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Meu Drive\Pablo\LIGA 2019\Hemodinâmica\"/>
    </mc:Choice>
  </mc:AlternateContent>
  <xr:revisionPtr revIDLastSave="0" documentId="13_ncr:1_{2310471C-0D56-46A9-A6DE-A12067742C65}" xr6:coauthVersionLast="47" xr6:coauthVersionMax="47" xr10:uidLastSave="{00000000-0000-0000-0000-000000000000}"/>
  <bookViews>
    <workbookView xWindow="-108" yWindow="-108" windowWidth="23256" windowHeight="12456" tabRatio="500" firstSheet="24" activeTab="24" xr2:uid="{00000000-000D-0000-FFFF-FFFF00000000}"/>
  </bookViews>
  <sheets>
    <sheet name="BM 001" sheetId="1" state="hidden" r:id="rId1"/>
    <sheet name="BM 002" sheetId="2" state="hidden" r:id="rId2"/>
    <sheet name="M.C. MED. 01" sheetId="3" state="hidden" r:id="rId3"/>
    <sheet name="M.C. MED. 02" sheetId="4" state="hidden" r:id="rId4"/>
    <sheet name="BM 003" sheetId="5" state="hidden" r:id="rId5"/>
    <sheet name="M.C. MED. 03" sheetId="6" state="hidden" r:id="rId6"/>
    <sheet name="BM 004" sheetId="7" state="hidden" r:id="rId7"/>
    <sheet name="M.C. MED. 04" sheetId="8" state="hidden" r:id="rId8"/>
    <sheet name="BM 005" sheetId="9" state="hidden" r:id="rId9"/>
    <sheet name="BM 006" sheetId="10" state="hidden" r:id="rId10"/>
    <sheet name="M.C. MED. 05" sheetId="11" state="hidden" r:id="rId11"/>
    <sheet name="M.C. MED. 06" sheetId="12" state="hidden" r:id="rId12"/>
    <sheet name="BM 007" sheetId="13" state="hidden" r:id="rId13"/>
    <sheet name="BM 008" sheetId="14" state="hidden" r:id="rId14"/>
    <sheet name="BM 009" sheetId="15" state="hidden" r:id="rId15"/>
    <sheet name="BM 010" sheetId="16" state="hidden" r:id="rId16"/>
    <sheet name="M.C. MED. 09" sheetId="17" state="hidden" r:id="rId17"/>
    <sheet name="M.C. MED. 08" sheetId="18" state="hidden" r:id="rId18"/>
    <sheet name="M.C. MED. 07" sheetId="19" state="hidden" r:id="rId19"/>
    <sheet name="BM 011" sheetId="20" state="hidden" r:id="rId20"/>
    <sheet name="M.C. MED. 10" sheetId="21" state="hidden" r:id="rId21"/>
    <sheet name="M.C. MED. 11" sheetId="22" state="hidden" r:id="rId22"/>
    <sheet name="BM 012" sheetId="23" state="hidden" r:id="rId23"/>
    <sheet name="M.C. MED. 12" sheetId="24" state="hidden" r:id="rId24"/>
    <sheet name="COTAÇÃO" sheetId="25" r:id="rId25"/>
    <sheet name="CRONOGRAMA ANTIGO" sheetId="26" state="hidden" r:id="rId26"/>
  </sheets>
  <definedNames>
    <definedName name="_________PL1">#N/A</definedName>
    <definedName name="________PL1">#N/A</definedName>
    <definedName name="_______PL1">#N/A</definedName>
    <definedName name="______PL1">#N/A</definedName>
    <definedName name="_____PL1">#N/A</definedName>
    <definedName name="____PL1">#N/A</definedName>
    <definedName name="___PL1">#N/A</definedName>
    <definedName name="__PL1">#N/A</definedName>
    <definedName name="_01_09_96">#N/A</definedName>
    <definedName name="_1__BIM">#N/A</definedName>
    <definedName name="_2__BIM">#N/A</definedName>
    <definedName name="_3__BIM">#N/A</definedName>
    <definedName name="_4__BIM">#N/A</definedName>
    <definedName name="_Key1" localSheetId="1">#REF!</definedName>
    <definedName name="_Key1" localSheetId="4">#REF!</definedName>
    <definedName name="_Key1" localSheetId="6">#REF!</definedName>
    <definedName name="_Key1" localSheetId="8">#REF!</definedName>
    <definedName name="_Key1" localSheetId="9">#REF!</definedName>
    <definedName name="_Key1" localSheetId="12">#REF!</definedName>
    <definedName name="_Key1" localSheetId="13">#REF!</definedName>
    <definedName name="_Key1" localSheetId="14">#REF!</definedName>
    <definedName name="_Key1" localSheetId="15">#REF!</definedName>
    <definedName name="_Key1" localSheetId="19">#REF!</definedName>
    <definedName name="_Key1" localSheetId="22">#REF!</definedName>
    <definedName name="_Key1" localSheetId="24">#REF!</definedName>
    <definedName name="_Key1" localSheetId="3">#REF!</definedName>
    <definedName name="_Key1" localSheetId="5">#REF!</definedName>
    <definedName name="_Key1" localSheetId="7">#REF!</definedName>
    <definedName name="_Key1" localSheetId="10">#REF!</definedName>
    <definedName name="_Key1" localSheetId="11">#REF!</definedName>
    <definedName name="_Key1" localSheetId="18">#REF!</definedName>
    <definedName name="_Key1" localSheetId="17">#REF!</definedName>
    <definedName name="_Key1" localSheetId="16">#REF!</definedName>
    <definedName name="_Key1" localSheetId="20">#REF!</definedName>
    <definedName name="_Key1" localSheetId="21">#REF!</definedName>
    <definedName name="_Key1" localSheetId="23">#REF!</definedName>
    <definedName name="_Key1">#REF!</definedName>
    <definedName name="_Key2">#N/A</definedName>
    <definedName name="_nt22">#N/A</definedName>
    <definedName name="_Order1">#N/A</definedName>
    <definedName name="_Order2">#N/A</definedName>
    <definedName name="_PL1">#N/A</definedName>
    <definedName name="_Sort">#N/A</definedName>
    <definedName name="_Toc295399798">#N/A</definedName>
    <definedName name="_Toc306953611">#N/A</definedName>
    <definedName name="_z">#N/A</definedName>
    <definedName name="a">#N/A</definedName>
    <definedName name="AA">#N/A</definedName>
    <definedName name="AASAA">#N/A</definedName>
    <definedName name="abc">#N/A</definedName>
    <definedName name="ADRIANA_GOMES">#N/A</definedName>
    <definedName name="ALEXANDRE_REZENDE">#N/A</definedName>
    <definedName name="ALTA">#N/A</definedName>
    <definedName name="ALUNOS">#N/A</definedName>
    <definedName name="amarela">#N/A</definedName>
    <definedName name="_xlnm.Print_Area" localSheetId="0">'BM 001'!$A$2:$R$596</definedName>
    <definedName name="_xlnm.Print_Area" localSheetId="1">'BM 002'!$A$2:$R$596</definedName>
    <definedName name="_xlnm.Print_Area" localSheetId="4">'BM 003'!$A$2:$R$596</definedName>
    <definedName name="_xlnm.Print_Area" localSheetId="6">'BM 004'!$A$2:$R$596</definedName>
    <definedName name="_xlnm.Print_Area" localSheetId="8">'BM 005'!$A$2:$R$596</definedName>
    <definedName name="_xlnm.Print_Area" localSheetId="9">'BM 006'!$A$2:$R$596</definedName>
    <definedName name="_xlnm.Print_Area" localSheetId="12">'BM 007'!$A$2:$R$596</definedName>
    <definedName name="_xlnm.Print_Area" localSheetId="13">'BM 008'!$A$2:$R$597</definedName>
    <definedName name="_xlnm.Print_Area" localSheetId="14">'BM 009'!$A$2:$R$597</definedName>
    <definedName name="_xlnm.Print_Area" localSheetId="15">'BM 010'!$A$2:$R$597</definedName>
    <definedName name="_xlnm.Print_Area" localSheetId="19">'BM 011'!$A$2:$T$688</definedName>
    <definedName name="_xlnm.Print_Area" localSheetId="22">'BM 012'!$A$2:$T$688</definedName>
    <definedName name="_xlnm.Print_Area" localSheetId="24">COTAÇÃO!$B$1:$J$627</definedName>
    <definedName name="_xlnm.Print_Area" localSheetId="25">'CRONOGRAMA ANTIGO'!$B$3:$V$185</definedName>
    <definedName name="_xlnm.Print_Area" localSheetId="2">'M.C. MED. 01'!$A$1:$M$117</definedName>
    <definedName name="_xlnm.Print_Area" localSheetId="3">'M.C. MED. 02'!$A$1:$M$168</definedName>
    <definedName name="_xlnm.Print_Area" localSheetId="5">'M.C. MED. 03'!$A$1:$M$360</definedName>
    <definedName name="_xlnm.Print_Area" localSheetId="7">'M.C. MED. 04'!$A$1:$M$686</definedName>
    <definedName name="_xlnm.Print_Area" localSheetId="10">'M.C. MED. 05'!$A$1:$M$957</definedName>
    <definedName name="_xlnm.Print_Area" localSheetId="11">'M.C. MED. 06'!$A$1:$O$1140</definedName>
    <definedName name="_xlnm.Print_Area" localSheetId="18">'M.C. MED. 07'!$A$1:$M$1319</definedName>
    <definedName name="_xlnm.Print_Area" localSheetId="17">'M.C. MED. 08'!$A$1:$M$1437</definedName>
    <definedName name="_xlnm.Print_Area" localSheetId="20">'M.C. MED. 10'!$A$1:$L$1552</definedName>
    <definedName name="_xlnm.Print_Area" localSheetId="21">'M.C. MED. 11'!$B$1:$L$1735</definedName>
    <definedName name="_xlnm.Print_Area" localSheetId="23">'M.C. MED. 12'!$B$1:$L$1909</definedName>
    <definedName name="Aut_original" localSheetId="1">#REF!</definedName>
    <definedName name="Aut_original" localSheetId="4">#REF!</definedName>
    <definedName name="Aut_original" localSheetId="6">#REF!</definedName>
    <definedName name="Aut_original" localSheetId="8">#REF!</definedName>
    <definedName name="Aut_original" localSheetId="9">#REF!</definedName>
    <definedName name="Aut_original" localSheetId="12">#REF!</definedName>
    <definedName name="Aut_original" localSheetId="13">#REF!</definedName>
    <definedName name="Aut_original" localSheetId="14">#REF!</definedName>
    <definedName name="Aut_original" localSheetId="15">#REF!</definedName>
    <definedName name="Aut_original" localSheetId="19">#REF!</definedName>
    <definedName name="Aut_original" localSheetId="22">#REF!</definedName>
    <definedName name="Aut_original" localSheetId="24">#REF!</definedName>
    <definedName name="Aut_original" localSheetId="3">#REF!</definedName>
    <definedName name="Aut_original" localSheetId="5">#REF!</definedName>
    <definedName name="Aut_original" localSheetId="7">#REF!</definedName>
    <definedName name="Aut_original" localSheetId="10">#REF!</definedName>
    <definedName name="Aut_original" localSheetId="11">#REF!</definedName>
    <definedName name="Aut_original" localSheetId="18">#REF!</definedName>
    <definedName name="Aut_original" localSheetId="17">#REF!</definedName>
    <definedName name="Aut_original" localSheetId="16">#REF!</definedName>
    <definedName name="Aut_original" localSheetId="20">#REF!</definedName>
    <definedName name="Aut_original" localSheetId="21">#REF!</definedName>
    <definedName name="Aut_original" localSheetId="23">#REF!</definedName>
    <definedName name="Aut_original">#REF!</definedName>
    <definedName name="Aut_resumo">#N/A</definedName>
    <definedName name="azul">#N/A</definedName>
    <definedName name="AZULSINAL">#N/A</definedName>
    <definedName name="BAIXA">#N/A</definedName>
    <definedName name="BB">#N/A</definedName>
    <definedName name="BDI">#N/A</definedName>
    <definedName name="BDU">#N/A</definedName>
    <definedName name="BG">#N/A</definedName>
    <definedName name="BGU">#N/A</definedName>
    <definedName name="CBU">#N/A</definedName>
    <definedName name="CBUII">#N/A</definedName>
    <definedName name="CBUQB">#N/A</definedName>
    <definedName name="CBUQc">#N/A</definedName>
    <definedName name="CINTIA">#N/A</definedName>
    <definedName name="COMPLETO">#N/A</definedName>
    <definedName name="COMPOR">#N/A</definedName>
    <definedName name="CURTO">#N/A</definedName>
    <definedName name="CUSTOCOMPOR">#N/A</definedName>
    <definedName name="d">#N/A</definedName>
    <definedName name="DADO">#N/A</definedName>
    <definedName name="DADOS">#N/A</definedName>
    <definedName name="DANIELE_RODRIGUES">#N/A</definedName>
    <definedName name="Data_Final">#N/A</definedName>
    <definedName name="Data_Início">#N/A</definedName>
    <definedName name="DAYINDX">#N/A</definedName>
    <definedName name="DGA">#N/A</definedName>
    <definedName name="DGU">#N/A</definedName>
    <definedName name="DJ">#N/A</definedName>
    <definedName name="ECJ">#N/A</definedName>
    <definedName name="EJ">#N/A</definedName>
    <definedName name="EXA">#N/A</definedName>
    <definedName name="Excel_BuiltIn__FilterDatabase_1">NA()</definedName>
    <definedName name="Excel_BuiltIn_Criteria">#N/A</definedName>
    <definedName name="Excel_BuiltIn_Database">#N/A</definedName>
    <definedName name="Excel_BuiltIn_Print_Titles" localSheetId="1">#REF!</definedName>
    <definedName name="Excel_BuiltIn_Print_Titles" localSheetId="4">#REF!</definedName>
    <definedName name="Excel_BuiltIn_Print_Titles" localSheetId="6">#REF!</definedName>
    <definedName name="Excel_BuiltIn_Print_Titles" localSheetId="8">#REF!</definedName>
    <definedName name="Excel_BuiltIn_Print_Titles" localSheetId="9">#REF!</definedName>
    <definedName name="Excel_BuiltIn_Print_Titles" localSheetId="12">#REF!</definedName>
    <definedName name="Excel_BuiltIn_Print_Titles" localSheetId="13">#REF!</definedName>
    <definedName name="Excel_BuiltIn_Print_Titles" localSheetId="14">#REF!</definedName>
    <definedName name="Excel_BuiltIn_Print_Titles" localSheetId="15">#REF!</definedName>
    <definedName name="Excel_BuiltIn_Print_Titles" localSheetId="19">#REF!</definedName>
    <definedName name="Excel_BuiltIn_Print_Titles" localSheetId="22">#REF!</definedName>
    <definedName name="Excel_BuiltIn_Print_Titles" localSheetId="24">#REF!</definedName>
    <definedName name="Excel_BuiltIn_Print_Titles" localSheetId="3">#REF!</definedName>
    <definedName name="Excel_BuiltIn_Print_Titles" localSheetId="5">#REF!</definedName>
    <definedName name="Excel_BuiltIn_Print_Titles" localSheetId="7">#REF!</definedName>
    <definedName name="Excel_BuiltIn_Print_Titles" localSheetId="10">#REF!</definedName>
    <definedName name="Excel_BuiltIn_Print_Titles" localSheetId="11">#REF!</definedName>
    <definedName name="Excel_BuiltIn_Print_Titles" localSheetId="18">#REF!</definedName>
    <definedName name="Excel_BuiltIn_Print_Titles" localSheetId="17">#REF!</definedName>
    <definedName name="Excel_BuiltIn_Print_Titles" localSheetId="16">#REF!</definedName>
    <definedName name="Excel_BuiltIn_Print_Titles" localSheetId="20">#REF!</definedName>
    <definedName name="Excel_BuiltIn_Print_Titles" localSheetId="21">#REF!</definedName>
    <definedName name="Excel_BuiltIn_Print_Titles" localSheetId="23">#REF!</definedName>
    <definedName name="Excel_BuiltIn_Print_Titles">#REF!</definedName>
    <definedName name="Excel_BuiltIn_Print_Titles_1_1">#N/A</definedName>
    <definedName name="Excel_BuiltIn_Print_Titles_1_1_1">#N/A</definedName>
    <definedName name="Excel_BuiltIn_Print_Titles_2">#N/A</definedName>
    <definedName name="Excel_BuiltIn_Print_Titles_2_1">#N/A</definedName>
    <definedName name="Excel_BuiltIn_Recorder">#N/A</definedName>
    <definedName name="Extenso">#N/A</definedName>
    <definedName name="EXU">#N/A</definedName>
    <definedName name="fc1a">#N/A</definedName>
    <definedName name="FC1U">#N/A</definedName>
    <definedName name="FC2A">#N/A</definedName>
    <definedName name="FC2U">#N/A</definedName>
    <definedName name="FC3A">#N/A</definedName>
    <definedName name="FC3U">#N/A</definedName>
    <definedName name="FeriadosFixos">#N/A</definedName>
    <definedName name="FeriadosReligiosos">#N/A</definedName>
    <definedName name="GLAUCIA_REGINA">#N/A</definedName>
    <definedName name="há">#N/A</definedName>
    <definedName name="HELLO">#N/A</definedName>
    <definedName name="hi">#N/A</definedName>
    <definedName name="HTML_CodePage">#N/A</definedName>
    <definedName name="HTML_Control" localSheetId="22">{"'1'!$A$2:$G$13"}</definedName>
    <definedName name="HTML_Control" localSheetId="24">{"'1'!$A$2:$G$13"}</definedName>
    <definedName name="HTML_Control">{"'1'!$A$2:$G$13"}</definedName>
    <definedName name="HTML_Description">#N/A</definedName>
    <definedName name="HTML_Email">#N/A</definedName>
    <definedName name="HTML_Header">#N/A</definedName>
    <definedName name="HTML_LastUpdate">#N/A</definedName>
    <definedName name="HTML_LineAfter">#N/A</definedName>
    <definedName name="HTML_LineBefore">#N/A</definedName>
    <definedName name="HTML_Name">#N/A</definedName>
    <definedName name="HTML_OBDlg2">#N/A</definedName>
    <definedName name="HTML_OBDlg4">#N/A</definedName>
    <definedName name="HTML_OS">#N/A</definedName>
    <definedName name="HTML_PathFile">#N/A</definedName>
    <definedName name="HTML_Title">#N/A</definedName>
    <definedName name="IM">#N/A</definedName>
    <definedName name="INSTALAÇÃO">#N/A</definedName>
    <definedName name="insumo">#N/A</definedName>
    <definedName name="JOSE_RODRIGUES">#N/A</definedName>
    <definedName name="LILASDRENA">#N/A</definedName>
    <definedName name="LIXO">#N/A</definedName>
    <definedName name="MAIA">#N/A</definedName>
    <definedName name="MANUTENÇÃO_MENSAL">#N/A</definedName>
    <definedName name="Marca">#N/A</definedName>
    <definedName name="MARCELO_DO_NASCIMENTO">#N/A</definedName>
    <definedName name="MARCIA_ARAÚJO">#N/A</definedName>
    <definedName name="MARCIA_CRISTINA">#N/A</definedName>
    <definedName name="MARCO_AURÉLIO">#N/A</definedName>
    <definedName name="MÉDIA">#N/A</definedName>
    <definedName name="Medição">#N/A</definedName>
    <definedName name="MEDIO">#N/A</definedName>
    <definedName name="Meu">#N/A</definedName>
    <definedName name="MICHELL_SORRILHA">#N/A</definedName>
    <definedName name="MO">#N/A</definedName>
    <definedName name="MOBILIZAÇÃO">#N/A</definedName>
    <definedName name="MODULO1_CURTO">NA()</definedName>
    <definedName name="módulo1_Extenso">#N/A</definedName>
    <definedName name="MONIQUE_CASTELLI">#N/A</definedName>
    <definedName name="NTEI">#N/A</definedName>
    <definedName name="NTEU">#N/A</definedName>
    <definedName name="OLE_LINK2_2">#N/A</definedName>
    <definedName name="OLE_LINK2_2_2">#N/A</definedName>
    <definedName name="OPA">#N/A</definedName>
    <definedName name="OPS">#N/A</definedName>
    <definedName name="Orçamento">#N/A</definedName>
    <definedName name="OUTROS">#N/A</definedName>
    <definedName name="PassaExtenso">#N/A</definedName>
    <definedName name="pesquisa">#N/A</definedName>
    <definedName name="PL">#N/A</definedName>
    <definedName name="ppp">#N/A</definedName>
    <definedName name="print">#N/A</definedName>
    <definedName name="Print_Area_MI">#N/A</definedName>
    <definedName name="Print_Titles_MI">#N/A</definedName>
    <definedName name="QQ_1">#N/A</definedName>
    <definedName name="QQ_2">#N/A</definedName>
    <definedName name="QtdAn">#N/A</definedName>
    <definedName name="QtdCG">#N/A</definedName>
    <definedName name="QtdCo">#N/A</definedName>
    <definedName name="QtdHG">#N/A</definedName>
    <definedName name="QtdMd">#N/A</definedName>
    <definedName name="QtdRa">#N/A</definedName>
    <definedName name="QtdSA">#N/A</definedName>
    <definedName name="QtdZe">#N/A</definedName>
    <definedName name="QUANT">#N/A</definedName>
    <definedName name="QUANTIDADES">#N/A</definedName>
    <definedName name="QUE_P_E_ISSO">#N/A</definedName>
    <definedName name="RAFAEL_CORREIA">#N/A</definedName>
    <definedName name="RBV">#N/A</definedName>
    <definedName name="REG">#N/A</definedName>
    <definedName name="REGULA">#N/A</definedName>
    <definedName name="RESUMO">#N/A</definedName>
    <definedName name="RMA">#N/A</definedName>
    <definedName name="RMU">#N/A</definedName>
    <definedName name="RS">#N/A</definedName>
    <definedName name="sbg">#N/A</definedName>
    <definedName name="SBTC">#N/A</definedName>
    <definedName name="SERVI">#N/A</definedName>
    <definedName name="Serviços">#N/A</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6">#N/A</definedName>
    <definedName name="SHARED_FORMULA_7">#N/A</definedName>
    <definedName name="SHARED_FORMULA_8">#N/A</definedName>
    <definedName name="SHARED_FORMULA_9">#N/A</definedName>
    <definedName name="SINOME_ALVES">#N/A</definedName>
    <definedName name="sss">#N/A</definedName>
    <definedName name="SUB_TRECHO">#N/A</definedName>
    <definedName name="Tabela">#N/A</definedName>
    <definedName name="Teor">#N/A</definedName>
    <definedName name="Tipo">#N/A</definedName>
    <definedName name="_xlnm.Print_Titles" localSheetId="0">'BM 001'!$25:$26</definedName>
    <definedName name="_xlnm.Print_Titles" localSheetId="1">'BM 002'!$25:$26</definedName>
    <definedName name="_xlnm.Print_Titles" localSheetId="4">'BM 003'!$25:$26</definedName>
    <definedName name="_xlnm.Print_Titles" localSheetId="6">'BM 004'!$25:$26</definedName>
    <definedName name="_xlnm.Print_Titles" localSheetId="8">'BM 005'!$25:$26</definedName>
    <definedName name="_xlnm.Print_Titles" localSheetId="9">'BM 006'!$25:$26</definedName>
    <definedName name="_xlnm.Print_Titles" localSheetId="12">'BM 007'!$25:$26</definedName>
    <definedName name="_xlnm.Print_Titles" localSheetId="13">'BM 008'!$25:$26</definedName>
    <definedName name="_xlnm.Print_Titles" localSheetId="14">'BM 009'!$25:$26</definedName>
    <definedName name="_xlnm.Print_Titles" localSheetId="15">'BM 010'!$25:$26</definedName>
    <definedName name="_xlnm.Print_Titles" localSheetId="19">'BM 011'!$26:$27</definedName>
    <definedName name="_xlnm.Print_Titles" localSheetId="22">'BM 012'!$26:$27</definedName>
    <definedName name="_xlnm.Print_Titles" localSheetId="24">COTAÇÃO!$11:$11</definedName>
    <definedName name="_xlnm.Print_Titles" localSheetId="25">'CRONOGRAMA ANTIGO'!$3:$12</definedName>
    <definedName name="_xlnm.Print_Titles" localSheetId="2">'M.C. MED. 01'!$2:$6</definedName>
    <definedName name="_xlnm.Print_Titles" localSheetId="3">'M.C. MED. 02'!$2:$6</definedName>
    <definedName name="_xlnm.Print_Titles" localSheetId="5">'M.C. MED. 03'!$2:$6</definedName>
    <definedName name="_xlnm.Print_Titles" localSheetId="7">'M.C. MED. 04'!$2:$6</definedName>
    <definedName name="_xlnm.Print_Titles" localSheetId="10">'M.C. MED. 05'!$2:$6</definedName>
    <definedName name="_xlnm.Print_Titles" localSheetId="11">'M.C. MED. 06'!$2:$6</definedName>
    <definedName name="_xlnm.Print_Titles" localSheetId="18">'M.C. MED. 07'!$2:$6</definedName>
    <definedName name="_xlnm.Print_Titles" localSheetId="17">'M.C. MED. 08'!$2:$6</definedName>
    <definedName name="_xlnm.Print_Titles" localSheetId="16">'M.C. MED. 09'!$2:$6</definedName>
    <definedName name="_xlnm.Print_Titles" localSheetId="20">'M.C. MED. 10'!$2:$6</definedName>
    <definedName name="_xlnm.Print_Titles" localSheetId="21">'M.C. MED. 11'!$2:$6</definedName>
    <definedName name="_xlnm.Print_Titles" localSheetId="23">'M.C. MED. 12'!$2:$6</definedName>
    <definedName name="TOTAL" localSheetId="1">#REF!</definedName>
    <definedName name="TOTAL" localSheetId="4">#REF!</definedName>
    <definedName name="TOTAL" localSheetId="6">#REF!</definedName>
    <definedName name="TOTAL" localSheetId="8">#REF!</definedName>
    <definedName name="TOTAL" localSheetId="9">#REF!</definedName>
    <definedName name="TOTAL" localSheetId="12">#REF!</definedName>
    <definedName name="TOTAL" localSheetId="13">#REF!</definedName>
    <definedName name="TOTAL" localSheetId="14">#REF!</definedName>
    <definedName name="TOTAL" localSheetId="15">#REF!</definedName>
    <definedName name="TOTAL" localSheetId="19">#REF!</definedName>
    <definedName name="TOTAL" localSheetId="22">#REF!</definedName>
    <definedName name="TOTAL" localSheetId="24">#REF!</definedName>
    <definedName name="TOTAL" localSheetId="3">#REF!</definedName>
    <definedName name="TOTAL" localSheetId="5">#REF!</definedName>
    <definedName name="TOTAL" localSheetId="7">#REF!</definedName>
    <definedName name="TOTAL" localSheetId="10">#REF!</definedName>
    <definedName name="TOTAL" localSheetId="11">#REF!</definedName>
    <definedName name="TOTAL" localSheetId="18">#REF!</definedName>
    <definedName name="TOTAL" localSheetId="17">#REF!</definedName>
    <definedName name="TOTAL" localSheetId="16">#REF!</definedName>
    <definedName name="TOTAL" localSheetId="20">#REF!</definedName>
    <definedName name="TOTAL" localSheetId="21">#REF!</definedName>
    <definedName name="TOTAL" localSheetId="23">#REF!</definedName>
    <definedName name="TOTAL">#REF!</definedName>
    <definedName name="TPM">#N/A</definedName>
    <definedName name="V">#N/A</definedName>
    <definedName name="Vazios">#N/A</definedName>
    <definedName name="VENDEDORES">#N/A</definedName>
    <definedName name="verde">#N/A</definedName>
    <definedName name="verdepav">#N/A</definedName>
    <definedName name="WALESKA_REGINA">#N/A</definedName>
    <definedName name="WEWRWR">#N/A</definedName>
    <definedName name="x">#N/A</definedName>
    <definedName name="XXX">#N/A</definedName>
    <definedName name="Y">#N/A</definedName>
    <definedName name="Z_000EB328_9D5A_494A_B22D_6527D8FC204C__wvu_FilterData">#N/A</definedName>
    <definedName name="Z_2662B34D_85C2_41B5_A333_105F3CC02FC4__wvu_Cols">#N/A</definedName>
    <definedName name="Z_2662B34D_85C2_41B5_A333_105F3CC02FC4__wvu_FilterData">#N/A</definedName>
    <definedName name="Z_2662B34D_85C2_41B5_A333_105F3CC02FC4__wvu_PrintArea">#N/A</definedName>
    <definedName name="Z_2662B34D_85C2_41B5_A333_105F3CC02FC4__wvu_PrintArea_1">#N/A</definedName>
    <definedName name="Z_2662B34D_85C2_41B5_A333_105F3CC02FC4__wvu_PrintArea_2">#N/A</definedName>
    <definedName name="Z_2662B34D_85C2_41B5_A333_105F3CC02FC4__wvu_PrintArea_2_1">#N/A</definedName>
    <definedName name="Z_2662B34D_85C2_41B5_A333_105F3CC02FC4__wvu_PrintTitles">#N/A</definedName>
    <definedName name="Z_2662B34D_85C2_41B5_A333_105F3CC02FC4__wvu_PrintTitles_1">#N/A</definedName>
    <definedName name="Z_2662B34D_85C2_41B5_A333_105F3CC02FC4__wvu_PrintTitles_1_1">#N/A</definedName>
    <definedName name="Z_4417640E_E34E_4AD2_A620_FFF6BAF9A276__wvu_Cols">#N/A</definedName>
    <definedName name="Z_4417640E_E34E_4AD2_A620_FFF6BAF9A276__wvu_FilterData">#N/A</definedName>
    <definedName name="Z_4417640E_E34E_4AD2_A620_FFF6BAF9A276__wvu_PrintArea">#N/A</definedName>
    <definedName name="Z_4417640E_E34E_4AD2_A620_FFF6BAF9A276__wvu_PrintArea_1">#N/A</definedName>
    <definedName name="Z_4417640E_E34E_4AD2_A620_FFF6BAF9A276__wvu_PrintArea_2">#N/A</definedName>
    <definedName name="Z_4417640E_E34E_4AD2_A620_FFF6BAF9A276__wvu_PrintArea_2_1">#N/A</definedName>
    <definedName name="Z_4417640E_E34E_4AD2_A620_FFF6BAF9A276__wvu_PrintTitles">#N/A</definedName>
    <definedName name="Z_4417640E_E34E_4AD2_A620_FFF6BAF9A276__wvu_PrintTitles_1">#N/A</definedName>
    <definedName name="Z_4417640E_E34E_4AD2_A620_FFF6BAF9A276__wvu_PrintTitles_1_1">#N/A</definedName>
    <definedName name="Z_A715B7FB_B5B7_4385_B3B0_FDD938C0AB2D__wvu_FilterData">#N/A</definedName>
    <definedName name="Z_A715B7FB_B5B7_4385_B3B0_FDD938C0AB2D__wvu_PrintArea">#N/A</definedName>
    <definedName name="Z_A715B7FB_B5B7_4385_B3B0_FDD938C0AB2D__wvu_PrintArea_1">#N/A</definedName>
    <definedName name="Z_A715B7FB_B5B7_4385_B3B0_FDD938C0AB2D__wvu_PrintArea_2">#N/A</definedName>
    <definedName name="Z_A715B7FB_B5B7_4385_B3B0_FDD938C0AB2D__wvu_PrintArea_2_1">#N/A</definedName>
    <definedName name="Z_A715B7FB_B5B7_4385_B3B0_FDD938C0AB2D__wvu_PrintTitles">#N/A</definedName>
    <definedName name="Z_A715B7FB_B5B7_4385_B3B0_FDD938C0AB2D__wvu_PrintTitles_1">#N/A</definedName>
    <definedName name="Z_A715B7FB_B5B7_4385_B3B0_FDD938C0AB2D__wvu_PrintTitles_1_1">#N/A</definedName>
    <definedName name="Z_C295A4F4_B114_4D06_A305_B78789303B08__wvu_Cols">#N/A</definedName>
    <definedName name="Z_C295A4F4_B114_4D06_A305_B78789303B08__wvu_FilterData">#N/A</definedName>
    <definedName name="Z_C295A4F4_B114_4D06_A305_B78789303B08__wvu_PrintArea">#N/A</definedName>
    <definedName name="Z_C295A4F4_B114_4D06_A305_B78789303B08__wvu_PrintArea_1">#N/A</definedName>
    <definedName name="Z_C295A4F4_B114_4D06_A305_B78789303B08__wvu_PrintArea_2">#N/A</definedName>
    <definedName name="Z_C295A4F4_B114_4D06_A305_B78789303B08__wvu_PrintArea_2_1">#N/A</definedName>
    <definedName name="Z_C295A4F4_B114_4D06_A305_B78789303B08__wvu_PrintTitles">#N/A</definedName>
    <definedName name="Z_C295A4F4_B114_4D06_A305_B78789303B08__wvu_PrintTitles_1">#N/A</definedName>
    <definedName name="Z_C295A4F4_B114_4D06_A305_B78789303B08__wvu_PrintTitles_1_1">#N/A</definedName>
    <definedName name="Z_CA2741A0_89D6_4B43_BD9E_297E4D99BF42__wvu_FilterData">#N/A</definedName>
    <definedName name="Z_CA2741A0_89D6_4B43_BD9E_297E4D99BF42__wvu_PrintArea">#N/A</definedName>
    <definedName name="Z_CA2741A0_89D6_4B43_BD9E_297E4D99BF42__wvu_PrintArea_1">#N/A</definedName>
    <definedName name="Z_CA2741A0_89D6_4B43_BD9E_297E4D99BF42__wvu_PrintArea_2">#N/A</definedName>
    <definedName name="Z_CA2741A0_89D6_4B43_BD9E_297E4D99BF42__wvu_PrintArea_2_1">#N/A</definedName>
    <definedName name="Z_CA2741A0_89D6_4B43_BD9E_297E4D99BF42__wvu_PrintTitles">#N/A</definedName>
    <definedName name="Z_CA2741A0_89D6_4B43_BD9E_297E4D99BF42__wvu_PrintTitles_1">#N/A</definedName>
    <definedName name="Z_CA2741A0_89D6_4B43_BD9E_297E4D99BF42__wvu_PrintTitles_1_1">#N/A</definedName>
    <definedName name="Z_DB9559E8_44DB_4E16_97FD_E9FBD29FEE5A__wvu_Cols">#N/A</definedName>
    <definedName name="Z_DB9559E8_44DB_4E16_97FD_E9FBD29FEE5A__wvu_FilterData">#N/A</definedName>
    <definedName name="Z_DB9559E8_44DB_4E16_97FD_E9FBD29FEE5A__wvu_PrintArea">#N/A</definedName>
    <definedName name="Z_DB9559E8_44DB_4E16_97FD_E9FBD29FEE5A__wvu_PrintArea_1">#N/A</definedName>
    <definedName name="Z_DB9559E8_44DB_4E16_97FD_E9FBD29FEE5A__wvu_PrintArea_2">#N/A</definedName>
    <definedName name="Z_DB9559E8_44DB_4E16_97FD_E9FBD29FEE5A__wvu_PrintArea_2_1">#N/A</definedName>
    <definedName name="Z_DB9559E8_44DB_4E16_97FD_E9FBD29FEE5A__wvu_PrintTitles">#N/A</definedName>
    <definedName name="Z_DB9559E8_44DB_4E16_97FD_E9FBD29FEE5A__wvu_PrintTitles_1">#N/A</definedName>
    <definedName name="Z_DB9559E8_44DB_4E16_97FD_E9FBD29FEE5A__wvu_PrintTitles_1_1">#N/A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25" l="1"/>
  <c r="M34" i="25"/>
  <c r="M33" i="25"/>
  <c r="M32" i="25"/>
  <c r="M31" i="25"/>
  <c r="M30" i="25"/>
  <c r="M29" i="25"/>
  <c r="M28" i="25"/>
  <c r="M27" i="25"/>
  <c r="M26" i="25"/>
  <c r="M25" i="25"/>
  <c r="M24" i="25"/>
  <c r="M23" i="25"/>
  <c r="M22" i="25"/>
  <c r="M21" i="25"/>
  <c r="H178" i="26"/>
  <c r="H179" i="26" s="1"/>
  <c r="D178" i="26"/>
  <c r="D184" i="26" s="1"/>
  <c r="X176" i="26"/>
  <c r="V176" i="26"/>
  <c r="W176" i="26" s="1"/>
  <c r="U176" i="26"/>
  <c r="U175" i="26"/>
  <c r="T175" i="26"/>
  <c r="S175" i="26"/>
  <c r="R175" i="26"/>
  <c r="Q175" i="26"/>
  <c r="P175" i="26"/>
  <c r="O175" i="26"/>
  <c r="N175" i="26"/>
  <c r="M175" i="26"/>
  <c r="L175" i="26"/>
  <c r="K175" i="26"/>
  <c r="J175" i="26"/>
  <c r="I175" i="26"/>
  <c r="H175" i="26"/>
  <c r="G175" i="26"/>
  <c r="F175" i="26"/>
  <c r="U174" i="26"/>
  <c r="T174" i="26"/>
  <c r="S174" i="26"/>
  <c r="R174" i="26"/>
  <c r="Q174" i="26"/>
  <c r="P174" i="26"/>
  <c r="O174" i="26"/>
  <c r="N174" i="26"/>
  <c r="M174" i="26"/>
  <c r="L174" i="26"/>
  <c r="K174" i="26"/>
  <c r="J174" i="26"/>
  <c r="I174" i="26"/>
  <c r="H174" i="26"/>
  <c r="G174" i="26"/>
  <c r="F174" i="26"/>
  <c r="X173" i="26"/>
  <c r="V173" i="26"/>
  <c r="E173" i="26"/>
  <c r="X172" i="26"/>
  <c r="U172" i="26"/>
  <c r="X169" i="26" s="1"/>
  <c r="T172" i="26"/>
  <c r="U171" i="26"/>
  <c r="T171" i="26"/>
  <c r="S171" i="26"/>
  <c r="R171" i="26"/>
  <c r="Q171" i="26"/>
  <c r="P171" i="26"/>
  <c r="O171" i="26"/>
  <c r="N171" i="26"/>
  <c r="M171" i="26"/>
  <c r="L171" i="26"/>
  <c r="K171" i="26"/>
  <c r="J171" i="26"/>
  <c r="I171" i="26"/>
  <c r="H171" i="26"/>
  <c r="G171" i="26"/>
  <c r="F171" i="26"/>
  <c r="U170" i="26"/>
  <c r="T170" i="26"/>
  <c r="S170" i="26"/>
  <c r="R170" i="26"/>
  <c r="Q170" i="26"/>
  <c r="P170" i="26"/>
  <c r="O170" i="26"/>
  <c r="N170" i="26"/>
  <c r="M170" i="26"/>
  <c r="L170" i="26"/>
  <c r="K170" i="26"/>
  <c r="J170" i="26"/>
  <c r="I170" i="26"/>
  <c r="H170" i="26"/>
  <c r="G170" i="26"/>
  <c r="F170" i="26"/>
  <c r="V169" i="26"/>
  <c r="E169" i="26"/>
  <c r="X168" i="26"/>
  <c r="U168" i="26"/>
  <c r="V168" i="26" s="1"/>
  <c r="W168" i="26" s="1"/>
  <c r="U167" i="26"/>
  <c r="T167" i="26"/>
  <c r="S167" i="26"/>
  <c r="R167" i="26"/>
  <c r="Q167" i="26"/>
  <c r="P167" i="26"/>
  <c r="O167" i="26"/>
  <c r="N167" i="26"/>
  <c r="M167" i="26"/>
  <c r="L167" i="26"/>
  <c r="K167" i="26"/>
  <c r="J167" i="26"/>
  <c r="I167" i="26"/>
  <c r="H167" i="26"/>
  <c r="G167" i="26"/>
  <c r="F167" i="26"/>
  <c r="U166" i="26"/>
  <c r="T166" i="26"/>
  <c r="S166" i="26"/>
  <c r="R166" i="26"/>
  <c r="Q166" i="26"/>
  <c r="P166" i="26"/>
  <c r="O166" i="26"/>
  <c r="N166" i="26"/>
  <c r="M166" i="26"/>
  <c r="L166" i="26"/>
  <c r="K166" i="26"/>
  <c r="J166" i="26"/>
  <c r="I166" i="26"/>
  <c r="H166" i="26"/>
  <c r="G166" i="26"/>
  <c r="F166" i="26"/>
  <c r="X165" i="26"/>
  <c r="V165" i="26"/>
  <c r="E165" i="26"/>
  <c r="X164" i="26"/>
  <c r="V164" i="26"/>
  <c r="W164" i="26" s="1"/>
  <c r="U164" i="26"/>
  <c r="U163" i="26"/>
  <c r="T163" i="26"/>
  <c r="S163" i="26"/>
  <c r="R163" i="26"/>
  <c r="Q163" i="26"/>
  <c r="P163" i="26"/>
  <c r="O163" i="26"/>
  <c r="N163" i="26"/>
  <c r="M163" i="26"/>
  <c r="L163" i="26"/>
  <c r="K163" i="26"/>
  <c r="J163" i="26"/>
  <c r="I163" i="26"/>
  <c r="H163" i="26"/>
  <c r="G163" i="26"/>
  <c r="F163" i="26"/>
  <c r="U162" i="26"/>
  <c r="T162" i="26"/>
  <c r="S162" i="26"/>
  <c r="R162" i="26"/>
  <c r="Q162" i="26"/>
  <c r="P162" i="26"/>
  <c r="O162" i="26"/>
  <c r="N162" i="26"/>
  <c r="M162" i="26"/>
  <c r="L162" i="26"/>
  <c r="K162" i="26"/>
  <c r="J162" i="26"/>
  <c r="I162" i="26"/>
  <c r="H162" i="26"/>
  <c r="G162" i="26"/>
  <c r="F162" i="26"/>
  <c r="X161" i="26"/>
  <c r="V161" i="26"/>
  <c r="E161" i="26"/>
  <c r="X160" i="26"/>
  <c r="U160" i="26"/>
  <c r="T160" i="26"/>
  <c r="S160" i="26"/>
  <c r="V160" i="26" s="1"/>
  <c r="W160" i="26" s="1"/>
  <c r="R160" i="26"/>
  <c r="U159" i="26"/>
  <c r="T159" i="26"/>
  <c r="S159" i="26"/>
  <c r="R159" i="26"/>
  <c r="Q159" i="26"/>
  <c r="P159" i="26"/>
  <c r="O159" i="26"/>
  <c r="N159" i="26"/>
  <c r="M159" i="26"/>
  <c r="L159" i="26"/>
  <c r="K159" i="26"/>
  <c r="J159" i="26"/>
  <c r="I159" i="26"/>
  <c r="H159" i="26"/>
  <c r="G159" i="26"/>
  <c r="F159" i="26"/>
  <c r="U158" i="26"/>
  <c r="T158" i="26"/>
  <c r="S158" i="26"/>
  <c r="R158" i="26"/>
  <c r="Q158" i="26"/>
  <c r="P158" i="26"/>
  <c r="O158" i="26"/>
  <c r="N158" i="26"/>
  <c r="M158" i="26"/>
  <c r="L158" i="26"/>
  <c r="K158" i="26"/>
  <c r="J158" i="26"/>
  <c r="I158" i="26"/>
  <c r="H158" i="26"/>
  <c r="G158" i="26"/>
  <c r="F158" i="26"/>
  <c r="V157" i="26"/>
  <c r="E157" i="26"/>
  <c r="X156" i="26"/>
  <c r="U156" i="26"/>
  <c r="T156" i="26"/>
  <c r="S156" i="26"/>
  <c r="X153" i="26" s="1"/>
  <c r="R156" i="26"/>
  <c r="V156" i="26" s="1"/>
  <c r="W156" i="26" s="1"/>
  <c r="U155" i="26"/>
  <c r="T155" i="26"/>
  <c r="S155" i="26"/>
  <c r="R155" i="26"/>
  <c r="Q155" i="26"/>
  <c r="P155" i="26"/>
  <c r="O155" i="26"/>
  <c r="N155" i="26"/>
  <c r="M155" i="26"/>
  <c r="L155" i="26"/>
  <c r="K155" i="26"/>
  <c r="J155" i="26"/>
  <c r="I155" i="26"/>
  <c r="H155" i="26"/>
  <c r="G155" i="26"/>
  <c r="F155" i="26"/>
  <c r="U154" i="26"/>
  <c r="T154" i="26"/>
  <c r="S154" i="26"/>
  <c r="R154" i="26"/>
  <c r="Q154" i="26"/>
  <c r="P154" i="26"/>
  <c r="O154" i="26"/>
  <c r="N154" i="26"/>
  <c r="M154" i="26"/>
  <c r="L154" i="26"/>
  <c r="K154" i="26"/>
  <c r="J154" i="26"/>
  <c r="I154" i="26"/>
  <c r="H154" i="26"/>
  <c r="G154" i="26"/>
  <c r="F154" i="26"/>
  <c r="V153" i="26"/>
  <c r="E153" i="26"/>
  <c r="X152" i="26"/>
  <c r="U152" i="26"/>
  <c r="T152" i="26"/>
  <c r="S152" i="26"/>
  <c r="R152" i="26"/>
  <c r="Q152" i="26"/>
  <c r="V152" i="26" s="1"/>
  <c r="W152" i="26" s="1"/>
  <c r="U151" i="26"/>
  <c r="T151" i="26"/>
  <c r="S151" i="26"/>
  <c r="R151" i="26"/>
  <c r="Q151" i="26"/>
  <c r="P151" i="26"/>
  <c r="O151" i="26"/>
  <c r="N151" i="26"/>
  <c r="M151" i="26"/>
  <c r="L151" i="26"/>
  <c r="K151" i="26"/>
  <c r="J151" i="26"/>
  <c r="I151" i="26"/>
  <c r="H151" i="26"/>
  <c r="G151" i="26"/>
  <c r="F151" i="26"/>
  <c r="U150" i="26"/>
  <c r="T150" i="26"/>
  <c r="S150" i="26"/>
  <c r="R150" i="26"/>
  <c r="Q150" i="26"/>
  <c r="P150" i="26"/>
  <c r="O150" i="26"/>
  <c r="N150" i="26"/>
  <c r="M150" i="26"/>
  <c r="L150" i="26"/>
  <c r="K150" i="26"/>
  <c r="J150" i="26"/>
  <c r="I150" i="26"/>
  <c r="H150" i="26"/>
  <c r="G150" i="26"/>
  <c r="F150" i="26"/>
  <c r="V149" i="26"/>
  <c r="E149" i="26"/>
  <c r="X148" i="26"/>
  <c r="U148" i="26"/>
  <c r="T148" i="26"/>
  <c r="X145" i="26" s="1"/>
  <c r="S148" i="26"/>
  <c r="R148" i="26"/>
  <c r="Q148" i="26"/>
  <c r="V148" i="26" s="1"/>
  <c r="W148" i="26" s="1"/>
  <c r="P148" i="26"/>
  <c r="U147" i="26"/>
  <c r="T147" i="26"/>
  <c r="S147" i="26"/>
  <c r="R147" i="26"/>
  <c r="Q147" i="26"/>
  <c r="P147" i="26"/>
  <c r="O147" i="26"/>
  <c r="N147" i="26"/>
  <c r="M147" i="26"/>
  <c r="L147" i="26"/>
  <c r="K147" i="26"/>
  <c r="J147" i="26"/>
  <c r="I147" i="26"/>
  <c r="H147" i="26"/>
  <c r="G147" i="26"/>
  <c r="F147" i="26"/>
  <c r="U146" i="26"/>
  <c r="T146" i="26"/>
  <c r="S146" i="26"/>
  <c r="R146" i="26"/>
  <c r="Q146" i="26"/>
  <c r="P146" i="26"/>
  <c r="O146" i="26"/>
  <c r="N146" i="26"/>
  <c r="M146" i="26"/>
  <c r="L146" i="26"/>
  <c r="K146" i="26"/>
  <c r="J146" i="26"/>
  <c r="I146" i="26"/>
  <c r="H146" i="26"/>
  <c r="G146" i="26"/>
  <c r="F146" i="26"/>
  <c r="V145" i="26"/>
  <c r="E145" i="26"/>
  <c r="X144" i="26"/>
  <c r="U144" i="26"/>
  <c r="T144" i="26"/>
  <c r="V144" i="26" s="1"/>
  <c r="W144" i="26" s="1"/>
  <c r="S144" i="26"/>
  <c r="R144" i="26"/>
  <c r="U143" i="26"/>
  <c r="T143" i="26"/>
  <c r="S143" i="26"/>
  <c r="R143" i="26"/>
  <c r="Q143" i="26"/>
  <c r="P143" i="26"/>
  <c r="O143" i="26"/>
  <c r="N143" i="26"/>
  <c r="M143" i="26"/>
  <c r="L143" i="26"/>
  <c r="K143" i="26"/>
  <c r="J143" i="26"/>
  <c r="I143" i="26"/>
  <c r="H143" i="26"/>
  <c r="G143" i="26"/>
  <c r="F143" i="26"/>
  <c r="U142" i="26"/>
  <c r="T142" i="26"/>
  <c r="S142" i="26"/>
  <c r="R142" i="26"/>
  <c r="Q142" i="26"/>
  <c r="P142" i="26"/>
  <c r="O142" i="26"/>
  <c r="N142" i="26"/>
  <c r="M142" i="26"/>
  <c r="L142" i="26"/>
  <c r="K142" i="26"/>
  <c r="J142" i="26"/>
  <c r="I142" i="26"/>
  <c r="H142" i="26"/>
  <c r="G142" i="26"/>
  <c r="F142" i="26"/>
  <c r="V141" i="26"/>
  <c r="E141" i="26"/>
  <c r="X140" i="26"/>
  <c r="U140" i="26"/>
  <c r="T140" i="26"/>
  <c r="S140" i="26"/>
  <c r="R140" i="26"/>
  <c r="Q140" i="26"/>
  <c r="P140" i="26"/>
  <c r="O140" i="26"/>
  <c r="N140" i="26"/>
  <c r="M140" i="26"/>
  <c r="L140" i="26"/>
  <c r="K140" i="26"/>
  <c r="J140" i="26"/>
  <c r="V140" i="26" s="1"/>
  <c r="W140" i="26" s="1"/>
  <c r="I140" i="26"/>
  <c r="H140" i="26"/>
  <c r="X137" i="26" s="1"/>
  <c r="U139" i="26"/>
  <c r="T139" i="26"/>
  <c r="S139" i="26"/>
  <c r="R139" i="26"/>
  <c r="Q139" i="26"/>
  <c r="P139" i="26"/>
  <c r="O139" i="26"/>
  <c r="N139" i="26"/>
  <c r="M139" i="26"/>
  <c r="L139" i="26"/>
  <c r="K139" i="26"/>
  <c r="J139" i="26"/>
  <c r="I139" i="26"/>
  <c r="H139" i="26"/>
  <c r="G139" i="26"/>
  <c r="F139" i="26"/>
  <c r="U138" i="26"/>
  <c r="T138" i="26"/>
  <c r="S138" i="26"/>
  <c r="R138" i="26"/>
  <c r="Q138" i="26"/>
  <c r="P138" i="26"/>
  <c r="O138" i="26"/>
  <c r="N138" i="26"/>
  <c r="M138" i="26"/>
  <c r="L138" i="26"/>
  <c r="K138" i="26"/>
  <c r="J138" i="26"/>
  <c r="I138" i="26"/>
  <c r="H138" i="26"/>
  <c r="G138" i="26"/>
  <c r="F138" i="26"/>
  <c r="V137" i="26"/>
  <c r="E137" i="26"/>
  <c r="X136" i="26"/>
  <c r="U136" i="26"/>
  <c r="T136" i="26"/>
  <c r="S136" i="26"/>
  <c r="R136" i="26"/>
  <c r="Q136" i="26"/>
  <c r="P136" i="26"/>
  <c r="O136" i="26"/>
  <c r="N136" i="26"/>
  <c r="M136" i="26"/>
  <c r="X133" i="26" s="1"/>
  <c r="L136" i="26"/>
  <c r="K136" i="26"/>
  <c r="J136" i="26"/>
  <c r="I136" i="26"/>
  <c r="H136" i="26"/>
  <c r="V136" i="26" s="1"/>
  <c r="W136" i="26" s="1"/>
  <c r="U135" i="26"/>
  <c r="T135" i="26"/>
  <c r="S135" i="26"/>
  <c r="R135" i="26"/>
  <c r="Q135" i="26"/>
  <c r="P135" i="26"/>
  <c r="O135" i="26"/>
  <c r="N135" i="26"/>
  <c r="M135" i="26"/>
  <c r="L135" i="26"/>
  <c r="K135" i="26"/>
  <c r="J135" i="26"/>
  <c r="I135" i="26"/>
  <c r="H135" i="26"/>
  <c r="G135" i="26"/>
  <c r="F135" i="26"/>
  <c r="U134" i="26"/>
  <c r="T134" i="26"/>
  <c r="S134" i="26"/>
  <c r="R134" i="26"/>
  <c r="Q134" i="26"/>
  <c r="P134" i="26"/>
  <c r="O134" i="26"/>
  <c r="N134" i="26"/>
  <c r="M134" i="26"/>
  <c r="L134" i="26"/>
  <c r="K134" i="26"/>
  <c r="J134" i="26"/>
  <c r="I134" i="26"/>
  <c r="H134" i="26"/>
  <c r="G134" i="26"/>
  <c r="F134" i="26"/>
  <c r="V133" i="26"/>
  <c r="E133" i="26"/>
  <c r="X132" i="26"/>
  <c r="V132" i="26"/>
  <c r="W132" i="26" s="1"/>
  <c r="U132" i="26"/>
  <c r="T132" i="26"/>
  <c r="S132" i="26"/>
  <c r="R132" i="26"/>
  <c r="Q132" i="26"/>
  <c r="P132" i="26"/>
  <c r="O132" i="26"/>
  <c r="N132" i="26"/>
  <c r="M132" i="26"/>
  <c r="L132" i="26"/>
  <c r="K132" i="26"/>
  <c r="X129" i="26" s="1"/>
  <c r="U131" i="26"/>
  <c r="T131" i="26"/>
  <c r="S131" i="26"/>
  <c r="R131" i="26"/>
  <c r="Q131" i="26"/>
  <c r="P131" i="26"/>
  <c r="O131" i="26"/>
  <c r="N131" i="26"/>
  <c r="M131" i="26"/>
  <c r="L131" i="26"/>
  <c r="K131" i="26"/>
  <c r="J131" i="26"/>
  <c r="I131" i="26"/>
  <c r="H131" i="26"/>
  <c r="G131" i="26"/>
  <c r="F131" i="26"/>
  <c r="U130" i="26"/>
  <c r="T130" i="26"/>
  <c r="S130" i="26"/>
  <c r="R130" i="26"/>
  <c r="Q130" i="26"/>
  <c r="P130" i="26"/>
  <c r="O130" i="26"/>
  <c r="N130" i="26"/>
  <c r="M130" i="26"/>
  <c r="L130" i="26"/>
  <c r="K130" i="26"/>
  <c r="J130" i="26"/>
  <c r="I130" i="26"/>
  <c r="H130" i="26"/>
  <c r="G130" i="26"/>
  <c r="F130" i="26"/>
  <c r="V129" i="26"/>
  <c r="E129" i="26"/>
  <c r="X128" i="26"/>
  <c r="U128" i="26"/>
  <c r="T128" i="26"/>
  <c r="S128" i="26"/>
  <c r="R128" i="26"/>
  <c r="Q128" i="26"/>
  <c r="P128" i="26"/>
  <c r="O128" i="26"/>
  <c r="N128" i="26"/>
  <c r="M128" i="26"/>
  <c r="L128" i="26"/>
  <c r="K128" i="26"/>
  <c r="X125" i="26" s="1"/>
  <c r="U127" i="26"/>
  <c r="T127" i="26"/>
  <c r="S127" i="26"/>
  <c r="R127" i="26"/>
  <c r="Q127" i="26"/>
  <c r="P127" i="26"/>
  <c r="O127" i="26"/>
  <c r="N127" i="26"/>
  <c r="M127" i="26"/>
  <c r="L127" i="26"/>
  <c r="K127" i="26"/>
  <c r="J127" i="26"/>
  <c r="I127" i="26"/>
  <c r="H127" i="26"/>
  <c r="G127" i="26"/>
  <c r="F127" i="26"/>
  <c r="U126" i="26"/>
  <c r="T126" i="26"/>
  <c r="S126" i="26"/>
  <c r="R126" i="26"/>
  <c r="Q126" i="26"/>
  <c r="P126" i="26"/>
  <c r="O126" i="26"/>
  <c r="N126" i="26"/>
  <c r="M126" i="26"/>
  <c r="L126" i="26"/>
  <c r="K126" i="26"/>
  <c r="J126" i="26"/>
  <c r="I126" i="26"/>
  <c r="H126" i="26"/>
  <c r="G126" i="26"/>
  <c r="F126" i="26"/>
  <c r="V125" i="26"/>
  <c r="E125" i="26"/>
  <c r="X124" i="26"/>
  <c r="U124" i="26"/>
  <c r="T124" i="26"/>
  <c r="S124" i="26"/>
  <c r="R124" i="26"/>
  <c r="Q124" i="26"/>
  <c r="P124" i="26"/>
  <c r="O124" i="26"/>
  <c r="X121" i="26" s="1"/>
  <c r="U123" i="26"/>
  <c r="T123" i="26"/>
  <c r="S123" i="26"/>
  <c r="R123" i="26"/>
  <c r="Q123" i="26"/>
  <c r="P123" i="26"/>
  <c r="O123" i="26"/>
  <c r="N123" i="26"/>
  <c r="M123" i="26"/>
  <c r="L123" i="26"/>
  <c r="K123" i="26"/>
  <c r="J123" i="26"/>
  <c r="I123" i="26"/>
  <c r="H123" i="26"/>
  <c r="G123" i="26"/>
  <c r="F123" i="26"/>
  <c r="U122" i="26"/>
  <c r="T122" i="26"/>
  <c r="S122" i="26"/>
  <c r="R122" i="26"/>
  <c r="Q122" i="26"/>
  <c r="P122" i="26"/>
  <c r="O122" i="26"/>
  <c r="N122" i="26"/>
  <c r="M122" i="26"/>
  <c r="L122" i="26"/>
  <c r="K122" i="26"/>
  <c r="J122" i="26"/>
  <c r="I122" i="26"/>
  <c r="H122" i="26"/>
  <c r="G122" i="26"/>
  <c r="F122" i="26"/>
  <c r="V121" i="26"/>
  <c r="E121" i="26"/>
  <c r="X120" i="26"/>
  <c r="U120" i="26"/>
  <c r="T120" i="26"/>
  <c r="S120" i="26"/>
  <c r="R120" i="26"/>
  <c r="Q120" i="26"/>
  <c r="V120" i="26" s="1"/>
  <c r="W120" i="26" s="1"/>
  <c r="P120" i="26"/>
  <c r="X117" i="26" s="1"/>
  <c r="O120" i="26"/>
  <c r="U119" i="26"/>
  <c r="T119" i="26"/>
  <c r="S119" i="26"/>
  <c r="R119" i="26"/>
  <c r="Q119" i="26"/>
  <c r="P119" i="26"/>
  <c r="O119" i="26"/>
  <c r="N119" i="26"/>
  <c r="M119" i="26"/>
  <c r="L119" i="26"/>
  <c r="K119" i="26"/>
  <c r="J119" i="26"/>
  <c r="I119" i="26"/>
  <c r="H119" i="26"/>
  <c r="G119" i="26"/>
  <c r="F119" i="26"/>
  <c r="U118" i="26"/>
  <c r="T118" i="26"/>
  <c r="S118" i="26"/>
  <c r="R118" i="26"/>
  <c r="Q118" i="26"/>
  <c r="P118" i="26"/>
  <c r="O118" i="26"/>
  <c r="N118" i="26"/>
  <c r="M118" i="26"/>
  <c r="L118" i="26"/>
  <c r="K118" i="26"/>
  <c r="J118" i="26"/>
  <c r="I118" i="26"/>
  <c r="H118" i="26"/>
  <c r="G118" i="26"/>
  <c r="F118" i="26"/>
  <c r="V117" i="26"/>
  <c r="E117" i="26"/>
  <c r="X116" i="26"/>
  <c r="U116" i="26"/>
  <c r="T116" i="26"/>
  <c r="S116" i="26"/>
  <c r="R116" i="26"/>
  <c r="Q116" i="26"/>
  <c r="P116" i="26"/>
  <c r="O116" i="26"/>
  <c r="V116" i="26" s="1"/>
  <c r="W116" i="26" s="1"/>
  <c r="U115" i="26"/>
  <c r="T115" i="26"/>
  <c r="S115" i="26"/>
  <c r="R115" i="26"/>
  <c r="Q115" i="26"/>
  <c r="P115" i="26"/>
  <c r="O115" i="26"/>
  <c r="N115" i="26"/>
  <c r="M115" i="26"/>
  <c r="L115" i="26"/>
  <c r="K115" i="26"/>
  <c r="J115" i="26"/>
  <c r="I115" i="26"/>
  <c r="H115" i="26"/>
  <c r="G115" i="26"/>
  <c r="F115" i="26"/>
  <c r="U114" i="26"/>
  <c r="T114" i="26"/>
  <c r="S114" i="26"/>
  <c r="R114" i="26"/>
  <c r="Q114" i="26"/>
  <c r="P114" i="26"/>
  <c r="O114" i="26"/>
  <c r="N114" i="26"/>
  <c r="M114" i="26"/>
  <c r="L114" i="26"/>
  <c r="K114" i="26"/>
  <c r="J114" i="26"/>
  <c r="I114" i="26"/>
  <c r="H114" i="26"/>
  <c r="G114" i="26"/>
  <c r="F114" i="26"/>
  <c r="X113" i="26"/>
  <c r="V113" i="26"/>
  <c r="E113" i="26"/>
  <c r="U112" i="26"/>
  <c r="V112" i="26" s="1"/>
  <c r="W112" i="26" s="1"/>
  <c r="T112" i="26"/>
  <c r="U111" i="26"/>
  <c r="T111" i="26"/>
  <c r="S111" i="26"/>
  <c r="R111" i="26"/>
  <c r="Q111" i="26"/>
  <c r="P111" i="26"/>
  <c r="O111" i="26"/>
  <c r="N111" i="26"/>
  <c r="M111" i="26"/>
  <c r="L111" i="26"/>
  <c r="K111" i="26"/>
  <c r="J111" i="26"/>
  <c r="I111" i="26"/>
  <c r="H111" i="26"/>
  <c r="G111" i="26"/>
  <c r="F111" i="26"/>
  <c r="U110" i="26"/>
  <c r="T110" i="26"/>
  <c r="S110" i="26"/>
  <c r="R110" i="26"/>
  <c r="Q110" i="26"/>
  <c r="P110" i="26"/>
  <c r="O110" i="26"/>
  <c r="N110" i="26"/>
  <c r="M110" i="26"/>
  <c r="L110" i="26"/>
  <c r="K110" i="26"/>
  <c r="J110" i="26"/>
  <c r="I110" i="26"/>
  <c r="H110" i="26"/>
  <c r="G110" i="26"/>
  <c r="F110" i="26"/>
  <c r="V109" i="26"/>
  <c r="E109" i="26"/>
  <c r="U108" i="26"/>
  <c r="T108" i="26"/>
  <c r="S108" i="26"/>
  <c r="R108" i="26"/>
  <c r="Q108" i="26"/>
  <c r="P108" i="26"/>
  <c r="O108" i="26"/>
  <c r="N108" i="26"/>
  <c r="M108" i="26"/>
  <c r="V108" i="26" s="1"/>
  <c r="W108" i="26" s="1"/>
  <c r="U107" i="26"/>
  <c r="T107" i="26"/>
  <c r="S107" i="26"/>
  <c r="R107" i="26"/>
  <c r="Q107" i="26"/>
  <c r="P107" i="26"/>
  <c r="O107" i="26"/>
  <c r="N107" i="26"/>
  <c r="M107" i="26"/>
  <c r="L107" i="26"/>
  <c r="K107" i="26"/>
  <c r="J107" i="26"/>
  <c r="I107" i="26"/>
  <c r="H107" i="26"/>
  <c r="G107" i="26"/>
  <c r="F107" i="26"/>
  <c r="U106" i="26"/>
  <c r="T106" i="26"/>
  <c r="S106" i="26"/>
  <c r="R106" i="26"/>
  <c r="Q106" i="26"/>
  <c r="P106" i="26"/>
  <c r="O106" i="26"/>
  <c r="N106" i="26"/>
  <c r="M106" i="26"/>
  <c r="L106" i="26"/>
  <c r="K106" i="26"/>
  <c r="J106" i="26"/>
  <c r="I106" i="26"/>
  <c r="H106" i="26"/>
  <c r="G106" i="26"/>
  <c r="F106" i="26"/>
  <c r="V105" i="26"/>
  <c r="E105" i="26"/>
  <c r="X104" i="26"/>
  <c r="U104" i="26"/>
  <c r="T104" i="26"/>
  <c r="S104" i="26"/>
  <c r="R104" i="26"/>
  <c r="Q104" i="26"/>
  <c r="P104" i="26"/>
  <c r="O104" i="26"/>
  <c r="N104" i="26"/>
  <c r="M104" i="26"/>
  <c r="V104" i="26" s="1"/>
  <c r="W104" i="26" s="1"/>
  <c r="U103" i="26"/>
  <c r="T103" i="26"/>
  <c r="S103" i="26"/>
  <c r="R103" i="26"/>
  <c r="Q103" i="26"/>
  <c r="P103" i="26"/>
  <c r="O103" i="26"/>
  <c r="N103" i="26"/>
  <c r="M103" i="26"/>
  <c r="L103" i="26"/>
  <c r="K103" i="26"/>
  <c r="J103" i="26"/>
  <c r="I103" i="26"/>
  <c r="H103" i="26"/>
  <c r="G103" i="26"/>
  <c r="F103" i="26"/>
  <c r="U102" i="26"/>
  <c r="T102" i="26"/>
  <c r="S102" i="26"/>
  <c r="R102" i="26"/>
  <c r="Q102" i="26"/>
  <c r="P102" i="26"/>
  <c r="O102" i="26"/>
  <c r="N102" i="26"/>
  <c r="M102" i="26"/>
  <c r="L102" i="26"/>
  <c r="K102" i="26"/>
  <c r="J102" i="26"/>
  <c r="I102" i="26"/>
  <c r="H102" i="26"/>
  <c r="G102" i="26"/>
  <c r="F102" i="26"/>
  <c r="V101" i="26"/>
  <c r="E101" i="26"/>
  <c r="X100" i="26"/>
  <c r="U100" i="26"/>
  <c r="T100" i="26"/>
  <c r="S100" i="26"/>
  <c r="R100" i="26"/>
  <c r="Q100" i="26"/>
  <c r="X97" i="26" s="1"/>
  <c r="P100" i="26"/>
  <c r="O100" i="26"/>
  <c r="N100" i="26"/>
  <c r="M100" i="26"/>
  <c r="L100" i="26"/>
  <c r="K100" i="26"/>
  <c r="J100" i="26"/>
  <c r="I100" i="26"/>
  <c r="H100" i="26"/>
  <c r="V100" i="26" s="1"/>
  <c r="W100" i="26" s="1"/>
  <c r="U99" i="26"/>
  <c r="T99" i="26"/>
  <c r="S99" i="26"/>
  <c r="R99" i="26"/>
  <c r="Q99" i="26"/>
  <c r="P99" i="26"/>
  <c r="O99" i="26"/>
  <c r="N99" i="26"/>
  <c r="M99" i="26"/>
  <c r="L99" i="26"/>
  <c r="K99" i="26"/>
  <c r="J99" i="26"/>
  <c r="I99" i="26"/>
  <c r="H99" i="26"/>
  <c r="G99" i="26"/>
  <c r="F99" i="26"/>
  <c r="U98" i="26"/>
  <c r="T98" i="26"/>
  <c r="S98" i="26"/>
  <c r="R98" i="26"/>
  <c r="Q98" i="26"/>
  <c r="P98" i="26"/>
  <c r="O98" i="26"/>
  <c r="N98" i="26"/>
  <c r="M98" i="26"/>
  <c r="L98" i="26"/>
  <c r="K98" i="26"/>
  <c r="J98" i="26"/>
  <c r="I98" i="26"/>
  <c r="H98" i="26"/>
  <c r="G98" i="26"/>
  <c r="F98" i="26"/>
  <c r="V97" i="26"/>
  <c r="E97" i="26"/>
  <c r="X96" i="26"/>
  <c r="U96" i="26"/>
  <c r="V96" i="26" s="1"/>
  <c r="W96" i="26" s="1"/>
  <c r="T96" i="26"/>
  <c r="S96" i="26"/>
  <c r="U95" i="26"/>
  <c r="T95" i="26"/>
  <c r="S95" i="26"/>
  <c r="R95" i="26"/>
  <c r="Q95" i="26"/>
  <c r="P95" i="26"/>
  <c r="O95" i="26"/>
  <c r="N95" i="26"/>
  <c r="M95" i="26"/>
  <c r="L95" i="26"/>
  <c r="K95" i="26"/>
  <c r="J95" i="26"/>
  <c r="I95" i="26"/>
  <c r="H95" i="26"/>
  <c r="G95" i="26"/>
  <c r="F95" i="26"/>
  <c r="U94" i="26"/>
  <c r="T94" i="26"/>
  <c r="S94" i="26"/>
  <c r="R94" i="26"/>
  <c r="Q94" i="26"/>
  <c r="P94" i="26"/>
  <c r="O94" i="26"/>
  <c r="N94" i="26"/>
  <c r="M94" i="26"/>
  <c r="L94" i="26"/>
  <c r="K94" i="26"/>
  <c r="J94" i="26"/>
  <c r="I94" i="26"/>
  <c r="H94" i="26"/>
  <c r="G94" i="26"/>
  <c r="F94" i="26"/>
  <c r="V93" i="26"/>
  <c r="E93" i="26"/>
  <c r="X92" i="26"/>
  <c r="U92" i="26"/>
  <c r="T92" i="26"/>
  <c r="V92" i="26" s="1"/>
  <c r="W92" i="26" s="1"/>
  <c r="S92" i="26"/>
  <c r="U91" i="26"/>
  <c r="T91" i="26"/>
  <c r="S91" i="26"/>
  <c r="R91" i="26"/>
  <c r="Q91" i="26"/>
  <c r="P91" i="26"/>
  <c r="O91" i="26"/>
  <c r="N91" i="26"/>
  <c r="M91" i="26"/>
  <c r="L91" i="26"/>
  <c r="K91" i="26"/>
  <c r="J91" i="26"/>
  <c r="I91" i="26"/>
  <c r="H91" i="26"/>
  <c r="G91" i="26"/>
  <c r="F91" i="26"/>
  <c r="U90" i="26"/>
  <c r="T90" i="26"/>
  <c r="S90" i="26"/>
  <c r="R90" i="26"/>
  <c r="Q90" i="26"/>
  <c r="P90" i="26"/>
  <c r="O90" i="26"/>
  <c r="N90" i="26"/>
  <c r="M90" i="26"/>
  <c r="L90" i="26"/>
  <c r="K90" i="26"/>
  <c r="J90" i="26"/>
  <c r="I90" i="26"/>
  <c r="H90" i="26"/>
  <c r="G90" i="26"/>
  <c r="F90" i="26"/>
  <c r="V89" i="26"/>
  <c r="E89" i="26"/>
  <c r="X88" i="26"/>
  <c r="V88" i="26"/>
  <c r="W88" i="26" s="1"/>
  <c r="U88" i="26"/>
  <c r="T88" i="26"/>
  <c r="X85" i="26" s="1"/>
  <c r="U87" i="26"/>
  <c r="T87" i="26"/>
  <c r="S87" i="26"/>
  <c r="R87" i="26"/>
  <c r="Q87" i="26"/>
  <c r="P87" i="26"/>
  <c r="O87" i="26"/>
  <c r="N87" i="26"/>
  <c r="M87" i="26"/>
  <c r="L87" i="26"/>
  <c r="K87" i="26"/>
  <c r="J87" i="26"/>
  <c r="I87" i="26"/>
  <c r="H87" i="26"/>
  <c r="G87" i="26"/>
  <c r="F87" i="26"/>
  <c r="U86" i="26"/>
  <c r="T86" i="26"/>
  <c r="S86" i="26"/>
  <c r="R86" i="26"/>
  <c r="Q86" i="26"/>
  <c r="P86" i="26"/>
  <c r="O86" i="26"/>
  <c r="N86" i="26"/>
  <c r="M86" i="26"/>
  <c r="L86" i="26"/>
  <c r="K86" i="26"/>
  <c r="J86" i="26"/>
  <c r="I86" i="26"/>
  <c r="H86" i="26"/>
  <c r="G86" i="26"/>
  <c r="F86" i="26"/>
  <c r="V85" i="26"/>
  <c r="E85" i="26"/>
  <c r="X84" i="26"/>
  <c r="U84" i="26"/>
  <c r="T84" i="26"/>
  <c r="S84" i="26"/>
  <c r="R84" i="26"/>
  <c r="V84" i="26" s="1"/>
  <c r="W84" i="26" s="1"/>
  <c r="U83" i="26"/>
  <c r="T83" i="26"/>
  <c r="S83" i="26"/>
  <c r="R83" i="26"/>
  <c r="Q83" i="26"/>
  <c r="P83" i="26"/>
  <c r="O83" i="26"/>
  <c r="N83" i="26"/>
  <c r="M83" i="26"/>
  <c r="L83" i="26"/>
  <c r="K83" i="26"/>
  <c r="J83" i="26"/>
  <c r="I83" i="26"/>
  <c r="H83" i="26"/>
  <c r="G83" i="26"/>
  <c r="F83" i="26"/>
  <c r="U82" i="26"/>
  <c r="T82" i="26"/>
  <c r="S82" i="26"/>
  <c r="R82" i="26"/>
  <c r="Q82" i="26"/>
  <c r="P82" i="26"/>
  <c r="O82" i="26"/>
  <c r="N82" i="26"/>
  <c r="M82" i="26"/>
  <c r="L82" i="26"/>
  <c r="K82" i="26"/>
  <c r="J82" i="26"/>
  <c r="I82" i="26"/>
  <c r="H82" i="26"/>
  <c r="G82" i="26"/>
  <c r="F82" i="26"/>
  <c r="V81" i="26"/>
  <c r="E81" i="26"/>
  <c r="X80" i="26"/>
  <c r="P80" i="26"/>
  <c r="O80" i="26"/>
  <c r="N80" i="26"/>
  <c r="M80" i="26"/>
  <c r="L80" i="26"/>
  <c r="X77" i="26" s="1"/>
  <c r="K80" i="26"/>
  <c r="V80" i="26" s="1"/>
  <c r="W80" i="26" s="1"/>
  <c r="U79" i="26"/>
  <c r="T79" i="26"/>
  <c r="S79" i="26"/>
  <c r="R79" i="26"/>
  <c r="Q79" i="26"/>
  <c r="P79" i="26"/>
  <c r="O79" i="26"/>
  <c r="N79" i="26"/>
  <c r="M79" i="26"/>
  <c r="L79" i="26"/>
  <c r="K79" i="26"/>
  <c r="J79" i="26"/>
  <c r="I79" i="26"/>
  <c r="H79" i="26"/>
  <c r="G79" i="26"/>
  <c r="F79" i="26"/>
  <c r="U78" i="26"/>
  <c r="T78" i="26"/>
  <c r="S78" i="26"/>
  <c r="R78" i="26"/>
  <c r="Q78" i="26"/>
  <c r="P78" i="26"/>
  <c r="O78" i="26"/>
  <c r="N78" i="26"/>
  <c r="M78" i="26"/>
  <c r="L78" i="26"/>
  <c r="K78" i="26"/>
  <c r="J78" i="26"/>
  <c r="I78" i="26"/>
  <c r="H78" i="26"/>
  <c r="G78" i="26"/>
  <c r="F78" i="26"/>
  <c r="V77" i="26"/>
  <c r="E77" i="26"/>
  <c r="X76" i="26"/>
  <c r="U76" i="26"/>
  <c r="T76" i="26"/>
  <c r="S76" i="26"/>
  <c r="V76" i="26" s="1"/>
  <c r="W76" i="26" s="1"/>
  <c r="U75" i="26"/>
  <c r="T75" i="26"/>
  <c r="S75" i="26"/>
  <c r="R75" i="26"/>
  <c r="Q75" i="26"/>
  <c r="P75" i="26"/>
  <c r="O75" i="26"/>
  <c r="N75" i="26"/>
  <c r="M75" i="26"/>
  <c r="L75" i="26"/>
  <c r="K75" i="26"/>
  <c r="J75" i="26"/>
  <c r="I75" i="26"/>
  <c r="H75" i="26"/>
  <c r="G75" i="26"/>
  <c r="F75" i="26"/>
  <c r="U74" i="26"/>
  <c r="T74" i="26"/>
  <c r="S74" i="26"/>
  <c r="R74" i="26"/>
  <c r="Q74" i="26"/>
  <c r="P74" i="26"/>
  <c r="O74" i="26"/>
  <c r="N74" i="26"/>
  <c r="M74" i="26"/>
  <c r="L74" i="26"/>
  <c r="K74" i="26"/>
  <c r="J74" i="26"/>
  <c r="I74" i="26"/>
  <c r="H74" i="26"/>
  <c r="G74" i="26"/>
  <c r="F74" i="26"/>
  <c r="V73" i="26"/>
  <c r="E73" i="26"/>
  <c r="X72" i="26"/>
  <c r="U72" i="26"/>
  <c r="T72" i="26"/>
  <c r="S72" i="26"/>
  <c r="V72" i="26" s="1"/>
  <c r="W72" i="26" s="1"/>
  <c r="U71" i="26"/>
  <c r="T71" i="26"/>
  <c r="S71" i="26"/>
  <c r="R71" i="26"/>
  <c r="Q71" i="26"/>
  <c r="P71" i="26"/>
  <c r="O71" i="26"/>
  <c r="N71" i="26"/>
  <c r="M71" i="26"/>
  <c r="L71" i="26"/>
  <c r="K71" i="26"/>
  <c r="J71" i="26"/>
  <c r="I71" i="26"/>
  <c r="H71" i="26"/>
  <c r="G71" i="26"/>
  <c r="F71" i="26"/>
  <c r="U70" i="26"/>
  <c r="T70" i="26"/>
  <c r="S70" i="26"/>
  <c r="R70" i="26"/>
  <c r="Q70" i="26"/>
  <c r="P70" i="26"/>
  <c r="O70" i="26"/>
  <c r="N70" i="26"/>
  <c r="M70" i="26"/>
  <c r="L70" i="26"/>
  <c r="K70" i="26"/>
  <c r="J70" i="26"/>
  <c r="I70" i="26"/>
  <c r="H70" i="26"/>
  <c r="G70" i="26"/>
  <c r="F70" i="26"/>
  <c r="V69" i="26"/>
  <c r="E69" i="26"/>
  <c r="P68" i="26"/>
  <c r="O68" i="26"/>
  <c r="N68" i="26"/>
  <c r="M68" i="26"/>
  <c r="L68" i="26"/>
  <c r="V68" i="26" s="1"/>
  <c r="W68" i="26" s="1"/>
  <c r="K68" i="26"/>
  <c r="U67" i="26"/>
  <c r="T67" i="26"/>
  <c r="S67" i="26"/>
  <c r="R67" i="26"/>
  <c r="Q67" i="26"/>
  <c r="P67" i="26"/>
  <c r="O67" i="26"/>
  <c r="N67" i="26"/>
  <c r="M67" i="26"/>
  <c r="L67" i="26"/>
  <c r="K67" i="26"/>
  <c r="J67" i="26"/>
  <c r="I67" i="26"/>
  <c r="H67" i="26"/>
  <c r="G67" i="26"/>
  <c r="F67" i="26"/>
  <c r="U66" i="26"/>
  <c r="T66" i="26"/>
  <c r="S66" i="26"/>
  <c r="R66" i="26"/>
  <c r="Q66" i="26"/>
  <c r="P66" i="26"/>
  <c r="O66" i="26"/>
  <c r="N66" i="26"/>
  <c r="M66" i="26"/>
  <c r="L66" i="26"/>
  <c r="K66" i="26"/>
  <c r="J66" i="26"/>
  <c r="I66" i="26"/>
  <c r="H66" i="26"/>
  <c r="G66" i="26"/>
  <c r="F66" i="26"/>
  <c r="V65" i="26"/>
  <c r="E65" i="26"/>
  <c r="U64" i="26"/>
  <c r="T64" i="26"/>
  <c r="S64" i="26"/>
  <c r="V64" i="26" s="1"/>
  <c r="W64" i="26" s="1"/>
  <c r="R64" i="26"/>
  <c r="X61" i="26" s="1"/>
  <c r="U63" i="26"/>
  <c r="T63" i="26"/>
  <c r="S63" i="26"/>
  <c r="R63" i="26"/>
  <c r="Q63" i="26"/>
  <c r="P63" i="26"/>
  <c r="O63" i="26"/>
  <c r="N63" i="26"/>
  <c r="M63" i="26"/>
  <c r="L63" i="26"/>
  <c r="K63" i="26"/>
  <c r="J63" i="26"/>
  <c r="I63" i="26"/>
  <c r="H63" i="26"/>
  <c r="G63" i="26"/>
  <c r="F63" i="26"/>
  <c r="U62" i="26"/>
  <c r="T62" i="26"/>
  <c r="S62" i="26"/>
  <c r="R62" i="26"/>
  <c r="Q62" i="26"/>
  <c r="P62" i="26"/>
  <c r="O62" i="26"/>
  <c r="N62" i="26"/>
  <c r="M62" i="26"/>
  <c r="L62" i="26"/>
  <c r="K62" i="26"/>
  <c r="J62" i="26"/>
  <c r="I62" i="26"/>
  <c r="H62" i="26"/>
  <c r="G62" i="26"/>
  <c r="F62" i="26"/>
  <c r="V61" i="26"/>
  <c r="E61" i="26"/>
  <c r="X60" i="26"/>
  <c r="R60" i="26"/>
  <c r="Q60" i="26"/>
  <c r="P60" i="26"/>
  <c r="P178" i="26" s="1"/>
  <c r="P179" i="26" s="1"/>
  <c r="O60" i="26"/>
  <c r="N60" i="26"/>
  <c r="M60" i="26"/>
  <c r="L60" i="26"/>
  <c r="K60" i="26"/>
  <c r="X57" i="26" s="1"/>
  <c r="U59" i="26"/>
  <c r="T59" i="26"/>
  <c r="S59" i="26"/>
  <c r="R59" i="26"/>
  <c r="Q59" i="26"/>
  <c r="P59" i="26"/>
  <c r="O59" i="26"/>
  <c r="N59" i="26"/>
  <c r="M59" i="26"/>
  <c r="L59" i="26"/>
  <c r="K59" i="26"/>
  <c r="J59" i="26"/>
  <c r="I59" i="26"/>
  <c r="H59" i="26"/>
  <c r="G59" i="26"/>
  <c r="F59" i="26"/>
  <c r="U58" i="26"/>
  <c r="T58" i="26"/>
  <c r="S58" i="26"/>
  <c r="R58" i="26"/>
  <c r="Q58" i="26"/>
  <c r="P58" i="26"/>
  <c r="O58" i="26"/>
  <c r="N58" i="26"/>
  <c r="M58" i="26"/>
  <c r="L58" i="26"/>
  <c r="K58" i="26"/>
  <c r="J58" i="26"/>
  <c r="I58" i="26"/>
  <c r="H58" i="26"/>
  <c r="G58" i="26"/>
  <c r="F58" i="26"/>
  <c r="V57" i="26"/>
  <c r="E57" i="26"/>
  <c r="X56" i="26"/>
  <c r="O56" i="26"/>
  <c r="N56" i="26"/>
  <c r="M56" i="26"/>
  <c r="L56" i="26"/>
  <c r="K56" i="26"/>
  <c r="J56" i="26"/>
  <c r="I56" i="26"/>
  <c r="H56" i="26"/>
  <c r="V56" i="26" s="1"/>
  <c r="W56" i="26" s="1"/>
  <c r="U55" i="26"/>
  <c r="T55" i="26"/>
  <c r="S55" i="26"/>
  <c r="R55" i="26"/>
  <c r="Q55" i="26"/>
  <c r="P55" i="26"/>
  <c r="O55" i="26"/>
  <c r="N55" i="26"/>
  <c r="M55" i="26"/>
  <c r="L55" i="26"/>
  <c r="K55" i="26"/>
  <c r="J55" i="26"/>
  <c r="I55" i="26"/>
  <c r="H55" i="26"/>
  <c r="G55" i="26"/>
  <c r="F55" i="26"/>
  <c r="U54" i="26"/>
  <c r="T54" i="26"/>
  <c r="S54" i="26"/>
  <c r="R54" i="26"/>
  <c r="Q54" i="26"/>
  <c r="P54" i="26"/>
  <c r="O54" i="26"/>
  <c r="N54" i="26"/>
  <c r="M54" i="26"/>
  <c r="L54" i="26"/>
  <c r="K54" i="26"/>
  <c r="J54" i="26"/>
  <c r="I54" i="26"/>
  <c r="H54" i="26"/>
  <c r="G54" i="26"/>
  <c r="F54" i="26"/>
  <c r="X53" i="26"/>
  <c r="V53" i="26"/>
  <c r="E53" i="26"/>
  <c r="X52" i="26"/>
  <c r="O52" i="26"/>
  <c r="N52" i="26"/>
  <c r="M52" i="26"/>
  <c r="L52" i="26"/>
  <c r="K52" i="26"/>
  <c r="J52" i="26"/>
  <c r="I52" i="26"/>
  <c r="V52" i="26" s="1"/>
  <c r="W52" i="26" s="1"/>
  <c r="U51" i="26"/>
  <c r="T51" i="26"/>
  <c r="S51" i="26"/>
  <c r="R51" i="26"/>
  <c r="Q51" i="26"/>
  <c r="P51" i="26"/>
  <c r="O51" i="26"/>
  <c r="N51" i="26"/>
  <c r="M51" i="26"/>
  <c r="L51" i="26"/>
  <c r="K51" i="26"/>
  <c r="J51" i="26"/>
  <c r="I51" i="26"/>
  <c r="H51" i="26"/>
  <c r="G51" i="26"/>
  <c r="F51" i="26"/>
  <c r="U50" i="26"/>
  <c r="T50" i="26"/>
  <c r="S50" i="26"/>
  <c r="R50" i="26"/>
  <c r="Q50" i="26"/>
  <c r="P50" i="26"/>
  <c r="O50" i="26"/>
  <c r="N50" i="26"/>
  <c r="M50" i="26"/>
  <c r="L50" i="26"/>
  <c r="K50" i="26"/>
  <c r="J50" i="26"/>
  <c r="I50" i="26"/>
  <c r="H50" i="26"/>
  <c r="G50" i="26"/>
  <c r="F50" i="26"/>
  <c r="V49" i="26"/>
  <c r="E49" i="26"/>
  <c r="X48" i="26"/>
  <c r="N48" i="26"/>
  <c r="M48" i="26"/>
  <c r="L48" i="26"/>
  <c r="K48" i="26"/>
  <c r="J48" i="26"/>
  <c r="I48" i="26"/>
  <c r="H48" i="26"/>
  <c r="G48" i="26"/>
  <c r="F48" i="26"/>
  <c r="V48" i="26" s="1"/>
  <c r="W48" i="26" s="1"/>
  <c r="U47" i="26"/>
  <c r="T47" i="26"/>
  <c r="S47" i="26"/>
  <c r="R47" i="26"/>
  <c r="Q47" i="26"/>
  <c r="P47" i="26"/>
  <c r="O47" i="26"/>
  <c r="N47" i="26"/>
  <c r="M47" i="26"/>
  <c r="L47" i="26"/>
  <c r="K47" i="26"/>
  <c r="J47" i="26"/>
  <c r="I47" i="26"/>
  <c r="H47" i="26"/>
  <c r="G47" i="26"/>
  <c r="F47" i="26"/>
  <c r="U46" i="26"/>
  <c r="T46" i="26"/>
  <c r="S46" i="26"/>
  <c r="R46" i="26"/>
  <c r="Q46" i="26"/>
  <c r="P46" i="26"/>
  <c r="O46" i="26"/>
  <c r="N46" i="26"/>
  <c r="M46" i="26"/>
  <c r="L46" i="26"/>
  <c r="K46" i="26"/>
  <c r="J46" i="26"/>
  <c r="I46" i="26"/>
  <c r="H46" i="26"/>
  <c r="G46" i="26"/>
  <c r="F46" i="26"/>
  <c r="V45" i="26"/>
  <c r="E45" i="26"/>
  <c r="X44" i="26"/>
  <c r="N44" i="26"/>
  <c r="M44" i="26"/>
  <c r="L44" i="26"/>
  <c r="K44" i="26"/>
  <c r="J44" i="26"/>
  <c r="V44" i="26" s="1"/>
  <c r="W44" i="26" s="1"/>
  <c r="U43" i="26"/>
  <c r="T43" i="26"/>
  <c r="S43" i="26"/>
  <c r="R43" i="26"/>
  <c r="Q43" i="26"/>
  <c r="P43" i="26"/>
  <c r="O43" i="26"/>
  <c r="N43" i="26"/>
  <c r="M43" i="26"/>
  <c r="L43" i="26"/>
  <c r="K43" i="26"/>
  <c r="J43" i="26"/>
  <c r="I43" i="26"/>
  <c r="H43" i="26"/>
  <c r="G43" i="26"/>
  <c r="F43" i="26"/>
  <c r="U42" i="26"/>
  <c r="T42" i="26"/>
  <c r="S42" i="26"/>
  <c r="R42" i="26"/>
  <c r="Q42" i="26"/>
  <c r="P42" i="26"/>
  <c r="O42" i="26"/>
  <c r="N42" i="26"/>
  <c r="M42" i="26"/>
  <c r="L42" i="26"/>
  <c r="K42" i="26"/>
  <c r="J42" i="26"/>
  <c r="I42" i="26"/>
  <c r="H42" i="26"/>
  <c r="G42" i="26"/>
  <c r="F42" i="26"/>
  <c r="V41" i="26"/>
  <c r="E41" i="26"/>
  <c r="X40" i="26"/>
  <c r="L40" i="26"/>
  <c r="K40" i="26"/>
  <c r="J40" i="26"/>
  <c r="I40" i="26"/>
  <c r="V40" i="26" s="1"/>
  <c r="W40" i="26" s="1"/>
  <c r="H40" i="26"/>
  <c r="U39" i="26"/>
  <c r="T39" i="26"/>
  <c r="S39" i="26"/>
  <c r="R39" i="26"/>
  <c r="Q39" i="26"/>
  <c r="P39" i="26"/>
  <c r="O39" i="26"/>
  <c r="N39" i="26"/>
  <c r="M39" i="26"/>
  <c r="L39" i="26"/>
  <c r="K39" i="26"/>
  <c r="J39" i="26"/>
  <c r="I39" i="26"/>
  <c r="H39" i="26"/>
  <c r="G39" i="26"/>
  <c r="F39" i="26"/>
  <c r="U38" i="26"/>
  <c r="T38" i="26"/>
  <c r="S38" i="26"/>
  <c r="R38" i="26"/>
  <c r="Q38" i="26"/>
  <c r="P38" i="26"/>
  <c r="O38" i="26"/>
  <c r="N38" i="26"/>
  <c r="M38" i="26"/>
  <c r="L38" i="26"/>
  <c r="K38" i="26"/>
  <c r="J38" i="26"/>
  <c r="I38" i="26"/>
  <c r="H38" i="26"/>
  <c r="G38" i="26"/>
  <c r="F38" i="26"/>
  <c r="V37" i="26"/>
  <c r="E37" i="26"/>
  <c r="X36" i="26"/>
  <c r="K36" i="26"/>
  <c r="J36" i="26"/>
  <c r="I36" i="26"/>
  <c r="V36" i="26" s="1"/>
  <c r="W36" i="26" s="1"/>
  <c r="H36" i="26"/>
  <c r="X33" i="26" s="1"/>
  <c r="U35" i="26"/>
  <c r="T35" i="26"/>
  <c r="S35" i="26"/>
  <c r="R35" i="26"/>
  <c r="Q35" i="26"/>
  <c r="P35" i="26"/>
  <c r="O35" i="26"/>
  <c r="N35" i="26"/>
  <c r="M35" i="26"/>
  <c r="L35" i="26"/>
  <c r="K35" i="26"/>
  <c r="K180" i="26" s="1"/>
  <c r="J35" i="26"/>
  <c r="I35" i="26"/>
  <c r="H35" i="26"/>
  <c r="G35" i="26"/>
  <c r="F35" i="26"/>
  <c r="U34" i="26"/>
  <c r="T34" i="26"/>
  <c r="S34" i="26"/>
  <c r="R34" i="26"/>
  <c r="Q34" i="26"/>
  <c r="P34" i="26"/>
  <c r="O34" i="26"/>
  <c r="N34" i="26"/>
  <c r="M34" i="26"/>
  <c r="L34" i="26"/>
  <c r="K34" i="26"/>
  <c r="J34" i="26"/>
  <c r="I34" i="26"/>
  <c r="H34" i="26"/>
  <c r="G34" i="26"/>
  <c r="F34" i="26"/>
  <c r="V33" i="26"/>
  <c r="E33" i="26"/>
  <c r="X32" i="26"/>
  <c r="I32" i="26"/>
  <c r="H32" i="26"/>
  <c r="G32" i="26"/>
  <c r="V32" i="26" s="1"/>
  <c r="W32" i="26" s="1"/>
  <c r="F32" i="26"/>
  <c r="U31" i="26"/>
  <c r="T31" i="26"/>
  <c r="S31" i="26"/>
  <c r="R31" i="26"/>
  <c r="Q31" i="26"/>
  <c r="P31" i="26"/>
  <c r="O31" i="26"/>
  <c r="N31" i="26"/>
  <c r="M31" i="26"/>
  <c r="L31" i="26"/>
  <c r="K31" i="26"/>
  <c r="J31" i="26"/>
  <c r="I31" i="26"/>
  <c r="H31" i="26"/>
  <c r="G31" i="26"/>
  <c r="F31" i="26"/>
  <c r="U30" i="26"/>
  <c r="T30" i="26"/>
  <c r="S30" i="26"/>
  <c r="R30" i="26"/>
  <c r="Q30" i="26"/>
  <c r="P30" i="26"/>
  <c r="O30" i="26"/>
  <c r="N30" i="26"/>
  <c r="M30" i="26"/>
  <c r="L30" i="26"/>
  <c r="K30" i="26"/>
  <c r="J30" i="26"/>
  <c r="I30" i="26"/>
  <c r="H30" i="26"/>
  <c r="G30" i="26"/>
  <c r="F30" i="26"/>
  <c r="V29" i="26"/>
  <c r="E29" i="26"/>
  <c r="X28" i="26"/>
  <c r="V28" i="26"/>
  <c r="W28" i="26" s="1"/>
  <c r="G28" i="26"/>
  <c r="F28" i="26"/>
  <c r="X25" i="26" s="1"/>
  <c r="U27" i="26"/>
  <c r="T27" i="26"/>
  <c r="S27" i="26"/>
  <c r="R27" i="26"/>
  <c r="Q27" i="26"/>
  <c r="P27" i="26"/>
  <c r="O27" i="26"/>
  <c r="N27" i="26"/>
  <c r="M27" i="26"/>
  <c r="L27" i="26"/>
  <c r="K27" i="26"/>
  <c r="J27" i="26"/>
  <c r="I27" i="26"/>
  <c r="H27" i="26"/>
  <c r="G27" i="26"/>
  <c r="F27" i="26"/>
  <c r="U26" i="26"/>
  <c r="T26" i="26"/>
  <c r="S26" i="26"/>
  <c r="R26" i="26"/>
  <c r="Q26" i="26"/>
  <c r="P26" i="26"/>
  <c r="O26" i="26"/>
  <c r="N26" i="26"/>
  <c r="M26" i="26"/>
  <c r="L26" i="26"/>
  <c r="K26" i="26"/>
  <c r="J26" i="26"/>
  <c r="I26" i="26"/>
  <c r="H26" i="26"/>
  <c r="G26" i="26"/>
  <c r="F26" i="26"/>
  <c r="V25" i="26"/>
  <c r="E25" i="26"/>
  <c r="X24" i="26"/>
  <c r="W24" i="26"/>
  <c r="V24" i="26"/>
  <c r="F24" i="26"/>
  <c r="U23" i="26"/>
  <c r="T23" i="26"/>
  <c r="S23" i="26"/>
  <c r="R23" i="26"/>
  <c r="Q23" i="26"/>
  <c r="P23" i="26"/>
  <c r="O23" i="26"/>
  <c r="N23" i="26"/>
  <c r="M23" i="26"/>
  <c r="L23" i="26"/>
  <c r="K23" i="26"/>
  <c r="J23" i="26"/>
  <c r="I23" i="26"/>
  <c r="H23" i="26"/>
  <c r="G23" i="26"/>
  <c r="F23" i="26"/>
  <c r="U22" i="26"/>
  <c r="T22" i="26"/>
  <c r="S22" i="26"/>
  <c r="R22" i="26"/>
  <c r="Q22" i="26"/>
  <c r="P22" i="26"/>
  <c r="O22" i="26"/>
  <c r="N22" i="26"/>
  <c r="M22" i="26"/>
  <c r="L22" i="26"/>
  <c r="K22" i="26"/>
  <c r="J22" i="26"/>
  <c r="I22" i="26"/>
  <c r="H22" i="26"/>
  <c r="G22" i="26"/>
  <c r="F22" i="26"/>
  <c r="X21" i="26"/>
  <c r="V21" i="26"/>
  <c r="E21" i="26"/>
  <c r="X20" i="26"/>
  <c r="U20" i="26"/>
  <c r="U178" i="26" s="1"/>
  <c r="U179" i="26" s="1"/>
  <c r="T20" i="26"/>
  <c r="S20" i="26"/>
  <c r="S178" i="26" s="1"/>
  <c r="S179" i="26" s="1"/>
  <c r="R20" i="26"/>
  <c r="R178" i="26" s="1"/>
  <c r="R179" i="26" s="1"/>
  <c r="Q20" i="26"/>
  <c r="Q178" i="26" s="1"/>
  <c r="Q179" i="26" s="1"/>
  <c r="P20" i="26"/>
  <c r="O20" i="26"/>
  <c r="O178" i="26" s="1"/>
  <c r="O179" i="26" s="1"/>
  <c r="N20" i="26"/>
  <c r="N178" i="26" s="1"/>
  <c r="N179" i="26" s="1"/>
  <c r="M20" i="26"/>
  <c r="M178" i="26" s="1"/>
  <c r="M179" i="26" s="1"/>
  <c r="L20" i="26"/>
  <c r="L178" i="26" s="1"/>
  <c r="L179" i="26" s="1"/>
  <c r="K20" i="26"/>
  <c r="K178" i="26" s="1"/>
  <c r="K179" i="26" s="1"/>
  <c r="J20" i="26"/>
  <c r="J178" i="26" s="1"/>
  <c r="J179" i="26" s="1"/>
  <c r="I20" i="26"/>
  <c r="I178" i="26" s="1"/>
  <c r="I179" i="26" s="1"/>
  <c r="H20" i="26"/>
  <c r="X17" i="26" s="1"/>
  <c r="G20" i="26"/>
  <c r="G178" i="26" s="1"/>
  <c r="G179" i="26" s="1"/>
  <c r="F20" i="26"/>
  <c r="U19" i="26"/>
  <c r="T19" i="26"/>
  <c r="S19" i="26"/>
  <c r="S180" i="26" s="1"/>
  <c r="R19" i="26"/>
  <c r="Q19" i="26"/>
  <c r="P19" i="26"/>
  <c r="O19" i="26"/>
  <c r="N19" i="26"/>
  <c r="M19" i="26"/>
  <c r="L19" i="26"/>
  <c r="K19" i="26"/>
  <c r="J19" i="26"/>
  <c r="I19" i="26"/>
  <c r="H19" i="26"/>
  <c r="G19" i="26"/>
  <c r="G180" i="26" s="1"/>
  <c r="F19" i="26"/>
  <c r="U18" i="26"/>
  <c r="T18" i="26"/>
  <c r="S18" i="26"/>
  <c r="R18" i="26"/>
  <c r="Q18" i="26"/>
  <c r="P18" i="26"/>
  <c r="O18" i="26"/>
  <c r="N18" i="26"/>
  <c r="M18" i="26"/>
  <c r="L18" i="26"/>
  <c r="K18" i="26"/>
  <c r="J18" i="26"/>
  <c r="I18" i="26"/>
  <c r="H18" i="26"/>
  <c r="G18" i="26"/>
  <c r="F18" i="26"/>
  <c r="V17" i="26"/>
  <c r="E17" i="26"/>
  <c r="X16" i="26"/>
  <c r="F16" i="26"/>
  <c r="X13" i="26" s="1"/>
  <c r="U15" i="26"/>
  <c r="U180" i="26" s="1"/>
  <c r="T15" i="26"/>
  <c r="T180" i="26" s="1"/>
  <c r="S15" i="26"/>
  <c r="R15" i="26"/>
  <c r="R180" i="26" s="1"/>
  <c r="Q15" i="26"/>
  <c r="Q180" i="26" s="1"/>
  <c r="P15" i="26"/>
  <c r="P180" i="26" s="1"/>
  <c r="O15" i="26"/>
  <c r="O180" i="26" s="1"/>
  <c r="N15" i="26"/>
  <c r="N180" i="26" s="1"/>
  <c r="M15" i="26"/>
  <c r="M180" i="26" s="1"/>
  <c r="L15" i="26"/>
  <c r="L180" i="26" s="1"/>
  <c r="K15" i="26"/>
  <c r="J15" i="26"/>
  <c r="J180" i="26" s="1"/>
  <c r="I15" i="26"/>
  <c r="I180" i="26" s="1"/>
  <c r="H15" i="26"/>
  <c r="H180" i="26" s="1"/>
  <c r="G15" i="26"/>
  <c r="F15" i="26"/>
  <c r="F180" i="26" s="1"/>
  <c r="U14" i="26"/>
  <c r="T14" i="26"/>
  <c r="S14" i="26"/>
  <c r="R14" i="26"/>
  <c r="Q14" i="26"/>
  <c r="P14" i="26"/>
  <c r="O14" i="26"/>
  <c r="N14" i="26"/>
  <c r="M14" i="26"/>
  <c r="L14" i="26"/>
  <c r="K14" i="26"/>
  <c r="J14" i="26"/>
  <c r="I14" i="26"/>
  <c r="H14" i="26"/>
  <c r="G14" i="26"/>
  <c r="F14" i="26"/>
  <c r="V13" i="26"/>
  <c r="E13" i="26"/>
  <c r="X12" i="26"/>
  <c r="I621" i="25"/>
  <c r="H621" i="25"/>
  <c r="K1907" i="24"/>
  <c r="K1905" i="24"/>
  <c r="K1903" i="24"/>
  <c r="K1902" i="24"/>
  <c r="K1904" i="24" s="1"/>
  <c r="K1908" i="24" s="1"/>
  <c r="C1900" i="24"/>
  <c r="K1897" i="24"/>
  <c r="K1895" i="24"/>
  <c r="K1893" i="24"/>
  <c r="K1892" i="24"/>
  <c r="K1894" i="24" s="1"/>
  <c r="K1898" i="24" s="1"/>
  <c r="C1890" i="24"/>
  <c r="K1887" i="24"/>
  <c r="K1885" i="24"/>
  <c r="K1883" i="24"/>
  <c r="K1882" i="24"/>
  <c r="K1884" i="24" s="1"/>
  <c r="K1888" i="24" s="1"/>
  <c r="C1880" i="24"/>
  <c r="K1877" i="24"/>
  <c r="K1875" i="24"/>
  <c r="K1873" i="24"/>
  <c r="K1872" i="24"/>
  <c r="K1874" i="24" s="1"/>
  <c r="K1878" i="24" s="1"/>
  <c r="C1870" i="24"/>
  <c r="K1867" i="24"/>
  <c r="K1865" i="24"/>
  <c r="K1863" i="24"/>
  <c r="K1862" i="24"/>
  <c r="K1864" i="24" s="1"/>
  <c r="K1868" i="24" s="1"/>
  <c r="C1860" i="24"/>
  <c r="K1855" i="24"/>
  <c r="K1853" i="24"/>
  <c r="K1852" i="24"/>
  <c r="E1852" i="24"/>
  <c r="C1850" i="24"/>
  <c r="K1845" i="24"/>
  <c r="K1843" i="24"/>
  <c r="K1842" i="24"/>
  <c r="K1847" i="24" s="1"/>
  <c r="K1841" i="24"/>
  <c r="C1839" i="24"/>
  <c r="K1836" i="24"/>
  <c r="K1834" i="24"/>
  <c r="K1832" i="24"/>
  <c r="K1831" i="24"/>
  <c r="F1830" i="24"/>
  <c r="K1830" i="24" s="1"/>
  <c r="F1829" i="24"/>
  <c r="K1829" i="24" s="1"/>
  <c r="K1833" i="24" s="1"/>
  <c r="K1828" i="24"/>
  <c r="F1828" i="24"/>
  <c r="C1826" i="24"/>
  <c r="K1821" i="24"/>
  <c r="K1819" i="24"/>
  <c r="K1818" i="24"/>
  <c r="K1817" i="24"/>
  <c r="K1823" i="24" s="1"/>
  <c r="K1816" i="24"/>
  <c r="K1815" i="24"/>
  <c r="C1813" i="24"/>
  <c r="K1810" i="24"/>
  <c r="K1808" i="24"/>
  <c r="K1806" i="24"/>
  <c r="K1805" i="24"/>
  <c r="K1804" i="24"/>
  <c r="K1803" i="24"/>
  <c r="K1802" i="24"/>
  <c r="K1801" i="24"/>
  <c r="K1800" i="24"/>
  <c r="K1799" i="24"/>
  <c r="K1798" i="24"/>
  <c r="K1797" i="24"/>
  <c r="K1796" i="24"/>
  <c r="K1795" i="24"/>
  <c r="K1794" i="24"/>
  <c r="K1793" i="24"/>
  <c r="K1792" i="24"/>
  <c r="K1791" i="24"/>
  <c r="K1790" i="24"/>
  <c r="K1789" i="24"/>
  <c r="K1788" i="24"/>
  <c r="K1807" i="24" s="1"/>
  <c r="K1811" i="24" s="1"/>
  <c r="K1787" i="24"/>
  <c r="K1786" i="24"/>
  <c r="C1784" i="24"/>
  <c r="K1781" i="24"/>
  <c r="K1779" i="24"/>
  <c r="K1777" i="24"/>
  <c r="K1776" i="24"/>
  <c r="K1775" i="24"/>
  <c r="K1774" i="24"/>
  <c r="K1773" i="24"/>
  <c r="K1772" i="24"/>
  <c r="C1770" i="24"/>
  <c r="K1767" i="24"/>
  <c r="K1765" i="24"/>
  <c r="K1763" i="24"/>
  <c r="K1762" i="24"/>
  <c r="K1761" i="24"/>
  <c r="K1760" i="24"/>
  <c r="K1764" i="24" s="1"/>
  <c r="K1768" i="24" s="1"/>
  <c r="K1759" i="24"/>
  <c r="C1757" i="24"/>
  <c r="K1752" i="24"/>
  <c r="K1751" i="24"/>
  <c r="K1755" i="24" s="1"/>
  <c r="K1750" i="24"/>
  <c r="K1749" i="24"/>
  <c r="K1754" i="24" s="1"/>
  <c r="K1748" i="24"/>
  <c r="K1747" i="24"/>
  <c r="K1746" i="24"/>
  <c r="K1745" i="24"/>
  <c r="K1744" i="24"/>
  <c r="C1742" i="24"/>
  <c r="K1735" i="24"/>
  <c r="K1734" i="24"/>
  <c r="K1733" i="24"/>
  <c r="K1732" i="24"/>
  <c r="K1731" i="24"/>
  <c r="K1730" i="24"/>
  <c r="K1729" i="24"/>
  <c r="K1728" i="24"/>
  <c r="K1727" i="24"/>
  <c r="K1726" i="24"/>
  <c r="K1725" i="24"/>
  <c r="K1724" i="24"/>
  <c r="K1723" i="24"/>
  <c r="K1722" i="24"/>
  <c r="K1721" i="24"/>
  <c r="K1720" i="24"/>
  <c r="K1719" i="24"/>
  <c r="K1718" i="24"/>
  <c r="K1717" i="24"/>
  <c r="K1716" i="24"/>
  <c r="K1715" i="24"/>
  <c r="K1714" i="24"/>
  <c r="K1713" i="24"/>
  <c r="K1712" i="24"/>
  <c r="K1711" i="24"/>
  <c r="K1710" i="24"/>
  <c r="K1709" i="24"/>
  <c r="K1708" i="24"/>
  <c r="K1707" i="24"/>
  <c r="K1706" i="24"/>
  <c r="K1705" i="24"/>
  <c r="K1704" i="24"/>
  <c r="K1703" i="24"/>
  <c r="K1702" i="24"/>
  <c r="K1701" i="24"/>
  <c r="K1700" i="24"/>
  <c r="K1699" i="24"/>
  <c r="K1698" i="24"/>
  <c r="K1697" i="24"/>
  <c r="K1696" i="24"/>
  <c r="K1695" i="24"/>
  <c r="K1694" i="24"/>
  <c r="K1693" i="24"/>
  <c r="K1692" i="24"/>
  <c r="K1691" i="24"/>
  <c r="K1690" i="24"/>
  <c r="K1689" i="24"/>
  <c r="K1688" i="24"/>
  <c r="K1687" i="24"/>
  <c r="K1686" i="24"/>
  <c r="K1685" i="24"/>
  <c r="K1684" i="24"/>
  <c r="K1683" i="24"/>
  <c r="K1682" i="24"/>
  <c r="K1681" i="24"/>
  <c r="K1680" i="24"/>
  <c r="K1679" i="24"/>
  <c r="K1678" i="24"/>
  <c r="K1677" i="24"/>
  <c r="K1676" i="24"/>
  <c r="K1675" i="24"/>
  <c r="K1674" i="24"/>
  <c r="K1673" i="24"/>
  <c r="K1672" i="24"/>
  <c r="K1671" i="24"/>
  <c r="K1670" i="24"/>
  <c r="K1669" i="24"/>
  <c r="K1668" i="24"/>
  <c r="K1667" i="24"/>
  <c r="K1666" i="24"/>
  <c r="K1665" i="24"/>
  <c r="K1664" i="24"/>
  <c r="K1663" i="24"/>
  <c r="K1662" i="24"/>
  <c r="K1661" i="24"/>
  <c r="K1660" i="24"/>
  <c r="K1659" i="24"/>
  <c r="K1658" i="24"/>
  <c r="K1657" i="24"/>
  <c r="K1656" i="24"/>
  <c r="K1655" i="24"/>
  <c r="K1654" i="24"/>
  <c r="K1653" i="24"/>
  <c r="K1652" i="24"/>
  <c r="K1651" i="24"/>
  <c r="K1650" i="24"/>
  <c r="K1649" i="24"/>
  <c r="K1648" i="24"/>
  <c r="K1647" i="24"/>
  <c r="K1646" i="24"/>
  <c r="K1645" i="24"/>
  <c r="K1644" i="24"/>
  <c r="K1643" i="24"/>
  <c r="K1642" i="24"/>
  <c r="K1641" i="24"/>
  <c r="K1640" i="24"/>
  <c r="K1639" i="24"/>
  <c r="K1638" i="24"/>
  <c r="K1637" i="24"/>
  <c r="K1636" i="24"/>
  <c r="K1635" i="24"/>
  <c r="K1634" i="24"/>
  <c r="K1633" i="24"/>
  <c r="K1632" i="24"/>
  <c r="K1631" i="24"/>
  <c r="C1629" i="24"/>
  <c r="K1626" i="24"/>
  <c r="K1624" i="24"/>
  <c r="K1622" i="24"/>
  <c r="K1621" i="24"/>
  <c r="K1620" i="24"/>
  <c r="K1619" i="24"/>
  <c r="K1618" i="24"/>
  <c r="K1617" i="24"/>
  <c r="K1616" i="24"/>
  <c r="K1615" i="24"/>
  <c r="K1614" i="24"/>
  <c r="K1613" i="24"/>
  <c r="K1612" i="24"/>
  <c r="K1611" i="24"/>
  <c r="K1623" i="24" s="1"/>
  <c r="K1627" i="24" s="1"/>
  <c r="K1610" i="24"/>
  <c r="K1609" i="24"/>
  <c r="K1608" i="24"/>
  <c r="C1606" i="24"/>
  <c r="K1601" i="24"/>
  <c r="K1599" i="24"/>
  <c r="K1597" i="24"/>
  <c r="K1596" i="24"/>
  <c r="K1595" i="24"/>
  <c r="K1594" i="24"/>
  <c r="K1593" i="24"/>
  <c r="K1590" i="24"/>
  <c r="K1589" i="24"/>
  <c r="K1588" i="24"/>
  <c r="K1587" i="24"/>
  <c r="K1586" i="24"/>
  <c r="K1585" i="24"/>
  <c r="K1584" i="24"/>
  <c r="C1582" i="24"/>
  <c r="K1577" i="24"/>
  <c r="K1575" i="24"/>
  <c r="K1574" i="24"/>
  <c r="K1572" i="24"/>
  <c r="K1571" i="24"/>
  <c r="K1570" i="24"/>
  <c r="K1569" i="24"/>
  <c r="K1568" i="24"/>
  <c r="K1565" i="24"/>
  <c r="K1564" i="24"/>
  <c r="K1563" i="24"/>
  <c r="K1562" i="24"/>
  <c r="K1561" i="24"/>
  <c r="K1560" i="24"/>
  <c r="K1559" i="24"/>
  <c r="K1576" i="24" s="1"/>
  <c r="C1557" i="24"/>
  <c r="K1552" i="24"/>
  <c r="K1550" i="24"/>
  <c r="K1549" i="24"/>
  <c r="K1547" i="24"/>
  <c r="K1546" i="24"/>
  <c r="K1545" i="24"/>
  <c r="K1544" i="24"/>
  <c r="K1543" i="24"/>
  <c r="K1540" i="24"/>
  <c r="K1539" i="24"/>
  <c r="K1538" i="24"/>
  <c r="K1537" i="24"/>
  <c r="K1536" i="24"/>
  <c r="K1535" i="24"/>
  <c r="K1534" i="24"/>
  <c r="C1532" i="24"/>
  <c r="K1527" i="24"/>
  <c r="K1525" i="24"/>
  <c r="K1524" i="24"/>
  <c r="K1523" i="24"/>
  <c r="K1522" i="24"/>
  <c r="K1521" i="24"/>
  <c r="K1520" i="24"/>
  <c r="K1519" i="24"/>
  <c r="K1518" i="24"/>
  <c r="K1515" i="24"/>
  <c r="K1514" i="24"/>
  <c r="K1513" i="24"/>
  <c r="K1512" i="24"/>
  <c r="K1511" i="24"/>
  <c r="K1510" i="24"/>
  <c r="K1509" i="24"/>
  <c r="C1507" i="24"/>
  <c r="K1502" i="24"/>
  <c r="K1500" i="24"/>
  <c r="K1499" i="24"/>
  <c r="K1498" i="24"/>
  <c r="K1497" i="24"/>
  <c r="K1496" i="24"/>
  <c r="K1495" i="24"/>
  <c r="K1494" i="24"/>
  <c r="K1493" i="24"/>
  <c r="K1492" i="24"/>
  <c r="K1490" i="24"/>
  <c r="K1489" i="24"/>
  <c r="K1488" i="24"/>
  <c r="K1501" i="24" s="1"/>
  <c r="K1487" i="24"/>
  <c r="K1486" i="24"/>
  <c r="K1485" i="24"/>
  <c r="C1483" i="24"/>
  <c r="K1478" i="24"/>
  <c r="K1476" i="24"/>
  <c r="K1475" i="24"/>
  <c r="K1473" i="24"/>
  <c r="K1472" i="24"/>
  <c r="K1471" i="24"/>
  <c r="K1470" i="24"/>
  <c r="K1469" i="24"/>
  <c r="K1466" i="24"/>
  <c r="K1465" i="24"/>
  <c r="K1464" i="24"/>
  <c r="K1463" i="24"/>
  <c r="K1462" i="24"/>
  <c r="K1461" i="24"/>
  <c r="K1460" i="24"/>
  <c r="K1457" i="24"/>
  <c r="K1456" i="24"/>
  <c r="K1455" i="24"/>
  <c r="K1454" i="24"/>
  <c r="K1453" i="24"/>
  <c r="K1450" i="24"/>
  <c r="K1449" i="24"/>
  <c r="G1449" i="24"/>
  <c r="K1448" i="24"/>
  <c r="K1447" i="24"/>
  <c r="K1446" i="24"/>
  <c r="K1445" i="24"/>
  <c r="C1443" i="24"/>
  <c r="K1436" i="24"/>
  <c r="K1435" i="24"/>
  <c r="K1434" i="24"/>
  <c r="K1433" i="24"/>
  <c r="K1432" i="24"/>
  <c r="K1431" i="24"/>
  <c r="K1430" i="24"/>
  <c r="K1429" i="24"/>
  <c r="K1428" i="24"/>
  <c r="K1427" i="24"/>
  <c r="K1426" i="24"/>
  <c r="K1425" i="24"/>
  <c r="K1424" i="24"/>
  <c r="K1423" i="24"/>
  <c r="K1422" i="24"/>
  <c r="K1421" i="24"/>
  <c r="K1420" i="24"/>
  <c r="K1419" i="24"/>
  <c r="K1418" i="24"/>
  <c r="K1417" i="24"/>
  <c r="K1416" i="24"/>
  <c r="K1415" i="24"/>
  <c r="K1414" i="24"/>
  <c r="K1413" i="24"/>
  <c r="K1412" i="24"/>
  <c r="K1411" i="24"/>
  <c r="K1410" i="24"/>
  <c r="K1409" i="24"/>
  <c r="K1408" i="24"/>
  <c r="K1407" i="24"/>
  <c r="K1406" i="24"/>
  <c r="K1405" i="24"/>
  <c r="K1404" i="24"/>
  <c r="K1403" i="24"/>
  <c r="K1402" i="24"/>
  <c r="K1401" i="24"/>
  <c r="K1400" i="24"/>
  <c r="K1399" i="24"/>
  <c r="K1398" i="24"/>
  <c r="K1397" i="24"/>
  <c r="K1396" i="24"/>
  <c r="K1395" i="24"/>
  <c r="K1394" i="24"/>
  <c r="K1393" i="24"/>
  <c r="K1392" i="24"/>
  <c r="K1391" i="24"/>
  <c r="K1390" i="24"/>
  <c r="K1389" i="24"/>
  <c r="K1388" i="24"/>
  <c r="K1387" i="24"/>
  <c r="K1386" i="24"/>
  <c r="K1385" i="24"/>
  <c r="K1384" i="24"/>
  <c r="K1383" i="24"/>
  <c r="K1382" i="24"/>
  <c r="K1381" i="24"/>
  <c r="K1380" i="24"/>
  <c r="K1379" i="24"/>
  <c r="K1378" i="24"/>
  <c r="K1377" i="24"/>
  <c r="K1376" i="24"/>
  <c r="K1375" i="24"/>
  <c r="K1374" i="24"/>
  <c r="K1373" i="24"/>
  <c r="K1372" i="24"/>
  <c r="K1371" i="24"/>
  <c r="K1370" i="24"/>
  <c r="K1369" i="24"/>
  <c r="K1368" i="24"/>
  <c r="K1367" i="24"/>
  <c r="K1366" i="24"/>
  <c r="K1365" i="24"/>
  <c r="K1364" i="24"/>
  <c r="K1363" i="24"/>
  <c r="K1362" i="24"/>
  <c r="K1361" i="24"/>
  <c r="K1360" i="24"/>
  <c r="K1359" i="24"/>
  <c r="K1358" i="24"/>
  <c r="K1357" i="24"/>
  <c r="K1356" i="24"/>
  <c r="K1355" i="24"/>
  <c r="K1354" i="24"/>
  <c r="K1353" i="24"/>
  <c r="K1352" i="24"/>
  <c r="K1351" i="24"/>
  <c r="K1350" i="24"/>
  <c r="K1349" i="24"/>
  <c r="K1348" i="24"/>
  <c r="K1347" i="24"/>
  <c r="K1346" i="24"/>
  <c r="K1345" i="24"/>
  <c r="K1344" i="24"/>
  <c r="K1343" i="24"/>
  <c r="K1342" i="24"/>
  <c r="K1341" i="24"/>
  <c r="K1340" i="24"/>
  <c r="K1339" i="24"/>
  <c r="K1338" i="24"/>
  <c r="K1337" i="24"/>
  <c r="K1336" i="24"/>
  <c r="K1335" i="24"/>
  <c r="K1334" i="24"/>
  <c r="K1333" i="24"/>
  <c r="K1332" i="24"/>
  <c r="K1331" i="24"/>
  <c r="K1330" i="24"/>
  <c r="K1329" i="24"/>
  <c r="K1328" i="24"/>
  <c r="K1327" i="24"/>
  <c r="K1326" i="24"/>
  <c r="K1325" i="24"/>
  <c r="K1324" i="24"/>
  <c r="K1323" i="24"/>
  <c r="K1322" i="24"/>
  <c r="K1321" i="24"/>
  <c r="K1320" i="24"/>
  <c r="K1319" i="24"/>
  <c r="K1318" i="24"/>
  <c r="K1317" i="24"/>
  <c r="K1316" i="24"/>
  <c r="K1315" i="24"/>
  <c r="K1314" i="24"/>
  <c r="K1313" i="24"/>
  <c r="K1312" i="24"/>
  <c r="K1311" i="24"/>
  <c r="K1310" i="24"/>
  <c r="K1309" i="24"/>
  <c r="K1308" i="24"/>
  <c r="K1307" i="24"/>
  <c r="K1306" i="24"/>
  <c r="K1305" i="24"/>
  <c r="K1304" i="24"/>
  <c r="K1303" i="24"/>
  <c r="K1302" i="24"/>
  <c r="K1301" i="24"/>
  <c r="K1300" i="24"/>
  <c r="K1299" i="24"/>
  <c r="K1298" i="24"/>
  <c r="K1297" i="24"/>
  <c r="K1296" i="24"/>
  <c r="K1295" i="24"/>
  <c r="K1294" i="24"/>
  <c r="K1293" i="24"/>
  <c r="K1292" i="24"/>
  <c r="K1291" i="24"/>
  <c r="K1290" i="24"/>
  <c r="K1289" i="24"/>
  <c r="K1288" i="24"/>
  <c r="K1287" i="24"/>
  <c r="K1286" i="24"/>
  <c r="K1285" i="24"/>
  <c r="K1284" i="24"/>
  <c r="K1283" i="24"/>
  <c r="K1282" i="24"/>
  <c r="K1281" i="24"/>
  <c r="K1280" i="24"/>
  <c r="K1279" i="24"/>
  <c r="K1278" i="24"/>
  <c r="K1277" i="24"/>
  <c r="K1276" i="24"/>
  <c r="K1275" i="24"/>
  <c r="K1274" i="24"/>
  <c r="K1273" i="24"/>
  <c r="K1272" i="24"/>
  <c r="K1271" i="24"/>
  <c r="K1270" i="24"/>
  <c r="K1269" i="24"/>
  <c r="K1268" i="24"/>
  <c r="K1267" i="24"/>
  <c r="K1266" i="24"/>
  <c r="K1265" i="24"/>
  <c r="K1264" i="24"/>
  <c r="K1263" i="24"/>
  <c r="K1262" i="24"/>
  <c r="K1261" i="24"/>
  <c r="K1260" i="24"/>
  <c r="K1259" i="24"/>
  <c r="K1258" i="24"/>
  <c r="K1257" i="24"/>
  <c r="K1256" i="24"/>
  <c r="K1255" i="24"/>
  <c r="K1254" i="24"/>
  <c r="K1253" i="24"/>
  <c r="K1252" i="24"/>
  <c r="K1251" i="24"/>
  <c r="K1250" i="24"/>
  <c r="K1249" i="24"/>
  <c r="K1248" i="24"/>
  <c r="K1247" i="24"/>
  <c r="K1246" i="24"/>
  <c r="K1245" i="24"/>
  <c r="K1244" i="24"/>
  <c r="K1243" i="24"/>
  <c r="K1242" i="24"/>
  <c r="K1241" i="24"/>
  <c r="K1240" i="24"/>
  <c r="K1239" i="24"/>
  <c r="K1238" i="24"/>
  <c r="K1237" i="24"/>
  <c r="K1236" i="24"/>
  <c r="K1235" i="24"/>
  <c r="K1234" i="24"/>
  <c r="K1233" i="24"/>
  <c r="K1232" i="24"/>
  <c r="K1231" i="24"/>
  <c r="K1230" i="24"/>
  <c r="K1229" i="24"/>
  <c r="K1228" i="24"/>
  <c r="K1227" i="24"/>
  <c r="K1226" i="24"/>
  <c r="K1225" i="24"/>
  <c r="K1224" i="24"/>
  <c r="K1223" i="24"/>
  <c r="K1222" i="24"/>
  <c r="K1221" i="24"/>
  <c r="K1220" i="24"/>
  <c r="K1219" i="24"/>
  <c r="K1218" i="24"/>
  <c r="K1217" i="24"/>
  <c r="K1216" i="24"/>
  <c r="K1215" i="24"/>
  <c r="K1214" i="24"/>
  <c r="K1213" i="24"/>
  <c r="K1212" i="24"/>
  <c r="K1211" i="24"/>
  <c r="K1210" i="24"/>
  <c r="K1209" i="24"/>
  <c r="K1208" i="24"/>
  <c r="K1207" i="24"/>
  <c r="K1206" i="24"/>
  <c r="G1206" i="24"/>
  <c r="K1205" i="24"/>
  <c r="G1205" i="24"/>
  <c r="K1204" i="24"/>
  <c r="K1203" i="24"/>
  <c r="K1202" i="24"/>
  <c r="K1201" i="24"/>
  <c r="K1200" i="24"/>
  <c r="K1199" i="24"/>
  <c r="K1198" i="24"/>
  <c r="K1197" i="24"/>
  <c r="K1196" i="24"/>
  <c r="K1195" i="24"/>
  <c r="K1194" i="24"/>
  <c r="K1193" i="24"/>
  <c r="K1192" i="24"/>
  <c r="K1191" i="24"/>
  <c r="K1190" i="24"/>
  <c r="K1189" i="24"/>
  <c r="K1188" i="24"/>
  <c r="K1187" i="24"/>
  <c r="K1186" i="24"/>
  <c r="K1185" i="24"/>
  <c r="K1184" i="24"/>
  <c r="K1183" i="24"/>
  <c r="K1182" i="24"/>
  <c r="K1181" i="24"/>
  <c r="K1180" i="24"/>
  <c r="K1179" i="24"/>
  <c r="K1178" i="24"/>
  <c r="K1177" i="24"/>
  <c r="K1176" i="24"/>
  <c r="K1175" i="24"/>
  <c r="K1174" i="24"/>
  <c r="K1173" i="24"/>
  <c r="K1172" i="24"/>
  <c r="K1171" i="24"/>
  <c r="K1170" i="24"/>
  <c r="K1169" i="24"/>
  <c r="K1168" i="24"/>
  <c r="K1167" i="24"/>
  <c r="K1166" i="24"/>
  <c r="K1165" i="24"/>
  <c r="K1164" i="24"/>
  <c r="K1163" i="24"/>
  <c r="K1162" i="24"/>
  <c r="C1160" i="24"/>
  <c r="K1155" i="24"/>
  <c r="K1153" i="24"/>
  <c r="K1152" i="24"/>
  <c r="G1151" i="24"/>
  <c r="F1151" i="24"/>
  <c r="K1151" i="24" s="1"/>
  <c r="G1150" i="24"/>
  <c r="F1150" i="24"/>
  <c r="K1150" i="24" s="1"/>
  <c r="K1149" i="24"/>
  <c r="K1148" i="24"/>
  <c r="G1146" i="24"/>
  <c r="G1147" i="24" s="1"/>
  <c r="F1146" i="24"/>
  <c r="K1145" i="24"/>
  <c r="K1144" i="24"/>
  <c r="K1143" i="24"/>
  <c r="G1142" i="24"/>
  <c r="K1142" i="24" s="1"/>
  <c r="F1142" i="24"/>
  <c r="K1141" i="24"/>
  <c r="G1139" i="24"/>
  <c r="G1140" i="24" s="1"/>
  <c r="F1139" i="24"/>
  <c r="K1138" i="24"/>
  <c r="C1136" i="24"/>
  <c r="K1131" i="24"/>
  <c r="K1129" i="24"/>
  <c r="K1128" i="24"/>
  <c r="G1127" i="24"/>
  <c r="F1127" i="24"/>
  <c r="K1127" i="24" s="1"/>
  <c r="K1126" i="24"/>
  <c r="K1133" i="24" s="1"/>
  <c r="K1125" i="24"/>
  <c r="G1124" i="24"/>
  <c r="F1124" i="24"/>
  <c r="K1124" i="24" s="1"/>
  <c r="K1123" i="24"/>
  <c r="K1122" i="24"/>
  <c r="K1121" i="24"/>
  <c r="K1120" i="24"/>
  <c r="K1119" i="24"/>
  <c r="K1118" i="24"/>
  <c r="K1130" i="24" s="1"/>
  <c r="K1134" i="24" s="1"/>
  <c r="G1118" i="24"/>
  <c r="F1118" i="24"/>
  <c r="K1117" i="24"/>
  <c r="C1115" i="24"/>
  <c r="K1112" i="24"/>
  <c r="K1110" i="24"/>
  <c r="K1108" i="24"/>
  <c r="K1107" i="24"/>
  <c r="K1106" i="24"/>
  <c r="K1105" i="24"/>
  <c r="K1104" i="24"/>
  <c r="G1104" i="24"/>
  <c r="F1104" i="24"/>
  <c r="K1103" i="24"/>
  <c r="K1102" i="24"/>
  <c r="K1101" i="24"/>
  <c r="K1100" i="24"/>
  <c r="K1099" i="24"/>
  <c r="K1109" i="24" s="1"/>
  <c r="K1113" i="24" s="1"/>
  <c r="G1098" i="24"/>
  <c r="F1098" i="24"/>
  <c r="K1098" i="24" s="1"/>
  <c r="K1097" i="24"/>
  <c r="C1095" i="24"/>
  <c r="K1090" i="24"/>
  <c r="K1088" i="24"/>
  <c r="K1087" i="24"/>
  <c r="G1085" i="24"/>
  <c r="G1086" i="24" s="1"/>
  <c r="F1085" i="24"/>
  <c r="K1084" i="24"/>
  <c r="K1083" i="24"/>
  <c r="K1082" i="24"/>
  <c r="G1081" i="24"/>
  <c r="K1080" i="24"/>
  <c r="G1080" i="24"/>
  <c r="F1080" i="24"/>
  <c r="F1081" i="24" s="1"/>
  <c r="K1081" i="24" s="1"/>
  <c r="K1079" i="24"/>
  <c r="K1078" i="24"/>
  <c r="G1077" i="24"/>
  <c r="K1077" i="24" s="1"/>
  <c r="F1077" i="24"/>
  <c r="K1076" i="24"/>
  <c r="G1075" i="24"/>
  <c r="K1074" i="24"/>
  <c r="G1074" i="24"/>
  <c r="F1074" i="24"/>
  <c r="F1075" i="24" s="1"/>
  <c r="K1075" i="24" s="1"/>
  <c r="K1073" i="24"/>
  <c r="C1071" i="24"/>
  <c r="K1068" i="24"/>
  <c r="K1066" i="24"/>
  <c r="K1064" i="24"/>
  <c r="K1063" i="24"/>
  <c r="K1062" i="24"/>
  <c r="K1061" i="24"/>
  <c r="G1061" i="24"/>
  <c r="F1061" i="24"/>
  <c r="K1060" i="24"/>
  <c r="K1059" i="24"/>
  <c r="G1058" i="24"/>
  <c r="K1058" i="24" s="1"/>
  <c r="F1058" i="24"/>
  <c r="K1057" i="24"/>
  <c r="K1056" i="24"/>
  <c r="K1055" i="24"/>
  <c r="K1054" i="24"/>
  <c r="K1053" i="24"/>
  <c r="G1052" i="24"/>
  <c r="F1052" i="24"/>
  <c r="K1052" i="24" s="1"/>
  <c r="K1051" i="24"/>
  <c r="C1049" i="24"/>
  <c r="K1044" i="24"/>
  <c r="K1042" i="24"/>
  <c r="K1041" i="24"/>
  <c r="K1046" i="24" s="1"/>
  <c r="K1040" i="24"/>
  <c r="K1039" i="24"/>
  <c r="K1038" i="24"/>
  <c r="K1037" i="24"/>
  <c r="K1036" i="24"/>
  <c r="K1035" i="24"/>
  <c r="F1034" i="24"/>
  <c r="G1033" i="24"/>
  <c r="F1033" i="24"/>
  <c r="K1032" i="24"/>
  <c r="C1030" i="24"/>
  <c r="K1025" i="24"/>
  <c r="K1023" i="24"/>
  <c r="G1022" i="24"/>
  <c r="K1021" i="24"/>
  <c r="K1027" i="24" s="1"/>
  <c r="G1021" i="24"/>
  <c r="F1021" i="24"/>
  <c r="F1022" i="24" s="1"/>
  <c r="K1022" i="24" s="1"/>
  <c r="K1020" i="24"/>
  <c r="K1019" i="24"/>
  <c r="G1018" i="24"/>
  <c r="F1018" i="24"/>
  <c r="K1018" i="24" s="1"/>
  <c r="K1017" i="24"/>
  <c r="K1016" i="24"/>
  <c r="K1015" i="24"/>
  <c r="G1014" i="24"/>
  <c r="K1013" i="24"/>
  <c r="G1013" i="24"/>
  <c r="F1013" i="24"/>
  <c r="F1014" i="24" s="1"/>
  <c r="K1012" i="24"/>
  <c r="C1010" i="24"/>
  <c r="K1005" i="24"/>
  <c r="K1003" i="24"/>
  <c r="K1002" i="24"/>
  <c r="G1001" i="24"/>
  <c r="F1001" i="24"/>
  <c r="K1001" i="24" s="1"/>
  <c r="K1007" i="24" s="1"/>
  <c r="K1000" i="24"/>
  <c r="K999" i="24"/>
  <c r="G998" i="24"/>
  <c r="F998" i="24"/>
  <c r="K998" i="24" s="1"/>
  <c r="K997" i="24"/>
  <c r="K996" i="24"/>
  <c r="K995" i="24"/>
  <c r="K994" i="24"/>
  <c r="K993" i="24"/>
  <c r="K992" i="24"/>
  <c r="G992" i="24"/>
  <c r="F992" i="24"/>
  <c r="K991" i="24"/>
  <c r="C989" i="24"/>
  <c r="K984" i="24"/>
  <c r="K982" i="24"/>
  <c r="K981" i="24"/>
  <c r="K980" i="24"/>
  <c r="K979" i="24"/>
  <c r="K978" i="24"/>
  <c r="K977" i="24"/>
  <c r="K976" i="24"/>
  <c r="K975" i="24"/>
  <c r="K974" i="24"/>
  <c r="K973" i="24"/>
  <c r="K972" i="24"/>
  <c r="K971" i="24"/>
  <c r="K970" i="24"/>
  <c r="K969" i="24"/>
  <c r="K968" i="24"/>
  <c r="K967" i="24"/>
  <c r="K986" i="24" s="1"/>
  <c r="K966" i="24"/>
  <c r="K965" i="24"/>
  <c r="K964" i="24"/>
  <c r="K963" i="24"/>
  <c r="K962" i="24"/>
  <c r="K961" i="24"/>
  <c r="K960" i="24"/>
  <c r="K959" i="24"/>
  <c r="K958" i="24"/>
  <c r="K957" i="24"/>
  <c r="K956" i="24"/>
  <c r="K955" i="24"/>
  <c r="K954" i="24"/>
  <c r="K953" i="24"/>
  <c r="K952" i="24"/>
  <c r="K951" i="24"/>
  <c r="K950" i="24"/>
  <c r="K949" i="24"/>
  <c r="K948" i="24"/>
  <c r="K947" i="24"/>
  <c r="K946" i="24"/>
  <c r="K945" i="24"/>
  <c r="K944" i="24"/>
  <c r="K943" i="24"/>
  <c r="K942" i="24"/>
  <c r="K941" i="24"/>
  <c r="K940" i="24"/>
  <c r="K939" i="24"/>
  <c r="K938" i="24"/>
  <c r="K937" i="24"/>
  <c r="K936" i="24"/>
  <c r="K935" i="24"/>
  <c r="K934" i="24"/>
  <c r="K933" i="24"/>
  <c r="K932" i="24"/>
  <c r="K931" i="24"/>
  <c r="K930" i="24"/>
  <c r="K929" i="24"/>
  <c r="K928" i="24"/>
  <c r="K927" i="24"/>
  <c r="K926" i="24"/>
  <c r="K925" i="24"/>
  <c r="K924" i="24"/>
  <c r="K923" i="24"/>
  <c r="K922" i="24"/>
  <c r="K921" i="24"/>
  <c r="K920" i="24"/>
  <c r="K919" i="24"/>
  <c r="K918" i="24"/>
  <c r="K917" i="24"/>
  <c r="K916" i="24"/>
  <c r="K915" i="24"/>
  <c r="K914" i="24"/>
  <c r="K913" i="24"/>
  <c r="K912" i="24"/>
  <c r="K911" i="24"/>
  <c r="K910" i="24"/>
  <c r="K909" i="24"/>
  <c r="K908" i="24"/>
  <c r="K907" i="24"/>
  <c r="K906" i="24"/>
  <c r="K905" i="24"/>
  <c r="K904" i="24"/>
  <c r="K903" i="24"/>
  <c r="K902" i="24"/>
  <c r="K901" i="24"/>
  <c r="K900" i="24"/>
  <c r="K899" i="24"/>
  <c r="K898" i="24"/>
  <c r="K897" i="24"/>
  <c r="K896" i="24"/>
  <c r="K895" i="24"/>
  <c r="K894" i="24"/>
  <c r="K893" i="24"/>
  <c r="K892" i="24"/>
  <c r="K891" i="24"/>
  <c r="K890" i="24"/>
  <c r="K889" i="24"/>
  <c r="K888" i="24"/>
  <c r="K887" i="24"/>
  <c r="K886" i="24"/>
  <c r="K885" i="24"/>
  <c r="K884" i="24"/>
  <c r="K883" i="24"/>
  <c r="K882" i="24"/>
  <c r="K881" i="24"/>
  <c r="K880" i="24"/>
  <c r="K879" i="24"/>
  <c r="K878" i="24"/>
  <c r="K877" i="24"/>
  <c r="K876" i="24"/>
  <c r="K875" i="24"/>
  <c r="K874" i="24"/>
  <c r="K873" i="24"/>
  <c r="K872" i="24"/>
  <c r="K871" i="24"/>
  <c r="K870" i="24"/>
  <c r="K869" i="24"/>
  <c r="K868" i="24"/>
  <c r="K867" i="24"/>
  <c r="K866" i="24"/>
  <c r="K865" i="24"/>
  <c r="K864" i="24"/>
  <c r="K863" i="24"/>
  <c r="K862" i="24"/>
  <c r="K861" i="24"/>
  <c r="K860" i="24"/>
  <c r="K859" i="24"/>
  <c r="K858" i="24"/>
  <c r="K857" i="24"/>
  <c r="K856" i="24"/>
  <c r="K855" i="24"/>
  <c r="K854" i="24"/>
  <c r="K853" i="24"/>
  <c r="K852" i="24"/>
  <c r="K851" i="24"/>
  <c r="K850" i="24"/>
  <c r="K849" i="24"/>
  <c r="K848" i="24"/>
  <c r="K847" i="24"/>
  <c r="K846" i="24"/>
  <c r="K845" i="24"/>
  <c r="K844" i="24"/>
  <c r="K843" i="24"/>
  <c r="K842" i="24"/>
  <c r="K841" i="24"/>
  <c r="K840" i="24"/>
  <c r="K839" i="24"/>
  <c r="K838" i="24"/>
  <c r="K837" i="24"/>
  <c r="K836" i="24"/>
  <c r="K835" i="24"/>
  <c r="K834" i="24"/>
  <c r="K833" i="24"/>
  <c r="K832" i="24"/>
  <c r="K831" i="24"/>
  <c r="K830" i="24"/>
  <c r="K829" i="24"/>
  <c r="K828" i="24"/>
  <c r="K827" i="24"/>
  <c r="K826" i="24"/>
  <c r="K825" i="24"/>
  <c r="K824" i="24"/>
  <c r="K823" i="24"/>
  <c r="K822" i="24"/>
  <c r="K821" i="24"/>
  <c r="K820" i="24"/>
  <c r="K819" i="24"/>
  <c r="K818" i="24"/>
  <c r="K817" i="24"/>
  <c r="K816" i="24"/>
  <c r="K815" i="24"/>
  <c r="K814" i="24"/>
  <c r="K813" i="24"/>
  <c r="K812" i="24"/>
  <c r="K811" i="24"/>
  <c r="K810" i="24"/>
  <c r="K809" i="24"/>
  <c r="K808" i="24"/>
  <c r="K807" i="24"/>
  <c r="K806" i="24"/>
  <c r="K805" i="24"/>
  <c r="K804" i="24"/>
  <c r="K803" i="24"/>
  <c r="K802" i="24"/>
  <c r="K801" i="24"/>
  <c r="K800" i="24"/>
  <c r="K799" i="24"/>
  <c r="K798" i="24"/>
  <c r="K797" i="24"/>
  <c r="K796" i="24"/>
  <c r="K795" i="24"/>
  <c r="K794" i="24"/>
  <c r="K793" i="24"/>
  <c r="K792" i="24"/>
  <c r="K791" i="24"/>
  <c r="K790" i="24"/>
  <c r="K789" i="24"/>
  <c r="K788" i="24"/>
  <c r="K787" i="24"/>
  <c r="K786" i="24"/>
  <c r="K785" i="24"/>
  <c r="K784" i="24"/>
  <c r="K783" i="24"/>
  <c r="K782" i="24"/>
  <c r="K781" i="24"/>
  <c r="K780" i="24"/>
  <c r="K779" i="24"/>
  <c r="K778" i="24"/>
  <c r="K777" i="24"/>
  <c r="K776" i="24"/>
  <c r="K775" i="24"/>
  <c r="K774" i="24"/>
  <c r="K773" i="24"/>
  <c r="K772" i="24"/>
  <c r="K771" i="24"/>
  <c r="K770" i="24"/>
  <c r="K769" i="24"/>
  <c r="K768" i="24"/>
  <c r="K767" i="24"/>
  <c r="K766" i="24"/>
  <c r="K765" i="24"/>
  <c r="K764" i="24"/>
  <c r="K763" i="24"/>
  <c r="K762" i="24"/>
  <c r="K761" i="24"/>
  <c r="K760" i="24"/>
  <c r="C758" i="24"/>
  <c r="K755" i="24"/>
  <c r="K751" i="24"/>
  <c r="K750" i="24"/>
  <c r="K749" i="24"/>
  <c r="K748" i="24"/>
  <c r="K747" i="24"/>
  <c r="K746" i="24"/>
  <c r="K745" i="24"/>
  <c r="K744" i="24"/>
  <c r="K743" i="24"/>
  <c r="K742" i="24"/>
  <c r="K741" i="24"/>
  <c r="K740" i="24"/>
  <c r="K739" i="24"/>
  <c r="K738" i="24"/>
  <c r="K737" i="24"/>
  <c r="K736" i="24"/>
  <c r="K735" i="24"/>
  <c r="K734" i="24"/>
  <c r="K733" i="24"/>
  <c r="K732" i="24"/>
  <c r="K731" i="24"/>
  <c r="K726" i="24"/>
  <c r="K722" i="24"/>
  <c r="K721" i="24"/>
  <c r="K720" i="24"/>
  <c r="K715" i="24"/>
  <c r="K714" i="24"/>
  <c r="K713" i="24"/>
  <c r="K712" i="24"/>
  <c r="K711" i="24"/>
  <c r="K710" i="24"/>
  <c r="K709" i="24"/>
  <c r="K708" i="24"/>
  <c r="K707" i="24"/>
  <c r="K706" i="24"/>
  <c r="K705" i="24"/>
  <c r="K704" i="24"/>
  <c r="K703" i="24"/>
  <c r="K702" i="24"/>
  <c r="K701" i="24"/>
  <c r="K700" i="24"/>
  <c r="K691" i="24"/>
  <c r="K690" i="24"/>
  <c r="K689" i="24"/>
  <c r="K688" i="24"/>
  <c r="K687" i="24"/>
  <c r="K695" i="24" s="1"/>
  <c r="K686" i="24"/>
  <c r="K685" i="24"/>
  <c r="K684" i="24"/>
  <c r="K683" i="24"/>
  <c r="K682" i="24"/>
  <c r="K681" i="24"/>
  <c r="K680" i="24"/>
  <c r="K692" i="24" s="1"/>
  <c r="K696" i="24" s="1"/>
  <c r="K679" i="24"/>
  <c r="K678" i="24"/>
  <c r="K677" i="24"/>
  <c r="K676" i="24"/>
  <c r="K675" i="24"/>
  <c r="K674" i="24"/>
  <c r="K673" i="24"/>
  <c r="K672" i="24"/>
  <c r="K671" i="24"/>
  <c r="K666" i="24"/>
  <c r="K662" i="24"/>
  <c r="K661" i="24"/>
  <c r="K660" i="24"/>
  <c r="K659" i="24"/>
  <c r="K658" i="24"/>
  <c r="K657" i="24"/>
  <c r="K656" i="24"/>
  <c r="K655" i="24"/>
  <c r="K654" i="24"/>
  <c r="K653" i="24"/>
  <c r="K652" i="24"/>
  <c r="K651" i="24"/>
  <c r="K650" i="24"/>
  <c r="K649" i="24"/>
  <c r="K648" i="24"/>
  <c r="K647" i="24"/>
  <c r="K646" i="24"/>
  <c r="K645" i="24"/>
  <c r="K644" i="24"/>
  <c r="K643" i="24"/>
  <c r="K642" i="24"/>
  <c r="K641" i="24"/>
  <c r="K640" i="24"/>
  <c r="K663" i="24" s="1"/>
  <c r="K667" i="24" s="1"/>
  <c r="K635" i="24"/>
  <c r="K631" i="24"/>
  <c r="K630" i="24"/>
  <c r="K629" i="24"/>
  <c r="K628" i="24"/>
  <c r="K627" i="24"/>
  <c r="K626" i="24"/>
  <c r="K625" i="24"/>
  <c r="K624" i="24"/>
  <c r="K623" i="24"/>
  <c r="K622" i="24"/>
  <c r="K621" i="24"/>
  <c r="K620" i="24"/>
  <c r="K619" i="24"/>
  <c r="K618" i="24"/>
  <c r="K617" i="24"/>
  <c r="K616" i="24"/>
  <c r="K615" i="24"/>
  <c r="K614" i="24"/>
  <c r="K613" i="24"/>
  <c r="K612" i="24"/>
  <c r="K611" i="24"/>
  <c r="K602" i="24"/>
  <c r="K601" i="24"/>
  <c r="K600" i="24"/>
  <c r="K599" i="24"/>
  <c r="K598" i="24"/>
  <c r="K606" i="24" s="1"/>
  <c r="K597" i="24"/>
  <c r="K596" i="24"/>
  <c r="K595" i="24"/>
  <c r="K594" i="24"/>
  <c r="K593" i="24"/>
  <c r="K592" i="24"/>
  <c r="K591" i="24"/>
  <c r="K590" i="24"/>
  <c r="K589" i="24"/>
  <c r="K588" i="24"/>
  <c r="K587" i="24"/>
  <c r="K586" i="24"/>
  <c r="K585" i="24"/>
  <c r="K584" i="24"/>
  <c r="K583" i="24"/>
  <c r="K582" i="24"/>
  <c r="K581" i="24"/>
  <c r="K572" i="24"/>
  <c r="K571" i="24"/>
  <c r="K570" i="24"/>
  <c r="K569" i="24"/>
  <c r="K568" i="24"/>
  <c r="K567" i="24"/>
  <c r="K566" i="24"/>
  <c r="K565" i="24"/>
  <c r="K564" i="24"/>
  <c r="K563" i="24"/>
  <c r="K562" i="24"/>
  <c r="K561" i="24"/>
  <c r="K560" i="24"/>
  <c r="K559" i="24"/>
  <c r="K558" i="24"/>
  <c r="K557" i="24"/>
  <c r="K556" i="24"/>
  <c r="K555" i="24"/>
  <c r="K554" i="24"/>
  <c r="K553" i="24"/>
  <c r="K552" i="24"/>
  <c r="K543" i="24"/>
  <c r="K541" i="24"/>
  <c r="K540" i="24"/>
  <c r="K539" i="24"/>
  <c r="K538" i="24"/>
  <c r="K537" i="24"/>
  <c r="K536" i="24"/>
  <c r="K535" i="24"/>
  <c r="K534" i="24"/>
  <c r="K533" i="24"/>
  <c r="K532" i="24"/>
  <c r="K531" i="24"/>
  <c r="K530" i="24"/>
  <c r="K529" i="24"/>
  <c r="K528" i="24"/>
  <c r="K527" i="24"/>
  <c r="K526" i="24"/>
  <c r="K525" i="24"/>
  <c r="K524" i="24"/>
  <c r="K523" i="24"/>
  <c r="K514" i="24"/>
  <c r="K513" i="24"/>
  <c r="K512" i="24"/>
  <c r="I512" i="24"/>
  <c r="K511" i="24"/>
  <c r="I511" i="24"/>
  <c r="I510" i="24"/>
  <c r="K510" i="24" s="1"/>
  <c r="K509" i="24"/>
  <c r="I509" i="24"/>
  <c r="K508" i="24"/>
  <c r="I508" i="24"/>
  <c r="I507" i="24"/>
  <c r="K507" i="24" s="1"/>
  <c r="K506" i="24"/>
  <c r="I506" i="24"/>
  <c r="K505" i="24"/>
  <c r="I505" i="24"/>
  <c r="I504" i="24"/>
  <c r="K504" i="24" s="1"/>
  <c r="K503" i="24"/>
  <c r="I503" i="24"/>
  <c r="K502" i="24"/>
  <c r="I502" i="24"/>
  <c r="I501" i="24"/>
  <c r="K501" i="24" s="1"/>
  <c r="K500" i="24"/>
  <c r="I500" i="24"/>
  <c r="K499" i="24"/>
  <c r="I499" i="24"/>
  <c r="I498" i="24"/>
  <c r="K498" i="24" s="1"/>
  <c r="K497" i="24"/>
  <c r="I497" i="24"/>
  <c r="K496" i="24"/>
  <c r="I496" i="24"/>
  <c r="I495" i="24"/>
  <c r="K495" i="24" s="1"/>
  <c r="K494" i="24"/>
  <c r="I494" i="24"/>
  <c r="K493" i="24"/>
  <c r="I493" i="24"/>
  <c r="I492" i="24"/>
  <c r="K492" i="24" s="1"/>
  <c r="K491" i="24"/>
  <c r="I491" i="24"/>
  <c r="K490" i="24"/>
  <c r="I490" i="24"/>
  <c r="I489" i="24"/>
  <c r="K489" i="24" s="1"/>
  <c r="K488" i="24"/>
  <c r="I488" i="24"/>
  <c r="K487" i="24"/>
  <c r="I487" i="24"/>
  <c r="I486" i="24"/>
  <c r="K486" i="24" s="1"/>
  <c r="K479" i="24"/>
  <c r="K477" i="24"/>
  <c r="G476" i="24"/>
  <c r="K476" i="24" s="1"/>
  <c r="G475" i="24"/>
  <c r="K475" i="24" s="1"/>
  <c r="K474" i="24"/>
  <c r="K473" i="24"/>
  <c r="K464" i="24"/>
  <c r="K465" i="24" s="1"/>
  <c r="K463" i="24"/>
  <c r="K462" i="24"/>
  <c r="K457" i="24"/>
  <c r="K455" i="24"/>
  <c r="K454" i="24"/>
  <c r="K458" i="24" s="1"/>
  <c r="K453" i="24"/>
  <c r="K452" i="24"/>
  <c r="K451" i="24"/>
  <c r="K446" i="24"/>
  <c r="K443" i="24"/>
  <c r="K447" i="24" s="1"/>
  <c r="K442" i="24"/>
  <c r="K441" i="24"/>
  <c r="K440" i="24"/>
  <c r="K432" i="24"/>
  <c r="K435" i="24" s="1"/>
  <c r="K431" i="24"/>
  <c r="K430" i="24"/>
  <c r="K429" i="24"/>
  <c r="K420" i="24"/>
  <c r="K419" i="24"/>
  <c r="K418" i="24"/>
  <c r="K417" i="24"/>
  <c r="K408" i="24"/>
  <c r="K406" i="24"/>
  <c r="K405" i="24"/>
  <c r="K404" i="24"/>
  <c r="K403" i="24"/>
  <c r="K402" i="24"/>
  <c r="K401" i="24"/>
  <c r="K400" i="24"/>
  <c r="K399" i="24"/>
  <c r="K398" i="24"/>
  <c r="K397" i="24"/>
  <c r="K396" i="24"/>
  <c r="K395" i="24"/>
  <c r="K394" i="24"/>
  <c r="K393" i="24"/>
  <c r="K392" i="24"/>
  <c r="K391" i="24"/>
  <c r="K390" i="24"/>
  <c r="K389" i="24"/>
  <c r="K388" i="24"/>
  <c r="K387" i="24"/>
  <c r="K386" i="24"/>
  <c r="K385" i="24"/>
  <c r="K384" i="24"/>
  <c r="K383" i="24"/>
  <c r="K382" i="24"/>
  <c r="K381" i="24"/>
  <c r="K380" i="24"/>
  <c r="K379" i="24"/>
  <c r="K378" i="24"/>
  <c r="K377" i="24"/>
  <c r="K376" i="24"/>
  <c r="K375" i="24"/>
  <c r="K374" i="24"/>
  <c r="K373" i="24"/>
  <c r="K372" i="24"/>
  <c r="K371" i="24"/>
  <c r="K370" i="24"/>
  <c r="K369" i="24"/>
  <c r="K368" i="24"/>
  <c r="K367" i="24"/>
  <c r="K366" i="24"/>
  <c r="K365" i="24"/>
  <c r="K364" i="24"/>
  <c r="K363" i="24"/>
  <c r="K354" i="24"/>
  <c r="K355" i="24" s="1"/>
  <c r="K353" i="24"/>
  <c r="K352" i="24"/>
  <c r="K351" i="24"/>
  <c r="K346" i="24"/>
  <c r="K342" i="24"/>
  <c r="K341" i="24"/>
  <c r="K340" i="24"/>
  <c r="K343" i="24" s="1"/>
  <c r="K347" i="24" s="1"/>
  <c r="K332" i="24"/>
  <c r="K331" i="24"/>
  <c r="K330" i="24"/>
  <c r="K329" i="24"/>
  <c r="K320" i="24"/>
  <c r="K319" i="24"/>
  <c r="K318" i="24"/>
  <c r="K321" i="24" s="1"/>
  <c r="K310" i="24"/>
  <c r="K314" i="24" s="1"/>
  <c r="K309" i="24"/>
  <c r="K308" i="24"/>
  <c r="K307" i="24"/>
  <c r="K306" i="24"/>
  <c r="K298" i="24"/>
  <c r="K301" i="24" s="1"/>
  <c r="K297" i="24"/>
  <c r="K296" i="24"/>
  <c r="K295" i="24"/>
  <c r="K291" i="24"/>
  <c r="K287" i="24"/>
  <c r="K290" i="24" s="1"/>
  <c r="K286" i="24"/>
  <c r="K285" i="24"/>
  <c r="K284" i="24"/>
  <c r="K283" i="24"/>
  <c r="K274" i="24"/>
  <c r="K273" i="24"/>
  <c r="K272" i="24"/>
  <c r="K271" i="24"/>
  <c r="K270" i="24"/>
  <c r="K269" i="24"/>
  <c r="K268" i="24"/>
  <c r="K267" i="24"/>
  <c r="K266" i="24"/>
  <c r="K265" i="24"/>
  <c r="K264" i="24"/>
  <c r="K263" i="24"/>
  <c r="K262" i="24"/>
  <c r="K261" i="24"/>
  <c r="K260" i="24"/>
  <c r="K259" i="24"/>
  <c r="K258" i="24"/>
  <c r="K257" i="24"/>
  <c r="K256" i="24"/>
  <c r="K255" i="24"/>
  <c r="K254" i="24"/>
  <c r="K253" i="24"/>
  <c r="K252" i="24"/>
  <c r="K251" i="24"/>
  <c r="K250" i="24"/>
  <c r="K249" i="24"/>
  <c r="K248" i="24"/>
  <c r="K247" i="24"/>
  <c r="K246" i="24"/>
  <c r="K245" i="24"/>
  <c r="K244" i="24"/>
  <c r="K243" i="24"/>
  <c r="K242" i="24"/>
  <c r="K241" i="24"/>
  <c r="K240" i="24"/>
  <c r="K239" i="24"/>
  <c r="K238" i="24"/>
  <c r="K237" i="24"/>
  <c r="K236" i="24"/>
  <c r="K235" i="24"/>
  <c r="K234" i="24"/>
  <c r="K233" i="24"/>
  <c r="K232" i="24"/>
  <c r="K231" i="24"/>
  <c r="K230" i="24"/>
  <c r="K229" i="24"/>
  <c r="K228" i="24"/>
  <c r="K227" i="24"/>
  <c r="K226" i="24"/>
  <c r="K225" i="24"/>
  <c r="K224" i="24"/>
  <c r="K223" i="24"/>
  <c r="K222" i="24"/>
  <c r="K275" i="24" s="1"/>
  <c r="K213" i="24"/>
  <c r="K212" i="24"/>
  <c r="K211" i="24"/>
  <c r="K214" i="24" s="1"/>
  <c r="K202" i="24"/>
  <c r="K201" i="24"/>
  <c r="K203" i="24" s="1"/>
  <c r="I201" i="24"/>
  <c r="K200" i="24"/>
  <c r="K191" i="24"/>
  <c r="K181" i="24"/>
  <c r="K172" i="24"/>
  <c r="K171" i="24"/>
  <c r="K170" i="24"/>
  <c r="H170" i="24"/>
  <c r="F170" i="24"/>
  <c r="F169" i="24"/>
  <c r="K169" i="24" s="1"/>
  <c r="K160" i="24"/>
  <c r="K159" i="24"/>
  <c r="K158" i="24"/>
  <c r="K157" i="24"/>
  <c r="K156" i="24"/>
  <c r="K155" i="24"/>
  <c r="K154" i="24"/>
  <c r="K145" i="24"/>
  <c r="K144" i="24"/>
  <c r="K143" i="24"/>
  <c r="K142" i="24"/>
  <c r="K141" i="24"/>
  <c r="K146" i="24" s="1"/>
  <c r="K140" i="24"/>
  <c r="K139" i="24"/>
  <c r="K130" i="24"/>
  <c r="K129" i="24"/>
  <c r="K128" i="24"/>
  <c r="K119" i="24"/>
  <c r="K120" i="24" s="1"/>
  <c r="K118" i="24"/>
  <c r="K114" i="24"/>
  <c r="K109" i="24"/>
  <c r="K108" i="24"/>
  <c r="K110" i="24" s="1"/>
  <c r="K113" i="24" s="1"/>
  <c r="K104" i="24"/>
  <c r="K103" i="24"/>
  <c r="K99" i="24"/>
  <c r="K98" i="24"/>
  <c r="K100" i="24" s="1"/>
  <c r="K89" i="24"/>
  <c r="E88" i="24"/>
  <c r="K88" i="24" s="1"/>
  <c r="K90" i="24" s="1"/>
  <c r="K80" i="24"/>
  <c r="K84" i="24" s="1"/>
  <c r="K79" i="24"/>
  <c r="K78" i="24"/>
  <c r="E78" i="24"/>
  <c r="K71" i="24"/>
  <c r="K69" i="24"/>
  <c r="K67" i="24"/>
  <c r="K66" i="24"/>
  <c r="K65" i="24"/>
  <c r="K64" i="24"/>
  <c r="K63" i="24"/>
  <c r="K62" i="24"/>
  <c r="C60" i="24"/>
  <c r="K57" i="24"/>
  <c r="K54" i="24"/>
  <c r="K58" i="24" s="1"/>
  <c r="K53" i="24"/>
  <c r="K52" i="24"/>
  <c r="K43" i="24"/>
  <c r="K42" i="24"/>
  <c r="K41" i="24"/>
  <c r="K40" i="24"/>
  <c r="K39" i="24"/>
  <c r="K38" i="24"/>
  <c r="K37" i="24"/>
  <c r="K36" i="24"/>
  <c r="K35" i="24"/>
  <c r="K34" i="24"/>
  <c r="K33" i="24"/>
  <c r="K32" i="24"/>
  <c r="K31" i="24"/>
  <c r="C29" i="24"/>
  <c r="K22" i="24"/>
  <c r="K21" i="24"/>
  <c r="K20" i="24"/>
  <c r="K19" i="24"/>
  <c r="K18" i="24"/>
  <c r="K17" i="24"/>
  <c r="K16" i="24"/>
  <c r="K15" i="24"/>
  <c r="K14" i="24"/>
  <c r="K13" i="24"/>
  <c r="K12" i="24"/>
  <c r="K11" i="24"/>
  <c r="K10" i="24"/>
  <c r="C8" i="24"/>
  <c r="J765" i="23"/>
  <c r="K765" i="23" s="1"/>
  <c r="J764" i="23"/>
  <c r="K764" i="23" s="1"/>
  <c r="J763" i="23"/>
  <c r="K763" i="23" s="1"/>
  <c r="J762" i="23"/>
  <c r="K762" i="23" s="1"/>
  <c r="K761" i="23"/>
  <c r="J761" i="23"/>
  <c r="J760" i="23"/>
  <c r="K760" i="23" s="1"/>
  <c r="J759" i="23"/>
  <c r="K759" i="23" s="1"/>
  <c r="J758" i="23"/>
  <c r="J757" i="23"/>
  <c r="J756" i="23"/>
  <c r="J755" i="23"/>
  <c r="H751" i="23"/>
  <c r="T714" i="23"/>
  <c r="T719" i="23" s="1"/>
  <c r="N692" i="23"/>
  <c r="N691" i="23"/>
  <c r="S681" i="23"/>
  <c r="R681" i="23"/>
  <c r="O681" i="23"/>
  <c r="N681" i="23"/>
  <c r="S680" i="23"/>
  <c r="R680" i="23"/>
  <c r="N680" i="23"/>
  <c r="S679" i="23"/>
  <c r="R679" i="23"/>
  <c r="O679" i="23"/>
  <c r="N679" i="23"/>
  <c r="S678" i="23"/>
  <c r="R678" i="23"/>
  <c r="O678" i="23"/>
  <c r="N678" i="23"/>
  <c r="S677" i="23"/>
  <c r="R677" i="23"/>
  <c r="O677" i="23"/>
  <c r="N677" i="23"/>
  <c r="S676" i="23"/>
  <c r="R676" i="23"/>
  <c r="O676" i="23"/>
  <c r="N676" i="23"/>
  <c r="S675" i="23"/>
  <c r="R675" i="23"/>
  <c r="O675" i="23"/>
  <c r="N675" i="23"/>
  <c r="S674" i="23"/>
  <c r="R674" i="23"/>
  <c r="O674" i="23"/>
  <c r="O673" i="23" s="1"/>
  <c r="N674" i="23"/>
  <c r="S672" i="23"/>
  <c r="R672" i="23"/>
  <c r="N672" i="23"/>
  <c r="H672" i="23"/>
  <c r="O672" i="23" s="1"/>
  <c r="S671" i="23"/>
  <c r="R671" i="23"/>
  <c r="N671" i="23"/>
  <c r="H671" i="23"/>
  <c r="O671" i="23" s="1"/>
  <c r="O670" i="23" s="1"/>
  <c r="R670" i="23"/>
  <c r="S669" i="23"/>
  <c r="R669" i="23"/>
  <c r="R668" i="23" s="1"/>
  <c r="O669" i="23"/>
  <c r="N669" i="23"/>
  <c r="N668" i="23" s="1"/>
  <c r="H669" i="23"/>
  <c r="S668" i="23"/>
  <c r="S667" i="23"/>
  <c r="R667" i="23"/>
  <c r="O667" i="23"/>
  <c r="N667" i="23"/>
  <c r="S666" i="23"/>
  <c r="R666" i="23"/>
  <c r="N666" i="23"/>
  <c r="H666" i="23"/>
  <c r="O666" i="23" s="1"/>
  <c r="S665" i="23"/>
  <c r="R665" i="23"/>
  <c r="N665" i="23"/>
  <c r="H665" i="23"/>
  <c r="O665" i="23" s="1"/>
  <c r="S664" i="23"/>
  <c r="R664" i="23"/>
  <c r="N664" i="23"/>
  <c r="H664" i="23"/>
  <c r="O664" i="23" s="1"/>
  <c r="S663" i="23"/>
  <c r="R663" i="23"/>
  <c r="O663" i="23"/>
  <c r="N663" i="23"/>
  <c r="H663" i="23"/>
  <c r="S662" i="23"/>
  <c r="R662" i="23"/>
  <c r="O662" i="23"/>
  <c r="N662" i="23"/>
  <c r="S661" i="23"/>
  <c r="R661" i="23"/>
  <c r="O661" i="23"/>
  <c r="N661" i="23"/>
  <c r="S660" i="23"/>
  <c r="R660" i="23"/>
  <c r="O660" i="23"/>
  <c r="N660" i="23"/>
  <c r="S659" i="23"/>
  <c r="R659" i="23"/>
  <c r="O659" i="23"/>
  <c r="N659" i="23"/>
  <c r="S658" i="23"/>
  <c r="R658" i="23"/>
  <c r="O658" i="23"/>
  <c r="N658" i="23"/>
  <c r="S657" i="23"/>
  <c r="R657" i="23"/>
  <c r="O657" i="23"/>
  <c r="N657" i="23"/>
  <c r="S656" i="23"/>
  <c r="R656" i="23"/>
  <c r="O656" i="23"/>
  <c r="N656" i="23"/>
  <c r="S655" i="23"/>
  <c r="R655" i="23"/>
  <c r="O655" i="23"/>
  <c r="N655" i="23"/>
  <c r="S653" i="23"/>
  <c r="R653" i="23"/>
  <c r="O653" i="23"/>
  <c r="N653" i="23"/>
  <c r="S652" i="23"/>
  <c r="R652" i="23"/>
  <c r="O652" i="23"/>
  <c r="N652" i="23"/>
  <c r="S651" i="23"/>
  <c r="R651" i="23"/>
  <c r="O651" i="23"/>
  <c r="N651" i="23"/>
  <c r="S650" i="23"/>
  <c r="R650" i="23"/>
  <c r="O650" i="23"/>
  <c r="N650" i="23"/>
  <c r="S649" i="23"/>
  <c r="R649" i="23"/>
  <c r="O649" i="23"/>
  <c r="N649" i="23"/>
  <c r="S648" i="23"/>
  <c r="R648" i="23"/>
  <c r="N648" i="23"/>
  <c r="H648" i="23"/>
  <c r="O648" i="23" s="1"/>
  <c r="S647" i="23"/>
  <c r="R647" i="23"/>
  <c r="N647" i="23"/>
  <c r="H647" i="23"/>
  <c r="O647" i="23" s="1"/>
  <c r="S646" i="23"/>
  <c r="R646" i="23"/>
  <c r="N646" i="23"/>
  <c r="H646" i="23"/>
  <c r="O646" i="23" s="1"/>
  <c r="S645" i="23"/>
  <c r="R645" i="23"/>
  <c r="O645" i="23"/>
  <c r="N645" i="23"/>
  <c r="H645" i="23"/>
  <c r="S644" i="23"/>
  <c r="R644" i="23"/>
  <c r="O644" i="23"/>
  <c r="N644" i="23"/>
  <c r="H644" i="23"/>
  <c r="S643" i="23"/>
  <c r="R643" i="23"/>
  <c r="N643" i="23"/>
  <c r="N632" i="23" s="1"/>
  <c r="H643" i="23"/>
  <c r="O643" i="23" s="1"/>
  <c r="S642" i="23"/>
  <c r="R642" i="23"/>
  <c r="N642" i="23"/>
  <c r="H642" i="23"/>
  <c r="O642" i="23" s="1"/>
  <c r="S641" i="23"/>
  <c r="R641" i="23"/>
  <c r="N641" i="23"/>
  <c r="H641" i="23"/>
  <c r="O641" i="23" s="1"/>
  <c r="S640" i="23"/>
  <c r="R640" i="23"/>
  <c r="O640" i="23"/>
  <c r="N640" i="23"/>
  <c r="S639" i="23"/>
  <c r="R639" i="23"/>
  <c r="O639" i="23"/>
  <c r="N639" i="23"/>
  <c r="S638" i="23"/>
  <c r="R638" i="23"/>
  <c r="O638" i="23"/>
  <c r="N638" i="23"/>
  <c r="S637" i="23"/>
  <c r="R637" i="23"/>
  <c r="O637" i="23"/>
  <c r="N637" i="23"/>
  <c r="S636" i="23"/>
  <c r="R636" i="23"/>
  <c r="O636" i="23"/>
  <c r="N636" i="23"/>
  <c r="S635" i="23"/>
  <c r="R635" i="23"/>
  <c r="O635" i="23"/>
  <c r="N635" i="23"/>
  <c r="S634" i="23"/>
  <c r="R634" i="23"/>
  <c r="O634" i="23"/>
  <c r="N634" i="23"/>
  <c r="H634" i="23"/>
  <c r="S633" i="23"/>
  <c r="R633" i="23"/>
  <c r="N633" i="23"/>
  <c r="H633" i="23"/>
  <c r="O633" i="23" s="1"/>
  <c r="S631" i="23"/>
  <c r="R631" i="23"/>
  <c r="O631" i="23"/>
  <c r="N631" i="23"/>
  <c r="S630" i="23"/>
  <c r="R630" i="23"/>
  <c r="O630" i="23"/>
  <c r="N630" i="23"/>
  <c r="S629" i="23"/>
  <c r="R629" i="23"/>
  <c r="O629" i="23"/>
  <c r="N629" i="23"/>
  <c r="S628" i="23"/>
  <c r="R628" i="23"/>
  <c r="O628" i="23"/>
  <c r="N628" i="23"/>
  <c r="S627" i="23"/>
  <c r="R627" i="23"/>
  <c r="O627" i="23"/>
  <c r="N627" i="23"/>
  <c r="S626" i="23"/>
  <c r="R626" i="23"/>
  <c r="R625" i="23" s="1"/>
  <c r="O626" i="23"/>
  <c r="N626" i="23"/>
  <c r="N625" i="23"/>
  <c r="S624" i="23"/>
  <c r="R624" i="23"/>
  <c r="O624" i="23"/>
  <c r="N624" i="23"/>
  <c r="S623" i="23"/>
  <c r="R623" i="23"/>
  <c r="O623" i="23"/>
  <c r="N623" i="23"/>
  <c r="S622" i="23"/>
  <c r="R622" i="23"/>
  <c r="R621" i="23" s="1"/>
  <c r="O622" i="23"/>
  <c r="N622" i="23"/>
  <c r="S621" i="23"/>
  <c r="N621" i="23"/>
  <c r="S620" i="23"/>
  <c r="R620" i="23"/>
  <c r="O620" i="23"/>
  <c r="N620" i="23"/>
  <c r="S619" i="23"/>
  <c r="R619" i="23"/>
  <c r="O619" i="23"/>
  <c r="N619" i="23"/>
  <c r="S618" i="23"/>
  <c r="R618" i="23"/>
  <c r="O618" i="23"/>
  <c r="N618" i="23"/>
  <c r="S617" i="23"/>
  <c r="R617" i="23"/>
  <c r="O617" i="23"/>
  <c r="N617" i="23"/>
  <c r="S616" i="23"/>
  <c r="R616" i="23"/>
  <c r="O616" i="23"/>
  <c r="N616" i="23"/>
  <c r="S615" i="23"/>
  <c r="R615" i="23"/>
  <c r="O615" i="23"/>
  <c r="N615" i="23"/>
  <c r="N609" i="23" s="1"/>
  <c r="S614" i="23"/>
  <c r="R614" i="23"/>
  <c r="O614" i="23"/>
  <c r="N614" i="23"/>
  <c r="S613" i="23"/>
  <c r="R613" i="23"/>
  <c r="O613" i="23"/>
  <c r="N613" i="23"/>
  <c r="S612" i="23"/>
  <c r="R612" i="23"/>
  <c r="O612" i="23"/>
  <c r="N612" i="23"/>
  <c r="S611" i="23"/>
  <c r="R611" i="23"/>
  <c r="O611" i="23"/>
  <c r="N611" i="23"/>
  <c r="S610" i="23"/>
  <c r="R610" i="23"/>
  <c r="O610" i="23"/>
  <c r="N610" i="23"/>
  <c r="S609" i="23"/>
  <c r="S608" i="23"/>
  <c r="R608" i="23"/>
  <c r="O608" i="23"/>
  <c r="N608" i="23"/>
  <c r="S607" i="23"/>
  <c r="R607" i="23"/>
  <c r="R605" i="23" s="1"/>
  <c r="O607" i="23"/>
  <c r="N607" i="23"/>
  <c r="S606" i="23"/>
  <c r="R606" i="23"/>
  <c r="O606" i="23"/>
  <c r="N606" i="23"/>
  <c r="N605" i="23"/>
  <c r="S604" i="23"/>
  <c r="R604" i="23"/>
  <c r="O604" i="23"/>
  <c r="N604" i="23"/>
  <c r="S603" i="23"/>
  <c r="R603" i="23"/>
  <c r="R599" i="23" s="1"/>
  <c r="O603" i="23"/>
  <c r="N603" i="23"/>
  <c r="S602" i="23"/>
  <c r="R602" i="23"/>
  <c r="O602" i="23"/>
  <c r="N602" i="23"/>
  <c r="S601" i="23"/>
  <c r="R601" i="23"/>
  <c r="O601" i="23"/>
  <c r="N601" i="23"/>
  <c r="N599" i="23" s="1"/>
  <c r="S600" i="23"/>
  <c r="R600" i="23"/>
  <c r="O600" i="23"/>
  <c r="N600" i="23"/>
  <c r="J599" i="23"/>
  <c r="S597" i="23"/>
  <c r="R597" i="23"/>
  <c r="Q597" i="23"/>
  <c r="O597" i="23"/>
  <c r="N597" i="23"/>
  <c r="S596" i="23"/>
  <c r="R596" i="23"/>
  <c r="Q596" i="23"/>
  <c r="O596" i="23"/>
  <c r="N596" i="23"/>
  <c r="N595" i="23" s="1"/>
  <c r="S595" i="23"/>
  <c r="Q595" i="23"/>
  <c r="S594" i="23"/>
  <c r="R594" i="23"/>
  <c r="Q594" i="23"/>
  <c r="O594" i="23"/>
  <c r="N594" i="23"/>
  <c r="S593" i="23"/>
  <c r="R593" i="23"/>
  <c r="Q593" i="23"/>
  <c r="O593" i="23"/>
  <c r="N593" i="23"/>
  <c r="S592" i="23"/>
  <c r="R592" i="23"/>
  <c r="Q592" i="23"/>
  <c r="O592" i="23"/>
  <c r="N592" i="23"/>
  <c r="S591" i="23"/>
  <c r="R591" i="23"/>
  <c r="Q591" i="23"/>
  <c r="O591" i="23"/>
  <c r="N591" i="23"/>
  <c r="S590" i="23"/>
  <c r="R590" i="23"/>
  <c r="Q590" i="23"/>
  <c r="O590" i="23"/>
  <c r="N590" i="23"/>
  <c r="S589" i="23"/>
  <c r="R589" i="23"/>
  <c r="Q589" i="23"/>
  <c r="O589" i="23"/>
  <c r="N589" i="23"/>
  <c r="S588" i="23"/>
  <c r="R588" i="23"/>
  <c r="Q588" i="23"/>
  <c r="O588" i="23"/>
  <c r="N588" i="23"/>
  <c r="S587" i="23"/>
  <c r="R587" i="23"/>
  <c r="Q587" i="23"/>
  <c r="O587" i="23"/>
  <c r="N587" i="23"/>
  <c r="S586" i="23"/>
  <c r="R586" i="23"/>
  <c r="Q586" i="23"/>
  <c r="O586" i="23"/>
  <c r="N586" i="23"/>
  <c r="S585" i="23"/>
  <c r="R585" i="23"/>
  <c r="Q585" i="23"/>
  <c r="O585" i="23"/>
  <c r="N585" i="23"/>
  <c r="S584" i="23"/>
  <c r="R584" i="23"/>
  <c r="Q584" i="23"/>
  <c r="O584" i="23"/>
  <c r="N584" i="23"/>
  <c r="S583" i="23"/>
  <c r="R583" i="23"/>
  <c r="Q583" i="23"/>
  <c r="O583" i="23"/>
  <c r="N583" i="23"/>
  <c r="S582" i="23"/>
  <c r="R582" i="23"/>
  <c r="Q582" i="23"/>
  <c r="O582" i="23"/>
  <c r="N582" i="23"/>
  <c r="S581" i="23"/>
  <c r="R581" i="23"/>
  <c r="Q581" i="23"/>
  <c r="O581" i="23"/>
  <c r="N581" i="23"/>
  <c r="S580" i="23"/>
  <c r="R580" i="23"/>
  <c r="Q580" i="23"/>
  <c r="O580" i="23"/>
  <c r="N580" i="23"/>
  <c r="S579" i="23"/>
  <c r="R579" i="23"/>
  <c r="Q579" i="23"/>
  <c r="O579" i="23"/>
  <c r="N579" i="23"/>
  <c r="S578" i="23"/>
  <c r="R578" i="23"/>
  <c r="Q578" i="23"/>
  <c r="O578" i="23"/>
  <c r="N578" i="23"/>
  <c r="S577" i="23"/>
  <c r="R577" i="23"/>
  <c r="Q577" i="23"/>
  <c r="O577" i="23"/>
  <c r="N577" i="23"/>
  <c r="S576" i="23"/>
  <c r="R576" i="23"/>
  <c r="Q576" i="23"/>
  <c r="O576" i="23"/>
  <c r="N576" i="23"/>
  <c r="S575" i="23"/>
  <c r="R575" i="23"/>
  <c r="Q575" i="23"/>
  <c r="O575" i="23"/>
  <c r="N575" i="23"/>
  <c r="E575" i="23"/>
  <c r="S574" i="23"/>
  <c r="R574" i="23"/>
  <c r="Q574" i="23"/>
  <c r="O574" i="23"/>
  <c r="N574" i="23"/>
  <c r="S573" i="23"/>
  <c r="S572" i="23"/>
  <c r="R572" i="23"/>
  <c r="Q572" i="23"/>
  <c r="O572" i="23"/>
  <c r="N572" i="23"/>
  <c r="S571" i="23"/>
  <c r="R571" i="23"/>
  <c r="Q571" i="23"/>
  <c r="O571" i="23"/>
  <c r="N571" i="23"/>
  <c r="S570" i="23"/>
  <c r="R570" i="23"/>
  <c r="Q570" i="23"/>
  <c r="O570" i="23"/>
  <c r="N570" i="23"/>
  <c r="S569" i="23"/>
  <c r="R569" i="23"/>
  <c r="Q569" i="23"/>
  <c r="O569" i="23"/>
  <c r="N569" i="23"/>
  <c r="S568" i="23"/>
  <c r="R568" i="23"/>
  <c r="Q568" i="23"/>
  <c r="O568" i="23"/>
  <c r="N568" i="23"/>
  <c r="S567" i="23"/>
  <c r="R567" i="23"/>
  <c r="Q567" i="23"/>
  <c r="O567" i="23"/>
  <c r="N567" i="23"/>
  <c r="S566" i="23"/>
  <c r="R566" i="23"/>
  <c r="Q566" i="23"/>
  <c r="O566" i="23"/>
  <c r="N566" i="23"/>
  <c r="S565" i="23"/>
  <c r="R565" i="23"/>
  <c r="Q565" i="23"/>
  <c r="O565" i="23"/>
  <c r="N565" i="23"/>
  <c r="S564" i="23"/>
  <c r="R564" i="23"/>
  <c r="Q564" i="23"/>
  <c r="O564" i="23"/>
  <c r="N564" i="23"/>
  <c r="S563" i="23"/>
  <c r="R563" i="23"/>
  <c r="R561" i="23" s="1"/>
  <c r="Q563" i="23"/>
  <c r="O563" i="23"/>
  <c r="N563" i="23"/>
  <c r="S562" i="23"/>
  <c r="R562" i="23"/>
  <c r="Q562" i="23"/>
  <c r="O562" i="23"/>
  <c r="N562" i="23"/>
  <c r="S561" i="23"/>
  <c r="N561" i="23"/>
  <c r="S560" i="23"/>
  <c r="R560" i="23"/>
  <c r="Q560" i="23"/>
  <c r="Q559" i="23" s="1"/>
  <c r="O560" i="23"/>
  <c r="N560" i="23"/>
  <c r="R559" i="23"/>
  <c r="O559" i="23"/>
  <c r="N559" i="23"/>
  <c r="S558" i="23"/>
  <c r="R558" i="23"/>
  <c r="Q558" i="23"/>
  <c r="O558" i="23"/>
  <c r="N558" i="23"/>
  <c r="S557" i="23"/>
  <c r="R557" i="23"/>
  <c r="Q557" i="23"/>
  <c r="O557" i="23"/>
  <c r="N557" i="23"/>
  <c r="S556" i="23"/>
  <c r="R556" i="23"/>
  <c r="Q556" i="23"/>
  <c r="O556" i="23"/>
  <c r="N556" i="23"/>
  <c r="S555" i="23"/>
  <c r="R555" i="23"/>
  <c r="Q555" i="23"/>
  <c r="O555" i="23"/>
  <c r="N555" i="23"/>
  <c r="S554" i="23"/>
  <c r="R554" i="23"/>
  <c r="Q554" i="23"/>
  <c r="O554" i="23"/>
  <c r="N554" i="23"/>
  <c r="S553" i="23"/>
  <c r="R553" i="23"/>
  <c r="Q553" i="23"/>
  <c r="O553" i="23"/>
  <c r="N553" i="23"/>
  <c r="S552" i="23"/>
  <c r="R552" i="23"/>
  <c r="Q552" i="23"/>
  <c r="O552" i="23"/>
  <c r="N552" i="23"/>
  <c r="S551" i="23"/>
  <c r="R551" i="23"/>
  <c r="Q551" i="23"/>
  <c r="O551" i="23"/>
  <c r="N551" i="23"/>
  <c r="S550" i="23"/>
  <c r="R550" i="23"/>
  <c r="Q550" i="23"/>
  <c r="O550" i="23"/>
  <c r="N550" i="23"/>
  <c r="S549" i="23"/>
  <c r="R549" i="23"/>
  <c r="Q549" i="23"/>
  <c r="O549" i="23"/>
  <c r="N549" i="23"/>
  <c r="S548" i="23"/>
  <c r="R548" i="23"/>
  <c r="Q548" i="23"/>
  <c r="O548" i="23"/>
  <c r="N548" i="23"/>
  <c r="S547" i="23"/>
  <c r="R547" i="23"/>
  <c r="Q547" i="23"/>
  <c r="O547" i="23"/>
  <c r="N547" i="23"/>
  <c r="S546" i="23"/>
  <c r="R546" i="23"/>
  <c r="Q546" i="23"/>
  <c r="O546" i="23"/>
  <c r="N546" i="23"/>
  <c r="S545" i="23"/>
  <c r="R545" i="23"/>
  <c r="Q545" i="23"/>
  <c r="O545" i="23"/>
  <c r="N545" i="23"/>
  <c r="S544" i="23"/>
  <c r="R544" i="23"/>
  <c r="Q544" i="23"/>
  <c r="O544" i="23"/>
  <c r="N544" i="23"/>
  <c r="S543" i="23"/>
  <c r="R543" i="23"/>
  <c r="Q543" i="23"/>
  <c r="O543" i="23"/>
  <c r="N543" i="23"/>
  <c r="S542" i="23"/>
  <c r="R542" i="23"/>
  <c r="Q542" i="23"/>
  <c r="O542" i="23"/>
  <c r="N542" i="23"/>
  <c r="S541" i="23"/>
  <c r="R541" i="23"/>
  <c r="Q541" i="23"/>
  <c r="O541" i="23"/>
  <c r="N541" i="23"/>
  <c r="S540" i="23"/>
  <c r="R540" i="23"/>
  <c r="Q540" i="23"/>
  <c r="O540" i="23"/>
  <c r="N540" i="23"/>
  <c r="S539" i="23"/>
  <c r="R539" i="23"/>
  <c r="Q539" i="23"/>
  <c r="O539" i="23"/>
  <c r="N539" i="23"/>
  <c r="S538" i="23"/>
  <c r="R538" i="23"/>
  <c r="Q538" i="23"/>
  <c r="O538" i="23"/>
  <c r="N538" i="23"/>
  <c r="S537" i="23"/>
  <c r="R537" i="23"/>
  <c r="Q537" i="23"/>
  <c r="O537" i="23"/>
  <c r="N537" i="23"/>
  <c r="S536" i="23"/>
  <c r="R536" i="23"/>
  <c r="Q536" i="23"/>
  <c r="O536" i="23"/>
  <c r="N536" i="23"/>
  <c r="S535" i="23"/>
  <c r="R535" i="23"/>
  <c r="Q535" i="23"/>
  <c r="O535" i="23"/>
  <c r="N535" i="23"/>
  <c r="S534" i="23"/>
  <c r="R534" i="23"/>
  <c r="Q534" i="23"/>
  <c r="O534" i="23"/>
  <c r="N534" i="23"/>
  <c r="S533" i="23"/>
  <c r="R533" i="23"/>
  <c r="Q533" i="23"/>
  <c r="O533" i="23"/>
  <c r="N533" i="23"/>
  <c r="S532" i="23"/>
  <c r="R532" i="23"/>
  <c r="Q532" i="23"/>
  <c r="O532" i="23"/>
  <c r="N532" i="23"/>
  <c r="S531" i="23"/>
  <c r="R531" i="23"/>
  <c r="Q531" i="23"/>
  <c r="O531" i="23"/>
  <c r="N531" i="23"/>
  <c r="S530" i="23"/>
  <c r="R530" i="23"/>
  <c r="Q530" i="23"/>
  <c r="O530" i="23"/>
  <c r="N530" i="23"/>
  <c r="S529" i="23"/>
  <c r="R529" i="23"/>
  <c r="Q529" i="23"/>
  <c r="O529" i="23"/>
  <c r="N529" i="23"/>
  <c r="S528" i="23"/>
  <c r="R528" i="23"/>
  <c r="Q528" i="23"/>
  <c r="O528" i="23"/>
  <c r="N528" i="23"/>
  <c r="R527" i="23"/>
  <c r="S526" i="23"/>
  <c r="R526" i="23"/>
  <c r="Q526" i="23"/>
  <c r="O526" i="23"/>
  <c r="N526" i="23"/>
  <c r="S525" i="23"/>
  <c r="R525" i="23"/>
  <c r="Q525" i="23"/>
  <c r="O525" i="23"/>
  <c r="N525" i="23"/>
  <c r="S524" i="23"/>
  <c r="R524" i="23"/>
  <c r="Q524" i="23"/>
  <c r="O524" i="23"/>
  <c r="N524" i="23"/>
  <c r="S523" i="23"/>
  <c r="R523" i="23"/>
  <c r="Q523" i="23"/>
  <c r="O523" i="23"/>
  <c r="N523" i="23"/>
  <c r="S522" i="23"/>
  <c r="R522" i="23"/>
  <c r="Q522" i="23"/>
  <c r="O522" i="23"/>
  <c r="N522" i="23"/>
  <c r="S521" i="23"/>
  <c r="R521" i="23"/>
  <c r="Q521" i="23"/>
  <c r="O521" i="23"/>
  <c r="N521" i="23"/>
  <c r="S520" i="23"/>
  <c r="R520" i="23"/>
  <c r="Q520" i="23"/>
  <c r="O520" i="23"/>
  <c r="N520" i="23"/>
  <c r="S519" i="23"/>
  <c r="R519" i="23"/>
  <c r="Q519" i="23"/>
  <c r="O519" i="23"/>
  <c r="N519" i="23"/>
  <c r="S518" i="23"/>
  <c r="R518" i="23"/>
  <c r="Q518" i="23"/>
  <c r="O518" i="23"/>
  <c r="N518" i="23"/>
  <c r="S517" i="23"/>
  <c r="R517" i="23"/>
  <c r="Q517" i="23"/>
  <c r="O517" i="23"/>
  <c r="N517" i="23"/>
  <c r="S516" i="23"/>
  <c r="R516" i="23"/>
  <c r="R515" i="23" s="1"/>
  <c r="R514" i="23" s="1"/>
  <c r="Q516" i="23"/>
  <c r="O516" i="23"/>
  <c r="N516" i="23"/>
  <c r="S513" i="23"/>
  <c r="R513" i="23"/>
  <c r="Q513" i="23"/>
  <c r="O513" i="23"/>
  <c r="N513" i="23"/>
  <c r="S512" i="23"/>
  <c r="R512" i="23"/>
  <c r="Q512" i="23"/>
  <c r="O512" i="23"/>
  <c r="N512" i="23"/>
  <c r="S511" i="23"/>
  <c r="R511" i="23"/>
  <c r="Q511" i="23"/>
  <c r="O511" i="23"/>
  <c r="N511" i="23"/>
  <c r="S510" i="23"/>
  <c r="R510" i="23"/>
  <c r="Q510" i="23"/>
  <c r="O510" i="23"/>
  <c r="N510" i="23"/>
  <c r="S509" i="23"/>
  <c r="R509" i="23"/>
  <c r="Q509" i="23"/>
  <c r="O509" i="23"/>
  <c r="N509" i="23"/>
  <c r="S508" i="23"/>
  <c r="R508" i="23"/>
  <c r="Q508" i="23"/>
  <c r="O508" i="23"/>
  <c r="N508" i="23"/>
  <c r="S507" i="23"/>
  <c r="R507" i="23"/>
  <c r="Q507" i="23"/>
  <c r="O507" i="23"/>
  <c r="N507" i="23"/>
  <c r="S506" i="23"/>
  <c r="R506" i="23"/>
  <c r="Q506" i="23"/>
  <c r="O506" i="23"/>
  <c r="N506" i="23"/>
  <c r="S505" i="23"/>
  <c r="R505" i="23"/>
  <c r="Q505" i="23"/>
  <c r="O505" i="23"/>
  <c r="N505" i="23"/>
  <c r="S504" i="23"/>
  <c r="R504" i="23"/>
  <c r="Q504" i="23"/>
  <c r="O504" i="23"/>
  <c r="N504" i="23"/>
  <c r="S503" i="23"/>
  <c r="R503" i="23"/>
  <c r="Q503" i="23"/>
  <c r="O503" i="23"/>
  <c r="N503" i="23"/>
  <c r="S502" i="23"/>
  <c r="R502" i="23"/>
  <c r="Q502" i="23"/>
  <c r="O502" i="23"/>
  <c r="N502" i="23"/>
  <c r="S501" i="23"/>
  <c r="R501" i="23"/>
  <c r="Q501" i="23"/>
  <c r="O501" i="23"/>
  <c r="N501" i="23"/>
  <c r="S500" i="23"/>
  <c r="R500" i="23"/>
  <c r="Q500" i="23"/>
  <c r="O500" i="23"/>
  <c r="N500" i="23"/>
  <c r="S499" i="23"/>
  <c r="R499" i="23"/>
  <c r="Q499" i="23"/>
  <c r="O499" i="23"/>
  <c r="N499" i="23"/>
  <c r="S498" i="23"/>
  <c r="R498" i="23"/>
  <c r="Q498" i="23"/>
  <c r="O498" i="23"/>
  <c r="N498" i="23"/>
  <c r="S497" i="23"/>
  <c r="R497" i="23"/>
  <c r="Q497" i="23"/>
  <c r="O497" i="23"/>
  <c r="N497" i="23"/>
  <c r="S496" i="23"/>
  <c r="R496" i="23"/>
  <c r="Q496" i="23"/>
  <c r="O496" i="23"/>
  <c r="N496" i="23"/>
  <c r="S495" i="23"/>
  <c r="R495" i="23"/>
  <c r="Q495" i="23"/>
  <c r="O495" i="23"/>
  <c r="N495" i="23"/>
  <c r="S493" i="23"/>
  <c r="R493" i="23"/>
  <c r="Q493" i="23"/>
  <c r="Q489" i="23" s="1"/>
  <c r="O493" i="23"/>
  <c r="N493" i="23"/>
  <c r="S492" i="23"/>
  <c r="R492" i="23"/>
  <c r="R489" i="23" s="1"/>
  <c r="Q492" i="23"/>
  <c r="O492" i="23"/>
  <c r="N492" i="23"/>
  <c r="S491" i="23"/>
  <c r="R491" i="23"/>
  <c r="Q491" i="23"/>
  <c r="O491" i="23"/>
  <c r="N491" i="23"/>
  <c r="S490" i="23"/>
  <c r="R490" i="23"/>
  <c r="Q490" i="23"/>
  <c r="O490" i="23"/>
  <c r="N490" i="23"/>
  <c r="S487" i="23"/>
  <c r="R487" i="23"/>
  <c r="Q487" i="23"/>
  <c r="O487" i="23"/>
  <c r="N487" i="23"/>
  <c r="S486" i="23"/>
  <c r="R486" i="23"/>
  <c r="Q486" i="23"/>
  <c r="O486" i="23"/>
  <c r="N486" i="23"/>
  <c r="S485" i="23"/>
  <c r="R485" i="23"/>
  <c r="Q485" i="23"/>
  <c r="O485" i="23"/>
  <c r="N485" i="23"/>
  <c r="S484" i="23"/>
  <c r="R484" i="23"/>
  <c r="Q484" i="23"/>
  <c r="O484" i="23"/>
  <c r="N484" i="23"/>
  <c r="S483" i="23"/>
  <c r="R483" i="23"/>
  <c r="Q483" i="23"/>
  <c r="N483" i="23"/>
  <c r="H483" i="23"/>
  <c r="O483" i="23" s="1"/>
  <c r="G483" i="23"/>
  <c r="S482" i="23"/>
  <c r="R482" i="23"/>
  <c r="R481" i="23" s="1"/>
  <c r="Q482" i="23"/>
  <c r="O482" i="23"/>
  <c r="N482" i="23"/>
  <c r="S480" i="23"/>
  <c r="R480" i="23"/>
  <c r="Q480" i="23"/>
  <c r="O480" i="23"/>
  <c r="N480" i="23"/>
  <c r="S479" i="23"/>
  <c r="R479" i="23"/>
  <c r="Q479" i="23"/>
  <c r="O479" i="23"/>
  <c r="N479" i="23"/>
  <c r="S478" i="23"/>
  <c r="R478" i="23"/>
  <c r="Q478" i="23"/>
  <c r="O478" i="23"/>
  <c r="N478" i="23"/>
  <c r="S477" i="23"/>
  <c r="R477" i="23"/>
  <c r="Q477" i="23"/>
  <c r="O477" i="23"/>
  <c r="N477" i="23"/>
  <c r="S476" i="23"/>
  <c r="R476" i="23"/>
  <c r="Q476" i="23"/>
  <c r="O476" i="23"/>
  <c r="N476" i="23"/>
  <c r="S475" i="23"/>
  <c r="R475" i="23"/>
  <c r="Q475" i="23"/>
  <c r="O475" i="23"/>
  <c r="N475" i="23"/>
  <c r="S474" i="23"/>
  <c r="R474" i="23"/>
  <c r="Q474" i="23"/>
  <c r="O474" i="23"/>
  <c r="N474" i="23"/>
  <c r="S473" i="23"/>
  <c r="R473" i="23"/>
  <c r="Q473" i="23"/>
  <c r="O473" i="23"/>
  <c r="N473" i="23"/>
  <c r="S472" i="23"/>
  <c r="R472" i="23"/>
  <c r="Q472" i="23"/>
  <c r="O472" i="23"/>
  <c r="N472" i="23"/>
  <c r="S471" i="23"/>
  <c r="R471" i="23"/>
  <c r="Q471" i="23"/>
  <c r="O471" i="23"/>
  <c r="N471" i="23"/>
  <c r="S470" i="23"/>
  <c r="R470" i="23"/>
  <c r="Q470" i="23"/>
  <c r="O470" i="23"/>
  <c r="N470" i="23"/>
  <c r="S469" i="23"/>
  <c r="R469" i="23"/>
  <c r="O469" i="23"/>
  <c r="N469" i="23"/>
  <c r="S468" i="23"/>
  <c r="R468" i="23"/>
  <c r="Q468" i="23"/>
  <c r="O468" i="23"/>
  <c r="N468" i="23"/>
  <c r="S467" i="23"/>
  <c r="R467" i="23"/>
  <c r="Q467" i="23"/>
  <c r="O467" i="23"/>
  <c r="N467" i="23"/>
  <c r="S466" i="23"/>
  <c r="R466" i="23"/>
  <c r="Q466" i="23"/>
  <c r="O466" i="23"/>
  <c r="N466" i="23"/>
  <c r="S465" i="23"/>
  <c r="R465" i="23"/>
  <c r="Q465" i="23"/>
  <c r="O465" i="23"/>
  <c r="N465" i="23"/>
  <c r="S464" i="23"/>
  <c r="R464" i="23"/>
  <c r="Q464" i="23"/>
  <c r="O464" i="23"/>
  <c r="N464" i="23"/>
  <c r="S463" i="23"/>
  <c r="R463" i="23"/>
  <c r="Q463" i="23"/>
  <c r="O463" i="23"/>
  <c r="N463" i="23"/>
  <c r="S462" i="23"/>
  <c r="R462" i="23"/>
  <c r="Q462" i="23"/>
  <c r="O462" i="23"/>
  <c r="N462" i="23"/>
  <c r="S461" i="23"/>
  <c r="R461" i="23"/>
  <c r="Q461" i="23"/>
  <c r="O461" i="23"/>
  <c r="N461" i="23"/>
  <c r="S460" i="23"/>
  <c r="R460" i="23"/>
  <c r="Q460" i="23"/>
  <c r="O460" i="23"/>
  <c r="N460" i="23"/>
  <c r="S459" i="23"/>
  <c r="R459" i="23"/>
  <c r="Q459" i="23"/>
  <c r="O459" i="23"/>
  <c r="N459" i="23"/>
  <c r="S458" i="23"/>
  <c r="R458" i="23"/>
  <c r="Q458" i="23"/>
  <c r="O458" i="23"/>
  <c r="N458" i="23"/>
  <c r="S457" i="23"/>
  <c r="R457" i="23"/>
  <c r="Q457" i="23"/>
  <c r="O457" i="23"/>
  <c r="N457" i="23"/>
  <c r="S456" i="23"/>
  <c r="R456" i="23"/>
  <c r="Q456" i="23"/>
  <c r="O456" i="23"/>
  <c r="N456" i="23"/>
  <c r="S455" i="23"/>
  <c r="R455" i="23"/>
  <c r="Q455" i="23"/>
  <c r="O455" i="23"/>
  <c r="N455" i="23"/>
  <c r="S454" i="23"/>
  <c r="R454" i="23"/>
  <c r="Q454" i="23"/>
  <c r="O454" i="23"/>
  <c r="N454" i="23"/>
  <c r="S453" i="23"/>
  <c r="R453" i="23"/>
  <c r="Q453" i="23"/>
  <c r="O453" i="23"/>
  <c r="N453" i="23"/>
  <c r="S452" i="23"/>
  <c r="R452" i="23"/>
  <c r="Q452" i="23"/>
  <c r="O452" i="23"/>
  <c r="N452" i="23"/>
  <c r="S451" i="23"/>
  <c r="R451" i="23"/>
  <c r="Q451" i="23"/>
  <c r="O451" i="23"/>
  <c r="N451" i="23"/>
  <c r="S450" i="23"/>
  <c r="R450" i="23"/>
  <c r="Q450" i="23"/>
  <c r="O450" i="23"/>
  <c r="N450" i="23"/>
  <c r="S449" i="23"/>
  <c r="R449" i="23"/>
  <c r="Q449" i="23"/>
  <c r="O449" i="23"/>
  <c r="N449" i="23"/>
  <c r="S448" i="23"/>
  <c r="R448" i="23"/>
  <c r="Q448" i="23"/>
  <c r="O448" i="23"/>
  <c r="N448" i="23"/>
  <c r="S447" i="23"/>
  <c r="R447" i="23"/>
  <c r="Q447" i="23"/>
  <c r="O447" i="23"/>
  <c r="N447" i="23"/>
  <c r="S446" i="23"/>
  <c r="R446" i="23"/>
  <c r="Q446" i="23"/>
  <c r="O446" i="23"/>
  <c r="N446" i="23"/>
  <c r="S445" i="23"/>
  <c r="R445" i="23"/>
  <c r="Q445" i="23"/>
  <c r="O445" i="23"/>
  <c r="N445" i="23"/>
  <c r="S444" i="23"/>
  <c r="R444" i="23"/>
  <c r="Q444" i="23"/>
  <c r="O444" i="23"/>
  <c r="N444" i="23"/>
  <c r="S443" i="23"/>
  <c r="R443" i="23"/>
  <c r="Q443" i="23"/>
  <c r="O443" i="23"/>
  <c r="N443" i="23"/>
  <c r="S442" i="23"/>
  <c r="R442" i="23"/>
  <c r="Q442" i="23"/>
  <c r="O442" i="23"/>
  <c r="N442" i="23"/>
  <c r="S441" i="23"/>
  <c r="R441" i="23"/>
  <c r="Q441" i="23"/>
  <c r="O441" i="23"/>
  <c r="N441" i="23"/>
  <c r="S440" i="23"/>
  <c r="R440" i="23"/>
  <c r="Q440" i="23"/>
  <c r="O440" i="23"/>
  <c r="N440" i="23"/>
  <c r="S439" i="23"/>
  <c r="R439" i="23"/>
  <c r="Q439" i="23"/>
  <c r="O439" i="23"/>
  <c r="N439" i="23"/>
  <c r="S438" i="23"/>
  <c r="R438" i="23"/>
  <c r="Q438" i="23"/>
  <c r="O438" i="23"/>
  <c r="N438" i="23"/>
  <c r="S437" i="23"/>
  <c r="R437" i="23"/>
  <c r="Q437" i="23"/>
  <c r="O437" i="23"/>
  <c r="N437" i="23"/>
  <c r="S436" i="23"/>
  <c r="R436" i="23"/>
  <c r="Q436" i="23"/>
  <c r="O436" i="23"/>
  <c r="N436" i="23"/>
  <c r="S435" i="23"/>
  <c r="R435" i="23"/>
  <c r="Q435" i="23"/>
  <c r="O435" i="23"/>
  <c r="N435" i="23"/>
  <c r="S434" i="23"/>
  <c r="R434" i="23"/>
  <c r="Q434" i="23"/>
  <c r="O434" i="23"/>
  <c r="N434" i="23"/>
  <c r="S433" i="23"/>
  <c r="R433" i="23"/>
  <c r="Q433" i="23"/>
  <c r="O433" i="23"/>
  <c r="N433" i="23"/>
  <c r="S432" i="23"/>
  <c r="R432" i="23"/>
  <c r="Q432" i="23"/>
  <c r="O432" i="23"/>
  <c r="N432" i="23"/>
  <c r="S431" i="23"/>
  <c r="R431" i="23"/>
  <c r="Q431" i="23"/>
  <c r="O431" i="23"/>
  <c r="N431" i="23"/>
  <c r="S430" i="23"/>
  <c r="R430" i="23"/>
  <c r="Q430" i="23"/>
  <c r="O430" i="23"/>
  <c r="N430" i="23"/>
  <c r="S429" i="23"/>
  <c r="R429" i="23"/>
  <c r="R410" i="23" s="1"/>
  <c r="Q429" i="23"/>
  <c r="O429" i="23"/>
  <c r="N429" i="23"/>
  <c r="S428" i="23"/>
  <c r="R428" i="23"/>
  <c r="Q428" i="23"/>
  <c r="O428" i="23"/>
  <c r="N428" i="23"/>
  <c r="S427" i="23"/>
  <c r="R427" i="23"/>
  <c r="Q427" i="23"/>
  <c r="O427" i="23"/>
  <c r="N427" i="23"/>
  <c r="S426" i="23"/>
  <c r="R426" i="23"/>
  <c r="Q426" i="23"/>
  <c r="O426" i="23"/>
  <c r="N426" i="23"/>
  <c r="S425" i="23"/>
  <c r="R425" i="23"/>
  <c r="Q425" i="23"/>
  <c r="O425" i="23"/>
  <c r="N425" i="23"/>
  <c r="S424" i="23"/>
  <c r="R424" i="23"/>
  <c r="Q424" i="23"/>
  <c r="O424" i="23"/>
  <c r="N424" i="23"/>
  <c r="S423" i="23"/>
  <c r="R423" i="23"/>
  <c r="Q423" i="23"/>
  <c r="O423" i="23"/>
  <c r="N423" i="23"/>
  <c r="S422" i="23"/>
  <c r="R422" i="23"/>
  <c r="Q422" i="23"/>
  <c r="O422" i="23"/>
  <c r="N422" i="23"/>
  <c r="S421" i="23"/>
  <c r="R421" i="23"/>
  <c r="Q421" i="23"/>
  <c r="O421" i="23"/>
  <c r="N421" i="23"/>
  <c r="S420" i="23"/>
  <c r="R420" i="23"/>
  <c r="Q420" i="23"/>
  <c r="O420" i="23"/>
  <c r="N420" i="23"/>
  <c r="S419" i="23"/>
  <c r="R419" i="23"/>
  <c r="Q419" i="23"/>
  <c r="O419" i="23"/>
  <c r="N419" i="23"/>
  <c r="S418" i="23"/>
  <c r="R418" i="23"/>
  <c r="Q418" i="23"/>
  <c r="O418" i="23"/>
  <c r="N418" i="23"/>
  <c r="S417" i="23"/>
  <c r="R417" i="23"/>
  <c r="Q417" i="23"/>
  <c r="O417" i="23"/>
  <c r="N417" i="23"/>
  <c r="S416" i="23"/>
  <c r="R416" i="23"/>
  <c r="Q416" i="23"/>
  <c r="O416" i="23"/>
  <c r="N416" i="23"/>
  <c r="S415" i="23"/>
  <c r="R415" i="23"/>
  <c r="Q415" i="23"/>
  <c r="O415" i="23"/>
  <c r="N415" i="23"/>
  <c r="S414" i="23"/>
  <c r="R414" i="23"/>
  <c r="Q414" i="23"/>
  <c r="O414" i="23"/>
  <c r="N414" i="23"/>
  <c r="S413" i="23"/>
  <c r="R413" i="23"/>
  <c r="Q413" i="23"/>
  <c r="O413" i="23"/>
  <c r="N413" i="23"/>
  <c r="S412" i="23"/>
  <c r="R412" i="23"/>
  <c r="Q412" i="23"/>
  <c r="O412" i="23"/>
  <c r="N412" i="23"/>
  <c r="S411" i="23"/>
  <c r="R411" i="23"/>
  <c r="Q411" i="23"/>
  <c r="O411" i="23"/>
  <c r="N411" i="23"/>
  <c r="S409" i="23"/>
  <c r="R409" i="23"/>
  <c r="Q409" i="23"/>
  <c r="O409" i="23"/>
  <c r="N409" i="23"/>
  <c r="S408" i="23"/>
  <c r="R408" i="23"/>
  <c r="Q408" i="23"/>
  <c r="G408" i="23"/>
  <c r="S407" i="23"/>
  <c r="R407" i="23"/>
  <c r="Q407" i="23"/>
  <c r="O407" i="23"/>
  <c r="N407" i="23"/>
  <c r="S406" i="23"/>
  <c r="R406" i="23"/>
  <c r="Q406" i="23"/>
  <c r="O406" i="23"/>
  <c r="N406" i="23"/>
  <c r="S405" i="23"/>
  <c r="R405" i="23"/>
  <c r="Q405" i="23"/>
  <c r="O405" i="23"/>
  <c r="N405" i="23"/>
  <c r="S404" i="23"/>
  <c r="R404" i="23"/>
  <c r="Q404" i="23"/>
  <c r="N404" i="23"/>
  <c r="G404" i="23"/>
  <c r="H404" i="23" s="1"/>
  <c r="O404" i="23" s="1"/>
  <c r="S403" i="23"/>
  <c r="R403" i="23"/>
  <c r="Q403" i="23"/>
  <c r="O403" i="23"/>
  <c r="N403" i="23"/>
  <c r="S402" i="23"/>
  <c r="R402" i="23"/>
  <c r="Q402" i="23"/>
  <c r="O402" i="23"/>
  <c r="N402" i="23"/>
  <c r="S401" i="23"/>
  <c r="R401" i="23"/>
  <c r="Q401" i="23"/>
  <c r="O401" i="23"/>
  <c r="N401" i="23"/>
  <c r="S400" i="23"/>
  <c r="R400" i="23"/>
  <c r="Q400" i="23"/>
  <c r="O400" i="23"/>
  <c r="N400" i="23"/>
  <c r="S399" i="23"/>
  <c r="R399" i="23"/>
  <c r="Q399" i="23"/>
  <c r="O399" i="23"/>
  <c r="N399" i="23"/>
  <c r="S397" i="23"/>
  <c r="R397" i="23"/>
  <c r="Q397" i="23"/>
  <c r="O397" i="23"/>
  <c r="N397" i="23"/>
  <c r="S396" i="23"/>
  <c r="R396" i="23"/>
  <c r="Q396" i="23"/>
  <c r="O396" i="23"/>
  <c r="N396" i="23"/>
  <c r="S395" i="23"/>
  <c r="R395" i="23"/>
  <c r="Q395" i="23"/>
  <c r="O395" i="23"/>
  <c r="N395" i="23"/>
  <c r="S394" i="23"/>
  <c r="R394" i="23"/>
  <c r="Q394" i="23"/>
  <c r="O394" i="23"/>
  <c r="N394" i="23"/>
  <c r="S393" i="23"/>
  <c r="R393" i="23"/>
  <c r="Q393" i="23"/>
  <c r="O393" i="23"/>
  <c r="N393" i="23"/>
  <c r="S392" i="23"/>
  <c r="R392" i="23"/>
  <c r="Q392" i="23"/>
  <c r="O392" i="23"/>
  <c r="N392" i="23"/>
  <c r="S391" i="23"/>
  <c r="R391" i="23"/>
  <c r="Q391" i="23"/>
  <c r="O391" i="23"/>
  <c r="N391" i="23"/>
  <c r="S390" i="23"/>
  <c r="R390" i="23"/>
  <c r="Q390" i="23"/>
  <c r="O390" i="23"/>
  <c r="N390" i="23"/>
  <c r="S389" i="23"/>
  <c r="R389" i="23"/>
  <c r="Q389" i="23"/>
  <c r="O389" i="23"/>
  <c r="N389" i="23"/>
  <c r="S388" i="23"/>
  <c r="R388" i="23"/>
  <c r="Q388" i="23"/>
  <c r="O388" i="23"/>
  <c r="N388" i="23"/>
  <c r="S387" i="23"/>
  <c r="R387" i="23"/>
  <c r="Q387" i="23"/>
  <c r="O387" i="23"/>
  <c r="N387" i="23"/>
  <c r="S386" i="23"/>
  <c r="R386" i="23"/>
  <c r="Q386" i="23"/>
  <c r="O386" i="23"/>
  <c r="N386" i="23"/>
  <c r="S385" i="23"/>
  <c r="R385" i="23"/>
  <c r="Q385" i="23"/>
  <c r="O385" i="23"/>
  <c r="N385" i="23"/>
  <c r="S384" i="23"/>
  <c r="R384" i="23"/>
  <c r="Q384" i="23"/>
  <c r="O384" i="23"/>
  <c r="N384" i="23"/>
  <c r="S383" i="23"/>
  <c r="R383" i="23"/>
  <c r="Q383" i="23"/>
  <c r="O383" i="23"/>
  <c r="N383" i="23"/>
  <c r="S382" i="23"/>
  <c r="R382" i="23"/>
  <c r="Q382" i="23"/>
  <c r="O382" i="23"/>
  <c r="N382" i="23"/>
  <c r="S381" i="23"/>
  <c r="R381" i="23"/>
  <c r="Q381" i="23"/>
  <c r="O381" i="23"/>
  <c r="N381" i="23"/>
  <c r="S380" i="23"/>
  <c r="R380" i="23"/>
  <c r="Q380" i="23"/>
  <c r="O380" i="23"/>
  <c r="N380" i="23"/>
  <c r="S379" i="23"/>
  <c r="R379" i="23"/>
  <c r="Q379" i="23"/>
  <c r="O379" i="23"/>
  <c r="N379" i="23"/>
  <c r="S378" i="23"/>
  <c r="R378" i="23"/>
  <c r="Q378" i="23"/>
  <c r="O378" i="23"/>
  <c r="N378" i="23"/>
  <c r="S377" i="23"/>
  <c r="R377" i="23"/>
  <c r="Q377" i="23"/>
  <c r="O377" i="23"/>
  <c r="N377" i="23"/>
  <c r="S376" i="23"/>
  <c r="R376" i="23"/>
  <c r="Q376" i="23"/>
  <c r="O376" i="23"/>
  <c r="N376" i="23"/>
  <c r="S375" i="23"/>
  <c r="R375" i="23"/>
  <c r="Q375" i="23"/>
  <c r="O375" i="23"/>
  <c r="N375" i="23"/>
  <c r="S374" i="23"/>
  <c r="R374" i="23"/>
  <c r="Q374" i="23"/>
  <c r="O374" i="23"/>
  <c r="N374" i="23"/>
  <c r="S373" i="23"/>
  <c r="R373" i="23"/>
  <c r="Q373" i="23"/>
  <c r="O373" i="23"/>
  <c r="N373" i="23"/>
  <c r="S372" i="23"/>
  <c r="R372" i="23"/>
  <c r="Q372" i="23"/>
  <c r="O372" i="23"/>
  <c r="N372" i="23"/>
  <c r="S371" i="23"/>
  <c r="R371" i="23"/>
  <c r="Q371" i="23"/>
  <c r="O371" i="23"/>
  <c r="N371" i="23"/>
  <c r="S370" i="23"/>
  <c r="R370" i="23"/>
  <c r="Q370" i="23"/>
  <c r="O370" i="23"/>
  <c r="N370" i="23"/>
  <c r="S369" i="23"/>
  <c r="R369" i="23"/>
  <c r="Q369" i="23"/>
  <c r="O369" i="23"/>
  <c r="N369" i="23"/>
  <c r="S368" i="23"/>
  <c r="R368" i="23"/>
  <c r="Q368" i="23"/>
  <c r="O368" i="23"/>
  <c r="N368" i="23"/>
  <c r="S367" i="23"/>
  <c r="R367" i="23"/>
  <c r="Q367" i="23"/>
  <c r="O367" i="23"/>
  <c r="N367" i="23"/>
  <c r="S366" i="23"/>
  <c r="R366" i="23"/>
  <c r="Q366" i="23"/>
  <c r="O366" i="23"/>
  <c r="N366" i="23"/>
  <c r="S365" i="23"/>
  <c r="R365" i="23"/>
  <c r="Q365" i="23"/>
  <c r="O365" i="23"/>
  <c r="N365" i="23"/>
  <c r="S364" i="23"/>
  <c r="R364" i="23"/>
  <c r="Q364" i="23"/>
  <c r="O364" i="23"/>
  <c r="N364" i="23"/>
  <c r="S363" i="23"/>
  <c r="R363" i="23"/>
  <c r="Q363" i="23"/>
  <c r="O363" i="23"/>
  <c r="N363" i="23"/>
  <c r="S362" i="23"/>
  <c r="R362" i="23"/>
  <c r="Q362" i="23"/>
  <c r="O362" i="23"/>
  <c r="N362" i="23"/>
  <c r="S361" i="23"/>
  <c r="R361" i="23"/>
  <c r="Q361" i="23"/>
  <c r="O361" i="23"/>
  <c r="N361" i="23"/>
  <c r="S360" i="23"/>
  <c r="R360" i="23"/>
  <c r="Q360" i="23"/>
  <c r="O360" i="23"/>
  <c r="N360" i="23"/>
  <c r="S359" i="23"/>
  <c r="R359" i="23"/>
  <c r="Q359" i="23"/>
  <c r="O359" i="23"/>
  <c r="N359" i="23"/>
  <c r="S358" i="23"/>
  <c r="R358" i="23"/>
  <c r="Q358" i="23"/>
  <c r="O358" i="23"/>
  <c r="N358" i="23"/>
  <c r="S357" i="23"/>
  <c r="R357" i="23"/>
  <c r="Q357" i="23"/>
  <c r="O357" i="23"/>
  <c r="N357" i="23"/>
  <c r="S356" i="23"/>
  <c r="R356" i="23"/>
  <c r="Q356" i="23"/>
  <c r="O356" i="23"/>
  <c r="N356" i="23"/>
  <c r="S355" i="23"/>
  <c r="R355" i="23"/>
  <c r="Q355" i="23"/>
  <c r="O355" i="23"/>
  <c r="N355" i="23"/>
  <c r="S354" i="23"/>
  <c r="R354" i="23"/>
  <c r="Q354" i="23"/>
  <c r="O354" i="23"/>
  <c r="N354" i="23"/>
  <c r="S353" i="23"/>
  <c r="R353" i="23"/>
  <c r="Q353" i="23"/>
  <c r="O353" i="23"/>
  <c r="N353" i="23"/>
  <c r="S352" i="23"/>
  <c r="R352" i="23"/>
  <c r="Q352" i="23"/>
  <c r="O352" i="23"/>
  <c r="N352" i="23"/>
  <c r="S351" i="23"/>
  <c r="R351" i="23"/>
  <c r="Q351" i="23"/>
  <c r="O351" i="23"/>
  <c r="N351" i="23"/>
  <c r="S350" i="23"/>
  <c r="R350" i="23"/>
  <c r="Q350" i="23"/>
  <c r="O350" i="23"/>
  <c r="N350" i="23"/>
  <c r="S349" i="23"/>
  <c r="R349" i="23"/>
  <c r="Q349" i="23"/>
  <c r="O349" i="23"/>
  <c r="N349" i="23"/>
  <c r="S348" i="23"/>
  <c r="R348" i="23"/>
  <c r="Q348" i="23"/>
  <c r="O348" i="23"/>
  <c r="N348" i="23"/>
  <c r="S347" i="23"/>
  <c r="R347" i="23"/>
  <c r="Q347" i="23"/>
  <c r="O347" i="23"/>
  <c r="N347" i="23"/>
  <c r="S346" i="23"/>
  <c r="R346" i="23"/>
  <c r="Q346" i="23"/>
  <c r="O346" i="23"/>
  <c r="N346" i="23"/>
  <c r="S345" i="23"/>
  <c r="R345" i="23"/>
  <c r="Q345" i="23"/>
  <c r="O345" i="23"/>
  <c r="N345" i="23"/>
  <c r="S344" i="23"/>
  <c r="R344" i="23"/>
  <c r="Q344" i="23"/>
  <c r="O344" i="23"/>
  <c r="N344" i="23"/>
  <c r="N340" i="23" s="1"/>
  <c r="S343" i="23"/>
  <c r="R343" i="23"/>
  <c r="Q343" i="23"/>
  <c r="O343" i="23"/>
  <c r="N343" i="23"/>
  <c r="S342" i="23"/>
  <c r="R342" i="23"/>
  <c r="Q342" i="23"/>
  <c r="O342" i="23"/>
  <c r="N342" i="23"/>
  <c r="S341" i="23"/>
  <c r="R341" i="23"/>
  <c r="Q341" i="23"/>
  <c r="O341" i="23"/>
  <c r="N341" i="23"/>
  <c r="S339" i="23"/>
  <c r="R339" i="23"/>
  <c r="Q339" i="23"/>
  <c r="O339" i="23"/>
  <c r="N339" i="23"/>
  <c r="S338" i="23"/>
  <c r="R338" i="23"/>
  <c r="Q338" i="23"/>
  <c r="O338" i="23"/>
  <c r="N338" i="23"/>
  <c r="S337" i="23"/>
  <c r="R337" i="23"/>
  <c r="Q337" i="23"/>
  <c r="O337" i="23"/>
  <c r="N337" i="23"/>
  <c r="S336" i="23"/>
  <c r="R336" i="23"/>
  <c r="Q336" i="23"/>
  <c r="O336" i="23"/>
  <c r="N336" i="23"/>
  <c r="S335" i="23"/>
  <c r="R335" i="23"/>
  <c r="Q335" i="23"/>
  <c r="O335" i="23"/>
  <c r="N335" i="23"/>
  <c r="S334" i="23"/>
  <c r="R334" i="23"/>
  <c r="Q334" i="23"/>
  <c r="O334" i="23"/>
  <c r="N334" i="23"/>
  <c r="S333" i="23"/>
  <c r="S332" i="23" s="1"/>
  <c r="R333" i="23"/>
  <c r="R332" i="23" s="1"/>
  <c r="Q333" i="23"/>
  <c r="O333" i="23"/>
  <c r="O332" i="23" s="1"/>
  <c r="N333" i="23"/>
  <c r="N332" i="23"/>
  <c r="S330" i="23"/>
  <c r="R330" i="23"/>
  <c r="Q330" i="23"/>
  <c r="O330" i="23"/>
  <c r="N330" i="23"/>
  <c r="S329" i="23"/>
  <c r="R329" i="23"/>
  <c r="Q329" i="23"/>
  <c r="O329" i="23"/>
  <c r="N329" i="23"/>
  <c r="S328" i="23"/>
  <c r="R328" i="23"/>
  <c r="Q328" i="23"/>
  <c r="O328" i="23"/>
  <c r="N328" i="23"/>
  <c r="S327" i="23"/>
  <c r="R327" i="23"/>
  <c r="Q327" i="23"/>
  <c r="O327" i="23"/>
  <c r="N327" i="23"/>
  <c r="S326" i="23"/>
  <c r="R326" i="23"/>
  <c r="Q326" i="23"/>
  <c r="O326" i="23"/>
  <c r="N326" i="23"/>
  <c r="S325" i="23"/>
  <c r="R325" i="23"/>
  <c r="Q325" i="23"/>
  <c r="O325" i="23"/>
  <c r="N325" i="23"/>
  <c r="S324" i="23"/>
  <c r="R324" i="23"/>
  <c r="Q324" i="23"/>
  <c r="O324" i="23"/>
  <c r="N324" i="23"/>
  <c r="S323" i="23"/>
  <c r="R323" i="23"/>
  <c r="Q323" i="23"/>
  <c r="O323" i="23"/>
  <c r="N323" i="23"/>
  <c r="S322" i="23"/>
  <c r="R322" i="23"/>
  <c r="Q322" i="23"/>
  <c r="O322" i="23"/>
  <c r="N322" i="23"/>
  <c r="S321" i="23"/>
  <c r="S320" i="23" s="1"/>
  <c r="R321" i="23"/>
  <c r="Q321" i="23"/>
  <c r="Q320" i="23" s="1"/>
  <c r="O321" i="23"/>
  <c r="O320" i="23" s="1"/>
  <c r="N321" i="23"/>
  <c r="S319" i="23"/>
  <c r="R319" i="23"/>
  <c r="Q319" i="23"/>
  <c r="O319" i="23"/>
  <c r="O318" i="23" s="1"/>
  <c r="N319" i="23"/>
  <c r="N318" i="23" s="1"/>
  <c r="S318" i="23"/>
  <c r="R318" i="23"/>
  <c r="Q318" i="23"/>
  <c r="S317" i="23"/>
  <c r="R317" i="23"/>
  <c r="Q317" i="23"/>
  <c r="O317" i="23"/>
  <c r="N317" i="23"/>
  <c r="S316" i="23"/>
  <c r="R316" i="23"/>
  <c r="Q316" i="23"/>
  <c r="O316" i="23"/>
  <c r="N316" i="23"/>
  <c r="S315" i="23"/>
  <c r="R315" i="23"/>
  <c r="Q315" i="23"/>
  <c r="O315" i="23"/>
  <c r="N315" i="23"/>
  <c r="S314" i="23"/>
  <c r="R314" i="23"/>
  <c r="Q314" i="23"/>
  <c r="O314" i="23"/>
  <c r="N314" i="23"/>
  <c r="S313" i="23"/>
  <c r="R313" i="23"/>
  <c r="Q313" i="23"/>
  <c r="O313" i="23"/>
  <c r="N313" i="23"/>
  <c r="S312" i="23"/>
  <c r="R312" i="23"/>
  <c r="Q312" i="23"/>
  <c r="O312" i="23"/>
  <c r="N312" i="23"/>
  <c r="S311" i="23"/>
  <c r="R311" i="23"/>
  <c r="Q311" i="23"/>
  <c r="O311" i="23"/>
  <c r="N311" i="23"/>
  <c r="N310" i="23" s="1"/>
  <c r="S310" i="23"/>
  <c r="R310" i="23"/>
  <c r="S309" i="23"/>
  <c r="R309" i="23"/>
  <c r="Q309" i="23"/>
  <c r="O309" i="23"/>
  <c r="N309" i="23"/>
  <c r="S308" i="23"/>
  <c r="R308" i="23"/>
  <c r="Q308" i="23"/>
  <c r="O308" i="23"/>
  <c r="N308" i="23"/>
  <c r="S307" i="23"/>
  <c r="R307" i="23"/>
  <c r="Q307" i="23"/>
  <c r="O307" i="23"/>
  <c r="N307" i="23"/>
  <c r="S306" i="23"/>
  <c r="R306" i="23"/>
  <c r="Q306" i="23"/>
  <c r="O306" i="23"/>
  <c r="N306" i="23"/>
  <c r="S305" i="23"/>
  <c r="R305" i="23"/>
  <c r="Q305" i="23"/>
  <c r="O305" i="23"/>
  <c r="N305" i="23"/>
  <c r="S304" i="23"/>
  <c r="R304" i="23"/>
  <c r="Q304" i="23"/>
  <c r="O304" i="23"/>
  <c r="N304" i="23"/>
  <c r="S303" i="23"/>
  <c r="R303" i="23"/>
  <c r="Q303" i="23"/>
  <c r="O303" i="23"/>
  <c r="N303" i="23"/>
  <c r="S302" i="23"/>
  <c r="R302" i="23"/>
  <c r="Q302" i="23"/>
  <c r="O302" i="23"/>
  <c r="N302" i="23"/>
  <c r="S301" i="23"/>
  <c r="R301" i="23"/>
  <c r="Q301" i="23"/>
  <c r="O301" i="23"/>
  <c r="N301" i="23"/>
  <c r="S300" i="23"/>
  <c r="R300" i="23"/>
  <c r="R299" i="23" s="1"/>
  <c r="Q300" i="23"/>
  <c r="Q299" i="23" s="1"/>
  <c r="O300" i="23"/>
  <c r="O299" i="23" s="1"/>
  <c r="N300" i="23"/>
  <c r="N299" i="23" s="1"/>
  <c r="S298" i="23"/>
  <c r="R298" i="23"/>
  <c r="Q298" i="23"/>
  <c r="O298" i="23"/>
  <c r="N298" i="23"/>
  <c r="S297" i="23"/>
  <c r="R297" i="23"/>
  <c r="Q297" i="23"/>
  <c r="O297" i="23"/>
  <c r="N297" i="23"/>
  <c r="S296" i="23"/>
  <c r="R296" i="23"/>
  <c r="Q296" i="23"/>
  <c r="O296" i="23"/>
  <c r="N296" i="23"/>
  <c r="S295" i="23"/>
  <c r="R295" i="23"/>
  <c r="Q295" i="23"/>
  <c r="O295" i="23"/>
  <c r="O294" i="23" s="1"/>
  <c r="N295" i="23"/>
  <c r="S294" i="23"/>
  <c r="R294" i="23"/>
  <c r="S293" i="23"/>
  <c r="R293" i="23"/>
  <c r="Q293" i="23"/>
  <c r="O293" i="23"/>
  <c r="N293" i="23"/>
  <c r="S292" i="23"/>
  <c r="R292" i="23"/>
  <c r="Q292" i="23"/>
  <c r="O292" i="23"/>
  <c r="N292" i="23"/>
  <c r="S291" i="23"/>
  <c r="R291" i="23"/>
  <c r="Q291" i="23"/>
  <c r="O291" i="23"/>
  <c r="N291" i="23"/>
  <c r="S290" i="23"/>
  <c r="R290" i="23"/>
  <c r="Q290" i="23"/>
  <c r="O290" i="23"/>
  <c r="N290" i="23"/>
  <c r="S289" i="23"/>
  <c r="R289" i="23"/>
  <c r="Q289" i="23"/>
  <c r="O289" i="23"/>
  <c r="N289" i="23"/>
  <c r="S288" i="23"/>
  <c r="R288" i="23"/>
  <c r="Q288" i="23"/>
  <c r="O288" i="23"/>
  <c r="N288" i="23"/>
  <c r="S287" i="23"/>
  <c r="R287" i="23"/>
  <c r="Q287" i="23"/>
  <c r="O287" i="23"/>
  <c r="N287" i="23"/>
  <c r="S286" i="23"/>
  <c r="R286" i="23"/>
  <c r="Q286" i="23"/>
  <c r="O286" i="23"/>
  <c r="N286" i="23"/>
  <c r="S285" i="23"/>
  <c r="R285" i="23"/>
  <c r="Q285" i="23"/>
  <c r="O285" i="23"/>
  <c r="N285" i="23"/>
  <c r="S284" i="23"/>
  <c r="R284" i="23"/>
  <c r="Q284" i="23"/>
  <c r="O284" i="23"/>
  <c r="N284" i="23"/>
  <c r="S283" i="23"/>
  <c r="R283" i="23"/>
  <c r="Q283" i="23"/>
  <c r="O283" i="23"/>
  <c r="N283" i="23"/>
  <c r="S282" i="23"/>
  <c r="R282" i="23"/>
  <c r="Q282" i="23"/>
  <c r="O282" i="23"/>
  <c r="N282" i="23"/>
  <c r="S281" i="23"/>
  <c r="R281" i="23"/>
  <c r="Q281" i="23"/>
  <c r="O281" i="23"/>
  <c r="N281" i="23"/>
  <c r="S280" i="23"/>
  <c r="R280" i="23"/>
  <c r="Q280" i="23"/>
  <c r="O280" i="23"/>
  <c r="N280" i="23"/>
  <c r="S279" i="23"/>
  <c r="R279" i="23"/>
  <c r="Q279" i="23"/>
  <c r="O279" i="23"/>
  <c r="N279" i="23"/>
  <c r="S278" i="23"/>
  <c r="R278" i="23"/>
  <c r="Q278" i="23"/>
  <c r="O278" i="23"/>
  <c r="N278" i="23"/>
  <c r="S277" i="23"/>
  <c r="R277" i="23"/>
  <c r="Q277" i="23"/>
  <c r="O277" i="23"/>
  <c r="N277" i="23"/>
  <c r="S276" i="23"/>
  <c r="R276" i="23"/>
  <c r="Q276" i="23"/>
  <c r="O276" i="23"/>
  <c r="N276" i="23"/>
  <c r="S275" i="23"/>
  <c r="R275" i="23"/>
  <c r="Q275" i="23"/>
  <c r="O275" i="23"/>
  <c r="N275" i="23"/>
  <c r="S274" i="23"/>
  <c r="R274" i="23"/>
  <c r="Q274" i="23"/>
  <c r="O274" i="23"/>
  <c r="N274" i="23"/>
  <c r="S273" i="23"/>
  <c r="R273" i="23"/>
  <c r="Q273" i="23"/>
  <c r="O273" i="23"/>
  <c r="N273" i="23"/>
  <c r="S272" i="23"/>
  <c r="R272" i="23"/>
  <c r="Q272" i="23"/>
  <c r="O272" i="23"/>
  <c r="N272" i="23"/>
  <c r="S271" i="23"/>
  <c r="R271" i="23"/>
  <c r="Q271" i="23"/>
  <c r="O271" i="23"/>
  <c r="N271" i="23"/>
  <c r="S270" i="23"/>
  <c r="R270" i="23"/>
  <c r="Q270" i="23"/>
  <c r="O270" i="23"/>
  <c r="N270" i="23"/>
  <c r="S269" i="23"/>
  <c r="R269" i="23"/>
  <c r="Q269" i="23"/>
  <c r="O269" i="23"/>
  <c r="N269" i="23"/>
  <c r="S268" i="23"/>
  <c r="R268" i="23"/>
  <c r="Q268" i="23"/>
  <c r="O268" i="23"/>
  <c r="N268" i="23"/>
  <c r="S267" i="23"/>
  <c r="R267" i="23"/>
  <c r="Q267" i="23"/>
  <c r="O267" i="23"/>
  <c r="N267" i="23"/>
  <c r="S266" i="23"/>
  <c r="R266" i="23"/>
  <c r="R258" i="23" s="1"/>
  <c r="Q266" i="23"/>
  <c r="O266" i="23"/>
  <c r="N266" i="23"/>
  <c r="S265" i="23"/>
  <c r="R265" i="23"/>
  <c r="Q265" i="23"/>
  <c r="O265" i="23"/>
  <c r="N265" i="23"/>
  <c r="S264" i="23"/>
  <c r="R264" i="23"/>
  <c r="Q264" i="23"/>
  <c r="O264" i="23"/>
  <c r="N264" i="23"/>
  <c r="S263" i="23"/>
  <c r="R263" i="23"/>
  <c r="Q263" i="23"/>
  <c r="O263" i="23"/>
  <c r="N263" i="23"/>
  <c r="S262" i="23"/>
  <c r="R262" i="23"/>
  <c r="Q262" i="23"/>
  <c r="O262" i="23"/>
  <c r="N262" i="23"/>
  <c r="S261" i="23"/>
  <c r="R261" i="23"/>
  <c r="Q261" i="23"/>
  <c r="Q258" i="23" s="1"/>
  <c r="O261" i="23"/>
  <c r="N261" i="23"/>
  <c r="S260" i="23"/>
  <c r="R260" i="23"/>
  <c r="Q260" i="23"/>
  <c r="O260" i="23"/>
  <c r="N260" i="23"/>
  <c r="S259" i="23"/>
  <c r="R259" i="23"/>
  <c r="Q259" i="23"/>
  <c r="O259" i="23"/>
  <c r="N259" i="23"/>
  <c r="S257" i="23"/>
  <c r="R257" i="23"/>
  <c r="Q257" i="23"/>
  <c r="O257" i="23"/>
  <c r="N257" i="23"/>
  <c r="S256" i="23"/>
  <c r="R256" i="23"/>
  <c r="Q256" i="23"/>
  <c r="O256" i="23"/>
  <c r="N256" i="23"/>
  <c r="S255" i="23"/>
  <c r="R255" i="23"/>
  <c r="Q255" i="23"/>
  <c r="O255" i="23"/>
  <c r="N255" i="23"/>
  <c r="S254" i="23"/>
  <c r="R254" i="23"/>
  <c r="Q254" i="23"/>
  <c r="O254" i="23"/>
  <c r="N254" i="23"/>
  <c r="S253" i="23"/>
  <c r="R253" i="23"/>
  <c r="Q253" i="23"/>
  <c r="O253" i="23"/>
  <c r="N253" i="23"/>
  <c r="S252" i="23"/>
  <c r="R252" i="23"/>
  <c r="Q252" i="23"/>
  <c r="O252" i="23"/>
  <c r="N252" i="23"/>
  <c r="S251" i="23"/>
  <c r="R251" i="23"/>
  <c r="Q251" i="23"/>
  <c r="O251" i="23"/>
  <c r="N251" i="23"/>
  <c r="S250" i="23"/>
  <c r="R250" i="23"/>
  <c r="Q250" i="23"/>
  <c r="O250" i="23"/>
  <c r="N250" i="23"/>
  <c r="S249" i="23"/>
  <c r="R249" i="23"/>
  <c r="Q249" i="23"/>
  <c r="O249" i="23"/>
  <c r="N249" i="23"/>
  <c r="S248" i="23"/>
  <c r="R248" i="23"/>
  <c r="Q248" i="23"/>
  <c r="O248" i="23"/>
  <c r="N248" i="23"/>
  <c r="S247" i="23"/>
  <c r="R247" i="23"/>
  <c r="Q247" i="23"/>
  <c r="O247" i="23"/>
  <c r="N247" i="23"/>
  <c r="S246" i="23"/>
  <c r="R246" i="23"/>
  <c r="Q246" i="23"/>
  <c r="O246" i="23"/>
  <c r="N246" i="23"/>
  <c r="S245" i="23"/>
  <c r="R245" i="23"/>
  <c r="Q245" i="23"/>
  <c r="O245" i="23"/>
  <c r="N245" i="23"/>
  <c r="S244" i="23"/>
  <c r="R244" i="23"/>
  <c r="Q244" i="23"/>
  <c r="O244" i="23"/>
  <c r="N244" i="23"/>
  <c r="S242" i="23"/>
  <c r="R242" i="23"/>
  <c r="Q242" i="23"/>
  <c r="O242" i="23"/>
  <c r="N242" i="23"/>
  <c r="S241" i="23"/>
  <c r="R241" i="23"/>
  <c r="Q241" i="23"/>
  <c r="O241" i="23"/>
  <c r="N241" i="23"/>
  <c r="S240" i="23"/>
  <c r="R240" i="23"/>
  <c r="Q240" i="23"/>
  <c r="O240" i="23"/>
  <c r="N240" i="23"/>
  <c r="S239" i="23"/>
  <c r="R239" i="23"/>
  <c r="Q239" i="23"/>
  <c r="O239" i="23"/>
  <c r="N239" i="23"/>
  <c r="S238" i="23"/>
  <c r="R238" i="23"/>
  <c r="Q238" i="23"/>
  <c r="G238" i="23"/>
  <c r="S237" i="23"/>
  <c r="R237" i="23"/>
  <c r="Q237" i="23"/>
  <c r="O237" i="23"/>
  <c r="N237" i="23"/>
  <c r="S236" i="23"/>
  <c r="R236" i="23"/>
  <c r="Q236" i="23"/>
  <c r="O236" i="23"/>
  <c r="N236" i="23"/>
  <c r="S235" i="23"/>
  <c r="R235" i="23"/>
  <c r="Q235" i="23"/>
  <c r="O235" i="23"/>
  <c r="N235" i="23"/>
  <c r="S234" i="23"/>
  <c r="R234" i="23"/>
  <c r="Q234" i="23"/>
  <c r="O234" i="23"/>
  <c r="N234" i="23"/>
  <c r="S233" i="23"/>
  <c r="R233" i="23"/>
  <c r="Q233" i="23"/>
  <c r="O233" i="23"/>
  <c r="N233" i="23"/>
  <c r="S232" i="23"/>
  <c r="R232" i="23"/>
  <c r="Q232" i="23"/>
  <c r="O232" i="23"/>
  <c r="N232" i="23"/>
  <c r="S231" i="23"/>
  <c r="R231" i="23"/>
  <c r="Q231" i="23"/>
  <c r="O231" i="23"/>
  <c r="N231" i="23"/>
  <c r="S230" i="23"/>
  <c r="R230" i="23"/>
  <c r="Q230" i="23"/>
  <c r="O230" i="23"/>
  <c r="N230" i="23"/>
  <c r="Q229" i="23"/>
  <c r="S227" i="23"/>
  <c r="R227" i="23"/>
  <c r="Q227" i="23"/>
  <c r="O227" i="23"/>
  <c r="N227" i="23"/>
  <c r="S226" i="23"/>
  <c r="R226" i="23"/>
  <c r="Q226" i="23"/>
  <c r="O226" i="23"/>
  <c r="N226" i="23"/>
  <c r="N225" i="23" s="1"/>
  <c r="S225" i="23"/>
  <c r="R225" i="23"/>
  <c r="Q225" i="23"/>
  <c r="S224" i="23"/>
  <c r="O224" i="23"/>
  <c r="N224" i="23"/>
  <c r="S223" i="23"/>
  <c r="O223" i="23"/>
  <c r="N223" i="23"/>
  <c r="N218" i="23" s="1"/>
  <c r="S222" i="23"/>
  <c r="O222" i="23"/>
  <c r="N222" i="23"/>
  <c r="E222" i="23"/>
  <c r="S221" i="23"/>
  <c r="O221" i="23"/>
  <c r="N221" i="23"/>
  <c r="S220" i="23"/>
  <c r="R220" i="23"/>
  <c r="O220" i="23"/>
  <c r="N220" i="23"/>
  <c r="E220" i="23"/>
  <c r="Q220" i="23" s="1"/>
  <c r="S219" i="23"/>
  <c r="O219" i="23"/>
  <c r="N219" i="23"/>
  <c r="O218" i="23"/>
  <c r="S217" i="23"/>
  <c r="R217" i="23"/>
  <c r="Q217" i="23"/>
  <c r="O217" i="23"/>
  <c r="N217" i="23"/>
  <c r="S216" i="23"/>
  <c r="R216" i="23"/>
  <c r="Q216" i="23"/>
  <c r="O216" i="23"/>
  <c r="N216" i="23"/>
  <c r="S215" i="23"/>
  <c r="R215" i="23"/>
  <c r="Q215" i="23"/>
  <c r="O215" i="23"/>
  <c r="N215" i="23"/>
  <c r="S214" i="23"/>
  <c r="R214" i="23"/>
  <c r="Q214" i="23"/>
  <c r="O214" i="23"/>
  <c r="N214" i="23"/>
  <c r="S213" i="23"/>
  <c r="R213" i="23"/>
  <c r="Q213" i="23"/>
  <c r="O213" i="23"/>
  <c r="N213" i="23"/>
  <c r="S212" i="23"/>
  <c r="R212" i="23"/>
  <c r="Q212" i="23"/>
  <c r="O212" i="23"/>
  <c r="N212" i="23"/>
  <c r="S211" i="23"/>
  <c r="R211" i="23"/>
  <c r="Q211" i="23"/>
  <c r="O211" i="23"/>
  <c r="N211" i="23"/>
  <c r="S210" i="23"/>
  <c r="R210" i="23"/>
  <c r="R208" i="23" s="1"/>
  <c r="Q210" i="23"/>
  <c r="O210" i="23"/>
  <c r="N210" i="23"/>
  <c r="S209" i="23"/>
  <c r="R209" i="23"/>
  <c r="Q209" i="23"/>
  <c r="O209" i="23"/>
  <c r="N209" i="23"/>
  <c r="N208" i="23" s="1"/>
  <c r="S207" i="23"/>
  <c r="R207" i="23"/>
  <c r="Q207" i="23"/>
  <c r="O207" i="23"/>
  <c r="N207" i="23"/>
  <c r="S206" i="23"/>
  <c r="R206" i="23"/>
  <c r="Q206" i="23"/>
  <c r="O206" i="23"/>
  <c r="N206" i="23"/>
  <c r="S205" i="23"/>
  <c r="R205" i="23"/>
  <c r="Q205" i="23"/>
  <c r="O205" i="23"/>
  <c r="N205" i="23"/>
  <c r="S204" i="23"/>
  <c r="R204" i="23"/>
  <c r="Q204" i="23"/>
  <c r="O204" i="23"/>
  <c r="N204" i="23"/>
  <c r="S203" i="23"/>
  <c r="R203" i="23"/>
  <c r="Q203" i="23"/>
  <c r="O203" i="23"/>
  <c r="N203" i="23"/>
  <c r="S202" i="23"/>
  <c r="R202" i="23"/>
  <c r="Q202" i="23"/>
  <c r="O202" i="23"/>
  <c r="N202" i="23"/>
  <c r="S201" i="23"/>
  <c r="R201" i="23"/>
  <c r="Q201" i="23"/>
  <c r="O201" i="23"/>
  <c r="N201" i="23"/>
  <c r="S200" i="23"/>
  <c r="R200" i="23"/>
  <c r="Q200" i="23"/>
  <c r="O200" i="23"/>
  <c r="N200" i="23"/>
  <c r="S199" i="23"/>
  <c r="R199" i="23"/>
  <c r="Q199" i="23"/>
  <c r="O199" i="23"/>
  <c r="N199" i="23"/>
  <c r="S198" i="23"/>
  <c r="R198" i="23"/>
  <c r="Q198" i="23"/>
  <c r="O198" i="23"/>
  <c r="N198" i="23"/>
  <c r="S197" i="23"/>
  <c r="R197" i="23"/>
  <c r="Q197" i="23"/>
  <c r="O197" i="23"/>
  <c r="N197" i="23"/>
  <c r="S196" i="23"/>
  <c r="R196" i="23"/>
  <c r="Q196" i="23"/>
  <c r="O196" i="23"/>
  <c r="N196" i="23"/>
  <c r="S195" i="23"/>
  <c r="R195" i="23"/>
  <c r="Q195" i="23"/>
  <c r="O195" i="23"/>
  <c r="N195" i="23"/>
  <c r="S194" i="23"/>
  <c r="R194" i="23"/>
  <c r="Q194" i="23"/>
  <c r="O194" i="23"/>
  <c r="N194" i="23"/>
  <c r="S193" i="23"/>
  <c r="R193" i="23"/>
  <c r="Q193" i="23"/>
  <c r="O193" i="23"/>
  <c r="N193" i="23"/>
  <c r="S192" i="23"/>
  <c r="R192" i="23"/>
  <c r="Q192" i="23"/>
  <c r="O192" i="23"/>
  <c r="N192" i="23"/>
  <c r="S191" i="23"/>
  <c r="R191" i="23"/>
  <c r="Q191" i="23"/>
  <c r="O191" i="23"/>
  <c r="N191" i="23"/>
  <c r="S190" i="23"/>
  <c r="R190" i="23"/>
  <c r="Q190" i="23"/>
  <c r="O190" i="23"/>
  <c r="N190" i="23"/>
  <c r="S189" i="23"/>
  <c r="R189" i="23"/>
  <c r="Q189" i="23"/>
  <c r="O189" i="23"/>
  <c r="N189" i="23"/>
  <c r="S188" i="23"/>
  <c r="R188" i="23"/>
  <c r="Q188" i="23"/>
  <c r="O188" i="23"/>
  <c r="N188" i="23"/>
  <c r="S187" i="23"/>
  <c r="R187" i="23"/>
  <c r="Q187" i="23"/>
  <c r="O187" i="23"/>
  <c r="N187" i="23"/>
  <c r="S186" i="23"/>
  <c r="R186" i="23"/>
  <c r="Q186" i="23"/>
  <c r="O186" i="23"/>
  <c r="N186" i="23"/>
  <c r="S185" i="23"/>
  <c r="R185" i="23"/>
  <c r="Q185" i="23"/>
  <c r="O185" i="23"/>
  <c r="N185" i="23"/>
  <c r="S184" i="23"/>
  <c r="R184" i="23"/>
  <c r="Q184" i="23"/>
  <c r="O184" i="23"/>
  <c r="N184" i="23"/>
  <c r="S183" i="23"/>
  <c r="R183" i="23"/>
  <c r="Q183" i="23"/>
  <c r="O183" i="23"/>
  <c r="N183" i="23"/>
  <c r="O182" i="23"/>
  <c r="N182" i="23"/>
  <c r="N181" i="23" s="1"/>
  <c r="S180" i="23"/>
  <c r="R180" i="23"/>
  <c r="Q180" i="23"/>
  <c r="H180" i="23"/>
  <c r="O180" i="23" s="1"/>
  <c r="G180" i="23"/>
  <c r="N180" i="23" s="1"/>
  <c r="N178" i="23" s="1"/>
  <c r="S179" i="23"/>
  <c r="S178" i="23" s="1"/>
  <c r="R179" i="23"/>
  <c r="Q179" i="23"/>
  <c r="O179" i="23"/>
  <c r="N179" i="23"/>
  <c r="R178" i="23"/>
  <c r="Q178" i="23"/>
  <c r="S177" i="23"/>
  <c r="R177" i="23"/>
  <c r="Q177" i="23"/>
  <c r="O177" i="23"/>
  <c r="N177" i="23"/>
  <c r="S176" i="23"/>
  <c r="R176" i="23"/>
  <c r="Q176" i="23"/>
  <c r="O176" i="23"/>
  <c r="N176" i="23"/>
  <c r="S175" i="23"/>
  <c r="R175" i="23"/>
  <c r="Q175" i="23"/>
  <c r="O175" i="23"/>
  <c r="N175" i="23"/>
  <c r="S174" i="23"/>
  <c r="R174" i="23"/>
  <c r="R173" i="23" s="1"/>
  <c r="Q174" i="23"/>
  <c r="Q173" i="23" s="1"/>
  <c r="O174" i="23"/>
  <c r="N174" i="23"/>
  <c r="O173" i="23"/>
  <c r="N173" i="23"/>
  <c r="S172" i="23"/>
  <c r="R172" i="23"/>
  <c r="Q172" i="23"/>
  <c r="O172" i="23"/>
  <c r="N172" i="23"/>
  <c r="S171" i="23"/>
  <c r="R171" i="23"/>
  <c r="Q171" i="23"/>
  <c r="O171" i="23"/>
  <c r="N171" i="23"/>
  <c r="S170" i="23"/>
  <c r="R170" i="23"/>
  <c r="R168" i="23" s="1"/>
  <c r="Q170" i="23"/>
  <c r="Q168" i="23" s="1"/>
  <c r="O170" i="23"/>
  <c r="N170" i="23"/>
  <c r="S169" i="23"/>
  <c r="R169" i="23"/>
  <c r="Q169" i="23"/>
  <c r="O169" i="23"/>
  <c r="O168" i="23" s="1"/>
  <c r="N169" i="23"/>
  <c r="N168" i="23" s="1"/>
  <c r="S167" i="23"/>
  <c r="R167" i="23"/>
  <c r="Q167" i="23"/>
  <c r="O167" i="23"/>
  <c r="N167" i="23"/>
  <c r="S166" i="23"/>
  <c r="R166" i="23"/>
  <c r="Q166" i="23"/>
  <c r="O166" i="23"/>
  <c r="N166" i="23"/>
  <c r="S165" i="23"/>
  <c r="R165" i="23"/>
  <c r="Q165" i="23"/>
  <c r="O165" i="23"/>
  <c r="N165" i="23"/>
  <c r="S164" i="23"/>
  <c r="R164" i="23"/>
  <c r="Q164" i="23"/>
  <c r="O164" i="23"/>
  <c r="N164" i="23"/>
  <c r="S163" i="23"/>
  <c r="R163" i="23"/>
  <c r="Q163" i="23"/>
  <c r="O163" i="23"/>
  <c r="N163" i="23"/>
  <c r="S162" i="23"/>
  <c r="R162" i="23"/>
  <c r="Q162" i="23"/>
  <c r="O162" i="23"/>
  <c r="N162" i="23"/>
  <c r="S161" i="23"/>
  <c r="R161" i="23"/>
  <c r="Q161" i="23"/>
  <c r="O161" i="23"/>
  <c r="O159" i="23" s="1"/>
  <c r="O158" i="23" s="1"/>
  <c r="N161" i="23"/>
  <c r="S160" i="23"/>
  <c r="R160" i="23"/>
  <c r="R159" i="23" s="1"/>
  <c r="R158" i="23" s="1"/>
  <c r="Q160" i="23"/>
  <c r="O160" i="23"/>
  <c r="N160" i="23"/>
  <c r="S159" i="23"/>
  <c r="S157" i="23"/>
  <c r="R157" i="23"/>
  <c r="Q157" i="23"/>
  <c r="O157" i="23"/>
  <c r="N157" i="23"/>
  <c r="S156" i="23"/>
  <c r="R156" i="23"/>
  <c r="Q156" i="23"/>
  <c r="O156" i="23"/>
  <c r="N156" i="23"/>
  <c r="S155" i="23"/>
  <c r="R155" i="23"/>
  <c r="Q155" i="23"/>
  <c r="O155" i="23"/>
  <c r="N155" i="23"/>
  <c r="S154" i="23"/>
  <c r="R154" i="23"/>
  <c r="Q154" i="23"/>
  <c r="O154" i="23"/>
  <c r="N154" i="23"/>
  <c r="S153" i="23"/>
  <c r="O153" i="23"/>
  <c r="N153" i="23"/>
  <c r="S152" i="23"/>
  <c r="O152" i="23"/>
  <c r="N152" i="23"/>
  <c r="E152" i="23"/>
  <c r="S150" i="23"/>
  <c r="R150" i="23"/>
  <c r="Q150" i="23"/>
  <c r="O150" i="23"/>
  <c r="N150" i="23"/>
  <c r="S149" i="23"/>
  <c r="R149" i="23"/>
  <c r="Q149" i="23"/>
  <c r="O149" i="23"/>
  <c r="N149" i="23"/>
  <c r="S148" i="23"/>
  <c r="R148" i="23"/>
  <c r="Q148" i="23"/>
  <c r="O148" i="23"/>
  <c r="N148" i="23"/>
  <c r="S147" i="23"/>
  <c r="R147" i="23"/>
  <c r="Q147" i="23"/>
  <c r="O147" i="23"/>
  <c r="N147" i="23"/>
  <c r="S146" i="23"/>
  <c r="O146" i="23"/>
  <c r="N146" i="23"/>
  <c r="S145" i="23"/>
  <c r="R145" i="23"/>
  <c r="Q145" i="23"/>
  <c r="O145" i="23"/>
  <c r="N145" i="23"/>
  <c r="E145" i="23"/>
  <c r="S144" i="23"/>
  <c r="O144" i="23"/>
  <c r="N144" i="23"/>
  <c r="H144" i="23"/>
  <c r="S141" i="23"/>
  <c r="R141" i="23"/>
  <c r="Q141" i="23"/>
  <c r="G141" i="23"/>
  <c r="S140" i="23"/>
  <c r="R140" i="23"/>
  <c r="Q140" i="23"/>
  <c r="N140" i="23"/>
  <c r="H140" i="23"/>
  <c r="O140" i="23" s="1"/>
  <c r="S139" i="23"/>
  <c r="R139" i="23"/>
  <c r="Q139" i="23"/>
  <c r="O139" i="23"/>
  <c r="N139" i="23"/>
  <c r="H139" i="23"/>
  <c r="S138" i="23"/>
  <c r="R138" i="23"/>
  <c r="Q138" i="23"/>
  <c r="N138" i="23"/>
  <c r="G138" i="23"/>
  <c r="H138" i="23" s="1"/>
  <c r="O138" i="23" s="1"/>
  <c r="S137" i="23"/>
  <c r="R137" i="23"/>
  <c r="Q137" i="23"/>
  <c r="O137" i="23"/>
  <c r="N137" i="23"/>
  <c r="G137" i="23"/>
  <c r="H137" i="23" s="1"/>
  <c r="S136" i="23"/>
  <c r="R136" i="23"/>
  <c r="Q136" i="23"/>
  <c r="O136" i="23"/>
  <c r="N136" i="23"/>
  <c r="H136" i="23"/>
  <c r="S135" i="23"/>
  <c r="R135" i="23"/>
  <c r="Q135" i="23"/>
  <c r="N135" i="23"/>
  <c r="H135" i="23"/>
  <c r="O135" i="23" s="1"/>
  <c r="S133" i="23"/>
  <c r="R133" i="23"/>
  <c r="Q133" i="23"/>
  <c r="G133" i="23"/>
  <c r="N133" i="23" s="1"/>
  <c r="S132" i="23"/>
  <c r="R132" i="23"/>
  <c r="Q132" i="23"/>
  <c r="S131" i="23"/>
  <c r="R131" i="23"/>
  <c r="Q131" i="23"/>
  <c r="O131" i="23"/>
  <c r="N131" i="23"/>
  <c r="H131" i="23"/>
  <c r="S130" i="23"/>
  <c r="R130" i="23"/>
  <c r="Q130" i="23"/>
  <c r="S129" i="23"/>
  <c r="R129" i="23"/>
  <c r="Q129" i="23"/>
  <c r="S128" i="23"/>
  <c r="R128" i="23"/>
  <c r="Q128" i="23"/>
  <c r="S127" i="23"/>
  <c r="R127" i="23"/>
  <c r="Q127" i="23"/>
  <c r="S126" i="23"/>
  <c r="R126" i="23"/>
  <c r="Q126" i="23"/>
  <c r="S125" i="23"/>
  <c r="R125" i="23"/>
  <c r="Q125" i="23"/>
  <c r="S124" i="23"/>
  <c r="R124" i="23"/>
  <c r="Q124" i="23"/>
  <c r="G124" i="23"/>
  <c r="S123" i="23"/>
  <c r="R123" i="23"/>
  <c r="R122" i="23" s="1"/>
  <c r="Q123" i="23"/>
  <c r="Q122" i="23" s="1"/>
  <c r="O123" i="23"/>
  <c r="N123" i="23"/>
  <c r="H123" i="23"/>
  <c r="G123" i="23"/>
  <c r="S121" i="23"/>
  <c r="R121" i="23"/>
  <c r="Q121" i="23"/>
  <c r="S120" i="23"/>
  <c r="R120" i="23"/>
  <c r="Q120" i="23"/>
  <c r="O120" i="23"/>
  <c r="N120" i="23"/>
  <c r="H120" i="23"/>
  <c r="S119" i="23"/>
  <c r="R119" i="23"/>
  <c r="Q119" i="23"/>
  <c r="N119" i="23"/>
  <c r="H119" i="23"/>
  <c r="O119" i="23" s="1"/>
  <c r="S118" i="23"/>
  <c r="R118" i="23"/>
  <c r="Q118" i="23"/>
  <c r="S117" i="23"/>
  <c r="R117" i="23"/>
  <c r="Q117" i="23"/>
  <c r="G117" i="23"/>
  <c r="N117" i="23" s="1"/>
  <c r="S116" i="23"/>
  <c r="R116" i="23"/>
  <c r="Q116" i="23"/>
  <c r="G116" i="23"/>
  <c r="S115" i="23"/>
  <c r="R115" i="23"/>
  <c r="Q115" i="23"/>
  <c r="S114" i="23"/>
  <c r="R114" i="23"/>
  <c r="Q114" i="23"/>
  <c r="G114" i="23"/>
  <c r="S113" i="23"/>
  <c r="R113" i="23"/>
  <c r="Q113" i="23"/>
  <c r="G113" i="23"/>
  <c r="N113" i="23" s="1"/>
  <c r="S112" i="23"/>
  <c r="R112" i="23"/>
  <c r="Q112" i="23"/>
  <c r="G112" i="23"/>
  <c r="N112" i="23" s="1"/>
  <c r="S111" i="23"/>
  <c r="R111" i="23"/>
  <c r="Q111" i="23"/>
  <c r="Q109" i="23" s="1"/>
  <c r="O111" i="23"/>
  <c r="H111" i="23"/>
  <c r="G111" i="23"/>
  <c r="N111" i="23" s="1"/>
  <c r="S110" i="23"/>
  <c r="R110" i="23"/>
  <c r="Q110" i="23"/>
  <c r="N110" i="23"/>
  <c r="G110" i="23"/>
  <c r="H110" i="23" s="1"/>
  <c r="O110" i="23" s="1"/>
  <c r="S108" i="23"/>
  <c r="R108" i="23"/>
  <c r="Q108" i="23"/>
  <c r="G108" i="23"/>
  <c r="S107" i="23"/>
  <c r="R107" i="23"/>
  <c r="Q107" i="23"/>
  <c r="G107" i="23"/>
  <c r="N107" i="23" s="1"/>
  <c r="S106" i="23"/>
  <c r="R106" i="23"/>
  <c r="Q106" i="23"/>
  <c r="G106" i="23"/>
  <c r="S105" i="23"/>
  <c r="R105" i="23"/>
  <c r="Q105" i="23"/>
  <c r="H105" i="23"/>
  <c r="O105" i="23" s="1"/>
  <c r="G105" i="23"/>
  <c r="N105" i="23" s="1"/>
  <c r="S104" i="23"/>
  <c r="R104" i="23"/>
  <c r="Q104" i="23"/>
  <c r="G104" i="23"/>
  <c r="S103" i="23"/>
  <c r="R103" i="23"/>
  <c r="Q103" i="23"/>
  <c r="G103" i="23"/>
  <c r="N103" i="23" s="1"/>
  <c r="S102" i="23"/>
  <c r="R102" i="23"/>
  <c r="Q102" i="23"/>
  <c r="G102" i="23"/>
  <c r="N102" i="23" s="1"/>
  <c r="S101" i="23"/>
  <c r="R101" i="23"/>
  <c r="Q101" i="23"/>
  <c r="O101" i="23"/>
  <c r="H101" i="23"/>
  <c r="G101" i="23"/>
  <c r="N101" i="23" s="1"/>
  <c r="S100" i="23"/>
  <c r="R100" i="23"/>
  <c r="Q100" i="23"/>
  <c r="S99" i="23"/>
  <c r="R99" i="23"/>
  <c r="Q99" i="23"/>
  <c r="S98" i="23"/>
  <c r="R98" i="23"/>
  <c r="Q98" i="23"/>
  <c r="N98" i="23"/>
  <c r="G98" i="23"/>
  <c r="H98" i="23" s="1"/>
  <c r="O98" i="23" s="1"/>
  <c r="S95" i="23"/>
  <c r="R95" i="23"/>
  <c r="Q95" i="23"/>
  <c r="O95" i="23"/>
  <c r="N95" i="23"/>
  <c r="S94" i="23"/>
  <c r="R94" i="23"/>
  <c r="Q94" i="23"/>
  <c r="O94" i="23"/>
  <c r="N94" i="23"/>
  <c r="S93" i="23"/>
  <c r="R93" i="23"/>
  <c r="Q93" i="23"/>
  <c r="O93" i="23"/>
  <c r="N93" i="23"/>
  <c r="S92" i="23"/>
  <c r="R92" i="23"/>
  <c r="Q92" i="23"/>
  <c r="O92" i="23"/>
  <c r="N92" i="23"/>
  <c r="S91" i="23"/>
  <c r="R91" i="23"/>
  <c r="Q91" i="23"/>
  <c r="O91" i="23"/>
  <c r="N91" i="23"/>
  <c r="S90" i="23"/>
  <c r="R90" i="23"/>
  <c r="Q90" i="23"/>
  <c r="O90" i="23"/>
  <c r="N90" i="23"/>
  <c r="S89" i="23"/>
  <c r="R89" i="23"/>
  <c r="Q89" i="23"/>
  <c r="O89" i="23"/>
  <c r="N89" i="23"/>
  <c r="S88" i="23"/>
  <c r="R88" i="23"/>
  <c r="Q88" i="23"/>
  <c r="O88" i="23"/>
  <c r="N88" i="23"/>
  <c r="S87" i="23"/>
  <c r="R87" i="23"/>
  <c r="Q87" i="23"/>
  <c r="O87" i="23"/>
  <c r="N87" i="23"/>
  <c r="S86" i="23"/>
  <c r="R86" i="23"/>
  <c r="Q86" i="23"/>
  <c r="O86" i="23"/>
  <c r="N86" i="23"/>
  <c r="N81" i="23" s="1"/>
  <c r="S85" i="23"/>
  <c r="O85" i="23"/>
  <c r="N85" i="23"/>
  <c r="E85" i="23"/>
  <c r="S84" i="23"/>
  <c r="R84" i="23"/>
  <c r="Q84" i="23"/>
  <c r="O84" i="23"/>
  <c r="N84" i="23"/>
  <c r="S83" i="23"/>
  <c r="R83" i="23"/>
  <c r="Q83" i="23"/>
  <c r="O83" i="23"/>
  <c r="N83" i="23"/>
  <c r="S82" i="23"/>
  <c r="R82" i="23"/>
  <c r="Q82" i="23"/>
  <c r="O82" i="23"/>
  <c r="N82" i="23"/>
  <c r="S80" i="23"/>
  <c r="R80" i="23"/>
  <c r="Q80" i="23"/>
  <c r="O80" i="23"/>
  <c r="N80" i="23"/>
  <c r="S79" i="23"/>
  <c r="R79" i="23"/>
  <c r="Q79" i="23"/>
  <c r="O79" i="23"/>
  <c r="N79" i="23"/>
  <c r="S78" i="23"/>
  <c r="R78" i="23"/>
  <c r="Q78" i="23"/>
  <c r="O78" i="23"/>
  <c r="N78" i="23"/>
  <c r="S77" i="23"/>
  <c r="R77" i="23"/>
  <c r="Q77" i="23"/>
  <c r="O77" i="23"/>
  <c r="N77" i="23"/>
  <c r="S76" i="23"/>
  <c r="R76" i="23"/>
  <c r="Q76" i="23"/>
  <c r="O76" i="23"/>
  <c r="N76" i="23"/>
  <c r="S75" i="23"/>
  <c r="R75" i="23"/>
  <c r="Q75" i="23"/>
  <c r="O75" i="23"/>
  <c r="N75" i="23"/>
  <c r="S74" i="23"/>
  <c r="R74" i="23"/>
  <c r="Q74" i="23"/>
  <c r="O74" i="23"/>
  <c r="N74" i="23"/>
  <c r="S73" i="23"/>
  <c r="R73" i="23"/>
  <c r="Q73" i="23"/>
  <c r="O73" i="23"/>
  <c r="N73" i="23"/>
  <c r="S72" i="23"/>
  <c r="R72" i="23"/>
  <c r="Q72" i="23"/>
  <c r="O72" i="23"/>
  <c r="N72" i="23"/>
  <c r="S71" i="23"/>
  <c r="R71" i="23"/>
  <c r="Q71" i="23"/>
  <c r="O71" i="23"/>
  <c r="N71" i="23"/>
  <c r="S70" i="23"/>
  <c r="R70" i="23"/>
  <c r="Q70" i="23"/>
  <c r="O70" i="23"/>
  <c r="N70" i="23"/>
  <c r="S69" i="23"/>
  <c r="R69" i="23"/>
  <c r="Q69" i="23"/>
  <c r="O69" i="23"/>
  <c r="N69" i="23"/>
  <c r="E69" i="23"/>
  <c r="S68" i="23"/>
  <c r="R68" i="23"/>
  <c r="Q68" i="23"/>
  <c r="O68" i="23"/>
  <c r="N68" i="23"/>
  <c r="S67" i="23"/>
  <c r="R67" i="23"/>
  <c r="Q67" i="23"/>
  <c r="O67" i="23"/>
  <c r="N67" i="23"/>
  <c r="S66" i="23"/>
  <c r="R66" i="23"/>
  <c r="Q66" i="23"/>
  <c r="O66" i="23"/>
  <c r="N66" i="23"/>
  <c r="S65" i="23"/>
  <c r="R65" i="23"/>
  <c r="R64" i="23" s="1"/>
  <c r="Q65" i="23"/>
  <c r="O65" i="23"/>
  <c r="N65" i="23"/>
  <c r="N64" i="23" s="1"/>
  <c r="N63" i="23" s="1"/>
  <c r="S62" i="23"/>
  <c r="R62" i="23"/>
  <c r="Q62" i="23"/>
  <c r="O62" i="23"/>
  <c r="N62" i="23"/>
  <c r="S61" i="23"/>
  <c r="R61" i="23"/>
  <c r="Q61" i="23"/>
  <c r="O61" i="23"/>
  <c r="N61" i="23"/>
  <c r="S60" i="23"/>
  <c r="R60" i="23"/>
  <c r="Q60" i="23"/>
  <c r="O60" i="23"/>
  <c r="N60" i="23"/>
  <c r="S59" i="23"/>
  <c r="O59" i="23"/>
  <c r="N59" i="23"/>
  <c r="E59" i="23"/>
  <c r="S58" i="23"/>
  <c r="R58" i="23"/>
  <c r="Q58" i="23"/>
  <c r="O58" i="23"/>
  <c r="N58" i="23"/>
  <c r="S57" i="23"/>
  <c r="R57" i="23"/>
  <c r="Q57" i="23"/>
  <c r="O57" i="23"/>
  <c r="N57" i="23"/>
  <c r="S56" i="23"/>
  <c r="R56" i="23"/>
  <c r="Q56" i="23"/>
  <c r="O56" i="23"/>
  <c r="N56" i="23"/>
  <c r="S55" i="23"/>
  <c r="R55" i="23"/>
  <c r="Q55" i="23"/>
  <c r="O55" i="23"/>
  <c r="N55" i="23"/>
  <c r="N54" i="23" s="1"/>
  <c r="N53" i="23" s="1"/>
  <c r="S54" i="23"/>
  <c r="S53" i="23" s="1"/>
  <c r="S52" i="23"/>
  <c r="R52" i="23"/>
  <c r="Q52" i="23"/>
  <c r="E52" i="23"/>
  <c r="S51" i="23"/>
  <c r="R51" i="23"/>
  <c r="Q51" i="23"/>
  <c r="S50" i="23"/>
  <c r="R50" i="23"/>
  <c r="Q50" i="23"/>
  <c r="O50" i="23"/>
  <c r="N50" i="23"/>
  <c r="S49" i="23"/>
  <c r="R49" i="23"/>
  <c r="Q49" i="23"/>
  <c r="O49" i="23"/>
  <c r="N49" i="23"/>
  <c r="S48" i="23"/>
  <c r="R48" i="23"/>
  <c r="Q48" i="23"/>
  <c r="O48" i="23"/>
  <c r="N48" i="23"/>
  <c r="S47" i="23"/>
  <c r="R47" i="23"/>
  <c r="Q47" i="23"/>
  <c r="O47" i="23"/>
  <c r="N47" i="23"/>
  <c r="S46" i="23"/>
  <c r="R46" i="23"/>
  <c r="Q46" i="23"/>
  <c r="O46" i="23"/>
  <c r="N46" i="23"/>
  <c r="S45" i="23"/>
  <c r="S44" i="23" s="1"/>
  <c r="R45" i="23"/>
  <c r="Q45" i="23"/>
  <c r="O45" i="23"/>
  <c r="N45" i="23"/>
  <c r="R44" i="23"/>
  <c r="Q44" i="23"/>
  <c r="S43" i="23"/>
  <c r="R43" i="23"/>
  <c r="Q43" i="23"/>
  <c r="O43" i="23"/>
  <c r="N43" i="23"/>
  <c r="S42" i="23"/>
  <c r="R42" i="23"/>
  <c r="Q42" i="23"/>
  <c r="O42" i="23"/>
  <c r="N42" i="23"/>
  <c r="S41" i="23"/>
  <c r="R41" i="23"/>
  <c r="Q41" i="23"/>
  <c r="O41" i="23"/>
  <c r="N41" i="23"/>
  <c r="S40" i="23"/>
  <c r="R40" i="23"/>
  <c r="Q40" i="23"/>
  <c r="O40" i="23"/>
  <c r="N40" i="23"/>
  <c r="S39" i="23"/>
  <c r="R39" i="23"/>
  <c r="Q39" i="23"/>
  <c r="O39" i="23"/>
  <c r="N39" i="23"/>
  <c r="S38" i="23"/>
  <c r="R38" i="23"/>
  <c r="Q38" i="23"/>
  <c r="N38" i="23"/>
  <c r="G38" i="23"/>
  <c r="H38" i="23" s="1"/>
  <c r="O38" i="23" s="1"/>
  <c r="S37" i="23"/>
  <c r="R37" i="23"/>
  <c r="Q37" i="23"/>
  <c r="O37" i="23"/>
  <c r="N37" i="23"/>
  <c r="S36" i="23"/>
  <c r="R36" i="23"/>
  <c r="S35" i="23"/>
  <c r="R35" i="23"/>
  <c r="Q35" i="23"/>
  <c r="O35" i="23"/>
  <c r="N35" i="23"/>
  <c r="S34" i="23"/>
  <c r="R34" i="23"/>
  <c r="Q34" i="23"/>
  <c r="S33" i="23"/>
  <c r="R33" i="23"/>
  <c r="Q33" i="23"/>
  <c r="S32" i="23"/>
  <c r="R32" i="23"/>
  <c r="R31" i="23" s="1"/>
  <c r="Q32" i="23"/>
  <c r="Q31" i="23" s="1"/>
  <c r="O32" i="23"/>
  <c r="N32" i="23"/>
  <c r="S31" i="23"/>
  <c r="S30" i="23"/>
  <c r="S29" i="23" s="1"/>
  <c r="S28" i="23" s="1"/>
  <c r="R30" i="23"/>
  <c r="Q30" i="23"/>
  <c r="O30" i="23"/>
  <c r="N30" i="23"/>
  <c r="R29" i="23"/>
  <c r="Q29" i="23"/>
  <c r="O29" i="23"/>
  <c r="N29" i="23"/>
  <c r="V16" i="23"/>
  <c r="V19" i="23" s="1"/>
  <c r="Q11" i="23"/>
  <c r="K1733" i="22"/>
  <c r="K1731" i="22"/>
  <c r="K1730" i="22"/>
  <c r="K1729" i="22"/>
  <c r="K1728" i="22"/>
  <c r="C1726" i="22"/>
  <c r="K1723" i="22"/>
  <c r="K1721" i="22"/>
  <c r="K1720" i="22"/>
  <c r="K1724" i="22" s="1"/>
  <c r="K1719" i="22"/>
  <c r="K1718" i="22"/>
  <c r="C1716" i="22"/>
  <c r="K1711" i="22"/>
  <c r="K1709" i="22"/>
  <c r="E1708" i="22"/>
  <c r="K1708" i="22" s="1"/>
  <c r="C1706" i="22"/>
  <c r="K1701" i="22"/>
  <c r="K1699" i="22"/>
  <c r="K1698" i="22"/>
  <c r="K1697" i="22"/>
  <c r="F1696" i="22"/>
  <c r="K1696" i="22" s="1"/>
  <c r="K1703" i="22" s="1"/>
  <c r="F1695" i="22"/>
  <c r="K1695" i="22" s="1"/>
  <c r="K1700" i="22" s="1"/>
  <c r="K1704" i="22" s="1"/>
  <c r="C1693" i="22"/>
  <c r="K1690" i="22"/>
  <c r="K1688" i="22"/>
  <c r="K1687" i="22"/>
  <c r="K1686" i="22"/>
  <c r="K1685" i="22"/>
  <c r="K1684" i="22"/>
  <c r="K1683" i="22"/>
  <c r="K1682" i="22"/>
  <c r="C1680" i="22"/>
  <c r="K1675" i="22"/>
  <c r="K1673" i="22"/>
  <c r="K1672" i="22"/>
  <c r="K1677" i="22" s="1"/>
  <c r="K1671" i="22"/>
  <c r="K1670" i="22"/>
  <c r="K1669" i="22"/>
  <c r="K1668" i="22"/>
  <c r="K1667" i="22"/>
  <c r="K1666" i="22"/>
  <c r="K1665" i="22"/>
  <c r="K1664" i="22"/>
  <c r="K1663" i="22"/>
  <c r="K1662" i="22"/>
  <c r="K1661" i="22"/>
  <c r="K1660" i="22"/>
  <c r="K1659" i="22"/>
  <c r="K1658" i="22"/>
  <c r="K1657" i="22"/>
  <c r="K1656" i="22"/>
  <c r="K1655" i="22"/>
  <c r="C1653" i="22"/>
  <c r="K1648" i="22"/>
  <c r="K1646" i="22"/>
  <c r="K1645" i="22"/>
  <c r="K1650" i="22" s="1"/>
  <c r="K1644" i="22"/>
  <c r="E1644" i="22"/>
  <c r="K1643" i="22"/>
  <c r="K1642" i="22"/>
  <c r="C1640" i="22"/>
  <c r="K1635" i="22"/>
  <c r="K1633" i="22"/>
  <c r="K1632" i="22"/>
  <c r="K1631" i="22"/>
  <c r="K1630" i="22"/>
  <c r="K1629" i="22"/>
  <c r="K1637" i="22" s="1"/>
  <c r="C1627" i="22"/>
  <c r="K1622" i="22"/>
  <c r="K1620" i="22"/>
  <c r="K1619" i="22"/>
  <c r="K1618" i="22"/>
  <c r="K1617" i="22"/>
  <c r="K1616" i="22"/>
  <c r="K1615" i="22"/>
  <c r="C1613" i="22"/>
  <c r="K1608" i="22"/>
  <c r="K1606" i="22"/>
  <c r="K1605" i="22"/>
  <c r="K1604" i="22"/>
  <c r="K1603" i="22"/>
  <c r="K1602" i="22"/>
  <c r="K1601" i="22"/>
  <c r="K1600" i="22"/>
  <c r="K1599" i="22"/>
  <c r="K1598" i="22"/>
  <c r="K1597" i="22"/>
  <c r="K1596" i="22"/>
  <c r="K1595" i="22"/>
  <c r="K1594" i="22"/>
  <c r="K1593" i="22"/>
  <c r="K1592" i="22"/>
  <c r="K1591" i="22"/>
  <c r="K1590" i="22"/>
  <c r="K1589" i="22"/>
  <c r="K1588" i="22"/>
  <c r="K1587" i="22"/>
  <c r="K1586" i="22"/>
  <c r="K1585" i="22"/>
  <c r="K1584" i="22"/>
  <c r="K1583" i="22"/>
  <c r="K1582" i="22"/>
  <c r="K1581" i="22"/>
  <c r="K1580" i="22"/>
  <c r="K1579" i="22"/>
  <c r="K1578" i="22"/>
  <c r="K1577" i="22"/>
  <c r="K1576" i="22"/>
  <c r="K1575" i="22"/>
  <c r="K1574" i="22"/>
  <c r="K1573" i="22"/>
  <c r="K1572" i="22"/>
  <c r="K1571" i="22"/>
  <c r="K1570" i="22"/>
  <c r="K1569" i="22"/>
  <c r="K1568" i="22"/>
  <c r="K1567" i="22"/>
  <c r="K1566" i="22"/>
  <c r="K1565" i="22"/>
  <c r="K1564" i="22"/>
  <c r="K1563" i="22"/>
  <c r="K1562" i="22"/>
  <c r="K1561" i="22"/>
  <c r="K1560" i="22"/>
  <c r="K1559" i="22"/>
  <c r="K1558" i="22"/>
  <c r="K1557" i="22"/>
  <c r="K1556" i="22"/>
  <c r="K1555" i="22"/>
  <c r="K1554" i="22"/>
  <c r="K1553" i="22"/>
  <c r="K1552" i="22"/>
  <c r="K1551" i="22"/>
  <c r="K1550" i="22"/>
  <c r="K1549" i="22"/>
  <c r="K1548" i="22"/>
  <c r="K1547" i="22"/>
  <c r="K1546" i="22"/>
  <c r="K1545" i="22"/>
  <c r="K1544" i="22"/>
  <c r="K1543" i="22"/>
  <c r="K1542" i="22"/>
  <c r="K1541" i="22"/>
  <c r="K1540" i="22"/>
  <c r="K1539" i="22"/>
  <c r="K1538" i="22"/>
  <c r="K1537" i="22"/>
  <c r="K1536" i="22"/>
  <c r="K1535" i="22"/>
  <c r="K1534" i="22"/>
  <c r="K1533" i="22"/>
  <c r="K1532" i="22"/>
  <c r="K1531" i="22"/>
  <c r="K1530" i="22"/>
  <c r="K1529" i="22"/>
  <c r="K1528" i="22"/>
  <c r="K1527" i="22"/>
  <c r="K1526" i="22"/>
  <c r="K1525" i="22"/>
  <c r="K1524" i="22"/>
  <c r="K1523" i="22"/>
  <c r="K1522" i="22"/>
  <c r="K1521" i="22"/>
  <c r="K1520" i="22"/>
  <c r="K1519" i="22"/>
  <c r="K1518" i="22"/>
  <c r="K1517" i="22"/>
  <c r="K1516" i="22"/>
  <c r="K1515" i="22"/>
  <c r="K1514" i="22"/>
  <c r="K1513" i="22"/>
  <c r="K1512" i="22"/>
  <c r="K1511" i="22"/>
  <c r="K1510" i="22"/>
  <c r="C1508" i="22"/>
  <c r="K1505" i="22"/>
  <c r="K1503" i="22"/>
  <c r="K1501" i="22"/>
  <c r="K1500" i="22"/>
  <c r="K1499" i="22"/>
  <c r="K1498" i="22"/>
  <c r="K1497" i="22"/>
  <c r="K1496" i="22"/>
  <c r="K1495" i="22"/>
  <c r="K1494" i="22"/>
  <c r="K1493" i="22"/>
  <c r="K1492" i="22"/>
  <c r="K1491" i="22"/>
  <c r="K1490" i="22"/>
  <c r="K1489" i="22"/>
  <c r="K1502" i="22" s="1"/>
  <c r="K1506" i="22" s="1"/>
  <c r="K1488" i="22"/>
  <c r="K1487" i="22"/>
  <c r="C1485" i="22"/>
  <c r="K1480" i="22"/>
  <c r="K1478" i="22"/>
  <c r="K1476" i="22"/>
  <c r="K1475" i="22"/>
  <c r="K1474" i="22"/>
  <c r="K1473" i="22"/>
  <c r="K1472" i="22"/>
  <c r="K1469" i="22"/>
  <c r="K1468" i="22"/>
  <c r="K1467" i="22"/>
  <c r="K1466" i="22"/>
  <c r="K1465" i="22"/>
  <c r="C1463" i="22"/>
  <c r="K1458" i="22"/>
  <c r="K1456" i="22"/>
  <c r="K1455" i="22"/>
  <c r="K1453" i="22"/>
  <c r="K1452" i="22"/>
  <c r="K1451" i="22"/>
  <c r="K1450" i="22"/>
  <c r="K1449" i="22"/>
  <c r="K1446" i="22"/>
  <c r="K1445" i="22"/>
  <c r="K1444" i="22"/>
  <c r="K1443" i="22"/>
  <c r="K1442" i="22"/>
  <c r="K1457" i="22" s="1"/>
  <c r="C1440" i="22"/>
  <c r="K1435" i="22"/>
  <c r="K1433" i="22"/>
  <c r="K1432" i="22"/>
  <c r="K1430" i="22"/>
  <c r="K1429" i="22"/>
  <c r="K1428" i="22"/>
  <c r="K1427" i="22"/>
  <c r="K1426" i="22"/>
  <c r="K1423" i="22"/>
  <c r="K1422" i="22"/>
  <c r="K1421" i="22"/>
  <c r="K1420" i="22"/>
  <c r="K1419" i="22"/>
  <c r="C1417" i="22"/>
  <c r="K1412" i="22"/>
  <c r="K1410" i="22"/>
  <c r="K1409" i="22"/>
  <c r="K1408" i="22"/>
  <c r="K1407" i="22"/>
  <c r="K1406" i="22"/>
  <c r="K1405" i="22"/>
  <c r="K1404" i="22"/>
  <c r="K1403" i="22"/>
  <c r="K1400" i="22"/>
  <c r="K1399" i="22"/>
  <c r="K1398" i="22"/>
  <c r="K1397" i="22"/>
  <c r="K1396" i="22"/>
  <c r="C1394" i="22"/>
  <c r="K1389" i="22"/>
  <c r="K1387" i="22"/>
  <c r="K1386" i="22"/>
  <c r="K1385" i="22"/>
  <c r="K1384" i="22"/>
  <c r="K1383" i="22"/>
  <c r="K1382" i="22"/>
  <c r="K1381" i="22"/>
  <c r="K1380" i="22"/>
  <c r="K1379" i="22"/>
  <c r="K1376" i="22"/>
  <c r="K1375" i="22"/>
  <c r="K1374" i="22"/>
  <c r="K1373" i="22"/>
  <c r="C1371" i="22"/>
  <c r="K1366" i="22"/>
  <c r="K1364" i="22"/>
  <c r="K1363" i="22"/>
  <c r="K1361" i="22"/>
  <c r="K1360" i="22"/>
  <c r="K1359" i="22"/>
  <c r="K1358" i="22"/>
  <c r="K1357" i="22"/>
  <c r="K1354" i="22"/>
  <c r="K1353" i="22"/>
  <c r="K1352" i="22"/>
  <c r="K1351" i="22"/>
  <c r="K1350" i="22"/>
  <c r="K1347" i="22"/>
  <c r="K1346" i="22"/>
  <c r="K1345" i="22"/>
  <c r="K1344" i="22"/>
  <c r="K1343" i="22"/>
  <c r="G1340" i="22"/>
  <c r="K1340" i="22" s="1"/>
  <c r="K1339" i="22"/>
  <c r="K1338" i="22"/>
  <c r="K1337" i="22"/>
  <c r="K1336" i="22"/>
  <c r="C1334" i="22"/>
  <c r="K1329" i="22"/>
  <c r="K1327" i="22"/>
  <c r="K1326" i="22"/>
  <c r="K1325" i="22"/>
  <c r="K1324" i="22"/>
  <c r="K1323" i="22"/>
  <c r="K1322" i="22"/>
  <c r="K1321" i="22"/>
  <c r="K1320" i="22"/>
  <c r="K1319" i="22"/>
  <c r="K1318" i="22"/>
  <c r="K1317" i="22"/>
  <c r="K1331" i="22" s="1"/>
  <c r="K1316" i="22"/>
  <c r="K1315" i="22"/>
  <c r="K1314" i="22"/>
  <c r="K1313" i="22"/>
  <c r="K1312" i="22"/>
  <c r="K1311" i="22"/>
  <c r="K1310" i="22"/>
  <c r="K1309" i="22"/>
  <c r="K1308" i="22"/>
  <c r="K1307" i="22"/>
  <c r="K1306" i="22"/>
  <c r="K1305" i="22"/>
  <c r="K1304" i="22"/>
  <c r="K1303" i="22"/>
  <c r="K1302" i="22"/>
  <c r="K1301" i="22"/>
  <c r="K1300" i="22"/>
  <c r="K1299" i="22"/>
  <c r="K1298" i="22"/>
  <c r="K1297" i="22"/>
  <c r="K1296" i="22"/>
  <c r="K1295" i="22"/>
  <c r="K1294" i="22"/>
  <c r="K1293" i="22"/>
  <c r="K1292" i="22"/>
  <c r="K1291" i="22"/>
  <c r="K1290" i="22"/>
  <c r="K1289" i="22"/>
  <c r="K1288" i="22"/>
  <c r="K1287" i="22"/>
  <c r="K1286" i="22"/>
  <c r="K1285" i="22"/>
  <c r="K1284" i="22"/>
  <c r="K1283" i="22"/>
  <c r="K1282" i="22"/>
  <c r="K1281" i="22"/>
  <c r="K1280" i="22"/>
  <c r="K1279" i="22"/>
  <c r="K1278" i="22"/>
  <c r="K1277" i="22"/>
  <c r="K1276" i="22"/>
  <c r="K1275" i="22"/>
  <c r="K1274" i="22"/>
  <c r="K1273" i="22"/>
  <c r="K1272" i="22"/>
  <c r="K1271" i="22"/>
  <c r="K1270" i="22"/>
  <c r="K1269" i="22"/>
  <c r="K1268" i="22"/>
  <c r="K1267" i="22"/>
  <c r="K1266" i="22"/>
  <c r="K1265" i="22"/>
  <c r="K1264" i="22"/>
  <c r="K1263" i="22"/>
  <c r="K1262" i="22"/>
  <c r="K1261" i="22"/>
  <c r="K1260" i="22"/>
  <c r="K1259" i="22"/>
  <c r="K1258" i="22"/>
  <c r="K1257" i="22"/>
  <c r="K1256" i="22"/>
  <c r="K1255" i="22"/>
  <c r="K1254" i="22"/>
  <c r="K1253" i="22"/>
  <c r="K1252" i="22"/>
  <c r="K1251" i="22"/>
  <c r="K1250" i="22"/>
  <c r="K1249" i="22"/>
  <c r="K1248" i="22"/>
  <c r="K1247" i="22"/>
  <c r="K1246" i="22"/>
  <c r="K1245" i="22"/>
  <c r="K1244" i="22"/>
  <c r="K1243" i="22"/>
  <c r="K1242" i="22"/>
  <c r="K1241" i="22"/>
  <c r="K1240" i="22"/>
  <c r="K1239" i="22"/>
  <c r="K1238" i="22"/>
  <c r="K1237" i="22"/>
  <c r="K1236" i="22"/>
  <c r="K1235" i="22"/>
  <c r="K1234" i="22"/>
  <c r="K1233" i="22"/>
  <c r="K1232" i="22"/>
  <c r="K1231" i="22"/>
  <c r="K1230" i="22"/>
  <c r="K1229" i="22"/>
  <c r="K1228" i="22"/>
  <c r="K1227" i="22"/>
  <c r="K1226" i="22"/>
  <c r="K1225" i="22"/>
  <c r="K1224" i="22"/>
  <c r="K1223" i="22"/>
  <c r="K1222" i="22"/>
  <c r="K1221" i="22"/>
  <c r="K1220" i="22"/>
  <c r="K1219" i="22"/>
  <c r="K1218" i="22"/>
  <c r="K1217" i="22"/>
  <c r="K1216" i="22"/>
  <c r="K1215" i="22"/>
  <c r="K1214" i="22"/>
  <c r="K1213" i="22"/>
  <c r="K1212" i="22"/>
  <c r="K1211" i="22"/>
  <c r="K1210" i="22"/>
  <c r="K1209" i="22"/>
  <c r="K1208" i="22"/>
  <c r="K1207" i="22"/>
  <c r="K1206" i="22"/>
  <c r="K1205" i="22"/>
  <c r="K1204" i="22"/>
  <c r="K1203" i="22"/>
  <c r="K1202" i="22"/>
  <c r="K1201" i="22"/>
  <c r="K1200" i="22"/>
  <c r="K1199" i="22"/>
  <c r="K1198" i="22"/>
  <c r="K1197" i="22"/>
  <c r="K1196" i="22"/>
  <c r="K1195" i="22"/>
  <c r="K1194" i="22"/>
  <c r="K1193" i="22"/>
  <c r="K1192" i="22"/>
  <c r="K1191" i="22"/>
  <c r="K1190" i="22"/>
  <c r="K1189" i="22"/>
  <c r="K1188" i="22"/>
  <c r="K1187" i="22"/>
  <c r="K1186" i="22"/>
  <c r="K1185" i="22"/>
  <c r="K1184" i="22"/>
  <c r="K1183" i="22"/>
  <c r="K1182" i="22"/>
  <c r="K1181" i="22"/>
  <c r="K1180" i="22"/>
  <c r="K1179" i="22"/>
  <c r="K1178" i="22"/>
  <c r="K1177" i="22"/>
  <c r="K1176" i="22"/>
  <c r="K1175" i="22"/>
  <c r="K1174" i="22"/>
  <c r="K1173" i="22"/>
  <c r="K1172" i="22"/>
  <c r="K1171" i="22"/>
  <c r="K1170" i="22"/>
  <c r="K1169" i="22"/>
  <c r="K1168" i="22"/>
  <c r="K1167" i="22"/>
  <c r="K1166" i="22"/>
  <c r="K1165" i="22"/>
  <c r="K1164" i="22"/>
  <c r="K1163" i="22"/>
  <c r="K1162" i="22"/>
  <c r="K1161" i="22"/>
  <c r="K1160" i="22"/>
  <c r="K1159" i="22"/>
  <c r="K1158" i="22"/>
  <c r="K1157" i="22"/>
  <c r="K1156" i="22"/>
  <c r="K1155" i="22"/>
  <c r="K1154" i="22"/>
  <c r="K1153" i="22"/>
  <c r="K1152" i="22"/>
  <c r="K1151" i="22"/>
  <c r="K1150" i="22"/>
  <c r="K1149" i="22"/>
  <c r="K1148" i="22"/>
  <c r="K1147" i="22"/>
  <c r="K1146" i="22"/>
  <c r="K1145" i="22"/>
  <c r="K1144" i="22"/>
  <c r="K1143" i="22"/>
  <c r="K1142" i="22"/>
  <c r="K1141" i="22"/>
  <c r="K1140" i="22"/>
  <c r="K1139" i="22"/>
  <c r="K1138" i="22"/>
  <c r="K1137" i="22"/>
  <c r="K1136" i="22"/>
  <c r="K1135" i="22"/>
  <c r="K1134" i="22"/>
  <c r="K1133" i="22"/>
  <c r="K1132" i="22"/>
  <c r="K1131" i="22"/>
  <c r="K1130" i="22"/>
  <c r="K1129" i="22"/>
  <c r="K1128" i="22"/>
  <c r="K1127" i="22"/>
  <c r="K1126" i="22"/>
  <c r="K1125" i="22"/>
  <c r="K1124" i="22"/>
  <c r="K1123" i="22"/>
  <c r="K1122" i="22"/>
  <c r="K1121" i="22"/>
  <c r="K1120" i="22"/>
  <c r="K1119" i="22"/>
  <c r="K1118" i="22"/>
  <c r="K1117" i="22"/>
  <c r="K1116" i="22"/>
  <c r="G1115" i="22"/>
  <c r="K1115" i="22" s="1"/>
  <c r="K1114" i="22"/>
  <c r="G1114" i="22"/>
  <c r="K1113" i="22"/>
  <c r="K1112" i="22"/>
  <c r="K1111" i="22"/>
  <c r="K1110" i="22"/>
  <c r="K1109" i="22"/>
  <c r="K1108" i="22"/>
  <c r="K1107" i="22"/>
  <c r="K1106" i="22"/>
  <c r="K1105" i="22"/>
  <c r="K1104" i="22"/>
  <c r="K1103" i="22"/>
  <c r="K1102" i="22"/>
  <c r="K1101" i="22"/>
  <c r="K1100" i="22"/>
  <c r="K1099" i="22"/>
  <c r="K1098" i="22"/>
  <c r="K1097" i="22"/>
  <c r="K1096" i="22"/>
  <c r="K1095" i="22"/>
  <c r="K1094" i="22"/>
  <c r="K1093" i="22"/>
  <c r="K1092" i="22"/>
  <c r="K1091" i="22"/>
  <c r="K1090" i="22"/>
  <c r="K1089" i="22"/>
  <c r="K1088" i="22"/>
  <c r="K1087" i="22"/>
  <c r="K1086" i="22"/>
  <c r="K1085" i="22"/>
  <c r="K1084" i="22"/>
  <c r="K1083" i="22"/>
  <c r="K1082" i="22"/>
  <c r="K1081" i="22"/>
  <c r="K1080" i="22"/>
  <c r="K1079" i="22"/>
  <c r="K1078" i="22"/>
  <c r="K1077" i="22"/>
  <c r="K1076" i="22"/>
  <c r="K1075" i="22"/>
  <c r="K1074" i="22"/>
  <c r="K1073" i="22"/>
  <c r="K1072" i="22"/>
  <c r="K1071" i="22"/>
  <c r="C1069" i="22"/>
  <c r="K1066" i="22"/>
  <c r="K1064" i="22"/>
  <c r="K1062" i="22"/>
  <c r="K1061" i="22"/>
  <c r="K1059" i="22"/>
  <c r="G1059" i="22"/>
  <c r="G1060" i="22" s="1"/>
  <c r="F1059" i="22"/>
  <c r="F1060" i="22" s="1"/>
  <c r="K1060" i="22" s="1"/>
  <c r="K1058" i="22"/>
  <c r="K1057" i="22"/>
  <c r="K1056" i="22"/>
  <c r="K1055" i="22"/>
  <c r="G1055" i="22"/>
  <c r="F1055" i="22"/>
  <c r="K1054" i="22"/>
  <c r="G1052" i="22"/>
  <c r="G1053" i="22" s="1"/>
  <c r="F1052" i="22"/>
  <c r="K1051" i="22"/>
  <c r="C1049" i="22"/>
  <c r="K1044" i="22"/>
  <c r="K1042" i="22"/>
  <c r="K1041" i="22"/>
  <c r="K1040" i="22"/>
  <c r="K1046" i="22" s="1"/>
  <c r="G1039" i="22"/>
  <c r="F1039" i="22"/>
  <c r="K1039" i="22" s="1"/>
  <c r="K1038" i="22"/>
  <c r="K1037" i="22"/>
  <c r="K1036" i="22"/>
  <c r="K1035" i="22"/>
  <c r="K1034" i="22"/>
  <c r="K1033" i="22"/>
  <c r="G1033" i="22"/>
  <c r="F1033" i="22"/>
  <c r="K1032" i="22"/>
  <c r="K1043" i="22" s="1"/>
  <c r="K1047" i="22" s="1"/>
  <c r="C1030" i="22"/>
  <c r="K1027" i="22"/>
  <c r="K1025" i="22"/>
  <c r="K1023" i="22"/>
  <c r="K1022" i="22"/>
  <c r="K1021" i="22"/>
  <c r="K1020" i="22"/>
  <c r="G1019" i="22"/>
  <c r="F1019" i="22"/>
  <c r="K1019" i="22" s="1"/>
  <c r="K1018" i="22"/>
  <c r="K1017" i="22"/>
  <c r="K1016" i="22"/>
  <c r="K1024" i="22" s="1"/>
  <c r="K1028" i="22" s="1"/>
  <c r="K1015" i="22"/>
  <c r="K1014" i="22"/>
  <c r="K1013" i="22"/>
  <c r="G1013" i="22"/>
  <c r="F1013" i="22"/>
  <c r="K1012" i="22"/>
  <c r="C1010" i="22"/>
  <c r="K1005" i="22"/>
  <c r="K1003" i="22"/>
  <c r="K1002" i="22"/>
  <c r="K1007" i="22" s="1"/>
  <c r="K1001" i="22"/>
  <c r="K1000" i="22"/>
  <c r="G1000" i="22"/>
  <c r="F1000" i="22"/>
  <c r="K999" i="22"/>
  <c r="G999" i="22"/>
  <c r="F999" i="22"/>
  <c r="K998" i="22"/>
  <c r="K997" i="22"/>
  <c r="G996" i="22"/>
  <c r="F996" i="22"/>
  <c r="K996" i="22" s="1"/>
  <c r="K995" i="22"/>
  <c r="K994" i="22"/>
  <c r="G994" i="22"/>
  <c r="F994" i="22"/>
  <c r="K993" i="22"/>
  <c r="G993" i="22"/>
  <c r="F993" i="22"/>
  <c r="K992" i="22"/>
  <c r="C990" i="22"/>
  <c r="K987" i="22"/>
  <c r="K985" i="22"/>
  <c r="K983" i="22"/>
  <c r="K982" i="22"/>
  <c r="G981" i="22"/>
  <c r="F981" i="22"/>
  <c r="K981" i="22" s="1"/>
  <c r="K980" i="22"/>
  <c r="K979" i="22"/>
  <c r="K978" i="22"/>
  <c r="K977" i="22"/>
  <c r="K976" i="22"/>
  <c r="G975" i="22"/>
  <c r="K975" i="22" s="1"/>
  <c r="K984" i="22" s="1"/>
  <c r="K988" i="22" s="1"/>
  <c r="F975" i="22"/>
  <c r="K974" i="22"/>
  <c r="C972" i="22"/>
  <c r="K969" i="22"/>
  <c r="K967" i="22"/>
  <c r="K965" i="22"/>
  <c r="K964" i="22"/>
  <c r="K963" i="22"/>
  <c r="K962" i="22"/>
  <c r="K961" i="22"/>
  <c r="K960" i="22"/>
  <c r="K959" i="22"/>
  <c r="G957" i="22"/>
  <c r="G958" i="22" s="1"/>
  <c r="F957" i="22"/>
  <c r="F958" i="22" s="1"/>
  <c r="K958" i="22" s="1"/>
  <c r="K956" i="22"/>
  <c r="C954" i="22"/>
  <c r="K951" i="22"/>
  <c r="K949" i="22"/>
  <c r="K947" i="22"/>
  <c r="K946" i="22"/>
  <c r="G945" i="22"/>
  <c r="F945" i="22"/>
  <c r="K945" i="22" s="1"/>
  <c r="K944" i="22"/>
  <c r="K943" i="22"/>
  <c r="K942" i="22"/>
  <c r="K941" i="22"/>
  <c r="G941" i="22"/>
  <c r="F941" i="22"/>
  <c r="G940" i="22"/>
  <c r="F940" i="22"/>
  <c r="K940" i="22" s="1"/>
  <c r="K939" i="22"/>
  <c r="C937" i="22"/>
  <c r="K932" i="22"/>
  <c r="K930" i="22"/>
  <c r="K929" i="22"/>
  <c r="K934" i="22" s="1"/>
  <c r="K928" i="22"/>
  <c r="G928" i="22"/>
  <c r="F928" i="22"/>
  <c r="K927" i="22"/>
  <c r="K926" i="22"/>
  <c r="K925" i="22"/>
  <c r="K924" i="22"/>
  <c r="K923" i="22"/>
  <c r="G922" i="22"/>
  <c r="F922" i="22"/>
  <c r="K922" i="22" s="1"/>
  <c r="K921" i="22"/>
  <c r="K931" i="22" s="1"/>
  <c r="K935" i="22" s="1"/>
  <c r="C919" i="22"/>
  <c r="K914" i="22"/>
  <c r="K912" i="22"/>
  <c r="K911" i="22"/>
  <c r="K910" i="22"/>
  <c r="K909" i="22"/>
  <c r="K908" i="22"/>
  <c r="K907" i="22"/>
  <c r="K906" i="22"/>
  <c r="K905" i="22"/>
  <c r="K904" i="22"/>
  <c r="K903" i="22"/>
  <c r="K902" i="22"/>
  <c r="K901" i="22"/>
  <c r="K900" i="22"/>
  <c r="K899" i="22"/>
  <c r="K898" i="22"/>
  <c r="K897" i="22"/>
  <c r="K896" i="22"/>
  <c r="K895" i="22"/>
  <c r="K894" i="22"/>
  <c r="K893" i="22"/>
  <c r="K892" i="22"/>
  <c r="K891" i="22"/>
  <c r="K890" i="22"/>
  <c r="K889" i="22"/>
  <c r="K888" i="22"/>
  <c r="K887" i="22"/>
  <c r="K886" i="22"/>
  <c r="K885" i="22"/>
  <c r="K884" i="22"/>
  <c r="K883" i="22"/>
  <c r="K882" i="22"/>
  <c r="K881" i="22"/>
  <c r="K880" i="22"/>
  <c r="K879" i="22"/>
  <c r="K878" i="22"/>
  <c r="K877" i="22"/>
  <c r="K876" i="22"/>
  <c r="K875" i="22"/>
  <c r="K874" i="22"/>
  <c r="K873" i="22"/>
  <c r="K872" i="22"/>
  <c r="K871" i="22"/>
  <c r="K870" i="22"/>
  <c r="K869" i="22"/>
  <c r="K868" i="22"/>
  <c r="K867" i="22"/>
  <c r="K866" i="22"/>
  <c r="K865" i="22"/>
  <c r="K864" i="22"/>
  <c r="K863" i="22"/>
  <c r="K862" i="22"/>
  <c r="K861" i="22"/>
  <c r="K860" i="22"/>
  <c r="K859" i="22"/>
  <c r="K858" i="22"/>
  <c r="K857" i="22"/>
  <c r="K856" i="22"/>
  <c r="K855" i="22"/>
  <c r="K854" i="22"/>
  <c r="K853" i="22"/>
  <c r="K852" i="22"/>
  <c r="K851" i="22"/>
  <c r="K850" i="22"/>
  <c r="K849" i="22"/>
  <c r="K848" i="22"/>
  <c r="K847" i="22"/>
  <c r="K846" i="22"/>
  <c r="K845" i="22"/>
  <c r="K844" i="22"/>
  <c r="K843" i="22"/>
  <c r="K842" i="22"/>
  <c r="K841" i="22"/>
  <c r="K840" i="22"/>
  <c r="K839" i="22"/>
  <c r="K838" i="22"/>
  <c r="K837" i="22"/>
  <c r="K836" i="22"/>
  <c r="K835" i="22"/>
  <c r="K834" i="22"/>
  <c r="K833" i="22"/>
  <c r="K832" i="22"/>
  <c r="K831" i="22"/>
  <c r="K830" i="22"/>
  <c r="K829" i="22"/>
  <c r="K828" i="22"/>
  <c r="K827" i="22"/>
  <c r="K826" i="22"/>
  <c r="K825" i="22"/>
  <c r="K824" i="22"/>
  <c r="K823" i="22"/>
  <c r="K822" i="22"/>
  <c r="K821" i="22"/>
  <c r="K820" i="22"/>
  <c r="K819" i="22"/>
  <c r="K818" i="22"/>
  <c r="K817" i="22"/>
  <c r="K816" i="22"/>
  <c r="K815" i="22"/>
  <c r="K814" i="22"/>
  <c r="K813" i="22"/>
  <c r="K812" i="22"/>
  <c r="K811" i="22"/>
  <c r="K810" i="22"/>
  <c r="K809" i="22"/>
  <c r="K808" i="22"/>
  <c r="K807" i="22"/>
  <c r="K806" i="22"/>
  <c r="K805" i="22"/>
  <c r="K804" i="22"/>
  <c r="K803" i="22"/>
  <c r="K802" i="22"/>
  <c r="K801" i="22"/>
  <c r="K800" i="22"/>
  <c r="K799" i="22"/>
  <c r="K798" i="22"/>
  <c r="K797" i="22"/>
  <c r="K796" i="22"/>
  <c r="K795" i="22"/>
  <c r="K794" i="22"/>
  <c r="K793" i="22"/>
  <c r="K792" i="22"/>
  <c r="K791" i="22"/>
  <c r="K790" i="22"/>
  <c r="K789" i="22"/>
  <c r="K788" i="22"/>
  <c r="K787" i="22"/>
  <c r="K786" i="22"/>
  <c r="K785" i="22"/>
  <c r="K784" i="22"/>
  <c r="K783" i="22"/>
  <c r="K782" i="22"/>
  <c r="K781" i="22"/>
  <c r="K780" i="22"/>
  <c r="K779" i="22"/>
  <c r="K778" i="22"/>
  <c r="K777" i="22"/>
  <c r="K776" i="22"/>
  <c r="K775" i="22"/>
  <c r="K774" i="22"/>
  <c r="K773" i="22"/>
  <c r="K772" i="22"/>
  <c r="K771" i="22"/>
  <c r="K770" i="22"/>
  <c r="K769" i="22"/>
  <c r="K768" i="22"/>
  <c r="K767" i="22"/>
  <c r="K766" i="22"/>
  <c r="K765" i="22"/>
  <c r="K764" i="22"/>
  <c r="K763" i="22"/>
  <c r="K762" i="22"/>
  <c r="K761" i="22"/>
  <c r="K760" i="22"/>
  <c r="K759" i="22"/>
  <c r="K758" i="22"/>
  <c r="K757" i="22"/>
  <c r="K756" i="22"/>
  <c r="K755" i="22"/>
  <c r="K754" i="22"/>
  <c r="K753" i="22"/>
  <c r="K752" i="22"/>
  <c r="K751" i="22"/>
  <c r="K750" i="22"/>
  <c r="K749" i="22"/>
  <c r="K748" i="22"/>
  <c r="K747" i="22"/>
  <c r="K746" i="22"/>
  <c r="K745" i="22"/>
  <c r="K744" i="22"/>
  <c r="K743" i="22"/>
  <c r="K742" i="22"/>
  <c r="K741" i="22"/>
  <c r="K740" i="22"/>
  <c r="K739" i="22"/>
  <c r="K738" i="22"/>
  <c r="K737" i="22"/>
  <c r="K736" i="22"/>
  <c r="K735" i="22"/>
  <c r="K734" i="22"/>
  <c r="K733" i="22"/>
  <c r="K732" i="22"/>
  <c r="K731" i="22"/>
  <c r="K730" i="22"/>
  <c r="K729" i="22"/>
  <c r="K728" i="22"/>
  <c r="K727" i="22"/>
  <c r="K726" i="22"/>
  <c r="K725" i="22"/>
  <c r="K724" i="22"/>
  <c r="K723" i="22"/>
  <c r="K722" i="22"/>
  <c r="K721" i="22"/>
  <c r="K720" i="22"/>
  <c r="K719" i="22"/>
  <c r="K718" i="22"/>
  <c r="K717" i="22"/>
  <c r="K716" i="22"/>
  <c r="C714" i="22"/>
  <c r="K711" i="22"/>
  <c r="K709" i="22"/>
  <c r="K707" i="22"/>
  <c r="K706" i="22"/>
  <c r="K705" i="22"/>
  <c r="K704" i="22"/>
  <c r="K703" i="22"/>
  <c r="K702" i="22"/>
  <c r="K701" i="22"/>
  <c r="K700" i="22"/>
  <c r="K699" i="22"/>
  <c r="K698" i="22"/>
  <c r="K697" i="22"/>
  <c r="K696" i="22"/>
  <c r="K695" i="22"/>
  <c r="K694" i="22"/>
  <c r="K693" i="22"/>
  <c r="K692" i="22"/>
  <c r="K691" i="22"/>
  <c r="C689" i="22"/>
  <c r="K686" i="22"/>
  <c r="K684" i="22"/>
  <c r="K682" i="22"/>
  <c r="K681" i="22"/>
  <c r="K680" i="22"/>
  <c r="K679" i="22"/>
  <c r="K678" i="22"/>
  <c r="K677" i="22"/>
  <c r="K676" i="22"/>
  <c r="K675" i="22"/>
  <c r="K674" i="22"/>
  <c r="K673" i="22"/>
  <c r="K672" i="22"/>
  <c r="K671" i="22"/>
  <c r="K683" i="22" s="1"/>
  <c r="K687" i="22" s="1"/>
  <c r="K670" i="22"/>
  <c r="K669" i="22"/>
  <c r="K668" i="22"/>
  <c r="K667" i="22"/>
  <c r="K666" i="22"/>
  <c r="C664" i="22"/>
  <c r="K659" i="22"/>
  <c r="K657" i="22"/>
  <c r="K656" i="22"/>
  <c r="K661" i="22" s="1"/>
  <c r="K655" i="22"/>
  <c r="K654" i="22"/>
  <c r="K653" i="22"/>
  <c r="K652" i="22"/>
  <c r="K651" i="22"/>
  <c r="K650" i="22"/>
  <c r="K649" i="22"/>
  <c r="K648" i="22"/>
  <c r="K647" i="22"/>
  <c r="K646" i="22"/>
  <c r="K658" i="22" s="1"/>
  <c r="K662" i="22" s="1"/>
  <c r="K645" i="22"/>
  <c r="K644" i="22"/>
  <c r="K643" i="22"/>
  <c r="K642" i="22"/>
  <c r="C640" i="22"/>
  <c r="K637" i="22"/>
  <c r="K635" i="22"/>
  <c r="K633" i="22"/>
  <c r="K632" i="22"/>
  <c r="K631" i="22"/>
  <c r="K630" i="22"/>
  <c r="K629" i="22"/>
  <c r="K628" i="22"/>
  <c r="K627" i="22"/>
  <c r="K626" i="22"/>
  <c r="K625" i="22"/>
  <c r="K624" i="22"/>
  <c r="K623" i="22"/>
  <c r="K622" i="22"/>
  <c r="K621" i="22"/>
  <c r="K620" i="22"/>
  <c r="K619" i="22"/>
  <c r="K618" i="22"/>
  <c r="C616" i="22"/>
  <c r="K613" i="22"/>
  <c r="K611" i="22"/>
  <c r="K609" i="22"/>
  <c r="K608" i="22"/>
  <c r="K607" i="22"/>
  <c r="K606" i="22"/>
  <c r="K605" i="22"/>
  <c r="K604" i="22"/>
  <c r="K603" i="22"/>
  <c r="K602" i="22"/>
  <c r="K601" i="22"/>
  <c r="K600" i="22"/>
  <c r="K599" i="22"/>
  <c r="K598" i="22"/>
  <c r="K597" i="22"/>
  <c r="K596" i="22"/>
  <c r="K595" i="22"/>
  <c r="K594" i="22"/>
  <c r="C592" i="22"/>
  <c r="K589" i="22"/>
  <c r="K587" i="22"/>
  <c r="K585" i="22"/>
  <c r="K584" i="22"/>
  <c r="K583" i="22"/>
  <c r="K582" i="22"/>
  <c r="K581" i="22"/>
  <c r="K580" i="22"/>
  <c r="K579" i="22"/>
  <c r="K578" i="22"/>
  <c r="K577" i="22"/>
  <c r="K576" i="22"/>
  <c r="K575" i="22"/>
  <c r="K574" i="22"/>
  <c r="K573" i="22"/>
  <c r="K572" i="22"/>
  <c r="K571" i="22"/>
  <c r="K570" i="22"/>
  <c r="K569" i="22"/>
  <c r="C567" i="22"/>
  <c r="K564" i="22"/>
  <c r="K562" i="22"/>
  <c r="K560" i="22"/>
  <c r="K559" i="22"/>
  <c r="K558" i="22"/>
  <c r="K557" i="22"/>
  <c r="K556" i="22"/>
  <c r="K555" i="22"/>
  <c r="K554" i="22"/>
  <c r="K553" i="22"/>
  <c r="K552" i="22"/>
  <c r="K551" i="22"/>
  <c r="K550" i="22"/>
  <c r="K549" i="22"/>
  <c r="K561" i="22" s="1"/>
  <c r="K565" i="22" s="1"/>
  <c r="K548" i="22"/>
  <c r="K547" i="22"/>
  <c r="K546" i="22"/>
  <c r="K545" i="22"/>
  <c r="C543" i="22"/>
  <c r="K538" i="22"/>
  <c r="K536" i="22"/>
  <c r="K535" i="22"/>
  <c r="K534" i="22"/>
  <c r="K533" i="22"/>
  <c r="K532" i="22"/>
  <c r="K531" i="22"/>
  <c r="K530" i="22"/>
  <c r="K529" i="22"/>
  <c r="K528" i="22"/>
  <c r="K527" i="22"/>
  <c r="K526" i="22"/>
  <c r="K525" i="22"/>
  <c r="K524" i="22"/>
  <c r="K523" i="22"/>
  <c r="K522" i="22"/>
  <c r="K521" i="22"/>
  <c r="K520" i="22"/>
  <c r="C518" i="22"/>
  <c r="K510" i="22"/>
  <c r="K509" i="22"/>
  <c r="I508" i="22"/>
  <c r="K508" i="22" s="1"/>
  <c r="I507" i="22"/>
  <c r="K507" i="22" s="1"/>
  <c r="K506" i="22"/>
  <c r="I506" i="22"/>
  <c r="K505" i="22"/>
  <c r="I505" i="22"/>
  <c r="I504" i="22"/>
  <c r="K504" i="22" s="1"/>
  <c r="K503" i="22"/>
  <c r="I503" i="22"/>
  <c r="I502" i="22"/>
  <c r="K502" i="22" s="1"/>
  <c r="I501" i="22"/>
  <c r="K501" i="22" s="1"/>
  <c r="K500" i="22"/>
  <c r="I500" i="22"/>
  <c r="K499" i="22"/>
  <c r="I499" i="22"/>
  <c r="I498" i="22"/>
  <c r="K498" i="22" s="1"/>
  <c r="K497" i="22"/>
  <c r="I497" i="22"/>
  <c r="I496" i="22"/>
  <c r="K496" i="22" s="1"/>
  <c r="I495" i="22"/>
  <c r="K495" i="22" s="1"/>
  <c r="K494" i="22"/>
  <c r="I494" i="22"/>
  <c r="K493" i="22"/>
  <c r="I493" i="22"/>
  <c r="I492" i="22"/>
  <c r="K492" i="22" s="1"/>
  <c r="K491" i="22"/>
  <c r="I491" i="22"/>
  <c r="I490" i="22"/>
  <c r="K490" i="22" s="1"/>
  <c r="K489" i="22"/>
  <c r="I489" i="22"/>
  <c r="K488" i="22"/>
  <c r="I488" i="22"/>
  <c r="K487" i="22"/>
  <c r="I487" i="22"/>
  <c r="I486" i="22"/>
  <c r="K486" i="22" s="1"/>
  <c r="K485" i="22"/>
  <c r="I485" i="22"/>
  <c r="I484" i="22"/>
  <c r="K484" i="22" s="1"/>
  <c r="I483" i="22"/>
  <c r="K483" i="22" s="1"/>
  <c r="K482" i="22"/>
  <c r="I482" i="22"/>
  <c r="K475" i="22"/>
  <c r="K473" i="22"/>
  <c r="K472" i="22"/>
  <c r="G472" i="22"/>
  <c r="G471" i="22"/>
  <c r="K471" i="22" s="1"/>
  <c r="K470" i="22"/>
  <c r="K469" i="22"/>
  <c r="K460" i="22"/>
  <c r="K459" i="22"/>
  <c r="K458" i="22"/>
  <c r="K461" i="22" s="1"/>
  <c r="K451" i="22"/>
  <c r="K449" i="22"/>
  <c r="K450" i="22" s="1"/>
  <c r="K448" i="22"/>
  <c r="K447" i="22"/>
  <c r="K438" i="22"/>
  <c r="K437" i="22"/>
  <c r="K436" i="22"/>
  <c r="K439" i="22" s="1"/>
  <c r="K427" i="22"/>
  <c r="K428" i="22" s="1"/>
  <c r="K426" i="22"/>
  <c r="K425" i="22"/>
  <c r="K416" i="22"/>
  <c r="K415" i="22"/>
  <c r="K414" i="22"/>
  <c r="K413" i="22"/>
  <c r="K417" i="22" s="1"/>
  <c r="K404" i="22"/>
  <c r="K402" i="22"/>
  <c r="K401" i="22"/>
  <c r="K400" i="22"/>
  <c r="K399" i="22"/>
  <c r="K398" i="22"/>
  <c r="K397" i="22"/>
  <c r="K396" i="22"/>
  <c r="K395" i="22"/>
  <c r="K394" i="22"/>
  <c r="K393" i="22"/>
  <c r="K392" i="22"/>
  <c r="K391" i="22"/>
  <c r="K390" i="22"/>
  <c r="K389" i="22"/>
  <c r="K388" i="22"/>
  <c r="K387" i="22"/>
  <c r="K386" i="22"/>
  <c r="K385" i="22"/>
  <c r="K384" i="22"/>
  <c r="K383" i="22"/>
  <c r="K382" i="22"/>
  <c r="K381" i="22"/>
  <c r="K380" i="22"/>
  <c r="K379" i="22"/>
  <c r="K378" i="22"/>
  <c r="K377" i="22"/>
  <c r="K376" i="22"/>
  <c r="K375" i="22"/>
  <c r="K374" i="22"/>
  <c r="K373" i="22"/>
  <c r="K372" i="22"/>
  <c r="K371" i="22"/>
  <c r="K370" i="22"/>
  <c r="K369" i="22"/>
  <c r="K368" i="22"/>
  <c r="K367" i="22"/>
  <c r="K366" i="22"/>
  <c r="K365" i="22"/>
  <c r="K364" i="22"/>
  <c r="K363" i="22"/>
  <c r="K362" i="22"/>
  <c r="K361" i="22"/>
  <c r="K360" i="22"/>
  <c r="K359" i="22"/>
  <c r="K355" i="22"/>
  <c r="K351" i="22"/>
  <c r="K354" i="22" s="1"/>
  <c r="K350" i="22"/>
  <c r="K349" i="22"/>
  <c r="K348" i="22"/>
  <c r="K347" i="22"/>
  <c r="K339" i="22"/>
  <c r="K338" i="22"/>
  <c r="K337" i="22"/>
  <c r="K336" i="22"/>
  <c r="K327" i="22"/>
  <c r="K326" i="22"/>
  <c r="K325" i="22"/>
  <c r="K328" i="22" s="1"/>
  <c r="K316" i="22"/>
  <c r="K317" i="22" s="1"/>
  <c r="K315" i="22"/>
  <c r="K314" i="22"/>
  <c r="K305" i="22"/>
  <c r="K304" i="22"/>
  <c r="K303" i="22"/>
  <c r="K302" i="22"/>
  <c r="K306" i="22" s="1"/>
  <c r="K294" i="22"/>
  <c r="K298" i="22" s="1"/>
  <c r="K293" i="22"/>
  <c r="K292" i="22"/>
  <c r="K291" i="22"/>
  <c r="K282" i="22"/>
  <c r="K281" i="22"/>
  <c r="K280" i="22"/>
  <c r="K279" i="22"/>
  <c r="K283" i="22" s="1"/>
  <c r="K270" i="22"/>
  <c r="K269" i="22"/>
  <c r="K268" i="22"/>
  <c r="K267" i="22"/>
  <c r="K266" i="22"/>
  <c r="K265" i="22"/>
  <c r="K264" i="22"/>
  <c r="K263" i="22"/>
  <c r="K262" i="22"/>
  <c r="K261" i="22"/>
  <c r="K260" i="22"/>
  <c r="K259" i="22"/>
  <c r="K258" i="22"/>
  <c r="K257" i="22"/>
  <c r="K256" i="22"/>
  <c r="K255" i="22"/>
  <c r="K254" i="22"/>
  <c r="K253" i="22"/>
  <c r="K252" i="22"/>
  <c r="K251" i="22"/>
  <c r="K250" i="22"/>
  <c r="K249" i="22"/>
  <c r="K248" i="22"/>
  <c r="K247" i="22"/>
  <c r="K246" i="22"/>
  <c r="K245" i="22"/>
  <c r="K244" i="22"/>
  <c r="K243" i="22"/>
  <c r="K242" i="22"/>
  <c r="K241" i="22"/>
  <c r="K240" i="22"/>
  <c r="K239" i="22"/>
  <c r="K238" i="22"/>
  <c r="K237" i="22"/>
  <c r="K236" i="22"/>
  <c r="K235" i="22"/>
  <c r="K234" i="22"/>
  <c r="K233" i="22"/>
  <c r="K232" i="22"/>
  <c r="K231" i="22"/>
  <c r="K230" i="22"/>
  <c r="K229" i="22"/>
  <c r="K228" i="22"/>
  <c r="K227" i="22"/>
  <c r="K226" i="22"/>
  <c r="K225" i="22"/>
  <c r="K224" i="22"/>
  <c r="K223" i="22"/>
  <c r="K271" i="22" s="1"/>
  <c r="K222" i="22"/>
  <c r="K221" i="22"/>
  <c r="K220" i="22"/>
  <c r="K219" i="22"/>
  <c r="K218" i="22"/>
  <c r="K209" i="22"/>
  <c r="K208" i="22"/>
  <c r="K207" i="22"/>
  <c r="K210" i="22" s="1"/>
  <c r="K203" i="22"/>
  <c r="K198" i="22"/>
  <c r="K197" i="22"/>
  <c r="I197" i="22"/>
  <c r="K196" i="22"/>
  <c r="K199" i="22" s="1"/>
  <c r="K202" i="22" s="1"/>
  <c r="K187" i="22"/>
  <c r="K177" i="22"/>
  <c r="K167" i="22"/>
  <c r="H166" i="22"/>
  <c r="K166" i="22" s="1"/>
  <c r="F166" i="22"/>
  <c r="F165" i="22"/>
  <c r="K165" i="22" s="1"/>
  <c r="K156" i="22"/>
  <c r="K155" i="22"/>
  <c r="K154" i="22"/>
  <c r="K153" i="22"/>
  <c r="K152" i="22"/>
  <c r="K151" i="22"/>
  <c r="K157" i="22" s="1"/>
  <c r="K147" i="22"/>
  <c r="K143" i="22"/>
  <c r="K146" i="22" s="1"/>
  <c r="K142" i="22"/>
  <c r="K141" i="22"/>
  <c r="K140" i="22"/>
  <c r="K139" i="22"/>
  <c r="K138" i="22"/>
  <c r="K137" i="22"/>
  <c r="K132" i="22"/>
  <c r="K129" i="22"/>
  <c r="K133" i="22" s="1"/>
  <c r="K128" i="22"/>
  <c r="K127" i="22"/>
  <c r="K126" i="22"/>
  <c r="K117" i="22"/>
  <c r="K116" i="22"/>
  <c r="K118" i="22" s="1"/>
  <c r="K108" i="22"/>
  <c r="K112" i="22" s="1"/>
  <c r="K107" i="22"/>
  <c r="K106" i="22"/>
  <c r="K97" i="22"/>
  <c r="K96" i="22"/>
  <c r="K98" i="22" s="1"/>
  <c r="K87" i="22"/>
  <c r="E86" i="22"/>
  <c r="K86" i="22" s="1"/>
  <c r="K88" i="22" s="1"/>
  <c r="K77" i="22"/>
  <c r="E76" i="22"/>
  <c r="K76" i="22" s="1"/>
  <c r="K78" i="22" s="1"/>
  <c r="K69" i="22"/>
  <c r="K67" i="22"/>
  <c r="K68" i="22" s="1"/>
  <c r="K72" i="22" s="1"/>
  <c r="K65" i="22"/>
  <c r="K64" i="22"/>
  <c r="K63" i="22"/>
  <c r="K62" i="22"/>
  <c r="K71" i="22" s="1"/>
  <c r="L58" i="22" s="1"/>
  <c r="K61" i="22"/>
  <c r="K60" i="22"/>
  <c r="C58" i="22"/>
  <c r="K52" i="22"/>
  <c r="K51" i="22"/>
  <c r="K50" i="22"/>
  <c r="K41" i="22"/>
  <c r="K40" i="22"/>
  <c r="K39" i="22"/>
  <c r="K38" i="22"/>
  <c r="K37" i="22"/>
  <c r="K36" i="22"/>
  <c r="K35" i="22"/>
  <c r="K34" i="22"/>
  <c r="K33" i="22"/>
  <c r="K32" i="22"/>
  <c r="K31" i="22"/>
  <c r="K30" i="22"/>
  <c r="C28" i="22"/>
  <c r="K21" i="22"/>
  <c r="K20" i="22"/>
  <c r="I19" i="22"/>
  <c r="K19" i="22" s="1"/>
  <c r="K18" i="22"/>
  <c r="I18" i="22"/>
  <c r="I17" i="22"/>
  <c r="K17" i="22" s="1"/>
  <c r="K16" i="22"/>
  <c r="K15" i="22"/>
  <c r="K14" i="22"/>
  <c r="K13" i="22"/>
  <c r="K12" i="22"/>
  <c r="K11" i="22"/>
  <c r="K10" i="22"/>
  <c r="C8" i="22"/>
  <c r="K1551" i="21"/>
  <c r="K1550" i="21"/>
  <c r="K1548" i="21"/>
  <c r="K1547" i="21"/>
  <c r="K1546" i="21"/>
  <c r="K1545" i="21"/>
  <c r="C1543" i="21"/>
  <c r="K1538" i="21"/>
  <c r="K1536" i="21"/>
  <c r="K1537" i="21" s="1"/>
  <c r="K1541" i="21" s="1"/>
  <c r="K1535" i="21"/>
  <c r="K1534" i="21"/>
  <c r="F1533" i="21"/>
  <c r="K1533" i="21" s="1"/>
  <c r="K1540" i="21" s="1"/>
  <c r="K1532" i="21"/>
  <c r="F1532" i="21"/>
  <c r="C1530" i="21"/>
  <c r="K1525" i="21"/>
  <c r="K1523" i="21"/>
  <c r="K1522" i="21"/>
  <c r="K1527" i="21" s="1"/>
  <c r="K1521" i="21"/>
  <c r="K1520" i="21"/>
  <c r="K1519" i="21"/>
  <c r="K1518" i="21"/>
  <c r="K1517" i="21"/>
  <c r="K1516" i="21"/>
  <c r="K1515" i="21"/>
  <c r="K1514" i="21"/>
  <c r="K1513" i="21"/>
  <c r="K1512" i="21"/>
  <c r="K1524" i="21" s="1"/>
  <c r="K1528" i="21" s="1"/>
  <c r="K1511" i="21"/>
  <c r="K1510" i="21"/>
  <c r="K1509" i="21"/>
  <c r="K1508" i="21"/>
  <c r="K1507" i="21"/>
  <c r="K1506" i="21"/>
  <c r="C1504" i="21"/>
  <c r="K1499" i="21"/>
  <c r="K1497" i="21"/>
  <c r="K1496" i="21"/>
  <c r="K1495" i="21"/>
  <c r="K1501" i="21" s="1"/>
  <c r="E1495" i="21"/>
  <c r="K1494" i="21"/>
  <c r="K1493" i="21"/>
  <c r="C1491" i="21"/>
  <c r="K1486" i="21"/>
  <c r="K1484" i="21"/>
  <c r="K1483" i="21"/>
  <c r="K1482" i="21"/>
  <c r="K1481" i="21"/>
  <c r="K1480" i="21"/>
  <c r="K1479" i="21"/>
  <c r="K1478" i="21"/>
  <c r="K1477" i="21"/>
  <c r="K1476" i="21"/>
  <c r="K1475" i="21"/>
  <c r="K1474" i="21"/>
  <c r="K1473" i="21"/>
  <c r="K1472" i="21"/>
  <c r="K1471" i="21"/>
  <c r="K1470" i="21"/>
  <c r="K1469" i="21"/>
  <c r="K1468" i="21"/>
  <c r="K1467" i="21"/>
  <c r="K1466" i="21"/>
  <c r="K1465" i="21"/>
  <c r="K1464" i="21"/>
  <c r="K1463" i="21"/>
  <c r="K1462" i="21"/>
  <c r="K1461" i="21"/>
  <c r="K1460" i="21"/>
  <c r="K1459" i="21"/>
  <c r="K1458" i="21"/>
  <c r="K1457" i="21"/>
  <c r="K1456" i="21"/>
  <c r="K1455" i="21"/>
  <c r="K1454" i="21"/>
  <c r="K1453" i="21"/>
  <c r="K1452" i="21"/>
  <c r="K1451" i="21"/>
  <c r="K1450" i="21"/>
  <c r="K1449" i="21"/>
  <c r="K1448" i="21"/>
  <c r="K1447" i="21"/>
  <c r="K1446" i="21"/>
  <c r="K1445" i="21"/>
  <c r="K1444" i="21"/>
  <c r="K1443" i="21"/>
  <c r="K1442" i="21"/>
  <c r="K1441" i="21"/>
  <c r="K1440" i="21"/>
  <c r="K1439" i="21"/>
  <c r="K1438" i="21"/>
  <c r="K1437" i="21"/>
  <c r="K1436" i="21"/>
  <c r="K1435" i="21"/>
  <c r="K1434" i="21"/>
  <c r="K1433" i="21"/>
  <c r="K1432" i="21"/>
  <c r="K1431" i="21"/>
  <c r="K1430" i="21"/>
  <c r="K1429" i="21"/>
  <c r="K1428" i="21"/>
  <c r="K1427" i="21"/>
  <c r="K1426" i="21"/>
  <c r="K1425" i="21"/>
  <c r="K1424" i="21"/>
  <c r="K1423" i="21"/>
  <c r="K1422" i="21"/>
  <c r="K1421" i="21"/>
  <c r="K1420" i="21"/>
  <c r="K1419" i="21"/>
  <c r="K1418" i="21"/>
  <c r="K1417" i="21"/>
  <c r="K1416" i="21"/>
  <c r="K1415" i="21"/>
  <c r="K1414" i="21"/>
  <c r="K1413" i="21"/>
  <c r="K1412" i="21"/>
  <c r="K1411" i="21"/>
  <c r="K1410" i="21"/>
  <c r="K1409" i="21"/>
  <c r="K1408" i="21"/>
  <c r="K1407" i="21"/>
  <c r="C1405" i="21"/>
  <c r="K1400" i="21"/>
  <c r="K1398" i="21"/>
  <c r="K1397" i="21"/>
  <c r="K1396" i="21"/>
  <c r="K1402" i="21" s="1"/>
  <c r="K1395" i="21"/>
  <c r="K1394" i="21"/>
  <c r="K1393" i="21"/>
  <c r="K1392" i="21"/>
  <c r="K1391" i="21"/>
  <c r="K1390" i="21"/>
  <c r="K1389" i="21"/>
  <c r="K1388" i="21"/>
  <c r="K1387" i="21"/>
  <c r="K1386" i="21"/>
  <c r="K1385" i="21"/>
  <c r="K1384" i="21"/>
  <c r="C1382" i="21"/>
  <c r="K1379" i="21"/>
  <c r="K1377" i="21"/>
  <c r="K1375" i="21"/>
  <c r="K1374" i="21"/>
  <c r="K1373" i="21"/>
  <c r="K1372" i="21"/>
  <c r="K1371" i="21"/>
  <c r="K1370" i="21"/>
  <c r="K1369" i="21"/>
  <c r="F1368" i="21"/>
  <c r="K1368" i="21" s="1"/>
  <c r="E1368" i="21"/>
  <c r="K1367" i="21"/>
  <c r="K1366" i="21"/>
  <c r="K1365" i="21"/>
  <c r="K1364" i="21"/>
  <c r="K1363" i="21"/>
  <c r="K1362" i="21"/>
  <c r="K1361" i="21"/>
  <c r="K1360" i="21"/>
  <c r="C1358" i="21"/>
  <c r="K1353" i="21"/>
  <c r="K1351" i="21"/>
  <c r="K1350" i="21"/>
  <c r="K1349" i="21"/>
  <c r="K1348" i="21"/>
  <c r="K1347" i="21"/>
  <c r="K1346" i="21"/>
  <c r="K1345" i="21"/>
  <c r="K1344" i="21"/>
  <c r="K1343" i="21"/>
  <c r="K1342" i="21"/>
  <c r="K1341" i="21"/>
  <c r="C1339" i="21"/>
  <c r="K1334" i="21"/>
  <c r="K1332" i="21"/>
  <c r="K1331" i="21"/>
  <c r="K1330" i="21"/>
  <c r="K1329" i="21"/>
  <c r="K1328" i="21"/>
  <c r="K1327" i="21"/>
  <c r="K1326" i="21"/>
  <c r="K1325" i="21"/>
  <c r="K1324" i="21"/>
  <c r="K1323" i="21"/>
  <c r="K1322" i="21"/>
  <c r="K1321" i="21"/>
  <c r="K1320" i="21"/>
  <c r="K1319" i="21"/>
  <c r="C1317" i="21"/>
  <c r="K1312" i="21"/>
  <c r="K1310" i="21"/>
  <c r="K1309" i="21"/>
  <c r="K1308" i="21"/>
  <c r="K1307" i="21"/>
  <c r="K1306" i="21"/>
  <c r="K1305" i="21"/>
  <c r="K1304" i="21"/>
  <c r="K1303" i="21"/>
  <c r="K1302" i="21"/>
  <c r="K1301" i="21"/>
  <c r="K1300" i="21"/>
  <c r="K1299" i="21"/>
  <c r="K1298" i="21"/>
  <c r="K1297" i="21"/>
  <c r="C1295" i="21"/>
  <c r="K1290" i="21"/>
  <c r="K1288" i="21"/>
  <c r="K1287" i="21"/>
  <c r="K1286" i="21"/>
  <c r="K1285" i="21"/>
  <c r="K1284" i="21"/>
  <c r="K1283" i="21"/>
  <c r="K1282" i="21"/>
  <c r="K1289" i="21" s="1"/>
  <c r="C1280" i="21"/>
  <c r="K1275" i="21"/>
  <c r="K1273" i="21"/>
  <c r="K1272" i="21"/>
  <c r="K1271" i="21"/>
  <c r="K1270" i="21"/>
  <c r="K1269" i="21"/>
  <c r="K1268" i="21"/>
  <c r="K1267" i="21"/>
  <c r="K1266" i="21"/>
  <c r="K1265" i="21"/>
  <c r="K1264" i="21"/>
  <c r="K1263" i="21"/>
  <c r="K1262" i="21"/>
  <c r="K1261" i="21"/>
  <c r="K1260" i="21"/>
  <c r="K1259" i="21"/>
  <c r="K1258" i="21"/>
  <c r="K1257" i="21"/>
  <c r="K1256" i="21"/>
  <c r="K1255" i="21"/>
  <c r="K1254" i="21"/>
  <c r="K1253" i="21"/>
  <c r="K1274" i="21" s="1"/>
  <c r="C1251" i="21"/>
  <c r="K1246" i="21"/>
  <c r="K1244" i="21"/>
  <c r="K1243" i="21"/>
  <c r="K1242" i="21"/>
  <c r="K1241" i="21"/>
  <c r="K1240" i="21"/>
  <c r="K1239" i="21"/>
  <c r="K1238" i="21"/>
  <c r="K1237" i="21"/>
  <c r="K1236" i="21"/>
  <c r="K1235" i="21"/>
  <c r="K1234" i="21"/>
  <c r="K1233" i="21"/>
  <c r="K1232" i="21"/>
  <c r="K1231" i="21"/>
  <c r="K1230" i="21"/>
  <c r="K1229" i="21"/>
  <c r="K1228" i="21"/>
  <c r="K1227" i="21"/>
  <c r="K1226" i="21"/>
  <c r="K1225" i="21"/>
  <c r="K1224" i="21"/>
  <c r="K1223" i="21"/>
  <c r="K1222" i="21"/>
  <c r="K1221" i="21"/>
  <c r="K1220" i="21"/>
  <c r="K1219" i="21"/>
  <c r="K1218" i="21"/>
  <c r="K1217" i="21"/>
  <c r="K1216" i="21"/>
  <c r="K1215" i="21"/>
  <c r="K1214" i="21"/>
  <c r="K1213" i="21"/>
  <c r="K1212" i="21"/>
  <c r="K1211" i="21"/>
  <c r="K1210" i="21"/>
  <c r="K1209" i="21"/>
  <c r="K1208" i="21"/>
  <c r="K1207" i="21"/>
  <c r="K1206" i="21"/>
  <c r="K1205" i="21"/>
  <c r="K1204" i="21"/>
  <c r="K1203" i="21"/>
  <c r="K1202" i="21"/>
  <c r="K1201" i="21"/>
  <c r="K1200" i="21"/>
  <c r="K1199" i="21"/>
  <c r="K1198" i="21"/>
  <c r="K1197" i="21"/>
  <c r="K1196" i="21"/>
  <c r="K1195" i="21"/>
  <c r="K1194" i="21"/>
  <c r="K1193" i="21"/>
  <c r="K1192" i="21"/>
  <c r="K1191" i="21"/>
  <c r="K1190" i="21"/>
  <c r="K1189" i="21"/>
  <c r="K1188" i="21"/>
  <c r="K1187" i="21"/>
  <c r="K1186" i="21"/>
  <c r="K1185" i="21"/>
  <c r="K1184" i="21"/>
  <c r="K1183" i="21"/>
  <c r="K1182" i="21"/>
  <c r="K1181" i="21"/>
  <c r="K1180" i="21"/>
  <c r="K1179" i="21"/>
  <c r="K1178" i="21"/>
  <c r="K1177" i="21"/>
  <c r="K1176" i="21"/>
  <c r="K1175" i="21"/>
  <c r="K1174" i="21"/>
  <c r="K1173" i="21"/>
  <c r="K1172" i="21"/>
  <c r="K1171" i="21"/>
  <c r="K1170" i="21"/>
  <c r="K1169" i="21"/>
  <c r="K1168" i="21"/>
  <c r="K1167" i="21"/>
  <c r="K1166" i="21"/>
  <c r="K1165" i="21"/>
  <c r="K1164" i="21"/>
  <c r="K1163" i="21"/>
  <c r="K1162" i="21"/>
  <c r="K1161" i="21"/>
  <c r="K1160" i="21"/>
  <c r="K1159" i="21"/>
  <c r="K1158" i="21"/>
  <c r="K1157" i="21"/>
  <c r="K1156" i="21"/>
  <c r="K1155" i="21"/>
  <c r="K1154" i="21"/>
  <c r="K1153" i="21"/>
  <c r="K1152" i="21"/>
  <c r="K1151" i="21"/>
  <c r="K1150" i="21"/>
  <c r="K1149" i="21"/>
  <c r="K1148" i="21"/>
  <c r="K1147" i="21"/>
  <c r="K1146" i="21"/>
  <c r="K1145" i="21"/>
  <c r="K1144" i="21"/>
  <c r="K1143" i="21"/>
  <c r="K1142" i="21"/>
  <c r="K1141" i="21"/>
  <c r="K1140" i="21"/>
  <c r="K1139" i="21"/>
  <c r="K1138" i="21"/>
  <c r="K1137" i="21"/>
  <c r="K1136" i="21"/>
  <c r="K1135" i="21"/>
  <c r="K1134" i="21"/>
  <c r="K1133" i="21"/>
  <c r="K1132" i="21"/>
  <c r="K1131" i="21"/>
  <c r="K1130" i="21"/>
  <c r="K1129" i="21"/>
  <c r="K1128" i="21"/>
  <c r="K1127" i="21"/>
  <c r="K1126" i="21"/>
  <c r="K1125" i="21"/>
  <c r="K1124" i="21"/>
  <c r="K1123" i="21"/>
  <c r="K1122" i="21"/>
  <c r="K1121" i="21"/>
  <c r="K1120" i="21"/>
  <c r="K1119" i="21"/>
  <c r="K1118" i="21"/>
  <c r="K1117" i="21"/>
  <c r="K1116" i="21"/>
  <c r="K1115" i="21"/>
  <c r="K1114" i="21"/>
  <c r="K1113" i="21"/>
  <c r="K1112" i="21"/>
  <c r="K1111" i="21"/>
  <c r="K1110" i="21"/>
  <c r="K1109" i="21"/>
  <c r="K1108" i="21"/>
  <c r="K1107" i="21"/>
  <c r="K1106" i="21"/>
  <c r="K1105" i="21"/>
  <c r="K1104" i="21"/>
  <c r="K1103" i="21"/>
  <c r="K1102" i="21"/>
  <c r="K1101" i="21"/>
  <c r="K1100" i="21"/>
  <c r="K1099" i="21"/>
  <c r="K1098" i="21"/>
  <c r="K1097" i="21"/>
  <c r="K1096" i="21"/>
  <c r="K1095" i="21"/>
  <c r="K1094" i="21"/>
  <c r="K1093" i="21"/>
  <c r="K1092" i="21"/>
  <c r="K1091" i="21"/>
  <c r="K1090" i="21"/>
  <c r="K1089" i="21"/>
  <c r="K1088" i="21"/>
  <c r="K1087" i="21"/>
  <c r="K1086" i="21"/>
  <c r="K1085" i="21"/>
  <c r="K1084" i="21"/>
  <c r="K1083" i="21"/>
  <c r="K1082" i="21"/>
  <c r="K1081" i="21"/>
  <c r="K1080" i="21"/>
  <c r="K1079" i="21"/>
  <c r="K1078" i="21"/>
  <c r="K1077" i="21"/>
  <c r="K1076" i="21"/>
  <c r="K1075" i="21"/>
  <c r="K1074" i="21"/>
  <c r="K1073" i="21"/>
  <c r="K1072" i="21"/>
  <c r="K1071" i="21"/>
  <c r="K1070" i="21"/>
  <c r="K1069" i="21"/>
  <c r="K1068" i="21"/>
  <c r="K1067" i="21"/>
  <c r="K1066" i="21"/>
  <c r="K1065" i="21"/>
  <c r="K1064" i="21"/>
  <c r="K1063" i="21"/>
  <c r="K1062" i="21"/>
  <c r="K1061" i="21"/>
  <c r="K1060" i="21"/>
  <c r="K1059" i="21"/>
  <c r="K1058" i="21"/>
  <c r="K1057" i="21"/>
  <c r="K1056" i="21"/>
  <c r="K1055" i="21"/>
  <c r="K1054" i="21"/>
  <c r="K1053" i="21"/>
  <c r="K1052" i="21"/>
  <c r="K1051" i="21"/>
  <c r="K1050" i="21"/>
  <c r="K1049" i="21"/>
  <c r="G1049" i="21"/>
  <c r="G1048" i="21"/>
  <c r="K1048" i="21" s="1"/>
  <c r="K1047" i="21"/>
  <c r="K1046" i="21"/>
  <c r="K1045" i="21"/>
  <c r="K1044" i="21"/>
  <c r="K1043" i="21"/>
  <c r="K1042" i="21"/>
  <c r="K1041" i="21"/>
  <c r="K1040" i="21"/>
  <c r="K1039" i="21"/>
  <c r="K1038" i="21"/>
  <c r="K1037" i="21"/>
  <c r="K1036" i="21"/>
  <c r="K1035" i="21"/>
  <c r="K1034" i="21"/>
  <c r="K1033" i="21"/>
  <c r="K1032" i="21"/>
  <c r="K1031" i="21"/>
  <c r="K1030" i="21"/>
  <c r="K1029" i="21"/>
  <c r="K1028" i="21"/>
  <c r="K1027" i="21"/>
  <c r="K1026" i="21"/>
  <c r="K1025" i="21"/>
  <c r="K1024" i="21"/>
  <c r="K1023" i="21"/>
  <c r="K1022" i="21"/>
  <c r="K1021" i="21"/>
  <c r="K1020" i="21"/>
  <c r="K1019" i="21"/>
  <c r="K1018" i="21"/>
  <c r="K1017" i="21"/>
  <c r="K1016" i="21"/>
  <c r="K1015" i="21"/>
  <c r="K1014" i="21"/>
  <c r="K1013" i="21"/>
  <c r="K1012" i="21"/>
  <c r="K1011" i="21"/>
  <c r="K1010" i="21"/>
  <c r="K1009" i="21"/>
  <c r="K1008" i="21"/>
  <c r="K1007" i="21"/>
  <c r="K1006" i="21"/>
  <c r="K1245" i="21" s="1"/>
  <c r="K1249" i="21" s="1"/>
  <c r="K1005" i="21"/>
  <c r="C1003" i="21"/>
  <c r="K998" i="21"/>
  <c r="K996" i="21"/>
  <c r="K995" i="21"/>
  <c r="G994" i="21"/>
  <c r="F994" i="21"/>
  <c r="K994" i="21" s="1"/>
  <c r="K993" i="21"/>
  <c r="G993" i="21"/>
  <c r="F993" i="21"/>
  <c r="K992" i="21"/>
  <c r="K1000" i="21" s="1"/>
  <c r="K991" i="21"/>
  <c r="K990" i="21"/>
  <c r="G989" i="21"/>
  <c r="K989" i="21" s="1"/>
  <c r="F989" i="21"/>
  <c r="K988" i="21"/>
  <c r="G987" i="21"/>
  <c r="F987" i="21"/>
  <c r="K987" i="21" s="1"/>
  <c r="K986" i="21"/>
  <c r="G986" i="21"/>
  <c r="F986" i="21"/>
  <c r="K985" i="21"/>
  <c r="C983" i="21"/>
  <c r="K978" i="21"/>
  <c r="K976" i="21"/>
  <c r="K975" i="21"/>
  <c r="K974" i="21"/>
  <c r="K973" i="21"/>
  <c r="K980" i="21" s="1"/>
  <c r="G973" i="21"/>
  <c r="F973" i="21"/>
  <c r="K972" i="21"/>
  <c r="K971" i="21"/>
  <c r="K970" i="21"/>
  <c r="K969" i="21"/>
  <c r="K968" i="21"/>
  <c r="G967" i="21"/>
  <c r="F967" i="21"/>
  <c r="K966" i="21"/>
  <c r="C964" i="21"/>
  <c r="K959" i="21"/>
  <c r="K957" i="21"/>
  <c r="K956" i="21"/>
  <c r="K955" i="21"/>
  <c r="K954" i="21"/>
  <c r="K953" i="21"/>
  <c r="G953" i="21"/>
  <c r="F953" i="21"/>
  <c r="K952" i="21"/>
  <c r="K961" i="21" s="1"/>
  <c r="K951" i="21"/>
  <c r="K950" i="21"/>
  <c r="K949" i="21"/>
  <c r="K948" i="21"/>
  <c r="G947" i="21"/>
  <c r="K947" i="21" s="1"/>
  <c r="F947" i="21"/>
  <c r="K946" i="21"/>
  <c r="C944" i="21"/>
  <c r="K939" i="21"/>
  <c r="K937" i="21"/>
  <c r="K936" i="21"/>
  <c r="G934" i="21"/>
  <c r="G935" i="21" s="1"/>
  <c r="F934" i="21"/>
  <c r="K933" i="21"/>
  <c r="K932" i="21"/>
  <c r="K931" i="21"/>
  <c r="G931" i="21"/>
  <c r="F931" i="21"/>
  <c r="K930" i="21"/>
  <c r="G928" i="21"/>
  <c r="G929" i="21" s="1"/>
  <c r="F928" i="21"/>
  <c r="K927" i="21"/>
  <c r="C925" i="21"/>
  <c r="K920" i="21"/>
  <c r="K918" i="21"/>
  <c r="G917" i="21"/>
  <c r="K917" i="21" s="1"/>
  <c r="F917" i="21"/>
  <c r="K916" i="21"/>
  <c r="K922" i="21" s="1"/>
  <c r="K915" i="21"/>
  <c r="K914" i="21"/>
  <c r="K913" i="21"/>
  <c r="K912" i="21"/>
  <c r="G911" i="21"/>
  <c r="F911" i="21"/>
  <c r="K911" i="21" s="1"/>
  <c r="K910" i="21"/>
  <c r="C908" i="21"/>
  <c r="K903" i="21"/>
  <c r="K901" i="21"/>
  <c r="K900" i="21"/>
  <c r="K899" i="21"/>
  <c r="K905" i="21" s="1"/>
  <c r="K898" i="21"/>
  <c r="K897" i="21"/>
  <c r="K896" i="21"/>
  <c r="K895" i="21"/>
  <c r="G893" i="21"/>
  <c r="G894" i="21" s="1"/>
  <c r="F893" i="21"/>
  <c r="K892" i="21"/>
  <c r="C890" i="21"/>
  <c r="K885" i="21"/>
  <c r="K883" i="21"/>
  <c r="K882" i="21"/>
  <c r="G881" i="21"/>
  <c r="F881" i="21"/>
  <c r="K881" i="21" s="1"/>
  <c r="K887" i="21" s="1"/>
  <c r="K880" i="21"/>
  <c r="K879" i="21"/>
  <c r="K878" i="21"/>
  <c r="G877" i="21"/>
  <c r="G876" i="21"/>
  <c r="F876" i="21"/>
  <c r="F877" i="21" s="1"/>
  <c r="K877" i="21" s="1"/>
  <c r="K875" i="21"/>
  <c r="C873" i="21"/>
  <c r="K870" i="21"/>
  <c r="K868" i="21"/>
  <c r="K866" i="21"/>
  <c r="K865" i="21"/>
  <c r="G865" i="21"/>
  <c r="F865" i="21"/>
  <c r="K864" i="21"/>
  <c r="K863" i="21"/>
  <c r="K862" i="21"/>
  <c r="K861" i="21"/>
  <c r="K860" i="21"/>
  <c r="G859" i="21"/>
  <c r="K859" i="21" s="1"/>
  <c r="K867" i="21" s="1"/>
  <c r="K871" i="21" s="1"/>
  <c r="F859" i="21"/>
  <c r="K858" i="21"/>
  <c r="C856" i="21"/>
  <c r="K851" i="21"/>
  <c r="K849" i="21"/>
  <c r="K848" i="21"/>
  <c r="K847" i="21"/>
  <c r="K846" i="21"/>
  <c r="K845" i="21"/>
  <c r="K844" i="21"/>
  <c r="K843" i="21"/>
  <c r="K842" i="21"/>
  <c r="K841" i="21"/>
  <c r="K840" i="21"/>
  <c r="K839" i="21"/>
  <c r="K838" i="21"/>
  <c r="K837" i="21"/>
  <c r="K836" i="21"/>
  <c r="K835" i="21"/>
  <c r="K834" i="21"/>
  <c r="K833" i="21"/>
  <c r="K832" i="21"/>
  <c r="K831" i="21"/>
  <c r="K830" i="21"/>
  <c r="K829" i="21"/>
  <c r="K828" i="21"/>
  <c r="K827" i="21"/>
  <c r="K826" i="21"/>
  <c r="K825" i="21"/>
  <c r="K824" i="21"/>
  <c r="K823" i="21"/>
  <c r="K822" i="21"/>
  <c r="K853" i="21" s="1"/>
  <c r="K821" i="21"/>
  <c r="K820" i="21"/>
  <c r="K819" i="21"/>
  <c r="K818" i="21"/>
  <c r="K817" i="21"/>
  <c r="K816" i="21"/>
  <c r="K815" i="21"/>
  <c r="K814" i="21"/>
  <c r="K813" i="21"/>
  <c r="K812" i="21"/>
  <c r="K811" i="21"/>
  <c r="K810" i="21"/>
  <c r="K809" i="21"/>
  <c r="K808" i="21"/>
  <c r="K807" i="21"/>
  <c r="K806" i="21"/>
  <c r="K805" i="21"/>
  <c r="K804" i="21"/>
  <c r="K803" i="21"/>
  <c r="K802" i="21"/>
  <c r="K801" i="21"/>
  <c r="K800" i="21"/>
  <c r="K799" i="21"/>
  <c r="K798" i="21"/>
  <c r="K797" i="21"/>
  <c r="K796" i="21"/>
  <c r="K795" i="21"/>
  <c r="K794" i="21"/>
  <c r="K793" i="21"/>
  <c r="K792" i="21"/>
  <c r="K791" i="21"/>
  <c r="K790" i="21"/>
  <c r="K789" i="21"/>
  <c r="K788" i="21"/>
  <c r="K787" i="21"/>
  <c r="K786" i="21"/>
  <c r="K785" i="21"/>
  <c r="K784" i="21"/>
  <c r="K783" i="21"/>
  <c r="K782" i="21"/>
  <c r="K781" i="21"/>
  <c r="K780" i="21"/>
  <c r="K779" i="21"/>
  <c r="K778" i="21"/>
  <c r="K777" i="21"/>
  <c r="K776" i="21"/>
  <c r="K775" i="21"/>
  <c r="K774" i="21"/>
  <c r="K773" i="21"/>
  <c r="K772" i="21"/>
  <c r="K771" i="21"/>
  <c r="K770" i="21"/>
  <c r="K769" i="21"/>
  <c r="K768" i="21"/>
  <c r="K767" i="21"/>
  <c r="K766" i="21"/>
  <c r="K765" i="21"/>
  <c r="K764" i="21"/>
  <c r="K763" i="21"/>
  <c r="K762" i="21"/>
  <c r="K761" i="21"/>
  <c r="K760" i="21"/>
  <c r="K759" i="21"/>
  <c r="K758" i="21"/>
  <c r="K757" i="21"/>
  <c r="K756" i="21"/>
  <c r="K755" i="21"/>
  <c r="K754" i="21"/>
  <c r="K753" i="21"/>
  <c r="K752" i="21"/>
  <c r="K751" i="21"/>
  <c r="K750" i="21"/>
  <c r="K749" i="21"/>
  <c r="K748" i="21"/>
  <c r="K747" i="21"/>
  <c r="K746" i="21"/>
  <c r="K745" i="21"/>
  <c r="K744" i="21"/>
  <c r="K743" i="21"/>
  <c r="K742" i="21"/>
  <c r="K741" i="21"/>
  <c r="K740" i="21"/>
  <c r="K739" i="21"/>
  <c r="K738" i="21"/>
  <c r="K737" i="21"/>
  <c r="K736" i="21"/>
  <c r="K735" i="21"/>
  <c r="K734" i="21"/>
  <c r="K733" i="21"/>
  <c r="K732" i="21"/>
  <c r="K731" i="21"/>
  <c r="K730" i="21"/>
  <c r="K729" i="21"/>
  <c r="K728" i="21"/>
  <c r="K727" i="21"/>
  <c r="K726" i="21"/>
  <c r="K725" i="21"/>
  <c r="K724" i="21"/>
  <c r="K723" i="21"/>
  <c r="K722" i="21"/>
  <c r="K721" i="21"/>
  <c r="K720" i="21"/>
  <c r="K719" i="21"/>
  <c r="K718" i="21"/>
  <c r="K717" i="21"/>
  <c r="K716" i="21"/>
  <c r="K715" i="21"/>
  <c r="K714" i="21"/>
  <c r="K713" i="21"/>
  <c r="K712" i="21"/>
  <c r="K711" i="21"/>
  <c r="K710" i="21"/>
  <c r="K709" i="21"/>
  <c r="K708" i="21"/>
  <c r="K707" i="21"/>
  <c r="K706" i="21"/>
  <c r="K705" i="21"/>
  <c r="K704" i="21"/>
  <c r="K703" i="21"/>
  <c r="K702" i="21"/>
  <c r="K701" i="21"/>
  <c r="K700" i="21"/>
  <c r="K699" i="21"/>
  <c r="K698" i="21"/>
  <c r="K697" i="21"/>
  <c r="K696" i="21"/>
  <c r="K695" i="21"/>
  <c r="K694" i="21"/>
  <c r="K693" i="21"/>
  <c r="K692" i="21"/>
  <c r="K691" i="21"/>
  <c r="K690" i="21"/>
  <c r="K689" i="21"/>
  <c r="K688" i="21"/>
  <c r="C686" i="21"/>
  <c r="K683" i="21"/>
  <c r="K681" i="21"/>
  <c r="K679" i="21"/>
  <c r="K678" i="21"/>
  <c r="K677" i="21"/>
  <c r="K676" i="21"/>
  <c r="K675" i="21"/>
  <c r="K674" i="21"/>
  <c r="K673" i="21"/>
  <c r="K672" i="21"/>
  <c r="K671" i="21"/>
  <c r="K670" i="21"/>
  <c r="K669" i="21"/>
  <c r="K668" i="21"/>
  <c r="K667" i="21"/>
  <c r="K666" i="21"/>
  <c r="K665" i="21"/>
  <c r="K680" i="21" s="1"/>
  <c r="K684" i="21" s="1"/>
  <c r="C663" i="21"/>
  <c r="K660" i="21"/>
  <c r="K658" i="21"/>
  <c r="K656" i="21"/>
  <c r="K655" i="21"/>
  <c r="K654" i="21"/>
  <c r="K653" i="21"/>
  <c r="K652" i="21"/>
  <c r="K651" i="21"/>
  <c r="K650" i="21"/>
  <c r="K649" i="21"/>
  <c r="K648" i="21"/>
  <c r="K647" i="21"/>
  <c r="K646" i="21"/>
  <c r="K645" i="21"/>
  <c r="K644" i="21"/>
  <c r="K643" i="21"/>
  <c r="K642" i="21"/>
  <c r="C640" i="21"/>
  <c r="K635" i="21"/>
  <c r="K633" i="21"/>
  <c r="K632" i="21"/>
  <c r="K637" i="21" s="1"/>
  <c r="K631" i="21"/>
  <c r="K630" i="21"/>
  <c r="K629" i="21"/>
  <c r="K628" i="21"/>
  <c r="K627" i="21"/>
  <c r="K626" i="21"/>
  <c r="K625" i="21"/>
  <c r="K624" i="21"/>
  <c r="K623" i="21"/>
  <c r="K622" i="21"/>
  <c r="K621" i="21"/>
  <c r="K620" i="21"/>
  <c r="C618" i="21"/>
  <c r="K615" i="21"/>
  <c r="K613" i="21"/>
  <c r="K611" i="21"/>
  <c r="K610" i="21"/>
  <c r="K609" i="21"/>
  <c r="K608" i="21"/>
  <c r="K607" i="21"/>
  <c r="K606" i="21"/>
  <c r="K605" i="21"/>
  <c r="K604" i="21"/>
  <c r="K603" i="21"/>
  <c r="K602" i="21"/>
  <c r="K601" i="21"/>
  <c r="K600" i="21"/>
  <c r="K599" i="21"/>
  <c r="K598" i="21"/>
  <c r="K597" i="21"/>
  <c r="K596" i="21"/>
  <c r="C594" i="21"/>
  <c r="K591" i="21"/>
  <c r="K589" i="21"/>
  <c r="K587" i="21"/>
  <c r="K586" i="21"/>
  <c r="K585" i="21"/>
  <c r="K584" i="21"/>
  <c r="K583" i="21"/>
  <c r="K582" i="21"/>
  <c r="K581" i="21"/>
  <c r="K580" i="21"/>
  <c r="K579" i="21"/>
  <c r="K578" i="21"/>
  <c r="K577" i="21"/>
  <c r="K576" i="21"/>
  <c r="K575" i="21"/>
  <c r="K574" i="21"/>
  <c r="C572" i="21"/>
  <c r="K567" i="21"/>
  <c r="K565" i="21"/>
  <c r="K564" i="21"/>
  <c r="K569" i="21" s="1"/>
  <c r="K563" i="21"/>
  <c r="K562" i="21"/>
  <c r="K561" i="21"/>
  <c r="K560" i="21"/>
  <c r="K559" i="21"/>
  <c r="K558" i="21"/>
  <c r="K557" i="21"/>
  <c r="K556" i="21"/>
  <c r="K555" i="21"/>
  <c r="K554" i="21"/>
  <c r="K553" i="21"/>
  <c r="K552" i="21"/>
  <c r="K551" i="21"/>
  <c r="C549" i="21"/>
  <c r="K546" i="21"/>
  <c r="K544" i="21"/>
  <c r="K542" i="21"/>
  <c r="K541" i="21"/>
  <c r="K540" i="21"/>
  <c r="K539" i="21"/>
  <c r="K538" i="21"/>
  <c r="K537" i="21"/>
  <c r="K536" i="21"/>
  <c r="K535" i="21"/>
  <c r="K534" i="21"/>
  <c r="K533" i="21"/>
  <c r="K532" i="21"/>
  <c r="K531" i="21"/>
  <c r="K530" i="21"/>
  <c r="K529" i="21"/>
  <c r="C527" i="21"/>
  <c r="K524" i="21"/>
  <c r="K522" i="21"/>
  <c r="K520" i="21"/>
  <c r="K518" i="21"/>
  <c r="K517" i="21"/>
  <c r="K516" i="21"/>
  <c r="K515" i="21"/>
  <c r="K514" i="21"/>
  <c r="K513" i="21"/>
  <c r="K512" i="21"/>
  <c r="K511" i="21"/>
  <c r="K510" i="21"/>
  <c r="K509" i="21"/>
  <c r="K508" i="21"/>
  <c r="K507" i="21"/>
  <c r="K506" i="21"/>
  <c r="C504" i="21"/>
  <c r="K496" i="21"/>
  <c r="K495" i="21"/>
  <c r="K494" i="21"/>
  <c r="K493" i="21"/>
  <c r="K492" i="21"/>
  <c r="K491" i="21"/>
  <c r="K490" i="21"/>
  <c r="K489" i="21"/>
  <c r="K488" i="21"/>
  <c r="K487" i="21"/>
  <c r="K486" i="21"/>
  <c r="K485" i="21"/>
  <c r="K484" i="21"/>
  <c r="K483" i="21"/>
  <c r="K482" i="21"/>
  <c r="K481" i="21"/>
  <c r="K480" i="21"/>
  <c r="K479" i="21"/>
  <c r="K478" i="21"/>
  <c r="E478" i="21"/>
  <c r="K477" i="21"/>
  <c r="K476" i="21"/>
  <c r="K475" i="21"/>
  <c r="K474" i="21"/>
  <c r="K473" i="21"/>
  <c r="K472" i="21"/>
  <c r="K471" i="21"/>
  <c r="K470" i="21"/>
  <c r="K469" i="21"/>
  <c r="K468" i="21"/>
  <c r="K467" i="21"/>
  <c r="K466" i="21"/>
  <c r="K465" i="21"/>
  <c r="K464" i="21"/>
  <c r="K463" i="21"/>
  <c r="K462" i="21"/>
  <c r="K453" i="21"/>
  <c r="K452" i="21"/>
  <c r="K451" i="21"/>
  <c r="K447" i="21"/>
  <c r="K443" i="21"/>
  <c r="K446" i="21" s="1"/>
  <c r="K442" i="21"/>
  <c r="K441" i="21"/>
  <c r="K440" i="21"/>
  <c r="K433" i="21"/>
  <c r="K432" i="21"/>
  <c r="K431" i="21"/>
  <c r="K430" i="21"/>
  <c r="K429" i="21"/>
  <c r="K420" i="21"/>
  <c r="K421" i="21" s="1"/>
  <c r="K419" i="21"/>
  <c r="K418" i="21"/>
  <c r="K409" i="21"/>
  <c r="K408" i="21"/>
  <c r="K407" i="21"/>
  <c r="K410" i="21" s="1"/>
  <c r="K398" i="21"/>
  <c r="K397" i="21"/>
  <c r="K396" i="21"/>
  <c r="K395" i="21"/>
  <c r="K399" i="21" s="1"/>
  <c r="K386" i="21"/>
  <c r="K384" i="21"/>
  <c r="K383" i="21"/>
  <c r="K382" i="21"/>
  <c r="K381" i="21"/>
  <c r="K380" i="21"/>
  <c r="K379" i="21"/>
  <c r="K378" i="21"/>
  <c r="K377" i="21"/>
  <c r="K376" i="21"/>
  <c r="K375" i="21"/>
  <c r="K374" i="21"/>
  <c r="K373" i="21"/>
  <c r="K372" i="21"/>
  <c r="K371" i="21"/>
  <c r="K370" i="21"/>
  <c r="K369" i="21"/>
  <c r="K368" i="21"/>
  <c r="K367" i="21"/>
  <c r="K366" i="21"/>
  <c r="K365" i="21"/>
  <c r="K364" i="21"/>
  <c r="K363" i="21"/>
  <c r="K362" i="21"/>
  <c r="K361" i="21"/>
  <c r="K360" i="21"/>
  <c r="K359" i="21"/>
  <c r="K358" i="21"/>
  <c r="K357" i="21"/>
  <c r="K356" i="21"/>
  <c r="K355" i="21"/>
  <c r="K354" i="21"/>
  <c r="K353" i="21"/>
  <c r="K352" i="21"/>
  <c r="K351" i="21"/>
  <c r="K350" i="21"/>
  <c r="K349" i="21"/>
  <c r="K348" i="21"/>
  <c r="K347" i="21"/>
  <c r="K346" i="21"/>
  <c r="K345" i="21"/>
  <c r="K344" i="21"/>
  <c r="K343" i="21"/>
  <c r="K342" i="21"/>
  <c r="K341" i="21"/>
  <c r="K332" i="21"/>
  <c r="K331" i="21"/>
  <c r="K330" i="21"/>
  <c r="K329" i="21"/>
  <c r="K333" i="21" s="1"/>
  <c r="K320" i="21"/>
  <c r="K319" i="21"/>
  <c r="K318" i="21"/>
  <c r="K314" i="21"/>
  <c r="K310" i="21"/>
  <c r="K313" i="21" s="1"/>
  <c r="K309" i="21"/>
  <c r="K308" i="21"/>
  <c r="K307" i="21"/>
  <c r="K298" i="21"/>
  <c r="K297" i="21"/>
  <c r="K296" i="21"/>
  <c r="K299" i="21" s="1"/>
  <c r="K292" i="21"/>
  <c r="K288" i="21"/>
  <c r="K291" i="21" s="1"/>
  <c r="K287" i="21"/>
  <c r="K286" i="21"/>
  <c r="K285" i="21"/>
  <c r="K284" i="21"/>
  <c r="K275" i="21"/>
  <c r="K274" i="21"/>
  <c r="K273" i="21"/>
  <c r="K276" i="21" s="1"/>
  <c r="K264" i="21"/>
  <c r="K265" i="21" s="1"/>
  <c r="K263" i="21"/>
  <c r="K262" i="21"/>
  <c r="K261" i="21"/>
  <c r="K252" i="21"/>
  <c r="K251" i="21"/>
  <c r="K250" i="21"/>
  <c r="K249" i="21"/>
  <c r="K248" i="21"/>
  <c r="K247" i="21"/>
  <c r="K246" i="21"/>
  <c r="K245" i="21"/>
  <c r="K244" i="21"/>
  <c r="K243" i="21"/>
  <c r="K242" i="21"/>
  <c r="K241" i="21"/>
  <c r="K240" i="21"/>
  <c r="K239" i="21"/>
  <c r="K238" i="21"/>
  <c r="K237" i="21"/>
  <c r="K236" i="21"/>
  <c r="K235" i="21"/>
  <c r="K234" i="21"/>
  <c r="K233" i="21"/>
  <c r="K232" i="21"/>
  <c r="K231" i="21"/>
  <c r="K230" i="21"/>
  <c r="K229" i="21"/>
  <c r="K228" i="21"/>
  <c r="K227" i="21"/>
  <c r="K226" i="21"/>
  <c r="K225" i="21"/>
  <c r="K224" i="21"/>
  <c r="K223" i="21"/>
  <c r="K222" i="21"/>
  <c r="K221" i="21"/>
  <c r="K220" i="21"/>
  <c r="K219" i="21"/>
  <c r="K218" i="21"/>
  <c r="K217" i="21"/>
  <c r="K216" i="21"/>
  <c r="K215" i="21"/>
  <c r="K214" i="21"/>
  <c r="K213" i="21"/>
  <c r="K212" i="21"/>
  <c r="K211" i="21"/>
  <c r="K210" i="21"/>
  <c r="K209" i="21"/>
  <c r="K208" i="21"/>
  <c r="K207" i="21"/>
  <c r="K206" i="21"/>
  <c r="K205" i="21"/>
  <c r="K204" i="21"/>
  <c r="K203" i="21"/>
  <c r="K202" i="21"/>
  <c r="K201" i="21"/>
  <c r="K200" i="21"/>
  <c r="K191" i="21"/>
  <c r="K190" i="21"/>
  <c r="K189" i="21"/>
  <c r="K192" i="21" s="1"/>
  <c r="K181" i="21"/>
  <c r="K180" i="21"/>
  <c r="K179" i="21"/>
  <c r="I179" i="21"/>
  <c r="K178" i="21"/>
  <c r="K169" i="21"/>
  <c r="K159" i="21"/>
  <c r="K149" i="21"/>
  <c r="H148" i="21"/>
  <c r="F148" i="21"/>
  <c r="K148" i="21" s="1"/>
  <c r="K147" i="21"/>
  <c r="F147" i="21"/>
  <c r="K138" i="21"/>
  <c r="K137" i="21"/>
  <c r="K136" i="21"/>
  <c r="K135" i="21"/>
  <c r="K134" i="21"/>
  <c r="K133" i="21"/>
  <c r="K128" i="21"/>
  <c r="K124" i="21"/>
  <c r="K123" i="21"/>
  <c r="K122" i="21"/>
  <c r="K121" i="21"/>
  <c r="K120" i="21"/>
  <c r="K119" i="21"/>
  <c r="K125" i="21" s="1"/>
  <c r="K129" i="21" s="1"/>
  <c r="K111" i="21"/>
  <c r="K110" i="21"/>
  <c r="K109" i="21"/>
  <c r="K108" i="21"/>
  <c r="K104" i="21"/>
  <c r="K100" i="21"/>
  <c r="K103" i="21" s="1"/>
  <c r="K99" i="21"/>
  <c r="K98" i="21"/>
  <c r="K89" i="21"/>
  <c r="K88" i="21"/>
  <c r="K90" i="21" s="1"/>
  <c r="K84" i="21"/>
  <c r="K80" i="21"/>
  <c r="K83" i="21" s="1"/>
  <c r="K79" i="21"/>
  <c r="K78" i="21"/>
  <c r="K69" i="21"/>
  <c r="K68" i="21"/>
  <c r="K70" i="21" s="1"/>
  <c r="E68" i="21"/>
  <c r="K64" i="21"/>
  <c r="K63" i="21"/>
  <c r="K59" i="21"/>
  <c r="E58" i="21"/>
  <c r="K58" i="21" s="1"/>
  <c r="K60" i="21" s="1"/>
  <c r="K49" i="21"/>
  <c r="K48" i="21"/>
  <c r="K50" i="21" s="1"/>
  <c r="K39" i="21"/>
  <c r="K38" i="21"/>
  <c r="K37" i="21"/>
  <c r="K36" i="21"/>
  <c r="K35" i="21"/>
  <c r="K34" i="21"/>
  <c r="K33" i="21"/>
  <c r="K32" i="21"/>
  <c r="K31" i="21"/>
  <c r="K30" i="21"/>
  <c r="K29" i="21"/>
  <c r="K40" i="21" s="1"/>
  <c r="K20" i="21"/>
  <c r="K19" i="21"/>
  <c r="I19" i="21"/>
  <c r="I18" i="21"/>
  <c r="K18" i="21" s="1"/>
  <c r="I17" i="21"/>
  <c r="K17" i="21" s="1"/>
  <c r="K16" i="21"/>
  <c r="K15" i="21"/>
  <c r="K14" i="21"/>
  <c r="K13" i="21"/>
  <c r="K12" i="21"/>
  <c r="K11" i="21"/>
  <c r="K10" i="21"/>
  <c r="J757" i="20"/>
  <c r="K757" i="20" s="1"/>
  <c r="K756" i="20"/>
  <c r="J756" i="20"/>
  <c r="K755" i="20"/>
  <c r="J755" i="20"/>
  <c r="K754" i="20"/>
  <c r="J754" i="20"/>
  <c r="K753" i="20"/>
  <c r="J753" i="20"/>
  <c r="J752" i="20"/>
  <c r="K752" i="20" s="1"/>
  <c r="K751" i="20"/>
  <c r="J751" i="20"/>
  <c r="J750" i="20"/>
  <c r="J749" i="20"/>
  <c r="J748" i="20"/>
  <c r="J747" i="20"/>
  <c r="H743" i="20"/>
  <c r="T713" i="20"/>
  <c r="T717" i="20" s="1"/>
  <c r="N692" i="20"/>
  <c r="N691" i="20"/>
  <c r="S681" i="20"/>
  <c r="R681" i="20"/>
  <c r="R680" i="20" s="1"/>
  <c r="P681" i="20"/>
  <c r="O681" i="20"/>
  <c r="N681" i="20"/>
  <c r="J681" i="20"/>
  <c r="P680" i="20"/>
  <c r="O680" i="20"/>
  <c r="N680" i="20"/>
  <c r="K680" i="20"/>
  <c r="J680" i="20"/>
  <c r="J680" i="23" s="1"/>
  <c r="K680" i="23" s="1"/>
  <c r="S679" i="20"/>
  <c r="R679" i="20"/>
  <c r="N679" i="20"/>
  <c r="J679" i="20"/>
  <c r="J679" i="23" s="1"/>
  <c r="K679" i="23" s="1"/>
  <c r="H679" i="20"/>
  <c r="O679" i="20" s="1"/>
  <c r="P679" i="20" s="1"/>
  <c r="T679" i="20" s="1"/>
  <c r="S678" i="20"/>
  <c r="R678" i="20"/>
  <c r="N678" i="20"/>
  <c r="H678" i="20"/>
  <c r="S677" i="20"/>
  <c r="R677" i="20"/>
  <c r="P677" i="20"/>
  <c r="T677" i="20" s="1"/>
  <c r="O677" i="20"/>
  <c r="N677" i="20"/>
  <c r="H677" i="20"/>
  <c r="J677" i="20" s="1"/>
  <c r="T676" i="20"/>
  <c r="S676" i="20"/>
  <c r="R676" i="20"/>
  <c r="R673" i="20" s="1"/>
  <c r="P676" i="20"/>
  <c r="P676" i="23" s="1"/>
  <c r="T676" i="23" s="1"/>
  <c r="N676" i="20"/>
  <c r="J676" i="20"/>
  <c r="H676" i="20"/>
  <c r="O676" i="20" s="1"/>
  <c r="S675" i="20"/>
  <c r="R675" i="20"/>
  <c r="P675" i="20"/>
  <c r="P675" i="23" s="1"/>
  <c r="O675" i="20"/>
  <c r="N675" i="20"/>
  <c r="J675" i="20"/>
  <c r="H675" i="20"/>
  <c r="S674" i="20"/>
  <c r="S673" i="20" s="1"/>
  <c r="R674" i="20"/>
  <c r="O674" i="20"/>
  <c r="N674" i="20"/>
  <c r="K674" i="20"/>
  <c r="J674" i="20"/>
  <c r="J674" i="23" s="1"/>
  <c r="K674" i="23" s="1"/>
  <c r="H674" i="20"/>
  <c r="K673" i="20"/>
  <c r="J673" i="20"/>
  <c r="J673" i="23" s="1"/>
  <c r="K673" i="23" s="1"/>
  <c r="S672" i="20"/>
  <c r="T672" i="20" s="1"/>
  <c r="R672" i="20"/>
  <c r="O672" i="20"/>
  <c r="P672" i="20" s="1"/>
  <c r="N672" i="20"/>
  <c r="J672" i="20"/>
  <c r="J672" i="23" s="1"/>
  <c r="K672" i="23" s="1"/>
  <c r="S671" i="20"/>
  <c r="R671" i="20"/>
  <c r="R670" i="20" s="1"/>
  <c r="P671" i="20"/>
  <c r="O671" i="20"/>
  <c r="N671" i="20"/>
  <c r="J671" i="20"/>
  <c r="P670" i="20"/>
  <c r="N670" i="20"/>
  <c r="K670" i="20"/>
  <c r="J670" i="20"/>
  <c r="J670" i="23" s="1"/>
  <c r="K670" i="23" s="1"/>
  <c r="T669" i="20"/>
  <c r="S669" i="20"/>
  <c r="R669" i="20"/>
  <c r="R668" i="20" s="1"/>
  <c r="O669" i="20"/>
  <c r="P669" i="20" s="1"/>
  <c r="P668" i="20" s="1"/>
  <c r="N669" i="20"/>
  <c r="N668" i="20" s="1"/>
  <c r="K669" i="20"/>
  <c r="Q669" i="20" s="1"/>
  <c r="J669" i="20"/>
  <c r="J669" i="23" s="1"/>
  <c r="K669" i="23" s="1"/>
  <c r="T668" i="20"/>
  <c r="S668" i="20"/>
  <c r="Q668" i="20"/>
  <c r="O668" i="20"/>
  <c r="J668" i="20"/>
  <c r="J668" i="23" s="1"/>
  <c r="K668" i="23" s="1"/>
  <c r="S667" i="20"/>
  <c r="T667" i="20" s="1"/>
  <c r="R667" i="20"/>
  <c r="P667" i="20"/>
  <c r="P667" i="23" s="1"/>
  <c r="T667" i="23" s="1"/>
  <c r="O667" i="20"/>
  <c r="N667" i="20"/>
  <c r="J667" i="20"/>
  <c r="S666" i="20"/>
  <c r="R666" i="20"/>
  <c r="P666" i="20"/>
  <c r="O666" i="20"/>
  <c r="N666" i="20"/>
  <c r="K666" i="20"/>
  <c r="Q666" i="20" s="1"/>
  <c r="J666" i="20"/>
  <c r="J666" i="23" s="1"/>
  <c r="K666" i="23" s="1"/>
  <c r="S665" i="20"/>
  <c r="R665" i="20"/>
  <c r="O665" i="20"/>
  <c r="P665" i="20" s="1"/>
  <c r="T665" i="20" s="1"/>
  <c r="N665" i="20"/>
  <c r="K665" i="20"/>
  <c r="Q665" i="20" s="1"/>
  <c r="J665" i="20"/>
  <c r="J665" i="23" s="1"/>
  <c r="K665" i="23" s="1"/>
  <c r="T664" i="20"/>
  <c r="S664" i="20"/>
  <c r="R664" i="20"/>
  <c r="O664" i="20"/>
  <c r="P664" i="20" s="1"/>
  <c r="N664" i="20"/>
  <c r="J664" i="20"/>
  <c r="J664" i="23" s="1"/>
  <c r="K664" i="23" s="1"/>
  <c r="S663" i="20"/>
  <c r="T663" i="20" s="1"/>
  <c r="R663" i="20"/>
  <c r="P663" i="20"/>
  <c r="O663" i="20"/>
  <c r="N663" i="20"/>
  <c r="J663" i="20"/>
  <c r="S662" i="20"/>
  <c r="R662" i="20"/>
  <c r="N662" i="20"/>
  <c r="H662" i="20"/>
  <c r="S661" i="20"/>
  <c r="R661" i="20"/>
  <c r="O661" i="20"/>
  <c r="P661" i="20" s="1"/>
  <c r="P661" i="23" s="1"/>
  <c r="T661" i="23" s="1"/>
  <c r="N661" i="20"/>
  <c r="H661" i="20"/>
  <c r="J661" i="20" s="1"/>
  <c r="S660" i="20"/>
  <c r="R660" i="20"/>
  <c r="N660" i="20"/>
  <c r="H660" i="20"/>
  <c r="S659" i="20"/>
  <c r="R659" i="20"/>
  <c r="N659" i="20"/>
  <c r="H659" i="20"/>
  <c r="J659" i="20" s="1"/>
  <c r="S658" i="20"/>
  <c r="T658" i="20" s="1"/>
  <c r="R658" i="20"/>
  <c r="O658" i="20"/>
  <c r="P658" i="20" s="1"/>
  <c r="N658" i="20"/>
  <c r="K658" i="20"/>
  <c r="J658" i="20"/>
  <c r="J658" i="23" s="1"/>
  <c r="K658" i="23" s="1"/>
  <c r="H658" i="20"/>
  <c r="S657" i="20"/>
  <c r="R657" i="20"/>
  <c r="N657" i="20"/>
  <c r="H657" i="20"/>
  <c r="J657" i="20" s="1"/>
  <c r="S656" i="20"/>
  <c r="R656" i="20"/>
  <c r="N656" i="20"/>
  <c r="H656" i="20"/>
  <c r="S655" i="20"/>
  <c r="R655" i="20"/>
  <c r="P655" i="20"/>
  <c r="O655" i="20"/>
  <c r="N655" i="20"/>
  <c r="H655" i="20"/>
  <c r="J655" i="20" s="1"/>
  <c r="N654" i="20"/>
  <c r="K654" i="20"/>
  <c r="J654" i="20"/>
  <c r="J654" i="23" s="1"/>
  <c r="K654" i="23" s="1"/>
  <c r="S653" i="20"/>
  <c r="R653" i="20"/>
  <c r="N653" i="20"/>
  <c r="H653" i="20"/>
  <c r="S652" i="20"/>
  <c r="R652" i="20"/>
  <c r="N652" i="20"/>
  <c r="H652" i="20"/>
  <c r="S651" i="20"/>
  <c r="R651" i="20"/>
  <c r="P651" i="20"/>
  <c r="O651" i="20"/>
  <c r="N651" i="20"/>
  <c r="J651" i="20"/>
  <c r="H651" i="20"/>
  <c r="S650" i="20"/>
  <c r="T650" i="20" s="1"/>
  <c r="R650" i="20"/>
  <c r="Q650" i="20"/>
  <c r="P650" i="20"/>
  <c r="O650" i="20"/>
  <c r="N650" i="20"/>
  <c r="K650" i="20"/>
  <c r="J650" i="20"/>
  <c r="J650" i="23" s="1"/>
  <c r="K650" i="23" s="1"/>
  <c r="H650" i="20"/>
  <c r="T649" i="20"/>
  <c r="S649" i="20"/>
  <c r="R649" i="20"/>
  <c r="O649" i="20"/>
  <c r="P649" i="20" s="1"/>
  <c r="N649" i="20"/>
  <c r="H649" i="20"/>
  <c r="J649" i="20" s="1"/>
  <c r="S648" i="20"/>
  <c r="R648" i="20"/>
  <c r="O648" i="20"/>
  <c r="P648" i="20" s="1"/>
  <c r="T648" i="20" s="1"/>
  <c r="N648" i="20"/>
  <c r="K648" i="20"/>
  <c r="J648" i="20"/>
  <c r="J648" i="23" s="1"/>
  <c r="K648" i="23" s="1"/>
  <c r="T647" i="20"/>
  <c r="S647" i="20"/>
  <c r="R647" i="20"/>
  <c r="P647" i="20"/>
  <c r="O647" i="20"/>
  <c r="N647" i="20"/>
  <c r="K647" i="20"/>
  <c r="Q647" i="20" s="1"/>
  <c r="J647" i="20"/>
  <c r="J647" i="23" s="1"/>
  <c r="K647" i="23" s="1"/>
  <c r="S646" i="20"/>
  <c r="R646" i="20"/>
  <c r="P646" i="20"/>
  <c r="O646" i="20"/>
  <c r="N646" i="20"/>
  <c r="J646" i="20"/>
  <c r="J646" i="23" s="1"/>
  <c r="K646" i="23" s="1"/>
  <c r="S645" i="20"/>
  <c r="R645" i="20"/>
  <c r="P645" i="20"/>
  <c r="O645" i="20"/>
  <c r="N645" i="20"/>
  <c r="J645" i="20"/>
  <c r="S644" i="20"/>
  <c r="R644" i="20"/>
  <c r="O644" i="20"/>
  <c r="P644" i="20" s="1"/>
  <c r="N644" i="20"/>
  <c r="K644" i="20"/>
  <c r="Q644" i="20" s="1"/>
  <c r="J644" i="20"/>
  <c r="J644" i="23" s="1"/>
  <c r="K644" i="23" s="1"/>
  <c r="T643" i="20"/>
  <c r="S643" i="20"/>
  <c r="R643" i="20"/>
  <c r="O643" i="20"/>
  <c r="P643" i="20" s="1"/>
  <c r="N643" i="20"/>
  <c r="J643" i="20"/>
  <c r="S642" i="20"/>
  <c r="R642" i="20"/>
  <c r="O642" i="20"/>
  <c r="P642" i="20" s="1"/>
  <c r="T642" i="20" s="1"/>
  <c r="N642" i="20"/>
  <c r="J642" i="20"/>
  <c r="J642" i="23" s="1"/>
  <c r="K642" i="23" s="1"/>
  <c r="S641" i="20"/>
  <c r="R641" i="20"/>
  <c r="P641" i="20"/>
  <c r="T641" i="20" s="1"/>
  <c r="O641" i="20"/>
  <c r="N641" i="20"/>
  <c r="J641" i="20"/>
  <c r="S640" i="20"/>
  <c r="R640" i="20"/>
  <c r="O640" i="20"/>
  <c r="P640" i="20" s="1"/>
  <c r="T640" i="20" s="1"/>
  <c r="N640" i="20"/>
  <c r="K640" i="20"/>
  <c r="Q640" i="20" s="1"/>
  <c r="H640" i="20"/>
  <c r="J640" i="20" s="1"/>
  <c r="J640" i="23" s="1"/>
  <c r="K640" i="23" s="1"/>
  <c r="S639" i="20"/>
  <c r="T639" i="20" s="1"/>
  <c r="R639" i="20"/>
  <c r="N639" i="20"/>
  <c r="J639" i="20"/>
  <c r="J639" i="23" s="1"/>
  <c r="K639" i="23" s="1"/>
  <c r="Q639" i="23" s="1"/>
  <c r="H639" i="20"/>
  <c r="O639" i="20" s="1"/>
  <c r="P639" i="20" s="1"/>
  <c r="P639" i="23" s="1"/>
  <c r="S638" i="20"/>
  <c r="R638" i="20"/>
  <c r="N638" i="20"/>
  <c r="H638" i="20"/>
  <c r="S637" i="20"/>
  <c r="R637" i="20"/>
  <c r="O637" i="20"/>
  <c r="P637" i="20" s="1"/>
  <c r="P637" i="23" s="1"/>
  <c r="T637" i="23" s="1"/>
  <c r="N637" i="20"/>
  <c r="J637" i="20"/>
  <c r="J637" i="23" s="1"/>
  <c r="K637" i="23" s="1"/>
  <c r="S636" i="20"/>
  <c r="R636" i="20"/>
  <c r="N636" i="20"/>
  <c r="J636" i="20"/>
  <c r="H636" i="20"/>
  <c r="O636" i="20" s="1"/>
  <c r="P636" i="20" s="1"/>
  <c r="T636" i="20" s="1"/>
  <c r="S635" i="20"/>
  <c r="R635" i="20"/>
  <c r="O635" i="20"/>
  <c r="P635" i="20" s="1"/>
  <c r="N635" i="20"/>
  <c r="J635" i="20"/>
  <c r="H635" i="20"/>
  <c r="T634" i="20"/>
  <c r="S634" i="20"/>
  <c r="R634" i="20"/>
  <c r="P634" i="20"/>
  <c r="O634" i="20"/>
  <c r="N634" i="20"/>
  <c r="N632" i="20" s="1"/>
  <c r="K634" i="20"/>
  <c r="Q634" i="20" s="1"/>
  <c r="J634" i="20"/>
  <c r="J634" i="23" s="1"/>
  <c r="K634" i="23" s="1"/>
  <c r="S633" i="20"/>
  <c r="T633" i="20" s="1"/>
  <c r="R633" i="20"/>
  <c r="Q633" i="20"/>
  <c r="P633" i="20"/>
  <c r="O633" i="20"/>
  <c r="N633" i="20"/>
  <c r="K633" i="20"/>
  <c r="J633" i="20"/>
  <c r="J633" i="23" s="1"/>
  <c r="K633" i="23" s="1"/>
  <c r="K632" i="20"/>
  <c r="J632" i="20"/>
  <c r="J632" i="23" s="1"/>
  <c r="K632" i="23" s="1"/>
  <c r="S631" i="20"/>
  <c r="R631" i="20"/>
  <c r="P631" i="20"/>
  <c r="O631" i="20"/>
  <c r="N631" i="20"/>
  <c r="K631" i="20"/>
  <c r="J631" i="20"/>
  <c r="J631" i="23" s="1"/>
  <c r="K631" i="23" s="1"/>
  <c r="T630" i="20"/>
  <c r="S630" i="20"/>
  <c r="R630" i="20"/>
  <c r="P630" i="20"/>
  <c r="P630" i="23" s="1"/>
  <c r="O630" i="20"/>
  <c r="N630" i="20"/>
  <c r="N625" i="20" s="1"/>
  <c r="J630" i="20"/>
  <c r="S629" i="20"/>
  <c r="R629" i="20"/>
  <c r="N629" i="20"/>
  <c r="H629" i="20"/>
  <c r="S628" i="20"/>
  <c r="R628" i="20"/>
  <c r="O628" i="20"/>
  <c r="P628" i="20" s="1"/>
  <c r="T628" i="20" s="1"/>
  <c r="N628" i="20"/>
  <c r="H628" i="20"/>
  <c r="J628" i="20" s="1"/>
  <c r="S627" i="20"/>
  <c r="R627" i="20"/>
  <c r="Q627" i="20"/>
  <c r="O627" i="20"/>
  <c r="P627" i="20" s="1"/>
  <c r="N627" i="20"/>
  <c r="K627" i="20"/>
  <c r="J627" i="20"/>
  <c r="J627" i="23" s="1"/>
  <c r="K627" i="23" s="1"/>
  <c r="H627" i="20"/>
  <c r="S626" i="20"/>
  <c r="S625" i="20" s="1"/>
  <c r="R626" i="20"/>
  <c r="N626" i="20"/>
  <c r="K626" i="20"/>
  <c r="H626" i="20"/>
  <c r="J626" i="20" s="1"/>
  <c r="J626" i="23" s="1"/>
  <c r="K626" i="23" s="1"/>
  <c r="K625" i="20"/>
  <c r="J625" i="20"/>
  <c r="J625" i="23" s="1"/>
  <c r="K625" i="23" s="1"/>
  <c r="S624" i="20"/>
  <c r="R624" i="20"/>
  <c r="N624" i="20"/>
  <c r="H624" i="20"/>
  <c r="S623" i="20"/>
  <c r="R623" i="20"/>
  <c r="N623" i="20"/>
  <c r="J623" i="20"/>
  <c r="J623" i="23" s="1"/>
  <c r="K623" i="23" s="1"/>
  <c r="H623" i="20"/>
  <c r="O623" i="20" s="1"/>
  <c r="P623" i="20" s="1"/>
  <c r="T623" i="20" s="1"/>
  <c r="T622" i="20"/>
  <c r="S622" i="20"/>
  <c r="S621" i="20" s="1"/>
  <c r="R622" i="20"/>
  <c r="R621" i="20" s="1"/>
  <c r="P622" i="20"/>
  <c r="O622" i="20"/>
  <c r="N622" i="20"/>
  <c r="N621" i="20" s="1"/>
  <c r="H622" i="20"/>
  <c r="J622" i="20" s="1"/>
  <c r="J621" i="20"/>
  <c r="S620" i="20"/>
  <c r="R620" i="20"/>
  <c r="O620" i="20"/>
  <c r="P620" i="20" s="1"/>
  <c r="T620" i="20" s="1"/>
  <c r="N620" i="20"/>
  <c r="H620" i="20"/>
  <c r="J620" i="20" s="1"/>
  <c r="J620" i="23" s="1"/>
  <c r="K620" i="23" s="1"/>
  <c r="S619" i="20"/>
  <c r="R619" i="20"/>
  <c r="N619" i="20"/>
  <c r="H619" i="20"/>
  <c r="S618" i="20"/>
  <c r="R618" i="20"/>
  <c r="N618" i="20"/>
  <c r="H618" i="20"/>
  <c r="T617" i="20"/>
  <c r="S617" i="20"/>
  <c r="R617" i="20"/>
  <c r="O617" i="20"/>
  <c r="P617" i="20" s="1"/>
  <c r="N617" i="20"/>
  <c r="H617" i="20"/>
  <c r="J617" i="20" s="1"/>
  <c r="S616" i="20"/>
  <c r="T616" i="20" s="1"/>
  <c r="R616" i="20"/>
  <c r="Q616" i="20"/>
  <c r="O616" i="20"/>
  <c r="P616" i="20" s="1"/>
  <c r="N616" i="20"/>
  <c r="K616" i="20"/>
  <c r="J616" i="20"/>
  <c r="J616" i="23" s="1"/>
  <c r="K616" i="23" s="1"/>
  <c r="H616" i="20"/>
  <c r="S615" i="20"/>
  <c r="R615" i="20"/>
  <c r="O615" i="20"/>
  <c r="P615" i="20" s="1"/>
  <c r="N615" i="20"/>
  <c r="K615" i="20"/>
  <c r="H615" i="20"/>
  <c r="J615" i="20" s="1"/>
  <c r="J615" i="23" s="1"/>
  <c r="K615" i="23" s="1"/>
  <c r="S614" i="20"/>
  <c r="R614" i="20"/>
  <c r="O614" i="20"/>
  <c r="P614" i="20" s="1"/>
  <c r="N614" i="20"/>
  <c r="K614" i="20"/>
  <c r="H614" i="20"/>
  <c r="J614" i="20" s="1"/>
  <c r="J614" i="23" s="1"/>
  <c r="K614" i="23" s="1"/>
  <c r="S613" i="20"/>
  <c r="R613" i="20"/>
  <c r="N613" i="20"/>
  <c r="J613" i="20"/>
  <c r="H613" i="20"/>
  <c r="O613" i="20" s="1"/>
  <c r="P613" i="20" s="1"/>
  <c r="S612" i="20"/>
  <c r="R612" i="20"/>
  <c r="N612" i="20"/>
  <c r="H612" i="20"/>
  <c r="T611" i="20"/>
  <c r="S611" i="20"/>
  <c r="R611" i="20"/>
  <c r="O611" i="20"/>
  <c r="P611" i="20" s="1"/>
  <c r="P611" i="23" s="1"/>
  <c r="T611" i="23" s="1"/>
  <c r="N611" i="20"/>
  <c r="H611" i="20"/>
  <c r="J611" i="20" s="1"/>
  <c r="S610" i="20"/>
  <c r="R610" i="20"/>
  <c r="R609" i="20" s="1"/>
  <c r="Q610" i="20"/>
  <c r="O610" i="20"/>
  <c r="P610" i="20" s="1"/>
  <c r="N610" i="20"/>
  <c r="N609" i="20" s="1"/>
  <c r="K610" i="20"/>
  <c r="J610" i="20"/>
  <c r="J610" i="23" s="1"/>
  <c r="K610" i="23" s="1"/>
  <c r="H610" i="20"/>
  <c r="K609" i="20"/>
  <c r="J609" i="20"/>
  <c r="J609" i="23" s="1"/>
  <c r="K609" i="23" s="1"/>
  <c r="T608" i="20"/>
  <c r="S608" i="20"/>
  <c r="R608" i="20"/>
  <c r="P608" i="20"/>
  <c r="P608" i="23" s="1"/>
  <c r="O608" i="20"/>
  <c r="N608" i="20"/>
  <c r="N605" i="20" s="1"/>
  <c r="J608" i="20"/>
  <c r="J608" i="23" s="1"/>
  <c r="K608" i="23" s="1"/>
  <c r="Q608" i="23" s="1"/>
  <c r="H608" i="20"/>
  <c r="T607" i="20"/>
  <c r="S607" i="20"/>
  <c r="R607" i="20"/>
  <c r="R605" i="20" s="1"/>
  <c r="N607" i="20"/>
  <c r="J607" i="20"/>
  <c r="H607" i="20"/>
  <c r="O607" i="20" s="1"/>
  <c r="P607" i="20" s="1"/>
  <c r="P607" i="23" s="1"/>
  <c r="T607" i="23" s="1"/>
  <c r="S606" i="20"/>
  <c r="R606" i="20"/>
  <c r="P606" i="20"/>
  <c r="N606" i="20"/>
  <c r="J606" i="20"/>
  <c r="J606" i="23" s="1"/>
  <c r="K606" i="23" s="1"/>
  <c r="H606" i="20"/>
  <c r="O606" i="20" s="1"/>
  <c r="O605" i="20" s="1"/>
  <c r="S605" i="20"/>
  <c r="K605" i="20"/>
  <c r="J605" i="20"/>
  <c r="J605" i="23" s="1"/>
  <c r="K605" i="23" s="1"/>
  <c r="S604" i="20"/>
  <c r="R604" i="20"/>
  <c r="O604" i="20"/>
  <c r="P604" i="20" s="1"/>
  <c r="P604" i="23" s="1"/>
  <c r="N604" i="20"/>
  <c r="H604" i="20"/>
  <c r="J604" i="20" s="1"/>
  <c r="J604" i="23" s="1"/>
  <c r="K604" i="23" s="1"/>
  <c r="S603" i="20"/>
  <c r="R603" i="20"/>
  <c r="N603" i="20"/>
  <c r="H603" i="20"/>
  <c r="S602" i="20"/>
  <c r="R602" i="20"/>
  <c r="N602" i="20"/>
  <c r="N599" i="20" s="1"/>
  <c r="J602" i="20"/>
  <c r="H602" i="20"/>
  <c r="O602" i="20" s="1"/>
  <c r="P602" i="20" s="1"/>
  <c r="S601" i="20"/>
  <c r="R601" i="20"/>
  <c r="N601" i="20"/>
  <c r="H601" i="20"/>
  <c r="S600" i="20"/>
  <c r="S599" i="20" s="1"/>
  <c r="R600" i="20"/>
  <c r="O600" i="20"/>
  <c r="P600" i="20" s="1"/>
  <c r="N600" i="20"/>
  <c r="H600" i="20"/>
  <c r="J600" i="20" s="1"/>
  <c r="R599" i="20"/>
  <c r="K598" i="20"/>
  <c r="J598" i="20"/>
  <c r="J598" i="23" s="1"/>
  <c r="K598" i="23" s="1"/>
  <c r="S597" i="20"/>
  <c r="R597" i="20"/>
  <c r="Q597" i="20"/>
  <c r="Q595" i="20" s="1"/>
  <c r="O597" i="20"/>
  <c r="N597" i="20"/>
  <c r="S596" i="20"/>
  <c r="R596" i="20"/>
  <c r="R595" i="20" s="1"/>
  <c r="Q596" i="20"/>
  <c r="O596" i="20"/>
  <c r="N596" i="20"/>
  <c r="N595" i="20" s="1"/>
  <c r="O595" i="20"/>
  <c r="S594" i="20"/>
  <c r="R594" i="20"/>
  <c r="Q594" i="20"/>
  <c r="O594" i="20"/>
  <c r="N594" i="20"/>
  <c r="S593" i="20"/>
  <c r="R593" i="20"/>
  <c r="Q593" i="20"/>
  <c r="O593" i="20"/>
  <c r="N593" i="20"/>
  <c r="S592" i="20"/>
  <c r="R592" i="20"/>
  <c r="Q592" i="20"/>
  <c r="O592" i="20"/>
  <c r="N592" i="20"/>
  <c r="S591" i="20"/>
  <c r="R591" i="20"/>
  <c r="Q591" i="20"/>
  <c r="O591" i="20"/>
  <c r="N591" i="20"/>
  <c r="S590" i="20"/>
  <c r="R590" i="20"/>
  <c r="Q590" i="20"/>
  <c r="O590" i="20"/>
  <c r="N590" i="20"/>
  <c r="S589" i="20"/>
  <c r="R589" i="20"/>
  <c r="Q589" i="20"/>
  <c r="O589" i="20"/>
  <c r="N589" i="20"/>
  <c r="S588" i="20"/>
  <c r="R588" i="20"/>
  <c r="Q588" i="20"/>
  <c r="O588" i="20"/>
  <c r="N588" i="20"/>
  <c r="S587" i="20"/>
  <c r="R587" i="20"/>
  <c r="Q587" i="20"/>
  <c r="O587" i="20"/>
  <c r="N587" i="20"/>
  <c r="S586" i="20"/>
  <c r="R586" i="20"/>
  <c r="Q586" i="20"/>
  <c r="O586" i="20"/>
  <c r="N586" i="20"/>
  <c r="S585" i="20"/>
  <c r="R585" i="20"/>
  <c r="Q585" i="20"/>
  <c r="O585" i="20"/>
  <c r="N585" i="20"/>
  <c r="S584" i="20"/>
  <c r="R584" i="20"/>
  <c r="Q584" i="20"/>
  <c r="O584" i="20"/>
  <c r="N584" i="20"/>
  <c r="S583" i="20"/>
  <c r="R583" i="20"/>
  <c r="Q583" i="20"/>
  <c r="O583" i="20"/>
  <c r="N583" i="20"/>
  <c r="S582" i="20"/>
  <c r="R582" i="20"/>
  <c r="Q582" i="20"/>
  <c r="O582" i="20"/>
  <c r="N582" i="20"/>
  <c r="S581" i="20"/>
  <c r="R581" i="20"/>
  <c r="Q581" i="20"/>
  <c r="O581" i="20"/>
  <c r="N581" i="20"/>
  <c r="S580" i="20"/>
  <c r="R580" i="20"/>
  <c r="Q580" i="20"/>
  <c r="O580" i="20"/>
  <c r="N580" i="20"/>
  <c r="S579" i="20"/>
  <c r="R579" i="20"/>
  <c r="Q579" i="20"/>
  <c r="O579" i="20"/>
  <c r="N579" i="20"/>
  <c r="S578" i="20"/>
  <c r="R578" i="20"/>
  <c r="Q578" i="20"/>
  <c r="O578" i="20"/>
  <c r="N578" i="20"/>
  <c r="S577" i="20"/>
  <c r="R577" i="20"/>
  <c r="Q577" i="20"/>
  <c r="O577" i="20"/>
  <c r="N577" i="20"/>
  <c r="S576" i="20"/>
  <c r="R576" i="20"/>
  <c r="Q576" i="20"/>
  <c r="O576" i="20"/>
  <c r="N576" i="20"/>
  <c r="S575" i="20"/>
  <c r="O575" i="20"/>
  <c r="N575" i="20"/>
  <c r="E575" i="20"/>
  <c r="R575" i="20" s="1"/>
  <c r="S574" i="20"/>
  <c r="R574" i="20"/>
  <c r="Q574" i="20"/>
  <c r="O574" i="20"/>
  <c r="N574" i="20"/>
  <c r="R573" i="20"/>
  <c r="S572" i="20"/>
  <c r="R572" i="20"/>
  <c r="Q572" i="20"/>
  <c r="O572" i="20"/>
  <c r="N572" i="20"/>
  <c r="S571" i="20"/>
  <c r="R571" i="20"/>
  <c r="Q571" i="20"/>
  <c r="O571" i="20"/>
  <c r="N571" i="20"/>
  <c r="S570" i="20"/>
  <c r="R570" i="20"/>
  <c r="Q570" i="20"/>
  <c r="O570" i="20"/>
  <c r="N570" i="20"/>
  <c r="S569" i="20"/>
  <c r="R569" i="20"/>
  <c r="Q569" i="20"/>
  <c r="O569" i="20"/>
  <c r="N569" i="20"/>
  <c r="S568" i="20"/>
  <c r="R568" i="20"/>
  <c r="Q568" i="20"/>
  <c r="O568" i="20"/>
  <c r="N568" i="20"/>
  <c r="S567" i="20"/>
  <c r="R567" i="20"/>
  <c r="Q567" i="20"/>
  <c r="O567" i="20"/>
  <c r="N567" i="20"/>
  <c r="S566" i="20"/>
  <c r="R566" i="20"/>
  <c r="Q566" i="20"/>
  <c r="O566" i="20"/>
  <c r="N566" i="20"/>
  <c r="S565" i="20"/>
  <c r="R565" i="20"/>
  <c r="Q565" i="20"/>
  <c r="O565" i="20"/>
  <c r="N565" i="20"/>
  <c r="S564" i="20"/>
  <c r="R564" i="20"/>
  <c r="Q564" i="20"/>
  <c r="O564" i="20"/>
  <c r="N564" i="20"/>
  <c r="S563" i="20"/>
  <c r="R563" i="20"/>
  <c r="Q563" i="20"/>
  <c r="O563" i="20"/>
  <c r="N563" i="20"/>
  <c r="S562" i="20"/>
  <c r="R562" i="20"/>
  <c r="Q562" i="20"/>
  <c r="O562" i="20"/>
  <c r="N562" i="20"/>
  <c r="N561" i="20" s="1"/>
  <c r="S560" i="20"/>
  <c r="S559" i="20" s="1"/>
  <c r="R560" i="20"/>
  <c r="Q560" i="20"/>
  <c r="O560" i="20"/>
  <c r="N560" i="20"/>
  <c r="R559" i="20"/>
  <c r="Q559" i="20"/>
  <c r="N559" i="20"/>
  <c r="S558" i="20"/>
  <c r="R558" i="20"/>
  <c r="Q558" i="20"/>
  <c r="O558" i="20"/>
  <c r="N558" i="20"/>
  <c r="S557" i="20"/>
  <c r="R557" i="20"/>
  <c r="Q557" i="20"/>
  <c r="O557" i="20"/>
  <c r="N557" i="20"/>
  <c r="S556" i="20"/>
  <c r="R556" i="20"/>
  <c r="Q556" i="20"/>
  <c r="O556" i="20"/>
  <c r="N556" i="20"/>
  <c r="S555" i="20"/>
  <c r="R555" i="20"/>
  <c r="Q555" i="20"/>
  <c r="O555" i="20"/>
  <c r="N555" i="20"/>
  <c r="S554" i="20"/>
  <c r="R554" i="20"/>
  <c r="Q554" i="20"/>
  <c r="O554" i="20"/>
  <c r="N554" i="20"/>
  <c r="S553" i="20"/>
  <c r="R553" i="20"/>
  <c r="Q553" i="20"/>
  <c r="O553" i="20"/>
  <c r="N553" i="20"/>
  <c r="S552" i="20"/>
  <c r="R552" i="20"/>
  <c r="Q552" i="20"/>
  <c r="O552" i="20"/>
  <c r="N552" i="20"/>
  <c r="S551" i="20"/>
  <c r="R551" i="20"/>
  <c r="Q551" i="20"/>
  <c r="O551" i="20"/>
  <c r="N551" i="20"/>
  <c r="S550" i="20"/>
  <c r="R550" i="20"/>
  <c r="Q550" i="20"/>
  <c r="O550" i="20"/>
  <c r="N550" i="20"/>
  <c r="S549" i="20"/>
  <c r="R549" i="20"/>
  <c r="Q549" i="20"/>
  <c r="O549" i="20"/>
  <c r="N549" i="20"/>
  <c r="S548" i="20"/>
  <c r="R548" i="20"/>
  <c r="Q548" i="20"/>
  <c r="O548" i="20"/>
  <c r="N548" i="20"/>
  <c r="S547" i="20"/>
  <c r="R547" i="20"/>
  <c r="Q547" i="20"/>
  <c r="O547" i="20"/>
  <c r="N547" i="20"/>
  <c r="S546" i="20"/>
  <c r="R546" i="20"/>
  <c r="Q546" i="20"/>
  <c r="O546" i="20"/>
  <c r="N546" i="20"/>
  <c r="S545" i="20"/>
  <c r="R545" i="20"/>
  <c r="Q545" i="20"/>
  <c r="O545" i="20"/>
  <c r="N545" i="20"/>
  <c r="S544" i="20"/>
  <c r="R544" i="20"/>
  <c r="Q544" i="20"/>
  <c r="O544" i="20"/>
  <c r="N544" i="20"/>
  <c r="S543" i="20"/>
  <c r="R543" i="20"/>
  <c r="Q543" i="20"/>
  <c r="O543" i="20"/>
  <c r="N543" i="20"/>
  <c r="S542" i="20"/>
  <c r="R542" i="20"/>
  <c r="Q542" i="20"/>
  <c r="O542" i="20"/>
  <c r="N542" i="20"/>
  <c r="S541" i="20"/>
  <c r="R541" i="20"/>
  <c r="Q541" i="20"/>
  <c r="O541" i="20"/>
  <c r="N541" i="20"/>
  <c r="S540" i="20"/>
  <c r="S527" i="20" s="1"/>
  <c r="R540" i="20"/>
  <c r="Q540" i="20"/>
  <c r="O540" i="20"/>
  <c r="N540" i="20"/>
  <c r="S539" i="20"/>
  <c r="R539" i="20"/>
  <c r="Q539" i="20"/>
  <c r="O539" i="20"/>
  <c r="N539" i="20"/>
  <c r="S538" i="20"/>
  <c r="R538" i="20"/>
  <c r="Q538" i="20"/>
  <c r="O538" i="20"/>
  <c r="N538" i="20"/>
  <c r="S537" i="20"/>
  <c r="R537" i="20"/>
  <c r="Q537" i="20"/>
  <c r="O537" i="20"/>
  <c r="N537" i="20"/>
  <c r="S536" i="20"/>
  <c r="R536" i="20"/>
  <c r="Q536" i="20"/>
  <c r="O536" i="20"/>
  <c r="N536" i="20"/>
  <c r="S535" i="20"/>
  <c r="R535" i="20"/>
  <c r="R527" i="20" s="1"/>
  <c r="Q535" i="20"/>
  <c r="O535" i="20"/>
  <c r="N535" i="20"/>
  <c r="S534" i="20"/>
  <c r="R534" i="20"/>
  <c r="Q534" i="20"/>
  <c r="O534" i="20"/>
  <c r="N534" i="20"/>
  <c r="S533" i="20"/>
  <c r="R533" i="20"/>
  <c r="Q533" i="20"/>
  <c r="O533" i="20"/>
  <c r="N533" i="20"/>
  <c r="S532" i="20"/>
  <c r="R532" i="20"/>
  <c r="Q532" i="20"/>
  <c r="O532" i="20"/>
  <c r="N532" i="20"/>
  <c r="S531" i="20"/>
  <c r="R531" i="20"/>
  <c r="Q531" i="20"/>
  <c r="O531" i="20"/>
  <c r="N531" i="20"/>
  <c r="S530" i="20"/>
  <c r="R530" i="20"/>
  <c r="Q530" i="20"/>
  <c r="Q527" i="20" s="1"/>
  <c r="O530" i="20"/>
  <c r="N530" i="20"/>
  <c r="S529" i="20"/>
  <c r="R529" i="20"/>
  <c r="Q529" i="20"/>
  <c r="O529" i="20"/>
  <c r="N529" i="20"/>
  <c r="N527" i="20" s="1"/>
  <c r="S528" i="20"/>
  <c r="R528" i="20"/>
  <c r="Q528" i="20"/>
  <c r="O528" i="20"/>
  <c r="N528" i="20"/>
  <c r="S526" i="20"/>
  <c r="R526" i="20"/>
  <c r="Q526" i="20"/>
  <c r="O526" i="20"/>
  <c r="N526" i="20"/>
  <c r="S525" i="20"/>
  <c r="R525" i="20"/>
  <c r="Q525" i="20"/>
  <c r="O525" i="20"/>
  <c r="N525" i="20"/>
  <c r="S524" i="20"/>
  <c r="R524" i="20"/>
  <c r="Q524" i="20"/>
  <c r="O524" i="20"/>
  <c r="N524" i="20"/>
  <c r="S523" i="20"/>
  <c r="R523" i="20"/>
  <c r="Q523" i="20"/>
  <c r="O523" i="20"/>
  <c r="N523" i="20"/>
  <c r="S522" i="20"/>
  <c r="R522" i="20"/>
  <c r="Q522" i="20"/>
  <c r="O522" i="20"/>
  <c r="N522" i="20"/>
  <c r="S521" i="20"/>
  <c r="R521" i="20"/>
  <c r="Q521" i="20"/>
  <c r="O521" i="20"/>
  <c r="N521" i="20"/>
  <c r="S520" i="20"/>
  <c r="R520" i="20"/>
  <c r="Q520" i="20"/>
  <c r="O520" i="20"/>
  <c r="N520" i="20"/>
  <c r="S519" i="20"/>
  <c r="R519" i="20"/>
  <c r="R515" i="20" s="1"/>
  <c r="Q519" i="20"/>
  <c r="O519" i="20"/>
  <c r="N519" i="20"/>
  <c r="S518" i="20"/>
  <c r="R518" i="20"/>
  <c r="Q518" i="20"/>
  <c r="O518" i="20"/>
  <c r="N518" i="20"/>
  <c r="S517" i="20"/>
  <c r="R517" i="20"/>
  <c r="Q517" i="20"/>
  <c r="O517" i="20"/>
  <c r="N517" i="20"/>
  <c r="N515" i="20" s="1"/>
  <c r="S516" i="20"/>
  <c r="R516" i="20"/>
  <c r="Q516" i="20"/>
  <c r="Q515" i="20" s="1"/>
  <c r="O516" i="20"/>
  <c r="N516" i="20"/>
  <c r="S513" i="20"/>
  <c r="R513" i="20"/>
  <c r="Q513" i="20"/>
  <c r="O513" i="20"/>
  <c r="N513" i="20"/>
  <c r="S512" i="20"/>
  <c r="R512" i="20"/>
  <c r="Q512" i="20"/>
  <c r="O512" i="20"/>
  <c r="N512" i="20"/>
  <c r="S511" i="20"/>
  <c r="R511" i="20"/>
  <c r="Q511" i="20"/>
  <c r="O511" i="20"/>
  <c r="N511" i="20"/>
  <c r="S510" i="20"/>
  <c r="R510" i="20"/>
  <c r="Q510" i="20"/>
  <c r="O510" i="20"/>
  <c r="N510" i="20"/>
  <c r="S509" i="20"/>
  <c r="R509" i="20"/>
  <c r="Q509" i="20"/>
  <c r="O509" i="20"/>
  <c r="N509" i="20"/>
  <c r="S508" i="20"/>
  <c r="R508" i="20"/>
  <c r="Q508" i="20"/>
  <c r="O508" i="20"/>
  <c r="N508" i="20"/>
  <c r="S507" i="20"/>
  <c r="R507" i="20"/>
  <c r="Q507" i="20"/>
  <c r="O507" i="20"/>
  <c r="N507" i="20"/>
  <c r="S506" i="20"/>
  <c r="R506" i="20"/>
  <c r="Q506" i="20"/>
  <c r="O506" i="20"/>
  <c r="N506" i="20"/>
  <c r="S505" i="20"/>
  <c r="R505" i="20"/>
  <c r="Q505" i="20"/>
  <c r="O505" i="20"/>
  <c r="N505" i="20"/>
  <c r="S504" i="20"/>
  <c r="R504" i="20"/>
  <c r="Q504" i="20"/>
  <c r="O504" i="20"/>
  <c r="N504" i="20"/>
  <c r="S503" i="20"/>
  <c r="R503" i="20"/>
  <c r="Q503" i="20"/>
  <c r="O503" i="20"/>
  <c r="N503" i="20"/>
  <c r="S502" i="20"/>
  <c r="R502" i="20"/>
  <c r="Q502" i="20"/>
  <c r="O502" i="20"/>
  <c r="N502" i="20"/>
  <c r="S501" i="20"/>
  <c r="R501" i="20"/>
  <c r="Q501" i="20"/>
  <c r="O501" i="20"/>
  <c r="N501" i="20"/>
  <c r="S500" i="20"/>
  <c r="R500" i="20"/>
  <c r="Q500" i="20"/>
  <c r="O500" i="20"/>
  <c r="N500" i="20"/>
  <c r="S499" i="20"/>
  <c r="R499" i="20"/>
  <c r="Q499" i="20"/>
  <c r="O499" i="20"/>
  <c r="N499" i="20"/>
  <c r="N494" i="20" s="1"/>
  <c r="S498" i="20"/>
  <c r="R498" i="20"/>
  <c r="Q498" i="20"/>
  <c r="O498" i="20"/>
  <c r="N498" i="20"/>
  <c r="S497" i="20"/>
  <c r="R497" i="20"/>
  <c r="Q497" i="20"/>
  <c r="O497" i="20"/>
  <c r="N497" i="20"/>
  <c r="S496" i="20"/>
  <c r="R496" i="20"/>
  <c r="Q496" i="20"/>
  <c r="O496" i="20"/>
  <c r="N496" i="20"/>
  <c r="S495" i="20"/>
  <c r="R495" i="20"/>
  <c r="Q495" i="20"/>
  <c r="Q494" i="20" s="1"/>
  <c r="O495" i="20"/>
  <c r="N495" i="20"/>
  <c r="O494" i="20"/>
  <c r="S493" i="20"/>
  <c r="R493" i="20"/>
  <c r="Q493" i="20"/>
  <c r="O493" i="20"/>
  <c r="N493" i="20"/>
  <c r="S492" i="20"/>
  <c r="R492" i="20"/>
  <c r="Q492" i="20"/>
  <c r="O492" i="20"/>
  <c r="N492" i="20"/>
  <c r="S491" i="20"/>
  <c r="R491" i="20"/>
  <c r="R489" i="20" s="1"/>
  <c r="Q491" i="20"/>
  <c r="O491" i="20"/>
  <c r="N491" i="20"/>
  <c r="S490" i="20"/>
  <c r="R490" i="20"/>
  <c r="Q490" i="20"/>
  <c r="O490" i="20"/>
  <c r="O489" i="20" s="1"/>
  <c r="N490" i="20"/>
  <c r="N489" i="20" s="1"/>
  <c r="S489" i="20"/>
  <c r="O488" i="20"/>
  <c r="S487" i="20"/>
  <c r="R487" i="20"/>
  <c r="Q487" i="20"/>
  <c r="Q481" i="20" s="1"/>
  <c r="O487" i="20"/>
  <c r="N487" i="20"/>
  <c r="S486" i="20"/>
  <c r="R486" i="20"/>
  <c r="Q486" i="20"/>
  <c r="O486" i="20"/>
  <c r="N486" i="20"/>
  <c r="S485" i="20"/>
  <c r="R485" i="20"/>
  <c r="R481" i="20" s="1"/>
  <c r="Q485" i="20"/>
  <c r="O485" i="20"/>
  <c r="N485" i="20"/>
  <c r="S484" i="20"/>
  <c r="R484" i="20"/>
  <c r="Q484" i="20"/>
  <c r="O484" i="20"/>
  <c r="N484" i="20"/>
  <c r="S483" i="20"/>
  <c r="R483" i="20"/>
  <c r="Q483" i="20"/>
  <c r="O483" i="20"/>
  <c r="N483" i="20"/>
  <c r="S482" i="20"/>
  <c r="R482" i="20"/>
  <c r="Q482" i="20"/>
  <c r="O482" i="20"/>
  <c r="N482" i="20"/>
  <c r="N481" i="20"/>
  <c r="S480" i="20"/>
  <c r="T480" i="20" s="1"/>
  <c r="R480" i="20"/>
  <c r="Q480" i="20"/>
  <c r="P480" i="20"/>
  <c r="P480" i="23" s="1"/>
  <c r="T480" i="23" s="1"/>
  <c r="O480" i="20"/>
  <c r="N480" i="20"/>
  <c r="J480" i="20"/>
  <c r="J480" i="23" s="1"/>
  <c r="K480" i="23" s="1"/>
  <c r="S479" i="20"/>
  <c r="T479" i="20" s="1"/>
  <c r="R479" i="20"/>
  <c r="Q479" i="20"/>
  <c r="P479" i="20"/>
  <c r="O479" i="20"/>
  <c r="N479" i="20"/>
  <c r="J479" i="20"/>
  <c r="S478" i="20"/>
  <c r="R478" i="20"/>
  <c r="Q478" i="20"/>
  <c r="O478" i="20"/>
  <c r="P478" i="20" s="1"/>
  <c r="T478" i="20" s="1"/>
  <c r="N478" i="20"/>
  <c r="K478" i="20"/>
  <c r="J478" i="20"/>
  <c r="J478" i="23" s="1"/>
  <c r="K478" i="23" s="1"/>
  <c r="S477" i="20"/>
  <c r="R477" i="20"/>
  <c r="Q477" i="20"/>
  <c r="O477" i="20"/>
  <c r="N477" i="20"/>
  <c r="S476" i="20"/>
  <c r="R476" i="20"/>
  <c r="Q476" i="20"/>
  <c r="O476" i="20"/>
  <c r="N476" i="20"/>
  <c r="S475" i="20"/>
  <c r="R475" i="20"/>
  <c r="Q475" i="20"/>
  <c r="O475" i="20"/>
  <c r="N475" i="20"/>
  <c r="S474" i="20"/>
  <c r="R474" i="20"/>
  <c r="Q474" i="20"/>
  <c r="O474" i="20"/>
  <c r="N474" i="20"/>
  <c r="S473" i="20"/>
  <c r="R473" i="20"/>
  <c r="Q473" i="20"/>
  <c r="O473" i="20"/>
  <c r="N473" i="20"/>
  <c r="S472" i="20"/>
  <c r="R472" i="20"/>
  <c r="Q472" i="20"/>
  <c r="O472" i="20"/>
  <c r="N472" i="20"/>
  <c r="S471" i="20"/>
  <c r="R471" i="20"/>
  <c r="Q471" i="20"/>
  <c r="O471" i="20"/>
  <c r="N471" i="20"/>
  <c r="S470" i="20"/>
  <c r="R470" i="20"/>
  <c r="Q470" i="20"/>
  <c r="O470" i="20"/>
  <c r="N470" i="20"/>
  <c r="S469" i="20"/>
  <c r="R469" i="20"/>
  <c r="O469" i="20"/>
  <c r="N469" i="20"/>
  <c r="S468" i="20"/>
  <c r="R468" i="20"/>
  <c r="Q468" i="20"/>
  <c r="O468" i="20"/>
  <c r="N468" i="20"/>
  <c r="S467" i="20"/>
  <c r="R467" i="20"/>
  <c r="Q467" i="20"/>
  <c r="O467" i="20"/>
  <c r="N467" i="20"/>
  <c r="S466" i="20"/>
  <c r="R466" i="20"/>
  <c r="Q466" i="20"/>
  <c r="O466" i="20"/>
  <c r="N466" i="20"/>
  <c r="S465" i="20"/>
  <c r="R465" i="20"/>
  <c r="Q465" i="20"/>
  <c r="O465" i="20"/>
  <c r="N465" i="20"/>
  <c r="S464" i="20"/>
  <c r="R464" i="20"/>
  <c r="Q464" i="20"/>
  <c r="O464" i="20"/>
  <c r="N464" i="20"/>
  <c r="S463" i="20"/>
  <c r="R463" i="20"/>
  <c r="Q463" i="20"/>
  <c r="O463" i="20"/>
  <c r="N463" i="20"/>
  <c r="S462" i="20"/>
  <c r="R462" i="20"/>
  <c r="Q462" i="20"/>
  <c r="O462" i="20"/>
  <c r="N462" i="20"/>
  <c r="S461" i="20"/>
  <c r="R461" i="20"/>
  <c r="Q461" i="20"/>
  <c r="O461" i="20"/>
  <c r="N461" i="20"/>
  <c r="S460" i="20"/>
  <c r="R460" i="20"/>
  <c r="Q460" i="20"/>
  <c r="O460" i="20"/>
  <c r="N460" i="20"/>
  <c r="S459" i="20"/>
  <c r="R459" i="20"/>
  <c r="Q459" i="20"/>
  <c r="O459" i="20"/>
  <c r="N459" i="20"/>
  <c r="S458" i="20"/>
  <c r="R458" i="20"/>
  <c r="Q458" i="20"/>
  <c r="O458" i="20"/>
  <c r="N458" i="20"/>
  <c r="S457" i="20"/>
  <c r="R457" i="20"/>
  <c r="Q457" i="20"/>
  <c r="O457" i="20"/>
  <c r="N457" i="20"/>
  <c r="S456" i="20"/>
  <c r="R456" i="20"/>
  <c r="Q456" i="20"/>
  <c r="O456" i="20"/>
  <c r="N456" i="20"/>
  <c r="S455" i="20"/>
  <c r="R455" i="20"/>
  <c r="Q455" i="20"/>
  <c r="O455" i="20"/>
  <c r="N455" i="20"/>
  <c r="S454" i="20"/>
  <c r="R454" i="20"/>
  <c r="Q454" i="20"/>
  <c r="O454" i="20"/>
  <c r="N454" i="20"/>
  <c r="S453" i="20"/>
  <c r="R453" i="20"/>
  <c r="Q453" i="20"/>
  <c r="O453" i="20"/>
  <c r="N453" i="20"/>
  <c r="S452" i="20"/>
  <c r="R452" i="20"/>
  <c r="Q452" i="20"/>
  <c r="O452" i="20"/>
  <c r="N452" i="20"/>
  <c r="S451" i="20"/>
  <c r="R451" i="20"/>
  <c r="Q451" i="20"/>
  <c r="O451" i="20"/>
  <c r="N451" i="20"/>
  <c r="S450" i="20"/>
  <c r="R450" i="20"/>
  <c r="Q450" i="20"/>
  <c r="O450" i="20"/>
  <c r="N450" i="20"/>
  <c r="S449" i="20"/>
  <c r="R449" i="20"/>
  <c r="Q449" i="20"/>
  <c r="O449" i="20"/>
  <c r="N449" i="20"/>
  <c r="S448" i="20"/>
  <c r="R448" i="20"/>
  <c r="Q448" i="20"/>
  <c r="O448" i="20"/>
  <c r="N448" i="20"/>
  <c r="S447" i="20"/>
  <c r="R447" i="20"/>
  <c r="Q447" i="20"/>
  <c r="O447" i="20"/>
  <c r="N447" i="20"/>
  <c r="S446" i="20"/>
  <c r="R446" i="20"/>
  <c r="Q446" i="20"/>
  <c r="O446" i="20"/>
  <c r="N446" i="20"/>
  <c r="S445" i="20"/>
  <c r="R445" i="20"/>
  <c r="Q445" i="20"/>
  <c r="O445" i="20"/>
  <c r="N445" i="20"/>
  <c r="S444" i="20"/>
  <c r="R444" i="20"/>
  <c r="Q444" i="20"/>
  <c r="O444" i="20"/>
  <c r="N444" i="20"/>
  <c r="S443" i="20"/>
  <c r="R443" i="20"/>
  <c r="Q443" i="20"/>
  <c r="O443" i="20"/>
  <c r="N443" i="20"/>
  <c r="S442" i="20"/>
  <c r="R442" i="20"/>
  <c r="Q442" i="20"/>
  <c r="O442" i="20"/>
  <c r="N442" i="20"/>
  <c r="S441" i="20"/>
  <c r="R441" i="20"/>
  <c r="Q441" i="20"/>
  <c r="O441" i="20"/>
  <c r="N441" i="20"/>
  <c r="S440" i="20"/>
  <c r="R440" i="20"/>
  <c r="Q440" i="20"/>
  <c r="O440" i="20"/>
  <c r="N440" i="20"/>
  <c r="S439" i="20"/>
  <c r="R439" i="20"/>
  <c r="Q439" i="20"/>
  <c r="O439" i="20"/>
  <c r="N439" i="20"/>
  <c r="S438" i="20"/>
  <c r="R438" i="20"/>
  <c r="Q438" i="20"/>
  <c r="O438" i="20"/>
  <c r="N438" i="20"/>
  <c r="S437" i="20"/>
  <c r="R437" i="20"/>
  <c r="Q437" i="20"/>
  <c r="O437" i="20"/>
  <c r="N437" i="20"/>
  <c r="S436" i="20"/>
  <c r="R436" i="20"/>
  <c r="Q436" i="20"/>
  <c r="O436" i="20"/>
  <c r="N436" i="20"/>
  <c r="S435" i="20"/>
  <c r="R435" i="20"/>
  <c r="Q435" i="20"/>
  <c r="O435" i="20"/>
  <c r="N435" i="20"/>
  <c r="S434" i="20"/>
  <c r="R434" i="20"/>
  <c r="Q434" i="20"/>
  <c r="O434" i="20"/>
  <c r="N434" i="20"/>
  <c r="S433" i="20"/>
  <c r="R433" i="20"/>
  <c r="Q433" i="20"/>
  <c r="O433" i="20"/>
  <c r="N433" i="20"/>
  <c r="S432" i="20"/>
  <c r="R432" i="20"/>
  <c r="Q432" i="20"/>
  <c r="O432" i="20"/>
  <c r="N432" i="20"/>
  <c r="S431" i="20"/>
  <c r="R431" i="20"/>
  <c r="Q431" i="20"/>
  <c r="O431" i="20"/>
  <c r="N431" i="20"/>
  <c r="S430" i="20"/>
  <c r="R430" i="20"/>
  <c r="Q430" i="20"/>
  <c r="O430" i="20"/>
  <c r="N430" i="20"/>
  <c r="S429" i="20"/>
  <c r="R429" i="20"/>
  <c r="Q429" i="20"/>
  <c r="O429" i="20"/>
  <c r="N429" i="20"/>
  <c r="S428" i="20"/>
  <c r="R428" i="20"/>
  <c r="Q428" i="20"/>
  <c r="O428" i="20"/>
  <c r="N428" i="20"/>
  <c r="S427" i="20"/>
  <c r="R427" i="20"/>
  <c r="Q427" i="20"/>
  <c r="O427" i="20"/>
  <c r="N427" i="20"/>
  <c r="S426" i="20"/>
  <c r="R426" i="20"/>
  <c r="Q426" i="20"/>
  <c r="O426" i="20"/>
  <c r="N426" i="20"/>
  <c r="S425" i="20"/>
  <c r="R425" i="20"/>
  <c r="Q425" i="20"/>
  <c r="O425" i="20"/>
  <c r="N425" i="20"/>
  <c r="S424" i="20"/>
  <c r="R424" i="20"/>
  <c r="Q424" i="20"/>
  <c r="O424" i="20"/>
  <c r="N424" i="20"/>
  <c r="S423" i="20"/>
  <c r="R423" i="20"/>
  <c r="Q423" i="20"/>
  <c r="O423" i="20"/>
  <c r="N423" i="20"/>
  <c r="S422" i="20"/>
  <c r="R422" i="20"/>
  <c r="Q422" i="20"/>
  <c r="O422" i="20"/>
  <c r="N422" i="20"/>
  <c r="S421" i="20"/>
  <c r="R421" i="20"/>
  <c r="Q421" i="20"/>
  <c r="O421" i="20"/>
  <c r="N421" i="20"/>
  <c r="S420" i="20"/>
  <c r="R420" i="20"/>
  <c r="Q420" i="20"/>
  <c r="O420" i="20"/>
  <c r="N420" i="20"/>
  <c r="S419" i="20"/>
  <c r="R419" i="20"/>
  <c r="Q419" i="20"/>
  <c r="O419" i="20"/>
  <c r="N419" i="20"/>
  <c r="S418" i="20"/>
  <c r="R418" i="20"/>
  <c r="Q418" i="20"/>
  <c r="O418" i="20"/>
  <c r="N418" i="20"/>
  <c r="S417" i="20"/>
  <c r="R417" i="20"/>
  <c r="Q417" i="20"/>
  <c r="O417" i="20"/>
  <c r="N417" i="20"/>
  <c r="S416" i="20"/>
  <c r="R416" i="20"/>
  <c r="Q416" i="20"/>
  <c r="O416" i="20"/>
  <c r="N416" i="20"/>
  <c r="S415" i="20"/>
  <c r="R415" i="20"/>
  <c r="Q415" i="20"/>
  <c r="O415" i="20"/>
  <c r="N415" i="20"/>
  <c r="S414" i="20"/>
  <c r="R414" i="20"/>
  <c r="Q414" i="20"/>
  <c r="O414" i="20"/>
  <c r="N414" i="20"/>
  <c r="S413" i="20"/>
  <c r="R413" i="20"/>
  <c r="Q413" i="20"/>
  <c r="O413" i="20"/>
  <c r="N413" i="20"/>
  <c r="S412" i="20"/>
  <c r="R412" i="20"/>
  <c r="Q412" i="20"/>
  <c r="O412" i="20"/>
  <c r="N412" i="20"/>
  <c r="S411" i="20"/>
  <c r="R411" i="20"/>
  <c r="Q411" i="20"/>
  <c r="O411" i="20"/>
  <c r="N411" i="20"/>
  <c r="S409" i="20"/>
  <c r="R409" i="20"/>
  <c r="Q409" i="20"/>
  <c r="J409" i="20"/>
  <c r="H409" i="20"/>
  <c r="O409" i="20" s="1"/>
  <c r="P409" i="20" s="1"/>
  <c r="G409" i="20"/>
  <c r="N409" i="20" s="1"/>
  <c r="S408" i="20"/>
  <c r="R408" i="20"/>
  <c r="Q408" i="20"/>
  <c r="O408" i="20"/>
  <c r="N408" i="20"/>
  <c r="S407" i="20"/>
  <c r="R407" i="20"/>
  <c r="Q407" i="20"/>
  <c r="O407" i="20"/>
  <c r="N407" i="20"/>
  <c r="S406" i="20"/>
  <c r="R406" i="20"/>
  <c r="Q406" i="20"/>
  <c r="O406" i="20"/>
  <c r="N406" i="20"/>
  <c r="S405" i="20"/>
  <c r="R405" i="20"/>
  <c r="Q405" i="20"/>
  <c r="O405" i="20"/>
  <c r="N405" i="20"/>
  <c r="S404" i="20"/>
  <c r="R404" i="20"/>
  <c r="R398" i="20" s="1"/>
  <c r="Q404" i="20"/>
  <c r="O404" i="20"/>
  <c r="N404" i="20"/>
  <c r="S403" i="20"/>
  <c r="R403" i="20"/>
  <c r="Q403" i="20"/>
  <c r="O403" i="20"/>
  <c r="N403" i="20"/>
  <c r="S402" i="20"/>
  <c r="R402" i="20"/>
  <c r="Q402" i="20"/>
  <c r="O402" i="20"/>
  <c r="N402" i="20"/>
  <c r="S401" i="20"/>
  <c r="R401" i="20"/>
  <c r="Q401" i="20"/>
  <c r="O401" i="20"/>
  <c r="N401" i="20"/>
  <c r="S400" i="20"/>
  <c r="R400" i="20"/>
  <c r="Q400" i="20"/>
  <c r="Q398" i="20" s="1"/>
  <c r="O400" i="20"/>
  <c r="N400" i="20"/>
  <c r="S399" i="20"/>
  <c r="R399" i="20"/>
  <c r="Q399" i="20"/>
  <c r="O399" i="20"/>
  <c r="N399" i="20"/>
  <c r="S397" i="20"/>
  <c r="R397" i="20"/>
  <c r="Q397" i="20"/>
  <c r="O397" i="20"/>
  <c r="N397" i="20"/>
  <c r="S396" i="20"/>
  <c r="R396" i="20"/>
  <c r="Q396" i="20"/>
  <c r="O396" i="20"/>
  <c r="N396" i="20"/>
  <c r="S395" i="20"/>
  <c r="R395" i="20"/>
  <c r="Q395" i="20"/>
  <c r="O395" i="20"/>
  <c r="N395" i="20"/>
  <c r="S394" i="20"/>
  <c r="R394" i="20"/>
  <c r="Q394" i="20"/>
  <c r="O394" i="20"/>
  <c r="N394" i="20"/>
  <c r="S393" i="20"/>
  <c r="R393" i="20"/>
  <c r="Q393" i="20"/>
  <c r="O393" i="20"/>
  <c r="N393" i="20"/>
  <c r="S392" i="20"/>
  <c r="R392" i="20"/>
  <c r="Q392" i="20"/>
  <c r="O392" i="20"/>
  <c r="N392" i="20"/>
  <c r="S391" i="20"/>
  <c r="R391" i="20"/>
  <c r="Q391" i="20"/>
  <c r="O391" i="20"/>
  <c r="N391" i="20"/>
  <c r="S390" i="20"/>
  <c r="R390" i="20"/>
  <c r="Q390" i="20"/>
  <c r="O390" i="20"/>
  <c r="N390" i="20"/>
  <c r="S389" i="20"/>
  <c r="R389" i="20"/>
  <c r="Q389" i="20"/>
  <c r="O389" i="20"/>
  <c r="N389" i="20"/>
  <c r="S388" i="20"/>
  <c r="R388" i="20"/>
  <c r="Q388" i="20"/>
  <c r="O388" i="20"/>
  <c r="N388" i="20"/>
  <c r="S387" i="20"/>
  <c r="R387" i="20"/>
  <c r="Q387" i="20"/>
  <c r="O387" i="20"/>
  <c r="N387" i="20"/>
  <c r="S386" i="20"/>
  <c r="R386" i="20"/>
  <c r="Q386" i="20"/>
  <c r="O386" i="20"/>
  <c r="N386" i="20"/>
  <c r="S385" i="20"/>
  <c r="R385" i="20"/>
  <c r="Q385" i="20"/>
  <c r="O385" i="20"/>
  <c r="N385" i="20"/>
  <c r="S384" i="20"/>
  <c r="R384" i="20"/>
  <c r="Q384" i="20"/>
  <c r="O384" i="20"/>
  <c r="N384" i="20"/>
  <c r="S383" i="20"/>
  <c r="R383" i="20"/>
  <c r="Q383" i="20"/>
  <c r="O383" i="20"/>
  <c r="N383" i="20"/>
  <c r="S382" i="20"/>
  <c r="R382" i="20"/>
  <c r="Q382" i="20"/>
  <c r="O382" i="20"/>
  <c r="N382" i="20"/>
  <c r="S381" i="20"/>
  <c r="R381" i="20"/>
  <c r="Q381" i="20"/>
  <c r="O381" i="20"/>
  <c r="N381" i="20"/>
  <c r="S380" i="20"/>
  <c r="R380" i="20"/>
  <c r="Q380" i="20"/>
  <c r="O380" i="20"/>
  <c r="N380" i="20"/>
  <c r="S379" i="20"/>
  <c r="R379" i="20"/>
  <c r="Q379" i="20"/>
  <c r="O379" i="20"/>
  <c r="N379" i="20"/>
  <c r="S378" i="20"/>
  <c r="R378" i="20"/>
  <c r="Q378" i="20"/>
  <c r="O378" i="20"/>
  <c r="N378" i="20"/>
  <c r="S377" i="20"/>
  <c r="R377" i="20"/>
  <c r="Q377" i="20"/>
  <c r="O377" i="20"/>
  <c r="N377" i="20"/>
  <c r="S376" i="20"/>
  <c r="R376" i="20"/>
  <c r="Q376" i="20"/>
  <c r="O376" i="20"/>
  <c r="N376" i="20"/>
  <c r="S375" i="20"/>
  <c r="R375" i="20"/>
  <c r="Q375" i="20"/>
  <c r="O375" i="20"/>
  <c r="N375" i="20"/>
  <c r="S374" i="20"/>
  <c r="R374" i="20"/>
  <c r="Q374" i="20"/>
  <c r="O374" i="20"/>
  <c r="N374" i="20"/>
  <c r="S373" i="20"/>
  <c r="R373" i="20"/>
  <c r="Q373" i="20"/>
  <c r="O373" i="20"/>
  <c r="N373" i="20"/>
  <c r="S372" i="20"/>
  <c r="R372" i="20"/>
  <c r="Q372" i="20"/>
  <c r="O372" i="20"/>
  <c r="N372" i="20"/>
  <c r="S371" i="20"/>
  <c r="R371" i="20"/>
  <c r="Q371" i="20"/>
  <c r="O371" i="20"/>
  <c r="N371" i="20"/>
  <c r="S370" i="20"/>
  <c r="R370" i="20"/>
  <c r="Q370" i="20"/>
  <c r="O370" i="20"/>
  <c r="N370" i="20"/>
  <c r="S369" i="20"/>
  <c r="R369" i="20"/>
  <c r="Q369" i="20"/>
  <c r="O369" i="20"/>
  <c r="N369" i="20"/>
  <c r="S368" i="20"/>
  <c r="R368" i="20"/>
  <c r="Q368" i="20"/>
  <c r="O368" i="20"/>
  <c r="N368" i="20"/>
  <c r="S367" i="20"/>
  <c r="R367" i="20"/>
  <c r="Q367" i="20"/>
  <c r="O367" i="20"/>
  <c r="N367" i="20"/>
  <c r="S366" i="20"/>
  <c r="R366" i="20"/>
  <c r="Q366" i="20"/>
  <c r="O366" i="20"/>
  <c r="N366" i="20"/>
  <c r="S365" i="20"/>
  <c r="R365" i="20"/>
  <c r="Q365" i="20"/>
  <c r="O365" i="20"/>
  <c r="N365" i="20"/>
  <c r="S364" i="20"/>
  <c r="R364" i="20"/>
  <c r="Q364" i="20"/>
  <c r="O364" i="20"/>
  <c r="N364" i="20"/>
  <c r="S363" i="20"/>
  <c r="R363" i="20"/>
  <c r="Q363" i="20"/>
  <c r="O363" i="20"/>
  <c r="N363" i="20"/>
  <c r="S362" i="20"/>
  <c r="R362" i="20"/>
  <c r="Q362" i="20"/>
  <c r="O362" i="20"/>
  <c r="N362" i="20"/>
  <c r="S361" i="20"/>
  <c r="R361" i="20"/>
  <c r="Q361" i="20"/>
  <c r="O361" i="20"/>
  <c r="N361" i="20"/>
  <c r="S360" i="20"/>
  <c r="R360" i="20"/>
  <c r="Q360" i="20"/>
  <c r="O360" i="20"/>
  <c r="N360" i="20"/>
  <c r="S359" i="20"/>
  <c r="R359" i="20"/>
  <c r="Q359" i="20"/>
  <c r="O359" i="20"/>
  <c r="N359" i="20"/>
  <c r="S358" i="20"/>
  <c r="R358" i="20"/>
  <c r="Q358" i="20"/>
  <c r="O358" i="20"/>
  <c r="N358" i="20"/>
  <c r="S357" i="20"/>
  <c r="R357" i="20"/>
  <c r="Q357" i="20"/>
  <c r="O357" i="20"/>
  <c r="N357" i="20"/>
  <c r="S356" i="20"/>
  <c r="R356" i="20"/>
  <c r="Q356" i="20"/>
  <c r="O356" i="20"/>
  <c r="N356" i="20"/>
  <c r="S355" i="20"/>
  <c r="R355" i="20"/>
  <c r="Q355" i="20"/>
  <c r="O355" i="20"/>
  <c r="N355" i="20"/>
  <c r="S354" i="20"/>
  <c r="R354" i="20"/>
  <c r="Q354" i="20"/>
  <c r="O354" i="20"/>
  <c r="N354" i="20"/>
  <c r="S353" i="20"/>
  <c r="R353" i="20"/>
  <c r="Q353" i="20"/>
  <c r="O353" i="20"/>
  <c r="N353" i="20"/>
  <c r="S352" i="20"/>
  <c r="R352" i="20"/>
  <c r="Q352" i="20"/>
  <c r="O352" i="20"/>
  <c r="N352" i="20"/>
  <c r="S351" i="20"/>
  <c r="R351" i="20"/>
  <c r="Q351" i="20"/>
  <c r="O351" i="20"/>
  <c r="N351" i="20"/>
  <c r="S350" i="20"/>
  <c r="R350" i="20"/>
  <c r="Q350" i="20"/>
  <c r="O350" i="20"/>
  <c r="N350" i="20"/>
  <c r="S349" i="20"/>
  <c r="R349" i="20"/>
  <c r="Q349" i="20"/>
  <c r="O349" i="20"/>
  <c r="N349" i="20"/>
  <c r="S348" i="20"/>
  <c r="R348" i="20"/>
  <c r="Q348" i="20"/>
  <c r="O348" i="20"/>
  <c r="N348" i="20"/>
  <c r="S347" i="20"/>
  <c r="R347" i="20"/>
  <c r="Q347" i="20"/>
  <c r="O347" i="20"/>
  <c r="N347" i="20"/>
  <c r="S346" i="20"/>
  <c r="R346" i="20"/>
  <c r="Q346" i="20"/>
  <c r="O346" i="20"/>
  <c r="N346" i="20"/>
  <c r="S345" i="20"/>
  <c r="R345" i="20"/>
  <c r="Q345" i="20"/>
  <c r="O345" i="20"/>
  <c r="N345" i="20"/>
  <c r="S344" i="20"/>
  <c r="R344" i="20"/>
  <c r="Q344" i="20"/>
  <c r="O344" i="20"/>
  <c r="N344" i="20"/>
  <c r="S343" i="20"/>
  <c r="R343" i="20"/>
  <c r="Q343" i="20"/>
  <c r="O343" i="20"/>
  <c r="N343" i="20"/>
  <c r="N340" i="20" s="1"/>
  <c r="S342" i="20"/>
  <c r="R342" i="20"/>
  <c r="Q342" i="20"/>
  <c r="O342" i="20"/>
  <c r="N342" i="20"/>
  <c r="S341" i="20"/>
  <c r="R341" i="20"/>
  <c r="Q341" i="20"/>
  <c r="O341" i="20"/>
  <c r="N341" i="20"/>
  <c r="S339" i="20"/>
  <c r="R339" i="20"/>
  <c r="Q339" i="20"/>
  <c r="O339" i="20"/>
  <c r="N339" i="20"/>
  <c r="S338" i="20"/>
  <c r="R338" i="20"/>
  <c r="Q338" i="20"/>
  <c r="O338" i="20"/>
  <c r="N338" i="20"/>
  <c r="S337" i="20"/>
  <c r="R337" i="20"/>
  <c r="Q337" i="20"/>
  <c r="O337" i="20"/>
  <c r="N337" i="20"/>
  <c r="S336" i="20"/>
  <c r="R336" i="20"/>
  <c r="Q336" i="20"/>
  <c r="O336" i="20"/>
  <c r="N336" i="20"/>
  <c r="S335" i="20"/>
  <c r="R335" i="20"/>
  <c r="Q335" i="20"/>
  <c r="O335" i="20"/>
  <c r="N335" i="20"/>
  <c r="N332" i="20" s="1"/>
  <c r="S334" i="20"/>
  <c r="R334" i="20"/>
  <c r="Q334" i="20"/>
  <c r="O334" i="20"/>
  <c r="N334" i="20"/>
  <c r="S333" i="20"/>
  <c r="R333" i="20"/>
  <c r="Q333" i="20"/>
  <c r="Q332" i="20" s="1"/>
  <c r="O333" i="20"/>
  <c r="N333" i="20"/>
  <c r="O332" i="20"/>
  <c r="S330" i="20"/>
  <c r="R330" i="20"/>
  <c r="Q330" i="20"/>
  <c r="O330" i="20"/>
  <c r="N330" i="20"/>
  <c r="S329" i="20"/>
  <c r="R329" i="20"/>
  <c r="Q329" i="20"/>
  <c r="O329" i="20"/>
  <c r="N329" i="20"/>
  <c r="S328" i="20"/>
  <c r="R328" i="20"/>
  <c r="Q328" i="20"/>
  <c r="O328" i="20"/>
  <c r="N328" i="20"/>
  <c r="S327" i="20"/>
  <c r="R327" i="20"/>
  <c r="Q327" i="20"/>
  <c r="O327" i="20"/>
  <c r="N327" i="20"/>
  <c r="S326" i="20"/>
  <c r="R326" i="20"/>
  <c r="Q326" i="20"/>
  <c r="O326" i="20"/>
  <c r="N326" i="20"/>
  <c r="S325" i="20"/>
  <c r="R325" i="20"/>
  <c r="Q325" i="20"/>
  <c r="O325" i="20"/>
  <c r="N325" i="20"/>
  <c r="S324" i="20"/>
  <c r="R324" i="20"/>
  <c r="Q324" i="20"/>
  <c r="O324" i="20"/>
  <c r="N324" i="20"/>
  <c r="S323" i="20"/>
  <c r="R323" i="20"/>
  <c r="Q323" i="20"/>
  <c r="O323" i="20"/>
  <c r="N323" i="20"/>
  <c r="N320" i="20" s="1"/>
  <c r="S322" i="20"/>
  <c r="R322" i="20"/>
  <c r="Q322" i="20"/>
  <c r="O322" i="20"/>
  <c r="N322" i="20"/>
  <c r="S321" i="20"/>
  <c r="R321" i="20"/>
  <c r="Q321" i="20"/>
  <c r="Q320" i="20" s="1"/>
  <c r="O321" i="20"/>
  <c r="N321" i="20"/>
  <c r="S319" i="20"/>
  <c r="S318" i="20" s="1"/>
  <c r="R319" i="20"/>
  <c r="R318" i="20" s="1"/>
  <c r="Q319" i="20"/>
  <c r="Q318" i="20" s="1"/>
  <c r="O319" i="20"/>
  <c r="O318" i="20" s="1"/>
  <c r="N319" i="20"/>
  <c r="N318" i="20" s="1"/>
  <c r="S317" i="20"/>
  <c r="R317" i="20"/>
  <c r="Q317" i="20"/>
  <c r="O317" i="20"/>
  <c r="N317" i="20"/>
  <c r="S316" i="20"/>
  <c r="R316" i="20"/>
  <c r="Q316" i="20"/>
  <c r="O316" i="20"/>
  <c r="N316" i="20"/>
  <c r="S315" i="20"/>
  <c r="R315" i="20"/>
  <c r="Q315" i="20"/>
  <c r="O315" i="20"/>
  <c r="N315" i="20"/>
  <c r="S314" i="20"/>
  <c r="R314" i="20"/>
  <c r="Q314" i="20"/>
  <c r="O314" i="20"/>
  <c r="N314" i="20"/>
  <c r="S313" i="20"/>
  <c r="R313" i="20"/>
  <c r="Q313" i="20"/>
  <c r="O313" i="20"/>
  <c r="N313" i="20"/>
  <c r="S312" i="20"/>
  <c r="R312" i="20"/>
  <c r="Q312" i="20"/>
  <c r="O312" i="20"/>
  <c r="N312" i="20"/>
  <c r="S311" i="20"/>
  <c r="R311" i="20"/>
  <c r="R310" i="20" s="1"/>
  <c r="Q311" i="20"/>
  <c r="O311" i="20"/>
  <c r="N311" i="20"/>
  <c r="S309" i="20"/>
  <c r="R309" i="20"/>
  <c r="Q309" i="20"/>
  <c r="O309" i="20"/>
  <c r="N309" i="20"/>
  <c r="S308" i="20"/>
  <c r="R308" i="20"/>
  <c r="Q308" i="20"/>
  <c r="O308" i="20"/>
  <c r="N308" i="20"/>
  <c r="S307" i="20"/>
  <c r="R307" i="20"/>
  <c r="Q307" i="20"/>
  <c r="O307" i="20"/>
  <c r="N307" i="20"/>
  <c r="S306" i="20"/>
  <c r="R306" i="20"/>
  <c r="Q306" i="20"/>
  <c r="O306" i="20"/>
  <c r="N306" i="20"/>
  <c r="S305" i="20"/>
  <c r="R305" i="20"/>
  <c r="Q305" i="20"/>
  <c r="O305" i="20"/>
  <c r="N305" i="20"/>
  <c r="S304" i="20"/>
  <c r="R304" i="20"/>
  <c r="Q304" i="20"/>
  <c r="O304" i="20"/>
  <c r="N304" i="20"/>
  <c r="S303" i="20"/>
  <c r="R303" i="20"/>
  <c r="Q303" i="20"/>
  <c r="O303" i="20"/>
  <c r="N303" i="20"/>
  <c r="S302" i="20"/>
  <c r="R302" i="20"/>
  <c r="Q302" i="20"/>
  <c r="O302" i="20"/>
  <c r="N302" i="20"/>
  <c r="S301" i="20"/>
  <c r="R301" i="20"/>
  <c r="Q301" i="20"/>
  <c r="O301" i="20"/>
  <c r="N301" i="20"/>
  <c r="S300" i="20"/>
  <c r="R300" i="20"/>
  <c r="Q300" i="20"/>
  <c r="O300" i="20"/>
  <c r="N300" i="20"/>
  <c r="S298" i="20"/>
  <c r="R298" i="20"/>
  <c r="Q298" i="20"/>
  <c r="O298" i="20"/>
  <c r="N298" i="20"/>
  <c r="S297" i="20"/>
  <c r="R297" i="20"/>
  <c r="Q297" i="20"/>
  <c r="O297" i="20"/>
  <c r="N297" i="20"/>
  <c r="S296" i="20"/>
  <c r="R296" i="20"/>
  <c r="R294" i="20" s="1"/>
  <c r="Q296" i="20"/>
  <c r="O296" i="20"/>
  <c r="N296" i="20"/>
  <c r="S295" i="20"/>
  <c r="R295" i="20"/>
  <c r="Q295" i="20"/>
  <c r="O295" i="20"/>
  <c r="N295" i="20"/>
  <c r="N294" i="20" s="1"/>
  <c r="S293" i="20"/>
  <c r="R293" i="20"/>
  <c r="Q293" i="20"/>
  <c r="O293" i="20"/>
  <c r="N293" i="20"/>
  <c r="S292" i="20"/>
  <c r="R292" i="20"/>
  <c r="Q292" i="20"/>
  <c r="O292" i="20"/>
  <c r="N292" i="20"/>
  <c r="S291" i="20"/>
  <c r="R291" i="20"/>
  <c r="Q291" i="20"/>
  <c r="O291" i="20"/>
  <c r="N291" i="20"/>
  <c r="S290" i="20"/>
  <c r="R290" i="20"/>
  <c r="Q290" i="20"/>
  <c r="O290" i="20"/>
  <c r="N290" i="20"/>
  <c r="S289" i="20"/>
  <c r="R289" i="20"/>
  <c r="Q289" i="20"/>
  <c r="O289" i="20"/>
  <c r="N289" i="20"/>
  <c r="S288" i="20"/>
  <c r="R288" i="20"/>
  <c r="Q288" i="20"/>
  <c r="O288" i="20"/>
  <c r="N288" i="20"/>
  <c r="S287" i="20"/>
  <c r="R287" i="20"/>
  <c r="Q287" i="20"/>
  <c r="O287" i="20"/>
  <c r="N287" i="20"/>
  <c r="S286" i="20"/>
  <c r="R286" i="20"/>
  <c r="Q286" i="20"/>
  <c r="O286" i="20"/>
  <c r="N286" i="20"/>
  <c r="S285" i="20"/>
  <c r="R285" i="20"/>
  <c r="Q285" i="20"/>
  <c r="O285" i="20"/>
  <c r="N285" i="20"/>
  <c r="S284" i="20"/>
  <c r="R284" i="20"/>
  <c r="Q284" i="20"/>
  <c r="O284" i="20"/>
  <c r="N284" i="20"/>
  <c r="S283" i="20"/>
  <c r="R283" i="20"/>
  <c r="Q283" i="20"/>
  <c r="O283" i="20"/>
  <c r="N283" i="20"/>
  <c r="S282" i="20"/>
  <c r="R282" i="20"/>
  <c r="Q282" i="20"/>
  <c r="O282" i="20"/>
  <c r="N282" i="20"/>
  <c r="S281" i="20"/>
  <c r="R281" i="20"/>
  <c r="Q281" i="20"/>
  <c r="O281" i="20"/>
  <c r="N281" i="20"/>
  <c r="S280" i="20"/>
  <c r="R280" i="20"/>
  <c r="Q280" i="20"/>
  <c r="O280" i="20"/>
  <c r="N280" i="20"/>
  <c r="S279" i="20"/>
  <c r="R279" i="20"/>
  <c r="Q279" i="20"/>
  <c r="O279" i="20"/>
  <c r="N279" i="20"/>
  <c r="S278" i="20"/>
  <c r="R278" i="20"/>
  <c r="Q278" i="20"/>
  <c r="O278" i="20"/>
  <c r="N278" i="20"/>
  <c r="S277" i="20"/>
  <c r="R277" i="20"/>
  <c r="Q277" i="20"/>
  <c r="O277" i="20"/>
  <c r="N277" i="20"/>
  <c r="S276" i="20"/>
  <c r="R276" i="20"/>
  <c r="Q276" i="20"/>
  <c r="O276" i="20"/>
  <c r="N276" i="20"/>
  <c r="S275" i="20"/>
  <c r="R275" i="20"/>
  <c r="Q275" i="20"/>
  <c r="O275" i="20"/>
  <c r="N275" i="20"/>
  <c r="S274" i="20"/>
  <c r="R274" i="20"/>
  <c r="Q274" i="20"/>
  <c r="O274" i="20"/>
  <c r="N274" i="20"/>
  <c r="S273" i="20"/>
  <c r="R273" i="20"/>
  <c r="Q273" i="20"/>
  <c r="O273" i="20"/>
  <c r="N273" i="20"/>
  <c r="S272" i="20"/>
  <c r="R272" i="20"/>
  <c r="Q272" i="20"/>
  <c r="O272" i="20"/>
  <c r="N272" i="20"/>
  <c r="S271" i="20"/>
  <c r="R271" i="20"/>
  <c r="Q271" i="20"/>
  <c r="O271" i="20"/>
  <c r="N271" i="20"/>
  <c r="S270" i="20"/>
  <c r="R270" i="20"/>
  <c r="Q270" i="20"/>
  <c r="O270" i="20"/>
  <c r="N270" i="20"/>
  <c r="S269" i="20"/>
  <c r="R269" i="20"/>
  <c r="Q269" i="20"/>
  <c r="O269" i="20"/>
  <c r="N269" i="20"/>
  <c r="S268" i="20"/>
  <c r="R268" i="20"/>
  <c r="Q268" i="20"/>
  <c r="O268" i="20"/>
  <c r="N268" i="20"/>
  <c r="S267" i="20"/>
  <c r="R267" i="20"/>
  <c r="Q267" i="20"/>
  <c r="O267" i="20"/>
  <c r="N267" i="20"/>
  <c r="S266" i="20"/>
  <c r="R266" i="20"/>
  <c r="Q266" i="20"/>
  <c r="O266" i="20"/>
  <c r="N266" i="20"/>
  <c r="S265" i="20"/>
  <c r="R265" i="20"/>
  <c r="Q265" i="20"/>
  <c r="O265" i="20"/>
  <c r="N265" i="20"/>
  <c r="S264" i="20"/>
  <c r="R264" i="20"/>
  <c r="Q264" i="20"/>
  <c r="O264" i="20"/>
  <c r="N264" i="20"/>
  <c r="S263" i="20"/>
  <c r="R263" i="20"/>
  <c r="Q263" i="20"/>
  <c r="O263" i="20"/>
  <c r="N263" i="20"/>
  <c r="S262" i="20"/>
  <c r="R262" i="20"/>
  <c r="Q262" i="20"/>
  <c r="O262" i="20"/>
  <c r="N262" i="20"/>
  <c r="S261" i="20"/>
  <c r="R261" i="20"/>
  <c r="Q261" i="20"/>
  <c r="O261" i="20"/>
  <c r="N261" i="20"/>
  <c r="S260" i="20"/>
  <c r="R260" i="20"/>
  <c r="Q260" i="20"/>
  <c r="O260" i="20"/>
  <c r="N260" i="20"/>
  <c r="S259" i="20"/>
  <c r="R259" i="20"/>
  <c r="Q259" i="20"/>
  <c r="O259" i="20"/>
  <c r="N259" i="20"/>
  <c r="S257" i="20"/>
  <c r="R257" i="20"/>
  <c r="Q257" i="20"/>
  <c r="O257" i="20"/>
  <c r="N257" i="20"/>
  <c r="S256" i="20"/>
  <c r="R256" i="20"/>
  <c r="Q256" i="20"/>
  <c r="O256" i="20"/>
  <c r="N256" i="20"/>
  <c r="S255" i="20"/>
  <c r="R255" i="20"/>
  <c r="Q255" i="20"/>
  <c r="O255" i="20"/>
  <c r="N255" i="20"/>
  <c r="S254" i="20"/>
  <c r="R254" i="20"/>
  <c r="Q254" i="20"/>
  <c r="O254" i="20"/>
  <c r="N254" i="20"/>
  <c r="S253" i="20"/>
  <c r="R253" i="20"/>
  <c r="Q253" i="20"/>
  <c r="O253" i="20"/>
  <c r="N253" i="20"/>
  <c r="S252" i="20"/>
  <c r="R252" i="20"/>
  <c r="Q252" i="20"/>
  <c r="S251" i="20"/>
  <c r="R251" i="20"/>
  <c r="Q251" i="20"/>
  <c r="O251" i="20"/>
  <c r="N251" i="20"/>
  <c r="S250" i="20"/>
  <c r="R250" i="20"/>
  <c r="Q250" i="20"/>
  <c r="O250" i="20"/>
  <c r="N250" i="20"/>
  <c r="S249" i="20"/>
  <c r="R249" i="20"/>
  <c r="Q249" i="20"/>
  <c r="O249" i="20"/>
  <c r="N249" i="20"/>
  <c r="S248" i="20"/>
  <c r="R248" i="20"/>
  <c r="Q248" i="20"/>
  <c r="O248" i="20"/>
  <c r="N248" i="20"/>
  <c r="S247" i="20"/>
  <c r="R247" i="20"/>
  <c r="Q247" i="20"/>
  <c r="O247" i="20"/>
  <c r="N247" i="20"/>
  <c r="S246" i="20"/>
  <c r="R246" i="20"/>
  <c r="Q246" i="20"/>
  <c r="O246" i="20"/>
  <c r="N246" i="20"/>
  <c r="S245" i="20"/>
  <c r="R245" i="20"/>
  <c r="Q245" i="20"/>
  <c r="O245" i="20"/>
  <c r="N245" i="20"/>
  <c r="S244" i="20"/>
  <c r="S243" i="20" s="1"/>
  <c r="R244" i="20"/>
  <c r="Q244" i="20"/>
  <c r="O244" i="20"/>
  <c r="N244" i="20"/>
  <c r="S242" i="20"/>
  <c r="R242" i="20"/>
  <c r="Q242" i="20"/>
  <c r="O242" i="20"/>
  <c r="N242" i="20"/>
  <c r="S241" i="20"/>
  <c r="R241" i="20"/>
  <c r="R229" i="20" s="1"/>
  <c r="Q241" i="20"/>
  <c r="O241" i="20"/>
  <c r="N241" i="20"/>
  <c r="S240" i="20"/>
  <c r="R240" i="20"/>
  <c r="Q240" i="20"/>
  <c r="O240" i="20"/>
  <c r="N240" i="20"/>
  <c r="S239" i="20"/>
  <c r="R239" i="20"/>
  <c r="Q239" i="20"/>
  <c r="O239" i="20"/>
  <c r="N239" i="20"/>
  <c r="S238" i="20"/>
  <c r="R238" i="20"/>
  <c r="Q238" i="20"/>
  <c r="N238" i="20"/>
  <c r="H238" i="20"/>
  <c r="O238" i="20" s="1"/>
  <c r="G238" i="20"/>
  <c r="S237" i="20"/>
  <c r="R237" i="20"/>
  <c r="Q237" i="20"/>
  <c r="O237" i="20"/>
  <c r="N237" i="20"/>
  <c r="S236" i="20"/>
  <c r="R236" i="20"/>
  <c r="Q236" i="20"/>
  <c r="O236" i="20"/>
  <c r="N236" i="20"/>
  <c r="S235" i="20"/>
  <c r="R235" i="20"/>
  <c r="Q235" i="20"/>
  <c r="O235" i="20"/>
  <c r="N235" i="20"/>
  <c r="S234" i="20"/>
  <c r="R234" i="20"/>
  <c r="Q234" i="20"/>
  <c r="O234" i="20"/>
  <c r="N234" i="20"/>
  <c r="S233" i="20"/>
  <c r="R233" i="20"/>
  <c r="Q233" i="20"/>
  <c r="O233" i="20"/>
  <c r="N233" i="20"/>
  <c r="S232" i="20"/>
  <c r="R232" i="20"/>
  <c r="Q232" i="20"/>
  <c r="O232" i="20"/>
  <c r="N232" i="20"/>
  <c r="S231" i="20"/>
  <c r="R231" i="20"/>
  <c r="Q231" i="20"/>
  <c r="O231" i="20"/>
  <c r="N231" i="20"/>
  <c r="N229" i="20" s="1"/>
  <c r="S230" i="20"/>
  <c r="R230" i="20"/>
  <c r="Q230" i="20"/>
  <c r="Q229" i="20" s="1"/>
  <c r="O230" i="20"/>
  <c r="O229" i="20" s="1"/>
  <c r="N230" i="20"/>
  <c r="S227" i="20"/>
  <c r="R227" i="20"/>
  <c r="Q227" i="20"/>
  <c r="O227" i="20"/>
  <c r="N227" i="20"/>
  <c r="N225" i="20" s="1"/>
  <c r="S226" i="20"/>
  <c r="R226" i="20"/>
  <c r="Q226" i="20"/>
  <c r="Q225" i="20" s="1"/>
  <c r="O226" i="20"/>
  <c r="O225" i="20" s="1"/>
  <c r="N226" i="20"/>
  <c r="S225" i="20"/>
  <c r="R225" i="20"/>
  <c r="S224" i="20"/>
  <c r="O224" i="20"/>
  <c r="N224" i="20"/>
  <c r="S223" i="20"/>
  <c r="O223" i="20"/>
  <c r="N223" i="20"/>
  <c r="S222" i="20"/>
  <c r="O222" i="20"/>
  <c r="N222" i="20"/>
  <c r="S221" i="20"/>
  <c r="O221" i="20"/>
  <c r="N221" i="20"/>
  <c r="S220" i="20"/>
  <c r="O220" i="20"/>
  <c r="N220" i="20"/>
  <c r="E220" i="20"/>
  <c r="S219" i="20"/>
  <c r="O219" i="20"/>
  <c r="N219" i="20"/>
  <c r="N218" i="20" s="1"/>
  <c r="S218" i="20"/>
  <c r="S217" i="20"/>
  <c r="R217" i="20"/>
  <c r="Q217" i="20"/>
  <c r="O217" i="20"/>
  <c r="N217" i="20"/>
  <c r="S216" i="20"/>
  <c r="R216" i="20"/>
  <c r="Q216" i="20"/>
  <c r="O216" i="20"/>
  <c r="N216" i="20"/>
  <c r="S215" i="20"/>
  <c r="R215" i="20"/>
  <c r="Q215" i="20"/>
  <c r="O215" i="20"/>
  <c r="N215" i="20"/>
  <c r="S214" i="20"/>
  <c r="R214" i="20"/>
  <c r="Q214" i="20"/>
  <c r="O214" i="20"/>
  <c r="N214" i="20"/>
  <c r="S213" i="20"/>
  <c r="R213" i="20"/>
  <c r="Q213" i="20"/>
  <c r="O213" i="20"/>
  <c r="N213" i="20"/>
  <c r="S212" i="20"/>
  <c r="R212" i="20"/>
  <c r="Q212" i="20"/>
  <c r="O212" i="20"/>
  <c r="N212" i="20"/>
  <c r="S211" i="20"/>
  <c r="R211" i="20"/>
  <c r="Q211" i="20"/>
  <c r="O211" i="20"/>
  <c r="N211" i="20"/>
  <c r="S210" i="20"/>
  <c r="R210" i="20"/>
  <c r="Q210" i="20"/>
  <c r="O210" i="20"/>
  <c r="O208" i="20" s="1"/>
  <c r="N210" i="20"/>
  <c r="S209" i="20"/>
  <c r="R209" i="20"/>
  <c r="R208" i="20" s="1"/>
  <c r="Q209" i="20"/>
  <c r="O209" i="20"/>
  <c r="N209" i="20"/>
  <c r="S207" i="20"/>
  <c r="R207" i="20"/>
  <c r="Q207" i="20"/>
  <c r="O207" i="20"/>
  <c r="N207" i="20"/>
  <c r="S206" i="20"/>
  <c r="R206" i="20"/>
  <c r="Q206" i="20"/>
  <c r="O206" i="20"/>
  <c r="N206" i="20"/>
  <c r="S205" i="20"/>
  <c r="R205" i="20"/>
  <c r="Q205" i="20"/>
  <c r="O205" i="20"/>
  <c r="N205" i="20"/>
  <c r="S204" i="20"/>
  <c r="R204" i="20"/>
  <c r="Q204" i="20"/>
  <c r="O204" i="20"/>
  <c r="N204" i="20"/>
  <c r="S203" i="20"/>
  <c r="R203" i="20"/>
  <c r="Q203" i="20"/>
  <c r="O203" i="20"/>
  <c r="N203" i="20"/>
  <c r="S202" i="20"/>
  <c r="R202" i="20"/>
  <c r="Q202" i="20"/>
  <c r="O202" i="20"/>
  <c r="N202" i="20"/>
  <c r="S201" i="20"/>
  <c r="R201" i="20"/>
  <c r="Q201" i="20"/>
  <c r="O201" i="20"/>
  <c r="N201" i="20"/>
  <c r="S200" i="20"/>
  <c r="R200" i="20"/>
  <c r="Q200" i="20"/>
  <c r="O200" i="20"/>
  <c r="N200" i="20"/>
  <c r="S199" i="20"/>
  <c r="R199" i="20"/>
  <c r="Q199" i="20"/>
  <c r="O199" i="20"/>
  <c r="N199" i="20"/>
  <c r="S198" i="20"/>
  <c r="R198" i="20"/>
  <c r="Q198" i="20"/>
  <c r="O198" i="20"/>
  <c r="N198" i="20"/>
  <c r="S197" i="20"/>
  <c r="R197" i="20"/>
  <c r="Q197" i="20"/>
  <c r="O197" i="20"/>
  <c r="N197" i="20"/>
  <c r="S196" i="20"/>
  <c r="R196" i="20"/>
  <c r="Q196" i="20"/>
  <c r="O196" i="20"/>
  <c r="N196" i="20"/>
  <c r="S195" i="20"/>
  <c r="R195" i="20"/>
  <c r="Q195" i="20"/>
  <c r="O195" i="20"/>
  <c r="N195" i="20"/>
  <c r="S194" i="20"/>
  <c r="R194" i="20"/>
  <c r="Q194" i="20"/>
  <c r="O194" i="20"/>
  <c r="N194" i="20"/>
  <c r="S193" i="20"/>
  <c r="R193" i="20"/>
  <c r="Q193" i="20"/>
  <c r="O193" i="20"/>
  <c r="N193" i="20"/>
  <c r="S192" i="20"/>
  <c r="R192" i="20"/>
  <c r="Q192" i="20"/>
  <c r="O192" i="20"/>
  <c r="N192" i="20"/>
  <c r="S191" i="20"/>
  <c r="R191" i="20"/>
  <c r="Q191" i="20"/>
  <c r="O191" i="20"/>
  <c r="N191" i="20"/>
  <c r="S190" i="20"/>
  <c r="R190" i="20"/>
  <c r="Q190" i="20"/>
  <c r="O190" i="20"/>
  <c r="N190" i="20"/>
  <c r="S189" i="20"/>
  <c r="R189" i="20"/>
  <c r="Q189" i="20"/>
  <c r="O189" i="20"/>
  <c r="N189" i="20"/>
  <c r="S188" i="20"/>
  <c r="R188" i="20"/>
  <c r="Q188" i="20"/>
  <c r="O188" i="20"/>
  <c r="N188" i="20"/>
  <c r="S187" i="20"/>
  <c r="R187" i="20"/>
  <c r="Q187" i="20"/>
  <c r="O187" i="20"/>
  <c r="N187" i="20"/>
  <c r="S186" i="20"/>
  <c r="R186" i="20"/>
  <c r="Q186" i="20"/>
  <c r="Q182" i="20" s="1"/>
  <c r="O186" i="20"/>
  <c r="N186" i="20"/>
  <c r="S185" i="20"/>
  <c r="R185" i="20"/>
  <c r="Q185" i="20"/>
  <c r="O185" i="20"/>
  <c r="N185" i="20"/>
  <c r="S184" i="20"/>
  <c r="R184" i="20"/>
  <c r="Q184" i="20"/>
  <c r="O184" i="20"/>
  <c r="N184" i="20"/>
  <c r="S183" i="20"/>
  <c r="R183" i="20"/>
  <c r="R182" i="20" s="1"/>
  <c r="R181" i="20" s="1"/>
  <c r="Q183" i="20"/>
  <c r="O183" i="20"/>
  <c r="N183" i="20"/>
  <c r="O182" i="20"/>
  <c r="S180" i="20"/>
  <c r="R180" i="20"/>
  <c r="Q180" i="20"/>
  <c r="O180" i="20"/>
  <c r="N180" i="20"/>
  <c r="S179" i="20"/>
  <c r="R179" i="20"/>
  <c r="R178" i="20" s="1"/>
  <c r="Q179" i="20"/>
  <c r="O179" i="20"/>
  <c r="N179" i="20"/>
  <c r="N178" i="20" s="1"/>
  <c r="S178" i="20"/>
  <c r="Q178" i="20"/>
  <c r="O178" i="20"/>
  <c r="S177" i="20"/>
  <c r="R177" i="20"/>
  <c r="Q177" i="20"/>
  <c r="O177" i="20"/>
  <c r="N177" i="20"/>
  <c r="S176" i="20"/>
  <c r="R176" i="20"/>
  <c r="Q176" i="20"/>
  <c r="O176" i="20"/>
  <c r="N176" i="20"/>
  <c r="S175" i="20"/>
  <c r="R175" i="20"/>
  <c r="R173" i="20" s="1"/>
  <c r="Q175" i="20"/>
  <c r="O175" i="20"/>
  <c r="N175" i="20"/>
  <c r="S174" i="20"/>
  <c r="R174" i="20"/>
  <c r="Q174" i="20"/>
  <c r="Q173" i="20" s="1"/>
  <c r="O174" i="20"/>
  <c r="O173" i="20" s="1"/>
  <c r="N174" i="20"/>
  <c r="N173" i="20"/>
  <c r="S172" i="20"/>
  <c r="R172" i="20"/>
  <c r="Q172" i="20"/>
  <c r="O172" i="20"/>
  <c r="N172" i="20"/>
  <c r="S171" i="20"/>
  <c r="R171" i="20"/>
  <c r="Q171" i="20"/>
  <c r="O171" i="20"/>
  <c r="N171" i="20"/>
  <c r="S170" i="20"/>
  <c r="R170" i="20"/>
  <c r="Q170" i="20"/>
  <c r="Q168" i="20" s="1"/>
  <c r="O170" i="20"/>
  <c r="O168" i="20" s="1"/>
  <c r="N170" i="20"/>
  <c r="S169" i="20"/>
  <c r="R169" i="20"/>
  <c r="R168" i="20" s="1"/>
  <c r="Q169" i="20"/>
  <c r="O169" i="20"/>
  <c r="N169" i="20"/>
  <c r="N168" i="20" s="1"/>
  <c r="S167" i="20"/>
  <c r="R167" i="20"/>
  <c r="Q167" i="20"/>
  <c r="O167" i="20"/>
  <c r="N167" i="20"/>
  <c r="S166" i="20"/>
  <c r="R166" i="20"/>
  <c r="Q166" i="20"/>
  <c r="O166" i="20"/>
  <c r="N166" i="20"/>
  <c r="S165" i="20"/>
  <c r="R165" i="20"/>
  <c r="Q165" i="20"/>
  <c r="O165" i="20"/>
  <c r="N165" i="20"/>
  <c r="S164" i="20"/>
  <c r="R164" i="20"/>
  <c r="Q164" i="20"/>
  <c r="O164" i="20"/>
  <c r="N164" i="20"/>
  <c r="S163" i="20"/>
  <c r="R163" i="20"/>
  <c r="Q163" i="20"/>
  <c r="O163" i="20"/>
  <c r="N163" i="20"/>
  <c r="S162" i="20"/>
  <c r="R162" i="20"/>
  <c r="Q162" i="20"/>
  <c r="O162" i="20"/>
  <c r="N162" i="20"/>
  <c r="S161" i="20"/>
  <c r="R161" i="20"/>
  <c r="Q161" i="20"/>
  <c r="O161" i="20"/>
  <c r="N161" i="20"/>
  <c r="S160" i="20"/>
  <c r="R160" i="20"/>
  <c r="Q160" i="20"/>
  <c r="Q159" i="20" s="1"/>
  <c r="Q158" i="20" s="1"/>
  <c r="O160" i="20"/>
  <c r="O159" i="20" s="1"/>
  <c r="O158" i="20" s="1"/>
  <c r="N160" i="20"/>
  <c r="R159" i="20"/>
  <c r="R158" i="20" s="1"/>
  <c r="S157" i="20"/>
  <c r="R157" i="20"/>
  <c r="Q157" i="20"/>
  <c r="O157" i="20"/>
  <c r="N157" i="20"/>
  <c r="S156" i="20"/>
  <c r="R156" i="20"/>
  <c r="Q156" i="20"/>
  <c r="O156" i="20"/>
  <c r="N156" i="20"/>
  <c r="S155" i="20"/>
  <c r="R155" i="20"/>
  <c r="Q155" i="20"/>
  <c r="O155" i="20"/>
  <c r="N155" i="20"/>
  <c r="S154" i="20"/>
  <c r="R154" i="20"/>
  <c r="Q154" i="20"/>
  <c r="O154" i="20"/>
  <c r="N154" i="20"/>
  <c r="S153" i="20"/>
  <c r="O153" i="20"/>
  <c r="O151" i="20" s="1"/>
  <c r="N153" i="20"/>
  <c r="S152" i="20"/>
  <c r="S151" i="20" s="1"/>
  <c r="O152" i="20"/>
  <c r="N152" i="20"/>
  <c r="N151" i="20" s="1"/>
  <c r="E152" i="20"/>
  <c r="E153" i="20" s="1"/>
  <c r="S150" i="20"/>
  <c r="R150" i="20"/>
  <c r="Q150" i="20"/>
  <c r="O150" i="20"/>
  <c r="N150" i="20"/>
  <c r="S149" i="20"/>
  <c r="R149" i="20"/>
  <c r="Q149" i="20"/>
  <c r="O149" i="20"/>
  <c r="N149" i="20"/>
  <c r="S148" i="20"/>
  <c r="R148" i="20"/>
  <c r="Q148" i="20"/>
  <c r="O148" i="20"/>
  <c r="N148" i="20"/>
  <c r="S147" i="20"/>
  <c r="R147" i="20"/>
  <c r="Q147" i="20"/>
  <c r="O147" i="20"/>
  <c r="N147" i="20"/>
  <c r="S146" i="20"/>
  <c r="O146" i="20"/>
  <c r="N146" i="20"/>
  <c r="S145" i="20"/>
  <c r="R145" i="20"/>
  <c r="Q145" i="20"/>
  <c r="O145" i="20"/>
  <c r="N145" i="20"/>
  <c r="E145" i="20"/>
  <c r="S144" i="20"/>
  <c r="O144" i="20"/>
  <c r="N144" i="20"/>
  <c r="N143" i="20" s="1"/>
  <c r="N142" i="20" s="1"/>
  <c r="O143" i="20"/>
  <c r="O142" i="20" s="1"/>
  <c r="S141" i="20"/>
  <c r="R141" i="20"/>
  <c r="Q141" i="20"/>
  <c r="N141" i="20"/>
  <c r="H141" i="20"/>
  <c r="O141" i="20" s="1"/>
  <c r="G141" i="20"/>
  <c r="S140" i="20"/>
  <c r="R140" i="20"/>
  <c r="R134" i="20" s="1"/>
  <c r="Q140" i="20"/>
  <c r="O140" i="20"/>
  <c r="N140" i="20"/>
  <c r="S139" i="20"/>
  <c r="R139" i="20"/>
  <c r="Q139" i="20"/>
  <c r="Q134" i="20" s="1"/>
  <c r="O139" i="20"/>
  <c r="N139" i="20"/>
  <c r="S138" i="20"/>
  <c r="R138" i="20"/>
  <c r="Q138" i="20"/>
  <c r="N138" i="20"/>
  <c r="G138" i="20"/>
  <c r="H138" i="20" s="1"/>
  <c r="O138" i="20" s="1"/>
  <c r="S137" i="20"/>
  <c r="R137" i="20"/>
  <c r="Q137" i="20"/>
  <c r="H137" i="20"/>
  <c r="O137" i="20" s="1"/>
  <c r="G137" i="20"/>
  <c r="N137" i="20" s="1"/>
  <c r="S136" i="20"/>
  <c r="R136" i="20"/>
  <c r="Q136" i="20"/>
  <c r="G136" i="20"/>
  <c r="S135" i="20"/>
  <c r="S134" i="20" s="1"/>
  <c r="R135" i="20"/>
  <c r="Q135" i="20"/>
  <c r="O135" i="20"/>
  <c r="N135" i="20"/>
  <c r="S133" i="20"/>
  <c r="R133" i="20"/>
  <c r="Q133" i="20"/>
  <c r="Q122" i="20" s="1"/>
  <c r="S132" i="20"/>
  <c r="R132" i="20"/>
  <c r="Q132" i="20"/>
  <c r="S131" i="20"/>
  <c r="R131" i="20"/>
  <c r="Q131" i="20"/>
  <c r="O131" i="20"/>
  <c r="N131" i="20"/>
  <c r="H131" i="20"/>
  <c r="G131" i="20"/>
  <c r="S130" i="20"/>
  <c r="R130" i="20"/>
  <c r="Q130" i="20"/>
  <c r="S129" i="20"/>
  <c r="R129" i="20"/>
  <c r="Q129" i="20"/>
  <c r="S128" i="20"/>
  <c r="R128" i="20"/>
  <c r="Q128" i="20"/>
  <c r="S127" i="20"/>
  <c r="R127" i="20"/>
  <c r="Q127" i="20"/>
  <c r="S126" i="20"/>
  <c r="R126" i="20"/>
  <c r="Q126" i="20"/>
  <c r="S125" i="20"/>
  <c r="R125" i="20"/>
  <c r="Q125" i="20"/>
  <c r="S124" i="20"/>
  <c r="R124" i="20"/>
  <c r="Q124" i="20"/>
  <c r="O124" i="20"/>
  <c r="G124" i="20"/>
  <c r="N124" i="20" s="1"/>
  <c r="S123" i="20"/>
  <c r="R123" i="20"/>
  <c r="R122" i="20" s="1"/>
  <c r="Q123" i="20"/>
  <c r="O123" i="20"/>
  <c r="N123" i="20"/>
  <c r="H123" i="20"/>
  <c r="G123" i="20"/>
  <c r="S121" i="20"/>
  <c r="R121" i="20"/>
  <c r="Q121" i="20"/>
  <c r="N121" i="20"/>
  <c r="G121" i="20"/>
  <c r="H121" i="20" s="1"/>
  <c r="O121" i="20" s="1"/>
  <c r="S120" i="20"/>
  <c r="R120" i="20"/>
  <c r="Q120" i="20"/>
  <c r="N120" i="20"/>
  <c r="H120" i="20"/>
  <c r="O120" i="20" s="1"/>
  <c r="S119" i="20"/>
  <c r="R119" i="20"/>
  <c r="Q119" i="20"/>
  <c r="H119" i="20"/>
  <c r="O119" i="20" s="1"/>
  <c r="G119" i="20"/>
  <c r="N119" i="20" s="1"/>
  <c r="S118" i="20"/>
  <c r="R118" i="20"/>
  <c r="Q118" i="20"/>
  <c r="G118" i="20"/>
  <c r="S117" i="20"/>
  <c r="R117" i="20"/>
  <c r="Q117" i="20"/>
  <c r="N117" i="20"/>
  <c r="H117" i="20"/>
  <c r="O117" i="20" s="1"/>
  <c r="G117" i="20"/>
  <c r="S116" i="20"/>
  <c r="R116" i="20"/>
  <c r="Q116" i="20"/>
  <c r="G116" i="20"/>
  <c r="N116" i="20" s="1"/>
  <c r="S115" i="20"/>
  <c r="R115" i="20"/>
  <c r="Q115" i="20"/>
  <c r="G115" i="20"/>
  <c r="N115" i="20" s="1"/>
  <c r="S114" i="20"/>
  <c r="R114" i="20"/>
  <c r="Q114" i="20"/>
  <c r="O114" i="20"/>
  <c r="N114" i="20"/>
  <c r="H114" i="20"/>
  <c r="G114" i="20"/>
  <c r="S113" i="20"/>
  <c r="R113" i="20"/>
  <c r="Q113" i="20"/>
  <c r="N113" i="20"/>
  <c r="G113" i="20"/>
  <c r="H113" i="20" s="1"/>
  <c r="O113" i="20" s="1"/>
  <c r="S112" i="20"/>
  <c r="R112" i="20"/>
  <c r="Q112" i="20"/>
  <c r="N112" i="20"/>
  <c r="G112" i="20"/>
  <c r="H112" i="20" s="1"/>
  <c r="O112" i="20" s="1"/>
  <c r="S111" i="20"/>
  <c r="R111" i="20"/>
  <c r="Q111" i="20"/>
  <c r="O111" i="20"/>
  <c r="N111" i="20"/>
  <c r="H111" i="20"/>
  <c r="G111" i="20"/>
  <c r="S110" i="20"/>
  <c r="R110" i="20"/>
  <c r="Q110" i="20"/>
  <c r="N110" i="20"/>
  <c r="G110" i="20"/>
  <c r="H110" i="20" s="1"/>
  <c r="O110" i="20" s="1"/>
  <c r="S108" i="20"/>
  <c r="R108" i="20"/>
  <c r="Q108" i="20"/>
  <c r="S107" i="20"/>
  <c r="R107" i="20"/>
  <c r="Q107" i="20"/>
  <c r="N107" i="20"/>
  <c r="H107" i="20"/>
  <c r="O107" i="20" s="1"/>
  <c r="G107" i="20"/>
  <c r="S106" i="20"/>
  <c r="R106" i="20"/>
  <c r="Q106" i="20"/>
  <c r="G106" i="20"/>
  <c r="N106" i="20" s="1"/>
  <c r="S105" i="20"/>
  <c r="R105" i="20"/>
  <c r="Q105" i="20"/>
  <c r="G105" i="20"/>
  <c r="N105" i="20" s="1"/>
  <c r="S104" i="20"/>
  <c r="R104" i="20"/>
  <c r="Q104" i="20"/>
  <c r="O104" i="20"/>
  <c r="N104" i="20"/>
  <c r="H104" i="20"/>
  <c r="G104" i="20"/>
  <c r="S103" i="20"/>
  <c r="R103" i="20"/>
  <c r="Q103" i="20"/>
  <c r="Q97" i="20" s="1"/>
  <c r="O103" i="20"/>
  <c r="N103" i="20"/>
  <c r="S102" i="20"/>
  <c r="R102" i="20"/>
  <c r="Q102" i="20"/>
  <c r="N102" i="20"/>
  <c r="G102" i="20"/>
  <c r="H102" i="20" s="1"/>
  <c r="O102" i="20" s="1"/>
  <c r="S101" i="20"/>
  <c r="R101" i="20"/>
  <c r="Q101" i="20"/>
  <c r="H101" i="20"/>
  <c r="O101" i="20" s="1"/>
  <c r="G101" i="20"/>
  <c r="N101" i="20" s="1"/>
  <c r="S100" i="20"/>
  <c r="R100" i="20"/>
  <c r="Q100" i="20"/>
  <c r="G100" i="20"/>
  <c r="S99" i="20"/>
  <c r="R99" i="20"/>
  <c r="Q99" i="20"/>
  <c r="S98" i="20"/>
  <c r="R98" i="20"/>
  <c r="Q98" i="20"/>
  <c r="G98" i="20"/>
  <c r="S95" i="20"/>
  <c r="R95" i="20"/>
  <c r="Q95" i="20"/>
  <c r="N95" i="20"/>
  <c r="H95" i="20"/>
  <c r="O95" i="20" s="1"/>
  <c r="S94" i="20"/>
  <c r="R94" i="20"/>
  <c r="Q94" i="20"/>
  <c r="S93" i="20"/>
  <c r="R93" i="20"/>
  <c r="Q93" i="20"/>
  <c r="N93" i="20"/>
  <c r="H93" i="20"/>
  <c r="O93" i="20" s="1"/>
  <c r="S92" i="20"/>
  <c r="R92" i="20"/>
  <c r="Q92" i="20"/>
  <c r="S91" i="20"/>
  <c r="R91" i="20"/>
  <c r="Q91" i="20"/>
  <c r="N91" i="20"/>
  <c r="H91" i="20"/>
  <c r="O91" i="20" s="1"/>
  <c r="S90" i="20"/>
  <c r="R90" i="20"/>
  <c r="Q90" i="20"/>
  <c r="O90" i="20"/>
  <c r="N90" i="20"/>
  <c r="H90" i="20"/>
  <c r="S89" i="20"/>
  <c r="R89" i="20"/>
  <c r="Q89" i="20"/>
  <c r="O89" i="20"/>
  <c r="N89" i="20"/>
  <c r="H89" i="20"/>
  <c r="S88" i="20"/>
  <c r="R88" i="20"/>
  <c r="Q88" i="20"/>
  <c r="N88" i="20"/>
  <c r="H88" i="20"/>
  <c r="O88" i="20" s="1"/>
  <c r="S87" i="20"/>
  <c r="R87" i="20"/>
  <c r="Q87" i="20"/>
  <c r="N87" i="20"/>
  <c r="H87" i="20"/>
  <c r="O87" i="20" s="1"/>
  <c r="S86" i="20"/>
  <c r="R86" i="20"/>
  <c r="Q86" i="20"/>
  <c r="O86" i="20"/>
  <c r="N86" i="20"/>
  <c r="S85" i="20"/>
  <c r="R85" i="20"/>
  <c r="Q85" i="20"/>
  <c r="O85" i="20"/>
  <c r="N85" i="20"/>
  <c r="E85" i="20"/>
  <c r="S84" i="20"/>
  <c r="R84" i="20"/>
  <c r="Q84" i="20"/>
  <c r="O84" i="20"/>
  <c r="N84" i="20"/>
  <c r="S83" i="20"/>
  <c r="R83" i="20"/>
  <c r="Q83" i="20"/>
  <c r="O83" i="20"/>
  <c r="N83" i="20"/>
  <c r="S82" i="20"/>
  <c r="R82" i="20"/>
  <c r="Q82" i="20"/>
  <c r="O82" i="20"/>
  <c r="N82" i="20"/>
  <c r="Q81" i="20"/>
  <c r="S80" i="20"/>
  <c r="R80" i="20"/>
  <c r="Q80" i="20"/>
  <c r="P80" i="20"/>
  <c r="T80" i="20" s="1"/>
  <c r="O80" i="20"/>
  <c r="N80" i="20"/>
  <c r="H80" i="20"/>
  <c r="J80" i="20" s="1"/>
  <c r="S79" i="20"/>
  <c r="R79" i="20"/>
  <c r="Q79" i="20"/>
  <c r="O79" i="20"/>
  <c r="N79" i="20"/>
  <c r="H79" i="20"/>
  <c r="S78" i="20"/>
  <c r="R78" i="20"/>
  <c r="Q78" i="20"/>
  <c r="N78" i="20"/>
  <c r="H78" i="20"/>
  <c r="O78" i="20" s="1"/>
  <c r="S77" i="20"/>
  <c r="R77" i="20"/>
  <c r="Q77" i="20"/>
  <c r="N77" i="20"/>
  <c r="H77" i="20"/>
  <c r="O77" i="20" s="1"/>
  <c r="S76" i="20"/>
  <c r="R76" i="20"/>
  <c r="Q76" i="20"/>
  <c r="G76" i="20"/>
  <c r="S75" i="20"/>
  <c r="R75" i="20"/>
  <c r="Q75" i="20"/>
  <c r="Q64" i="20" s="1"/>
  <c r="Q63" i="20" s="1"/>
  <c r="N75" i="20"/>
  <c r="H75" i="20"/>
  <c r="O75" i="20" s="1"/>
  <c r="S74" i="20"/>
  <c r="R74" i="20"/>
  <c r="Q74" i="20"/>
  <c r="O74" i="20"/>
  <c r="N74" i="20"/>
  <c r="H74" i="20"/>
  <c r="S73" i="20"/>
  <c r="R73" i="20"/>
  <c r="Q73" i="20"/>
  <c r="O73" i="20"/>
  <c r="N73" i="20"/>
  <c r="G73" i="20"/>
  <c r="H73" i="20" s="1"/>
  <c r="S72" i="20"/>
  <c r="R72" i="20"/>
  <c r="Q72" i="20"/>
  <c r="O72" i="20"/>
  <c r="N72" i="20"/>
  <c r="H72" i="20"/>
  <c r="S71" i="20"/>
  <c r="R71" i="20"/>
  <c r="Q71" i="20"/>
  <c r="N71" i="20"/>
  <c r="H71" i="20"/>
  <c r="O71" i="20" s="1"/>
  <c r="S70" i="20"/>
  <c r="R70" i="20"/>
  <c r="Q70" i="20"/>
  <c r="O70" i="20"/>
  <c r="N70" i="20"/>
  <c r="S69" i="20"/>
  <c r="R69" i="20"/>
  <c r="Q69" i="20"/>
  <c r="O69" i="20"/>
  <c r="N69" i="20"/>
  <c r="E69" i="20"/>
  <c r="S68" i="20"/>
  <c r="R68" i="20"/>
  <c r="Q68" i="20"/>
  <c r="O68" i="20"/>
  <c r="N68" i="20"/>
  <c r="S67" i="20"/>
  <c r="R67" i="20"/>
  <c r="Q67" i="20"/>
  <c r="O67" i="20"/>
  <c r="N67" i="20"/>
  <c r="S66" i="20"/>
  <c r="R66" i="20"/>
  <c r="Q66" i="20"/>
  <c r="O66" i="20"/>
  <c r="N66" i="20"/>
  <c r="S65" i="20"/>
  <c r="R65" i="20"/>
  <c r="Q65" i="20"/>
  <c r="O65" i="20"/>
  <c r="N65" i="20"/>
  <c r="S62" i="20"/>
  <c r="R62" i="20"/>
  <c r="Q62" i="20"/>
  <c r="O62" i="20"/>
  <c r="N62" i="20"/>
  <c r="S61" i="20"/>
  <c r="R61" i="20"/>
  <c r="Q61" i="20"/>
  <c r="O61" i="20"/>
  <c r="N61" i="20"/>
  <c r="S60" i="20"/>
  <c r="R60" i="20"/>
  <c r="Q60" i="20"/>
  <c r="O60" i="20"/>
  <c r="N60" i="20"/>
  <c r="S59" i="20"/>
  <c r="R59" i="20"/>
  <c r="O59" i="20"/>
  <c r="N59" i="20"/>
  <c r="E59" i="20"/>
  <c r="Q59" i="20" s="1"/>
  <c r="S58" i="20"/>
  <c r="R58" i="20"/>
  <c r="Q58" i="20"/>
  <c r="O58" i="20"/>
  <c r="N58" i="20"/>
  <c r="N54" i="20" s="1"/>
  <c r="N53" i="20" s="1"/>
  <c r="S57" i="20"/>
  <c r="R57" i="20"/>
  <c r="Q57" i="20"/>
  <c r="O57" i="20"/>
  <c r="N57" i="20"/>
  <c r="S56" i="20"/>
  <c r="R56" i="20"/>
  <c r="Q56" i="20"/>
  <c r="O56" i="20"/>
  <c r="N56" i="20"/>
  <c r="S55" i="20"/>
  <c r="R55" i="20"/>
  <c r="Q55" i="20"/>
  <c r="O55" i="20"/>
  <c r="N55" i="20"/>
  <c r="S52" i="20"/>
  <c r="R52" i="20"/>
  <c r="Q52" i="20"/>
  <c r="O52" i="20"/>
  <c r="N52" i="20"/>
  <c r="E52" i="20"/>
  <c r="S51" i="20"/>
  <c r="R51" i="20"/>
  <c r="Q51" i="20"/>
  <c r="O51" i="20"/>
  <c r="N51" i="20"/>
  <c r="S50" i="20"/>
  <c r="R50" i="20"/>
  <c r="Q50" i="20"/>
  <c r="O50" i="20"/>
  <c r="N50" i="20"/>
  <c r="S49" i="20"/>
  <c r="R49" i="20"/>
  <c r="Q49" i="20"/>
  <c r="O49" i="20"/>
  <c r="N49" i="20"/>
  <c r="S48" i="20"/>
  <c r="R48" i="20"/>
  <c r="Q48" i="20"/>
  <c r="O48" i="20"/>
  <c r="N48" i="20"/>
  <c r="S47" i="20"/>
  <c r="R47" i="20"/>
  <c r="Q47" i="20"/>
  <c r="O47" i="20"/>
  <c r="N47" i="20"/>
  <c r="S46" i="20"/>
  <c r="R46" i="20"/>
  <c r="Q46" i="20"/>
  <c r="O46" i="20"/>
  <c r="N46" i="20"/>
  <c r="S45" i="20"/>
  <c r="R45" i="20"/>
  <c r="Q45" i="20"/>
  <c r="O45" i="20"/>
  <c r="N45" i="20"/>
  <c r="S44" i="20"/>
  <c r="Q44" i="20"/>
  <c r="S43" i="20"/>
  <c r="R43" i="20"/>
  <c r="Q43" i="20"/>
  <c r="O43" i="20"/>
  <c r="N43" i="20"/>
  <c r="S42" i="20"/>
  <c r="R42" i="20"/>
  <c r="Q42" i="20"/>
  <c r="O42" i="20"/>
  <c r="N42" i="20"/>
  <c r="S41" i="20"/>
  <c r="R41" i="20"/>
  <c r="Q41" i="20"/>
  <c r="O41" i="20"/>
  <c r="N41" i="20"/>
  <c r="S40" i="20"/>
  <c r="R40" i="20"/>
  <c r="Q40" i="20"/>
  <c r="O40" i="20"/>
  <c r="N40" i="20"/>
  <c r="S39" i="20"/>
  <c r="R39" i="20"/>
  <c r="Q39" i="20"/>
  <c r="O39" i="20"/>
  <c r="N39" i="20"/>
  <c r="S38" i="20"/>
  <c r="R38" i="20"/>
  <c r="Q38" i="20"/>
  <c r="Q36" i="20" s="1"/>
  <c r="N38" i="20"/>
  <c r="H38" i="20"/>
  <c r="O38" i="20" s="1"/>
  <c r="G38" i="20"/>
  <c r="S37" i="20"/>
  <c r="R37" i="20"/>
  <c r="Q37" i="20"/>
  <c r="O37" i="20"/>
  <c r="N37" i="20"/>
  <c r="N36" i="20" s="1"/>
  <c r="S36" i="20"/>
  <c r="S35" i="20"/>
  <c r="R35" i="20"/>
  <c r="Q35" i="20"/>
  <c r="O35" i="20"/>
  <c r="N35" i="20"/>
  <c r="S34" i="20"/>
  <c r="R34" i="20"/>
  <c r="Q34" i="20"/>
  <c r="S33" i="20"/>
  <c r="R33" i="20"/>
  <c r="Q33" i="20"/>
  <c r="S32" i="20"/>
  <c r="S31" i="20" s="1"/>
  <c r="R32" i="20"/>
  <c r="R31" i="20" s="1"/>
  <c r="Q32" i="20"/>
  <c r="Q31" i="20" s="1"/>
  <c r="O32" i="20"/>
  <c r="N32" i="20"/>
  <c r="S30" i="20"/>
  <c r="R30" i="20"/>
  <c r="R29" i="20" s="1"/>
  <c r="Q30" i="20"/>
  <c r="Q29" i="20" s="1"/>
  <c r="O30" i="20"/>
  <c r="O29" i="20" s="1"/>
  <c r="N30" i="20"/>
  <c r="N29" i="20"/>
  <c r="V19" i="20"/>
  <c r="V16" i="20"/>
  <c r="Q11" i="20"/>
  <c r="K1311" i="19"/>
  <c r="K1309" i="19"/>
  <c r="K1307" i="19"/>
  <c r="K1306" i="19"/>
  <c r="C1304" i="19"/>
  <c r="K1299" i="19"/>
  <c r="K1297" i="19"/>
  <c r="K1296" i="19"/>
  <c r="K1295" i="19"/>
  <c r="K1294" i="19"/>
  <c r="K1293" i="19"/>
  <c r="K1292" i="19"/>
  <c r="K1291" i="19"/>
  <c r="K1290" i="19"/>
  <c r="K1289" i="19"/>
  <c r="K1288" i="19"/>
  <c r="K1301" i="19" s="1"/>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98" i="19" s="1"/>
  <c r="K1302" i="19" s="1"/>
  <c r="K1261" i="19"/>
  <c r="K1260" i="19"/>
  <c r="K1259" i="19"/>
  <c r="K1258" i="19"/>
  <c r="K1257" i="19"/>
  <c r="K1256" i="19"/>
  <c r="K1255" i="19"/>
  <c r="K1254" i="19"/>
  <c r="C1252" i="19"/>
  <c r="K1249" i="19"/>
  <c r="K1247" i="19"/>
  <c r="K1245" i="19"/>
  <c r="K1244" i="19"/>
  <c r="K1243" i="19"/>
  <c r="K1242" i="19"/>
  <c r="K1241" i="19"/>
  <c r="K1240" i="19"/>
  <c r="K1239" i="19"/>
  <c r="K1238" i="19"/>
  <c r="K1237" i="19"/>
  <c r="K1246" i="19" s="1"/>
  <c r="K1250" i="19" s="1"/>
  <c r="C1235" i="19"/>
  <c r="K1230" i="19"/>
  <c r="K1228" i="19"/>
  <c r="F1227" i="19"/>
  <c r="E1227" i="19"/>
  <c r="K1227" i="19" s="1"/>
  <c r="K1226" i="19"/>
  <c r="K1225" i="19"/>
  <c r="K1224" i="19"/>
  <c r="K1223" i="19"/>
  <c r="K1222" i="19"/>
  <c r="K1221" i="19"/>
  <c r="K1220" i="19"/>
  <c r="K1219" i="19"/>
  <c r="C1217" i="19"/>
  <c r="K1212" i="19"/>
  <c r="K1210" i="19"/>
  <c r="K1211" i="19" s="1"/>
  <c r="K1209" i="19"/>
  <c r="K1208" i="19"/>
  <c r="K1207" i="19"/>
  <c r="K1206" i="19"/>
  <c r="K1205" i="19"/>
  <c r="K1204" i="19"/>
  <c r="C1202" i="19"/>
  <c r="K1197" i="19"/>
  <c r="K1196" i="19"/>
  <c r="K1195" i="19"/>
  <c r="K1194" i="19"/>
  <c r="K1193" i="19"/>
  <c r="K1192" i="19"/>
  <c r="K1191" i="19"/>
  <c r="K1190" i="19"/>
  <c r="K1189" i="19"/>
  <c r="K1188" i="19"/>
  <c r="K1187" i="19"/>
  <c r="C1185" i="19"/>
  <c r="K1180" i="19"/>
  <c r="K1178" i="19"/>
  <c r="K1177" i="19"/>
  <c r="K1176" i="19"/>
  <c r="K1175" i="19"/>
  <c r="K1174" i="19"/>
  <c r="K1173" i="19"/>
  <c r="K1172" i="19"/>
  <c r="K1171" i="19"/>
  <c r="K1170" i="19"/>
  <c r="K1169" i="19"/>
  <c r="K1179" i="19" s="1"/>
  <c r="K1182" i="19" s="1"/>
  <c r="C1167" i="19"/>
  <c r="K1162" i="19"/>
  <c r="K1160" i="19"/>
  <c r="K1159" i="19"/>
  <c r="K1158" i="19"/>
  <c r="K1157" i="19"/>
  <c r="K1156" i="19"/>
  <c r="K1155" i="19"/>
  <c r="K1154" i="19"/>
  <c r="C1152" i="19"/>
  <c r="K1147" i="19"/>
  <c r="K1145" i="19"/>
  <c r="K1144" i="19"/>
  <c r="K1143" i="19"/>
  <c r="K1142" i="19"/>
  <c r="K1141" i="19"/>
  <c r="K1140" i="19"/>
  <c r="K1139" i="19"/>
  <c r="K1138" i="19"/>
  <c r="K1146" i="19" s="1"/>
  <c r="K1137" i="19"/>
  <c r="K1136" i="19"/>
  <c r="K1135" i="19"/>
  <c r="C1133" i="19"/>
  <c r="K1128" i="19"/>
  <c r="K1126" i="19"/>
  <c r="K1125" i="19"/>
  <c r="K1124" i="19"/>
  <c r="K1123" i="19"/>
  <c r="K1122" i="19"/>
  <c r="K1121" i="19"/>
  <c r="K1120" i="19"/>
  <c r="K1119" i="19"/>
  <c r="K1118" i="19"/>
  <c r="K1117" i="19"/>
  <c r="K1130" i="19" s="1"/>
  <c r="K1116" i="19"/>
  <c r="K1115" i="19"/>
  <c r="K1114" i="19"/>
  <c r="K1113" i="19"/>
  <c r="K1112" i="19"/>
  <c r="K1111" i="19"/>
  <c r="K1110" i="19"/>
  <c r="K1109" i="19"/>
  <c r="K1108" i="19"/>
  <c r="K1107" i="19"/>
  <c r="K1106" i="19"/>
  <c r="K1105" i="19"/>
  <c r="K1104" i="19"/>
  <c r="K1103" i="19"/>
  <c r="K1127" i="19" s="1"/>
  <c r="K1131" i="19" s="1"/>
  <c r="K1102" i="19"/>
  <c r="K1101" i="19"/>
  <c r="C1099" i="19"/>
  <c r="K1094"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C1070" i="19"/>
  <c r="K1065"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G980" i="19"/>
  <c r="G979" i="19"/>
  <c r="K979" i="19" s="1"/>
  <c r="K978"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C934" i="19"/>
  <c r="K929" i="19"/>
  <c r="K927" i="19"/>
  <c r="K926" i="19"/>
  <c r="K931" i="19" s="1"/>
  <c r="G924" i="19"/>
  <c r="G925" i="19" s="1"/>
  <c r="F924" i="19"/>
  <c r="F925" i="19" s="1"/>
  <c r="K923" i="19"/>
  <c r="C921" i="19"/>
  <c r="K918" i="19"/>
  <c r="K916" i="19"/>
  <c r="K915" i="19"/>
  <c r="K919" i="19" s="1"/>
  <c r="K914" i="19"/>
  <c r="K913" i="19"/>
  <c r="K912" i="19"/>
  <c r="G911" i="19"/>
  <c r="F911" i="19"/>
  <c r="K911" i="19" s="1"/>
  <c r="K910" i="19"/>
  <c r="C908" i="19"/>
  <c r="K905" i="19"/>
  <c r="K903" i="19"/>
  <c r="K902" i="19"/>
  <c r="K906" i="19" s="1"/>
  <c r="K901" i="19"/>
  <c r="K900" i="19"/>
  <c r="K899" i="19"/>
  <c r="G898" i="19"/>
  <c r="F898" i="19"/>
  <c r="K898" i="19" s="1"/>
  <c r="K897" i="19"/>
  <c r="C895" i="19"/>
  <c r="K892" i="19"/>
  <c r="K890" i="19"/>
  <c r="K889" i="19"/>
  <c r="K893" i="19" s="1"/>
  <c r="K888" i="19"/>
  <c r="K887" i="19"/>
  <c r="G886" i="19"/>
  <c r="F886" i="19"/>
  <c r="K886" i="19" s="1"/>
  <c r="K885" i="19"/>
  <c r="G885" i="19"/>
  <c r="F885" i="19"/>
  <c r="K884" i="19"/>
  <c r="C882" i="19"/>
  <c r="K879" i="19"/>
  <c r="K877" i="19"/>
  <c r="K875" i="19"/>
  <c r="K874" i="19"/>
  <c r="K873" i="19"/>
  <c r="K872" i="19"/>
  <c r="G872" i="19"/>
  <c r="F872" i="19"/>
  <c r="K871" i="19"/>
  <c r="K876" i="19" s="1"/>
  <c r="K880" i="19" s="1"/>
  <c r="C869" i="19"/>
  <c r="K866" i="19"/>
  <c r="K864" i="19"/>
  <c r="K862" i="19"/>
  <c r="K861" i="19"/>
  <c r="K860" i="19"/>
  <c r="G858" i="19"/>
  <c r="G859" i="19" s="1"/>
  <c r="F858" i="19"/>
  <c r="F859" i="19" s="1"/>
  <c r="K859" i="19" s="1"/>
  <c r="K857" i="19"/>
  <c r="C855" i="19"/>
  <c r="K852" i="19"/>
  <c r="K850" i="19"/>
  <c r="K848" i="19"/>
  <c r="K847" i="19"/>
  <c r="F846" i="19"/>
  <c r="G845" i="19"/>
  <c r="F845" i="19"/>
  <c r="K844" i="19"/>
  <c r="C842" i="19"/>
  <c r="K839" i="19"/>
  <c r="K837" i="19"/>
  <c r="K835" i="19"/>
  <c r="K834" i="19"/>
  <c r="K833" i="19"/>
  <c r="G832" i="19"/>
  <c r="K832" i="19" s="1"/>
  <c r="F832" i="19"/>
  <c r="K831" i="19"/>
  <c r="K836" i="19" s="1"/>
  <c r="K840" i="19" s="1"/>
  <c r="C829" i="19"/>
  <c r="K824"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826" i="19" s="1"/>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C734" i="19"/>
  <c r="K729" i="19"/>
  <c r="K727" i="19"/>
  <c r="K726" i="19"/>
  <c r="K731" i="19" s="1"/>
  <c r="K725" i="19"/>
  <c r="K724" i="19"/>
  <c r="K723" i="19"/>
  <c r="K722" i="19"/>
  <c r="K721" i="19"/>
  <c r="K720" i="19"/>
  <c r="K719" i="19"/>
  <c r="K718" i="19"/>
  <c r="K728" i="19" s="1"/>
  <c r="K730" i="19" s="1"/>
  <c r="C716" i="19"/>
  <c r="K711" i="19"/>
  <c r="K709" i="19"/>
  <c r="K708" i="19"/>
  <c r="K707" i="19"/>
  <c r="K713" i="19" s="1"/>
  <c r="K706" i="19"/>
  <c r="K705" i="19"/>
  <c r="K704" i="19"/>
  <c r="K703" i="19"/>
  <c r="K702" i="19"/>
  <c r="K701" i="19"/>
  <c r="K700" i="19"/>
  <c r="C698" i="19"/>
  <c r="K693" i="19"/>
  <c r="K692" i="19"/>
  <c r="K696" i="19" s="1"/>
  <c r="K691" i="19"/>
  <c r="K690" i="19"/>
  <c r="K689" i="19"/>
  <c r="K695" i="19" s="1"/>
  <c r="K688" i="19"/>
  <c r="K687" i="19"/>
  <c r="K686" i="19"/>
  <c r="K685" i="19"/>
  <c r="K684" i="19"/>
  <c r="K683" i="19"/>
  <c r="C681" i="19"/>
  <c r="K678" i="19"/>
  <c r="K676" i="19"/>
  <c r="K673" i="19"/>
  <c r="K672" i="19"/>
  <c r="K671" i="19"/>
  <c r="K670" i="19"/>
  <c r="K669" i="19"/>
  <c r="K668" i="19"/>
  <c r="K667" i="19"/>
  <c r="K666" i="19"/>
  <c r="K665" i="19"/>
  <c r="K675" i="19" s="1"/>
  <c r="K664" i="19"/>
  <c r="C662" i="19"/>
  <c r="K657" i="19"/>
  <c r="K655" i="19"/>
  <c r="K654" i="19"/>
  <c r="K653" i="19"/>
  <c r="K659" i="19" s="1"/>
  <c r="K652" i="19"/>
  <c r="K651" i="19"/>
  <c r="K650" i="19"/>
  <c r="K649" i="19"/>
  <c r="K648" i="19"/>
  <c r="K647" i="19"/>
  <c r="C645" i="19"/>
  <c r="K640" i="19"/>
  <c r="K638" i="19"/>
  <c r="K637" i="19"/>
  <c r="K639" i="19" s="1"/>
  <c r="K636" i="19"/>
  <c r="K642" i="19" s="1"/>
  <c r="K635" i="19"/>
  <c r="K634" i="19"/>
  <c r="K633" i="19"/>
  <c r="K632" i="19"/>
  <c r="K631" i="19"/>
  <c r="K630" i="19"/>
  <c r="K629" i="19"/>
  <c r="C627" i="19"/>
  <c r="K624" i="19"/>
  <c r="K622" i="19"/>
  <c r="K620" i="19"/>
  <c r="K619" i="19"/>
  <c r="K618" i="19"/>
  <c r="K617" i="19"/>
  <c r="K616" i="19"/>
  <c r="K615" i="19"/>
  <c r="K614" i="19"/>
  <c r="K613" i="19"/>
  <c r="K612" i="19"/>
  <c r="C610" i="19"/>
  <c r="K605" i="19"/>
  <c r="K603" i="19"/>
  <c r="K602" i="19"/>
  <c r="K601" i="19"/>
  <c r="K600" i="19"/>
  <c r="K607" i="19" s="1"/>
  <c r="K599" i="19"/>
  <c r="K598" i="19"/>
  <c r="K597" i="19"/>
  <c r="K604" i="19" s="1"/>
  <c r="K596" i="19"/>
  <c r="K595" i="19"/>
  <c r="K594" i="19"/>
  <c r="C592" i="19"/>
  <c r="K587" i="19"/>
  <c r="K585" i="19"/>
  <c r="J584" i="19"/>
  <c r="I584" i="19"/>
  <c r="K584" i="19" s="1"/>
  <c r="J583" i="19"/>
  <c r="I583" i="19"/>
  <c r="K583" i="19" s="1"/>
  <c r="J582" i="19"/>
  <c r="I582" i="19"/>
  <c r="K582" i="19" s="1"/>
  <c r="J581" i="19"/>
  <c r="I581" i="19"/>
  <c r="K581" i="19" s="1"/>
  <c r="K580" i="19"/>
  <c r="J580" i="19"/>
  <c r="I580" i="19"/>
  <c r="J579" i="19"/>
  <c r="I579" i="19"/>
  <c r="K579" i="19" s="1"/>
  <c r="J578" i="19"/>
  <c r="I578" i="19"/>
  <c r="K578" i="19" s="1"/>
  <c r="J577" i="19"/>
  <c r="I577" i="19"/>
  <c r="K577" i="19" s="1"/>
  <c r="J576" i="19"/>
  <c r="I576" i="19"/>
  <c r="K576" i="19" s="1"/>
  <c r="J575" i="19"/>
  <c r="I575" i="19"/>
  <c r="K575" i="19" s="1"/>
  <c r="J574" i="19"/>
  <c r="I574" i="19"/>
  <c r="K574" i="19" s="1"/>
  <c r="J573" i="19"/>
  <c r="I573" i="19"/>
  <c r="K573" i="19" s="1"/>
  <c r="J572" i="19"/>
  <c r="I572" i="19"/>
  <c r="K572" i="19" s="1"/>
  <c r="J571" i="19"/>
  <c r="I571" i="19"/>
  <c r="K571" i="19" s="1"/>
  <c r="J570" i="19"/>
  <c r="I570" i="19"/>
  <c r="K570" i="19" s="1"/>
  <c r="J569" i="19"/>
  <c r="I569" i="19"/>
  <c r="K569" i="19" s="1"/>
  <c r="J568" i="19"/>
  <c r="I568" i="19"/>
  <c r="K568" i="19" s="1"/>
  <c r="J567" i="19"/>
  <c r="I567" i="19"/>
  <c r="K567" i="19" s="1"/>
  <c r="J566" i="19"/>
  <c r="I566" i="19"/>
  <c r="K566" i="19" s="1"/>
  <c r="J565" i="19"/>
  <c r="I565" i="19"/>
  <c r="K565" i="19" s="1"/>
  <c r="J564" i="19"/>
  <c r="I564" i="19"/>
  <c r="K564" i="19" s="1"/>
  <c r="J563" i="19"/>
  <c r="I563" i="19"/>
  <c r="K563" i="19" s="1"/>
  <c r="J562" i="19"/>
  <c r="I562" i="19"/>
  <c r="K562" i="19" s="1"/>
  <c r="J561" i="19"/>
  <c r="I561" i="19"/>
  <c r="K561" i="19" s="1"/>
  <c r="J560" i="19"/>
  <c r="I560" i="19"/>
  <c r="K560" i="19" s="1"/>
  <c r="J559" i="19"/>
  <c r="I559" i="19"/>
  <c r="K559" i="19" s="1"/>
  <c r="J558" i="19"/>
  <c r="I558" i="19"/>
  <c r="K558" i="19" s="1"/>
  <c r="J557" i="19"/>
  <c r="I557" i="19"/>
  <c r="K557" i="19" s="1"/>
  <c r="J556" i="19"/>
  <c r="I556" i="19"/>
  <c r="K556" i="19" s="1"/>
  <c r="J555" i="19"/>
  <c r="I555" i="19"/>
  <c r="K555" i="19" s="1"/>
  <c r="J554" i="19"/>
  <c r="I554" i="19"/>
  <c r="K554" i="19" s="1"/>
  <c r="J553" i="19"/>
  <c r="I553" i="19"/>
  <c r="K553" i="19" s="1"/>
  <c r="J552" i="19"/>
  <c r="I552" i="19"/>
  <c r="K552" i="19" s="1"/>
  <c r="J551" i="19"/>
  <c r="I551" i="19"/>
  <c r="K551" i="19" s="1"/>
  <c r="J550" i="19"/>
  <c r="I550" i="19"/>
  <c r="K550" i="19" s="1"/>
  <c r="J549" i="19"/>
  <c r="I549" i="19"/>
  <c r="K549" i="19" s="1"/>
  <c r="J548" i="19"/>
  <c r="I548" i="19"/>
  <c r="K548" i="19" s="1"/>
  <c r="J547" i="19"/>
  <c r="I547" i="19"/>
  <c r="K547" i="19" s="1"/>
  <c r="J546" i="19"/>
  <c r="I546" i="19"/>
  <c r="K546" i="19" s="1"/>
  <c r="J545" i="19"/>
  <c r="I545" i="19"/>
  <c r="K545" i="19" s="1"/>
  <c r="K544" i="19"/>
  <c r="J544" i="19"/>
  <c r="I544" i="19"/>
  <c r="J543" i="19"/>
  <c r="I543" i="19"/>
  <c r="K543" i="19" s="1"/>
  <c r="J542" i="19"/>
  <c r="I542" i="19"/>
  <c r="K542" i="19" s="1"/>
  <c r="J541" i="19"/>
  <c r="I541" i="19"/>
  <c r="K541" i="19" s="1"/>
  <c r="J540" i="19"/>
  <c r="I540" i="19"/>
  <c r="K540" i="19" s="1"/>
  <c r="J539" i="19"/>
  <c r="I539" i="19"/>
  <c r="K539" i="19" s="1"/>
  <c r="J538" i="19"/>
  <c r="I538" i="19"/>
  <c r="K538" i="19" s="1"/>
  <c r="J537" i="19"/>
  <c r="I537" i="19"/>
  <c r="K537" i="19" s="1"/>
  <c r="J536" i="19"/>
  <c r="I536" i="19"/>
  <c r="K536" i="19" s="1"/>
  <c r="J535" i="19"/>
  <c r="I535" i="19"/>
  <c r="K535" i="19" s="1"/>
  <c r="J534" i="19"/>
  <c r="I534" i="19"/>
  <c r="K534" i="19" s="1"/>
  <c r="J533" i="19"/>
  <c r="I533" i="19"/>
  <c r="K533" i="19" s="1"/>
  <c r="K532" i="19"/>
  <c r="J532" i="19"/>
  <c r="I532" i="19"/>
  <c r="J531" i="19"/>
  <c r="I531" i="19"/>
  <c r="K531" i="19" s="1"/>
  <c r="J530" i="19"/>
  <c r="I530" i="19"/>
  <c r="K530" i="19" s="1"/>
  <c r="J529" i="19"/>
  <c r="I529" i="19"/>
  <c r="K529" i="19" s="1"/>
  <c r="K528" i="19"/>
  <c r="J528" i="19"/>
  <c r="I528" i="19"/>
  <c r="J527" i="19"/>
  <c r="I527" i="19"/>
  <c r="K527" i="19" s="1"/>
  <c r="J526" i="19"/>
  <c r="I526" i="19"/>
  <c r="K526" i="19" s="1"/>
  <c r="J525" i="19"/>
  <c r="I525" i="19"/>
  <c r="K525" i="19" s="1"/>
  <c r="J524" i="19"/>
  <c r="I524" i="19"/>
  <c r="K524" i="19" s="1"/>
  <c r="J523" i="19"/>
  <c r="I523" i="19"/>
  <c r="K523" i="19" s="1"/>
  <c r="J522" i="19"/>
  <c r="I522" i="19"/>
  <c r="K522" i="19" s="1"/>
  <c r="J521" i="19"/>
  <c r="I521" i="19"/>
  <c r="K521" i="19" s="1"/>
  <c r="J520" i="19"/>
  <c r="I520" i="19"/>
  <c r="K520" i="19" s="1"/>
  <c r="J519" i="19"/>
  <c r="I519" i="19"/>
  <c r="K519" i="19" s="1"/>
  <c r="J518" i="19"/>
  <c r="I518" i="19"/>
  <c r="K518" i="19" s="1"/>
  <c r="J517" i="19"/>
  <c r="I517" i="19"/>
  <c r="K517" i="19" s="1"/>
  <c r="J516" i="19"/>
  <c r="I516" i="19"/>
  <c r="K516" i="19" s="1"/>
  <c r="J515" i="19"/>
  <c r="I515" i="19"/>
  <c r="K515" i="19" s="1"/>
  <c r="J514" i="19"/>
  <c r="I514" i="19"/>
  <c r="K514" i="19" s="1"/>
  <c r="J513" i="19"/>
  <c r="I513" i="19"/>
  <c r="K513" i="19" s="1"/>
  <c r="K512" i="19"/>
  <c r="J512" i="19"/>
  <c r="I512" i="19"/>
  <c r="J511" i="19"/>
  <c r="I511" i="19"/>
  <c r="K511" i="19" s="1"/>
  <c r="J510" i="19"/>
  <c r="I510" i="19"/>
  <c r="K510" i="19" s="1"/>
  <c r="J509" i="19"/>
  <c r="I509" i="19"/>
  <c r="K509" i="19" s="1"/>
  <c r="J508" i="19"/>
  <c r="I508" i="19"/>
  <c r="K508" i="19" s="1"/>
  <c r="J507" i="19"/>
  <c r="I507" i="19"/>
  <c r="K507" i="19" s="1"/>
  <c r="J506" i="19"/>
  <c r="I506" i="19"/>
  <c r="K506" i="19" s="1"/>
  <c r="J505" i="19"/>
  <c r="I505" i="19"/>
  <c r="K505" i="19" s="1"/>
  <c r="J504" i="19"/>
  <c r="I504" i="19"/>
  <c r="K504" i="19" s="1"/>
  <c r="J503" i="19"/>
  <c r="I503" i="19"/>
  <c r="K503" i="19" s="1"/>
  <c r="J502" i="19"/>
  <c r="I502" i="19"/>
  <c r="K502" i="19" s="1"/>
  <c r="J501" i="19"/>
  <c r="I501" i="19"/>
  <c r="K501" i="19" s="1"/>
  <c r="K500" i="19"/>
  <c r="J500" i="19"/>
  <c r="I500" i="19"/>
  <c r="J499" i="19"/>
  <c r="I499" i="19"/>
  <c r="K499" i="19" s="1"/>
  <c r="C497" i="19"/>
  <c r="K490" i="19"/>
  <c r="K489" i="19"/>
  <c r="K488" i="19"/>
  <c r="K487" i="19"/>
  <c r="K486" i="19"/>
  <c r="K485" i="19"/>
  <c r="K484" i="19"/>
  <c r="K483" i="19"/>
  <c r="K482" i="19"/>
  <c r="K481" i="19"/>
  <c r="K480" i="19"/>
  <c r="K479" i="19"/>
  <c r="K478" i="19"/>
  <c r="K477" i="19"/>
  <c r="K476" i="19"/>
  <c r="K475" i="19"/>
  <c r="K474" i="19"/>
  <c r="K473" i="19"/>
  <c r="E472" i="19"/>
  <c r="K472" i="19" s="1"/>
  <c r="K471" i="19"/>
  <c r="K470" i="19"/>
  <c r="K469" i="19"/>
  <c r="K468" i="19"/>
  <c r="K467" i="19"/>
  <c r="K466" i="19"/>
  <c r="K465" i="19"/>
  <c r="K464" i="19"/>
  <c r="K463" i="19"/>
  <c r="K462" i="19"/>
  <c r="K461" i="19"/>
  <c r="K460" i="19"/>
  <c r="K459" i="19"/>
  <c r="K458" i="19"/>
  <c r="K457" i="19"/>
  <c r="K456" i="19"/>
  <c r="K447" i="19"/>
  <c r="K446" i="19"/>
  <c r="K448" i="19" s="1"/>
  <c r="K445" i="19"/>
  <c r="K436" i="19"/>
  <c r="K435" i="19"/>
  <c r="K437" i="19" s="1"/>
  <c r="K434" i="19"/>
  <c r="K427" i="19"/>
  <c r="K425" i="19"/>
  <c r="K426" i="19" s="1"/>
  <c r="K424" i="19"/>
  <c r="K423" i="19"/>
  <c r="K415" i="19"/>
  <c r="K419" i="19" s="1"/>
  <c r="K414" i="19"/>
  <c r="K413" i="19"/>
  <c r="K412" i="19"/>
  <c r="K403" i="19"/>
  <c r="K404" i="19" s="1"/>
  <c r="K408" i="19" s="1"/>
  <c r="K402" i="19"/>
  <c r="K401" i="19"/>
  <c r="K392" i="19"/>
  <c r="K391" i="19"/>
  <c r="K390" i="19"/>
  <c r="K389" i="19"/>
  <c r="K393" i="19" s="1"/>
  <c r="K380" i="19"/>
  <c r="K378" i="19"/>
  <c r="K377" i="19"/>
  <c r="K376" i="19"/>
  <c r="K375" i="19"/>
  <c r="K374" i="19"/>
  <c r="K373" i="19"/>
  <c r="K372" i="19"/>
  <c r="K371" i="19"/>
  <c r="K370" i="19"/>
  <c r="K369" i="19"/>
  <c r="K368" i="19"/>
  <c r="K367" i="19"/>
  <c r="K366" i="19"/>
  <c r="K365" i="19"/>
  <c r="K364" i="19"/>
  <c r="K363" i="19"/>
  <c r="K362" i="19"/>
  <c r="K361" i="19"/>
  <c r="K360" i="19"/>
  <c r="K359" i="19"/>
  <c r="K358" i="19"/>
  <c r="K357" i="19"/>
  <c r="K356" i="19"/>
  <c r="K355" i="19"/>
  <c r="K354" i="19"/>
  <c r="K353" i="19"/>
  <c r="K352" i="19"/>
  <c r="K351" i="19"/>
  <c r="K350" i="19"/>
  <c r="K349" i="19"/>
  <c r="K348" i="19"/>
  <c r="K347" i="19"/>
  <c r="K346" i="19"/>
  <c r="K345" i="19"/>
  <c r="K344" i="19"/>
  <c r="K343" i="19"/>
  <c r="K342" i="19"/>
  <c r="K341" i="19"/>
  <c r="K340" i="19"/>
  <c r="K339" i="19"/>
  <c r="K338" i="19"/>
  <c r="K337" i="19"/>
  <c r="K336" i="19"/>
  <c r="K335" i="19"/>
  <c r="K326" i="19"/>
  <c r="K325" i="19"/>
  <c r="K324" i="19"/>
  <c r="K327" i="19" s="1"/>
  <c r="K323" i="19"/>
  <c r="K314" i="19"/>
  <c r="K313" i="19"/>
  <c r="K315" i="19" s="1"/>
  <c r="K312" i="19"/>
  <c r="K303" i="19"/>
  <c r="K302" i="19"/>
  <c r="K304" i="19" s="1"/>
  <c r="K301" i="19"/>
  <c r="K293" i="19"/>
  <c r="K292" i="19"/>
  <c r="K291" i="19"/>
  <c r="K290" i="19"/>
  <c r="K281" i="19"/>
  <c r="K280" i="19"/>
  <c r="K282" i="19" s="1"/>
  <c r="K279" i="19"/>
  <c r="K278" i="19"/>
  <c r="K273" i="19"/>
  <c r="K269" i="19"/>
  <c r="K270" i="19" s="1"/>
  <c r="K274" i="19" s="1"/>
  <c r="K268" i="19"/>
  <c r="K267" i="19"/>
  <c r="K259" i="19"/>
  <c r="K263" i="19" s="1"/>
  <c r="K258" i="19"/>
  <c r="K257" i="19"/>
  <c r="K256" i="19"/>
  <c r="K255" i="19"/>
  <c r="K246" i="19"/>
  <c r="K245" i="19"/>
  <c r="K244" i="19"/>
  <c r="K243" i="19"/>
  <c r="K242" i="19"/>
  <c r="K241" i="19"/>
  <c r="K240" i="19"/>
  <c r="K239" i="19"/>
  <c r="K238" i="19"/>
  <c r="K237" i="19"/>
  <c r="K236" i="19"/>
  <c r="K235" i="19"/>
  <c r="K234" i="19"/>
  <c r="K233" i="19"/>
  <c r="K232" i="19"/>
  <c r="K231" i="19"/>
  <c r="K230" i="19"/>
  <c r="K229" i="19"/>
  <c r="K228" i="19"/>
  <c r="K227" i="19"/>
  <c r="K226" i="19"/>
  <c r="K225" i="19"/>
  <c r="K224" i="19"/>
  <c r="K223" i="19"/>
  <c r="K222" i="19"/>
  <c r="K221" i="19"/>
  <c r="K220" i="19"/>
  <c r="K219" i="19"/>
  <c r="K218" i="19"/>
  <c r="K217" i="19"/>
  <c r="K216" i="19"/>
  <c r="K215" i="19"/>
  <c r="K214" i="19"/>
  <c r="K213" i="19"/>
  <c r="K212" i="19"/>
  <c r="K211" i="19"/>
  <c r="K210" i="19"/>
  <c r="K209" i="19"/>
  <c r="K208" i="19"/>
  <c r="K207" i="19"/>
  <c r="K206" i="19"/>
  <c r="K205" i="19"/>
  <c r="K204" i="19"/>
  <c r="K203" i="19"/>
  <c r="K202" i="19"/>
  <c r="K201" i="19"/>
  <c r="K200" i="19"/>
  <c r="K199" i="19"/>
  <c r="K247" i="19" s="1"/>
  <c r="K198" i="19"/>
  <c r="K197" i="19"/>
  <c r="K196" i="19"/>
  <c r="K195" i="19"/>
  <c r="K194" i="19"/>
  <c r="K185" i="19"/>
  <c r="K184" i="19"/>
  <c r="K183" i="19"/>
  <c r="K179" i="19"/>
  <c r="K174" i="19"/>
  <c r="I173" i="19"/>
  <c r="K173" i="19" s="1"/>
  <c r="K172" i="19"/>
  <c r="K175" i="19" s="1"/>
  <c r="K178" i="19" s="1"/>
  <c r="K163" i="19"/>
  <c r="K153" i="19"/>
  <c r="K143" i="19"/>
  <c r="H142" i="19"/>
  <c r="K142" i="19" s="1"/>
  <c r="F142" i="19"/>
  <c r="F141" i="19"/>
  <c r="K141" i="19" s="1"/>
  <c r="K144" i="19" s="1"/>
  <c r="K132" i="19"/>
  <c r="K131" i="19"/>
  <c r="K130" i="19"/>
  <c r="K129" i="19"/>
  <c r="K128" i="19"/>
  <c r="K127" i="19"/>
  <c r="K133" i="19" s="1"/>
  <c r="K118" i="19"/>
  <c r="K117" i="19"/>
  <c r="K116" i="19"/>
  <c r="K115" i="19"/>
  <c r="K114" i="19"/>
  <c r="K113" i="19"/>
  <c r="K119" i="19" s="1"/>
  <c r="K105" i="19"/>
  <c r="K108" i="19" s="1"/>
  <c r="K104" i="19"/>
  <c r="K103" i="19"/>
  <c r="K102" i="19"/>
  <c r="K97" i="19"/>
  <c r="K94" i="19"/>
  <c r="K98" i="19" s="1"/>
  <c r="K93" i="19"/>
  <c r="K92" i="19"/>
  <c r="K87" i="19"/>
  <c r="K83" i="19"/>
  <c r="K84" i="19" s="1"/>
  <c r="K88" i="19" s="1"/>
  <c r="K82" i="19"/>
  <c r="K73" i="19"/>
  <c r="K72" i="19"/>
  <c r="K74" i="19" s="1"/>
  <c r="K63" i="19"/>
  <c r="E62" i="19"/>
  <c r="K62" i="19" s="1"/>
  <c r="K64" i="19" s="1"/>
  <c r="K53" i="19"/>
  <c r="K52" i="19"/>
  <c r="K54" i="19" s="1"/>
  <c r="E52" i="19"/>
  <c r="K43" i="19"/>
  <c r="K42" i="19"/>
  <c r="K32" i="19"/>
  <c r="K31" i="19"/>
  <c r="K30" i="19"/>
  <c r="I30" i="19"/>
  <c r="K29" i="19"/>
  <c r="I28" i="19"/>
  <c r="K28" i="19" s="1"/>
  <c r="K27" i="19"/>
  <c r="I27" i="19"/>
  <c r="K26" i="19"/>
  <c r="K17" i="19"/>
  <c r="K16" i="19"/>
  <c r="I16" i="19"/>
  <c r="K15" i="19"/>
  <c r="I15" i="19"/>
  <c r="I14" i="19"/>
  <c r="K14" i="19" s="1"/>
  <c r="I13" i="19"/>
  <c r="K13" i="19" s="1"/>
  <c r="K12" i="19"/>
  <c r="I12" i="19"/>
  <c r="I11" i="19"/>
  <c r="K11" i="19" s="1"/>
  <c r="K10" i="19"/>
  <c r="I10" i="19"/>
  <c r="K1433" i="18"/>
  <c r="K1431" i="18"/>
  <c r="K1430" i="18"/>
  <c r="K1435" i="18" s="1"/>
  <c r="C1428" i="18"/>
  <c r="K1423" i="18"/>
  <c r="K1421" i="18"/>
  <c r="K1420" i="18"/>
  <c r="K1419" i="18"/>
  <c r="K1418" i="18"/>
  <c r="K1417" i="18"/>
  <c r="K1416" i="18"/>
  <c r="K1415" i="18"/>
  <c r="K1414" i="18"/>
  <c r="K1413" i="18"/>
  <c r="K1412" i="18"/>
  <c r="K1411" i="18"/>
  <c r="K1410" i="18"/>
  <c r="K1409" i="18"/>
  <c r="K1408" i="18"/>
  <c r="K1407" i="18"/>
  <c r="K1406" i="18"/>
  <c r="K1425" i="18" s="1"/>
  <c r="C1404" i="18"/>
  <c r="K1401" i="18"/>
  <c r="K1399" i="18"/>
  <c r="K1397" i="18"/>
  <c r="K1396" i="18"/>
  <c r="K1395" i="18"/>
  <c r="K1398" i="18" s="1"/>
  <c r="K1402" i="18" s="1"/>
  <c r="C1393" i="18"/>
  <c r="K1388" i="18"/>
  <c r="K1386" i="18"/>
  <c r="K1385" i="18"/>
  <c r="K1384" i="18"/>
  <c r="K1383" i="18"/>
  <c r="K1382" i="18"/>
  <c r="K1381" i="18"/>
  <c r="K1380" i="18"/>
  <c r="K1379" i="18"/>
  <c r="K1378" i="18"/>
  <c r="K1377" i="18"/>
  <c r="K1376" i="18"/>
  <c r="K1375" i="18"/>
  <c r="K1374" i="18"/>
  <c r="K1373" i="18"/>
  <c r="K1372" i="18"/>
  <c r="K1371" i="18"/>
  <c r="K1370" i="18"/>
  <c r="K1369" i="18"/>
  <c r="K1368" i="18"/>
  <c r="K1367" i="18"/>
  <c r="K1366" i="18"/>
  <c r="K1365" i="18"/>
  <c r="K1364" i="18"/>
  <c r="K1363" i="18"/>
  <c r="K1362" i="18"/>
  <c r="K1361" i="18"/>
  <c r="K1360" i="18"/>
  <c r="K1359" i="18"/>
  <c r="K1358" i="18"/>
  <c r="K1357" i="18"/>
  <c r="K1356" i="18"/>
  <c r="K1355" i="18"/>
  <c r="K1354" i="18"/>
  <c r="K1353" i="18"/>
  <c r="K1352" i="18"/>
  <c r="K1351" i="18"/>
  <c r="K1350" i="18"/>
  <c r="K1349" i="18"/>
  <c r="K1348" i="18"/>
  <c r="K1347" i="18"/>
  <c r="K1346" i="18"/>
  <c r="K1345" i="18"/>
  <c r="K1344" i="18"/>
  <c r="K1343" i="18"/>
  <c r="K1342" i="18"/>
  <c r="K1341" i="18"/>
  <c r="K1340" i="18"/>
  <c r="K1339" i="18"/>
  <c r="K1338" i="18"/>
  <c r="K1337" i="18"/>
  <c r="K1336" i="18"/>
  <c r="K1335" i="18"/>
  <c r="K1334" i="18"/>
  <c r="K1333" i="18"/>
  <c r="K1332" i="18"/>
  <c r="K1331" i="18"/>
  <c r="K1330" i="18"/>
  <c r="K1329" i="18"/>
  <c r="K1328" i="18"/>
  <c r="K1327" i="18"/>
  <c r="K1387" i="18" s="1"/>
  <c r="K1391" i="18" s="1"/>
  <c r="K1326" i="18"/>
  <c r="C1324" i="18"/>
  <c r="K1319" i="18"/>
  <c r="K1317" i="18"/>
  <c r="K1316" i="18"/>
  <c r="K1315" i="18"/>
  <c r="K1314" i="18"/>
  <c r="K1313" i="18"/>
  <c r="K1312" i="18"/>
  <c r="K1311" i="18"/>
  <c r="K1321" i="18" s="1"/>
  <c r="K1310" i="18"/>
  <c r="K1309" i="18"/>
  <c r="K1308" i="18"/>
  <c r="K1307" i="18"/>
  <c r="K1306" i="18"/>
  <c r="K1305" i="18"/>
  <c r="K1304" i="18"/>
  <c r="K1303" i="18"/>
  <c r="C1301" i="18"/>
  <c r="K1298" i="18"/>
  <c r="K1296" i="18"/>
  <c r="K1294" i="18"/>
  <c r="K1293" i="18"/>
  <c r="K1292" i="18"/>
  <c r="K1291" i="18"/>
  <c r="K1290" i="18"/>
  <c r="K1289" i="18"/>
  <c r="K1288" i="18"/>
  <c r="F1287" i="18"/>
  <c r="E1287" i="18"/>
  <c r="K1287" i="18" s="1"/>
  <c r="K1286" i="18"/>
  <c r="K1285" i="18"/>
  <c r="K1284" i="18"/>
  <c r="K1283" i="18"/>
  <c r="K1282" i="18"/>
  <c r="K1281" i="18"/>
  <c r="K1280" i="18"/>
  <c r="K1279" i="18"/>
  <c r="C1277" i="18"/>
  <c r="K1272" i="18"/>
  <c r="K1270" i="18"/>
  <c r="K1269" i="18"/>
  <c r="K1268" i="18"/>
  <c r="K1267" i="18"/>
  <c r="K1266" i="18"/>
  <c r="K1265" i="18"/>
  <c r="K1264" i="18"/>
  <c r="K1271" i="18" s="1"/>
  <c r="K1275" i="18" s="1"/>
  <c r="C1262" i="18"/>
  <c r="K1257" i="18"/>
  <c r="K1255" i="18"/>
  <c r="K1254" i="18"/>
  <c r="K1253" i="18"/>
  <c r="K1252" i="18"/>
  <c r="K1251" i="18"/>
  <c r="K1250" i="18"/>
  <c r="K1249" i="18"/>
  <c r="K1248" i="18"/>
  <c r="K1247" i="18"/>
  <c r="K1246" i="18"/>
  <c r="K1245" i="18"/>
  <c r="K1244" i="18"/>
  <c r="K1243" i="18"/>
  <c r="K1242" i="18"/>
  <c r="K1256" i="18" s="1"/>
  <c r="C1240" i="18"/>
  <c r="K1235" i="18"/>
  <c r="K1233" i="18"/>
  <c r="K1232" i="18"/>
  <c r="K1231" i="18"/>
  <c r="K1230" i="18"/>
  <c r="K1229" i="18"/>
  <c r="K1228" i="18"/>
  <c r="K1227" i="18"/>
  <c r="K1226" i="18"/>
  <c r="K1225" i="18"/>
  <c r="K1224" i="18"/>
  <c r="K1223" i="18"/>
  <c r="K1222" i="18"/>
  <c r="K1234" i="18" s="1"/>
  <c r="K1238" i="18" s="1"/>
  <c r="K1237" i="18" s="1"/>
  <c r="K1221" i="18"/>
  <c r="K1220" i="18"/>
  <c r="C1218" i="18"/>
  <c r="K1213" i="18"/>
  <c r="K1211" i="18"/>
  <c r="K1210" i="18"/>
  <c r="K1209" i="18"/>
  <c r="K1208" i="18"/>
  <c r="K1207" i="18"/>
  <c r="K1206" i="18"/>
  <c r="K1205" i="18"/>
  <c r="C1203" i="18"/>
  <c r="K1198" i="18"/>
  <c r="K1196" i="18"/>
  <c r="K1195" i="18"/>
  <c r="K1194" i="18"/>
  <c r="K1193" i="18"/>
  <c r="K1192" i="18"/>
  <c r="K1191" i="18"/>
  <c r="K1190" i="18"/>
  <c r="K1197" i="18" s="1"/>
  <c r="K1189" i="18"/>
  <c r="K1188" i="18"/>
  <c r="K1187" i="18"/>
  <c r="K1186" i="18"/>
  <c r="C1184" i="18"/>
  <c r="K1179" i="18"/>
  <c r="K1177" i="18"/>
  <c r="K1176" i="18"/>
  <c r="K1175" i="18"/>
  <c r="K1174" i="18"/>
  <c r="K1173" i="18"/>
  <c r="K1172" i="18"/>
  <c r="K1171" i="18"/>
  <c r="K1170" i="18"/>
  <c r="K1169" i="18"/>
  <c r="K1168" i="18"/>
  <c r="K1167" i="18"/>
  <c r="K1166" i="18"/>
  <c r="K1165" i="18"/>
  <c r="K1164" i="18"/>
  <c r="K1163" i="18"/>
  <c r="K1162" i="18"/>
  <c r="K1161" i="18"/>
  <c r="K1160" i="18"/>
  <c r="K1159" i="18"/>
  <c r="K1158" i="18"/>
  <c r="K1157" i="18"/>
  <c r="K1156" i="18"/>
  <c r="K1155" i="18"/>
  <c r="K1154" i="18"/>
  <c r="K1153" i="18"/>
  <c r="K1152" i="18"/>
  <c r="K1151" i="18"/>
  <c r="K1150" i="18"/>
  <c r="K1149" i="18"/>
  <c r="K1148" i="18"/>
  <c r="K1147" i="18"/>
  <c r="K1146" i="18"/>
  <c r="K1145" i="18"/>
  <c r="K1144" i="18"/>
  <c r="K1181" i="18" s="1"/>
  <c r="K1143" i="18"/>
  <c r="K1142" i="18"/>
  <c r="K1141" i="18"/>
  <c r="K1140" i="18"/>
  <c r="K1139" i="18"/>
  <c r="K1138" i="18"/>
  <c r="K1137" i="18"/>
  <c r="K1136" i="18"/>
  <c r="K1135" i="18"/>
  <c r="K1134" i="18"/>
  <c r="K1133" i="18"/>
  <c r="K1132" i="18"/>
  <c r="K1131" i="18"/>
  <c r="K1130" i="18"/>
  <c r="K1129" i="18"/>
  <c r="K1128" i="18"/>
  <c r="K1127" i="18"/>
  <c r="K1126" i="18"/>
  <c r="K1125" i="18"/>
  <c r="K1124" i="18"/>
  <c r="K1123" i="18"/>
  <c r="K1122" i="18"/>
  <c r="K1121" i="18"/>
  <c r="K1120" i="18"/>
  <c r="K1119" i="18"/>
  <c r="K1118" i="18"/>
  <c r="K1117" i="18"/>
  <c r="K1116" i="18"/>
  <c r="K1115" i="18"/>
  <c r="K1114" i="18"/>
  <c r="K1113" i="18"/>
  <c r="K1112" i="18"/>
  <c r="K1111" i="18"/>
  <c r="K1110" i="18"/>
  <c r="K1109" i="18"/>
  <c r="K1108" i="18"/>
  <c r="K1107" i="18"/>
  <c r="K1106" i="18"/>
  <c r="K1105" i="18"/>
  <c r="K1104" i="18"/>
  <c r="K1103" i="18"/>
  <c r="K1102" i="18"/>
  <c r="K1101" i="18"/>
  <c r="K1100" i="18"/>
  <c r="K1099" i="18"/>
  <c r="K1098" i="18"/>
  <c r="K1097" i="18"/>
  <c r="K1096" i="18"/>
  <c r="K1095" i="18"/>
  <c r="K1094" i="18"/>
  <c r="K1093" i="18"/>
  <c r="K1092" i="18"/>
  <c r="K1091" i="18"/>
  <c r="K1090" i="18"/>
  <c r="K1089" i="18"/>
  <c r="K1088" i="18"/>
  <c r="K1087" i="18"/>
  <c r="K1086" i="18"/>
  <c r="K1085" i="18"/>
  <c r="K1084" i="18"/>
  <c r="K1083" i="18"/>
  <c r="K1082" i="18"/>
  <c r="K1081" i="18"/>
  <c r="K1080" i="18"/>
  <c r="K1079" i="18"/>
  <c r="K1078" i="18"/>
  <c r="K1077" i="18"/>
  <c r="K1076" i="18"/>
  <c r="K1075" i="18"/>
  <c r="K1074" i="18"/>
  <c r="K1073" i="18"/>
  <c r="K1072" i="18"/>
  <c r="K1071" i="18"/>
  <c r="K1070" i="18"/>
  <c r="K1069" i="18"/>
  <c r="K1068" i="18"/>
  <c r="K1067" i="18"/>
  <c r="K1066" i="18"/>
  <c r="K1065" i="18"/>
  <c r="K1064" i="18"/>
  <c r="K1063" i="18"/>
  <c r="K1062" i="18"/>
  <c r="K1061" i="18"/>
  <c r="K1060" i="18"/>
  <c r="G1059" i="18"/>
  <c r="K1059" i="18" s="1"/>
  <c r="K1058" i="18"/>
  <c r="G1058" i="18"/>
  <c r="K1057" i="18"/>
  <c r="K1056" i="18"/>
  <c r="K1055" i="18"/>
  <c r="K1054" i="18"/>
  <c r="K1053" i="18"/>
  <c r="K1052" i="18"/>
  <c r="K1051" i="18"/>
  <c r="K1050" i="18"/>
  <c r="K1049" i="18"/>
  <c r="K1048" i="18"/>
  <c r="K1047" i="18"/>
  <c r="K1046" i="18"/>
  <c r="K1045" i="18"/>
  <c r="K1044" i="18"/>
  <c r="K1043" i="18"/>
  <c r="K1042" i="18"/>
  <c r="K1041" i="18"/>
  <c r="K1040" i="18"/>
  <c r="K1039" i="18"/>
  <c r="K1038" i="18"/>
  <c r="K1037" i="18"/>
  <c r="K1036" i="18"/>
  <c r="K1035" i="18"/>
  <c r="K1034" i="18"/>
  <c r="K1033" i="18"/>
  <c r="K1032" i="18"/>
  <c r="K1031" i="18"/>
  <c r="K1030" i="18"/>
  <c r="K1029" i="18"/>
  <c r="K1028" i="18"/>
  <c r="K1027" i="18"/>
  <c r="K1026" i="18"/>
  <c r="K1025" i="18"/>
  <c r="K1024" i="18"/>
  <c r="K1023" i="18"/>
  <c r="K1022" i="18"/>
  <c r="K1021" i="18"/>
  <c r="K1020" i="18"/>
  <c r="K1019" i="18"/>
  <c r="K1018" i="18"/>
  <c r="K1017" i="18"/>
  <c r="K1016" i="18"/>
  <c r="K1015" i="18"/>
  <c r="K1178" i="18" s="1"/>
  <c r="K1182" i="18" s="1"/>
  <c r="C1013" i="18"/>
  <c r="K1008" i="18"/>
  <c r="K1006" i="18"/>
  <c r="K1005" i="18"/>
  <c r="G1004" i="18"/>
  <c r="F1004" i="18"/>
  <c r="K1004" i="18" s="1"/>
  <c r="K1010" i="18" s="1"/>
  <c r="K1003" i="18"/>
  <c r="G1001" i="18"/>
  <c r="G1002" i="18" s="1"/>
  <c r="F1001" i="18"/>
  <c r="F1002" i="18" s="1"/>
  <c r="K1002" i="18" s="1"/>
  <c r="K1000" i="18"/>
  <c r="C998" i="18"/>
  <c r="K993" i="18"/>
  <c r="K991" i="18"/>
  <c r="K989" i="18"/>
  <c r="K995" i="18" s="1"/>
  <c r="K988" i="18"/>
  <c r="K987" i="18"/>
  <c r="K986" i="18"/>
  <c r="K992" i="18" s="1"/>
  <c r="K996" i="18" s="1"/>
  <c r="G986" i="18"/>
  <c r="F986" i="18"/>
  <c r="K985" i="18"/>
  <c r="C983" i="18"/>
  <c r="K978" i="18"/>
  <c r="K976" i="18"/>
  <c r="K975" i="18"/>
  <c r="K974" i="18"/>
  <c r="K980" i="18" s="1"/>
  <c r="K973" i="18"/>
  <c r="K972" i="18"/>
  <c r="K971" i="18"/>
  <c r="G971" i="18"/>
  <c r="F971" i="18"/>
  <c r="K970" i="18"/>
  <c r="C968" i="18"/>
  <c r="K963" i="18"/>
  <c r="K961" i="18"/>
  <c r="K959" i="18"/>
  <c r="K965" i="18" s="1"/>
  <c r="G959" i="18"/>
  <c r="F959" i="18"/>
  <c r="K958" i="18"/>
  <c r="G956" i="18"/>
  <c r="G957" i="18" s="1"/>
  <c r="F956" i="18"/>
  <c r="F957" i="18" s="1"/>
  <c r="K957" i="18" s="1"/>
  <c r="K955" i="18"/>
  <c r="C953" i="18"/>
  <c r="K950" i="18"/>
  <c r="K948" i="18"/>
  <c r="K946" i="18"/>
  <c r="K945" i="18"/>
  <c r="K944" i="18"/>
  <c r="K943" i="18"/>
  <c r="K942" i="18"/>
  <c r="K941" i="18"/>
  <c r="G941" i="18"/>
  <c r="F941" i="18"/>
  <c r="K940" i="18"/>
  <c r="K947" i="18" s="1"/>
  <c r="K951" i="18" s="1"/>
  <c r="C938" i="18"/>
  <c r="K933" i="18"/>
  <c r="K931" i="18"/>
  <c r="K930" i="18"/>
  <c r="K929" i="18"/>
  <c r="K935" i="18" s="1"/>
  <c r="K928" i="18"/>
  <c r="K927" i="18"/>
  <c r="G926" i="18"/>
  <c r="F926" i="18"/>
  <c r="K926" i="18" s="1"/>
  <c r="K925" i="18"/>
  <c r="G925" i="18"/>
  <c r="F925" i="18"/>
  <c r="K924" i="18"/>
  <c r="C922" i="18"/>
  <c r="K917" i="18"/>
  <c r="K915" i="18"/>
  <c r="K914" i="18"/>
  <c r="K913" i="18"/>
  <c r="K919" i="18" s="1"/>
  <c r="K912" i="18"/>
  <c r="G910" i="18"/>
  <c r="G911" i="18" s="1"/>
  <c r="F910" i="18"/>
  <c r="F911" i="18" s="1"/>
  <c r="K911" i="18" s="1"/>
  <c r="K909" i="18"/>
  <c r="C907" i="18"/>
  <c r="K904" i="18"/>
  <c r="K902" i="18"/>
  <c r="K901" i="18"/>
  <c r="K905" i="18" s="1"/>
  <c r="K900" i="18"/>
  <c r="K899" i="18"/>
  <c r="K898" i="18"/>
  <c r="K897" i="18"/>
  <c r="K896" i="18"/>
  <c r="G895" i="18"/>
  <c r="K895" i="18" s="1"/>
  <c r="F895" i="18"/>
  <c r="K894" i="18"/>
  <c r="C892" i="18"/>
  <c r="K889" i="18"/>
  <c r="K887" i="18"/>
  <c r="K885" i="18"/>
  <c r="K884" i="18"/>
  <c r="K883" i="18"/>
  <c r="K882" i="18"/>
  <c r="K881" i="18"/>
  <c r="K880" i="18"/>
  <c r="K879" i="18"/>
  <c r="K878" i="18"/>
  <c r="K877" i="18"/>
  <c r="K876" i="18"/>
  <c r="K875" i="18"/>
  <c r="K874" i="18"/>
  <c r="K873" i="18"/>
  <c r="K872" i="18"/>
  <c r="K871" i="18"/>
  <c r="K870" i="18"/>
  <c r="K869" i="18"/>
  <c r="K868" i="18"/>
  <c r="K867" i="18"/>
  <c r="K866" i="18"/>
  <c r="K865" i="18"/>
  <c r="K864" i="18"/>
  <c r="K863" i="18"/>
  <c r="K862" i="18"/>
  <c r="K861" i="18"/>
  <c r="K860" i="18"/>
  <c r="K859" i="18"/>
  <c r="K858" i="18"/>
  <c r="K857" i="18"/>
  <c r="K856" i="18"/>
  <c r="K855" i="18"/>
  <c r="K854" i="18"/>
  <c r="K853" i="18"/>
  <c r="K852" i="18"/>
  <c r="K851" i="18"/>
  <c r="K850" i="18"/>
  <c r="K849" i="18"/>
  <c r="K848" i="18"/>
  <c r="K847" i="18"/>
  <c r="K846" i="18"/>
  <c r="K845" i="18"/>
  <c r="K844" i="18"/>
  <c r="K843" i="18"/>
  <c r="K842" i="18"/>
  <c r="K841" i="18"/>
  <c r="K840" i="18"/>
  <c r="K839" i="18"/>
  <c r="K838" i="18"/>
  <c r="K837" i="18"/>
  <c r="K836" i="18"/>
  <c r="K835" i="18"/>
  <c r="K834" i="18"/>
  <c r="K833" i="18"/>
  <c r="K832" i="18"/>
  <c r="K831" i="18"/>
  <c r="K830" i="18"/>
  <c r="K829" i="18"/>
  <c r="K828" i="18"/>
  <c r="K827" i="18"/>
  <c r="K826" i="18"/>
  <c r="K825" i="18"/>
  <c r="K824" i="18"/>
  <c r="K823" i="18"/>
  <c r="K822" i="18"/>
  <c r="K821" i="18"/>
  <c r="K820" i="18"/>
  <c r="K819" i="18"/>
  <c r="K818" i="18"/>
  <c r="K817" i="18"/>
  <c r="K816" i="18"/>
  <c r="K815" i="18"/>
  <c r="K814" i="18"/>
  <c r="K813" i="18"/>
  <c r="K812" i="18"/>
  <c r="K811" i="18"/>
  <c r="K810" i="18"/>
  <c r="K809" i="18"/>
  <c r="K808" i="18"/>
  <c r="K807" i="18"/>
  <c r="K806" i="18"/>
  <c r="K805" i="18"/>
  <c r="K804" i="18"/>
  <c r="K803" i="18"/>
  <c r="K802" i="18"/>
  <c r="K801" i="18"/>
  <c r="K800" i="18"/>
  <c r="K799" i="18"/>
  <c r="K798" i="18"/>
  <c r="K797" i="18"/>
  <c r="K796" i="18"/>
  <c r="K795" i="18"/>
  <c r="K794" i="18"/>
  <c r="K793" i="18"/>
  <c r="K792" i="18"/>
  <c r="K791" i="18"/>
  <c r="K790" i="18"/>
  <c r="K789" i="18"/>
  <c r="K788" i="18"/>
  <c r="K787" i="18"/>
  <c r="K786" i="18"/>
  <c r="K785" i="18"/>
  <c r="K784" i="18"/>
  <c r="K783" i="18"/>
  <c r="K782" i="18"/>
  <c r="K781" i="18"/>
  <c r="K780" i="18"/>
  <c r="K779" i="18"/>
  <c r="K778" i="18"/>
  <c r="K777" i="18"/>
  <c r="K776" i="18"/>
  <c r="K775" i="18"/>
  <c r="K774" i="18"/>
  <c r="K773" i="18"/>
  <c r="K772" i="18"/>
  <c r="K771" i="18"/>
  <c r="K770" i="18"/>
  <c r="K769" i="18"/>
  <c r="K768" i="18"/>
  <c r="K767" i="18"/>
  <c r="K766" i="18"/>
  <c r="K765" i="18"/>
  <c r="K764" i="18"/>
  <c r="K763" i="18"/>
  <c r="K762" i="18"/>
  <c r="K761" i="18"/>
  <c r="C759" i="18"/>
  <c r="K756" i="18"/>
  <c r="K754" i="18"/>
  <c r="K752" i="18"/>
  <c r="K751" i="18"/>
  <c r="K750" i="18"/>
  <c r="K749" i="18"/>
  <c r="K748" i="18"/>
  <c r="K747" i="18"/>
  <c r="K746" i="18"/>
  <c r="K745" i="18"/>
  <c r="K744" i="18"/>
  <c r="K743" i="18"/>
  <c r="K742" i="18"/>
  <c r="K741" i="18"/>
  <c r="K753" i="18" s="1"/>
  <c r="K740" i="18"/>
  <c r="C738" i="18"/>
  <c r="K733" i="18"/>
  <c r="K731" i="18"/>
  <c r="K730" i="18"/>
  <c r="K729" i="18"/>
  <c r="K728" i="18"/>
  <c r="K735" i="18" s="1"/>
  <c r="K727" i="18"/>
  <c r="K726" i="18"/>
  <c r="K725" i="18"/>
  <c r="K724" i="18"/>
  <c r="K723" i="18"/>
  <c r="K722" i="18"/>
  <c r="K721" i="18"/>
  <c r="K720" i="18"/>
  <c r="K719" i="18"/>
  <c r="C717" i="18"/>
  <c r="K714" i="18"/>
  <c r="K712" i="18"/>
  <c r="K710" i="18"/>
  <c r="K709" i="18"/>
  <c r="K708" i="18"/>
  <c r="K707" i="18"/>
  <c r="K706" i="18"/>
  <c r="K705" i="18"/>
  <c r="K704" i="18"/>
  <c r="K703" i="18"/>
  <c r="K702" i="18"/>
  <c r="K701" i="18"/>
  <c r="K700" i="18"/>
  <c r="K699" i="18"/>
  <c r="K711" i="18" s="1"/>
  <c r="C697" i="18"/>
  <c r="K692" i="18"/>
  <c r="K689" i="18"/>
  <c r="K688" i="18"/>
  <c r="K687" i="18"/>
  <c r="K686" i="18"/>
  <c r="K685" i="18"/>
  <c r="K684" i="18"/>
  <c r="K683" i="18"/>
  <c r="K682" i="18"/>
  <c r="K681" i="18"/>
  <c r="K680" i="18"/>
  <c r="K679" i="18"/>
  <c r="K678" i="18"/>
  <c r="K677" i="18"/>
  <c r="K691" i="18" s="1"/>
  <c r="C675" i="18"/>
  <c r="K670" i="18"/>
  <c r="K668" i="18"/>
  <c r="K667" i="18"/>
  <c r="K666" i="18"/>
  <c r="K672" i="18" s="1"/>
  <c r="K665" i="18"/>
  <c r="K664" i="18"/>
  <c r="K663" i="18"/>
  <c r="K662" i="18"/>
  <c r="K661" i="18"/>
  <c r="K660" i="18"/>
  <c r="K659" i="18"/>
  <c r="K658" i="18"/>
  <c r="K657" i="18"/>
  <c r="C655" i="18"/>
  <c r="K650" i="18"/>
  <c r="K648" i="18"/>
  <c r="K647" i="18"/>
  <c r="K652" i="18" s="1"/>
  <c r="K646" i="18"/>
  <c r="K645" i="18"/>
  <c r="K644" i="18"/>
  <c r="K643" i="18"/>
  <c r="K642" i="18"/>
  <c r="K641" i="18"/>
  <c r="K640" i="18"/>
  <c r="K639" i="18"/>
  <c r="K638" i="18"/>
  <c r="K637" i="18"/>
  <c r="K649" i="18" s="1"/>
  <c r="K636" i="18"/>
  <c r="C634" i="18"/>
  <c r="K629" i="18"/>
  <c r="K627" i="18"/>
  <c r="K626" i="18"/>
  <c r="K625" i="18"/>
  <c r="K624" i="18"/>
  <c r="K631" i="18" s="1"/>
  <c r="K623" i="18"/>
  <c r="K622" i="18"/>
  <c r="K621" i="18"/>
  <c r="K620" i="18"/>
  <c r="K619" i="18"/>
  <c r="K618" i="18"/>
  <c r="K617" i="18"/>
  <c r="K616" i="18"/>
  <c r="K628" i="18" s="1"/>
  <c r="C614" i="18"/>
  <c r="K609" i="18"/>
  <c r="K607" i="18"/>
  <c r="K606" i="18"/>
  <c r="K611" i="18" s="1"/>
  <c r="K605" i="18"/>
  <c r="K604" i="18"/>
  <c r="K603" i="18"/>
  <c r="K602" i="18"/>
  <c r="K601" i="18"/>
  <c r="K600" i="18"/>
  <c r="K599" i="18"/>
  <c r="K598" i="18"/>
  <c r="K597" i="18"/>
  <c r="K596" i="18"/>
  <c r="C594" i="18"/>
  <c r="K589" i="18"/>
  <c r="K587" i="18"/>
  <c r="J586" i="18"/>
  <c r="K586" i="18" s="1"/>
  <c r="I586" i="18"/>
  <c r="J585" i="18"/>
  <c r="I585" i="18"/>
  <c r="K584" i="18"/>
  <c r="J584" i="18"/>
  <c r="I584" i="18"/>
  <c r="J583" i="18"/>
  <c r="I583" i="18"/>
  <c r="K583" i="18" s="1"/>
  <c r="J582" i="18"/>
  <c r="K582" i="18" s="1"/>
  <c r="I582" i="18"/>
  <c r="J581" i="18"/>
  <c r="I581" i="18"/>
  <c r="K580" i="18"/>
  <c r="J580" i="18"/>
  <c r="I580" i="18"/>
  <c r="J579" i="18"/>
  <c r="I579" i="18"/>
  <c r="K579" i="18" s="1"/>
  <c r="J578" i="18"/>
  <c r="K578" i="18" s="1"/>
  <c r="I578" i="18"/>
  <c r="J577" i="18"/>
  <c r="I577" i="18"/>
  <c r="K577" i="18" s="1"/>
  <c r="K576" i="18"/>
  <c r="J576" i="18"/>
  <c r="I576" i="18"/>
  <c r="J575" i="18"/>
  <c r="I575" i="18"/>
  <c r="K575" i="18" s="1"/>
  <c r="J574" i="18"/>
  <c r="K574" i="18" s="1"/>
  <c r="I574" i="18"/>
  <c r="J573" i="18"/>
  <c r="I573" i="18"/>
  <c r="K572" i="18"/>
  <c r="J572" i="18"/>
  <c r="I572" i="18"/>
  <c r="J571" i="18"/>
  <c r="I571" i="18"/>
  <c r="K571" i="18" s="1"/>
  <c r="J570" i="18"/>
  <c r="K570" i="18" s="1"/>
  <c r="I570" i="18"/>
  <c r="J569" i="18"/>
  <c r="I569" i="18"/>
  <c r="K568" i="18"/>
  <c r="J568" i="18"/>
  <c r="I568" i="18"/>
  <c r="J567" i="18"/>
  <c r="I567" i="18"/>
  <c r="K567" i="18" s="1"/>
  <c r="J566" i="18"/>
  <c r="K566" i="18" s="1"/>
  <c r="I566" i="18"/>
  <c r="J565" i="18"/>
  <c r="I565" i="18"/>
  <c r="K564" i="18"/>
  <c r="J564" i="18"/>
  <c r="I564" i="18"/>
  <c r="J563" i="18"/>
  <c r="I563" i="18"/>
  <c r="K563" i="18" s="1"/>
  <c r="J562" i="18"/>
  <c r="K562" i="18" s="1"/>
  <c r="I562" i="18"/>
  <c r="J561" i="18"/>
  <c r="I561" i="18"/>
  <c r="K561" i="18" s="1"/>
  <c r="K560" i="18"/>
  <c r="J560" i="18"/>
  <c r="I560" i="18"/>
  <c r="J559" i="18"/>
  <c r="I559" i="18"/>
  <c r="K559" i="18" s="1"/>
  <c r="J558" i="18"/>
  <c r="K558" i="18" s="1"/>
  <c r="I558" i="18"/>
  <c r="J557" i="18"/>
  <c r="I557" i="18"/>
  <c r="K556" i="18"/>
  <c r="J556" i="18"/>
  <c r="I556" i="18"/>
  <c r="J555" i="18"/>
  <c r="I555" i="18"/>
  <c r="K555" i="18" s="1"/>
  <c r="J554" i="18"/>
  <c r="K554" i="18" s="1"/>
  <c r="I554" i="18"/>
  <c r="J553" i="18"/>
  <c r="I553" i="18"/>
  <c r="K552" i="18"/>
  <c r="J552" i="18"/>
  <c r="I552" i="18"/>
  <c r="J551" i="18"/>
  <c r="I551" i="18"/>
  <c r="K551" i="18" s="1"/>
  <c r="J550" i="18"/>
  <c r="K550" i="18" s="1"/>
  <c r="I550" i="18"/>
  <c r="J549" i="18"/>
  <c r="I549" i="18"/>
  <c r="K548" i="18"/>
  <c r="J548" i="18"/>
  <c r="I548" i="18"/>
  <c r="J547" i="18"/>
  <c r="I547" i="18"/>
  <c r="K547" i="18" s="1"/>
  <c r="J546" i="18"/>
  <c r="K546" i="18" s="1"/>
  <c r="I546" i="18"/>
  <c r="J545" i="18"/>
  <c r="I545" i="18"/>
  <c r="K545" i="18" s="1"/>
  <c r="K544" i="18"/>
  <c r="J544" i="18"/>
  <c r="I544" i="18"/>
  <c r="J543" i="18"/>
  <c r="I543" i="18"/>
  <c r="K543" i="18" s="1"/>
  <c r="J542" i="18"/>
  <c r="K542" i="18" s="1"/>
  <c r="I542" i="18"/>
  <c r="J541" i="18"/>
  <c r="I541" i="18"/>
  <c r="K540" i="18"/>
  <c r="J540" i="18"/>
  <c r="I540" i="18"/>
  <c r="J539" i="18"/>
  <c r="I539" i="18"/>
  <c r="K539" i="18" s="1"/>
  <c r="J538" i="18"/>
  <c r="K538" i="18" s="1"/>
  <c r="I538" i="18"/>
  <c r="J537" i="18"/>
  <c r="I537" i="18"/>
  <c r="K536" i="18"/>
  <c r="J536" i="18"/>
  <c r="I536" i="18"/>
  <c r="J535" i="18"/>
  <c r="I535" i="18"/>
  <c r="K535" i="18" s="1"/>
  <c r="J534" i="18"/>
  <c r="K534" i="18" s="1"/>
  <c r="I534" i="18"/>
  <c r="J533" i="18"/>
  <c r="I533" i="18"/>
  <c r="K532" i="18"/>
  <c r="J532" i="18"/>
  <c r="I532" i="18"/>
  <c r="J531" i="18"/>
  <c r="I531" i="18"/>
  <c r="K531" i="18" s="1"/>
  <c r="J530" i="18"/>
  <c r="K530" i="18" s="1"/>
  <c r="I530" i="18"/>
  <c r="J529" i="18"/>
  <c r="I529" i="18"/>
  <c r="K529" i="18" s="1"/>
  <c r="K528" i="18"/>
  <c r="J528" i="18"/>
  <c r="I528" i="18"/>
  <c r="J527" i="18"/>
  <c r="I527" i="18"/>
  <c r="K527" i="18" s="1"/>
  <c r="J526" i="18"/>
  <c r="K526" i="18" s="1"/>
  <c r="I526" i="18"/>
  <c r="J525" i="18"/>
  <c r="I525" i="18"/>
  <c r="K524" i="18"/>
  <c r="J524" i="18"/>
  <c r="I524" i="18"/>
  <c r="J523" i="18"/>
  <c r="I523" i="18"/>
  <c r="K523" i="18" s="1"/>
  <c r="J522" i="18"/>
  <c r="K522" i="18" s="1"/>
  <c r="I522" i="18"/>
  <c r="J521" i="18"/>
  <c r="I521" i="18"/>
  <c r="K520" i="18"/>
  <c r="J520" i="18"/>
  <c r="I520" i="18"/>
  <c r="J519" i="18"/>
  <c r="I519" i="18"/>
  <c r="K519" i="18" s="1"/>
  <c r="J518" i="18"/>
  <c r="K518" i="18" s="1"/>
  <c r="I518" i="18"/>
  <c r="J517" i="18"/>
  <c r="I517" i="18"/>
  <c r="K516" i="18"/>
  <c r="J516" i="18"/>
  <c r="I516" i="18"/>
  <c r="J515" i="18"/>
  <c r="I515" i="18"/>
  <c r="K515" i="18" s="1"/>
  <c r="J514" i="18"/>
  <c r="K514" i="18" s="1"/>
  <c r="I514" i="18"/>
  <c r="J513" i="18"/>
  <c r="I513" i="18"/>
  <c r="K513" i="18" s="1"/>
  <c r="K512" i="18"/>
  <c r="J512" i="18"/>
  <c r="I512" i="18"/>
  <c r="J511" i="18"/>
  <c r="I511" i="18"/>
  <c r="K511" i="18" s="1"/>
  <c r="J510" i="18"/>
  <c r="K510" i="18" s="1"/>
  <c r="I510" i="18"/>
  <c r="J509" i="18"/>
  <c r="I509" i="18"/>
  <c r="K508" i="18"/>
  <c r="J508" i="18"/>
  <c r="I508" i="18"/>
  <c r="J507" i="18"/>
  <c r="I507" i="18"/>
  <c r="K507" i="18" s="1"/>
  <c r="J506" i="18"/>
  <c r="K506" i="18" s="1"/>
  <c r="I506" i="18"/>
  <c r="J505" i="18"/>
  <c r="I505" i="18"/>
  <c r="K504" i="18"/>
  <c r="J504" i="18"/>
  <c r="I504" i="18"/>
  <c r="J503" i="18"/>
  <c r="I503" i="18"/>
  <c r="K503" i="18" s="1"/>
  <c r="J502" i="18"/>
  <c r="K502" i="18" s="1"/>
  <c r="I502" i="18"/>
  <c r="J501" i="18"/>
  <c r="I501" i="18"/>
  <c r="C499" i="18"/>
  <c r="K492" i="18"/>
  <c r="K491" i="18"/>
  <c r="K490" i="18"/>
  <c r="K489" i="18"/>
  <c r="K488" i="18"/>
  <c r="K487" i="18"/>
  <c r="K486" i="18"/>
  <c r="K485" i="18"/>
  <c r="K484" i="18"/>
  <c r="K483" i="18"/>
  <c r="K482" i="18"/>
  <c r="K481" i="18"/>
  <c r="K480" i="18"/>
  <c r="K479" i="18"/>
  <c r="K478" i="18"/>
  <c r="K477" i="18"/>
  <c r="K476" i="18"/>
  <c r="K475" i="18"/>
  <c r="K474" i="18"/>
  <c r="E474" i="18"/>
  <c r="K473" i="18"/>
  <c r="K472" i="18"/>
  <c r="K471" i="18"/>
  <c r="K470" i="18"/>
  <c r="K469" i="18"/>
  <c r="K468" i="18"/>
  <c r="K467" i="18"/>
  <c r="K466" i="18"/>
  <c r="K465" i="18"/>
  <c r="K464" i="18"/>
  <c r="K463" i="18"/>
  <c r="K462" i="18"/>
  <c r="K461" i="18"/>
  <c r="K460" i="18"/>
  <c r="K459" i="18"/>
  <c r="K458" i="18"/>
  <c r="K493" i="18" s="1"/>
  <c r="K449" i="18"/>
  <c r="K450" i="18" s="1"/>
  <c r="K448" i="18"/>
  <c r="K447" i="18"/>
  <c r="K443" i="18"/>
  <c r="K439" i="18"/>
  <c r="K442" i="18" s="1"/>
  <c r="K438" i="18"/>
  <c r="K437" i="18"/>
  <c r="K436" i="18"/>
  <c r="K429" i="18"/>
  <c r="K427" i="18"/>
  <c r="K426" i="18"/>
  <c r="K425" i="18"/>
  <c r="K428" i="18" s="1"/>
  <c r="K421" i="18"/>
  <c r="K420" i="18"/>
  <c r="K417" i="18"/>
  <c r="K416" i="18"/>
  <c r="K415" i="18"/>
  <c r="K414" i="18"/>
  <c r="K405" i="18"/>
  <c r="K404" i="18"/>
  <c r="K403" i="18"/>
  <c r="K406" i="18" s="1"/>
  <c r="L398" i="18"/>
  <c r="K394" i="18"/>
  <c r="K393" i="18"/>
  <c r="K392" i="18"/>
  <c r="K391" i="18"/>
  <c r="K395" i="18" s="1"/>
  <c r="K382" i="18"/>
  <c r="K380" i="18"/>
  <c r="K379" i="18"/>
  <c r="K378" i="18"/>
  <c r="K377" i="18"/>
  <c r="K376" i="18"/>
  <c r="K375" i="18"/>
  <c r="K374" i="18"/>
  <c r="K373" i="18"/>
  <c r="K372" i="18"/>
  <c r="K371" i="18"/>
  <c r="K370" i="18"/>
  <c r="K369" i="18"/>
  <c r="K368" i="18"/>
  <c r="K367" i="18"/>
  <c r="K366" i="18"/>
  <c r="K365" i="18"/>
  <c r="K364" i="18"/>
  <c r="K363" i="18"/>
  <c r="K362" i="18"/>
  <c r="K361" i="18"/>
  <c r="K360" i="18"/>
  <c r="K359" i="18"/>
  <c r="K358" i="18"/>
  <c r="K357" i="18"/>
  <c r="K356" i="18"/>
  <c r="K355" i="18"/>
  <c r="K354" i="18"/>
  <c r="K353" i="18"/>
  <c r="K352" i="18"/>
  <c r="K351" i="18"/>
  <c r="K350" i="18"/>
  <c r="K349" i="18"/>
  <c r="K348" i="18"/>
  <c r="K347" i="18"/>
  <c r="K346" i="18"/>
  <c r="K345" i="18"/>
  <c r="K344" i="18"/>
  <c r="K343" i="18"/>
  <c r="K342" i="18"/>
  <c r="K341" i="18"/>
  <c r="K340" i="18"/>
  <c r="K339" i="18"/>
  <c r="K338" i="18"/>
  <c r="K337" i="18"/>
  <c r="K332" i="18"/>
  <c r="K328" i="18"/>
  <c r="K329" i="18" s="1"/>
  <c r="K333" i="18" s="1"/>
  <c r="K327" i="18"/>
  <c r="K326" i="18"/>
  <c r="K325" i="18"/>
  <c r="K316" i="18"/>
  <c r="K317" i="18" s="1"/>
  <c r="K315" i="18"/>
  <c r="K314" i="18"/>
  <c r="K306" i="18"/>
  <c r="K309" i="18" s="1"/>
  <c r="K305" i="18"/>
  <c r="K304" i="18"/>
  <c r="K303" i="18"/>
  <c r="K294" i="18"/>
  <c r="K295" i="18" s="1"/>
  <c r="K293" i="18"/>
  <c r="K292" i="18"/>
  <c r="K284" i="18"/>
  <c r="K283" i="18"/>
  <c r="K282" i="18"/>
  <c r="K281" i="18"/>
  <c r="K280" i="18"/>
  <c r="K271" i="18"/>
  <c r="K270" i="18"/>
  <c r="K269" i="18"/>
  <c r="K272" i="18" s="1"/>
  <c r="K260" i="18"/>
  <c r="K259" i="18"/>
  <c r="K258" i="18"/>
  <c r="K257" i="18"/>
  <c r="K261" i="18" s="1"/>
  <c r="K248" i="18"/>
  <c r="K247" i="18"/>
  <c r="K246" i="18"/>
  <c r="K245" i="18"/>
  <c r="K244" i="18"/>
  <c r="K243" i="18"/>
  <c r="K242" i="18"/>
  <c r="K241" i="18"/>
  <c r="K240" i="18"/>
  <c r="K239" i="18"/>
  <c r="K238" i="18"/>
  <c r="K237" i="18"/>
  <c r="K236" i="18"/>
  <c r="K235" i="18"/>
  <c r="K234" i="18"/>
  <c r="K233" i="18"/>
  <c r="K232" i="18"/>
  <c r="K231" i="18"/>
  <c r="K230" i="18"/>
  <c r="K229" i="18"/>
  <c r="K228" i="18"/>
  <c r="K227" i="18"/>
  <c r="K226" i="18"/>
  <c r="K225" i="18"/>
  <c r="K224" i="18"/>
  <c r="K223" i="18"/>
  <c r="K222" i="18"/>
  <c r="K221" i="18"/>
  <c r="K220" i="18"/>
  <c r="K219" i="18"/>
  <c r="K218" i="18"/>
  <c r="K217" i="18"/>
  <c r="K216" i="18"/>
  <c r="K215" i="18"/>
  <c r="K214" i="18"/>
  <c r="K213" i="18"/>
  <c r="K212" i="18"/>
  <c r="K211" i="18"/>
  <c r="K210" i="18"/>
  <c r="K209" i="18"/>
  <c r="K208" i="18"/>
  <c r="K207" i="18"/>
  <c r="K206" i="18"/>
  <c r="K205" i="18"/>
  <c r="K204" i="18"/>
  <c r="K203" i="18"/>
  <c r="K202" i="18"/>
  <c r="K201" i="18"/>
  <c r="K200" i="18"/>
  <c r="K199" i="18"/>
  <c r="K198" i="18"/>
  <c r="K197" i="18"/>
  <c r="K196" i="18"/>
  <c r="K187" i="18"/>
  <c r="K186" i="18"/>
  <c r="K185" i="18"/>
  <c r="K188" i="18" s="1"/>
  <c r="K176" i="18"/>
  <c r="K175" i="18"/>
  <c r="K177" i="18" s="1"/>
  <c r="I175" i="18"/>
  <c r="K174" i="18"/>
  <c r="K165" i="18"/>
  <c r="K155" i="18"/>
  <c r="K145" i="18"/>
  <c r="K144" i="18"/>
  <c r="H144" i="18"/>
  <c r="F144" i="18"/>
  <c r="K143" i="18"/>
  <c r="K146" i="18" s="1"/>
  <c r="F143" i="18"/>
  <c r="K139" i="18"/>
  <c r="K134" i="18"/>
  <c r="K133" i="18"/>
  <c r="K132" i="18"/>
  <c r="K131" i="18"/>
  <c r="K130" i="18"/>
  <c r="K135" i="18" s="1"/>
  <c r="K138" i="18" s="1"/>
  <c r="K129" i="18"/>
  <c r="K120" i="18"/>
  <c r="K121" i="18" s="1"/>
  <c r="K125" i="18" s="1"/>
  <c r="K119" i="18"/>
  <c r="K118" i="18"/>
  <c r="K117" i="18"/>
  <c r="K116" i="18"/>
  <c r="K115" i="18"/>
  <c r="K106" i="18"/>
  <c r="K105" i="18"/>
  <c r="K104" i="18"/>
  <c r="K100" i="18"/>
  <c r="K99" i="18"/>
  <c r="K96" i="18"/>
  <c r="K95" i="18"/>
  <c r="K94" i="18"/>
  <c r="K86" i="18"/>
  <c r="K90" i="18" s="1"/>
  <c r="K85" i="18"/>
  <c r="K84" i="18"/>
  <c r="K80" i="18"/>
  <c r="K76" i="18"/>
  <c r="K79" i="18" s="1"/>
  <c r="K75" i="18"/>
  <c r="K74" i="18"/>
  <c r="K65" i="18"/>
  <c r="K64" i="18"/>
  <c r="K66" i="18" s="1"/>
  <c r="E64" i="18"/>
  <c r="K59" i="18"/>
  <c r="K55" i="18"/>
  <c r="K56" i="18" s="1"/>
  <c r="K60" i="18" s="1"/>
  <c r="K54" i="18"/>
  <c r="E54" i="18"/>
  <c r="K45" i="18"/>
  <c r="K44" i="18"/>
  <c r="K46" i="18" s="1"/>
  <c r="K34" i="18"/>
  <c r="K33" i="18"/>
  <c r="K36" i="18" s="1"/>
  <c r="K32" i="18"/>
  <c r="K31" i="18"/>
  <c r="K30" i="18"/>
  <c r="K29" i="18"/>
  <c r="K28" i="18"/>
  <c r="K27" i="18"/>
  <c r="K18" i="18"/>
  <c r="I17" i="18"/>
  <c r="K17" i="18" s="1"/>
  <c r="K16" i="18"/>
  <c r="K15" i="18"/>
  <c r="K14" i="18"/>
  <c r="K13" i="18"/>
  <c r="K12" i="18"/>
  <c r="K11" i="18"/>
  <c r="K10" i="18"/>
  <c r="K1544" i="17"/>
  <c r="K1542" i="17"/>
  <c r="K1541" i="17"/>
  <c r="K1546" i="17" s="1"/>
  <c r="F1541" i="17"/>
  <c r="C1539" i="17"/>
  <c r="K1536" i="17"/>
  <c r="K1534" i="17"/>
  <c r="K1533" i="17"/>
  <c r="K1537" i="17" s="1"/>
  <c r="K1532" i="17"/>
  <c r="K1531" i="17"/>
  <c r="C1529" i="17"/>
  <c r="K1526" i="17"/>
  <c r="K1524" i="17"/>
  <c r="K1522" i="17"/>
  <c r="K1521" i="17"/>
  <c r="K1520" i="17"/>
  <c r="K1519" i="17"/>
  <c r="K1518" i="17"/>
  <c r="K1517" i="17"/>
  <c r="K1516" i="17"/>
  <c r="K1515" i="17"/>
  <c r="K1514" i="17"/>
  <c r="K1513" i="17"/>
  <c r="K1512" i="17"/>
  <c r="K1511" i="17"/>
  <c r="K1510" i="17"/>
  <c r="K1509" i="17"/>
  <c r="K1508" i="17"/>
  <c r="K1507" i="17"/>
  <c r="K1506" i="17"/>
  <c r="K1523" i="17" s="1"/>
  <c r="K1527" i="17" s="1"/>
  <c r="C1504" i="17"/>
  <c r="K1501" i="17"/>
  <c r="K1499" i="17"/>
  <c r="K1498" i="17"/>
  <c r="K1502" i="17" s="1"/>
  <c r="K1497" i="17"/>
  <c r="K1496" i="17"/>
  <c r="K1495" i="17"/>
  <c r="C1493" i="17"/>
  <c r="K1488" i="17"/>
  <c r="K1486" i="17"/>
  <c r="K1485" i="17"/>
  <c r="K1484" i="17"/>
  <c r="K1483" i="17"/>
  <c r="K1482" i="17"/>
  <c r="K1481" i="17"/>
  <c r="K1480" i="17"/>
  <c r="K1479" i="17"/>
  <c r="K1478" i="17"/>
  <c r="K1477" i="17"/>
  <c r="K1490" i="17" s="1"/>
  <c r="K1476" i="17"/>
  <c r="K1475" i="17"/>
  <c r="K1474" i="17"/>
  <c r="K1473" i="17"/>
  <c r="K1472" i="17"/>
  <c r="K1471" i="17"/>
  <c r="K1470" i="17"/>
  <c r="K1469" i="17"/>
  <c r="K1468" i="17"/>
  <c r="K1467" i="17"/>
  <c r="K1466" i="17"/>
  <c r="K1465" i="17"/>
  <c r="K1464" i="17"/>
  <c r="K1463" i="17"/>
  <c r="K1462" i="17"/>
  <c r="K1461" i="17"/>
  <c r="K1460" i="17"/>
  <c r="K1459" i="17"/>
  <c r="K1458" i="17"/>
  <c r="K1457" i="17"/>
  <c r="K1456" i="17"/>
  <c r="K1455" i="17"/>
  <c r="K1454" i="17"/>
  <c r="K1453" i="17"/>
  <c r="K1452" i="17"/>
  <c r="K1451" i="17"/>
  <c r="K1450" i="17"/>
  <c r="K1449" i="17"/>
  <c r="K1448" i="17"/>
  <c r="K1447" i="17"/>
  <c r="K1446" i="17"/>
  <c r="K1445" i="17"/>
  <c r="K1444" i="17"/>
  <c r="K1443" i="17"/>
  <c r="K1442" i="17"/>
  <c r="K1441" i="17"/>
  <c r="K1440" i="17"/>
  <c r="K1439" i="17"/>
  <c r="K1438" i="17"/>
  <c r="K1437" i="17"/>
  <c r="K1436" i="17"/>
  <c r="K1435" i="17"/>
  <c r="K1434" i="17"/>
  <c r="K1433" i="17"/>
  <c r="K1432" i="17"/>
  <c r="K1431" i="17"/>
  <c r="K1430" i="17"/>
  <c r="K1429" i="17"/>
  <c r="K1428" i="17"/>
  <c r="K1427" i="17"/>
  <c r="K1426" i="17"/>
  <c r="K1425" i="17"/>
  <c r="K1424" i="17"/>
  <c r="K1423" i="17"/>
  <c r="K1422" i="17"/>
  <c r="K1421" i="17"/>
  <c r="K1420" i="17"/>
  <c r="K1419" i="17"/>
  <c r="K1418" i="17"/>
  <c r="K1417" i="17"/>
  <c r="K1487" i="17" s="1"/>
  <c r="K1491" i="17" s="1"/>
  <c r="C1415" i="17"/>
  <c r="K1410" i="17"/>
  <c r="K1408" i="17"/>
  <c r="K1407" i="17"/>
  <c r="K1406" i="17"/>
  <c r="K1405" i="17"/>
  <c r="K1412" i="17" s="1"/>
  <c r="K1404" i="17"/>
  <c r="K1403" i="17"/>
  <c r="K1402" i="17"/>
  <c r="K1401" i="17"/>
  <c r="K1400" i="17"/>
  <c r="K1399" i="17"/>
  <c r="K1398" i="17"/>
  <c r="K1397" i="17"/>
  <c r="K1396" i="17"/>
  <c r="K1395" i="17"/>
  <c r="K1394" i="17"/>
  <c r="C1392" i="17"/>
  <c r="K1387" i="17"/>
  <c r="K1385" i="17"/>
  <c r="K1384" i="17"/>
  <c r="K1383" i="17"/>
  <c r="K1382" i="17"/>
  <c r="K1381" i="17"/>
  <c r="K1380" i="17"/>
  <c r="K1389" i="17" s="1"/>
  <c r="K1379" i="17"/>
  <c r="F1378" i="17"/>
  <c r="E1378" i="17"/>
  <c r="K1378" i="17" s="1"/>
  <c r="K1377" i="17"/>
  <c r="K1376" i="17"/>
  <c r="K1375" i="17"/>
  <c r="K1374" i="17"/>
  <c r="K1373" i="17"/>
  <c r="K1372" i="17"/>
  <c r="K1371" i="17"/>
  <c r="K1370" i="17"/>
  <c r="C1368" i="17"/>
  <c r="K1363" i="17"/>
  <c r="K1361" i="17"/>
  <c r="K1360" i="17"/>
  <c r="K1359" i="17"/>
  <c r="K1358" i="17"/>
  <c r="K1357" i="17"/>
  <c r="K1356" i="17"/>
  <c r="K1355" i="17"/>
  <c r="C1353" i="17"/>
  <c r="K1348" i="17"/>
  <c r="K1346" i="17"/>
  <c r="K1345" i="17"/>
  <c r="K1344" i="17"/>
  <c r="K1343" i="17"/>
  <c r="K1342" i="17"/>
  <c r="K1341" i="17"/>
  <c r="K1340" i="17"/>
  <c r="K1339" i="17"/>
  <c r="K1338" i="17"/>
  <c r="K1337" i="17"/>
  <c r="K1336" i="17"/>
  <c r="K1335" i="17"/>
  <c r="K1347" i="17" s="1"/>
  <c r="K1334" i="17"/>
  <c r="K1333" i="17"/>
  <c r="C1331" i="17"/>
  <c r="K1328" i="17"/>
  <c r="K1326" i="17"/>
  <c r="K1324" i="17"/>
  <c r="K1323" i="17"/>
  <c r="K1322" i="17"/>
  <c r="K1321" i="17"/>
  <c r="K1320" i="17"/>
  <c r="K1319" i="17"/>
  <c r="K1318" i="17"/>
  <c r="K1317" i="17"/>
  <c r="K1316" i="17"/>
  <c r="K1315" i="17"/>
  <c r="K1314" i="17"/>
  <c r="K1313" i="17"/>
  <c r="K1312" i="17"/>
  <c r="K1325" i="17" s="1"/>
  <c r="K1329" i="17" s="1"/>
  <c r="K1311" i="17"/>
  <c r="C1309" i="17"/>
  <c r="K1304" i="17"/>
  <c r="K1302" i="17"/>
  <c r="K1301" i="17"/>
  <c r="K1300" i="17"/>
  <c r="K1299" i="17"/>
  <c r="K1298" i="17"/>
  <c r="K1297" i="17"/>
  <c r="K1296" i="17"/>
  <c r="C1294" i="17"/>
  <c r="K1289" i="17"/>
  <c r="K1287" i="17"/>
  <c r="K1286" i="17"/>
  <c r="K1285" i="17"/>
  <c r="K1284" i="17"/>
  <c r="K1283" i="17"/>
  <c r="K1282" i="17"/>
  <c r="K1281" i="17"/>
  <c r="K1280" i="17"/>
  <c r="K1279" i="17"/>
  <c r="K1278" i="17"/>
  <c r="K1277" i="17"/>
  <c r="K1288" i="17" s="1"/>
  <c r="C1275" i="17"/>
  <c r="K1270" i="17"/>
  <c r="K1268" i="17"/>
  <c r="K1267" i="17"/>
  <c r="K1266" i="17"/>
  <c r="K1265" i="17"/>
  <c r="K1264" i="17"/>
  <c r="K1263" i="17"/>
  <c r="K1262" i="17"/>
  <c r="K1261" i="17"/>
  <c r="K1260" i="17"/>
  <c r="K1259" i="17"/>
  <c r="K1258" i="17"/>
  <c r="K1257" i="17"/>
  <c r="K1256" i="17"/>
  <c r="K1255" i="17"/>
  <c r="K1254" i="17"/>
  <c r="K1253" i="17"/>
  <c r="K1252" i="17"/>
  <c r="K1251" i="17"/>
  <c r="K1250" i="17"/>
  <c r="K1249" i="17"/>
  <c r="K1248" i="17"/>
  <c r="K1247" i="17"/>
  <c r="K1246" i="17"/>
  <c r="K1245" i="17"/>
  <c r="K1244" i="17"/>
  <c r="K1243" i="17"/>
  <c r="K1242" i="17"/>
  <c r="K1241" i="17"/>
  <c r="K1240" i="17"/>
  <c r="K1239" i="17"/>
  <c r="K1238" i="17"/>
  <c r="K1237" i="17"/>
  <c r="K1236" i="17"/>
  <c r="K1235" i="17"/>
  <c r="K1234" i="17"/>
  <c r="K1233" i="17"/>
  <c r="K1232" i="17"/>
  <c r="K1231" i="17"/>
  <c r="K1230" i="17"/>
  <c r="K1229" i="17"/>
  <c r="K1228" i="17"/>
  <c r="K1227" i="17"/>
  <c r="K1226" i="17"/>
  <c r="K1225" i="17"/>
  <c r="K1224" i="17"/>
  <c r="K1223" i="17"/>
  <c r="K1222" i="17"/>
  <c r="K1221" i="17"/>
  <c r="K1220" i="17"/>
  <c r="K1219" i="17"/>
  <c r="K1218" i="17"/>
  <c r="K1217" i="17"/>
  <c r="K1216" i="17"/>
  <c r="K1272" i="17" s="1"/>
  <c r="K1215" i="17"/>
  <c r="K1214" i="17"/>
  <c r="K1213" i="17"/>
  <c r="K1212" i="17"/>
  <c r="K1211" i="17"/>
  <c r="K1210" i="17"/>
  <c r="K1209" i="17"/>
  <c r="K1208" i="17"/>
  <c r="K1207" i="17"/>
  <c r="K1206" i="17"/>
  <c r="K1205" i="17"/>
  <c r="K1204" i="17"/>
  <c r="K1203" i="17"/>
  <c r="K1202" i="17"/>
  <c r="K1201" i="17"/>
  <c r="K1200" i="17"/>
  <c r="K1199" i="17"/>
  <c r="K1198" i="17"/>
  <c r="K1197" i="17"/>
  <c r="K1196" i="17"/>
  <c r="K1195" i="17"/>
  <c r="K1194" i="17"/>
  <c r="K1193" i="17"/>
  <c r="K1192" i="17"/>
  <c r="K1191" i="17"/>
  <c r="K1190" i="17"/>
  <c r="K1189" i="17"/>
  <c r="K1188" i="17"/>
  <c r="K1187" i="17"/>
  <c r="K1186" i="17"/>
  <c r="K1185" i="17"/>
  <c r="K1184" i="17"/>
  <c r="K1183" i="17"/>
  <c r="K1182" i="17"/>
  <c r="K1181" i="17"/>
  <c r="K1180" i="17"/>
  <c r="K1179" i="17"/>
  <c r="K1178" i="17"/>
  <c r="K1177" i="17"/>
  <c r="K1176" i="17"/>
  <c r="K1175" i="17"/>
  <c r="K1174" i="17"/>
  <c r="K1173" i="17"/>
  <c r="K1172" i="17"/>
  <c r="K1171" i="17"/>
  <c r="K1170" i="17"/>
  <c r="K1169" i="17"/>
  <c r="K1168" i="17"/>
  <c r="K1167" i="17"/>
  <c r="K1166" i="17"/>
  <c r="K1165" i="17"/>
  <c r="K1164" i="17"/>
  <c r="K1163" i="17"/>
  <c r="K1162" i="17"/>
  <c r="K1161" i="17"/>
  <c r="K1160" i="17"/>
  <c r="K1159" i="17"/>
  <c r="K1158" i="17"/>
  <c r="K1157" i="17"/>
  <c r="K1156" i="17"/>
  <c r="K1155" i="17"/>
  <c r="K1154" i="17"/>
  <c r="K1153" i="17"/>
  <c r="K1152" i="17"/>
  <c r="K1151" i="17"/>
  <c r="K1150" i="17"/>
  <c r="K1149" i="17"/>
  <c r="K1148" i="17"/>
  <c r="K1147" i="17"/>
  <c r="K1146" i="17"/>
  <c r="K1145" i="17"/>
  <c r="K1144" i="17"/>
  <c r="K1143" i="17"/>
  <c r="K1142" i="17"/>
  <c r="K1141" i="17"/>
  <c r="K1140" i="17"/>
  <c r="K1139" i="17"/>
  <c r="K1138" i="17"/>
  <c r="K1137" i="17"/>
  <c r="K1136" i="17"/>
  <c r="K1135" i="17"/>
  <c r="K1134" i="17"/>
  <c r="K1133" i="17"/>
  <c r="K1132" i="17"/>
  <c r="K1131" i="17"/>
  <c r="K1130" i="17"/>
  <c r="K1129" i="17"/>
  <c r="K1128" i="17"/>
  <c r="K1127" i="17"/>
  <c r="K1126" i="17"/>
  <c r="K1125" i="17"/>
  <c r="K1124" i="17"/>
  <c r="K1123" i="17"/>
  <c r="K1122" i="17"/>
  <c r="K1121" i="17"/>
  <c r="K1120" i="17"/>
  <c r="K1119" i="17"/>
  <c r="K1118" i="17"/>
  <c r="K1117" i="17"/>
  <c r="K1116" i="17"/>
  <c r="K1115" i="17"/>
  <c r="K1114" i="17"/>
  <c r="K1113" i="17"/>
  <c r="K1112" i="17"/>
  <c r="K1111" i="17"/>
  <c r="K1110" i="17"/>
  <c r="K1109" i="17"/>
  <c r="K1108" i="17"/>
  <c r="K1107" i="17"/>
  <c r="K1106" i="17"/>
  <c r="K1105" i="17"/>
  <c r="K1104" i="17"/>
  <c r="K1103" i="17"/>
  <c r="K1102" i="17"/>
  <c r="K1101" i="17"/>
  <c r="K1100" i="17"/>
  <c r="K1099" i="17"/>
  <c r="K1098" i="17"/>
  <c r="G1097" i="17"/>
  <c r="K1097" i="17" s="1"/>
  <c r="K1096" i="17"/>
  <c r="G1096" i="17"/>
  <c r="K1095" i="17"/>
  <c r="K1094" i="17"/>
  <c r="K1093" i="17"/>
  <c r="K1092" i="17"/>
  <c r="K1091" i="17"/>
  <c r="K1090" i="17"/>
  <c r="K1089" i="17"/>
  <c r="K1088" i="17"/>
  <c r="K1087" i="17"/>
  <c r="K1086" i="17"/>
  <c r="K1085" i="17"/>
  <c r="K1084" i="17"/>
  <c r="K1083" i="17"/>
  <c r="K1082" i="17"/>
  <c r="K1081" i="17"/>
  <c r="K1080" i="17"/>
  <c r="K1079" i="17"/>
  <c r="K1078" i="17"/>
  <c r="K1077" i="17"/>
  <c r="K1076" i="17"/>
  <c r="K1075" i="17"/>
  <c r="K1074" i="17"/>
  <c r="K1073" i="17"/>
  <c r="K1072" i="17"/>
  <c r="K1071" i="17"/>
  <c r="K1070" i="17"/>
  <c r="K1069" i="17"/>
  <c r="K1068" i="17"/>
  <c r="K1067" i="17"/>
  <c r="K1066" i="17"/>
  <c r="K1065" i="17"/>
  <c r="K1064" i="17"/>
  <c r="K1063" i="17"/>
  <c r="K1062" i="17"/>
  <c r="K1061" i="17"/>
  <c r="K1060" i="17"/>
  <c r="K1059" i="17"/>
  <c r="K1058" i="17"/>
  <c r="K1057" i="17"/>
  <c r="K1056" i="17"/>
  <c r="K1055" i="17"/>
  <c r="K1054" i="17"/>
  <c r="K1053" i="17"/>
  <c r="C1051" i="17"/>
  <c r="K1046" i="17"/>
  <c r="K1044" i="17"/>
  <c r="K1043" i="17"/>
  <c r="K1048" i="17" s="1"/>
  <c r="K1042" i="17"/>
  <c r="K1041" i="17"/>
  <c r="G1041" i="17"/>
  <c r="F1041" i="17"/>
  <c r="K1040" i="17"/>
  <c r="G1039" i="17"/>
  <c r="F1039" i="17"/>
  <c r="K1039" i="17" s="1"/>
  <c r="K1038" i="17"/>
  <c r="G1038" i="17"/>
  <c r="F1038" i="17"/>
  <c r="K1037" i="17"/>
  <c r="C1035" i="17"/>
  <c r="K1030" i="17"/>
  <c r="K1028" i="17"/>
  <c r="K1027" i="17"/>
  <c r="K1032" i="17" s="1"/>
  <c r="K1026" i="17"/>
  <c r="K1025" i="17"/>
  <c r="K1024" i="17"/>
  <c r="G1023" i="17"/>
  <c r="F1023" i="17"/>
  <c r="K1023" i="17" s="1"/>
  <c r="K1022" i="17"/>
  <c r="C1020" i="17"/>
  <c r="K1017" i="17"/>
  <c r="K1015" i="17"/>
  <c r="K1013" i="17"/>
  <c r="K1012" i="17"/>
  <c r="K1011" i="17"/>
  <c r="K1010" i="17"/>
  <c r="K1009" i="17"/>
  <c r="K1008" i="17"/>
  <c r="K1007" i="17"/>
  <c r="K1006" i="17"/>
  <c r="G1006" i="17"/>
  <c r="F1006" i="17"/>
  <c r="K1005" i="17"/>
  <c r="C1003" i="17"/>
  <c r="K998" i="17"/>
  <c r="K996" i="17"/>
  <c r="K995" i="17"/>
  <c r="K1000" i="17" s="1"/>
  <c r="K994" i="17"/>
  <c r="G994" i="17"/>
  <c r="F994" i="17"/>
  <c r="K993" i="17"/>
  <c r="G992" i="17"/>
  <c r="F992" i="17"/>
  <c r="K992" i="17" s="1"/>
  <c r="K991" i="17"/>
  <c r="G991" i="17"/>
  <c r="F991" i="17"/>
  <c r="K990" i="17"/>
  <c r="C988" i="17"/>
  <c r="K983" i="17"/>
  <c r="K981" i="17"/>
  <c r="K980" i="17"/>
  <c r="K979" i="17"/>
  <c r="K978" i="17"/>
  <c r="K985" i="17" s="1"/>
  <c r="K977" i="17"/>
  <c r="K976" i="17"/>
  <c r="K975" i="17"/>
  <c r="G974" i="17"/>
  <c r="K974" i="17" s="1"/>
  <c r="F974" i="17"/>
  <c r="K973" i="17"/>
  <c r="C971" i="17"/>
  <c r="K966" i="17"/>
  <c r="K964" i="17"/>
  <c r="K963" i="17"/>
  <c r="K962" i="17"/>
  <c r="K961" i="17"/>
  <c r="K968" i="17" s="1"/>
  <c r="K960" i="17"/>
  <c r="K959" i="17"/>
  <c r="K958" i="17"/>
  <c r="F957" i="17"/>
  <c r="K956" i="17"/>
  <c r="G956" i="17"/>
  <c r="G957" i="17" s="1"/>
  <c r="F956" i="17"/>
  <c r="K955" i="17"/>
  <c r="C953" i="17"/>
  <c r="K950" i="17"/>
  <c r="K948" i="17"/>
  <c r="K946" i="17"/>
  <c r="K945" i="17"/>
  <c r="K944" i="17"/>
  <c r="K943" i="17"/>
  <c r="K942" i="17"/>
  <c r="K941" i="17"/>
  <c r="G940" i="17"/>
  <c r="F940" i="17"/>
  <c r="K939" i="17"/>
  <c r="G939" i="17"/>
  <c r="F939" i="17"/>
  <c r="K938" i="17"/>
  <c r="C936" i="17"/>
  <c r="K931" i="17"/>
  <c r="K929" i="17"/>
  <c r="K928" i="17"/>
  <c r="K927" i="17"/>
  <c r="K926" i="17"/>
  <c r="K933" i="17" s="1"/>
  <c r="K925" i="17"/>
  <c r="K924" i="17"/>
  <c r="K923" i="17"/>
  <c r="G922" i="17"/>
  <c r="F922" i="17"/>
  <c r="K922" i="17" s="1"/>
  <c r="K921" i="17"/>
  <c r="C919" i="17"/>
  <c r="K914" i="17"/>
  <c r="K912" i="17"/>
  <c r="K911" i="17"/>
  <c r="K910" i="17"/>
  <c r="K909" i="17"/>
  <c r="K908" i="17"/>
  <c r="K907" i="17"/>
  <c r="K906" i="17"/>
  <c r="K905" i="17"/>
  <c r="K904" i="17"/>
  <c r="K903" i="17"/>
  <c r="K916" i="17" s="1"/>
  <c r="K902" i="17"/>
  <c r="K901" i="17"/>
  <c r="K900" i="17"/>
  <c r="K899" i="17"/>
  <c r="K898" i="17"/>
  <c r="K897" i="17"/>
  <c r="K896" i="17"/>
  <c r="K895" i="17"/>
  <c r="K894" i="17"/>
  <c r="K893" i="17"/>
  <c r="K892" i="17"/>
  <c r="K891" i="17"/>
  <c r="K890" i="17"/>
  <c r="K889" i="17"/>
  <c r="K888" i="17"/>
  <c r="K887" i="17"/>
  <c r="K886" i="17"/>
  <c r="K885" i="17"/>
  <c r="K884" i="17"/>
  <c r="K883" i="17"/>
  <c r="K882" i="17"/>
  <c r="K881" i="17"/>
  <c r="K880" i="17"/>
  <c r="K879" i="17"/>
  <c r="K878" i="17"/>
  <c r="K877" i="17"/>
  <c r="K876" i="17"/>
  <c r="K875" i="17"/>
  <c r="K874" i="17"/>
  <c r="K873" i="17"/>
  <c r="K872" i="17"/>
  <c r="K871" i="17"/>
  <c r="K870" i="17"/>
  <c r="K869" i="17"/>
  <c r="K868" i="17"/>
  <c r="K867" i="17"/>
  <c r="K866" i="17"/>
  <c r="K865" i="17"/>
  <c r="K864" i="17"/>
  <c r="K863" i="17"/>
  <c r="K862" i="17"/>
  <c r="K861" i="17"/>
  <c r="K860" i="17"/>
  <c r="K859" i="17"/>
  <c r="K858" i="17"/>
  <c r="K857" i="17"/>
  <c r="K856" i="17"/>
  <c r="K855" i="17"/>
  <c r="K854" i="17"/>
  <c r="K853" i="17"/>
  <c r="K852" i="17"/>
  <c r="K851" i="17"/>
  <c r="K850" i="17"/>
  <c r="K849" i="17"/>
  <c r="K848" i="17"/>
  <c r="K847" i="17"/>
  <c r="K846" i="17"/>
  <c r="K845" i="17"/>
  <c r="K844" i="17"/>
  <c r="K843" i="17"/>
  <c r="K842" i="17"/>
  <c r="K841" i="17"/>
  <c r="K840" i="17"/>
  <c r="K839" i="17"/>
  <c r="K838" i="17"/>
  <c r="K837" i="17"/>
  <c r="K836" i="17"/>
  <c r="K835" i="17"/>
  <c r="K834" i="17"/>
  <c r="K833" i="17"/>
  <c r="K832" i="17"/>
  <c r="K831" i="17"/>
  <c r="K830" i="17"/>
  <c r="K829" i="17"/>
  <c r="K828" i="17"/>
  <c r="K827" i="17"/>
  <c r="K826" i="17"/>
  <c r="K825" i="17"/>
  <c r="K824" i="17"/>
  <c r="K823" i="17"/>
  <c r="K822" i="17"/>
  <c r="K821" i="17"/>
  <c r="K820" i="17"/>
  <c r="K819" i="17"/>
  <c r="K818" i="17"/>
  <c r="K817" i="17"/>
  <c r="K816" i="17"/>
  <c r="K815" i="17"/>
  <c r="K814" i="17"/>
  <c r="K813" i="17"/>
  <c r="K812" i="17"/>
  <c r="K811" i="17"/>
  <c r="K810" i="17"/>
  <c r="K809" i="17"/>
  <c r="K808" i="17"/>
  <c r="K807" i="17"/>
  <c r="K806" i="17"/>
  <c r="K805" i="17"/>
  <c r="K804" i="17"/>
  <c r="K803" i="17"/>
  <c r="K802" i="17"/>
  <c r="K801" i="17"/>
  <c r="K800" i="17"/>
  <c r="K799" i="17"/>
  <c r="K798" i="17"/>
  <c r="K797" i="17"/>
  <c r="K796" i="17"/>
  <c r="K795" i="17"/>
  <c r="K794" i="17"/>
  <c r="K793" i="17"/>
  <c r="K792" i="17"/>
  <c r="K791" i="17"/>
  <c r="K790" i="17"/>
  <c r="K789" i="17"/>
  <c r="K788" i="17"/>
  <c r="K787" i="17"/>
  <c r="K786" i="17"/>
  <c r="K785" i="17"/>
  <c r="K784" i="17"/>
  <c r="K783" i="17"/>
  <c r="K782" i="17"/>
  <c r="K781" i="17"/>
  <c r="K913" i="17" s="1"/>
  <c r="K917" i="17" s="1"/>
  <c r="K780" i="17"/>
  <c r="K779" i="17"/>
  <c r="K778" i="17"/>
  <c r="C776" i="17"/>
  <c r="K771" i="17"/>
  <c r="K769" i="17"/>
  <c r="K768" i="17"/>
  <c r="K773" i="17" s="1"/>
  <c r="K767" i="17"/>
  <c r="K766" i="17"/>
  <c r="K765" i="17"/>
  <c r="K764" i="17"/>
  <c r="K763" i="17"/>
  <c r="K762" i="17"/>
  <c r="K761" i="17"/>
  <c r="K760" i="17"/>
  <c r="K759" i="17"/>
  <c r="K758" i="17"/>
  <c r="K757" i="17"/>
  <c r="K756" i="17"/>
  <c r="K755" i="17"/>
  <c r="C753" i="17"/>
  <c r="K748" i="17"/>
  <c r="K746" i="17"/>
  <c r="K745" i="17"/>
  <c r="K744" i="17"/>
  <c r="K750" i="17" s="1"/>
  <c r="K743" i="17"/>
  <c r="K742" i="17"/>
  <c r="K741" i="17"/>
  <c r="K740" i="17"/>
  <c r="K739" i="17"/>
  <c r="K738" i="17"/>
  <c r="K737" i="17"/>
  <c r="K736" i="17"/>
  <c r="K735" i="17"/>
  <c r="K734" i="17"/>
  <c r="K733" i="17"/>
  <c r="K732" i="17"/>
  <c r="C730" i="17"/>
  <c r="K727" i="17"/>
  <c r="K725" i="17"/>
  <c r="K723" i="17"/>
  <c r="K722" i="17"/>
  <c r="K721" i="17"/>
  <c r="K720" i="17"/>
  <c r="K719" i="17"/>
  <c r="K718" i="17"/>
  <c r="K717" i="17"/>
  <c r="K716" i="17"/>
  <c r="K715" i="17"/>
  <c r="K714" i="17"/>
  <c r="K713" i="17"/>
  <c r="K712" i="17"/>
  <c r="K724" i="17" s="1"/>
  <c r="K728" i="17" s="1"/>
  <c r="K711" i="17"/>
  <c r="K710" i="17"/>
  <c r="C708" i="17"/>
  <c r="K703" i="17"/>
  <c r="K701" i="17"/>
  <c r="K700" i="17"/>
  <c r="K699" i="17"/>
  <c r="K705" i="17" s="1"/>
  <c r="K698" i="17"/>
  <c r="K697" i="17"/>
  <c r="K696" i="17"/>
  <c r="K695" i="17"/>
  <c r="K694" i="17"/>
  <c r="K693" i="17"/>
  <c r="K692" i="17"/>
  <c r="K691" i="17"/>
  <c r="K690" i="17"/>
  <c r="K689" i="17"/>
  <c r="K688" i="17"/>
  <c r="K687" i="17"/>
  <c r="K686" i="17"/>
  <c r="C684" i="17"/>
  <c r="K679" i="17"/>
  <c r="K677" i="17"/>
  <c r="K676" i="17"/>
  <c r="K675" i="17"/>
  <c r="K681" i="17" s="1"/>
  <c r="K674" i="17"/>
  <c r="K673" i="17"/>
  <c r="K672" i="17"/>
  <c r="K671" i="17"/>
  <c r="K670" i="17"/>
  <c r="K669" i="17"/>
  <c r="K668" i="17"/>
  <c r="K667" i="17"/>
  <c r="K666" i="17"/>
  <c r="K665" i="17"/>
  <c r="K664" i="17"/>
  <c r="K678" i="17" s="1"/>
  <c r="K682" i="17" s="1"/>
  <c r="C662" i="17"/>
  <c r="K657" i="17"/>
  <c r="K655" i="17"/>
  <c r="K654" i="17"/>
  <c r="K653" i="17"/>
  <c r="K659" i="17" s="1"/>
  <c r="K652" i="17"/>
  <c r="K651" i="17"/>
  <c r="K650" i="17"/>
  <c r="K649" i="17"/>
  <c r="K648" i="17"/>
  <c r="K647" i="17"/>
  <c r="K646" i="17"/>
  <c r="K645" i="17"/>
  <c r="K644" i="17"/>
  <c r="K643" i="17"/>
  <c r="K642" i="17"/>
  <c r="K641" i="17"/>
  <c r="C639" i="17"/>
  <c r="K634" i="17"/>
  <c r="K632" i="17"/>
  <c r="K631" i="17"/>
  <c r="K630" i="17"/>
  <c r="K636" i="17" s="1"/>
  <c r="K629" i="17"/>
  <c r="K628" i="17"/>
  <c r="K627" i="17"/>
  <c r="K626" i="17"/>
  <c r="K625" i="17"/>
  <c r="K624" i="17"/>
  <c r="K623" i="17"/>
  <c r="K622" i="17"/>
  <c r="K621" i="17"/>
  <c r="K633" i="17" s="1"/>
  <c r="K637" i="17" s="1"/>
  <c r="K620" i="17"/>
  <c r="K619" i="17"/>
  <c r="C617" i="17"/>
  <c r="K614" i="17"/>
  <c r="K612" i="17"/>
  <c r="K610" i="17"/>
  <c r="K609" i="17"/>
  <c r="K608" i="17"/>
  <c r="K607" i="17"/>
  <c r="K606" i="17"/>
  <c r="K605" i="17"/>
  <c r="K604" i="17"/>
  <c r="K603" i="17"/>
  <c r="K602" i="17"/>
  <c r="K601" i="17"/>
  <c r="K600" i="17"/>
  <c r="K599" i="17"/>
  <c r="K598" i="17"/>
  <c r="C596" i="17"/>
  <c r="K591" i="17"/>
  <c r="K589" i="17"/>
  <c r="J588" i="17"/>
  <c r="I588" i="17"/>
  <c r="K588" i="17" s="1"/>
  <c r="J587" i="17"/>
  <c r="I587" i="17"/>
  <c r="K587" i="17" s="1"/>
  <c r="J586" i="17"/>
  <c r="I586" i="17"/>
  <c r="K586" i="17" s="1"/>
  <c r="K585" i="17"/>
  <c r="J585" i="17"/>
  <c r="I585" i="17"/>
  <c r="J584" i="17"/>
  <c r="I584" i="17"/>
  <c r="K584" i="17" s="1"/>
  <c r="J583" i="17"/>
  <c r="I583" i="17"/>
  <c r="K583" i="17" s="1"/>
  <c r="J582" i="17"/>
  <c r="I582" i="17"/>
  <c r="K582" i="17" s="1"/>
  <c r="K581" i="17"/>
  <c r="J581" i="17"/>
  <c r="I581" i="17"/>
  <c r="K580" i="17"/>
  <c r="J580" i="17"/>
  <c r="I580" i="17"/>
  <c r="J579" i="17"/>
  <c r="I579" i="17"/>
  <c r="K579" i="17" s="1"/>
  <c r="J578" i="17"/>
  <c r="I578" i="17"/>
  <c r="K578" i="17" s="1"/>
  <c r="K577" i="17"/>
  <c r="J577" i="17"/>
  <c r="I577" i="17"/>
  <c r="K576" i="17"/>
  <c r="J576" i="17"/>
  <c r="I576" i="17"/>
  <c r="J575" i="17"/>
  <c r="I575" i="17"/>
  <c r="K575" i="17" s="1"/>
  <c r="J574" i="17"/>
  <c r="I574" i="17"/>
  <c r="K574" i="17" s="1"/>
  <c r="K573" i="17"/>
  <c r="J573" i="17"/>
  <c r="I573" i="17"/>
  <c r="J572" i="17"/>
  <c r="I572" i="17"/>
  <c r="K572" i="17" s="1"/>
  <c r="J571" i="17"/>
  <c r="I571" i="17"/>
  <c r="K571" i="17" s="1"/>
  <c r="J570" i="17"/>
  <c r="I570" i="17"/>
  <c r="K570" i="17" s="1"/>
  <c r="K569" i="17"/>
  <c r="J569" i="17"/>
  <c r="I569" i="17"/>
  <c r="K568" i="17"/>
  <c r="J568" i="17"/>
  <c r="I568" i="17"/>
  <c r="J567" i="17"/>
  <c r="I567" i="17"/>
  <c r="K567" i="17" s="1"/>
  <c r="J566" i="17"/>
  <c r="I566" i="17"/>
  <c r="K566" i="17" s="1"/>
  <c r="K565" i="17"/>
  <c r="J565" i="17"/>
  <c r="I565" i="17"/>
  <c r="J564" i="17"/>
  <c r="I564" i="17"/>
  <c r="K564" i="17" s="1"/>
  <c r="J563" i="17"/>
  <c r="I563" i="17"/>
  <c r="K563" i="17" s="1"/>
  <c r="J562" i="17"/>
  <c r="I562" i="17"/>
  <c r="K562" i="17" s="1"/>
  <c r="K561" i="17"/>
  <c r="J561" i="17"/>
  <c r="I561" i="17"/>
  <c r="J560" i="17"/>
  <c r="I560" i="17"/>
  <c r="K560" i="17" s="1"/>
  <c r="J559" i="17"/>
  <c r="I559" i="17"/>
  <c r="K559" i="17" s="1"/>
  <c r="J558" i="17"/>
  <c r="I558" i="17"/>
  <c r="K558" i="17" s="1"/>
  <c r="K557" i="17"/>
  <c r="J557" i="17"/>
  <c r="I557" i="17"/>
  <c r="K556" i="17"/>
  <c r="J556" i="17"/>
  <c r="I556" i="17"/>
  <c r="J555" i="17"/>
  <c r="I555" i="17"/>
  <c r="K555" i="17" s="1"/>
  <c r="J554" i="17"/>
  <c r="I554" i="17"/>
  <c r="K554" i="17" s="1"/>
  <c r="K553" i="17"/>
  <c r="J553" i="17"/>
  <c r="I553" i="17"/>
  <c r="K552" i="17"/>
  <c r="J552" i="17"/>
  <c r="I552" i="17"/>
  <c r="J551" i="17"/>
  <c r="I551" i="17"/>
  <c r="K551" i="17" s="1"/>
  <c r="J550" i="17"/>
  <c r="I550" i="17"/>
  <c r="K550" i="17" s="1"/>
  <c r="K549" i="17"/>
  <c r="J549" i="17"/>
  <c r="I549" i="17"/>
  <c r="J548" i="17"/>
  <c r="I548" i="17"/>
  <c r="K548" i="17" s="1"/>
  <c r="J547" i="17"/>
  <c r="I547" i="17"/>
  <c r="K547" i="17" s="1"/>
  <c r="J546" i="17"/>
  <c r="I546" i="17"/>
  <c r="K546" i="17" s="1"/>
  <c r="K545" i="17"/>
  <c r="J545" i="17"/>
  <c r="I545" i="17"/>
  <c r="K544" i="17"/>
  <c r="J544" i="17"/>
  <c r="I544" i="17"/>
  <c r="J543" i="17"/>
  <c r="I543" i="17"/>
  <c r="K543" i="17" s="1"/>
  <c r="J542" i="17"/>
  <c r="I542" i="17"/>
  <c r="K542" i="17" s="1"/>
  <c r="K541" i="17"/>
  <c r="J541" i="17"/>
  <c r="I541" i="17"/>
  <c r="J540" i="17"/>
  <c r="I540" i="17"/>
  <c r="K540" i="17" s="1"/>
  <c r="J539" i="17"/>
  <c r="I539" i="17"/>
  <c r="K539" i="17" s="1"/>
  <c r="J538" i="17"/>
  <c r="I538" i="17"/>
  <c r="K538" i="17" s="1"/>
  <c r="K537" i="17"/>
  <c r="J537" i="17"/>
  <c r="I537" i="17"/>
  <c r="J536" i="17"/>
  <c r="I536" i="17"/>
  <c r="K536" i="17" s="1"/>
  <c r="J535" i="17"/>
  <c r="I535" i="17"/>
  <c r="K535" i="17" s="1"/>
  <c r="J534" i="17"/>
  <c r="I534" i="17"/>
  <c r="K534" i="17" s="1"/>
  <c r="K533" i="17"/>
  <c r="J533" i="17"/>
  <c r="I533" i="17"/>
  <c r="K532" i="17"/>
  <c r="J532" i="17"/>
  <c r="I532" i="17"/>
  <c r="J531" i="17"/>
  <c r="I531" i="17"/>
  <c r="K531" i="17" s="1"/>
  <c r="J530" i="17"/>
  <c r="I530" i="17"/>
  <c r="K530" i="17" s="1"/>
  <c r="K529" i="17"/>
  <c r="J529" i="17"/>
  <c r="I529" i="17"/>
  <c r="K528" i="17"/>
  <c r="J528" i="17"/>
  <c r="I528" i="17"/>
  <c r="J527" i="17"/>
  <c r="I527" i="17"/>
  <c r="K527" i="17" s="1"/>
  <c r="J526" i="17"/>
  <c r="I526" i="17"/>
  <c r="K526" i="17" s="1"/>
  <c r="K525" i="17"/>
  <c r="J525" i="17"/>
  <c r="I525" i="17"/>
  <c r="J524" i="17"/>
  <c r="I524" i="17"/>
  <c r="K524" i="17" s="1"/>
  <c r="J523" i="17"/>
  <c r="I523" i="17"/>
  <c r="K523" i="17" s="1"/>
  <c r="J522" i="17"/>
  <c r="I522" i="17"/>
  <c r="K522" i="17" s="1"/>
  <c r="K521" i="17"/>
  <c r="J521" i="17"/>
  <c r="I521" i="17"/>
  <c r="K520" i="17"/>
  <c r="J520" i="17"/>
  <c r="I520" i="17"/>
  <c r="J519" i="17"/>
  <c r="I519" i="17"/>
  <c r="K519" i="17" s="1"/>
  <c r="J518" i="17"/>
  <c r="I518" i="17"/>
  <c r="K518" i="17" s="1"/>
  <c r="K517" i="17"/>
  <c r="J517" i="17"/>
  <c r="I517" i="17"/>
  <c r="J516" i="17"/>
  <c r="I516" i="17"/>
  <c r="K516" i="17" s="1"/>
  <c r="J515" i="17"/>
  <c r="I515" i="17"/>
  <c r="K515" i="17" s="1"/>
  <c r="J514" i="17"/>
  <c r="I514" i="17"/>
  <c r="K514" i="17" s="1"/>
  <c r="K513" i="17"/>
  <c r="J513" i="17"/>
  <c r="I513" i="17"/>
  <c r="J512" i="17"/>
  <c r="I512" i="17"/>
  <c r="K512" i="17" s="1"/>
  <c r="J511" i="17"/>
  <c r="I511" i="17"/>
  <c r="K511" i="17" s="1"/>
  <c r="J510" i="17"/>
  <c r="I510" i="17"/>
  <c r="K510" i="17" s="1"/>
  <c r="K509" i="17"/>
  <c r="J509" i="17"/>
  <c r="I509" i="17"/>
  <c r="K508" i="17"/>
  <c r="J508" i="17"/>
  <c r="I508" i="17"/>
  <c r="J507" i="17"/>
  <c r="I507" i="17"/>
  <c r="K507" i="17" s="1"/>
  <c r="J506" i="17"/>
  <c r="I506" i="17"/>
  <c r="K506" i="17" s="1"/>
  <c r="K505" i="17"/>
  <c r="J505" i="17"/>
  <c r="I505" i="17"/>
  <c r="K504" i="17"/>
  <c r="J504" i="17"/>
  <c r="I504" i="17"/>
  <c r="J503" i="17"/>
  <c r="I503" i="17"/>
  <c r="K503" i="17" s="1"/>
  <c r="C501" i="17"/>
  <c r="K494" i="17"/>
  <c r="K493" i="17"/>
  <c r="K492" i="17"/>
  <c r="K491" i="17"/>
  <c r="K490" i="17"/>
  <c r="K489" i="17"/>
  <c r="K488" i="17"/>
  <c r="K487" i="17"/>
  <c r="K486" i="17"/>
  <c r="K485" i="17"/>
  <c r="K484" i="17"/>
  <c r="K483" i="17"/>
  <c r="K482" i="17"/>
  <c r="K481" i="17"/>
  <c r="K480" i="17"/>
  <c r="K479" i="17"/>
  <c r="K478" i="17"/>
  <c r="K477" i="17"/>
  <c r="E476" i="17"/>
  <c r="K476" i="17" s="1"/>
  <c r="K475" i="17"/>
  <c r="K474" i="17"/>
  <c r="K473" i="17"/>
  <c r="K472" i="17"/>
  <c r="K471" i="17"/>
  <c r="K470" i="17"/>
  <c r="K469" i="17"/>
  <c r="K468" i="17"/>
  <c r="K467" i="17"/>
  <c r="K466" i="17"/>
  <c r="K465" i="17"/>
  <c r="K464" i="17"/>
  <c r="K463" i="17"/>
  <c r="K462" i="17"/>
  <c r="K461" i="17"/>
  <c r="K460" i="17"/>
  <c r="K451" i="17"/>
  <c r="K450" i="17"/>
  <c r="K452" i="17" s="1"/>
  <c r="K449" i="17"/>
  <c r="K440" i="17"/>
  <c r="K439" i="17"/>
  <c r="K438" i="17"/>
  <c r="K431" i="17"/>
  <c r="K429" i="17"/>
  <c r="K430" i="17" s="1"/>
  <c r="K428" i="17"/>
  <c r="K427" i="17"/>
  <c r="K418" i="17"/>
  <c r="K419" i="17" s="1"/>
  <c r="K417" i="17"/>
  <c r="K416" i="17"/>
  <c r="K411" i="17"/>
  <c r="K407" i="17"/>
  <c r="K408" i="17" s="1"/>
  <c r="K412" i="17" s="1"/>
  <c r="K406" i="17"/>
  <c r="K405" i="17"/>
  <c r="K397" i="17"/>
  <c r="K396" i="17"/>
  <c r="K395" i="17"/>
  <c r="K394" i="17"/>
  <c r="K393" i="17"/>
  <c r="K384" i="17"/>
  <c r="K382" i="17"/>
  <c r="K381" i="17"/>
  <c r="K380" i="17"/>
  <c r="K379" i="17"/>
  <c r="K378" i="17"/>
  <c r="K377" i="17"/>
  <c r="K376" i="17"/>
  <c r="K375" i="17"/>
  <c r="K374" i="17"/>
  <c r="K373" i="17"/>
  <c r="K372" i="17"/>
  <c r="K371" i="17"/>
  <c r="K370" i="17"/>
  <c r="K369" i="17"/>
  <c r="K368" i="17"/>
  <c r="K367" i="17"/>
  <c r="K366" i="17"/>
  <c r="K365" i="17"/>
  <c r="K364" i="17"/>
  <c r="K363" i="17"/>
  <c r="K362" i="17"/>
  <c r="K361" i="17"/>
  <c r="K360" i="17"/>
  <c r="K359" i="17"/>
  <c r="K358" i="17"/>
  <c r="K357" i="17"/>
  <c r="K356" i="17"/>
  <c r="K355" i="17"/>
  <c r="K354" i="17"/>
  <c r="K353" i="17"/>
  <c r="K352" i="17"/>
  <c r="K351" i="17"/>
  <c r="K350" i="17"/>
  <c r="K349" i="17"/>
  <c r="K348" i="17"/>
  <c r="K347" i="17"/>
  <c r="K346" i="17"/>
  <c r="K345" i="17"/>
  <c r="K344" i="17"/>
  <c r="K343" i="17"/>
  <c r="K342" i="17"/>
  <c r="K341" i="17"/>
  <c r="K340" i="17"/>
  <c r="K339" i="17"/>
  <c r="K330" i="17"/>
  <c r="K329" i="17"/>
  <c r="K328" i="17"/>
  <c r="K327" i="17"/>
  <c r="K331" i="17" s="1"/>
  <c r="K319" i="17"/>
  <c r="K318" i="17"/>
  <c r="K317" i="17"/>
  <c r="K316" i="17"/>
  <c r="K307" i="17"/>
  <c r="K306" i="17"/>
  <c r="K305" i="17"/>
  <c r="K308" i="17" s="1"/>
  <c r="K297" i="17"/>
  <c r="K296" i="17"/>
  <c r="K295" i="17"/>
  <c r="K294" i="17"/>
  <c r="K285" i="17"/>
  <c r="K284" i="17"/>
  <c r="K283" i="17"/>
  <c r="K286" i="17" s="1"/>
  <c r="K282" i="17"/>
  <c r="K273" i="17"/>
  <c r="K274" i="17" s="1"/>
  <c r="K272" i="17"/>
  <c r="K271" i="17"/>
  <c r="K262" i="17"/>
  <c r="K263" i="17" s="1"/>
  <c r="K261" i="17"/>
  <c r="K260" i="17"/>
  <c r="K259" i="17"/>
  <c r="K250" i="17"/>
  <c r="K249" i="17"/>
  <c r="K248" i="17"/>
  <c r="K247" i="17"/>
  <c r="K246" i="17"/>
  <c r="K245" i="17"/>
  <c r="K244" i="17"/>
  <c r="K243" i="17"/>
  <c r="K242" i="17"/>
  <c r="K241" i="17"/>
  <c r="K240" i="17"/>
  <c r="K239" i="17"/>
  <c r="K238" i="17"/>
  <c r="K237" i="17"/>
  <c r="K236" i="17"/>
  <c r="K235" i="17"/>
  <c r="K234" i="17"/>
  <c r="K233" i="17"/>
  <c r="K232" i="17"/>
  <c r="K231" i="17"/>
  <c r="K230" i="17"/>
  <c r="K229" i="17"/>
  <c r="K228" i="17"/>
  <c r="K227" i="17"/>
  <c r="K226" i="17"/>
  <c r="K225" i="17"/>
  <c r="K224" i="17"/>
  <c r="K223" i="17"/>
  <c r="K222" i="17"/>
  <c r="K221" i="17"/>
  <c r="K220" i="17"/>
  <c r="K219" i="17"/>
  <c r="K218" i="17"/>
  <c r="K217" i="17"/>
  <c r="K216" i="17"/>
  <c r="K215" i="17"/>
  <c r="K214" i="17"/>
  <c r="K213" i="17"/>
  <c r="K212" i="17"/>
  <c r="K211" i="17"/>
  <c r="K210" i="17"/>
  <c r="K209" i="17"/>
  <c r="K208" i="17"/>
  <c r="K207" i="17"/>
  <c r="K206" i="17"/>
  <c r="K205" i="17"/>
  <c r="K204" i="17"/>
  <c r="K203" i="17"/>
  <c r="K202" i="17"/>
  <c r="K201" i="17"/>
  <c r="K200" i="17"/>
  <c r="K199" i="17"/>
  <c r="K198" i="17"/>
  <c r="K189" i="17"/>
  <c r="K188" i="17"/>
  <c r="K187" i="17"/>
  <c r="K178" i="17"/>
  <c r="I177" i="17"/>
  <c r="K177" i="17" s="1"/>
  <c r="K176" i="17"/>
  <c r="K179" i="17" s="1"/>
  <c r="K167" i="17"/>
  <c r="K157" i="17"/>
  <c r="K147" i="17"/>
  <c r="H146" i="17"/>
  <c r="K146" i="17" s="1"/>
  <c r="F146" i="17"/>
  <c r="F145" i="17"/>
  <c r="K145" i="17" s="1"/>
  <c r="K136" i="17"/>
  <c r="K135" i="17"/>
  <c r="K134" i="17"/>
  <c r="K133" i="17"/>
  <c r="K132" i="17"/>
  <c r="K131" i="17"/>
  <c r="K137" i="17" s="1"/>
  <c r="K122" i="17"/>
  <c r="K121" i="17"/>
  <c r="K120" i="17"/>
  <c r="K119" i="17"/>
  <c r="K118" i="17"/>
  <c r="K117" i="17"/>
  <c r="K113" i="17"/>
  <c r="K109" i="17"/>
  <c r="K112" i="17" s="1"/>
  <c r="K108" i="17"/>
  <c r="K107" i="17"/>
  <c r="K106" i="17"/>
  <c r="K101" i="17"/>
  <c r="K98" i="17"/>
  <c r="K102" i="17" s="1"/>
  <c r="K97" i="17"/>
  <c r="K96" i="17"/>
  <c r="K87" i="17"/>
  <c r="K88" i="17" s="1"/>
  <c r="K92" i="17" s="1"/>
  <c r="K86" i="17"/>
  <c r="K77" i="17"/>
  <c r="K76" i="17"/>
  <c r="K67" i="17"/>
  <c r="E66" i="17"/>
  <c r="K66" i="17" s="1"/>
  <c r="K68" i="17" s="1"/>
  <c r="K57" i="17"/>
  <c r="K56" i="17"/>
  <c r="K58" i="17" s="1"/>
  <c r="E56" i="17"/>
  <c r="K47" i="17"/>
  <c r="K46" i="17"/>
  <c r="K36" i="17"/>
  <c r="K35" i="17"/>
  <c r="K34" i="17"/>
  <c r="K33" i="17"/>
  <c r="K32" i="17"/>
  <c r="K31" i="17"/>
  <c r="K30" i="17"/>
  <c r="K29" i="17"/>
  <c r="K28" i="17"/>
  <c r="K19" i="17"/>
  <c r="I18" i="17"/>
  <c r="K18" i="17" s="1"/>
  <c r="K17" i="17"/>
  <c r="I17" i="17"/>
  <c r="K16" i="17"/>
  <c r="K15" i="17"/>
  <c r="K14" i="17"/>
  <c r="K13" i="17"/>
  <c r="K12" i="17"/>
  <c r="K11" i="17"/>
  <c r="K10" i="17"/>
  <c r="J666" i="16"/>
  <c r="I666" i="16"/>
  <c r="I665" i="16"/>
  <c r="J665" i="16" s="1"/>
  <c r="J664" i="16"/>
  <c r="I664" i="16"/>
  <c r="J663" i="16"/>
  <c r="I663" i="16"/>
  <c r="I662" i="16"/>
  <c r="J662" i="16" s="1"/>
  <c r="I661" i="16"/>
  <c r="J661" i="16" s="1"/>
  <c r="J660" i="16"/>
  <c r="I660" i="16"/>
  <c r="I659" i="16"/>
  <c r="I658" i="16"/>
  <c r="I657" i="16"/>
  <c r="I656" i="16"/>
  <c r="G652" i="16"/>
  <c r="R621" i="16"/>
  <c r="R624" i="16" s="1"/>
  <c r="M601" i="16"/>
  <c r="M600" i="16"/>
  <c r="Q590" i="16"/>
  <c r="P590" i="16"/>
  <c r="P588" i="16" s="1"/>
  <c r="M590" i="16"/>
  <c r="L590" i="16"/>
  <c r="N590" i="16" s="1"/>
  <c r="Q589" i="16"/>
  <c r="P589" i="16"/>
  <c r="N589" i="16"/>
  <c r="M589" i="16"/>
  <c r="L589" i="16"/>
  <c r="N588" i="16"/>
  <c r="L588" i="16"/>
  <c r="Q587" i="16"/>
  <c r="P587" i="16"/>
  <c r="N587" i="16"/>
  <c r="M587" i="16"/>
  <c r="L587" i="16"/>
  <c r="Q586" i="16"/>
  <c r="P586" i="16"/>
  <c r="L586" i="16"/>
  <c r="N586" i="16" s="1"/>
  <c r="Q585" i="16"/>
  <c r="P585" i="16"/>
  <c r="N585" i="16"/>
  <c r="M585" i="16"/>
  <c r="L585" i="16"/>
  <c r="P584" i="16"/>
  <c r="N584" i="16"/>
  <c r="L584" i="16"/>
  <c r="M584" i="16" s="1"/>
  <c r="Q583" i="16"/>
  <c r="P583" i="16"/>
  <c r="N583" i="16"/>
  <c r="M583" i="16"/>
  <c r="L583" i="16"/>
  <c r="Q582" i="16"/>
  <c r="P582" i="16"/>
  <c r="M582" i="16"/>
  <c r="L582" i="16"/>
  <c r="N582" i="16" s="1"/>
  <c r="Q581" i="16"/>
  <c r="P581" i="16"/>
  <c r="N581" i="16"/>
  <c r="M581" i="16"/>
  <c r="L581" i="16"/>
  <c r="P580" i="16"/>
  <c r="L580" i="16"/>
  <c r="M580" i="16" s="1"/>
  <c r="Q579" i="16"/>
  <c r="P579" i="16"/>
  <c r="N579" i="16"/>
  <c r="M579" i="16"/>
  <c r="L579" i="16"/>
  <c r="P578" i="16"/>
  <c r="M578" i="16"/>
  <c r="L578" i="16"/>
  <c r="N578" i="16" s="1"/>
  <c r="Q577" i="16"/>
  <c r="P577" i="16"/>
  <c r="N577" i="16"/>
  <c r="M577" i="16"/>
  <c r="L577" i="16"/>
  <c r="P576" i="16"/>
  <c r="L576" i="16"/>
  <c r="Q575" i="16"/>
  <c r="P575" i="16"/>
  <c r="N575" i="16"/>
  <c r="M575" i="16"/>
  <c r="L575" i="16"/>
  <c r="P574" i="16"/>
  <c r="L574" i="16"/>
  <c r="Q573" i="16"/>
  <c r="P573" i="16"/>
  <c r="N573" i="16"/>
  <c r="M573" i="16"/>
  <c r="L573" i="16"/>
  <c r="Q572" i="16"/>
  <c r="P572" i="16"/>
  <c r="N572" i="16"/>
  <c r="L572" i="16"/>
  <c r="M572" i="16" s="1"/>
  <c r="Q571" i="16"/>
  <c r="P571" i="16"/>
  <c r="N571" i="16"/>
  <c r="M571" i="16"/>
  <c r="L571" i="16"/>
  <c r="Q570" i="16"/>
  <c r="P570" i="16"/>
  <c r="L570" i="16"/>
  <c r="N570" i="16" s="1"/>
  <c r="Q569" i="16"/>
  <c r="P569" i="16"/>
  <c r="N569" i="16"/>
  <c r="M569" i="16"/>
  <c r="L569" i="16"/>
  <c r="P568" i="16"/>
  <c r="L568" i="16"/>
  <c r="E568" i="16"/>
  <c r="Q567" i="16"/>
  <c r="P567" i="16"/>
  <c r="N567" i="16"/>
  <c r="L567" i="16"/>
  <c r="M567" i="16" s="1"/>
  <c r="L566" i="16"/>
  <c r="P565" i="16"/>
  <c r="N565" i="16"/>
  <c r="L565" i="16"/>
  <c r="Q565" i="16" s="1"/>
  <c r="Q564" i="16"/>
  <c r="P564" i="16"/>
  <c r="M564" i="16"/>
  <c r="L564" i="16"/>
  <c r="N564" i="16" s="1"/>
  <c r="P563" i="16"/>
  <c r="L563" i="16"/>
  <c r="M563" i="16" s="1"/>
  <c r="P562" i="16"/>
  <c r="L562" i="16"/>
  <c r="P561" i="16"/>
  <c r="L561" i="16"/>
  <c r="Q560" i="16"/>
  <c r="P560" i="16"/>
  <c r="N560" i="16"/>
  <c r="L560" i="16"/>
  <c r="M560" i="16" s="1"/>
  <c r="Q559" i="16"/>
  <c r="P559" i="16"/>
  <c r="N559" i="16"/>
  <c r="L559" i="16"/>
  <c r="M559" i="16" s="1"/>
  <c r="P558" i="16"/>
  <c r="N558" i="16"/>
  <c r="M558" i="16"/>
  <c r="L558" i="16"/>
  <c r="Q558" i="16" s="1"/>
  <c r="Q557" i="16"/>
  <c r="P557" i="16"/>
  <c r="N557" i="16"/>
  <c r="L557" i="16"/>
  <c r="M557" i="16" s="1"/>
  <c r="Q556" i="16"/>
  <c r="P556" i="16"/>
  <c r="N556" i="16"/>
  <c r="L556" i="16"/>
  <c r="M556" i="16" s="1"/>
  <c r="P555" i="16"/>
  <c r="L555" i="16"/>
  <c r="L554" i="16"/>
  <c r="P553" i="16"/>
  <c r="P552" i="16" s="1"/>
  <c r="L553" i="16"/>
  <c r="L552" i="16"/>
  <c r="Q551" i="16"/>
  <c r="P551" i="16"/>
  <c r="N551" i="16"/>
  <c r="L551" i="16"/>
  <c r="M551" i="16" s="1"/>
  <c r="P550" i="16"/>
  <c r="L550" i="16"/>
  <c r="P549" i="16"/>
  <c r="L549" i="16"/>
  <c r="M549" i="16" s="1"/>
  <c r="P548" i="16"/>
  <c r="N548" i="16"/>
  <c r="L548" i="16"/>
  <c r="Q547" i="16"/>
  <c r="P547" i="16"/>
  <c r="L547" i="16"/>
  <c r="M547" i="16" s="1"/>
  <c r="P546" i="16"/>
  <c r="N546" i="16"/>
  <c r="M546" i="16"/>
  <c r="L546" i="16"/>
  <c r="Q546" i="16" s="1"/>
  <c r="Q545" i="16"/>
  <c r="P545" i="16"/>
  <c r="N545" i="16"/>
  <c r="L545" i="16"/>
  <c r="M545" i="16" s="1"/>
  <c r="P544" i="16"/>
  <c r="L544" i="16"/>
  <c r="P543" i="16"/>
  <c r="L543" i="16"/>
  <c r="P542" i="16"/>
  <c r="L542" i="16"/>
  <c r="Q541" i="16"/>
  <c r="P541" i="16"/>
  <c r="L541" i="16"/>
  <c r="P540" i="16"/>
  <c r="N540" i="16"/>
  <c r="L540" i="16"/>
  <c r="M540" i="16" s="1"/>
  <c r="Q539" i="16"/>
  <c r="P539" i="16"/>
  <c r="N539" i="16"/>
  <c r="L539" i="16"/>
  <c r="M539" i="16" s="1"/>
  <c r="P538" i="16"/>
  <c r="N538" i="16"/>
  <c r="M538" i="16"/>
  <c r="L538" i="16"/>
  <c r="Q538" i="16" s="1"/>
  <c r="Q537" i="16"/>
  <c r="P537" i="16"/>
  <c r="L537" i="16"/>
  <c r="Q536" i="16"/>
  <c r="P536" i="16"/>
  <c r="L536" i="16"/>
  <c r="M536" i="16" s="1"/>
  <c r="Q535" i="16"/>
  <c r="P535" i="16"/>
  <c r="N535" i="16"/>
  <c r="L535" i="16"/>
  <c r="M535" i="16" s="1"/>
  <c r="P534" i="16"/>
  <c r="N534" i="16"/>
  <c r="M534" i="16"/>
  <c r="L534" i="16"/>
  <c r="Q534" i="16" s="1"/>
  <c r="P533" i="16"/>
  <c r="L533" i="16"/>
  <c r="P532" i="16"/>
  <c r="N532" i="16"/>
  <c r="L532" i="16"/>
  <c r="M532" i="16" s="1"/>
  <c r="Q531" i="16"/>
  <c r="P531" i="16"/>
  <c r="N531" i="16"/>
  <c r="L531" i="16"/>
  <c r="M531" i="16" s="1"/>
  <c r="P530" i="16"/>
  <c r="N530" i="16"/>
  <c r="M530" i="16"/>
  <c r="L530" i="16"/>
  <c r="Q530" i="16" s="1"/>
  <c r="Q529" i="16"/>
  <c r="P529" i="16"/>
  <c r="L529" i="16"/>
  <c r="Q528" i="16"/>
  <c r="P528" i="16"/>
  <c r="L528" i="16"/>
  <c r="M528" i="16" s="1"/>
  <c r="Q527" i="16"/>
  <c r="P527" i="16"/>
  <c r="N527" i="16"/>
  <c r="L527" i="16"/>
  <c r="M527" i="16" s="1"/>
  <c r="P526" i="16"/>
  <c r="N526" i="16"/>
  <c r="M526" i="16"/>
  <c r="L526" i="16"/>
  <c r="Q526" i="16" s="1"/>
  <c r="P525" i="16"/>
  <c r="L525" i="16"/>
  <c r="P524" i="16"/>
  <c r="N524" i="16"/>
  <c r="L524" i="16"/>
  <c r="Q523" i="16"/>
  <c r="P523" i="16"/>
  <c r="N523" i="16"/>
  <c r="L523" i="16"/>
  <c r="M523" i="16" s="1"/>
  <c r="P522" i="16"/>
  <c r="N522" i="16"/>
  <c r="M522" i="16"/>
  <c r="L522" i="16"/>
  <c r="Q522" i="16" s="1"/>
  <c r="Q521" i="16"/>
  <c r="P521" i="16"/>
  <c r="L521" i="16"/>
  <c r="L520" i="16"/>
  <c r="Q519" i="16"/>
  <c r="P519" i="16"/>
  <c r="N519" i="16"/>
  <c r="L519" i="16"/>
  <c r="M519" i="16" s="1"/>
  <c r="P518" i="16"/>
  <c r="N518" i="16"/>
  <c r="M518" i="16"/>
  <c r="L518" i="16"/>
  <c r="Q518" i="16" s="1"/>
  <c r="Q517" i="16"/>
  <c r="P517" i="16"/>
  <c r="L517" i="16"/>
  <c r="P516" i="16"/>
  <c r="L516" i="16"/>
  <c r="M516" i="16" s="1"/>
  <c r="Q515" i="16"/>
  <c r="P515" i="16"/>
  <c r="N515" i="16"/>
  <c r="L515" i="16"/>
  <c r="M515" i="16" s="1"/>
  <c r="P514" i="16"/>
  <c r="N514" i="16"/>
  <c r="M514" i="16"/>
  <c r="L514" i="16"/>
  <c r="Q514" i="16" s="1"/>
  <c r="P513" i="16"/>
  <c r="L513" i="16"/>
  <c r="Q512" i="16"/>
  <c r="P512" i="16"/>
  <c r="N512" i="16"/>
  <c r="L512" i="16"/>
  <c r="M512" i="16" s="1"/>
  <c r="Q511" i="16"/>
  <c r="P511" i="16"/>
  <c r="N511" i="16"/>
  <c r="L511" i="16"/>
  <c r="M511" i="16" s="1"/>
  <c r="P510" i="16"/>
  <c r="N510" i="16"/>
  <c r="M510" i="16"/>
  <c r="L510" i="16"/>
  <c r="Q510" i="16" s="1"/>
  <c r="P509" i="16"/>
  <c r="L509" i="16"/>
  <c r="L508" i="16"/>
  <c r="L507" i="16"/>
  <c r="P506" i="16"/>
  <c r="N506" i="16"/>
  <c r="M506" i="16"/>
  <c r="L506" i="16"/>
  <c r="Q506" i="16" s="1"/>
  <c r="Q505" i="16"/>
  <c r="P505" i="16"/>
  <c r="L505" i="16"/>
  <c r="P504" i="16"/>
  <c r="N504" i="16"/>
  <c r="L504" i="16"/>
  <c r="Q503" i="16"/>
  <c r="P503" i="16"/>
  <c r="N503" i="16"/>
  <c r="L503" i="16"/>
  <c r="M503" i="16" s="1"/>
  <c r="P502" i="16"/>
  <c r="N502" i="16"/>
  <c r="M502" i="16"/>
  <c r="L502" i="16"/>
  <c r="Q502" i="16" s="1"/>
  <c r="Q501" i="16"/>
  <c r="P501" i="16"/>
  <c r="L501" i="16"/>
  <c r="P500" i="16"/>
  <c r="L500" i="16"/>
  <c r="Q499" i="16"/>
  <c r="P499" i="16"/>
  <c r="N499" i="16"/>
  <c r="L499" i="16"/>
  <c r="M499" i="16" s="1"/>
  <c r="P498" i="16"/>
  <c r="N498" i="16"/>
  <c r="M498" i="16"/>
  <c r="L498" i="16"/>
  <c r="Q498" i="16" s="1"/>
  <c r="P497" i="16"/>
  <c r="L497" i="16"/>
  <c r="P496" i="16"/>
  <c r="L496" i="16"/>
  <c r="M496" i="16" s="1"/>
  <c r="Q495" i="16"/>
  <c r="P495" i="16"/>
  <c r="N495" i="16"/>
  <c r="L495" i="16"/>
  <c r="M495" i="16" s="1"/>
  <c r="P494" i="16"/>
  <c r="N494" i="16"/>
  <c r="M494" i="16"/>
  <c r="L494" i="16"/>
  <c r="Q494" i="16" s="1"/>
  <c r="Q493" i="16"/>
  <c r="P493" i="16"/>
  <c r="L493" i="16"/>
  <c r="Q492" i="16"/>
  <c r="P492" i="16"/>
  <c r="N492" i="16"/>
  <c r="L492" i="16"/>
  <c r="M492" i="16" s="1"/>
  <c r="Q491" i="16"/>
  <c r="P491" i="16"/>
  <c r="P487" i="16" s="1"/>
  <c r="N491" i="16"/>
  <c r="L491" i="16"/>
  <c r="M491" i="16" s="1"/>
  <c r="P490" i="16"/>
  <c r="N490" i="16"/>
  <c r="M490" i="16"/>
  <c r="L490" i="16"/>
  <c r="Q490" i="16" s="1"/>
  <c r="Q489" i="16"/>
  <c r="P489" i="16"/>
  <c r="L489" i="16"/>
  <c r="P488" i="16"/>
  <c r="N488" i="16"/>
  <c r="L488" i="16"/>
  <c r="M488" i="16" s="1"/>
  <c r="L487" i="16"/>
  <c r="P486" i="16"/>
  <c r="N486" i="16"/>
  <c r="M486" i="16"/>
  <c r="L486" i="16"/>
  <c r="Q486" i="16" s="1"/>
  <c r="Q485" i="16"/>
  <c r="P485" i="16"/>
  <c r="L485" i="16"/>
  <c r="P484" i="16"/>
  <c r="L484" i="16"/>
  <c r="M484" i="16" s="1"/>
  <c r="Q483" i="16"/>
  <c r="P483" i="16"/>
  <c r="P482" i="16" s="1"/>
  <c r="N483" i="16"/>
  <c r="L483" i="16"/>
  <c r="M483" i="16" s="1"/>
  <c r="L482" i="16"/>
  <c r="L481" i="16"/>
  <c r="P480" i="16"/>
  <c r="L480" i="16"/>
  <c r="M480" i="16" s="1"/>
  <c r="Q479" i="16"/>
  <c r="P479" i="16"/>
  <c r="N479" i="16"/>
  <c r="L479" i="16"/>
  <c r="M479" i="16" s="1"/>
  <c r="P478" i="16"/>
  <c r="N478" i="16"/>
  <c r="M478" i="16"/>
  <c r="L478" i="16"/>
  <c r="Q478" i="16" s="1"/>
  <c r="Q477" i="16"/>
  <c r="P477" i="16"/>
  <c r="L477" i="16"/>
  <c r="Q476" i="16"/>
  <c r="P476" i="16"/>
  <c r="N476" i="16"/>
  <c r="L476" i="16"/>
  <c r="M476" i="16" s="1"/>
  <c r="Q475" i="16"/>
  <c r="P475" i="16"/>
  <c r="N475" i="16"/>
  <c r="L475" i="16"/>
  <c r="M475" i="16" s="1"/>
  <c r="L474" i="16"/>
  <c r="P473" i="16"/>
  <c r="L473" i="16"/>
  <c r="Q472" i="16"/>
  <c r="P472" i="16"/>
  <c r="N472" i="16"/>
  <c r="L472" i="16"/>
  <c r="M472" i="16" s="1"/>
  <c r="Q471" i="16"/>
  <c r="P471" i="16"/>
  <c r="N471" i="16"/>
  <c r="L471" i="16"/>
  <c r="M471" i="16" s="1"/>
  <c r="P470" i="16"/>
  <c r="N470" i="16"/>
  <c r="M470" i="16"/>
  <c r="L470" i="16"/>
  <c r="Q470" i="16" s="1"/>
  <c r="Q469" i="16"/>
  <c r="P469" i="16"/>
  <c r="L469" i="16"/>
  <c r="P468" i="16"/>
  <c r="L468" i="16"/>
  <c r="Q467" i="16"/>
  <c r="P467" i="16"/>
  <c r="N467" i="16"/>
  <c r="L467" i="16"/>
  <c r="M467" i="16" s="1"/>
  <c r="P466" i="16"/>
  <c r="N466" i="16"/>
  <c r="M466" i="16"/>
  <c r="L466" i="16"/>
  <c r="Q466" i="16" s="1"/>
  <c r="Q465" i="16"/>
  <c r="N465" i="16"/>
  <c r="L465" i="16"/>
  <c r="M465" i="16" s="1"/>
  <c r="P464" i="16"/>
  <c r="M464" i="16"/>
  <c r="L464" i="16"/>
  <c r="Q464" i="16" s="1"/>
  <c r="Q463" i="16"/>
  <c r="P463" i="16"/>
  <c r="N463" i="16"/>
  <c r="M463" i="16"/>
  <c r="L463" i="16"/>
  <c r="P462" i="16"/>
  <c r="L462" i="16"/>
  <c r="P461" i="16"/>
  <c r="N461" i="16"/>
  <c r="L461" i="16"/>
  <c r="Q461" i="16" s="1"/>
  <c r="P460" i="16"/>
  <c r="M460" i="16"/>
  <c r="L460" i="16"/>
  <c r="Q460" i="16" s="1"/>
  <c r="Q459" i="16"/>
  <c r="P459" i="16"/>
  <c r="N459" i="16"/>
  <c r="M459" i="16"/>
  <c r="L459" i="16"/>
  <c r="P458" i="16"/>
  <c r="L458" i="16"/>
  <c r="Q458" i="16" s="1"/>
  <c r="P457" i="16"/>
  <c r="N457" i="16"/>
  <c r="L457" i="16"/>
  <c r="Q457" i="16" s="1"/>
  <c r="P456" i="16"/>
  <c r="M456" i="16"/>
  <c r="L456" i="16"/>
  <c r="Q456" i="16" s="1"/>
  <c r="Q455" i="16"/>
  <c r="P455" i="16"/>
  <c r="N455" i="16"/>
  <c r="M455" i="16"/>
  <c r="L455" i="16"/>
  <c r="Q454" i="16"/>
  <c r="P454" i="16"/>
  <c r="N454" i="16"/>
  <c r="M454" i="16"/>
  <c r="L454" i="16"/>
  <c r="P453" i="16"/>
  <c r="N453" i="16"/>
  <c r="L453" i="16"/>
  <c r="Q453" i="16" s="1"/>
  <c r="P452" i="16"/>
  <c r="M452" i="16"/>
  <c r="L452" i="16"/>
  <c r="Q452" i="16" s="1"/>
  <c r="Q451" i="16"/>
  <c r="P451" i="16"/>
  <c r="N451" i="16"/>
  <c r="M451" i="16"/>
  <c r="L451" i="16"/>
  <c r="Q450" i="16"/>
  <c r="P450" i="16"/>
  <c r="M450" i="16"/>
  <c r="L450" i="16"/>
  <c r="N450" i="16" s="1"/>
  <c r="P449" i="16"/>
  <c r="N449" i="16"/>
  <c r="L449" i="16"/>
  <c r="Q449" i="16" s="1"/>
  <c r="P448" i="16"/>
  <c r="M448" i="16"/>
  <c r="L448" i="16"/>
  <c r="Q448" i="16" s="1"/>
  <c r="Q447" i="16"/>
  <c r="P447" i="16"/>
  <c r="N447" i="16"/>
  <c r="M447" i="16"/>
  <c r="L447" i="16"/>
  <c r="P446" i="16"/>
  <c r="L446" i="16"/>
  <c r="Q446" i="16" s="1"/>
  <c r="P445" i="16"/>
  <c r="N445" i="16"/>
  <c r="L445" i="16"/>
  <c r="Q445" i="16" s="1"/>
  <c r="P444" i="16"/>
  <c r="M444" i="16"/>
  <c r="L444" i="16"/>
  <c r="Q444" i="16" s="1"/>
  <c r="Q443" i="16"/>
  <c r="P443" i="16"/>
  <c r="N443" i="16"/>
  <c r="M443" i="16"/>
  <c r="L443" i="16"/>
  <c r="Q442" i="16"/>
  <c r="P442" i="16"/>
  <c r="N442" i="16"/>
  <c r="L442" i="16"/>
  <c r="M442" i="16" s="1"/>
  <c r="P441" i="16"/>
  <c r="N441" i="16"/>
  <c r="L441" i="16"/>
  <c r="Q441" i="16" s="1"/>
  <c r="P440" i="16"/>
  <c r="M440" i="16"/>
  <c r="L440" i="16"/>
  <c r="Q440" i="16" s="1"/>
  <c r="Q439" i="16"/>
  <c r="P439" i="16"/>
  <c r="N439" i="16"/>
  <c r="M439" i="16"/>
  <c r="L439" i="16"/>
  <c r="Q438" i="16"/>
  <c r="P438" i="16"/>
  <c r="N438" i="16"/>
  <c r="M438" i="16"/>
  <c r="L438" i="16"/>
  <c r="P437" i="16"/>
  <c r="N437" i="16"/>
  <c r="L437" i="16"/>
  <c r="Q437" i="16" s="1"/>
  <c r="P436" i="16"/>
  <c r="M436" i="16"/>
  <c r="L436" i="16"/>
  <c r="Q436" i="16" s="1"/>
  <c r="Q435" i="16"/>
  <c r="P435" i="16"/>
  <c r="N435" i="16"/>
  <c r="M435" i="16"/>
  <c r="L435" i="16"/>
  <c r="Q434" i="16"/>
  <c r="P434" i="16"/>
  <c r="N434" i="16"/>
  <c r="M434" i="16"/>
  <c r="L434" i="16"/>
  <c r="P433" i="16"/>
  <c r="N433" i="16"/>
  <c r="L433" i="16"/>
  <c r="Q433" i="16" s="1"/>
  <c r="P432" i="16"/>
  <c r="M432" i="16"/>
  <c r="L432" i="16"/>
  <c r="Q432" i="16" s="1"/>
  <c r="Q431" i="16"/>
  <c r="P431" i="16"/>
  <c r="N431" i="16"/>
  <c r="M431" i="16"/>
  <c r="L431" i="16"/>
  <c r="Q430" i="16"/>
  <c r="P430" i="16"/>
  <c r="M430" i="16"/>
  <c r="L430" i="16"/>
  <c r="N430" i="16" s="1"/>
  <c r="P429" i="16"/>
  <c r="N429" i="16"/>
  <c r="L429" i="16"/>
  <c r="Q429" i="16" s="1"/>
  <c r="P428" i="16"/>
  <c r="M428" i="16"/>
  <c r="L428" i="16"/>
  <c r="Q428" i="16" s="1"/>
  <c r="Q427" i="16"/>
  <c r="P427" i="16"/>
  <c r="N427" i="16"/>
  <c r="M427" i="16"/>
  <c r="L427" i="16"/>
  <c r="Q426" i="16"/>
  <c r="P426" i="16"/>
  <c r="N426" i="16"/>
  <c r="L426" i="16"/>
  <c r="M426" i="16" s="1"/>
  <c r="P425" i="16"/>
  <c r="N425" i="16"/>
  <c r="L425" i="16"/>
  <c r="Q425" i="16" s="1"/>
  <c r="P424" i="16"/>
  <c r="M424" i="16"/>
  <c r="L424" i="16"/>
  <c r="Q424" i="16" s="1"/>
  <c r="Q423" i="16"/>
  <c r="P423" i="16"/>
  <c r="N423" i="16"/>
  <c r="M423" i="16"/>
  <c r="L423" i="16"/>
  <c r="P422" i="16"/>
  <c r="N422" i="16"/>
  <c r="M422" i="16"/>
  <c r="L422" i="16"/>
  <c r="Q422" i="16" s="1"/>
  <c r="P421" i="16"/>
  <c r="N421" i="16"/>
  <c r="L421" i="16"/>
  <c r="Q421" i="16" s="1"/>
  <c r="P420" i="16"/>
  <c r="M420" i="16"/>
  <c r="L420" i="16"/>
  <c r="Q420" i="16" s="1"/>
  <c r="Q419" i="16"/>
  <c r="P419" i="16"/>
  <c r="N419" i="16"/>
  <c r="M419" i="16"/>
  <c r="L419" i="16"/>
  <c r="P418" i="16"/>
  <c r="M418" i="16"/>
  <c r="L418" i="16"/>
  <c r="P417" i="16"/>
  <c r="N417" i="16"/>
  <c r="L417" i="16"/>
  <c r="Q417" i="16" s="1"/>
  <c r="P416" i="16"/>
  <c r="M416" i="16"/>
  <c r="L416" i="16"/>
  <c r="Q416" i="16" s="1"/>
  <c r="Q415" i="16"/>
  <c r="P415" i="16"/>
  <c r="N415" i="16"/>
  <c r="M415" i="16"/>
  <c r="L415" i="16"/>
  <c r="P414" i="16"/>
  <c r="L414" i="16"/>
  <c r="P413" i="16"/>
  <c r="N413" i="16"/>
  <c r="L413" i="16"/>
  <c r="Q413" i="16" s="1"/>
  <c r="P412" i="16"/>
  <c r="M412" i="16"/>
  <c r="L412" i="16"/>
  <c r="Q412" i="16" s="1"/>
  <c r="Q411" i="16"/>
  <c r="P411" i="16"/>
  <c r="N411" i="16"/>
  <c r="M411" i="16"/>
  <c r="L411" i="16"/>
  <c r="P410" i="16"/>
  <c r="L410" i="16"/>
  <c r="Q410" i="16" s="1"/>
  <c r="P409" i="16"/>
  <c r="N409" i="16"/>
  <c r="L409" i="16"/>
  <c r="Q409" i="16" s="1"/>
  <c r="P408" i="16"/>
  <c r="M408" i="16"/>
  <c r="L408" i="16"/>
  <c r="Q408" i="16" s="1"/>
  <c r="Q407" i="16"/>
  <c r="P407" i="16"/>
  <c r="N407" i="16"/>
  <c r="M407" i="16"/>
  <c r="L407" i="16"/>
  <c r="L406" i="16"/>
  <c r="P405" i="16"/>
  <c r="N405" i="16"/>
  <c r="L405" i="16"/>
  <c r="Q405" i="16" s="1"/>
  <c r="P404" i="16"/>
  <c r="M404" i="16"/>
  <c r="L404" i="16"/>
  <c r="Q404" i="16" s="1"/>
  <c r="Q403" i="16"/>
  <c r="P403" i="16"/>
  <c r="N403" i="16"/>
  <c r="M403" i="16"/>
  <c r="L403" i="16"/>
  <c r="Q402" i="16"/>
  <c r="P402" i="16"/>
  <c r="N402" i="16"/>
  <c r="M402" i="16"/>
  <c r="L402" i="16"/>
  <c r="P401" i="16"/>
  <c r="N401" i="16"/>
  <c r="L401" i="16"/>
  <c r="P400" i="16"/>
  <c r="M400" i="16"/>
  <c r="L400" i="16"/>
  <c r="Q400" i="16" s="1"/>
  <c r="Q399" i="16"/>
  <c r="P399" i="16"/>
  <c r="N399" i="16"/>
  <c r="M399" i="16"/>
  <c r="L399" i="16"/>
  <c r="P398" i="16"/>
  <c r="L398" i="16"/>
  <c r="Q398" i="16" s="1"/>
  <c r="P397" i="16"/>
  <c r="L397" i="16"/>
  <c r="P396" i="16"/>
  <c r="M396" i="16"/>
  <c r="L396" i="16"/>
  <c r="Q396" i="16" s="1"/>
  <c r="P395" i="16"/>
  <c r="L395" i="16"/>
  <c r="P394" i="16"/>
  <c r="L394" i="16"/>
  <c r="Q394" i="16" s="1"/>
  <c r="P393" i="16"/>
  <c r="L393" i="16"/>
  <c r="P392" i="16"/>
  <c r="M392" i="16"/>
  <c r="L392" i="16"/>
  <c r="Q392" i="16" s="1"/>
  <c r="Q391" i="16"/>
  <c r="P391" i="16"/>
  <c r="N391" i="16"/>
  <c r="M391" i="16"/>
  <c r="L391" i="16"/>
  <c r="P390" i="16"/>
  <c r="M390" i="16"/>
  <c r="L390" i="16"/>
  <c r="P389" i="16"/>
  <c r="N389" i="16"/>
  <c r="L389" i="16"/>
  <c r="P388" i="16"/>
  <c r="L388" i="16"/>
  <c r="Q387" i="16"/>
  <c r="P387" i="16"/>
  <c r="N387" i="16"/>
  <c r="M387" i="16"/>
  <c r="L387" i="16"/>
  <c r="Q386" i="16"/>
  <c r="P386" i="16"/>
  <c r="M386" i="16"/>
  <c r="L386" i="16"/>
  <c r="N386" i="16" s="1"/>
  <c r="P385" i="16"/>
  <c r="N385" i="16"/>
  <c r="L385" i="16"/>
  <c r="P384" i="16"/>
  <c r="L384" i="16"/>
  <c r="Q383" i="16"/>
  <c r="P383" i="16"/>
  <c r="N383" i="16"/>
  <c r="M383" i="16"/>
  <c r="L383" i="16"/>
  <c r="P382" i="16"/>
  <c r="N382" i="16"/>
  <c r="L382" i="16"/>
  <c r="Q382" i="16" s="1"/>
  <c r="P381" i="16"/>
  <c r="N381" i="16"/>
  <c r="L381" i="16"/>
  <c r="P380" i="16"/>
  <c r="M380" i="16"/>
  <c r="L380" i="16"/>
  <c r="Q379" i="16"/>
  <c r="P379" i="16"/>
  <c r="N379" i="16"/>
  <c r="M379" i="16"/>
  <c r="L379" i="16"/>
  <c r="Q378" i="16"/>
  <c r="P378" i="16"/>
  <c r="N378" i="16"/>
  <c r="M378" i="16"/>
  <c r="L378" i="16"/>
  <c r="P377" i="16"/>
  <c r="L377" i="16"/>
  <c r="P376" i="16"/>
  <c r="M376" i="16"/>
  <c r="L376" i="16"/>
  <c r="Q375" i="16"/>
  <c r="P375" i="16"/>
  <c r="N375" i="16"/>
  <c r="M375" i="16"/>
  <c r="L375" i="16"/>
  <c r="Q374" i="16"/>
  <c r="P374" i="16"/>
  <c r="N374" i="16"/>
  <c r="M374" i="16"/>
  <c r="L374" i="16"/>
  <c r="P373" i="16"/>
  <c r="L373" i="16"/>
  <c r="M373" i="16" s="1"/>
  <c r="P372" i="16"/>
  <c r="N372" i="16"/>
  <c r="L372" i="16"/>
  <c r="Q371" i="16"/>
  <c r="P371" i="16"/>
  <c r="N371" i="16"/>
  <c r="M371" i="16"/>
  <c r="L371" i="16"/>
  <c r="Q370" i="16"/>
  <c r="P370" i="16"/>
  <c r="L370" i="16"/>
  <c r="N370" i="16" s="1"/>
  <c r="P369" i="16"/>
  <c r="N369" i="16"/>
  <c r="L369" i="16"/>
  <c r="M369" i="16" s="1"/>
  <c r="P368" i="16"/>
  <c r="M368" i="16"/>
  <c r="L368" i="16"/>
  <c r="Q368" i="16" s="1"/>
  <c r="Q367" i="16"/>
  <c r="P367" i="16"/>
  <c r="N367" i="16"/>
  <c r="M367" i="16"/>
  <c r="L367" i="16"/>
  <c r="Q366" i="16"/>
  <c r="P366" i="16"/>
  <c r="N366" i="16"/>
  <c r="M366" i="16"/>
  <c r="L366" i="16"/>
  <c r="P365" i="16"/>
  <c r="L365" i="16"/>
  <c r="M365" i="16" s="1"/>
  <c r="P364" i="16"/>
  <c r="L364" i="16"/>
  <c r="Q363" i="16"/>
  <c r="P363" i="16"/>
  <c r="N363" i="16"/>
  <c r="M363" i="16"/>
  <c r="L363" i="16"/>
  <c r="P362" i="16"/>
  <c r="L362" i="16"/>
  <c r="P361" i="16"/>
  <c r="N361" i="16"/>
  <c r="L361" i="16"/>
  <c r="M361" i="16" s="1"/>
  <c r="P360" i="16"/>
  <c r="M360" i="16"/>
  <c r="L360" i="16"/>
  <c r="Q360" i="16" s="1"/>
  <c r="Q359" i="16"/>
  <c r="P359" i="16"/>
  <c r="N359" i="16"/>
  <c r="M359" i="16"/>
  <c r="L359" i="16"/>
  <c r="Q358" i="16"/>
  <c r="P358" i="16"/>
  <c r="N358" i="16"/>
  <c r="M358" i="16"/>
  <c r="L358" i="16"/>
  <c r="P357" i="16"/>
  <c r="L357" i="16"/>
  <c r="P356" i="16"/>
  <c r="L356" i="16"/>
  <c r="Q355" i="16"/>
  <c r="P355" i="16"/>
  <c r="N355" i="16"/>
  <c r="M355" i="16"/>
  <c r="L355" i="16"/>
  <c r="Q354" i="16"/>
  <c r="P354" i="16"/>
  <c r="M354" i="16"/>
  <c r="L354" i="16"/>
  <c r="N354" i="16" s="1"/>
  <c r="Q353" i="16"/>
  <c r="P353" i="16"/>
  <c r="M353" i="16"/>
  <c r="L353" i="16"/>
  <c r="N353" i="16" s="1"/>
  <c r="P352" i="16"/>
  <c r="L352" i="16"/>
  <c r="Q351" i="16"/>
  <c r="P351" i="16"/>
  <c r="N351" i="16"/>
  <c r="M351" i="16"/>
  <c r="L351" i="16"/>
  <c r="Q350" i="16"/>
  <c r="P350" i="16"/>
  <c r="N350" i="16"/>
  <c r="L350" i="16"/>
  <c r="M350" i="16" s="1"/>
  <c r="P349" i="16"/>
  <c r="L349" i="16"/>
  <c r="P348" i="16"/>
  <c r="N348" i="16"/>
  <c r="L348" i="16"/>
  <c r="Q348" i="16" s="1"/>
  <c r="Q347" i="16"/>
  <c r="P347" i="16"/>
  <c r="N347" i="16"/>
  <c r="M347" i="16"/>
  <c r="L347" i="16"/>
  <c r="Q346" i="16"/>
  <c r="P346" i="16"/>
  <c r="N346" i="16"/>
  <c r="M346" i="16"/>
  <c r="L346" i="16"/>
  <c r="Q345" i="16"/>
  <c r="P345" i="16"/>
  <c r="M345" i="16"/>
  <c r="L345" i="16"/>
  <c r="N345" i="16" s="1"/>
  <c r="Q344" i="16"/>
  <c r="P344" i="16"/>
  <c r="N344" i="16"/>
  <c r="L344" i="16"/>
  <c r="M344" i="16" s="1"/>
  <c r="Q343" i="16"/>
  <c r="P343" i="16"/>
  <c r="N343" i="16"/>
  <c r="M343" i="16"/>
  <c r="L343" i="16"/>
  <c r="P342" i="16"/>
  <c r="L342" i="16"/>
  <c r="P341" i="16"/>
  <c r="N341" i="16"/>
  <c r="L341" i="16"/>
  <c r="Q341" i="16" s="1"/>
  <c r="P340" i="16"/>
  <c r="L340" i="16"/>
  <c r="Q339" i="16"/>
  <c r="P339" i="16"/>
  <c r="N339" i="16"/>
  <c r="M339" i="16"/>
  <c r="L339" i="16"/>
  <c r="Q338" i="16"/>
  <c r="P338" i="16"/>
  <c r="M338" i="16"/>
  <c r="L338" i="16"/>
  <c r="N338" i="16" s="1"/>
  <c r="L337" i="16"/>
  <c r="P336" i="16"/>
  <c r="N336" i="16"/>
  <c r="L336" i="16"/>
  <c r="Q336" i="16" s="1"/>
  <c r="Q335" i="16"/>
  <c r="P335" i="16"/>
  <c r="N335" i="16"/>
  <c r="M335" i="16"/>
  <c r="L335" i="16"/>
  <c r="P334" i="16"/>
  <c r="N334" i="16"/>
  <c r="L334" i="16"/>
  <c r="Q334" i="16" s="1"/>
  <c r="P333" i="16"/>
  <c r="L333" i="16"/>
  <c r="P332" i="16"/>
  <c r="L332" i="16"/>
  <c r="Q331" i="16"/>
  <c r="P331" i="16"/>
  <c r="N331" i="16"/>
  <c r="M331" i="16"/>
  <c r="L331" i="16"/>
  <c r="Q330" i="16"/>
  <c r="P330" i="16"/>
  <c r="L330" i="16"/>
  <c r="M330" i="16" s="1"/>
  <c r="L329" i="16"/>
  <c r="L328" i="16"/>
  <c r="Q327" i="16"/>
  <c r="P327" i="16"/>
  <c r="N327" i="16"/>
  <c r="M327" i="16"/>
  <c r="L327" i="16"/>
  <c r="P326" i="16"/>
  <c r="P317" i="16" s="1"/>
  <c r="N326" i="16"/>
  <c r="L326" i="16"/>
  <c r="P325" i="16"/>
  <c r="L325" i="16"/>
  <c r="Q324" i="16"/>
  <c r="P324" i="16"/>
  <c r="N324" i="16"/>
  <c r="L324" i="16"/>
  <c r="M324" i="16" s="1"/>
  <c r="Q323" i="16"/>
  <c r="P323" i="16"/>
  <c r="N323" i="16"/>
  <c r="M323" i="16"/>
  <c r="L323" i="16"/>
  <c r="P322" i="16"/>
  <c r="N322" i="16"/>
  <c r="L322" i="16"/>
  <c r="M322" i="16" s="1"/>
  <c r="Q321" i="16"/>
  <c r="P321" i="16"/>
  <c r="M321" i="16"/>
  <c r="L321" i="16"/>
  <c r="N321" i="16" s="1"/>
  <c r="P320" i="16"/>
  <c r="N320" i="16"/>
  <c r="L320" i="16"/>
  <c r="M320" i="16" s="1"/>
  <c r="Q319" i="16"/>
  <c r="P319" i="16"/>
  <c r="N319" i="16"/>
  <c r="M319" i="16"/>
  <c r="L319" i="16"/>
  <c r="P318" i="16"/>
  <c r="L318" i="16"/>
  <c r="L317" i="16"/>
  <c r="Q316" i="16"/>
  <c r="P316" i="16"/>
  <c r="P315" i="16" s="1"/>
  <c r="L316" i="16"/>
  <c r="M316" i="16" s="1"/>
  <c r="M315" i="16" s="1"/>
  <c r="L315" i="16"/>
  <c r="Q314" i="16"/>
  <c r="P314" i="16"/>
  <c r="M314" i="16"/>
  <c r="L314" i="16"/>
  <c r="N314" i="16" s="1"/>
  <c r="P313" i="16"/>
  <c r="L313" i="16"/>
  <c r="Q313" i="16" s="1"/>
  <c r="P312" i="16"/>
  <c r="M312" i="16"/>
  <c r="L312" i="16"/>
  <c r="Q311" i="16"/>
  <c r="P311" i="16"/>
  <c r="N311" i="16"/>
  <c r="M311" i="16"/>
  <c r="L311" i="16"/>
  <c r="P310" i="16"/>
  <c r="P307" i="16" s="1"/>
  <c r="N310" i="16"/>
  <c r="L310" i="16"/>
  <c r="Q310" i="16" s="1"/>
  <c r="P309" i="16"/>
  <c r="L309" i="16"/>
  <c r="P308" i="16"/>
  <c r="L308" i="16"/>
  <c r="L307" i="16"/>
  <c r="P306" i="16"/>
  <c r="L306" i="16"/>
  <c r="Q305" i="16"/>
  <c r="P305" i="16"/>
  <c r="N305" i="16"/>
  <c r="M305" i="16"/>
  <c r="L305" i="16"/>
  <c r="Q304" i="16"/>
  <c r="P304" i="16"/>
  <c r="M304" i="16"/>
  <c r="L304" i="16"/>
  <c r="N304" i="16" s="1"/>
  <c r="Q303" i="16"/>
  <c r="P303" i="16"/>
  <c r="N303" i="16"/>
  <c r="M303" i="16"/>
  <c r="L303" i="16"/>
  <c r="P302" i="16"/>
  <c r="L302" i="16"/>
  <c r="P301" i="16"/>
  <c r="L301" i="16"/>
  <c r="Q300" i="16"/>
  <c r="P300" i="16"/>
  <c r="N300" i="16"/>
  <c r="L300" i="16"/>
  <c r="M300" i="16" s="1"/>
  <c r="Q299" i="16"/>
  <c r="P299" i="16"/>
  <c r="N299" i="16"/>
  <c r="M299" i="16"/>
  <c r="L299" i="16"/>
  <c r="P298" i="16"/>
  <c r="L298" i="16"/>
  <c r="Q297" i="16"/>
  <c r="P297" i="16"/>
  <c r="N297" i="16"/>
  <c r="M297" i="16"/>
  <c r="L297" i="16"/>
  <c r="P296" i="16"/>
  <c r="L296" i="16"/>
  <c r="P295" i="16"/>
  <c r="L295" i="16"/>
  <c r="N295" i="16" s="1"/>
  <c r="Q294" i="16"/>
  <c r="P294" i="16"/>
  <c r="N294" i="16"/>
  <c r="M294" i="16"/>
  <c r="L294" i="16"/>
  <c r="Q293" i="16"/>
  <c r="P293" i="16"/>
  <c r="N293" i="16"/>
  <c r="M293" i="16"/>
  <c r="L293" i="16"/>
  <c r="P292" i="16"/>
  <c r="P291" i="16" s="1"/>
  <c r="N292" i="16"/>
  <c r="L292" i="16"/>
  <c r="Q292" i="16" s="1"/>
  <c r="L291" i="16"/>
  <c r="Q290" i="16"/>
  <c r="P290" i="16"/>
  <c r="M290" i="16"/>
  <c r="L290" i="16"/>
  <c r="N290" i="16" s="1"/>
  <c r="Q289" i="16"/>
  <c r="P289" i="16"/>
  <c r="N289" i="16"/>
  <c r="M289" i="16"/>
  <c r="L289" i="16"/>
  <c r="P288" i="16"/>
  <c r="N288" i="16"/>
  <c r="L288" i="16"/>
  <c r="Q288" i="16" s="1"/>
  <c r="P287" i="16"/>
  <c r="L287" i="16"/>
  <c r="P286" i="16"/>
  <c r="N286" i="16"/>
  <c r="M286" i="16"/>
  <c r="L286" i="16"/>
  <c r="Q286" i="16" s="1"/>
  <c r="Q285" i="16"/>
  <c r="P285" i="16"/>
  <c r="N285" i="16"/>
  <c r="M285" i="16"/>
  <c r="L285" i="16"/>
  <c r="P284" i="16"/>
  <c r="N284" i="16"/>
  <c r="L284" i="16"/>
  <c r="Q284" i="16" s="1"/>
  <c r="Q283" i="16"/>
  <c r="P283" i="16"/>
  <c r="M283" i="16"/>
  <c r="L283" i="16"/>
  <c r="N283" i="16" s="1"/>
  <c r="P282" i="16"/>
  <c r="L282" i="16"/>
  <c r="Q282" i="16" s="1"/>
  <c r="Q281" i="16"/>
  <c r="P281" i="16"/>
  <c r="N281" i="16"/>
  <c r="M281" i="16"/>
  <c r="L281" i="16"/>
  <c r="P280" i="16"/>
  <c r="N280" i="16"/>
  <c r="L280" i="16"/>
  <c r="Q280" i="16" s="1"/>
  <c r="Q279" i="16"/>
  <c r="P279" i="16"/>
  <c r="M279" i="16"/>
  <c r="L279" i="16"/>
  <c r="N279" i="16" s="1"/>
  <c r="P278" i="16"/>
  <c r="N278" i="16"/>
  <c r="L278" i="16"/>
  <c r="Q278" i="16" s="1"/>
  <c r="Q277" i="16"/>
  <c r="P277" i="16"/>
  <c r="N277" i="16"/>
  <c r="M277" i="16"/>
  <c r="L277" i="16"/>
  <c r="P276" i="16"/>
  <c r="N276" i="16"/>
  <c r="L276" i="16"/>
  <c r="Q276" i="16" s="1"/>
  <c r="P275" i="16"/>
  <c r="M275" i="16"/>
  <c r="L275" i="16"/>
  <c r="N275" i="16" s="1"/>
  <c r="P274" i="16"/>
  <c r="L274" i="16"/>
  <c r="Q273" i="16"/>
  <c r="P273" i="16"/>
  <c r="N273" i="16"/>
  <c r="M273" i="16"/>
  <c r="L273" i="16"/>
  <c r="P272" i="16"/>
  <c r="N272" i="16"/>
  <c r="L272" i="16"/>
  <c r="Q272" i="16" s="1"/>
  <c r="Q271" i="16"/>
  <c r="P271" i="16"/>
  <c r="M271" i="16"/>
  <c r="L271" i="16"/>
  <c r="N271" i="16" s="1"/>
  <c r="P270" i="16"/>
  <c r="N270" i="16"/>
  <c r="L270" i="16"/>
  <c r="M270" i="16" s="1"/>
  <c r="Q269" i="16"/>
  <c r="P269" i="16"/>
  <c r="N269" i="16"/>
  <c r="M269" i="16"/>
  <c r="L269" i="16"/>
  <c r="P268" i="16"/>
  <c r="N268" i="16"/>
  <c r="L268" i="16"/>
  <c r="Q268" i="16" s="1"/>
  <c r="P267" i="16"/>
  <c r="L267" i="16"/>
  <c r="P266" i="16"/>
  <c r="N266" i="16"/>
  <c r="M266" i="16"/>
  <c r="L266" i="16"/>
  <c r="Q266" i="16" s="1"/>
  <c r="Q265" i="16"/>
  <c r="P265" i="16"/>
  <c r="N265" i="16"/>
  <c r="M265" i="16"/>
  <c r="L265" i="16"/>
  <c r="P264" i="16"/>
  <c r="N264" i="16"/>
  <c r="L264" i="16"/>
  <c r="Q264" i="16" s="1"/>
  <c r="P263" i="16"/>
  <c r="L263" i="16"/>
  <c r="N263" i="16" s="1"/>
  <c r="Q262" i="16"/>
  <c r="P262" i="16"/>
  <c r="N262" i="16"/>
  <c r="M262" i="16"/>
  <c r="L262" i="16"/>
  <c r="Q261" i="16"/>
  <c r="P261" i="16"/>
  <c r="N261" i="16"/>
  <c r="M261" i="16"/>
  <c r="L261" i="16"/>
  <c r="P260" i="16"/>
  <c r="N260" i="16"/>
  <c r="L260" i="16"/>
  <c r="Q260" i="16" s="1"/>
  <c r="P259" i="16"/>
  <c r="M259" i="16"/>
  <c r="L259" i="16"/>
  <c r="N259" i="16" s="1"/>
  <c r="P258" i="16"/>
  <c r="L258" i="16"/>
  <c r="Q257" i="16"/>
  <c r="P257" i="16"/>
  <c r="N257" i="16"/>
  <c r="M257" i="16"/>
  <c r="L257" i="16"/>
  <c r="P256" i="16"/>
  <c r="N256" i="16"/>
  <c r="L256" i="16"/>
  <c r="Q256" i="16" s="1"/>
  <c r="L255" i="16"/>
  <c r="P254" i="16"/>
  <c r="N254" i="16"/>
  <c r="L254" i="16"/>
  <c r="M254" i="16" s="1"/>
  <c r="Q253" i="16"/>
  <c r="P253" i="16"/>
  <c r="N253" i="16"/>
  <c r="M253" i="16"/>
  <c r="L253" i="16"/>
  <c r="P252" i="16"/>
  <c r="N252" i="16"/>
  <c r="L252" i="16"/>
  <c r="Q252" i="16" s="1"/>
  <c r="P251" i="16"/>
  <c r="L251" i="16"/>
  <c r="P250" i="16"/>
  <c r="N250" i="16"/>
  <c r="M250" i="16"/>
  <c r="L250" i="16"/>
  <c r="Q250" i="16" s="1"/>
  <c r="Q249" i="16"/>
  <c r="P249" i="16"/>
  <c r="N249" i="16"/>
  <c r="M249" i="16"/>
  <c r="L249" i="16"/>
  <c r="P248" i="16"/>
  <c r="N248" i="16"/>
  <c r="L248" i="16"/>
  <c r="Q248" i="16" s="1"/>
  <c r="P247" i="16"/>
  <c r="L247" i="16"/>
  <c r="N247" i="16" s="1"/>
  <c r="Q246" i="16"/>
  <c r="P246" i="16"/>
  <c r="N246" i="16"/>
  <c r="M246" i="16"/>
  <c r="L246" i="16"/>
  <c r="Q245" i="16"/>
  <c r="P245" i="16"/>
  <c r="N245" i="16"/>
  <c r="M245" i="16"/>
  <c r="L245" i="16"/>
  <c r="P244" i="16"/>
  <c r="N244" i="16"/>
  <c r="L244" i="16"/>
  <c r="Q244" i="16" s="1"/>
  <c r="P243" i="16"/>
  <c r="M243" i="16"/>
  <c r="L243" i="16"/>
  <c r="N243" i="16" s="1"/>
  <c r="P242" i="16"/>
  <c r="L242" i="16"/>
  <c r="Q241" i="16"/>
  <c r="P241" i="16"/>
  <c r="N241" i="16"/>
  <c r="M241" i="16"/>
  <c r="L241" i="16"/>
  <c r="L240" i="16"/>
  <c r="Q239" i="16"/>
  <c r="P239" i="16"/>
  <c r="M239" i="16"/>
  <c r="L239" i="16"/>
  <c r="N239" i="16" s="1"/>
  <c r="P238" i="16"/>
  <c r="N238" i="16"/>
  <c r="L238" i="16"/>
  <c r="M238" i="16" s="1"/>
  <c r="Q237" i="16"/>
  <c r="P237" i="16"/>
  <c r="N237" i="16"/>
  <c r="M237" i="16"/>
  <c r="L237" i="16"/>
  <c r="P236" i="16"/>
  <c r="N236" i="16"/>
  <c r="L236" i="16"/>
  <c r="Q236" i="16" s="1"/>
  <c r="P235" i="16"/>
  <c r="L235" i="16"/>
  <c r="P234" i="16"/>
  <c r="N234" i="16"/>
  <c r="M234" i="16"/>
  <c r="L234" i="16"/>
  <c r="Q234" i="16" s="1"/>
  <c r="Q233" i="16"/>
  <c r="P233" i="16"/>
  <c r="N233" i="16"/>
  <c r="M233" i="16"/>
  <c r="L233" i="16"/>
  <c r="P232" i="16"/>
  <c r="N232" i="16"/>
  <c r="L232" i="16"/>
  <c r="Q232" i="16" s="1"/>
  <c r="P231" i="16"/>
  <c r="L231" i="16"/>
  <c r="N231" i="16" s="1"/>
  <c r="Q230" i="16"/>
  <c r="P230" i="16"/>
  <c r="N230" i="16"/>
  <c r="M230" i="16"/>
  <c r="L230" i="16"/>
  <c r="Q229" i="16"/>
  <c r="P229" i="16"/>
  <c r="N229" i="16"/>
  <c r="M229" i="16"/>
  <c r="L229" i="16"/>
  <c r="P228" i="16"/>
  <c r="N228" i="16"/>
  <c r="L228" i="16"/>
  <c r="P227" i="16"/>
  <c r="P226" i="16" s="1"/>
  <c r="M227" i="16"/>
  <c r="L227" i="16"/>
  <c r="N227" i="16" s="1"/>
  <c r="L226" i="16"/>
  <c r="L225" i="16"/>
  <c r="P224" i="16"/>
  <c r="L224" i="16"/>
  <c r="P223" i="16"/>
  <c r="P222" i="16" s="1"/>
  <c r="L223" i="16"/>
  <c r="N223" i="16" s="1"/>
  <c r="L222" i="16"/>
  <c r="N221" i="16"/>
  <c r="M221" i="16"/>
  <c r="L221" i="16"/>
  <c r="E221" i="16"/>
  <c r="L220" i="16"/>
  <c r="Q219" i="16"/>
  <c r="N219" i="16"/>
  <c r="M219" i="16"/>
  <c r="L219" i="16"/>
  <c r="E219" i="16"/>
  <c r="P219" i="16" s="1"/>
  <c r="L218" i="16"/>
  <c r="Q217" i="16"/>
  <c r="N217" i="16"/>
  <c r="M217" i="16"/>
  <c r="L217" i="16"/>
  <c r="E217" i="16"/>
  <c r="P217" i="16" s="1"/>
  <c r="M216" i="16"/>
  <c r="L216" i="16"/>
  <c r="N216" i="16" s="1"/>
  <c r="L215" i="16"/>
  <c r="P214" i="16"/>
  <c r="L214" i="16"/>
  <c r="Q213" i="16"/>
  <c r="P213" i="16"/>
  <c r="M213" i="16"/>
  <c r="L213" i="16"/>
  <c r="N213" i="16" s="1"/>
  <c r="Q212" i="16"/>
  <c r="P212" i="16"/>
  <c r="N212" i="16"/>
  <c r="M212" i="16"/>
  <c r="L212" i="16"/>
  <c r="Q211" i="16"/>
  <c r="P211" i="16"/>
  <c r="N211" i="16"/>
  <c r="M211" i="16"/>
  <c r="L211" i="16"/>
  <c r="P210" i="16"/>
  <c r="L210" i="16"/>
  <c r="Q209" i="16"/>
  <c r="P209" i="16"/>
  <c r="L209" i="16"/>
  <c r="N209" i="16" s="1"/>
  <c r="Q208" i="16"/>
  <c r="P208" i="16"/>
  <c r="P205" i="16" s="1"/>
  <c r="N208" i="16"/>
  <c r="M208" i="16"/>
  <c r="L208" i="16"/>
  <c r="Q207" i="16"/>
  <c r="P207" i="16"/>
  <c r="N207" i="16"/>
  <c r="M207" i="16"/>
  <c r="L207" i="16"/>
  <c r="P206" i="16"/>
  <c r="N206" i="16"/>
  <c r="L206" i="16"/>
  <c r="L205" i="16"/>
  <c r="Q204" i="16"/>
  <c r="P204" i="16"/>
  <c r="L204" i="16"/>
  <c r="N204" i="16" s="1"/>
  <c r="Q203" i="16"/>
  <c r="P203" i="16"/>
  <c r="N203" i="16"/>
  <c r="M203" i="16"/>
  <c r="L203" i="16"/>
  <c r="P202" i="16"/>
  <c r="L202" i="16"/>
  <c r="Q201" i="16"/>
  <c r="P201" i="16"/>
  <c r="N201" i="16"/>
  <c r="M201" i="16"/>
  <c r="L201" i="16"/>
  <c r="P200" i="16"/>
  <c r="M200" i="16"/>
  <c r="L200" i="16"/>
  <c r="Q199" i="16"/>
  <c r="P199" i="16"/>
  <c r="N199" i="16"/>
  <c r="M199" i="16"/>
  <c r="L199" i="16"/>
  <c r="P198" i="16"/>
  <c r="N198" i="16"/>
  <c r="L198" i="16"/>
  <c r="M198" i="16" s="1"/>
  <c r="Q197" i="16"/>
  <c r="P197" i="16"/>
  <c r="N197" i="16"/>
  <c r="M197" i="16"/>
  <c r="L197" i="16"/>
  <c r="Q196" i="16"/>
  <c r="P196" i="16"/>
  <c r="N196" i="16"/>
  <c r="M196" i="16"/>
  <c r="L196" i="16"/>
  <c r="Q195" i="16"/>
  <c r="P195" i="16"/>
  <c r="N195" i="16"/>
  <c r="M195" i="16"/>
  <c r="L195" i="16"/>
  <c r="Q194" i="16"/>
  <c r="P194" i="16"/>
  <c r="N194" i="16"/>
  <c r="L194" i="16"/>
  <c r="M194" i="16" s="1"/>
  <c r="P193" i="16"/>
  <c r="N193" i="16"/>
  <c r="L193" i="16"/>
  <c r="Q193" i="16" s="1"/>
  <c r="Q192" i="16"/>
  <c r="P192" i="16"/>
  <c r="N192" i="16"/>
  <c r="M192" i="16"/>
  <c r="L192" i="16"/>
  <c r="Q191" i="16"/>
  <c r="P191" i="16"/>
  <c r="N191" i="16"/>
  <c r="M191" i="16"/>
  <c r="L191" i="16"/>
  <c r="P190" i="16"/>
  <c r="L190" i="16"/>
  <c r="M190" i="16" s="1"/>
  <c r="Q189" i="16"/>
  <c r="P189" i="16"/>
  <c r="N189" i="16"/>
  <c r="M189" i="16"/>
  <c r="L189" i="16"/>
  <c r="P188" i="16"/>
  <c r="M188" i="16"/>
  <c r="L188" i="16"/>
  <c r="Q187" i="16"/>
  <c r="P187" i="16"/>
  <c r="N187" i="16"/>
  <c r="M187" i="16"/>
  <c r="L187" i="16"/>
  <c r="P186" i="16"/>
  <c r="N186" i="16"/>
  <c r="L186" i="16"/>
  <c r="M186" i="16" s="1"/>
  <c r="Q185" i="16"/>
  <c r="P185" i="16"/>
  <c r="N185" i="16"/>
  <c r="M185" i="16"/>
  <c r="L185" i="16"/>
  <c r="Q184" i="16"/>
  <c r="P184" i="16"/>
  <c r="N184" i="16"/>
  <c r="M184" i="16"/>
  <c r="L184" i="16"/>
  <c r="Q183" i="16"/>
  <c r="P183" i="16"/>
  <c r="N183" i="16"/>
  <c r="M183" i="16"/>
  <c r="L183" i="16"/>
  <c r="Q182" i="16"/>
  <c r="P182" i="16"/>
  <c r="N182" i="16"/>
  <c r="L182" i="16"/>
  <c r="M182" i="16" s="1"/>
  <c r="P181" i="16"/>
  <c r="N181" i="16"/>
  <c r="L181" i="16"/>
  <c r="Q181" i="16" s="1"/>
  <c r="Q180" i="16"/>
  <c r="P180" i="16"/>
  <c r="N180" i="16"/>
  <c r="M180" i="16"/>
  <c r="L180" i="16"/>
  <c r="L179" i="16"/>
  <c r="L178" i="16"/>
  <c r="Q177" i="16"/>
  <c r="P177" i="16"/>
  <c r="L177" i="16"/>
  <c r="F177" i="16"/>
  <c r="P176" i="16"/>
  <c r="N176" i="16"/>
  <c r="M176" i="16"/>
  <c r="L176" i="16"/>
  <c r="Q176" i="16" s="1"/>
  <c r="L175" i="16"/>
  <c r="Q174" i="16"/>
  <c r="P174" i="16"/>
  <c r="N174" i="16"/>
  <c r="M174" i="16"/>
  <c r="L174" i="16"/>
  <c r="Q173" i="16"/>
  <c r="P173" i="16"/>
  <c r="N173" i="16"/>
  <c r="M173" i="16"/>
  <c r="L173" i="16"/>
  <c r="P172" i="16"/>
  <c r="N172" i="16"/>
  <c r="M172" i="16"/>
  <c r="L172" i="16"/>
  <c r="Q172" i="16" s="1"/>
  <c r="Q171" i="16"/>
  <c r="P171" i="16"/>
  <c r="P170" i="16" s="1"/>
  <c r="M171" i="16"/>
  <c r="L171" i="16"/>
  <c r="N171" i="16" s="1"/>
  <c r="L170" i="16"/>
  <c r="Q169" i="16"/>
  <c r="P169" i="16"/>
  <c r="N169" i="16"/>
  <c r="M169" i="16"/>
  <c r="L169" i="16"/>
  <c r="P168" i="16"/>
  <c r="M168" i="16"/>
  <c r="L168" i="16"/>
  <c r="Q168" i="16" s="1"/>
  <c r="Q167" i="16"/>
  <c r="P167" i="16"/>
  <c r="M167" i="16"/>
  <c r="L167" i="16"/>
  <c r="N167" i="16" s="1"/>
  <c r="Q166" i="16"/>
  <c r="P166" i="16"/>
  <c r="L166" i="16"/>
  <c r="Q165" i="16"/>
  <c r="L165" i="16"/>
  <c r="Q164" i="16"/>
  <c r="P164" i="16"/>
  <c r="N164" i="16"/>
  <c r="M164" i="16"/>
  <c r="L164" i="16"/>
  <c r="P163" i="16"/>
  <c r="M163" i="16"/>
  <c r="L163" i="16"/>
  <c r="Q163" i="16" s="1"/>
  <c r="Q162" i="16"/>
  <c r="P162" i="16"/>
  <c r="L162" i="16"/>
  <c r="Q161" i="16"/>
  <c r="P161" i="16"/>
  <c r="N161" i="16"/>
  <c r="M161" i="16"/>
  <c r="L161" i="16"/>
  <c r="Q160" i="16"/>
  <c r="P160" i="16"/>
  <c r="N160" i="16"/>
  <c r="M160" i="16"/>
  <c r="L160" i="16"/>
  <c r="P159" i="16"/>
  <c r="M159" i="16"/>
  <c r="L159" i="16"/>
  <c r="Q159" i="16" s="1"/>
  <c r="P158" i="16"/>
  <c r="L158" i="16"/>
  <c r="Q157" i="16"/>
  <c r="P157" i="16"/>
  <c r="N157" i="16"/>
  <c r="M157" i="16"/>
  <c r="L157" i="16"/>
  <c r="L156" i="16"/>
  <c r="L155" i="16"/>
  <c r="P154" i="16"/>
  <c r="L154" i="16"/>
  <c r="Q153" i="16"/>
  <c r="P153" i="16"/>
  <c r="P148" i="16" s="1"/>
  <c r="N153" i="16"/>
  <c r="M153" i="16"/>
  <c r="L153" i="16"/>
  <c r="Q152" i="16"/>
  <c r="P152" i="16"/>
  <c r="N152" i="16"/>
  <c r="M152" i="16"/>
  <c r="L152" i="16"/>
  <c r="P151" i="16"/>
  <c r="M151" i="16"/>
  <c r="L151" i="16"/>
  <c r="Q151" i="16" s="1"/>
  <c r="P150" i="16"/>
  <c r="L150" i="16"/>
  <c r="E150" i="16"/>
  <c r="Q149" i="16"/>
  <c r="N149" i="16"/>
  <c r="L149" i="16"/>
  <c r="M149" i="16" s="1"/>
  <c r="E149" i="16"/>
  <c r="P149" i="16" s="1"/>
  <c r="L148" i="16"/>
  <c r="P147" i="16"/>
  <c r="M147" i="16"/>
  <c r="L147" i="16"/>
  <c r="N147" i="16" s="1"/>
  <c r="P146" i="16"/>
  <c r="N146" i="16"/>
  <c r="L146" i="16"/>
  <c r="Q146" i="16" s="1"/>
  <c r="P145" i="16"/>
  <c r="L145" i="16"/>
  <c r="Q145" i="16" s="1"/>
  <c r="P144" i="16"/>
  <c r="M144" i="16"/>
  <c r="L144" i="16"/>
  <c r="N144" i="16" s="1"/>
  <c r="M143" i="16"/>
  <c r="L143" i="16"/>
  <c r="N143" i="16" s="1"/>
  <c r="Q142" i="16"/>
  <c r="P142" i="16"/>
  <c r="M142" i="16"/>
  <c r="L142" i="16"/>
  <c r="N142" i="16" s="1"/>
  <c r="E142" i="16"/>
  <c r="N141" i="16"/>
  <c r="M141" i="16"/>
  <c r="L141" i="16"/>
  <c r="E141" i="16"/>
  <c r="L140" i="16"/>
  <c r="L139" i="16"/>
  <c r="P138" i="16"/>
  <c r="L138" i="16"/>
  <c r="Q138" i="16" s="1"/>
  <c r="G138" i="16"/>
  <c r="N138" i="16" s="1"/>
  <c r="F138" i="16"/>
  <c r="P137" i="16"/>
  <c r="L137" i="16"/>
  <c r="Q136" i="16"/>
  <c r="P136" i="16"/>
  <c r="N136" i="16"/>
  <c r="M136" i="16"/>
  <c r="L136" i="16"/>
  <c r="T135" i="16"/>
  <c r="P135" i="16"/>
  <c r="L135" i="16"/>
  <c r="Q135" i="16" s="1"/>
  <c r="G135" i="16"/>
  <c r="N135" i="16" s="1"/>
  <c r="F135" i="16"/>
  <c r="M135" i="16" s="1"/>
  <c r="P134" i="16"/>
  <c r="L134" i="16"/>
  <c r="Q134" i="16" s="1"/>
  <c r="F134" i="16"/>
  <c r="P133" i="16"/>
  <c r="L133" i="16"/>
  <c r="Q133" i="16" s="1"/>
  <c r="P132" i="16"/>
  <c r="M132" i="16"/>
  <c r="L132" i="16"/>
  <c r="N132" i="16" s="1"/>
  <c r="L131" i="16"/>
  <c r="P130" i="16"/>
  <c r="L130" i="16"/>
  <c r="Q130" i="16" s="1"/>
  <c r="Q129" i="16"/>
  <c r="P129" i="16"/>
  <c r="L129" i="16"/>
  <c r="G129" i="16"/>
  <c r="N129" i="16" s="1"/>
  <c r="F129" i="16"/>
  <c r="M129" i="16" s="1"/>
  <c r="P128" i="16"/>
  <c r="L128" i="16"/>
  <c r="Q128" i="16" s="1"/>
  <c r="F128" i="16"/>
  <c r="P127" i="16"/>
  <c r="L127" i="16"/>
  <c r="Q127" i="16" s="1"/>
  <c r="G127" i="16"/>
  <c r="N127" i="16" s="1"/>
  <c r="Q126" i="16"/>
  <c r="P126" i="16"/>
  <c r="L126" i="16"/>
  <c r="P125" i="16"/>
  <c r="L125" i="16"/>
  <c r="Q125" i="16" s="1"/>
  <c r="P124" i="16"/>
  <c r="L124" i="16"/>
  <c r="G124" i="16"/>
  <c r="P123" i="16"/>
  <c r="L123" i="16"/>
  <c r="Q123" i="16" s="1"/>
  <c r="G123" i="16"/>
  <c r="N123" i="16" s="1"/>
  <c r="P122" i="16"/>
  <c r="L122" i="16"/>
  <c r="Q122" i="16" s="1"/>
  <c r="F122" i="16"/>
  <c r="P121" i="16"/>
  <c r="L121" i="16"/>
  <c r="Q121" i="16" s="1"/>
  <c r="G121" i="16"/>
  <c r="N121" i="16" s="1"/>
  <c r="F121" i="16"/>
  <c r="L120" i="16"/>
  <c r="P119" i="16"/>
  <c r="L119" i="16"/>
  <c r="Q119" i="16" s="1"/>
  <c r="Q118" i="16"/>
  <c r="P118" i="16"/>
  <c r="L118" i="16"/>
  <c r="F118" i="16"/>
  <c r="M118" i="16" s="1"/>
  <c r="Q117" i="16"/>
  <c r="P117" i="16"/>
  <c r="M117" i="16"/>
  <c r="L117" i="16"/>
  <c r="G117" i="16"/>
  <c r="N117" i="16" s="1"/>
  <c r="F117" i="16"/>
  <c r="P116" i="16"/>
  <c r="M116" i="16"/>
  <c r="L116" i="16"/>
  <c r="Q116" i="16" s="1"/>
  <c r="F116" i="16"/>
  <c r="G116" i="16" s="1"/>
  <c r="N116" i="16" s="1"/>
  <c r="P115" i="16"/>
  <c r="L115" i="16"/>
  <c r="Q115" i="16" s="1"/>
  <c r="F115" i="16"/>
  <c r="Q114" i="16"/>
  <c r="P114" i="16"/>
  <c r="N114" i="16"/>
  <c r="M114" i="16"/>
  <c r="L114" i="16"/>
  <c r="F114" i="16"/>
  <c r="G114" i="16" s="1"/>
  <c r="Q113" i="16"/>
  <c r="P113" i="16"/>
  <c r="L113" i="16"/>
  <c r="P112" i="16"/>
  <c r="P107" i="16" s="1"/>
  <c r="L112" i="16"/>
  <c r="Q112" i="16" s="1"/>
  <c r="G112" i="16"/>
  <c r="N112" i="16" s="1"/>
  <c r="F112" i="16"/>
  <c r="Q111" i="16"/>
  <c r="P111" i="16"/>
  <c r="L111" i="16"/>
  <c r="F111" i="16"/>
  <c r="P110" i="16"/>
  <c r="N110" i="16"/>
  <c r="L110" i="16"/>
  <c r="Q110" i="16" s="1"/>
  <c r="G110" i="16"/>
  <c r="F110" i="16"/>
  <c r="M110" i="16" s="1"/>
  <c r="Q109" i="16"/>
  <c r="P109" i="16"/>
  <c r="L109" i="16"/>
  <c r="F109" i="16"/>
  <c r="M109" i="16" s="1"/>
  <c r="P108" i="16"/>
  <c r="L108" i="16"/>
  <c r="Q108" i="16" s="1"/>
  <c r="F108" i="16"/>
  <c r="L107" i="16"/>
  <c r="P106" i="16"/>
  <c r="P95" i="16" s="1"/>
  <c r="M106" i="16"/>
  <c r="L106" i="16"/>
  <c r="Q106" i="16" s="1"/>
  <c r="F106" i="16"/>
  <c r="G106" i="16" s="1"/>
  <c r="N106" i="16" s="1"/>
  <c r="P105" i="16"/>
  <c r="N105" i="16"/>
  <c r="L105" i="16"/>
  <c r="Q105" i="16" s="1"/>
  <c r="G105" i="16"/>
  <c r="F105" i="16"/>
  <c r="M105" i="16" s="1"/>
  <c r="P104" i="16"/>
  <c r="M104" i="16"/>
  <c r="L104" i="16"/>
  <c r="Q104" i="16" s="1"/>
  <c r="F104" i="16"/>
  <c r="G104" i="16" s="1"/>
  <c r="N104" i="16" s="1"/>
  <c r="Q103" i="16"/>
  <c r="P103" i="16"/>
  <c r="L103" i="16"/>
  <c r="M103" i="16" s="1"/>
  <c r="G103" i="16"/>
  <c r="F103" i="16"/>
  <c r="P102" i="16"/>
  <c r="L102" i="16"/>
  <c r="Q102" i="16" s="1"/>
  <c r="G102" i="16"/>
  <c r="F102" i="16"/>
  <c r="M102" i="16" s="1"/>
  <c r="Q101" i="16"/>
  <c r="P101" i="16"/>
  <c r="L101" i="16"/>
  <c r="F101" i="16"/>
  <c r="P100" i="16"/>
  <c r="N100" i="16"/>
  <c r="L100" i="16"/>
  <c r="Q100" i="16" s="1"/>
  <c r="G100" i="16"/>
  <c r="F100" i="16"/>
  <c r="M100" i="16" s="1"/>
  <c r="Q99" i="16"/>
  <c r="P99" i="16"/>
  <c r="M99" i="16"/>
  <c r="L99" i="16"/>
  <c r="G99" i="16"/>
  <c r="N99" i="16" s="1"/>
  <c r="F99" i="16"/>
  <c r="Q98" i="16"/>
  <c r="P98" i="16"/>
  <c r="L98" i="16"/>
  <c r="F98" i="16"/>
  <c r="P97" i="16"/>
  <c r="M97" i="16"/>
  <c r="L97" i="16"/>
  <c r="Q97" i="16" s="1"/>
  <c r="G97" i="16"/>
  <c r="N97" i="16" s="1"/>
  <c r="F97" i="16"/>
  <c r="Q96" i="16"/>
  <c r="P96" i="16"/>
  <c r="L96" i="16"/>
  <c r="F96" i="16"/>
  <c r="M96" i="16" s="1"/>
  <c r="L95" i="16"/>
  <c r="L94" i="16"/>
  <c r="Q93" i="16"/>
  <c r="P93" i="16"/>
  <c r="M93" i="16"/>
  <c r="L93" i="16"/>
  <c r="N93" i="16" s="1"/>
  <c r="P92" i="16"/>
  <c r="L92" i="16"/>
  <c r="Q91" i="16"/>
  <c r="P91" i="16"/>
  <c r="N91" i="16"/>
  <c r="M91" i="16"/>
  <c r="L91" i="16"/>
  <c r="P90" i="16"/>
  <c r="N90" i="16"/>
  <c r="M90" i="16"/>
  <c r="L90" i="16"/>
  <c r="Q90" i="16" s="1"/>
  <c r="Q89" i="16"/>
  <c r="P89" i="16"/>
  <c r="M89" i="16"/>
  <c r="L89" i="16"/>
  <c r="N89" i="16" s="1"/>
  <c r="Q88" i="16"/>
  <c r="P88" i="16"/>
  <c r="L88" i="16"/>
  <c r="Q87" i="16"/>
  <c r="P87" i="16"/>
  <c r="N87" i="16"/>
  <c r="M87" i="16"/>
  <c r="L87" i="16"/>
  <c r="P86" i="16"/>
  <c r="N86" i="16"/>
  <c r="M86" i="16"/>
  <c r="L86" i="16"/>
  <c r="Q86" i="16" s="1"/>
  <c r="Q85" i="16"/>
  <c r="P85" i="16"/>
  <c r="M85" i="16"/>
  <c r="L85" i="16"/>
  <c r="N85" i="16" s="1"/>
  <c r="Q84" i="16"/>
  <c r="P84" i="16"/>
  <c r="L84" i="16"/>
  <c r="N83" i="16"/>
  <c r="M83" i="16"/>
  <c r="L83" i="16"/>
  <c r="E83" i="16"/>
  <c r="P82" i="16"/>
  <c r="L82" i="16"/>
  <c r="P81" i="16"/>
  <c r="L81" i="16"/>
  <c r="Q80" i="16"/>
  <c r="P80" i="16"/>
  <c r="N80" i="16"/>
  <c r="M80" i="16"/>
  <c r="L80" i="16"/>
  <c r="L79" i="16"/>
  <c r="P78" i="16"/>
  <c r="L78" i="16"/>
  <c r="P77" i="16"/>
  <c r="L77" i="16"/>
  <c r="Q76" i="16"/>
  <c r="P76" i="16"/>
  <c r="N76" i="16"/>
  <c r="M76" i="16"/>
  <c r="L76" i="16"/>
  <c r="Q75" i="16"/>
  <c r="P75" i="16"/>
  <c r="N75" i="16"/>
  <c r="L75" i="16"/>
  <c r="M75" i="16" s="1"/>
  <c r="P74" i="16"/>
  <c r="N74" i="16"/>
  <c r="L74" i="16"/>
  <c r="P73" i="16"/>
  <c r="L73" i="16"/>
  <c r="Q72" i="16"/>
  <c r="P72" i="16"/>
  <c r="N72" i="16"/>
  <c r="M72" i="16"/>
  <c r="L72" i="16"/>
  <c r="Q71" i="16"/>
  <c r="P71" i="16"/>
  <c r="N71" i="16"/>
  <c r="L71" i="16"/>
  <c r="M71" i="16" s="1"/>
  <c r="P70" i="16"/>
  <c r="N70" i="16"/>
  <c r="L70" i="16"/>
  <c r="P69" i="16"/>
  <c r="L69" i="16"/>
  <c r="N68" i="16"/>
  <c r="M68" i="16"/>
  <c r="L68" i="16"/>
  <c r="E68" i="16"/>
  <c r="P67" i="16"/>
  <c r="M67" i="16"/>
  <c r="L67" i="16"/>
  <c r="Q67" i="16" s="1"/>
  <c r="P66" i="16"/>
  <c r="L66" i="16"/>
  <c r="P65" i="16"/>
  <c r="M65" i="16"/>
  <c r="L65" i="16"/>
  <c r="N65" i="16" s="1"/>
  <c r="P64" i="16"/>
  <c r="N64" i="16"/>
  <c r="L64" i="16"/>
  <c r="Q64" i="16" s="1"/>
  <c r="L63" i="16"/>
  <c r="L62" i="16"/>
  <c r="P61" i="16"/>
  <c r="M61" i="16"/>
  <c r="L61" i="16"/>
  <c r="N61" i="16" s="1"/>
  <c r="P60" i="16"/>
  <c r="N60" i="16"/>
  <c r="L60" i="16"/>
  <c r="Q60" i="16" s="1"/>
  <c r="P59" i="16"/>
  <c r="M59" i="16"/>
  <c r="L59" i="16"/>
  <c r="Q59" i="16" s="1"/>
  <c r="P58" i="16"/>
  <c r="P53" i="16" s="1"/>
  <c r="P52" i="16" s="1"/>
  <c r="M58" i="16"/>
  <c r="L58" i="16"/>
  <c r="N58" i="16" s="1"/>
  <c r="E58" i="16"/>
  <c r="P57" i="16"/>
  <c r="N57" i="16"/>
  <c r="M57" i="16"/>
  <c r="L57" i="16"/>
  <c r="Q57" i="16" s="1"/>
  <c r="Q56" i="16"/>
  <c r="P56" i="16"/>
  <c r="M56" i="16"/>
  <c r="L56" i="16"/>
  <c r="N56" i="16" s="1"/>
  <c r="P55" i="16"/>
  <c r="L55" i="16"/>
  <c r="Q54" i="16"/>
  <c r="P54" i="16"/>
  <c r="N54" i="16"/>
  <c r="M54" i="16"/>
  <c r="L54" i="16"/>
  <c r="L53" i="16"/>
  <c r="L52" i="16"/>
  <c r="P51" i="16"/>
  <c r="L51" i="16"/>
  <c r="E51" i="16"/>
  <c r="Q50" i="16"/>
  <c r="P50" i="16"/>
  <c r="N50" i="16"/>
  <c r="L50" i="16"/>
  <c r="M50" i="16" s="1"/>
  <c r="Q49" i="16"/>
  <c r="P49" i="16"/>
  <c r="N49" i="16"/>
  <c r="L49" i="16"/>
  <c r="M49" i="16" s="1"/>
  <c r="P48" i="16"/>
  <c r="L48" i="16"/>
  <c r="Q47" i="16"/>
  <c r="P47" i="16"/>
  <c r="N47" i="16"/>
  <c r="M47" i="16"/>
  <c r="L47" i="16"/>
  <c r="P46" i="16"/>
  <c r="N46" i="16"/>
  <c r="L46" i="16"/>
  <c r="Q45" i="16"/>
  <c r="P45" i="16"/>
  <c r="L45" i="16"/>
  <c r="M45" i="16" s="1"/>
  <c r="P44" i="16"/>
  <c r="P43" i="16" s="1"/>
  <c r="L44" i="16"/>
  <c r="L43" i="16"/>
  <c r="P42" i="16"/>
  <c r="N42" i="16"/>
  <c r="L42" i="16"/>
  <c r="Q41" i="16"/>
  <c r="P41" i="16"/>
  <c r="L41" i="16"/>
  <c r="M41" i="16" s="1"/>
  <c r="P40" i="16"/>
  <c r="L40" i="16"/>
  <c r="Q39" i="16"/>
  <c r="P39" i="16"/>
  <c r="N39" i="16"/>
  <c r="M39" i="16"/>
  <c r="L39" i="16"/>
  <c r="Q38" i="16"/>
  <c r="P38" i="16"/>
  <c r="N38" i="16"/>
  <c r="L38" i="16"/>
  <c r="M38" i="16" s="1"/>
  <c r="Q37" i="16"/>
  <c r="P37" i="16"/>
  <c r="N37" i="16"/>
  <c r="L37" i="16"/>
  <c r="M37" i="16" s="1"/>
  <c r="P36" i="16"/>
  <c r="N36" i="16"/>
  <c r="M36" i="16"/>
  <c r="L36" i="16"/>
  <c r="Q36" i="16" s="1"/>
  <c r="L35" i="16"/>
  <c r="Q34" i="16"/>
  <c r="P34" i="16"/>
  <c r="L34" i="16"/>
  <c r="M34" i="16" s="1"/>
  <c r="P33" i="16"/>
  <c r="L33" i="16"/>
  <c r="Q33" i="16" s="1"/>
  <c r="P32" i="16"/>
  <c r="L32" i="16"/>
  <c r="Q32" i="16" s="1"/>
  <c r="P31" i="16"/>
  <c r="L31" i="16"/>
  <c r="Q31" i="16" s="1"/>
  <c r="P30" i="16"/>
  <c r="L30" i="16"/>
  <c r="Q29" i="16"/>
  <c r="P29" i="16"/>
  <c r="N29" i="16"/>
  <c r="N28" i="16" s="1"/>
  <c r="L29" i="16"/>
  <c r="M29" i="16" s="1"/>
  <c r="M28" i="16" s="1"/>
  <c r="Q28" i="16"/>
  <c r="P28" i="16"/>
  <c r="P11" i="16"/>
  <c r="T8" i="16"/>
  <c r="J664" i="15"/>
  <c r="I664" i="15"/>
  <c r="I663" i="15"/>
  <c r="J663" i="15" s="1"/>
  <c r="I662" i="15"/>
  <c r="J662" i="15" s="1"/>
  <c r="I661" i="15"/>
  <c r="J661" i="15" s="1"/>
  <c r="I660" i="15"/>
  <c r="J660" i="15" s="1"/>
  <c r="J659" i="15"/>
  <c r="I659" i="15"/>
  <c r="J658" i="15"/>
  <c r="I658" i="15"/>
  <c r="J657" i="15"/>
  <c r="I657" i="15"/>
  <c r="I656" i="15"/>
  <c r="I655" i="15"/>
  <c r="I654" i="15"/>
  <c r="G650" i="15"/>
  <c r="R624" i="15"/>
  <c r="R620" i="15"/>
  <c r="M601" i="15"/>
  <c r="M600" i="15"/>
  <c r="Q590" i="15"/>
  <c r="P590" i="15"/>
  <c r="N590" i="15"/>
  <c r="M590" i="15"/>
  <c r="L590" i="15"/>
  <c r="P589" i="15"/>
  <c r="P588" i="15" s="1"/>
  <c r="L589" i="15"/>
  <c r="L588" i="15"/>
  <c r="Q587" i="15"/>
  <c r="P587" i="15"/>
  <c r="N587" i="15"/>
  <c r="M587" i="15"/>
  <c r="L587" i="15"/>
  <c r="Q586" i="15"/>
  <c r="P586" i="15"/>
  <c r="N586" i="15"/>
  <c r="M586" i="15"/>
  <c r="L586" i="15"/>
  <c r="P585" i="15"/>
  <c r="N585" i="15"/>
  <c r="M585" i="15"/>
  <c r="L585" i="15"/>
  <c r="Q585" i="15" s="1"/>
  <c r="P584" i="15"/>
  <c r="L584" i="15"/>
  <c r="Q584" i="15" s="1"/>
  <c r="Q583" i="15"/>
  <c r="P583" i="15"/>
  <c r="N583" i="15"/>
  <c r="M583" i="15"/>
  <c r="L583" i="15"/>
  <c r="P582" i="15"/>
  <c r="L582" i="15"/>
  <c r="P581" i="15"/>
  <c r="L581" i="15"/>
  <c r="Q580" i="15"/>
  <c r="P580" i="15"/>
  <c r="L580" i="15"/>
  <c r="N580" i="15" s="1"/>
  <c r="Q579" i="15"/>
  <c r="P579" i="15"/>
  <c r="N579" i="15"/>
  <c r="M579" i="15"/>
  <c r="L579" i="15"/>
  <c r="P578" i="15"/>
  <c r="N578" i="15"/>
  <c r="M578" i="15"/>
  <c r="L578" i="15"/>
  <c r="Q578" i="15" s="1"/>
  <c r="P577" i="15"/>
  <c r="L577" i="15"/>
  <c r="Q577" i="15" s="1"/>
  <c r="Q576" i="15"/>
  <c r="P576" i="15"/>
  <c r="N576" i="15"/>
  <c r="M576" i="15"/>
  <c r="L576" i="15"/>
  <c r="Q575" i="15"/>
  <c r="P575" i="15"/>
  <c r="N575" i="15"/>
  <c r="M575" i="15"/>
  <c r="L575" i="15"/>
  <c r="P574" i="15"/>
  <c r="L574" i="15"/>
  <c r="Q573" i="15"/>
  <c r="P573" i="15"/>
  <c r="N573" i="15"/>
  <c r="M573" i="15"/>
  <c r="L573" i="15"/>
  <c r="Q572" i="15"/>
  <c r="P572" i="15"/>
  <c r="N572" i="15"/>
  <c r="M572" i="15"/>
  <c r="L572" i="15"/>
  <c r="P571" i="15"/>
  <c r="N571" i="15"/>
  <c r="L571" i="15"/>
  <c r="P570" i="15"/>
  <c r="L570" i="15"/>
  <c r="Q569" i="15"/>
  <c r="P569" i="15"/>
  <c r="N569" i="15"/>
  <c r="M569" i="15"/>
  <c r="L569" i="15"/>
  <c r="Q568" i="15"/>
  <c r="P568" i="15"/>
  <c r="N568" i="15"/>
  <c r="M568" i="15"/>
  <c r="L568" i="15"/>
  <c r="E568" i="15"/>
  <c r="P567" i="15"/>
  <c r="M567" i="15"/>
  <c r="L567" i="15"/>
  <c r="L566" i="15"/>
  <c r="P565" i="15"/>
  <c r="L565" i="15"/>
  <c r="Q565" i="15" s="1"/>
  <c r="Q564" i="15"/>
  <c r="P564" i="15"/>
  <c r="L564" i="15"/>
  <c r="N564" i="15" s="1"/>
  <c r="P563" i="15"/>
  <c r="L563" i="15"/>
  <c r="P562" i="15"/>
  <c r="L562" i="15"/>
  <c r="P561" i="15"/>
  <c r="L561" i="15"/>
  <c r="Q561" i="15" s="1"/>
  <c r="Q560" i="15"/>
  <c r="P560" i="15"/>
  <c r="L560" i="15"/>
  <c r="N560" i="15" s="1"/>
  <c r="P559" i="15"/>
  <c r="M559" i="15"/>
  <c r="L559" i="15"/>
  <c r="P558" i="15"/>
  <c r="M558" i="15"/>
  <c r="L558" i="15"/>
  <c r="P557" i="15"/>
  <c r="L557" i="15"/>
  <c r="Q557" i="15" s="1"/>
  <c r="Q556" i="15"/>
  <c r="P556" i="15"/>
  <c r="L556" i="15"/>
  <c r="N556" i="15" s="1"/>
  <c r="P555" i="15"/>
  <c r="M555" i="15"/>
  <c r="L555" i="15"/>
  <c r="L554" i="15"/>
  <c r="P553" i="15"/>
  <c r="L553" i="15"/>
  <c r="Q553" i="15" s="1"/>
  <c r="P552" i="15"/>
  <c r="L552" i="15"/>
  <c r="P551" i="15"/>
  <c r="M551" i="15"/>
  <c r="L551" i="15"/>
  <c r="P550" i="15"/>
  <c r="L550" i="15"/>
  <c r="P549" i="15"/>
  <c r="L549" i="15"/>
  <c r="Q549" i="15" s="1"/>
  <c r="Q548" i="15"/>
  <c r="P548" i="15"/>
  <c r="L548" i="15"/>
  <c r="N548" i="15" s="1"/>
  <c r="P547" i="15"/>
  <c r="M547" i="15"/>
  <c r="L547" i="15"/>
  <c r="P546" i="15"/>
  <c r="L546" i="15"/>
  <c r="P545" i="15"/>
  <c r="N545" i="15"/>
  <c r="L545" i="15"/>
  <c r="Q545" i="15" s="1"/>
  <c r="Q544" i="15"/>
  <c r="P544" i="15"/>
  <c r="L544" i="15"/>
  <c r="N544" i="15" s="1"/>
  <c r="P543" i="15"/>
  <c r="L543" i="15"/>
  <c r="P542" i="15"/>
  <c r="L542" i="15"/>
  <c r="P541" i="15"/>
  <c r="L541" i="15"/>
  <c r="Q541" i="15" s="1"/>
  <c r="Q540" i="15"/>
  <c r="P540" i="15"/>
  <c r="L540" i="15"/>
  <c r="N540" i="15" s="1"/>
  <c r="P539" i="15"/>
  <c r="L539" i="15"/>
  <c r="P538" i="15"/>
  <c r="M538" i="15"/>
  <c r="L538" i="15"/>
  <c r="P537" i="15"/>
  <c r="N537" i="15"/>
  <c r="L537" i="15"/>
  <c r="Q537" i="15" s="1"/>
  <c r="Q536" i="15"/>
  <c r="P536" i="15"/>
  <c r="P520" i="15" s="1"/>
  <c r="L536" i="15"/>
  <c r="N536" i="15" s="1"/>
  <c r="P535" i="15"/>
  <c r="M535" i="15"/>
  <c r="L535" i="15"/>
  <c r="P534" i="15"/>
  <c r="M534" i="15"/>
  <c r="L534" i="15"/>
  <c r="P533" i="15"/>
  <c r="L533" i="15"/>
  <c r="Q533" i="15" s="1"/>
  <c r="Q532" i="15"/>
  <c r="P532" i="15"/>
  <c r="L532" i="15"/>
  <c r="N532" i="15" s="1"/>
  <c r="P531" i="15"/>
  <c r="L531" i="15"/>
  <c r="P530" i="15"/>
  <c r="L530" i="15"/>
  <c r="P529" i="15"/>
  <c r="L529" i="15"/>
  <c r="Q529" i="15" s="1"/>
  <c r="Q528" i="15"/>
  <c r="P528" i="15"/>
  <c r="L528" i="15"/>
  <c r="N528" i="15" s="1"/>
  <c r="P527" i="15"/>
  <c r="L527" i="15"/>
  <c r="P526" i="15"/>
  <c r="L526" i="15"/>
  <c r="P525" i="15"/>
  <c r="L525" i="15"/>
  <c r="Q525" i="15" s="1"/>
  <c r="Q524" i="15"/>
  <c r="P524" i="15"/>
  <c r="L524" i="15"/>
  <c r="N524" i="15" s="1"/>
  <c r="P523" i="15"/>
  <c r="M523" i="15"/>
  <c r="L523" i="15"/>
  <c r="P522" i="15"/>
  <c r="M522" i="15"/>
  <c r="L522" i="15"/>
  <c r="P521" i="15"/>
  <c r="L521" i="15"/>
  <c r="Q521" i="15" s="1"/>
  <c r="L520" i="15"/>
  <c r="P519" i="15"/>
  <c r="M519" i="15"/>
  <c r="L519" i="15"/>
  <c r="P518" i="15"/>
  <c r="L518" i="15"/>
  <c r="P517" i="15"/>
  <c r="L517" i="15"/>
  <c r="Q517" i="15" s="1"/>
  <c r="Q516" i="15"/>
  <c r="P516" i="15"/>
  <c r="L516" i="15"/>
  <c r="N516" i="15" s="1"/>
  <c r="P515" i="15"/>
  <c r="M515" i="15"/>
  <c r="L515" i="15"/>
  <c r="P514" i="15"/>
  <c r="M514" i="15"/>
  <c r="L514" i="15"/>
  <c r="P513" i="15"/>
  <c r="L513" i="15"/>
  <c r="Q513" i="15" s="1"/>
  <c r="Q512" i="15"/>
  <c r="P512" i="15"/>
  <c r="P508" i="15" s="1"/>
  <c r="M512" i="15"/>
  <c r="L512" i="15"/>
  <c r="N512" i="15" s="1"/>
  <c r="P511" i="15"/>
  <c r="M511" i="15"/>
  <c r="L511" i="15"/>
  <c r="P510" i="15"/>
  <c r="M510" i="15"/>
  <c r="L510" i="15"/>
  <c r="P509" i="15"/>
  <c r="L509" i="15"/>
  <c r="Q509" i="15" s="1"/>
  <c r="L508" i="15"/>
  <c r="L507" i="15"/>
  <c r="P506" i="15"/>
  <c r="L506" i="15"/>
  <c r="P505" i="15"/>
  <c r="L505" i="15"/>
  <c r="Q505" i="15" s="1"/>
  <c r="Q504" i="15"/>
  <c r="P504" i="15"/>
  <c r="M504" i="15"/>
  <c r="L504" i="15"/>
  <c r="N504" i="15" s="1"/>
  <c r="P503" i="15"/>
  <c r="L503" i="15"/>
  <c r="P502" i="15"/>
  <c r="M502" i="15"/>
  <c r="L502" i="15"/>
  <c r="P501" i="15"/>
  <c r="L501" i="15"/>
  <c r="Q501" i="15" s="1"/>
  <c r="Q500" i="15"/>
  <c r="P500" i="15"/>
  <c r="M500" i="15"/>
  <c r="L500" i="15"/>
  <c r="N500" i="15" s="1"/>
  <c r="P499" i="15"/>
  <c r="L499" i="15"/>
  <c r="P498" i="15"/>
  <c r="L498" i="15"/>
  <c r="P497" i="15"/>
  <c r="L497" i="15"/>
  <c r="Q497" i="15" s="1"/>
  <c r="Q496" i="15"/>
  <c r="P496" i="15"/>
  <c r="M496" i="15"/>
  <c r="L496" i="15"/>
  <c r="N496" i="15" s="1"/>
  <c r="P495" i="15"/>
  <c r="L495" i="15"/>
  <c r="P494" i="15"/>
  <c r="M494" i="15"/>
  <c r="L494" i="15"/>
  <c r="P493" i="15"/>
  <c r="L493" i="15"/>
  <c r="Q493" i="15" s="1"/>
  <c r="Q492" i="15"/>
  <c r="P492" i="15"/>
  <c r="M492" i="15"/>
  <c r="L492" i="15"/>
  <c r="N492" i="15" s="1"/>
  <c r="P491" i="15"/>
  <c r="L491" i="15"/>
  <c r="P490" i="15"/>
  <c r="L490" i="15"/>
  <c r="P489" i="15"/>
  <c r="L489" i="15"/>
  <c r="Q489" i="15" s="1"/>
  <c r="Q488" i="15"/>
  <c r="P488" i="15"/>
  <c r="M488" i="15"/>
  <c r="L488" i="15"/>
  <c r="N488" i="15" s="1"/>
  <c r="P487" i="15"/>
  <c r="L487" i="15"/>
  <c r="P486" i="15"/>
  <c r="M486" i="15"/>
  <c r="L486" i="15"/>
  <c r="P485" i="15"/>
  <c r="L485" i="15"/>
  <c r="Q485" i="15" s="1"/>
  <c r="Q484" i="15"/>
  <c r="P484" i="15"/>
  <c r="M484" i="15"/>
  <c r="L484" i="15"/>
  <c r="N484" i="15" s="1"/>
  <c r="P483" i="15"/>
  <c r="P482" i="15" s="1"/>
  <c r="L483" i="15"/>
  <c r="L482" i="15"/>
  <c r="L481" i="15"/>
  <c r="Q480" i="15"/>
  <c r="P480" i="15"/>
  <c r="M480" i="15"/>
  <c r="L480" i="15"/>
  <c r="N480" i="15" s="1"/>
  <c r="P479" i="15"/>
  <c r="M479" i="15"/>
  <c r="L479" i="15"/>
  <c r="P478" i="15"/>
  <c r="L478" i="15"/>
  <c r="P477" i="15"/>
  <c r="L477" i="15"/>
  <c r="Q477" i="15" s="1"/>
  <c r="Q476" i="15"/>
  <c r="P476" i="15"/>
  <c r="M476" i="15"/>
  <c r="L476" i="15"/>
  <c r="N476" i="15" s="1"/>
  <c r="P475" i="15"/>
  <c r="P474" i="15" s="1"/>
  <c r="L475" i="15"/>
  <c r="L474" i="15"/>
  <c r="P473" i="15"/>
  <c r="L473" i="15"/>
  <c r="Q473" i="15" s="1"/>
  <c r="Q472" i="15"/>
  <c r="P472" i="15"/>
  <c r="M472" i="15"/>
  <c r="L472" i="15"/>
  <c r="N472" i="15" s="1"/>
  <c r="P471" i="15"/>
  <c r="L471" i="15"/>
  <c r="P470" i="15"/>
  <c r="L470" i="15"/>
  <c r="P469" i="15"/>
  <c r="L469" i="15"/>
  <c r="Q469" i="15" s="1"/>
  <c r="Q468" i="15"/>
  <c r="P468" i="15"/>
  <c r="M468" i="15"/>
  <c r="L468" i="15"/>
  <c r="N468" i="15" s="1"/>
  <c r="P467" i="15"/>
  <c r="M467" i="15"/>
  <c r="L467" i="15"/>
  <c r="P466" i="15"/>
  <c r="L466" i="15"/>
  <c r="M465" i="15"/>
  <c r="L465" i="15"/>
  <c r="Q465" i="15" s="1"/>
  <c r="Q464" i="15"/>
  <c r="P464" i="15"/>
  <c r="N464" i="15"/>
  <c r="L464" i="15"/>
  <c r="M464" i="15" s="1"/>
  <c r="P463" i="15"/>
  <c r="N463" i="15"/>
  <c r="L463" i="15"/>
  <c r="P462" i="15"/>
  <c r="L462" i="15"/>
  <c r="Q461" i="15"/>
  <c r="P461" i="15"/>
  <c r="M461" i="15"/>
  <c r="L461" i="15"/>
  <c r="N461" i="15" s="1"/>
  <c r="Q460" i="15"/>
  <c r="P460" i="15"/>
  <c r="N460" i="15"/>
  <c r="L460" i="15"/>
  <c r="M460" i="15" s="1"/>
  <c r="P459" i="15"/>
  <c r="N459" i="15"/>
  <c r="L459" i="15"/>
  <c r="P458" i="15"/>
  <c r="L458" i="15"/>
  <c r="Q457" i="15"/>
  <c r="P457" i="15"/>
  <c r="M457" i="15"/>
  <c r="L457" i="15"/>
  <c r="N457" i="15" s="1"/>
  <c r="Q456" i="15"/>
  <c r="P456" i="15"/>
  <c r="N456" i="15"/>
  <c r="L456" i="15"/>
  <c r="M456" i="15" s="1"/>
  <c r="P455" i="15"/>
  <c r="N455" i="15"/>
  <c r="L455" i="15"/>
  <c r="P454" i="15"/>
  <c r="L454" i="15"/>
  <c r="Q453" i="15"/>
  <c r="P453" i="15"/>
  <c r="M453" i="15"/>
  <c r="L453" i="15"/>
  <c r="N453" i="15" s="1"/>
  <c r="Q452" i="15"/>
  <c r="P452" i="15"/>
  <c r="N452" i="15"/>
  <c r="L452" i="15"/>
  <c r="M452" i="15" s="1"/>
  <c r="P451" i="15"/>
  <c r="N451" i="15"/>
  <c r="L451" i="15"/>
  <c r="P450" i="15"/>
  <c r="L450" i="15"/>
  <c r="Q449" i="15"/>
  <c r="P449" i="15"/>
  <c r="M449" i="15"/>
  <c r="L449" i="15"/>
  <c r="N449" i="15" s="1"/>
  <c r="Q448" i="15"/>
  <c r="P448" i="15"/>
  <c r="N448" i="15"/>
  <c r="L448" i="15"/>
  <c r="M448" i="15" s="1"/>
  <c r="P447" i="15"/>
  <c r="L447" i="15"/>
  <c r="P446" i="15"/>
  <c r="L446" i="15"/>
  <c r="Q445" i="15"/>
  <c r="P445" i="15"/>
  <c r="M445" i="15"/>
  <c r="L445" i="15"/>
  <c r="N445" i="15" s="1"/>
  <c r="Q444" i="15"/>
  <c r="P444" i="15"/>
  <c r="N444" i="15"/>
  <c r="L444" i="15"/>
  <c r="M444" i="15" s="1"/>
  <c r="P443" i="15"/>
  <c r="N443" i="15"/>
  <c r="L443" i="15"/>
  <c r="P442" i="15"/>
  <c r="L442" i="15"/>
  <c r="Q441" i="15"/>
  <c r="P441" i="15"/>
  <c r="M441" i="15"/>
  <c r="L441" i="15"/>
  <c r="N441" i="15" s="1"/>
  <c r="Q440" i="15"/>
  <c r="P440" i="15"/>
  <c r="N440" i="15"/>
  <c r="L440" i="15"/>
  <c r="M440" i="15" s="1"/>
  <c r="P439" i="15"/>
  <c r="L439" i="15"/>
  <c r="P438" i="15"/>
  <c r="L438" i="15"/>
  <c r="Q437" i="15"/>
  <c r="P437" i="15"/>
  <c r="M437" i="15"/>
  <c r="L437" i="15"/>
  <c r="N437" i="15" s="1"/>
  <c r="Q436" i="15"/>
  <c r="P436" i="15"/>
  <c r="N436" i="15"/>
  <c r="L436" i="15"/>
  <c r="M436" i="15" s="1"/>
  <c r="P435" i="15"/>
  <c r="N435" i="15"/>
  <c r="M435" i="15"/>
  <c r="L435" i="15"/>
  <c r="Q435" i="15" s="1"/>
  <c r="P434" i="15"/>
  <c r="N434" i="15"/>
  <c r="L434" i="15"/>
  <c r="Q433" i="15"/>
  <c r="P433" i="15"/>
  <c r="M433" i="15"/>
  <c r="L433" i="15"/>
  <c r="N433" i="15" s="1"/>
  <c r="Q432" i="15"/>
  <c r="P432" i="15"/>
  <c r="N432" i="15"/>
  <c r="L432" i="15"/>
  <c r="M432" i="15" s="1"/>
  <c r="P431" i="15"/>
  <c r="N431" i="15"/>
  <c r="L431" i="15"/>
  <c r="M431" i="15" s="1"/>
  <c r="P430" i="15"/>
  <c r="N430" i="15"/>
  <c r="L430" i="15"/>
  <c r="Q429" i="15"/>
  <c r="P429" i="15"/>
  <c r="M429" i="15"/>
  <c r="L429" i="15"/>
  <c r="N429" i="15" s="1"/>
  <c r="Q428" i="15"/>
  <c r="P428" i="15"/>
  <c r="N428" i="15"/>
  <c r="L428" i="15"/>
  <c r="M428" i="15" s="1"/>
  <c r="Q427" i="15"/>
  <c r="P427" i="15"/>
  <c r="N427" i="15"/>
  <c r="M427" i="15"/>
  <c r="L427" i="15"/>
  <c r="P426" i="15"/>
  <c r="N426" i="15"/>
  <c r="L426" i="15"/>
  <c r="Q425" i="15"/>
  <c r="P425" i="15"/>
  <c r="M425" i="15"/>
  <c r="L425" i="15"/>
  <c r="N425" i="15" s="1"/>
  <c r="P424" i="15"/>
  <c r="L424" i="15"/>
  <c r="Q423" i="15"/>
  <c r="P423" i="15"/>
  <c r="N423" i="15"/>
  <c r="M423" i="15"/>
  <c r="L423" i="15"/>
  <c r="P422" i="15"/>
  <c r="N422" i="15"/>
  <c r="L422" i="15"/>
  <c r="Q421" i="15"/>
  <c r="P421" i="15"/>
  <c r="M421" i="15"/>
  <c r="L421" i="15"/>
  <c r="N421" i="15" s="1"/>
  <c r="Q420" i="15"/>
  <c r="P420" i="15"/>
  <c r="N420" i="15"/>
  <c r="L420" i="15"/>
  <c r="M420" i="15" s="1"/>
  <c r="P419" i="15"/>
  <c r="L419" i="15"/>
  <c r="P418" i="15"/>
  <c r="N418" i="15"/>
  <c r="L418" i="15"/>
  <c r="P417" i="15"/>
  <c r="M417" i="15"/>
  <c r="L417" i="15"/>
  <c r="N417" i="15" s="1"/>
  <c r="Q416" i="15"/>
  <c r="P416" i="15"/>
  <c r="N416" i="15"/>
  <c r="L416" i="15"/>
  <c r="M416" i="15" s="1"/>
  <c r="P415" i="15"/>
  <c r="N415" i="15"/>
  <c r="L415" i="15"/>
  <c r="M415" i="15" s="1"/>
  <c r="P414" i="15"/>
  <c r="L414" i="15"/>
  <c r="Q413" i="15"/>
  <c r="P413" i="15"/>
  <c r="M413" i="15"/>
  <c r="L413" i="15"/>
  <c r="N413" i="15" s="1"/>
  <c r="P412" i="15"/>
  <c r="N412" i="15"/>
  <c r="L412" i="15"/>
  <c r="M412" i="15" s="1"/>
  <c r="Q411" i="15"/>
  <c r="P411" i="15"/>
  <c r="N411" i="15"/>
  <c r="M411" i="15"/>
  <c r="L411" i="15"/>
  <c r="P410" i="15"/>
  <c r="N410" i="15"/>
  <c r="L410" i="15"/>
  <c r="P409" i="15"/>
  <c r="L409" i="15"/>
  <c r="Q408" i="15"/>
  <c r="P408" i="15"/>
  <c r="N408" i="15"/>
  <c r="L408" i="15"/>
  <c r="M408" i="15" s="1"/>
  <c r="P407" i="15"/>
  <c r="N407" i="15"/>
  <c r="L407" i="15"/>
  <c r="L406" i="15"/>
  <c r="Q405" i="15"/>
  <c r="P405" i="15"/>
  <c r="M405" i="15"/>
  <c r="L405" i="15"/>
  <c r="N405" i="15" s="1"/>
  <c r="P404" i="15"/>
  <c r="N404" i="15"/>
  <c r="L404" i="15"/>
  <c r="Q403" i="15"/>
  <c r="P403" i="15"/>
  <c r="N403" i="15"/>
  <c r="L403" i="15"/>
  <c r="M403" i="15" s="1"/>
  <c r="P402" i="15"/>
  <c r="N402" i="15"/>
  <c r="M402" i="15"/>
  <c r="L402" i="15"/>
  <c r="Q402" i="15" s="1"/>
  <c r="P401" i="15"/>
  <c r="L401" i="15"/>
  <c r="P400" i="15"/>
  <c r="L400" i="15"/>
  <c r="Q399" i="15"/>
  <c r="P399" i="15"/>
  <c r="L399" i="15"/>
  <c r="N399" i="15" s="1"/>
  <c r="P398" i="15"/>
  <c r="N398" i="15"/>
  <c r="M398" i="15"/>
  <c r="L398" i="15"/>
  <c r="Q398" i="15" s="1"/>
  <c r="P397" i="15"/>
  <c r="L397" i="15"/>
  <c r="P396" i="15"/>
  <c r="M396" i="15"/>
  <c r="L396" i="15"/>
  <c r="Q396" i="15" s="1"/>
  <c r="L395" i="15"/>
  <c r="Q394" i="15"/>
  <c r="P394" i="15"/>
  <c r="N394" i="15"/>
  <c r="M394" i="15"/>
  <c r="L394" i="15"/>
  <c r="Q393" i="15"/>
  <c r="P393" i="15"/>
  <c r="N393" i="15"/>
  <c r="L393" i="15"/>
  <c r="M393" i="15" s="1"/>
  <c r="Q392" i="15"/>
  <c r="P392" i="15"/>
  <c r="L392" i="15"/>
  <c r="N392" i="15" s="1"/>
  <c r="P391" i="15"/>
  <c r="N391" i="15"/>
  <c r="L391" i="15"/>
  <c r="M391" i="15" s="1"/>
  <c r="Q390" i="15"/>
  <c r="P390" i="15"/>
  <c r="N390" i="15"/>
  <c r="M390" i="15"/>
  <c r="L390" i="15"/>
  <c r="Q389" i="15"/>
  <c r="P389" i="15"/>
  <c r="N389" i="15"/>
  <c r="L389" i="15"/>
  <c r="M389" i="15" s="1"/>
  <c r="Q388" i="15"/>
  <c r="P388" i="15"/>
  <c r="L388" i="15"/>
  <c r="N388" i="15" s="1"/>
  <c r="Q387" i="15"/>
  <c r="P387" i="15"/>
  <c r="L387" i="15"/>
  <c r="M387" i="15" s="1"/>
  <c r="Q386" i="15"/>
  <c r="P386" i="15"/>
  <c r="N386" i="15"/>
  <c r="M386" i="15"/>
  <c r="L386" i="15"/>
  <c r="Q385" i="15"/>
  <c r="P385" i="15"/>
  <c r="N385" i="15"/>
  <c r="L385" i="15"/>
  <c r="M385" i="15" s="1"/>
  <c r="Q384" i="15"/>
  <c r="P384" i="15"/>
  <c r="L384" i="15"/>
  <c r="N384" i="15" s="1"/>
  <c r="P383" i="15"/>
  <c r="L383" i="15"/>
  <c r="M383" i="15" s="1"/>
  <c r="Q382" i="15"/>
  <c r="P382" i="15"/>
  <c r="N382" i="15"/>
  <c r="M382" i="15"/>
  <c r="L382" i="15"/>
  <c r="Q381" i="15"/>
  <c r="P381" i="15"/>
  <c r="N381" i="15"/>
  <c r="L381" i="15"/>
  <c r="M381" i="15" s="1"/>
  <c r="Q380" i="15"/>
  <c r="P380" i="15"/>
  <c r="L380" i="15"/>
  <c r="N380" i="15" s="1"/>
  <c r="Q379" i="15"/>
  <c r="P379" i="15"/>
  <c r="L379" i="15"/>
  <c r="M379" i="15" s="1"/>
  <c r="Q378" i="15"/>
  <c r="P378" i="15"/>
  <c r="N378" i="15"/>
  <c r="M378" i="15"/>
  <c r="L378" i="15"/>
  <c r="Q377" i="15"/>
  <c r="P377" i="15"/>
  <c r="N377" i="15"/>
  <c r="L377" i="15"/>
  <c r="M377" i="15" s="1"/>
  <c r="Q376" i="15"/>
  <c r="P376" i="15"/>
  <c r="L376" i="15"/>
  <c r="N376" i="15" s="1"/>
  <c r="P375" i="15"/>
  <c r="N375" i="15"/>
  <c r="L375" i="15"/>
  <c r="M375" i="15" s="1"/>
  <c r="Q374" i="15"/>
  <c r="P374" i="15"/>
  <c r="N374" i="15"/>
  <c r="M374" i="15"/>
  <c r="L374" i="15"/>
  <c r="Q373" i="15"/>
  <c r="P373" i="15"/>
  <c r="N373" i="15"/>
  <c r="L373" i="15"/>
  <c r="M373" i="15" s="1"/>
  <c r="Q372" i="15"/>
  <c r="P372" i="15"/>
  <c r="L372" i="15"/>
  <c r="N372" i="15" s="1"/>
  <c r="Q371" i="15"/>
  <c r="P371" i="15"/>
  <c r="L371" i="15"/>
  <c r="M371" i="15" s="1"/>
  <c r="Q370" i="15"/>
  <c r="P370" i="15"/>
  <c r="N370" i="15"/>
  <c r="M370" i="15"/>
  <c r="L370" i="15"/>
  <c r="Q369" i="15"/>
  <c r="P369" i="15"/>
  <c r="N369" i="15"/>
  <c r="L369" i="15"/>
  <c r="M369" i="15" s="1"/>
  <c r="Q368" i="15"/>
  <c r="P368" i="15"/>
  <c r="L368" i="15"/>
  <c r="N368" i="15" s="1"/>
  <c r="P367" i="15"/>
  <c r="L367" i="15"/>
  <c r="M367" i="15" s="1"/>
  <c r="Q366" i="15"/>
  <c r="P366" i="15"/>
  <c r="N366" i="15"/>
  <c r="M366" i="15"/>
  <c r="L366" i="15"/>
  <c r="Q365" i="15"/>
  <c r="P365" i="15"/>
  <c r="N365" i="15"/>
  <c r="L365" i="15"/>
  <c r="M365" i="15" s="1"/>
  <c r="Q364" i="15"/>
  <c r="P364" i="15"/>
  <c r="L364" i="15"/>
  <c r="N364" i="15" s="1"/>
  <c r="Q363" i="15"/>
  <c r="P363" i="15"/>
  <c r="L363" i="15"/>
  <c r="M363" i="15" s="1"/>
  <c r="Q362" i="15"/>
  <c r="P362" i="15"/>
  <c r="N362" i="15"/>
  <c r="M362" i="15"/>
  <c r="L362" i="15"/>
  <c r="Q361" i="15"/>
  <c r="P361" i="15"/>
  <c r="N361" i="15"/>
  <c r="L361" i="15"/>
  <c r="M361" i="15" s="1"/>
  <c r="Q360" i="15"/>
  <c r="P360" i="15"/>
  <c r="L360" i="15"/>
  <c r="N360" i="15" s="1"/>
  <c r="P359" i="15"/>
  <c r="N359" i="15"/>
  <c r="L359" i="15"/>
  <c r="M359" i="15" s="1"/>
  <c r="Q358" i="15"/>
  <c r="P358" i="15"/>
  <c r="N358" i="15"/>
  <c r="M358" i="15"/>
  <c r="L358" i="15"/>
  <c r="Q357" i="15"/>
  <c r="P357" i="15"/>
  <c r="N357" i="15"/>
  <c r="L357" i="15"/>
  <c r="M357" i="15" s="1"/>
  <c r="Q356" i="15"/>
  <c r="P356" i="15"/>
  <c r="L356" i="15"/>
  <c r="N356" i="15" s="1"/>
  <c r="Q355" i="15"/>
  <c r="P355" i="15"/>
  <c r="L355" i="15"/>
  <c r="M355" i="15" s="1"/>
  <c r="Q354" i="15"/>
  <c r="P354" i="15"/>
  <c r="N354" i="15"/>
  <c r="M354" i="15"/>
  <c r="L354" i="15"/>
  <c r="Q353" i="15"/>
  <c r="P353" i="15"/>
  <c r="N353" i="15"/>
  <c r="L353" i="15"/>
  <c r="M353" i="15" s="1"/>
  <c r="Q352" i="15"/>
  <c r="P352" i="15"/>
  <c r="L352" i="15"/>
  <c r="N352" i="15" s="1"/>
  <c r="P351" i="15"/>
  <c r="L351" i="15"/>
  <c r="M351" i="15" s="1"/>
  <c r="Q350" i="15"/>
  <c r="P350" i="15"/>
  <c r="N350" i="15"/>
  <c r="M350" i="15"/>
  <c r="L350" i="15"/>
  <c r="Q349" i="15"/>
  <c r="P349" i="15"/>
  <c r="N349" i="15"/>
  <c r="L349" i="15"/>
  <c r="M349" i="15" s="1"/>
  <c r="Q348" i="15"/>
  <c r="P348" i="15"/>
  <c r="L348" i="15"/>
  <c r="N348" i="15" s="1"/>
  <c r="Q347" i="15"/>
  <c r="P347" i="15"/>
  <c r="L347" i="15"/>
  <c r="M347" i="15" s="1"/>
  <c r="Q346" i="15"/>
  <c r="P346" i="15"/>
  <c r="N346" i="15"/>
  <c r="M346" i="15"/>
  <c r="L346" i="15"/>
  <c r="Q345" i="15"/>
  <c r="P345" i="15"/>
  <c r="N345" i="15"/>
  <c r="L345" i="15"/>
  <c r="M345" i="15" s="1"/>
  <c r="Q344" i="15"/>
  <c r="P344" i="15"/>
  <c r="L344" i="15"/>
  <c r="N344" i="15" s="1"/>
  <c r="P343" i="15"/>
  <c r="N343" i="15"/>
  <c r="L343" i="15"/>
  <c r="M343" i="15" s="1"/>
  <c r="Q342" i="15"/>
  <c r="P342" i="15"/>
  <c r="N342" i="15"/>
  <c r="M342" i="15"/>
  <c r="L342" i="15"/>
  <c r="Q341" i="15"/>
  <c r="P341" i="15"/>
  <c r="N341" i="15"/>
  <c r="L341" i="15"/>
  <c r="M341" i="15" s="1"/>
  <c r="Q340" i="15"/>
  <c r="P340" i="15"/>
  <c r="L340" i="15"/>
  <c r="N340" i="15" s="1"/>
  <c r="Q339" i="15"/>
  <c r="P339" i="15"/>
  <c r="L339" i="15"/>
  <c r="M339" i="15" s="1"/>
  <c r="Q338" i="15"/>
  <c r="P338" i="15"/>
  <c r="P337" i="15" s="1"/>
  <c r="N338" i="15"/>
  <c r="M338" i="15"/>
  <c r="L338" i="15"/>
  <c r="L337" i="15"/>
  <c r="Q336" i="15"/>
  <c r="P336" i="15"/>
  <c r="L336" i="15"/>
  <c r="N336" i="15" s="1"/>
  <c r="Q335" i="15"/>
  <c r="P335" i="15"/>
  <c r="L335" i="15"/>
  <c r="M335" i="15" s="1"/>
  <c r="Q334" i="15"/>
  <c r="P334" i="15"/>
  <c r="N334" i="15"/>
  <c r="M334" i="15"/>
  <c r="L334" i="15"/>
  <c r="Q333" i="15"/>
  <c r="P333" i="15"/>
  <c r="N333" i="15"/>
  <c r="L333" i="15"/>
  <c r="M333" i="15" s="1"/>
  <c r="Q332" i="15"/>
  <c r="P332" i="15"/>
  <c r="L332" i="15"/>
  <c r="N332" i="15" s="1"/>
  <c r="P331" i="15"/>
  <c r="N331" i="15"/>
  <c r="L331" i="15"/>
  <c r="M331" i="15" s="1"/>
  <c r="Q330" i="15"/>
  <c r="P330" i="15"/>
  <c r="N330" i="15"/>
  <c r="M330" i="15"/>
  <c r="L330" i="15"/>
  <c r="L329" i="15"/>
  <c r="L328" i="15"/>
  <c r="P327" i="15"/>
  <c r="N327" i="15"/>
  <c r="L327" i="15"/>
  <c r="M327" i="15" s="1"/>
  <c r="Q326" i="15"/>
  <c r="P326" i="15"/>
  <c r="N326" i="15"/>
  <c r="M326" i="15"/>
  <c r="L326" i="15"/>
  <c r="Q325" i="15"/>
  <c r="P325" i="15"/>
  <c r="N325" i="15"/>
  <c r="L325" i="15"/>
  <c r="M325" i="15" s="1"/>
  <c r="Q324" i="15"/>
  <c r="P324" i="15"/>
  <c r="L324" i="15"/>
  <c r="N324" i="15" s="1"/>
  <c r="Q323" i="15"/>
  <c r="P323" i="15"/>
  <c r="N323" i="15"/>
  <c r="L323" i="15"/>
  <c r="M323" i="15" s="1"/>
  <c r="Q322" i="15"/>
  <c r="P322" i="15"/>
  <c r="N322" i="15"/>
  <c r="M322" i="15"/>
  <c r="L322" i="15"/>
  <c r="Q321" i="15"/>
  <c r="P321" i="15"/>
  <c r="N321" i="15"/>
  <c r="L321" i="15"/>
  <c r="M321" i="15" s="1"/>
  <c r="Q320" i="15"/>
  <c r="P320" i="15"/>
  <c r="L320" i="15"/>
  <c r="N320" i="15" s="1"/>
  <c r="P319" i="15"/>
  <c r="L319" i="15"/>
  <c r="Q318" i="15"/>
  <c r="P318" i="15"/>
  <c r="N318" i="15"/>
  <c r="M318" i="15"/>
  <c r="L318" i="15"/>
  <c r="L317" i="15"/>
  <c r="Q316" i="15"/>
  <c r="P316" i="15"/>
  <c r="L316" i="15"/>
  <c r="N316" i="15" s="1"/>
  <c r="P315" i="15"/>
  <c r="N315" i="15"/>
  <c r="L315" i="15"/>
  <c r="Q314" i="15"/>
  <c r="P314" i="15"/>
  <c r="N314" i="15"/>
  <c r="M314" i="15"/>
  <c r="L314" i="15"/>
  <c r="Q313" i="15"/>
  <c r="P313" i="15"/>
  <c r="N313" i="15"/>
  <c r="L313" i="15"/>
  <c r="M313" i="15" s="1"/>
  <c r="Q312" i="15"/>
  <c r="P312" i="15"/>
  <c r="L312" i="15"/>
  <c r="N312" i="15" s="1"/>
  <c r="Q311" i="15"/>
  <c r="P311" i="15"/>
  <c r="P307" i="15" s="1"/>
  <c r="N311" i="15"/>
  <c r="L311" i="15"/>
  <c r="M311" i="15" s="1"/>
  <c r="Q310" i="15"/>
  <c r="P310" i="15"/>
  <c r="N310" i="15"/>
  <c r="M310" i="15"/>
  <c r="L310" i="15"/>
  <c r="Q309" i="15"/>
  <c r="P309" i="15"/>
  <c r="N309" i="15"/>
  <c r="L309" i="15"/>
  <c r="M309" i="15" s="1"/>
  <c r="Q308" i="15"/>
  <c r="Q307" i="15" s="1"/>
  <c r="P308" i="15"/>
  <c r="L308" i="15"/>
  <c r="N308" i="15" s="1"/>
  <c r="N307" i="15"/>
  <c r="L307" i="15"/>
  <c r="Q306" i="15"/>
  <c r="P306" i="15"/>
  <c r="N306" i="15"/>
  <c r="M306" i="15"/>
  <c r="L306" i="15"/>
  <c r="Q305" i="15"/>
  <c r="P305" i="15"/>
  <c r="N305" i="15"/>
  <c r="L305" i="15"/>
  <c r="M305" i="15" s="1"/>
  <c r="Q304" i="15"/>
  <c r="P304" i="15"/>
  <c r="L304" i="15"/>
  <c r="N304" i="15" s="1"/>
  <c r="P303" i="15"/>
  <c r="N303" i="15"/>
  <c r="L303" i="15"/>
  <c r="M303" i="15" s="1"/>
  <c r="Q302" i="15"/>
  <c r="P302" i="15"/>
  <c r="N302" i="15"/>
  <c r="M302" i="15"/>
  <c r="L302" i="15"/>
  <c r="Q301" i="15"/>
  <c r="P301" i="15"/>
  <c r="N301" i="15"/>
  <c r="L301" i="15"/>
  <c r="M301" i="15" s="1"/>
  <c r="Q300" i="15"/>
  <c r="P300" i="15"/>
  <c r="L300" i="15"/>
  <c r="N300" i="15" s="1"/>
  <c r="P299" i="15"/>
  <c r="N299" i="15"/>
  <c r="L299" i="15"/>
  <c r="M299" i="15" s="1"/>
  <c r="Q298" i="15"/>
  <c r="P298" i="15"/>
  <c r="N298" i="15"/>
  <c r="M298" i="15"/>
  <c r="L298" i="15"/>
  <c r="Q297" i="15"/>
  <c r="P297" i="15"/>
  <c r="N297" i="15"/>
  <c r="L297" i="15"/>
  <c r="M297" i="15" s="1"/>
  <c r="L296" i="15"/>
  <c r="Q295" i="15"/>
  <c r="P295" i="15"/>
  <c r="P291" i="15" s="1"/>
  <c r="N295" i="15"/>
  <c r="L295" i="15"/>
  <c r="M295" i="15" s="1"/>
  <c r="Q294" i="15"/>
  <c r="P294" i="15"/>
  <c r="N294" i="15"/>
  <c r="M294" i="15"/>
  <c r="L294" i="15"/>
  <c r="Q293" i="15"/>
  <c r="P293" i="15"/>
  <c r="N293" i="15"/>
  <c r="L293" i="15"/>
  <c r="M293" i="15" s="1"/>
  <c r="Q292" i="15"/>
  <c r="P292" i="15"/>
  <c r="L292" i="15"/>
  <c r="N292" i="15" s="1"/>
  <c r="L291" i="15"/>
  <c r="Q290" i="15"/>
  <c r="P290" i="15"/>
  <c r="N290" i="15"/>
  <c r="M290" i="15"/>
  <c r="L290" i="15"/>
  <c r="Q289" i="15"/>
  <c r="P289" i="15"/>
  <c r="N289" i="15"/>
  <c r="L289" i="15"/>
  <c r="M289" i="15" s="1"/>
  <c r="Q288" i="15"/>
  <c r="P288" i="15"/>
  <c r="L288" i="15"/>
  <c r="N288" i="15" s="1"/>
  <c r="Q287" i="15"/>
  <c r="P287" i="15"/>
  <c r="N287" i="15"/>
  <c r="L287" i="15"/>
  <c r="M287" i="15" s="1"/>
  <c r="Q286" i="15"/>
  <c r="P286" i="15"/>
  <c r="N286" i="15"/>
  <c r="M286" i="15"/>
  <c r="L286" i="15"/>
  <c r="Q285" i="15"/>
  <c r="P285" i="15"/>
  <c r="N285" i="15"/>
  <c r="L285" i="15"/>
  <c r="M285" i="15" s="1"/>
  <c r="Q284" i="15"/>
  <c r="P284" i="15"/>
  <c r="L284" i="15"/>
  <c r="P283" i="15"/>
  <c r="L283" i="15"/>
  <c r="M283" i="15" s="1"/>
  <c r="Q282" i="15"/>
  <c r="P282" i="15"/>
  <c r="N282" i="15"/>
  <c r="M282" i="15"/>
  <c r="L282" i="15"/>
  <c r="Q281" i="15"/>
  <c r="P281" i="15"/>
  <c r="N281" i="15"/>
  <c r="L281" i="15"/>
  <c r="M281" i="15" s="1"/>
  <c r="Q280" i="15"/>
  <c r="P280" i="15"/>
  <c r="L280" i="15"/>
  <c r="P279" i="15"/>
  <c r="L279" i="15"/>
  <c r="M279" i="15" s="1"/>
  <c r="Q278" i="15"/>
  <c r="P278" i="15"/>
  <c r="N278" i="15"/>
  <c r="M278" i="15"/>
  <c r="L278" i="15"/>
  <c r="Q277" i="15"/>
  <c r="P277" i="15"/>
  <c r="N277" i="15"/>
  <c r="L277" i="15"/>
  <c r="M277" i="15" s="1"/>
  <c r="Q276" i="15"/>
  <c r="P276" i="15"/>
  <c r="L276" i="15"/>
  <c r="P275" i="15"/>
  <c r="L275" i="15"/>
  <c r="M275" i="15" s="1"/>
  <c r="Q274" i="15"/>
  <c r="P274" i="15"/>
  <c r="N274" i="15"/>
  <c r="M274" i="15"/>
  <c r="L274" i="15"/>
  <c r="Q273" i="15"/>
  <c r="P273" i="15"/>
  <c r="N273" i="15"/>
  <c r="L273" i="15"/>
  <c r="M273" i="15" s="1"/>
  <c r="Q272" i="15"/>
  <c r="P272" i="15"/>
  <c r="L272" i="15"/>
  <c r="P271" i="15"/>
  <c r="L271" i="15"/>
  <c r="M271" i="15" s="1"/>
  <c r="Q270" i="15"/>
  <c r="P270" i="15"/>
  <c r="N270" i="15"/>
  <c r="M270" i="15"/>
  <c r="L270" i="15"/>
  <c r="Q269" i="15"/>
  <c r="P269" i="15"/>
  <c r="N269" i="15"/>
  <c r="L269" i="15"/>
  <c r="M269" i="15" s="1"/>
  <c r="Q268" i="15"/>
  <c r="P268" i="15"/>
  <c r="L268" i="15"/>
  <c r="P267" i="15"/>
  <c r="L267" i="15"/>
  <c r="M267" i="15" s="1"/>
  <c r="Q266" i="15"/>
  <c r="P266" i="15"/>
  <c r="N266" i="15"/>
  <c r="M266" i="15"/>
  <c r="L266" i="15"/>
  <c r="Q265" i="15"/>
  <c r="P265" i="15"/>
  <c r="N265" i="15"/>
  <c r="L265" i="15"/>
  <c r="M265" i="15" s="1"/>
  <c r="Q264" i="15"/>
  <c r="P264" i="15"/>
  <c r="L264" i="15"/>
  <c r="P263" i="15"/>
  <c r="L263" i="15"/>
  <c r="M263" i="15" s="1"/>
  <c r="Q262" i="15"/>
  <c r="P262" i="15"/>
  <c r="N262" i="15"/>
  <c r="M262" i="15"/>
  <c r="L262" i="15"/>
  <c r="Q261" i="15"/>
  <c r="P261" i="15"/>
  <c r="N261" i="15"/>
  <c r="L261" i="15"/>
  <c r="M261" i="15" s="1"/>
  <c r="Q260" i="15"/>
  <c r="P260" i="15"/>
  <c r="L260" i="15"/>
  <c r="P259" i="15"/>
  <c r="L259" i="15"/>
  <c r="M259" i="15" s="1"/>
  <c r="Q258" i="15"/>
  <c r="P258" i="15"/>
  <c r="N258" i="15"/>
  <c r="M258" i="15"/>
  <c r="L258" i="15"/>
  <c r="Q257" i="15"/>
  <c r="P257" i="15"/>
  <c r="N257" i="15"/>
  <c r="L257" i="15"/>
  <c r="M257" i="15" s="1"/>
  <c r="Q256" i="15"/>
  <c r="P256" i="15"/>
  <c r="L256" i="15"/>
  <c r="P255" i="15"/>
  <c r="L255" i="15"/>
  <c r="Q254" i="15"/>
  <c r="P254" i="15"/>
  <c r="N254" i="15"/>
  <c r="M254" i="15"/>
  <c r="L254" i="15"/>
  <c r="Q253" i="15"/>
  <c r="P253" i="15"/>
  <c r="N253" i="15"/>
  <c r="L253" i="15"/>
  <c r="M253" i="15" s="1"/>
  <c r="Q252" i="15"/>
  <c r="P252" i="15"/>
  <c r="N252" i="15"/>
  <c r="L252" i="15"/>
  <c r="M252" i="15" s="1"/>
  <c r="P251" i="15"/>
  <c r="N251" i="15"/>
  <c r="L251" i="15"/>
  <c r="M251" i="15" s="1"/>
  <c r="Q250" i="15"/>
  <c r="P250" i="15"/>
  <c r="N250" i="15"/>
  <c r="M250" i="15"/>
  <c r="L250" i="15"/>
  <c r="Q249" i="15"/>
  <c r="P249" i="15"/>
  <c r="N249" i="15"/>
  <c r="L249" i="15"/>
  <c r="M249" i="15" s="1"/>
  <c r="Q248" i="15"/>
  <c r="P248" i="15"/>
  <c r="L248" i="15"/>
  <c r="M248" i="15" s="1"/>
  <c r="Q247" i="15"/>
  <c r="P247" i="15"/>
  <c r="L247" i="15"/>
  <c r="M247" i="15" s="1"/>
  <c r="Q246" i="15"/>
  <c r="P246" i="15"/>
  <c r="N246" i="15"/>
  <c r="M246" i="15"/>
  <c r="L246" i="15"/>
  <c r="Q245" i="15"/>
  <c r="P245" i="15"/>
  <c r="N245" i="15"/>
  <c r="L245" i="15"/>
  <c r="M245" i="15" s="1"/>
  <c r="P244" i="15"/>
  <c r="L244" i="15"/>
  <c r="M244" i="15" s="1"/>
  <c r="P243" i="15"/>
  <c r="L243" i="15"/>
  <c r="Q242" i="15"/>
  <c r="P242" i="15"/>
  <c r="N242" i="15"/>
  <c r="M242" i="15"/>
  <c r="L242" i="15"/>
  <c r="Q241" i="15"/>
  <c r="P241" i="15"/>
  <c r="N241" i="15"/>
  <c r="L241" i="15"/>
  <c r="M241" i="15" s="1"/>
  <c r="L240" i="15"/>
  <c r="P239" i="15"/>
  <c r="N239" i="15"/>
  <c r="L239" i="15"/>
  <c r="M239" i="15" s="1"/>
  <c r="Q238" i="15"/>
  <c r="P238" i="15"/>
  <c r="N238" i="15"/>
  <c r="M238" i="15"/>
  <c r="L238" i="15"/>
  <c r="Q237" i="15"/>
  <c r="P237" i="15"/>
  <c r="N237" i="15"/>
  <c r="L237" i="15"/>
  <c r="M237" i="15" s="1"/>
  <c r="P236" i="15"/>
  <c r="L236" i="15"/>
  <c r="M236" i="15" s="1"/>
  <c r="Q235" i="15"/>
  <c r="P235" i="15"/>
  <c r="N235" i="15"/>
  <c r="L235" i="15"/>
  <c r="M235" i="15" s="1"/>
  <c r="Q234" i="15"/>
  <c r="P234" i="15"/>
  <c r="N234" i="15"/>
  <c r="M234" i="15"/>
  <c r="L234" i="15"/>
  <c r="Q233" i="15"/>
  <c r="P233" i="15"/>
  <c r="N233" i="15"/>
  <c r="L233" i="15"/>
  <c r="M233" i="15" s="1"/>
  <c r="P232" i="15"/>
  <c r="N232" i="15"/>
  <c r="L232" i="15"/>
  <c r="P231" i="15"/>
  <c r="L231" i="15"/>
  <c r="M231" i="15" s="1"/>
  <c r="Q230" i="15"/>
  <c r="P230" i="15"/>
  <c r="N230" i="15"/>
  <c r="M230" i="15"/>
  <c r="L230" i="15"/>
  <c r="Q229" i="15"/>
  <c r="P229" i="15"/>
  <c r="N229" i="15"/>
  <c r="L229" i="15"/>
  <c r="M229" i="15" s="1"/>
  <c r="Q228" i="15"/>
  <c r="P228" i="15"/>
  <c r="N228" i="15"/>
  <c r="L228" i="15"/>
  <c r="M228" i="15" s="1"/>
  <c r="P227" i="15"/>
  <c r="L227" i="15"/>
  <c r="M227" i="15" s="1"/>
  <c r="L226" i="15"/>
  <c r="L225" i="15"/>
  <c r="Q224" i="15"/>
  <c r="P224" i="15"/>
  <c r="N224" i="15"/>
  <c r="L224" i="15"/>
  <c r="M224" i="15" s="1"/>
  <c r="P223" i="15"/>
  <c r="P222" i="15" s="1"/>
  <c r="L223" i="15"/>
  <c r="M223" i="15" s="1"/>
  <c r="M222" i="15"/>
  <c r="L222" i="15"/>
  <c r="N221" i="15"/>
  <c r="L221" i="15"/>
  <c r="M221" i="15" s="1"/>
  <c r="M220" i="15"/>
  <c r="L220" i="15"/>
  <c r="N220" i="15" s="1"/>
  <c r="N219" i="15"/>
  <c r="M219" i="15"/>
  <c r="L219" i="15"/>
  <c r="N218" i="15"/>
  <c r="L218" i="15"/>
  <c r="M218" i="15" s="1"/>
  <c r="N217" i="15"/>
  <c r="L217" i="15"/>
  <c r="M217" i="15" s="1"/>
  <c r="E217" i="15"/>
  <c r="L216" i="15"/>
  <c r="N216" i="15" s="1"/>
  <c r="L215" i="15"/>
  <c r="Q214" i="15"/>
  <c r="P214" i="15"/>
  <c r="N214" i="15"/>
  <c r="L214" i="15"/>
  <c r="M214" i="15" s="1"/>
  <c r="P213" i="15"/>
  <c r="N213" i="15"/>
  <c r="L213" i="15"/>
  <c r="M213" i="15" s="1"/>
  <c r="Q212" i="15"/>
  <c r="P212" i="15"/>
  <c r="N212" i="15"/>
  <c r="M212" i="15"/>
  <c r="L212" i="15"/>
  <c r="Q211" i="15"/>
  <c r="P211" i="15"/>
  <c r="N211" i="15"/>
  <c r="M211" i="15"/>
  <c r="L211" i="15"/>
  <c r="Q210" i="15"/>
  <c r="P210" i="15"/>
  <c r="N210" i="15"/>
  <c r="M210" i="15"/>
  <c r="L210" i="15"/>
  <c r="P209" i="15"/>
  <c r="M209" i="15"/>
  <c r="L209" i="15"/>
  <c r="Q208" i="15"/>
  <c r="P208" i="15"/>
  <c r="N208" i="15"/>
  <c r="M208" i="15"/>
  <c r="L208" i="15"/>
  <c r="Q207" i="15"/>
  <c r="P207" i="15"/>
  <c r="N207" i="15"/>
  <c r="M207" i="15"/>
  <c r="L207" i="15"/>
  <c r="Q206" i="15"/>
  <c r="P206" i="15"/>
  <c r="N206" i="15"/>
  <c r="M206" i="15"/>
  <c r="L206" i="15"/>
  <c r="M205" i="15"/>
  <c r="L205" i="15"/>
  <c r="Q204" i="15"/>
  <c r="P204" i="15"/>
  <c r="N204" i="15"/>
  <c r="M204" i="15"/>
  <c r="L204" i="15"/>
  <c r="Q203" i="15"/>
  <c r="P203" i="15"/>
  <c r="N203" i="15"/>
  <c r="M203" i="15"/>
  <c r="L203" i="15"/>
  <c r="Q202" i="15"/>
  <c r="P202" i="15"/>
  <c r="N202" i="15"/>
  <c r="M202" i="15"/>
  <c r="L202" i="15"/>
  <c r="P201" i="15"/>
  <c r="M201" i="15"/>
  <c r="L201" i="15"/>
  <c r="Q200" i="15"/>
  <c r="P200" i="15"/>
  <c r="N200" i="15"/>
  <c r="M200" i="15"/>
  <c r="L200" i="15"/>
  <c r="Q199" i="15"/>
  <c r="P199" i="15"/>
  <c r="N199" i="15"/>
  <c r="M199" i="15"/>
  <c r="L199" i="15"/>
  <c r="Q198" i="15"/>
  <c r="P198" i="15"/>
  <c r="N198" i="15"/>
  <c r="M198" i="15"/>
  <c r="L198" i="15"/>
  <c r="P197" i="15"/>
  <c r="M197" i="15"/>
  <c r="L197" i="15"/>
  <c r="Q196" i="15"/>
  <c r="P196" i="15"/>
  <c r="N196" i="15"/>
  <c r="M196" i="15"/>
  <c r="L196" i="15"/>
  <c r="Q195" i="15"/>
  <c r="P195" i="15"/>
  <c r="N195" i="15"/>
  <c r="M195" i="15"/>
  <c r="L195" i="15"/>
  <c r="Q194" i="15"/>
  <c r="P194" i="15"/>
  <c r="N194" i="15"/>
  <c r="M194" i="15"/>
  <c r="L194" i="15"/>
  <c r="P193" i="15"/>
  <c r="L193" i="15"/>
  <c r="Q192" i="15"/>
  <c r="P192" i="15"/>
  <c r="N192" i="15"/>
  <c r="M192" i="15"/>
  <c r="L192" i="15"/>
  <c r="Q191" i="15"/>
  <c r="P191" i="15"/>
  <c r="N191" i="15"/>
  <c r="M191" i="15"/>
  <c r="L191" i="15"/>
  <c r="Q190" i="15"/>
  <c r="P190" i="15"/>
  <c r="N190" i="15"/>
  <c r="M190" i="15"/>
  <c r="L190" i="15"/>
  <c r="P189" i="15"/>
  <c r="L189" i="15"/>
  <c r="Q188" i="15"/>
  <c r="P188" i="15"/>
  <c r="N188" i="15"/>
  <c r="M188" i="15"/>
  <c r="L188" i="15"/>
  <c r="Q187" i="15"/>
  <c r="P187" i="15"/>
  <c r="N187" i="15"/>
  <c r="M187" i="15"/>
  <c r="L187" i="15"/>
  <c r="Q186" i="15"/>
  <c r="P186" i="15"/>
  <c r="N186" i="15"/>
  <c r="M186" i="15"/>
  <c r="L186" i="15"/>
  <c r="P185" i="15"/>
  <c r="M185" i="15"/>
  <c r="L185" i="15"/>
  <c r="Q184" i="15"/>
  <c r="P184" i="15"/>
  <c r="N184" i="15"/>
  <c r="M184" i="15"/>
  <c r="L184" i="15"/>
  <c r="Q183" i="15"/>
  <c r="P183" i="15"/>
  <c r="N183" i="15"/>
  <c r="M183" i="15"/>
  <c r="L183" i="15"/>
  <c r="Q182" i="15"/>
  <c r="P182" i="15"/>
  <c r="N182" i="15"/>
  <c r="M182" i="15"/>
  <c r="L182" i="15"/>
  <c r="P181" i="15"/>
  <c r="M181" i="15"/>
  <c r="L181" i="15"/>
  <c r="Q180" i="15"/>
  <c r="P180" i="15"/>
  <c r="P179" i="15" s="1"/>
  <c r="N180" i="15"/>
  <c r="M180" i="15"/>
  <c r="L180" i="15"/>
  <c r="L179" i="15"/>
  <c r="L178" i="15"/>
  <c r="P177" i="15"/>
  <c r="L177" i="15"/>
  <c r="Q177" i="15" s="1"/>
  <c r="F177" i="15"/>
  <c r="G177" i="15" s="1"/>
  <c r="P176" i="15"/>
  <c r="P175" i="15" s="1"/>
  <c r="L176" i="15"/>
  <c r="L175" i="15"/>
  <c r="Q174" i="15"/>
  <c r="P174" i="15"/>
  <c r="L174" i="15"/>
  <c r="N174" i="15" s="1"/>
  <c r="P173" i="15"/>
  <c r="N173" i="15"/>
  <c r="M173" i="15"/>
  <c r="L173" i="15"/>
  <c r="Q173" i="15" s="1"/>
  <c r="P172" i="15"/>
  <c r="P170" i="15" s="1"/>
  <c r="L172" i="15"/>
  <c r="P171" i="15"/>
  <c r="M171" i="15"/>
  <c r="L171" i="15"/>
  <c r="Q171" i="15" s="1"/>
  <c r="L170" i="15"/>
  <c r="P169" i="15"/>
  <c r="N169" i="15"/>
  <c r="M169" i="15"/>
  <c r="L169" i="15"/>
  <c r="Q169" i="15" s="1"/>
  <c r="P168" i="15"/>
  <c r="L168" i="15"/>
  <c r="P167" i="15"/>
  <c r="M167" i="15"/>
  <c r="L167" i="15"/>
  <c r="Q167" i="15" s="1"/>
  <c r="Q166" i="15"/>
  <c r="P166" i="15"/>
  <c r="P165" i="15" s="1"/>
  <c r="L166" i="15"/>
  <c r="N166" i="15" s="1"/>
  <c r="L165" i="15"/>
  <c r="P164" i="15"/>
  <c r="L164" i="15"/>
  <c r="P163" i="15"/>
  <c r="M163" i="15"/>
  <c r="L163" i="15"/>
  <c r="Q163" i="15" s="1"/>
  <c r="Q162" i="15"/>
  <c r="P162" i="15"/>
  <c r="L162" i="15"/>
  <c r="N162" i="15" s="1"/>
  <c r="P161" i="15"/>
  <c r="N161" i="15"/>
  <c r="M161" i="15"/>
  <c r="L161" i="15"/>
  <c r="Q161" i="15" s="1"/>
  <c r="P160" i="15"/>
  <c r="L160" i="15"/>
  <c r="P159" i="15"/>
  <c r="M159" i="15"/>
  <c r="L159" i="15"/>
  <c r="Q159" i="15" s="1"/>
  <c r="Q158" i="15"/>
  <c r="P158" i="15"/>
  <c r="L158" i="15"/>
  <c r="N158" i="15" s="1"/>
  <c r="P157" i="15"/>
  <c r="N157" i="15"/>
  <c r="M157" i="15"/>
  <c r="L157" i="15"/>
  <c r="Q157" i="15" s="1"/>
  <c r="P156" i="15"/>
  <c r="P155" i="15" s="1"/>
  <c r="L156" i="15"/>
  <c r="L155" i="15"/>
  <c r="Q154" i="15"/>
  <c r="P154" i="15"/>
  <c r="L154" i="15"/>
  <c r="N154" i="15" s="1"/>
  <c r="P153" i="15"/>
  <c r="N153" i="15"/>
  <c r="M153" i="15"/>
  <c r="L153" i="15"/>
  <c r="Q153" i="15" s="1"/>
  <c r="P152" i="15"/>
  <c r="L152" i="15"/>
  <c r="P151" i="15"/>
  <c r="M151" i="15"/>
  <c r="L151" i="15"/>
  <c r="Q151" i="15" s="1"/>
  <c r="Q150" i="15"/>
  <c r="P150" i="15"/>
  <c r="L150" i="15"/>
  <c r="N150" i="15" s="1"/>
  <c r="E150" i="15"/>
  <c r="Q149" i="15"/>
  <c r="P149" i="15"/>
  <c r="P148" i="15" s="1"/>
  <c r="N149" i="15"/>
  <c r="M149" i="15"/>
  <c r="L149" i="15"/>
  <c r="E149" i="15"/>
  <c r="L148" i="15"/>
  <c r="Q147" i="15"/>
  <c r="P147" i="15"/>
  <c r="N147" i="15"/>
  <c r="L147" i="15"/>
  <c r="M147" i="15" s="1"/>
  <c r="P146" i="15"/>
  <c r="L146" i="15"/>
  <c r="Q146" i="15" s="1"/>
  <c r="Q145" i="15"/>
  <c r="P145" i="15"/>
  <c r="L145" i="15"/>
  <c r="N145" i="15" s="1"/>
  <c r="P144" i="15"/>
  <c r="N144" i="15"/>
  <c r="M144" i="15"/>
  <c r="L144" i="15"/>
  <c r="Q144" i="15" s="1"/>
  <c r="N143" i="15"/>
  <c r="L143" i="15"/>
  <c r="M143" i="15" s="1"/>
  <c r="M142" i="15"/>
  <c r="L142" i="15"/>
  <c r="N142" i="15" s="1"/>
  <c r="E142" i="15"/>
  <c r="Q141" i="15"/>
  <c r="P141" i="15"/>
  <c r="N141" i="15"/>
  <c r="M141" i="15"/>
  <c r="L141" i="15"/>
  <c r="E141" i="15"/>
  <c r="L140" i="15"/>
  <c r="L139" i="15"/>
  <c r="Q138" i="15"/>
  <c r="P138" i="15"/>
  <c r="N138" i="15"/>
  <c r="L138" i="15"/>
  <c r="M138" i="15" s="1"/>
  <c r="P137" i="15"/>
  <c r="L137" i="15"/>
  <c r="Q137" i="15" s="1"/>
  <c r="Q136" i="15"/>
  <c r="P136" i="15"/>
  <c r="L136" i="15"/>
  <c r="N136" i="15" s="1"/>
  <c r="P135" i="15"/>
  <c r="M135" i="15"/>
  <c r="L135" i="15"/>
  <c r="Q135" i="15" s="1"/>
  <c r="F135" i="15"/>
  <c r="G135" i="15" s="1"/>
  <c r="N135" i="15" s="1"/>
  <c r="P134" i="15"/>
  <c r="L134" i="15"/>
  <c r="G134" i="15"/>
  <c r="Q133" i="15"/>
  <c r="P133" i="15"/>
  <c r="N133" i="15"/>
  <c r="L133" i="15"/>
  <c r="M133" i="15" s="1"/>
  <c r="P132" i="15"/>
  <c r="L132" i="15"/>
  <c r="Q132" i="15" s="1"/>
  <c r="P131" i="15"/>
  <c r="L131" i="15"/>
  <c r="P130" i="15"/>
  <c r="N130" i="15"/>
  <c r="M130" i="15"/>
  <c r="L130" i="15"/>
  <c r="Q130" i="15" s="1"/>
  <c r="F130" i="15"/>
  <c r="G130" i="15" s="1"/>
  <c r="P129" i="15"/>
  <c r="L129" i="15"/>
  <c r="Q129" i="15" s="1"/>
  <c r="F129" i="15"/>
  <c r="G129" i="15" s="1"/>
  <c r="N129" i="15" s="1"/>
  <c r="P128" i="15"/>
  <c r="L128" i="15"/>
  <c r="G128" i="15"/>
  <c r="N128" i="15" s="1"/>
  <c r="F128" i="15"/>
  <c r="Q127" i="15"/>
  <c r="P127" i="15"/>
  <c r="L127" i="15"/>
  <c r="M127" i="15" s="1"/>
  <c r="G127" i="15"/>
  <c r="N127" i="15" s="1"/>
  <c r="P126" i="15"/>
  <c r="L126" i="15"/>
  <c r="Q126" i="15" s="1"/>
  <c r="P125" i="15"/>
  <c r="L125" i="15"/>
  <c r="Q125" i="15" s="1"/>
  <c r="G125" i="15"/>
  <c r="Q124" i="15"/>
  <c r="P124" i="15"/>
  <c r="L124" i="15"/>
  <c r="M124" i="15" s="1"/>
  <c r="G124" i="15"/>
  <c r="N124" i="15" s="1"/>
  <c r="Q123" i="15"/>
  <c r="P123" i="15"/>
  <c r="P120" i="15" s="1"/>
  <c r="N123" i="15"/>
  <c r="M123" i="15"/>
  <c r="L123" i="15"/>
  <c r="G123" i="15"/>
  <c r="P122" i="15"/>
  <c r="M122" i="15"/>
  <c r="L122" i="15"/>
  <c r="Q122" i="15" s="1"/>
  <c r="F122" i="15"/>
  <c r="G122" i="15" s="1"/>
  <c r="N122" i="15" s="1"/>
  <c r="P121" i="15"/>
  <c r="L121" i="15"/>
  <c r="Q121" i="15" s="1"/>
  <c r="F121" i="15"/>
  <c r="G121" i="15" s="1"/>
  <c r="N121" i="15" s="1"/>
  <c r="L120" i="15"/>
  <c r="P119" i="15"/>
  <c r="L119" i="15"/>
  <c r="Q119" i="15" s="1"/>
  <c r="F119" i="15"/>
  <c r="M119" i="15" s="1"/>
  <c r="P118" i="15"/>
  <c r="L118" i="15"/>
  <c r="Q118" i="15" s="1"/>
  <c r="G118" i="15"/>
  <c r="Q117" i="15"/>
  <c r="P117" i="15"/>
  <c r="L117" i="15"/>
  <c r="M117" i="15" s="1"/>
  <c r="G117" i="15"/>
  <c r="N117" i="15" s="1"/>
  <c r="F117" i="15"/>
  <c r="Q116" i="15"/>
  <c r="P116" i="15"/>
  <c r="L116" i="15"/>
  <c r="G116" i="15"/>
  <c r="N116" i="15" s="1"/>
  <c r="F116" i="15"/>
  <c r="M116" i="15" s="1"/>
  <c r="Q115" i="15"/>
  <c r="P115" i="15"/>
  <c r="L115" i="15"/>
  <c r="F115" i="15"/>
  <c r="M115" i="15" s="1"/>
  <c r="Q114" i="15"/>
  <c r="P114" i="15"/>
  <c r="N114" i="15"/>
  <c r="M114" i="15"/>
  <c r="L114" i="15"/>
  <c r="G114" i="15"/>
  <c r="F114" i="15"/>
  <c r="P113" i="15"/>
  <c r="M113" i="15"/>
  <c r="L113" i="15"/>
  <c r="Q113" i="15" s="1"/>
  <c r="F113" i="15"/>
  <c r="G113" i="15" s="1"/>
  <c r="N113" i="15" s="1"/>
  <c r="P112" i="15"/>
  <c r="M112" i="15"/>
  <c r="L112" i="15"/>
  <c r="Q112" i="15" s="1"/>
  <c r="F112" i="15"/>
  <c r="G112" i="15" s="1"/>
  <c r="N112" i="15" s="1"/>
  <c r="P111" i="15"/>
  <c r="L111" i="15"/>
  <c r="G111" i="15"/>
  <c r="F111" i="15"/>
  <c r="Q110" i="15"/>
  <c r="P110" i="15"/>
  <c r="L110" i="15"/>
  <c r="G110" i="15"/>
  <c r="N110" i="15" s="1"/>
  <c r="F110" i="15"/>
  <c r="M110" i="15" s="1"/>
  <c r="Q109" i="15"/>
  <c r="P109" i="15"/>
  <c r="L109" i="15"/>
  <c r="G109" i="15"/>
  <c r="N109" i="15" s="1"/>
  <c r="F109" i="15"/>
  <c r="M109" i="15" s="1"/>
  <c r="P108" i="15"/>
  <c r="P107" i="15" s="1"/>
  <c r="L108" i="15"/>
  <c r="Q108" i="15" s="1"/>
  <c r="F108" i="15"/>
  <c r="M108" i="15" s="1"/>
  <c r="L107" i="15"/>
  <c r="Q106" i="15"/>
  <c r="P106" i="15"/>
  <c r="L106" i="15"/>
  <c r="G106" i="15"/>
  <c r="N106" i="15" s="1"/>
  <c r="F106" i="15"/>
  <c r="M106" i="15" s="1"/>
  <c r="Q105" i="15"/>
  <c r="P105" i="15"/>
  <c r="L105" i="15"/>
  <c r="F105" i="15"/>
  <c r="M105" i="15" s="1"/>
  <c r="P104" i="15"/>
  <c r="N104" i="15"/>
  <c r="M104" i="15"/>
  <c r="L104" i="15"/>
  <c r="Q104" i="15" s="1"/>
  <c r="G104" i="15"/>
  <c r="F104" i="15"/>
  <c r="P103" i="15"/>
  <c r="N103" i="15"/>
  <c r="M103" i="15"/>
  <c r="L103" i="15"/>
  <c r="Q103" i="15" s="1"/>
  <c r="F103" i="15"/>
  <c r="G103" i="15" s="1"/>
  <c r="P102" i="15"/>
  <c r="L102" i="15"/>
  <c r="Q102" i="15" s="1"/>
  <c r="F102" i="15"/>
  <c r="G102" i="15" s="1"/>
  <c r="P101" i="15"/>
  <c r="L101" i="15"/>
  <c r="G101" i="15"/>
  <c r="F101" i="15"/>
  <c r="Q100" i="15"/>
  <c r="P100" i="15"/>
  <c r="L100" i="15"/>
  <c r="G100" i="15"/>
  <c r="N100" i="15" s="1"/>
  <c r="F100" i="15"/>
  <c r="M100" i="15" s="1"/>
  <c r="Q99" i="15"/>
  <c r="P99" i="15"/>
  <c r="L99" i="15"/>
  <c r="G99" i="15"/>
  <c r="N99" i="15" s="1"/>
  <c r="F99" i="15"/>
  <c r="M99" i="15" s="1"/>
  <c r="P98" i="15"/>
  <c r="L98" i="15"/>
  <c r="Q98" i="15" s="1"/>
  <c r="G98" i="15"/>
  <c r="N98" i="15" s="1"/>
  <c r="F98" i="15"/>
  <c r="M98" i="15" s="1"/>
  <c r="P97" i="15"/>
  <c r="L97" i="15"/>
  <c r="Q97" i="15" s="1"/>
  <c r="F97" i="15"/>
  <c r="Q96" i="15"/>
  <c r="P96" i="15"/>
  <c r="M96" i="15"/>
  <c r="L96" i="15"/>
  <c r="F96" i="15"/>
  <c r="G96" i="15" s="1"/>
  <c r="N96" i="15" s="1"/>
  <c r="L95" i="15"/>
  <c r="L94" i="15"/>
  <c r="P93" i="15"/>
  <c r="L93" i="15"/>
  <c r="P92" i="15"/>
  <c r="M92" i="15"/>
  <c r="L92" i="15"/>
  <c r="Q92" i="15" s="1"/>
  <c r="Q91" i="15"/>
  <c r="P91" i="15"/>
  <c r="L91" i="15"/>
  <c r="N91" i="15" s="1"/>
  <c r="P90" i="15"/>
  <c r="N90" i="15"/>
  <c r="M90" i="15"/>
  <c r="L90" i="15"/>
  <c r="Q90" i="15" s="1"/>
  <c r="P89" i="15"/>
  <c r="L89" i="15"/>
  <c r="P88" i="15"/>
  <c r="M88" i="15"/>
  <c r="L88" i="15"/>
  <c r="Q88" i="15" s="1"/>
  <c r="Q87" i="15"/>
  <c r="P87" i="15"/>
  <c r="L87" i="15"/>
  <c r="N87" i="15" s="1"/>
  <c r="P86" i="15"/>
  <c r="N86" i="15"/>
  <c r="M86" i="15"/>
  <c r="L86" i="15"/>
  <c r="Q86" i="15" s="1"/>
  <c r="P85" i="15"/>
  <c r="L85" i="15"/>
  <c r="P84" i="15"/>
  <c r="M84" i="15"/>
  <c r="L84" i="15"/>
  <c r="Q84" i="15" s="1"/>
  <c r="Q83" i="15"/>
  <c r="P83" i="15"/>
  <c r="L83" i="15"/>
  <c r="N83" i="15" s="1"/>
  <c r="E83" i="15"/>
  <c r="Q82" i="15"/>
  <c r="P82" i="15"/>
  <c r="N82" i="15"/>
  <c r="M82" i="15"/>
  <c r="L82" i="15"/>
  <c r="P81" i="15"/>
  <c r="M81" i="15"/>
  <c r="L81" i="15"/>
  <c r="Q80" i="15"/>
  <c r="P80" i="15"/>
  <c r="P79" i="15" s="1"/>
  <c r="N80" i="15"/>
  <c r="M80" i="15"/>
  <c r="L80" i="15"/>
  <c r="L79" i="15"/>
  <c r="Q78" i="15"/>
  <c r="P78" i="15"/>
  <c r="N78" i="15"/>
  <c r="M78" i="15"/>
  <c r="L78" i="15"/>
  <c r="P77" i="15"/>
  <c r="M77" i="15"/>
  <c r="L77" i="15"/>
  <c r="Q76" i="15"/>
  <c r="P76" i="15"/>
  <c r="N76" i="15"/>
  <c r="M76" i="15"/>
  <c r="L76" i="15"/>
  <c r="Q75" i="15"/>
  <c r="P75" i="15"/>
  <c r="N75" i="15"/>
  <c r="M75" i="15"/>
  <c r="L75" i="15"/>
  <c r="Q74" i="15"/>
  <c r="P74" i="15"/>
  <c r="N74" i="15"/>
  <c r="M74" i="15"/>
  <c r="L74" i="15"/>
  <c r="P73" i="15"/>
  <c r="L73" i="15"/>
  <c r="Q72" i="15"/>
  <c r="P72" i="15"/>
  <c r="N72" i="15"/>
  <c r="M72" i="15"/>
  <c r="L72" i="15"/>
  <c r="Q71" i="15"/>
  <c r="P71" i="15"/>
  <c r="N71" i="15"/>
  <c r="M71" i="15"/>
  <c r="L71" i="15"/>
  <c r="Q70" i="15"/>
  <c r="P70" i="15"/>
  <c r="N70" i="15"/>
  <c r="M70" i="15"/>
  <c r="L70" i="15"/>
  <c r="P69" i="15"/>
  <c r="L69" i="15"/>
  <c r="N68" i="15"/>
  <c r="M68" i="15"/>
  <c r="L68" i="15"/>
  <c r="E68" i="15"/>
  <c r="P67" i="15"/>
  <c r="L67" i="15"/>
  <c r="Q67" i="15" s="1"/>
  <c r="Q66" i="15"/>
  <c r="P66" i="15"/>
  <c r="L66" i="15"/>
  <c r="N66" i="15" s="1"/>
  <c r="P65" i="15"/>
  <c r="N65" i="15"/>
  <c r="M65" i="15"/>
  <c r="L65" i="15"/>
  <c r="Q65" i="15" s="1"/>
  <c r="Q64" i="15"/>
  <c r="P64" i="15"/>
  <c r="N64" i="15"/>
  <c r="L64" i="15"/>
  <c r="M64" i="15" s="1"/>
  <c r="L63" i="15"/>
  <c r="L62" i="15"/>
  <c r="P61" i="15"/>
  <c r="N61" i="15"/>
  <c r="M61" i="15"/>
  <c r="L61" i="15"/>
  <c r="Q61" i="15" s="1"/>
  <c r="Q60" i="15"/>
  <c r="P60" i="15"/>
  <c r="N60" i="15"/>
  <c r="L60" i="15"/>
  <c r="M60" i="15" s="1"/>
  <c r="P59" i="15"/>
  <c r="L59" i="15"/>
  <c r="Q59" i="15" s="1"/>
  <c r="Q58" i="15"/>
  <c r="P58" i="15"/>
  <c r="L58" i="15"/>
  <c r="N58" i="15" s="1"/>
  <c r="E58" i="15"/>
  <c r="P57" i="15"/>
  <c r="N57" i="15"/>
  <c r="M57" i="15"/>
  <c r="L57" i="15"/>
  <c r="Q57" i="15" s="1"/>
  <c r="P56" i="15"/>
  <c r="L56" i="15"/>
  <c r="P55" i="15"/>
  <c r="M55" i="15"/>
  <c r="L55" i="15"/>
  <c r="Q55" i="15" s="1"/>
  <c r="Q54" i="15"/>
  <c r="P54" i="15"/>
  <c r="L54" i="15"/>
  <c r="N54" i="15" s="1"/>
  <c r="L53" i="15"/>
  <c r="L52" i="15"/>
  <c r="L51" i="15"/>
  <c r="F51" i="15"/>
  <c r="M51" i="15" s="1"/>
  <c r="E51" i="15"/>
  <c r="Q51" i="15" s="1"/>
  <c r="P50" i="15"/>
  <c r="L50" i="15"/>
  <c r="Q50" i="15" s="1"/>
  <c r="G50" i="15"/>
  <c r="N50" i="15" s="1"/>
  <c r="F50" i="15"/>
  <c r="M50" i="15" s="1"/>
  <c r="P49" i="15"/>
  <c r="L49" i="15"/>
  <c r="Q49" i="15" s="1"/>
  <c r="Q48" i="15"/>
  <c r="P48" i="15"/>
  <c r="L48" i="15"/>
  <c r="N48" i="15" s="1"/>
  <c r="P47" i="15"/>
  <c r="N47" i="15"/>
  <c r="M47" i="15"/>
  <c r="L47" i="15"/>
  <c r="Q47" i="15" s="1"/>
  <c r="Q46" i="15"/>
  <c r="P46" i="15"/>
  <c r="N46" i="15"/>
  <c r="L46" i="15"/>
  <c r="M46" i="15" s="1"/>
  <c r="P45" i="15"/>
  <c r="L45" i="15"/>
  <c r="Q45" i="15" s="1"/>
  <c r="Q44" i="15"/>
  <c r="P44" i="15"/>
  <c r="L44" i="15"/>
  <c r="N44" i="15" s="1"/>
  <c r="L43" i="15"/>
  <c r="Q42" i="15"/>
  <c r="P42" i="15"/>
  <c r="N42" i="15"/>
  <c r="L42" i="15"/>
  <c r="M42" i="15" s="1"/>
  <c r="P41" i="15"/>
  <c r="L41" i="15"/>
  <c r="Q41" i="15" s="1"/>
  <c r="Q40" i="15"/>
  <c r="P40" i="15"/>
  <c r="L40" i="15"/>
  <c r="N40" i="15" s="1"/>
  <c r="P39" i="15"/>
  <c r="N39" i="15"/>
  <c r="M39" i="15"/>
  <c r="L39" i="15"/>
  <c r="Q39" i="15" s="1"/>
  <c r="Q38" i="15"/>
  <c r="P38" i="15"/>
  <c r="N38" i="15"/>
  <c r="L38" i="15"/>
  <c r="M38" i="15" s="1"/>
  <c r="P37" i="15"/>
  <c r="L37" i="15"/>
  <c r="Q37" i="15" s="1"/>
  <c r="Q36" i="15"/>
  <c r="P36" i="15"/>
  <c r="L36" i="15"/>
  <c r="N36" i="15" s="1"/>
  <c r="L35" i="15"/>
  <c r="Q34" i="15"/>
  <c r="P34" i="15"/>
  <c r="N34" i="15"/>
  <c r="L34" i="15"/>
  <c r="M34" i="15" s="1"/>
  <c r="P33" i="15"/>
  <c r="L33" i="15"/>
  <c r="Q33" i="15" s="1"/>
  <c r="Q32" i="15"/>
  <c r="P32" i="15"/>
  <c r="L32" i="15"/>
  <c r="Q31" i="15"/>
  <c r="Q30" i="15" s="1"/>
  <c r="P31" i="15"/>
  <c r="P30" i="15" s="1"/>
  <c r="L31" i="15"/>
  <c r="N31" i="15" s="1"/>
  <c r="L30" i="15"/>
  <c r="Q29" i="15"/>
  <c r="Q28" i="15" s="1"/>
  <c r="P29" i="15"/>
  <c r="N29" i="15"/>
  <c r="L29" i="15"/>
  <c r="M29" i="15" s="1"/>
  <c r="M28" i="15" s="1"/>
  <c r="P28" i="15"/>
  <c r="N28" i="15"/>
  <c r="P11" i="15"/>
  <c r="T8" i="15"/>
  <c r="J656" i="14"/>
  <c r="I656" i="14"/>
  <c r="J655" i="14"/>
  <c r="I655" i="14"/>
  <c r="I654" i="14"/>
  <c r="J654" i="14" s="1"/>
  <c r="I653" i="14"/>
  <c r="J653" i="14" s="1"/>
  <c r="J652" i="14"/>
  <c r="I652" i="14"/>
  <c r="I651" i="14"/>
  <c r="J651" i="14" s="1"/>
  <c r="J650" i="14"/>
  <c r="I650" i="14"/>
  <c r="J649" i="14"/>
  <c r="I649" i="14"/>
  <c r="D649" i="14"/>
  <c r="D657" i="15" s="1"/>
  <c r="D659" i="16" s="1"/>
  <c r="D750" i="20" s="1"/>
  <c r="I648" i="14"/>
  <c r="I647" i="14"/>
  <c r="I646" i="14"/>
  <c r="I657" i="14" s="1"/>
  <c r="G642" i="14"/>
  <c r="R622" i="14"/>
  <c r="R619" i="14"/>
  <c r="M601" i="14"/>
  <c r="M600" i="14"/>
  <c r="Q590" i="14"/>
  <c r="P590" i="14"/>
  <c r="N590" i="14"/>
  <c r="L590" i="14"/>
  <c r="M590" i="14" s="1"/>
  <c r="P589" i="14"/>
  <c r="L589" i="14"/>
  <c r="Q589" i="14" s="1"/>
  <c r="Q588" i="14" s="1"/>
  <c r="P588" i="14"/>
  <c r="L588" i="14"/>
  <c r="P587" i="14"/>
  <c r="N587" i="14"/>
  <c r="M587" i="14"/>
  <c r="L587" i="14"/>
  <c r="Q587" i="14" s="1"/>
  <c r="Q586" i="14"/>
  <c r="P586" i="14"/>
  <c r="N586" i="14"/>
  <c r="L586" i="14"/>
  <c r="M586" i="14" s="1"/>
  <c r="P585" i="14"/>
  <c r="L585" i="14"/>
  <c r="Q585" i="14" s="1"/>
  <c r="Q584" i="14"/>
  <c r="P584" i="14"/>
  <c r="L584" i="14"/>
  <c r="N584" i="14" s="1"/>
  <c r="P583" i="14"/>
  <c r="N583" i="14"/>
  <c r="M583" i="14"/>
  <c r="L583" i="14"/>
  <c r="Q583" i="14" s="1"/>
  <c r="Q582" i="14"/>
  <c r="P582" i="14"/>
  <c r="N582" i="14"/>
  <c r="L582" i="14"/>
  <c r="M582" i="14" s="1"/>
  <c r="P581" i="14"/>
  <c r="L581" i="14"/>
  <c r="Q581" i="14" s="1"/>
  <c r="Q580" i="14"/>
  <c r="P580" i="14"/>
  <c r="L580" i="14"/>
  <c r="N580" i="14" s="1"/>
  <c r="P579" i="14"/>
  <c r="N579" i="14"/>
  <c r="M579" i="14"/>
  <c r="L579" i="14"/>
  <c r="Q579" i="14" s="1"/>
  <c r="Q578" i="14"/>
  <c r="P578" i="14"/>
  <c r="N578" i="14"/>
  <c r="L578" i="14"/>
  <c r="M578" i="14" s="1"/>
  <c r="P577" i="14"/>
  <c r="L577" i="14"/>
  <c r="Q577" i="14" s="1"/>
  <c r="Q576" i="14"/>
  <c r="P576" i="14"/>
  <c r="L576" i="14"/>
  <c r="N576" i="14" s="1"/>
  <c r="P575" i="14"/>
  <c r="N575" i="14"/>
  <c r="M575" i="14"/>
  <c r="L575" i="14"/>
  <c r="Q575" i="14" s="1"/>
  <c r="Q574" i="14"/>
  <c r="P574" i="14"/>
  <c r="N574" i="14"/>
  <c r="L574" i="14"/>
  <c r="M574" i="14" s="1"/>
  <c r="P573" i="14"/>
  <c r="L573" i="14"/>
  <c r="Q573" i="14" s="1"/>
  <c r="Q572" i="14"/>
  <c r="P572" i="14"/>
  <c r="L572" i="14"/>
  <c r="N572" i="14" s="1"/>
  <c r="P571" i="14"/>
  <c r="N571" i="14"/>
  <c r="M571" i="14"/>
  <c r="L571" i="14"/>
  <c r="Q571" i="14" s="1"/>
  <c r="Q570" i="14"/>
  <c r="P570" i="14"/>
  <c r="N570" i="14"/>
  <c r="L570" i="14"/>
  <c r="M570" i="14" s="1"/>
  <c r="P569" i="14"/>
  <c r="L569" i="14"/>
  <c r="Q569" i="14" s="1"/>
  <c r="Q568" i="14"/>
  <c r="P568" i="14"/>
  <c r="L568" i="14"/>
  <c r="N568" i="14" s="1"/>
  <c r="E568" i="14"/>
  <c r="P567" i="14"/>
  <c r="N567" i="14"/>
  <c r="M567" i="14"/>
  <c r="L567" i="14"/>
  <c r="Q567" i="14" s="1"/>
  <c r="L566" i="14"/>
  <c r="P565" i="14"/>
  <c r="M565" i="14"/>
  <c r="L565" i="14"/>
  <c r="Q565" i="14" s="1"/>
  <c r="Q564" i="14"/>
  <c r="P564" i="14"/>
  <c r="L564" i="14"/>
  <c r="N564" i="14" s="1"/>
  <c r="P563" i="14"/>
  <c r="N563" i="14"/>
  <c r="M563" i="14"/>
  <c r="L563" i="14"/>
  <c r="Q563" i="14" s="1"/>
  <c r="P562" i="14"/>
  <c r="L562" i="14"/>
  <c r="P561" i="14"/>
  <c r="M561" i="14"/>
  <c r="L561" i="14"/>
  <c r="Q561" i="14" s="1"/>
  <c r="Q560" i="14"/>
  <c r="P560" i="14"/>
  <c r="L560" i="14"/>
  <c r="N560" i="14" s="1"/>
  <c r="P559" i="14"/>
  <c r="N559" i="14"/>
  <c r="M559" i="14"/>
  <c r="L559" i="14"/>
  <c r="Q559" i="14" s="1"/>
  <c r="P558" i="14"/>
  <c r="L558" i="14"/>
  <c r="P557" i="14"/>
  <c r="M557" i="14"/>
  <c r="L557" i="14"/>
  <c r="Q557" i="14" s="1"/>
  <c r="Q556" i="14"/>
  <c r="P556" i="14"/>
  <c r="L556" i="14"/>
  <c r="N556" i="14" s="1"/>
  <c r="P555" i="14"/>
  <c r="N555" i="14"/>
  <c r="M555" i="14"/>
  <c r="L555" i="14"/>
  <c r="Q555" i="14" s="1"/>
  <c r="P554" i="14"/>
  <c r="L554" i="14"/>
  <c r="P553" i="14"/>
  <c r="M553" i="14"/>
  <c r="M552" i="14" s="1"/>
  <c r="L553" i="14"/>
  <c r="Q553" i="14" s="1"/>
  <c r="Q552" i="14"/>
  <c r="P552" i="14"/>
  <c r="L552" i="14"/>
  <c r="P551" i="14"/>
  <c r="N551" i="14"/>
  <c r="M551" i="14"/>
  <c r="L551" i="14"/>
  <c r="Q551" i="14" s="1"/>
  <c r="P550" i="14"/>
  <c r="L550" i="14"/>
  <c r="P549" i="14"/>
  <c r="M549" i="14"/>
  <c r="L549" i="14"/>
  <c r="Q549" i="14" s="1"/>
  <c r="Q548" i="14"/>
  <c r="P548" i="14"/>
  <c r="L548" i="14"/>
  <c r="N548" i="14" s="1"/>
  <c r="P547" i="14"/>
  <c r="N547" i="14"/>
  <c r="M547" i="14"/>
  <c r="L547" i="14"/>
  <c r="Q547" i="14" s="1"/>
  <c r="P546" i="14"/>
  <c r="L546" i="14"/>
  <c r="P545" i="14"/>
  <c r="M545" i="14"/>
  <c r="L545" i="14"/>
  <c r="Q545" i="14" s="1"/>
  <c r="Q544" i="14"/>
  <c r="P544" i="14"/>
  <c r="L544" i="14"/>
  <c r="N544" i="14" s="1"/>
  <c r="P543" i="14"/>
  <c r="N543" i="14"/>
  <c r="M543" i="14"/>
  <c r="L543" i="14"/>
  <c r="Q543" i="14" s="1"/>
  <c r="P542" i="14"/>
  <c r="L542" i="14"/>
  <c r="P541" i="14"/>
  <c r="M541" i="14"/>
  <c r="L541" i="14"/>
  <c r="Q541" i="14" s="1"/>
  <c r="Q540" i="14"/>
  <c r="P540" i="14"/>
  <c r="L540" i="14"/>
  <c r="N540" i="14" s="1"/>
  <c r="P539" i="14"/>
  <c r="N539" i="14"/>
  <c r="M539" i="14"/>
  <c r="L539" i="14"/>
  <c r="Q539" i="14" s="1"/>
  <c r="P538" i="14"/>
  <c r="L538" i="14"/>
  <c r="P537" i="14"/>
  <c r="M537" i="14"/>
  <c r="L537" i="14"/>
  <c r="Q537" i="14" s="1"/>
  <c r="Q536" i="14"/>
  <c r="P536" i="14"/>
  <c r="L536" i="14"/>
  <c r="N536" i="14" s="1"/>
  <c r="P535" i="14"/>
  <c r="N535" i="14"/>
  <c r="M535" i="14"/>
  <c r="L535" i="14"/>
  <c r="Q535" i="14" s="1"/>
  <c r="P534" i="14"/>
  <c r="L534" i="14"/>
  <c r="P533" i="14"/>
  <c r="M533" i="14"/>
  <c r="L533" i="14"/>
  <c r="Q533" i="14" s="1"/>
  <c r="Q532" i="14"/>
  <c r="P532" i="14"/>
  <c r="L532" i="14"/>
  <c r="N532" i="14" s="1"/>
  <c r="P531" i="14"/>
  <c r="N531" i="14"/>
  <c r="M531" i="14"/>
  <c r="L531" i="14"/>
  <c r="Q531" i="14" s="1"/>
  <c r="P530" i="14"/>
  <c r="L530" i="14"/>
  <c r="P529" i="14"/>
  <c r="M529" i="14"/>
  <c r="L529" i="14"/>
  <c r="Q529" i="14" s="1"/>
  <c r="Q528" i="14"/>
  <c r="P528" i="14"/>
  <c r="L528" i="14"/>
  <c r="N528" i="14" s="1"/>
  <c r="P527" i="14"/>
  <c r="N527" i="14"/>
  <c r="M527" i="14"/>
  <c r="L527" i="14"/>
  <c r="Q527" i="14" s="1"/>
  <c r="P526" i="14"/>
  <c r="L526" i="14"/>
  <c r="P525" i="14"/>
  <c r="M525" i="14"/>
  <c r="L525" i="14"/>
  <c r="Q525" i="14" s="1"/>
  <c r="P524" i="14"/>
  <c r="L524" i="14"/>
  <c r="P523" i="14"/>
  <c r="N523" i="14"/>
  <c r="M523" i="14"/>
  <c r="L523" i="14"/>
  <c r="Q523" i="14" s="1"/>
  <c r="P522" i="14"/>
  <c r="P520" i="14" s="1"/>
  <c r="L522" i="14"/>
  <c r="P521" i="14"/>
  <c r="M521" i="14"/>
  <c r="L521" i="14"/>
  <c r="Q521" i="14" s="1"/>
  <c r="L520" i="14"/>
  <c r="P519" i="14"/>
  <c r="N519" i="14"/>
  <c r="M519" i="14"/>
  <c r="L519" i="14"/>
  <c r="Q519" i="14" s="1"/>
  <c r="P518" i="14"/>
  <c r="L518" i="14"/>
  <c r="P517" i="14"/>
  <c r="M517" i="14"/>
  <c r="L517" i="14"/>
  <c r="Q517" i="14" s="1"/>
  <c r="P516" i="14"/>
  <c r="L516" i="14"/>
  <c r="P515" i="14"/>
  <c r="N515" i="14"/>
  <c r="M515" i="14"/>
  <c r="L515" i="14"/>
  <c r="Q515" i="14" s="1"/>
  <c r="P514" i="14"/>
  <c r="L514" i="14"/>
  <c r="P513" i="14"/>
  <c r="M513" i="14"/>
  <c r="L513" i="14"/>
  <c r="Q513" i="14" s="1"/>
  <c r="Q512" i="14"/>
  <c r="P512" i="14"/>
  <c r="L512" i="14"/>
  <c r="P511" i="14"/>
  <c r="N511" i="14"/>
  <c r="M511" i="14"/>
  <c r="L511" i="14"/>
  <c r="Q511" i="14" s="1"/>
  <c r="P510" i="14"/>
  <c r="L510" i="14"/>
  <c r="P509" i="14"/>
  <c r="M509" i="14"/>
  <c r="L509" i="14"/>
  <c r="Q509" i="14" s="1"/>
  <c r="L508" i="14"/>
  <c r="L507" i="14"/>
  <c r="P506" i="14"/>
  <c r="L506" i="14"/>
  <c r="P505" i="14"/>
  <c r="M505" i="14"/>
  <c r="L505" i="14"/>
  <c r="Q505" i="14" s="1"/>
  <c r="Q504" i="14"/>
  <c r="P504" i="14"/>
  <c r="L504" i="14"/>
  <c r="P503" i="14"/>
  <c r="N503" i="14"/>
  <c r="M503" i="14"/>
  <c r="L503" i="14"/>
  <c r="Q503" i="14" s="1"/>
  <c r="P502" i="14"/>
  <c r="L502" i="14"/>
  <c r="P501" i="14"/>
  <c r="M501" i="14"/>
  <c r="L501" i="14"/>
  <c r="Q501" i="14" s="1"/>
  <c r="Q500" i="14"/>
  <c r="P500" i="14"/>
  <c r="L500" i="14"/>
  <c r="P499" i="14"/>
  <c r="N499" i="14"/>
  <c r="M499" i="14"/>
  <c r="L499" i="14"/>
  <c r="Q499" i="14" s="1"/>
  <c r="P498" i="14"/>
  <c r="L498" i="14"/>
  <c r="P497" i="14"/>
  <c r="M497" i="14"/>
  <c r="L497" i="14"/>
  <c r="Q497" i="14" s="1"/>
  <c r="Q496" i="14"/>
  <c r="P496" i="14"/>
  <c r="L496" i="14"/>
  <c r="P495" i="14"/>
  <c r="N495" i="14"/>
  <c r="M495" i="14"/>
  <c r="L495" i="14"/>
  <c r="Q495" i="14" s="1"/>
  <c r="P494" i="14"/>
  <c r="L494" i="14"/>
  <c r="P493" i="14"/>
  <c r="M493" i="14"/>
  <c r="L493" i="14"/>
  <c r="Q493" i="14" s="1"/>
  <c r="P492" i="14"/>
  <c r="L492" i="14"/>
  <c r="P491" i="14"/>
  <c r="N491" i="14"/>
  <c r="M491" i="14"/>
  <c r="L491" i="14"/>
  <c r="Q491" i="14" s="1"/>
  <c r="P490" i="14"/>
  <c r="L490" i="14"/>
  <c r="P489" i="14"/>
  <c r="L489" i="14"/>
  <c r="Q488" i="14"/>
  <c r="P488" i="14"/>
  <c r="L488" i="14"/>
  <c r="L487" i="14"/>
  <c r="P486" i="14"/>
  <c r="L486" i="14"/>
  <c r="P485" i="14"/>
  <c r="L485" i="14"/>
  <c r="Q484" i="14"/>
  <c r="P484" i="14"/>
  <c r="L484" i="14"/>
  <c r="P483" i="14"/>
  <c r="N483" i="14"/>
  <c r="M483" i="14"/>
  <c r="L483" i="14"/>
  <c r="Q483" i="14" s="1"/>
  <c r="P482" i="14"/>
  <c r="L482" i="14"/>
  <c r="L481" i="14"/>
  <c r="P480" i="14"/>
  <c r="L480" i="14"/>
  <c r="P479" i="14"/>
  <c r="N479" i="14"/>
  <c r="M479" i="14"/>
  <c r="L479" i="14"/>
  <c r="Q479" i="14" s="1"/>
  <c r="P478" i="14"/>
  <c r="P474" i="14" s="1"/>
  <c r="L478" i="14"/>
  <c r="P477" i="14"/>
  <c r="M477" i="14"/>
  <c r="L477" i="14"/>
  <c r="P476" i="14"/>
  <c r="L476" i="14"/>
  <c r="P475" i="14"/>
  <c r="N475" i="14"/>
  <c r="M475" i="14"/>
  <c r="L475" i="14"/>
  <c r="Q475" i="14" s="1"/>
  <c r="L474" i="14"/>
  <c r="P473" i="14"/>
  <c r="L473" i="14"/>
  <c r="P472" i="14"/>
  <c r="L472" i="14"/>
  <c r="P471" i="14"/>
  <c r="N471" i="14"/>
  <c r="M471" i="14"/>
  <c r="L471" i="14"/>
  <c r="Q471" i="14" s="1"/>
  <c r="P470" i="14"/>
  <c r="L470" i="14"/>
  <c r="P469" i="14"/>
  <c r="L469" i="14"/>
  <c r="P468" i="14"/>
  <c r="L468" i="14"/>
  <c r="N468" i="14" s="1"/>
  <c r="P467" i="14"/>
  <c r="N467" i="14"/>
  <c r="M467" i="14"/>
  <c r="L467" i="14"/>
  <c r="Q467" i="14" s="1"/>
  <c r="P466" i="14"/>
  <c r="M466" i="14"/>
  <c r="L466" i="14"/>
  <c r="L465" i="14"/>
  <c r="P464" i="14"/>
  <c r="L464" i="14"/>
  <c r="P463" i="14"/>
  <c r="L463" i="14"/>
  <c r="Q462" i="14"/>
  <c r="P462" i="14"/>
  <c r="L462" i="14"/>
  <c r="M462" i="14" s="1"/>
  <c r="P461" i="14"/>
  <c r="N461" i="14"/>
  <c r="L461" i="14"/>
  <c r="P460" i="14"/>
  <c r="L460" i="14"/>
  <c r="Q459" i="14"/>
  <c r="P459" i="14"/>
  <c r="N459" i="14"/>
  <c r="M459" i="14"/>
  <c r="L459" i="14"/>
  <c r="P458" i="14"/>
  <c r="N458" i="14"/>
  <c r="L458" i="14"/>
  <c r="M458" i="14" s="1"/>
  <c r="P457" i="14"/>
  <c r="L457" i="14"/>
  <c r="Q456" i="14"/>
  <c r="P456" i="14"/>
  <c r="L456" i="14"/>
  <c r="P455" i="14"/>
  <c r="N455" i="14"/>
  <c r="L455" i="14"/>
  <c r="Q455" i="14" s="1"/>
  <c r="P454" i="14"/>
  <c r="L454" i="14"/>
  <c r="P453" i="14"/>
  <c r="L453" i="14"/>
  <c r="Q452" i="14"/>
  <c r="P452" i="14"/>
  <c r="L452" i="14"/>
  <c r="Q451" i="14"/>
  <c r="P451" i="14"/>
  <c r="N451" i="14"/>
  <c r="M451" i="14"/>
  <c r="L451" i="14"/>
  <c r="Q450" i="14"/>
  <c r="P450" i="14"/>
  <c r="N450" i="14"/>
  <c r="L450" i="14"/>
  <c r="M450" i="14" s="1"/>
  <c r="P449" i="14"/>
  <c r="L449" i="14"/>
  <c r="P448" i="14"/>
  <c r="L448" i="14"/>
  <c r="P447" i="14"/>
  <c r="L447" i="14"/>
  <c r="Q446" i="14"/>
  <c r="P446" i="14"/>
  <c r="L446" i="14"/>
  <c r="M446" i="14" s="1"/>
  <c r="P445" i="14"/>
  <c r="N445" i="14"/>
  <c r="L445" i="14"/>
  <c r="P444" i="14"/>
  <c r="L444" i="14"/>
  <c r="Q443" i="14"/>
  <c r="P443" i="14"/>
  <c r="N443" i="14"/>
  <c r="M443" i="14"/>
  <c r="L443" i="14"/>
  <c r="P442" i="14"/>
  <c r="N442" i="14"/>
  <c r="L442" i="14"/>
  <c r="M442" i="14" s="1"/>
  <c r="P441" i="14"/>
  <c r="L441" i="14"/>
  <c r="Q440" i="14"/>
  <c r="P440" i="14"/>
  <c r="L440" i="14"/>
  <c r="P439" i="14"/>
  <c r="N439" i="14"/>
  <c r="L439" i="14"/>
  <c r="Q439" i="14" s="1"/>
  <c r="P438" i="14"/>
  <c r="L438" i="14"/>
  <c r="P437" i="14"/>
  <c r="L437" i="14"/>
  <c r="Q436" i="14"/>
  <c r="P436" i="14"/>
  <c r="L436" i="14"/>
  <c r="Q435" i="14"/>
  <c r="P435" i="14"/>
  <c r="N435" i="14"/>
  <c r="M435" i="14"/>
  <c r="L435" i="14"/>
  <c r="Q434" i="14"/>
  <c r="P434" i="14"/>
  <c r="N434" i="14"/>
  <c r="L434" i="14"/>
  <c r="M434" i="14" s="1"/>
  <c r="P433" i="14"/>
  <c r="L433" i="14"/>
  <c r="P432" i="14"/>
  <c r="L432" i="14"/>
  <c r="P431" i="14"/>
  <c r="L431" i="14"/>
  <c r="Q430" i="14"/>
  <c r="P430" i="14"/>
  <c r="L430" i="14"/>
  <c r="M430" i="14" s="1"/>
  <c r="P429" i="14"/>
  <c r="N429" i="14"/>
  <c r="L429" i="14"/>
  <c r="P428" i="14"/>
  <c r="L428" i="14"/>
  <c r="Q427" i="14"/>
  <c r="P427" i="14"/>
  <c r="N427" i="14"/>
  <c r="M427" i="14"/>
  <c r="L427" i="14"/>
  <c r="P426" i="14"/>
  <c r="N426" i="14"/>
  <c r="L426" i="14"/>
  <c r="M426" i="14" s="1"/>
  <c r="P425" i="14"/>
  <c r="L425" i="14"/>
  <c r="Q424" i="14"/>
  <c r="P424" i="14"/>
  <c r="L424" i="14"/>
  <c r="P423" i="14"/>
  <c r="N423" i="14"/>
  <c r="L423" i="14"/>
  <c r="Q423" i="14" s="1"/>
  <c r="P422" i="14"/>
  <c r="L422" i="14"/>
  <c r="P421" i="14"/>
  <c r="L421" i="14"/>
  <c r="Q420" i="14"/>
  <c r="P420" i="14"/>
  <c r="L420" i="14"/>
  <c r="Q419" i="14"/>
  <c r="P419" i="14"/>
  <c r="N419" i="14"/>
  <c r="M419" i="14"/>
  <c r="L419" i="14"/>
  <c r="Q418" i="14"/>
  <c r="P418" i="14"/>
  <c r="N418" i="14"/>
  <c r="L418" i="14"/>
  <c r="M418" i="14" s="1"/>
  <c r="P417" i="14"/>
  <c r="L417" i="14"/>
  <c r="P416" i="14"/>
  <c r="L416" i="14"/>
  <c r="P415" i="14"/>
  <c r="L415" i="14"/>
  <c r="Q414" i="14"/>
  <c r="P414" i="14"/>
  <c r="L414" i="14"/>
  <c r="M414" i="14" s="1"/>
  <c r="P413" i="14"/>
  <c r="N413" i="14"/>
  <c r="L413" i="14"/>
  <c r="P412" i="14"/>
  <c r="L412" i="14"/>
  <c r="Q411" i="14"/>
  <c r="P411" i="14"/>
  <c r="N411" i="14"/>
  <c r="M411" i="14"/>
  <c r="L411" i="14"/>
  <c r="P410" i="14"/>
  <c r="N410" i="14"/>
  <c r="L410" i="14"/>
  <c r="M410" i="14" s="1"/>
  <c r="P409" i="14"/>
  <c r="L409" i="14"/>
  <c r="Q408" i="14"/>
  <c r="P408" i="14"/>
  <c r="L408" i="14"/>
  <c r="P407" i="14"/>
  <c r="N407" i="14"/>
  <c r="L407" i="14"/>
  <c r="Q407" i="14" s="1"/>
  <c r="L406" i="14"/>
  <c r="P405" i="14"/>
  <c r="L405" i="14"/>
  <c r="P404" i="14"/>
  <c r="L404" i="14"/>
  <c r="P403" i="14"/>
  <c r="M403" i="14"/>
  <c r="L403" i="14"/>
  <c r="Q403" i="14" s="1"/>
  <c r="Q402" i="14"/>
  <c r="P402" i="14"/>
  <c r="L402" i="14"/>
  <c r="M402" i="14" s="1"/>
  <c r="P401" i="14"/>
  <c r="L401" i="14"/>
  <c r="Q401" i="14" s="1"/>
  <c r="P400" i="14"/>
  <c r="L400" i="14"/>
  <c r="Q399" i="14"/>
  <c r="P399" i="14"/>
  <c r="N399" i="14"/>
  <c r="M399" i="14"/>
  <c r="L399" i="14"/>
  <c r="Q398" i="14"/>
  <c r="P398" i="14"/>
  <c r="N398" i="14"/>
  <c r="M398" i="14"/>
  <c r="L398" i="14"/>
  <c r="P397" i="14"/>
  <c r="M397" i="14"/>
  <c r="L397" i="14"/>
  <c r="Q397" i="14" s="1"/>
  <c r="Q396" i="14"/>
  <c r="P396" i="14"/>
  <c r="P395" i="14" s="1"/>
  <c r="M396" i="14"/>
  <c r="L396" i="14"/>
  <c r="N396" i="14" s="1"/>
  <c r="L395" i="14"/>
  <c r="P394" i="14"/>
  <c r="N394" i="14"/>
  <c r="L394" i="14"/>
  <c r="Q394" i="14" s="1"/>
  <c r="P393" i="14"/>
  <c r="N393" i="14"/>
  <c r="L393" i="14"/>
  <c r="Q393" i="14" s="1"/>
  <c r="P392" i="14"/>
  <c r="L392" i="14"/>
  <c r="N392" i="14" s="1"/>
  <c r="P391" i="14"/>
  <c r="L391" i="14"/>
  <c r="Q391" i="14" s="1"/>
  <c r="Q390" i="14"/>
  <c r="P390" i="14"/>
  <c r="L390" i="14"/>
  <c r="N390" i="14" s="1"/>
  <c r="Q389" i="14"/>
  <c r="P389" i="14"/>
  <c r="N389" i="14"/>
  <c r="M389" i="14"/>
  <c r="L389" i="14"/>
  <c r="P388" i="14"/>
  <c r="L388" i="14"/>
  <c r="Q388" i="14" s="1"/>
  <c r="P387" i="14"/>
  <c r="L387" i="14"/>
  <c r="Q387" i="14" s="1"/>
  <c r="Q386" i="14"/>
  <c r="P386" i="14"/>
  <c r="L386" i="14"/>
  <c r="N386" i="14" s="1"/>
  <c r="Q385" i="14"/>
  <c r="P385" i="14"/>
  <c r="N385" i="14"/>
  <c r="M385" i="14"/>
  <c r="L385" i="14"/>
  <c r="P384" i="14"/>
  <c r="L384" i="14"/>
  <c r="Q384" i="14" s="1"/>
  <c r="P383" i="14"/>
  <c r="L383" i="14"/>
  <c r="Q383" i="14" s="1"/>
  <c r="Q382" i="14"/>
  <c r="P382" i="14"/>
  <c r="L382" i="14"/>
  <c r="N382" i="14" s="1"/>
  <c r="Q381" i="14"/>
  <c r="P381" i="14"/>
  <c r="N381" i="14"/>
  <c r="M381" i="14"/>
  <c r="L381" i="14"/>
  <c r="P380" i="14"/>
  <c r="L380" i="14"/>
  <c r="Q380" i="14" s="1"/>
  <c r="P379" i="14"/>
  <c r="L379" i="14"/>
  <c r="Q379" i="14" s="1"/>
  <c r="Q378" i="14"/>
  <c r="P378" i="14"/>
  <c r="L378" i="14"/>
  <c r="N378" i="14" s="1"/>
  <c r="Q377" i="14"/>
  <c r="P377" i="14"/>
  <c r="N377" i="14"/>
  <c r="M377" i="14"/>
  <c r="L377" i="14"/>
  <c r="P376" i="14"/>
  <c r="L376" i="14"/>
  <c r="Q376" i="14" s="1"/>
  <c r="P375" i="14"/>
  <c r="L375" i="14"/>
  <c r="Q375" i="14" s="1"/>
  <c r="Q374" i="14"/>
  <c r="P374" i="14"/>
  <c r="L374" i="14"/>
  <c r="N374" i="14" s="1"/>
  <c r="Q373" i="14"/>
  <c r="P373" i="14"/>
  <c r="N373" i="14"/>
  <c r="M373" i="14"/>
  <c r="L373" i="14"/>
  <c r="P372" i="14"/>
  <c r="L372" i="14"/>
  <c r="Q372" i="14" s="1"/>
  <c r="P371" i="14"/>
  <c r="L371" i="14"/>
  <c r="Q371" i="14" s="1"/>
  <c r="Q370" i="14"/>
  <c r="P370" i="14"/>
  <c r="L370" i="14"/>
  <c r="N370" i="14" s="1"/>
  <c r="Q369" i="14"/>
  <c r="P369" i="14"/>
  <c r="N369" i="14"/>
  <c r="M369" i="14"/>
  <c r="L369" i="14"/>
  <c r="P368" i="14"/>
  <c r="L368" i="14"/>
  <c r="Q368" i="14" s="1"/>
  <c r="P367" i="14"/>
  <c r="L367" i="14"/>
  <c r="Q367" i="14" s="1"/>
  <c r="Q366" i="14"/>
  <c r="P366" i="14"/>
  <c r="L366" i="14"/>
  <c r="N366" i="14" s="1"/>
  <c r="Q365" i="14"/>
  <c r="P365" i="14"/>
  <c r="N365" i="14"/>
  <c r="M365" i="14"/>
  <c r="L365" i="14"/>
  <c r="P364" i="14"/>
  <c r="N364" i="14"/>
  <c r="L364" i="14"/>
  <c r="Q364" i="14" s="1"/>
  <c r="P363" i="14"/>
  <c r="L363" i="14"/>
  <c r="Q363" i="14" s="1"/>
  <c r="Q362" i="14"/>
  <c r="P362" i="14"/>
  <c r="L362" i="14"/>
  <c r="N362" i="14" s="1"/>
  <c r="Q361" i="14"/>
  <c r="P361" i="14"/>
  <c r="N361" i="14"/>
  <c r="M361" i="14"/>
  <c r="L361" i="14"/>
  <c r="P360" i="14"/>
  <c r="N360" i="14"/>
  <c r="L360" i="14"/>
  <c r="Q360" i="14" s="1"/>
  <c r="P359" i="14"/>
  <c r="L359" i="14"/>
  <c r="Q359" i="14" s="1"/>
  <c r="Q358" i="14"/>
  <c r="P358" i="14"/>
  <c r="L358" i="14"/>
  <c r="N358" i="14" s="1"/>
  <c r="Q357" i="14"/>
  <c r="P357" i="14"/>
  <c r="N357" i="14"/>
  <c r="M357" i="14"/>
  <c r="L357" i="14"/>
  <c r="P356" i="14"/>
  <c r="N356" i="14"/>
  <c r="L356" i="14"/>
  <c r="Q356" i="14" s="1"/>
  <c r="P355" i="14"/>
  <c r="L355" i="14"/>
  <c r="Q355" i="14" s="1"/>
  <c r="Q354" i="14"/>
  <c r="P354" i="14"/>
  <c r="L354" i="14"/>
  <c r="N354" i="14" s="1"/>
  <c r="Q353" i="14"/>
  <c r="P353" i="14"/>
  <c r="N353" i="14"/>
  <c r="M353" i="14"/>
  <c r="L353" i="14"/>
  <c r="P352" i="14"/>
  <c r="N352" i="14"/>
  <c r="L352" i="14"/>
  <c r="Q352" i="14" s="1"/>
  <c r="P351" i="14"/>
  <c r="L351" i="14"/>
  <c r="Q351" i="14" s="1"/>
  <c r="Q350" i="14"/>
  <c r="P350" i="14"/>
  <c r="L350" i="14"/>
  <c r="N350" i="14" s="1"/>
  <c r="Q349" i="14"/>
  <c r="P349" i="14"/>
  <c r="N349" i="14"/>
  <c r="M349" i="14"/>
  <c r="L349" i="14"/>
  <c r="P348" i="14"/>
  <c r="N348" i="14"/>
  <c r="L348" i="14"/>
  <c r="Q348" i="14" s="1"/>
  <c r="P347" i="14"/>
  <c r="L347" i="14"/>
  <c r="Q347" i="14" s="1"/>
  <c r="Q346" i="14"/>
  <c r="P346" i="14"/>
  <c r="L346" i="14"/>
  <c r="N346" i="14" s="1"/>
  <c r="Q345" i="14"/>
  <c r="P345" i="14"/>
  <c r="N345" i="14"/>
  <c r="M345" i="14"/>
  <c r="L345" i="14"/>
  <c r="P344" i="14"/>
  <c r="N344" i="14"/>
  <c r="L344" i="14"/>
  <c r="Q344" i="14" s="1"/>
  <c r="P343" i="14"/>
  <c r="L343" i="14"/>
  <c r="Q343" i="14" s="1"/>
  <c r="Q342" i="14"/>
  <c r="P342" i="14"/>
  <c r="L342" i="14"/>
  <c r="N342" i="14" s="1"/>
  <c r="Q341" i="14"/>
  <c r="P341" i="14"/>
  <c r="N341" i="14"/>
  <c r="M341" i="14"/>
  <c r="L341" i="14"/>
  <c r="P340" i="14"/>
  <c r="N340" i="14"/>
  <c r="L340" i="14"/>
  <c r="Q340" i="14" s="1"/>
  <c r="P339" i="14"/>
  <c r="L339" i="14"/>
  <c r="Q339" i="14" s="1"/>
  <c r="Q338" i="14"/>
  <c r="P338" i="14"/>
  <c r="L338" i="14"/>
  <c r="N338" i="14" s="1"/>
  <c r="L337" i="14"/>
  <c r="P336" i="14"/>
  <c r="N336" i="14"/>
  <c r="L336" i="14"/>
  <c r="Q336" i="14" s="1"/>
  <c r="P335" i="14"/>
  <c r="L335" i="14"/>
  <c r="Q335" i="14" s="1"/>
  <c r="Q334" i="14"/>
  <c r="P334" i="14"/>
  <c r="L334" i="14"/>
  <c r="N334" i="14" s="1"/>
  <c r="Q333" i="14"/>
  <c r="P333" i="14"/>
  <c r="N333" i="14"/>
  <c r="M333" i="14"/>
  <c r="L333" i="14"/>
  <c r="P332" i="14"/>
  <c r="N332" i="14"/>
  <c r="L332" i="14"/>
  <c r="Q332" i="14" s="1"/>
  <c r="P331" i="14"/>
  <c r="L331" i="14"/>
  <c r="Q331" i="14" s="1"/>
  <c r="Q330" i="14"/>
  <c r="P330" i="14"/>
  <c r="P329" i="14" s="1"/>
  <c r="L330" i="14"/>
  <c r="N330" i="14" s="1"/>
  <c r="L329" i="14"/>
  <c r="L328" i="14"/>
  <c r="P327" i="14"/>
  <c r="L327" i="14"/>
  <c r="Q327" i="14" s="1"/>
  <c r="Q326" i="14"/>
  <c r="P326" i="14"/>
  <c r="L326" i="14"/>
  <c r="N326" i="14" s="1"/>
  <c r="Q325" i="14"/>
  <c r="P325" i="14"/>
  <c r="N325" i="14"/>
  <c r="M325" i="14"/>
  <c r="L325" i="14"/>
  <c r="P324" i="14"/>
  <c r="N324" i="14"/>
  <c r="L324" i="14"/>
  <c r="Q324" i="14" s="1"/>
  <c r="P323" i="14"/>
  <c r="L323" i="14"/>
  <c r="Q323" i="14" s="1"/>
  <c r="Q322" i="14"/>
  <c r="P322" i="14"/>
  <c r="L322" i="14"/>
  <c r="N322" i="14" s="1"/>
  <c r="Q321" i="14"/>
  <c r="P321" i="14"/>
  <c r="N321" i="14"/>
  <c r="M321" i="14"/>
  <c r="L321" i="14"/>
  <c r="P320" i="14"/>
  <c r="N320" i="14"/>
  <c r="L320" i="14"/>
  <c r="Q320" i="14" s="1"/>
  <c r="P319" i="14"/>
  <c r="L319" i="14"/>
  <c r="Q319" i="14" s="1"/>
  <c r="Q318" i="14"/>
  <c r="P318" i="14"/>
  <c r="L318" i="14"/>
  <c r="N318" i="14" s="1"/>
  <c r="L317" i="14"/>
  <c r="P316" i="14"/>
  <c r="P315" i="14" s="1"/>
  <c r="N316" i="14"/>
  <c r="N315" i="14" s="1"/>
  <c r="L316" i="14"/>
  <c r="Q316" i="14" s="1"/>
  <c r="L315" i="14"/>
  <c r="Q314" i="14"/>
  <c r="P314" i="14"/>
  <c r="L314" i="14"/>
  <c r="N314" i="14" s="1"/>
  <c r="Q313" i="14"/>
  <c r="P313" i="14"/>
  <c r="N313" i="14"/>
  <c r="M313" i="14"/>
  <c r="L313" i="14"/>
  <c r="P312" i="14"/>
  <c r="N312" i="14"/>
  <c r="L312" i="14"/>
  <c r="Q312" i="14" s="1"/>
  <c r="P311" i="14"/>
  <c r="L311" i="14"/>
  <c r="Q311" i="14" s="1"/>
  <c r="Q310" i="14"/>
  <c r="P310" i="14"/>
  <c r="L310" i="14"/>
  <c r="N310" i="14" s="1"/>
  <c r="Q309" i="14"/>
  <c r="P309" i="14"/>
  <c r="N309" i="14"/>
  <c r="M309" i="14"/>
  <c r="L309" i="14"/>
  <c r="P308" i="14"/>
  <c r="P307" i="14" s="1"/>
  <c r="N308" i="14"/>
  <c r="L308" i="14"/>
  <c r="Q308" i="14" s="1"/>
  <c r="L307" i="14"/>
  <c r="Q306" i="14"/>
  <c r="P306" i="14"/>
  <c r="L306" i="14"/>
  <c r="N306" i="14" s="1"/>
  <c r="Q305" i="14"/>
  <c r="P305" i="14"/>
  <c r="N305" i="14"/>
  <c r="M305" i="14"/>
  <c r="L305" i="14"/>
  <c r="P304" i="14"/>
  <c r="N304" i="14"/>
  <c r="L304" i="14"/>
  <c r="Q304" i="14" s="1"/>
  <c r="P303" i="14"/>
  <c r="L303" i="14"/>
  <c r="Q303" i="14" s="1"/>
  <c r="Q302" i="14"/>
  <c r="P302" i="14"/>
  <c r="L302" i="14"/>
  <c r="N302" i="14" s="1"/>
  <c r="Q301" i="14"/>
  <c r="P301" i="14"/>
  <c r="N301" i="14"/>
  <c r="M301" i="14"/>
  <c r="L301" i="14"/>
  <c r="P300" i="14"/>
  <c r="N300" i="14"/>
  <c r="L300" i="14"/>
  <c r="Q300" i="14" s="1"/>
  <c r="P299" i="14"/>
  <c r="L299" i="14"/>
  <c r="Q299" i="14" s="1"/>
  <c r="Q298" i="14"/>
  <c r="P298" i="14"/>
  <c r="L298" i="14"/>
  <c r="N298" i="14" s="1"/>
  <c r="Q297" i="14"/>
  <c r="Q296" i="14" s="1"/>
  <c r="P297" i="14"/>
  <c r="N297" i="14"/>
  <c r="M297" i="14"/>
  <c r="L297" i="14"/>
  <c r="L296" i="14"/>
  <c r="P295" i="14"/>
  <c r="L295" i="14"/>
  <c r="Q295" i="14" s="1"/>
  <c r="Q294" i="14"/>
  <c r="P294" i="14"/>
  <c r="L294" i="14"/>
  <c r="N294" i="14" s="1"/>
  <c r="Q293" i="14"/>
  <c r="P293" i="14"/>
  <c r="N293" i="14"/>
  <c r="M293" i="14"/>
  <c r="L293" i="14"/>
  <c r="P292" i="14"/>
  <c r="N292" i="14"/>
  <c r="L292" i="14"/>
  <c r="Q292" i="14" s="1"/>
  <c r="L291" i="14"/>
  <c r="Q290" i="14"/>
  <c r="P290" i="14"/>
  <c r="L290" i="14"/>
  <c r="N290" i="14" s="1"/>
  <c r="Q289" i="14"/>
  <c r="P289" i="14"/>
  <c r="N289" i="14"/>
  <c r="M289" i="14"/>
  <c r="L289" i="14"/>
  <c r="P288" i="14"/>
  <c r="N288" i="14"/>
  <c r="L288" i="14"/>
  <c r="Q288" i="14" s="1"/>
  <c r="P287" i="14"/>
  <c r="L287" i="14"/>
  <c r="Q287" i="14" s="1"/>
  <c r="Q286" i="14"/>
  <c r="P286" i="14"/>
  <c r="L286" i="14"/>
  <c r="N286" i="14" s="1"/>
  <c r="Q285" i="14"/>
  <c r="P285" i="14"/>
  <c r="N285" i="14"/>
  <c r="M285" i="14"/>
  <c r="L285" i="14"/>
  <c r="P284" i="14"/>
  <c r="N284" i="14"/>
  <c r="L284" i="14"/>
  <c r="Q284" i="14" s="1"/>
  <c r="P283" i="14"/>
  <c r="L283" i="14"/>
  <c r="Q283" i="14" s="1"/>
  <c r="Q282" i="14"/>
  <c r="P282" i="14"/>
  <c r="L282" i="14"/>
  <c r="N282" i="14" s="1"/>
  <c r="Q281" i="14"/>
  <c r="P281" i="14"/>
  <c r="N281" i="14"/>
  <c r="M281" i="14"/>
  <c r="L281" i="14"/>
  <c r="P280" i="14"/>
  <c r="N280" i="14"/>
  <c r="L280" i="14"/>
  <c r="Q280" i="14" s="1"/>
  <c r="P279" i="14"/>
  <c r="L279" i="14"/>
  <c r="Q279" i="14" s="1"/>
  <c r="Q278" i="14"/>
  <c r="P278" i="14"/>
  <c r="L278" i="14"/>
  <c r="N278" i="14" s="1"/>
  <c r="Q277" i="14"/>
  <c r="P277" i="14"/>
  <c r="N277" i="14"/>
  <c r="M277" i="14"/>
  <c r="L277" i="14"/>
  <c r="P276" i="14"/>
  <c r="N276" i="14"/>
  <c r="L276" i="14"/>
  <c r="Q276" i="14" s="1"/>
  <c r="P275" i="14"/>
  <c r="L275" i="14"/>
  <c r="Q275" i="14" s="1"/>
  <c r="Q274" i="14"/>
  <c r="P274" i="14"/>
  <c r="L274" i="14"/>
  <c r="N274" i="14" s="1"/>
  <c r="Q273" i="14"/>
  <c r="P273" i="14"/>
  <c r="N273" i="14"/>
  <c r="M273" i="14"/>
  <c r="L273" i="14"/>
  <c r="P272" i="14"/>
  <c r="N272" i="14"/>
  <c r="L272" i="14"/>
  <c r="Q272" i="14" s="1"/>
  <c r="P271" i="14"/>
  <c r="L271" i="14"/>
  <c r="Q271" i="14" s="1"/>
  <c r="Q270" i="14"/>
  <c r="P270" i="14"/>
  <c r="L270" i="14"/>
  <c r="N270" i="14" s="1"/>
  <c r="Q269" i="14"/>
  <c r="P269" i="14"/>
  <c r="N269" i="14"/>
  <c r="M269" i="14"/>
  <c r="L269" i="14"/>
  <c r="P268" i="14"/>
  <c r="N268" i="14"/>
  <c r="L268" i="14"/>
  <c r="Q268" i="14" s="1"/>
  <c r="P267" i="14"/>
  <c r="L267" i="14"/>
  <c r="Q267" i="14" s="1"/>
  <c r="Q266" i="14"/>
  <c r="P266" i="14"/>
  <c r="L266" i="14"/>
  <c r="N266" i="14" s="1"/>
  <c r="Q265" i="14"/>
  <c r="P265" i="14"/>
  <c r="N265" i="14"/>
  <c r="M265" i="14"/>
  <c r="L265" i="14"/>
  <c r="P264" i="14"/>
  <c r="N264" i="14"/>
  <c r="L264" i="14"/>
  <c r="Q264" i="14" s="1"/>
  <c r="P263" i="14"/>
  <c r="L263" i="14"/>
  <c r="Q263" i="14" s="1"/>
  <c r="Q262" i="14"/>
  <c r="P262" i="14"/>
  <c r="L262" i="14"/>
  <c r="N262" i="14" s="1"/>
  <c r="Q261" i="14"/>
  <c r="P261" i="14"/>
  <c r="N261" i="14"/>
  <c r="M261" i="14"/>
  <c r="L261" i="14"/>
  <c r="P260" i="14"/>
  <c r="N260" i="14"/>
  <c r="L260" i="14"/>
  <c r="Q260" i="14" s="1"/>
  <c r="P259" i="14"/>
  <c r="L259" i="14"/>
  <c r="Q259" i="14" s="1"/>
  <c r="Q258" i="14"/>
  <c r="P258" i="14"/>
  <c r="L258" i="14"/>
  <c r="N258" i="14" s="1"/>
  <c r="Q257" i="14"/>
  <c r="P257" i="14"/>
  <c r="N257" i="14"/>
  <c r="M257" i="14"/>
  <c r="L257" i="14"/>
  <c r="P256" i="14"/>
  <c r="N256" i="14"/>
  <c r="L256" i="14"/>
  <c r="Q256" i="14" s="1"/>
  <c r="L255" i="14"/>
  <c r="Q254" i="14"/>
  <c r="P254" i="14"/>
  <c r="L254" i="14"/>
  <c r="N254" i="14" s="1"/>
  <c r="Q253" i="14"/>
  <c r="P253" i="14"/>
  <c r="N253" i="14"/>
  <c r="M253" i="14"/>
  <c r="L253" i="14"/>
  <c r="P252" i="14"/>
  <c r="N252" i="14"/>
  <c r="L252" i="14"/>
  <c r="Q252" i="14" s="1"/>
  <c r="P251" i="14"/>
  <c r="L251" i="14"/>
  <c r="Q251" i="14" s="1"/>
  <c r="Q250" i="14"/>
  <c r="P250" i="14"/>
  <c r="L250" i="14"/>
  <c r="N250" i="14" s="1"/>
  <c r="Q249" i="14"/>
  <c r="P249" i="14"/>
  <c r="N249" i="14"/>
  <c r="M249" i="14"/>
  <c r="L249" i="14"/>
  <c r="P248" i="14"/>
  <c r="N248" i="14"/>
  <c r="L248" i="14"/>
  <c r="Q248" i="14" s="1"/>
  <c r="P247" i="14"/>
  <c r="L247" i="14"/>
  <c r="Q247" i="14" s="1"/>
  <c r="Q246" i="14"/>
  <c r="P246" i="14"/>
  <c r="L246" i="14"/>
  <c r="N246" i="14" s="1"/>
  <c r="Q245" i="14"/>
  <c r="P245" i="14"/>
  <c r="N245" i="14"/>
  <c r="M245" i="14"/>
  <c r="L245" i="14"/>
  <c r="P244" i="14"/>
  <c r="N244" i="14"/>
  <c r="L244" i="14"/>
  <c r="Q244" i="14" s="1"/>
  <c r="P243" i="14"/>
  <c r="L243" i="14"/>
  <c r="Q243" i="14" s="1"/>
  <c r="Q242" i="14"/>
  <c r="P242" i="14"/>
  <c r="L242" i="14"/>
  <c r="N242" i="14" s="1"/>
  <c r="Q241" i="14"/>
  <c r="Q240" i="14" s="1"/>
  <c r="P241" i="14"/>
  <c r="N241" i="14"/>
  <c r="M241" i="14"/>
  <c r="L241" i="14"/>
  <c r="L240" i="14"/>
  <c r="P239" i="14"/>
  <c r="L239" i="14"/>
  <c r="Q239" i="14" s="1"/>
  <c r="Q238" i="14"/>
  <c r="P238" i="14"/>
  <c r="L238" i="14"/>
  <c r="N238" i="14" s="1"/>
  <c r="Q237" i="14"/>
  <c r="P237" i="14"/>
  <c r="N237" i="14"/>
  <c r="M237" i="14"/>
  <c r="L237" i="14"/>
  <c r="P236" i="14"/>
  <c r="N236" i="14"/>
  <c r="L236" i="14"/>
  <c r="Q236" i="14" s="1"/>
  <c r="P235" i="14"/>
  <c r="L235" i="14"/>
  <c r="Q235" i="14" s="1"/>
  <c r="Q234" i="14"/>
  <c r="P234" i="14"/>
  <c r="P226" i="14" s="1"/>
  <c r="L234" i="14"/>
  <c r="N234" i="14" s="1"/>
  <c r="Q233" i="14"/>
  <c r="P233" i="14"/>
  <c r="N233" i="14"/>
  <c r="M233" i="14"/>
  <c r="L233" i="14"/>
  <c r="P232" i="14"/>
  <c r="N232" i="14"/>
  <c r="L232" i="14"/>
  <c r="Q232" i="14" s="1"/>
  <c r="P231" i="14"/>
  <c r="L231" i="14"/>
  <c r="Q231" i="14" s="1"/>
  <c r="Q230" i="14"/>
  <c r="P230" i="14"/>
  <c r="L230" i="14"/>
  <c r="N230" i="14" s="1"/>
  <c r="Q229" i="14"/>
  <c r="P229" i="14"/>
  <c r="N229" i="14"/>
  <c r="M229" i="14"/>
  <c r="L229" i="14"/>
  <c r="P228" i="14"/>
  <c r="N228" i="14"/>
  <c r="L228" i="14"/>
  <c r="Q228" i="14" s="1"/>
  <c r="P227" i="14"/>
  <c r="L227" i="14"/>
  <c r="Q227" i="14" s="1"/>
  <c r="L226" i="14"/>
  <c r="L225" i="14"/>
  <c r="P224" i="14"/>
  <c r="N224" i="14"/>
  <c r="L224" i="14"/>
  <c r="Q224" i="14" s="1"/>
  <c r="P223" i="14"/>
  <c r="L223" i="14"/>
  <c r="Q223" i="14" s="1"/>
  <c r="P222" i="14"/>
  <c r="L222" i="14"/>
  <c r="N221" i="14"/>
  <c r="M221" i="14"/>
  <c r="L221" i="14"/>
  <c r="L220" i="14"/>
  <c r="N220" i="14" s="1"/>
  <c r="N219" i="14"/>
  <c r="M219" i="14"/>
  <c r="L219" i="14"/>
  <c r="E219" i="14"/>
  <c r="L218" i="14"/>
  <c r="Q217" i="14"/>
  <c r="N217" i="14"/>
  <c r="M217" i="14"/>
  <c r="L217" i="14"/>
  <c r="E217" i="14"/>
  <c r="P217" i="14" s="1"/>
  <c r="N216" i="14"/>
  <c r="M216" i="14"/>
  <c r="L216" i="14"/>
  <c r="L215" i="14"/>
  <c r="P214" i="14"/>
  <c r="N214" i="14"/>
  <c r="L214" i="14"/>
  <c r="Q214" i="14" s="1"/>
  <c r="P213" i="14"/>
  <c r="L213" i="14"/>
  <c r="Q212" i="14"/>
  <c r="P212" i="14"/>
  <c r="L212" i="14"/>
  <c r="N212" i="14" s="1"/>
  <c r="Q211" i="14"/>
  <c r="P211" i="14"/>
  <c r="N211" i="14"/>
  <c r="M211" i="14"/>
  <c r="L211" i="14"/>
  <c r="P210" i="14"/>
  <c r="N210" i="14"/>
  <c r="L210" i="14"/>
  <c r="Q210" i="14" s="1"/>
  <c r="P209" i="14"/>
  <c r="L209" i="14"/>
  <c r="Q208" i="14"/>
  <c r="P208" i="14"/>
  <c r="L208" i="14"/>
  <c r="N208" i="14" s="1"/>
  <c r="Q207" i="14"/>
  <c r="P207" i="14"/>
  <c r="N207" i="14"/>
  <c r="M207" i="14"/>
  <c r="L207" i="14"/>
  <c r="P206" i="14"/>
  <c r="N206" i="14"/>
  <c r="L206" i="14"/>
  <c r="Q206" i="14" s="1"/>
  <c r="L205" i="14"/>
  <c r="Q204" i="14"/>
  <c r="P204" i="14"/>
  <c r="L204" i="14"/>
  <c r="N204" i="14" s="1"/>
  <c r="Q203" i="14"/>
  <c r="P203" i="14"/>
  <c r="N203" i="14"/>
  <c r="M203" i="14"/>
  <c r="L203" i="14"/>
  <c r="P202" i="14"/>
  <c r="N202" i="14"/>
  <c r="L202" i="14"/>
  <c r="Q202" i="14" s="1"/>
  <c r="P201" i="14"/>
  <c r="L201" i="14"/>
  <c r="Q200" i="14"/>
  <c r="P200" i="14"/>
  <c r="L200" i="14"/>
  <c r="N200" i="14" s="1"/>
  <c r="Q199" i="14"/>
  <c r="P199" i="14"/>
  <c r="N199" i="14"/>
  <c r="M199" i="14"/>
  <c r="L199" i="14"/>
  <c r="P198" i="14"/>
  <c r="N198" i="14"/>
  <c r="L198" i="14"/>
  <c r="Q198" i="14" s="1"/>
  <c r="P197" i="14"/>
  <c r="L197" i="14"/>
  <c r="Q196" i="14"/>
  <c r="P196" i="14"/>
  <c r="L196" i="14"/>
  <c r="N196" i="14" s="1"/>
  <c r="Q195" i="14"/>
  <c r="P195" i="14"/>
  <c r="N195" i="14"/>
  <c r="M195" i="14"/>
  <c r="L195" i="14"/>
  <c r="P194" i="14"/>
  <c r="N194" i="14"/>
  <c r="L194" i="14"/>
  <c r="Q194" i="14" s="1"/>
  <c r="P193" i="14"/>
  <c r="L193" i="14"/>
  <c r="Q192" i="14"/>
  <c r="P192" i="14"/>
  <c r="L192" i="14"/>
  <c r="N192" i="14" s="1"/>
  <c r="Q191" i="14"/>
  <c r="P191" i="14"/>
  <c r="N191" i="14"/>
  <c r="M191" i="14"/>
  <c r="L191" i="14"/>
  <c r="P190" i="14"/>
  <c r="N190" i="14"/>
  <c r="L190" i="14"/>
  <c r="Q190" i="14" s="1"/>
  <c r="P189" i="14"/>
  <c r="L189" i="14"/>
  <c r="Q188" i="14"/>
  <c r="P188" i="14"/>
  <c r="L188" i="14"/>
  <c r="N188" i="14" s="1"/>
  <c r="Q187" i="14"/>
  <c r="P187" i="14"/>
  <c r="N187" i="14"/>
  <c r="M187" i="14"/>
  <c r="L187" i="14"/>
  <c r="P186" i="14"/>
  <c r="N186" i="14"/>
  <c r="L186" i="14"/>
  <c r="Q186" i="14" s="1"/>
  <c r="P185" i="14"/>
  <c r="L185" i="14"/>
  <c r="Q184" i="14"/>
  <c r="P184" i="14"/>
  <c r="L184" i="14"/>
  <c r="N184" i="14" s="1"/>
  <c r="Q183" i="14"/>
  <c r="P183" i="14"/>
  <c r="N183" i="14"/>
  <c r="M183" i="14"/>
  <c r="L183" i="14"/>
  <c r="P182" i="14"/>
  <c r="N182" i="14"/>
  <c r="L182" i="14"/>
  <c r="Q182" i="14" s="1"/>
  <c r="P181" i="14"/>
  <c r="L181" i="14"/>
  <c r="Q180" i="14"/>
  <c r="P180" i="14"/>
  <c r="P179" i="14" s="1"/>
  <c r="L180" i="14"/>
  <c r="N180" i="14" s="1"/>
  <c r="L179" i="14"/>
  <c r="L178" i="14"/>
  <c r="P177" i="14"/>
  <c r="L177" i="14"/>
  <c r="Q176" i="14"/>
  <c r="P176" i="14"/>
  <c r="P175" i="14" s="1"/>
  <c r="L176" i="14"/>
  <c r="N176" i="14" s="1"/>
  <c r="L175" i="14"/>
  <c r="P174" i="14"/>
  <c r="N174" i="14"/>
  <c r="L174" i="14"/>
  <c r="Q174" i="14" s="1"/>
  <c r="P173" i="14"/>
  <c r="L173" i="14"/>
  <c r="Q172" i="14"/>
  <c r="P172" i="14"/>
  <c r="L172" i="14"/>
  <c r="N172" i="14" s="1"/>
  <c r="Q171" i="14"/>
  <c r="P171" i="14"/>
  <c r="N171" i="14"/>
  <c r="M171" i="14"/>
  <c r="L171" i="14"/>
  <c r="L170" i="14"/>
  <c r="P169" i="14"/>
  <c r="L169" i="14"/>
  <c r="Q168" i="14"/>
  <c r="P168" i="14"/>
  <c r="L168" i="14"/>
  <c r="N168" i="14" s="1"/>
  <c r="Q167" i="14"/>
  <c r="P167" i="14"/>
  <c r="N167" i="14"/>
  <c r="M167" i="14"/>
  <c r="L167" i="14"/>
  <c r="P166" i="14"/>
  <c r="N166" i="14"/>
  <c r="L166" i="14"/>
  <c r="Q166" i="14" s="1"/>
  <c r="L165" i="14"/>
  <c r="Q164" i="14"/>
  <c r="P164" i="14"/>
  <c r="L164" i="14"/>
  <c r="N164" i="14" s="1"/>
  <c r="Q163" i="14"/>
  <c r="P163" i="14"/>
  <c r="N163" i="14"/>
  <c r="M163" i="14"/>
  <c r="L163" i="14"/>
  <c r="P162" i="14"/>
  <c r="N162" i="14"/>
  <c r="L162" i="14"/>
  <c r="Q162" i="14" s="1"/>
  <c r="P161" i="14"/>
  <c r="L161" i="14"/>
  <c r="Q160" i="14"/>
  <c r="P160" i="14"/>
  <c r="P156" i="14" s="1"/>
  <c r="L160" i="14"/>
  <c r="N160" i="14" s="1"/>
  <c r="Q159" i="14"/>
  <c r="P159" i="14"/>
  <c r="N159" i="14"/>
  <c r="M159" i="14"/>
  <c r="L159" i="14"/>
  <c r="P158" i="14"/>
  <c r="N158" i="14"/>
  <c r="L158" i="14"/>
  <c r="Q158" i="14" s="1"/>
  <c r="P157" i="14"/>
  <c r="L157" i="14"/>
  <c r="L156" i="14"/>
  <c r="L155" i="14"/>
  <c r="P154" i="14"/>
  <c r="N154" i="14"/>
  <c r="L154" i="14"/>
  <c r="Q154" i="14" s="1"/>
  <c r="P153" i="14"/>
  <c r="L153" i="14"/>
  <c r="Q152" i="14"/>
  <c r="P152" i="14"/>
  <c r="L152" i="14"/>
  <c r="N152" i="14" s="1"/>
  <c r="Q151" i="14"/>
  <c r="P151" i="14"/>
  <c r="N151" i="14"/>
  <c r="M151" i="14"/>
  <c r="L151" i="14"/>
  <c r="N150" i="14"/>
  <c r="L150" i="14"/>
  <c r="M150" i="14" s="1"/>
  <c r="L149" i="14"/>
  <c r="E149" i="14"/>
  <c r="L148" i="14"/>
  <c r="Q147" i="14"/>
  <c r="P147" i="14"/>
  <c r="N147" i="14"/>
  <c r="L147" i="14"/>
  <c r="M147" i="14" s="1"/>
  <c r="Q146" i="14"/>
  <c r="P146" i="14"/>
  <c r="M146" i="14"/>
  <c r="L146" i="14"/>
  <c r="N146" i="14" s="1"/>
  <c r="P145" i="14"/>
  <c r="N145" i="14"/>
  <c r="M145" i="14"/>
  <c r="L145" i="14"/>
  <c r="Q145" i="14" s="1"/>
  <c r="P144" i="14"/>
  <c r="L144" i="14"/>
  <c r="Q144" i="14" s="1"/>
  <c r="N143" i="14"/>
  <c r="L143" i="14"/>
  <c r="M143" i="14" s="1"/>
  <c r="Q142" i="14"/>
  <c r="P142" i="14"/>
  <c r="N142" i="14"/>
  <c r="M142" i="14"/>
  <c r="L142" i="14"/>
  <c r="E142" i="14"/>
  <c r="L141" i="14"/>
  <c r="L140" i="14"/>
  <c r="L139" i="14"/>
  <c r="Q138" i="14"/>
  <c r="P138" i="14"/>
  <c r="N138" i="14"/>
  <c r="L138" i="14"/>
  <c r="M138" i="14" s="1"/>
  <c r="P137" i="14"/>
  <c r="M137" i="14"/>
  <c r="L137" i="14"/>
  <c r="N137" i="14" s="1"/>
  <c r="P136" i="14"/>
  <c r="N136" i="14"/>
  <c r="M136" i="14"/>
  <c r="L136" i="14"/>
  <c r="Q136" i="14" s="1"/>
  <c r="P135" i="14"/>
  <c r="L135" i="14"/>
  <c r="Q135" i="14" s="1"/>
  <c r="F135" i="14"/>
  <c r="Q134" i="14"/>
  <c r="P134" i="14"/>
  <c r="L134" i="14"/>
  <c r="G134" i="14"/>
  <c r="N134" i="14" s="1"/>
  <c r="F134" i="14"/>
  <c r="M134" i="14" s="1"/>
  <c r="Q133" i="14"/>
  <c r="P133" i="14"/>
  <c r="L133" i="14"/>
  <c r="N133" i="14" s="1"/>
  <c r="Q132" i="14"/>
  <c r="P132" i="14"/>
  <c r="P131" i="14" s="1"/>
  <c r="N132" i="14"/>
  <c r="M132" i="14"/>
  <c r="L132" i="14"/>
  <c r="L131" i="14"/>
  <c r="P130" i="14"/>
  <c r="L130" i="14"/>
  <c r="Q130" i="14" s="1"/>
  <c r="P129" i="14"/>
  <c r="L129" i="14"/>
  <c r="Q129" i="14" s="1"/>
  <c r="F129" i="14"/>
  <c r="Q128" i="14"/>
  <c r="P128" i="14"/>
  <c r="L128" i="14"/>
  <c r="G128" i="14"/>
  <c r="N128" i="14" s="1"/>
  <c r="F128" i="14"/>
  <c r="M128" i="14" s="1"/>
  <c r="Q127" i="14"/>
  <c r="P127" i="14"/>
  <c r="L127" i="14"/>
  <c r="M127" i="14" s="1"/>
  <c r="G127" i="14"/>
  <c r="N127" i="14" s="1"/>
  <c r="Q126" i="14"/>
  <c r="P126" i="14"/>
  <c r="L126" i="14"/>
  <c r="Q125" i="14"/>
  <c r="P125" i="14"/>
  <c r="N125" i="14"/>
  <c r="M125" i="14"/>
  <c r="L125" i="14"/>
  <c r="G125" i="14"/>
  <c r="F125" i="14"/>
  <c r="Q124" i="14"/>
  <c r="P124" i="14"/>
  <c r="N124" i="14"/>
  <c r="M124" i="14"/>
  <c r="L124" i="14"/>
  <c r="G124" i="14"/>
  <c r="P123" i="14"/>
  <c r="L123" i="14"/>
  <c r="G123" i="14"/>
  <c r="P122" i="14"/>
  <c r="L122" i="14"/>
  <c r="Q122" i="14" s="1"/>
  <c r="P121" i="14"/>
  <c r="L121" i="14"/>
  <c r="Q121" i="14" s="1"/>
  <c r="L120" i="14"/>
  <c r="Q119" i="14"/>
  <c r="P119" i="14"/>
  <c r="L119" i="14"/>
  <c r="F119" i="14"/>
  <c r="Q118" i="14"/>
  <c r="P118" i="14"/>
  <c r="L118" i="14"/>
  <c r="Q117" i="14"/>
  <c r="P117" i="14"/>
  <c r="L117" i="14"/>
  <c r="P116" i="14"/>
  <c r="N116" i="14"/>
  <c r="M116" i="14"/>
  <c r="L116" i="14"/>
  <c r="Q116" i="14" s="1"/>
  <c r="F116" i="14"/>
  <c r="G116" i="14" s="1"/>
  <c r="P115" i="14"/>
  <c r="L115" i="14"/>
  <c r="Q115" i="14" s="1"/>
  <c r="F115" i="14"/>
  <c r="G115" i="14" s="1"/>
  <c r="N115" i="14" s="1"/>
  <c r="P114" i="14"/>
  <c r="N114" i="14"/>
  <c r="M114" i="14"/>
  <c r="L114" i="14"/>
  <c r="Q114" i="14" s="1"/>
  <c r="F114" i="14"/>
  <c r="G114" i="14" s="1"/>
  <c r="P113" i="14"/>
  <c r="L113" i="14"/>
  <c r="Q113" i="14" s="1"/>
  <c r="G113" i="14"/>
  <c r="N113" i="14" s="1"/>
  <c r="F113" i="14"/>
  <c r="P112" i="14"/>
  <c r="M112" i="14"/>
  <c r="L112" i="14"/>
  <c r="Q112" i="14" s="1"/>
  <c r="G112" i="14"/>
  <c r="N112" i="14" s="1"/>
  <c r="F112" i="14"/>
  <c r="P111" i="14"/>
  <c r="L111" i="14"/>
  <c r="Q111" i="14" s="1"/>
  <c r="G111" i="14"/>
  <c r="F111" i="14"/>
  <c r="P110" i="14"/>
  <c r="L110" i="14"/>
  <c r="Q110" i="14" s="1"/>
  <c r="F110" i="14"/>
  <c r="M110" i="14" s="1"/>
  <c r="Q109" i="14"/>
  <c r="P109" i="14"/>
  <c r="L109" i="14"/>
  <c r="G109" i="14"/>
  <c r="N109" i="14" s="1"/>
  <c r="F109" i="14"/>
  <c r="M109" i="14" s="1"/>
  <c r="Q108" i="14"/>
  <c r="P108" i="14"/>
  <c r="P107" i="14" s="1"/>
  <c r="L108" i="14"/>
  <c r="L107" i="14"/>
  <c r="P106" i="14"/>
  <c r="N106" i="14"/>
  <c r="L106" i="14"/>
  <c r="Q106" i="14" s="1"/>
  <c r="F106" i="14"/>
  <c r="G106" i="14" s="1"/>
  <c r="Q105" i="14"/>
  <c r="P105" i="14"/>
  <c r="L105" i="14"/>
  <c r="P104" i="14"/>
  <c r="L104" i="14"/>
  <c r="Q104" i="14" s="1"/>
  <c r="G104" i="14"/>
  <c r="N104" i="14" s="1"/>
  <c r="F104" i="14"/>
  <c r="P103" i="14"/>
  <c r="L103" i="14"/>
  <c r="Q103" i="14" s="1"/>
  <c r="G103" i="14"/>
  <c r="N103" i="14" s="1"/>
  <c r="F103" i="14"/>
  <c r="M103" i="14" s="1"/>
  <c r="P102" i="14"/>
  <c r="M102" i="14"/>
  <c r="L102" i="14"/>
  <c r="Q102" i="14" s="1"/>
  <c r="G102" i="14"/>
  <c r="N102" i="14" s="1"/>
  <c r="F102" i="14"/>
  <c r="Q101" i="14"/>
  <c r="P101" i="14"/>
  <c r="L101" i="14"/>
  <c r="P100" i="14"/>
  <c r="L100" i="14"/>
  <c r="G100" i="14"/>
  <c r="F100" i="14"/>
  <c r="P99" i="14"/>
  <c r="P95" i="14" s="1"/>
  <c r="M99" i="14"/>
  <c r="L99" i="14"/>
  <c r="Q99" i="14" s="1"/>
  <c r="F99" i="14"/>
  <c r="G99" i="14" s="1"/>
  <c r="N99" i="14" s="1"/>
  <c r="P98" i="14"/>
  <c r="L98" i="14"/>
  <c r="Q98" i="14" s="1"/>
  <c r="G98" i="14"/>
  <c r="N98" i="14" s="1"/>
  <c r="F98" i="14"/>
  <c r="P97" i="14"/>
  <c r="L97" i="14"/>
  <c r="Q97" i="14" s="1"/>
  <c r="G97" i="14"/>
  <c r="N97" i="14" s="1"/>
  <c r="F97" i="14"/>
  <c r="M97" i="14" s="1"/>
  <c r="Q96" i="14"/>
  <c r="P96" i="14"/>
  <c r="L96" i="14"/>
  <c r="L95" i="14"/>
  <c r="L94" i="14"/>
  <c r="P93" i="14"/>
  <c r="N93" i="14"/>
  <c r="M93" i="14"/>
  <c r="L93" i="14"/>
  <c r="Q93" i="14" s="1"/>
  <c r="P92" i="14"/>
  <c r="L92" i="14"/>
  <c r="Q92" i="14" s="1"/>
  <c r="P91" i="14"/>
  <c r="L91" i="14"/>
  <c r="Q91" i="14" s="1"/>
  <c r="Q90" i="14"/>
  <c r="P90" i="14"/>
  <c r="M90" i="14"/>
  <c r="L90" i="14"/>
  <c r="N90" i="14" s="1"/>
  <c r="P89" i="14"/>
  <c r="N89" i="14"/>
  <c r="M89" i="14"/>
  <c r="L89" i="14"/>
  <c r="Q89" i="14" s="1"/>
  <c r="P88" i="14"/>
  <c r="L88" i="14"/>
  <c r="Q88" i="14" s="1"/>
  <c r="P87" i="14"/>
  <c r="L87" i="14"/>
  <c r="Q87" i="14" s="1"/>
  <c r="Q86" i="14"/>
  <c r="P86" i="14"/>
  <c r="M86" i="14"/>
  <c r="L86" i="14"/>
  <c r="N86" i="14" s="1"/>
  <c r="P85" i="14"/>
  <c r="N85" i="14"/>
  <c r="M85" i="14"/>
  <c r="L85" i="14"/>
  <c r="Q85" i="14" s="1"/>
  <c r="P84" i="14"/>
  <c r="L84" i="14"/>
  <c r="Q84" i="14" s="1"/>
  <c r="L83" i="14"/>
  <c r="N83" i="14" s="1"/>
  <c r="E83" i="14"/>
  <c r="Q83" i="14" s="1"/>
  <c r="Q82" i="14"/>
  <c r="P82" i="14"/>
  <c r="N82" i="14"/>
  <c r="M82" i="14"/>
  <c r="L82" i="14"/>
  <c r="Q81" i="14"/>
  <c r="P81" i="14"/>
  <c r="N81" i="14"/>
  <c r="M81" i="14"/>
  <c r="L81" i="14"/>
  <c r="P80" i="14"/>
  <c r="M80" i="14"/>
  <c r="L80" i="14"/>
  <c r="Q80" i="14" s="1"/>
  <c r="L79" i="14"/>
  <c r="Q78" i="14"/>
  <c r="P78" i="14"/>
  <c r="N78" i="14"/>
  <c r="M78" i="14"/>
  <c r="L78" i="14"/>
  <c r="Q77" i="14"/>
  <c r="P77" i="14"/>
  <c r="N77" i="14"/>
  <c r="M77" i="14"/>
  <c r="L77" i="14"/>
  <c r="P76" i="14"/>
  <c r="M76" i="14"/>
  <c r="L76" i="14"/>
  <c r="Q76" i="14" s="1"/>
  <c r="Q75" i="14"/>
  <c r="P75" i="14"/>
  <c r="M75" i="14"/>
  <c r="L75" i="14"/>
  <c r="N75" i="14" s="1"/>
  <c r="Q74" i="14"/>
  <c r="P74" i="14"/>
  <c r="N74" i="14"/>
  <c r="M74" i="14"/>
  <c r="L74" i="14"/>
  <c r="Q73" i="14"/>
  <c r="P73" i="14"/>
  <c r="N73" i="14"/>
  <c r="M73" i="14"/>
  <c r="L73" i="14"/>
  <c r="P72" i="14"/>
  <c r="M72" i="14"/>
  <c r="L72" i="14"/>
  <c r="Q72" i="14" s="1"/>
  <c r="Q71" i="14"/>
  <c r="P71" i="14"/>
  <c r="M71" i="14"/>
  <c r="L71" i="14"/>
  <c r="N71" i="14" s="1"/>
  <c r="Q70" i="14"/>
  <c r="P70" i="14"/>
  <c r="N70" i="14"/>
  <c r="M70" i="14"/>
  <c r="L70" i="14"/>
  <c r="Q69" i="14"/>
  <c r="P69" i="14"/>
  <c r="N69" i="14"/>
  <c r="M69" i="14"/>
  <c r="L69" i="14"/>
  <c r="P68" i="14"/>
  <c r="N68" i="14"/>
  <c r="M68" i="14"/>
  <c r="L68" i="14"/>
  <c r="E68" i="14"/>
  <c r="Q68" i="14" s="1"/>
  <c r="P67" i="14"/>
  <c r="N67" i="14"/>
  <c r="L67" i="14"/>
  <c r="Q67" i="14" s="1"/>
  <c r="Q66" i="14"/>
  <c r="P66" i="14"/>
  <c r="N66" i="14"/>
  <c r="M66" i="14"/>
  <c r="L66" i="14"/>
  <c r="P65" i="14"/>
  <c r="P63" i="14" s="1"/>
  <c r="L65" i="14"/>
  <c r="N65" i="14" s="1"/>
  <c r="P64" i="14"/>
  <c r="L64" i="14"/>
  <c r="L63" i="14"/>
  <c r="L62" i="14"/>
  <c r="P61" i="14"/>
  <c r="L61" i="14"/>
  <c r="N61" i="14" s="1"/>
  <c r="P60" i="14"/>
  <c r="L60" i="14"/>
  <c r="P59" i="14"/>
  <c r="N59" i="14"/>
  <c r="L59" i="14"/>
  <c r="Q59" i="14" s="1"/>
  <c r="N58" i="14"/>
  <c r="M58" i="14"/>
  <c r="L58" i="14"/>
  <c r="E58" i="14"/>
  <c r="Q58" i="14" s="1"/>
  <c r="Q57" i="14"/>
  <c r="P57" i="14"/>
  <c r="M57" i="14"/>
  <c r="L57" i="14"/>
  <c r="N57" i="14" s="1"/>
  <c r="P56" i="14"/>
  <c r="N56" i="14"/>
  <c r="M56" i="14"/>
  <c r="L56" i="14"/>
  <c r="Q56" i="14" s="1"/>
  <c r="P55" i="14"/>
  <c r="L55" i="14"/>
  <c r="Q55" i="14" s="1"/>
  <c r="P54" i="14"/>
  <c r="L54" i="14"/>
  <c r="Q54" i="14" s="1"/>
  <c r="L53" i="14"/>
  <c r="L52" i="14"/>
  <c r="L51" i="14"/>
  <c r="N51" i="14" s="1"/>
  <c r="E51" i="14"/>
  <c r="Q51" i="14" s="1"/>
  <c r="Q50" i="14"/>
  <c r="P50" i="14"/>
  <c r="M50" i="14"/>
  <c r="L50" i="14"/>
  <c r="N50" i="14" s="1"/>
  <c r="Q49" i="14"/>
  <c r="P49" i="14"/>
  <c r="N49" i="14"/>
  <c r="M49" i="14"/>
  <c r="L49" i="14"/>
  <c r="Q48" i="14"/>
  <c r="P48" i="14"/>
  <c r="N48" i="14"/>
  <c r="M48" i="14"/>
  <c r="L48" i="14"/>
  <c r="P47" i="14"/>
  <c r="N47" i="14"/>
  <c r="M47" i="14"/>
  <c r="L47" i="14"/>
  <c r="Q47" i="14" s="1"/>
  <c r="Q46" i="14"/>
  <c r="P46" i="14"/>
  <c r="M46" i="14"/>
  <c r="L46" i="14"/>
  <c r="N46" i="14" s="1"/>
  <c r="Q45" i="14"/>
  <c r="P45" i="14"/>
  <c r="N45" i="14"/>
  <c r="M45" i="14"/>
  <c r="L45" i="14"/>
  <c r="Q44" i="14"/>
  <c r="P44" i="14"/>
  <c r="N44" i="14"/>
  <c r="M44" i="14"/>
  <c r="L44" i="14"/>
  <c r="L43" i="14"/>
  <c r="Q42" i="14"/>
  <c r="P42" i="14"/>
  <c r="M42" i="14"/>
  <c r="L42" i="14"/>
  <c r="N42" i="14" s="1"/>
  <c r="Q41" i="14"/>
  <c r="P41" i="14"/>
  <c r="N41" i="14"/>
  <c r="M41" i="14"/>
  <c r="L41" i="14"/>
  <c r="Q40" i="14"/>
  <c r="P40" i="14"/>
  <c r="N40" i="14"/>
  <c r="M40" i="14"/>
  <c r="L40" i="14"/>
  <c r="P39" i="14"/>
  <c r="N39" i="14"/>
  <c r="M39" i="14"/>
  <c r="L39" i="14"/>
  <c r="Q39" i="14" s="1"/>
  <c r="Q38" i="14"/>
  <c r="P38" i="14"/>
  <c r="M38" i="14"/>
  <c r="M35" i="14" s="1"/>
  <c r="L38" i="14"/>
  <c r="N38" i="14" s="1"/>
  <c r="Q37" i="14"/>
  <c r="P37" i="14"/>
  <c r="N37" i="14"/>
  <c r="M37" i="14"/>
  <c r="L37" i="14"/>
  <c r="Q36" i="14"/>
  <c r="P36" i="14"/>
  <c r="N36" i="14"/>
  <c r="M36" i="14"/>
  <c r="L36" i="14"/>
  <c r="P35" i="14"/>
  <c r="L35" i="14"/>
  <c r="Q34" i="14"/>
  <c r="P34" i="14"/>
  <c r="M34" i="14"/>
  <c r="L34" i="14"/>
  <c r="N34" i="14" s="1"/>
  <c r="Q33" i="14"/>
  <c r="P33" i="14"/>
  <c r="L33" i="14"/>
  <c r="Q32" i="14"/>
  <c r="P32" i="14"/>
  <c r="L32" i="14"/>
  <c r="P31" i="14"/>
  <c r="P30" i="14" s="1"/>
  <c r="L31" i="14"/>
  <c r="N31" i="14" s="1"/>
  <c r="L30" i="14"/>
  <c r="Q29" i="14"/>
  <c r="P29" i="14"/>
  <c r="M29" i="14"/>
  <c r="M28" i="14" s="1"/>
  <c r="L29" i="14"/>
  <c r="N29" i="14" s="1"/>
  <c r="Q28" i="14"/>
  <c r="P28" i="14"/>
  <c r="P11" i="14"/>
  <c r="T8" i="14"/>
  <c r="J655" i="13"/>
  <c r="I655" i="13"/>
  <c r="J654" i="13"/>
  <c r="I654" i="13"/>
  <c r="J653" i="13"/>
  <c r="I653" i="13"/>
  <c r="I652" i="13"/>
  <c r="J652" i="13" s="1"/>
  <c r="I651" i="13"/>
  <c r="J651" i="13" s="1"/>
  <c r="J650" i="13"/>
  <c r="I650" i="13"/>
  <c r="J649" i="13"/>
  <c r="I649" i="13"/>
  <c r="J648" i="13"/>
  <c r="I648" i="13"/>
  <c r="I647" i="13"/>
  <c r="I646" i="13"/>
  <c r="I656" i="13" s="1"/>
  <c r="I645" i="13"/>
  <c r="G641" i="13"/>
  <c r="R621" i="13"/>
  <c r="M600" i="13"/>
  <c r="M599" i="13"/>
  <c r="P590" i="13"/>
  <c r="L590" i="13"/>
  <c r="Q590" i="13" s="1"/>
  <c r="Q589" i="13"/>
  <c r="Q588" i="13" s="1"/>
  <c r="P589" i="13"/>
  <c r="P588" i="13" s="1"/>
  <c r="M589" i="13"/>
  <c r="L589" i="13"/>
  <c r="N589" i="13" s="1"/>
  <c r="L588" i="13"/>
  <c r="P587" i="13"/>
  <c r="L587" i="13"/>
  <c r="Q587" i="13" s="1"/>
  <c r="P586" i="13"/>
  <c r="L586" i="13"/>
  <c r="Q586" i="13" s="1"/>
  <c r="Q585" i="13"/>
  <c r="P585" i="13"/>
  <c r="M585" i="13"/>
  <c r="L585" i="13"/>
  <c r="N585" i="13" s="1"/>
  <c r="P584" i="13"/>
  <c r="N584" i="13"/>
  <c r="M584" i="13"/>
  <c r="L584" i="13"/>
  <c r="Q584" i="13" s="1"/>
  <c r="P583" i="13"/>
  <c r="L583" i="13"/>
  <c r="Q583" i="13" s="1"/>
  <c r="P582" i="13"/>
  <c r="L582" i="13"/>
  <c r="Q582" i="13" s="1"/>
  <c r="Q581" i="13"/>
  <c r="P581" i="13"/>
  <c r="M581" i="13"/>
  <c r="L581" i="13"/>
  <c r="N581" i="13" s="1"/>
  <c r="P580" i="13"/>
  <c r="N580" i="13"/>
  <c r="M580" i="13"/>
  <c r="L580" i="13"/>
  <c r="Q580" i="13" s="1"/>
  <c r="P579" i="13"/>
  <c r="L579" i="13"/>
  <c r="Q579" i="13" s="1"/>
  <c r="P578" i="13"/>
  <c r="L578" i="13"/>
  <c r="Q578" i="13" s="1"/>
  <c r="Q577" i="13"/>
  <c r="P577" i="13"/>
  <c r="M577" i="13"/>
  <c r="L577" i="13"/>
  <c r="N577" i="13" s="1"/>
  <c r="P576" i="13"/>
  <c r="N576" i="13"/>
  <c r="M576" i="13"/>
  <c r="L576" i="13"/>
  <c r="Q576" i="13" s="1"/>
  <c r="P575" i="13"/>
  <c r="L575" i="13"/>
  <c r="Q575" i="13" s="1"/>
  <c r="P574" i="13"/>
  <c r="L574" i="13"/>
  <c r="Q574" i="13" s="1"/>
  <c r="Q573" i="13"/>
  <c r="P573" i="13"/>
  <c r="M573" i="13"/>
  <c r="L573" i="13"/>
  <c r="N573" i="13" s="1"/>
  <c r="P572" i="13"/>
  <c r="N572" i="13"/>
  <c r="M572" i="13"/>
  <c r="L572" i="13"/>
  <c r="Q572" i="13" s="1"/>
  <c r="P571" i="13"/>
  <c r="L571" i="13"/>
  <c r="Q571" i="13" s="1"/>
  <c r="P570" i="13"/>
  <c r="L570" i="13"/>
  <c r="Q570" i="13" s="1"/>
  <c r="Q569" i="13"/>
  <c r="P569" i="13"/>
  <c r="M569" i="13"/>
  <c r="L569" i="13"/>
  <c r="N569" i="13" s="1"/>
  <c r="P568" i="13"/>
  <c r="N568" i="13"/>
  <c r="M568" i="13"/>
  <c r="L568" i="13"/>
  <c r="Q568" i="13" s="1"/>
  <c r="E568" i="13"/>
  <c r="P567" i="13"/>
  <c r="L567" i="13"/>
  <c r="Q567" i="13" s="1"/>
  <c r="L566" i="13"/>
  <c r="Q565" i="13"/>
  <c r="P565" i="13"/>
  <c r="N565" i="13"/>
  <c r="M565" i="13"/>
  <c r="L565" i="13"/>
  <c r="Q564" i="13"/>
  <c r="P564" i="13"/>
  <c r="N564" i="13"/>
  <c r="M564" i="13"/>
  <c r="L564" i="13"/>
  <c r="P563" i="13"/>
  <c r="L563" i="13"/>
  <c r="Q563" i="13" s="1"/>
  <c r="Q562" i="13"/>
  <c r="P562" i="13"/>
  <c r="M562" i="13"/>
  <c r="L562" i="13"/>
  <c r="N562" i="13" s="1"/>
  <c r="Q561" i="13"/>
  <c r="P561" i="13"/>
  <c r="N561" i="13"/>
  <c r="M561" i="13"/>
  <c r="L561" i="13"/>
  <c r="Q560" i="13"/>
  <c r="P560" i="13"/>
  <c r="N560" i="13"/>
  <c r="M560" i="13"/>
  <c r="L560" i="13"/>
  <c r="P559" i="13"/>
  <c r="L559" i="13"/>
  <c r="Q559" i="13" s="1"/>
  <c r="Q558" i="13"/>
  <c r="P558" i="13"/>
  <c r="M558" i="13"/>
  <c r="L558" i="13"/>
  <c r="N558" i="13" s="1"/>
  <c r="Q557" i="13"/>
  <c r="P557" i="13"/>
  <c r="N557" i="13"/>
  <c r="M557" i="13"/>
  <c r="L557" i="13"/>
  <c r="Q556" i="13"/>
  <c r="P556" i="13"/>
  <c r="N556" i="13"/>
  <c r="M556" i="13"/>
  <c r="L556" i="13"/>
  <c r="P555" i="13"/>
  <c r="P554" i="13" s="1"/>
  <c r="P507" i="13" s="1"/>
  <c r="L555" i="13"/>
  <c r="Q555" i="13" s="1"/>
  <c r="L554" i="13"/>
  <c r="Q553" i="13"/>
  <c r="P553" i="13"/>
  <c r="N553" i="13"/>
  <c r="M553" i="13"/>
  <c r="L553" i="13"/>
  <c r="P552" i="13"/>
  <c r="N552" i="13"/>
  <c r="M552" i="13"/>
  <c r="L552" i="13"/>
  <c r="P551" i="13"/>
  <c r="L551" i="13"/>
  <c r="Q551" i="13" s="1"/>
  <c r="Q550" i="13"/>
  <c r="P550" i="13"/>
  <c r="M550" i="13"/>
  <c r="L550" i="13"/>
  <c r="N550" i="13" s="1"/>
  <c r="Q549" i="13"/>
  <c r="P549" i="13"/>
  <c r="N549" i="13"/>
  <c r="M549" i="13"/>
  <c r="L549" i="13"/>
  <c r="Q548" i="13"/>
  <c r="P548" i="13"/>
  <c r="N548" i="13"/>
  <c r="M548" i="13"/>
  <c r="L548" i="13"/>
  <c r="P547" i="13"/>
  <c r="L547" i="13"/>
  <c r="Q547" i="13" s="1"/>
  <c r="Q546" i="13"/>
  <c r="P546" i="13"/>
  <c r="M546" i="13"/>
  <c r="L546" i="13"/>
  <c r="N546" i="13" s="1"/>
  <c r="Q545" i="13"/>
  <c r="P545" i="13"/>
  <c r="N545" i="13"/>
  <c r="M545" i="13"/>
  <c r="L545" i="13"/>
  <c r="Q544" i="13"/>
  <c r="P544" i="13"/>
  <c r="N544" i="13"/>
  <c r="M544" i="13"/>
  <c r="L544" i="13"/>
  <c r="P543" i="13"/>
  <c r="L543" i="13"/>
  <c r="Q543" i="13" s="1"/>
  <c r="Q542" i="13"/>
  <c r="P542" i="13"/>
  <c r="M542" i="13"/>
  <c r="L542" i="13"/>
  <c r="N542" i="13" s="1"/>
  <c r="Q541" i="13"/>
  <c r="P541" i="13"/>
  <c r="N541" i="13"/>
  <c r="M541" i="13"/>
  <c r="L541" i="13"/>
  <c r="Q540" i="13"/>
  <c r="P540" i="13"/>
  <c r="N540" i="13"/>
  <c r="M540" i="13"/>
  <c r="L540" i="13"/>
  <c r="P539" i="13"/>
  <c r="L539" i="13"/>
  <c r="Q539" i="13" s="1"/>
  <c r="Q538" i="13"/>
  <c r="P538" i="13"/>
  <c r="M538" i="13"/>
  <c r="L538" i="13"/>
  <c r="N538" i="13" s="1"/>
  <c r="Q537" i="13"/>
  <c r="P537" i="13"/>
  <c r="N537" i="13"/>
  <c r="M537" i="13"/>
  <c r="L537" i="13"/>
  <c r="Q536" i="13"/>
  <c r="P536" i="13"/>
  <c r="N536" i="13"/>
  <c r="M536" i="13"/>
  <c r="L536" i="13"/>
  <c r="P535" i="13"/>
  <c r="L535" i="13"/>
  <c r="Q535" i="13" s="1"/>
  <c r="Q534" i="13"/>
  <c r="P534" i="13"/>
  <c r="M534" i="13"/>
  <c r="L534" i="13"/>
  <c r="N534" i="13" s="1"/>
  <c r="Q533" i="13"/>
  <c r="P533" i="13"/>
  <c r="N533" i="13"/>
  <c r="M533" i="13"/>
  <c r="L533" i="13"/>
  <c r="Q532" i="13"/>
  <c r="P532" i="13"/>
  <c r="N532" i="13"/>
  <c r="M532" i="13"/>
  <c r="L532" i="13"/>
  <c r="P531" i="13"/>
  <c r="M531" i="13"/>
  <c r="L531" i="13"/>
  <c r="Q531" i="13" s="1"/>
  <c r="Q530" i="13"/>
  <c r="P530" i="13"/>
  <c r="M530" i="13"/>
  <c r="L530" i="13"/>
  <c r="N530" i="13" s="1"/>
  <c r="Q529" i="13"/>
  <c r="P529" i="13"/>
  <c r="N529" i="13"/>
  <c r="M529" i="13"/>
  <c r="L529" i="13"/>
  <c r="Q528" i="13"/>
  <c r="P528" i="13"/>
  <c r="N528" i="13"/>
  <c r="M528" i="13"/>
  <c r="L528" i="13"/>
  <c r="P527" i="13"/>
  <c r="M527" i="13"/>
  <c r="L527" i="13"/>
  <c r="Q527" i="13" s="1"/>
  <c r="Q526" i="13"/>
  <c r="P526" i="13"/>
  <c r="M526" i="13"/>
  <c r="L526" i="13"/>
  <c r="N526" i="13" s="1"/>
  <c r="Q525" i="13"/>
  <c r="P525" i="13"/>
  <c r="N525" i="13"/>
  <c r="M525" i="13"/>
  <c r="L525" i="13"/>
  <c r="Q524" i="13"/>
  <c r="P524" i="13"/>
  <c r="N524" i="13"/>
  <c r="M524" i="13"/>
  <c r="L524" i="13"/>
  <c r="P523" i="13"/>
  <c r="M523" i="13"/>
  <c r="L523" i="13"/>
  <c r="Q523" i="13" s="1"/>
  <c r="Q522" i="13"/>
  <c r="P522" i="13"/>
  <c r="M522" i="13"/>
  <c r="L522" i="13"/>
  <c r="N522" i="13" s="1"/>
  <c r="Q521" i="13"/>
  <c r="P521" i="13"/>
  <c r="N521" i="13"/>
  <c r="M521" i="13"/>
  <c r="L521" i="13"/>
  <c r="P520" i="13"/>
  <c r="L520" i="13"/>
  <c r="P519" i="13"/>
  <c r="M519" i="13"/>
  <c r="L519" i="13"/>
  <c r="Q519" i="13" s="1"/>
  <c r="Q518" i="13"/>
  <c r="P518" i="13"/>
  <c r="M518" i="13"/>
  <c r="L518" i="13"/>
  <c r="N518" i="13" s="1"/>
  <c r="Q517" i="13"/>
  <c r="P517" i="13"/>
  <c r="N517" i="13"/>
  <c r="M517" i="13"/>
  <c r="L517" i="13"/>
  <c r="Q516" i="13"/>
  <c r="P516" i="13"/>
  <c r="N516" i="13"/>
  <c r="M516" i="13"/>
  <c r="L516" i="13"/>
  <c r="P515" i="13"/>
  <c r="M515" i="13"/>
  <c r="L515" i="13"/>
  <c r="Q515" i="13" s="1"/>
  <c r="Q514" i="13"/>
  <c r="P514" i="13"/>
  <c r="M514" i="13"/>
  <c r="L514" i="13"/>
  <c r="N514" i="13" s="1"/>
  <c r="Q513" i="13"/>
  <c r="P513" i="13"/>
  <c r="N513" i="13"/>
  <c r="M513" i="13"/>
  <c r="L513" i="13"/>
  <c r="Q512" i="13"/>
  <c r="P512" i="13"/>
  <c r="N512" i="13"/>
  <c r="M512" i="13"/>
  <c r="L512" i="13"/>
  <c r="P511" i="13"/>
  <c r="M511" i="13"/>
  <c r="L511" i="13"/>
  <c r="Q511" i="13" s="1"/>
  <c r="Q510" i="13"/>
  <c r="P510" i="13"/>
  <c r="M510" i="13"/>
  <c r="M508" i="13" s="1"/>
  <c r="L510" i="13"/>
  <c r="N510" i="13" s="1"/>
  <c r="Q509" i="13"/>
  <c r="P509" i="13"/>
  <c r="N509" i="13"/>
  <c r="M509" i="13"/>
  <c r="L509" i="13"/>
  <c r="P508" i="13"/>
  <c r="L508" i="13"/>
  <c r="L507" i="13"/>
  <c r="Q506" i="13"/>
  <c r="P506" i="13"/>
  <c r="M506" i="13"/>
  <c r="L506" i="13"/>
  <c r="N506" i="13" s="1"/>
  <c r="Q505" i="13"/>
  <c r="P505" i="13"/>
  <c r="N505" i="13"/>
  <c r="M505" i="13"/>
  <c r="L505" i="13"/>
  <c r="Q504" i="13"/>
  <c r="P504" i="13"/>
  <c r="N504" i="13"/>
  <c r="M504" i="13"/>
  <c r="L504" i="13"/>
  <c r="P503" i="13"/>
  <c r="M503" i="13"/>
  <c r="L503" i="13"/>
  <c r="Q503" i="13" s="1"/>
  <c r="Q502" i="13"/>
  <c r="P502" i="13"/>
  <c r="M502" i="13"/>
  <c r="L502" i="13"/>
  <c r="N502" i="13" s="1"/>
  <c r="Q501" i="13"/>
  <c r="P501" i="13"/>
  <c r="N501" i="13"/>
  <c r="M501" i="13"/>
  <c r="L501" i="13"/>
  <c r="Q500" i="13"/>
  <c r="P500" i="13"/>
  <c r="N500" i="13"/>
  <c r="M500" i="13"/>
  <c r="L500" i="13"/>
  <c r="P499" i="13"/>
  <c r="M499" i="13"/>
  <c r="L499" i="13"/>
  <c r="Q499" i="13" s="1"/>
  <c r="Q498" i="13"/>
  <c r="P498" i="13"/>
  <c r="M498" i="13"/>
  <c r="L498" i="13"/>
  <c r="N498" i="13" s="1"/>
  <c r="Q497" i="13"/>
  <c r="P497" i="13"/>
  <c r="N497" i="13"/>
  <c r="M497" i="13"/>
  <c r="L497" i="13"/>
  <c r="Q496" i="13"/>
  <c r="P496" i="13"/>
  <c r="N496" i="13"/>
  <c r="M496" i="13"/>
  <c r="L496" i="13"/>
  <c r="P495" i="13"/>
  <c r="M495" i="13"/>
  <c r="L495" i="13"/>
  <c r="Q495" i="13" s="1"/>
  <c r="Q494" i="13"/>
  <c r="P494" i="13"/>
  <c r="M494" i="13"/>
  <c r="L494" i="13"/>
  <c r="N494" i="13" s="1"/>
  <c r="Q493" i="13"/>
  <c r="P493" i="13"/>
  <c r="N493" i="13"/>
  <c r="M493" i="13"/>
  <c r="L493" i="13"/>
  <c r="Q492" i="13"/>
  <c r="P492" i="13"/>
  <c r="N492" i="13"/>
  <c r="M492" i="13"/>
  <c r="L492" i="13"/>
  <c r="P491" i="13"/>
  <c r="M491" i="13"/>
  <c r="L491" i="13"/>
  <c r="Q491" i="13" s="1"/>
  <c r="Q490" i="13"/>
  <c r="P490" i="13"/>
  <c r="M490" i="13"/>
  <c r="L490" i="13"/>
  <c r="N490" i="13" s="1"/>
  <c r="Q489" i="13"/>
  <c r="P489" i="13"/>
  <c r="N489" i="13"/>
  <c r="M489" i="13"/>
  <c r="L489" i="13"/>
  <c r="Q488" i="13"/>
  <c r="Q487" i="13" s="1"/>
  <c r="P488" i="13"/>
  <c r="N488" i="13"/>
  <c r="M488" i="13"/>
  <c r="L488" i="13"/>
  <c r="P487" i="13"/>
  <c r="M487" i="13"/>
  <c r="L487" i="13"/>
  <c r="Q486" i="13"/>
  <c r="P486" i="13"/>
  <c r="M486" i="13"/>
  <c r="L486" i="13"/>
  <c r="N486" i="13" s="1"/>
  <c r="Q485" i="13"/>
  <c r="P485" i="13"/>
  <c r="N485" i="13"/>
  <c r="M485" i="13"/>
  <c r="L485" i="13"/>
  <c r="Q484" i="13"/>
  <c r="P484" i="13"/>
  <c r="N484" i="13"/>
  <c r="M484" i="13"/>
  <c r="L484" i="13"/>
  <c r="P483" i="13"/>
  <c r="P482" i="13" s="1"/>
  <c r="P481" i="13" s="1"/>
  <c r="M483" i="13"/>
  <c r="L483" i="13"/>
  <c r="Q483" i="13" s="1"/>
  <c r="M482" i="13"/>
  <c r="M481" i="13" s="1"/>
  <c r="L482" i="13"/>
  <c r="L481" i="13"/>
  <c r="Q480" i="13"/>
  <c r="P480" i="13"/>
  <c r="N480" i="13"/>
  <c r="M480" i="13"/>
  <c r="L480" i="13"/>
  <c r="P479" i="13"/>
  <c r="M479" i="13"/>
  <c r="L479" i="13"/>
  <c r="Q479" i="13" s="1"/>
  <c r="Q478" i="13"/>
  <c r="P478" i="13"/>
  <c r="M478" i="13"/>
  <c r="L478" i="13"/>
  <c r="N478" i="13" s="1"/>
  <c r="Q477" i="13"/>
  <c r="P477" i="13"/>
  <c r="N477" i="13"/>
  <c r="M477" i="13"/>
  <c r="L477" i="13"/>
  <c r="Q476" i="13"/>
  <c r="P476" i="13"/>
  <c r="N476" i="13"/>
  <c r="M476" i="13"/>
  <c r="L476" i="13"/>
  <c r="P475" i="13"/>
  <c r="P474" i="13" s="1"/>
  <c r="M475" i="13"/>
  <c r="M474" i="13" s="1"/>
  <c r="L475" i="13"/>
  <c r="Q475" i="13" s="1"/>
  <c r="L474" i="13"/>
  <c r="Q473" i="13"/>
  <c r="P473" i="13"/>
  <c r="N473" i="13"/>
  <c r="M473" i="13"/>
  <c r="L473" i="13"/>
  <c r="Q472" i="13"/>
  <c r="P472" i="13"/>
  <c r="N472" i="13"/>
  <c r="M472" i="13"/>
  <c r="L472" i="13"/>
  <c r="P471" i="13"/>
  <c r="M471" i="13"/>
  <c r="L471" i="13"/>
  <c r="Q471" i="13" s="1"/>
  <c r="Q470" i="13"/>
  <c r="P470" i="13"/>
  <c r="M470" i="13"/>
  <c r="L470" i="13"/>
  <c r="N470" i="13" s="1"/>
  <c r="Q469" i="13"/>
  <c r="P469" i="13"/>
  <c r="N469" i="13"/>
  <c r="M469" i="13"/>
  <c r="L469" i="13"/>
  <c r="Q468" i="13"/>
  <c r="P468" i="13"/>
  <c r="N468" i="13"/>
  <c r="M468" i="13"/>
  <c r="L468" i="13"/>
  <c r="P467" i="13"/>
  <c r="N467" i="13"/>
  <c r="M467" i="13"/>
  <c r="L467" i="13"/>
  <c r="Q467" i="13" s="1"/>
  <c r="Q466" i="13"/>
  <c r="P466" i="13"/>
  <c r="M466" i="13"/>
  <c r="L466" i="13"/>
  <c r="N466" i="13" s="1"/>
  <c r="Q465" i="13"/>
  <c r="M465" i="13"/>
  <c r="L465" i="13"/>
  <c r="N465" i="13" s="1"/>
  <c r="P464" i="13"/>
  <c r="N464" i="13"/>
  <c r="M464" i="13"/>
  <c r="L464" i="13"/>
  <c r="Q464" i="13" s="1"/>
  <c r="P463" i="13"/>
  <c r="L463" i="13"/>
  <c r="Q463" i="13" s="1"/>
  <c r="P462" i="13"/>
  <c r="L462" i="13"/>
  <c r="Q462" i="13" s="1"/>
  <c r="Q461" i="13"/>
  <c r="P461" i="13"/>
  <c r="M461" i="13"/>
  <c r="L461" i="13"/>
  <c r="N461" i="13" s="1"/>
  <c r="P460" i="13"/>
  <c r="N460" i="13"/>
  <c r="M460" i="13"/>
  <c r="L460" i="13"/>
  <c r="Q460" i="13" s="1"/>
  <c r="P459" i="13"/>
  <c r="L459" i="13"/>
  <c r="Q459" i="13" s="1"/>
  <c r="P458" i="13"/>
  <c r="L458" i="13"/>
  <c r="Q458" i="13" s="1"/>
  <c r="Q457" i="13"/>
  <c r="P457" i="13"/>
  <c r="M457" i="13"/>
  <c r="L457" i="13"/>
  <c r="N457" i="13" s="1"/>
  <c r="P456" i="13"/>
  <c r="N456" i="13"/>
  <c r="M456" i="13"/>
  <c r="L456" i="13"/>
  <c r="Q456" i="13" s="1"/>
  <c r="P455" i="13"/>
  <c r="L455" i="13"/>
  <c r="Q455" i="13" s="1"/>
  <c r="P454" i="13"/>
  <c r="L454" i="13"/>
  <c r="Q454" i="13" s="1"/>
  <c r="Q453" i="13"/>
  <c r="P453" i="13"/>
  <c r="M453" i="13"/>
  <c r="L453" i="13"/>
  <c r="N453" i="13" s="1"/>
  <c r="P452" i="13"/>
  <c r="N452" i="13"/>
  <c r="M452" i="13"/>
  <c r="L452" i="13"/>
  <c r="Q452" i="13" s="1"/>
  <c r="P451" i="13"/>
  <c r="L451" i="13"/>
  <c r="Q451" i="13" s="1"/>
  <c r="P450" i="13"/>
  <c r="L450" i="13"/>
  <c r="Q450" i="13" s="1"/>
  <c r="Q449" i="13"/>
  <c r="P449" i="13"/>
  <c r="M449" i="13"/>
  <c r="L449" i="13"/>
  <c r="N449" i="13" s="1"/>
  <c r="P448" i="13"/>
  <c r="N448" i="13"/>
  <c r="M448" i="13"/>
  <c r="L448" i="13"/>
  <c r="Q448" i="13" s="1"/>
  <c r="P447" i="13"/>
  <c r="L447" i="13"/>
  <c r="Q447" i="13" s="1"/>
  <c r="P446" i="13"/>
  <c r="L446" i="13"/>
  <c r="Q446" i="13" s="1"/>
  <c r="Q445" i="13"/>
  <c r="P445" i="13"/>
  <c r="M445" i="13"/>
  <c r="L445" i="13"/>
  <c r="N445" i="13" s="1"/>
  <c r="P444" i="13"/>
  <c r="N444" i="13"/>
  <c r="M444" i="13"/>
  <c r="L444" i="13"/>
  <c r="Q444" i="13" s="1"/>
  <c r="P443" i="13"/>
  <c r="L443" i="13"/>
  <c r="Q443" i="13" s="1"/>
  <c r="P442" i="13"/>
  <c r="L442" i="13"/>
  <c r="Q442" i="13" s="1"/>
  <c r="Q441" i="13"/>
  <c r="P441" i="13"/>
  <c r="M441" i="13"/>
  <c r="L441" i="13"/>
  <c r="N441" i="13" s="1"/>
  <c r="P440" i="13"/>
  <c r="N440" i="13"/>
  <c r="M440" i="13"/>
  <c r="L440" i="13"/>
  <c r="Q440" i="13" s="1"/>
  <c r="P439" i="13"/>
  <c r="L439" i="13"/>
  <c r="Q439" i="13" s="1"/>
  <c r="P438" i="13"/>
  <c r="L438" i="13"/>
  <c r="Q438" i="13" s="1"/>
  <c r="Q437" i="13"/>
  <c r="P437" i="13"/>
  <c r="M437" i="13"/>
  <c r="L437" i="13"/>
  <c r="N437" i="13" s="1"/>
  <c r="P436" i="13"/>
  <c r="N436" i="13"/>
  <c r="M436" i="13"/>
  <c r="L436" i="13"/>
  <c r="Q436" i="13" s="1"/>
  <c r="P435" i="13"/>
  <c r="L435" i="13"/>
  <c r="P434" i="13"/>
  <c r="L434" i="13"/>
  <c r="Q434" i="13" s="1"/>
  <c r="Q433" i="13"/>
  <c r="P433" i="13"/>
  <c r="M433" i="13"/>
  <c r="L433" i="13"/>
  <c r="N433" i="13" s="1"/>
  <c r="P432" i="13"/>
  <c r="N432" i="13"/>
  <c r="M432" i="13"/>
  <c r="L432" i="13"/>
  <c r="Q432" i="13" s="1"/>
  <c r="P431" i="13"/>
  <c r="L431" i="13"/>
  <c r="P430" i="13"/>
  <c r="L430" i="13"/>
  <c r="Q430" i="13" s="1"/>
  <c r="Q429" i="13"/>
  <c r="P429" i="13"/>
  <c r="M429" i="13"/>
  <c r="L429" i="13"/>
  <c r="N429" i="13" s="1"/>
  <c r="P428" i="13"/>
  <c r="N428" i="13"/>
  <c r="M428" i="13"/>
  <c r="L428" i="13"/>
  <c r="Q428" i="13" s="1"/>
  <c r="P427" i="13"/>
  <c r="L427" i="13"/>
  <c r="P426" i="13"/>
  <c r="L426" i="13"/>
  <c r="Q426" i="13" s="1"/>
  <c r="Q425" i="13"/>
  <c r="P425" i="13"/>
  <c r="M425" i="13"/>
  <c r="L425" i="13"/>
  <c r="N425" i="13" s="1"/>
  <c r="P424" i="13"/>
  <c r="N424" i="13"/>
  <c r="M424" i="13"/>
  <c r="L424" i="13"/>
  <c r="Q424" i="13" s="1"/>
  <c r="P423" i="13"/>
  <c r="L423" i="13"/>
  <c r="P422" i="13"/>
  <c r="L422" i="13"/>
  <c r="Q421" i="13"/>
  <c r="P421" i="13"/>
  <c r="M421" i="13"/>
  <c r="L421" i="13"/>
  <c r="N421" i="13" s="1"/>
  <c r="P420" i="13"/>
  <c r="N420" i="13"/>
  <c r="M420" i="13"/>
  <c r="L420" i="13"/>
  <c r="Q420" i="13" s="1"/>
  <c r="P419" i="13"/>
  <c r="L419" i="13"/>
  <c r="P418" i="13"/>
  <c r="L418" i="13"/>
  <c r="Q417" i="13"/>
  <c r="P417" i="13"/>
  <c r="M417" i="13"/>
  <c r="L417" i="13"/>
  <c r="N417" i="13" s="1"/>
  <c r="P416" i="13"/>
  <c r="N416" i="13"/>
  <c r="M416" i="13"/>
  <c r="L416" i="13"/>
  <c r="Q416" i="13" s="1"/>
  <c r="P415" i="13"/>
  <c r="L415" i="13"/>
  <c r="P414" i="13"/>
  <c r="L414" i="13"/>
  <c r="Q413" i="13"/>
  <c r="P413" i="13"/>
  <c r="M413" i="13"/>
  <c r="L413" i="13"/>
  <c r="N413" i="13" s="1"/>
  <c r="P412" i="13"/>
  <c r="N412" i="13"/>
  <c r="M412" i="13"/>
  <c r="L412" i="13"/>
  <c r="Q412" i="13" s="1"/>
  <c r="P411" i="13"/>
  <c r="L411" i="13"/>
  <c r="P410" i="13"/>
  <c r="L410" i="13"/>
  <c r="Q409" i="13"/>
  <c r="P409" i="13"/>
  <c r="M409" i="13"/>
  <c r="L409" i="13"/>
  <c r="N409" i="13" s="1"/>
  <c r="P408" i="13"/>
  <c r="N408" i="13"/>
  <c r="M408" i="13"/>
  <c r="L408" i="13"/>
  <c r="Q408" i="13" s="1"/>
  <c r="P407" i="13"/>
  <c r="L407" i="13"/>
  <c r="L406" i="13"/>
  <c r="Q405" i="13"/>
  <c r="P405" i="13"/>
  <c r="M405" i="13"/>
  <c r="L405" i="13"/>
  <c r="N405" i="13" s="1"/>
  <c r="P404" i="13"/>
  <c r="N404" i="13"/>
  <c r="M404" i="13"/>
  <c r="L404" i="13"/>
  <c r="Q404" i="13" s="1"/>
  <c r="P403" i="13"/>
  <c r="L403" i="13"/>
  <c r="P402" i="13"/>
  <c r="L402" i="13"/>
  <c r="Q401" i="13"/>
  <c r="P401" i="13"/>
  <c r="M401" i="13"/>
  <c r="L401" i="13"/>
  <c r="N401" i="13" s="1"/>
  <c r="P400" i="13"/>
  <c r="N400" i="13"/>
  <c r="M400" i="13"/>
  <c r="L400" i="13"/>
  <c r="Q400" i="13" s="1"/>
  <c r="P399" i="13"/>
  <c r="M399" i="13"/>
  <c r="L399" i="13"/>
  <c r="P398" i="13"/>
  <c r="L398" i="13"/>
  <c r="Q397" i="13"/>
  <c r="P397" i="13"/>
  <c r="M397" i="13"/>
  <c r="L397" i="13"/>
  <c r="N397" i="13" s="1"/>
  <c r="P396" i="13"/>
  <c r="N396" i="13"/>
  <c r="M396" i="13"/>
  <c r="L396" i="13"/>
  <c r="Q396" i="13" s="1"/>
  <c r="L395" i="13"/>
  <c r="P394" i="13"/>
  <c r="L394" i="13"/>
  <c r="Q393" i="13"/>
  <c r="P393" i="13"/>
  <c r="M393" i="13"/>
  <c r="L393" i="13"/>
  <c r="N393" i="13" s="1"/>
  <c r="P392" i="13"/>
  <c r="N392" i="13"/>
  <c r="M392" i="13"/>
  <c r="L392" i="13"/>
  <c r="Q392" i="13" s="1"/>
  <c r="P391" i="13"/>
  <c r="M391" i="13"/>
  <c r="L391" i="13"/>
  <c r="P390" i="13"/>
  <c r="L390" i="13"/>
  <c r="Q389" i="13"/>
  <c r="P389" i="13"/>
  <c r="M389" i="13"/>
  <c r="L389" i="13"/>
  <c r="N389" i="13" s="1"/>
  <c r="P388" i="13"/>
  <c r="N388" i="13"/>
  <c r="M388" i="13"/>
  <c r="L388" i="13"/>
  <c r="Q388" i="13" s="1"/>
  <c r="P387" i="13"/>
  <c r="L387" i="13"/>
  <c r="P386" i="13"/>
  <c r="L386" i="13"/>
  <c r="Q385" i="13"/>
  <c r="P385" i="13"/>
  <c r="M385" i="13"/>
  <c r="L385" i="13"/>
  <c r="N385" i="13" s="1"/>
  <c r="P384" i="13"/>
  <c r="N384" i="13"/>
  <c r="M384" i="13"/>
  <c r="L384" i="13"/>
  <c r="Q384" i="13" s="1"/>
  <c r="P383" i="13"/>
  <c r="M383" i="13"/>
  <c r="L383" i="13"/>
  <c r="P382" i="13"/>
  <c r="L382" i="13"/>
  <c r="Q381" i="13"/>
  <c r="P381" i="13"/>
  <c r="M381" i="13"/>
  <c r="L381" i="13"/>
  <c r="N381" i="13" s="1"/>
  <c r="P380" i="13"/>
  <c r="N380" i="13"/>
  <c r="M380" i="13"/>
  <c r="L380" i="13"/>
  <c r="Q380" i="13" s="1"/>
  <c r="P379" i="13"/>
  <c r="L379" i="13"/>
  <c r="P378" i="13"/>
  <c r="L378" i="13"/>
  <c r="Q377" i="13"/>
  <c r="P377" i="13"/>
  <c r="M377" i="13"/>
  <c r="L377" i="13"/>
  <c r="N377" i="13" s="1"/>
  <c r="P376" i="13"/>
  <c r="N376" i="13"/>
  <c r="M376" i="13"/>
  <c r="L376" i="13"/>
  <c r="Q376" i="13" s="1"/>
  <c r="P375" i="13"/>
  <c r="M375" i="13"/>
  <c r="L375" i="13"/>
  <c r="P374" i="13"/>
  <c r="L374" i="13"/>
  <c r="Q373" i="13"/>
  <c r="P373" i="13"/>
  <c r="M373" i="13"/>
  <c r="L373" i="13"/>
  <c r="N373" i="13" s="1"/>
  <c r="P372" i="13"/>
  <c r="N372" i="13"/>
  <c r="M372" i="13"/>
  <c r="L372" i="13"/>
  <c r="Q372" i="13" s="1"/>
  <c r="P371" i="13"/>
  <c r="L371" i="13"/>
  <c r="P370" i="13"/>
  <c r="L370" i="13"/>
  <c r="Q369" i="13"/>
  <c r="P369" i="13"/>
  <c r="M369" i="13"/>
  <c r="L369" i="13"/>
  <c r="N369" i="13" s="1"/>
  <c r="P368" i="13"/>
  <c r="N368" i="13"/>
  <c r="M368" i="13"/>
  <c r="L368" i="13"/>
  <c r="Q368" i="13" s="1"/>
  <c r="P367" i="13"/>
  <c r="M367" i="13"/>
  <c r="L367" i="13"/>
  <c r="P366" i="13"/>
  <c r="L366" i="13"/>
  <c r="Q365" i="13"/>
  <c r="P365" i="13"/>
  <c r="M365" i="13"/>
  <c r="L365" i="13"/>
  <c r="N365" i="13" s="1"/>
  <c r="P364" i="13"/>
  <c r="N364" i="13"/>
  <c r="M364" i="13"/>
  <c r="L364" i="13"/>
  <c r="Q364" i="13" s="1"/>
  <c r="P363" i="13"/>
  <c r="L363" i="13"/>
  <c r="P362" i="13"/>
  <c r="L362" i="13"/>
  <c r="Q361" i="13"/>
  <c r="P361" i="13"/>
  <c r="M361" i="13"/>
  <c r="L361" i="13"/>
  <c r="N361" i="13" s="1"/>
  <c r="P360" i="13"/>
  <c r="N360" i="13"/>
  <c r="M360" i="13"/>
  <c r="L360" i="13"/>
  <c r="Q360" i="13" s="1"/>
  <c r="P359" i="13"/>
  <c r="M359" i="13"/>
  <c r="L359" i="13"/>
  <c r="P358" i="13"/>
  <c r="M358" i="13"/>
  <c r="L358" i="13"/>
  <c r="Q357" i="13"/>
  <c r="P357" i="13"/>
  <c r="M357" i="13"/>
  <c r="L357" i="13"/>
  <c r="N357" i="13" s="1"/>
  <c r="P356" i="13"/>
  <c r="L356" i="13"/>
  <c r="Q356" i="13" s="1"/>
  <c r="P355" i="13"/>
  <c r="L355" i="13"/>
  <c r="P354" i="13"/>
  <c r="M354" i="13"/>
  <c r="L354" i="13"/>
  <c r="Q353" i="13"/>
  <c r="P353" i="13"/>
  <c r="M353" i="13"/>
  <c r="L353" i="13"/>
  <c r="N353" i="13" s="1"/>
  <c r="P352" i="13"/>
  <c r="L352" i="13"/>
  <c r="P351" i="13"/>
  <c r="N351" i="13"/>
  <c r="M351" i="13"/>
  <c r="L351" i="13"/>
  <c r="Q351" i="13" s="1"/>
  <c r="Q350" i="13"/>
  <c r="P350" i="13"/>
  <c r="L350" i="13"/>
  <c r="N350" i="13" s="1"/>
  <c r="Q349" i="13"/>
  <c r="P349" i="13"/>
  <c r="N349" i="13"/>
  <c r="L349" i="13"/>
  <c r="M349" i="13" s="1"/>
  <c r="P348" i="13"/>
  <c r="L348" i="13"/>
  <c r="P347" i="13"/>
  <c r="N347" i="13"/>
  <c r="M347" i="13"/>
  <c r="L347" i="13"/>
  <c r="Q347" i="13" s="1"/>
  <c r="Q346" i="13"/>
  <c r="P346" i="13"/>
  <c r="L346" i="13"/>
  <c r="N346" i="13" s="1"/>
  <c r="Q345" i="13"/>
  <c r="P345" i="13"/>
  <c r="N345" i="13"/>
  <c r="L345" i="13"/>
  <c r="M345" i="13" s="1"/>
  <c r="P344" i="13"/>
  <c r="L344" i="13"/>
  <c r="P343" i="13"/>
  <c r="N343" i="13"/>
  <c r="M343" i="13"/>
  <c r="L343" i="13"/>
  <c r="Q343" i="13" s="1"/>
  <c r="Q342" i="13"/>
  <c r="P342" i="13"/>
  <c r="L342" i="13"/>
  <c r="N342" i="13" s="1"/>
  <c r="Q341" i="13"/>
  <c r="P341" i="13"/>
  <c r="N341" i="13"/>
  <c r="L341" i="13"/>
  <c r="M341" i="13" s="1"/>
  <c r="P340" i="13"/>
  <c r="L340" i="13"/>
  <c r="P339" i="13"/>
  <c r="N339" i="13"/>
  <c r="M339" i="13"/>
  <c r="L339" i="13"/>
  <c r="Q339" i="13" s="1"/>
  <c r="Q338" i="13"/>
  <c r="P338" i="13"/>
  <c r="L338" i="13"/>
  <c r="N338" i="13" s="1"/>
  <c r="L337" i="13"/>
  <c r="P336" i="13"/>
  <c r="L336" i="13"/>
  <c r="P335" i="13"/>
  <c r="N335" i="13"/>
  <c r="M335" i="13"/>
  <c r="L335" i="13"/>
  <c r="Q335" i="13" s="1"/>
  <c r="Q334" i="13"/>
  <c r="P334" i="13"/>
  <c r="L334" i="13"/>
  <c r="N334" i="13" s="1"/>
  <c r="Q333" i="13"/>
  <c r="P333" i="13"/>
  <c r="N333" i="13"/>
  <c r="L333" i="13"/>
  <c r="M333" i="13" s="1"/>
  <c r="P332" i="13"/>
  <c r="L332" i="13"/>
  <c r="P331" i="13"/>
  <c r="N331" i="13"/>
  <c r="M331" i="13"/>
  <c r="L331" i="13"/>
  <c r="Q331" i="13" s="1"/>
  <c r="Q330" i="13"/>
  <c r="P330" i="13"/>
  <c r="L330" i="13"/>
  <c r="N330" i="13" s="1"/>
  <c r="P329" i="13"/>
  <c r="L329" i="13"/>
  <c r="L328" i="13"/>
  <c r="P327" i="13"/>
  <c r="N327" i="13"/>
  <c r="M327" i="13"/>
  <c r="L327" i="13"/>
  <c r="Q327" i="13" s="1"/>
  <c r="Q326" i="13"/>
  <c r="P326" i="13"/>
  <c r="L326" i="13"/>
  <c r="N326" i="13" s="1"/>
  <c r="Q325" i="13"/>
  <c r="P325" i="13"/>
  <c r="N325" i="13"/>
  <c r="L325" i="13"/>
  <c r="M325" i="13" s="1"/>
  <c r="P324" i="13"/>
  <c r="L324" i="13"/>
  <c r="P323" i="13"/>
  <c r="N323" i="13"/>
  <c r="M323" i="13"/>
  <c r="L323" i="13"/>
  <c r="Q323" i="13" s="1"/>
  <c r="Q322" i="13"/>
  <c r="P322" i="13"/>
  <c r="L322" i="13"/>
  <c r="N322" i="13" s="1"/>
  <c r="Q321" i="13"/>
  <c r="P321" i="13"/>
  <c r="N321" i="13"/>
  <c r="L321" i="13"/>
  <c r="M321" i="13" s="1"/>
  <c r="P320" i="13"/>
  <c r="L320" i="13"/>
  <c r="P319" i="13"/>
  <c r="N319" i="13"/>
  <c r="M319" i="13"/>
  <c r="L319" i="13"/>
  <c r="Q319" i="13" s="1"/>
  <c r="Q318" i="13"/>
  <c r="P318" i="13"/>
  <c r="L318" i="13"/>
  <c r="N318" i="13" s="1"/>
  <c r="P317" i="13"/>
  <c r="L317" i="13"/>
  <c r="P316" i="13"/>
  <c r="P315" i="13" s="1"/>
  <c r="L316" i="13"/>
  <c r="L315" i="13"/>
  <c r="Q314" i="13"/>
  <c r="P314" i="13"/>
  <c r="L314" i="13"/>
  <c r="N314" i="13" s="1"/>
  <c r="Q313" i="13"/>
  <c r="P313" i="13"/>
  <c r="N313" i="13"/>
  <c r="L313" i="13"/>
  <c r="M313" i="13" s="1"/>
  <c r="P312" i="13"/>
  <c r="L312" i="13"/>
  <c r="P311" i="13"/>
  <c r="N311" i="13"/>
  <c r="M311" i="13"/>
  <c r="L311" i="13"/>
  <c r="Q311" i="13" s="1"/>
  <c r="Q310" i="13"/>
  <c r="P310" i="13"/>
  <c r="L310" i="13"/>
  <c r="N310" i="13" s="1"/>
  <c r="Q309" i="13"/>
  <c r="P309" i="13"/>
  <c r="N309" i="13"/>
  <c r="L309" i="13"/>
  <c r="M309" i="13" s="1"/>
  <c r="P308" i="13"/>
  <c r="P307" i="13" s="1"/>
  <c r="L308" i="13"/>
  <c r="L307" i="13"/>
  <c r="Q306" i="13"/>
  <c r="P306" i="13"/>
  <c r="L306" i="13"/>
  <c r="N306" i="13" s="1"/>
  <c r="Q305" i="13"/>
  <c r="P305" i="13"/>
  <c r="N305" i="13"/>
  <c r="L305" i="13"/>
  <c r="M305" i="13" s="1"/>
  <c r="P304" i="13"/>
  <c r="L304" i="13"/>
  <c r="P303" i="13"/>
  <c r="N303" i="13"/>
  <c r="M303" i="13"/>
  <c r="L303" i="13"/>
  <c r="Q303" i="13" s="1"/>
  <c r="Q302" i="13"/>
  <c r="P302" i="13"/>
  <c r="L302" i="13"/>
  <c r="N302" i="13" s="1"/>
  <c r="Q301" i="13"/>
  <c r="P301" i="13"/>
  <c r="N301" i="13"/>
  <c r="L301" i="13"/>
  <c r="M301" i="13" s="1"/>
  <c r="P300" i="13"/>
  <c r="L300" i="13"/>
  <c r="P299" i="13"/>
  <c r="N299" i="13"/>
  <c r="M299" i="13"/>
  <c r="L299" i="13"/>
  <c r="Q299" i="13" s="1"/>
  <c r="Q298" i="13"/>
  <c r="P298" i="13"/>
  <c r="L298" i="13"/>
  <c r="N298" i="13" s="1"/>
  <c r="Q297" i="13"/>
  <c r="P297" i="13"/>
  <c r="N297" i="13"/>
  <c r="L297" i="13"/>
  <c r="M297" i="13" s="1"/>
  <c r="P296" i="13"/>
  <c r="L296" i="13"/>
  <c r="P295" i="13"/>
  <c r="N295" i="13"/>
  <c r="M295" i="13"/>
  <c r="L295" i="13"/>
  <c r="Q295" i="13" s="1"/>
  <c r="Q294" i="13"/>
  <c r="P294" i="13"/>
  <c r="L294" i="13"/>
  <c r="N294" i="13" s="1"/>
  <c r="Q293" i="13"/>
  <c r="P293" i="13"/>
  <c r="N293" i="13"/>
  <c r="L293" i="13"/>
  <c r="M293" i="13" s="1"/>
  <c r="P292" i="13"/>
  <c r="P291" i="13" s="1"/>
  <c r="L292" i="13"/>
  <c r="L291" i="13"/>
  <c r="Q290" i="13"/>
  <c r="P290" i="13"/>
  <c r="L290" i="13"/>
  <c r="N290" i="13" s="1"/>
  <c r="Q289" i="13"/>
  <c r="P289" i="13"/>
  <c r="N289" i="13"/>
  <c r="L289" i="13"/>
  <c r="M289" i="13" s="1"/>
  <c r="P288" i="13"/>
  <c r="L288" i="13"/>
  <c r="P287" i="13"/>
  <c r="N287" i="13"/>
  <c r="M287" i="13"/>
  <c r="L287" i="13"/>
  <c r="Q287" i="13" s="1"/>
  <c r="Q286" i="13"/>
  <c r="P286" i="13"/>
  <c r="L286" i="13"/>
  <c r="N286" i="13" s="1"/>
  <c r="Q285" i="13"/>
  <c r="P285" i="13"/>
  <c r="N285" i="13"/>
  <c r="L285" i="13"/>
  <c r="M285" i="13" s="1"/>
  <c r="P284" i="13"/>
  <c r="L284" i="13"/>
  <c r="P283" i="13"/>
  <c r="N283" i="13"/>
  <c r="M283" i="13"/>
  <c r="L283" i="13"/>
  <c r="Q283" i="13" s="1"/>
  <c r="Q282" i="13"/>
  <c r="P282" i="13"/>
  <c r="L282" i="13"/>
  <c r="N282" i="13" s="1"/>
  <c r="Q281" i="13"/>
  <c r="P281" i="13"/>
  <c r="N281" i="13"/>
  <c r="L281" i="13"/>
  <c r="M281" i="13" s="1"/>
  <c r="P280" i="13"/>
  <c r="L280" i="13"/>
  <c r="P279" i="13"/>
  <c r="N279" i="13"/>
  <c r="M279" i="13"/>
  <c r="L279" i="13"/>
  <c r="Q279" i="13" s="1"/>
  <c r="Q278" i="13"/>
  <c r="P278" i="13"/>
  <c r="M278" i="13"/>
  <c r="L278" i="13"/>
  <c r="N278" i="13" s="1"/>
  <c r="Q277" i="13"/>
  <c r="P277" i="13"/>
  <c r="N277" i="13"/>
  <c r="L277" i="13"/>
  <c r="M277" i="13" s="1"/>
  <c r="P276" i="13"/>
  <c r="L276" i="13"/>
  <c r="P275" i="13"/>
  <c r="N275" i="13"/>
  <c r="M275" i="13"/>
  <c r="L275" i="13"/>
  <c r="Q275" i="13" s="1"/>
  <c r="Q274" i="13"/>
  <c r="P274" i="13"/>
  <c r="M274" i="13"/>
  <c r="L274" i="13"/>
  <c r="N274" i="13" s="1"/>
  <c r="Q273" i="13"/>
  <c r="P273" i="13"/>
  <c r="N273" i="13"/>
  <c r="L273" i="13"/>
  <c r="M273" i="13" s="1"/>
  <c r="P272" i="13"/>
  <c r="L272" i="13"/>
  <c r="P271" i="13"/>
  <c r="N271" i="13"/>
  <c r="M271" i="13"/>
  <c r="L271" i="13"/>
  <c r="Q271" i="13" s="1"/>
  <c r="Q270" i="13"/>
  <c r="P270" i="13"/>
  <c r="M270" i="13"/>
  <c r="L270" i="13"/>
  <c r="N270" i="13" s="1"/>
  <c r="Q269" i="13"/>
  <c r="P269" i="13"/>
  <c r="N269" i="13"/>
  <c r="L269" i="13"/>
  <c r="M269" i="13" s="1"/>
  <c r="P268" i="13"/>
  <c r="L268" i="13"/>
  <c r="P267" i="13"/>
  <c r="N267" i="13"/>
  <c r="M267" i="13"/>
  <c r="L267" i="13"/>
  <c r="Q267" i="13" s="1"/>
  <c r="Q266" i="13"/>
  <c r="P266" i="13"/>
  <c r="M266" i="13"/>
  <c r="L266" i="13"/>
  <c r="N266" i="13" s="1"/>
  <c r="Q265" i="13"/>
  <c r="P265" i="13"/>
  <c r="N265" i="13"/>
  <c r="L265" i="13"/>
  <c r="M265" i="13" s="1"/>
  <c r="P264" i="13"/>
  <c r="L264" i="13"/>
  <c r="P263" i="13"/>
  <c r="N263" i="13"/>
  <c r="M263" i="13"/>
  <c r="L263" i="13"/>
  <c r="Q263" i="13" s="1"/>
  <c r="Q262" i="13"/>
  <c r="P262" i="13"/>
  <c r="M262" i="13"/>
  <c r="L262" i="13"/>
  <c r="N262" i="13" s="1"/>
  <c r="Q261" i="13"/>
  <c r="P261" i="13"/>
  <c r="N261" i="13"/>
  <c r="L261" i="13"/>
  <c r="M261" i="13" s="1"/>
  <c r="P260" i="13"/>
  <c r="L260" i="13"/>
  <c r="P259" i="13"/>
  <c r="N259" i="13"/>
  <c r="M259" i="13"/>
  <c r="L259" i="13"/>
  <c r="Q259" i="13" s="1"/>
  <c r="Q258" i="13"/>
  <c r="P258" i="13"/>
  <c r="M258" i="13"/>
  <c r="L258" i="13"/>
  <c r="N258" i="13" s="1"/>
  <c r="Q257" i="13"/>
  <c r="P257" i="13"/>
  <c r="N257" i="13"/>
  <c r="L257" i="13"/>
  <c r="M257" i="13" s="1"/>
  <c r="P256" i="13"/>
  <c r="P255" i="13" s="1"/>
  <c r="L256" i="13"/>
  <c r="L255" i="13"/>
  <c r="Q254" i="13"/>
  <c r="P254" i="13"/>
  <c r="M254" i="13"/>
  <c r="L254" i="13"/>
  <c r="N254" i="13" s="1"/>
  <c r="Q253" i="13"/>
  <c r="P253" i="13"/>
  <c r="N253" i="13"/>
  <c r="L253" i="13"/>
  <c r="M253" i="13" s="1"/>
  <c r="P252" i="13"/>
  <c r="L252" i="13"/>
  <c r="P251" i="13"/>
  <c r="N251" i="13"/>
  <c r="M251" i="13"/>
  <c r="L251" i="13"/>
  <c r="Q251" i="13" s="1"/>
  <c r="Q250" i="13"/>
  <c r="P250" i="13"/>
  <c r="M250" i="13"/>
  <c r="L250" i="13"/>
  <c r="N250" i="13" s="1"/>
  <c r="Q249" i="13"/>
  <c r="P249" i="13"/>
  <c r="N249" i="13"/>
  <c r="L249" i="13"/>
  <c r="M249" i="13" s="1"/>
  <c r="P248" i="13"/>
  <c r="L248" i="13"/>
  <c r="P247" i="13"/>
  <c r="N247" i="13"/>
  <c r="M247" i="13"/>
  <c r="L247" i="13"/>
  <c r="Q247" i="13" s="1"/>
  <c r="Q246" i="13"/>
  <c r="P246" i="13"/>
  <c r="M246" i="13"/>
  <c r="L246" i="13"/>
  <c r="N246" i="13" s="1"/>
  <c r="Q245" i="13"/>
  <c r="P245" i="13"/>
  <c r="N245" i="13"/>
  <c r="L245" i="13"/>
  <c r="M245" i="13" s="1"/>
  <c r="P244" i="13"/>
  <c r="L244" i="13"/>
  <c r="P243" i="13"/>
  <c r="N243" i="13"/>
  <c r="M243" i="13"/>
  <c r="L243" i="13"/>
  <c r="Q243" i="13" s="1"/>
  <c r="Q242" i="13"/>
  <c r="P242" i="13"/>
  <c r="M242" i="13"/>
  <c r="L242" i="13"/>
  <c r="N242" i="13" s="1"/>
  <c r="Q241" i="13"/>
  <c r="P241" i="13"/>
  <c r="N241" i="13"/>
  <c r="L241" i="13"/>
  <c r="M241" i="13" s="1"/>
  <c r="P240" i="13"/>
  <c r="L240" i="13"/>
  <c r="P239" i="13"/>
  <c r="N239" i="13"/>
  <c r="M239" i="13"/>
  <c r="L239" i="13"/>
  <c r="Q239" i="13" s="1"/>
  <c r="Q238" i="13"/>
  <c r="P238" i="13"/>
  <c r="M238" i="13"/>
  <c r="L238" i="13"/>
  <c r="N238" i="13" s="1"/>
  <c r="Q237" i="13"/>
  <c r="P237" i="13"/>
  <c r="N237" i="13"/>
  <c r="L237" i="13"/>
  <c r="M237" i="13" s="1"/>
  <c r="P236" i="13"/>
  <c r="L236" i="13"/>
  <c r="P235" i="13"/>
  <c r="N235" i="13"/>
  <c r="M235" i="13"/>
  <c r="L235" i="13"/>
  <c r="Q235" i="13" s="1"/>
  <c r="Q234" i="13"/>
  <c r="P234" i="13"/>
  <c r="M234" i="13"/>
  <c r="L234" i="13"/>
  <c r="N234" i="13" s="1"/>
  <c r="Q233" i="13"/>
  <c r="P233" i="13"/>
  <c r="N233" i="13"/>
  <c r="L233" i="13"/>
  <c r="M233" i="13" s="1"/>
  <c r="P232" i="13"/>
  <c r="L232" i="13"/>
  <c r="P231" i="13"/>
  <c r="N231" i="13"/>
  <c r="M231" i="13"/>
  <c r="L231" i="13"/>
  <c r="Q231" i="13" s="1"/>
  <c r="Q230" i="13"/>
  <c r="P230" i="13"/>
  <c r="M230" i="13"/>
  <c r="L230" i="13"/>
  <c r="N230" i="13" s="1"/>
  <c r="Q229" i="13"/>
  <c r="P229" i="13"/>
  <c r="N229" i="13"/>
  <c r="L229" i="13"/>
  <c r="M229" i="13" s="1"/>
  <c r="P228" i="13"/>
  <c r="L228" i="13"/>
  <c r="P227" i="13"/>
  <c r="P226" i="13" s="1"/>
  <c r="P225" i="13" s="1"/>
  <c r="N227" i="13"/>
  <c r="M227" i="13"/>
  <c r="L227" i="13"/>
  <c r="Q227" i="13" s="1"/>
  <c r="L226" i="13"/>
  <c r="L225" i="13"/>
  <c r="P224" i="13"/>
  <c r="L224" i="13"/>
  <c r="P223" i="13"/>
  <c r="P222" i="13" s="1"/>
  <c r="N223" i="13"/>
  <c r="M223" i="13"/>
  <c r="L223" i="13"/>
  <c r="Q223" i="13" s="1"/>
  <c r="L222" i="13"/>
  <c r="N221" i="13"/>
  <c r="L221" i="13"/>
  <c r="M221" i="13" s="1"/>
  <c r="M220" i="13"/>
  <c r="L220" i="13"/>
  <c r="N220" i="13" s="1"/>
  <c r="M219" i="13"/>
  <c r="L219" i="13"/>
  <c r="N219" i="13" s="1"/>
  <c r="N218" i="13"/>
  <c r="M218" i="13"/>
  <c r="L218" i="13"/>
  <c r="L217" i="13"/>
  <c r="N217" i="13" s="1"/>
  <c r="E217" i="13"/>
  <c r="E219" i="13" s="1"/>
  <c r="L216" i="13"/>
  <c r="N216" i="13" s="1"/>
  <c r="L215" i="13"/>
  <c r="P214" i="13"/>
  <c r="L214" i="13"/>
  <c r="P213" i="13"/>
  <c r="N213" i="13"/>
  <c r="M213" i="13"/>
  <c r="L213" i="13"/>
  <c r="Q213" i="13" s="1"/>
  <c r="Q212" i="13"/>
  <c r="P212" i="13"/>
  <c r="M212" i="13"/>
  <c r="L212" i="13"/>
  <c r="N212" i="13" s="1"/>
  <c r="Q211" i="13"/>
  <c r="P211" i="13"/>
  <c r="N211" i="13"/>
  <c r="L211" i="13"/>
  <c r="M211" i="13" s="1"/>
  <c r="P210" i="13"/>
  <c r="L210" i="13"/>
  <c r="P209" i="13"/>
  <c r="N209" i="13"/>
  <c r="M209" i="13"/>
  <c r="L209" i="13"/>
  <c r="Q209" i="13" s="1"/>
  <c r="Q208" i="13"/>
  <c r="P208" i="13"/>
  <c r="M208" i="13"/>
  <c r="L208" i="13"/>
  <c r="N208" i="13" s="1"/>
  <c r="Q207" i="13"/>
  <c r="P207" i="13"/>
  <c r="N207" i="13"/>
  <c r="M207" i="13"/>
  <c r="L207" i="13"/>
  <c r="P206" i="13"/>
  <c r="P205" i="13" s="1"/>
  <c r="L206" i="13"/>
  <c r="L205" i="13"/>
  <c r="Q204" i="13"/>
  <c r="P204" i="13"/>
  <c r="M204" i="13"/>
  <c r="L204" i="13"/>
  <c r="N204" i="13" s="1"/>
  <c r="Q203" i="13"/>
  <c r="P203" i="13"/>
  <c r="N203" i="13"/>
  <c r="M203" i="13"/>
  <c r="L203" i="13"/>
  <c r="P202" i="13"/>
  <c r="L202" i="13"/>
  <c r="P201" i="13"/>
  <c r="N201" i="13"/>
  <c r="M201" i="13"/>
  <c r="L201" i="13"/>
  <c r="Q201" i="13" s="1"/>
  <c r="Q200" i="13"/>
  <c r="P200" i="13"/>
  <c r="M200" i="13"/>
  <c r="L200" i="13"/>
  <c r="N200" i="13" s="1"/>
  <c r="Q199" i="13"/>
  <c r="P199" i="13"/>
  <c r="N199" i="13"/>
  <c r="M199" i="13"/>
  <c r="L199" i="13"/>
  <c r="P198" i="13"/>
  <c r="L198" i="13"/>
  <c r="P197" i="13"/>
  <c r="N197" i="13"/>
  <c r="M197" i="13"/>
  <c r="L197" i="13"/>
  <c r="Q197" i="13" s="1"/>
  <c r="Q196" i="13"/>
  <c r="P196" i="13"/>
  <c r="M196" i="13"/>
  <c r="L196" i="13"/>
  <c r="N196" i="13" s="1"/>
  <c r="Q195" i="13"/>
  <c r="P195" i="13"/>
  <c r="N195" i="13"/>
  <c r="M195" i="13"/>
  <c r="L195" i="13"/>
  <c r="P194" i="13"/>
  <c r="L194" i="13"/>
  <c r="P193" i="13"/>
  <c r="N193" i="13"/>
  <c r="M193" i="13"/>
  <c r="L193" i="13"/>
  <c r="Q193" i="13" s="1"/>
  <c r="Q192" i="13"/>
  <c r="P192" i="13"/>
  <c r="M192" i="13"/>
  <c r="L192" i="13"/>
  <c r="N192" i="13" s="1"/>
  <c r="Q191" i="13"/>
  <c r="P191" i="13"/>
  <c r="N191" i="13"/>
  <c r="M191" i="13"/>
  <c r="L191" i="13"/>
  <c r="P190" i="13"/>
  <c r="L190" i="13"/>
  <c r="P189" i="13"/>
  <c r="N189" i="13"/>
  <c r="M189" i="13"/>
  <c r="L189" i="13"/>
  <c r="Q189" i="13" s="1"/>
  <c r="Q188" i="13"/>
  <c r="P188" i="13"/>
  <c r="M188" i="13"/>
  <c r="L188" i="13"/>
  <c r="N188" i="13" s="1"/>
  <c r="Q187" i="13"/>
  <c r="P187" i="13"/>
  <c r="N187" i="13"/>
  <c r="M187" i="13"/>
  <c r="L187" i="13"/>
  <c r="P186" i="13"/>
  <c r="L186" i="13"/>
  <c r="P185" i="13"/>
  <c r="N185" i="13"/>
  <c r="M185" i="13"/>
  <c r="L185" i="13"/>
  <c r="Q185" i="13" s="1"/>
  <c r="Q184" i="13"/>
  <c r="P184" i="13"/>
  <c r="M184" i="13"/>
  <c r="L184" i="13"/>
  <c r="N184" i="13" s="1"/>
  <c r="Q183" i="13"/>
  <c r="P183" i="13"/>
  <c r="N183" i="13"/>
  <c r="M183" i="13"/>
  <c r="L183" i="13"/>
  <c r="P182" i="13"/>
  <c r="P179" i="13" s="1"/>
  <c r="P178" i="13" s="1"/>
  <c r="L182" i="13"/>
  <c r="P181" i="13"/>
  <c r="N181" i="13"/>
  <c r="M181" i="13"/>
  <c r="L181" i="13"/>
  <c r="Q181" i="13" s="1"/>
  <c r="Q180" i="13"/>
  <c r="P180" i="13"/>
  <c r="M180" i="13"/>
  <c r="L180" i="13"/>
  <c r="N180" i="13" s="1"/>
  <c r="L179" i="13"/>
  <c r="L178" i="13"/>
  <c r="P177" i="13"/>
  <c r="N177" i="13"/>
  <c r="M177" i="13"/>
  <c r="L177" i="13"/>
  <c r="Q177" i="13" s="1"/>
  <c r="Q176" i="13"/>
  <c r="P176" i="13"/>
  <c r="M176" i="13"/>
  <c r="M175" i="13" s="1"/>
  <c r="L176" i="13"/>
  <c r="N176" i="13" s="1"/>
  <c r="P175" i="13"/>
  <c r="L175" i="13"/>
  <c r="P174" i="13"/>
  <c r="L174" i="13"/>
  <c r="P173" i="13"/>
  <c r="N173" i="13"/>
  <c r="M173" i="13"/>
  <c r="L173" i="13"/>
  <c r="Q173" i="13" s="1"/>
  <c r="Q172" i="13"/>
  <c r="P172" i="13"/>
  <c r="M172" i="13"/>
  <c r="L172" i="13"/>
  <c r="N172" i="13" s="1"/>
  <c r="Q171" i="13"/>
  <c r="P171" i="13"/>
  <c r="N171" i="13"/>
  <c r="M171" i="13"/>
  <c r="L171" i="13"/>
  <c r="P170" i="13"/>
  <c r="L170" i="13"/>
  <c r="P169" i="13"/>
  <c r="N169" i="13"/>
  <c r="M169" i="13"/>
  <c r="L169" i="13"/>
  <c r="Q169" i="13" s="1"/>
  <c r="Q168" i="13"/>
  <c r="P168" i="13"/>
  <c r="M168" i="13"/>
  <c r="L168" i="13"/>
  <c r="N168" i="13" s="1"/>
  <c r="Q167" i="13"/>
  <c r="P167" i="13"/>
  <c r="N167" i="13"/>
  <c r="M167" i="13"/>
  <c r="L167" i="13"/>
  <c r="P166" i="13"/>
  <c r="P165" i="13" s="1"/>
  <c r="L166" i="13"/>
  <c r="L165" i="13"/>
  <c r="Q164" i="13"/>
  <c r="P164" i="13"/>
  <c r="M164" i="13"/>
  <c r="L164" i="13"/>
  <c r="N164" i="13" s="1"/>
  <c r="Q163" i="13"/>
  <c r="P163" i="13"/>
  <c r="N163" i="13"/>
  <c r="M163" i="13"/>
  <c r="L163" i="13"/>
  <c r="P162" i="13"/>
  <c r="L162" i="13"/>
  <c r="P161" i="13"/>
  <c r="N161" i="13"/>
  <c r="M161" i="13"/>
  <c r="L161" i="13"/>
  <c r="Q161" i="13" s="1"/>
  <c r="Q160" i="13"/>
  <c r="P160" i="13"/>
  <c r="M160" i="13"/>
  <c r="L160" i="13"/>
  <c r="N160" i="13" s="1"/>
  <c r="Q159" i="13"/>
  <c r="P159" i="13"/>
  <c r="N159" i="13"/>
  <c r="M159" i="13"/>
  <c r="L159" i="13"/>
  <c r="P158" i="13"/>
  <c r="L158" i="13"/>
  <c r="P157" i="13"/>
  <c r="P156" i="13" s="1"/>
  <c r="N157" i="13"/>
  <c r="M157" i="13"/>
  <c r="L157" i="13"/>
  <c r="Q157" i="13" s="1"/>
  <c r="L156" i="13"/>
  <c r="L155" i="13"/>
  <c r="P154" i="13"/>
  <c r="L154" i="13"/>
  <c r="P153" i="13"/>
  <c r="N153" i="13"/>
  <c r="M153" i="13"/>
  <c r="L153" i="13"/>
  <c r="Q153" i="13" s="1"/>
  <c r="Q152" i="13"/>
  <c r="P152" i="13"/>
  <c r="M152" i="13"/>
  <c r="L152" i="13"/>
  <c r="N152" i="13" s="1"/>
  <c r="Q151" i="13"/>
  <c r="P151" i="13"/>
  <c r="N151" i="13"/>
  <c r="M151" i="13"/>
  <c r="L151" i="13"/>
  <c r="L150" i="13"/>
  <c r="N149" i="13"/>
  <c r="L149" i="13"/>
  <c r="M149" i="13" s="1"/>
  <c r="E149" i="13"/>
  <c r="E150" i="13" s="1"/>
  <c r="L148" i="13"/>
  <c r="Q147" i="13"/>
  <c r="P147" i="13"/>
  <c r="L147" i="13"/>
  <c r="N147" i="13" s="1"/>
  <c r="P146" i="13"/>
  <c r="N146" i="13"/>
  <c r="M146" i="13"/>
  <c r="L146" i="13"/>
  <c r="Q146" i="13" s="1"/>
  <c r="P145" i="13"/>
  <c r="M145" i="13"/>
  <c r="L145" i="13"/>
  <c r="Q145" i="13" s="1"/>
  <c r="P144" i="13"/>
  <c r="M144" i="13"/>
  <c r="L144" i="13"/>
  <c r="Q144" i="13" s="1"/>
  <c r="L143" i="13"/>
  <c r="N143" i="13" s="1"/>
  <c r="Q142" i="13"/>
  <c r="P142" i="13"/>
  <c r="N142" i="13"/>
  <c r="M142" i="13"/>
  <c r="L142" i="13"/>
  <c r="E142" i="13"/>
  <c r="M141" i="13"/>
  <c r="L141" i="13"/>
  <c r="N141" i="13" s="1"/>
  <c r="L140" i="13"/>
  <c r="L139" i="13"/>
  <c r="Q138" i="13"/>
  <c r="P138" i="13"/>
  <c r="L138" i="13"/>
  <c r="N138" i="13" s="1"/>
  <c r="P137" i="13"/>
  <c r="N137" i="13"/>
  <c r="M137" i="13"/>
  <c r="L137" i="13"/>
  <c r="Q137" i="13" s="1"/>
  <c r="P136" i="13"/>
  <c r="M136" i="13"/>
  <c r="L136" i="13"/>
  <c r="Q136" i="13" s="1"/>
  <c r="P135" i="13"/>
  <c r="M135" i="13"/>
  <c r="L135" i="13"/>
  <c r="Q135" i="13" s="1"/>
  <c r="Q134" i="13"/>
  <c r="P134" i="13"/>
  <c r="L134" i="13"/>
  <c r="N134" i="13" s="1"/>
  <c r="P133" i="13"/>
  <c r="N133" i="13"/>
  <c r="M133" i="13"/>
  <c r="L133" i="13"/>
  <c r="Q133" i="13" s="1"/>
  <c r="P132" i="13"/>
  <c r="P131" i="13" s="1"/>
  <c r="M132" i="13"/>
  <c r="L132" i="13"/>
  <c r="Q132" i="13" s="1"/>
  <c r="L131" i="13"/>
  <c r="Q130" i="13"/>
  <c r="P130" i="13"/>
  <c r="L130" i="13"/>
  <c r="G130" i="13"/>
  <c r="N130" i="13" s="1"/>
  <c r="F130" i="13"/>
  <c r="M130" i="13" s="1"/>
  <c r="Q129" i="13"/>
  <c r="P129" i="13"/>
  <c r="L129" i="13"/>
  <c r="G129" i="13"/>
  <c r="N129" i="13" s="1"/>
  <c r="F129" i="13"/>
  <c r="M129" i="13" s="1"/>
  <c r="Q128" i="13"/>
  <c r="P128" i="13"/>
  <c r="L128" i="13"/>
  <c r="P127" i="13"/>
  <c r="N127" i="13"/>
  <c r="M127" i="13"/>
  <c r="L127" i="13"/>
  <c r="Q127" i="13" s="1"/>
  <c r="G127" i="13"/>
  <c r="P126" i="13"/>
  <c r="L126" i="13"/>
  <c r="Q126" i="13" s="1"/>
  <c r="P125" i="13"/>
  <c r="P120" i="13" s="1"/>
  <c r="M125" i="13"/>
  <c r="L125" i="13"/>
  <c r="Q125" i="13" s="1"/>
  <c r="G125" i="13"/>
  <c r="N125" i="13" s="1"/>
  <c r="F125" i="13"/>
  <c r="P124" i="13"/>
  <c r="L124" i="13"/>
  <c r="Q124" i="13" s="1"/>
  <c r="G124" i="13"/>
  <c r="N124" i="13" s="1"/>
  <c r="P123" i="13"/>
  <c r="L123" i="13"/>
  <c r="Q123" i="13" s="1"/>
  <c r="P122" i="13"/>
  <c r="L122" i="13"/>
  <c r="Q122" i="13" s="1"/>
  <c r="G122" i="13"/>
  <c r="N122" i="13" s="1"/>
  <c r="F122" i="13"/>
  <c r="M122" i="13" s="1"/>
  <c r="Q121" i="13"/>
  <c r="P121" i="13"/>
  <c r="L121" i="13"/>
  <c r="L120" i="13"/>
  <c r="P119" i="13"/>
  <c r="L119" i="13"/>
  <c r="Q119" i="13" s="1"/>
  <c r="P118" i="13"/>
  <c r="M118" i="13"/>
  <c r="L118" i="13"/>
  <c r="Q118" i="13" s="1"/>
  <c r="F118" i="13"/>
  <c r="G118" i="13" s="1"/>
  <c r="N118" i="13" s="1"/>
  <c r="P117" i="13"/>
  <c r="L117" i="13"/>
  <c r="G117" i="13"/>
  <c r="P116" i="13"/>
  <c r="L116" i="13"/>
  <c r="Q116" i="13" s="1"/>
  <c r="G116" i="13"/>
  <c r="N116" i="13" s="1"/>
  <c r="F116" i="13"/>
  <c r="M116" i="13" s="1"/>
  <c r="P115" i="13"/>
  <c r="L115" i="13"/>
  <c r="Q115" i="13" s="1"/>
  <c r="G115" i="13"/>
  <c r="N115" i="13" s="1"/>
  <c r="F115" i="13"/>
  <c r="M115" i="13" s="1"/>
  <c r="P114" i="13"/>
  <c r="L114" i="13"/>
  <c r="Q114" i="13" s="1"/>
  <c r="F114" i="13"/>
  <c r="P113" i="13"/>
  <c r="L113" i="13"/>
  <c r="Q113" i="13" s="1"/>
  <c r="G113" i="13"/>
  <c r="N113" i="13" s="1"/>
  <c r="F113" i="13"/>
  <c r="M113" i="13" s="1"/>
  <c r="Q112" i="13"/>
  <c r="P112" i="13"/>
  <c r="L112" i="13"/>
  <c r="F112" i="13"/>
  <c r="M112" i="13" s="1"/>
  <c r="Q111" i="13"/>
  <c r="P111" i="13"/>
  <c r="L111" i="13"/>
  <c r="G111" i="13"/>
  <c r="N111" i="13" s="1"/>
  <c r="F111" i="13"/>
  <c r="M111" i="13" s="1"/>
  <c r="Q110" i="13"/>
  <c r="P110" i="13"/>
  <c r="P107" i="13" s="1"/>
  <c r="L110" i="13"/>
  <c r="G110" i="13"/>
  <c r="N110" i="13" s="1"/>
  <c r="F110" i="13"/>
  <c r="M110" i="13" s="1"/>
  <c r="Q109" i="13"/>
  <c r="P109" i="13"/>
  <c r="L109" i="13"/>
  <c r="F109" i="13"/>
  <c r="M109" i="13" s="1"/>
  <c r="P108" i="13"/>
  <c r="N108" i="13"/>
  <c r="M108" i="13"/>
  <c r="L108" i="13"/>
  <c r="Q108" i="13" s="1"/>
  <c r="G108" i="13"/>
  <c r="L107" i="13"/>
  <c r="P106" i="13"/>
  <c r="L106" i="13"/>
  <c r="Q106" i="13" s="1"/>
  <c r="G106" i="13"/>
  <c r="N106" i="13" s="1"/>
  <c r="F106" i="13"/>
  <c r="M106" i="13" s="1"/>
  <c r="P105" i="13"/>
  <c r="M105" i="13"/>
  <c r="L105" i="13"/>
  <c r="Q105" i="13" s="1"/>
  <c r="G105" i="13"/>
  <c r="N105" i="13" s="1"/>
  <c r="Q104" i="13"/>
  <c r="P104" i="13"/>
  <c r="L104" i="13"/>
  <c r="F104" i="13"/>
  <c r="M104" i="13" s="1"/>
  <c r="Q103" i="13"/>
  <c r="P103" i="13"/>
  <c r="L103" i="13"/>
  <c r="G103" i="13"/>
  <c r="N103" i="13" s="1"/>
  <c r="F103" i="13"/>
  <c r="M103" i="13" s="1"/>
  <c r="Q102" i="13"/>
  <c r="P102" i="13"/>
  <c r="L102" i="13"/>
  <c r="G102" i="13"/>
  <c r="N102" i="13" s="1"/>
  <c r="F102" i="13"/>
  <c r="M102" i="13" s="1"/>
  <c r="Q101" i="13"/>
  <c r="P101" i="13"/>
  <c r="L101" i="13"/>
  <c r="F101" i="13"/>
  <c r="M101" i="13" s="1"/>
  <c r="P100" i="13"/>
  <c r="N100" i="13"/>
  <c r="M100" i="13"/>
  <c r="L100" i="13"/>
  <c r="Q100" i="13" s="1"/>
  <c r="G100" i="13"/>
  <c r="F100" i="13"/>
  <c r="P99" i="13"/>
  <c r="M99" i="13"/>
  <c r="L99" i="13"/>
  <c r="Q99" i="13" s="1"/>
  <c r="F99" i="13"/>
  <c r="G99" i="13" s="1"/>
  <c r="N99" i="13" s="1"/>
  <c r="P98" i="13"/>
  <c r="L98" i="13"/>
  <c r="G98" i="13"/>
  <c r="F98" i="13"/>
  <c r="P97" i="13"/>
  <c r="M97" i="13"/>
  <c r="L97" i="13"/>
  <c r="Q97" i="13" s="1"/>
  <c r="F97" i="13"/>
  <c r="G97" i="13" s="1"/>
  <c r="N97" i="13" s="1"/>
  <c r="P96" i="13"/>
  <c r="L96" i="13"/>
  <c r="Q96" i="13" s="1"/>
  <c r="L95" i="13"/>
  <c r="L94" i="13"/>
  <c r="Q93" i="13"/>
  <c r="P93" i="13"/>
  <c r="N93" i="13"/>
  <c r="L93" i="13"/>
  <c r="M93" i="13" s="1"/>
  <c r="P92" i="13"/>
  <c r="L92" i="13"/>
  <c r="P91" i="13"/>
  <c r="N91" i="13"/>
  <c r="M91" i="13"/>
  <c r="L91" i="13"/>
  <c r="Q91" i="13" s="1"/>
  <c r="Q90" i="13"/>
  <c r="P90" i="13"/>
  <c r="M90" i="13"/>
  <c r="L90" i="13"/>
  <c r="N90" i="13" s="1"/>
  <c r="Q89" i="13"/>
  <c r="P89" i="13"/>
  <c r="N89" i="13"/>
  <c r="L89" i="13"/>
  <c r="M89" i="13" s="1"/>
  <c r="P88" i="13"/>
  <c r="L88" i="13"/>
  <c r="P87" i="13"/>
  <c r="N87" i="13"/>
  <c r="M87" i="13"/>
  <c r="L87" i="13"/>
  <c r="Q87" i="13" s="1"/>
  <c r="Q86" i="13"/>
  <c r="P86" i="13"/>
  <c r="M86" i="13"/>
  <c r="L86" i="13"/>
  <c r="N86" i="13" s="1"/>
  <c r="Q85" i="13"/>
  <c r="P85" i="13"/>
  <c r="N85" i="13"/>
  <c r="M85" i="13"/>
  <c r="L85" i="13"/>
  <c r="P84" i="13"/>
  <c r="L84" i="13"/>
  <c r="N83" i="13"/>
  <c r="M83" i="13"/>
  <c r="L83" i="13"/>
  <c r="E83" i="13"/>
  <c r="P82" i="13"/>
  <c r="L82" i="13"/>
  <c r="Q82" i="13" s="1"/>
  <c r="Q81" i="13"/>
  <c r="P81" i="13"/>
  <c r="N81" i="13"/>
  <c r="M81" i="13"/>
  <c r="L81" i="13"/>
  <c r="P80" i="13"/>
  <c r="M80" i="13"/>
  <c r="L80" i="13"/>
  <c r="Q80" i="13" s="1"/>
  <c r="L79" i="13"/>
  <c r="P78" i="13"/>
  <c r="L78" i="13"/>
  <c r="Q78" i="13" s="1"/>
  <c r="Q77" i="13"/>
  <c r="P77" i="13"/>
  <c r="N77" i="13"/>
  <c r="M77" i="13"/>
  <c r="L77" i="13"/>
  <c r="P76" i="13"/>
  <c r="M76" i="13"/>
  <c r="L76" i="13"/>
  <c r="Q76" i="13" s="1"/>
  <c r="P75" i="13"/>
  <c r="N75" i="13"/>
  <c r="L75" i="13"/>
  <c r="Q75" i="13" s="1"/>
  <c r="P74" i="13"/>
  <c r="L74" i="13"/>
  <c r="Q74" i="13" s="1"/>
  <c r="Q73" i="13"/>
  <c r="P73" i="13"/>
  <c r="N73" i="13"/>
  <c r="M73" i="13"/>
  <c r="L73" i="13"/>
  <c r="P72" i="13"/>
  <c r="M72" i="13"/>
  <c r="L72" i="13"/>
  <c r="Q72" i="13" s="1"/>
  <c r="P71" i="13"/>
  <c r="N71" i="13"/>
  <c r="L71" i="13"/>
  <c r="Q71" i="13" s="1"/>
  <c r="P70" i="13"/>
  <c r="L70" i="13"/>
  <c r="Q70" i="13" s="1"/>
  <c r="Q69" i="13"/>
  <c r="P69" i="13"/>
  <c r="N69" i="13"/>
  <c r="M69" i="13"/>
  <c r="L69" i="13"/>
  <c r="P68" i="13"/>
  <c r="M68" i="13"/>
  <c r="L68" i="13"/>
  <c r="Q68" i="13" s="1"/>
  <c r="E68" i="13"/>
  <c r="P67" i="13"/>
  <c r="M67" i="13"/>
  <c r="L67" i="13"/>
  <c r="Q67" i="13" s="1"/>
  <c r="P66" i="13"/>
  <c r="M66" i="13"/>
  <c r="L66" i="13"/>
  <c r="Q66" i="13" s="1"/>
  <c r="Q65" i="13"/>
  <c r="P65" i="13"/>
  <c r="L65" i="13"/>
  <c r="N65" i="13" s="1"/>
  <c r="P64" i="13"/>
  <c r="N64" i="13"/>
  <c r="M64" i="13"/>
  <c r="L64" i="13"/>
  <c r="Q64" i="13" s="1"/>
  <c r="L63" i="13"/>
  <c r="L62" i="13"/>
  <c r="Q61" i="13"/>
  <c r="P61" i="13"/>
  <c r="L61" i="13"/>
  <c r="N61" i="13" s="1"/>
  <c r="P60" i="13"/>
  <c r="N60" i="13"/>
  <c r="M60" i="13"/>
  <c r="L60" i="13"/>
  <c r="Q60" i="13" s="1"/>
  <c r="P59" i="13"/>
  <c r="M59" i="13"/>
  <c r="L59" i="13"/>
  <c r="Q59" i="13" s="1"/>
  <c r="M58" i="13"/>
  <c r="L58" i="13"/>
  <c r="N58" i="13" s="1"/>
  <c r="E58" i="13"/>
  <c r="Q58" i="13" s="1"/>
  <c r="Q57" i="13"/>
  <c r="P57" i="13"/>
  <c r="M57" i="13"/>
  <c r="L57" i="13"/>
  <c r="N57" i="13" s="1"/>
  <c r="Q56" i="13"/>
  <c r="P56" i="13"/>
  <c r="N56" i="13"/>
  <c r="L56" i="13"/>
  <c r="M56" i="13" s="1"/>
  <c r="P55" i="13"/>
  <c r="L55" i="13"/>
  <c r="P54" i="13"/>
  <c r="N54" i="13"/>
  <c r="M54" i="13"/>
  <c r="L54" i="13"/>
  <c r="Q54" i="13" s="1"/>
  <c r="L53" i="13"/>
  <c r="L52" i="13"/>
  <c r="P51" i="13"/>
  <c r="L51" i="13"/>
  <c r="Q51" i="13" s="1"/>
  <c r="E51" i="13"/>
  <c r="P50" i="13"/>
  <c r="L50" i="13"/>
  <c r="Q50" i="13" s="1"/>
  <c r="P49" i="13"/>
  <c r="M49" i="13"/>
  <c r="L49" i="13"/>
  <c r="Q49" i="13" s="1"/>
  <c r="P48" i="13"/>
  <c r="M48" i="13"/>
  <c r="L48" i="13"/>
  <c r="Q48" i="13" s="1"/>
  <c r="Q47" i="13"/>
  <c r="P47" i="13"/>
  <c r="L47" i="13"/>
  <c r="N47" i="13" s="1"/>
  <c r="P46" i="13"/>
  <c r="N46" i="13"/>
  <c r="M46" i="13"/>
  <c r="L46" i="13"/>
  <c r="Q46" i="13" s="1"/>
  <c r="P45" i="13"/>
  <c r="P43" i="13" s="1"/>
  <c r="M45" i="13"/>
  <c r="L45" i="13"/>
  <c r="Q45" i="13" s="1"/>
  <c r="P44" i="13"/>
  <c r="M44" i="13"/>
  <c r="L44" i="13"/>
  <c r="Q44" i="13" s="1"/>
  <c r="L43" i="13"/>
  <c r="P42" i="13"/>
  <c r="N42" i="13"/>
  <c r="M42" i="13"/>
  <c r="L42" i="13"/>
  <c r="Q42" i="13" s="1"/>
  <c r="P41" i="13"/>
  <c r="M41" i="13"/>
  <c r="L41" i="13"/>
  <c r="Q41" i="13" s="1"/>
  <c r="P40" i="13"/>
  <c r="M40" i="13"/>
  <c r="L40" i="13"/>
  <c r="Q40" i="13" s="1"/>
  <c r="Q39" i="13"/>
  <c r="P39" i="13"/>
  <c r="L39" i="13"/>
  <c r="N39" i="13" s="1"/>
  <c r="P38" i="13"/>
  <c r="N38" i="13"/>
  <c r="M38" i="13"/>
  <c r="L38" i="13"/>
  <c r="Q38" i="13" s="1"/>
  <c r="P37" i="13"/>
  <c r="P35" i="13" s="1"/>
  <c r="M37" i="13"/>
  <c r="L37" i="13"/>
  <c r="Q37" i="13" s="1"/>
  <c r="P36" i="13"/>
  <c r="M36" i="13"/>
  <c r="L36" i="13"/>
  <c r="Q36" i="13" s="1"/>
  <c r="Q35" i="13"/>
  <c r="L35" i="13"/>
  <c r="P34" i="13"/>
  <c r="N34" i="13"/>
  <c r="M34" i="13"/>
  <c r="L34" i="13"/>
  <c r="Q34" i="13" s="1"/>
  <c r="P33" i="13"/>
  <c r="L33" i="13"/>
  <c r="Q33" i="13" s="1"/>
  <c r="P32" i="13"/>
  <c r="L32" i="13"/>
  <c r="Q32" i="13" s="1"/>
  <c r="P31" i="13"/>
  <c r="P30" i="13" s="1"/>
  <c r="N31" i="13"/>
  <c r="M31" i="13"/>
  <c r="L31" i="13"/>
  <c r="Q31" i="13" s="1"/>
  <c r="L30" i="13"/>
  <c r="P29" i="13"/>
  <c r="N29" i="13"/>
  <c r="M29" i="13"/>
  <c r="M28" i="13" s="1"/>
  <c r="L29" i="13"/>
  <c r="Q29" i="13" s="1"/>
  <c r="P28" i="13"/>
  <c r="P11" i="13"/>
  <c r="T8" i="13"/>
  <c r="K1132" i="12"/>
  <c r="K1130" i="12"/>
  <c r="K1128" i="12"/>
  <c r="K1127" i="12"/>
  <c r="K1129" i="12" s="1"/>
  <c r="K1133" i="12" s="1"/>
  <c r="C1125" i="12"/>
  <c r="K1120" i="12"/>
  <c r="K1118" i="12"/>
  <c r="K1117" i="12"/>
  <c r="K1116" i="12"/>
  <c r="K1115" i="12"/>
  <c r="K1114" i="12"/>
  <c r="K1113" i="12"/>
  <c r="K1112" i="12"/>
  <c r="K1111" i="12"/>
  <c r="K1110" i="12"/>
  <c r="K1109" i="12"/>
  <c r="K1122" i="12" s="1"/>
  <c r="K1108" i="12"/>
  <c r="K1107" i="12"/>
  <c r="K1106" i="12"/>
  <c r="K1105" i="12"/>
  <c r="K1104" i="12"/>
  <c r="K1103" i="12"/>
  <c r="K1102" i="12"/>
  <c r="K1101" i="12"/>
  <c r="K1100" i="12"/>
  <c r="K1099" i="12"/>
  <c r="K1098" i="12"/>
  <c r="K1097" i="12"/>
  <c r="K1096" i="12"/>
  <c r="K1095" i="12"/>
  <c r="K1094" i="12"/>
  <c r="K1093" i="12"/>
  <c r="K1092" i="12"/>
  <c r="K1091" i="12"/>
  <c r="K1119" i="12" s="1"/>
  <c r="K1123" i="12" s="1"/>
  <c r="C1089" i="12"/>
  <c r="K1086" i="12"/>
  <c r="K1085" i="12"/>
  <c r="K1084" i="12"/>
  <c r="K1082" i="12"/>
  <c r="K1081" i="12"/>
  <c r="K1080" i="12"/>
  <c r="K1079" i="12"/>
  <c r="K1078" i="12"/>
  <c r="K1077" i="12"/>
  <c r="K1083" i="12" s="1"/>
  <c r="K1087" i="12" s="1"/>
  <c r="K1076" i="12"/>
  <c r="C1074" i="12"/>
  <c r="K1071" i="12"/>
  <c r="K1069" i="12"/>
  <c r="K1067" i="12"/>
  <c r="K1066" i="12"/>
  <c r="K1065" i="12"/>
  <c r="K1064" i="12"/>
  <c r="K1063" i="12"/>
  <c r="K1062" i="12"/>
  <c r="K1061" i="12"/>
  <c r="K1068" i="12" s="1"/>
  <c r="C1059" i="12"/>
  <c r="K1054" i="12"/>
  <c r="K1052" i="12"/>
  <c r="K1051" i="12"/>
  <c r="K1050" i="12"/>
  <c r="K1049" i="12"/>
  <c r="K1048" i="12"/>
  <c r="K1047" i="12"/>
  <c r="K1046" i="12"/>
  <c r="K1053" i="12" s="1"/>
  <c r="K1057" i="12" s="1"/>
  <c r="C1044" i="12"/>
  <c r="K1039" i="12"/>
  <c r="K1037" i="12"/>
  <c r="K1036" i="12"/>
  <c r="K1035" i="12"/>
  <c r="K1034" i="12"/>
  <c r="K1033" i="12"/>
  <c r="K1032" i="12"/>
  <c r="K1031" i="12"/>
  <c r="K1038" i="12" s="1"/>
  <c r="C1029" i="12"/>
  <c r="K1024" i="12"/>
  <c r="K1022" i="12"/>
  <c r="K1021" i="12"/>
  <c r="K1020" i="12"/>
  <c r="K1019" i="12"/>
  <c r="K1018" i="12"/>
  <c r="K1017" i="12"/>
  <c r="K1016" i="12"/>
  <c r="K1015" i="12"/>
  <c r="C1013" i="12"/>
  <c r="K1008" i="12"/>
  <c r="K1006" i="12"/>
  <c r="K1005" i="12"/>
  <c r="K1004" i="12"/>
  <c r="K1003" i="12"/>
  <c r="K1002" i="12"/>
  <c r="K1007" i="12" s="1"/>
  <c r="K1001" i="12"/>
  <c r="K1000" i="12"/>
  <c r="C998" i="12"/>
  <c r="K993" i="12"/>
  <c r="K991" i="12"/>
  <c r="K990" i="12"/>
  <c r="K989" i="12"/>
  <c r="K988" i="12"/>
  <c r="K987" i="12"/>
  <c r="K986" i="12"/>
  <c r="K985" i="12"/>
  <c r="K984" i="12"/>
  <c r="K983" i="12"/>
  <c r="K982" i="12"/>
  <c r="C980" i="12"/>
  <c r="K975" i="12"/>
  <c r="K973" i="12"/>
  <c r="K972" i="12"/>
  <c r="K971" i="12"/>
  <c r="K970" i="12"/>
  <c r="K969" i="12"/>
  <c r="K968" i="12"/>
  <c r="K967" i="12"/>
  <c r="K966" i="12"/>
  <c r="K977" i="12" s="1"/>
  <c r="K965" i="12"/>
  <c r="K964" i="12"/>
  <c r="K963" i="12"/>
  <c r="K962" i="12"/>
  <c r="K974" i="12" s="1"/>
  <c r="K961" i="12"/>
  <c r="K960" i="12"/>
  <c r="K959" i="12"/>
  <c r="K958" i="12"/>
  <c r="K957" i="12"/>
  <c r="C955" i="12"/>
  <c r="K952" i="12"/>
  <c r="K950" i="12"/>
  <c r="K948" i="12"/>
  <c r="K947" i="12"/>
  <c r="K946" i="12"/>
  <c r="K945" i="12"/>
  <c r="K944" i="12"/>
  <c r="K943" i="12"/>
  <c r="K942" i="12"/>
  <c r="K941" i="12"/>
  <c r="K940" i="12"/>
  <c r="K939" i="12"/>
  <c r="K938" i="12"/>
  <c r="K937" i="12"/>
  <c r="K949" i="12" s="1"/>
  <c r="C935" i="12"/>
  <c r="K930" i="12"/>
  <c r="K928" i="12"/>
  <c r="K927" i="12"/>
  <c r="K926" i="12"/>
  <c r="K925" i="12"/>
  <c r="K924" i="12"/>
  <c r="K923" i="12"/>
  <c r="K922" i="12"/>
  <c r="K921" i="12"/>
  <c r="K920" i="12"/>
  <c r="K919" i="12"/>
  <c r="K918" i="12"/>
  <c r="K917" i="12"/>
  <c r="K916" i="12"/>
  <c r="K915" i="12"/>
  <c r="K914" i="12"/>
  <c r="K913" i="12"/>
  <c r="K912" i="12"/>
  <c r="K911" i="12"/>
  <c r="K910" i="12"/>
  <c r="K909" i="12"/>
  <c r="K908" i="12"/>
  <c r="K907" i="12"/>
  <c r="K906" i="12"/>
  <c r="K905" i="12"/>
  <c r="K904" i="12"/>
  <c r="K903" i="12"/>
  <c r="K902" i="12"/>
  <c r="K901" i="12"/>
  <c r="K900" i="12"/>
  <c r="K899" i="12"/>
  <c r="K898" i="12"/>
  <c r="K897" i="12"/>
  <c r="K896" i="12"/>
  <c r="K895" i="12"/>
  <c r="K894" i="12"/>
  <c r="K893" i="12"/>
  <c r="K892" i="12"/>
  <c r="K891" i="12"/>
  <c r="K890" i="12"/>
  <c r="K889" i="12"/>
  <c r="K932" i="12" s="1"/>
  <c r="K888" i="12"/>
  <c r="K887" i="12"/>
  <c r="K886" i="12"/>
  <c r="K885" i="12"/>
  <c r="K884" i="12"/>
  <c r="K883" i="12"/>
  <c r="K882" i="12"/>
  <c r="K881" i="12"/>
  <c r="K880" i="12"/>
  <c r="K879" i="12"/>
  <c r="K878" i="12"/>
  <c r="K877" i="12"/>
  <c r="G877" i="12"/>
  <c r="G876" i="12"/>
  <c r="K876" i="12" s="1"/>
  <c r="K875" i="12"/>
  <c r="K874" i="12"/>
  <c r="K873" i="12"/>
  <c r="K872" i="12"/>
  <c r="K871" i="12"/>
  <c r="K870" i="12"/>
  <c r="K869" i="12"/>
  <c r="K868" i="12"/>
  <c r="K867" i="12"/>
  <c r="K866" i="12"/>
  <c r="K865" i="12"/>
  <c r="K864" i="12"/>
  <c r="K863" i="12"/>
  <c r="K862" i="12"/>
  <c r="K861" i="12"/>
  <c r="K860" i="12"/>
  <c r="K859" i="12"/>
  <c r="K858" i="12"/>
  <c r="K857" i="12"/>
  <c r="K856" i="12"/>
  <c r="K855" i="12"/>
  <c r="K854" i="12"/>
  <c r="K853" i="12"/>
  <c r="K852" i="12"/>
  <c r="K851" i="12"/>
  <c r="K850" i="12"/>
  <c r="K849" i="12"/>
  <c r="K848" i="12"/>
  <c r="K847" i="12"/>
  <c r="K846" i="12"/>
  <c r="K845" i="12"/>
  <c r="K844" i="12"/>
  <c r="K843" i="12"/>
  <c r="K842" i="12"/>
  <c r="K841" i="12"/>
  <c r="K840" i="12"/>
  <c r="K839" i="12"/>
  <c r="K838" i="12"/>
  <c r="K837" i="12"/>
  <c r="K836" i="12"/>
  <c r="K835" i="12"/>
  <c r="K834" i="12"/>
  <c r="K833" i="12"/>
  <c r="C831" i="12"/>
  <c r="K826" i="12"/>
  <c r="K824" i="12"/>
  <c r="G823" i="12"/>
  <c r="F823" i="12"/>
  <c r="K823" i="12" s="1"/>
  <c r="K828" i="12" s="1"/>
  <c r="G822" i="12"/>
  <c r="F822" i="12"/>
  <c r="K822" i="12" s="1"/>
  <c r="K821" i="12"/>
  <c r="C819" i="12"/>
  <c r="K816" i="12"/>
  <c r="K814" i="12"/>
  <c r="K813" i="12"/>
  <c r="K817" i="12" s="1"/>
  <c r="K812" i="12"/>
  <c r="K811" i="12"/>
  <c r="G811" i="12"/>
  <c r="F811" i="12"/>
  <c r="K810" i="12"/>
  <c r="C808" i="12"/>
  <c r="K805" i="12"/>
  <c r="K803" i="12"/>
  <c r="K801" i="12"/>
  <c r="K800" i="12"/>
  <c r="K802" i="12" s="1"/>
  <c r="K806" i="12" s="1"/>
  <c r="G800" i="12"/>
  <c r="F800" i="12"/>
  <c r="K799" i="12"/>
  <c r="C797" i="12"/>
  <c r="K792" i="12"/>
  <c r="K790" i="12"/>
  <c r="F789" i="12"/>
  <c r="G788" i="12"/>
  <c r="G789" i="12" s="1"/>
  <c r="F788" i="12"/>
  <c r="K788" i="12" s="1"/>
  <c r="K787" i="12"/>
  <c r="C785" i="12"/>
  <c r="K782" i="12"/>
  <c r="K780" i="12"/>
  <c r="K778" i="12"/>
  <c r="G777" i="12"/>
  <c r="K777" i="12" s="1"/>
  <c r="F777" i="12"/>
  <c r="K776" i="12"/>
  <c r="K779" i="12" s="1"/>
  <c r="K783" i="12" s="1"/>
  <c r="C774" i="12"/>
  <c r="K769" i="12"/>
  <c r="K767" i="12"/>
  <c r="G766" i="12"/>
  <c r="K765" i="12"/>
  <c r="G765" i="12"/>
  <c r="F765" i="12"/>
  <c r="F766" i="12" s="1"/>
  <c r="K766" i="12" s="1"/>
  <c r="K771" i="12" s="1"/>
  <c r="K764" i="12"/>
  <c r="C762" i="12"/>
  <c r="K757" i="12"/>
  <c r="K755" i="12"/>
  <c r="F754" i="12"/>
  <c r="K754" i="12" s="1"/>
  <c r="K759" i="12" s="1"/>
  <c r="G753" i="12"/>
  <c r="G754" i="12" s="1"/>
  <c r="F753" i="12"/>
  <c r="K753" i="12" s="1"/>
  <c r="K752" i="12"/>
  <c r="C750" i="12"/>
  <c r="K747" i="12"/>
  <c r="K745" i="12"/>
  <c r="K743" i="12"/>
  <c r="K742" i="12"/>
  <c r="K741" i="12"/>
  <c r="G741" i="12"/>
  <c r="F741" i="12"/>
  <c r="K740" i="12"/>
  <c r="K744" i="12" s="1"/>
  <c r="K748" i="12" s="1"/>
  <c r="C738" i="12"/>
  <c r="K733" i="12"/>
  <c r="K731" i="12"/>
  <c r="K730" i="12"/>
  <c r="K729" i="12"/>
  <c r="K728" i="12"/>
  <c r="K727" i="12"/>
  <c r="K726" i="12"/>
  <c r="K725" i="12"/>
  <c r="K724" i="12"/>
  <c r="K723" i="12"/>
  <c r="K722" i="12"/>
  <c r="K721" i="12"/>
  <c r="K720" i="12"/>
  <c r="K719" i="12"/>
  <c r="K718" i="12"/>
  <c r="K717" i="12"/>
  <c r="K716" i="12"/>
  <c r="K715" i="12"/>
  <c r="K714" i="12"/>
  <c r="K713" i="12"/>
  <c r="K712" i="12"/>
  <c r="K711" i="12"/>
  <c r="K710" i="12"/>
  <c r="K709" i="12"/>
  <c r="K708" i="12"/>
  <c r="K707" i="12"/>
  <c r="K706" i="12"/>
  <c r="K705" i="12"/>
  <c r="K704" i="12"/>
  <c r="K703" i="12"/>
  <c r="K702" i="12"/>
  <c r="K701" i="12"/>
  <c r="K700" i="12"/>
  <c r="K699" i="12"/>
  <c r="K698" i="12"/>
  <c r="K697" i="12"/>
  <c r="K696" i="12"/>
  <c r="K695" i="12"/>
  <c r="K694" i="12"/>
  <c r="K693" i="12"/>
  <c r="K692" i="12"/>
  <c r="K691" i="12"/>
  <c r="K690" i="12"/>
  <c r="K689" i="12"/>
  <c r="K688" i="12"/>
  <c r="K687" i="12"/>
  <c r="K686" i="12"/>
  <c r="K685" i="12"/>
  <c r="K684" i="12"/>
  <c r="K683" i="12"/>
  <c r="K682" i="12"/>
  <c r="K681" i="12"/>
  <c r="K680" i="12"/>
  <c r="K732" i="12" s="1"/>
  <c r="K736" i="12" s="1"/>
  <c r="C678" i="12"/>
  <c r="K673" i="12"/>
  <c r="K671" i="12"/>
  <c r="K670" i="12"/>
  <c r="K675" i="12" s="1"/>
  <c r="K669" i="12"/>
  <c r="K668" i="12"/>
  <c r="K667" i="12"/>
  <c r="K666" i="12"/>
  <c r="K665" i="12"/>
  <c r="K664" i="12"/>
  <c r="C662" i="12"/>
  <c r="K657" i="12"/>
  <c r="K655" i="12"/>
  <c r="K654" i="12"/>
  <c r="K653" i="12"/>
  <c r="K652" i="12"/>
  <c r="K656" i="12" s="1"/>
  <c r="K651" i="12"/>
  <c r="K650" i="12"/>
  <c r="K649" i="12"/>
  <c r="K648" i="12"/>
  <c r="C646" i="12"/>
  <c r="K641" i="12"/>
  <c r="K639" i="12"/>
  <c r="K638" i="12"/>
  <c r="K643" i="12" s="1"/>
  <c r="K637" i="12"/>
  <c r="K636" i="12"/>
  <c r="K635" i="12"/>
  <c r="K634" i="12"/>
  <c r="K633" i="12"/>
  <c r="K640" i="12" s="1"/>
  <c r="C631" i="12"/>
  <c r="K626" i="12"/>
  <c r="K623" i="12"/>
  <c r="K628" i="12" s="1"/>
  <c r="K622" i="12"/>
  <c r="K621" i="12"/>
  <c r="K620" i="12"/>
  <c r="K619" i="12"/>
  <c r="K618" i="12"/>
  <c r="K617" i="12"/>
  <c r="K616" i="12"/>
  <c r="C614" i="12"/>
  <c r="K609" i="12"/>
  <c r="K607" i="12"/>
  <c r="K606" i="12"/>
  <c r="K611" i="12" s="1"/>
  <c r="K605" i="12"/>
  <c r="K604" i="12"/>
  <c r="K603" i="12"/>
  <c r="K602" i="12"/>
  <c r="K601" i="12"/>
  <c r="K608" i="12" s="1"/>
  <c r="C599" i="12"/>
  <c r="K594" i="12"/>
  <c r="K592" i="12"/>
  <c r="K591" i="12"/>
  <c r="K590" i="12"/>
  <c r="K596" i="12" s="1"/>
  <c r="K595" i="12" s="1"/>
  <c r="K589" i="12"/>
  <c r="K588" i="12"/>
  <c r="K587" i="12"/>
  <c r="K586" i="12"/>
  <c r="K585" i="12"/>
  <c r="K593" i="12" s="1"/>
  <c r="K597" i="12" s="1"/>
  <c r="C583" i="12"/>
  <c r="K578" i="12"/>
  <c r="K576" i="12"/>
  <c r="K575" i="12"/>
  <c r="K574" i="12"/>
  <c r="K580" i="12" s="1"/>
  <c r="K573" i="12"/>
  <c r="K572" i="12"/>
  <c r="K571" i="12"/>
  <c r="K570" i="12"/>
  <c r="K577" i="12" s="1"/>
  <c r="K581" i="12" s="1"/>
  <c r="C568" i="12"/>
  <c r="K563" i="12"/>
  <c r="K561" i="12"/>
  <c r="K560" i="12"/>
  <c r="K559" i="12"/>
  <c r="K565" i="12" s="1"/>
  <c r="K558" i="12"/>
  <c r="K557" i="12"/>
  <c r="K556" i="12"/>
  <c r="K555" i="12"/>
  <c r="K562" i="12" s="1"/>
  <c r="C553" i="12"/>
  <c r="K548" i="12"/>
  <c r="K546" i="12"/>
  <c r="K545" i="12"/>
  <c r="J545" i="12"/>
  <c r="I545" i="12"/>
  <c r="J544" i="12"/>
  <c r="I544" i="12"/>
  <c r="J543" i="12"/>
  <c r="K543" i="12" s="1"/>
  <c r="I543" i="12"/>
  <c r="J542" i="12"/>
  <c r="I542" i="12"/>
  <c r="K542" i="12" s="1"/>
  <c r="K541" i="12"/>
  <c r="J541" i="12"/>
  <c r="I541" i="12"/>
  <c r="J540" i="12"/>
  <c r="I540" i="12"/>
  <c r="J539" i="12"/>
  <c r="K539" i="12" s="1"/>
  <c r="I539" i="12"/>
  <c r="J538" i="12"/>
  <c r="I538" i="12"/>
  <c r="K538" i="12" s="1"/>
  <c r="K537" i="12"/>
  <c r="J537" i="12"/>
  <c r="I537" i="12"/>
  <c r="J536" i="12"/>
  <c r="I536" i="12"/>
  <c r="K536" i="12" s="1"/>
  <c r="J535" i="12"/>
  <c r="K535" i="12" s="1"/>
  <c r="I535" i="12"/>
  <c r="J534" i="12"/>
  <c r="I534" i="12"/>
  <c r="K534" i="12" s="1"/>
  <c r="K533" i="12"/>
  <c r="J533" i="12"/>
  <c r="I533" i="12"/>
  <c r="J532" i="12"/>
  <c r="I532" i="12"/>
  <c r="K532" i="12" s="1"/>
  <c r="J531" i="12"/>
  <c r="K531" i="12" s="1"/>
  <c r="I531" i="12"/>
  <c r="J530" i="12"/>
  <c r="I530" i="12"/>
  <c r="K530" i="12" s="1"/>
  <c r="K529" i="12"/>
  <c r="J529" i="12"/>
  <c r="I529" i="12"/>
  <c r="J528" i="12"/>
  <c r="I528" i="12"/>
  <c r="J527" i="12"/>
  <c r="K527" i="12" s="1"/>
  <c r="I527" i="12"/>
  <c r="J526" i="12"/>
  <c r="I526" i="12"/>
  <c r="K526" i="12" s="1"/>
  <c r="K525" i="12"/>
  <c r="J525" i="12"/>
  <c r="I525" i="12"/>
  <c r="J524" i="12"/>
  <c r="I524" i="12"/>
  <c r="J523" i="12"/>
  <c r="K523" i="12" s="1"/>
  <c r="I523" i="12"/>
  <c r="J522" i="12"/>
  <c r="I522" i="12"/>
  <c r="K522" i="12" s="1"/>
  <c r="K521" i="12"/>
  <c r="J521" i="12"/>
  <c r="I521" i="12"/>
  <c r="J520" i="12"/>
  <c r="I520" i="12"/>
  <c r="K520" i="12" s="1"/>
  <c r="J519" i="12"/>
  <c r="K519" i="12" s="1"/>
  <c r="I519" i="12"/>
  <c r="J518" i="12"/>
  <c r="I518" i="12"/>
  <c r="K518" i="12" s="1"/>
  <c r="K517" i="12"/>
  <c r="J517" i="12"/>
  <c r="I517" i="12"/>
  <c r="J516" i="12"/>
  <c r="I516" i="12"/>
  <c r="K516" i="12" s="1"/>
  <c r="J515" i="12"/>
  <c r="K515" i="12" s="1"/>
  <c r="I515" i="12"/>
  <c r="J514" i="12"/>
  <c r="I514" i="12"/>
  <c r="K514" i="12" s="1"/>
  <c r="K513" i="12"/>
  <c r="J513" i="12"/>
  <c r="I513" i="12"/>
  <c r="J512" i="12"/>
  <c r="I512" i="12"/>
  <c r="J511" i="12"/>
  <c r="K511" i="12" s="1"/>
  <c r="I511" i="12"/>
  <c r="J510" i="12"/>
  <c r="I510" i="12"/>
  <c r="K510" i="12" s="1"/>
  <c r="K509" i="12"/>
  <c r="J509" i="12"/>
  <c r="I509" i="12"/>
  <c r="J508" i="12"/>
  <c r="I508" i="12"/>
  <c r="J507" i="12"/>
  <c r="K507" i="12" s="1"/>
  <c r="I507" i="12"/>
  <c r="J506" i="12"/>
  <c r="I506" i="12"/>
  <c r="K506" i="12" s="1"/>
  <c r="K505" i="12"/>
  <c r="J505" i="12"/>
  <c r="I505" i="12"/>
  <c r="J504" i="12"/>
  <c r="I504" i="12"/>
  <c r="K504" i="12" s="1"/>
  <c r="J503" i="12"/>
  <c r="K503" i="12" s="1"/>
  <c r="I503" i="12"/>
  <c r="J502" i="12"/>
  <c r="I502" i="12"/>
  <c r="K502" i="12" s="1"/>
  <c r="K501" i="12"/>
  <c r="J501" i="12"/>
  <c r="I501" i="12"/>
  <c r="J500" i="12"/>
  <c r="I500" i="12"/>
  <c r="K500" i="12" s="1"/>
  <c r="J499" i="12"/>
  <c r="K499" i="12" s="1"/>
  <c r="I499" i="12"/>
  <c r="J498" i="12"/>
  <c r="I498" i="12"/>
  <c r="K498" i="12" s="1"/>
  <c r="K497" i="12"/>
  <c r="J497" i="12"/>
  <c r="I497" i="12"/>
  <c r="J496" i="12"/>
  <c r="I496" i="12"/>
  <c r="J495" i="12"/>
  <c r="K495" i="12" s="1"/>
  <c r="I495" i="12"/>
  <c r="C493" i="12"/>
  <c r="K486" i="12"/>
  <c r="K485" i="12"/>
  <c r="K484" i="12"/>
  <c r="K483" i="12"/>
  <c r="K482" i="12"/>
  <c r="K481" i="12"/>
  <c r="K480" i="12"/>
  <c r="K479" i="12"/>
  <c r="K478" i="12"/>
  <c r="K477" i="12"/>
  <c r="K476" i="12"/>
  <c r="K475" i="12"/>
  <c r="K474" i="12"/>
  <c r="K473" i="12"/>
  <c r="K472" i="12"/>
  <c r="K471" i="12"/>
  <c r="K470" i="12"/>
  <c r="K469" i="12"/>
  <c r="K468" i="12"/>
  <c r="E468" i="12"/>
  <c r="K467" i="12"/>
  <c r="K466" i="12"/>
  <c r="K465" i="12"/>
  <c r="K464" i="12"/>
  <c r="K463" i="12"/>
  <c r="K462" i="12"/>
  <c r="K461" i="12"/>
  <c r="K460" i="12"/>
  <c r="K459" i="12"/>
  <c r="K458" i="12"/>
  <c r="K457" i="12"/>
  <c r="K456" i="12"/>
  <c r="K455" i="12"/>
  <c r="K454" i="12"/>
  <c r="K453" i="12"/>
  <c r="K452" i="12"/>
  <c r="K487" i="12" s="1"/>
  <c r="K443" i="12"/>
  <c r="K442" i="12"/>
  <c r="K441" i="12"/>
  <c r="K432" i="12"/>
  <c r="K431" i="12"/>
  <c r="K430" i="12"/>
  <c r="K433" i="12" s="1"/>
  <c r="K423" i="12"/>
  <c r="K422" i="12"/>
  <c r="K421" i="12"/>
  <c r="K420" i="12"/>
  <c r="K419" i="12"/>
  <c r="K410" i="12"/>
  <c r="K409" i="12"/>
  <c r="K411" i="12" s="1"/>
  <c r="K408" i="12"/>
  <c r="K400" i="12"/>
  <c r="K399" i="12"/>
  <c r="K398" i="12"/>
  <c r="K397" i="12"/>
  <c r="K389" i="12"/>
  <c r="K393" i="12" s="1"/>
  <c r="K388" i="12"/>
  <c r="K387" i="12"/>
  <c r="K386" i="12"/>
  <c r="K385" i="12"/>
  <c r="K376" i="12"/>
  <c r="K374" i="12"/>
  <c r="K373" i="12"/>
  <c r="K372" i="12"/>
  <c r="K371" i="12"/>
  <c r="K370" i="12"/>
  <c r="K369" i="12"/>
  <c r="K368" i="12"/>
  <c r="K367" i="12"/>
  <c r="K366" i="12"/>
  <c r="K365" i="12"/>
  <c r="K364" i="12"/>
  <c r="K363" i="12"/>
  <c r="K362" i="12"/>
  <c r="K361" i="12"/>
  <c r="K360" i="12"/>
  <c r="K359" i="12"/>
  <c r="K358" i="12"/>
  <c r="K357" i="12"/>
  <c r="K356" i="12"/>
  <c r="K355" i="12"/>
  <c r="K354" i="12"/>
  <c r="K353" i="12"/>
  <c r="K352" i="12"/>
  <c r="K351" i="12"/>
  <c r="K350" i="12"/>
  <c r="K349" i="12"/>
  <c r="K348" i="12"/>
  <c r="K347" i="12"/>
  <c r="K346" i="12"/>
  <c r="K345" i="12"/>
  <c r="K344" i="12"/>
  <c r="K343" i="12"/>
  <c r="K342" i="12"/>
  <c r="K341" i="12"/>
  <c r="K340" i="12"/>
  <c r="K339" i="12"/>
  <c r="K338" i="12"/>
  <c r="K337" i="12"/>
  <c r="K336" i="12"/>
  <c r="K335" i="12"/>
  <c r="K334" i="12"/>
  <c r="K333" i="12"/>
  <c r="K332" i="12"/>
  <c r="K331" i="12"/>
  <c r="K322" i="12"/>
  <c r="K321" i="12"/>
  <c r="K320" i="12"/>
  <c r="K319" i="12"/>
  <c r="K323" i="12" s="1"/>
  <c r="K310" i="12"/>
  <c r="K309" i="12"/>
  <c r="K308" i="12"/>
  <c r="K311" i="12" s="1"/>
  <c r="K299" i="12"/>
  <c r="K298" i="12"/>
  <c r="K297" i="12"/>
  <c r="K300" i="12" s="1"/>
  <c r="K288" i="12"/>
  <c r="K287" i="12"/>
  <c r="K286" i="12"/>
  <c r="K277" i="12"/>
  <c r="K276" i="12"/>
  <c r="K275" i="12"/>
  <c r="K278" i="12" s="1"/>
  <c r="K274" i="12"/>
  <c r="K266" i="12"/>
  <c r="K265" i="12"/>
  <c r="K264" i="12"/>
  <c r="K263" i="12"/>
  <c r="K254" i="12"/>
  <c r="K253" i="12"/>
  <c r="K252" i="12"/>
  <c r="K251" i="12"/>
  <c r="K255" i="12" s="1"/>
  <c r="K246" i="12"/>
  <c r="K242" i="12"/>
  <c r="K241" i="12"/>
  <c r="K240" i="12"/>
  <c r="K239" i="12"/>
  <c r="K238" i="12"/>
  <c r="K237" i="12"/>
  <c r="K236" i="12"/>
  <c r="K235" i="12"/>
  <c r="K234" i="12"/>
  <c r="K233" i="12"/>
  <c r="K232" i="12"/>
  <c r="K231" i="12"/>
  <c r="K230" i="12"/>
  <c r="K229" i="12"/>
  <c r="K228" i="12"/>
  <c r="K227" i="12"/>
  <c r="K226" i="12"/>
  <c r="K225" i="12"/>
  <c r="K224" i="12"/>
  <c r="K223" i="12"/>
  <c r="K222" i="12"/>
  <c r="K221" i="12"/>
  <c r="K220" i="12"/>
  <c r="K219" i="12"/>
  <c r="K218" i="12"/>
  <c r="K217" i="12"/>
  <c r="K216" i="12"/>
  <c r="K215" i="12"/>
  <c r="K214" i="12"/>
  <c r="K213" i="12"/>
  <c r="K212" i="12"/>
  <c r="K211" i="12"/>
  <c r="K210" i="12"/>
  <c r="K209" i="12"/>
  <c r="K208" i="12"/>
  <c r="K207" i="12"/>
  <c r="K206" i="12"/>
  <c r="K205" i="12"/>
  <c r="K204" i="12"/>
  <c r="K203" i="12"/>
  <c r="K202" i="12"/>
  <c r="K201" i="12"/>
  <c r="K200" i="12"/>
  <c r="K199" i="12"/>
  <c r="K198" i="12"/>
  <c r="K197" i="12"/>
  <c r="K196" i="12"/>
  <c r="K195" i="12"/>
  <c r="K194" i="12"/>
  <c r="K193" i="12"/>
  <c r="K192" i="12"/>
  <c r="K191" i="12"/>
  <c r="K243" i="12" s="1"/>
  <c r="K247" i="12" s="1"/>
  <c r="K190" i="12"/>
  <c r="K181" i="12"/>
  <c r="K180" i="12"/>
  <c r="K179" i="12"/>
  <c r="K182" i="12" s="1"/>
  <c r="K170" i="12"/>
  <c r="K169" i="12"/>
  <c r="I169" i="12"/>
  <c r="K168" i="12"/>
  <c r="K171" i="12" s="1"/>
  <c r="K159" i="12"/>
  <c r="K149" i="12"/>
  <c r="K139" i="12"/>
  <c r="K138" i="12"/>
  <c r="H138" i="12"/>
  <c r="F138" i="12"/>
  <c r="K137" i="12"/>
  <c r="K140" i="12" s="1"/>
  <c r="F137" i="12"/>
  <c r="K128" i="12"/>
  <c r="K127" i="12"/>
  <c r="K126" i="12"/>
  <c r="K125" i="12"/>
  <c r="K124" i="12"/>
  <c r="K129" i="12" s="1"/>
  <c r="K115" i="12"/>
  <c r="K114" i="12"/>
  <c r="K113" i="12"/>
  <c r="K112" i="12"/>
  <c r="K111" i="12"/>
  <c r="K116" i="12" s="1"/>
  <c r="K102" i="12"/>
  <c r="K101" i="12"/>
  <c r="K100" i="12"/>
  <c r="K91" i="12"/>
  <c r="K90" i="12"/>
  <c r="K92" i="12" s="1"/>
  <c r="K81" i="12"/>
  <c r="K80" i="12"/>
  <c r="K82" i="12" s="1"/>
  <c r="K71" i="12"/>
  <c r="K70" i="12"/>
  <c r="K72" i="12" s="1"/>
  <c r="K61" i="12"/>
  <c r="E60" i="12"/>
  <c r="K60" i="12" s="1"/>
  <c r="K62" i="12" s="1"/>
  <c r="K51" i="12"/>
  <c r="E50" i="12"/>
  <c r="K50" i="12" s="1"/>
  <c r="K52" i="12" s="1"/>
  <c r="K55" i="12" s="1"/>
  <c r="K45" i="12"/>
  <c r="K42" i="12"/>
  <c r="K46" i="12" s="1"/>
  <c r="K41" i="12"/>
  <c r="K40" i="12"/>
  <c r="K31" i="12"/>
  <c r="K30" i="12"/>
  <c r="K29" i="12"/>
  <c r="I29" i="12"/>
  <c r="K28" i="12"/>
  <c r="K27" i="12"/>
  <c r="I27" i="12"/>
  <c r="K26" i="12"/>
  <c r="I26" i="12"/>
  <c r="K25" i="12"/>
  <c r="K15" i="12"/>
  <c r="I15" i="12"/>
  <c r="K14" i="12"/>
  <c r="I14" i="12"/>
  <c r="I13" i="12"/>
  <c r="K13" i="12" s="1"/>
  <c r="I12" i="12"/>
  <c r="K12" i="12" s="1"/>
  <c r="K11" i="12"/>
  <c r="I11" i="12"/>
  <c r="K10" i="12"/>
  <c r="K19" i="12" s="1"/>
  <c r="I10" i="12"/>
  <c r="K953" i="11"/>
  <c r="K951" i="11"/>
  <c r="K950" i="11"/>
  <c r="K949" i="11"/>
  <c r="K948" i="11"/>
  <c r="K947" i="11"/>
  <c r="K946" i="11"/>
  <c r="K945" i="11"/>
  <c r="K944" i="11"/>
  <c r="K943" i="11"/>
  <c r="K942" i="11"/>
  <c r="K941" i="11"/>
  <c r="K940" i="11"/>
  <c r="K952" i="11" s="1"/>
  <c r="K956" i="11" s="1"/>
  <c r="K939" i="11"/>
  <c r="K938" i="11"/>
  <c r="K937" i="11"/>
  <c r="K955" i="11" s="1"/>
  <c r="C935" i="11"/>
  <c r="K930" i="11"/>
  <c r="K928" i="11"/>
  <c r="K927" i="11"/>
  <c r="K926" i="11"/>
  <c r="K925" i="11"/>
  <c r="K932" i="11" s="1"/>
  <c r="K924" i="11"/>
  <c r="K923" i="11"/>
  <c r="K929" i="11" s="1"/>
  <c r="K933" i="11" s="1"/>
  <c r="C921" i="11"/>
  <c r="K916" i="11"/>
  <c r="K914" i="11"/>
  <c r="K913" i="11"/>
  <c r="K912" i="11"/>
  <c r="K911" i="11"/>
  <c r="K910" i="11"/>
  <c r="K918" i="11" s="1"/>
  <c r="K909" i="11"/>
  <c r="C907" i="11"/>
  <c r="K904" i="11"/>
  <c r="K902" i="11"/>
  <c r="K900" i="11"/>
  <c r="K899" i="11"/>
  <c r="K898" i="11"/>
  <c r="K897" i="11"/>
  <c r="K896" i="11"/>
  <c r="K895" i="11"/>
  <c r="K901" i="11" s="1"/>
  <c r="K905" i="11" s="1"/>
  <c r="C893" i="11"/>
  <c r="K888" i="11"/>
  <c r="K886" i="11"/>
  <c r="K885" i="11"/>
  <c r="K884" i="11"/>
  <c r="K883" i="11"/>
  <c r="K882" i="11"/>
  <c r="K881" i="11"/>
  <c r="K887" i="11" s="1"/>
  <c r="K891" i="11" s="1"/>
  <c r="C879" i="11"/>
  <c r="K874" i="11"/>
  <c r="K873" i="11"/>
  <c r="K877" i="11" s="1"/>
  <c r="K872" i="11"/>
  <c r="K871" i="11"/>
  <c r="K870" i="11"/>
  <c r="K869" i="11"/>
  <c r="K868" i="11"/>
  <c r="K876" i="11" s="1"/>
  <c r="K867" i="11"/>
  <c r="C865" i="11"/>
  <c r="K860" i="11"/>
  <c r="K858" i="11"/>
  <c r="K857" i="11"/>
  <c r="K856" i="11"/>
  <c r="K855" i="11"/>
  <c r="K854" i="11"/>
  <c r="C852" i="11"/>
  <c r="K847" i="11"/>
  <c r="K845" i="11"/>
  <c r="K844" i="11"/>
  <c r="K843" i="11"/>
  <c r="K849" i="11" s="1"/>
  <c r="K842" i="11"/>
  <c r="K841" i="11"/>
  <c r="K840" i="11"/>
  <c r="K846" i="11" s="1"/>
  <c r="K850" i="11" s="1"/>
  <c r="K839" i="11"/>
  <c r="C837" i="11"/>
  <c r="K832" i="11"/>
  <c r="K830" i="11"/>
  <c r="K829" i="11"/>
  <c r="K828" i="11"/>
  <c r="K827" i="11"/>
  <c r="K826" i="11"/>
  <c r="K825" i="11"/>
  <c r="K824" i="11"/>
  <c r="K823" i="11"/>
  <c r="K822" i="11"/>
  <c r="K821" i="11"/>
  <c r="K834" i="11" s="1"/>
  <c r="K820" i="11"/>
  <c r="K831" i="11" s="1"/>
  <c r="K835" i="11" s="1"/>
  <c r="C818" i="11"/>
  <c r="K813" i="11"/>
  <c r="K811" i="11"/>
  <c r="K810" i="11"/>
  <c r="K809" i="11"/>
  <c r="K808" i="11"/>
  <c r="K807" i="11"/>
  <c r="K806" i="11"/>
  <c r="K812" i="11" s="1"/>
  <c r="C804" i="11"/>
  <c r="K799" i="11"/>
  <c r="K798" i="11"/>
  <c r="K802" i="11" s="1"/>
  <c r="K797" i="11"/>
  <c r="K796" i="11"/>
  <c r="K795" i="11"/>
  <c r="K794" i="11"/>
  <c r="K793" i="11"/>
  <c r="K792" i="11"/>
  <c r="K791" i="11"/>
  <c r="K790" i="11"/>
  <c r="K789" i="11"/>
  <c r="K788" i="11"/>
  <c r="G787" i="11"/>
  <c r="K787" i="11" s="1"/>
  <c r="K786" i="11"/>
  <c r="G786" i="11"/>
  <c r="K785" i="11"/>
  <c r="K784" i="11"/>
  <c r="K783" i="11"/>
  <c r="K782" i="11"/>
  <c r="K781" i="11"/>
  <c r="K780" i="11"/>
  <c r="K779" i="11"/>
  <c r="K778" i="11"/>
  <c r="K777" i="11"/>
  <c r="K776" i="11"/>
  <c r="K775" i="11"/>
  <c r="K774" i="11"/>
  <c r="K773" i="11"/>
  <c r="K772" i="11"/>
  <c r="K771" i="11"/>
  <c r="K770" i="11"/>
  <c r="K769" i="11"/>
  <c r="K768" i="11"/>
  <c r="K767" i="11"/>
  <c r="K766" i="11"/>
  <c r="K765" i="11"/>
  <c r="K764" i="11"/>
  <c r="K763" i="11"/>
  <c r="K762" i="11"/>
  <c r="K761" i="11"/>
  <c r="K760" i="11"/>
  <c r="K759" i="11"/>
  <c r="K758" i="11"/>
  <c r="K757" i="11"/>
  <c r="K756" i="11"/>
  <c r="K755" i="11"/>
  <c r="K754" i="11"/>
  <c r="K753" i="11"/>
  <c r="K752" i="11"/>
  <c r="K751" i="11"/>
  <c r="K750" i="11"/>
  <c r="K749" i="11"/>
  <c r="K748" i="11"/>
  <c r="K747" i="11"/>
  <c r="K746" i="11"/>
  <c r="K745" i="11"/>
  <c r="K744" i="11"/>
  <c r="K743" i="11"/>
  <c r="C741" i="11"/>
  <c r="K738" i="11"/>
  <c r="K736" i="11"/>
  <c r="K734" i="11"/>
  <c r="G733" i="11"/>
  <c r="F733" i="11"/>
  <c r="K733" i="11" s="1"/>
  <c r="K732" i="11"/>
  <c r="K735" i="11" s="1"/>
  <c r="K739" i="11" s="1"/>
  <c r="C730" i="11"/>
  <c r="K725" i="11"/>
  <c r="K723" i="11"/>
  <c r="G722" i="11"/>
  <c r="K722" i="11" s="1"/>
  <c r="K727" i="11" s="1"/>
  <c r="F722" i="11"/>
  <c r="K721" i="11"/>
  <c r="C719" i="11"/>
  <c r="K714" i="11"/>
  <c r="K712" i="11"/>
  <c r="K711" i="11"/>
  <c r="G711" i="11"/>
  <c r="F711" i="11"/>
  <c r="K710" i="11"/>
  <c r="C708" i="11"/>
  <c r="K703" i="11"/>
  <c r="K701" i="11"/>
  <c r="G700" i="11"/>
  <c r="F700" i="11"/>
  <c r="K700" i="11" s="1"/>
  <c r="K699" i="11"/>
  <c r="C697" i="11"/>
  <c r="K692" i="11"/>
  <c r="K690" i="11"/>
  <c r="K689" i="11"/>
  <c r="K694" i="11" s="1"/>
  <c r="G689" i="11"/>
  <c r="F689" i="11"/>
  <c r="K688" i="11"/>
  <c r="K691" i="11" s="1"/>
  <c r="K695" i="11" s="1"/>
  <c r="C686" i="11"/>
  <c r="K681" i="11"/>
  <c r="K679" i="11"/>
  <c r="G678" i="11"/>
  <c r="F678" i="11"/>
  <c r="K678" i="11" s="1"/>
  <c r="K683" i="11" s="1"/>
  <c r="K677" i="11"/>
  <c r="K680" i="11" s="1"/>
  <c r="K684" i="11" s="1"/>
  <c r="C675" i="11"/>
  <c r="K670" i="11"/>
  <c r="K668" i="11"/>
  <c r="G667" i="11"/>
  <c r="K667" i="11" s="1"/>
  <c r="K672" i="11" s="1"/>
  <c r="F667" i="11"/>
  <c r="K666" i="11"/>
  <c r="K669" i="11" s="1"/>
  <c r="K673" i="11" s="1"/>
  <c r="C664" i="11"/>
  <c r="K659" i="11"/>
  <c r="K657" i="11"/>
  <c r="G656" i="11"/>
  <c r="K656" i="11" s="1"/>
  <c r="F656" i="11"/>
  <c r="K655" i="11"/>
  <c r="C653" i="11"/>
  <c r="K648" i="11"/>
  <c r="K646" i="11"/>
  <c r="K645" i="11"/>
  <c r="K644" i="11"/>
  <c r="K643" i="11"/>
  <c r="K642" i="11"/>
  <c r="K641" i="11"/>
  <c r="K640" i="11"/>
  <c r="K639" i="11"/>
  <c r="K638" i="11"/>
  <c r="K637" i="11"/>
  <c r="K636" i="11"/>
  <c r="K635" i="11"/>
  <c r="K634" i="11"/>
  <c r="K633" i="11"/>
  <c r="K632" i="11"/>
  <c r="K631" i="11"/>
  <c r="K630" i="11"/>
  <c r="K629" i="11"/>
  <c r="K628" i="11"/>
  <c r="K627" i="11"/>
  <c r="K626" i="11"/>
  <c r="K625" i="11"/>
  <c r="K650" i="11" s="1"/>
  <c r="K624" i="11"/>
  <c r="C622" i="11"/>
  <c r="K619" i="11"/>
  <c r="K617" i="11"/>
  <c r="K615" i="11"/>
  <c r="K614" i="11"/>
  <c r="K613" i="11"/>
  <c r="K612" i="11"/>
  <c r="K611" i="11"/>
  <c r="K610" i="11"/>
  <c r="K616" i="11" s="1"/>
  <c r="K620" i="11" s="1"/>
  <c r="C608" i="11"/>
  <c r="K605" i="11"/>
  <c r="K603" i="11"/>
  <c r="K601" i="11"/>
  <c r="K600" i="11"/>
  <c r="K599" i="11"/>
  <c r="K598" i="11"/>
  <c r="K597" i="11"/>
  <c r="K596" i="11"/>
  <c r="K602" i="11" s="1"/>
  <c r="C594" i="11"/>
  <c r="K591" i="11"/>
  <c r="K589" i="11"/>
  <c r="K588" i="11"/>
  <c r="K592" i="11" s="1"/>
  <c r="K587" i="11"/>
  <c r="K586" i="11"/>
  <c r="K585" i="11"/>
  <c r="K584" i="11"/>
  <c r="K583" i="11"/>
  <c r="C581" i="11"/>
  <c r="K576" i="11"/>
  <c r="K573" i="11"/>
  <c r="K572" i="11"/>
  <c r="K571" i="11"/>
  <c r="K570" i="11"/>
  <c r="K569" i="11"/>
  <c r="K568" i="11"/>
  <c r="C566" i="11"/>
  <c r="K561" i="11"/>
  <c r="K559" i="11"/>
  <c r="K558" i="11"/>
  <c r="K557" i="11"/>
  <c r="K563" i="11" s="1"/>
  <c r="K556" i="11"/>
  <c r="K555" i="11"/>
  <c r="C553" i="11"/>
  <c r="K548" i="11"/>
  <c r="K546" i="11"/>
  <c r="K545" i="11"/>
  <c r="K544" i="11"/>
  <c r="K543" i="11"/>
  <c r="K550" i="11" s="1"/>
  <c r="K542" i="11"/>
  <c r="K541" i="11"/>
  <c r="C539" i="11"/>
  <c r="K534" i="11"/>
  <c r="K532" i="11"/>
  <c r="K531" i="11"/>
  <c r="K530" i="11"/>
  <c r="K536" i="11" s="1"/>
  <c r="K529" i="11"/>
  <c r="K528" i="11"/>
  <c r="C526" i="11"/>
  <c r="K521" i="11"/>
  <c r="K519" i="11"/>
  <c r="K518" i="11"/>
  <c r="K517" i="11"/>
  <c r="K523" i="11" s="1"/>
  <c r="K516" i="11"/>
  <c r="K515" i="11"/>
  <c r="K520" i="11" s="1"/>
  <c r="K524" i="11" s="1"/>
  <c r="C513" i="11"/>
  <c r="K508" i="11"/>
  <c r="K506" i="11"/>
  <c r="J505" i="11"/>
  <c r="I505" i="11"/>
  <c r="K505" i="11" s="1"/>
  <c r="K504" i="11"/>
  <c r="J504" i="11"/>
  <c r="I504" i="11"/>
  <c r="J503" i="11"/>
  <c r="K503" i="11" s="1"/>
  <c r="I503" i="11"/>
  <c r="J502" i="11"/>
  <c r="K502" i="11" s="1"/>
  <c r="I502" i="11"/>
  <c r="J501" i="11"/>
  <c r="I501" i="11"/>
  <c r="K501" i="11" s="1"/>
  <c r="K500" i="11"/>
  <c r="J500" i="11"/>
  <c r="I500" i="11"/>
  <c r="J499" i="11"/>
  <c r="K499" i="11" s="1"/>
  <c r="I499" i="11"/>
  <c r="J498" i="11"/>
  <c r="K498" i="11" s="1"/>
  <c r="I498" i="11"/>
  <c r="J497" i="11"/>
  <c r="I497" i="11"/>
  <c r="K497" i="11" s="1"/>
  <c r="K496" i="11"/>
  <c r="J496" i="11"/>
  <c r="I496" i="11"/>
  <c r="J495" i="11"/>
  <c r="K495" i="11" s="1"/>
  <c r="I495" i="11"/>
  <c r="J494" i="11"/>
  <c r="K494" i="11" s="1"/>
  <c r="I494" i="11"/>
  <c r="J493" i="11"/>
  <c r="I493" i="11"/>
  <c r="K493" i="11" s="1"/>
  <c r="K492" i="11"/>
  <c r="J492" i="11"/>
  <c r="I492" i="11"/>
  <c r="J491" i="11"/>
  <c r="K491" i="11" s="1"/>
  <c r="I491" i="11"/>
  <c r="J490" i="11"/>
  <c r="K490" i="11" s="1"/>
  <c r="I490" i="11"/>
  <c r="J489" i="11"/>
  <c r="I489" i="11"/>
  <c r="K489" i="11" s="1"/>
  <c r="K488" i="11"/>
  <c r="J488" i="11"/>
  <c r="I488" i="11"/>
  <c r="J487" i="11"/>
  <c r="K487" i="11" s="1"/>
  <c r="I487" i="11"/>
  <c r="J486" i="11"/>
  <c r="K486" i="11" s="1"/>
  <c r="I486" i="11"/>
  <c r="J485" i="11"/>
  <c r="I485" i="11"/>
  <c r="K485" i="11" s="1"/>
  <c r="K484" i="11"/>
  <c r="J484" i="11"/>
  <c r="I484" i="11"/>
  <c r="C482" i="11"/>
  <c r="K475" i="11"/>
  <c r="K474" i="11"/>
  <c r="K473" i="11"/>
  <c r="K472" i="11"/>
  <c r="K471" i="11"/>
  <c r="K470" i="11"/>
  <c r="K469" i="11"/>
  <c r="K468" i="11"/>
  <c r="K467" i="11"/>
  <c r="K466" i="11"/>
  <c r="K465" i="11"/>
  <c r="E464" i="11"/>
  <c r="K464" i="11" s="1"/>
  <c r="K463" i="11"/>
  <c r="K462" i="11"/>
  <c r="K461" i="11"/>
  <c r="K460" i="11"/>
  <c r="K459" i="11"/>
  <c r="K458" i="11"/>
  <c r="K457" i="11"/>
  <c r="K456" i="11"/>
  <c r="K455" i="11"/>
  <c r="K454" i="11"/>
  <c r="K453" i="11"/>
  <c r="K452" i="11"/>
  <c r="K451" i="11"/>
  <c r="K450" i="11"/>
  <c r="K449" i="11"/>
  <c r="K448" i="11"/>
  <c r="K476" i="11" s="1"/>
  <c r="K444" i="11"/>
  <c r="K439" i="11"/>
  <c r="K438" i="11"/>
  <c r="K440" i="11" s="1"/>
  <c r="K443" i="11" s="1"/>
  <c r="K437" i="11"/>
  <c r="K428" i="11"/>
  <c r="K427" i="11"/>
  <c r="K426" i="11"/>
  <c r="K429" i="11" s="1"/>
  <c r="K419" i="11"/>
  <c r="K417" i="11"/>
  <c r="K418" i="11" s="1"/>
  <c r="K421" i="11" s="1"/>
  <c r="K416" i="11"/>
  <c r="K415" i="11"/>
  <c r="K406" i="11"/>
  <c r="K405" i="11"/>
  <c r="K404" i="11"/>
  <c r="K407" i="11" s="1"/>
  <c r="K395" i="11"/>
  <c r="K396" i="11" s="1"/>
  <c r="K394" i="11"/>
  <c r="K393" i="11"/>
  <c r="K384" i="11"/>
  <c r="K383" i="11"/>
  <c r="K382" i="11"/>
  <c r="K381" i="11"/>
  <c r="K372" i="11"/>
  <c r="K370" i="11"/>
  <c r="K369" i="11"/>
  <c r="K368" i="11"/>
  <c r="K367" i="11"/>
  <c r="K366" i="11"/>
  <c r="K365" i="11"/>
  <c r="K364" i="11"/>
  <c r="K363" i="11"/>
  <c r="K362" i="11"/>
  <c r="K361" i="11"/>
  <c r="K360" i="11"/>
  <c r="K359" i="11"/>
  <c r="K358" i="11"/>
  <c r="K357" i="11"/>
  <c r="K356" i="11"/>
  <c r="K355" i="11"/>
  <c r="K354" i="11"/>
  <c r="K353" i="11"/>
  <c r="K352" i="11"/>
  <c r="K351" i="11"/>
  <c r="K350" i="11"/>
  <c r="K349" i="11"/>
  <c r="K348" i="11"/>
  <c r="K347" i="11"/>
  <c r="K346" i="11"/>
  <c r="K345" i="11"/>
  <c r="K344" i="11"/>
  <c r="K343" i="11"/>
  <c r="K342" i="11"/>
  <c r="K341" i="11"/>
  <c r="K340" i="11"/>
  <c r="K339" i="11"/>
  <c r="K338" i="11"/>
  <c r="K337" i="11"/>
  <c r="K336" i="11"/>
  <c r="K335" i="11"/>
  <c r="K334" i="11"/>
  <c r="K333" i="11"/>
  <c r="K332" i="11"/>
  <c r="K331" i="11"/>
  <c r="K330" i="11"/>
  <c r="K329" i="11"/>
  <c r="K328" i="11"/>
  <c r="K327" i="11"/>
  <c r="K318" i="11"/>
  <c r="K317" i="11"/>
  <c r="K316" i="11"/>
  <c r="K315" i="11"/>
  <c r="K319" i="11" s="1"/>
  <c r="K311" i="11"/>
  <c r="K306" i="11"/>
  <c r="K305" i="11"/>
  <c r="K307" i="11" s="1"/>
  <c r="K310" i="11" s="1"/>
  <c r="K304" i="11"/>
  <c r="K295" i="11"/>
  <c r="K294" i="11"/>
  <c r="K293" i="11"/>
  <c r="K296" i="11" s="1"/>
  <c r="K289" i="11"/>
  <c r="K284" i="11"/>
  <c r="K283" i="11"/>
  <c r="K285" i="11" s="1"/>
  <c r="K288" i="11" s="1"/>
  <c r="K282" i="11"/>
  <c r="K273" i="11"/>
  <c r="K272" i="11"/>
  <c r="K271" i="11"/>
  <c r="K270" i="11"/>
  <c r="K274" i="11" s="1"/>
  <c r="K261" i="11"/>
  <c r="K262" i="11" s="1"/>
  <c r="K260" i="11"/>
  <c r="K259" i="11"/>
  <c r="K250" i="11"/>
  <c r="K249" i="11"/>
  <c r="K248" i="11"/>
  <c r="K247" i="11"/>
  <c r="K238" i="11"/>
  <c r="K237" i="11"/>
  <c r="K236" i="11"/>
  <c r="K235" i="11"/>
  <c r="K234" i="11"/>
  <c r="K233" i="11"/>
  <c r="K232" i="11"/>
  <c r="K231" i="11"/>
  <c r="K230" i="11"/>
  <c r="K229" i="11"/>
  <c r="K228" i="11"/>
  <c r="K227" i="11"/>
  <c r="K226" i="11"/>
  <c r="K225" i="11"/>
  <c r="K224" i="11"/>
  <c r="K223" i="11"/>
  <c r="K222" i="11"/>
  <c r="K221" i="11"/>
  <c r="K220" i="11"/>
  <c r="K219" i="11"/>
  <c r="K218" i="11"/>
  <c r="K217" i="11"/>
  <c r="K216" i="11"/>
  <c r="K215" i="11"/>
  <c r="K214" i="11"/>
  <c r="K213" i="11"/>
  <c r="K212" i="11"/>
  <c r="K211" i="11"/>
  <c r="K210" i="11"/>
  <c r="K209" i="11"/>
  <c r="K208" i="11"/>
  <c r="K207" i="11"/>
  <c r="K206" i="11"/>
  <c r="K205" i="11"/>
  <c r="K204" i="11"/>
  <c r="K203" i="11"/>
  <c r="K202" i="11"/>
  <c r="K201" i="11"/>
  <c r="K200" i="11"/>
  <c r="K199" i="11"/>
  <c r="K198" i="11"/>
  <c r="K197" i="11"/>
  <c r="K196" i="11"/>
  <c r="K195" i="11"/>
  <c r="K194" i="11"/>
  <c r="K193" i="11"/>
  <c r="K192" i="11"/>
  <c r="K191" i="11"/>
  <c r="K239" i="11" s="1"/>
  <c r="K190" i="11"/>
  <c r="K189" i="11"/>
  <c r="K188" i="11"/>
  <c r="K187" i="11"/>
  <c r="K186" i="11"/>
  <c r="K181" i="11"/>
  <c r="K178" i="11"/>
  <c r="K182" i="11" s="1"/>
  <c r="K177" i="11"/>
  <c r="K176" i="11"/>
  <c r="K175" i="11"/>
  <c r="K166" i="11"/>
  <c r="I165" i="11"/>
  <c r="K165" i="11" s="1"/>
  <c r="K164" i="11"/>
  <c r="K155" i="11"/>
  <c r="K145" i="11"/>
  <c r="K135" i="11"/>
  <c r="H134" i="11"/>
  <c r="K134" i="11" s="1"/>
  <c r="F134" i="11"/>
  <c r="F133" i="11"/>
  <c r="K133" i="11" s="1"/>
  <c r="K124" i="11"/>
  <c r="K123" i="11"/>
  <c r="K122" i="11"/>
  <c r="K121" i="11"/>
  <c r="K117" i="11"/>
  <c r="K116" i="11"/>
  <c r="K113" i="11"/>
  <c r="K112" i="11"/>
  <c r="K111" i="11"/>
  <c r="K110" i="11"/>
  <c r="K109" i="11"/>
  <c r="K100" i="11"/>
  <c r="K99" i="11"/>
  <c r="K98" i="11"/>
  <c r="K94" i="11"/>
  <c r="K89" i="11"/>
  <c r="K88" i="11"/>
  <c r="K90" i="11" s="1"/>
  <c r="K93" i="11" s="1"/>
  <c r="K80" i="11"/>
  <c r="K79" i="11"/>
  <c r="K78" i="11"/>
  <c r="K74" i="11"/>
  <c r="K70" i="11"/>
  <c r="K73" i="11" s="1"/>
  <c r="K69" i="11"/>
  <c r="K68" i="11"/>
  <c r="K59" i="11"/>
  <c r="K58" i="11"/>
  <c r="K60" i="11" s="1"/>
  <c r="E58" i="11"/>
  <c r="K50" i="11"/>
  <c r="K54" i="11" s="1"/>
  <c r="K49" i="11"/>
  <c r="K48" i="11"/>
  <c r="E48" i="11"/>
  <c r="K39" i="11"/>
  <c r="K38" i="11"/>
  <c r="K40" i="11" s="1"/>
  <c r="K30" i="11"/>
  <c r="K29" i="11"/>
  <c r="K28" i="11"/>
  <c r="I28" i="11"/>
  <c r="K27" i="11"/>
  <c r="K26" i="11"/>
  <c r="I26" i="11"/>
  <c r="K25" i="11"/>
  <c r="I25" i="11"/>
  <c r="K24" i="11"/>
  <c r="K14" i="11"/>
  <c r="I14" i="11"/>
  <c r="K13" i="11"/>
  <c r="I13" i="11"/>
  <c r="K12" i="11"/>
  <c r="I12" i="11"/>
  <c r="K11" i="11"/>
  <c r="I11" i="11"/>
  <c r="K10" i="11"/>
  <c r="I10" i="11"/>
  <c r="J650" i="10"/>
  <c r="I650" i="10"/>
  <c r="I649" i="10"/>
  <c r="J649" i="10" s="1"/>
  <c r="I648" i="10"/>
  <c r="J648" i="10" s="1"/>
  <c r="I647" i="10"/>
  <c r="J647" i="10" s="1"/>
  <c r="J646" i="10"/>
  <c r="I646" i="10"/>
  <c r="J645" i="10"/>
  <c r="I645" i="10"/>
  <c r="I644" i="10"/>
  <c r="J644" i="10" s="1"/>
  <c r="I643" i="10"/>
  <c r="J643" i="10" s="1"/>
  <c r="I642" i="10"/>
  <c r="I641" i="10"/>
  <c r="I640" i="10"/>
  <c r="I651" i="10" s="1"/>
  <c r="G636" i="10"/>
  <c r="M600" i="10"/>
  <c r="M599" i="10"/>
  <c r="N595" i="10"/>
  <c r="Q590" i="10"/>
  <c r="P590" i="10"/>
  <c r="M590" i="10"/>
  <c r="L590" i="10"/>
  <c r="N590" i="10" s="1"/>
  <c r="N588" i="10" s="1"/>
  <c r="Q589" i="10"/>
  <c r="P589" i="10"/>
  <c r="N589" i="10"/>
  <c r="L589" i="10"/>
  <c r="M589" i="10" s="1"/>
  <c r="Q588" i="10"/>
  <c r="P588" i="10"/>
  <c r="M588" i="10"/>
  <c r="L588" i="10"/>
  <c r="P587" i="10"/>
  <c r="N587" i="10"/>
  <c r="M587" i="10"/>
  <c r="L587" i="10"/>
  <c r="Q587" i="10" s="1"/>
  <c r="Q586" i="10"/>
  <c r="P586" i="10"/>
  <c r="M586" i="10"/>
  <c r="L586" i="10"/>
  <c r="N586" i="10" s="1"/>
  <c r="P585" i="10"/>
  <c r="L585" i="10"/>
  <c r="Q584" i="10"/>
  <c r="P584" i="10"/>
  <c r="N584" i="10"/>
  <c r="M584" i="10"/>
  <c r="L584" i="10"/>
  <c r="P583" i="10"/>
  <c r="N583" i="10"/>
  <c r="M583" i="10"/>
  <c r="L583" i="10"/>
  <c r="Q583" i="10" s="1"/>
  <c r="Q582" i="10"/>
  <c r="P582" i="10"/>
  <c r="M582" i="10"/>
  <c r="L582" i="10"/>
  <c r="N582" i="10" s="1"/>
  <c r="Q581" i="10"/>
  <c r="P581" i="10"/>
  <c r="N581" i="10"/>
  <c r="L581" i="10"/>
  <c r="M581" i="10" s="1"/>
  <c r="P580" i="10"/>
  <c r="L580" i="10"/>
  <c r="Q580" i="10" s="1"/>
  <c r="P579" i="10"/>
  <c r="N579" i="10"/>
  <c r="M579" i="10"/>
  <c r="L579" i="10"/>
  <c r="Q579" i="10" s="1"/>
  <c r="Q578" i="10"/>
  <c r="P578" i="10"/>
  <c r="M578" i="10"/>
  <c r="L578" i="10"/>
  <c r="N578" i="10" s="1"/>
  <c r="P577" i="10"/>
  <c r="L577" i="10"/>
  <c r="Q577" i="10" s="1"/>
  <c r="Q576" i="10"/>
  <c r="P576" i="10"/>
  <c r="M576" i="10"/>
  <c r="L576" i="10"/>
  <c r="N576" i="10" s="1"/>
  <c r="Q575" i="10"/>
  <c r="P575" i="10"/>
  <c r="N575" i="10"/>
  <c r="L575" i="10"/>
  <c r="M575" i="10" s="1"/>
  <c r="P574" i="10"/>
  <c r="N574" i="10"/>
  <c r="L574" i="10"/>
  <c r="M574" i="10" s="1"/>
  <c r="P573" i="10"/>
  <c r="L573" i="10"/>
  <c r="Q573" i="10" s="1"/>
  <c r="Q572" i="10"/>
  <c r="P572" i="10"/>
  <c r="M572" i="10"/>
  <c r="L572" i="10"/>
  <c r="N572" i="10" s="1"/>
  <c r="Q571" i="10"/>
  <c r="P571" i="10"/>
  <c r="N571" i="10"/>
  <c r="L571" i="10"/>
  <c r="M571" i="10" s="1"/>
  <c r="P570" i="10"/>
  <c r="N570" i="10"/>
  <c r="L570" i="10"/>
  <c r="M570" i="10" s="1"/>
  <c r="P569" i="10"/>
  <c r="L569" i="10"/>
  <c r="Q569" i="10" s="1"/>
  <c r="M568" i="10"/>
  <c r="L568" i="10"/>
  <c r="N568" i="10" s="1"/>
  <c r="E568" i="10"/>
  <c r="Q568" i="10" s="1"/>
  <c r="Q567" i="10"/>
  <c r="P567" i="10"/>
  <c r="N567" i="10"/>
  <c r="M567" i="10"/>
  <c r="L567" i="10"/>
  <c r="L566" i="10"/>
  <c r="Q565" i="10"/>
  <c r="P565" i="10"/>
  <c r="L565" i="10"/>
  <c r="Q564" i="10"/>
  <c r="P564" i="10"/>
  <c r="N564" i="10"/>
  <c r="M564" i="10"/>
  <c r="L564" i="10"/>
  <c r="Q563" i="10"/>
  <c r="P563" i="10"/>
  <c r="N563" i="10"/>
  <c r="M563" i="10"/>
  <c r="L563" i="10"/>
  <c r="P562" i="10"/>
  <c r="M562" i="10"/>
  <c r="L562" i="10"/>
  <c r="N562" i="10" s="1"/>
  <c r="P561" i="10"/>
  <c r="L561" i="10"/>
  <c r="Q560" i="10"/>
  <c r="P560" i="10"/>
  <c r="N560" i="10"/>
  <c r="M560" i="10"/>
  <c r="L560" i="10"/>
  <c r="Q559" i="10"/>
  <c r="P559" i="10"/>
  <c r="N559" i="10"/>
  <c r="M559" i="10"/>
  <c r="L559" i="10"/>
  <c r="P558" i="10"/>
  <c r="M558" i="10"/>
  <c r="L558" i="10"/>
  <c r="N558" i="10" s="1"/>
  <c r="P557" i="10"/>
  <c r="L557" i="10"/>
  <c r="Q556" i="10"/>
  <c r="P556" i="10"/>
  <c r="N556" i="10"/>
  <c r="M556" i="10"/>
  <c r="L556" i="10"/>
  <c r="Q555" i="10"/>
  <c r="P555" i="10"/>
  <c r="P554" i="10" s="1"/>
  <c r="N555" i="10"/>
  <c r="M555" i="10"/>
  <c r="L555" i="10"/>
  <c r="L554" i="10"/>
  <c r="P553" i="10"/>
  <c r="L553" i="10"/>
  <c r="P552" i="10"/>
  <c r="L552" i="10"/>
  <c r="Q551" i="10"/>
  <c r="P551" i="10"/>
  <c r="N551" i="10"/>
  <c r="M551" i="10"/>
  <c r="L551" i="10"/>
  <c r="P550" i="10"/>
  <c r="M550" i="10"/>
  <c r="L550" i="10"/>
  <c r="N550" i="10" s="1"/>
  <c r="Q549" i="10"/>
  <c r="P549" i="10"/>
  <c r="L549" i="10"/>
  <c r="Q548" i="10"/>
  <c r="P548" i="10"/>
  <c r="N548" i="10"/>
  <c r="M548" i="10"/>
  <c r="L548" i="10"/>
  <c r="Q547" i="10"/>
  <c r="P547" i="10"/>
  <c r="N547" i="10"/>
  <c r="M547" i="10"/>
  <c r="L547" i="10"/>
  <c r="P546" i="10"/>
  <c r="M546" i="10"/>
  <c r="L546" i="10"/>
  <c r="N546" i="10" s="1"/>
  <c r="P545" i="10"/>
  <c r="L545" i="10"/>
  <c r="Q544" i="10"/>
  <c r="P544" i="10"/>
  <c r="N544" i="10"/>
  <c r="M544" i="10"/>
  <c r="L544" i="10"/>
  <c r="Q543" i="10"/>
  <c r="P543" i="10"/>
  <c r="N543" i="10"/>
  <c r="M543" i="10"/>
  <c r="L543" i="10"/>
  <c r="P542" i="10"/>
  <c r="M542" i="10"/>
  <c r="L542" i="10"/>
  <c r="N542" i="10" s="1"/>
  <c r="G542" i="10"/>
  <c r="P541" i="10"/>
  <c r="N541" i="10"/>
  <c r="M541" i="10"/>
  <c r="L541" i="10"/>
  <c r="Q541" i="10" s="1"/>
  <c r="Q540" i="10"/>
  <c r="P540" i="10"/>
  <c r="N540" i="10"/>
  <c r="L540" i="10"/>
  <c r="M540" i="10" s="1"/>
  <c r="P539" i="10"/>
  <c r="L539" i="10"/>
  <c r="Q538" i="10"/>
  <c r="P538" i="10"/>
  <c r="N538" i="10"/>
  <c r="M538" i="10"/>
  <c r="L538" i="10"/>
  <c r="P537" i="10"/>
  <c r="N537" i="10"/>
  <c r="M537" i="10"/>
  <c r="L537" i="10"/>
  <c r="Q537" i="10" s="1"/>
  <c r="Q536" i="10"/>
  <c r="P536" i="10"/>
  <c r="N536" i="10"/>
  <c r="L536" i="10"/>
  <c r="M536" i="10" s="1"/>
  <c r="P535" i="10"/>
  <c r="L535" i="10"/>
  <c r="Q534" i="10"/>
  <c r="P534" i="10"/>
  <c r="N534" i="10"/>
  <c r="M534" i="10"/>
  <c r="L534" i="10"/>
  <c r="P533" i="10"/>
  <c r="N533" i="10"/>
  <c r="M533" i="10"/>
  <c r="L533" i="10"/>
  <c r="Q533" i="10" s="1"/>
  <c r="Q532" i="10"/>
  <c r="P532" i="10"/>
  <c r="N532" i="10"/>
  <c r="L532" i="10"/>
  <c r="M532" i="10" s="1"/>
  <c r="P531" i="10"/>
  <c r="L531" i="10"/>
  <c r="Q530" i="10"/>
  <c r="P530" i="10"/>
  <c r="N530" i="10"/>
  <c r="M530" i="10"/>
  <c r="L530" i="10"/>
  <c r="P529" i="10"/>
  <c r="N529" i="10"/>
  <c r="M529" i="10"/>
  <c r="L529" i="10"/>
  <c r="Q529" i="10" s="1"/>
  <c r="Q528" i="10"/>
  <c r="P528" i="10"/>
  <c r="N528" i="10"/>
  <c r="L528" i="10"/>
  <c r="M528" i="10" s="1"/>
  <c r="P527" i="10"/>
  <c r="L527" i="10"/>
  <c r="Q526" i="10"/>
  <c r="P526" i="10"/>
  <c r="N526" i="10"/>
  <c r="M526" i="10"/>
  <c r="L526" i="10"/>
  <c r="P525" i="10"/>
  <c r="N525" i="10"/>
  <c r="M525" i="10"/>
  <c r="L525" i="10"/>
  <c r="Q525" i="10" s="1"/>
  <c r="Q524" i="10"/>
  <c r="P524" i="10"/>
  <c r="N524" i="10"/>
  <c r="L524" i="10"/>
  <c r="M524" i="10" s="1"/>
  <c r="P523" i="10"/>
  <c r="L523" i="10"/>
  <c r="Q522" i="10"/>
  <c r="P522" i="10"/>
  <c r="P520" i="10" s="1"/>
  <c r="N522" i="10"/>
  <c r="M522" i="10"/>
  <c r="L522" i="10"/>
  <c r="P521" i="10"/>
  <c r="N521" i="10"/>
  <c r="M521" i="10"/>
  <c r="L521" i="10"/>
  <c r="Q521" i="10" s="1"/>
  <c r="G521" i="10"/>
  <c r="L520" i="10"/>
  <c r="Q519" i="10"/>
  <c r="P519" i="10"/>
  <c r="M519" i="10"/>
  <c r="L519" i="10"/>
  <c r="N519" i="10" s="1"/>
  <c r="Q518" i="10"/>
  <c r="P518" i="10"/>
  <c r="N518" i="10"/>
  <c r="L518" i="10"/>
  <c r="M518" i="10" s="1"/>
  <c r="P517" i="10"/>
  <c r="N517" i="10"/>
  <c r="L517" i="10"/>
  <c r="P516" i="10"/>
  <c r="L516" i="10"/>
  <c r="Q516" i="10" s="1"/>
  <c r="G516" i="10"/>
  <c r="N516" i="10" s="1"/>
  <c r="Q515" i="10"/>
  <c r="P515" i="10"/>
  <c r="N515" i="10"/>
  <c r="M515" i="10"/>
  <c r="L515" i="10"/>
  <c r="Q514" i="10"/>
  <c r="P514" i="10"/>
  <c r="N514" i="10"/>
  <c r="M514" i="10"/>
  <c r="L514" i="10"/>
  <c r="P513" i="10"/>
  <c r="M513" i="10"/>
  <c r="L513" i="10"/>
  <c r="N513" i="10" s="1"/>
  <c r="P512" i="10"/>
  <c r="L512" i="10"/>
  <c r="Q511" i="10"/>
  <c r="P511" i="10"/>
  <c r="N511" i="10"/>
  <c r="M511" i="10"/>
  <c r="L511" i="10"/>
  <c r="Q510" i="10"/>
  <c r="P510" i="10"/>
  <c r="N510" i="10"/>
  <c r="M510" i="10"/>
  <c r="L510" i="10"/>
  <c r="P509" i="10"/>
  <c r="M509" i="10"/>
  <c r="L509" i="10"/>
  <c r="N509" i="10" s="1"/>
  <c r="L508" i="10"/>
  <c r="L507" i="10"/>
  <c r="Q506" i="10"/>
  <c r="P506" i="10"/>
  <c r="N506" i="10"/>
  <c r="M506" i="10"/>
  <c r="L506" i="10"/>
  <c r="P505" i="10"/>
  <c r="M505" i="10"/>
  <c r="L505" i="10"/>
  <c r="N505" i="10" s="1"/>
  <c r="P504" i="10"/>
  <c r="L504" i="10"/>
  <c r="Q503" i="10"/>
  <c r="P503" i="10"/>
  <c r="N503" i="10"/>
  <c r="M503" i="10"/>
  <c r="L503" i="10"/>
  <c r="Q502" i="10"/>
  <c r="P502" i="10"/>
  <c r="N502" i="10"/>
  <c r="M502" i="10"/>
  <c r="L502" i="10"/>
  <c r="P501" i="10"/>
  <c r="M501" i="10"/>
  <c r="L501" i="10"/>
  <c r="N501" i="10" s="1"/>
  <c r="P500" i="10"/>
  <c r="L500" i="10"/>
  <c r="Q499" i="10"/>
  <c r="P499" i="10"/>
  <c r="N499" i="10"/>
  <c r="M499" i="10"/>
  <c r="L499" i="10"/>
  <c r="Q498" i="10"/>
  <c r="P498" i="10"/>
  <c r="N498" i="10"/>
  <c r="M498" i="10"/>
  <c r="L498" i="10"/>
  <c r="P497" i="10"/>
  <c r="M497" i="10"/>
  <c r="L497" i="10"/>
  <c r="N497" i="10" s="1"/>
  <c r="P496" i="10"/>
  <c r="L496" i="10"/>
  <c r="Q495" i="10"/>
  <c r="P495" i="10"/>
  <c r="N495" i="10"/>
  <c r="M495" i="10"/>
  <c r="L495" i="10"/>
  <c r="Q494" i="10"/>
  <c r="P494" i="10"/>
  <c r="N494" i="10"/>
  <c r="M494" i="10"/>
  <c r="L494" i="10"/>
  <c r="P493" i="10"/>
  <c r="M493" i="10"/>
  <c r="L493" i="10"/>
  <c r="N493" i="10" s="1"/>
  <c r="P492" i="10"/>
  <c r="L492" i="10"/>
  <c r="Q491" i="10"/>
  <c r="P491" i="10"/>
  <c r="N491" i="10"/>
  <c r="M491" i="10"/>
  <c r="L491" i="10"/>
  <c r="Q490" i="10"/>
  <c r="P490" i="10"/>
  <c r="N490" i="10"/>
  <c r="M490" i="10"/>
  <c r="L490" i="10"/>
  <c r="P489" i="10"/>
  <c r="M489" i="10"/>
  <c r="L489" i="10"/>
  <c r="N489" i="10" s="1"/>
  <c r="P488" i="10"/>
  <c r="L488" i="10"/>
  <c r="L487" i="10"/>
  <c r="Q486" i="10"/>
  <c r="P486" i="10"/>
  <c r="N486" i="10"/>
  <c r="M486" i="10"/>
  <c r="L486" i="10"/>
  <c r="P485" i="10"/>
  <c r="M485" i="10"/>
  <c r="L485" i="10"/>
  <c r="N485" i="10" s="1"/>
  <c r="P484" i="10"/>
  <c r="L484" i="10"/>
  <c r="Q484" i="10" s="1"/>
  <c r="Q483" i="10"/>
  <c r="P483" i="10"/>
  <c r="N483" i="10"/>
  <c r="M483" i="10"/>
  <c r="L483" i="10"/>
  <c r="P482" i="10"/>
  <c r="L482" i="10"/>
  <c r="L481" i="10"/>
  <c r="P480" i="10"/>
  <c r="L480" i="10"/>
  <c r="Q479" i="10"/>
  <c r="P479" i="10"/>
  <c r="N479" i="10"/>
  <c r="M479" i="10"/>
  <c r="L479" i="10"/>
  <c r="Q478" i="10"/>
  <c r="P478" i="10"/>
  <c r="N478" i="10"/>
  <c r="M478" i="10"/>
  <c r="L478" i="10"/>
  <c r="P477" i="10"/>
  <c r="M477" i="10"/>
  <c r="L477" i="10"/>
  <c r="N477" i="10" s="1"/>
  <c r="P476" i="10"/>
  <c r="L476" i="10"/>
  <c r="Q476" i="10" s="1"/>
  <c r="Q475" i="10"/>
  <c r="P475" i="10"/>
  <c r="N475" i="10"/>
  <c r="M475" i="10"/>
  <c r="L475" i="10"/>
  <c r="P474" i="10"/>
  <c r="L474" i="10"/>
  <c r="P473" i="10"/>
  <c r="M473" i="10"/>
  <c r="L473" i="10"/>
  <c r="N473" i="10" s="1"/>
  <c r="P472" i="10"/>
  <c r="L472" i="10"/>
  <c r="Q471" i="10"/>
  <c r="P471" i="10"/>
  <c r="N471" i="10"/>
  <c r="M471" i="10"/>
  <c r="L471" i="10"/>
  <c r="Q470" i="10"/>
  <c r="P470" i="10"/>
  <c r="N470" i="10"/>
  <c r="M470" i="10"/>
  <c r="L470" i="10"/>
  <c r="P469" i="10"/>
  <c r="M469" i="10"/>
  <c r="L469" i="10"/>
  <c r="N469" i="10" s="1"/>
  <c r="Q468" i="10"/>
  <c r="P468" i="10"/>
  <c r="L468" i="10"/>
  <c r="Q467" i="10"/>
  <c r="P467" i="10"/>
  <c r="N467" i="10"/>
  <c r="M467" i="10"/>
  <c r="L467" i="10"/>
  <c r="Q466" i="10"/>
  <c r="P466" i="10"/>
  <c r="N466" i="10"/>
  <c r="M466" i="10"/>
  <c r="L466" i="10"/>
  <c r="L465" i="10"/>
  <c r="P464" i="10"/>
  <c r="L464" i="10"/>
  <c r="Q464" i="10" s="1"/>
  <c r="Q463" i="10"/>
  <c r="P463" i="10"/>
  <c r="M463" i="10"/>
  <c r="L463" i="10"/>
  <c r="N463" i="10" s="1"/>
  <c r="Q462" i="10"/>
  <c r="P462" i="10"/>
  <c r="N462" i="10"/>
  <c r="L462" i="10"/>
  <c r="M462" i="10" s="1"/>
  <c r="P461" i="10"/>
  <c r="L461" i="10"/>
  <c r="P460" i="10"/>
  <c r="L460" i="10"/>
  <c r="Q460" i="10" s="1"/>
  <c r="Q459" i="10"/>
  <c r="P459" i="10"/>
  <c r="M459" i="10"/>
  <c r="L459" i="10"/>
  <c r="N459" i="10" s="1"/>
  <c r="Q458" i="10"/>
  <c r="P458" i="10"/>
  <c r="N458" i="10"/>
  <c r="L458" i="10"/>
  <c r="M458" i="10" s="1"/>
  <c r="P457" i="10"/>
  <c r="L457" i="10"/>
  <c r="P456" i="10"/>
  <c r="L456" i="10"/>
  <c r="Q456" i="10" s="1"/>
  <c r="Q455" i="10"/>
  <c r="P455" i="10"/>
  <c r="M455" i="10"/>
  <c r="L455" i="10"/>
  <c r="N455" i="10" s="1"/>
  <c r="Q454" i="10"/>
  <c r="P454" i="10"/>
  <c r="N454" i="10"/>
  <c r="L454" i="10"/>
  <c r="M454" i="10" s="1"/>
  <c r="P453" i="10"/>
  <c r="L453" i="10"/>
  <c r="P452" i="10"/>
  <c r="L452" i="10"/>
  <c r="Q452" i="10" s="1"/>
  <c r="Q451" i="10"/>
  <c r="P451" i="10"/>
  <c r="M451" i="10"/>
  <c r="L451" i="10"/>
  <c r="N451" i="10" s="1"/>
  <c r="Q450" i="10"/>
  <c r="P450" i="10"/>
  <c r="N450" i="10"/>
  <c r="L450" i="10"/>
  <c r="M450" i="10" s="1"/>
  <c r="P449" i="10"/>
  <c r="N449" i="10"/>
  <c r="L449" i="10"/>
  <c r="P448" i="10"/>
  <c r="L448" i="10"/>
  <c r="Q448" i="10" s="1"/>
  <c r="Q447" i="10"/>
  <c r="P447" i="10"/>
  <c r="M447" i="10"/>
  <c r="L447" i="10"/>
  <c r="N447" i="10" s="1"/>
  <c r="Q446" i="10"/>
  <c r="P446" i="10"/>
  <c r="N446" i="10"/>
  <c r="L446" i="10"/>
  <c r="M446" i="10" s="1"/>
  <c r="P445" i="10"/>
  <c r="L445" i="10"/>
  <c r="P444" i="10"/>
  <c r="L444" i="10"/>
  <c r="Q444" i="10" s="1"/>
  <c r="Q443" i="10"/>
  <c r="P443" i="10"/>
  <c r="M443" i="10"/>
  <c r="L443" i="10"/>
  <c r="N443" i="10" s="1"/>
  <c r="Q442" i="10"/>
  <c r="P442" i="10"/>
  <c r="N442" i="10"/>
  <c r="L442" i="10"/>
  <c r="M442" i="10" s="1"/>
  <c r="P441" i="10"/>
  <c r="N441" i="10"/>
  <c r="L441" i="10"/>
  <c r="P440" i="10"/>
  <c r="L440" i="10"/>
  <c r="Q440" i="10" s="1"/>
  <c r="Q439" i="10"/>
  <c r="P439" i="10"/>
  <c r="M439" i="10"/>
  <c r="L439" i="10"/>
  <c r="N439" i="10" s="1"/>
  <c r="Q438" i="10"/>
  <c r="P438" i="10"/>
  <c r="N438" i="10"/>
  <c r="L438" i="10"/>
  <c r="M438" i="10" s="1"/>
  <c r="P437" i="10"/>
  <c r="L437" i="10"/>
  <c r="P436" i="10"/>
  <c r="L436" i="10"/>
  <c r="Q436" i="10" s="1"/>
  <c r="Q435" i="10"/>
  <c r="P435" i="10"/>
  <c r="M435" i="10"/>
  <c r="L435" i="10"/>
  <c r="N435" i="10" s="1"/>
  <c r="Q434" i="10"/>
  <c r="P434" i="10"/>
  <c r="N434" i="10"/>
  <c r="L434" i="10"/>
  <c r="M434" i="10" s="1"/>
  <c r="P433" i="10"/>
  <c r="N433" i="10"/>
  <c r="L433" i="10"/>
  <c r="P432" i="10"/>
  <c r="L432" i="10"/>
  <c r="Q432" i="10" s="1"/>
  <c r="Q431" i="10"/>
  <c r="P431" i="10"/>
  <c r="M431" i="10"/>
  <c r="L431" i="10"/>
  <c r="N431" i="10" s="1"/>
  <c r="Q430" i="10"/>
  <c r="P430" i="10"/>
  <c r="N430" i="10"/>
  <c r="L430" i="10"/>
  <c r="M430" i="10" s="1"/>
  <c r="P429" i="10"/>
  <c r="L429" i="10"/>
  <c r="P428" i="10"/>
  <c r="L428" i="10"/>
  <c r="Q428" i="10" s="1"/>
  <c r="Q427" i="10"/>
  <c r="P427" i="10"/>
  <c r="M427" i="10"/>
  <c r="L427" i="10"/>
  <c r="N427" i="10" s="1"/>
  <c r="Q426" i="10"/>
  <c r="P426" i="10"/>
  <c r="N426" i="10"/>
  <c r="L426" i="10"/>
  <c r="M426" i="10" s="1"/>
  <c r="P425" i="10"/>
  <c r="N425" i="10"/>
  <c r="L425" i="10"/>
  <c r="P424" i="10"/>
  <c r="L424" i="10"/>
  <c r="Q423" i="10"/>
  <c r="P423" i="10"/>
  <c r="M423" i="10"/>
  <c r="L423" i="10"/>
  <c r="N423" i="10" s="1"/>
  <c r="Q422" i="10"/>
  <c r="P422" i="10"/>
  <c r="N422" i="10"/>
  <c r="L422" i="10"/>
  <c r="M422" i="10" s="1"/>
  <c r="P421" i="10"/>
  <c r="N421" i="10"/>
  <c r="L421" i="10"/>
  <c r="P420" i="10"/>
  <c r="L420" i="10"/>
  <c r="Q419" i="10"/>
  <c r="P419" i="10"/>
  <c r="M419" i="10"/>
  <c r="L419" i="10"/>
  <c r="N419" i="10" s="1"/>
  <c r="Q418" i="10"/>
  <c r="P418" i="10"/>
  <c r="N418" i="10"/>
  <c r="L418" i="10"/>
  <c r="M418" i="10" s="1"/>
  <c r="P417" i="10"/>
  <c r="L417" i="10"/>
  <c r="P416" i="10"/>
  <c r="L416" i="10"/>
  <c r="Q415" i="10"/>
  <c r="P415" i="10"/>
  <c r="M415" i="10"/>
  <c r="L415" i="10"/>
  <c r="N415" i="10" s="1"/>
  <c r="Q414" i="10"/>
  <c r="P414" i="10"/>
  <c r="N414" i="10"/>
  <c r="L414" i="10"/>
  <c r="M414" i="10" s="1"/>
  <c r="P413" i="10"/>
  <c r="N413" i="10"/>
  <c r="L413" i="10"/>
  <c r="P412" i="10"/>
  <c r="L412" i="10"/>
  <c r="Q411" i="10"/>
  <c r="P411" i="10"/>
  <c r="M411" i="10"/>
  <c r="L411" i="10"/>
  <c r="N411" i="10" s="1"/>
  <c r="Q410" i="10"/>
  <c r="P410" i="10"/>
  <c r="N410" i="10"/>
  <c r="L410" i="10"/>
  <c r="M410" i="10" s="1"/>
  <c r="P409" i="10"/>
  <c r="N409" i="10"/>
  <c r="L409" i="10"/>
  <c r="P408" i="10"/>
  <c r="P406" i="10" s="1"/>
  <c r="L408" i="10"/>
  <c r="Q407" i="10"/>
  <c r="P407" i="10"/>
  <c r="M407" i="10"/>
  <c r="L407" i="10"/>
  <c r="N407" i="10" s="1"/>
  <c r="L406" i="10"/>
  <c r="P405" i="10"/>
  <c r="N405" i="10"/>
  <c r="L405" i="10"/>
  <c r="P404" i="10"/>
  <c r="L404" i="10"/>
  <c r="Q403" i="10"/>
  <c r="P403" i="10"/>
  <c r="M403" i="10"/>
  <c r="L403" i="10"/>
  <c r="N403" i="10" s="1"/>
  <c r="Q402" i="10"/>
  <c r="P402" i="10"/>
  <c r="N402" i="10"/>
  <c r="L402" i="10"/>
  <c r="M402" i="10" s="1"/>
  <c r="P401" i="10"/>
  <c r="L401" i="10"/>
  <c r="G401" i="10"/>
  <c r="F401" i="10"/>
  <c r="P400" i="10"/>
  <c r="N400" i="10"/>
  <c r="M400" i="10"/>
  <c r="L400" i="10"/>
  <c r="Q400" i="10" s="1"/>
  <c r="Q399" i="10"/>
  <c r="P399" i="10"/>
  <c r="N399" i="10"/>
  <c r="L399" i="10"/>
  <c r="M399" i="10" s="1"/>
  <c r="P398" i="10"/>
  <c r="L398" i="10"/>
  <c r="Q397" i="10"/>
  <c r="P397" i="10"/>
  <c r="N397" i="10"/>
  <c r="M397" i="10"/>
  <c r="L397" i="10"/>
  <c r="P396" i="10"/>
  <c r="N396" i="10"/>
  <c r="M396" i="10"/>
  <c r="L396" i="10"/>
  <c r="Q396" i="10" s="1"/>
  <c r="L395" i="10"/>
  <c r="P394" i="10"/>
  <c r="L394" i="10"/>
  <c r="Q394" i="10" s="1"/>
  <c r="Q393" i="10"/>
  <c r="P393" i="10"/>
  <c r="N393" i="10"/>
  <c r="M393" i="10"/>
  <c r="L393" i="10"/>
  <c r="P392" i="10"/>
  <c r="N392" i="10"/>
  <c r="M392" i="10"/>
  <c r="L392" i="10"/>
  <c r="Q392" i="10" s="1"/>
  <c r="Q391" i="10"/>
  <c r="P391" i="10"/>
  <c r="N391" i="10"/>
  <c r="L391" i="10"/>
  <c r="M391" i="10" s="1"/>
  <c r="Q390" i="10"/>
  <c r="P390" i="10"/>
  <c r="L390" i="10"/>
  <c r="Q389" i="10"/>
  <c r="P389" i="10"/>
  <c r="N389" i="10"/>
  <c r="M389" i="10"/>
  <c r="L389" i="10"/>
  <c r="P388" i="10"/>
  <c r="N388" i="10"/>
  <c r="M388" i="10"/>
  <c r="L388" i="10"/>
  <c r="Q388" i="10" s="1"/>
  <c r="Q387" i="10"/>
  <c r="P387" i="10"/>
  <c r="N387" i="10"/>
  <c r="L387" i="10"/>
  <c r="M387" i="10" s="1"/>
  <c r="P386" i="10"/>
  <c r="L386" i="10"/>
  <c r="Q385" i="10"/>
  <c r="P385" i="10"/>
  <c r="N385" i="10"/>
  <c r="M385" i="10"/>
  <c r="L385" i="10"/>
  <c r="P384" i="10"/>
  <c r="N384" i="10"/>
  <c r="M384" i="10"/>
  <c r="L384" i="10"/>
  <c r="Q384" i="10" s="1"/>
  <c r="Q383" i="10"/>
  <c r="P383" i="10"/>
  <c r="N383" i="10"/>
  <c r="L383" i="10"/>
  <c r="M383" i="10" s="1"/>
  <c r="Q382" i="10"/>
  <c r="P382" i="10"/>
  <c r="L382" i="10"/>
  <c r="Q381" i="10"/>
  <c r="P381" i="10"/>
  <c r="N381" i="10"/>
  <c r="M381" i="10"/>
  <c r="L381" i="10"/>
  <c r="G381" i="10"/>
  <c r="P380" i="10"/>
  <c r="L380" i="10"/>
  <c r="P379" i="10"/>
  <c r="L379" i="10"/>
  <c r="Q378" i="10"/>
  <c r="P378" i="10"/>
  <c r="M378" i="10"/>
  <c r="L378" i="10"/>
  <c r="N378" i="10" s="1"/>
  <c r="Q377" i="10"/>
  <c r="P377" i="10"/>
  <c r="N377" i="10"/>
  <c r="L377" i="10"/>
  <c r="M377" i="10" s="1"/>
  <c r="P376" i="10"/>
  <c r="N376" i="10"/>
  <c r="L376" i="10"/>
  <c r="G376" i="10"/>
  <c r="Q375" i="10"/>
  <c r="P375" i="10"/>
  <c r="M375" i="10"/>
  <c r="L375" i="10"/>
  <c r="N375" i="10" s="1"/>
  <c r="Q374" i="10"/>
  <c r="P374" i="10"/>
  <c r="N374" i="10"/>
  <c r="M374" i="10"/>
  <c r="L374" i="10"/>
  <c r="Q373" i="10"/>
  <c r="P373" i="10"/>
  <c r="N373" i="10"/>
  <c r="M373" i="10"/>
  <c r="L373" i="10"/>
  <c r="P372" i="10"/>
  <c r="L372" i="10"/>
  <c r="Q371" i="10"/>
  <c r="P371" i="10"/>
  <c r="M371" i="10"/>
  <c r="L371" i="10"/>
  <c r="N371" i="10" s="1"/>
  <c r="Q370" i="10"/>
  <c r="P370" i="10"/>
  <c r="N370" i="10"/>
  <c r="M370" i="10"/>
  <c r="L370" i="10"/>
  <c r="Q369" i="10"/>
  <c r="P369" i="10"/>
  <c r="N369" i="10"/>
  <c r="M369" i="10"/>
  <c r="L369" i="10"/>
  <c r="P368" i="10"/>
  <c r="L368" i="10"/>
  <c r="Q367" i="10"/>
  <c r="P367" i="10"/>
  <c r="M367" i="10"/>
  <c r="L367" i="10"/>
  <c r="N367" i="10" s="1"/>
  <c r="Q366" i="10"/>
  <c r="P366" i="10"/>
  <c r="N366" i="10"/>
  <c r="M366" i="10"/>
  <c r="L366" i="10"/>
  <c r="Q365" i="10"/>
  <c r="P365" i="10"/>
  <c r="N365" i="10"/>
  <c r="M365" i="10"/>
  <c r="L365" i="10"/>
  <c r="P364" i="10"/>
  <c r="L364" i="10"/>
  <c r="Q363" i="10"/>
  <c r="P363" i="10"/>
  <c r="M363" i="10"/>
  <c r="L363" i="10"/>
  <c r="N363" i="10" s="1"/>
  <c r="Q362" i="10"/>
  <c r="P362" i="10"/>
  <c r="N362" i="10"/>
  <c r="M362" i="10"/>
  <c r="L362" i="10"/>
  <c r="Q361" i="10"/>
  <c r="P361" i="10"/>
  <c r="N361" i="10"/>
  <c r="M361" i="10"/>
  <c r="L361" i="10"/>
  <c r="P360" i="10"/>
  <c r="L360" i="10"/>
  <c r="Q359" i="10"/>
  <c r="P359" i="10"/>
  <c r="M359" i="10"/>
  <c r="L359" i="10"/>
  <c r="N359" i="10" s="1"/>
  <c r="Q358" i="10"/>
  <c r="P358" i="10"/>
  <c r="N358" i="10"/>
  <c r="M358" i="10"/>
  <c r="L358" i="10"/>
  <c r="Q357" i="10"/>
  <c r="P357" i="10"/>
  <c r="N357" i="10"/>
  <c r="M357" i="10"/>
  <c r="L357" i="10"/>
  <c r="P356" i="10"/>
  <c r="L356" i="10"/>
  <c r="P355" i="10"/>
  <c r="M355" i="10"/>
  <c r="L355" i="10"/>
  <c r="N355" i="10" s="1"/>
  <c r="Q354" i="10"/>
  <c r="P354" i="10"/>
  <c r="N354" i="10"/>
  <c r="M354" i="10"/>
  <c r="L354" i="10"/>
  <c r="Q353" i="10"/>
  <c r="P353" i="10"/>
  <c r="N353" i="10"/>
  <c r="M353" i="10"/>
  <c r="L353" i="10"/>
  <c r="P352" i="10"/>
  <c r="L352" i="10"/>
  <c r="P351" i="10"/>
  <c r="L351" i="10"/>
  <c r="Q350" i="10"/>
  <c r="P350" i="10"/>
  <c r="N350" i="10"/>
  <c r="M350" i="10"/>
  <c r="L350" i="10"/>
  <c r="Q349" i="10"/>
  <c r="P349" i="10"/>
  <c r="N349" i="10"/>
  <c r="M349" i="10"/>
  <c r="L349" i="10"/>
  <c r="P348" i="10"/>
  <c r="M348" i="10"/>
  <c r="L348" i="10"/>
  <c r="P347" i="10"/>
  <c r="M347" i="10"/>
  <c r="L347" i="10"/>
  <c r="N347" i="10" s="1"/>
  <c r="Q346" i="10"/>
  <c r="P346" i="10"/>
  <c r="N346" i="10"/>
  <c r="M346" i="10"/>
  <c r="L346" i="10"/>
  <c r="Q345" i="10"/>
  <c r="P345" i="10"/>
  <c r="N345" i="10"/>
  <c r="M345" i="10"/>
  <c r="L345" i="10"/>
  <c r="P344" i="10"/>
  <c r="L344" i="10"/>
  <c r="P343" i="10"/>
  <c r="L343" i="10"/>
  <c r="N343" i="10" s="1"/>
  <c r="Q342" i="10"/>
  <c r="P342" i="10"/>
  <c r="N342" i="10"/>
  <c r="M342" i="10"/>
  <c r="L342" i="10"/>
  <c r="Q341" i="10"/>
  <c r="P341" i="10"/>
  <c r="N341" i="10"/>
  <c r="M341" i="10"/>
  <c r="L341" i="10"/>
  <c r="P340" i="10"/>
  <c r="L340" i="10"/>
  <c r="Q339" i="10"/>
  <c r="P339" i="10"/>
  <c r="M339" i="10"/>
  <c r="L339" i="10"/>
  <c r="N339" i="10" s="1"/>
  <c r="Q338" i="10"/>
  <c r="P338" i="10"/>
  <c r="N338" i="10"/>
  <c r="M338" i="10"/>
  <c r="L338" i="10"/>
  <c r="L337" i="10"/>
  <c r="P336" i="10"/>
  <c r="L336" i="10"/>
  <c r="Q336" i="10" s="1"/>
  <c r="F336" i="10"/>
  <c r="G336" i="10" s="1"/>
  <c r="N336" i="10" s="1"/>
  <c r="P335" i="10"/>
  <c r="N335" i="10"/>
  <c r="L335" i="10"/>
  <c r="P334" i="10"/>
  <c r="L334" i="10"/>
  <c r="Q333" i="10"/>
  <c r="P333" i="10"/>
  <c r="M333" i="10"/>
  <c r="L333" i="10"/>
  <c r="N333" i="10" s="1"/>
  <c r="Q332" i="10"/>
  <c r="P332" i="10"/>
  <c r="N332" i="10"/>
  <c r="L332" i="10"/>
  <c r="M332" i="10" s="1"/>
  <c r="P331" i="10"/>
  <c r="N331" i="10"/>
  <c r="L331" i="10"/>
  <c r="P330" i="10"/>
  <c r="P329" i="10" s="1"/>
  <c r="L330" i="10"/>
  <c r="L329" i="10"/>
  <c r="L328" i="10"/>
  <c r="P327" i="10"/>
  <c r="L327" i="10"/>
  <c r="Q327" i="10" s="1"/>
  <c r="P326" i="10"/>
  <c r="L326" i="10"/>
  <c r="Q325" i="10"/>
  <c r="P325" i="10"/>
  <c r="M325" i="10"/>
  <c r="L325" i="10"/>
  <c r="N325" i="10" s="1"/>
  <c r="P324" i="10"/>
  <c r="L324" i="10"/>
  <c r="P323" i="10"/>
  <c r="L323" i="10"/>
  <c r="Q323" i="10" s="1"/>
  <c r="P322" i="10"/>
  <c r="L322" i="10"/>
  <c r="Q321" i="10"/>
  <c r="P321" i="10"/>
  <c r="M321" i="10"/>
  <c r="L321" i="10"/>
  <c r="N321" i="10" s="1"/>
  <c r="P320" i="10"/>
  <c r="L320" i="10"/>
  <c r="P319" i="10"/>
  <c r="L319" i="10"/>
  <c r="Q319" i="10" s="1"/>
  <c r="P318" i="10"/>
  <c r="P317" i="10" s="1"/>
  <c r="L318" i="10"/>
  <c r="L317" i="10"/>
  <c r="Q316" i="10"/>
  <c r="Q315" i="10" s="1"/>
  <c r="P316" i="10"/>
  <c r="P315" i="10" s="1"/>
  <c r="N316" i="10"/>
  <c r="N315" i="10" s="1"/>
  <c r="L316" i="10"/>
  <c r="M316" i="10" s="1"/>
  <c r="M315" i="10"/>
  <c r="L315" i="10"/>
  <c r="P314" i="10"/>
  <c r="L314" i="10"/>
  <c r="Q313" i="10"/>
  <c r="P313" i="10"/>
  <c r="M313" i="10"/>
  <c r="L313" i="10"/>
  <c r="N313" i="10" s="1"/>
  <c r="P312" i="10"/>
  <c r="L312" i="10"/>
  <c r="M312" i="10" s="1"/>
  <c r="P311" i="10"/>
  <c r="M311" i="10"/>
  <c r="L311" i="10"/>
  <c r="Q311" i="10" s="1"/>
  <c r="P310" i="10"/>
  <c r="L310" i="10"/>
  <c r="Q309" i="10"/>
  <c r="P309" i="10"/>
  <c r="M309" i="10"/>
  <c r="L309" i="10"/>
  <c r="N309" i="10" s="1"/>
  <c r="P308" i="10"/>
  <c r="P307" i="10" s="1"/>
  <c r="L308" i="10"/>
  <c r="M308" i="10" s="1"/>
  <c r="L307" i="10"/>
  <c r="P306" i="10"/>
  <c r="L306" i="10"/>
  <c r="Q305" i="10"/>
  <c r="P305" i="10"/>
  <c r="M305" i="10"/>
  <c r="L305" i="10"/>
  <c r="N305" i="10" s="1"/>
  <c r="P304" i="10"/>
  <c r="N304" i="10"/>
  <c r="L304" i="10"/>
  <c r="M304" i="10" s="1"/>
  <c r="P303" i="10"/>
  <c r="L303" i="10"/>
  <c r="Q303" i="10" s="1"/>
  <c r="P302" i="10"/>
  <c r="L302" i="10"/>
  <c r="Q301" i="10"/>
  <c r="P301" i="10"/>
  <c r="M301" i="10"/>
  <c r="L301" i="10"/>
  <c r="N301" i="10" s="1"/>
  <c r="P300" i="10"/>
  <c r="N300" i="10"/>
  <c r="L300" i="10"/>
  <c r="M300" i="10" s="1"/>
  <c r="P299" i="10"/>
  <c r="L299" i="10"/>
  <c r="Q299" i="10" s="1"/>
  <c r="P298" i="10"/>
  <c r="L298" i="10"/>
  <c r="P297" i="10"/>
  <c r="L297" i="10"/>
  <c r="N297" i="10" s="1"/>
  <c r="P296" i="10"/>
  <c r="L296" i="10"/>
  <c r="P295" i="10"/>
  <c r="M295" i="10"/>
  <c r="L295" i="10"/>
  <c r="Q295" i="10" s="1"/>
  <c r="P294" i="10"/>
  <c r="L294" i="10"/>
  <c r="P293" i="10"/>
  <c r="L293" i="10"/>
  <c r="N293" i="10" s="1"/>
  <c r="Q292" i="10"/>
  <c r="P292" i="10"/>
  <c r="P291" i="10" s="1"/>
  <c r="N292" i="10"/>
  <c r="L292" i="10"/>
  <c r="M292" i="10" s="1"/>
  <c r="L291" i="10"/>
  <c r="P290" i="10"/>
  <c r="L290" i="10"/>
  <c r="P289" i="10"/>
  <c r="L289" i="10"/>
  <c r="N289" i="10" s="1"/>
  <c r="Q288" i="10"/>
  <c r="P288" i="10"/>
  <c r="L288" i="10"/>
  <c r="P287" i="10"/>
  <c r="M287" i="10"/>
  <c r="L287" i="10"/>
  <c r="Q287" i="10" s="1"/>
  <c r="P286" i="10"/>
  <c r="L286" i="10"/>
  <c r="P285" i="10"/>
  <c r="L285" i="10"/>
  <c r="Q284" i="10"/>
  <c r="P284" i="10"/>
  <c r="N284" i="10"/>
  <c r="L284" i="10"/>
  <c r="M284" i="10" s="1"/>
  <c r="P283" i="10"/>
  <c r="M283" i="10"/>
  <c r="L283" i="10"/>
  <c r="Q283" i="10" s="1"/>
  <c r="P282" i="10"/>
  <c r="L282" i="10"/>
  <c r="P281" i="10"/>
  <c r="L281" i="10"/>
  <c r="N281" i="10" s="1"/>
  <c r="Q280" i="10"/>
  <c r="P280" i="10"/>
  <c r="N280" i="10"/>
  <c r="L280" i="10"/>
  <c r="M280" i="10" s="1"/>
  <c r="P279" i="10"/>
  <c r="N279" i="10"/>
  <c r="M279" i="10"/>
  <c r="L279" i="10"/>
  <c r="Q279" i="10" s="1"/>
  <c r="P278" i="10"/>
  <c r="L278" i="10"/>
  <c r="Q277" i="10"/>
  <c r="P277" i="10"/>
  <c r="L277" i="10"/>
  <c r="P276" i="10"/>
  <c r="L276" i="10"/>
  <c r="M276" i="10" s="1"/>
  <c r="P275" i="10"/>
  <c r="M275" i="10"/>
  <c r="L275" i="10"/>
  <c r="Q275" i="10" s="1"/>
  <c r="P274" i="10"/>
  <c r="L274" i="10"/>
  <c r="Q273" i="10"/>
  <c r="P273" i="10"/>
  <c r="M273" i="10"/>
  <c r="L273" i="10"/>
  <c r="N273" i="10" s="1"/>
  <c r="P272" i="10"/>
  <c r="L272" i="10"/>
  <c r="P271" i="10"/>
  <c r="L271" i="10"/>
  <c r="Q271" i="10" s="1"/>
  <c r="P270" i="10"/>
  <c r="L270" i="10"/>
  <c r="Q269" i="10"/>
  <c r="P269" i="10"/>
  <c r="M269" i="10"/>
  <c r="L269" i="10"/>
  <c r="N269" i="10" s="1"/>
  <c r="P268" i="10"/>
  <c r="L268" i="10"/>
  <c r="M268" i="10" s="1"/>
  <c r="P267" i="10"/>
  <c r="N267" i="10"/>
  <c r="L267" i="10"/>
  <c r="Q267" i="10" s="1"/>
  <c r="P266" i="10"/>
  <c r="L266" i="10"/>
  <c r="P265" i="10"/>
  <c r="L265" i="10"/>
  <c r="N265" i="10" s="1"/>
  <c r="Q264" i="10"/>
  <c r="P264" i="10"/>
  <c r="L264" i="10"/>
  <c r="P263" i="10"/>
  <c r="M263" i="10"/>
  <c r="L263" i="10"/>
  <c r="Q263" i="10" s="1"/>
  <c r="P262" i="10"/>
  <c r="L262" i="10"/>
  <c r="P261" i="10"/>
  <c r="L261" i="10"/>
  <c r="Q260" i="10"/>
  <c r="P260" i="10"/>
  <c r="N260" i="10"/>
  <c r="L260" i="10"/>
  <c r="M260" i="10" s="1"/>
  <c r="P259" i="10"/>
  <c r="M259" i="10"/>
  <c r="L259" i="10"/>
  <c r="Q259" i="10" s="1"/>
  <c r="P258" i="10"/>
  <c r="L258" i="10"/>
  <c r="P257" i="10"/>
  <c r="L257" i="10"/>
  <c r="N257" i="10" s="1"/>
  <c r="Q256" i="10"/>
  <c r="P256" i="10"/>
  <c r="N256" i="10"/>
  <c r="L256" i="10"/>
  <c r="M256" i="10" s="1"/>
  <c r="L255" i="10"/>
  <c r="P254" i="10"/>
  <c r="L254" i="10"/>
  <c r="Q253" i="10"/>
  <c r="P253" i="10"/>
  <c r="M253" i="10"/>
  <c r="L253" i="10"/>
  <c r="N253" i="10" s="1"/>
  <c r="P252" i="10"/>
  <c r="L252" i="10"/>
  <c r="M252" i="10" s="1"/>
  <c r="P251" i="10"/>
  <c r="L251" i="10"/>
  <c r="P250" i="10"/>
  <c r="L250" i="10"/>
  <c r="Q249" i="10"/>
  <c r="P249" i="10"/>
  <c r="M249" i="10"/>
  <c r="L249" i="10"/>
  <c r="N249" i="10" s="1"/>
  <c r="Q248" i="10"/>
  <c r="P248" i="10"/>
  <c r="N248" i="10"/>
  <c r="L248" i="10"/>
  <c r="M248" i="10" s="1"/>
  <c r="P247" i="10"/>
  <c r="N247" i="10"/>
  <c r="M247" i="10"/>
  <c r="L247" i="10"/>
  <c r="Q247" i="10" s="1"/>
  <c r="P246" i="10"/>
  <c r="L246" i="10"/>
  <c r="P245" i="10"/>
  <c r="L245" i="10"/>
  <c r="N245" i="10" s="1"/>
  <c r="P244" i="10"/>
  <c r="N244" i="10"/>
  <c r="L244" i="10"/>
  <c r="M244" i="10" s="1"/>
  <c r="P243" i="10"/>
  <c r="M243" i="10"/>
  <c r="L243" i="10"/>
  <c r="Q243" i="10" s="1"/>
  <c r="P242" i="10"/>
  <c r="L242" i="10"/>
  <c r="P241" i="10"/>
  <c r="L241" i="10"/>
  <c r="N241" i="10" s="1"/>
  <c r="P240" i="10"/>
  <c r="L240" i="10"/>
  <c r="P239" i="10"/>
  <c r="L239" i="10"/>
  <c r="Q239" i="10" s="1"/>
  <c r="P238" i="10"/>
  <c r="L238" i="10"/>
  <c r="Q237" i="10"/>
  <c r="P237" i="10"/>
  <c r="M237" i="10"/>
  <c r="L237" i="10"/>
  <c r="N237" i="10" s="1"/>
  <c r="Q236" i="10"/>
  <c r="P236" i="10"/>
  <c r="N236" i="10"/>
  <c r="M236" i="10"/>
  <c r="L236" i="10"/>
  <c r="P235" i="10"/>
  <c r="M235" i="10"/>
  <c r="L235" i="10"/>
  <c r="Q235" i="10" s="1"/>
  <c r="P234" i="10"/>
  <c r="L234" i="10"/>
  <c r="Q233" i="10"/>
  <c r="P233" i="10"/>
  <c r="M233" i="10"/>
  <c r="L233" i="10"/>
  <c r="N233" i="10" s="1"/>
  <c r="P232" i="10"/>
  <c r="L232" i="10"/>
  <c r="Q232" i="10" s="1"/>
  <c r="P231" i="10"/>
  <c r="M231" i="10"/>
  <c r="L231" i="10"/>
  <c r="Q231" i="10" s="1"/>
  <c r="P230" i="10"/>
  <c r="L230" i="10"/>
  <c r="P229" i="10"/>
  <c r="L229" i="10"/>
  <c r="N229" i="10" s="1"/>
  <c r="P228" i="10"/>
  <c r="N228" i="10"/>
  <c r="L228" i="10"/>
  <c r="Q228" i="10" s="1"/>
  <c r="P227" i="10"/>
  <c r="N227" i="10"/>
  <c r="L227" i="10"/>
  <c r="Q227" i="10" s="1"/>
  <c r="L226" i="10"/>
  <c r="L225" i="10"/>
  <c r="Q224" i="10"/>
  <c r="P224" i="10"/>
  <c r="P222" i="10" s="1"/>
  <c r="N224" i="10"/>
  <c r="M224" i="10"/>
  <c r="L224" i="10"/>
  <c r="P223" i="10"/>
  <c r="M223" i="10"/>
  <c r="M222" i="10" s="1"/>
  <c r="L223" i="10"/>
  <c r="Q223" i="10" s="1"/>
  <c r="Q222" i="10" s="1"/>
  <c r="L222" i="10"/>
  <c r="M221" i="10"/>
  <c r="L221" i="10"/>
  <c r="N221" i="10" s="1"/>
  <c r="N220" i="10"/>
  <c r="M220" i="10"/>
  <c r="L220" i="10"/>
  <c r="L219" i="10"/>
  <c r="N219" i="10" s="1"/>
  <c r="N218" i="10"/>
  <c r="L218" i="10"/>
  <c r="M218" i="10" s="1"/>
  <c r="L217" i="10"/>
  <c r="N217" i="10" s="1"/>
  <c r="E217" i="10"/>
  <c r="N216" i="10"/>
  <c r="L216" i="10"/>
  <c r="M216" i="10" s="1"/>
  <c r="L215" i="10"/>
  <c r="P214" i="10"/>
  <c r="L214" i="10"/>
  <c r="Q214" i="10" s="1"/>
  <c r="P213" i="10"/>
  <c r="M213" i="10"/>
  <c r="L213" i="10"/>
  <c r="Q213" i="10" s="1"/>
  <c r="P212" i="10"/>
  <c r="L212" i="10"/>
  <c r="Q211" i="10"/>
  <c r="P211" i="10"/>
  <c r="M211" i="10"/>
  <c r="L211" i="10"/>
  <c r="N211" i="10" s="1"/>
  <c r="P210" i="10"/>
  <c r="P205" i="10" s="1"/>
  <c r="L210" i="10"/>
  <c r="P209" i="10"/>
  <c r="N209" i="10"/>
  <c r="M209" i="10"/>
  <c r="L209" i="10"/>
  <c r="Q209" i="10" s="1"/>
  <c r="P208" i="10"/>
  <c r="M208" i="10"/>
  <c r="L208" i="10"/>
  <c r="P207" i="10"/>
  <c r="L207" i="10"/>
  <c r="N207" i="10" s="1"/>
  <c r="P206" i="10"/>
  <c r="L206" i="10"/>
  <c r="Q206" i="10" s="1"/>
  <c r="L205" i="10"/>
  <c r="P204" i="10"/>
  <c r="L204" i="10"/>
  <c r="Q203" i="10"/>
  <c r="P203" i="10"/>
  <c r="M203" i="10"/>
  <c r="L203" i="10"/>
  <c r="N203" i="10" s="1"/>
  <c r="P202" i="10"/>
  <c r="L202" i="10"/>
  <c r="P201" i="10"/>
  <c r="N201" i="10"/>
  <c r="M201" i="10"/>
  <c r="L201" i="10"/>
  <c r="Q201" i="10" s="1"/>
  <c r="P200" i="10"/>
  <c r="M200" i="10"/>
  <c r="L200" i="10"/>
  <c r="P199" i="10"/>
  <c r="L199" i="10"/>
  <c r="N199" i="10" s="1"/>
  <c r="P198" i="10"/>
  <c r="L198" i="10"/>
  <c r="Q198" i="10" s="1"/>
  <c r="P197" i="10"/>
  <c r="M197" i="10"/>
  <c r="L197" i="10"/>
  <c r="Q197" i="10" s="1"/>
  <c r="P196" i="10"/>
  <c r="L196" i="10"/>
  <c r="Q195" i="10"/>
  <c r="P195" i="10"/>
  <c r="M195" i="10"/>
  <c r="L195" i="10"/>
  <c r="N195" i="10" s="1"/>
  <c r="P194" i="10"/>
  <c r="L194" i="10"/>
  <c r="P193" i="10"/>
  <c r="N193" i="10"/>
  <c r="M193" i="10"/>
  <c r="L193" i="10"/>
  <c r="Q193" i="10" s="1"/>
  <c r="P192" i="10"/>
  <c r="M192" i="10"/>
  <c r="L192" i="10"/>
  <c r="P191" i="10"/>
  <c r="L191" i="10"/>
  <c r="N191" i="10" s="1"/>
  <c r="P190" i="10"/>
  <c r="L190" i="10"/>
  <c r="Q190" i="10" s="1"/>
  <c r="P189" i="10"/>
  <c r="M189" i="10"/>
  <c r="L189" i="10"/>
  <c r="Q189" i="10" s="1"/>
  <c r="P188" i="10"/>
  <c r="L188" i="10"/>
  <c r="Q187" i="10"/>
  <c r="P187" i="10"/>
  <c r="M187" i="10"/>
  <c r="L187" i="10"/>
  <c r="N187" i="10" s="1"/>
  <c r="P186" i="10"/>
  <c r="L186" i="10"/>
  <c r="P185" i="10"/>
  <c r="N185" i="10"/>
  <c r="M185" i="10"/>
  <c r="L185" i="10"/>
  <c r="Q185" i="10" s="1"/>
  <c r="P184" i="10"/>
  <c r="M184" i="10"/>
  <c r="L184" i="10"/>
  <c r="P183" i="10"/>
  <c r="L183" i="10"/>
  <c r="N183" i="10" s="1"/>
  <c r="P182" i="10"/>
  <c r="L182" i="10"/>
  <c r="Q182" i="10" s="1"/>
  <c r="P181" i="10"/>
  <c r="M181" i="10"/>
  <c r="L181" i="10"/>
  <c r="Q181" i="10" s="1"/>
  <c r="P180" i="10"/>
  <c r="L180" i="10"/>
  <c r="L179" i="10"/>
  <c r="L178" i="10"/>
  <c r="P177" i="10"/>
  <c r="P175" i="10" s="1"/>
  <c r="N177" i="10"/>
  <c r="M177" i="10"/>
  <c r="L177" i="10"/>
  <c r="Q177" i="10" s="1"/>
  <c r="P176" i="10"/>
  <c r="M176" i="10"/>
  <c r="L176" i="10"/>
  <c r="M175" i="10"/>
  <c r="L175" i="10"/>
  <c r="P174" i="10"/>
  <c r="L174" i="10"/>
  <c r="Q173" i="10"/>
  <c r="P173" i="10"/>
  <c r="N173" i="10"/>
  <c r="L173" i="10"/>
  <c r="M173" i="10" s="1"/>
  <c r="Q172" i="10"/>
  <c r="P172" i="10"/>
  <c r="N172" i="10"/>
  <c r="M172" i="10"/>
  <c r="L172" i="10"/>
  <c r="Q171" i="10"/>
  <c r="P171" i="10"/>
  <c r="P170" i="10" s="1"/>
  <c r="N171" i="10"/>
  <c r="M171" i="10"/>
  <c r="L171" i="10"/>
  <c r="L170" i="10"/>
  <c r="Q169" i="10"/>
  <c r="P169" i="10"/>
  <c r="N169" i="10"/>
  <c r="L169" i="10"/>
  <c r="M169" i="10" s="1"/>
  <c r="Q168" i="10"/>
  <c r="P168" i="10"/>
  <c r="N168" i="10"/>
  <c r="M168" i="10"/>
  <c r="L168" i="10"/>
  <c r="Q167" i="10"/>
  <c r="P167" i="10"/>
  <c r="P165" i="10" s="1"/>
  <c r="N167" i="10"/>
  <c r="M167" i="10"/>
  <c r="L167" i="10"/>
  <c r="P166" i="10"/>
  <c r="L166" i="10"/>
  <c r="L165" i="10"/>
  <c r="Q164" i="10"/>
  <c r="P164" i="10"/>
  <c r="N164" i="10"/>
  <c r="M164" i="10"/>
  <c r="L164" i="10"/>
  <c r="Q163" i="10"/>
  <c r="P163" i="10"/>
  <c r="N163" i="10"/>
  <c r="M163" i="10"/>
  <c r="L163" i="10"/>
  <c r="P162" i="10"/>
  <c r="L162" i="10"/>
  <c r="Q161" i="10"/>
  <c r="P161" i="10"/>
  <c r="N161" i="10"/>
  <c r="L161" i="10"/>
  <c r="M161" i="10" s="1"/>
  <c r="Q160" i="10"/>
  <c r="P160" i="10"/>
  <c r="N160" i="10"/>
  <c r="M160" i="10"/>
  <c r="L160" i="10"/>
  <c r="Q159" i="10"/>
  <c r="P159" i="10"/>
  <c r="N159" i="10"/>
  <c r="M159" i="10"/>
  <c r="L159" i="10"/>
  <c r="P158" i="10"/>
  <c r="L158" i="10"/>
  <c r="Q157" i="10"/>
  <c r="P157" i="10"/>
  <c r="N157" i="10"/>
  <c r="L157" i="10"/>
  <c r="M157" i="10" s="1"/>
  <c r="P156" i="10"/>
  <c r="L156" i="10"/>
  <c r="L155" i="10"/>
  <c r="P154" i="10"/>
  <c r="L154" i="10"/>
  <c r="Q153" i="10"/>
  <c r="P153" i="10"/>
  <c r="N153" i="10"/>
  <c r="L153" i="10"/>
  <c r="M153" i="10" s="1"/>
  <c r="Q152" i="10"/>
  <c r="P152" i="10"/>
  <c r="N152" i="10"/>
  <c r="M152" i="10"/>
  <c r="L152" i="10"/>
  <c r="Q151" i="10"/>
  <c r="P151" i="10"/>
  <c r="N151" i="10"/>
  <c r="M151" i="10"/>
  <c r="L151" i="10"/>
  <c r="L150" i="10"/>
  <c r="L149" i="10"/>
  <c r="N149" i="10" s="1"/>
  <c r="E149" i="10"/>
  <c r="Q149" i="10" s="1"/>
  <c r="L148" i="10"/>
  <c r="Q147" i="10"/>
  <c r="P147" i="10"/>
  <c r="M147" i="10"/>
  <c r="L147" i="10"/>
  <c r="N147" i="10" s="1"/>
  <c r="P146" i="10"/>
  <c r="N146" i="10"/>
  <c r="L146" i="10"/>
  <c r="Q146" i="10" s="1"/>
  <c r="P145" i="10"/>
  <c r="N145" i="10"/>
  <c r="M145" i="10"/>
  <c r="L145" i="10"/>
  <c r="Q145" i="10" s="1"/>
  <c r="P144" i="10"/>
  <c r="M144" i="10"/>
  <c r="L144" i="10"/>
  <c r="N144" i="10" s="1"/>
  <c r="M143" i="10"/>
  <c r="L143" i="10"/>
  <c r="N143" i="10" s="1"/>
  <c r="Q142" i="10"/>
  <c r="P142" i="10"/>
  <c r="N142" i="10"/>
  <c r="M142" i="10"/>
  <c r="L142" i="10"/>
  <c r="E142" i="10"/>
  <c r="M141" i="10"/>
  <c r="L141" i="10"/>
  <c r="N141" i="10" s="1"/>
  <c r="E141" i="10"/>
  <c r="L140" i="10"/>
  <c r="L139" i="10"/>
  <c r="Q138" i="10"/>
  <c r="P138" i="10"/>
  <c r="M138" i="10"/>
  <c r="L138" i="10"/>
  <c r="N138" i="10" s="1"/>
  <c r="P137" i="10"/>
  <c r="N137" i="10"/>
  <c r="L137" i="10"/>
  <c r="Q137" i="10" s="1"/>
  <c r="P136" i="10"/>
  <c r="N136" i="10"/>
  <c r="M136" i="10"/>
  <c r="L136" i="10"/>
  <c r="Q136" i="10" s="1"/>
  <c r="P135" i="10"/>
  <c r="M135" i="10"/>
  <c r="L135" i="10"/>
  <c r="N135" i="10" s="1"/>
  <c r="Q134" i="10"/>
  <c r="P134" i="10"/>
  <c r="M134" i="10"/>
  <c r="L134" i="10"/>
  <c r="N134" i="10" s="1"/>
  <c r="P133" i="10"/>
  <c r="N133" i="10"/>
  <c r="L133" i="10"/>
  <c r="Q133" i="10" s="1"/>
  <c r="P132" i="10"/>
  <c r="N132" i="10"/>
  <c r="M132" i="10"/>
  <c r="L132" i="10"/>
  <c r="Q132" i="10" s="1"/>
  <c r="P131" i="10"/>
  <c r="L131" i="10"/>
  <c r="Q130" i="10"/>
  <c r="P130" i="10"/>
  <c r="M130" i="10"/>
  <c r="L130" i="10"/>
  <c r="F130" i="10"/>
  <c r="G130" i="10" s="1"/>
  <c r="N130" i="10" s="1"/>
  <c r="P129" i="10"/>
  <c r="L129" i="10"/>
  <c r="G129" i="10"/>
  <c r="F129" i="10"/>
  <c r="Q128" i="10"/>
  <c r="P128" i="10"/>
  <c r="M128" i="10"/>
  <c r="L128" i="10"/>
  <c r="F128" i="10"/>
  <c r="G128" i="10" s="1"/>
  <c r="N128" i="10" s="1"/>
  <c r="P127" i="10"/>
  <c r="L127" i="10"/>
  <c r="Q127" i="10" s="1"/>
  <c r="P126" i="10"/>
  <c r="L126" i="10"/>
  <c r="Q126" i="10" s="1"/>
  <c r="P125" i="10"/>
  <c r="L125" i="10"/>
  <c r="Q125" i="10" s="1"/>
  <c r="P124" i="10"/>
  <c r="L124" i="10"/>
  <c r="Q124" i="10" s="1"/>
  <c r="P123" i="10"/>
  <c r="L123" i="10"/>
  <c r="Q123" i="10" s="1"/>
  <c r="Q122" i="10"/>
  <c r="P122" i="10"/>
  <c r="L122" i="10"/>
  <c r="P121" i="10"/>
  <c r="L121" i="10"/>
  <c r="Q121" i="10" s="1"/>
  <c r="F121" i="10"/>
  <c r="L120" i="10"/>
  <c r="P119" i="10"/>
  <c r="L119" i="10"/>
  <c r="G119" i="10"/>
  <c r="F119" i="10"/>
  <c r="M119" i="10" s="1"/>
  <c r="Q118" i="10"/>
  <c r="P118" i="10"/>
  <c r="N118" i="10"/>
  <c r="M118" i="10"/>
  <c r="L118" i="10"/>
  <c r="G118" i="10"/>
  <c r="P117" i="10"/>
  <c r="M117" i="10"/>
  <c r="L117" i="10"/>
  <c r="Q117" i="10" s="1"/>
  <c r="G117" i="10"/>
  <c r="N117" i="10" s="1"/>
  <c r="P116" i="10"/>
  <c r="M116" i="10"/>
  <c r="L116" i="10"/>
  <c r="Q116" i="10" s="1"/>
  <c r="G116" i="10"/>
  <c r="N116" i="10" s="1"/>
  <c r="F116" i="10"/>
  <c r="P115" i="10"/>
  <c r="L115" i="10"/>
  <c r="Q115" i="10" s="1"/>
  <c r="F115" i="10"/>
  <c r="M115" i="10" s="1"/>
  <c r="Q114" i="10"/>
  <c r="P114" i="10"/>
  <c r="L114" i="10"/>
  <c r="G114" i="10"/>
  <c r="N114" i="10" s="1"/>
  <c r="F114" i="10"/>
  <c r="M114" i="10" s="1"/>
  <c r="P113" i="10"/>
  <c r="L113" i="10"/>
  <c r="Q113" i="10" s="1"/>
  <c r="Q112" i="10"/>
  <c r="P112" i="10"/>
  <c r="L112" i="10"/>
  <c r="G112" i="10"/>
  <c r="N112" i="10" s="1"/>
  <c r="F112" i="10"/>
  <c r="M112" i="10" s="1"/>
  <c r="Q111" i="10"/>
  <c r="P111" i="10"/>
  <c r="L111" i="10"/>
  <c r="F111" i="10"/>
  <c r="M111" i="10" s="1"/>
  <c r="Q110" i="10"/>
  <c r="P110" i="10"/>
  <c r="M110" i="10"/>
  <c r="L110" i="10"/>
  <c r="F110" i="10"/>
  <c r="G110" i="10" s="1"/>
  <c r="N110" i="10" s="1"/>
  <c r="P109" i="10"/>
  <c r="P107" i="10" s="1"/>
  <c r="L109" i="10"/>
  <c r="G109" i="10"/>
  <c r="F109" i="10"/>
  <c r="Q108" i="10"/>
  <c r="P108" i="10"/>
  <c r="N108" i="10"/>
  <c r="M108" i="10"/>
  <c r="L108" i="10"/>
  <c r="G108" i="10"/>
  <c r="L107" i="10"/>
  <c r="P106" i="10"/>
  <c r="L106" i="10"/>
  <c r="Q106" i="10" s="1"/>
  <c r="Q105" i="10"/>
  <c r="P105" i="10"/>
  <c r="L105" i="10"/>
  <c r="M105" i="10" s="1"/>
  <c r="G105" i="10"/>
  <c r="N105" i="10" s="1"/>
  <c r="Q104" i="10"/>
  <c r="P104" i="10"/>
  <c r="L104" i="10"/>
  <c r="G104" i="10"/>
  <c r="N104" i="10" s="1"/>
  <c r="F104" i="10"/>
  <c r="M104" i="10" s="1"/>
  <c r="Q103" i="10"/>
  <c r="P103" i="10"/>
  <c r="L103" i="10"/>
  <c r="Q102" i="10"/>
  <c r="P102" i="10"/>
  <c r="M102" i="10"/>
  <c r="L102" i="10"/>
  <c r="F102" i="10"/>
  <c r="G102" i="10" s="1"/>
  <c r="N102" i="10" s="1"/>
  <c r="P101" i="10"/>
  <c r="L101" i="10"/>
  <c r="G101" i="10"/>
  <c r="F101" i="10"/>
  <c r="M101" i="10" s="1"/>
  <c r="Q100" i="10"/>
  <c r="P100" i="10"/>
  <c r="M100" i="10"/>
  <c r="L100" i="10"/>
  <c r="F100" i="10"/>
  <c r="G100" i="10" s="1"/>
  <c r="N100" i="10" s="1"/>
  <c r="P99" i="10"/>
  <c r="N99" i="10"/>
  <c r="L99" i="10"/>
  <c r="Q99" i="10" s="1"/>
  <c r="F99" i="10"/>
  <c r="G99" i="10" s="1"/>
  <c r="P98" i="10"/>
  <c r="M98" i="10"/>
  <c r="L98" i="10"/>
  <c r="Q98" i="10" s="1"/>
  <c r="G98" i="10"/>
  <c r="N98" i="10" s="1"/>
  <c r="F98" i="10"/>
  <c r="P97" i="10"/>
  <c r="L97" i="10"/>
  <c r="Q97" i="10" s="1"/>
  <c r="F97" i="10"/>
  <c r="P96" i="10"/>
  <c r="P95" i="10" s="1"/>
  <c r="L96" i="10"/>
  <c r="Q96" i="10" s="1"/>
  <c r="L95" i="10"/>
  <c r="L94" i="10"/>
  <c r="P93" i="10"/>
  <c r="L93" i="10"/>
  <c r="P92" i="10"/>
  <c r="M92" i="10"/>
  <c r="L92" i="10"/>
  <c r="Q92" i="10" s="1"/>
  <c r="P91" i="10"/>
  <c r="L91" i="10"/>
  <c r="Q91" i="10" s="1"/>
  <c r="Q90" i="10"/>
  <c r="P90" i="10"/>
  <c r="L90" i="10"/>
  <c r="N90" i="10" s="1"/>
  <c r="P89" i="10"/>
  <c r="L89" i="10"/>
  <c r="P88" i="10"/>
  <c r="M88" i="10"/>
  <c r="L88" i="10"/>
  <c r="Q88" i="10" s="1"/>
  <c r="P87" i="10"/>
  <c r="L87" i="10"/>
  <c r="Q87" i="10" s="1"/>
  <c r="Q86" i="10"/>
  <c r="P86" i="10"/>
  <c r="L86" i="10"/>
  <c r="N86" i="10" s="1"/>
  <c r="P85" i="10"/>
  <c r="L85" i="10"/>
  <c r="P84" i="10"/>
  <c r="M84" i="10"/>
  <c r="L84" i="10"/>
  <c r="Q84" i="10" s="1"/>
  <c r="L83" i="10"/>
  <c r="N83" i="10" s="1"/>
  <c r="E83" i="10"/>
  <c r="Q83" i="10" s="1"/>
  <c r="Q82" i="10"/>
  <c r="P82" i="10"/>
  <c r="N82" i="10"/>
  <c r="M82" i="10"/>
  <c r="L82" i="10"/>
  <c r="Q81" i="10"/>
  <c r="P81" i="10"/>
  <c r="N81" i="10"/>
  <c r="M81" i="10"/>
  <c r="L81" i="10"/>
  <c r="P80" i="10"/>
  <c r="N80" i="10"/>
  <c r="L80" i="10"/>
  <c r="Q80" i="10" s="1"/>
  <c r="L79" i="10"/>
  <c r="Q78" i="10"/>
  <c r="P78" i="10"/>
  <c r="N78" i="10"/>
  <c r="M78" i="10"/>
  <c r="L78" i="10"/>
  <c r="Q77" i="10"/>
  <c r="P77" i="10"/>
  <c r="N77" i="10"/>
  <c r="M77" i="10"/>
  <c r="L77" i="10"/>
  <c r="P76" i="10"/>
  <c r="N76" i="10"/>
  <c r="L76" i="10"/>
  <c r="Q76" i="10" s="1"/>
  <c r="P75" i="10"/>
  <c r="N75" i="10"/>
  <c r="M75" i="10"/>
  <c r="L75" i="10"/>
  <c r="Q75" i="10" s="1"/>
  <c r="Q74" i="10"/>
  <c r="P74" i="10"/>
  <c r="N74" i="10"/>
  <c r="M74" i="10"/>
  <c r="L74" i="10"/>
  <c r="Q73" i="10"/>
  <c r="P73" i="10"/>
  <c r="N73" i="10"/>
  <c r="M73" i="10"/>
  <c r="L73" i="10"/>
  <c r="P72" i="10"/>
  <c r="N72" i="10"/>
  <c r="L72" i="10"/>
  <c r="Q72" i="10" s="1"/>
  <c r="P71" i="10"/>
  <c r="N71" i="10"/>
  <c r="M71" i="10"/>
  <c r="L71" i="10"/>
  <c r="Q71" i="10" s="1"/>
  <c r="Q70" i="10"/>
  <c r="P70" i="10"/>
  <c r="N70" i="10"/>
  <c r="M70" i="10"/>
  <c r="L70" i="10"/>
  <c r="Q69" i="10"/>
  <c r="P69" i="10"/>
  <c r="N69" i="10"/>
  <c r="M69" i="10"/>
  <c r="L69" i="10"/>
  <c r="P68" i="10"/>
  <c r="N68" i="10"/>
  <c r="L68" i="10"/>
  <c r="Q68" i="10" s="1"/>
  <c r="E68" i="10"/>
  <c r="P67" i="10"/>
  <c r="L67" i="10"/>
  <c r="Q66" i="10"/>
  <c r="P66" i="10"/>
  <c r="N66" i="10"/>
  <c r="L66" i="10"/>
  <c r="M66" i="10" s="1"/>
  <c r="Q65" i="10"/>
  <c r="P65" i="10"/>
  <c r="N65" i="10"/>
  <c r="L65" i="10"/>
  <c r="M65" i="10" s="1"/>
  <c r="Q64" i="10"/>
  <c r="P64" i="10"/>
  <c r="N64" i="10"/>
  <c r="M64" i="10"/>
  <c r="L64" i="10"/>
  <c r="L63" i="10"/>
  <c r="L62" i="10"/>
  <c r="Q61" i="10"/>
  <c r="P61" i="10"/>
  <c r="N61" i="10"/>
  <c r="L61" i="10"/>
  <c r="M61" i="10" s="1"/>
  <c r="Q60" i="10"/>
  <c r="P60" i="10"/>
  <c r="N60" i="10"/>
  <c r="M60" i="10"/>
  <c r="L60" i="10"/>
  <c r="P59" i="10"/>
  <c r="L59" i="10"/>
  <c r="Q58" i="10"/>
  <c r="N58" i="10"/>
  <c r="L58" i="10"/>
  <c r="M58" i="10" s="1"/>
  <c r="E58" i="10"/>
  <c r="Q57" i="10"/>
  <c r="P57" i="10"/>
  <c r="L57" i="10"/>
  <c r="N57" i="10" s="1"/>
  <c r="P56" i="10"/>
  <c r="L56" i="10"/>
  <c r="P55" i="10"/>
  <c r="M55" i="10"/>
  <c r="L55" i="10"/>
  <c r="Q55" i="10" s="1"/>
  <c r="P54" i="10"/>
  <c r="L54" i="10"/>
  <c r="Q54" i="10" s="1"/>
  <c r="L53" i="10"/>
  <c r="L52" i="10"/>
  <c r="P51" i="10"/>
  <c r="L51" i="10"/>
  <c r="E51" i="10"/>
  <c r="Q51" i="10" s="1"/>
  <c r="P50" i="10"/>
  <c r="L50" i="10"/>
  <c r="Q50" i="10" s="1"/>
  <c r="P49" i="10"/>
  <c r="L49" i="10"/>
  <c r="Q48" i="10"/>
  <c r="P48" i="10"/>
  <c r="L48" i="10"/>
  <c r="N48" i="10" s="1"/>
  <c r="Q47" i="10"/>
  <c r="P47" i="10"/>
  <c r="N47" i="10"/>
  <c r="L47" i="10"/>
  <c r="M47" i="10" s="1"/>
  <c r="Q46" i="10"/>
  <c r="P46" i="10"/>
  <c r="N46" i="10"/>
  <c r="M46" i="10"/>
  <c r="L46" i="10"/>
  <c r="P45" i="10"/>
  <c r="L45" i="10"/>
  <c r="Q44" i="10"/>
  <c r="P44" i="10"/>
  <c r="L44" i="10"/>
  <c r="N44" i="10" s="1"/>
  <c r="P43" i="10"/>
  <c r="L43" i="10"/>
  <c r="Q42" i="10"/>
  <c r="P42" i="10"/>
  <c r="N42" i="10"/>
  <c r="M42" i="10"/>
  <c r="L42" i="10"/>
  <c r="P41" i="10"/>
  <c r="L41" i="10"/>
  <c r="Q40" i="10"/>
  <c r="P40" i="10"/>
  <c r="L40" i="10"/>
  <c r="N40" i="10" s="1"/>
  <c r="Q39" i="10"/>
  <c r="P39" i="10"/>
  <c r="N39" i="10"/>
  <c r="L39" i="10"/>
  <c r="M39" i="10" s="1"/>
  <c r="Q38" i="10"/>
  <c r="P38" i="10"/>
  <c r="N38" i="10"/>
  <c r="M38" i="10"/>
  <c r="L38" i="10"/>
  <c r="P37" i="10"/>
  <c r="L37" i="10"/>
  <c r="Q36" i="10"/>
  <c r="P36" i="10"/>
  <c r="L36" i="10"/>
  <c r="N36" i="10" s="1"/>
  <c r="P35" i="10"/>
  <c r="L35" i="10"/>
  <c r="Q34" i="10"/>
  <c r="P34" i="10"/>
  <c r="N34" i="10"/>
  <c r="M34" i="10"/>
  <c r="L34" i="10"/>
  <c r="G34" i="10"/>
  <c r="P33" i="10"/>
  <c r="L33" i="10"/>
  <c r="Q33" i="10" s="1"/>
  <c r="P32" i="10"/>
  <c r="L32" i="10"/>
  <c r="Q32" i="10" s="1"/>
  <c r="P31" i="10"/>
  <c r="P30" i="10" s="1"/>
  <c r="P27" i="10" s="1"/>
  <c r="M31" i="10"/>
  <c r="L31" i="10"/>
  <c r="Q31" i="10" s="1"/>
  <c r="G31" i="10"/>
  <c r="N31" i="10" s="1"/>
  <c r="L30" i="10"/>
  <c r="Q29" i="10"/>
  <c r="P29" i="10"/>
  <c r="N29" i="10"/>
  <c r="M29" i="10"/>
  <c r="M28" i="10" s="1"/>
  <c r="L29" i="10"/>
  <c r="P28" i="10"/>
  <c r="N28" i="10"/>
  <c r="P11" i="10"/>
  <c r="T8" i="10"/>
  <c r="J648" i="9"/>
  <c r="I648" i="9"/>
  <c r="J647" i="9"/>
  <c r="I647" i="9"/>
  <c r="J646" i="9"/>
  <c r="I646" i="9"/>
  <c r="I645" i="9"/>
  <c r="J645" i="9" s="1"/>
  <c r="I644" i="9"/>
  <c r="J644" i="9" s="1"/>
  <c r="J643" i="9"/>
  <c r="I643" i="9"/>
  <c r="J642" i="9"/>
  <c r="I642" i="9"/>
  <c r="I649" i="9" s="1"/>
  <c r="J641" i="9"/>
  <c r="I641" i="9"/>
  <c r="I640" i="9"/>
  <c r="I639" i="9"/>
  <c r="I638" i="9"/>
  <c r="G634" i="9"/>
  <c r="M600" i="9"/>
  <c r="M599" i="9"/>
  <c r="Q590" i="9"/>
  <c r="P590" i="9"/>
  <c r="M590" i="9"/>
  <c r="L590" i="9"/>
  <c r="N590" i="9" s="1"/>
  <c r="P589" i="9"/>
  <c r="P588" i="9" s="1"/>
  <c r="N589" i="9"/>
  <c r="L589" i="9"/>
  <c r="Q589" i="9" s="1"/>
  <c r="L588" i="9"/>
  <c r="P587" i="9"/>
  <c r="M587" i="9"/>
  <c r="L587" i="9"/>
  <c r="N587" i="9" s="1"/>
  <c r="Q586" i="9"/>
  <c r="P586" i="9"/>
  <c r="M586" i="9"/>
  <c r="L586" i="9"/>
  <c r="N586" i="9" s="1"/>
  <c r="P585" i="9"/>
  <c r="N585" i="9"/>
  <c r="L585" i="9"/>
  <c r="Q585" i="9" s="1"/>
  <c r="P584" i="9"/>
  <c r="N584" i="9"/>
  <c r="M584" i="9"/>
  <c r="L584" i="9"/>
  <c r="Q584" i="9" s="1"/>
  <c r="P583" i="9"/>
  <c r="M583" i="9"/>
  <c r="L583" i="9"/>
  <c r="N583" i="9" s="1"/>
  <c r="Q582" i="9"/>
  <c r="P582" i="9"/>
  <c r="M582" i="9"/>
  <c r="L582" i="9"/>
  <c r="N582" i="9" s="1"/>
  <c r="P581" i="9"/>
  <c r="N581" i="9"/>
  <c r="L581" i="9"/>
  <c r="Q581" i="9" s="1"/>
  <c r="P580" i="9"/>
  <c r="N580" i="9"/>
  <c r="M580" i="9"/>
  <c r="L580" i="9"/>
  <c r="Q580" i="9" s="1"/>
  <c r="P579" i="9"/>
  <c r="M579" i="9"/>
  <c r="L579" i="9"/>
  <c r="N579" i="9" s="1"/>
  <c r="Q578" i="9"/>
  <c r="P578" i="9"/>
  <c r="M578" i="9"/>
  <c r="L578" i="9"/>
  <c r="N578" i="9" s="1"/>
  <c r="P577" i="9"/>
  <c r="N577" i="9"/>
  <c r="L577" i="9"/>
  <c r="Q577" i="9" s="1"/>
  <c r="P576" i="9"/>
  <c r="N576" i="9"/>
  <c r="M576" i="9"/>
  <c r="L576" i="9"/>
  <c r="Q576" i="9" s="1"/>
  <c r="P575" i="9"/>
  <c r="M575" i="9"/>
  <c r="L575" i="9"/>
  <c r="N575" i="9" s="1"/>
  <c r="Q574" i="9"/>
  <c r="P574" i="9"/>
  <c r="M574" i="9"/>
  <c r="L574" i="9"/>
  <c r="N574" i="9" s="1"/>
  <c r="P573" i="9"/>
  <c r="N573" i="9"/>
  <c r="L573" i="9"/>
  <c r="Q573" i="9" s="1"/>
  <c r="P572" i="9"/>
  <c r="N572" i="9"/>
  <c r="M572" i="9"/>
  <c r="L572" i="9"/>
  <c r="Q572" i="9" s="1"/>
  <c r="P571" i="9"/>
  <c r="M571" i="9"/>
  <c r="L571" i="9"/>
  <c r="N571" i="9" s="1"/>
  <c r="Q570" i="9"/>
  <c r="P570" i="9"/>
  <c r="M570" i="9"/>
  <c r="L570" i="9"/>
  <c r="N570" i="9" s="1"/>
  <c r="P569" i="9"/>
  <c r="N569" i="9"/>
  <c r="L569" i="9"/>
  <c r="Q569" i="9" s="1"/>
  <c r="N568" i="9"/>
  <c r="M568" i="9"/>
  <c r="L568" i="9"/>
  <c r="E568" i="9"/>
  <c r="Q568" i="9" s="1"/>
  <c r="Q567" i="9"/>
  <c r="P567" i="9"/>
  <c r="L567" i="9"/>
  <c r="N567" i="9" s="1"/>
  <c r="L566" i="9"/>
  <c r="Q565" i="9"/>
  <c r="P565" i="9"/>
  <c r="N565" i="9"/>
  <c r="M565" i="9"/>
  <c r="L565" i="9"/>
  <c r="P564" i="9"/>
  <c r="L564" i="9"/>
  <c r="Q563" i="9"/>
  <c r="P563" i="9"/>
  <c r="L563" i="9"/>
  <c r="N563" i="9" s="1"/>
  <c r="Q562" i="9"/>
  <c r="P562" i="9"/>
  <c r="N562" i="9"/>
  <c r="M562" i="9"/>
  <c r="L562" i="9"/>
  <c r="Q561" i="9"/>
  <c r="P561" i="9"/>
  <c r="N561" i="9"/>
  <c r="M561" i="9"/>
  <c r="L561" i="9"/>
  <c r="P560" i="9"/>
  <c r="L560" i="9"/>
  <c r="Q559" i="9"/>
  <c r="P559" i="9"/>
  <c r="L559" i="9"/>
  <c r="N559" i="9" s="1"/>
  <c r="Q558" i="9"/>
  <c r="P558" i="9"/>
  <c r="N558" i="9"/>
  <c r="M558" i="9"/>
  <c r="L558" i="9"/>
  <c r="Q557" i="9"/>
  <c r="P557" i="9"/>
  <c r="N557" i="9"/>
  <c r="M557" i="9"/>
  <c r="L557" i="9"/>
  <c r="P556" i="9"/>
  <c r="L556" i="9"/>
  <c r="Q555" i="9"/>
  <c r="P555" i="9"/>
  <c r="L555" i="9"/>
  <c r="N555" i="9" s="1"/>
  <c r="P554" i="9"/>
  <c r="L554" i="9"/>
  <c r="Q553" i="9"/>
  <c r="Q552" i="9" s="1"/>
  <c r="P553" i="9"/>
  <c r="P552" i="9" s="1"/>
  <c r="N553" i="9"/>
  <c r="N552" i="9" s="1"/>
  <c r="M553" i="9"/>
  <c r="M552" i="9" s="1"/>
  <c r="L553" i="9"/>
  <c r="L552" i="9"/>
  <c r="Q551" i="9"/>
  <c r="P551" i="9"/>
  <c r="L551" i="9"/>
  <c r="N551" i="9" s="1"/>
  <c r="Q550" i="9"/>
  <c r="P550" i="9"/>
  <c r="N550" i="9"/>
  <c r="M550" i="9"/>
  <c r="L550" i="9"/>
  <c r="Q549" i="9"/>
  <c r="P549" i="9"/>
  <c r="N549" i="9"/>
  <c r="M549" i="9"/>
  <c r="L549" i="9"/>
  <c r="P548" i="9"/>
  <c r="L548" i="9"/>
  <c r="Q547" i="9"/>
  <c r="P547" i="9"/>
  <c r="L547" i="9"/>
  <c r="N547" i="9" s="1"/>
  <c r="Q546" i="9"/>
  <c r="P546" i="9"/>
  <c r="N546" i="9"/>
  <c r="M546" i="9"/>
  <c r="L546" i="9"/>
  <c r="Q545" i="9"/>
  <c r="P545" i="9"/>
  <c r="N545" i="9"/>
  <c r="M545" i="9"/>
  <c r="L545" i="9"/>
  <c r="P544" i="9"/>
  <c r="L544" i="9"/>
  <c r="Q543" i="9"/>
  <c r="P543" i="9"/>
  <c r="L543" i="9"/>
  <c r="N543" i="9" s="1"/>
  <c r="Q542" i="9"/>
  <c r="P542" i="9"/>
  <c r="N542" i="9"/>
  <c r="M542" i="9"/>
  <c r="L542" i="9"/>
  <c r="Q541" i="9"/>
  <c r="P541" i="9"/>
  <c r="N541" i="9"/>
  <c r="M541" i="9"/>
  <c r="L541" i="9"/>
  <c r="P540" i="9"/>
  <c r="L540" i="9"/>
  <c r="Q539" i="9"/>
  <c r="P539" i="9"/>
  <c r="L539" i="9"/>
  <c r="N539" i="9" s="1"/>
  <c r="Q538" i="9"/>
  <c r="P538" i="9"/>
  <c r="N538" i="9"/>
  <c r="M538" i="9"/>
  <c r="L538" i="9"/>
  <c r="Q537" i="9"/>
  <c r="P537" i="9"/>
  <c r="N537" i="9"/>
  <c r="M537" i="9"/>
  <c r="L537" i="9"/>
  <c r="P536" i="9"/>
  <c r="L536" i="9"/>
  <c r="Q535" i="9"/>
  <c r="P535" i="9"/>
  <c r="L535" i="9"/>
  <c r="N535" i="9" s="1"/>
  <c r="Q534" i="9"/>
  <c r="P534" i="9"/>
  <c r="N534" i="9"/>
  <c r="M534" i="9"/>
  <c r="L534" i="9"/>
  <c r="Q533" i="9"/>
  <c r="P533" i="9"/>
  <c r="N533" i="9"/>
  <c r="M533" i="9"/>
  <c r="L533" i="9"/>
  <c r="P532" i="9"/>
  <c r="L532" i="9"/>
  <c r="Q531" i="9"/>
  <c r="P531" i="9"/>
  <c r="L531" i="9"/>
  <c r="N531" i="9" s="1"/>
  <c r="Q530" i="9"/>
  <c r="P530" i="9"/>
  <c r="N530" i="9"/>
  <c r="M530" i="9"/>
  <c r="L530" i="9"/>
  <c r="Q529" i="9"/>
  <c r="P529" i="9"/>
  <c r="N529" i="9"/>
  <c r="M529" i="9"/>
  <c r="L529" i="9"/>
  <c r="P528" i="9"/>
  <c r="L528" i="9"/>
  <c r="Q527" i="9"/>
  <c r="P527" i="9"/>
  <c r="L527" i="9"/>
  <c r="N527" i="9" s="1"/>
  <c r="Q526" i="9"/>
  <c r="P526" i="9"/>
  <c r="N526" i="9"/>
  <c r="M526" i="9"/>
  <c r="L526" i="9"/>
  <c r="Q525" i="9"/>
  <c r="P525" i="9"/>
  <c r="N525" i="9"/>
  <c r="M525" i="9"/>
  <c r="L525" i="9"/>
  <c r="P524" i="9"/>
  <c r="L524" i="9"/>
  <c r="Q523" i="9"/>
  <c r="P523" i="9"/>
  <c r="L523" i="9"/>
  <c r="N523" i="9" s="1"/>
  <c r="Q522" i="9"/>
  <c r="P522" i="9"/>
  <c r="P520" i="9" s="1"/>
  <c r="N522" i="9"/>
  <c r="M522" i="9"/>
  <c r="L522" i="9"/>
  <c r="Q521" i="9"/>
  <c r="P521" i="9"/>
  <c r="N521" i="9"/>
  <c r="M521" i="9"/>
  <c r="L521" i="9"/>
  <c r="L520" i="9"/>
  <c r="Q519" i="9"/>
  <c r="P519" i="9"/>
  <c r="L519" i="9"/>
  <c r="N519" i="9" s="1"/>
  <c r="Q518" i="9"/>
  <c r="P518" i="9"/>
  <c r="N518" i="9"/>
  <c r="M518" i="9"/>
  <c r="L518" i="9"/>
  <c r="Q517" i="9"/>
  <c r="P517" i="9"/>
  <c r="N517" i="9"/>
  <c r="M517" i="9"/>
  <c r="L517" i="9"/>
  <c r="P516" i="9"/>
  <c r="L516" i="9"/>
  <c r="Q515" i="9"/>
  <c r="P515" i="9"/>
  <c r="L515" i="9"/>
  <c r="N515" i="9" s="1"/>
  <c r="Q514" i="9"/>
  <c r="P514" i="9"/>
  <c r="N514" i="9"/>
  <c r="M514" i="9"/>
  <c r="L514" i="9"/>
  <c r="Q513" i="9"/>
  <c r="P513" i="9"/>
  <c r="N513" i="9"/>
  <c r="M513" i="9"/>
  <c r="L513" i="9"/>
  <c r="P512" i="9"/>
  <c r="L512" i="9"/>
  <c r="Q511" i="9"/>
  <c r="P511" i="9"/>
  <c r="L511" i="9"/>
  <c r="N511" i="9" s="1"/>
  <c r="Q510" i="9"/>
  <c r="P510" i="9"/>
  <c r="N510" i="9"/>
  <c r="M510" i="9"/>
  <c r="L510" i="9"/>
  <c r="Q509" i="9"/>
  <c r="P509" i="9"/>
  <c r="P508" i="9" s="1"/>
  <c r="N509" i="9"/>
  <c r="M509" i="9"/>
  <c r="L509" i="9"/>
  <c r="L508" i="9"/>
  <c r="L507" i="9"/>
  <c r="Q506" i="9"/>
  <c r="P506" i="9"/>
  <c r="N506" i="9"/>
  <c r="M506" i="9"/>
  <c r="L506" i="9"/>
  <c r="Q505" i="9"/>
  <c r="P505" i="9"/>
  <c r="N505" i="9"/>
  <c r="M505" i="9"/>
  <c r="L505" i="9"/>
  <c r="P504" i="9"/>
  <c r="L504" i="9"/>
  <c r="Q503" i="9"/>
  <c r="P503" i="9"/>
  <c r="L503" i="9"/>
  <c r="N503" i="9" s="1"/>
  <c r="Q502" i="9"/>
  <c r="P502" i="9"/>
  <c r="N502" i="9"/>
  <c r="M502" i="9"/>
  <c r="L502" i="9"/>
  <c r="Q501" i="9"/>
  <c r="P501" i="9"/>
  <c r="N501" i="9"/>
  <c r="M501" i="9"/>
  <c r="L501" i="9"/>
  <c r="P500" i="9"/>
  <c r="L500" i="9"/>
  <c r="Q499" i="9"/>
  <c r="P499" i="9"/>
  <c r="L499" i="9"/>
  <c r="N499" i="9" s="1"/>
  <c r="Q498" i="9"/>
  <c r="P498" i="9"/>
  <c r="N498" i="9"/>
  <c r="M498" i="9"/>
  <c r="L498" i="9"/>
  <c r="Q497" i="9"/>
  <c r="P497" i="9"/>
  <c r="N497" i="9"/>
  <c r="M497" i="9"/>
  <c r="L497" i="9"/>
  <c r="P496" i="9"/>
  <c r="L496" i="9"/>
  <c r="Q495" i="9"/>
  <c r="P495" i="9"/>
  <c r="L495" i="9"/>
  <c r="N495" i="9" s="1"/>
  <c r="Q494" i="9"/>
  <c r="P494" i="9"/>
  <c r="N494" i="9"/>
  <c r="M494" i="9"/>
  <c r="L494" i="9"/>
  <c r="Q493" i="9"/>
  <c r="P493" i="9"/>
  <c r="N493" i="9"/>
  <c r="M493" i="9"/>
  <c r="L493" i="9"/>
  <c r="P492" i="9"/>
  <c r="L492" i="9"/>
  <c r="Q491" i="9"/>
  <c r="P491" i="9"/>
  <c r="L491" i="9"/>
  <c r="N491" i="9" s="1"/>
  <c r="Q490" i="9"/>
  <c r="P490" i="9"/>
  <c r="P487" i="9" s="1"/>
  <c r="N490" i="9"/>
  <c r="M490" i="9"/>
  <c r="L490" i="9"/>
  <c r="Q489" i="9"/>
  <c r="P489" i="9"/>
  <c r="N489" i="9"/>
  <c r="M489" i="9"/>
  <c r="L489" i="9"/>
  <c r="P488" i="9"/>
  <c r="L488" i="9"/>
  <c r="L487" i="9"/>
  <c r="Q486" i="9"/>
  <c r="P486" i="9"/>
  <c r="N486" i="9"/>
  <c r="M486" i="9"/>
  <c r="L486" i="9"/>
  <c r="Q485" i="9"/>
  <c r="P485" i="9"/>
  <c r="N485" i="9"/>
  <c r="M485" i="9"/>
  <c r="L485" i="9"/>
  <c r="P484" i="9"/>
  <c r="L484" i="9"/>
  <c r="Q483" i="9"/>
  <c r="P483" i="9"/>
  <c r="L483" i="9"/>
  <c r="N483" i="9" s="1"/>
  <c r="P482" i="9"/>
  <c r="L482" i="9"/>
  <c r="L481" i="9"/>
  <c r="P480" i="9"/>
  <c r="L480" i="9"/>
  <c r="Q479" i="9"/>
  <c r="P479" i="9"/>
  <c r="L479" i="9"/>
  <c r="N479" i="9" s="1"/>
  <c r="Q478" i="9"/>
  <c r="P478" i="9"/>
  <c r="N478" i="9"/>
  <c r="M478" i="9"/>
  <c r="L478" i="9"/>
  <c r="Q477" i="9"/>
  <c r="P477" i="9"/>
  <c r="N477" i="9"/>
  <c r="M477" i="9"/>
  <c r="L477" i="9"/>
  <c r="P476" i="9"/>
  <c r="L476" i="9"/>
  <c r="Q475" i="9"/>
  <c r="P475" i="9"/>
  <c r="L475" i="9"/>
  <c r="N475" i="9" s="1"/>
  <c r="P474" i="9"/>
  <c r="L474" i="9"/>
  <c r="Q473" i="9"/>
  <c r="P473" i="9"/>
  <c r="N473" i="9"/>
  <c r="M473" i="9"/>
  <c r="L473" i="9"/>
  <c r="P472" i="9"/>
  <c r="L472" i="9"/>
  <c r="Q471" i="9"/>
  <c r="P471" i="9"/>
  <c r="L471" i="9"/>
  <c r="N471" i="9" s="1"/>
  <c r="Q470" i="9"/>
  <c r="P470" i="9"/>
  <c r="N470" i="9"/>
  <c r="M470" i="9"/>
  <c r="L470" i="9"/>
  <c r="Q469" i="9"/>
  <c r="P469" i="9"/>
  <c r="N469" i="9"/>
  <c r="M469" i="9"/>
  <c r="L469" i="9"/>
  <c r="P468" i="9"/>
  <c r="L468" i="9"/>
  <c r="Q467" i="9"/>
  <c r="P467" i="9"/>
  <c r="L467" i="9"/>
  <c r="N467" i="9" s="1"/>
  <c r="Q466" i="9"/>
  <c r="P466" i="9"/>
  <c r="N466" i="9"/>
  <c r="M466" i="9"/>
  <c r="L466" i="9"/>
  <c r="N465" i="9"/>
  <c r="L465" i="9"/>
  <c r="Q465" i="9" s="1"/>
  <c r="P464" i="9"/>
  <c r="N464" i="9"/>
  <c r="M464" i="9"/>
  <c r="L464" i="9"/>
  <c r="Q464" i="9" s="1"/>
  <c r="P463" i="9"/>
  <c r="L463" i="9"/>
  <c r="N463" i="9" s="1"/>
  <c r="Q462" i="9"/>
  <c r="P462" i="9"/>
  <c r="M462" i="9"/>
  <c r="L462" i="9"/>
  <c r="N462" i="9" s="1"/>
  <c r="P461" i="9"/>
  <c r="N461" i="9"/>
  <c r="L461" i="9"/>
  <c r="Q461" i="9" s="1"/>
  <c r="P460" i="9"/>
  <c r="N460" i="9"/>
  <c r="M460" i="9"/>
  <c r="L460" i="9"/>
  <c r="Q460" i="9" s="1"/>
  <c r="P459" i="9"/>
  <c r="L459" i="9"/>
  <c r="N459" i="9" s="1"/>
  <c r="Q458" i="9"/>
  <c r="P458" i="9"/>
  <c r="M458" i="9"/>
  <c r="L458" i="9"/>
  <c r="N458" i="9" s="1"/>
  <c r="P457" i="9"/>
  <c r="N457" i="9"/>
  <c r="L457" i="9"/>
  <c r="Q457" i="9" s="1"/>
  <c r="P456" i="9"/>
  <c r="N456" i="9"/>
  <c r="M456" i="9"/>
  <c r="L456" i="9"/>
  <c r="Q456" i="9" s="1"/>
  <c r="P455" i="9"/>
  <c r="L455" i="9"/>
  <c r="N455" i="9" s="1"/>
  <c r="Q454" i="9"/>
  <c r="P454" i="9"/>
  <c r="M454" i="9"/>
  <c r="L454" i="9"/>
  <c r="N454" i="9" s="1"/>
  <c r="P453" i="9"/>
  <c r="N453" i="9"/>
  <c r="L453" i="9"/>
  <c r="Q453" i="9" s="1"/>
  <c r="P452" i="9"/>
  <c r="N452" i="9"/>
  <c r="M452" i="9"/>
  <c r="L452" i="9"/>
  <c r="Q452" i="9" s="1"/>
  <c r="P451" i="9"/>
  <c r="L451" i="9"/>
  <c r="N451" i="9" s="1"/>
  <c r="Q450" i="9"/>
  <c r="P450" i="9"/>
  <c r="M450" i="9"/>
  <c r="L450" i="9"/>
  <c r="N450" i="9" s="1"/>
  <c r="P449" i="9"/>
  <c r="N449" i="9"/>
  <c r="L449" i="9"/>
  <c r="Q449" i="9" s="1"/>
  <c r="P448" i="9"/>
  <c r="N448" i="9"/>
  <c r="M448" i="9"/>
  <c r="L448" i="9"/>
  <c r="Q448" i="9" s="1"/>
  <c r="P447" i="9"/>
  <c r="L447" i="9"/>
  <c r="N447" i="9" s="1"/>
  <c r="Q446" i="9"/>
  <c r="P446" i="9"/>
  <c r="M446" i="9"/>
  <c r="L446" i="9"/>
  <c r="N446" i="9" s="1"/>
  <c r="P445" i="9"/>
  <c r="N445" i="9"/>
  <c r="L445" i="9"/>
  <c r="Q445" i="9" s="1"/>
  <c r="P444" i="9"/>
  <c r="N444" i="9"/>
  <c r="M444" i="9"/>
  <c r="L444" i="9"/>
  <c r="Q444" i="9" s="1"/>
  <c r="P443" i="9"/>
  <c r="L443" i="9"/>
  <c r="N443" i="9" s="1"/>
  <c r="Q442" i="9"/>
  <c r="P442" i="9"/>
  <c r="M442" i="9"/>
  <c r="L442" i="9"/>
  <c r="N442" i="9" s="1"/>
  <c r="P441" i="9"/>
  <c r="N441" i="9"/>
  <c r="L441" i="9"/>
  <c r="Q441" i="9" s="1"/>
  <c r="P440" i="9"/>
  <c r="N440" i="9"/>
  <c r="M440" i="9"/>
  <c r="L440" i="9"/>
  <c r="Q440" i="9" s="1"/>
  <c r="P439" i="9"/>
  <c r="L439" i="9"/>
  <c r="N439" i="9" s="1"/>
  <c r="Q438" i="9"/>
  <c r="P438" i="9"/>
  <c r="M438" i="9"/>
  <c r="L438" i="9"/>
  <c r="N438" i="9" s="1"/>
  <c r="P437" i="9"/>
  <c r="N437" i="9"/>
  <c r="L437" i="9"/>
  <c r="Q437" i="9" s="1"/>
  <c r="P436" i="9"/>
  <c r="N436" i="9"/>
  <c r="M436" i="9"/>
  <c r="L436" i="9"/>
  <c r="Q436" i="9" s="1"/>
  <c r="P435" i="9"/>
  <c r="M435" i="9"/>
  <c r="L435" i="9"/>
  <c r="N435" i="9" s="1"/>
  <c r="Q434" i="9"/>
  <c r="P434" i="9"/>
  <c r="M434" i="9"/>
  <c r="L434" i="9"/>
  <c r="N434" i="9" s="1"/>
  <c r="P433" i="9"/>
  <c r="N433" i="9"/>
  <c r="L433" i="9"/>
  <c r="Q433" i="9" s="1"/>
  <c r="P432" i="9"/>
  <c r="N432" i="9"/>
  <c r="M432" i="9"/>
  <c r="L432" i="9"/>
  <c r="Q432" i="9" s="1"/>
  <c r="P431" i="9"/>
  <c r="M431" i="9"/>
  <c r="L431" i="9"/>
  <c r="N431" i="9" s="1"/>
  <c r="Q430" i="9"/>
  <c r="P430" i="9"/>
  <c r="M430" i="9"/>
  <c r="L430" i="9"/>
  <c r="N430" i="9" s="1"/>
  <c r="P429" i="9"/>
  <c r="N429" i="9"/>
  <c r="L429" i="9"/>
  <c r="Q429" i="9" s="1"/>
  <c r="P428" i="9"/>
  <c r="N428" i="9"/>
  <c r="M428" i="9"/>
  <c r="L428" i="9"/>
  <c r="Q428" i="9" s="1"/>
  <c r="P427" i="9"/>
  <c r="M427" i="9"/>
  <c r="L427" i="9"/>
  <c r="N427" i="9" s="1"/>
  <c r="Q426" i="9"/>
  <c r="P426" i="9"/>
  <c r="M426" i="9"/>
  <c r="L426" i="9"/>
  <c r="N426" i="9" s="1"/>
  <c r="P425" i="9"/>
  <c r="L425" i="9"/>
  <c r="P424" i="9"/>
  <c r="N424" i="9"/>
  <c r="M424" i="9"/>
  <c r="L424" i="9"/>
  <c r="Q424" i="9" s="1"/>
  <c r="P423" i="9"/>
  <c r="M423" i="9"/>
  <c r="L423" i="9"/>
  <c r="N423" i="9" s="1"/>
  <c r="Q422" i="9"/>
  <c r="P422" i="9"/>
  <c r="M422" i="9"/>
  <c r="L422" i="9"/>
  <c r="N422" i="9" s="1"/>
  <c r="P421" i="9"/>
  <c r="N421" i="9"/>
  <c r="L421" i="9"/>
  <c r="P420" i="9"/>
  <c r="N420" i="9"/>
  <c r="M420" i="9"/>
  <c r="L420" i="9"/>
  <c r="Q420" i="9" s="1"/>
  <c r="P419" i="9"/>
  <c r="M419" i="9"/>
  <c r="L419" i="9"/>
  <c r="N419" i="9" s="1"/>
  <c r="Q418" i="9"/>
  <c r="P418" i="9"/>
  <c r="M418" i="9"/>
  <c r="L418" i="9"/>
  <c r="N418" i="9" s="1"/>
  <c r="P417" i="9"/>
  <c r="N417" i="9"/>
  <c r="M417" i="9"/>
  <c r="L417" i="9"/>
  <c r="Q417" i="9" s="1"/>
  <c r="P416" i="9"/>
  <c r="N416" i="9"/>
  <c r="M416" i="9"/>
  <c r="L416" i="9"/>
  <c r="Q416" i="9" s="1"/>
  <c r="P415" i="9"/>
  <c r="L415" i="9"/>
  <c r="N415" i="9" s="1"/>
  <c r="Q414" i="9"/>
  <c r="P414" i="9"/>
  <c r="M414" i="9"/>
  <c r="L414" i="9"/>
  <c r="N414" i="9" s="1"/>
  <c r="P413" i="9"/>
  <c r="N413" i="9"/>
  <c r="M413" i="9"/>
  <c r="L413" i="9"/>
  <c r="Q413" i="9" s="1"/>
  <c r="P412" i="9"/>
  <c r="N412" i="9"/>
  <c r="M412" i="9"/>
  <c r="L412" i="9"/>
  <c r="Q412" i="9" s="1"/>
  <c r="P411" i="9"/>
  <c r="L411" i="9"/>
  <c r="N411" i="9" s="1"/>
  <c r="Q410" i="9"/>
  <c r="P410" i="9"/>
  <c r="M410" i="9"/>
  <c r="L410" i="9"/>
  <c r="N410" i="9" s="1"/>
  <c r="P409" i="9"/>
  <c r="L409" i="9"/>
  <c r="P408" i="9"/>
  <c r="N408" i="9"/>
  <c r="M408" i="9"/>
  <c r="L408" i="9"/>
  <c r="Q408" i="9" s="1"/>
  <c r="P407" i="9"/>
  <c r="P406" i="9" s="1"/>
  <c r="L407" i="9"/>
  <c r="N407" i="9" s="1"/>
  <c r="L406" i="9"/>
  <c r="P405" i="9"/>
  <c r="M405" i="9"/>
  <c r="L405" i="9"/>
  <c r="Q405" i="9" s="1"/>
  <c r="P404" i="9"/>
  <c r="N404" i="9"/>
  <c r="M404" i="9"/>
  <c r="L404" i="9"/>
  <c r="Q404" i="9" s="1"/>
  <c r="P403" i="9"/>
  <c r="L403" i="9"/>
  <c r="N403" i="9" s="1"/>
  <c r="Q402" i="9"/>
  <c r="P402" i="9"/>
  <c r="M402" i="9"/>
  <c r="L402" i="9"/>
  <c r="N402" i="9" s="1"/>
  <c r="P401" i="9"/>
  <c r="L401" i="9"/>
  <c r="Q401" i="9" s="1"/>
  <c r="P400" i="9"/>
  <c r="N400" i="9"/>
  <c r="M400" i="9"/>
  <c r="L400" i="9"/>
  <c r="Q400" i="9" s="1"/>
  <c r="P399" i="9"/>
  <c r="L399" i="9"/>
  <c r="Q398" i="9"/>
  <c r="P398" i="9"/>
  <c r="M398" i="9"/>
  <c r="L398" i="9"/>
  <c r="N398" i="9" s="1"/>
  <c r="P397" i="9"/>
  <c r="P395" i="9" s="1"/>
  <c r="M397" i="9"/>
  <c r="L397" i="9"/>
  <c r="Q397" i="9" s="1"/>
  <c r="P396" i="9"/>
  <c r="N396" i="9"/>
  <c r="M396" i="9"/>
  <c r="L396" i="9"/>
  <c r="Q396" i="9" s="1"/>
  <c r="L395" i="9"/>
  <c r="Q394" i="9"/>
  <c r="P394" i="9"/>
  <c r="M394" i="9"/>
  <c r="L394" i="9"/>
  <c r="N394" i="9" s="1"/>
  <c r="P393" i="9"/>
  <c r="L393" i="9"/>
  <c r="P392" i="9"/>
  <c r="N392" i="9"/>
  <c r="M392" i="9"/>
  <c r="L392" i="9"/>
  <c r="Q392" i="9" s="1"/>
  <c r="P391" i="9"/>
  <c r="L391" i="9"/>
  <c r="Q390" i="9"/>
  <c r="P390" i="9"/>
  <c r="M390" i="9"/>
  <c r="L390" i="9"/>
  <c r="N390" i="9" s="1"/>
  <c r="P389" i="9"/>
  <c r="N389" i="9"/>
  <c r="M389" i="9"/>
  <c r="L389" i="9"/>
  <c r="Q389" i="9" s="1"/>
  <c r="P388" i="9"/>
  <c r="N388" i="9"/>
  <c r="M388" i="9"/>
  <c r="L388" i="9"/>
  <c r="Q388" i="9" s="1"/>
  <c r="P387" i="9"/>
  <c r="M387" i="9"/>
  <c r="L387" i="9"/>
  <c r="Q386" i="9"/>
  <c r="P386" i="9"/>
  <c r="M386" i="9"/>
  <c r="L386" i="9"/>
  <c r="N386" i="9" s="1"/>
  <c r="Q385" i="9"/>
  <c r="P385" i="9"/>
  <c r="L385" i="9"/>
  <c r="M385" i="9" s="1"/>
  <c r="P384" i="9"/>
  <c r="N384" i="9"/>
  <c r="M384" i="9"/>
  <c r="L384" i="9"/>
  <c r="Q384" i="9" s="1"/>
  <c r="P383" i="9"/>
  <c r="L383" i="9"/>
  <c r="Q382" i="9"/>
  <c r="P382" i="9"/>
  <c r="M382" i="9"/>
  <c r="L382" i="9"/>
  <c r="N382" i="9" s="1"/>
  <c r="P381" i="9"/>
  <c r="L381" i="9"/>
  <c r="Q381" i="9" s="1"/>
  <c r="P380" i="9"/>
  <c r="N380" i="9"/>
  <c r="M380" i="9"/>
  <c r="L380" i="9"/>
  <c r="Q380" i="9" s="1"/>
  <c r="P379" i="9"/>
  <c r="M379" i="9"/>
  <c r="L379" i="9"/>
  <c r="Q378" i="9"/>
  <c r="P378" i="9"/>
  <c r="M378" i="9"/>
  <c r="L378" i="9"/>
  <c r="N378" i="9" s="1"/>
  <c r="P377" i="9"/>
  <c r="M377" i="9"/>
  <c r="L377" i="9"/>
  <c r="Q377" i="9" s="1"/>
  <c r="P376" i="9"/>
  <c r="L376" i="9"/>
  <c r="Q376" i="9" s="1"/>
  <c r="P375" i="9"/>
  <c r="M375" i="9"/>
  <c r="L375" i="9"/>
  <c r="Q374" i="9"/>
  <c r="P374" i="9"/>
  <c r="M374" i="9"/>
  <c r="L374" i="9"/>
  <c r="N374" i="9" s="1"/>
  <c r="Q373" i="9"/>
  <c r="P373" i="9"/>
  <c r="M373" i="9"/>
  <c r="L373" i="9"/>
  <c r="N373" i="9" s="1"/>
  <c r="P372" i="9"/>
  <c r="N372" i="9"/>
  <c r="M372" i="9"/>
  <c r="L372" i="9"/>
  <c r="Q372" i="9" s="1"/>
  <c r="Q371" i="9"/>
  <c r="P371" i="9"/>
  <c r="M371" i="9"/>
  <c r="L371" i="9"/>
  <c r="N371" i="9" s="1"/>
  <c r="Q370" i="9"/>
  <c r="P370" i="9"/>
  <c r="M370" i="9"/>
  <c r="L370" i="9"/>
  <c r="N370" i="9" s="1"/>
  <c r="Q369" i="9"/>
  <c r="P369" i="9"/>
  <c r="N369" i="9"/>
  <c r="M369" i="9"/>
  <c r="L369" i="9"/>
  <c r="P368" i="9"/>
  <c r="L368" i="9"/>
  <c r="P367" i="9"/>
  <c r="L367" i="9"/>
  <c r="Q367" i="9" s="1"/>
  <c r="Q366" i="9"/>
  <c r="P366" i="9"/>
  <c r="L366" i="9"/>
  <c r="N366" i="9" s="1"/>
  <c r="Q365" i="9"/>
  <c r="P365" i="9"/>
  <c r="N365" i="9"/>
  <c r="M365" i="9"/>
  <c r="L365" i="9"/>
  <c r="P364" i="9"/>
  <c r="L364" i="9"/>
  <c r="P363" i="9"/>
  <c r="L363" i="9"/>
  <c r="Q363" i="9" s="1"/>
  <c r="Q362" i="9"/>
  <c r="P362" i="9"/>
  <c r="L362" i="9"/>
  <c r="N362" i="9" s="1"/>
  <c r="Q361" i="9"/>
  <c r="P361" i="9"/>
  <c r="N361" i="9"/>
  <c r="M361" i="9"/>
  <c r="L361" i="9"/>
  <c r="P360" i="9"/>
  <c r="L360" i="9"/>
  <c r="P359" i="9"/>
  <c r="L359" i="9"/>
  <c r="Q359" i="9" s="1"/>
  <c r="Q358" i="9"/>
  <c r="P358" i="9"/>
  <c r="N358" i="9"/>
  <c r="L358" i="9"/>
  <c r="M358" i="9" s="1"/>
  <c r="Q357" i="9"/>
  <c r="P357" i="9"/>
  <c r="N357" i="9"/>
  <c r="M357" i="9"/>
  <c r="L357" i="9"/>
  <c r="P356" i="9"/>
  <c r="L356" i="9"/>
  <c r="P355" i="9"/>
  <c r="L355" i="9"/>
  <c r="Q355" i="9" s="1"/>
  <c r="Q354" i="9"/>
  <c r="P354" i="9"/>
  <c r="N354" i="9"/>
  <c r="L354" i="9"/>
  <c r="M354" i="9" s="1"/>
  <c r="Q353" i="9"/>
  <c r="P353" i="9"/>
  <c r="N353" i="9"/>
  <c r="M353" i="9"/>
  <c r="L353" i="9"/>
  <c r="P352" i="9"/>
  <c r="L352" i="9"/>
  <c r="P351" i="9"/>
  <c r="L351" i="9"/>
  <c r="Q351" i="9" s="1"/>
  <c r="Q350" i="9"/>
  <c r="P350" i="9"/>
  <c r="N350" i="9"/>
  <c r="L350" i="9"/>
  <c r="M350" i="9" s="1"/>
  <c r="Q349" i="9"/>
  <c r="P349" i="9"/>
  <c r="N349" i="9"/>
  <c r="M349" i="9"/>
  <c r="L349" i="9"/>
  <c r="P348" i="9"/>
  <c r="L348" i="9"/>
  <c r="P347" i="9"/>
  <c r="L347" i="9"/>
  <c r="Q347" i="9" s="1"/>
  <c r="Q346" i="9"/>
  <c r="P346" i="9"/>
  <c r="N346" i="9"/>
  <c r="L346" i="9"/>
  <c r="M346" i="9" s="1"/>
  <c r="Q345" i="9"/>
  <c r="P345" i="9"/>
  <c r="N345" i="9"/>
  <c r="M345" i="9"/>
  <c r="L345" i="9"/>
  <c r="P344" i="9"/>
  <c r="L344" i="9"/>
  <c r="P343" i="9"/>
  <c r="L343" i="9"/>
  <c r="Q343" i="9" s="1"/>
  <c r="Q342" i="9"/>
  <c r="P342" i="9"/>
  <c r="N342" i="9"/>
  <c r="L342" i="9"/>
  <c r="M342" i="9" s="1"/>
  <c r="Q341" i="9"/>
  <c r="P341" i="9"/>
  <c r="N341" i="9"/>
  <c r="M341" i="9"/>
  <c r="L341" i="9"/>
  <c r="P340" i="9"/>
  <c r="L340" i="9"/>
  <c r="P339" i="9"/>
  <c r="L339" i="9"/>
  <c r="Q339" i="9" s="1"/>
  <c r="Q338" i="9"/>
  <c r="P338" i="9"/>
  <c r="N338" i="9"/>
  <c r="L338" i="9"/>
  <c r="M338" i="9" s="1"/>
  <c r="L337" i="9"/>
  <c r="P336" i="9"/>
  <c r="L336" i="9"/>
  <c r="P335" i="9"/>
  <c r="L335" i="9"/>
  <c r="Q335" i="9" s="1"/>
  <c r="Q334" i="9"/>
  <c r="P334" i="9"/>
  <c r="N334" i="9"/>
  <c r="L334" i="9"/>
  <c r="M334" i="9" s="1"/>
  <c r="Q333" i="9"/>
  <c r="P333" i="9"/>
  <c r="N333" i="9"/>
  <c r="M333" i="9"/>
  <c r="L333" i="9"/>
  <c r="P332" i="9"/>
  <c r="L332" i="9"/>
  <c r="P331" i="9"/>
  <c r="L331" i="9"/>
  <c r="Q331" i="9" s="1"/>
  <c r="Q330" i="9"/>
  <c r="P330" i="9"/>
  <c r="P329" i="9" s="1"/>
  <c r="N330" i="9"/>
  <c r="L330" i="9"/>
  <c r="M330" i="9" s="1"/>
  <c r="L329" i="9"/>
  <c r="L328" i="9"/>
  <c r="P327" i="9"/>
  <c r="L327" i="9"/>
  <c r="Q327" i="9" s="1"/>
  <c r="Q326" i="9"/>
  <c r="P326" i="9"/>
  <c r="N326" i="9"/>
  <c r="L326" i="9"/>
  <c r="M326" i="9" s="1"/>
  <c r="Q325" i="9"/>
  <c r="P325" i="9"/>
  <c r="N325" i="9"/>
  <c r="M325" i="9"/>
  <c r="L325" i="9"/>
  <c r="P324" i="9"/>
  <c r="L324" i="9"/>
  <c r="P323" i="9"/>
  <c r="L323" i="9"/>
  <c r="Q323" i="9" s="1"/>
  <c r="Q322" i="9"/>
  <c r="P322" i="9"/>
  <c r="N322" i="9"/>
  <c r="L322" i="9"/>
  <c r="M322" i="9" s="1"/>
  <c r="Q321" i="9"/>
  <c r="P321" i="9"/>
  <c r="N321" i="9"/>
  <c r="M321" i="9"/>
  <c r="L321" i="9"/>
  <c r="P320" i="9"/>
  <c r="L320" i="9"/>
  <c r="P319" i="9"/>
  <c r="L319" i="9"/>
  <c r="Q319" i="9" s="1"/>
  <c r="Q318" i="9"/>
  <c r="P318" i="9"/>
  <c r="P317" i="9" s="1"/>
  <c r="N318" i="9"/>
  <c r="L318" i="9"/>
  <c r="M318" i="9" s="1"/>
  <c r="L317" i="9"/>
  <c r="P316" i="9"/>
  <c r="P315" i="9" s="1"/>
  <c r="L316" i="9"/>
  <c r="L315" i="9"/>
  <c r="Q314" i="9"/>
  <c r="P314" i="9"/>
  <c r="N314" i="9"/>
  <c r="L314" i="9"/>
  <c r="M314" i="9" s="1"/>
  <c r="Q313" i="9"/>
  <c r="P313" i="9"/>
  <c r="N313" i="9"/>
  <c r="M313" i="9"/>
  <c r="L313" i="9"/>
  <c r="P312" i="9"/>
  <c r="L312" i="9"/>
  <c r="P311" i="9"/>
  <c r="L311" i="9"/>
  <c r="Q311" i="9" s="1"/>
  <c r="Q310" i="9"/>
  <c r="P310" i="9"/>
  <c r="N310" i="9"/>
  <c r="L310" i="9"/>
  <c r="M310" i="9" s="1"/>
  <c r="Q309" i="9"/>
  <c r="P309" i="9"/>
  <c r="N309" i="9"/>
  <c r="M309" i="9"/>
  <c r="L309" i="9"/>
  <c r="P308" i="9"/>
  <c r="P307" i="9" s="1"/>
  <c r="L308" i="9"/>
  <c r="L307" i="9"/>
  <c r="Q306" i="9"/>
  <c r="P306" i="9"/>
  <c r="N306" i="9"/>
  <c r="M306" i="9"/>
  <c r="L306" i="9"/>
  <c r="Q305" i="9"/>
  <c r="P305" i="9"/>
  <c r="N305" i="9"/>
  <c r="M305" i="9"/>
  <c r="L305" i="9"/>
  <c r="P304" i="9"/>
  <c r="L304" i="9"/>
  <c r="P303" i="9"/>
  <c r="L303" i="9"/>
  <c r="Q303" i="9" s="1"/>
  <c r="Q302" i="9"/>
  <c r="P302" i="9"/>
  <c r="N302" i="9"/>
  <c r="M302" i="9"/>
  <c r="L302" i="9"/>
  <c r="Q301" i="9"/>
  <c r="P301" i="9"/>
  <c r="N301" i="9"/>
  <c r="M301" i="9"/>
  <c r="L301" i="9"/>
  <c r="P300" i="9"/>
  <c r="L300" i="9"/>
  <c r="P299" i="9"/>
  <c r="L299" i="9"/>
  <c r="Q299" i="9" s="1"/>
  <c r="Q298" i="9"/>
  <c r="P298" i="9"/>
  <c r="P296" i="9" s="1"/>
  <c r="N298" i="9"/>
  <c r="M298" i="9"/>
  <c r="L298" i="9"/>
  <c r="Q297" i="9"/>
  <c r="P297" i="9"/>
  <c r="N297" i="9"/>
  <c r="M297" i="9"/>
  <c r="L297" i="9"/>
  <c r="L296" i="9"/>
  <c r="P295" i="9"/>
  <c r="L295" i="9"/>
  <c r="Q295" i="9" s="1"/>
  <c r="Q294" i="9"/>
  <c r="P294" i="9"/>
  <c r="N294" i="9"/>
  <c r="M294" i="9"/>
  <c r="L294" i="9"/>
  <c r="Q293" i="9"/>
  <c r="P293" i="9"/>
  <c r="N293" i="9"/>
  <c r="M293" i="9"/>
  <c r="L293" i="9"/>
  <c r="P292" i="9"/>
  <c r="P291" i="9" s="1"/>
  <c r="L292" i="9"/>
  <c r="L291" i="9"/>
  <c r="Q290" i="9"/>
  <c r="P290" i="9"/>
  <c r="N290" i="9"/>
  <c r="M290" i="9"/>
  <c r="L290" i="9"/>
  <c r="Q289" i="9"/>
  <c r="P289" i="9"/>
  <c r="N289" i="9"/>
  <c r="M289" i="9"/>
  <c r="L289" i="9"/>
  <c r="P288" i="9"/>
  <c r="L288" i="9"/>
  <c r="P287" i="9"/>
  <c r="L287" i="9"/>
  <c r="Q287" i="9" s="1"/>
  <c r="Q286" i="9"/>
  <c r="P286" i="9"/>
  <c r="N286" i="9"/>
  <c r="M286" i="9"/>
  <c r="L286" i="9"/>
  <c r="Q285" i="9"/>
  <c r="P285" i="9"/>
  <c r="N285" i="9"/>
  <c r="M285" i="9"/>
  <c r="L285" i="9"/>
  <c r="P284" i="9"/>
  <c r="L284" i="9"/>
  <c r="P283" i="9"/>
  <c r="L283" i="9"/>
  <c r="Q283" i="9" s="1"/>
  <c r="Q282" i="9"/>
  <c r="P282" i="9"/>
  <c r="N282" i="9"/>
  <c r="M282" i="9"/>
  <c r="L282" i="9"/>
  <c r="Q281" i="9"/>
  <c r="P281" i="9"/>
  <c r="N281" i="9"/>
  <c r="M281" i="9"/>
  <c r="L281" i="9"/>
  <c r="P280" i="9"/>
  <c r="L280" i="9"/>
  <c r="P279" i="9"/>
  <c r="L279" i="9"/>
  <c r="Q279" i="9" s="1"/>
  <c r="Q278" i="9"/>
  <c r="P278" i="9"/>
  <c r="N278" i="9"/>
  <c r="M278" i="9"/>
  <c r="L278" i="9"/>
  <c r="Q277" i="9"/>
  <c r="P277" i="9"/>
  <c r="N277" i="9"/>
  <c r="M277" i="9"/>
  <c r="L277" i="9"/>
  <c r="P276" i="9"/>
  <c r="L276" i="9"/>
  <c r="P275" i="9"/>
  <c r="L275" i="9"/>
  <c r="Q275" i="9" s="1"/>
  <c r="Q274" i="9"/>
  <c r="P274" i="9"/>
  <c r="N274" i="9"/>
  <c r="M274" i="9"/>
  <c r="L274" i="9"/>
  <c r="Q273" i="9"/>
  <c r="P273" i="9"/>
  <c r="N273" i="9"/>
  <c r="M273" i="9"/>
  <c r="L273" i="9"/>
  <c r="P272" i="9"/>
  <c r="L272" i="9"/>
  <c r="P271" i="9"/>
  <c r="L271" i="9"/>
  <c r="Q271" i="9" s="1"/>
  <c r="Q270" i="9"/>
  <c r="P270" i="9"/>
  <c r="N270" i="9"/>
  <c r="M270" i="9"/>
  <c r="L270" i="9"/>
  <c r="Q269" i="9"/>
  <c r="P269" i="9"/>
  <c r="N269" i="9"/>
  <c r="M269" i="9"/>
  <c r="L269" i="9"/>
  <c r="P268" i="9"/>
  <c r="L268" i="9"/>
  <c r="P267" i="9"/>
  <c r="L267" i="9"/>
  <c r="Q267" i="9" s="1"/>
  <c r="Q266" i="9"/>
  <c r="P266" i="9"/>
  <c r="N266" i="9"/>
  <c r="M266" i="9"/>
  <c r="L266" i="9"/>
  <c r="Q265" i="9"/>
  <c r="P265" i="9"/>
  <c r="N265" i="9"/>
  <c r="M265" i="9"/>
  <c r="L265" i="9"/>
  <c r="P264" i="9"/>
  <c r="L264" i="9"/>
  <c r="P263" i="9"/>
  <c r="L263" i="9"/>
  <c r="Q263" i="9" s="1"/>
  <c r="Q262" i="9"/>
  <c r="P262" i="9"/>
  <c r="N262" i="9"/>
  <c r="M262" i="9"/>
  <c r="L262" i="9"/>
  <c r="Q261" i="9"/>
  <c r="P261" i="9"/>
  <c r="N261" i="9"/>
  <c r="M261" i="9"/>
  <c r="L261" i="9"/>
  <c r="P260" i="9"/>
  <c r="L260" i="9"/>
  <c r="P259" i="9"/>
  <c r="L259" i="9"/>
  <c r="Q259" i="9" s="1"/>
  <c r="Q258" i="9"/>
  <c r="P258" i="9"/>
  <c r="P255" i="9" s="1"/>
  <c r="N258" i="9"/>
  <c r="M258" i="9"/>
  <c r="L258" i="9"/>
  <c r="Q257" i="9"/>
  <c r="P257" i="9"/>
  <c r="N257" i="9"/>
  <c r="M257" i="9"/>
  <c r="L257" i="9"/>
  <c r="P256" i="9"/>
  <c r="L256" i="9"/>
  <c r="L255" i="9"/>
  <c r="Q254" i="9"/>
  <c r="P254" i="9"/>
  <c r="N254" i="9"/>
  <c r="M254" i="9"/>
  <c r="L254" i="9"/>
  <c r="Q253" i="9"/>
  <c r="P253" i="9"/>
  <c r="N253" i="9"/>
  <c r="M253" i="9"/>
  <c r="L253" i="9"/>
  <c r="P252" i="9"/>
  <c r="L252" i="9"/>
  <c r="P251" i="9"/>
  <c r="L251" i="9"/>
  <c r="Q251" i="9" s="1"/>
  <c r="Q250" i="9"/>
  <c r="P250" i="9"/>
  <c r="N250" i="9"/>
  <c r="M250" i="9"/>
  <c r="L250" i="9"/>
  <c r="Q249" i="9"/>
  <c r="P249" i="9"/>
  <c r="N249" i="9"/>
  <c r="M249" i="9"/>
  <c r="L249" i="9"/>
  <c r="P248" i="9"/>
  <c r="L248" i="9"/>
  <c r="P247" i="9"/>
  <c r="L247" i="9"/>
  <c r="Q247" i="9" s="1"/>
  <c r="Q246" i="9"/>
  <c r="P246" i="9"/>
  <c r="N246" i="9"/>
  <c r="M246" i="9"/>
  <c r="L246" i="9"/>
  <c r="Q245" i="9"/>
  <c r="P245" i="9"/>
  <c r="N245" i="9"/>
  <c r="M245" i="9"/>
  <c r="L245" i="9"/>
  <c r="P244" i="9"/>
  <c r="L244" i="9"/>
  <c r="P243" i="9"/>
  <c r="L243" i="9"/>
  <c r="Q243" i="9" s="1"/>
  <c r="Q242" i="9"/>
  <c r="P242" i="9"/>
  <c r="N242" i="9"/>
  <c r="M242" i="9"/>
  <c r="L242" i="9"/>
  <c r="Q241" i="9"/>
  <c r="P241" i="9"/>
  <c r="P240" i="9" s="1"/>
  <c r="N241" i="9"/>
  <c r="M241" i="9"/>
  <c r="L241" i="9"/>
  <c r="L240" i="9"/>
  <c r="P239" i="9"/>
  <c r="L239" i="9"/>
  <c r="Q239" i="9" s="1"/>
  <c r="Q238" i="9"/>
  <c r="P238" i="9"/>
  <c r="N238" i="9"/>
  <c r="M238" i="9"/>
  <c r="L238" i="9"/>
  <c r="Q237" i="9"/>
  <c r="P237" i="9"/>
  <c r="N237" i="9"/>
  <c r="M237" i="9"/>
  <c r="L237" i="9"/>
  <c r="P236" i="9"/>
  <c r="L236" i="9"/>
  <c r="P235" i="9"/>
  <c r="L235" i="9"/>
  <c r="Q235" i="9" s="1"/>
  <c r="Q234" i="9"/>
  <c r="P234" i="9"/>
  <c r="N234" i="9"/>
  <c r="M234" i="9"/>
  <c r="L234" i="9"/>
  <c r="Q233" i="9"/>
  <c r="P233" i="9"/>
  <c r="N233" i="9"/>
  <c r="M233" i="9"/>
  <c r="L233" i="9"/>
  <c r="P232" i="9"/>
  <c r="L232" i="9"/>
  <c r="P231" i="9"/>
  <c r="L231" i="9"/>
  <c r="Q231" i="9" s="1"/>
  <c r="Q230" i="9"/>
  <c r="P230" i="9"/>
  <c r="N230" i="9"/>
  <c r="M230" i="9"/>
  <c r="L230" i="9"/>
  <c r="Q229" i="9"/>
  <c r="P229" i="9"/>
  <c r="N229" i="9"/>
  <c r="M229" i="9"/>
  <c r="L229" i="9"/>
  <c r="P228" i="9"/>
  <c r="L228" i="9"/>
  <c r="P227" i="9"/>
  <c r="L227" i="9"/>
  <c r="Q227" i="9" s="1"/>
  <c r="P226" i="9"/>
  <c r="L226" i="9"/>
  <c r="L225" i="9"/>
  <c r="P224" i="9"/>
  <c r="L224" i="9"/>
  <c r="P223" i="9"/>
  <c r="L223" i="9"/>
  <c r="Q223" i="9" s="1"/>
  <c r="P222" i="9"/>
  <c r="L222" i="9"/>
  <c r="N221" i="9"/>
  <c r="M221" i="9"/>
  <c r="L221" i="9"/>
  <c r="M220" i="9"/>
  <c r="L220" i="9"/>
  <c r="N220" i="9" s="1"/>
  <c r="N219" i="9"/>
  <c r="M219" i="9"/>
  <c r="L219" i="9"/>
  <c r="E219" i="9"/>
  <c r="E221" i="9" s="1"/>
  <c r="L218" i="9"/>
  <c r="N218" i="9" s="1"/>
  <c r="Q217" i="9"/>
  <c r="N217" i="9"/>
  <c r="L217" i="9"/>
  <c r="M217" i="9" s="1"/>
  <c r="E217" i="9"/>
  <c r="P217" i="9" s="1"/>
  <c r="L216" i="9"/>
  <c r="N216" i="9" s="1"/>
  <c r="L215" i="9"/>
  <c r="P214" i="9"/>
  <c r="L214" i="9"/>
  <c r="P213" i="9"/>
  <c r="L213" i="9"/>
  <c r="Q213" i="9" s="1"/>
  <c r="Q212" i="9"/>
  <c r="P212" i="9"/>
  <c r="N212" i="9"/>
  <c r="M212" i="9"/>
  <c r="L212" i="9"/>
  <c r="Q211" i="9"/>
  <c r="P211" i="9"/>
  <c r="N211" i="9"/>
  <c r="M211" i="9"/>
  <c r="L211" i="9"/>
  <c r="P210" i="9"/>
  <c r="L210" i="9"/>
  <c r="P209" i="9"/>
  <c r="L209" i="9"/>
  <c r="Q209" i="9" s="1"/>
  <c r="Q208" i="9"/>
  <c r="P208" i="9"/>
  <c r="P205" i="9" s="1"/>
  <c r="N208" i="9"/>
  <c r="M208" i="9"/>
  <c r="L208" i="9"/>
  <c r="Q207" i="9"/>
  <c r="P207" i="9"/>
  <c r="N207" i="9"/>
  <c r="M207" i="9"/>
  <c r="L207" i="9"/>
  <c r="P206" i="9"/>
  <c r="L206" i="9"/>
  <c r="L205" i="9"/>
  <c r="Q204" i="9"/>
  <c r="P204" i="9"/>
  <c r="N204" i="9"/>
  <c r="M204" i="9"/>
  <c r="L204" i="9"/>
  <c r="Q203" i="9"/>
  <c r="P203" i="9"/>
  <c r="N203" i="9"/>
  <c r="M203" i="9"/>
  <c r="L203" i="9"/>
  <c r="P202" i="9"/>
  <c r="L202" i="9"/>
  <c r="P201" i="9"/>
  <c r="L201" i="9"/>
  <c r="Q201" i="9" s="1"/>
  <c r="Q200" i="9"/>
  <c r="P200" i="9"/>
  <c r="N200" i="9"/>
  <c r="M200" i="9"/>
  <c r="L200" i="9"/>
  <c r="Q199" i="9"/>
  <c r="P199" i="9"/>
  <c r="N199" i="9"/>
  <c r="M199" i="9"/>
  <c r="L199" i="9"/>
  <c r="P198" i="9"/>
  <c r="L198" i="9"/>
  <c r="P197" i="9"/>
  <c r="L197" i="9"/>
  <c r="Q197" i="9" s="1"/>
  <c r="Q196" i="9"/>
  <c r="P196" i="9"/>
  <c r="N196" i="9"/>
  <c r="M196" i="9"/>
  <c r="L196" i="9"/>
  <c r="Q195" i="9"/>
  <c r="P195" i="9"/>
  <c r="N195" i="9"/>
  <c r="M195" i="9"/>
  <c r="L195" i="9"/>
  <c r="P194" i="9"/>
  <c r="L194" i="9"/>
  <c r="P193" i="9"/>
  <c r="L193" i="9"/>
  <c r="Q193" i="9" s="1"/>
  <c r="Q192" i="9"/>
  <c r="P192" i="9"/>
  <c r="N192" i="9"/>
  <c r="M192" i="9"/>
  <c r="L192" i="9"/>
  <c r="Q191" i="9"/>
  <c r="P191" i="9"/>
  <c r="N191" i="9"/>
  <c r="M191" i="9"/>
  <c r="L191" i="9"/>
  <c r="P190" i="9"/>
  <c r="L190" i="9"/>
  <c r="P189" i="9"/>
  <c r="L189" i="9"/>
  <c r="Q189" i="9" s="1"/>
  <c r="Q188" i="9"/>
  <c r="P188" i="9"/>
  <c r="N188" i="9"/>
  <c r="M188" i="9"/>
  <c r="L188" i="9"/>
  <c r="Q187" i="9"/>
  <c r="P187" i="9"/>
  <c r="N187" i="9"/>
  <c r="M187" i="9"/>
  <c r="L187" i="9"/>
  <c r="P186" i="9"/>
  <c r="L186" i="9"/>
  <c r="P185" i="9"/>
  <c r="L185" i="9"/>
  <c r="Q185" i="9" s="1"/>
  <c r="Q184" i="9"/>
  <c r="P184" i="9"/>
  <c r="N184" i="9"/>
  <c r="M184" i="9"/>
  <c r="L184" i="9"/>
  <c r="Q183" i="9"/>
  <c r="P183" i="9"/>
  <c r="N183" i="9"/>
  <c r="M183" i="9"/>
  <c r="L183" i="9"/>
  <c r="P182" i="9"/>
  <c r="L182" i="9"/>
  <c r="Q181" i="9"/>
  <c r="P181" i="9"/>
  <c r="L181" i="9"/>
  <c r="N181" i="9" s="1"/>
  <c r="Q180" i="9"/>
  <c r="P180" i="9"/>
  <c r="P179" i="9" s="1"/>
  <c r="N180" i="9"/>
  <c r="M180" i="9"/>
  <c r="L180" i="9"/>
  <c r="L179" i="9"/>
  <c r="L178" i="9"/>
  <c r="Q177" i="9"/>
  <c r="P177" i="9"/>
  <c r="L177" i="9"/>
  <c r="N177" i="9" s="1"/>
  <c r="Q176" i="9"/>
  <c r="Q175" i="9" s="1"/>
  <c r="P176" i="9"/>
  <c r="P175" i="9" s="1"/>
  <c r="N176" i="9"/>
  <c r="M176" i="9"/>
  <c r="L176" i="9"/>
  <c r="L175" i="9"/>
  <c r="P174" i="9"/>
  <c r="L174" i="9"/>
  <c r="Q173" i="9"/>
  <c r="P173" i="9"/>
  <c r="L173" i="9"/>
  <c r="N173" i="9" s="1"/>
  <c r="Q172" i="9"/>
  <c r="P172" i="9"/>
  <c r="N172" i="9"/>
  <c r="M172" i="9"/>
  <c r="L172" i="9"/>
  <c r="Q171" i="9"/>
  <c r="P171" i="9"/>
  <c r="P170" i="9" s="1"/>
  <c r="N171" i="9"/>
  <c r="M171" i="9"/>
  <c r="L171" i="9"/>
  <c r="L170" i="9"/>
  <c r="Q169" i="9"/>
  <c r="P169" i="9"/>
  <c r="L169" i="9"/>
  <c r="N169" i="9" s="1"/>
  <c r="Q168" i="9"/>
  <c r="P168" i="9"/>
  <c r="P165" i="9" s="1"/>
  <c r="N168" i="9"/>
  <c r="M168" i="9"/>
  <c r="L168" i="9"/>
  <c r="Q167" i="9"/>
  <c r="P167" i="9"/>
  <c r="N167" i="9"/>
  <c r="M167" i="9"/>
  <c r="L167" i="9"/>
  <c r="P166" i="9"/>
  <c r="L166" i="9"/>
  <c r="L165" i="9"/>
  <c r="Q164" i="9"/>
  <c r="P164" i="9"/>
  <c r="N164" i="9"/>
  <c r="M164" i="9"/>
  <c r="L164" i="9"/>
  <c r="Q163" i="9"/>
  <c r="P163" i="9"/>
  <c r="N163" i="9"/>
  <c r="M163" i="9"/>
  <c r="L163" i="9"/>
  <c r="P162" i="9"/>
  <c r="L162" i="9"/>
  <c r="Q161" i="9"/>
  <c r="P161" i="9"/>
  <c r="M161" i="9"/>
  <c r="L161" i="9"/>
  <c r="N161" i="9" s="1"/>
  <c r="Q160" i="9"/>
  <c r="P160" i="9"/>
  <c r="N160" i="9"/>
  <c r="M160" i="9"/>
  <c r="L160" i="9"/>
  <c r="Q159" i="9"/>
  <c r="P159" i="9"/>
  <c r="N159" i="9"/>
  <c r="M159" i="9"/>
  <c r="L159" i="9"/>
  <c r="P158" i="9"/>
  <c r="L158" i="9"/>
  <c r="Q157" i="9"/>
  <c r="P157" i="9"/>
  <c r="M157" i="9"/>
  <c r="L157" i="9"/>
  <c r="N157" i="9" s="1"/>
  <c r="P156" i="9"/>
  <c r="P155" i="9" s="1"/>
  <c r="L156" i="9"/>
  <c r="L155" i="9"/>
  <c r="P154" i="9"/>
  <c r="L154" i="9"/>
  <c r="Q153" i="9"/>
  <c r="P153" i="9"/>
  <c r="L153" i="9"/>
  <c r="N153" i="9" s="1"/>
  <c r="Q152" i="9"/>
  <c r="P152" i="9"/>
  <c r="N152" i="9"/>
  <c r="M152" i="9"/>
  <c r="L152" i="9"/>
  <c r="Q151" i="9"/>
  <c r="P151" i="9"/>
  <c r="N151" i="9"/>
  <c r="M151" i="9"/>
  <c r="L151" i="9"/>
  <c r="L150" i="9"/>
  <c r="L149" i="9"/>
  <c r="N149" i="9" s="1"/>
  <c r="E149" i="9"/>
  <c r="E150" i="9" s="1"/>
  <c r="L148" i="9"/>
  <c r="Q147" i="9"/>
  <c r="P147" i="9"/>
  <c r="L147" i="9"/>
  <c r="N147" i="9" s="1"/>
  <c r="P146" i="9"/>
  <c r="N146" i="9"/>
  <c r="M146" i="9"/>
  <c r="L146" i="9"/>
  <c r="Q146" i="9" s="1"/>
  <c r="P145" i="9"/>
  <c r="M145" i="9"/>
  <c r="L145" i="9"/>
  <c r="Q145" i="9" s="1"/>
  <c r="P144" i="9"/>
  <c r="L144" i="9"/>
  <c r="Q144" i="9" s="1"/>
  <c r="L143" i="9"/>
  <c r="N143" i="9" s="1"/>
  <c r="Q142" i="9"/>
  <c r="P142" i="9"/>
  <c r="N142" i="9"/>
  <c r="M142" i="9"/>
  <c r="L142" i="9"/>
  <c r="E142" i="9"/>
  <c r="M141" i="9"/>
  <c r="L141" i="9"/>
  <c r="N141" i="9" s="1"/>
  <c r="L140" i="9"/>
  <c r="L139" i="9"/>
  <c r="Q138" i="9"/>
  <c r="P138" i="9"/>
  <c r="L138" i="9"/>
  <c r="N138" i="9" s="1"/>
  <c r="P137" i="9"/>
  <c r="N137" i="9"/>
  <c r="M137" i="9"/>
  <c r="L137" i="9"/>
  <c r="Q137" i="9" s="1"/>
  <c r="P136" i="9"/>
  <c r="M136" i="9"/>
  <c r="L136" i="9"/>
  <c r="Q136" i="9" s="1"/>
  <c r="P135" i="9"/>
  <c r="M135" i="9"/>
  <c r="L135" i="9"/>
  <c r="Q135" i="9" s="1"/>
  <c r="Q134" i="9"/>
  <c r="P134" i="9"/>
  <c r="P131" i="9" s="1"/>
  <c r="M134" i="9"/>
  <c r="L134" i="9"/>
  <c r="N134" i="9" s="1"/>
  <c r="P133" i="9"/>
  <c r="N133" i="9"/>
  <c r="M133" i="9"/>
  <c r="L133" i="9"/>
  <c r="Q133" i="9" s="1"/>
  <c r="P132" i="9"/>
  <c r="M132" i="9"/>
  <c r="L132" i="9"/>
  <c r="Q132" i="9" s="1"/>
  <c r="L131" i="9"/>
  <c r="Q130" i="9"/>
  <c r="P130" i="9"/>
  <c r="M130" i="9"/>
  <c r="L130" i="9"/>
  <c r="G130" i="9"/>
  <c r="N130" i="9" s="1"/>
  <c r="F130" i="9"/>
  <c r="P129" i="9"/>
  <c r="N129" i="9"/>
  <c r="L129" i="9"/>
  <c r="Q129" i="9" s="1"/>
  <c r="G129" i="9"/>
  <c r="F129" i="9"/>
  <c r="M129" i="9" s="1"/>
  <c r="Q128" i="9"/>
  <c r="P128" i="9"/>
  <c r="M128" i="9"/>
  <c r="L128" i="9"/>
  <c r="F128" i="9"/>
  <c r="G128" i="9" s="1"/>
  <c r="N128" i="9" s="1"/>
  <c r="P127" i="9"/>
  <c r="N127" i="9"/>
  <c r="M127" i="9"/>
  <c r="L127" i="9"/>
  <c r="Q127" i="9" s="1"/>
  <c r="G127" i="9"/>
  <c r="F127" i="9"/>
  <c r="P126" i="9"/>
  <c r="L126" i="9"/>
  <c r="Q126" i="9" s="1"/>
  <c r="P125" i="9"/>
  <c r="L125" i="9"/>
  <c r="Q125" i="9" s="1"/>
  <c r="F125" i="9"/>
  <c r="G125" i="9" s="1"/>
  <c r="P124" i="9"/>
  <c r="L124" i="9"/>
  <c r="Q124" i="9" s="1"/>
  <c r="P123" i="9"/>
  <c r="L123" i="9"/>
  <c r="Q123" i="9" s="1"/>
  <c r="G123" i="9"/>
  <c r="N123" i="9" s="1"/>
  <c r="F123" i="9"/>
  <c r="M123" i="9" s="1"/>
  <c r="Q122" i="9"/>
  <c r="P122" i="9"/>
  <c r="L122" i="9"/>
  <c r="G122" i="9"/>
  <c r="N122" i="9" s="1"/>
  <c r="F122" i="9"/>
  <c r="M122" i="9" s="1"/>
  <c r="P121" i="9"/>
  <c r="P120" i="9" s="1"/>
  <c r="L121" i="9"/>
  <c r="Q121" i="9" s="1"/>
  <c r="L120" i="9"/>
  <c r="P119" i="9"/>
  <c r="L119" i="9"/>
  <c r="Q119" i="9" s="1"/>
  <c r="Q118" i="9"/>
  <c r="P118" i="9"/>
  <c r="N118" i="9"/>
  <c r="M118" i="9"/>
  <c r="L118" i="9"/>
  <c r="G118" i="9"/>
  <c r="P117" i="9"/>
  <c r="M117" i="9"/>
  <c r="L117" i="9"/>
  <c r="Q117" i="9" s="1"/>
  <c r="G117" i="9"/>
  <c r="N117" i="9" s="1"/>
  <c r="F117" i="9"/>
  <c r="P116" i="9"/>
  <c r="L116" i="9"/>
  <c r="Q116" i="9" s="1"/>
  <c r="F116" i="9"/>
  <c r="G116" i="9" s="1"/>
  <c r="P115" i="9"/>
  <c r="M115" i="9"/>
  <c r="L115" i="9"/>
  <c r="Q115" i="9" s="1"/>
  <c r="G115" i="9"/>
  <c r="N115" i="9" s="1"/>
  <c r="F115" i="9"/>
  <c r="P114" i="9"/>
  <c r="L114" i="9"/>
  <c r="Q114" i="9" s="1"/>
  <c r="Q113" i="9"/>
  <c r="P113" i="9"/>
  <c r="L113" i="9"/>
  <c r="P112" i="9"/>
  <c r="L112" i="9"/>
  <c r="Q112" i="9" s="1"/>
  <c r="F112" i="9"/>
  <c r="Q111" i="9"/>
  <c r="P111" i="9"/>
  <c r="L111" i="9"/>
  <c r="G111" i="9"/>
  <c r="N111" i="9" s="1"/>
  <c r="F111" i="9"/>
  <c r="M111" i="9" s="1"/>
  <c r="Q110" i="9"/>
  <c r="P110" i="9"/>
  <c r="L110" i="9"/>
  <c r="F110" i="9"/>
  <c r="M110" i="9" s="1"/>
  <c r="Q109" i="9"/>
  <c r="P109" i="9"/>
  <c r="L109" i="9"/>
  <c r="P108" i="9"/>
  <c r="L108" i="9"/>
  <c r="Q108" i="9" s="1"/>
  <c r="F108" i="9"/>
  <c r="M108" i="9" s="1"/>
  <c r="L107" i="9"/>
  <c r="P106" i="9"/>
  <c r="L106" i="9"/>
  <c r="Q106" i="9" s="1"/>
  <c r="F106" i="9"/>
  <c r="G106" i="9" s="1"/>
  <c r="N106" i="9" s="1"/>
  <c r="P105" i="9"/>
  <c r="M105" i="9"/>
  <c r="L105" i="9"/>
  <c r="Q105" i="9" s="1"/>
  <c r="G105" i="9"/>
  <c r="N105" i="9" s="1"/>
  <c r="F105" i="9"/>
  <c r="P104" i="9"/>
  <c r="L104" i="9"/>
  <c r="Q104" i="9" s="1"/>
  <c r="G104" i="9"/>
  <c r="N104" i="9" s="1"/>
  <c r="F104" i="9"/>
  <c r="M104" i="9" s="1"/>
  <c r="Q103" i="9"/>
  <c r="P103" i="9"/>
  <c r="L103" i="9"/>
  <c r="G103" i="9"/>
  <c r="N103" i="9" s="1"/>
  <c r="F103" i="9"/>
  <c r="M103" i="9" s="1"/>
  <c r="P102" i="9"/>
  <c r="L102" i="9"/>
  <c r="Q102" i="9" s="1"/>
  <c r="F102" i="9"/>
  <c r="Q101" i="9"/>
  <c r="P101" i="9"/>
  <c r="L101" i="9"/>
  <c r="Q100" i="9"/>
  <c r="P100" i="9"/>
  <c r="L100" i="9"/>
  <c r="F100" i="9"/>
  <c r="M100" i="9" s="1"/>
  <c r="Q99" i="9"/>
  <c r="P99" i="9"/>
  <c r="M99" i="9"/>
  <c r="L99" i="9"/>
  <c r="G99" i="9"/>
  <c r="N99" i="9" s="1"/>
  <c r="F99" i="9"/>
  <c r="P98" i="9"/>
  <c r="L98" i="9"/>
  <c r="Q98" i="9" s="1"/>
  <c r="F98" i="9"/>
  <c r="M98" i="9" s="1"/>
  <c r="Q97" i="9"/>
  <c r="P97" i="9"/>
  <c r="M97" i="9"/>
  <c r="L97" i="9"/>
  <c r="F97" i="9"/>
  <c r="G97" i="9" s="1"/>
  <c r="N97" i="9" s="1"/>
  <c r="P96" i="9"/>
  <c r="P95" i="9" s="1"/>
  <c r="L96" i="9"/>
  <c r="Q96" i="9" s="1"/>
  <c r="L95" i="9"/>
  <c r="L94" i="9"/>
  <c r="Q93" i="9"/>
  <c r="P93" i="9"/>
  <c r="L93" i="9"/>
  <c r="M93" i="9" s="1"/>
  <c r="G93" i="9"/>
  <c r="N93" i="9" s="1"/>
  <c r="Q92" i="9"/>
  <c r="P92" i="9"/>
  <c r="L92" i="9"/>
  <c r="P91" i="9"/>
  <c r="N91" i="9"/>
  <c r="L91" i="9"/>
  <c r="M91" i="9" s="1"/>
  <c r="G91" i="9"/>
  <c r="P90" i="9"/>
  <c r="N90" i="9"/>
  <c r="L90" i="9"/>
  <c r="Q90" i="9" s="1"/>
  <c r="P89" i="9"/>
  <c r="N89" i="9"/>
  <c r="M89" i="9"/>
  <c r="L89" i="9"/>
  <c r="Q89" i="9" s="1"/>
  <c r="P88" i="9"/>
  <c r="L88" i="9"/>
  <c r="Q88" i="9" s="1"/>
  <c r="G88" i="9"/>
  <c r="N88" i="9" s="1"/>
  <c r="Q87" i="9"/>
  <c r="P87" i="9"/>
  <c r="N87" i="9"/>
  <c r="M87" i="9"/>
  <c r="L87" i="9"/>
  <c r="Q86" i="9"/>
  <c r="P86" i="9"/>
  <c r="N86" i="9"/>
  <c r="M86" i="9"/>
  <c r="L86" i="9"/>
  <c r="G86" i="9"/>
  <c r="P85" i="9"/>
  <c r="M85" i="9"/>
  <c r="L85" i="9"/>
  <c r="Q85" i="9" s="1"/>
  <c r="G85" i="9"/>
  <c r="N85" i="9" s="1"/>
  <c r="P84" i="9"/>
  <c r="M84" i="9"/>
  <c r="L84" i="9"/>
  <c r="Q84" i="9" s="1"/>
  <c r="G84" i="9"/>
  <c r="N84" i="9" s="1"/>
  <c r="M83" i="9"/>
  <c r="L83" i="9"/>
  <c r="G83" i="9"/>
  <c r="N83" i="9" s="1"/>
  <c r="E83" i="9"/>
  <c r="Q83" i="9" s="1"/>
  <c r="P82" i="9"/>
  <c r="L82" i="9"/>
  <c r="Q82" i="9" s="1"/>
  <c r="G82" i="9"/>
  <c r="N82" i="9" s="1"/>
  <c r="Q81" i="9"/>
  <c r="P81" i="9"/>
  <c r="N81" i="9"/>
  <c r="M81" i="9"/>
  <c r="L81" i="9"/>
  <c r="G81" i="9"/>
  <c r="P80" i="9"/>
  <c r="N80" i="9"/>
  <c r="L80" i="9"/>
  <c r="M80" i="9" s="1"/>
  <c r="G80" i="9"/>
  <c r="L79" i="9"/>
  <c r="P78" i="9"/>
  <c r="L78" i="9"/>
  <c r="P77" i="9"/>
  <c r="L77" i="9"/>
  <c r="Q77" i="9" s="1"/>
  <c r="G77" i="9"/>
  <c r="N77" i="9" s="1"/>
  <c r="P76" i="9"/>
  <c r="L76" i="9"/>
  <c r="Q76" i="9" s="1"/>
  <c r="G76" i="9"/>
  <c r="N76" i="9" s="1"/>
  <c r="Q75" i="9"/>
  <c r="P75" i="9"/>
  <c r="N75" i="9"/>
  <c r="M75" i="9"/>
  <c r="L75" i="9"/>
  <c r="G75" i="9"/>
  <c r="P74" i="9"/>
  <c r="N74" i="9"/>
  <c r="L74" i="9"/>
  <c r="M74" i="9" s="1"/>
  <c r="G74" i="9"/>
  <c r="P73" i="9"/>
  <c r="N73" i="9"/>
  <c r="M73" i="9"/>
  <c r="L73" i="9"/>
  <c r="Q73" i="9" s="1"/>
  <c r="G73" i="9"/>
  <c r="P72" i="9"/>
  <c r="L72" i="9"/>
  <c r="Q72" i="9" s="1"/>
  <c r="F72" i="9"/>
  <c r="G72" i="9" s="1"/>
  <c r="N72" i="9" s="1"/>
  <c r="P71" i="9"/>
  <c r="M71" i="9"/>
  <c r="L71" i="9"/>
  <c r="Q71" i="9" s="1"/>
  <c r="G71" i="9"/>
  <c r="N71" i="9" s="1"/>
  <c r="Q70" i="9"/>
  <c r="P70" i="9"/>
  <c r="L70" i="9"/>
  <c r="P69" i="9"/>
  <c r="L69" i="9"/>
  <c r="Q69" i="9" s="1"/>
  <c r="Q68" i="9"/>
  <c r="P68" i="9"/>
  <c r="L68" i="9"/>
  <c r="M68" i="9" s="1"/>
  <c r="G68" i="9"/>
  <c r="N68" i="9" s="1"/>
  <c r="E68" i="9"/>
  <c r="Q67" i="9"/>
  <c r="P67" i="9"/>
  <c r="N67" i="9"/>
  <c r="M67" i="9"/>
  <c r="L67" i="9"/>
  <c r="G67" i="9"/>
  <c r="P66" i="9"/>
  <c r="N66" i="9"/>
  <c r="L66" i="9"/>
  <c r="M66" i="9" s="1"/>
  <c r="G66" i="9"/>
  <c r="P65" i="9"/>
  <c r="N65" i="9"/>
  <c r="M65" i="9"/>
  <c r="L65" i="9"/>
  <c r="Q65" i="9" s="1"/>
  <c r="G65" i="9"/>
  <c r="P64" i="9"/>
  <c r="P63" i="9" s="1"/>
  <c r="L64" i="9"/>
  <c r="G64" i="9"/>
  <c r="L63" i="9"/>
  <c r="L62" i="9"/>
  <c r="P61" i="9"/>
  <c r="N61" i="9"/>
  <c r="L61" i="9"/>
  <c r="M61" i="9" s="1"/>
  <c r="P60" i="9"/>
  <c r="M60" i="9"/>
  <c r="L60" i="9"/>
  <c r="Q60" i="9" s="1"/>
  <c r="P59" i="9"/>
  <c r="L59" i="9"/>
  <c r="Q59" i="9" s="1"/>
  <c r="Q58" i="9"/>
  <c r="L58" i="9"/>
  <c r="N58" i="9" s="1"/>
  <c r="E58" i="9"/>
  <c r="P58" i="9" s="1"/>
  <c r="Q57" i="9"/>
  <c r="P57" i="9"/>
  <c r="M57" i="9"/>
  <c r="L57" i="9"/>
  <c r="N57" i="9" s="1"/>
  <c r="P56" i="9"/>
  <c r="N56" i="9"/>
  <c r="M56" i="9"/>
  <c r="L56" i="9"/>
  <c r="Q56" i="9" s="1"/>
  <c r="P55" i="9"/>
  <c r="N55" i="9"/>
  <c r="M55" i="9"/>
  <c r="L55" i="9"/>
  <c r="Q55" i="9" s="1"/>
  <c r="P54" i="9"/>
  <c r="L54" i="9"/>
  <c r="Q54" i="9" s="1"/>
  <c r="L53" i="9"/>
  <c r="L52" i="9"/>
  <c r="L51" i="9"/>
  <c r="E51" i="9"/>
  <c r="Q51" i="9" s="1"/>
  <c r="P50" i="9"/>
  <c r="M50" i="9"/>
  <c r="L50" i="9"/>
  <c r="Q50" i="9" s="1"/>
  <c r="G50" i="9"/>
  <c r="N50" i="9" s="1"/>
  <c r="F50" i="9"/>
  <c r="P49" i="9"/>
  <c r="L49" i="9"/>
  <c r="Q49" i="9" s="1"/>
  <c r="Q48" i="9"/>
  <c r="P48" i="9"/>
  <c r="L48" i="9"/>
  <c r="N48" i="9" s="1"/>
  <c r="P47" i="9"/>
  <c r="N47" i="9"/>
  <c r="L47" i="9"/>
  <c r="M47" i="9" s="1"/>
  <c r="P46" i="9"/>
  <c r="M46" i="9"/>
  <c r="L46" i="9"/>
  <c r="Q46" i="9" s="1"/>
  <c r="P45" i="9"/>
  <c r="L45" i="9"/>
  <c r="Q45" i="9" s="1"/>
  <c r="Q44" i="9"/>
  <c r="P44" i="9"/>
  <c r="L44" i="9"/>
  <c r="N44" i="9" s="1"/>
  <c r="L43" i="9"/>
  <c r="P42" i="9"/>
  <c r="M42" i="9"/>
  <c r="L42" i="9"/>
  <c r="Q42" i="9" s="1"/>
  <c r="P41" i="9"/>
  <c r="L41" i="9"/>
  <c r="Q41" i="9" s="1"/>
  <c r="Q40" i="9"/>
  <c r="P40" i="9"/>
  <c r="L40" i="9"/>
  <c r="N40" i="9" s="1"/>
  <c r="P39" i="9"/>
  <c r="P35" i="9" s="1"/>
  <c r="N39" i="9"/>
  <c r="L39" i="9"/>
  <c r="M39" i="9" s="1"/>
  <c r="P38" i="9"/>
  <c r="M38" i="9"/>
  <c r="L38" i="9"/>
  <c r="Q38" i="9" s="1"/>
  <c r="P37" i="9"/>
  <c r="L37" i="9"/>
  <c r="Q37" i="9" s="1"/>
  <c r="G37" i="9"/>
  <c r="N37" i="9" s="1"/>
  <c r="P36" i="9"/>
  <c r="M36" i="9"/>
  <c r="L36" i="9"/>
  <c r="Q36" i="9" s="1"/>
  <c r="L35" i="9"/>
  <c r="P34" i="9"/>
  <c r="N34" i="9"/>
  <c r="M34" i="9"/>
  <c r="L34" i="9"/>
  <c r="Q34" i="9" s="1"/>
  <c r="Q33" i="9"/>
  <c r="P33" i="9"/>
  <c r="L33" i="9"/>
  <c r="P32" i="9"/>
  <c r="L32" i="9"/>
  <c r="Q32" i="9" s="1"/>
  <c r="Q31" i="9"/>
  <c r="P31" i="9"/>
  <c r="N31" i="9"/>
  <c r="M31" i="9"/>
  <c r="L31" i="9"/>
  <c r="P30" i="9"/>
  <c r="L30" i="9"/>
  <c r="P29" i="9"/>
  <c r="N29" i="9"/>
  <c r="M29" i="9"/>
  <c r="M28" i="9" s="1"/>
  <c r="L29" i="9"/>
  <c r="Q29" i="9" s="1"/>
  <c r="P28" i="9"/>
  <c r="P11" i="9"/>
  <c r="T8" i="9"/>
  <c r="K682" i="8"/>
  <c r="K680" i="8"/>
  <c r="K681" i="8" s="1"/>
  <c r="K685" i="8" s="1"/>
  <c r="K679" i="8"/>
  <c r="K678" i="8"/>
  <c r="K677" i="8"/>
  <c r="K676" i="8"/>
  <c r="K675" i="8"/>
  <c r="K674" i="8"/>
  <c r="K673" i="8"/>
  <c r="K672" i="8"/>
  <c r="K671" i="8"/>
  <c r="K670" i="8"/>
  <c r="K669" i="8"/>
  <c r="K66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84" i="8" s="1"/>
  <c r="C640" i="8"/>
  <c r="K635" i="8"/>
  <c r="K638" i="8" s="1"/>
  <c r="K634" i="8"/>
  <c r="K633" i="8"/>
  <c r="K632" i="8"/>
  <c r="K637" i="8" s="1"/>
  <c r="C630" i="8"/>
  <c r="K627" i="8"/>
  <c r="K625" i="8"/>
  <c r="K624" i="8"/>
  <c r="K628" i="8" s="1"/>
  <c r="K623" i="8"/>
  <c r="K622" i="8"/>
  <c r="C620" i="8"/>
  <c r="K617" i="8"/>
  <c r="K615" i="8"/>
  <c r="K613" i="8"/>
  <c r="K614" i="8" s="1"/>
  <c r="K618" i="8" s="1"/>
  <c r="K612" i="8"/>
  <c r="C610" i="8"/>
  <c r="K607" i="8"/>
  <c r="K605" i="8"/>
  <c r="K603" i="8"/>
  <c r="K604" i="8" s="1"/>
  <c r="K608" i="8" s="1"/>
  <c r="K602" i="8"/>
  <c r="C600" i="8"/>
  <c r="K597" i="8"/>
  <c r="K595" i="8"/>
  <c r="K593" i="8"/>
  <c r="K594" i="8" s="1"/>
  <c r="K598" i="8" s="1"/>
  <c r="K592" i="8"/>
  <c r="C590" i="8"/>
  <c r="K587" i="8"/>
  <c r="K585" i="8"/>
  <c r="K583" i="8"/>
  <c r="K584" i="8" s="1"/>
  <c r="K588" i="8" s="1"/>
  <c r="K582" i="8"/>
  <c r="C580" i="8"/>
  <c r="K575" i="8"/>
  <c r="K573" i="8"/>
  <c r="K574" i="8" s="1"/>
  <c r="K578" i="8" s="1"/>
  <c r="K572" i="8"/>
  <c r="K577" i="8" s="1"/>
  <c r="C570" i="8"/>
  <c r="K565" i="8"/>
  <c r="K563" i="8"/>
  <c r="K564" i="8" s="1"/>
  <c r="K568" i="8" s="1"/>
  <c r="K562" i="8"/>
  <c r="K567" i="8" s="1"/>
  <c r="C560" i="8"/>
  <c r="K540" i="8"/>
  <c r="K538" i="8"/>
  <c r="K539" i="8" s="1"/>
  <c r="K537" i="8"/>
  <c r="K536" i="8"/>
  <c r="K542" i="8" s="1"/>
  <c r="C534" i="8"/>
  <c r="K529" i="8"/>
  <c r="K527" i="8"/>
  <c r="K528" i="8" s="1"/>
  <c r="K532" i="8" s="1"/>
  <c r="K526" i="8"/>
  <c r="K525" i="8"/>
  <c r="K531" i="8" s="1"/>
  <c r="C523" i="8"/>
  <c r="K521" i="8"/>
  <c r="K518" i="8"/>
  <c r="K517" i="8"/>
  <c r="K516" i="8"/>
  <c r="K515" i="8"/>
  <c r="K520" i="8" s="1"/>
  <c r="K514" i="8"/>
  <c r="C512" i="8"/>
  <c r="K507" i="8"/>
  <c r="K505" i="8"/>
  <c r="K506" i="8" s="1"/>
  <c r="K504" i="8"/>
  <c r="K503" i="8"/>
  <c r="K509" i="8" s="1"/>
  <c r="C501" i="8"/>
  <c r="K496" i="8"/>
  <c r="K494" i="8"/>
  <c r="K495" i="8" s="1"/>
  <c r="K499" i="8" s="1"/>
  <c r="K493" i="8"/>
  <c r="K492" i="8"/>
  <c r="K498" i="8" s="1"/>
  <c r="C490" i="8"/>
  <c r="K488" i="8"/>
  <c r="K485" i="8"/>
  <c r="K484" i="8"/>
  <c r="K483" i="8"/>
  <c r="K482" i="8"/>
  <c r="K487" i="8" s="1"/>
  <c r="K481" i="8"/>
  <c r="C479" i="8"/>
  <c r="K474" i="8"/>
  <c r="K472" i="8"/>
  <c r="K473" i="8" s="1"/>
  <c r="K471" i="8"/>
  <c r="K470" i="8"/>
  <c r="K476" i="8" s="1"/>
  <c r="C468" i="8"/>
  <c r="K463" i="8"/>
  <c r="K462" i="8"/>
  <c r="K466" i="8" s="1"/>
  <c r="K461" i="8"/>
  <c r="K460" i="8"/>
  <c r="K459" i="8"/>
  <c r="K465" i="8" s="1"/>
  <c r="C457" i="8"/>
  <c r="K450" i="8"/>
  <c r="K449" i="8"/>
  <c r="K448" i="8"/>
  <c r="K447" i="8"/>
  <c r="K446" i="8"/>
  <c r="K445" i="8"/>
  <c r="E445" i="8"/>
  <c r="K444" i="8"/>
  <c r="K443" i="8"/>
  <c r="K442" i="8"/>
  <c r="K441" i="8"/>
  <c r="K440" i="8"/>
  <c r="K439" i="8"/>
  <c r="K438" i="8"/>
  <c r="K437" i="8"/>
  <c r="K436" i="8"/>
  <c r="K435" i="8"/>
  <c r="K434" i="8"/>
  <c r="K433" i="8"/>
  <c r="K432" i="8"/>
  <c r="K431" i="8"/>
  <c r="K430" i="8"/>
  <c r="K429" i="8"/>
  <c r="K451" i="8" s="1"/>
  <c r="K420" i="8"/>
  <c r="K419" i="8"/>
  <c r="K418" i="8"/>
  <c r="K421" i="8" s="1"/>
  <c r="K410" i="8"/>
  <c r="K409" i="8"/>
  <c r="K408" i="8"/>
  <c r="K407" i="8"/>
  <c r="K400" i="8"/>
  <c r="K398" i="8"/>
  <c r="K397" i="8"/>
  <c r="K399" i="8" s="1"/>
  <c r="K396" i="8"/>
  <c r="K391" i="8"/>
  <c r="K388" i="8"/>
  <c r="K392" i="8" s="1"/>
  <c r="K387" i="8"/>
  <c r="K386" i="8"/>
  <c r="K385" i="8"/>
  <c r="K376" i="8"/>
  <c r="K375" i="8"/>
  <c r="K377" i="8" s="1"/>
  <c r="K374" i="8"/>
  <c r="L369" i="8"/>
  <c r="K365" i="8"/>
  <c r="K364" i="8"/>
  <c r="K363" i="8"/>
  <c r="K366" i="8" s="1"/>
  <c r="K362"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1" i="8"/>
  <c r="K300" i="8"/>
  <c r="K299" i="8"/>
  <c r="K298" i="8"/>
  <c r="K302" i="8" s="1"/>
  <c r="K289" i="8"/>
  <c r="K288" i="8"/>
  <c r="K290" i="8" s="1"/>
  <c r="K287" i="8"/>
  <c r="K278" i="8"/>
  <c r="K277" i="8"/>
  <c r="K276" i="8"/>
  <c r="K279" i="8" s="1"/>
  <c r="K267" i="8"/>
  <c r="K266" i="8"/>
  <c r="K268" i="8" s="1"/>
  <c r="K265" i="8"/>
  <c r="K256" i="8"/>
  <c r="K255" i="8"/>
  <c r="K254" i="8"/>
  <c r="K257" i="8" s="1"/>
  <c r="K245" i="8"/>
  <c r="K244" i="8"/>
  <c r="K246" i="8" s="1"/>
  <c r="K243" i="8"/>
  <c r="K234" i="8"/>
  <c r="K233" i="8"/>
  <c r="K232" i="8"/>
  <c r="K235" i="8" s="1"/>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6" i="8"/>
  <c r="K171" i="8"/>
  <c r="K170" i="8"/>
  <c r="K169" i="8"/>
  <c r="K172" i="8" s="1"/>
  <c r="K175" i="8" s="1"/>
  <c r="K160" i="8"/>
  <c r="K159" i="8"/>
  <c r="I159" i="8"/>
  <c r="K158" i="8"/>
  <c r="K161" i="8" s="1"/>
  <c r="K149" i="8"/>
  <c r="K139" i="8"/>
  <c r="K129" i="8"/>
  <c r="K128" i="8"/>
  <c r="H128" i="8"/>
  <c r="F128" i="8"/>
  <c r="F127" i="8"/>
  <c r="K127" i="8" s="1"/>
  <c r="K130" i="8" s="1"/>
  <c r="K119" i="8"/>
  <c r="K118" i="8"/>
  <c r="K117" i="8"/>
  <c r="K116" i="8"/>
  <c r="K107" i="8"/>
  <c r="K106" i="8"/>
  <c r="K105" i="8"/>
  <c r="K108" i="8" s="1"/>
  <c r="K97" i="8"/>
  <c r="K96" i="8"/>
  <c r="K95" i="8"/>
  <c r="K94" i="8"/>
  <c r="K85" i="8"/>
  <c r="K84" i="8"/>
  <c r="K86" i="8" s="1"/>
  <c r="K75" i="8"/>
  <c r="K74" i="8"/>
  <c r="K65" i="8"/>
  <c r="K66" i="8" s="1"/>
  <c r="K64" i="8"/>
  <c r="K55" i="8"/>
  <c r="E54" i="8"/>
  <c r="K54" i="8" s="1"/>
  <c r="K56" i="8" s="1"/>
  <c r="K45" i="8"/>
  <c r="K44" i="8"/>
  <c r="K46" i="8" s="1"/>
  <c r="E44" i="8"/>
  <c r="K35" i="8"/>
  <c r="K36" i="8" s="1"/>
  <c r="K34" i="8"/>
  <c r="K25" i="8"/>
  <c r="I24" i="8"/>
  <c r="K24" i="8" s="1"/>
  <c r="I23" i="8"/>
  <c r="K23" i="8" s="1"/>
  <c r="K22" i="8"/>
  <c r="K13" i="8"/>
  <c r="I13" i="8"/>
  <c r="I12" i="8"/>
  <c r="K12" i="8" s="1"/>
  <c r="I11" i="8"/>
  <c r="K11" i="8" s="1"/>
  <c r="I10" i="8"/>
  <c r="K10" i="8" s="1"/>
  <c r="I648" i="7"/>
  <c r="J648" i="7" s="1"/>
  <c r="I647" i="7"/>
  <c r="J647" i="7" s="1"/>
  <c r="J646" i="7"/>
  <c r="I646" i="7"/>
  <c r="J645" i="7"/>
  <c r="I645" i="7"/>
  <c r="I644" i="7"/>
  <c r="J644" i="7" s="1"/>
  <c r="I643" i="7"/>
  <c r="J643" i="7" s="1"/>
  <c r="I642" i="7"/>
  <c r="J642" i="7" s="1"/>
  <c r="I641" i="7"/>
  <c r="J641" i="7" s="1"/>
  <c r="I640" i="7"/>
  <c r="J640" i="7" s="1"/>
  <c r="D640" i="7"/>
  <c r="D640" i="9" s="1"/>
  <c r="J640" i="9" s="1"/>
  <c r="I639" i="7"/>
  <c r="I638" i="7"/>
  <c r="G634" i="7"/>
  <c r="R621" i="7"/>
  <c r="M600" i="7"/>
  <c r="M599" i="7"/>
  <c r="Q590" i="7"/>
  <c r="P590" i="7"/>
  <c r="M590" i="7"/>
  <c r="M588" i="7" s="1"/>
  <c r="L590" i="7"/>
  <c r="N590" i="7" s="1"/>
  <c r="Q589" i="7"/>
  <c r="P589" i="7"/>
  <c r="N589" i="7"/>
  <c r="L589" i="7"/>
  <c r="M589" i="7" s="1"/>
  <c r="P588" i="7"/>
  <c r="L588" i="7"/>
  <c r="Q587" i="7"/>
  <c r="P587" i="7"/>
  <c r="N587" i="7"/>
  <c r="M587" i="7"/>
  <c r="L587" i="7"/>
  <c r="Q586" i="7"/>
  <c r="P586" i="7"/>
  <c r="M586" i="7"/>
  <c r="L586" i="7"/>
  <c r="N586" i="7" s="1"/>
  <c r="P585" i="7"/>
  <c r="L585" i="7"/>
  <c r="M585" i="7" s="1"/>
  <c r="Q584" i="7"/>
  <c r="P584" i="7"/>
  <c r="N584" i="7"/>
  <c r="M584" i="7"/>
  <c r="L584" i="7"/>
  <c r="Q583" i="7"/>
  <c r="P583" i="7"/>
  <c r="N583" i="7"/>
  <c r="M583" i="7"/>
  <c r="L583" i="7"/>
  <c r="P582" i="7"/>
  <c r="N582" i="7"/>
  <c r="M582" i="7"/>
  <c r="L582" i="7"/>
  <c r="Q582" i="7" s="1"/>
  <c r="Q581" i="7"/>
  <c r="P581" i="7"/>
  <c r="N581" i="7"/>
  <c r="L581" i="7"/>
  <c r="M581" i="7" s="1"/>
  <c r="P580" i="7"/>
  <c r="L580" i="7"/>
  <c r="Q579" i="7"/>
  <c r="P579" i="7"/>
  <c r="N579" i="7"/>
  <c r="M579" i="7"/>
  <c r="L579" i="7"/>
  <c r="Q578" i="7"/>
  <c r="P578" i="7"/>
  <c r="L578" i="7"/>
  <c r="N578" i="7" s="1"/>
  <c r="P577" i="7"/>
  <c r="L577" i="7"/>
  <c r="P576" i="7"/>
  <c r="L576" i="7"/>
  <c r="Q576" i="7" s="1"/>
  <c r="Q575" i="7"/>
  <c r="P575" i="7"/>
  <c r="N575" i="7"/>
  <c r="M575" i="7"/>
  <c r="L575" i="7"/>
  <c r="Q574" i="7"/>
  <c r="P574" i="7"/>
  <c r="M574" i="7"/>
  <c r="L574" i="7"/>
  <c r="N574" i="7" s="1"/>
  <c r="P573" i="7"/>
  <c r="L573" i="7"/>
  <c r="M573" i="7" s="1"/>
  <c r="Q572" i="7"/>
  <c r="P572" i="7"/>
  <c r="N572" i="7"/>
  <c r="M572" i="7"/>
  <c r="L572" i="7"/>
  <c r="Q571" i="7"/>
  <c r="P571" i="7"/>
  <c r="N571" i="7"/>
  <c r="M571" i="7"/>
  <c r="L571" i="7"/>
  <c r="P570" i="7"/>
  <c r="N570" i="7"/>
  <c r="M570" i="7"/>
  <c r="L570" i="7"/>
  <c r="Q570" i="7" s="1"/>
  <c r="Q569" i="7"/>
  <c r="P569" i="7"/>
  <c r="N569" i="7"/>
  <c r="L569" i="7"/>
  <c r="M569" i="7" s="1"/>
  <c r="L568" i="7"/>
  <c r="E568" i="7"/>
  <c r="P567" i="7"/>
  <c r="L567" i="7"/>
  <c r="M567" i="7" s="1"/>
  <c r="L566" i="7"/>
  <c r="Q565" i="7"/>
  <c r="P565" i="7"/>
  <c r="M565" i="7"/>
  <c r="L565" i="7"/>
  <c r="N565" i="7" s="1"/>
  <c r="P564" i="7"/>
  <c r="L564" i="7"/>
  <c r="Q564" i="7" s="1"/>
  <c r="P563" i="7"/>
  <c r="N563" i="7"/>
  <c r="L563" i="7"/>
  <c r="M563" i="7" s="1"/>
  <c r="P562" i="7"/>
  <c r="N562" i="7"/>
  <c r="M562" i="7"/>
  <c r="L562" i="7"/>
  <c r="Q562" i="7" s="1"/>
  <c r="Q561" i="7"/>
  <c r="P561" i="7"/>
  <c r="M561" i="7"/>
  <c r="L561" i="7"/>
  <c r="N561" i="7" s="1"/>
  <c r="P560" i="7"/>
  <c r="M560" i="7"/>
  <c r="L560" i="7"/>
  <c r="N560" i="7" s="1"/>
  <c r="P559" i="7"/>
  <c r="N559" i="7"/>
  <c r="L559" i="7"/>
  <c r="M559" i="7" s="1"/>
  <c r="P558" i="7"/>
  <c r="M558" i="7"/>
  <c r="L558" i="7"/>
  <c r="Q558" i="7" s="1"/>
  <c r="Q557" i="7"/>
  <c r="P557" i="7"/>
  <c r="M557" i="7"/>
  <c r="L557" i="7"/>
  <c r="N557" i="7" s="1"/>
  <c r="Q556" i="7"/>
  <c r="P556" i="7"/>
  <c r="N556" i="7"/>
  <c r="M556" i="7"/>
  <c r="L556" i="7"/>
  <c r="P555" i="7"/>
  <c r="L555" i="7"/>
  <c r="M555" i="7" s="1"/>
  <c r="L554" i="7"/>
  <c r="P553" i="7"/>
  <c r="P552" i="7" s="1"/>
  <c r="L553" i="7"/>
  <c r="N553" i="7" s="1"/>
  <c r="N552" i="7"/>
  <c r="L552" i="7"/>
  <c r="Q551" i="7"/>
  <c r="P551" i="7"/>
  <c r="N551" i="7"/>
  <c r="L551" i="7"/>
  <c r="M551" i="7" s="1"/>
  <c r="P550" i="7"/>
  <c r="N550" i="7"/>
  <c r="L550" i="7"/>
  <c r="Q550" i="7" s="1"/>
  <c r="P549" i="7"/>
  <c r="L549" i="7"/>
  <c r="N549" i="7" s="1"/>
  <c r="Q548" i="7"/>
  <c r="P548" i="7"/>
  <c r="N548" i="7"/>
  <c r="M548" i="7"/>
  <c r="L548" i="7"/>
  <c r="Q547" i="7"/>
  <c r="P547" i="7"/>
  <c r="N547" i="7"/>
  <c r="L547" i="7"/>
  <c r="M547" i="7" s="1"/>
  <c r="P546" i="7"/>
  <c r="N546" i="7"/>
  <c r="L546" i="7"/>
  <c r="Q546" i="7" s="1"/>
  <c r="Q545" i="7"/>
  <c r="P545" i="7"/>
  <c r="N545" i="7"/>
  <c r="M545" i="7"/>
  <c r="L545" i="7"/>
  <c r="Q544" i="7"/>
  <c r="P544" i="7"/>
  <c r="N544" i="7"/>
  <c r="L544" i="7"/>
  <c r="M544" i="7" s="1"/>
  <c r="P543" i="7"/>
  <c r="P520" i="7" s="1"/>
  <c r="N543" i="7"/>
  <c r="L543" i="7"/>
  <c r="M543" i="7" s="1"/>
  <c r="P542" i="7"/>
  <c r="L542" i="7"/>
  <c r="P541" i="7"/>
  <c r="N541" i="7"/>
  <c r="M541" i="7"/>
  <c r="L541" i="7"/>
  <c r="Q541" i="7" s="1"/>
  <c r="P540" i="7"/>
  <c r="M540" i="7"/>
  <c r="L540" i="7"/>
  <c r="Q540" i="7" s="1"/>
  <c r="P539" i="7"/>
  <c r="M539" i="7"/>
  <c r="L539" i="7"/>
  <c r="N539" i="7" s="1"/>
  <c r="P538" i="7"/>
  <c r="L538" i="7"/>
  <c r="P537" i="7"/>
  <c r="N537" i="7"/>
  <c r="M537" i="7"/>
  <c r="L537" i="7"/>
  <c r="Q537" i="7" s="1"/>
  <c r="P536" i="7"/>
  <c r="M536" i="7"/>
  <c r="L536" i="7"/>
  <c r="Q536" i="7" s="1"/>
  <c r="P535" i="7"/>
  <c r="M535" i="7"/>
  <c r="L535" i="7"/>
  <c r="N535" i="7" s="1"/>
  <c r="P534" i="7"/>
  <c r="L534" i="7"/>
  <c r="P533" i="7"/>
  <c r="N533" i="7"/>
  <c r="M533" i="7"/>
  <c r="L533" i="7"/>
  <c r="Q533" i="7" s="1"/>
  <c r="P532" i="7"/>
  <c r="M532" i="7"/>
  <c r="L532" i="7"/>
  <c r="Q532" i="7" s="1"/>
  <c r="P531" i="7"/>
  <c r="M531" i="7"/>
  <c r="L531" i="7"/>
  <c r="N531" i="7" s="1"/>
  <c r="P530" i="7"/>
  <c r="L530" i="7"/>
  <c r="P529" i="7"/>
  <c r="N529" i="7"/>
  <c r="M529" i="7"/>
  <c r="L529" i="7"/>
  <c r="Q529" i="7" s="1"/>
  <c r="P528" i="7"/>
  <c r="M528" i="7"/>
  <c r="L528" i="7"/>
  <c r="Q528" i="7" s="1"/>
  <c r="P527" i="7"/>
  <c r="M527" i="7"/>
  <c r="L527" i="7"/>
  <c r="N527" i="7" s="1"/>
  <c r="P526" i="7"/>
  <c r="L526" i="7"/>
  <c r="P525" i="7"/>
  <c r="N525" i="7"/>
  <c r="M525" i="7"/>
  <c r="L525" i="7"/>
  <c r="Q525" i="7" s="1"/>
  <c r="P524" i="7"/>
  <c r="M524" i="7"/>
  <c r="L524" i="7"/>
  <c r="Q524" i="7" s="1"/>
  <c r="P523" i="7"/>
  <c r="M523" i="7"/>
  <c r="L523" i="7"/>
  <c r="N523" i="7" s="1"/>
  <c r="P522" i="7"/>
  <c r="L522" i="7"/>
  <c r="P521" i="7"/>
  <c r="N521" i="7"/>
  <c r="M521" i="7"/>
  <c r="L521" i="7"/>
  <c r="Q521" i="7" s="1"/>
  <c r="L520" i="7"/>
  <c r="P519" i="7"/>
  <c r="M519" i="7"/>
  <c r="L519" i="7"/>
  <c r="N519" i="7" s="1"/>
  <c r="P518" i="7"/>
  <c r="L518" i="7"/>
  <c r="P517" i="7"/>
  <c r="N517" i="7"/>
  <c r="M517" i="7"/>
  <c r="L517" i="7"/>
  <c r="Q517" i="7" s="1"/>
  <c r="P516" i="7"/>
  <c r="M516" i="7"/>
  <c r="L516" i="7"/>
  <c r="Q516" i="7" s="1"/>
  <c r="P515" i="7"/>
  <c r="M515" i="7"/>
  <c r="L515" i="7"/>
  <c r="N515" i="7" s="1"/>
  <c r="P514" i="7"/>
  <c r="L514" i="7"/>
  <c r="P513" i="7"/>
  <c r="N513" i="7"/>
  <c r="M513" i="7"/>
  <c r="L513" i="7"/>
  <c r="Q513" i="7" s="1"/>
  <c r="P512" i="7"/>
  <c r="M512" i="7"/>
  <c r="L512" i="7"/>
  <c r="Q512" i="7" s="1"/>
  <c r="Q511" i="7"/>
  <c r="P511" i="7"/>
  <c r="M511" i="7"/>
  <c r="L511" i="7"/>
  <c r="N511" i="7" s="1"/>
  <c r="P510" i="7"/>
  <c r="L510" i="7"/>
  <c r="P509" i="7"/>
  <c r="N509" i="7"/>
  <c r="M509" i="7"/>
  <c r="L509" i="7"/>
  <c r="Q509" i="7" s="1"/>
  <c r="P508" i="7"/>
  <c r="L508" i="7"/>
  <c r="L507" i="7"/>
  <c r="P506" i="7"/>
  <c r="L506" i="7"/>
  <c r="P505" i="7"/>
  <c r="N505" i="7"/>
  <c r="M505" i="7"/>
  <c r="L505" i="7"/>
  <c r="Q505" i="7" s="1"/>
  <c r="P504" i="7"/>
  <c r="M504" i="7"/>
  <c r="L504" i="7"/>
  <c r="Q504" i="7" s="1"/>
  <c r="Q503" i="7"/>
  <c r="P503" i="7"/>
  <c r="M503" i="7"/>
  <c r="L503" i="7"/>
  <c r="N503" i="7" s="1"/>
  <c r="P502" i="7"/>
  <c r="L502" i="7"/>
  <c r="P501" i="7"/>
  <c r="N501" i="7"/>
  <c r="M501" i="7"/>
  <c r="L501" i="7"/>
  <c r="Q501" i="7" s="1"/>
  <c r="P500" i="7"/>
  <c r="M500" i="7"/>
  <c r="L500" i="7"/>
  <c r="Q500" i="7" s="1"/>
  <c r="Q499" i="7"/>
  <c r="P499" i="7"/>
  <c r="M499" i="7"/>
  <c r="L499" i="7"/>
  <c r="N499" i="7" s="1"/>
  <c r="P498" i="7"/>
  <c r="L498" i="7"/>
  <c r="P497" i="7"/>
  <c r="N497" i="7"/>
  <c r="M497" i="7"/>
  <c r="L497" i="7"/>
  <c r="Q497" i="7" s="1"/>
  <c r="P496" i="7"/>
  <c r="M496" i="7"/>
  <c r="L496" i="7"/>
  <c r="Q496" i="7" s="1"/>
  <c r="Q495" i="7"/>
  <c r="P495" i="7"/>
  <c r="M495" i="7"/>
  <c r="L495" i="7"/>
  <c r="N495" i="7" s="1"/>
  <c r="P494" i="7"/>
  <c r="L494" i="7"/>
  <c r="P493" i="7"/>
  <c r="N493" i="7"/>
  <c r="M493" i="7"/>
  <c r="L493" i="7"/>
  <c r="Q493" i="7" s="1"/>
  <c r="P492" i="7"/>
  <c r="M492" i="7"/>
  <c r="L492" i="7"/>
  <c r="Q492" i="7" s="1"/>
  <c r="Q491" i="7"/>
  <c r="P491" i="7"/>
  <c r="M491" i="7"/>
  <c r="L491" i="7"/>
  <c r="N491" i="7" s="1"/>
  <c r="P490" i="7"/>
  <c r="L490" i="7"/>
  <c r="P489" i="7"/>
  <c r="N489" i="7"/>
  <c r="M489" i="7"/>
  <c r="L489" i="7"/>
  <c r="Q489" i="7" s="1"/>
  <c r="P488" i="7"/>
  <c r="P487" i="7" s="1"/>
  <c r="M488" i="7"/>
  <c r="L488" i="7"/>
  <c r="Q488" i="7" s="1"/>
  <c r="L487" i="7"/>
  <c r="P486" i="7"/>
  <c r="L486" i="7"/>
  <c r="P485" i="7"/>
  <c r="N485" i="7"/>
  <c r="M485" i="7"/>
  <c r="L485" i="7"/>
  <c r="Q485" i="7" s="1"/>
  <c r="P484" i="7"/>
  <c r="P482" i="7" s="1"/>
  <c r="M484" i="7"/>
  <c r="L484" i="7"/>
  <c r="Q484" i="7" s="1"/>
  <c r="Q483" i="7"/>
  <c r="P483" i="7"/>
  <c r="M483" i="7"/>
  <c r="L483" i="7"/>
  <c r="N483" i="7" s="1"/>
  <c r="L482" i="7"/>
  <c r="L481" i="7"/>
  <c r="P480" i="7"/>
  <c r="M480" i="7"/>
  <c r="L480" i="7"/>
  <c r="Q480" i="7" s="1"/>
  <c r="Q479" i="7"/>
  <c r="P479" i="7"/>
  <c r="M479" i="7"/>
  <c r="L479" i="7"/>
  <c r="N479" i="7" s="1"/>
  <c r="P478" i="7"/>
  <c r="L478" i="7"/>
  <c r="P477" i="7"/>
  <c r="N477" i="7"/>
  <c r="M477" i="7"/>
  <c r="L477" i="7"/>
  <c r="Q477" i="7" s="1"/>
  <c r="P476" i="7"/>
  <c r="P474" i="7" s="1"/>
  <c r="M476" i="7"/>
  <c r="L476" i="7"/>
  <c r="Q476" i="7" s="1"/>
  <c r="Q475" i="7"/>
  <c r="P475" i="7"/>
  <c r="M475" i="7"/>
  <c r="L475" i="7"/>
  <c r="N475" i="7" s="1"/>
  <c r="L474" i="7"/>
  <c r="P473" i="7"/>
  <c r="N473" i="7"/>
  <c r="M473" i="7"/>
  <c r="L473" i="7"/>
  <c r="Q473" i="7" s="1"/>
  <c r="P472" i="7"/>
  <c r="M472" i="7"/>
  <c r="L472" i="7"/>
  <c r="Q472" i="7" s="1"/>
  <c r="Q471" i="7"/>
  <c r="P471" i="7"/>
  <c r="M471" i="7"/>
  <c r="L471" i="7"/>
  <c r="N471" i="7" s="1"/>
  <c r="P470" i="7"/>
  <c r="L470" i="7"/>
  <c r="P469" i="7"/>
  <c r="N469" i="7"/>
  <c r="M469" i="7"/>
  <c r="L469" i="7"/>
  <c r="Q469" i="7" s="1"/>
  <c r="P468" i="7"/>
  <c r="M468" i="7"/>
  <c r="L468" i="7"/>
  <c r="Q468" i="7" s="1"/>
  <c r="Q467" i="7"/>
  <c r="P467" i="7"/>
  <c r="M467" i="7"/>
  <c r="L467" i="7"/>
  <c r="N467" i="7" s="1"/>
  <c r="P466" i="7"/>
  <c r="L466" i="7"/>
  <c r="L465" i="7"/>
  <c r="Q465" i="7" s="1"/>
  <c r="Q464" i="7"/>
  <c r="P464" i="7"/>
  <c r="L464" i="7"/>
  <c r="N464" i="7" s="1"/>
  <c r="P463" i="7"/>
  <c r="N463" i="7"/>
  <c r="L463" i="7"/>
  <c r="M463" i="7" s="1"/>
  <c r="Q462" i="7"/>
  <c r="P462" i="7"/>
  <c r="N462" i="7"/>
  <c r="M462" i="7"/>
  <c r="L462" i="7"/>
  <c r="P461" i="7"/>
  <c r="L461" i="7"/>
  <c r="Q461" i="7" s="1"/>
  <c r="Q460" i="7"/>
  <c r="P460" i="7"/>
  <c r="L460" i="7"/>
  <c r="N460" i="7" s="1"/>
  <c r="P459" i="7"/>
  <c r="N459" i="7"/>
  <c r="L459" i="7"/>
  <c r="M459" i="7" s="1"/>
  <c r="Q458" i="7"/>
  <c r="P458" i="7"/>
  <c r="N458" i="7"/>
  <c r="M458" i="7"/>
  <c r="L458" i="7"/>
  <c r="P457" i="7"/>
  <c r="L457" i="7"/>
  <c r="Q457" i="7" s="1"/>
  <c r="Q456" i="7"/>
  <c r="P456" i="7"/>
  <c r="L456" i="7"/>
  <c r="N456" i="7" s="1"/>
  <c r="P455" i="7"/>
  <c r="N455" i="7"/>
  <c r="L455" i="7"/>
  <c r="M455" i="7" s="1"/>
  <c r="Q454" i="7"/>
  <c r="P454" i="7"/>
  <c r="N454" i="7"/>
  <c r="M454" i="7"/>
  <c r="L454" i="7"/>
  <c r="P453" i="7"/>
  <c r="L453" i="7"/>
  <c r="Q453" i="7" s="1"/>
  <c r="Q452" i="7"/>
  <c r="P452" i="7"/>
  <c r="L452" i="7"/>
  <c r="N452" i="7" s="1"/>
  <c r="P451" i="7"/>
  <c r="N451" i="7"/>
  <c r="L451" i="7"/>
  <c r="M451" i="7" s="1"/>
  <c r="Q450" i="7"/>
  <c r="P450" i="7"/>
  <c r="N450" i="7"/>
  <c r="M450" i="7"/>
  <c r="L450" i="7"/>
  <c r="P449" i="7"/>
  <c r="L449" i="7"/>
  <c r="Q449" i="7" s="1"/>
  <c r="Q448" i="7"/>
  <c r="P448" i="7"/>
  <c r="L448" i="7"/>
  <c r="N448" i="7" s="1"/>
  <c r="P447" i="7"/>
  <c r="N447" i="7"/>
  <c r="L447" i="7"/>
  <c r="M447" i="7" s="1"/>
  <c r="Q446" i="7"/>
  <c r="P446" i="7"/>
  <c r="N446" i="7"/>
  <c r="M446" i="7"/>
  <c r="L446" i="7"/>
  <c r="P445" i="7"/>
  <c r="L445" i="7"/>
  <c r="Q445" i="7" s="1"/>
  <c r="Q444" i="7"/>
  <c r="P444" i="7"/>
  <c r="L444" i="7"/>
  <c r="N444" i="7" s="1"/>
  <c r="P443" i="7"/>
  <c r="N443" i="7"/>
  <c r="L443" i="7"/>
  <c r="M443" i="7" s="1"/>
  <c r="Q442" i="7"/>
  <c r="P442" i="7"/>
  <c r="N442" i="7"/>
  <c r="M442" i="7"/>
  <c r="L442" i="7"/>
  <c r="P441" i="7"/>
  <c r="L441" i="7"/>
  <c r="Q441" i="7" s="1"/>
  <c r="Q440" i="7"/>
  <c r="P440" i="7"/>
  <c r="L440" i="7"/>
  <c r="N440" i="7" s="1"/>
  <c r="P439" i="7"/>
  <c r="N439" i="7"/>
  <c r="L439" i="7"/>
  <c r="M439" i="7" s="1"/>
  <c r="Q438" i="7"/>
  <c r="P438" i="7"/>
  <c r="N438" i="7"/>
  <c r="M438" i="7"/>
  <c r="L438" i="7"/>
  <c r="P437" i="7"/>
  <c r="L437" i="7"/>
  <c r="Q437" i="7" s="1"/>
  <c r="Q436" i="7"/>
  <c r="P436" i="7"/>
  <c r="L436" i="7"/>
  <c r="N436" i="7" s="1"/>
  <c r="P435" i="7"/>
  <c r="N435" i="7"/>
  <c r="L435" i="7"/>
  <c r="M435" i="7" s="1"/>
  <c r="Q434" i="7"/>
  <c r="P434" i="7"/>
  <c r="N434" i="7"/>
  <c r="M434" i="7"/>
  <c r="L434" i="7"/>
  <c r="P433" i="7"/>
  <c r="L433" i="7"/>
  <c r="Q433" i="7" s="1"/>
  <c r="Q432" i="7"/>
  <c r="P432" i="7"/>
  <c r="L432" i="7"/>
  <c r="N432" i="7" s="1"/>
  <c r="P431" i="7"/>
  <c r="N431" i="7"/>
  <c r="L431" i="7"/>
  <c r="M431" i="7" s="1"/>
  <c r="Q430" i="7"/>
  <c r="P430" i="7"/>
  <c r="N430" i="7"/>
  <c r="M430" i="7"/>
  <c r="L430" i="7"/>
  <c r="P429" i="7"/>
  <c r="L429" i="7"/>
  <c r="Q429" i="7" s="1"/>
  <c r="Q428" i="7"/>
  <c r="P428" i="7"/>
  <c r="L428" i="7"/>
  <c r="N428" i="7" s="1"/>
  <c r="P427" i="7"/>
  <c r="N427" i="7"/>
  <c r="L427" i="7"/>
  <c r="M427" i="7" s="1"/>
  <c r="Q426" i="7"/>
  <c r="P426" i="7"/>
  <c r="N426" i="7"/>
  <c r="M426" i="7"/>
  <c r="L426" i="7"/>
  <c r="P425" i="7"/>
  <c r="L425" i="7"/>
  <c r="Q425" i="7" s="1"/>
  <c r="Q424" i="7"/>
  <c r="P424" i="7"/>
  <c r="L424" i="7"/>
  <c r="N424" i="7" s="1"/>
  <c r="P423" i="7"/>
  <c r="N423" i="7"/>
  <c r="L423" i="7"/>
  <c r="M423" i="7" s="1"/>
  <c r="Q422" i="7"/>
  <c r="P422" i="7"/>
  <c r="N422" i="7"/>
  <c r="M422" i="7"/>
  <c r="L422" i="7"/>
  <c r="P421" i="7"/>
  <c r="L421" i="7"/>
  <c r="Q421" i="7" s="1"/>
  <c r="Q420" i="7"/>
  <c r="P420" i="7"/>
  <c r="L420" i="7"/>
  <c r="N420" i="7" s="1"/>
  <c r="P419" i="7"/>
  <c r="N419" i="7"/>
  <c r="L419" i="7"/>
  <c r="M419" i="7" s="1"/>
  <c r="Q418" i="7"/>
  <c r="P418" i="7"/>
  <c r="N418" i="7"/>
  <c r="M418" i="7"/>
  <c r="L418" i="7"/>
  <c r="P417" i="7"/>
  <c r="L417" i="7"/>
  <c r="Q417" i="7" s="1"/>
  <c r="Q416" i="7"/>
  <c r="P416" i="7"/>
  <c r="L416" i="7"/>
  <c r="N416" i="7" s="1"/>
  <c r="P415" i="7"/>
  <c r="N415" i="7"/>
  <c r="L415" i="7"/>
  <c r="M415" i="7" s="1"/>
  <c r="Q414" i="7"/>
  <c r="P414" i="7"/>
  <c r="N414" i="7"/>
  <c r="M414" i="7"/>
  <c r="L414" i="7"/>
  <c r="P413" i="7"/>
  <c r="L413" i="7"/>
  <c r="Q413" i="7" s="1"/>
  <c r="Q412" i="7"/>
  <c r="P412" i="7"/>
  <c r="L412" i="7"/>
  <c r="N412" i="7" s="1"/>
  <c r="P411" i="7"/>
  <c r="N411" i="7"/>
  <c r="L411" i="7"/>
  <c r="M411" i="7" s="1"/>
  <c r="Q410" i="7"/>
  <c r="P410" i="7"/>
  <c r="N410" i="7"/>
  <c r="M410" i="7"/>
  <c r="L410" i="7"/>
  <c r="P409" i="7"/>
  <c r="L409" i="7"/>
  <c r="Q409" i="7" s="1"/>
  <c r="Q408" i="7"/>
  <c r="P408" i="7"/>
  <c r="L408" i="7"/>
  <c r="N408" i="7" s="1"/>
  <c r="P407" i="7"/>
  <c r="N407" i="7"/>
  <c r="L407" i="7"/>
  <c r="M407" i="7" s="1"/>
  <c r="P406" i="7"/>
  <c r="L406" i="7"/>
  <c r="P405" i="7"/>
  <c r="L405" i="7"/>
  <c r="Q405" i="7" s="1"/>
  <c r="Q404" i="7"/>
  <c r="P404" i="7"/>
  <c r="L404" i="7"/>
  <c r="N404" i="7" s="1"/>
  <c r="P403" i="7"/>
  <c r="N403" i="7"/>
  <c r="L403" i="7"/>
  <c r="M403" i="7" s="1"/>
  <c r="Q402" i="7"/>
  <c r="P402" i="7"/>
  <c r="N402" i="7"/>
  <c r="M402" i="7"/>
  <c r="L402" i="7"/>
  <c r="P401" i="7"/>
  <c r="L401" i="7"/>
  <c r="Q401" i="7" s="1"/>
  <c r="Q400" i="7"/>
  <c r="P400" i="7"/>
  <c r="L400" i="7"/>
  <c r="N400" i="7" s="1"/>
  <c r="P399" i="7"/>
  <c r="N399" i="7"/>
  <c r="L399" i="7"/>
  <c r="M399" i="7" s="1"/>
  <c r="Q398" i="7"/>
  <c r="P398" i="7"/>
  <c r="P395" i="7" s="1"/>
  <c r="N398" i="7"/>
  <c r="M398" i="7"/>
  <c r="L398" i="7"/>
  <c r="P397" i="7"/>
  <c r="L397" i="7"/>
  <c r="Q397" i="7" s="1"/>
  <c r="Q396" i="7"/>
  <c r="P396" i="7"/>
  <c r="L396" i="7"/>
  <c r="N396" i="7" s="1"/>
  <c r="L395" i="7"/>
  <c r="Q394" i="7"/>
  <c r="P394" i="7"/>
  <c r="N394" i="7"/>
  <c r="M394" i="7"/>
  <c r="L394" i="7"/>
  <c r="P393" i="7"/>
  <c r="L393" i="7"/>
  <c r="Q393" i="7" s="1"/>
  <c r="Q392" i="7"/>
  <c r="P392" i="7"/>
  <c r="L392" i="7"/>
  <c r="N392" i="7" s="1"/>
  <c r="P391" i="7"/>
  <c r="N391" i="7"/>
  <c r="L391" i="7"/>
  <c r="M391" i="7" s="1"/>
  <c r="Q390" i="7"/>
  <c r="P390" i="7"/>
  <c r="N390" i="7"/>
  <c r="M390" i="7"/>
  <c r="L390" i="7"/>
  <c r="P389" i="7"/>
  <c r="L389" i="7"/>
  <c r="Q389" i="7" s="1"/>
  <c r="Q388" i="7"/>
  <c r="P388" i="7"/>
  <c r="L388" i="7"/>
  <c r="N388" i="7" s="1"/>
  <c r="P387" i="7"/>
  <c r="N387" i="7"/>
  <c r="L387" i="7"/>
  <c r="M387" i="7" s="1"/>
  <c r="Q386" i="7"/>
  <c r="P386" i="7"/>
  <c r="N386" i="7"/>
  <c r="M386" i="7"/>
  <c r="L386" i="7"/>
  <c r="P385" i="7"/>
  <c r="L385" i="7"/>
  <c r="Q385" i="7" s="1"/>
  <c r="Q384" i="7"/>
  <c r="P384" i="7"/>
  <c r="L384" i="7"/>
  <c r="N384" i="7" s="1"/>
  <c r="P383" i="7"/>
  <c r="N383" i="7"/>
  <c r="L383" i="7"/>
  <c r="M383" i="7" s="1"/>
  <c r="Q382" i="7"/>
  <c r="P382" i="7"/>
  <c r="N382" i="7"/>
  <c r="M382" i="7"/>
  <c r="L382" i="7"/>
  <c r="P381" i="7"/>
  <c r="L381" i="7"/>
  <c r="Q381" i="7" s="1"/>
  <c r="Q380" i="7"/>
  <c r="P380" i="7"/>
  <c r="L380" i="7"/>
  <c r="N380" i="7" s="1"/>
  <c r="P379" i="7"/>
  <c r="N379" i="7"/>
  <c r="L379" i="7"/>
  <c r="M379" i="7" s="1"/>
  <c r="Q378" i="7"/>
  <c r="P378" i="7"/>
  <c r="N378" i="7"/>
  <c r="M378" i="7"/>
  <c r="L378" i="7"/>
  <c r="P377" i="7"/>
  <c r="L377" i="7"/>
  <c r="Q377" i="7" s="1"/>
  <c r="Q376" i="7"/>
  <c r="P376" i="7"/>
  <c r="L376" i="7"/>
  <c r="N376" i="7" s="1"/>
  <c r="P375" i="7"/>
  <c r="N375" i="7"/>
  <c r="L375" i="7"/>
  <c r="M375" i="7" s="1"/>
  <c r="Q374" i="7"/>
  <c r="P374" i="7"/>
  <c r="N374" i="7"/>
  <c r="M374" i="7"/>
  <c r="L374" i="7"/>
  <c r="P373" i="7"/>
  <c r="L373" i="7"/>
  <c r="Q373" i="7" s="1"/>
  <c r="Q372" i="7"/>
  <c r="P372" i="7"/>
  <c r="L372" i="7"/>
  <c r="N372" i="7" s="1"/>
  <c r="P371" i="7"/>
  <c r="N371" i="7"/>
  <c r="L371" i="7"/>
  <c r="M371" i="7" s="1"/>
  <c r="Q370" i="7"/>
  <c r="P370" i="7"/>
  <c r="N370" i="7"/>
  <c r="M370" i="7"/>
  <c r="L370" i="7"/>
  <c r="P369" i="7"/>
  <c r="L369" i="7"/>
  <c r="Q369" i="7" s="1"/>
  <c r="Q368" i="7"/>
  <c r="P368" i="7"/>
  <c r="L368" i="7"/>
  <c r="N368" i="7" s="1"/>
  <c r="P367" i="7"/>
  <c r="N367" i="7"/>
  <c r="L367" i="7"/>
  <c r="M367" i="7" s="1"/>
  <c r="Q366" i="7"/>
  <c r="P366" i="7"/>
  <c r="N366" i="7"/>
  <c r="M366" i="7"/>
  <c r="L366" i="7"/>
  <c r="P365" i="7"/>
  <c r="L365" i="7"/>
  <c r="Q365" i="7" s="1"/>
  <c r="Q364" i="7"/>
  <c r="P364" i="7"/>
  <c r="L364" i="7"/>
  <c r="N364" i="7" s="1"/>
  <c r="P363" i="7"/>
  <c r="N363" i="7"/>
  <c r="L363" i="7"/>
  <c r="M363" i="7" s="1"/>
  <c r="Q362" i="7"/>
  <c r="P362" i="7"/>
  <c r="N362" i="7"/>
  <c r="M362" i="7"/>
  <c r="L362" i="7"/>
  <c r="P361" i="7"/>
  <c r="L361" i="7"/>
  <c r="Q361" i="7" s="1"/>
  <c r="Q360" i="7"/>
  <c r="P360" i="7"/>
  <c r="L360" i="7"/>
  <c r="N360" i="7" s="1"/>
  <c r="P359" i="7"/>
  <c r="N359" i="7"/>
  <c r="L359" i="7"/>
  <c r="M359" i="7" s="1"/>
  <c r="Q358" i="7"/>
  <c r="P358" i="7"/>
  <c r="N358" i="7"/>
  <c r="M358" i="7"/>
  <c r="L358" i="7"/>
  <c r="P357" i="7"/>
  <c r="L357" i="7"/>
  <c r="Q357" i="7" s="1"/>
  <c r="Q356" i="7"/>
  <c r="P356" i="7"/>
  <c r="L356" i="7"/>
  <c r="N356" i="7" s="1"/>
  <c r="P355" i="7"/>
  <c r="N355" i="7"/>
  <c r="L355" i="7"/>
  <c r="M355" i="7" s="1"/>
  <c r="Q354" i="7"/>
  <c r="P354" i="7"/>
  <c r="N354" i="7"/>
  <c r="M354" i="7"/>
  <c r="L354" i="7"/>
  <c r="P353" i="7"/>
  <c r="L353" i="7"/>
  <c r="Q353" i="7" s="1"/>
  <c r="Q352" i="7"/>
  <c r="P352" i="7"/>
  <c r="L352" i="7"/>
  <c r="N352" i="7" s="1"/>
  <c r="P351" i="7"/>
  <c r="N351" i="7"/>
  <c r="L351" i="7"/>
  <c r="M351" i="7" s="1"/>
  <c r="Q350" i="7"/>
  <c r="P350" i="7"/>
  <c r="N350" i="7"/>
  <c r="M350" i="7"/>
  <c r="L350" i="7"/>
  <c r="P349" i="7"/>
  <c r="L349" i="7"/>
  <c r="Q349" i="7" s="1"/>
  <c r="Q348" i="7"/>
  <c r="P348" i="7"/>
  <c r="L348" i="7"/>
  <c r="N348" i="7" s="1"/>
  <c r="P347" i="7"/>
  <c r="N347" i="7"/>
  <c r="L347" i="7"/>
  <c r="M347" i="7" s="1"/>
  <c r="Q346" i="7"/>
  <c r="P346" i="7"/>
  <c r="N346" i="7"/>
  <c r="M346" i="7"/>
  <c r="L346" i="7"/>
  <c r="P345" i="7"/>
  <c r="L345" i="7"/>
  <c r="Q345" i="7" s="1"/>
  <c r="Q344" i="7"/>
  <c r="P344" i="7"/>
  <c r="L344" i="7"/>
  <c r="N344" i="7" s="1"/>
  <c r="P343" i="7"/>
  <c r="N343" i="7"/>
  <c r="L343" i="7"/>
  <c r="M343" i="7" s="1"/>
  <c r="Q342" i="7"/>
  <c r="P342" i="7"/>
  <c r="N342" i="7"/>
  <c r="M342" i="7"/>
  <c r="L342" i="7"/>
  <c r="P341" i="7"/>
  <c r="L341" i="7"/>
  <c r="Q341" i="7" s="1"/>
  <c r="Q340" i="7"/>
  <c r="P340" i="7"/>
  <c r="L340" i="7"/>
  <c r="N340" i="7" s="1"/>
  <c r="P339" i="7"/>
  <c r="N339" i="7"/>
  <c r="L339" i="7"/>
  <c r="M339" i="7" s="1"/>
  <c r="Q338" i="7"/>
  <c r="P338" i="7"/>
  <c r="P337" i="7" s="1"/>
  <c r="N338" i="7"/>
  <c r="M338" i="7"/>
  <c r="L338" i="7"/>
  <c r="L337" i="7"/>
  <c r="Q336" i="7"/>
  <c r="P336" i="7"/>
  <c r="L336" i="7"/>
  <c r="N336" i="7" s="1"/>
  <c r="P335" i="7"/>
  <c r="N335" i="7"/>
  <c r="L335" i="7"/>
  <c r="M335" i="7" s="1"/>
  <c r="Q334" i="7"/>
  <c r="P334" i="7"/>
  <c r="N334" i="7"/>
  <c r="M334" i="7"/>
  <c r="L334" i="7"/>
  <c r="P333" i="7"/>
  <c r="L333" i="7"/>
  <c r="Q333" i="7" s="1"/>
  <c r="Q332" i="7"/>
  <c r="P332" i="7"/>
  <c r="L332" i="7"/>
  <c r="N332" i="7" s="1"/>
  <c r="P331" i="7"/>
  <c r="N331" i="7"/>
  <c r="L331" i="7"/>
  <c r="M331" i="7" s="1"/>
  <c r="Q330" i="7"/>
  <c r="P330" i="7"/>
  <c r="P329" i="7" s="1"/>
  <c r="P328" i="7" s="1"/>
  <c r="N330" i="7"/>
  <c r="M330" i="7"/>
  <c r="L330" i="7"/>
  <c r="L329" i="7"/>
  <c r="L328" i="7"/>
  <c r="P327" i="7"/>
  <c r="N327" i="7"/>
  <c r="L327" i="7"/>
  <c r="M327" i="7" s="1"/>
  <c r="Q326" i="7"/>
  <c r="P326" i="7"/>
  <c r="N326" i="7"/>
  <c r="M326" i="7"/>
  <c r="L326" i="7"/>
  <c r="P325" i="7"/>
  <c r="L325" i="7"/>
  <c r="Q325" i="7" s="1"/>
  <c r="Q324" i="7"/>
  <c r="P324" i="7"/>
  <c r="L324" i="7"/>
  <c r="N324" i="7" s="1"/>
  <c r="P323" i="7"/>
  <c r="N323" i="7"/>
  <c r="L323" i="7"/>
  <c r="M323" i="7" s="1"/>
  <c r="Q322" i="7"/>
  <c r="P322" i="7"/>
  <c r="N322" i="7"/>
  <c r="M322" i="7"/>
  <c r="L322" i="7"/>
  <c r="P321" i="7"/>
  <c r="L321" i="7"/>
  <c r="Q321" i="7" s="1"/>
  <c r="Q320" i="7"/>
  <c r="P320" i="7"/>
  <c r="L320" i="7"/>
  <c r="N320" i="7" s="1"/>
  <c r="P319" i="7"/>
  <c r="N319" i="7"/>
  <c r="L319" i="7"/>
  <c r="M319" i="7" s="1"/>
  <c r="Q318" i="7"/>
  <c r="P318" i="7"/>
  <c r="P317" i="7" s="1"/>
  <c r="N318" i="7"/>
  <c r="M318" i="7"/>
  <c r="L318" i="7"/>
  <c r="L317" i="7"/>
  <c r="Q316" i="7"/>
  <c r="P316" i="7"/>
  <c r="L316" i="7"/>
  <c r="N316" i="7" s="1"/>
  <c r="N315" i="7" s="1"/>
  <c r="P315" i="7"/>
  <c r="L315" i="7"/>
  <c r="Q314" i="7"/>
  <c r="P314" i="7"/>
  <c r="N314" i="7"/>
  <c r="M314" i="7"/>
  <c r="L314" i="7"/>
  <c r="P313" i="7"/>
  <c r="L313" i="7"/>
  <c r="Q313" i="7" s="1"/>
  <c r="Q312" i="7"/>
  <c r="P312" i="7"/>
  <c r="L312" i="7"/>
  <c r="N312" i="7" s="1"/>
  <c r="P311" i="7"/>
  <c r="N311" i="7"/>
  <c r="L311" i="7"/>
  <c r="M311" i="7" s="1"/>
  <c r="Q310" i="7"/>
  <c r="P310" i="7"/>
  <c r="N310" i="7"/>
  <c r="M310" i="7"/>
  <c r="L310" i="7"/>
  <c r="P309" i="7"/>
  <c r="L309" i="7"/>
  <c r="Q309" i="7" s="1"/>
  <c r="Q308" i="7"/>
  <c r="P308" i="7"/>
  <c r="L308" i="7"/>
  <c r="N308" i="7" s="1"/>
  <c r="P307" i="7"/>
  <c r="L307" i="7"/>
  <c r="Q306" i="7"/>
  <c r="P306" i="7"/>
  <c r="N306" i="7"/>
  <c r="M306" i="7"/>
  <c r="L306" i="7"/>
  <c r="P305" i="7"/>
  <c r="L305" i="7"/>
  <c r="Q305" i="7" s="1"/>
  <c r="P304" i="7"/>
  <c r="L304" i="7"/>
  <c r="P303" i="7"/>
  <c r="N303" i="7"/>
  <c r="L303" i="7"/>
  <c r="M303" i="7" s="1"/>
  <c r="Q302" i="7"/>
  <c r="P302" i="7"/>
  <c r="N302" i="7"/>
  <c r="M302" i="7"/>
  <c r="L302" i="7"/>
  <c r="P301" i="7"/>
  <c r="L301" i="7"/>
  <c r="Q300" i="7"/>
  <c r="P300" i="7"/>
  <c r="L300" i="7"/>
  <c r="P299" i="7"/>
  <c r="N299" i="7"/>
  <c r="L299" i="7"/>
  <c r="M299" i="7" s="1"/>
  <c r="Q298" i="7"/>
  <c r="P298" i="7"/>
  <c r="P296" i="7" s="1"/>
  <c r="N298" i="7"/>
  <c r="M298" i="7"/>
  <c r="L298" i="7"/>
  <c r="P297" i="7"/>
  <c r="L297" i="7"/>
  <c r="L296" i="7"/>
  <c r="P295" i="7"/>
  <c r="N295" i="7"/>
  <c r="L295" i="7"/>
  <c r="M295" i="7" s="1"/>
  <c r="Q294" i="7"/>
  <c r="P294" i="7"/>
  <c r="N294" i="7"/>
  <c r="M294" i="7"/>
  <c r="L294" i="7"/>
  <c r="P293" i="7"/>
  <c r="L293" i="7"/>
  <c r="Q292" i="7"/>
  <c r="P292" i="7"/>
  <c r="L292" i="7"/>
  <c r="P291" i="7"/>
  <c r="L291" i="7"/>
  <c r="Q290" i="7"/>
  <c r="P290" i="7"/>
  <c r="N290" i="7"/>
  <c r="M290" i="7"/>
  <c r="L290" i="7"/>
  <c r="P289" i="7"/>
  <c r="L289" i="7"/>
  <c r="Q288" i="7"/>
  <c r="P288" i="7"/>
  <c r="L288" i="7"/>
  <c r="P287" i="7"/>
  <c r="N287" i="7"/>
  <c r="L287" i="7"/>
  <c r="Q286" i="7"/>
  <c r="P286" i="7"/>
  <c r="N286" i="7"/>
  <c r="M286" i="7"/>
  <c r="L286" i="7"/>
  <c r="P285" i="7"/>
  <c r="L285" i="7"/>
  <c r="P284" i="7"/>
  <c r="L284" i="7"/>
  <c r="P283" i="7"/>
  <c r="L283" i="7"/>
  <c r="Q282" i="7"/>
  <c r="P282" i="7"/>
  <c r="N282" i="7"/>
  <c r="M282" i="7"/>
  <c r="L282" i="7"/>
  <c r="P281" i="7"/>
  <c r="L281" i="7"/>
  <c r="Q280" i="7"/>
  <c r="P280" i="7"/>
  <c r="L280" i="7"/>
  <c r="P279" i="7"/>
  <c r="N279" i="7"/>
  <c r="L279" i="7"/>
  <c r="Q278" i="7"/>
  <c r="P278" i="7"/>
  <c r="N278" i="7"/>
  <c r="M278" i="7"/>
  <c r="L278" i="7"/>
  <c r="P277" i="7"/>
  <c r="L277" i="7"/>
  <c r="P276" i="7"/>
  <c r="L276" i="7"/>
  <c r="Q276" i="7" s="1"/>
  <c r="P275" i="7"/>
  <c r="L275" i="7"/>
  <c r="Q274" i="7"/>
  <c r="P274" i="7"/>
  <c r="N274" i="7"/>
  <c r="M274" i="7"/>
  <c r="L274" i="7"/>
  <c r="P273" i="7"/>
  <c r="L273" i="7"/>
  <c r="Q272" i="7"/>
  <c r="P272" i="7"/>
  <c r="L272" i="7"/>
  <c r="P271" i="7"/>
  <c r="N271" i="7"/>
  <c r="L271" i="7"/>
  <c r="Q270" i="7"/>
  <c r="P270" i="7"/>
  <c r="N270" i="7"/>
  <c r="M270" i="7"/>
  <c r="L270" i="7"/>
  <c r="P269" i="7"/>
  <c r="L269" i="7"/>
  <c r="P268" i="7"/>
  <c r="L268" i="7"/>
  <c r="P267" i="7"/>
  <c r="L267" i="7"/>
  <c r="Q266" i="7"/>
  <c r="P266" i="7"/>
  <c r="N266" i="7"/>
  <c r="M266" i="7"/>
  <c r="L266" i="7"/>
  <c r="P265" i="7"/>
  <c r="M265" i="7"/>
  <c r="L265" i="7"/>
  <c r="P264" i="7"/>
  <c r="L264" i="7"/>
  <c r="P263" i="7"/>
  <c r="N263" i="7"/>
  <c r="L263" i="7"/>
  <c r="Q262" i="7"/>
  <c r="P262" i="7"/>
  <c r="N262" i="7"/>
  <c r="M262" i="7"/>
  <c r="L262" i="7"/>
  <c r="P261" i="7"/>
  <c r="L261" i="7"/>
  <c r="Q260" i="7"/>
  <c r="P260" i="7"/>
  <c r="L260" i="7"/>
  <c r="P259" i="7"/>
  <c r="P255" i="7" s="1"/>
  <c r="L259" i="7"/>
  <c r="Q258" i="7"/>
  <c r="P258" i="7"/>
  <c r="N258" i="7"/>
  <c r="M258" i="7"/>
  <c r="L258" i="7"/>
  <c r="P257" i="7"/>
  <c r="M257" i="7"/>
  <c r="L257" i="7"/>
  <c r="P256" i="7"/>
  <c r="L256" i="7"/>
  <c r="L255" i="7"/>
  <c r="Q254" i="7"/>
  <c r="P254" i="7"/>
  <c r="N254" i="7"/>
  <c r="M254" i="7"/>
  <c r="L254" i="7"/>
  <c r="P253" i="7"/>
  <c r="L253" i="7"/>
  <c r="Q252" i="7"/>
  <c r="P252" i="7"/>
  <c r="L252" i="7"/>
  <c r="P251" i="7"/>
  <c r="L251" i="7"/>
  <c r="Q250" i="7"/>
  <c r="P250" i="7"/>
  <c r="N250" i="7"/>
  <c r="M250" i="7"/>
  <c r="L250" i="7"/>
  <c r="P249" i="7"/>
  <c r="M249" i="7"/>
  <c r="L249" i="7"/>
  <c r="P248" i="7"/>
  <c r="L248" i="7"/>
  <c r="Q248" i="7" s="1"/>
  <c r="P247" i="7"/>
  <c r="N247" i="7"/>
  <c r="L247" i="7"/>
  <c r="Q246" i="7"/>
  <c r="P246" i="7"/>
  <c r="N246" i="7"/>
  <c r="M246" i="7"/>
  <c r="L246" i="7"/>
  <c r="P245" i="7"/>
  <c r="L245" i="7"/>
  <c r="Q244" i="7"/>
  <c r="P244" i="7"/>
  <c r="L244" i="7"/>
  <c r="P243" i="7"/>
  <c r="L243" i="7"/>
  <c r="Q242" i="7"/>
  <c r="P242" i="7"/>
  <c r="N242" i="7"/>
  <c r="M242" i="7"/>
  <c r="L242" i="7"/>
  <c r="P241" i="7"/>
  <c r="M241" i="7"/>
  <c r="L241" i="7"/>
  <c r="L240" i="7"/>
  <c r="P239" i="7"/>
  <c r="L239" i="7"/>
  <c r="Q238" i="7"/>
  <c r="P238" i="7"/>
  <c r="N238" i="7"/>
  <c r="M238" i="7"/>
  <c r="L238" i="7"/>
  <c r="P237" i="7"/>
  <c r="M237" i="7"/>
  <c r="L237" i="7"/>
  <c r="P236" i="7"/>
  <c r="L236" i="7"/>
  <c r="P235" i="7"/>
  <c r="N235" i="7"/>
  <c r="L235" i="7"/>
  <c r="Q234" i="7"/>
  <c r="P234" i="7"/>
  <c r="N234" i="7"/>
  <c r="M234" i="7"/>
  <c r="L234" i="7"/>
  <c r="P233" i="7"/>
  <c r="L233" i="7"/>
  <c r="Q232" i="7"/>
  <c r="P232" i="7"/>
  <c r="L232" i="7"/>
  <c r="P231" i="7"/>
  <c r="N231" i="7"/>
  <c r="L231" i="7"/>
  <c r="Q230" i="7"/>
  <c r="P230" i="7"/>
  <c r="N230" i="7"/>
  <c r="M230" i="7"/>
  <c r="L230" i="7"/>
  <c r="P229" i="7"/>
  <c r="N229" i="7"/>
  <c r="M229" i="7"/>
  <c r="L229" i="7"/>
  <c r="Q229" i="7" s="1"/>
  <c r="Q228" i="7"/>
  <c r="P228" i="7"/>
  <c r="L228" i="7"/>
  <c r="P227" i="7"/>
  <c r="P226" i="7" s="1"/>
  <c r="L227" i="7"/>
  <c r="M227" i="7" s="1"/>
  <c r="L226" i="7"/>
  <c r="L225" i="7"/>
  <c r="Q224" i="7"/>
  <c r="P224" i="7"/>
  <c r="L224" i="7"/>
  <c r="P223" i="7"/>
  <c r="P222" i="7" s="1"/>
  <c r="L223" i="7"/>
  <c r="M223" i="7" s="1"/>
  <c r="L222" i="7"/>
  <c r="N221" i="7"/>
  <c r="M221" i="7"/>
  <c r="L221" i="7"/>
  <c r="M220" i="7"/>
  <c r="L220" i="7"/>
  <c r="N220" i="7" s="1"/>
  <c r="P219" i="7"/>
  <c r="N219" i="7"/>
  <c r="L219" i="7"/>
  <c r="M219" i="7" s="1"/>
  <c r="E219" i="7"/>
  <c r="L218" i="7"/>
  <c r="M218" i="7" s="1"/>
  <c r="P217" i="7"/>
  <c r="N217" i="7"/>
  <c r="L217" i="7"/>
  <c r="M217" i="7" s="1"/>
  <c r="E217" i="7"/>
  <c r="N216" i="7"/>
  <c r="M216" i="7"/>
  <c r="M215" i="7" s="1"/>
  <c r="L216" i="7"/>
  <c r="L215" i="7"/>
  <c r="Q214" i="7"/>
  <c r="P214" i="7"/>
  <c r="L214" i="7"/>
  <c r="P213" i="7"/>
  <c r="L213" i="7"/>
  <c r="M213" i="7" s="1"/>
  <c r="Q212" i="7"/>
  <c r="P212" i="7"/>
  <c r="N212" i="7"/>
  <c r="M212" i="7"/>
  <c r="L212" i="7"/>
  <c r="P211" i="7"/>
  <c r="L211" i="7"/>
  <c r="Q211" i="7" s="1"/>
  <c r="P210" i="7"/>
  <c r="L210" i="7"/>
  <c r="P209" i="7"/>
  <c r="N209" i="7"/>
  <c r="L209" i="7"/>
  <c r="M209" i="7" s="1"/>
  <c r="Q208" i="7"/>
  <c r="P208" i="7"/>
  <c r="P205" i="7" s="1"/>
  <c r="N208" i="7"/>
  <c r="M208" i="7"/>
  <c r="L208" i="7"/>
  <c r="P207" i="7"/>
  <c r="N207" i="7"/>
  <c r="M207" i="7"/>
  <c r="L207" i="7"/>
  <c r="Q207" i="7" s="1"/>
  <c r="Q206" i="7"/>
  <c r="P206" i="7"/>
  <c r="L206" i="7"/>
  <c r="L205" i="7"/>
  <c r="Q204" i="7"/>
  <c r="P204" i="7"/>
  <c r="N204" i="7"/>
  <c r="M204" i="7"/>
  <c r="L204" i="7"/>
  <c r="P203" i="7"/>
  <c r="L203" i="7"/>
  <c r="P202" i="7"/>
  <c r="L202" i="7"/>
  <c r="Q201" i="7"/>
  <c r="P201" i="7"/>
  <c r="N201" i="7"/>
  <c r="L201" i="7"/>
  <c r="M201" i="7" s="1"/>
  <c r="Q200" i="7"/>
  <c r="P200" i="7"/>
  <c r="N200" i="7"/>
  <c r="M200" i="7"/>
  <c r="L200" i="7"/>
  <c r="P199" i="7"/>
  <c r="N199" i="7"/>
  <c r="M199" i="7"/>
  <c r="L199" i="7"/>
  <c r="Q199" i="7" s="1"/>
  <c r="Q198" i="7"/>
  <c r="P198" i="7"/>
  <c r="L198" i="7"/>
  <c r="P197" i="7"/>
  <c r="L197" i="7"/>
  <c r="M197" i="7" s="1"/>
  <c r="Q196" i="7"/>
  <c r="P196" i="7"/>
  <c r="N196" i="7"/>
  <c r="M196" i="7"/>
  <c r="L196" i="7"/>
  <c r="P195" i="7"/>
  <c r="L195" i="7"/>
  <c r="Q195" i="7" s="1"/>
  <c r="P194" i="7"/>
  <c r="L194" i="7"/>
  <c r="P193" i="7"/>
  <c r="N193" i="7"/>
  <c r="L193" i="7"/>
  <c r="M193" i="7" s="1"/>
  <c r="Q192" i="7"/>
  <c r="P192" i="7"/>
  <c r="N192" i="7"/>
  <c r="M192" i="7"/>
  <c r="L192" i="7"/>
  <c r="P191" i="7"/>
  <c r="N191" i="7"/>
  <c r="M191" i="7"/>
  <c r="L191" i="7"/>
  <c r="Q191" i="7" s="1"/>
  <c r="Q190" i="7"/>
  <c r="P190" i="7"/>
  <c r="L190" i="7"/>
  <c r="Q189" i="7"/>
  <c r="P189" i="7"/>
  <c r="M189" i="7"/>
  <c r="L189" i="7"/>
  <c r="N189" i="7" s="1"/>
  <c r="Q188" i="7"/>
  <c r="P188" i="7"/>
  <c r="N188" i="7"/>
  <c r="M188" i="7"/>
  <c r="L188" i="7"/>
  <c r="P187" i="7"/>
  <c r="N187" i="7"/>
  <c r="L187" i="7"/>
  <c r="Q187" i="7" s="1"/>
  <c r="P186" i="7"/>
  <c r="L186" i="7"/>
  <c r="Q185" i="7"/>
  <c r="P185" i="7"/>
  <c r="N185" i="7"/>
  <c r="L185" i="7"/>
  <c r="M185" i="7" s="1"/>
  <c r="Q184" i="7"/>
  <c r="P184" i="7"/>
  <c r="N184" i="7"/>
  <c r="M184" i="7"/>
  <c r="L184" i="7"/>
  <c r="P183" i="7"/>
  <c r="M183" i="7"/>
  <c r="L183" i="7"/>
  <c r="Q183" i="7" s="1"/>
  <c r="Q182" i="7"/>
  <c r="P182" i="7"/>
  <c r="L182" i="7"/>
  <c r="P181" i="7"/>
  <c r="N181" i="7"/>
  <c r="M181" i="7"/>
  <c r="L181" i="7"/>
  <c r="Q181" i="7" s="1"/>
  <c r="Q180" i="7"/>
  <c r="P180" i="7"/>
  <c r="P179" i="7" s="1"/>
  <c r="P178" i="7" s="1"/>
  <c r="N180" i="7"/>
  <c r="M180" i="7"/>
  <c r="L180" i="7"/>
  <c r="L179" i="7"/>
  <c r="L178" i="7"/>
  <c r="P177" i="7"/>
  <c r="M177" i="7"/>
  <c r="M175" i="7" s="1"/>
  <c r="L177" i="7"/>
  <c r="Q177" i="7" s="1"/>
  <c r="Q176" i="7"/>
  <c r="P176" i="7"/>
  <c r="N176" i="7"/>
  <c r="M176" i="7"/>
  <c r="L176" i="7"/>
  <c r="L175" i="7"/>
  <c r="Q174" i="7"/>
  <c r="P174" i="7"/>
  <c r="L174" i="7"/>
  <c r="Q173" i="7"/>
  <c r="P173" i="7"/>
  <c r="N173" i="7"/>
  <c r="M173" i="7"/>
  <c r="L173" i="7"/>
  <c r="Q172" i="7"/>
  <c r="P172" i="7"/>
  <c r="N172" i="7"/>
  <c r="M172" i="7"/>
  <c r="L172" i="7"/>
  <c r="P171" i="7"/>
  <c r="L171" i="7"/>
  <c r="Q171" i="7" s="1"/>
  <c r="P170" i="7"/>
  <c r="L170" i="7"/>
  <c r="P169" i="7"/>
  <c r="L169" i="7"/>
  <c r="Q169" i="7" s="1"/>
  <c r="Q168" i="7"/>
  <c r="P168" i="7"/>
  <c r="N168" i="7"/>
  <c r="M168" i="7"/>
  <c r="L168" i="7"/>
  <c r="P167" i="7"/>
  <c r="M167" i="7"/>
  <c r="L167" i="7"/>
  <c r="Q167" i="7" s="1"/>
  <c r="P166" i="7"/>
  <c r="L166" i="7"/>
  <c r="P165" i="7"/>
  <c r="L165" i="7"/>
  <c r="Q164" i="7"/>
  <c r="P164" i="7"/>
  <c r="N164" i="7"/>
  <c r="M164" i="7"/>
  <c r="L164" i="7"/>
  <c r="P163" i="7"/>
  <c r="L163" i="7"/>
  <c r="Q163" i="7" s="1"/>
  <c r="P162" i="7"/>
  <c r="P156" i="7" s="1"/>
  <c r="M162" i="7"/>
  <c r="L162" i="7"/>
  <c r="N162" i="7" s="1"/>
  <c r="P161" i="7"/>
  <c r="N161" i="7"/>
  <c r="M161" i="7"/>
  <c r="L161" i="7"/>
  <c r="Q161" i="7" s="1"/>
  <c r="Q160" i="7"/>
  <c r="P160" i="7"/>
  <c r="N160" i="7"/>
  <c r="M160" i="7"/>
  <c r="L160" i="7"/>
  <c r="P159" i="7"/>
  <c r="M159" i="7"/>
  <c r="L159" i="7"/>
  <c r="Q159" i="7" s="1"/>
  <c r="P158" i="7"/>
  <c r="L158" i="7"/>
  <c r="N158" i="7" s="1"/>
  <c r="Q157" i="7"/>
  <c r="P157" i="7"/>
  <c r="N157" i="7"/>
  <c r="L157" i="7"/>
  <c r="M157" i="7" s="1"/>
  <c r="L156" i="7"/>
  <c r="L155" i="7"/>
  <c r="Q154" i="7"/>
  <c r="P154" i="7"/>
  <c r="M154" i="7"/>
  <c r="L154" i="7"/>
  <c r="N154" i="7" s="1"/>
  <c r="Q153" i="7"/>
  <c r="P153" i="7"/>
  <c r="M153" i="7"/>
  <c r="L153" i="7"/>
  <c r="N153" i="7" s="1"/>
  <c r="Q152" i="7"/>
  <c r="P152" i="7"/>
  <c r="N152" i="7"/>
  <c r="M152" i="7"/>
  <c r="L152" i="7"/>
  <c r="P151" i="7"/>
  <c r="N151" i="7"/>
  <c r="M151" i="7"/>
  <c r="L151" i="7"/>
  <c r="Q151" i="7" s="1"/>
  <c r="L150" i="7"/>
  <c r="N150" i="7" s="1"/>
  <c r="N149" i="7"/>
  <c r="M149" i="7"/>
  <c r="L149" i="7"/>
  <c r="E149" i="7"/>
  <c r="P149" i="7" s="1"/>
  <c r="L148" i="7"/>
  <c r="P147" i="7"/>
  <c r="L147" i="7"/>
  <c r="P146" i="7"/>
  <c r="L146" i="7"/>
  <c r="Q146" i="7" s="1"/>
  <c r="P145" i="7"/>
  <c r="N145" i="7"/>
  <c r="L145" i="7"/>
  <c r="Q145" i="7" s="1"/>
  <c r="Q144" i="7"/>
  <c r="P144" i="7"/>
  <c r="M144" i="7"/>
  <c r="L144" i="7"/>
  <c r="N144" i="7" s="1"/>
  <c r="L143" i="7"/>
  <c r="N143" i="7" s="1"/>
  <c r="P142" i="7"/>
  <c r="L142" i="7"/>
  <c r="Q142" i="7" s="1"/>
  <c r="E142" i="7"/>
  <c r="L141" i="7"/>
  <c r="N141" i="7" s="1"/>
  <c r="L140" i="7"/>
  <c r="L139" i="7"/>
  <c r="P138" i="7"/>
  <c r="L138" i="7"/>
  <c r="Q138" i="7" s="1"/>
  <c r="Q137" i="7"/>
  <c r="P137" i="7"/>
  <c r="M137" i="7"/>
  <c r="L137" i="7"/>
  <c r="N137" i="7" s="1"/>
  <c r="P136" i="7"/>
  <c r="N136" i="7"/>
  <c r="L136" i="7"/>
  <c r="M136" i="7" s="1"/>
  <c r="Q135" i="7"/>
  <c r="P135" i="7"/>
  <c r="M135" i="7"/>
  <c r="L135" i="7"/>
  <c r="N135" i="7" s="1"/>
  <c r="P134" i="7"/>
  <c r="L134" i="7"/>
  <c r="Q134" i="7" s="1"/>
  <c r="Q133" i="7"/>
  <c r="P133" i="7"/>
  <c r="M133" i="7"/>
  <c r="L133" i="7"/>
  <c r="N133" i="7" s="1"/>
  <c r="P132" i="7"/>
  <c r="N132" i="7"/>
  <c r="L132" i="7"/>
  <c r="M132" i="7" s="1"/>
  <c r="L131" i="7"/>
  <c r="P130" i="7"/>
  <c r="L130" i="7"/>
  <c r="Q130" i="7" s="1"/>
  <c r="Q129" i="7"/>
  <c r="P129" i="7"/>
  <c r="M129" i="7"/>
  <c r="L129" i="7"/>
  <c r="N129" i="7" s="1"/>
  <c r="P128" i="7"/>
  <c r="N128" i="7"/>
  <c r="L128" i="7"/>
  <c r="M128" i="7" s="1"/>
  <c r="Q127" i="7"/>
  <c r="P127" i="7"/>
  <c r="M127" i="7"/>
  <c r="L127" i="7"/>
  <c r="N127" i="7" s="1"/>
  <c r="P126" i="7"/>
  <c r="L126" i="7"/>
  <c r="Q126" i="7" s="1"/>
  <c r="Q125" i="7"/>
  <c r="P125" i="7"/>
  <c r="M125" i="7"/>
  <c r="L125" i="7"/>
  <c r="N125" i="7" s="1"/>
  <c r="P124" i="7"/>
  <c r="N124" i="7"/>
  <c r="L124" i="7"/>
  <c r="M124" i="7" s="1"/>
  <c r="Q123" i="7"/>
  <c r="P123" i="7"/>
  <c r="M123" i="7"/>
  <c r="L123" i="7"/>
  <c r="N123" i="7" s="1"/>
  <c r="P122" i="7"/>
  <c r="L122" i="7"/>
  <c r="Q122" i="7" s="1"/>
  <c r="Q121" i="7"/>
  <c r="P121" i="7"/>
  <c r="M121" i="7"/>
  <c r="L121" i="7"/>
  <c r="N121" i="7" s="1"/>
  <c r="P120" i="7"/>
  <c r="L120" i="7"/>
  <c r="Q119" i="7"/>
  <c r="P119" i="7"/>
  <c r="M119" i="7"/>
  <c r="L119" i="7"/>
  <c r="G119" i="7"/>
  <c r="N119" i="7" s="1"/>
  <c r="F119" i="7"/>
  <c r="P118" i="7"/>
  <c r="L118" i="7"/>
  <c r="G118" i="7"/>
  <c r="P117" i="7"/>
  <c r="L117" i="7"/>
  <c r="Q117" i="7" s="1"/>
  <c r="F117" i="7"/>
  <c r="G117" i="7" s="1"/>
  <c r="N117" i="7" s="1"/>
  <c r="Q116" i="7"/>
  <c r="P116" i="7"/>
  <c r="M116" i="7"/>
  <c r="L116" i="7"/>
  <c r="G116" i="7"/>
  <c r="N116" i="7" s="1"/>
  <c r="F116" i="7"/>
  <c r="P115" i="7"/>
  <c r="L115" i="7"/>
  <c r="Q115" i="7" s="1"/>
  <c r="F115" i="7"/>
  <c r="Q114" i="7"/>
  <c r="P114" i="7"/>
  <c r="M114" i="7"/>
  <c r="L114" i="7"/>
  <c r="G114" i="7"/>
  <c r="N114" i="7" s="1"/>
  <c r="F114" i="7"/>
  <c r="P113" i="7"/>
  <c r="L113" i="7"/>
  <c r="Q113" i="7" s="1"/>
  <c r="F113" i="7"/>
  <c r="M113" i="7" s="1"/>
  <c r="Q112" i="7"/>
  <c r="P112" i="7"/>
  <c r="M112" i="7"/>
  <c r="L112" i="7"/>
  <c r="G112" i="7"/>
  <c r="N112" i="7" s="1"/>
  <c r="F112" i="7"/>
  <c r="P111" i="7"/>
  <c r="L111" i="7"/>
  <c r="Q111" i="7" s="1"/>
  <c r="F111" i="7"/>
  <c r="M111" i="7" s="1"/>
  <c r="Q110" i="7"/>
  <c r="P110" i="7"/>
  <c r="M110" i="7"/>
  <c r="L110" i="7"/>
  <c r="G110" i="7"/>
  <c r="N110" i="7" s="1"/>
  <c r="F110" i="7"/>
  <c r="P109" i="7"/>
  <c r="P107" i="7" s="1"/>
  <c r="L109" i="7"/>
  <c r="Q109" i="7" s="1"/>
  <c r="F109" i="7"/>
  <c r="M109" i="7" s="1"/>
  <c r="Q108" i="7"/>
  <c r="P108" i="7"/>
  <c r="M108" i="7"/>
  <c r="L108" i="7"/>
  <c r="G108" i="7"/>
  <c r="N108" i="7" s="1"/>
  <c r="F108" i="7"/>
  <c r="L107" i="7"/>
  <c r="Q106" i="7"/>
  <c r="P106" i="7"/>
  <c r="N106" i="7"/>
  <c r="M106" i="7"/>
  <c r="L106" i="7"/>
  <c r="P105" i="7"/>
  <c r="L105" i="7"/>
  <c r="Q105" i="7" s="1"/>
  <c r="Q104" i="7"/>
  <c r="P104" i="7"/>
  <c r="M104" i="7"/>
  <c r="L104" i="7"/>
  <c r="G104" i="7"/>
  <c r="N104" i="7" s="1"/>
  <c r="F104" i="7"/>
  <c r="P103" i="7"/>
  <c r="L103" i="7"/>
  <c r="Q103" i="7" s="1"/>
  <c r="F103" i="7"/>
  <c r="M103" i="7" s="1"/>
  <c r="Q102" i="7"/>
  <c r="P102" i="7"/>
  <c r="M102" i="7"/>
  <c r="L102" i="7"/>
  <c r="G102" i="7"/>
  <c r="N102" i="7" s="1"/>
  <c r="F102" i="7"/>
  <c r="P101" i="7"/>
  <c r="L101" i="7"/>
  <c r="Q101" i="7" s="1"/>
  <c r="F101" i="7"/>
  <c r="G101" i="7" s="1"/>
  <c r="N101" i="7" s="1"/>
  <c r="Q100" i="7"/>
  <c r="P100" i="7"/>
  <c r="M100" i="7"/>
  <c r="L100" i="7"/>
  <c r="G100" i="7"/>
  <c r="N100" i="7" s="1"/>
  <c r="F100" i="7"/>
  <c r="P99" i="7"/>
  <c r="L99" i="7"/>
  <c r="Q99" i="7" s="1"/>
  <c r="F99" i="7"/>
  <c r="G99" i="7" s="1"/>
  <c r="N99" i="7" s="1"/>
  <c r="Q98" i="7"/>
  <c r="P98" i="7"/>
  <c r="M98" i="7"/>
  <c r="L98" i="7"/>
  <c r="G98" i="7"/>
  <c r="N98" i="7" s="1"/>
  <c r="F98" i="7"/>
  <c r="P97" i="7"/>
  <c r="L97" i="7"/>
  <c r="Q97" i="7" s="1"/>
  <c r="F97" i="7"/>
  <c r="Q96" i="7"/>
  <c r="P96" i="7"/>
  <c r="M96" i="7"/>
  <c r="L96" i="7"/>
  <c r="N96" i="7" s="1"/>
  <c r="P95" i="7"/>
  <c r="L95" i="7"/>
  <c r="L94" i="7"/>
  <c r="P93" i="7"/>
  <c r="L93" i="7"/>
  <c r="Q93" i="7" s="1"/>
  <c r="F93" i="7"/>
  <c r="G93" i="7" s="1"/>
  <c r="N93" i="7" s="1"/>
  <c r="Q92" i="7"/>
  <c r="P92" i="7"/>
  <c r="L92" i="7"/>
  <c r="P91" i="7"/>
  <c r="L91" i="7"/>
  <c r="Q91" i="7" s="1"/>
  <c r="G91" i="7"/>
  <c r="P90" i="7"/>
  <c r="L90" i="7"/>
  <c r="Q90" i="7" s="1"/>
  <c r="Q89" i="7"/>
  <c r="P89" i="7"/>
  <c r="M89" i="7"/>
  <c r="L89" i="7"/>
  <c r="N89" i="7" s="1"/>
  <c r="P88" i="7"/>
  <c r="L88" i="7"/>
  <c r="Q88" i="7" s="1"/>
  <c r="Q87" i="7"/>
  <c r="P87" i="7"/>
  <c r="M87" i="7"/>
  <c r="L87" i="7"/>
  <c r="N87" i="7" s="1"/>
  <c r="P86" i="7"/>
  <c r="L86" i="7"/>
  <c r="Q86" i="7" s="1"/>
  <c r="G86" i="7"/>
  <c r="P85" i="7"/>
  <c r="L85" i="7"/>
  <c r="Q85" i="7" s="1"/>
  <c r="Q84" i="7"/>
  <c r="P84" i="7"/>
  <c r="M84" i="7"/>
  <c r="L84" i="7"/>
  <c r="G84" i="7"/>
  <c r="N84" i="7" s="1"/>
  <c r="Q83" i="7"/>
  <c r="M83" i="7"/>
  <c r="L83" i="7"/>
  <c r="G83" i="7"/>
  <c r="N83" i="7" s="1"/>
  <c r="E83" i="7"/>
  <c r="P82" i="7"/>
  <c r="N82" i="7"/>
  <c r="L82" i="7"/>
  <c r="M82" i="7" s="1"/>
  <c r="G82" i="7"/>
  <c r="P81" i="7"/>
  <c r="L81" i="7"/>
  <c r="G81" i="7"/>
  <c r="P80" i="7"/>
  <c r="L80" i="7"/>
  <c r="Q80" i="7" s="1"/>
  <c r="G80" i="7"/>
  <c r="L79" i="7"/>
  <c r="Q78" i="7"/>
  <c r="P78" i="7"/>
  <c r="L78" i="7"/>
  <c r="P77" i="7"/>
  <c r="L77" i="7"/>
  <c r="Q77" i="7" s="1"/>
  <c r="Q76" i="7"/>
  <c r="P76" i="7"/>
  <c r="L76" i="7"/>
  <c r="P75" i="7"/>
  <c r="L75" i="7"/>
  <c r="Q75" i="7" s="1"/>
  <c r="Q74" i="7"/>
  <c r="P74" i="7"/>
  <c r="L74" i="7"/>
  <c r="P73" i="7"/>
  <c r="L73" i="7"/>
  <c r="Q73" i="7" s="1"/>
  <c r="Q72" i="7"/>
  <c r="P72" i="7"/>
  <c r="L72" i="7"/>
  <c r="P71" i="7"/>
  <c r="L71" i="7"/>
  <c r="Q71" i="7" s="1"/>
  <c r="Q70" i="7"/>
  <c r="P70" i="7"/>
  <c r="L70" i="7"/>
  <c r="P69" i="7"/>
  <c r="L69" i="7"/>
  <c r="Q69" i="7" s="1"/>
  <c r="Q68" i="7"/>
  <c r="P68" i="7"/>
  <c r="M68" i="7"/>
  <c r="L68" i="7"/>
  <c r="G68" i="7"/>
  <c r="N68" i="7" s="1"/>
  <c r="E68" i="7"/>
  <c r="P67" i="7"/>
  <c r="L67" i="7"/>
  <c r="Q67" i="7" s="1"/>
  <c r="G67" i="7"/>
  <c r="P66" i="7"/>
  <c r="N66" i="7"/>
  <c r="L66" i="7"/>
  <c r="M66" i="7" s="1"/>
  <c r="G66" i="7"/>
  <c r="P65" i="7"/>
  <c r="N65" i="7"/>
  <c r="L65" i="7"/>
  <c r="M65" i="7" s="1"/>
  <c r="G65" i="7"/>
  <c r="P64" i="7"/>
  <c r="L64" i="7"/>
  <c r="G64" i="7"/>
  <c r="L63" i="7"/>
  <c r="L62" i="7"/>
  <c r="P61" i="7"/>
  <c r="N61" i="7"/>
  <c r="L61" i="7"/>
  <c r="M61" i="7" s="1"/>
  <c r="Q60" i="7"/>
  <c r="P60" i="7"/>
  <c r="M60" i="7"/>
  <c r="L60" i="7"/>
  <c r="N60" i="7" s="1"/>
  <c r="P59" i="7"/>
  <c r="L59" i="7"/>
  <c r="Q59" i="7" s="1"/>
  <c r="M58" i="7"/>
  <c r="L58" i="7"/>
  <c r="N58" i="7" s="1"/>
  <c r="E58" i="7"/>
  <c r="Q58" i="7" s="1"/>
  <c r="Q57" i="7"/>
  <c r="P57" i="7"/>
  <c r="N57" i="7"/>
  <c r="M57" i="7"/>
  <c r="L57" i="7"/>
  <c r="P56" i="7"/>
  <c r="N56" i="7"/>
  <c r="L56" i="7"/>
  <c r="M56" i="7" s="1"/>
  <c r="Q55" i="7"/>
  <c r="P55" i="7"/>
  <c r="N55" i="7"/>
  <c r="M55" i="7"/>
  <c r="L55" i="7"/>
  <c r="P54" i="7"/>
  <c r="L54" i="7"/>
  <c r="Q54" i="7" s="1"/>
  <c r="L53" i="7"/>
  <c r="L52" i="7"/>
  <c r="Q51" i="7"/>
  <c r="N51" i="7"/>
  <c r="M51" i="7"/>
  <c r="L51" i="7"/>
  <c r="E51" i="7"/>
  <c r="P51" i="7" s="1"/>
  <c r="P43" i="7" s="1"/>
  <c r="Q50" i="7"/>
  <c r="P50" i="7"/>
  <c r="N50" i="7"/>
  <c r="M50" i="7"/>
  <c r="L50" i="7"/>
  <c r="P49" i="7"/>
  <c r="L49" i="7"/>
  <c r="Q49" i="7" s="1"/>
  <c r="Q48" i="7"/>
  <c r="P48" i="7"/>
  <c r="M48" i="7"/>
  <c r="L48" i="7"/>
  <c r="N48" i="7" s="1"/>
  <c r="P47" i="7"/>
  <c r="L47" i="7"/>
  <c r="Q46" i="7"/>
  <c r="P46" i="7"/>
  <c r="N46" i="7"/>
  <c r="M46" i="7"/>
  <c r="L46" i="7"/>
  <c r="P45" i="7"/>
  <c r="L45" i="7"/>
  <c r="Q45" i="7" s="1"/>
  <c r="Q44" i="7"/>
  <c r="P44" i="7"/>
  <c r="M44" i="7"/>
  <c r="L44" i="7"/>
  <c r="N44" i="7" s="1"/>
  <c r="L43" i="7"/>
  <c r="Q42" i="7"/>
  <c r="P42" i="7"/>
  <c r="N42" i="7"/>
  <c r="M42" i="7"/>
  <c r="L42" i="7"/>
  <c r="P41" i="7"/>
  <c r="L41" i="7"/>
  <c r="Q41" i="7" s="1"/>
  <c r="Q40" i="7"/>
  <c r="P40" i="7"/>
  <c r="M40" i="7"/>
  <c r="L40" i="7"/>
  <c r="N40" i="7" s="1"/>
  <c r="P39" i="7"/>
  <c r="L39" i="7"/>
  <c r="Q38" i="7"/>
  <c r="P38" i="7"/>
  <c r="N38" i="7"/>
  <c r="M38" i="7"/>
  <c r="L38" i="7"/>
  <c r="P37" i="7"/>
  <c r="L37" i="7"/>
  <c r="Q37" i="7" s="1"/>
  <c r="G37" i="7"/>
  <c r="P36" i="7"/>
  <c r="P35" i="7" s="1"/>
  <c r="N36" i="7"/>
  <c r="L36" i="7"/>
  <c r="M36" i="7" s="1"/>
  <c r="L35" i="7"/>
  <c r="P34" i="7"/>
  <c r="L34" i="7"/>
  <c r="Q34" i="7" s="1"/>
  <c r="Q33" i="7"/>
  <c r="P33" i="7"/>
  <c r="L33" i="7"/>
  <c r="P32" i="7"/>
  <c r="L32" i="7"/>
  <c r="Q32" i="7" s="1"/>
  <c r="Q31" i="7"/>
  <c r="P31" i="7"/>
  <c r="N31" i="7"/>
  <c r="M31" i="7"/>
  <c r="L31" i="7"/>
  <c r="P30" i="7"/>
  <c r="L30" i="7"/>
  <c r="P29" i="7"/>
  <c r="P28" i="7" s="1"/>
  <c r="L29" i="7"/>
  <c r="Q29" i="7" s="1"/>
  <c r="P11" i="7"/>
  <c r="T8" i="7"/>
  <c r="K354" i="6"/>
  <c r="K353" i="6"/>
  <c r="K352" i="6"/>
  <c r="K351" i="6"/>
  <c r="K350" i="6"/>
  <c r="K349" i="6"/>
  <c r="K348" i="6"/>
  <c r="K347" i="6"/>
  <c r="K355" i="6" s="1"/>
  <c r="K338" i="6"/>
  <c r="K337" i="6"/>
  <c r="K336" i="6"/>
  <c r="K339" i="6" s="1"/>
  <c r="K327" i="6"/>
  <c r="K326" i="6"/>
  <c r="K325" i="6"/>
  <c r="K328" i="6" s="1"/>
  <c r="K316" i="6"/>
  <c r="K317" i="6" s="1"/>
  <c r="K314" i="6"/>
  <c r="K305" i="6"/>
  <c r="K304" i="6"/>
  <c r="K306" i="6" s="1"/>
  <c r="K303" i="6"/>
  <c r="K299" i="6"/>
  <c r="K295" i="6"/>
  <c r="K298" i="6" s="1"/>
  <c r="K294" i="6"/>
  <c r="K293" i="6"/>
  <c r="K292" i="6"/>
  <c r="K283" i="6"/>
  <c r="K282" i="6"/>
  <c r="K284" i="6" s="1"/>
  <c r="K281" i="6"/>
  <c r="K272" i="6"/>
  <c r="K271" i="6"/>
  <c r="K270" i="6"/>
  <c r="K269" i="6"/>
  <c r="K268" i="6"/>
  <c r="K267" i="6"/>
  <c r="K266" i="6"/>
  <c r="K265" i="6"/>
  <c r="K264" i="6"/>
  <c r="K263" i="6"/>
  <c r="K262" i="6"/>
  <c r="K261" i="6"/>
  <c r="K260" i="6"/>
  <c r="K259" i="6"/>
  <c r="K258" i="6"/>
  <c r="K257" i="6"/>
  <c r="K256" i="6"/>
  <c r="K247" i="6"/>
  <c r="K246" i="6"/>
  <c r="K248" i="6" s="1"/>
  <c r="K245" i="6"/>
  <c r="K244" i="6"/>
  <c r="K235" i="6"/>
  <c r="K234" i="6"/>
  <c r="K233" i="6"/>
  <c r="K236" i="6" s="1"/>
  <c r="K224" i="6"/>
  <c r="K223" i="6"/>
  <c r="K222" i="6"/>
  <c r="K225" i="6" s="1"/>
  <c r="K229" i="6" s="1"/>
  <c r="K213" i="6"/>
  <c r="K212" i="6"/>
  <c r="K211" i="6"/>
  <c r="K214" i="6" s="1"/>
  <c r="K202" i="6"/>
  <c r="K201" i="6"/>
  <c r="K200" i="6"/>
  <c r="K191" i="6"/>
  <c r="K190" i="6"/>
  <c r="K189" i="6"/>
  <c r="K192" i="6" s="1"/>
  <c r="K180" i="6"/>
  <c r="K179" i="6"/>
  <c r="K178" i="6"/>
  <c r="K169" i="6"/>
  <c r="K168" i="6"/>
  <c r="K167" i="6"/>
  <c r="K170" i="6" s="1"/>
  <c r="K158" i="6"/>
  <c r="I157" i="6"/>
  <c r="K157" i="6" s="1"/>
  <c r="K156" i="6"/>
  <c r="K147" i="6"/>
  <c r="K137" i="6"/>
  <c r="K127" i="6"/>
  <c r="H126" i="6"/>
  <c r="F126" i="6"/>
  <c r="K126" i="6" s="1"/>
  <c r="F125" i="6"/>
  <c r="K125" i="6" s="1"/>
  <c r="K116" i="6"/>
  <c r="K115" i="6"/>
  <c r="K114" i="6"/>
  <c r="K117" i="6" s="1"/>
  <c r="K105" i="6"/>
  <c r="K104" i="6"/>
  <c r="K103" i="6"/>
  <c r="K106" i="6" s="1"/>
  <c r="K94" i="6"/>
  <c r="K93" i="6"/>
  <c r="K92" i="6"/>
  <c r="K95" i="6" s="1"/>
  <c r="K83" i="6"/>
  <c r="K82" i="6"/>
  <c r="K84" i="6" s="1"/>
  <c r="K78" i="6"/>
  <c r="K74" i="6"/>
  <c r="K77" i="6" s="1"/>
  <c r="K73" i="6"/>
  <c r="K72" i="6"/>
  <c r="K63" i="6"/>
  <c r="K64" i="6" s="1"/>
  <c r="K62" i="6"/>
  <c r="K54" i="6"/>
  <c r="K57" i="6" s="1"/>
  <c r="K53" i="6"/>
  <c r="K52" i="6"/>
  <c r="E52" i="6"/>
  <c r="K43" i="6"/>
  <c r="K42" i="6"/>
  <c r="K44" i="6" s="1"/>
  <c r="E42" i="6"/>
  <c r="K34" i="6"/>
  <c r="K37" i="6" s="1"/>
  <c r="K33" i="6"/>
  <c r="K32" i="6"/>
  <c r="K23" i="6"/>
  <c r="I23" i="6"/>
  <c r="K22" i="6"/>
  <c r="I22" i="6"/>
  <c r="K21" i="6"/>
  <c r="K24" i="6" s="1"/>
  <c r="K16" i="6"/>
  <c r="K12" i="6"/>
  <c r="I12" i="6"/>
  <c r="K11" i="6"/>
  <c r="I11" i="6"/>
  <c r="K10" i="6"/>
  <c r="K13" i="6" s="1"/>
  <c r="K17" i="6" s="1"/>
  <c r="I10" i="6"/>
  <c r="I637" i="5"/>
  <c r="J637" i="5" s="1"/>
  <c r="I636" i="5"/>
  <c r="J636" i="5" s="1"/>
  <c r="I635" i="5"/>
  <c r="J635" i="5" s="1"/>
  <c r="I634" i="5"/>
  <c r="J634" i="5" s="1"/>
  <c r="I633" i="5"/>
  <c r="J633" i="5" s="1"/>
  <c r="I632" i="5"/>
  <c r="J632" i="5" s="1"/>
  <c r="I631" i="5"/>
  <c r="J631" i="5" s="1"/>
  <c r="I630" i="5"/>
  <c r="J630" i="5" s="1"/>
  <c r="I629" i="5"/>
  <c r="J629" i="5" s="1"/>
  <c r="I628" i="5"/>
  <c r="I627" i="5"/>
  <c r="G623" i="5"/>
  <c r="M600" i="5"/>
  <c r="M599" i="5"/>
  <c r="N593" i="5"/>
  <c r="R613" i="5" s="1"/>
  <c r="R623" i="5" s="1"/>
  <c r="Q590" i="5"/>
  <c r="P590" i="5"/>
  <c r="N590" i="5"/>
  <c r="M590" i="5"/>
  <c r="L590" i="5"/>
  <c r="P589" i="5"/>
  <c r="P588" i="5" s="1"/>
  <c r="L589" i="5"/>
  <c r="L588" i="5"/>
  <c r="P587" i="5"/>
  <c r="L587" i="5"/>
  <c r="Q587" i="5" s="1"/>
  <c r="Q586" i="5"/>
  <c r="P586" i="5"/>
  <c r="N586" i="5"/>
  <c r="M586" i="5"/>
  <c r="L586" i="5"/>
  <c r="P585" i="5"/>
  <c r="L585" i="5"/>
  <c r="Q584" i="5"/>
  <c r="P584" i="5"/>
  <c r="N584" i="5"/>
  <c r="M584" i="5"/>
  <c r="L584" i="5"/>
  <c r="P583" i="5"/>
  <c r="L583" i="5"/>
  <c r="Q583" i="5" s="1"/>
  <c r="Q582" i="5"/>
  <c r="P582" i="5"/>
  <c r="N582" i="5"/>
  <c r="M582" i="5"/>
  <c r="L582" i="5"/>
  <c r="P581" i="5"/>
  <c r="N581" i="5"/>
  <c r="L581" i="5"/>
  <c r="Q580" i="5"/>
  <c r="P580" i="5"/>
  <c r="N580" i="5"/>
  <c r="M580" i="5"/>
  <c r="L580" i="5"/>
  <c r="P579" i="5"/>
  <c r="L579" i="5"/>
  <c r="Q579" i="5" s="1"/>
  <c r="Q578" i="5"/>
  <c r="P578" i="5"/>
  <c r="N578" i="5"/>
  <c r="M578" i="5"/>
  <c r="L578" i="5"/>
  <c r="P577" i="5"/>
  <c r="L577" i="5"/>
  <c r="Q576" i="5"/>
  <c r="P576" i="5"/>
  <c r="N576" i="5"/>
  <c r="M576" i="5"/>
  <c r="L576" i="5"/>
  <c r="P575" i="5"/>
  <c r="L575" i="5"/>
  <c r="Q575" i="5" s="1"/>
  <c r="Q574" i="5"/>
  <c r="P574" i="5"/>
  <c r="N574" i="5"/>
  <c r="M574" i="5"/>
  <c r="L574" i="5"/>
  <c r="P573" i="5"/>
  <c r="N573" i="5"/>
  <c r="L573" i="5"/>
  <c r="Q572" i="5"/>
  <c r="P572" i="5"/>
  <c r="N572" i="5"/>
  <c r="M572" i="5"/>
  <c r="L572" i="5"/>
  <c r="P571" i="5"/>
  <c r="L571" i="5"/>
  <c r="Q571" i="5" s="1"/>
  <c r="Q570" i="5"/>
  <c r="P570" i="5"/>
  <c r="N570" i="5"/>
  <c r="M570" i="5"/>
  <c r="L570" i="5"/>
  <c r="P569" i="5"/>
  <c r="L569" i="5"/>
  <c r="N568" i="5"/>
  <c r="M568" i="5"/>
  <c r="L568" i="5"/>
  <c r="E568" i="5"/>
  <c r="Q567" i="5"/>
  <c r="P567" i="5"/>
  <c r="M567" i="5"/>
  <c r="L567" i="5"/>
  <c r="N567" i="5" s="1"/>
  <c r="L566" i="5"/>
  <c r="Q565" i="5"/>
  <c r="P565" i="5"/>
  <c r="M565" i="5"/>
  <c r="L565" i="5"/>
  <c r="N565" i="5" s="1"/>
  <c r="P564" i="5"/>
  <c r="L564" i="5"/>
  <c r="Q563" i="5"/>
  <c r="P563" i="5"/>
  <c r="M563" i="5"/>
  <c r="L563" i="5"/>
  <c r="N563" i="5" s="1"/>
  <c r="P562" i="5"/>
  <c r="P554" i="5" s="1"/>
  <c r="N562" i="5"/>
  <c r="L562" i="5"/>
  <c r="M562" i="5" s="1"/>
  <c r="Q561" i="5"/>
  <c r="P561" i="5"/>
  <c r="M561" i="5"/>
  <c r="L561" i="5"/>
  <c r="N561" i="5" s="1"/>
  <c r="P560" i="5"/>
  <c r="L560" i="5"/>
  <c r="Q559" i="5"/>
  <c r="P559" i="5"/>
  <c r="M559" i="5"/>
  <c r="L559" i="5"/>
  <c r="N559" i="5" s="1"/>
  <c r="P558" i="5"/>
  <c r="N558" i="5"/>
  <c r="L558" i="5"/>
  <c r="M558" i="5" s="1"/>
  <c r="Q557" i="5"/>
  <c r="P557" i="5"/>
  <c r="M557" i="5"/>
  <c r="L557" i="5"/>
  <c r="N557" i="5" s="1"/>
  <c r="P556" i="5"/>
  <c r="L556" i="5"/>
  <c r="Q555" i="5"/>
  <c r="P555" i="5"/>
  <c r="M555" i="5"/>
  <c r="L555" i="5"/>
  <c r="N555" i="5" s="1"/>
  <c r="L554" i="5"/>
  <c r="Q553" i="5"/>
  <c r="Q552" i="5" s="1"/>
  <c r="P553" i="5"/>
  <c r="M553" i="5"/>
  <c r="M552" i="5" s="1"/>
  <c r="L553" i="5"/>
  <c r="N553" i="5" s="1"/>
  <c r="N552" i="5" s="1"/>
  <c r="P552" i="5"/>
  <c r="L552" i="5"/>
  <c r="Q551" i="5"/>
  <c r="P551" i="5"/>
  <c r="M551" i="5"/>
  <c r="L551" i="5"/>
  <c r="N551" i="5" s="1"/>
  <c r="P550" i="5"/>
  <c r="N550" i="5"/>
  <c r="L550" i="5"/>
  <c r="M550" i="5" s="1"/>
  <c r="Q549" i="5"/>
  <c r="P549" i="5"/>
  <c r="M549" i="5"/>
  <c r="L549" i="5"/>
  <c r="N549" i="5" s="1"/>
  <c r="P548" i="5"/>
  <c r="L548" i="5"/>
  <c r="Q547" i="5"/>
  <c r="P547" i="5"/>
  <c r="M547" i="5"/>
  <c r="L547" i="5"/>
  <c r="N547" i="5" s="1"/>
  <c r="P546" i="5"/>
  <c r="N546" i="5"/>
  <c r="L546" i="5"/>
  <c r="M546" i="5" s="1"/>
  <c r="Q545" i="5"/>
  <c r="P545" i="5"/>
  <c r="M545" i="5"/>
  <c r="L545" i="5"/>
  <c r="N545" i="5" s="1"/>
  <c r="P544" i="5"/>
  <c r="L544" i="5"/>
  <c r="Q543" i="5"/>
  <c r="P543" i="5"/>
  <c r="M543" i="5"/>
  <c r="L543" i="5"/>
  <c r="N543" i="5" s="1"/>
  <c r="P542" i="5"/>
  <c r="N542" i="5"/>
  <c r="L542" i="5"/>
  <c r="M542" i="5" s="1"/>
  <c r="Q541" i="5"/>
  <c r="P541" i="5"/>
  <c r="M541" i="5"/>
  <c r="L541" i="5"/>
  <c r="N541" i="5" s="1"/>
  <c r="P540" i="5"/>
  <c r="L540" i="5"/>
  <c r="Q539" i="5"/>
  <c r="P539" i="5"/>
  <c r="M539" i="5"/>
  <c r="L539" i="5"/>
  <c r="N539" i="5" s="1"/>
  <c r="P538" i="5"/>
  <c r="N538" i="5"/>
  <c r="L538" i="5"/>
  <c r="M538" i="5" s="1"/>
  <c r="Q537" i="5"/>
  <c r="P537" i="5"/>
  <c r="M537" i="5"/>
  <c r="L537" i="5"/>
  <c r="N537" i="5" s="1"/>
  <c r="P536" i="5"/>
  <c r="L536" i="5"/>
  <c r="Q535" i="5"/>
  <c r="P535" i="5"/>
  <c r="M535" i="5"/>
  <c r="L535" i="5"/>
  <c r="N535" i="5" s="1"/>
  <c r="P534" i="5"/>
  <c r="N534" i="5"/>
  <c r="L534" i="5"/>
  <c r="M534" i="5" s="1"/>
  <c r="Q533" i="5"/>
  <c r="P533" i="5"/>
  <c r="M533" i="5"/>
  <c r="L533" i="5"/>
  <c r="N533" i="5" s="1"/>
  <c r="P532" i="5"/>
  <c r="L532" i="5"/>
  <c r="Q531" i="5"/>
  <c r="P531" i="5"/>
  <c r="M531" i="5"/>
  <c r="L531" i="5"/>
  <c r="N531" i="5" s="1"/>
  <c r="P530" i="5"/>
  <c r="N530" i="5"/>
  <c r="L530" i="5"/>
  <c r="M530" i="5" s="1"/>
  <c r="Q529" i="5"/>
  <c r="P529" i="5"/>
  <c r="M529" i="5"/>
  <c r="L529" i="5"/>
  <c r="N529" i="5" s="1"/>
  <c r="P528" i="5"/>
  <c r="L528" i="5"/>
  <c r="Q527" i="5"/>
  <c r="P527" i="5"/>
  <c r="M527" i="5"/>
  <c r="L527" i="5"/>
  <c r="N527" i="5" s="1"/>
  <c r="P526" i="5"/>
  <c r="N526" i="5"/>
  <c r="L526" i="5"/>
  <c r="M526" i="5" s="1"/>
  <c r="Q525" i="5"/>
  <c r="P525" i="5"/>
  <c r="M525" i="5"/>
  <c r="L525" i="5"/>
  <c r="N525" i="5" s="1"/>
  <c r="P524" i="5"/>
  <c r="L524" i="5"/>
  <c r="Q523" i="5"/>
  <c r="P523" i="5"/>
  <c r="M523" i="5"/>
  <c r="L523" i="5"/>
  <c r="N523" i="5" s="1"/>
  <c r="P522" i="5"/>
  <c r="N522" i="5"/>
  <c r="L522" i="5"/>
  <c r="M522" i="5" s="1"/>
  <c r="Q521" i="5"/>
  <c r="P521" i="5"/>
  <c r="M521" i="5"/>
  <c r="L521" i="5"/>
  <c r="N521" i="5" s="1"/>
  <c r="L520" i="5"/>
  <c r="Q519" i="5"/>
  <c r="P519" i="5"/>
  <c r="M519" i="5"/>
  <c r="L519" i="5"/>
  <c r="N519" i="5" s="1"/>
  <c r="P518" i="5"/>
  <c r="N518" i="5"/>
  <c r="L518" i="5"/>
  <c r="M518" i="5" s="1"/>
  <c r="Q517" i="5"/>
  <c r="P517" i="5"/>
  <c r="M517" i="5"/>
  <c r="L517" i="5"/>
  <c r="N517" i="5" s="1"/>
  <c r="P516" i="5"/>
  <c r="L516" i="5"/>
  <c r="Q515" i="5"/>
  <c r="P515" i="5"/>
  <c r="M515" i="5"/>
  <c r="L515" i="5"/>
  <c r="N515" i="5" s="1"/>
  <c r="P514" i="5"/>
  <c r="N514" i="5"/>
  <c r="L514" i="5"/>
  <c r="M514" i="5" s="1"/>
  <c r="Q513" i="5"/>
  <c r="P513" i="5"/>
  <c r="M513" i="5"/>
  <c r="L513" i="5"/>
  <c r="N513" i="5" s="1"/>
  <c r="P512" i="5"/>
  <c r="L512" i="5"/>
  <c r="Q511" i="5"/>
  <c r="P511" i="5"/>
  <c r="M511" i="5"/>
  <c r="L511" i="5"/>
  <c r="N511" i="5" s="1"/>
  <c r="P510" i="5"/>
  <c r="N510" i="5"/>
  <c r="L510" i="5"/>
  <c r="M510" i="5" s="1"/>
  <c r="Q509" i="5"/>
  <c r="P509" i="5"/>
  <c r="M509" i="5"/>
  <c r="L509" i="5"/>
  <c r="N509" i="5" s="1"/>
  <c r="L508" i="5"/>
  <c r="L507" i="5"/>
  <c r="P506" i="5"/>
  <c r="N506" i="5"/>
  <c r="L506" i="5"/>
  <c r="M506" i="5" s="1"/>
  <c r="Q505" i="5"/>
  <c r="P505" i="5"/>
  <c r="M505" i="5"/>
  <c r="L505" i="5"/>
  <c r="N505" i="5" s="1"/>
  <c r="P504" i="5"/>
  <c r="L504" i="5"/>
  <c r="Q503" i="5"/>
  <c r="P503" i="5"/>
  <c r="M503" i="5"/>
  <c r="L503" i="5"/>
  <c r="N503" i="5" s="1"/>
  <c r="P502" i="5"/>
  <c r="N502" i="5"/>
  <c r="L502" i="5"/>
  <c r="M502" i="5" s="1"/>
  <c r="Q501" i="5"/>
  <c r="P501" i="5"/>
  <c r="M501" i="5"/>
  <c r="L501" i="5"/>
  <c r="N501" i="5" s="1"/>
  <c r="P500" i="5"/>
  <c r="L500" i="5"/>
  <c r="Q499" i="5"/>
  <c r="P499" i="5"/>
  <c r="M499" i="5"/>
  <c r="L499" i="5"/>
  <c r="N499" i="5" s="1"/>
  <c r="P498" i="5"/>
  <c r="N498" i="5"/>
  <c r="L498" i="5"/>
  <c r="M498" i="5" s="1"/>
  <c r="Q497" i="5"/>
  <c r="P497" i="5"/>
  <c r="M497" i="5"/>
  <c r="L497" i="5"/>
  <c r="N497" i="5" s="1"/>
  <c r="P496" i="5"/>
  <c r="L496" i="5"/>
  <c r="Q495" i="5"/>
  <c r="P495" i="5"/>
  <c r="M495" i="5"/>
  <c r="L495" i="5"/>
  <c r="N495" i="5" s="1"/>
  <c r="P494" i="5"/>
  <c r="N494" i="5"/>
  <c r="L494" i="5"/>
  <c r="M494" i="5" s="1"/>
  <c r="Q493" i="5"/>
  <c r="P493" i="5"/>
  <c r="M493" i="5"/>
  <c r="L493" i="5"/>
  <c r="N493" i="5" s="1"/>
  <c r="P492" i="5"/>
  <c r="L492" i="5"/>
  <c r="Q491" i="5"/>
  <c r="P491" i="5"/>
  <c r="M491" i="5"/>
  <c r="L491" i="5"/>
  <c r="N491" i="5" s="1"/>
  <c r="P490" i="5"/>
  <c r="N490" i="5"/>
  <c r="L490" i="5"/>
  <c r="M490" i="5" s="1"/>
  <c r="Q489" i="5"/>
  <c r="P489" i="5"/>
  <c r="M489" i="5"/>
  <c r="L489" i="5"/>
  <c r="N489" i="5" s="1"/>
  <c r="P488" i="5"/>
  <c r="L488" i="5"/>
  <c r="L487" i="5"/>
  <c r="P486" i="5"/>
  <c r="N486" i="5"/>
  <c r="L486" i="5"/>
  <c r="M486" i="5" s="1"/>
  <c r="Q485" i="5"/>
  <c r="P485" i="5"/>
  <c r="M485" i="5"/>
  <c r="L485" i="5"/>
  <c r="N485" i="5" s="1"/>
  <c r="P484" i="5"/>
  <c r="L484" i="5"/>
  <c r="Q483" i="5"/>
  <c r="P483" i="5"/>
  <c r="M483" i="5"/>
  <c r="L483" i="5"/>
  <c r="N483" i="5" s="1"/>
  <c r="P482" i="5"/>
  <c r="L482" i="5"/>
  <c r="L481" i="5"/>
  <c r="P480" i="5"/>
  <c r="L480" i="5"/>
  <c r="Q479" i="5"/>
  <c r="P479" i="5"/>
  <c r="M479" i="5"/>
  <c r="L479" i="5"/>
  <c r="N479" i="5" s="1"/>
  <c r="P478" i="5"/>
  <c r="P474" i="5" s="1"/>
  <c r="N478" i="5"/>
  <c r="L478" i="5"/>
  <c r="M478" i="5" s="1"/>
  <c r="Q477" i="5"/>
  <c r="P477" i="5"/>
  <c r="M477" i="5"/>
  <c r="L477" i="5"/>
  <c r="N477" i="5" s="1"/>
  <c r="P476" i="5"/>
  <c r="L476" i="5"/>
  <c r="Q475" i="5"/>
  <c r="P475" i="5"/>
  <c r="M475" i="5"/>
  <c r="L475" i="5"/>
  <c r="N475" i="5" s="1"/>
  <c r="L474" i="5"/>
  <c r="Q473" i="5"/>
  <c r="P473" i="5"/>
  <c r="M473" i="5"/>
  <c r="L473" i="5"/>
  <c r="N473" i="5" s="1"/>
  <c r="P472" i="5"/>
  <c r="L472" i="5"/>
  <c r="Q471" i="5"/>
  <c r="P471" i="5"/>
  <c r="M471" i="5"/>
  <c r="L471" i="5"/>
  <c r="N471" i="5" s="1"/>
  <c r="P470" i="5"/>
  <c r="N470" i="5"/>
  <c r="L470" i="5"/>
  <c r="M470" i="5" s="1"/>
  <c r="Q469" i="5"/>
  <c r="P469" i="5"/>
  <c r="M469" i="5"/>
  <c r="L469" i="5"/>
  <c r="N469" i="5" s="1"/>
  <c r="P468" i="5"/>
  <c r="L468" i="5"/>
  <c r="Q467" i="5"/>
  <c r="P467" i="5"/>
  <c r="M467" i="5"/>
  <c r="L467" i="5"/>
  <c r="N467" i="5" s="1"/>
  <c r="P466" i="5"/>
  <c r="N466" i="5"/>
  <c r="L466" i="5"/>
  <c r="M466" i="5" s="1"/>
  <c r="N465" i="5"/>
  <c r="L465" i="5"/>
  <c r="Q464" i="5"/>
  <c r="P464" i="5"/>
  <c r="N464" i="5"/>
  <c r="M464" i="5"/>
  <c r="L464" i="5"/>
  <c r="P463" i="5"/>
  <c r="L463" i="5"/>
  <c r="Q463" i="5" s="1"/>
  <c r="Q462" i="5"/>
  <c r="P462" i="5"/>
  <c r="M462" i="5"/>
  <c r="L462" i="5"/>
  <c r="N462" i="5" s="1"/>
  <c r="P461" i="5"/>
  <c r="L461" i="5"/>
  <c r="Q460" i="5"/>
  <c r="P460" i="5"/>
  <c r="N460" i="5"/>
  <c r="M460" i="5"/>
  <c r="L460" i="5"/>
  <c r="P459" i="5"/>
  <c r="L459" i="5"/>
  <c r="Q459" i="5" s="1"/>
  <c r="Q458" i="5"/>
  <c r="P458" i="5"/>
  <c r="M458" i="5"/>
  <c r="L458" i="5"/>
  <c r="N458" i="5" s="1"/>
  <c r="P457" i="5"/>
  <c r="N457" i="5"/>
  <c r="L457" i="5"/>
  <c r="Q456" i="5"/>
  <c r="P456" i="5"/>
  <c r="N456" i="5"/>
  <c r="M456" i="5"/>
  <c r="L456" i="5"/>
  <c r="P455" i="5"/>
  <c r="L455" i="5"/>
  <c r="Q455" i="5" s="1"/>
  <c r="Q454" i="5"/>
  <c r="P454" i="5"/>
  <c r="M454" i="5"/>
  <c r="L454" i="5"/>
  <c r="N454" i="5" s="1"/>
  <c r="P453" i="5"/>
  <c r="N453" i="5"/>
  <c r="L453" i="5"/>
  <c r="Q452" i="5"/>
  <c r="P452" i="5"/>
  <c r="N452" i="5"/>
  <c r="M452" i="5"/>
  <c r="L452" i="5"/>
  <c r="P451" i="5"/>
  <c r="L451" i="5"/>
  <c r="Q451" i="5" s="1"/>
  <c r="Q450" i="5"/>
  <c r="P450" i="5"/>
  <c r="M450" i="5"/>
  <c r="L450" i="5"/>
  <c r="N450" i="5" s="1"/>
  <c r="P449" i="5"/>
  <c r="N449" i="5"/>
  <c r="L449" i="5"/>
  <c r="Q448" i="5"/>
  <c r="P448" i="5"/>
  <c r="N448" i="5"/>
  <c r="M448" i="5"/>
  <c r="L448" i="5"/>
  <c r="P447" i="5"/>
  <c r="L447" i="5"/>
  <c r="Q447" i="5" s="1"/>
  <c r="Q446" i="5"/>
  <c r="P446" i="5"/>
  <c r="M446" i="5"/>
  <c r="L446" i="5"/>
  <c r="N446" i="5" s="1"/>
  <c r="P445" i="5"/>
  <c r="N445" i="5"/>
  <c r="L445" i="5"/>
  <c r="Q444" i="5"/>
  <c r="P444" i="5"/>
  <c r="N444" i="5"/>
  <c r="M444" i="5"/>
  <c r="L444" i="5"/>
  <c r="P443" i="5"/>
  <c r="L443" i="5"/>
  <c r="Q443" i="5" s="1"/>
  <c r="Q442" i="5"/>
  <c r="P442" i="5"/>
  <c r="M442" i="5"/>
  <c r="L442" i="5"/>
  <c r="N442" i="5" s="1"/>
  <c r="P441" i="5"/>
  <c r="L441" i="5"/>
  <c r="Q440" i="5"/>
  <c r="P440" i="5"/>
  <c r="N440" i="5"/>
  <c r="M440" i="5"/>
  <c r="L440" i="5"/>
  <c r="P439" i="5"/>
  <c r="L439" i="5"/>
  <c r="Q439" i="5" s="1"/>
  <c r="Q438" i="5"/>
  <c r="P438" i="5"/>
  <c r="M438" i="5"/>
  <c r="L438" i="5"/>
  <c r="N438" i="5" s="1"/>
  <c r="P437" i="5"/>
  <c r="L437" i="5"/>
  <c r="Q436" i="5"/>
  <c r="P436" i="5"/>
  <c r="N436" i="5"/>
  <c r="M436" i="5"/>
  <c r="L436" i="5"/>
  <c r="P435" i="5"/>
  <c r="L435" i="5"/>
  <c r="Q435" i="5" s="1"/>
  <c r="Q434" i="5"/>
  <c r="P434" i="5"/>
  <c r="M434" i="5"/>
  <c r="L434" i="5"/>
  <c r="N434" i="5" s="1"/>
  <c r="P433" i="5"/>
  <c r="N433" i="5"/>
  <c r="L433" i="5"/>
  <c r="Q432" i="5"/>
  <c r="P432" i="5"/>
  <c r="N432" i="5"/>
  <c r="M432" i="5"/>
  <c r="L432" i="5"/>
  <c r="P431" i="5"/>
  <c r="L431" i="5"/>
  <c r="Q431" i="5" s="1"/>
  <c r="Q430" i="5"/>
  <c r="P430" i="5"/>
  <c r="M430" i="5"/>
  <c r="L430" i="5"/>
  <c r="N430" i="5" s="1"/>
  <c r="P429" i="5"/>
  <c r="N429" i="5"/>
  <c r="L429" i="5"/>
  <c r="Q428" i="5"/>
  <c r="P428" i="5"/>
  <c r="N428" i="5"/>
  <c r="M428" i="5"/>
  <c r="L428" i="5"/>
  <c r="P427" i="5"/>
  <c r="L427" i="5"/>
  <c r="Q427" i="5" s="1"/>
  <c r="Q426" i="5"/>
  <c r="P426" i="5"/>
  <c r="M426" i="5"/>
  <c r="L426" i="5"/>
  <c r="N426" i="5" s="1"/>
  <c r="P425" i="5"/>
  <c r="L425" i="5"/>
  <c r="Q424" i="5"/>
  <c r="P424" i="5"/>
  <c r="N424" i="5"/>
  <c r="M424" i="5"/>
  <c r="L424" i="5"/>
  <c r="P423" i="5"/>
  <c r="L423" i="5"/>
  <c r="Q423" i="5" s="1"/>
  <c r="Q422" i="5"/>
  <c r="P422" i="5"/>
  <c r="M422" i="5"/>
  <c r="L422" i="5"/>
  <c r="N422" i="5" s="1"/>
  <c r="P421" i="5"/>
  <c r="L421" i="5"/>
  <c r="Q420" i="5"/>
  <c r="P420" i="5"/>
  <c r="N420" i="5"/>
  <c r="M420" i="5"/>
  <c r="L420" i="5"/>
  <c r="P419" i="5"/>
  <c r="L419" i="5"/>
  <c r="Q419" i="5" s="1"/>
  <c r="Q418" i="5"/>
  <c r="P418" i="5"/>
  <c r="M418" i="5"/>
  <c r="L418" i="5"/>
  <c r="N418" i="5" s="1"/>
  <c r="P417" i="5"/>
  <c r="N417" i="5"/>
  <c r="L417" i="5"/>
  <c r="Q416" i="5"/>
  <c r="P416" i="5"/>
  <c r="N416" i="5"/>
  <c r="M416" i="5"/>
  <c r="L416" i="5"/>
  <c r="P415" i="5"/>
  <c r="L415" i="5"/>
  <c r="Q415" i="5" s="1"/>
  <c r="Q414" i="5"/>
  <c r="P414" i="5"/>
  <c r="M414" i="5"/>
  <c r="L414" i="5"/>
  <c r="N414" i="5" s="1"/>
  <c r="P413" i="5"/>
  <c r="L413" i="5"/>
  <c r="Q412" i="5"/>
  <c r="P412" i="5"/>
  <c r="N412" i="5"/>
  <c r="M412" i="5"/>
  <c r="L412" i="5"/>
  <c r="P411" i="5"/>
  <c r="L411" i="5"/>
  <c r="Q410" i="5"/>
  <c r="P410" i="5"/>
  <c r="M410" i="5"/>
  <c r="L410" i="5"/>
  <c r="N410" i="5" s="1"/>
  <c r="P409" i="5"/>
  <c r="L409" i="5"/>
  <c r="Q408" i="5"/>
  <c r="P408" i="5"/>
  <c r="N408" i="5"/>
  <c r="M408" i="5"/>
  <c r="L408" i="5"/>
  <c r="P407" i="5"/>
  <c r="P406" i="5" s="1"/>
  <c r="L407" i="5"/>
  <c r="L406" i="5"/>
  <c r="P405" i="5"/>
  <c r="L405" i="5"/>
  <c r="Q404" i="5"/>
  <c r="P404" i="5"/>
  <c r="N404" i="5"/>
  <c r="M404" i="5"/>
  <c r="L404" i="5"/>
  <c r="P403" i="5"/>
  <c r="L403" i="5"/>
  <c r="Q402" i="5"/>
  <c r="P402" i="5"/>
  <c r="M402" i="5"/>
  <c r="L402" i="5"/>
  <c r="N402" i="5" s="1"/>
  <c r="P401" i="5"/>
  <c r="N401" i="5"/>
  <c r="L401" i="5"/>
  <c r="Q400" i="5"/>
  <c r="P400" i="5"/>
  <c r="N400" i="5"/>
  <c r="M400" i="5"/>
  <c r="L400" i="5"/>
  <c r="P399" i="5"/>
  <c r="L399" i="5"/>
  <c r="Q398" i="5"/>
  <c r="P398" i="5"/>
  <c r="M398" i="5"/>
  <c r="L398" i="5"/>
  <c r="N398" i="5" s="1"/>
  <c r="P397" i="5"/>
  <c r="P395" i="5" s="1"/>
  <c r="N397" i="5"/>
  <c r="L397" i="5"/>
  <c r="Q396" i="5"/>
  <c r="P396" i="5"/>
  <c r="N396" i="5"/>
  <c r="M396" i="5"/>
  <c r="L396" i="5"/>
  <c r="L395" i="5"/>
  <c r="Q394" i="5"/>
  <c r="P394" i="5"/>
  <c r="M394" i="5"/>
  <c r="L394" i="5"/>
  <c r="N394" i="5" s="1"/>
  <c r="P393" i="5"/>
  <c r="L393" i="5"/>
  <c r="Q392" i="5"/>
  <c r="P392" i="5"/>
  <c r="N392" i="5"/>
  <c r="M392" i="5"/>
  <c r="L392" i="5"/>
  <c r="P391" i="5"/>
  <c r="L391" i="5"/>
  <c r="Q390" i="5"/>
  <c r="P390" i="5"/>
  <c r="M390" i="5"/>
  <c r="L390" i="5"/>
  <c r="N390" i="5" s="1"/>
  <c r="P389" i="5"/>
  <c r="L389" i="5"/>
  <c r="Q388" i="5"/>
  <c r="P388" i="5"/>
  <c r="N388" i="5"/>
  <c r="M388" i="5"/>
  <c r="L388" i="5"/>
  <c r="P387" i="5"/>
  <c r="L387" i="5"/>
  <c r="Q386" i="5"/>
  <c r="P386" i="5"/>
  <c r="M386" i="5"/>
  <c r="L386" i="5"/>
  <c r="N386" i="5" s="1"/>
  <c r="P385" i="5"/>
  <c r="L385" i="5"/>
  <c r="Q384" i="5"/>
  <c r="P384" i="5"/>
  <c r="N384" i="5"/>
  <c r="M384" i="5"/>
  <c r="L384" i="5"/>
  <c r="P383" i="5"/>
  <c r="L383" i="5"/>
  <c r="Q382" i="5"/>
  <c r="P382" i="5"/>
  <c r="N382" i="5"/>
  <c r="M382" i="5"/>
  <c r="L382" i="5"/>
  <c r="P381" i="5"/>
  <c r="L381" i="5"/>
  <c r="Q380" i="5"/>
  <c r="P380" i="5"/>
  <c r="N380" i="5"/>
  <c r="M380" i="5"/>
  <c r="L380" i="5"/>
  <c r="P379" i="5"/>
  <c r="L379" i="5"/>
  <c r="Q378" i="5"/>
  <c r="P378" i="5"/>
  <c r="N378" i="5"/>
  <c r="M378" i="5"/>
  <c r="L378" i="5"/>
  <c r="P377" i="5"/>
  <c r="L377" i="5"/>
  <c r="Q376" i="5"/>
  <c r="P376" i="5"/>
  <c r="N376" i="5"/>
  <c r="M376" i="5"/>
  <c r="L376" i="5"/>
  <c r="P375" i="5"/>
  <c r="L375" i="5"/>
  <c r="Q374" i="5"/>
  <c r="P374" i="5"/>
  <c r="N374" i="5"/>
  <c r="M374" i="5"/>
  <c r="L374" i="5"/>
  <c r="P373" i="5"/>
  <c r="L373" i="5"/>
  <c r="Q372" i="5"/>
  <c r="P372" i="5"/>
  <c r="N372" i="5"/>
  <c r="M372" i="5"/>
  <c r="L372" i="5"/>
  <c r="P371" i="5"/>
  <c r="L371" i="5"/>
  <c r="Q370" i="5"/>
  <c r="P370" i="5"/>
  <c r="N370" i="5"/>
  <c r="M370" i="5"/>
  <c r="L370" i="5"/>
  <c r="P369" i="5"/>
  <c r="N369" i="5"/>
  <c r="L369" i="5"/>
  <c r="Q368" i="5"/>
  <c r="P368" i="5"/>
  <c r="N368" i="5"/>
  <c r="M368" i="5"/>
  <c r="L368" i="5"/>
  <c r="P367" i="5"/>
  <c r="L367" i="5"/>
  <c r="Q366" i="5"/>
  <c r="P366" i="5"/>
  <c r="N366" i="5"/>
  <c r="M366" i="5"/>
  <c r="L366" i="5"/>
  <c r="P365" i="5"/>
  <c r="N365" i="5"/>
  <c r="L365" i="5"/>
  <c r="Q364" i="5"/>
  <c r="P364" i="5"/>
  <c r="N364" i="5"/>
  <c r="M364" i="5"/>
  <c r="L364" i="5"/>
  <c r="P363" i="5"/>
  <c r="L363" i="5"/>
  <c r="Q362" i="5"/>
  <c r="P362" i="5"/>
  <c r="N362" i="5"/>
  <c r="M362" i="5"/>
  <c r="L362" i="5"/>
  <c r="P361" i="5"/>
  <c r="L361" i="5"/>
  <c r="Q360" i="5"/>
  <c r="P360" i="5"/>
  <c r="N360" i="5"/>
  <c r="M360" i="5"/>
  <c r="L360" i="5"/>
  <c r="P359" i="5"/>
  <c r="L359" i="5"/>
  <c r="Q358" i="5"/>
  <c r="P358" i="5"/>
  <c r="N358" i="5"/>
  <c r="M358" i="5"/>
  <c r="L358" i="5"/>
  <c r="P357" i="5"/>
  <c r="L357" i="5"/>
  <c r="Q356" i="5"/>
  <c r="P356" i="5"/>
  <c r="N356" i="5"/>
  <c r="M356" i="5"/>
  <c r="L356" i="5"/>
  <c r="P355" i="5"/>
  <c r="P337" i="5" s="1"/>
  <c r="L355" i="5"/>
  <c r="Q354" i="5"/>
  <c r="P354" i="5"/>
  <c r="N354" i="5"/>
  <c r="M354" i="5"/>
  <c r="L354" i="5"/>
  <c r="P353" i="5"/>
  <c r="L353" i="5"/>
  <c r="Q352" i="5"/>
  <c r="P352" i="5"/>
  <c r="N352" i="5"/>
  <c r="M352" i="5"/>
  <c r="L352" i="5"/>
  <c r="P351" i="5"/>
  <c r="L351" i="5"/>
  <c r="Q350" i="5"/>
  <c r="P350" i="5"/>
  <c r="N350" i="5"/>
  <c r="M350" i="5"/>
  <c r="L350" i="5"/>
  <c r="P349" i="5"/>
  <c r="L349" i="5"/>
  <c r="Q348" i="5"/>
  <c r="P348" i="5"/>
  <c r="N348" i="5"/>
  <c r="M348" i="5"/>
  <c r="L348" i="5"/>
  <c r="P347" i="5"/>
  <c r="L347" i="5"/>
  <c r="Q346" i="5"/>
  <c r="P346" i="5"/>
  <c r="N346" i="5"/>
  <c r="M346" i="5"/>
  <c r="L346" i="5"/>
  <c r="P345" i="5"/>
  <c r="N345" i="5"/>
  <c r="L345" i="5"/>
  <c r="Q344" i="5"/>
  <c r="P344" i="5"/>
  <c r="N344" i="5"/>
  <c r="M344" i="5"/>
  <c r="L344" i="5"/>
  <c r="P343" i="5"/>
  <c r="L343" i="5"/>
  <c r="Q342" i="5"/>
  <c r="P342" i="5"/>
  <c r="N342" i="5"/>
  <c r="M342" i="5"/>
  <c r="L342" i="5"/>
  <c r="P341" i="5"/>
  <c r="N341" i="5"/>
  <c r="L341" i="5"/>
  <c r="Q340" i="5"/>
  <c r="P340" i="5"/>
  <c r="N340" i="5"/>
  <c r="M340" i="5"/>
  <c r="L340" i="5"/>
  <c r="P339" i="5"/>
  <c r="L339" i="5"/>
  <c r="Q338" i="5"/>
  <c r="P338" i="5"/>
  <c r="N338" i="5"/>
  <c r="M338" i="5"/>
  <c r="L338" i="5"/>
  <c r="L337" i="5"/>
  <c r="Q336" i="5"/>
  <c r="P336" i="5"/>
  <c r="N336" i="5"/>
  <c r="M336" i="5"/>
  <c r="L336" i="5"/>
  <c r="P335" i="5"/>
  <c r="L335" i="5"/>
  <c r="Q334" i="5"/>
  <c r="P334" i="5"/>
  <c r="N334" i="5"/>
  <c r="M334" i="5"/>
  <c r="L334" i="5"/>
  <c r="P333" i="5"/>
  <c r="N333" i="5"/>
  <c r="L333" i="5"/>
  <c r="Q332" i="5"/>
  <c r="P332" i="5"/>
  <c r="N332" i="5"/>
  <c r="M332" i="5"/>
  <c r="L332" i="5"/>
  <c r="P331" i="5"/>
  <c r="P329" i="5" s="1"/>
  <c r="P328" i="5" s="1"/>
  <c r="N331" i="5"/>
  <c r="L331" i="5"/>
  <c r="Q330" i="5"/>
  <c r="P330" i="5"/>
  <c r="N330" i="5"/>
  <c r="M330" i="5"/>
  <c r="L330" i="5"/>
  <c r="L329" i="5"/>
  <c r="L328" i="5"/>
  <c r="P327" i="5"/>
  <c r="L327" i="5"/>
  <c r="Q326" i="5"/>
  <c r="P326" i="5"/>
  <c r="N326" i="5"/>
  <c r="M326" i="5"/>
  <c r="L326" i="5"/>
  <c r="P325" i="5"/>
  <c r="N325" i="5"/>
  <c r="L325" i="5"/>
  <c r="M325" i="5" s="1"/>
  <c r="Q324" i="5"/>
  <c r="P324" i="5"/>
  <c r="N324" i="5"/>
  <c r="M324" i="5"/>
  <c r="L324" i="5"/>
  <c r="P323" i="5"/>
  <c r="N323" i="5"/>
  <c r="L323" i="5"/>
  <c r="Q322" i="5"/>
  <c r="P322" i="5"/>
  <c r="N322" i="5"/>
  <c r="M322" i="5"/>
  <c r="L322" i="5"/>
  <c r="Q321" i="5"/>
  <c r="P321" i="5"/>
  <c r="L321" i="5"/>
  <c r="M321" i="5" s="1"/>
  <c r="Q320" i="5"/>
  <c r="P320" i="5"/>
  <c r="N320" i="5"/>
  <c r="M320" i="5"/>
  <c r="L320" i="5"/>
  <c r="P319" i="5"/>
  <c r="L319" i="5"/>
  <c r="Q318" i="5"/>
  <c r="P318" i="5"/>
  <c r="N318" i="5"/>
  <c r="M318" i="5"/>
  <c r="L318" i="5"/>
  <c r="L317" i="5"/>
  <c r="Q316" i="5"/>
  <c r="P316" i="5"/>
  <c r="N316" i="5"/>
  <c r="M316" i="5"/>
  <c r="M315" i="5" s="1"/>
  <c r="L316" i="5"/>
  <c r="P315" i="5"/>
  <c r="N315" i="5"/>
  <c r="L315" i="5"/>
  <c r="Q314" i="5"/>
  <c r="P314" i="5"/>
  <c r="N314" i="5"/>
  <c r="M314" i="5"/>
  <c r="L314" i="5"/>
  <c r="P313" i="5"/>
  <c r="N313" i="5"/>
  <c r="L313" i="5"/>
  <c r="M313" i="5" s="1"/>
  <c r="Q312" i="5"/>
  <c r="P312" i="5"/>
  <c r="N312" i="5"/>
  <c r="M312" i="5"/>
  <c r="L312" i="5"/>
  <c r="P311" i="5"/>
  <c r="N311" i="5"/>
  <c r="L311" i="5"/>
  <c r="Q310" i="5"/>
  <c r="P310" i="5"/>
  <c r="N310" i="5"/>
  <c r="M310" i="5"/>
  <c r="L310" i="5"/>
  <c r="Q309" i="5"/>
  <c r="P309" i="5"/>
  <c r="L309" i="5"/>
  <c r="M309" i="5" s="1"/>
  <c r="Q308" i="5"/>
  <c r="P308" i="5"/>
  <c r="N308" i="5"/>
  <c r="M308" i="5"/>
  <c r="L308" i="5"/>
  <c r="P307" i="5"/>
  <c r="L307" i="5"/>
  <c r="Q306" i="5"/>
  <c r="P306" i="5"/>
  <c r="N306" i="5"/>
  <c r="M306" i="5"/>
  <c r="L306" i="5"/>
  <c r="P305" i="5"/>
  <c r="M305" i="5"/>
  <c r="L305" i="5"/>
  <c r="Q305" i="5" s="1"/>
  <c r="Q304" i="5"/>
  <c r="P304" i="5"/>
  <c r="N304" i="5"/>
  <c r="M304" i="5"/>
  <c r="L304" i="5"/>
  <c r="P303" i="5"/>
  <c r="N303" i="5"/>
  <c r="M303" i="5"/>
  <c r="L303" i="5"/>
  <c r="Q303" i="5" s="1"/>
  <c r="Q302" i="5"/>
  <c r="P302" i="5"/>
  <c r="N302" i="5"/>
  <c r="M302" i="5"/>
  <c r="L302" i="5"/>
  <c r="P301" i="5"/>
  <c r="L301" i="5"/>
  <c r="Q301" i="5" s="1"/>
  <c r="Q300" i="5"/>
  <c r="P300" i="5"/>
  <c r="N300" i="5"/>
  <c r="M300" i="5"/>
  <c r="L300" i="5"/>
  <c r="P299" i="5"/>
  <c r="N299" i="5"/>
  <c r="M299" i="5"/>
  <c r="L299" i="5"/>
  <c r="Q299" i="5" s="1"/>
  <c r="Q298" i="5"/>
  <c r="P298" i="5"/>
  <c r="N298" i="5"/>
  <c r="M298" i="5"/>
  <c r="L298" i="5"/>
  <c r="P297" i="5"/>
  <c r="M297" i="5"/>
  <c r="L297" i="5"/>
  <c r="Q297" i="5" s="1"/>
  <c r="L296" i="5"/>
  <c r="P295" i="5"/>
  <c r="N295" i="5"/>
  <c r="M295" i="5"/>
  <c r="L295" i="5"/>
  <c r="Q295" i="5" s="1"/>
  <c r="Q294" i="5"/>
  <c r="P294" i="5"/>
  <c r="P291" i="5" s="1"/>
  <c r="N294" i="5"/>
  <c r="M294" i="5"/>
  <c r="L294" i="5"/>
  <c r="P293" i="5"/>
  <c r="L293" i="5"/>
  <c r="Q293" i="5" s="1"/>
  <c r="Q292" i="5"/>
  <c r="P292" i="5"/>
  <c r="N292" i="5"/>
  <c r="M292" i="5"/>
  <c r="L292" i="5"/>
  <c r="L291" i="5"/>
  <c r="Q290" i="5"/>
  <c r="P290" i="5"/>
  <c r="N290" i="5"/>
  <c r="M290" i="5"/>
  <c r="L290" i="5"/>
  <c r="Q289" i="5"/>
  <c r="P289" i="5"/>
  <c r="N289" i="5"/>
  <c r="M289" i="5"/>
  <c r="L289" i="5"/>
  <c r="Q288" i="5"/>
  <c r="P288" i="5"/>
  <c r="N288" i="5"/>
  <c r="M288" i="5"/>
  <c r="L288" i="5"/>
  <c r="P287" i="5"/>
  <c r="M287" i="5"/>
  <c r="L287" i="5"/>
  <c r="Q287" i="5" s="1"/>
  <c r="Q286" i="5"/>
  <c r="P286" i="5"/>
  <c r="L286" i="5"/>
  <c r="N286" i="5" s="1"/>
  <c r="P285" i="5"/>
  <c r="N285" i="5"/>
  <c r="M285" i="5"/>
  <c r="L285" i="5"/>
  <c r="Q285" i="5" s="1"/>
  <c r="P284" i="5"/>
  <c r="L284" i="5"/>
  <c r="Q284" i="5" s="1"/>
  <c r="P283" i="5"/>
  <c r="M283" i="5"/>
  <c r="L283" i="5"/>
  <c r="Q283" i="5" s="1"/>
  <c r="Q282" i="5"/>
  <c r="P282" i="5"/>
  <c r="L282" i="5"/>
  <c r="N282" i="5" s="1"/>
  <c r="P281" i="5"/>
  <c r="N281" i="5"/>
  <c r="M281" i="5"/>
  <c r="L281" i="5"/>
  <c r="Q281" i="5" s="1"/>
  <c r="P280" i="5"/>
  <c r="L280" i="5"/>
  <c r="Q280" i="5" s="1"/>
  <c r="P279" i="5"/>
  <c r="M279" i="5"/>
  <c r="L279" i="5"/>
  <c r="Q279" i="5" s="1"/>
  <c r="Q278" i="5"/>
  <c r="P278" i="5"/>
  <c r="L278" i="5"/>
  <c r="N278" i="5" s="1"/>
  <c r="P277" i="5"/>
  <c r="N277" i="5"/>
  <c r="M277" i="5"/>
  <c r="L277" i="5"/>
  <c r="Q277" i="5" s="1"/>
  <c r="P276" i="5"/>
  <c r="L276" i="5"/>
  <c r="Q276" i="5" s="1"/>
  <c r="P275" i="5"/>
  <c r="M275" i="5"/>
  <c r="L275" i="5"/>
  <c r="Q275" i="5" s="1"/>
  <c r="Q274" i="5"/>
  <c r="P274" i="5"/>
  <c r="L274" i="5"/>
  <c r="N274" i="5" s="1"/>
  <c r="P273" i="5"/>
  <c r="N273" i="5"/>
  <c r="M273" i="5"/>
  <c r="L273" i="5"/>
  <c r="Q273" i="5" s="1"/>
  <c r="P272" i="5"/>
  <c r="L272" i="5"/>
  <c r="Q272" i="5" s="1"/>
  <c r="P271" i="5"/>
  <c r="M271" i="5"/>
  <c r="L271" i="5"/>
  <c r="Q271" i="5" s="1"/>
  <c r="Q270" i="5"/>
  <c r="P270" i="5"/>
  <c r="L270" i="5"/>
  <c r="N270" i="5" s="1"/>
  <c r="P269" i="5"/>
  <c r="N269" i="5"/>
  <c r="M269" i="5"/>
  <c r="L269" i="5"/>
  <c r="Q269" i="5" s="1"/>
  <c r="P268" i="5"/>
  <c r="L268" i="5"/>
  <c r="Q268" i="5" s="1"/>
  <c r="P267" i="5"/>
  <c r="M267" i="5"/>
  <c r="L267" i="5"/>
  <c r="Q267" i="5" s="1"/>
  <c r="Q266" i="5"/>
  <c r="P266" i="5"/>
  <c r="L266" i="5"/>
  <c r="N266" i="5" s="1"/>
  <c r="P265" i="5"/>
  <c r="N265" i="5"/>
  <c r="M265" i="5"/>
  <c r="L265" i="5"/>
  <c r="Q265" i="5" s="1"/>
  <c r="P264" i="5"/>
  <c r="L264" i="5"/>
  <c r="Q264" i="5" s="1"/>
  <c r="P263" i="5"/>
  <c r="M263" i="5"/>
  <c r="L263" i="5"/>
  <c r="Q263" i="5" s="1"/>
  <c r="Q262" i="5"/>
  <c r="P262" i="5"/>
  <c r="L262" i="5"/>
  <c r="N262" i="5" s="1"/>
  <c r="P261" i="5"/>
  <c r="N261" i="5"/>
  <c r="M261" i="5"/>
  <c r="L261" i="5"/>
  <c r="Q261" i="5" s="1"/>
  <c r="P260" i="5"/>
  <c r="L260" i="5"/>
  <c r="Q260" i="5" s="1"/>
  <c r="P259" i="5"/>
  <c r="M259" i="5"/>
  <c r="L259" i="5"/>
  <c r="Q259" i="5" s="1"/>
  <c r="Q258" i="5"/>
  <c r="P258" i="5"/>
  <c r="L258" i="5"/>
  <c r="N258" i="5" s="1"/>
  <c r="P257" i="5"/>
  <c r="N257" i="5"/>
  <c r="M257" i="5"/>
  <c r="L257" i="5"/>
  <c r="Q257" i="5" s="1"/>
  <c r="P256" i="5"/>
  <c r="L256" i="5"/>
  <c r="Q256" i="5" s="1"/>
  <c r="L255" i="5"/>
  <c r="Q254" i="5"/>
  <c r="P254" i="5"/>
  <c r="L254" i="5"/>
  <c r="N254" i="5" s="1"/>
  <c r="P253" i="5"/>
  <c r="N253" i="5"/>
  <c r="M253" i="5"/>
  <c r="L253" i="5"/>
  <c r="Q253" i="5" s="1"/>
  <c r="P252" i="5"/>
  <c r="L252" i="5"/>
  <c r="Q252" i="5" s="1"/>
  <c r="P251" i="5"/>
  <c r="M251" i="5"/>
  <c r="L251" i="5"/>
  <c r="Q251" i="5" s="1"/>
  <c r="Q250" i="5"/>
  <c r="P250" i="5"/>
  <c r="L250" i="5"/>
  <c r="N250" i="5" s="1"/>
  <c r="P249" i="5"/>
  <c r="N249" i="5"/>
  <c r="M249" i="5"/>
  <c r="L249" i="5"/>
  <c r="Q249" i="5" s="1"/>
  <c r="P248" i="5"/>
  <c r="M248" i="5"/>
  <c r="L248" i="5"/>
  <c r="Q248" i="5" s="1"/>
  <c r="P247" i="5"/>
  <c r="M247" i="5"/>
  <c r="L247" i="5"/>
  <c r="Q247" i="5" s="1"/>
  <c r="Q246" i="5"/>
  <c r="P246" i="5"/>
  <c r="L246" i="5"/>
  <c r="N246" i="5" s="1"/>
  <c r="P245" i="5"/>
  <c r="N245" i="5"/>
  <c r="M245" i="5"/>
  <c r="L245" i="5"/>
  <c r="Q245" i="5" s="1"/>
  <c r="P244" i="5"/>
  <c r="M244" i="5"/>
  <c r="L244" i="5"/>
  <c r="Q244" i="5" s="1"/>
  <c r="P243" i="5"/>
  <c r="M243" i="5"/>
  <c r="L243" i="5"/>
  <c r="Q243" i="5" s="1"/>
  <c r="Q242" i="5"/>
  <c r="P242" i="5"/>
  <c r="L242" i="5"/>
  <c r="N242" i="5" s="1"/>
  <c r="P241" i="5"/>
  <c r="N241" i="5"/>
  <c r="M241" i="5"/>
  <c r="L241" i="5"/>
  <c r="Q241" i="5" s="1"/>
  <c r="P240" i="5"/>
  <c r="L240" i="5"/>
  <c r="P239" i="5"/>
  <c r="M239" i="5"/>
  <c r="L239" i="5"/>
  <c r="Q239" i="5" s="1"/>
  <c r="Q238" i="5"/>
  <c r="P238" i="5"/>
  <c r="L238" i="5"/>
  <c r="N238" i="5" s="1"/>
  <c r="P237" i="5"/>
  <c r="N237" i="5"/>
  <c r="M237" i="5"/>
  <c r="L237" i="5"/>
  <c r="Q237" i="5" s="1"/>
  <c r="P236" i="5"/>
  <c r="M236" i="5"/>
  <c r="L236" i="5"/>
  <c r="Q236" i="5" s="1"/>
  <c r="P235" i="5"/>
  <c r="M235" i="5"/>
  <c r="L235" i="5"/>
  <c r="Q235" i="5" s="1"/>
  <c r="Q234" i="5"/>
  <c r="P234" i="5"/>
  <c r="L234" i="5"/>
  <c r="N234" i="5" s="1"/>
  <c r="P233" i="5"/>
  <c r="N233" i="5"/>
  <c r="M233" i="5"/>
  <c r="L233" i="5"/>
  <c r="Q233" i="5" s="1"/>
  <c r="P232" i="5"/>
  <c r="M232" i="5"/>
  <c r="L232" i="5"/>
  <c r="Q232" i="5" s="1"/>
  <c r="P231" i="5"/>
  <c r="M231" i="5"/>
  <c r="L231" i="5"/>
  <c r="Q231" i="5" s="1"/>
  <c r="Q230" i="5"/>
  <c r="P230" i="5"/>
  <c r="L230" i="5"/>
  <c r="N230" i="5" s="1"/>
  <c r="P229" i="5"/>
  <c r="N229" i="5"/>
  <c r="M229" i="5"/>
  <c r="L229" i="5"/>
  <c r="Q229" i="5" s="1"/>
  <c r="P228" i="5"/>
  <c r="P226" i="5" s="1"/>
  <c r="M228" i="5"/>
  <c r="L228" i="5"/>
  <c r="Q228" i="5" s="1"/>
  <c r="P227" i="5"/>
  <c r="M227" i="5"/>
  <c r="L227" i="5"/>
  <c r="Q227" i="5" s="1"/>
  <c r="L226" i="5"/>
  <c r="L225" i="5"/>
  <c r="P224" i="5"/>
  <c r="P222" i="5" s="1"/>
  <c r="M224" i="5"/>
  <c r="L224" i="5"/>
  <c r="Q224" i="5" s="1"/>
  <c r="P223" i="5"/>
  <c r="M223" i="5"/>
  <c r="M222" i="5" s="1"/>
  <c r="L223" i="5"/>
  <c r="Q223" i="5" s="1"/>
  <c r="Q222" i="5" s="1"/>
  <c r="L222" i="5"/>
  <c r="N221" i="5"/>
  <c r="M221" i="5"/>
  <c r="L221" i="5"/>
  <c r="L220" i="5"/>
  <c r="N219" i="5"/>
  <c r="L219" i="5"/>
  <c r="M219" i="5" s="1"/>
  <c r="E219" i="5"/>
  <c r="E221" i="5" s="1"/>
  <c r="M218" i="5"/>
  <c r="L218" i="5"/>
  <c r="N218" i="5" s="1"/>
  <c r="Q217" i="5"/>
  <c r="P217" i="5"/>
  <c r="N217" i="5"/>
  <c r="M217" i="5"/>
  <c r="L217" i="5"/>
  <c r="E217" i="5"/>
  <c r="N216" i="5"/>
  <c r="L216" i="5"/>
  <c r="M216" i="5" s="1"/>
  <c r="L215" i="5"/>
  <c r="P214" i="5"/>
  <c r="M214" i="5"/>
  <c r="L214" i="5"/>
  <c r="Q214" i="5" s="1"/>
  <c r="P213" i="5"/>
  <c r="M213" i="5"/>
  <c r="L213" i="5"/>
  <c r="Q213" i="5" s="1"/>
  <c r="Q212" i="5"/>
  <c r="P212" i="5"/>
  <c r="M212" i="5"/>
  <c r="L212" i="5"/>
  <c r="N212" i="5" s="1"/>
  <c r="P211" i="5"/>
  <c r="N211" i="5"/>
  <c r="M211" i="5"/>
  <c r="L211" i="5"/>
  <c r="Q211" i="5" s="1"/>
  <c r="P210" i="5"/>
  <c r="M210" i="5"/>
  <c r="L210" i="5"/>
  <c r="Q210" i="5" s="1"/>
  <c r="P209" i="5"/>
  <c r="M209" i="5"/>
  <c r="L209" i="5"/>
  <c r="Q209" i="5" s="1"/>
  <c r="Q208" i="5"/>
  <c r="P208" i="5"/>
  <c r="M208" i="5"/>
  <c r="L208" i="5"/>
  <c r="N208" i="5" s="1"/>
  <c r="P207" i="5"/>
  <c r="N207" i="5"/>
  <c r="M207" i="5"/>
  <c r="L207" i="5"/>
  <c r="Q207" i="5" s="1"/>
  <c r="P206" i="5"/>
  <c r="P205" i="5" s="1"/>
  <c r="M206" i="5"/>
  <c r="L206" i="5"/>
  <c r="Q206" i="5" s="1"/>
  <c r="M205" i="5"/>
  <c r="L205" i="5"/>
  <c r="Q204" i="5"/>
  <c r="P204" i="5"/>
  <c r="M204" i="5"/>
  <c r="L204" i="5"/>
  <c r="N204" i="5" s="1"/>
  <c r="P203" i="5"/>
  <c r="N203" i="5"/>
  <c r="M203" i="5"/>
  <c r="L203" i="5"/>
  <c r="Q203" i="5" s="1"/>
  <c r="P202" i="5"/>
  <c r="M202" i="5"/>
  <c r="L202" i="5"/>
  <c r="Q202" i="5" s="1"/>
  <c r="P201" i="5"/>
  <c r="M201" i="5"/>
  <c r="L201" i="5"/>
  <c r="Q201" i="5" s="1"/>
  <c r="Q200" i="5"/>
  <c r="P200" i="5"/>
  <c r="M200" i="5"/>
  <c r="L200" i="5"/>
  <c r="N200" i="5" s="1"/>
  <c r="P199" i="5"/>
  <c r="N199" i="5"/>
  <c r="M199" i="5"/>
  <c r="L199" i="5"/>
  <c r="Q199" i="5" s="1"/>
  <c r="P198" i="5"/>
  <c r="M198" i="5"/>
  <c r="L198" i="5"/>
  <c r="Q198" i="5" s="1"/>
  <c r="P197" i="5"/>
  <c r="M197" i="5"/>
  <c r="L197" i="5"/>
  <c r="Q197" i="5" s="1"/>
  <c r="Q196" i="5"/>
  <c r="P196" i="5"/>
  <c r="M196" i="5"/>
  <c r="L196" i="5"/>
  <c r="N196" i="5" s="1"/>
  <c r="P195" i="5"/>
  <c r="N195" i="5"/>
  <c r="M195" i="5"/>
  <c r="L195" i="5"/>
  <c r="Q195" i="5" s="1"/>
  <c r="P194" i="5"/>
  <c r="M194" i="5"/>
  <c r="L194" i="5"/>
  <c r="Q194" i="5" s="1"/>
  <c r="P193" i="5"/>
  <c r="M193" i="5"/>
  <c r="L193" i="5"/>
  <c r="Q193" i="5" s="1"/>
  <c r="Q192" i="5"/>
  <c r="P192" i="5"/>
  <c r="M192" i="5"/>
  <c r="L192" i="5"/>
  <c r="N192" i="5" s="1"/>
  <c r="P191" i="5"/>
  <c r="N191" i="5"/>
  <c r="M191" i="5"/>
  <c r="L191" i="5"/>
  <c r="Q191" i="5" s="1"/>
  <c r="P190" i="5"/>
  <c r="M190" i="5"/>
  <c r="L190" i="5"/>
  <c r="Q190" i="5" s="1"/>
  <c r="P189" i="5"/>
  <c r="M189" i="5"/>
  <c r="L189" i="5"/>
  <c r="Q189" i="5" s="1"/>
  <c r="Q188" i="5"/>
  <c r="P188" i="5"/>
  <c r="M188" i="5"/>
  <c r="L188" i="5"/>
  <c r="N188" i="5" s="1"/>
  <c r="P187" i="5"/>
  <c r="N187" i="5"/>
  <c r="M187" i="5"/>
  <c r="L187" i="5"/>
  <c r="Q187" i="5" s="1"/>
  <c r="P186" i="5"/>
  <c r="M186" i="5"/>
  <c r="L186" i="5"/>
  <c r="Q186" i="5" s="1"/>
  <c r="P185" i="5"/>
  <c r="M185" i="5"/>
  <c r="L185" i="5"/>
  <c r="Q185" i="5" s="1"/>
  <c r="Q184" i="5"/>
  <c r="P184" i="5"/>
  <c r="L184" i="5"/>
  <c r="N184" i="5" s="1"/>
  <c r="P183" i="5"/>
  <c r="N183" i="5"/>
  <c r="M183" i="5"/>
  <c r="L183" i="5"/>
  <c r="Q183" i="5" s="1"/>
  <c r="P182" i="5"/>
  <c r="M182" i="5"/>
  <c r="L182" i="5"/>
  <c r="Q182" i="5" s="1"/>
  <c r="P181" i="5"/>
  <c r="M181" i="5"/>
  <c r="L181" i="5"/>
  <c r="Q181" i="5" s="1"/>
  <c r="Q180" i="5"/>
  <c r="P180" i="5"/>
  <c r="P179" i="5" s="1"/>
  <c r="P178" i="5" s="1"/>
  <c r="L180" i="5"/>
  <c r="N180" i="5" s="1"/>
  <c r="L179" i="5"/>
  <c r="L178" i="5"/>
  <c r="P177" i="5"/>
  <c r="M177" i="5"/>
  <c r="L177" i="5"/>
  <c r="Q177" i="5" s="1"/>
  <c r="Q176" i="5"/>
  <c r="P176" i="5"/>
  <c r="P175" i="5" s="1"/>
  <c r="L176" i="5"/>
  <c r="N176" i="5" s="1"/>
  <c r="L175" i="5"/>
  <c r="P174" i="5"/>
  <c r="M174" i="5"/>
  <c r="L174" i="5"/>
  <c r="Q174" i="5" s="1"/>
  <c r="P173" i="5"/>
  <c r="M173" i="5"/>
  <c r="L173" i="5"/>
  <c r="Q173" i="5" s="1"/>
  <c r="Q172" i="5"/>
  <c r="P172" i="5"/>
  <c r="L172" i="5"/>
  <c r="N172" i="5" s="1"/>
  <c r="P171" i="5"/>
  <c r="N171" i="5"/>
  <c r="M171" i="5"/>
  <c r="L171" i="5"/>
  <c r="Q171" i="5" s="1"/>
  <c r="P170" i="5"/>
  <c r="L170" i="5"/>
  <c r="P169" i="5"/>
  <c r="M169" i="5"/>
  <c r="L169" i="5"/>
  <c r="Q169" i="5" s="1"/>
  <c r="Q168" i="5"/>
  <c r="P168" i="5"/>
  <c r="M168" i="5"/>
  <c r="L168" i="5"/>
  <c r="N168" i="5" s="1"/>
  <c r="P167" i="5"/>
  <c r="N167" i="5"/>
  <c r="M167" i="5"/>
  <c r="L167" i="5"/>
  <c r="Q167" i="5" s="1"/>
  <c r="P166" i="5"/>
  <c r="P165" i="5" s="1"/>
  <c r="M166" i="5"/>
  <c r="L166" i="5"/>
  <c r="Q166" i="5" s="1"/>
  <c r="M165" i="5"/>
  <c r="L165" i="5"/>
  <c r="Q164" i="5"/>
  <c r="P164" i="5"/>
  <c r="M164" i="5"/>
  <c r="L164" i="5"/>
  <c r="N164" i="5" s="1"/>
  <c r="P163" i="5"/>
  <c r="N163" i="5"/>
  <c r="M163" i="5"/>
  <c r="L163" i="5"/>
  <c r="Q163" i="5" s="1"/>
  <c r="P162" i="5"/>
  <c r="M162" i="5"/>
  <c r="L162" i="5"/>
  <c r="Q162" i="5" s="1"/>
  <c r="P161" i="5"/>
  <c r="M161" i="5"/>
  <c r="L161" i="5"/>
  <c r="Q161" i="5" s="1"/>
  <c r="Q160" i="5"/>
  <c r="P160" i="5"/>
  <c r="M160" i="5"/>
  <c r="L160" i="5"/>
  <c r="N160" i="5" s="1"/>
  <c r="P159" i="5"/>
  <c r="N159" i="5"/>
  <c r="M159" i="5"/>
  <c r="L159" i="5"/>
  <c r="Q159" i="5" s="1"/>
  <c r="P158" i="5"/>
  <c r="P156" i="5" s="1"/>
  <c r="P155" i="5" s="1"/>
  <c r="M158" i="5"/>
  <c r="L158" i="5"/>
  <c r="Q158" i="5" s="1"/>
  <c r="P157" i="5"/>
  <c r="M157" i="5"/>
  <c r="M156" i="5" s="1"/>
  <c r="M155" i="5" s="1"/>
  <c r="L157" i="5"/>
  <c r="Q157" i="5" s="1"/>
  <c r="L156" i="5"/>
  <c r="L155" i="5"/>
  <c r="P154" i="5"/>
  <c r="M154" i="5"/>
  <c r="L154" i="5"/>
  <c r="Q154" i="5" s="1"/>
  <c r="P153" i="5"/>
  <c r="M153" i="5"/>
  <c r="L153" i="5"/>
  <c r="Q153" i="5" s="1"/>
  <c r="Q152" i="5"/>
  <c r="P152" i="5"/>
  <c r="M152" i="5"/>
  <c r="L152" i="5"/>
  <c r="N152" i="5" s="1"/>
  <c r="P151" i="5"/>
  <c r="N151" i="5"/>
  <c r="M151" i="5"/>
  <c r="L151" i="5"/>
  <c r="Q151" i="5" s="1"/>
  <c r="M150" i="5"/>
  <c r="L150" i="5"/>
  <c r="N150" i="5" s="1"/>
  <c r="N149" i="5"/>
  <c r="M149" i="5"/>
  <c r="M148" i="5" s="1"/>
  <c r="L149" i="5"/>
  <c r="E149" i="5"/>
  <c r="L148" i="5"/>
  <c r="P147" i="5"/>
  <c r="L147" i="5"/>
  <c r="N147" i="5" s="1"/>
  <c r="P146" i="5"/>
  <c r="M146" i="5"/>
  <c r="L146" i="5"/>
  <c r="Q146" i="5" s="1"/>
  <c r="P145" i="5"/>
  <c r="N145" i="5"/>
  <c r="L145" i="5"/>
  <c r="Q145" i="5" s="1"/>
  <c r="P144" i="5"/>
  <c r="L144" i="5"/>
  <c r="Q144" i="5" s="1"/>
  <c r="L143" i="5"/>
  <c r="N143" i="5" s="1"/>
  <c r="P142" i="5"/>
  <c r="N142" i="5"/>
  <c r="M142" i="5"/>
  <c r="L142" i="5"/>
  <c r="E142" i="5"/>
  <c r="L141" i="5"/>
  <c r="L140" i="5"/>
  <c r="L139" i="5"/>
  <c r="P138" i="5"/>
  <c r="L138" i="5"/>
  <c r="N138" i="5" s="1"/>
  <c r="P137" i="5"/>
  <c r="M137" i="5"/>
  <c r="L137" i="5"/>
  <c r="Q137" i="5" s="1"/>
  <c r="P136" i="5"/>
  <c r="L136" i="5"/>
  <c r="Q136" i="5" s="1"/>
  <c r="P135" i="5"/>
  <c r="L135" i="5"/>
  <c r="Q135" i="5" s="1"/>
  <c r="P134" i="5"/>
  <c r="L134" i="5"/>
  <c r="N134" i="5" s="1"/>
  <c r="P133" i="5"/>
  <c r="P131" i="5" s="1"/>
  <c r="M133" i="5"/>
  <c r="L133" i="5"/>
  <c r="Q133" i="5" s="1"/>
  <c r="P132" i="5"/>
  <c r="L132" i="5"/>
  <c r="Q132" i="5" s="1"/>
  <c r="L131" i="5"/>
  <c r="P130" i="5"/>
  <c r="L130" i="5"/>
  <c r="N130" i="5" s="1"/>
  <c r="P129" i="5"/>
  <c r="M129" i="5"/>
  <c r="L129" i="5"/>
  <c r="Q129" i="5" s="1"/>
  <c r="P128" i="5"/>
  <c r="L128" i="5"/>
  <c r="Q128" i="5" s="1"/>
  <c r="P127" i="5"/>
  <c r="L127" i="5"/>
  <c r="Q127" i="5" s="1"/>
  <c r="P126" i="5"/>
  <c r="L126" i="5"/>
  <c r="N126" i="5" s="1"/>
  <c r="P125" i="5"/>
  <c r="M125" i="5"/>
  <c r="L125" i="5"/>
  <c r="Q125" i="5" s="1"/>
  <c r="P124" i="5"/>
  <c r="L124" i="5"/>
  <c r="Q124" i="5" s="1"/>
  <c r="P123" i="5"/>
  <c r="L123" i="5"/>
  <c r="Q123" i="5" s="1"/>
  <c r="P122" i="5"/>
  <c r="L122" i="5"/>
  <c r="N122" i="5" s="1"/>
  <c r="P121" i="5"/>
  <c r="P120" i="5" s="1"/>
  <c r="M121" i="5"/>
  <c r="L121" i="5"/>
  <c r="Q121" i="5" s="1"/>
  <c r="L120" i="5"/>
  <c r="P119" i="5"/>
  <c r="L119" i="5"/>
  <c r="Q119" i="5" s="1"/>
  <c r="P118" i="5"/>
  <c r="L118" i="5"/>
  <c r="N118" i="5" s="1"/>
  <c r="P117" i="5"/>
  <c r="M117" i="5"/>
  <c r="L117" i="5"/>
  <c r="Q117" i="5" s="1"/>
  <c r="P116" i="5"/>
  <c r="L116" i="5"/>
  <c r="Q116" i="5" s="1"/>
  <c r="P115" i="5"/>
  <c r="L115" i="5"/>
  <c r="Q115" i="5" s="1"/>
  <c r="P114" i="5"/>
  <c r="L114" i="5"/>
  <c r="N114" i="5" s="1"/>
  <c r="P113" i="5"/>
  <c r="M113" i="5"/>
  <c r="L113" i="5"/>
  <c r="Q113" i="5" s="1"/>
  <c r="P112" i="5"/>
  <c r="L112" i="5"/>
  <c r="Q112" i="5" s="1"/>
  <c r="P111" i="5"/>
  <c r="L111" i="5"/>
  <c r="Q111" i="5" s="1"/>
  <c r="P110" i="5"/>
  <c r="L110" i="5"/>
  <c r="N110" i="5" s="1"/>
  <c r="P109" i="5"/>
  <c r="M109" i="5"/>
  <c r="L109" i="5"/>
  <c r="Q109" i="5" s="1"/>
  <c r="P108" i="5"/>
  <c r="P107" i="5" s="1"/>
  <c r="L108" i="5"/>
  <c r="Q108" i="5" s="1"/>
  <c r="L107" i="5"/>
  <c r="P106" i="5"/>
  <c r="L106" i="5"/>
  <c r="N106" i="5" s="1"/>
  <c r="P105" i="5"/>
  <c r="M105" i="5"/>
  <c r="L105" i="5"/>
  <c r="Q105" i="5" s="1"/>
  <c r="P104" i="5"/>
  <c r="L104" i="5"/>
  <c r="Q104" i="5" s="1"/>
  <c r="P103" i="5"/>
  <c r="L103" i="5"/>
  <c r="Q103" i="5" s="1"/>
  <c r="P102" i="5"/>
  <c r="L102" i="5"/>
  <c r="N102" i="5" s="1"/>
  <c r="P101" i="5"/>
  <c r="M101" i="5"/>
  <c r="L101" i="5"/>
  <c r="Q101" i="5" s="1"/>
  <c r="P100" i="5"/>
  <c r="L100" i="5"/>
  <c r="Q100" i="5" s="1"/>
  <c r="P99" i="5"/>
  <c r="L99" i="5"/>
  <c r="Q99" i="5" s="1"/>
  <c r="P98" i="5"/>
  <c r="L98" i="5"/>
  <c r="N98" i="5" s="1"/>
  <c r="P97" i="5"/>
  <c r="M97" i="5"/>
  <c r="L97" i="5"/>
  <c r="Q97" i="5" s="1"/>
  <c r="P96" i="5"/>
  <c r="N96" i="5"/>
  <c r="L96" i="5"/>
  <c r="Q96" i="5" s="1"/>
  <c r="L95" i="5"/>
  <c r="L94" i="5"/>
  <c r="P93" i="5"/>
  <c r="M93" i="5"/>
  <c r="L93" i="5"/>
  <c r="Q93" i="5" s="1"/>
  <c r="G93" i="5"/>
  <c r="N93" i="5" s="1"/>
  <c r="P92" i="5"/>
  <c r="L92" i="5"/>
  <c r="Q92" i="5" s="1"/>
  <c r="P91" i="5"/>
  <c r="L91" i="5"/>
  <c r="Q91" i="5" s="1"/>
  <c r="G91" i="5"/>
  <c r="N91" i="5" s="1"/>
  <c r="F91" i="5"/>
  <c r="M91" i="5" s="1"/>
  <c r="Q90" i="5"/>
  <c r="P90" i="5"/>
  <c r="L90" i="5"/>
  <c r="P89" i="5"/>
  <c r="L89" i="5"/>
  <c r="Q89" i="5" s="1"/>
  <c r="P88" i="5"/>
  <c r="L88" i="5"/>
  <c r="Q88" i="5" s="1"/>
  <c r="Q87" i="5"/>
  <c r="P87" i="5"/>
  <c r="L87" i="5"/>
  <c r="Q86" i="5"/>
  <c r="P86" i="5"/>
  <c r="M86" i="5"/>
  <c r="L86" i="5"/>
  <c r="G86" i="5"/>
  <c r="N86" i="5" s="1"/>
  <c r="F86" i="5"/>
  <c r="P85" i="5"/>
  <c r="L85" i="5"/>
  <c r="Q85" i="5" s="1"/>
  <c r="Q84" i="5"/>
  <c r="P84" i="5"/>
  <c r="L84" i="5"/>
  <c r="F84" i="5"/>
  <c r="M84" i="5" s="1"/>
  <c r="L83" i="5"/>
  <c r="E83" i="5"/>
  <c r="P82" i="5"/>
  <c r="N82" i="5"/>
  <c r="M82" i="5"/>
  <c r="L82" i="5"/>
  <c r="Q82" i="5" s="1"/>
  <c r="G82" i="5"/>
  <c r="F82" i="5"/>
  <c r="P81" i="5"/>
  <c r="M81" i="5"/>
  <c r="L81" i="5"/>
  <c r="Q81" i="5" s="1"/>
  <c r="G81" i="5"/>
  <c r="N81" i="5" s="1"/>
  <c r="F81" i="5"/>
  <c r="P80" i="5"/>
  <c r="L80" i="5"/>
  <c r="Q80" i="5" s="1"/>
  <c r="F80" i="5"/>
  <c r="G80" i="5" s="1"/>
  <c r="L79" i="5"/>
  <c r="P78" i="5"/>
  <c r="L78" i="5"/>
  <c r="Q78" i="5" s="1"/>
  <c r="P77" i="5"/>
  <c r="L77" i="5"/>
  <c r="Q77" i="5" s="1"/>
  <c r="G77" i="5"/>
  <c r="N77" i="5" s="1"/>
  <c r="F77" i="5"/>
  <c r="M77" i="5" s="1"/>
  <c r="Q76" i="5"/>
  <c r="P76" i="5"/>
  <c r="L76" i="5"/>
  <c r="Q75" i="5"/>
  <c r="P75" i="5"/>
  <c r="L75" i="5"/>
  <c r="P74" i="5"/>
  <c r="L74" i="5"/>
  <c r="Q74" i="5" s="1"/>
  <c r="Q73" i="5"/>
  <c r="P73" i="5"/>
  <c r="L73" i="5"/>
  <c r="P72" i="5"/>
  <c r="L72" i="5"/>
  <c r="Q72" i="5" s="1"/>
  <c r="P71" i="5"/>
  <c r="L71" i="5"/>
  <c r="Q71" i="5" s="1"/>
  <c r="P70" i="5"/>
  <c r="L70" i="5"/>
  <c r="Q70" i="5" s="1"/>
  <c r="P69" i="5"/>
  <c r="M69" i="5"/>
  <c r="L69" i="5"/>
  <c r="Q69" i="5" s="1"/>
  <c r="G69" i="5"/>
  <c r="N69" i="5" s="1"/>
  <c r="F69" i="5"/>
  <c r="P68" i="5"/>
  <c r="M68" i="5"/>
  <c r="L68" i="5"/>
  <c r="G68" i="5"/>
  <c r="N68" i="5" s="1"/>
  <c r="F68" i="5"/>
  <c r="E68" i="5"/>
  <c r="Q68" i="5" s="1"/>
  <c r="P67" i="5"/>
  <c r="M67" i="5"/>
  <c r="L67" i="5"/>
  <c r="Q67" i="5" s="1"/>
  <c r="G67" i="5"/>
  <c r="N67" i="5" s="1"/>
  <c r="F67" i="5"/>
  <c r="P66" i="5"/>
  <c r="L66" i="5"/>
  <c r="Q66" i="5" s="1"/>
  <c r="G66" i="5"/>
  <c r="N66" i="5" s="1"/>
  <c r="F66" i="5"/>
  <c r="M66" i="5" s="1"/>
  <c r="Q65" i="5"/>
  <c r="P65" i="5"/>
  <c r="L65" i="5"/>
  <c r="G65" i="5"/>
  <c r="N65" i="5" s="1"/>
  <c r="F65" i="5"/>
  <c r="M65" i="5" s="1"/>
  <c r="P64" i="5"/>
  <c r="L64" i="5"/>
  <c r="Q64" i="5" s="1"/>
  <c r="F64" i="5"/>
  <c r="L63" i="5"/>
  <c r="L62" i="5"/>
  <c r="P61" i="5"/>
  <c r="M61" i="5"/>
  <c r="L61" i="5"/>
  <c r="Q61" i="5" s="1"/>
  <c r="G61" i="5"/>
  <c r="N61" i="5" s="1"/>
  <c r="P60" i="5"/>
  <c r="L60" i="5"/>
  <c r="Q60" i="5" s="1"/>
  <c r="P59" i="5"/>
  <c r="L59" i="5"/>
  <c r="Q59" i="5" s="1"/>
  <c r="M58" i="5"/>
  <c r="L58" i="5"/>
  <c r="G58" i="5"/>
  <c r="N58" i="5" s="1"/>
  <c r="E58" i="5"/>
  <c r="Q58" i="5" s="1"/>
  <c r="P57" i="5"/>
  <c r="M57" i="5"/>
  <c r="L57" i="5"/>
  <c r="Q57" i="5" s="1"/>
  <c r="G57" i="5"/>
  <c r="N57" i="5" s="1"/>
  <c r="Q56" i="5"/>
  <c r="P56" i="5"/>
  <c r="L56" i="5"/>
  <c r="Q55" i="5"/>
  <c r="P55" i="5"/>
  <c r="M55" i="5"/>
  <c r="L55" i="5"/>
  <c r="G55" i="5"/>
  <c r="N55" i="5" s="1"/>
  <c r="Q54" i="5"/>
  <c r="P54" i="5"/>
  <c r="N54" i="5"/>
  <c r="M54" i="5"/>
  <c r="L54" i="5"/>
  <c r="L53" i="5"/>
  <c r="L52" i="5"/>
  <c r="Q51" i="5"/>
  <c r="P51" i="5"/>
  <c r="L51" i="5"/>
  <c r="E51" i="5"/>
  <c r="Q50" i="5"/>
  <c r="P50" i="5"/>
  <c r="L50" i="5"/>
  <c r="Q49" i="5"/>
  <c r="P49" i="5"/>
  <c r="L49" i="5"/>
  <c r="P48" i="5"/>
  <c r="L48" i="5"/>
  <c r="M48" i="5" s="1"/>
  <c r="G48" i="5"/>
  <c r="N48" i="5" s="1"/>
  <c r="P47" i="5"/>
  <c r="N47" i="5"/>
  <c r="M47" i="5"/>
  <c r="L47" i="5"/>
  <c r="Q47" i="5" s="1"/>
  <c r="G47" i="5"/>
  <c r="P46" i="5"/>
  <c r="L46" i="5"/>
  <c r="G46" i="5"/>
  <c r="P45" i="5"/>
  <c r="L45" i="5"/>
  <c r="Q45" i="5" s="1"/>
  <c r="G45" i="5"/>
  <c r="N45" i="5" s="1"/>
  <c r="P44" i="5"/>
  <c r="M44" i="5"/>
  <c r="L44" i="5"/>
  <c r="Q44" i="5" s="1"/>
  <c r="G44" i="5"/>
  <c r="N44" i="5" s="1"/>
  <c r="L43" i="5"/>
  <c r="Q42" i="5"/>
  <c r="P42" i="5"/>
  <c r="N42" i="5"/>
  <c r="M42" i="5"/>
  <c r="L42" i="5"/>
  <c r="G42" i="5"/>
  <c r="P41" i="5"/>
  <c r="M41" i="5"/>
  <c r="L41" i="5"/>
  <c r="Q41" i="5" s="1"/>
  <c r="G41" i="5"/>
  <c r="N41" i="5" s="1"/>
  <c r="P40" i="5"/>
  <c r="M40" i="5"/>
  <c r="L40" i="5"/>
  <c r="Q40" i="5" s="1"/>
  <c r="G40" i="5"/>
  <c r="N40" i="5" s="1"/>
  <c r="Q39" i="5"/>
  <c r="P39" i="5"/>
  <c r="M39" i="5"/>
  <c r="L39" i="5"/>
  <c r="G39" i="5"/>
  <c r="N39" i="5" s="1"/>
  <c r="P38" i="5"/>
  <c r="L38" i="5"/>
  <c r="Q38" i="5" s="1"/>
  <c r="G38" i="5"/>
  <c r="N38" i="5" s="1"/>
  <c r="Q37" i="5"/>
  <c r="P37" i="5"/>
  <c r="M37" i="5"/>
  <c r="L37" i="5"/>
  <c r="G37" i="5"/>
  <c r="N37" i="5" s="1"/>
  <c r="F37" i="5"/>
  <c r="P36" i="5"/>
  <c r="P35" i="5" s="1"/>
  <c r="L36" i="5"/>
  <c r="M36" i="5" s="1"/>
  <c r="G36" i="5"/>
  <c r="N36" i="5" s="1"/>
  <c r="L35" i="5"/>
  <c r="P34" i="5"/>
  <c r="M34" i="5"/>
  <c r="L34" i="5"/>
  <c r="Q34" i="5" s="1"/>
  <c r="G34" i="5"/>
  <c r="N34" i="5" s="1"/>
  <c r="Q33" i="5"/>
  <c r="P33" i="5"/>
  <c r="L33" i="5"/>
  <c r="P32" i="5"/>
  <c r="L32" i="5"/>
  <c r="Q32" i="5" s="1"/>
  <c r="F32" i="5"/>
  <c r="P31" i="5"/>
  <c r="L31" i="5"/>
  <c r="Q31" i="5" s="1"/>
  <c r="P30" i="5"/>
  <c r="L30" i="5"/>
  <c r="P29" i="5"/>
  <c r="P28" i="5" s="1"/>
  <c r="L29" i="5"/>
  <c r="P11" i="5"/>
  <c r="T8" i="5"/>
  <c r="K161" i="4"/>
  <c r="K160" i="4"/>
  <c r="K162" i="4" s="1"/>
  <c r="K151" i="4"/>
  <c r="K150" i="4"/>
  <c r="K152" i="4" s="1"/>
  <c r="K141" i="4"/>
  <c r="K131" i="4"/>
  <c r="O125" i="4"/>
  <c r="K121" i="4"/>
  <c r="K120" i="4"/>
  <c r="K122" i="4" s="1"/>
  <c r="F120" i="4"/>
  <c r="K111" i="4"/>
  <c r="K110" i="4"/>
  <c r="K102" i="4"/>
  <c r="K106" i="4" s="1"/>
  <c r="K101" i="4"/>
  <c r="K100" i="4"/>
  <c r="K91" i="4"/>
  <c r="K90" i="4"/>
  <c r="K92" i="4" s="1"/>
  <c r="K86" i="4"/>
  <c r="K81" i="4"/>
  <c r="K80" i="4"/>
  <c r="K82" i="4" s="1"/>
  <c r="K85" i="4" s="1"/>
  <c r="K72" i="4"/>
  <c r="K76" i="4" s="1"/>
  <c r="K71" i="4"/>
  <c r="K70" i="4"/>
  <c r="K62" i="4"/>
  <c r="K61" i="4"/>
  <c r="K60" i="4"/>
  <c r="K51" i="4"/>
  <c r="K50" i="4"/>
  <c r="K52" i="4" s="1"/>
  <c r="E50" i="4"/>
  <c r="K41" i="4"/>
  <c r="K40" i="4"/>
  <c r="E40" i="4"/>
  <c r="K31" i="4"/>
  <c r="K30" i="4"/>
  <c r="K32" i="4" s="1"/>
  <c r="I21" i="4"/>
  <c r="K21" i="4" s="1"/>
  <c r="K20" i="4"/>
  <c r="K11" i="4"/>
  <c r="I11" i="4"/>
  <c r="K10" i="4"/>
  <c r="K12" i="4" s="1"/>
  <c r="I10" i="4"/>
  <c r="K111" i="3"/>
  <c r="K110" i="3"/>
  <c r="K112" i="3" s="1"/>
  <c r="K102" i="3"/>
  <c r="K106" i="3" s="1"/>
  <c r="K101" i="3"/>
  <c r="K100" i="3"/>
  <c r="K91" i="3"/>
  <c r="K90" i="3"/>
  <c r="K92" i="3" s="1"/>
  <c r="K86" i="3"/>
  <c r="K81" i="3"/>
  <c r="K80" i="3"/>
  <c r="K82" i="3" s="1"/>
  <c r="K85" i="3" s="1"/>
  <c r="K72" i="3"/>
  <c r="K76" i="3" s="1"/>
  <c r="K71" i="3"/>
  <c r="K70" i="3"/>
  <c r="K62" i="3"/>
  <c r="K61" i="3"/>
  <c r="K60" i="3"/>
  <c r="K51" i="3"/>
  <c r="K50" i="3"/>
  <c r="K52" i="3" s="1"/>
  <c r="E50" i="3"/>
  <c r="K41" i="3"/>
  <c r="K40" i="3"/>
  <c r="E40" i="3"/>
  <c r="K31" i="3"/>
  <c r="K30" i="3"/>
  <c r="K32" i="3" s="1"/>
  <c r="K21" i="3"/>
  <c r="K20" i="3"/>
  <c r="K22" i="3" s="1"/>
  <c r="K11" i="3"/>
  <c r="K10" i="3"/>
  <c r="K12" i="3" s="1"/>
  <c r="I10" i="3"/>
  <c r="G622" i="2"/>
  <c r="M600" i="2"/>
  <c r="M599" i="2"/>
  <c r="N594" i="2"/>
  <c r="D628" i="5" s="1"/>
  <c r="N593" i="2"/>
  <c r="D627" i="5" s="1"/>
  <c r="P590" i="2"/>
  <c r="P588" i="2" s="1"/>
  <c r="L590" i="2"/>
  <c r="Q589" i="2"/>
  <c r="P589" i="2"/>
  <c r="N589" i="2"/>
  <c r="M589" i="2"/>
  <c r="L589" i="2"/>
  <c r="L588" i="2"/>
  <c r="Q587" i="2"/>
  <c r="P587" i="2"/>
  <c r="N587" i="2"/>
  <c r="M587" i="2"/>
  <c r="L587" i="2"/>
  <c r="P586" i="2"/>
  <c r="L586" i="2"/>
  <c r="Q585" i="2"/>
  <c r="P585" i="2"/>
  <c r="N585" i="2"/>
  <c r="M585" i="2"/>
  <c r="L585" i="2"/>
  <c r="Q584" i="2"/>
  <c r="P584" i="2"/>
  <c r="N584" i="2"/>
  <c r="M584" i="2"/>
  <c r="L584" i="2"/>
  <c r="Q583" i="2"/>
  <c r="P583" i="2"/>
  <c r="N583" i="2"/>
  <c r="M583" i="2"/>
  <c r="L583" i="2"/>
  <c r="P582" i="2"/>
  <c r="L582" i="2"/>
  <c r="Q581" i="2"/>
  <c r="P581" i="2"/>
  <c r="N581" i="2"/>
  <c r="M581" i="2"/>
  <c r="L581" i="2"/>
  <c r="Q580" i="2"/>
  <c r="P580" i="2"/>
  <c r="N580" i="2"/>
  <c r="M580" i="2"/>
  <c r="L580" i="2"/>
  <c r="Q579" i="2"/>
  <c r="P579" i="2"/>
  <c r="N579" i="2"/>
  <c r="M579" i="2"/>
  <c r="L579" i="2"/>
  <c r="P578" i="2"/>
  <c r="L578" i="2"/>
  <c r="Q577" i="2"/>
  <c r="P577" i="2"/>
  <c r="N577" i="2"/>
  <c r="M577" i="2"/>
  <c r="L577" i="2"/>
  <c r="Q576" i="2"/>
  <c r="P576" i="2"/>
  <c r="N576" i="2"/>
  <c r="M576" i="2"/>
  <c r="L576" i="2"/>
  <c r="Q575" i="2"/>
  <c r="P575" i="2"/>
  <c r="N575" i="2"/>
  <c r="M575" i="2"/>
  <c r="L575" i="2"/>
  <c r="P574" i="2"/>
  <c r="L574" i="2"/>
  <c r="Q573" i="2"/>
  <c r="P573" i="2"/>
  <c r="N573" i="2"/>
  <c r="M573" i="2"/>
  <c r="L573" i="2"/>
  <c r="Q572" i="2"/>
  <c r="P572" i="2"/>
  <c r="N572" i="2"/>
  <c r="M572" i="2"/>
  <c r="L572" i="2"/>
  <c r="Q571" i="2"/>
  <c r="P571" i="2"/>
  <c r="N571" i="2"/>
  <c r="M571" i="2"/>
  <c r="L571" i="2"/>
  <c r="P570" i="2"/>
  <c r="L570" i="2"/>
  <c r="Q569" i="2"/>
  <c r="P569" i="2"/>
  <c r="N569" i="2"/>
  <c r="M569" i="2"/>
  <c r="L569" i="2"/>
  <c r="Q568" i="2"/>
  <c r="P568" i="2"/>
  <c r="N568" i="2"/>
  <c r="M568" i="2"/>
  <c r="L568" i="2"/>
  <c r="E568" i="2"/>
  <c r="P567" i="2"/>
  <c r="P566" i="2" s="1"/>
  <c r="L567" i="2"/>
  <c r="N567" i="2" s="1"/>
  <c r="L566" i="2"/>
  <c r="P565" i="2"/>
  <c r="L565" i="2"/>
  <c r="Q565" i="2" s="1"/>
  <c r="P564" i="2"/>
  <c r="L564" i="2"/>
  <c r="P563" i="2"/>
  <c r="L563" i="2"/>
  <c r="N563" i="2" s="1"/>
  <c r="P562" i="2"/>
  <c r="M562" i="2"/>
  <c r="L562" i="2"/>
  <c r="P561" i="2"/>
  <c r="L561" i="2"/>
  <c r="Q561" i="2" s="1"/>
  <c r="P560" i="2"/>
  <c r="L560" i="2"/>
  <c r="P559" i="2"/>
  <c r="L559" i="2"/>
  <c r="N559" i="2" s="1"/>
  <c r="P558" i="2"/>
  <c r="L558" i="2"/>
  <c r="P557" i="2"/>
  <c r="L557" i="2"/>
  <c r="Q557" i="2" s="1"/>
  <c r="P556" i="2"/>
  <c r="L556" i="2"/>
  <c r="P555" i="2"/>
  <c r="P554" i="2" s="1"/>
  <c r="L555" i="2"/>
  <c r="N555" i="2" s="1"/>
  <c r="L554" i="2"/>
  <c r="P553" i="2"/>
  <c r="L553" i="2"/>
  <c r="Q553" i="2" s="1"/>
  <c r="P552" i="2"/>
  <c r="L552" i="2"/>
  <c r="P551" i="2"/>
  <c r="L551" i="2"/>
  <c r="N551" i="2" s="1"/>
  <c r="P550" i="2"/>
  <c r="L550" i="2"/>
  <c r="P549" i="2"/>
  <c r="L549" i="2"/>
  <c r="Q549" i="2" s="1"/>
  <c r="P548" i="2"/>
  <c r="L548" i="2"/>
  <c r="P547" i="2"/>
  <c r="L547" i="2"/>
  <c r="N547" i="2" s="1"/>
  <c r="P546" i="2"/>
  <c r="M546" i="2"/>
  <c r="L546" i="2"/>
  <c r="P545" i="2"/>
  <c r="L545" i="2"/>
  <c r="Q545" i="2" s="1"/>
  <c r="P544" i="2"/>
  <c r="L544" i="2"/>
  <c r="P543" i="2"/>
  <c r="L543" i="2"/>
  <c r="N543" i="2" s="1"/>
  <c r="P542" i="2"/>
  <c r="L542" i="2"/>
  <c r="P541" i="2"/>
  <c r="L541" i="2"/>
  <c r="Q541" i="2" s="1"/>
  <c r="P540" i="2"/>
  <c r="L540" i="2"/>
  <c r="P539" i="2"/>
  <c r="L539" i="2"/>
  <c r="N539" i="2" s="1"/>
  <c r="P538" i="2"/>
  <c r="M538" i="2"/>
  <c r="L538" i="2"/>
  <c r="P537" i="2"/>
  <c r="L537" i="2"/>
  <c r="Q537" i="2" s="1"/>
  <c r="P536" i="2"/>
  <c r="L536" i="2"/>
  <c r="P535" i="2"/>
  <c r="L535" i="2"/>
  <c r="N535" i="2" s="1"/>
  <c r="P534" i="2"/>
  <c r="L534" i="2"/>
  <c r="P533" i="2"/>
  <c r="L533" i="2"/>
  <c r="Q533" i="2" s="1"/>
  <c r="P532" i="2"/>
  <c r="L532" i="2"/>
  <c r="P531" i="2"/>
  <c r="L531" i="2"/>
  <c r="N531" i="2" s="1"/>
  <c r="P530" i="2"/>
  <c r="M530" i="2"/>
  <c r="L530" i="2"/>
  <c r="P529" i="2"/>
  <c r="L529" i="2"/>
  <c r="P528" i="2"/>
  <c r="L528" i="2"/>
  <c r="P527" i="2"/>
  <c r="L527" i="2"/>
  <c r="N527" i="2" s="1"/>
  <c r="P526" i="2"/>
  <c r="L526" i="2"/>
  <c r="P525" i="2"/>
  <c r="L525" i="2"/>
  <c r="P524" i="2"/>
  <c r="L524" i="2"/>
  <c r="P523" i="2"/>
  <c r="L523" i="2"/>
  <c r="N523" i="2" s="1"/>
  <c r="P522" i="2"/>
  <c r="M522" i="2"/>
  <c r="L522" i="2"/>
  <c r="P521" i="2"/>
  <c r="L521" i="2"/>
  <c r="L520" i="2"/>
  <c r="P519" i="2"/>
  <c r="L519" i="2"/>
  <c r="N519" i="2" s="1"/>
  <c r="P518" i="2"/>
  <c r="M518" i="2"/>
  <c r="L518" i="2"/>
  <c r="P517" i="2"/>
  <c r="L517" i="2"/>
  <c r="P516" i="2"/>
  <c r="L516" i="2"/>
  <c r="P515" i="2"/>
  <c r="L515" i="2"/>
  <c r="N515" i="2" s="1"/>
  <c r="P514" i="2"/>
  <c r="M514" i="2"/>
  <c r="L514" i="2"/>
  <c r="P513" i="2"/>
  <c r="L513" i="2"/>
  <c r="P512" i="2"/>
  <c r="L512" i="2"/>
  <c r="P511" i="2"/>
  <c r="P508" i="2" s="1"/>
  <c r="L511" i="2"/>
  <c r="N511" i="2" s="1"/>
  <c r="P510" i="2"/>
  <c r="M510" i="2"/>
  <c r="L510" i="2"/>
  <c r="P509" i="2"/>
  <c r="N509" i="2"/>
  <c r="L509" i="2"/>
  <c r="L508" i="2"/>
  <c r="L507" i="2"/>
  <c r="P506" i="2"/>
  <c r="L506" i="2"/>
  <c r="N506" i="2" s="1"/>
  <c r="P505" i="2"/>
  <c r="L505" i="2"/>
  <c r="P504" i="2"/>
  <c r="L504" i="2"/>
  <c r="P503" i="2"/>
  <c r="L503" i="2"/>
  <c r="N503" i="2" s="1"/>
  <c r="Q502" i="2"/>
  <c r="P502" i="2"/>
  <c r="M502" i="2"/>
  <c r="L502" i="2"/>
  <c r="N502" i="2" s="1"/>
  <c r="P501" i="2"/>
  <c r="N501" i="2"/>
  <c r="L501" i="2"/>
  <c r="P500" i="2"/>
  <c r="L500" i="2"/>
  <c r="P499" i="2"/>
  <c r="L499" i="2"/>
  <c r="N499" i="2" s="1"/>
  <c r="Q498" i="2"/>
  <c r="P498" i="2"/>
  <c r="M498" i="2"/>
  <c r="L498" i="2"/>
  <c r="N498" i="2" s="1"/>
  <c r="P497" i="2"/>
  <c r="N497" i="2"/>
  <c r="L497" i="2"/>
  <c r="P496" i="2"/>
  <c r="L496" i="2"/>
  <c r="P495" i="2"/>
  <c r="L495" i="2"/>
  <c r="Q494" i="2"/>
  <c r="P494" i="2"/>
  <c r="L494" i="2"/>
  <c r="N494" i="2" s="1"/>
  <c r="P493" i="2"/>
  <c r="N493" i="2"/>
  <c r="L493" i="2"/>
  <c r="P492" i="2"/>
  <c r="L492" i="2"/>
  <c r="P491" i="2"/>
  <c r="P487" i="2" s="1"/>
  <c r="L491" i="2"/>
  <c r="P490" i="2"/>
  <c r="M490" i="2"/>
  <c r="L490" i="2"/>
  <c r="N490" i="2" s="1"/>
  <c r="P489" i="2"/>
  <c r="N489" i="2"/>
  <c r="L489" i="2"/>
  <c r="P488" i="2"/>
  <c r="L488" i="2"/>
  <c r="L487" i="2"/>
  <c r="P486" i="2"/>
  <c r="L486" i="2"/>
  <c r="N486" i="2" s="1"/>
  <c r="P485" i="2"/>
  <c r="L485" i="2"/>
  <c r="P484" i="2"/>
  <c r="L484" i="2"/>
  <c r="P483" i="2"/>
  <c r="P482" i="2" s="1"/>
  <c r="L483" i="2"/>
  <c r="L482" i="2"/>
  <c r="L481" i="2"/>
  <c r="P480" i="2"/>
  <c r="L480" i="2"/>
  <c r="P479" i="2"/>
  <c r="L479" i="2"/>
  <c r="Q478" i="2"/>
  <c r="P478" i="2"/>
  <c r="M478" i="2"/>
  <c r="L478" i="2"/>
  <c r="N478" i="2" s="1"/>
  <c r="P477" i="2"/>
  <c r="L477" i="2"/>
  <c r="P476" i="2"/>
  <c r="L476" i="2"/>
  <c r="P475" i="2"/>
  <c r="P474" i="2" s="1"/>
  <c r="L475" i="2"/>
  <c r="L474" i="2"/>
  <c r="P473" i="2"/>
  <c r="L473" i="2"/>
  <c r="P472" i="2"/>
  <c r="L472" i="2"/>
  <c r="P471" i="2"/>
  <c r="L471" i="2"/>
  <c r="P470" i="2"/>
  <c r="L470" i="2"/>
  <c r="N470" i="2" s="1"/>
  <c r="P469" i="2"/>
  <c r="L469" i="2"/>
  <c r="P468" i="2"/>
  <c r="L468" i="2"/>
  <c r="P467" i="2"/>
  <c r="L467" i="2"/>
  <c r="Q466" i="2"/>
  <c r="P466" i="2"/>
  <c r="L466" i="2"/>
  <c r="N466" i="2" s="1"/>
  <c r="N465" i="2"/>
  <c r="M465" i="2"/>
  <c r="L465" i="2"/>
  <c r="Q465" i="2" s="1"/>
  <c r="Q464" i="2"/>
  <c r="P464" i="2"/>
  <c r="N464" i="2"/>
  <c r="L464" i="2"/>
  <c r="M464" i="2" s="1"/>
  <c r="Q463" i="2"/>
  <c r="P463" i="2"/>
  <c r="N463" i="2"/>
  <c r="M463" i="2"/>
  <c r="L463" i="2"/>
  <c r="Q462" i="2"/>
  <c r="P462" i="2"/>
  <c r="L462" i="2"/>
  <c r="M462" i="2" s="1"/>
  <c r="Q461" i="2"/>
  <c r="P461" i="2"/>
  <c r="N461" i="2"/>
  <c r="M461" i="2"/>
  <c r="L461" i="2"/>
  <c r="Q460" i="2"/>
  <c r="P460" i="2"/>
  <c r="N460" i="2"/>
  <c r="L460" i="2"/>
  <c r="M460" i="2" s="1"/>
  <c r="Q459" i="2"/>
  <c r="P459" i="2"/>
  <c r="N459" i="2"/>
  <c r="M459" i="2"/>
  <c r="L459" i="2"/>
  <c r="Q458" i="2"/>
  <c r="P458" i="2"/>
  <c r="L458" i="2"/>
  <c r="M458" i="2" s="1"/>
  <c r="Q457" i="2"/>
  <c r="P457" i="2"/>
  <c r="N457" i="2"/>
  <c r="M457" i="2"/>
  <c r="L457" i="2"/>
  <c r="Q456" i="2"/>
  <c r="P456" i="2"/>
  <c r="N456" i="2"/>
  <c r="L456" i="2"/>
  <c r="M456" i="2" s="1"/>
  <c r="Q455" i="2"/>
  <c r="P455" i="2"/>
  <c r="N455" i="2"/>
  <c r="M455" i="2"/>
  <c r="L455" i="2"/>
  <c r="P454" i="2"/>
  <c r="N454" i="2"/>
  <c r="L454" i="2"/>
  <c r="M454" i="2" s="1"/>
  <c r="Q453" i="2"/>
  <c r="P453" i="2"/>
  <c r="N453" i="2"/>
  <c r="M453" i="2"/>
  <c r="L453" i="2"/>
  <c r="Q452" i="2"/>
  <c r="P452" i="2"/>
  <c r="N452" i="2"/>
  <c r="L452" i="2"/>
  <c r="M452" i="2" s="1"/>
  <c r="P451" i="2"/>
  <c r="N451" i="2"/>
  <c r="L451" i="2"/>
  <c r="M451" i="2" s="1"/>
  <c r="P450" i="2"/>
  <c r="L450" i="2"/>
  <c r="M450" i="2" s="1"/>
  <c r="P449" i="2"/>
  <c r="L449" i="2"/>
  <c r="Q449" i="2" s="1"/>
  <c r="Q448" i="2"/>
  <c r="P448" i="2"/>
  <c r="N448" i="2"/>
  <c r="L448" i="2"/>
  <c r="M448" i="2" s="1"/>
  <c r="P447" i="2"/>
  <c r="L447" i="2"/>
  <c r="Q447" i="2" s="1"/>
  <c r="P446" i="2"/>
  <c r="L446" i="2"/>
  <c r="Q446" i="2" s="1"/>
  <c r="P445" i="2"/>
  <c r="L445" i="2"/>
  <c r="N445" i="2" s="1"/>
  <c r="Q444" i="2"/>
  <c r="P444" i="2"/>
  <c r="M444" i="2"/>
  <c r="L444" i="2"/>
  <c r="N444" i="2" s="1"/>
  <c r="Q443" i="2"/>
  <c r="P443" i="2"/>
  <c r="N443" i="2"/>
  <c r="L443" i="2"/>
  <c r="M443" i="2" s="1"/>
  <c r="P442" i="2"/>
  <c r="L442" i="2"/>
  <c r="Q442" i="2" s="1"/>
  <c r="P441" i="2"/>
  <c r="L441" i="2"/>
  <c r="N441" i="2" s="1"/>
  <c r="Q440" i="2"/>
  <c r="P440" i="2"/>
  <c r="M440" i="2"/>
  <c r="L440" i="2"/>
  <c r="N440" i="2" s="1"/>
  <c r="Q439" i="2"/>
  <c r="P439" i="2"/>
  <c r="N439" i="2"/>
  <c r="L439" i="2"/>
  <c r="M439" i="2" s="1"/>
  <c r="P438" i="2"/>
  <c r="L438" i="2"/>
  <c r="Q438" i="2" s="1"/>
  <c r="P437" i="2"/>
  <c r="L437" i="2"/>
  <c r="N437" i="2" s="1"/>
  <c r="Q436" i="2"/>
  <c r="P436" i="2"/>
  <c r="M436" i="2"/>
  <c r="L436" i="2"/>
  <c r="N436" i="2" s="1"/>
  <c r="Q435" i="2"/>
  <c r="P435" i="2"/>
  <c r="N435" i="2"/>
  <c r="L435" i="2"/>
  <c r="M435" i="2" s="1"/>
  <c r="P434" i="2"/>
  <c r="L434" i="2"/>
  <c r="Q434" i="2" s="1"/>
  <c r="P433" i="2"/>
  <c r="L433" i="2"/>
  <c r="N433" i="2" s="1"/>
  <c r="Q432" i="2"/>
  <c r="P432" i="2"/>
  <c r="M432" i="2"/>
  <c r="L432" i="2"/>
  <c r="N432" i="2" s="1"/>
  <c r="Q431" i="2"/>
  <c r="P431" i="2"/>
  <c r="N431" i="2"/>
  <c r="L431" i="2"/>
  <c r="M431" i="2" s="1"/>
  <c r="P430" i="2"/>
  <c r="L430" i="2"/>
  <c r="Q430" i="2" s="1"/>
  <c r="P429" i="2"/>
  <c r="L429" i="2"/>
  <c r="N429" i="2" s="1"/>
  <c r="Q428" i="2"/>
  <c r="P428" i="2"/>
  <c r="M428" i="2"/>
  <c r="L428" i="2"/>
  <c r="N428" i="2" s="1"/>
  <c r="Q427" i="2"/>
  <c r="P427" i="2"/>
  <c r="N427" i="2"/>
  <c r="L427" i="2"/>
  <c r="M427" i="2" s="1"/>
  <c r="P426" i="2"/>
  <c r="L426" i="2"/>
  <c r="Q426" i="2" s="1"/>
  <c r="P425" i="2"/>
  <c r="L425" i="2"/>
  <c r="N425" i="2" s="1"/>
  <c r="Q424" i="2"/>
  <c r="P424" i="2"/>
  <c r="M424" i="2"/>
  <c r="L424" i="2"/>
  <c r="N424" i="2" s="1"/>
  <c r="Q423" i="2"/>
  <c r="P423" i="2"/>
  <c r="N423" i="2"/>
  <c r="L423" i="2"/>
  <c r="M423" i="2" s="1"/>
  <c r="P422" i="2"/>
  <c r="L422" i="2"/>
  <c r="Q422" i="2" s="1"/>
  <c r="P421" i="2"/>
  <c r="L421" i="2"/>
  <c r="N421" i="2" s="1"/>
  <c r="Q420" i="2"/>
  <c r="P420" i="2"/>
  <c r="M420" i="2"/>
  <c r="L420" i="2"/>
  <c r="N420" i="2" s="1"/>
  <c r="Q419" i="2"/>
  <c r="P419" i="2"/>
  <c r="N419" i="2"/>
  <c r="L419" i="2"/>
  <c r="M419" i="2" s="1"/>
  <c r="P418" i="2"/>
  <c r="L418" i="2"/>
  <c r="Q418" i="2" s="1"/>
  <c r="P417" i="2"/>
  <c r="L417" i="2"/>
  <c r="N417" i="2" s="1"/>
  <c r="Q416" i="2"/>
  <c r="P416" i="2"/>
  <c r="M416" i="2"/>
  <c r="L416" i="2"/>
  <c r="N416" i="2" s="1"/>
  <c r="Q415" i="2"/>
  <c r="P415" i="2"/>
  <c r="N415" i="2"/>
  <c r="L415" i="2"/>
  <c r="M415" i="2" s="1"/>
  <c r="I415" i="2"/>
  <c r="P414" i="2"/>
  <c r="L414" i="2"/>
  <c r="Q414" i="2" s="1"/>
  <c r="P413" i="2"/>
  <c r="L413" i="2"/>
  <c r="N413" i="2" s="1"/>
  <c r="Q412" i="2"/>
  <c r="P412" i="2"/>
  <c r="M412" i="2"/>
  <c r="L412" i="2"/>
  <c r="N412" i="2" s="1"/>
  <c r="Q411" i="2"/>
  <c r="P411" i="2"/>
  <c r="N411" i="2"/>
  <c r="L411" i="2"/>
  <c r="M411" i="2" s="1"/>
  <c r="P410" i="2"/>
  <c r="L410" i="2"/>
  <c r="Q410" i="2" s="1"/>
  <c r="P409" i="2"/>
  <c r="L409" i="2"/>
  <c r="N409" i="2" s="1"/>
  <c r="Q408" i="2"/>
  <c r="P408" i="2"/>
  <c r="M408" i="2"/>
  <c r="L408" i="2"/>
  <c r="N408" i="2" s="1"/>
  <c r="Q407" i="2"/>
  <c r="P407" i="2"/>
  <c r="N407" i="2"/>
  <c r="L407" i="2"/>
  <c r="M407" i="2" s="1"/>
  <c r="L406" i="2"/>
  <c r="P405" i="2"/>
  <c r="L405" i="2"/>
  <c r="N405" i="2" s="1"/>
  <c r="Q404" i="2"/>
  <c r="P404" i="2"/>
  <c r="M404" i="2"/>
  <c r="L404" i="2"/>
  <c r="N404" i="2" s="1"/>
  <c r="Q403" i="2"/>
  <c r="P403" i="2"/>
  <c r="N403" i="2"/>
  <c r="L403" i="2"/>
  <c r="M403" i="2" s="1"/>
  <c r="P402" i="2"/>
  <c r="L402" i="2"/>
  <c r="Q402" i="2" s="1"/>
  <c r="P401" i="2"/>
  <c r="L401" i="2"/>
  <c r="N401" i="2" s="1"/>
  <c r="Q400" i="2"/>
  <c r="P400" i="2"/>
  <c r="M400" i="2"/>
  <c r="L400" i="2"/>
  <c r="N400" i="2" s="1"/>
  <c r="Q399" i="2"/>
  <c r="P399" i="2"/>
  <c r="N399" i="2"/>
  <c r="L399" i="2"/>
  <c r="M399" i="2" s="1"/>
  <c r="P398" i="2"/>
  <c r="L398" i="2"/>
  <c r="Q398" i="2" s="1"/>
  <c r="P397" i="2"/>
  <c r="L397" i="2"/>
  <c r="N397" i="2" s="1"/>
  <c r="Q396" i="2"/>
  <c r="P396" i="2"/>
  <c r="M396" i="2"/>
  <c r="L396" i="2"/>
  <c r="N396" i="2" s="1"/>
  <c r="L395" i="2"/>
  <c r="P394" i="2"/>
  <c r="L394" i="2"/>
  <c r="Q394" i="2" s="1"/>
  <c r="P393" i="2"/>
  <c r="L393" i="2"/>
  <c r="N393" i="2" s="1"/>
  <c r="Q392" i="2"/>
  <c r="P392" i="2"/>
  <c r="M392" i="2"/>
  <c r="L392" i="2"/>
  <c r="N392" i="2" s="1"/>
  <c r="Q391" i="2"/>
  <c r="P391" i="2"/>
  <c r="N391" i="2"/>
  <c r="L391" i="2"/>
  <c r="M391" i="2" s="1"/>
  <c r="P390" i="2"/>
  <c r="L390" i="2"/>
  <c r="Q390" i="2" s="1"/>
  <c r="P389" i="2"/>
  <c r="L389" i="2"/>
  <c r="N389" i="2" s="1"/>
  <c r="Q388" i="2"/>
  <c r="P388" i="2"/>
  <c r="M388" i="2"/>
  <c r="L388" i="2"/>
  <c r="N388" i="2" s="1"/>
  <c r="Q387" i="2"/>
  <c r="P387" i="2"/>
  <c r="N387" i="2"/>
  <c r="L387" i="2"/>
  <c r="M387" i="2" s="1"/>
  <c r="P386" i="2"/>
  <c r="L386" i="2"/>
  <c r="Q386" i="2" s="1"/>
  <c r="P385" i="2"/>
  <c r="L385" i="2"/>
  <c r="N385" i="2" s="1"/>
  <c r="Q384" i="2"/>
  <c r="P384" i="2"/>
  <c r="M384" i="2"/>
  <c r="L384" i="2"/>
  <c r="N384" i="2" s="1"/>
  <c r="Q383" i="2"/>
  <c r="P383" i="2"/>
  <c r="N383" i="2"/>
  <c r="L383" i="2"/>
  <c r="M383" i="2" s="1"/>
  <c r="P382" i="2"/>
  <c r="L382" i="2"/>
  <c r="Q382" i="2" s="1"/>
  <c r="P381" i="2"/>
  <c r="M381" i="2"/>
  <c r="L381" i="2"/>
  <c r="N381" i="2" s="1"/>
  <c r="Q380" i="2"/>
  <c r="P380" i="2"/>
  <c r="M380" i="2"/>
  <c r="L380" i="2"/>
  <c r="N380" i="2" s="1"/>
  <c r="Q379" i="2"/>
  <c r="P379" i="2"/>
  <c r="N379" i="2"/>
  <c r="L379" i="2"/>
  <c r="M379" i="2" s="1"/>
  <c r="P378" i="2"/>
  <c r="L378" i="2"/>
  <c r="Q378" i="2" s="1"/>
  <c r="P377" i="2"/>
  <c r="M377" i="2"/>
  <c r="L377" i="2"/>
  <c r="N377" i="2" s="1"/>
  <c r="Q376" i="2"/>
  <c r="P376" i="2"/>
  <c r="M376" i="2"/>
  <c r="L376" i="2"/>
  <c r="N376" i="2" s="1"/>
  <c r="Q375" i="2"/>
  <c r="P375" i="2"/>
  <c r="N375" i="2"/>
  <c r="L375" i="2"/>
  <c r="M375" i="2" s="1"/>
  <c r="P374" i="2"/>
  <c r="L374" i="2"/>
  <c r="Q374" i="2" s="1"/>
  <c r="P373" i="2"/>
  <c r="M373" i="2"/>
  <c r="L373" i="2"/>
  <c r="N373" i="2" s="1"/>
  <c r="Q372" i="2"/>
  <c r="P372" i="2"/>
  <c r="M372" i="2"/>
  <c r="L372" i="2"/>
  <c r="N372" i="2" s="1"/>
  <c r="Q371" i="2"/>
  <c r="P371" i="2"/>
  <c r="N371" i="2"/>
  <c r="L371" i="2"/>
  <c r="M371" i="2" s="1"/>
  <c r="P370" i="2"/>
  <c r="L370" i="2"/>
  <c r="Q370" i="2" s="1"/>
  <c r="P369" i="2"/>
  <c r="M369" i="2"/>
  <c r="L369" i="2"/>
  <c r="N369" i="2" s="1"/>
  <c r="Q368" i="2"/>
  <c r="P368" i="2"/>
  <c r="M368" i="2"/>
  <c r="L368" i="2"/>
  <c r="N368" i="2" s="1"/>
  <c r="Q367" i="2"/>
  <c r="P367" i="2"/>
  <c r="N367" i="2"/>
  <c r="L367" i="2"/>
  <c r="M367" i="2" s="1"/>
  <c r="I367" i="2"/>
  <c r="P366" i="2"/>
  <c r="L366" i="2"/>
  <c r="Q366" i="2" s="1"/>
  <c r="P365" i="2"/>
  <c r="M365" i="2"/>
  <c r="L365" i="2"/>
  <c r="N365" i="2" s="1"/>
  <c r="Q364" i="2"/>
  <c r="P364" i="2"/>
  <c r="M364" i="2"/>
  <c r="L364" i="2"/>
  <c r="N364" i="2" s="1"/>
  <c r="Q363" i="2"/>
  <c r="P363" i="2"/>
  <c r="N363" i="2"/>
  <c r="L363" i="2"/>
  <c r="M363" i="2" s="1"/>
  <c r="P362" i="2"/>
  <c r="L362" i="2"/>
  <c r="Q362" i="2" s="1"/>
  <c r="P361" i="2"/>
  <c r="M361" i="2"/>
  <c r="L361" i="2"/>
  <c r="N361" i="2" s="1"/>
  <c r="Q360" i="2"/>
  <c r="P360" i="2"/>
  <c r="M360" i="2"/>
  <c r="L360" i="2"/>
  <c r="N360" i="2" s="1"/>
  <c r="Q359" i="2"/>
  <c r="P359" i="2"/>
  <c r="N359" i="2"/>
  <c r="L359" i="2"/>
  <c r="M359" i="2" s="1"/>
  <c r="P358" i="2"/>
  <c r="L358" i="2"/>
  <c r="Q358" i="2" s="1"/>
  <c r="P357" i="2"/>
  <c r="M357" i="2"/>
  <c r="L357" i="2"/>
  <c r="N357" i="2" s="1"/>
  <c r="Q356" i="2"/>
  <c r="P356" i="2"/>
  <c r="M356" i="2"/>
  <c r="L356" i="2"/>
  <c r="N356" i="2" s="1"/>
  <c r="Q355" i="2"/>
  <c r="P355" i="2"/>
  <c r="N355" i="2"/>
  <c r="L355" i="2"/>
  <c r="M355" i="2" s="1"/>
  <c r="P354" i="2"/>
  <c r="L354" i="2"/>
  <c r="Q354" i="2" s="1"/>
  <c r="P353" i="2"/>
  <c r="M353" i="2"/>
  <c r="L353" i="2"/>
  <c r="N353" i="2" s="1"/>
  <c r="Q352" i="2"/>
  <c r="P352" i="2"/>
  <c r="M352" i="2"/>
  <c r="L352" i="2"/>
  <c r="N352" i="2" s="1"/>
  <c r="Q351" i="2"/>
  <c r="P351" i="2"/>
  <c r="N351" i="2"/>
  <c r="L351" i="2"/>
  <c r="M351" i="2" s="1"/>
  <c r="P350" i="2"/>
  <c r="L350" i="2"/>
  <c r="Q350" i="2" s="1"/>
  <c r="P349" i="2"/>
  <c r="M349" i="2"/>
  <c r="L349" i="2"/>
  <c r="N349" i="2" s="1"/>
  <c r="Q348" i="2"/>
  <c r="P348" i="2"/>
  <c r="M348" i="2"/>
  <c r="L348" i="2"/>
  <c r="N348" i="2" s="1"/>
  <c r="Q347" i="2"/>
  <c r="P347" i="2"/>
  <c r="N347" i="2"/>
  <c r="L347" i="2"/>
  <c r="M347" i="2" s="1"/>
  <c r="P346" i="2"/>
  <c r="N346" i="2"/>
  <c r="L346" i="2"/>
  <c r="Q346" i="2" s="1"/>
  <c r="P345" i="2"/>
  <c r="M345" i="2"/>
  <c r="L345" i="2"/>
  <c r="N345" i="2" s="1"/>
  <c r="Q344" i="2"/>
  <c r="P344" i="2"/>
  <c r="M344" i="2"/>
  <c r="L344" i="2"/>
  <c r="N344" i="2" s="1"/>
  <c r="Q343" i="2"/>
  <c r="P343" i="2"/>
  <c r="N343" i="2"/>
  <c r="L343" i="2"/>
  <c r="M343" i="2" s="1"/>
  <c r="P342" i="2"/>
  <c r="N342" i="2"/>
  <c r="L342" i="2"/>
  <c r="Q342" i="2" s="1"/>
  <c r="P341" i="2"/>
  <c r="P337" i="2" s="1"/>
  <c r="M341" i="2"/>
  <c r="L341" i="2"/>
  <c r="N341" i="2" s="1"/>
  <c r="Q340" i="2"/>
  <c r="P340" i="2"/>
  <c r="M340" i="2"/>
  <c r="L340" i="2"/>
  <c r="N340" i="2" s="1"/>
  <c r="Q339" i="2"/>
  <c r="P339" i="2"/>
  <c r="N339" i="2"/>
  <c r="L339" i="2"/>
  <c r="M339" i="2" s="1"/>
  <c r="P338" i="2"/>
  <c r="N338" i="2"/>
  <c r="L338" i="2"/>
  <c r="Q338" i="2" s="1"/>
  <c r="L337" i="2"/>
  <c r="Q336" i="2"/>
  <c r="P336" i="2"/>
  <c r="M336" i="2"/>
  <c r="L336" i="2"/>
  <c r="N336" i="2" s="1"/>
  <c r="Q335" i="2"/>
  <c r="P335" i="2"/>
  <c r="N335" i="2"/>
  <c r="L335" i="2"/>
  <c r="M335" i="2" s="1"/>
  <c r="P334" i="2"/>
  <c r="N334" i="2"/>
  <c r="L334" i="2"/>
  <c r="Q334" i="2" s="1"/>
  <c r="P333" i="2"/>
  <c r="M333" i="2"/>
  <c r="L333" i="2"/>
  <c r="N333" i="2" s="1"/>
  <c r="Q332" i="2"/>
  <c r="P332" i="2"/>
  <c r="M332" i="2"/>
  <c r="L332" i="2"/>
  <c r="N332" i="2" s="1"/>
  <c r="Q331" i="2"/>
  <c r="P331" i="2"/>
  <c r="N331" i="2"/>
  <c r="L331" i="2"/>
  <c r="M331" i="2" s="1"/>
  <c r="P330" i="2"/>
  <c r="N330" i="2"/>
  <c r="L330" i="2"/>
  <c r="Q330" i="2" s="1"/>
  <c r="P329" i="2"/>
  <c r="L329" i="2"/>
  <c r="L328" i="2"/>
  <c r="Q327" i="2"/>
  <c r="P327" i="2"/>
  <c r="N327" i="2"/>
  <c r="L327" i="2"/>
  <c r="M327" i="2" s="1"/>
  <c r="P326" i="2"/>
  <c r="N326" i="2"/>
  <c r="L326" i="2"/>
  <c r="Q326" i="2" s="1"/>
  <c r="P325" i="2"/>
  <c r="M325" i="2"/>
  <c r="L325" i="2"/>
  <c r="N325" i="2" s="1"/>
  <c r="Q324" i="2"/>
  <c r="P324" i="2"/>
  <c r="M324" i="2"/>
  <c r="L324" i="2"/>
  <c r="N324" i="2" s="1"/>
  <c r="Q323" i="2"/>
  <c r="P323" i="2"/>
  <c r="N323" i="2"/>
  <c r="L323" i="2"/>
  <c r="M323" i="2" s="1"/>
  <c r="I323" i="2"/>
  <c r="P322" i="2"/>
  <c r="N322" i="2"/>
  <c r="L322" i="2"/>
  <c r="Q322" i="2" s="1"/>
  <c r="P321" i="2"/>
  <c r="M321" i="2"/>
  <c r="L321" i="2"/>
  <c r="N321" i="2" s="1"/>
  <c r="Q320" i="2"/>
  <c r="P320" i="2"/>
  <c r="M320" i="2"/>
  <c r="L320" i="2"/>
  <c r="N320" i="2" s="1"/>
  <c r="Q319" i="2"/>
  <c r="P319" i="2"/>
  <c r="N319" i="2"/>
  <c r="L319" i="2"/>
  <c r="M319" i="2" s="1"/>
  <c r="P318" i="2"/>
  <c r="N318" i="2"/>
  <c r="N317" i="2" s="1"/>
  <c r="L318" i="2"/>
  <c r="Q318" i="2" s="1"/>
  <c r="P317" i="2"/>
  <c r="L317" i="2"/>
  <c r="Q316" i="2"/>
  <c r="Q315" i="2" s="1"/>
  <c r="P316" i="2"/>
  <c r="M316" i="2"/>
  <c r="M315" i="2" s="1"/>
  <c r="L316" i="2"/>
  <c r="N316" i="2" s="1"/>
  <c r="P315" i="2"/>
  <c r="L315" i="2"/>
  <c r="P314" i="2"/>
  <c r="N314" i="2"/>
  <c r="L314" i="2"/>
  <c r="Q314" i="2" s="1"/>
  <c r="P313" i="2"/>
  <c r="M313" i="2"/>
  <c r="L313" i="2"/>
  <c r="N313" i="2" s="1"/>
  <c r="Q312" i="2"/>
  <c r="P312" i="2"/>
  <c r="M312" i="2"/>
  <c r="L312" i="2"/>
  <c r="N312" i="2" s="1"/>
  <c r="Q311" i="2"/>
  <c r="P311" i="2"/>
  <c r="N311" i="2"/>
  <c r="L311" i="2"/>
  <c r="M311" i="2" s="1"/>
  <c r="P310" i="2"/>
  <c r="N310" i="2"/>
  <c r="M310" i="2"/>
  <c r="L310" i="2"/>
  <c r="Q310" i="2" s="1"/>
  <c r="P309" i="2"/>
  <c r="P307" i="2" s="1"/>
  <c r="M309" i="2"/>
  <c r="L309" i="2"/>
  <c r="N309" i="2" s="1"/>
  <c r="Q308" i="2"/>
  <c r="P308" i="2"/>
  <c r="M308" i="2"/>
  <c r="L308" i="2"/>
  <c r="N308" i="2" s="1"/>
  <c r="L307" i="2"/>
  <c r="P306" i="2"/>
  <c r="N306" i="2"/>
  <c r="M306" i="2"/>
  <c r="L306" i="2"/>
  <c r="Q306" i="2" s="1"/>
  <c r="P305" i="2"/>
  <c r="M305" i="2"/>
  <c r="L305" i="2"/>
  <c r="N305" i="2" s="1"/>
  <c r="Q304" i="2"/>
  <c r="P304" i="2"/>
  <c r="M304" i="2"/>
  <c r="L304" i="2"/>
  <c r="N304" i="2" s="1"/>
  <c r="Q303" i="2"/>
  <c r="P303" i="2"/>
  <c r="N303" i="2"/>
  <c r="L303" i="2"/>
  <c r="M303" i="2" s="1"/>
  <c r="P302" i="2"/>
  <c r="N302" i="2"/>
  <c r="M302" i="2"/>
  <c r="L302" i="2"/>
  <c r="Q302" i="2" s="1"/>
  <c r="P301" i="2"/>
  <c r="M301" i="2"/>
  <c r="L301" i="2"/>
  <c r="N301" i="2" s="1"/>
  <c r="Q300" i="2"/>
  <c r="P300" i="2"/>
  <c r="M300" i="2"/>
  <c r="L300" i="2"/>
  <c r="N300" i="2" s="1"/>
  <c r="Q299" i="2"/>
  <c r="P299" i="2"/>
  <c r="N299" i="2"/>
  <c r="L299" i="2"/>
  <c r="M299" i="2" s="1"/>
  <c r="P298" i="2"/>
  <c r="N298" i="2"/>
  <c r="M298" i="2"/>
  <c r="L298" i="2"/>
  <c r="Q298" i="2" s="1"/>
  <c r="P297" i="2"/>
  <c r="M297" i="2"/>
  <c r="L297" i="2"/>
  <c r="N297" i="2" s="1"/>
  <c r="M296" i="2"/>
  <c r="L296" i="2"/>
  <c r="Q295" i="2"/>
  <c r="P295" i="2"/>
  <c r="N295" i="2"/>
  <c r="L295" i="2"/>
  <c r="M295" i="2" s="1"/>
  <c r="P294" i="2"/>
  <c r="N294" i="2"/>
  <c r="M294" i="2"/>
  <c r="L294" i="2"/>
  <c r="Q294" i="2" s="1"/>
  <c r="P293" i="2"/>
  <c r="P291" i="2" s="1"/>
  <c r="M293" i="2"/>
  <c r="L293" i="2"/>
  <c r="N293" i="2" s="1"/>
  <c r="Q292" i="2"/>
  <c r="P292" i="2"/>
  <c r="M292" i="2"/>
  <c r="L292" i="2"/>
  <c r="N292" i="2" s="1"/>
  <c r="L291" i="2"/>
  <c r="P290" i="2"/>
  <c r="N290" i="2"/>
  <c r="M290" i="2"/>
  <c r="L290" i="2"/>
  <c r="Q290" i="2" s="1"/>
  <c r="P289" i="2"/>
  <c r="M289" i="2"/>
  <c r="L289" i="2"/>
  <c r="N289" i="2" s="1"/>
  <c r="Q288" i="2"/>
  <c r="P288" i="2"/>
  <c r="M288" i="2"/>
  <c r="L288" i="2"/>
  <c r="N288" i="2" s="1"/>
  <c r="Q287" i="2"/>
  <c r="P287" i="2"/>
  <c r="N287" i="2"/>
  <c r="L287" i="2"/>
  <c r="M287" i="2" s="1"/>
  <c r="P286" i="2"/>
  <c r="N286" i="2"/>
  <c r="M286" i="2"/>
  <c r="L286" i="2"/>
  <c r="Q286" i="2" s="1"/>
  <c r="P285" i="2"/>
  <c r="M285" i="2"/>
  <c r="L285" i="2"/>
  <c r="N285" i="2" s="1"/>
  <c r="Q284" i="2"/>
  <c r="P284" i="2"/>
  <c r="M284" i="2"/>
  <c r="L284" i="2"/>
  <c r="N284" i="2" s="1"/>
  <c r="Q283" i="2"/>
  <c r="P283" i="2"/>
  <c r="N283" i="2"/>
  <c r="L283" i="2"/>
  <c r="M283" i="2" s="1"/>
  <c r="P282" i="2"/>
  <c r="N282" i="2"/>
  <c r="M282" i="2"/>
  <c r="L282" i="2"/>
  <c r="Q282" i="2" s="1"/>
  <c r="P281" i="2"/>
  <c r="M281" i="2"/>
  <c r="L281" i="2"/>
  <c r="N281" i="2" s="1"/>
  <c r="Q280" i="2"/>
  <c r="P280" i="2"/>
  <c r="M280" i="2"/>
  <c r="L280" i="2"/>
  <c r="N280" i="2" s="1"/>
  <c r="Q279" i="2"/>
  <c r="P279" i="2"/>
  <c r="N279" i="2"/>
  <c r="L279" i="2"/>
  <c r="M279" i="2" s="1"/>
  <c r="P278" i="2"/>
  <c r="N278" i="2"/>
  <c r="M278" i="2"/>
  <c r="L278" i="2"/>
  <c r="Q278" i="2" s="1"/>
  <c r="P277" i="2"/>
  <c r="M277" i="2"/>
  <c r="L277" i="2"/>
  <c r="N277" i="2" s="1"/>
  <c r="Q276" i="2"/>
  <c r="P276" i="2"/>
  <c r="M276" i="2"/>
  <c r="L276" i="2"/>
  <c r="N276" i="2" s="1"/>
  <c r="Q275" i="2"/>
  <c r="P275" i="2"/>
  <c r="N275" i="2"/>
  <c r="L275" i="2"/>
  <c r="M275" i="2" s="1"/>
  <c r="P274" i="2"/>
  <c r="N274" i="2"/>
  <c r="O274" i="2" s="1"/>
  <c r="M274" i="2"/>
  <c r="L274" i="2"/>
  <c r="Q274" i="2" s="1"/>
  <c r="P273" i="2"/>
  <c r="M273" i="2"/>
  <c r="L273" i="2"/>
  <c r="N273" i="2" s="1"/>
  <c r="Q272" i="2"/>
  <c r="P272" i="2"/>
  <c r="M272" i="2"/>
  <c r="L272" i="2"/>
  <c r="N272" i="2" s="1"/>
  <c r="Q271" i="2"/>
  <c r="P271" i="2"/>
  <c r="N271" i="2"/>
  <c r="L271" i="2"/>
  <c r="M271" i="2" s="1"/>
  <c r="P270" i="2"/>
  <c r="N270" i="2"/>
  <c r="M270" i="2"/>
  <c r="L270" i="2"/>
  <c r="Q270" i="2" s="1"/>
  <c r="P269" i="2"/>
  <c r="M269" i="2"/>
  <c r="L269" i="2"/>
  <c r="N269" i="2" s="1"/>
  <c r="Q268" i="2"/>
  <c r="P268" i="2"/>
  <c r="M268" i="2"/>
  <c r="L268" i="2"/>
  <c r="N268" i="2" s="1"/>
  <c r="Q267" i="2"/>
  <c r="P267" i="2"/>
  <c r="N267" i="2"/>
  <c r="L267" i="2"/>
  <c r="M267" i="2" s="1"/>
  <c r="P266" i="2"/>
  <c r="N266" i="2"/>
  <c r="M266" i="2"/>
  <c r="L266" i="2"/>
  <c r="Q266" i="2" s="1"/>
  <c r="P265" i="2"/>
  <c r="M265" i="2"/>
  <c r="L265" i="2"/>
  <c r="N265" i="2" s="1"/>
  <c r="Q264" i="2"/>
  <c r="P264" i="2"/>
  <c r="M264" i="2"/>
  <c r="L264" i="2"/>
  <c r="N264" i="2" s="1"/>
  <c r="Q263" i="2"/>
  <c r="P263" i="2"/>
  <c r="N263" i="2"/>
  <c r="L263" i="2"/>
  <c r="M263" i="2" s="1"/>
  <c r="P262" i="2"/>
  <c r="N262" i="2"/>
  <c r="M262" i="2"/>
  <c r="L262" i="2"/>
  <c r="Q262" i="2" s="1"/>
  <c r="P261" i="2"/>
  <c r="M261" i="2"/>
  <c r="L261" i="2"/>
  <c r="N261" i="2" s="1"/>
  <c r="Q260" i="2"/>
  <c r="P260" i="2"/>
  <c r="M260" i="2"/>
  <c r="L260" i="2"/>
  <c r="N260" i="2" s="1"/>
  <c r="Q259" i="2"/>
  <c r="P259" i="2"/>
  <c r="N259" i="2"/>
  <c r="L259" i="2"/>
  <c r="M259" i="2" s="1"/>
  <c r="P258" i="2"/>
  <c r="N258" i="2"/>
  <c r="M258" i="2"/>
  <c r="L258" i="2"/>
  <c r="Q258" i="2" s="1"/>
  <c r="P257" i="2"/>
  <c r="P255" i="2" s="1"/>
  <c r="M257" i="2"/>
  <c r="L257" i="2"/>
  <c r="N257" i="2" s="1"/>
  <c r="Q256" i="2"/>
  <c r="P256" i="2"/>
  <c r="M256" i="2"/>
  <c r="L256" i="2"/>
  <c r="N256" i="2" s="1"/>
  <c r="N255" i="2" s="1"/>
  <c r="L255" i="2"/>
  <c r="P254" i="2"/>
  <c r="N254" i="2"/>
  <c r="M254" i="2"/>
  <c r="L254" i="2"/>
  <c r="Q254" i="2" s="1"/>
  <c r="P253" i="2"/>
  <c r="M253" i="2"/>
  <c r="L253" i="2"/>
  <c r="N253" i="2" s="1"/>
  <c r="Q252" i="2"/>
  <c r="P252" i="2"/>
  <c r="M252" i="2"/>
  <c r="L252" i="2"/>
  <c r="N252" i="2" s="1"/>
  <c r="Q251" i="2"/>
  <c r="P251" i="2"/>
  <c r="N251" i="2"/>
  <c r="L251" i="2"/>
  <c r="M251" i="2" s="1"/>
  <c r="P250" i="2"/>
  <c r="N250" i="2"/>
  <c r="M250" i="2"/>
  <c r="L250" i="2"/>
  <c r="Q250" i="2" s="1"/>
  <c r="P249" i="2"/>
  <c r="M249" i="2"/>
  <c r="L249" i="2"/>
  <c r="N249" i="2" s="1"/>
  <c r="Q248" i="2"/>
  <c r="P248" i="2"/>
  <c r="M248" i="2"/>
  <c r="L248" i="2"/>
  <c r="N248" i="2" s="1"/>
  <c r="Q247" i="2"/>
  <c r="P247" i="2"/>
  <c r="N247" i="2"/>
  <c r="L247" i="2"/>
  <c r="M247" i="2" s="1"/>
  <c r="P246" i="2"/>
  <c r="N246" i="2"/>
  <c r="M246" i="2"/>
  <c r="L246" i="2"/>
  <c r="Q246" i="2" s="1"/>
  <c r="P245" i="2"/>
  <c r="M245" i="2"/>
  <c r="L245" i="2"/>
  <c r="N245" i="2" s="1"/>
  <c r="Q244" i="2"/>
  <c r="P244" i="2"/>
  <c r="M244" i="2"/>
  <c r="M240" i="2" s="1"/>
  <c r="L244" i="2"/>
  <c r="N244" i="2" s="1"/>
  <c r="Q243" i="2"/>
  <c r="P243" i="2"/>
  <c r="N243" i="2"/>
  <c r="L243" i="2"/>
  <c r="M243" i="2" s="1"/>
  <c r="P242" i="2"/>
  <c r="N242" i="2"/>
  <c r="M242" i="2"/>
  <c r="L242" i="2"/>
  <c r="Q242" i="2" s="1"/>
  <c r="P241" i="2"/>
  <c r="M241" i="2"/>
  <c r="L241" i="2"/>
  <c r="N241" i="2" s="1"/>
  <c r="L240" i="2"/>
  <c r="Q239" i="2"/>
  <c r="P239" i="2"/>
  <c r="N239" i="2"/>
  <c r="L239" i="2"/>
  <c r="M239" i="2" s="1"/>
  <c r="P238" i="2"/>
  <c r="N238" i="2"/>
  <c r="M238" i="2"/>
  <c r="L238" i="2"/>
  <c r="Q238" i="2" s="1"/>
  <c r="P237" i="2"/>
  <c r="M237" i="2"/>
  <c r="L237" i="2"/>
  <c r="N237" i="2" s="1"/>
  <c r="Q236" i="2"/>
  <c r="P236" i="2"/>
  <c r="M236" i="2"/>
  <c r="L236" i="2"/>
  <c r="N236" i="2" s="1"/>
  <c r="Q235" i="2"/>
  <c r="P235" i="2"/>
  <c r="N235" i="2"/>
  <c r="L235" i="2"/>
  <c r="M235" i="2" s="1"/>
  <c r="P234" i="2"/>
  <c r="N234" i="2"/>
  <c r="M234" i="2"/>
  <c r="L234" i="2"/>
  <c r="Q234" i="2" s="1"/>
  <c r="P233" i="2"/>
  <c r="M233" i="2"/>
  <c r="L233" i="2"/>
  <c r="N233" i="2" s="1"/>
  <c r="Q232" i="2"/>
  <c r="P232" i="2"/>
  <c r="M232" i="2"/>
  <c r="L232" i="2"/>
  <c r="N232" i="2" s="1"/>
  <c r="Q231" i="2"/>
  <c r="P231" i="2"/>
  <c r="N231" i="2"/>
  <c r="L231" i="2"/>
  <c r="M231" i="2" s="1"/>
  <c r="P230" i="2"/>
  <c r="N230" i="2"/>
  <c r="M230" i="2"/>
  <c r="L230" i="2"/>
  <c r="Q230" i="2" s="1"/>
  <c r="P229" i="2"/>
  <c r="P226" i="2" s="1"/>
  <c r="M229" i="2"/>
  <c r="L229" i="2"/>
  <c r="N229" i="2" s="1"/>
  <c r="Q228" i="2"/>
  <c r="P228" i="2"/>
  <c r="M228" i="2"/>
  <c r="L228" i="2"/>
  <c r="N228" i="2" s="1"/>
  <c r="Q227" i="2"/>
  <c r="P227" i="2"/>
  <c r="N227" i="2"/>
  <c r="L227" i="2"/>
  <c r="M227" i="2" s="1"/>
  <c r="N226" i="2"/>
  <c r="L226" i="2"/>
  <c r="L225" i="2"/>
  <c r="Q224" i="2"/>
  <c r="P224" i="2"/>
  <c r="M224" i="2"/>
  <c r="M222" i="2" s="1"/>
  <c r="L224" i="2"/>
  <c r="N224" i="2" s="1"/>
  <c r="Q223" i="2"/>
  <c r="P223" i="2"/>
  <c r="N223" i="2"/>
  <c r="L223" i="2"/>
  <c r="M223" i="2" s="1"/>
  <c r="P222" i="2"/>
  <c r="L222" i="2"/>
  <c r="M221" i="2"/>
  <c r="L221" i="2"/>
  <c r="N221" i="2" s="1"/>
  <c r="N220" i="2"/>
  <c r="M220" i="2"/>
  <c r="L220" i="2"/>
  <c r="L219" i="2"/>
  <c r="E219" i="2"/>
  <c r="P219" i="2" s="1"/>
  <c r="N218" i="2"/>
  <c r="L218" i="2"/>
  <c r="M218" i="2" s="1"/>
  <c r="P217" i="2"/>
  <c r="N217" i="2"/>
  <c r="L217" i="2"/>
  <c r="M217" i="2" s="1"/>
  <c r="E217" i="2"/>
  <c r="L216" i="2"/>
  <c r="N216" i="2" s="1"/>
  <c r="L215" i="2"/>
  <c r="Q214" i="2"/>
  <c r="P214" i="2"/>
  <c r="M214" i="2"/>
  <c r="L214" i="2"/>
  <c r="N214" i="2" s="1"/>
  <c r="Q213" i="2"/>
  <c r="P213" i="2"/>
  <c r="N213" i="2"/>
  <c r="L213" i="2"/>
  <c r="M213" i="2" s="1"/>
  <c r="P212" i="2"/>
  <c r="N212" i="2"/>
  <c r="M212" i="2"/>
  <c r="L212" i="2"/>
  <c r="Q212" i="2" s="1"/>
  <c r="P211" i="2"/>
  <c r="M211" i="2"/>
  <c r="L211" i="2"/>
  <c r="N211" i="2" s="1"/>
  <c r="Q210" i="2"/>
  <c r="P210" i="2"/>
  <c r="M210" i="2"/>
  <c r="L210" i="2"/>
  <c r="N210" i="2" s="1"/>
  <c r="Q209" i="2"/>
  <c r="P209" i="2"/>
  <c r="N209" i="2"/>
  <c r="L209" i="2"/>
  <c r="M209" i="2" s="1"/>
  <c r="P208" i="2"/>
  <c r="N208" i="2"/>
  <c r="M208" i="2"/>
  <c r="L208" i="2"/>
  <c r="Q208" i="2" s="1"/>
  <c r="P207" i="2"/>
  <c r="P205" i="2" s="1"/>
  <c r="M207" i="2"/>
  <c r="L207" i="2"/>
  <c r="N207" i="2" s="1"/>
  <c r="Q206" i="2"/>
  <c r="P206" i="2"/>
  <c r="M206" i="2"/>
  <c r="M205" i="2" s="1"/>
  <c r="L206" i="2"/>
  <c r="N206" i="2" s="1"/>
  <c r="L205" i="2"/>
  <c r="P204" i="2"/>
  <c r="N204" i="2"/>
  <c r="M204" i="2"/>
  <c r="L204" i="2"/>
  <c r="Q204" i="2" s="1"/>
  <c r="P203" i="2"/>
  <c r="M203" i="2"/>
  <c r="L203" i="2"/>
  <c r="N203" i="2" s="1"/>
  <c r="Q202" i="2"/>
  <c r="P202" i="2"/>
  <c r="M202" i="2"/>
  <c r="L202" i="2"/>
  <c r="N202" i="2" s="1"/>
  <c r="Q201" i="2"/>
  <c r="P201" i="2"/>
  <c r="N201" i="2"/>
  <c r="L201" i="2"/>
  <c r="M201" i="2" s="1"/>
  <c r="P200" i="2"/>
  <c r="N200" i="2"/>
  <c r="M200" i="2"/>
  <c r="L200" i="2"/>
  <c r="Q200" i="2" s="1"/>
  <c r="P199" i="2"/>
  <c r="M199" i="2"/>
  <c r="L199" i="2"/>
  <c r="N199" i="2" s="1"/>
  <c r="Q198" i="2"/>
  <c r="P198" i="2"/>
  <c r="M198" i="2"/>
  <c r="L198" i="2"/>
  <c r="N198" i="2" s="1"/>
  <c r="Q197" i="2"/>
  <c r="P197" i="2"/>
  <c r="N197" i="2"/>
  <c r="L197" i="2"/>
  <c r="M197" i="2" s="1"/>
  <c r="P196" i="2"/>
  <c r="N196" i="2"/>
  <c r="M196" i="2"/>
  <c r="L196" i="2"/>
  <c r="Q196" i="2" s="1"/>
  <c r="P195" i="2"/>
  <c r="M195" i="2"/>
  <c r="L195" i="2"/>
  <c r="N195" i="2" s="1"/>
  <c r="Q194" i="2"/>
  <c r="P194" i="2"/>
  <c r="M194" i="2"/>
  <c r="L194" i="2"/>
  <c r="N194" i="2" s="1"/>
  <c r="Q193" i="2"/>
  <c r="P193" i="2"/>
  <c r="N193" i="2"/>
  <c r="L193" i="2"/>
  <c r="M193" i="2" s="1"/>
  <c r="P192" i="2"/>
  <c r="N192" i="2"/>
  <c r="M192" i="2"/>
  <c r="L192" i="2"/>
  <c r="Q192" i="2" s="1"/>
  <c r="P191" i="2"/>
  <c r="M191" i="2"/>
  <c r="L191" i="2"/>
  <c r="N191" i="2" s="1"/>
  <c r="Q190" i="2"/>
  <c r="P190" i="2"/>
  <c r="M190" i="2"/>
  <c r="L190" i="2"/>
  <c r="N190" i="2" s="1"/>
  <c r="Q189" i="2"/>
  <c r="P189" i="2"/>
  <c r="N189" i="2"/>
  <c r="L189" i="2"/>
  <c r="M189" i="2" s="1"/>
  <c r="P188" i="2"/>
  <c r="N188" i="2"/>
  <c r="M188" i="2"/>
  <c r="L188" i="2"/>
  <c r="Q188" i="2" s="1"/>
  <c r="P187" i="2"/>
  <c r="M187" i="2"/>
  <c r="L187" i="2"/>
  <c r="N187" i="2" s="1"/>
  <c r="Q186" i="2"/>
  <c r="P186" i="2"/>
  <c r="M186" i="2"/>
  <c r="L186" i="2"/>
  <c r="N186" i="2" s="1"/>
  <c r="Q185" i="2"/>
  <c r="P185" i="2"/>
  <c r="N185" i="2"/>
  <c r="L185" i="2"/>
  <c r="M185" i="2" s="1"/>
  <c r="P184" i="2"/>
  <c r="N184" i="2"/>
  <c r="M184" i="2"/>
  <c r="L184" i="2"/>
  <c r="Q184" i="2" s="1"/>
  <c r="P183" i="2"/>
  <c r="M183" i="2"/>
  <c r="L183" i="2"/>
  <c r="N183" i="2" s="1"/>
  <c r="P182" i="2"/>
  <c r="L182" i="2"/>
  <c r="N182" i="2" s="1"/>
  <c r="Q181" i="2"/>
  <c r="P181" i="2"/>
  <c r="N181" i="2"/>
  <c r="L181" i="2"/>
  <c r="M181" i="2" s="1"/>
  <c r="P180" i="2"/>
  <c r="P179" i="2" s="1"/>
  <c r="P178" i="2" s="1"/>
  <c r="N180" i="2"/>
  <c r="M180" i="2"/>
  <c r="L180" i="2"/>
  <c r="Q180" i="2" s="1"/>
  <c r="L179" i="2"/>
  <c r="L178" i="2"/>
  <c r="Q177" i="2"/>
  <c r="P177" i="2"/>
  <c r="N177" i="2"/>
  <c r="L177" i="2"/>
  <c r="M177" i="2" s="1"/>
  <c r="P176" i="2"/>
  <c r="P175" i="2" s="1"/>
  <c r="L176" i="2"/>
  <c r="Q176" i="2" s="1"/>
  <c r="Q175" i="2" s="1"/>
  <c r="L175" i="2"/>
  <c r="P174" i="2"/>
  <c r="L174" i="2"/>
  <c r="N174" i="2" s="1"/>
  <c r="Q173" i="2"/>
  <c r="P173" i="2"/>
  <c r="N173" i="2"/>
  <c r="L173" i="2"/>
  <c r="M173" i="2" s="1"/>
  <c r="P172" i="2"/>
  <c r="L172" i="2"/>
  <c r="Q172" i="2" s="1"/>
  <c r="P171" i="2"/>
  <c r="P170" i="2" s="1"/>
  <c r="M171" i="2"/>
  <c r="L171" i="2"/>
  <c r="N171" i="2" s="1"/>
  <c r="L170" i="2"/>
  <c r="Q169" i="2"/>
  <c r="P169" i="2"/>
  <c r="N169" i="2"/>
  <c r="L169" i="2"/>
  <c r="M169" i="2" s="1"/>
  <c r="P168" i="2"/>
  <c r="P165" i="2" s="1"/>
  <c r="N168" i="2"/>
  <c r="N165" i="2" s="1"/>
  <c r="M168" i="2"/>
  <c r="L168" i="2"/>
  <c r="Q168" i="2" s="1"/>
  <c r="P167" i="2"/>
  <c r="M167" i="2"/>
  <c r="L167" i="2"/>
  <c r="N167" i="2" s="1"/>
  <c r="Q166" i="2"/>
  <c r="P166" i="2"/>
  <c r="M166" i="2"/>
  <c r="M165" i="2" s="1"/>
  <c r="L166" i="2"/>
  <c r="N166" i="2" s="1"/>
  <c r="L165" i="2"/>
  <c r="P164" i="2"/>
  <c r="N164" i="2"/>
  <c r="M164" i="2"/>
  <c r="L164" i="2"/>
  <c r="Q164" i="2" s="1"/>
  <c r="P163" i="2"/>
  <c r="M163" i="2"/>
  <c r="L163" i="2"/>
  <c r="N163" i="2" s="1"/>
  <c r="Q162" i="2"/>
  <c r="P162" i="2"/>
  <c r="M162" i="2"/>
  <c r="L162" i="2"/>
  <c r="N162" i="2" s="1"/>
  <c r="Q161" i="2"/>
  <c r="P161" i="2"/>
  <c r="N161" i="2"/>
  <c r="L161" i="2"/>
  <c r="M161" i="2" s="1"/>
  <c r="P160" i="2"/>
  <c r="L160" i="2"/>
  <c r="Q160" i="2" s="1"/>
  <c r="P159" i="2"/>
  <c r="L159" i="2"/>
  <c r="Q158" i="2"/>
  <c r="P158" i="2"/>
  <c r="L158" i="2"/>
  <c r="N158" i="2" s="1"/>
  <c r="Q157" i="2"/>
  <c r="P157" i="2"/>
  <c r="P156" i="2" s="1"/>
  <c r="P155" i="2" s="1"/>
  <c r="N157" i="2"/>
  <c r="L157" i="2"/>
  <c r="M157" i="2" s="1"/>
  <c r="L156" i="2"/>
  <c r="L155" i="2"/>
  <c r="P154" i="2"/>
  <c r="L154" i="2"/>
  <c r="P153" i="2"/>
  <c r="N153" i="2"/>
  <c r="L153" i="2"/>
  <c r="M153" i="2" s="1"/>
  <c r="P152" i="2"/>
  <c r="N152" i="2"/>
  <c r="M152" i="2"/>
  <c r="L152" i="2"/>
  <c r="Q152" i="2" s="1"/>
  <c r="P151" i="2"/>
  <c r="L151" i="2"/>
  <c r="Q150" i="2"/>
  <c r="M150" i="2"/>
  <c r="L150" i="2"/>
  <c r="N150" i="2" s="1"/>
  <c r="E150" i="2"/>
  <c r="Q149" i="2"/>
  <c r="P149" i="2"/>
  <c r="M149" i="2"/>
  <c r="L149" i="2"/>
  <c r="N149" i="2" s="1"/>
  <c r="E149" i="2"/>
  <c r="L148" i="2"/>
  <c r="Q147" i="2"/>
  <c r="P147" i="2"/>
  <c r="M147" i="2"/>
  <c r="L147" i="2"/>
  <c r="N147" i="2" s="1"/>
  <c r="P146" i="2"/>
  <c r="L146" i="2"/>
  <c r="Q145" i="2"/>
  <c r="P145" i="2"/>
  <c r="N145" i="2"/>
  <c r="L145" i="2"/>
  <c r="M145" i="2" s="1"/>
  <c r="Q144" i="2"/>
  <c r="P144" i="2"/>
  <c r="N144" i="2"/>
  <c r="M144" i="2"/>
  <c r="L144" i="2"/>
  <c r="L143" i="2"/>
  <c r="N143" i="2" s="1"/>
  <c r="I143" i="2"/>
  <c r="I143" i="5" s="1"/>
  <c r="I143" i="7" s="1"/>
  <c r="I143" i="9" s="1"/>
  <c r="I143" i="10" s="1"/>
  <c r="I143" i="13" s="1"/>
  <c r="I143" i="14" s="1"/>
  <c r="I143" i="15" s="1"/>
  <c r="I143" i="16" s="1"/>
  <c r="J146" i="20" s="1"/>
  <c r="M142" i="2"/>
  <c r="L142" i="2"/>
  <c r="N142" i="2" s="1"/>
  <c r="E142" i="2"/>
  <c r="Q142" i="2" s="1"/>
  <c r="N141" i="2"/>
  <c r="M141" i="2"/>
  <c r="L141" i="2"/>
  <c r="E141" i="2"/>
  <c r="P141" i="2" s="1"/>
  <c r="L140" i="2"/>
  <c r="L139" i="2"/>
  <c r="P138" i="2"/>
  <c r="M138" i="2"/>
  <c r="L138" i="2"/>
  <c r="Q138" i="2" s="1"/>
  <c r="Q137" i="2"/>
  <c r="P137" i="2"/>
  <c r="L137" i="2"/>
  <c r="M137" i="2" s="1"/>
  <c r="Q136" i="2"/>
  <c r="P136" i="2"/>
  <c r="L136" i="2"/>
  <c r="N136" i="2" s="1"/>
  <c r="Q135" i="2"/>
  <c r="P135" i="2"/>
  <c r="N135" i="2"/>
  <c r="M135" i="2"/>
  <c r="L135" i="2"/>
  <c r="Q134" i="2"/>
  <c r="P134" i="2"/>
  <c r="N134" i="2"/>
  <c r="M134" i="2"/>
  <c r="L134" i="2"/>
  <c r="Q133" i="2"/>
  <c r="P133" i="2"/>
  <c r="L133" i="2"/>
  <c r="M133" i="2" s="1"/>
  <c r="P132" i="2"/>
  <c r="L132" i="2"/>
  <c r="P131" i="2"/>
  <c r="L131" i="2"/>
  <c r="Q130" i="2"/>
  <c r="P130" i="2"/>
  <c r="M130" i="2"/>
  <c r="L130" i="2"/>
  <c r="N130" i="2" s="1"/>
  <c r="P129" i="2"/>
  <c r="N129" i="2"/>
  <c r="L129" i="2"/>
  <c r="M129" i="2" s="1"/>
  <c r="P128" i="2"/>
  <c r="L128" i="2"/>
  <c r="Q128" i="2" s="1"/>
  <c r="P127" i="2"/>
  <c r="N127" i="2"/>
  <c r="L127" i="2"/>
  <c r="Q127" i="2" s="1"/>
  <c r="Q126" i="2"/>
  <c r="P126" i="2"/>
  <c r="N126" i="2"/>
  <c r="M126" i="2"/>
  <c r="L126" i="2"/>
  <c r="Q125" i="2"/>
  <c r="P125" i="2"/>
  <c r="N125" i="2"/>
  <c r="L125" i="2"/>
  <c r="M125" i="2" s="1"/>
  <c r="J125" i="2"/>
  <c r="P124" i="2"/>
  <c r="N124" i="2"/>
  <c r="M124" i="2"/>
  <c r="L124" i="2"/>
  <c r="Q124" i="2" s="1"/>
  <c r="P123" i="2"/>
  <c r="L123" i="2"/>
  <c r="N123" i="2" s="1"/>
  <c r="P122" i="2"/>
  <c r="M122" i="2"/>
  <c r="L122" i="2"/>
  <c r="Q122" i="2" s="1"/>
  <c r="P121" i="2"/>
  <c r="N121" i="2"/>
  <c r="L121" i="2"/>
  <c r="M121" i="2" s="1"/>
  <c r="L120" i="2"/>
  <c r="P119" i="2"/>
  <c r="N119" i="2"/>
  <c r="M119" i="2"/>
  <c r="L119" i="2"/>
  <c r="Q119" i="2" s="1"/>
  <c r="Q118" i="2"/>
  <c r="P118" i="2"/>
  <c r="M118" i="2"/>
  <c r="L118" i="2"/>
  <c r="N118" i="2" s="1"/>
  <c r="J118" i="2"/>
  <c r="P117" i="2"/>
  <c r="N117" i="2"/>
  <c r="L117" i="2"/>
  <c r="M117" i="2" s="1"/>
  <c r="P116" i="2"/>
  <c r="L116" i="2"/>
  <c r="N116" i="2" s="1"/>
  <c r="P115" i="2"/>
  <c r="L115" i="2"/>
  <c r="Q114" i="2"/>
  <c r="P114" i="2"/>
  <c r="N114" i="2"/>
  <c r="M114" i="2"/>
  <c r="L114" i="2"/>
  <c r="Q113" i="2"/>
  <c r="P113" i="2"/>
  <c r="N113" i="2"/>
  <c r="L113" i="2"/>
  <c r="M113" i="2" s="1"/>
  <c r="P112" i="2"/>
  <c r="N112" i="2"/>
  <c r="M112" i="2"/>
  <c r="L112" i="2"/>
  <c r="Q112" i="2" s="1"/>
  <c r="P111" i="2"/>
  <c r="L111" i="2"/>
  <c r="Q111" i="2" s="1"/>
  <c r="I111" i="2"/>
  <c r="P110" i="2"/>
  <c r="M110" i="2"/>
  <c r="L110" i="2"/>
  <c r="Q110" i="2" s="1"/>
  <c r="Q109" i="2"/>
  <c r="P109" i="2"/>
  <c r="N109" i="2"/>
  <c r="L109" i="2"/>
  <c r="M109" i="2" s="1"/>
  <c r="P108" i="2"/>
  <c r="L108" i="2"/>
  <c r="L107" i="2"/>
  <c r="Q106" i="2"/>
  <c r="P106" i="2"/>
  <c r="M106" i="2"/>
  <c r="L106" i="2"/>
  <c r="N106" i="2" s="1"/>
  <c r="P105" i="2"/>
  <c r="N105" i="2"/>
  <c r="L105" i="2"/>
  <c r="M105" i="2" s="1"/>
  <c r="P104" i="2"/>
  <c r="L104" i="2"/>
  <c r="Q104" i="2" s="1"/>
  <c r="Q103" i="2"/>
  <c r="P103" i="2"/>
  <c r="L103" i="2"/>
  <c r="N103" i="2" s="1"/>
  <c r="Q102" i="2"/>
  <c r="P102" i="2"/>
  <c r="N102" i="2"/>
  <c r="M102" i="2"/>
  <c r="L102" i="2"/>
  <c r="Q101" i="2"/>
  <c r="P101" i="2"/>
  <c r="N101" i="2"/>
  <c r="L101" i="2"/>
  <c r="M101" i="2" s="1"/>
  <c r="P100" i="2"/>
  <c r="N100" i="2"/>
  <c r="L100" i="2"/>
  <c r="Q100" i="2" s="1"/>
  <c r="P99" i="2"/>
  <c r="L99" i="2"/>
  <c r="N99" i="2" s="1"/>
  <c r="P98" i="2"/>
  <c r="M98" i="2"/>
  <c r="L98" i="2"/>
  <c r="Q98" i="2" s="1"/>
  <c r="P97" i="2"/>
  <c r="L97" i="2"/>
  <c r="Q97" i="2" s="1"/>
  <c r="P96" i="2"/>
  <c r="M96" i="2"/>
  <c r="L96" i="2"/>
  <c r="Q96" i="2" s="1"/>
  <c r="P95" i="2"/>
  <c r="L95" i="2"/>
  <c r="L94" i="2"/>
  <c r="P93" i="2"/>
  <c r="L93" i="2"/>
  <c r="Q93" i="2" s="1"/>
  <c r="P92" i="2"/>
  <c r="M92" i="2"/>
  <c r="L92" i="2"/>
  <c r="Q92" i="2" s="1"/>
  <c r="P91" i="2"/>
  <c r="L91" i="2"/>
  <c r="N91" i="2" s="1"/>
  <c r="P90" i="2"/>
  <c r="M90" i="2"/>
  <c r="L90" i="2"/>
  <c r="Q90" i="2" s="1"/>
  <c r="P89" i="2"/>
  <c r="L89" i="2"/>
  <c r="Q89" i="2" s="1"/>
  <c r="P88" i="2"/>
  <c r="M88" i="2"/>
  <c r="L88" i="2"/>
  <c r="Q88" i="2" s="1"/>
  <c r="P87" i="2"/>
  <c r="L87" i="2"/>
  <c r="N87" i="2" s="1"/>
  <c r="P86" i="2"/>
  <c r="M86" i="2"/>
  <c r="L86" i="2"/>
  <c r="Q86" i="2" s="1"/>
  <c r="P85" i="2"/>
  <c r="L85" i="2"/>
  <c r="Q85" i="2" s="1"/>
  <c r="P84" i="2"/>
  <c r="M84" i="2"/>
  <c r="L84" i="2"/>
  <c r="Q84" i="2" s="1"/>
  <c r="P83" i="2"/>
  <c r="P79" i="2" s="1"/>
  <c r="L83" i="2"/>
  <c r="N83" i="2" s="1"/>
  <c r="E83" i="2"/>
  <c r="Q82" i="2"/>
  <c r="P82" i="2"/>
  <c r="N82" i="2"/>
  <c r="M82" i="2"/>
  <c r="L82" i="2"/>
  <c r="Q81" i="2"/>
  <c r="P81" i="2"/>
  <c r="N81" i="2"/>
  <c r="M81" i="2"/>
  <c r="L81" i="2"/>
  <c r="P80" i="2"/>
  <c r="N80" i="2"/>
  <c r="L80" i="2"/>
  <c r="Q80" i="2" s="1"/>
  <c r="L79" i="2"/>
  <c r="Q78" i="2"/>
  <c r="P78" i="2"/>
  <c r="N78" i="2"/>
  <c r="M78" i="2"/>
  <c r="L78" i="2"/>
  <c r="Q77" i="2"/>
  <c r="P77" i="2"/>
  <c r="N77" i="2"/>
  <c r="M77" i="2"/>
  <c r="L77" i="2"/>
  <c r="P76" i="2"/>
  <c r="N76" i="2"/>
  <c r="L76" i="2"/>
  <c r="Q76" i="2" s="1"/>
  <c r="Q75" i="2"/>
  <c r="P75" i="2"/>
  <c r="M75" i="2"/>
  <c r="L75" i="2"/>
  <c r="N75" i="2" s="1"/>
  <c r="Q74" i="2"/>
  <c r="P74" i="2"/>
  <c r="N74" i="2"/>
  <c r="O74" i="2" s="1"/>
  <c r="R74" i="2" s="1"/>
  <c r="M74" i="2"/>
  <c r="L74" i="2"/>
  <c r="Q73" i="2"/>
  <c r="P73" i="2"/>
  <c r="N73" i="2"/>
  <c r="M73" i="2"/>
  <c r="L73" i="2"/>
  <c r="P72" i="2"/>
  <c r="N72" i="2"/>
  <c r="L72" i="2"/>
  <c r="Q72" i="2" s="1"/>
  <c r="Q71" i="2"/>
  <c r="P71" i="2"/>
  <c r="M71" i="2"/>
  <c r="L71" i="2"/>
  <c r="N71" i="2" s="1"/>
  <c r="Q70" i="2"/>
  <c r="P70" i="2"/>
  <c r="N70" i="2"/>
  <c r="M70" i="2"/>
  <c r="L70" i="2"/>
  <c r="Q69" i="2"/>
  <c r="P69" i="2"/>
  <c r="N69" i="2"/>
  <c r="M69" i="2"/>
  <c r="L69" i="2"/>
  <c r="N68" i="2"/>
  <c r="M68" i="2"/>
  <c r="L68" i="2"/>
  <c r="E68" i="2"/>
  <c r="P67" i="2"/>
  <c r="M67" i="2"/>
  <c r="L67" i="2"/>
  <c r="Q67" i="2" s="1"/>
  <c r="P66" i="2"/>
  <c r="L66" i="2"/>
  <c r="N66" i="2" s="1"/>
  <c r="P65" i="2"/>
  <c r="M65" i="2"/>
  <c r="L65" i="2"/>
  <c r="Q65" i="2" s="1"/>
  <c r="P64" i="2"/>
  <c r="L64" i="2"/>
  <c r="Q64" i="2" s="1"/>
  <c r="L63" i="2"/>
  <c r="L62" i="2"/>
  <c r="P61" i="2"/>
  <c r="M61" i="2"/>
  <c r="L61" i="2"/>
  <c r="Q61" i="2" s="1"/>
  <c r="P60" i="2"/>
  <c r="L60" i="2"/>
  <c r="Q60" i="2" s="1"/>
  <c r="Q59" i="2"/>
  <c r="P59" i="2"/>
  <c r="L59" i="2"/>
  <c r="L58" i="2"/>
  <c r="E58" i="2"/>
  <c r="Q58" i="2" s="1"/>
  <c r="P57" i="2"/>
  <c r="N57" i="2"/>
  <c r="L57" i="2"/>
  <c r="Q57" i="2" s="1"/>
  <c r="G57" i="2"/>
  <c r="P56" i="2"/>
  <c r="L56" i="2"/>
  <c r="Q56" i="2" s="1"/>
  <c r="Q55" i="2"/>
  <c r="P55" i="2"/>
  <c r="M55" i="2"/>
  <c r="L55" i="2"/>
  <c r="G55" i="2"/>
  <c r="N55" i="2" s="1"/>
  <c r="Q54" i="2"/>
  <c r="P54" i="2"/>
  <c r="N54" i="2"/>
  <c r="M54" i="2"/>
  <c r="L54" i="2"/>
  <c r="L53" i="2"/>
  <c r="L52" i="2"/>
  <c r="L51" i="2"/>
  <c r="N51" i="2" s="1"/>
  <c r="G51" i="2"/>
  <c r="E51" i="2"/>
  <c r="Q51" i="2" s="1"/>
  <c r="Q50" i="2"/>
  <c r="P50" i="2"/>
  <c r="M50" i="2"/>
  <c r="L50" i="2"/>
  <c r="G50" i="2"/>
  <c r="N50" i="2" s="1"/>
  <c r="Q49" i="2"/>
  <c r="P49" i="2"/>
  <c r="M49" i="2"/>
  <c r="L49" i="2"/>
  <c r="G49" i="2"/>
  <c r="N49" i="2" s="1"/>
  <c r="P48" i="2"/>
  <c r="M48" i="2"/>
  <c r="L48" i="2"/>
  <c r="Q48" i="2" s="1"/>
  <c r="G48" i="2"/>
  <c r="N48" i="2" s="1"/>
  <c r="Q47" i="2"/>
  <c r="P47" i="2"/>
  <c r="N47" i="2"/>
  <c r="M47" i="2"/>
  <c r="L47" i="2"/>
  <c r="G47" i="2"/>
  <c r="Q46" i="2"/>
  <c r="P46" i="2"/>
  <c r="M46" i="2"/>
  <c r="L46" i="2"/>
  <c r="G46" i="2"/>
  <c r="N46" i="2" s="1"/>
  <c r="P45" i="2"/>
  <c r="M45" i="2"/>
  <c r="L45" i="2"/>
  <c r="Q45" i="2" s="1"/>
  <c r="G45" i="2"/>
  <c r="N45" i="2" s="1"/>
  <c r="Q44" i="2"/>
  <c r="P44" i="2"/>
  <c r="M44" i="2"/>
  <c r="L44" i="2"/>
  <c r="G44" i="2"/>
  <c r="N44" i="2" s="1"/>
  <c r="L43" i="2"/>
  <c r="P42" i="2"/>
  <c r="L42" i="2"/>
  <c r="Q42" i="2" s="1"/>
  <c r="F42" i="2"/>
  <c r="G42" i="2" s="1"/>
  <c r="Q41" i="2"/>
  <c r="P41" i="2"/>
  <c r="L41" i="2"/>
  <c r="P40" i="2"/>
  <c r="L40" i="2"/>
  <c r="Q40" i="2" s="1"/>
  <c r="G40" i="2"/>
  <c r="N40" i="2" s="1"/>
  <c r="P39" i="2"/>
  <c r="P35" i="2" s="1"/>
  <c r="L39" i="2"/>
  <c r="Q39" i="2" s="1"/>
  <c r="P38" i="2"/>
  <c r="L38" i="2"/>
  <c r="Q38" i="2" s="1"/>
  <c r="P37" i="2"/>
  <c r="L37" i="2"/>
  <c r="Q37" i="2" s="1"/>
  <c r="Q36" i="2"/>
  <c r="P36" i="2"/>
  <c r="M36" i="2"/>
  <c r="L36" i="2"/>
  <c r="G36" i="2"/>
  <c r="N36" i="2" s="1"/>
  <c r="L35" i="2"/>
  <c r="P34" i="2"/>
  <c r="L34" i="2"/>
  <c r="Q34" i="2" s="1"/>
  <c r="G34" i="2"/>
  <c r="N34" i="2" s="1"/>
  <c r="P33" i="2"/>
  <c r="L33" i="2"/>
  <c r="Q33" i="2" s="1"/>
  <c r="P32" i="2"/>
  <c r="L32" i="2"/>
  <c r="Q32" i="2" s="1"/>
  <c r="P31" i="2"/>
  <c r="P30" i="2" s="1"/>
  <c r="L31" i="2"/>
  <c r="Q31" i="2" s="1"/>
  <c r="Q30" i="2" s="1"/>
  <c r="L30" i="2"/>
  <c r="I30" i="2"/>
  <c r="I30" i="5" s="1"/>
  <c r="I30" i="7" s="1"/>
  <c r="I30" i="9" s="1"/>
  <c r="I30" i="10" s="1"/>
  <c r="I30" i="13" s="1"/>
  <c r="I30" i="14" s="1"/>
  <c r="I30" i="15" s="1"/>
  <c r="I30" i="16" s="1"/>
  <c r="J31" i="20" s="1"/>
  <c r="Q29" i="2"/>
  <c r="Q28" i="2" s="1"/>
  <c r="P29" i="2"/>
  <c r="N29" i="2"/>
  <c r="M29" i="2"/>
  <c r="M28" i="2" s="1"/>
  <c r="L29" i="2"/>
  <c r="P28" i="2"/>
  <c r="N28" i="2"/>
  <c r="P11" i="2"/>
  <c r="T8" i="2"/>
  <c r="R620" i="1"/>
  <c r="G620" i="1"/>
  <c r="M600" i="1"/>
  <c r="M599" i="1"/>
  <c r="Q590" i="1"/>
  <c r="R590" i="1" s="1"/>
  <c r="P590" i="1"/>
  <c r="O590" i="1"/>
  <c r="N590" i="1"/>
  <c r="M590" i="1"/>
  <c r="L590" i="1"/>
  <c r="J590" i="1"/>
  <c r="T590" i="1" s="1"/>
  <c r="I590" i="1"/>
  <c r="I590" i="2" s="1"/>
  <c r="Q589" i="1"/>
  <c r="P589" i="1"/>
  <c r="N589" i="1"/>
  <c r="N588" i="1" s="1"/>
  <c r="L589" i="1"/>
  <c r="M589" i="1" s="1"/>
  <c r="M588" i="1" s="1"/>
  <c r="I589" i="1"/>
  <c r="I589" i="2" s="1"/>
  <c r="P588" i="1"/>
  <c r="L588" i="1"/>
  <c r="J588" i="1"/>
  <c r="I588" i="1"/>
  <c r="I588" i="2" s="1"/>
  <c r="P587" i="1"/>
  <c r="L587" i="1"/>
  <c r="J587" i="1"/>
  <c r="I587" i="1"/>
  <c r="I587" i="2" s="1"/>
  <c r="Q586" i="1"/>
  <c r="P586" i="1"/>
  <c r="N586" i="1"/>
  <c r="O586" i="1" s="1"/>
  <c r="M586" i="1"/>
  <c r="L586" i="1"/>
  <c r="J586" i="1"/>
  <c r="I586" i="1"/>
  <c r="I586" i="2" s="1"/>
  <c r="Q585" i="1"/>
  <c r="P585" i="1"/>
  <c r="N585" i="1"/>
  <c r="O585" i="1" s="1"/>
  <c r="R585" i="1" s="1"/>
  <c r="L585" i="1"/>
  <c r="M585" i="1" s="1"/>
  <c r="I585" i="1"/>
  <c r="I585" i="2" s="1"/>
  <c r="Q584" i="1"/>
  <c r="R584" i="1" s="1"/>
  <c r="P584" i="1"/>
  <c r="O584" i="1"/>
  <c r="N584" i="1"/>
  <c r="M584" i="1"/>
  <c r="L584" i="1"/>
  <c r="J584" i="1"/>
  <c r="I584" i="1"/>
  <c r="I584" i="2" s="1"/>
  <c r="P583" i="1"/>
  <c r="L583" i="1"/>
  <c r="J583" i="1"/>
  <c r="I583" i="1"/>
  <c r="I583" i="2" s="1"/>
  <c r="Q582" i="1"/>
  <c r="R582" i="1" s="1"/>
  <c r="P582" i="1"/>
  <c r="N582" i="1"/>
  <c r="O582" i="1" s="1"/>
  <c r="M582" i="1"/>
  <c r="L582" i="1"/>
  <c r="J582" i="1"/>
  <c r="I582" i="1"/>
  <c r="I582" i="2" s="1"/>
  <c r="Q581" i="1"/>
  <c r="P581" i="1"/>
  <c r="N581" i="1"/>
  <c r="O581" i="1" s="1"/>
  <c r="R581" i="1" s="1"/>
  <c r="L581" i="1"/>
  <c r="M581" i="1" s="1"/>
  <c r="I581" i="1"/>
  <c r="I581" i="2" s="1"/>
  <c r="Q580" i="1"/>
  <c r="R580" i="1" s="1"/>
  <c r="P580" i="1"/>
  <c r="O580" i="1"/>
  <c r="N580" i="1"/>
  <c r="M580" i="1"/>
  <c r="L580" i="1"/>
  <c r="J580" i="1"/>
  <c r="I580" i="1"/>
  <c r="I580" i="2" s="1"/>
  <c r="P579" i="1"/>
  <c r="L579" i="1"/>
  <c r="J579" i="1"/>
  <c r="I579" i="1"/>
  <c r="I579" i="2" s="1"/>
  <c r="Q578" i="1"/>
  <c r="R578" i="1" s="1"/>
  <c r="P578" i="1"/>
  <c r="N578" i="1"/>
  <c r="O578" i="1" s="1"/>
  <c r="M578" i="1"/>
  <c r="L578" i="1"/>
  <c r="J578" i="1"/>
  <c r="I578" i="1"/>
  <c r="I578" i="2" s="1"/>
  <c r="Q577" i="1"/>
  <c r="P577" i="1"/>
  <c r="N577" i="1"/>
  <c r="O577" i="1" s="1"/>
  <c r="R577" i="1" s="1"/>
  <c r="L577" i="1"/>
  <c r="M577" i="1" s="1"/>
  <c r="I577" i="1"/>
  <c r="I577" i="2" s="1"/>
  <c r="Q576" i="1"/>
  <c r="R576" i="1" s="1"/>
  <c r="P576" i="1"/>
  <c r="O576" i="1"/>
  <c r="N576" i="1"/>
  <c r="M576" i="1"/>
  <c r="L576" i="1"/>
  <c r="J576" i="1"/>
  <c r="I576" i="1"/>
  <c r="I576" i="2" s="1"/>
  <c r="P575" i="1"/>
  <c r="L575" i="1"/>
  <c r="J575" i="1"/>
  <c r="I575" i="1"/>
  <c r="I575" i="2" s="1"/>
  <c r="Q574" i="1"/>
  <c r="R574" i="1" s="1"/>
  <c r="P574" i="1"/>
  <c r="N574" i="1"/>
  <c r="O574" i="1" s="1"/>
  <c r="M574" i="1"/>
  <c r="L574" i="1"/>
  <c r="J574" i="1"/>
  <c r="I574" i="1"/>
  <c r="I574" i="2" s="1"/>
  <c r="Q573" i="1"/>
  <c r="P573" i="1"/>
  <c r="N573" i="1"/>
  <c r="O573" i="1" s="1"/>
  <c r="R573" i="1" s="1"/>
  <c r="L573" i="1"/>
  <c r="M573" i="1" s="1"/>
  <c r="I573" i="1"/>
  <c r="I573" i="2" s="1"/>
  <c r="Q572" i="1"/>
  <c r="R572" i="1" s="1"/>
  <c r="P572" i="1"/>
  <c r="O572" i="1"/>
  <c r="N572" i="1"/>
  <c r="M572" i="1"/>
  <c r="L572" i="1"/>
  <c r="J572" i="1"/>
  <c r="I572" i="1"/>
  <c r="I572" i="2" s="1"/>
  <c r="P571" i="1"/>
  <c r="L571" i="1"/>
  <c r="J571" i="1"/>
  <c r="I571" i="1"/>
  <c r="I571" i="2" s="1"/>
  <c r="Q570" i="1"/>
  <c r="R570" i="1" s="1"/>
  <c r="P570" i="1"/>
  <c r="N570" i="1"/>
  <c r="O570" i="1" s="1"/>
  <c r="M570" i="1"/>
  <c r="L570" i="1"/>
  <c r="J570" i="1"/>
  <c r="I570" i="1"/>
  <c r="I570" i="2" s="1"/>
  <c r="Q569" i="1"/>
  <c r="P569" i="1"/>
  <c r="N569" i="1"/>
  <c r="O569" i="1" s="1"/>
  <c r="R569" i="1" s="1"/>
  <c r="L569" i="1"/>
  <c r="M569" i="1" s="1"/>
  <c r="I569" i="1"/>
  <c r="I569" i="2" s="1"/>
  <c r="Q568" i="1"/>
  <c r="P568" i="1"/>
  <c r="P566" i="1" s="1"/>
  <c r="O568" i="1"/>
  <c r="N568" i="1"/>
  <c r="M568" i="1"/>
  <c r="L568" i="1"/>
  <c r="J568" i="1"/>
  <c r="I568" i="1"/>
  <c r="I568" i="2" s="1"/>
  <c r="E568" i="1"/>
  <c r="Q567" i="1"/>
  <c r="P567" i="1"/>
  <c r="M567" i="1"/>
  <c r="L567" i="1"/>
  <c r="N567" i="1" s="1"/>
  <c r="J567" i="1"/>
  <c r="I567" i="1"/>
  <c r="I567" i="2" s="1"/>
  <c r="L566" i="1"/>
  <c r="I566" i="1"/>
  <c r="Q565" i="1"/>
  <c r="P565" i="1"/>
  <c r="M565" i="1"/>
  <c r="L565" i="1"/>
  <c r="N565" i="1" s="1"/>
  <c r="O565" i="1" s="1"/>
  <c r="R565" i="1" s="1"/>
  <c r="J565" i="1"/>
  <c r="I565" i="1"/>
  <c r="I565" i="2" s="1"/>
  <c r="P564" i="1"/>
  <c r="L564" i="1"/>
  <c r="N564" i="1" s="1"/>
  <c r="O564" i="1" s="1"/>
  <c r="I564" i="1"/>
  <c r="I564" i="2" s="1"/>
  <c r="Q563" i="1"/>
  <c r="P563" i="1"/>
  <c r="M563" i="1"/>
  <c r="L563" i="1"/>
  <c r="N563" i="1" s="1"/>
  <c r="O563" i="1" s="1"/>
  <c r="J563" i="1"/>
  <c r="I563" i="1"/>
  <c r="I563" i="2" s="1"/>
  <c r="P562" i="1"/>
  <c r="N562" i="1"/>
  <c r="O562" i="1" s="1"/>
  <c r="L562" i="1"/>
  <c r="Q562" i="1" s="1"/>
  <c r="I562" i="1"/>
  <c r="Q561" i="1"/>
  <c r="P561" i="1"/>
  <c r="M561" i="1"/>
  <c r="L561" i="1"/>
  <c r="N561" i="1" s="1"/>
  <c r="O561" i="1" s="1"/>
  <c r="R561" i="1" s="1"/>
  <c r="J561" i="1"/>
  <c r="I561" i="1"/>
  <c r="I561" i="2" s="1"/>
  <c r="P560" i="1"/>
  <c r="L560" i="1"/>
  <c r="N560" i="1" s="1"/>
  <c r="O560" i="1" s="1"/>
  <c r="I560" i="1"/>
  <c r="I560" i="2" s="1"/>
  <c r="Q559" i="1"/>
  <c r="R559" i="1" s="1"/>
  <c r="P559" i="1"/>
  <c r="M559" i="1"/>
  <c r="L559" i="1"/>
  <c r="N559" i="1" s="1"/>
  <c r="O559" i="1" s="1"/>
  <c r="J559" i="1"/>
  <c r="I559" i="1"/>
  <c r="I559" i="2" s="1"/>
  <c r="P558" i="1"/>
  <c r="N558" i="1"/>
  <c r="O558" i="1" s="1"/>
  <c r="L558" i="1"/>
  <c r="Q558" i="1" s="1"/>
  <c r="R558" i="1" s="1"/>
  <c r="I558" i="1"/>
  <c r="Q557" i="1"/>
  <c r="P557" i="1"/>
  <c r="M557" i="1"/>
  <c r="L557" i="1"/>
  <c r="N557" i="1" s="1"/>
  <c r="O557" i="1" s="1"/>
  <c r="R557" i="1" s="1"/>
  <c r="J557" i="1"/>
  <c r="I557" i="1"/>
  <c r="I557" i="2" s="1"/>
  <c r="P556" i="1"/>
  <c r="L556" i="1"/>
  <c r="N556" i="1" s="1"/>
  <c r="O556" i="1" s="1"/>
  <c r="I556" i="1"/>
  <c r="I556" i="2" s="1"/>
  <c r="Q555" i="1"/>
  <c r="P555" i="1"/>
  <c r="M555" i="1"/>
  <c r="L555" i="1"/>
  <c r="N555" i="1" s="1"/>
  <c r="J555" i="1"/>
  <c r="I555" i="1"/>
  <c r="I555" i="2" s="1"/>
  <c r="L554" i="1"/>
  <c r="I554" i="1"/>
  <c r="Q553" i="1"/>
  <c r="P553" i="1"/>
  <c r="M553" i="1"/>
  <c r="M552" i="1" s="1"/>
  <c r="L553" i="1"/>
  <c r="N553" i="1" s="1"/>
  <c r="J553" i="1"/>
  <c r="I553" i="1"/>
  <c r="I553" i="2" s="1"/>
  <c r="P552" i="1"/>
  <c r="L552" i="1"/>
  <c r="I552" i="1"/>
  <c r="I552" i="2" s="1"/>
  <c r="Q551" i="1"/>
  <c r="R551" i="1" s="1"/>
  <c r="P551" i="1"/>
  <c r="M551" i="1"/>
  <c r="L551" i="1"/>
  <c r="N551" i="1" s="1"/>
  <c r="O551" i="1" s="1"/>
  <c r="J551" i="1"/>
  <c r="I551" i="1"/>
  <c r="I551" i="2" s="1"/>
  <c r="P550" i="1"/>
  <c r="N550" i="1"/>
  <c r="O550" i="1" s="1"/>
  <c r="L550" i="1"/>
  <c r="Q550" i="1" s="1"/>
  <c r="R550" i="1" s="1"/>
  <c r="I550" i="1"/>
  <c r="Q549" i="1"/>
  <c r="R549" i="1" s="1"/>
  <c r="P549" i="1"/>
  <c r="M549" i="1"/>
  <c r="L549" i="1"/>
  <c r="N549" i="1" s="1"/>
  <c r="O549" i="1" s="1"/>
  <c r="J549" i="1"/>
  <c r="I549" i="1"/>
  <c r="I549" i="2" s="1"/>
  <c r="P548" i="1"/>
  <c r="L548" i="1"/>
  <c r="N548" i="1" s="1"/>
  <c r="O548" i="1" s="1"/>
  <c r="I548" i="1"/>
  <c r="Q547" i="1"/>
  <c r="P547" i="1"/>
  <c r="M547" i="1"/>
  <c r="L547" i="1"/>
  <c r="N547" i="1" s="1"/>
  <c r="O547" i="1" s="1"/>
  <c r="O547" i="2" s="1"/>
  <c r="J547" i="1"/>
  <c r="I547" i="1"/>
  <c r="I547" i="2" s="1"/>
  <c r="P546" i="1"/>
  <c r="N546" i="1"/>
  <c r="O546" i="1" s="1"/>
  <c r="L546" i="1"/>
  <c r="Q546" i="1" s="1"/>
  <c r="I546" i="1"/>
  <c r="Q545" i="1"/>
  <c r="P545" i="1"/>
  <c r="M545" i="1"/>
  <c r="L545" i="1"/>
  <c r="N545" i="1" s="1"/>
  <c r="O545" i="1" s="1"/>
  <c r="J545" i="1"/>
  <c r="I545" i="1"/>
  <c r="I545" i="2" s="1"/>
  <c r="P544" i="1"/>
  <c r="L544" i="1"/>
  <c r="N544" i="1" s="1"/>
  <c r="O544" i="1" s="1"/>
  <c r="I544" i="1"/>
  <c r="Q543" i="1"/>
  <c r="R543" i="1" s="1"/>
  <c r="P543" i="1"/>
  <c r="M543" i="1"/>
  <c r="L543" i="1"/>
  <c r="N543" i="1" s="1"/>
  <c r="O543" i="1" s="1"/>
  <c r="I543" i="1"/>
  <c r="I543" i="2" s="1"/>
  <c r="P542" i="1"/>
  <c r="N542" i="1"/>
  <c r="O542" i="1" s="1"/>
  <c r="M542" i="1"/>
  <c r="L542" i="1"/>
  <c r="Q542" i="1" s="1"/>
  <c r="R542" i="1" s="1"/>
  <c r="I542" i="1"/>
  <c r="Q541" i="1"/>
  <c r="R541" i="1" s="1"/>
  <c r="P541" i="1"/>
  <c r="M541" i="1"/>
  <c r="L541" i="1"/>
  <c r="N541" i="1" s="1"/>
  <c r="O541" i="1" s="1"/>
  <c r="J541" i="1"/>
  <c r="I541" i="1"/>
  <c r="I541" i="2" s="1"/>
  <c r="P540" i="1"/>
  <c r="L540" i="1"/>
  <c r="N540" i="1" s="1"/>
  <c r="O540" i="1" s="1"/>
  <c r="I540" i="1"/>
  <c r="Q539" i="1"/>
  <c r="P539" i="1"/>
  <c r="M539" i="1"/>
  <c r="L539" i="1"/>
  <c r="N539" i="1" s="1"/>
  <c r="O539" i="1" s="1"/>
  <c r="O539" i="2" s="1"/>
  <c r="I539" i="1"/>
  <c r="I539" i="2" s="1"/>
  <c r="P538" i="1"/>
  <c r="N538" i="1"/>
  <c r="O538" i="1" s="1"/>
  <c r="M538" i="1"/>
  <c r="L538" i="1"/>
  <c r="Q538" i="1" s="1"/>
  <c r="R538" i="1" s="1"/>
  <c r="I538" i="1"/>
  <c r="Q537" i="1"/>
  <c r="P537" i="1"/>
  <c r="M537" i="1"/>
  <c r="L537" i="1"/>
  <c r="N537" i="1" s="1"/>
  <c r="O537" i="1" s="1"/>
  <c r="J537" i="1"/>
  <c r="I537" i="1"/>
  <c r="I537" i="2" s="1"/>
  <c r="P536" i="1"/>
  <c r="L536" i="1"/>
  <c r="N536" i="1" s="1"/>
  <c r="O536" i="1" s="1"/>
  <c r="I536" i="1"/>
  <c r="Q535" i="1"/>
  <c r="P535" i="1"/>
  <c r="M535" i="1"/>
  <c r="L535" i="1"/>
  <c r="N535" i="1" s="1"/>
  <c r="O535" i="1" s="1"/>
  <c r="I535" i="1"/>
  <c r="I535" i="2" s="1"/>
  <c r="P534" i="1"/>
  <c r="N534" i="1"/>
  <c r="O534" i="1" s="1"/>
  <c r="M534" i="1"/>
  <c r="L534" i="1"/>
  <c r="Q534" i="1" s="1"/>
  <c r="R534" i="1" s="1"/>
  <c r="I534" i="1"/>
  <c r="Q533" i="1"/>
  <c r="R533" i="1" s="1"/>
  <c r="P533" i="1"/>
  <c r="M533" i="1"/>
  <c r="L533" i="1"/>
  <c r="N533" i="1" s="1"/>
  <c r="O533" i="1" s="1"/>
  <c r="J533" i="1"/>
  <c r="I533" i="1"/>
  <c r="I533" i="2" s="1"/>
  <c r="P532" i="1"/>
  <c r="L532" i="1"/>
  <c r="N532" i="1" s="1"/>
  <c r="O532" i="1" s="1"/>
  <c r="I532" i="1"/>
  <c r="Q531" i="1"/>
  <c r="R531" i="1" s="1"/>
  <c r="P531" i="1"/>
  <c r="M531" i="1"/>
  <c r="L531" i="1"/>
  <c r="N531" i="1" s="1"/>
  <c r="O531" i="1" s="1"/>
  <c r="O531" i="2" s="1"/>
  <c r="I531" i="1"/>
  <c r="I531" i="2" s="1"/>
  <c r="P530" i="1"/>
  <c r="N530" i="1"/>
  <c r="O530" i="1" s="1"/>
  <c r="M530" i="1"/>
  <c r="L530" i="1"/>
  <c r="Q530" i="1" s="1"/>
  <c r="R530" i="1" s="1"/>
  <c r="I530" i="1"/>
  <c r="Q529" i="1"/>
  <c r="P529" i="1"/>
  <c r="M529" i="1"/>
  <c r="L529" i="1"/>
  <c r="N529" i="1" s="1"/>
  <c r="O529" i="1" s="1"/>
  <c r="J529" i="1"/>
  <c r="I529" i="1"/>
  <c r="I529" i="2" s="1"/>
  <c r="P528" i="1"/>
  <c r="L528" i="1"/>
  <c r="N528" i="1" s="1"/>
  <c r="O528" i="1" s="1"/>
  <c r="I528" i="1"/>
  <c r="Q527" i="1"/>
  <c r="P527" i="1"/>
  <c r="M527" i="1"/>
  <c r="L527" i="1"/>
  <c r="N527" i="1" s="1"/>
  <c r="O527" i="1" s="1"/>
  <c r="O527" i="2" s="1"/>
  <c r="I527" i="1"/>
  <c r="I527" i="2" s="1"/>
  <c r="P526" i="1"/>
  <c r="P520" i="1" s="1"/>
  <c r="N526" i="1"/>
  <c r="O526" i="1" s="1"/>
  <c r="M526" i="1"/>
  <c r="L526" i="1"/>
  <c r="Q526" i="1" s="1"/>
  <c r="I526" i="1"/>
  <c r="Q525" i="1"/>
  <c r="P525" i="1"/>
  <c r="M525" i="1"/>
  <c r="L525" i="1"/>
  <c r="N525" i="1" s="1"/>
  <c r="O525" i="1" s="1"/>
  <c r="J525" i="1"/>
  <c r="I525" i="1"/>
  <c r="I525" i="2" s="1"/>
  <c r="P524" i="1"/>
  <c r="M524" i="1"/>
  <c r="L524" i="1"/>
  <c r="N524" i="1" s="1"/>
  <c r="O524" i="1" s="1"/>
  <c r="I524" i="1"/>
  <c r="Q523" i="1"/>
  <c r="R523" i="1" s="1"/>
  <c r="P523" i="1"/>
  <c r="M523" i="1"/>
  <c r="L523" i="1"/>
  <c r="N523" i="1" s="1"/>
  <c r="O523" i="1" s="1"/>
  <c r="O523" i="2" s="1"/>
  <c r="I523" i="1"/>
  <c r="I523" i="2" s="1"/>
  <c r="P522" i="1"/>
  <c r="N522" i="1"/>
  <c r="O522" i="1" s="1"/>
  <c r="M522" i="1"/>
  <c r="L522" i="1"/>
  <c r="Q522" i="1" s="1"/>
  <c r="R522" i="1" s="1"/>
  <c r="I522" i="1"/>
  <c r="Q521" i="1"/>
  <c r="P521" i="1"/>
  <c r="M521" i="1"/>
  <c r="L521" i="1"/>
  <c r="N521" i="1" s="1"/>
  <c r="I521" i="1"/>
  <c r="I521" i="2" s="1"/>
  <c r="L520" i="1"/>
  <c r="I520" i="1"/>
  <c r="Q519" i="1"/>
  <c r="P519" i="1"/>
  <c r="M519" i="1"/>
  <c r="L519" i="1"/>
  <c r="N519" i="1" s="1"/>
  <c r="O519" i="1" s="1"/>
  <c r="I519" i="1"/>
  <c r="I519" i="2" s="1"/>
  <c r="P518" i="1"/>
  <c r="N518" i="1"/>
  <c r="O518" i="1" s="1"/>
  <c r="M518" i="1"/>
  <c r="L518" i="1"/>
  <c r="Q518" i="1" s="1"/>
  <c r="I518" i="1"/>
  <c r="Q517" i="1"/>
  <c r="P517" i="1"/>
  <c r="M517" i="1"/>
  <c r="L517" i="1"/>
  <c r="N517" i="1" s="1"/>
  <c r="O517" i="1" s="1"/>
  <c r="I517" i="1"/>
  <c r="P516" i="1"/>
  <c r="M516" i="1"/>
  <c r="L516" i="1"/>
  <c r="N516" i="1" s="1"/>
  <c r="O516" i="1" s="1"/>
  <c r="I516" i="1"/>
  <c r="Q515" i="1"/>
  <c r="P515" i="1"/>
  <c r="M515" i="1"/>
  <c r="L515" i="1"/>
  <c r="N515" i="1" s="1"/>
  <c r="O515" i="1" s="1"/>
  <c r="I515" i="1"/>
  <c r="I515" i="2" s="1"/>
  <c r="P514" i="1"/>
  <c r="N514" i="1"/>
  <c r="O514" i="1" s="1"/>
  <c r="M514" i="1"/>
  <c r="L514" i="1"/>
  <c r="Q514" i="1" s="1"/>
  <c r="R514" i="1" s="1"/>
  <c r="I514" i="1"/>
  <c r="Q513" i="1"/>
  <c r="R513" i="1" s="1"/>
  <c r="P513" i="1"/>
  <c r="M513" i="1"/>
  <c r="L513" i="1"/>
  <c r="N513" i="1" s="1"/>
  <c r="O513" i="1" s="1"/>
  <c r="I513" i="1"/>
  <c r="P512" i="1"/>
  <c r="M512" i="1"/>
  <c r="L512" i="1"/>
  <c r="N512" i="1" s="1"/>
  <c r="O512" i="1" s="1"/>
  <c r="I512" i="1"/>
  <c r="Q511" i="1"/>
  <c r="R511" i="1" s="1"/>
  <c r="P511" i="1"/>
  <c r="P508" i="1" s="1"/>
  <c r="M511" i="1"/>
  <c r="M508" i="1" s="1"/>
  <c r="L511" i="1"/>
  <c r="N511" i="1" s="1"/>
  <c r="O511" i="1" s="1"/>
  <c r="O511" i="2" s="1"/>
  <c r="I511" i="1"/>
  <c r="I511" i="2" s="1"/>
  <c r="P510" i="1"/>
  <c r="N510" i="1"/>
  <c r="O510" i="1" s="1"/>
  <c r="M510" i="1"/>
  <c r="L510" i="1"/>
  <c r="Q510" i="1" s="1"/>
  <c r="R510" i="1" s="1"/>
  <c r="I510" i="1"/>
  <c r="Q509" i="1"/>
  <c r="P509" i="1"/>
  <c r="M509" i="1"/>
  <c r="L509" i="1"/>
  <c r="N509" i="1" s="1"/>
  <c r="I509" i="1"/>
  <c r="L508" i="1"/>
  <c r="I508" i="1"/>
  <c r="L507" i="1"/>
  <c r="I507" i="1"/>
  <c r="P506" i="1"/>
  <c r="N506" i="1"/>
  <c r="O506" i="1" s="1"/>
  <c r="M506" i="1"/>
  <c r="L506" i="1"/>
  <c r="Q506" i="1" s="1"/>
  <c r="R506" i="1" s="1"/>
  <c r="I506" i="1"/>
  <c r="Q505" i="1"/>
  <c r="R505" i="1" s="1"/>
  <c r="P505" i="1"/>
  <c r="M505" i="1"/>
  <c r="L505" i="1"/>
  <c r="N505" i="1" s="1"/>
  <c r="O505" i="1" s="1"/>
  <c r="I505" i="1"/>
  <c r="P504" i="1"/>
  <c r="M504" i="1"/>
  <c r="L504" i="1"/>
  <c r="N504" i="1" s="1"/>
  <c r="O504" i="1" s="1"/>
  <c r="I504" i="1"/>
  <c r="Q503" i="1"/>
  <c r="R503" i="1" s="1"/>
  <c r="P503" i="1"/>
  <c r="M503" i="1"/>
  <c r="L503" i="1"/>
  <c r="N503" i="1" s="1"/>
  <c r="O503" i="1" s="1"/>
  <c r="O503" i="2" s="1"/>
  <c r="I503" i="1"/>
  <c r="P502" i="1"/>
  <c r="N502" i="1"/>
  <c r="O502" i="1" s="1"/>
  <c r="O502" i="2" s="1"/>
  <c r="M502" i="1"/>
  <c r="L502" i="1"/>
  <c r="Q502" i="1" s="1"/>
  <c r="I502" i="1"/>
  <c r="Q501" i="1"/>
  <c r="P501" i="1"/>
  <c r="M501" i="1"/>
  <c r="L501" i="1"/>
  <c r="N501" i="1" s="1"/>
  <c r="O501" i="1" s="1"/>
  <c r="O501" i="2" s="1"/>
  <c r="O501" i="5" s="1"/>
  <c r="I501" i="1"/>
  <c r="P500" i="1"/>
  <c r="M500" i="1"/>
  <c r="L500" i="1"/>
  <c r="N500" i="1" s="1"/>
  <c r="O500" i="1" s="1"/>
  <c r="I500" i="1"/>
  <c r="Q499" i="1"/>
  <c r="P499" i="1"/>
  <c r="M499" i="1"/>
  <c r="L499" i="1"/>
  <c r="N499" i="1" s="1"/>
  <c r="O499" i="1" s="1"/>
  <c r="I499" i="1"/>
  <c r="P498" i="1"/>
  <c r="N498" i="1"/>
  <c r="O498" i="1" s="1"/>
  <c r="O498" i="2" s="1"/>
  <c r="R498" i="2" s="1"/>
  <c r="M498" i="1"/>
  <c r="L498" i="1"/>
  <c r="Q498" i="1" s="1"/>
  <c r="I498" i="1"/>
  <c r="Q497" i="1"/>
  <c r="P497" i="1"/>
  <c r="M497" i="1"/>
  <c r="L497" i="1"/>
  <c r="N497" i="1" s="1"/>
  <c r="O497" i="1" s="1"/>
  <c r="I497" i="1"/>
  <c r="P496" i="1"/>
  <c r="M496" i="1"/>
  <c r="L496" i="1"/>
  <c r="N496" i="1" s="1"/>
  <c r="O496" i="1" s="1"/>
  <c r="I496" i="1"/>
  <c r="Q495" i="1"/>
  <c r="R495" i="1" s="1"/>
  <c r="P495" i="1"/>
  <c r="M495" i="1"/>
  <c r="L495" i="1"/>
  <c r="N495" i="1" s="1"/>
  <c r="O495" i="1" s="1"/>
  <c r="I495" i="1"/>
  <c r="P494" i="1"/>
  <c r="N494" i="1"/>
  <c r="O494" i="1" s="1"/>
  <c r="M494" i="1"/>
  <c r="L494" i="1"/>
  <c r="Q494" i="1" s="1"/>
  <c r="I494" i="1"/>
  <c r="Q493" i="1"/>
  <c r="R493" i="1" s="1"/>
  <c r="P493" i="1"/>
  <c r="M493" i="1"/>
  <c r="L493" i="1"/>
  <c r="N493" i="1" s="1"/>
  <c r="O493" i="1" s="1"/>
  <c r="O493" i="2" s="1"/>
  <c r="J493" i="1"/>
  <c r="I493" i="1"/>
  <c r="I493" i="2" s="1"/>
  <c r="P492" i="1"/>
  <c r="M492" i="1"/>
  <c r="L492" i="1"/>
  <c r="N492" i="1" s="1"/>
  <c r="O492" i="1" s="1"/>
  <c r="I492" i="1"/>
  <c r="Q491" i="1"/>
  <c r="P491" i="1"/>
  <c r="M491" i="1"/>
  <c r="L491" i="1"/>
  <c r="N491" i="1" s="1"/>
  <c r="O491" i="1" s="1"/>
  <c r="I491" i="1"/>
  <c r="P490" i="1"/>
  <c r="N490" i="1"/>
  <c r="O490" i="1" s="1"/>
  <c r="M490" i="1"/>
  <c r="L490" i="1"/>
  <c r="Q490" i="1" s="1"/>
  <c r="R490" i="1" s="1"/>
  <c r="I490" i="1"/>
  <c r="Q489" i="1"/>
  <c r="P489" i="1"/>
  <c r="M489" i="1"/>
  <c r="L489" i="1"/>
  <c r="N489" i="1" s="1"/>
  <c r="O489" i="1" s="1"/>
  <c r="O489" i="2" s="1"/>
  <c r="O489" i="5" s="1"/>
  <c r="I489" i="1"/>
  <c r="I489" i="2" s="1"/>
  <c r="P488" i="1"/>
  <c r="P487" i="1" s="1"/>
  <c r="M488" i="1"/>
  <c r="M487" i="1" s="1"/>
  <c r="L488" i="1"/>
  <c r="N488" i="1" s="1"/>
  <c r="I488" i="1"/>
  <c r="L487" i="1"/>
  <c r="I487" i="1"/>
  <c r="P486" i="1"/>
  <c r="N486" i="1"/>
  <c r="O486" i="1" s="1"/>
  <c r="O486" i="2" s="1"/>
  <c r="M486" i="1"/>
  <c r="L486" i="1"/>
  <c r="Q486" i="1" s="1"/>
  <c r="I486" i="1"/>
  <c r="Q485" i="1"/>
  <c r="P485" i="1"/>
  <c r="M485" i="1"/>
  <c r="L485" i="1"/>
  <c r="N485" i="1" s="1"/>
  <c r="O485" i="1" s="1"/>
  <c r="J485" i="1"/>
  <c r="I485" i="1"/>
  <c r="I485" i="2" s="1"/>
  <c r="P484" i="1"/>
  <c r="M484" i="1"/>
  <c r="M482" i="1" s="1"/>
  <c r="M481" i="1" s="1"/>
  <c r="L484" i="1"/>
  <c r="N484" i="1" s="1"/>
  <c r="O484" i="1" s="1"/>
  <c r="I484" i="1"/>
  <c r="Q483" i="1"/>
  <c r="P483" i="1"/>
  <c r="P482" i="1" s="1"/>
  <c r="M483" i="1"/>
  <c r="L483" i="1"/>
  <c r="N483" i="1" s="1"/>
  <c r="O483" i="1" s="1"/>
  <c r="I483" i="1"/>
  <c r="L482" i="1"/>
  <c r="I482" i="1"/>
  <c r="L481" i="1"/>
  <c r="J481" i="1"/>
  <c r="I481" i="1"/>
  <c r="I481" i="2" s="1"/>
  <c r="P480" i="1"/>
  <c r="M480" i="1"/>
  <c r="L480" i="1"/>
  <c r="N480" i="1" s="1"/>
  <c r="O480" i="1" s="1"/>
  <c r="I480" i="1"/>
  <c r="Q479" i="1"/>
  <c r="P479" i="1"/>
  <c r="M479" i="1"/>
  <c r="L479" i="1"/>
  <c r="N479" i="1" s="1"/>
  <c r="O479" i="1" s="1"/>
  <c r="I479" i="1"/>
  <c r="P478" i="1"/>
  <c r="N478" i="1"/>
  <c r="O478" i="1" s="1"/>
  <c r="O478" i="2" s="1"/>
  <c r="M478" i="1"/>
  <c r="L478" i="1"/>
  <c r="Q478" i="1" s="1"/>
  <c r="I478" i="1"/>
  <c r="Q477" i="1"/>
  <c r="P477" i="1"/>
  <c r="M477" i="1"/>
  <c r="L477" i="1"/>
  <c r="N477" i="1" s="1"/>
  <c r="O477" i="1" s="1"/>
  <c r="I477" i="1"/>
  <c r="I477" i="2" s="1"/>
  <c r="P476" i="1"/>
  <c r="M476" i="1"/>
  <c r="L476" i="1"/>
  <c r="N476" i="1" s="1"/>
  <c r="O476" i="1" s="1"/>
  <c r="I476" i="1"/>
  <c r="Q475" i="1"/>
  <c r="P475" i="1"/>
  <c r="P474" i="1" s="1"/>
  <c r="M475" i="1"/>
  <c r="L475" i="1"/>
  <c r="N475" i="1" s="1"/>
  <c r="O475" i="1" s="1"/>
  <c r="I475" i="1"/>
  <c r="M474" i="1"/>
  <c r="L474" i="1"/>
  <c r="I474" i="1"/>
  <c r="Q473" i="1"/>
  <c r="R473" i="1" s="1"/>
  <c r="P473" i="1"/>
  <c r="M473" i="1"/>
  <c r="L473" i="1"/>
  <c r="N473" i="1" s="1"/>
  <c r="O473" i="1" s="1"/>
  <c r="I473" i="1"/>
  <c r="I473" i="2" s="1"/>
  <c r="P472" i="1"/>
  <c r="M472" i="1"/>
  <c r="L472" i="1"/>
  <c r="N472" i="1" s="1"/>
  <c r="O472" i="1" s="1"/>
  <c r="I472" i="1"/>
  <c r="Q471" i="1"/>
  <c r="R471" i="1" s="1"/>
  <c r="P471" i="1"/>
  <c r="M471" i="1"/>
  <c r="L471" i="1"/>
  <c r="N471" i="1" s="1"/>
  <c r="O471" i="1" s="1"/>
  <c r="I471" i="1"/>
  <c r="P470" i="1"/>
  <c r="N470" i="1"/>
  <c r="O470" i="1" s="1"/>
  <c r="M470" i="1"/>
  <c r="L470" i="1"/>
  <c r="Q470" i="1" s="1"/>
  <c r="R470" i="1" s="1"/>
  <c r="I470" i="1"/>
  <c r="Q469" i="1"/>
  <c r="R469" i="1" s="1"/>
  <c r="P469" i="1"/>
  <c r="M469" i="1"/>
  <c r="L469" i="1"/>
  <c r="N469" i="1" s="1"/>
  <c r="O469" i="1" s="1"/>
  <c r="J469" i="1"/>
  <c r="I469" i="1"/>
  <c r="I469" i="2" s="1"/>
  <c r="P468" i="1"/>
  <c r="M468" i="1"/>
  <c r="L468" i="1"/>
  <c r="N468" i="1" s="1"/>
  <c r="O468" i="1" s="1"/>
  <c r="I468" i="1"/>
  <c r="Q467" i="1"/>
  <c r="P467" i="1"/>
  <c r="M467" i="1"/>
  <c r="L467" i="1"/>
  <c r="N467" i="1" s="1"/>
  <c r="O467" i="1" s="1"/>
  <c r="I467" i="1"/>
  <c r="P466" i="1"/>
  <c r="N466" i="1"/>
  <c r="O466" i="1" s="1"/>
  <c r="M466" i="1"/>
  <c r="L466" i="1"/>
  <c r="Q466" i="1" s="1"/>
  <c r="I466" i="1"/>
  <c r="L465" i="1"/>
  <c r="I465" i="1"/>
  <c r="P464" i="1"/>
  <c r="L464" i="1"/>
  <c r="J464" i="1"/>
  <c r="I464" i="1"/>
  <c r="I464" i="2" s="1"/>
  <c r="P463" i="1"/>
  <c r="L463" i="1"/>
  <c r="I463" i="1"/>
  <c r="I463" i="2" s="1"/>
  <c r="P462" i="1"/>
  <c r="L462" i="1"/>
  <c r="M462" i="1" s="1"/>
  <c r="J462" i="1"/>
  <c r="I462" i="1"/>
  <c r="I462" i="2" s="1"/>
  <c r="P461" i="1"/>
  <c r="L461" i="1"/>
  <c r="I461" i="1"/>
  <c r="P460" i="1"/>
  <c r="L460" i="1"/>
  <c r="J460" i="1"/>
  <c r="I460" i="1"/>
  <c r="I460" i="2" s="1"/>
  <c r="P459" i="1"/>
  <c r="L459" i="1"/>
  <c r="I459" i="1"/>
  <c r="I459" i="2" s="1"/>
  <c r="I459" i="5" s="1"/>
  <c r="P458" i="1"/>
  <c r="L458" i="1"/>
  <c r="M458" i="1" s="1"/>
  <c r="J458" i="1"/>
  <c r="I458" i="1"/>
  <c r="I458" i="2" s="1"/>
  <c r="P457" i="1"/>
  <c r="L457" i="1"/>
  <c r="I457" i="1"/>
  <c r="P456" i="1"/>
  <c r="L456" i="1"/>
  <c r="J456" i="1"/>
  <c r="I456" i="1"/>
  <c r="I456" i="2" s="1"/>
  <c r="P455" i="1"/>
  <c r="L455" i="1"/>
  <c r="I455" i="1"/>
  <c r="I455" i="2" s="1"/>
  <c r="P454" i="1"/>
  <c r="L454" i="1"/>
  <c r="J454" i="1"/>
  <c r="I454" i="1"/>
  <c r="I454" i="2" s="1"/>
  <c r="P453" i="1"/>
  <c r="L453" i="1"/>
  <c r="I453" i="1"/>
  <c r="P452" i="1"/>
  <c r="L452" i="1"/>
  <c r="J452" i="1"/>
  <c r="I452" i="1"/>
  <c r="I452" i="2" s="1"/>
  <c r="P451" i="1"/>
  <c r="L451" i="1"/>
  <c r="I451" i="1"/>
  <c r="P450" i="1"/>
  <c r="L450" i="1"/>
  <c r="I450" i="1"/>
  <c r="I450" i="2" s="1"/>
  <c r="P449" i="1"/>
  <c r="L449" i="1"/>
  <c r="I449" i="1"/>
  <c r="P448" i="1"/>
  <c r="M448" i="1"/>
  <c r="L448" i="1"/>
  <c r="J448" i="1"/>
  <c r="I448" i="1"/>
  <c r="I448" i="2" s="1"/>
  <c r="P447" i="1"/>
  <c r="L447" i="1"/>
  <c r="I447" i="1"/>
  <c r="P446" i="1"/>
  <c r="M446" i="1"/>
  <c r="L446" i="1"/>
  <c r="I446" i="1"/>
  <c r="I446" i="2" s="1"/>
  <c r="P445" i="1"/>
  <c r="L445" i="1"/>
  <c r="I445" i="1"/>
  <c r="P444" i="1"/>
  <c r="L444" i="1"/>
  <c r="J444" i="1"/>
  <c r="I444" i="1"/>
  <c r="I444" i="2" s="1"/>
  <c r="P443" i="1"/>
  <c r="L443" i="1"/>
  <c r="I443" i="1"/>
  <c r="P442" i="1"/>
  <c r="L442" i="1"/>
  <c r="I442" i="1"/>
  <c r="I442" i="2" s="1"/>
  <c r="P441" i="1"/>
  <c r="L441" i="1"/>
  <c r="I441" i="1"/>
  <c r="P440" i="1"/>
  <c r="L440" i="1"/>
  <c r="J440" i="1"/>
  <c r="I440" i="1"/>
  <c r="I440" i="2" s="1"/>
  <c r="P439" i="1"/>
  <c r="L439" i="1"/>
  <c r="I439" i="1"/>
  <c r="Q438" i="1"/>
  <c r="R438" i="1" s="1"/>
  <c r="P438" i="1"/>
  <c r="O438" i="1"/>
  <c r="M438" i="1"/>
  <c r="L438" i="1"/>
  <c r="N438" i="1" s="1"/>
  <c r="I438" i="1"/>
  <c r="I438" i="2" s="1"/>
  <c r="P437" i="1"/>
  <c r="N437" i="1"/>
  <c r="O437" i="1" s="1"/>
  <c r="L437" i="1"/>
  <c r="I437" i="1"/>
  <c r="P436" i="1"/>
  <c r="M436" i="1"/>
  <c r="L436" i="1"/>
  <c r="J436" i="1"/>
  <c r="I436" i="1"/>
  <c r="I436" i="2" s="1"/>
  <c r="P435" i="1"/>
  <c r="L435" i="1"/>
  <c r="I435" i="1"/>
  <c r="P434" i="1"/>
  <c r="O434" i="1"/>
  <c r="L434" i="1"/>
  <c r="N434" i="1" s="1"/>
  <c r="I434" i="1"/>
  <c r="I434" i="2" s="1"/>
  <c r="P433" i="1"/>
  <c r="O433" i="1"/>
  <c r="N433" i="1"/>
  <c r="L433" i="1"/>
  <c r="I433" i="1"/>
  <c r="P432" i="1"/>
  <c r="L432" i="1"/>
  <c r="J432" i="1"/>
  <c r="I432" i="1"/>
  <c r="I432" i="2" s="1"/>
  <c r="P431" i="1"/>
  <c r="L431" i="1"/>
  <c r="I431" i="1"/>
  <c r="P430" i="1"/>
  <c r="L430" i="1"/>
  <c r="N430" i="1" s="1"/>
  <c r="O430" i="1" s="1"/>
  <c r="I430" i="1"/>
  <c r="P429" i="1"/>
  <c r="N429" i="1"/>
  <c r="O429" i="1" s="1"/>
  <c r="L429" i="1"/>
  <c r="I429" i="1"/>
  <c r="P428" i="1"/>
  <c r="L428" i="1"/>
  <c r="J428" i="1"/>
  <c r="I428" i="1"/>
  <c r="I428" i="2" s="1"/>
  <c r="P427" i="1"/>
  <c r="L427" i="1"/>
  <c r="I427" i="1"/>
  <c r="P426" i="1"/>
  <c r="O426" i="1"/>
  <c r="L426" i="1"/>
  <c r="N426" i="1" s="1"/>
  <c r="I426" i="1"/>
  <c r="P425" i="1"/>
  <c r="N425" i="1"/>
  <c r="O425" i="1" s="1"/>
  <c r="M425" i="1"/>
  <c r="L425" i="1"/>
  <c r="Q425" i="1" s="1"/>
  <c r="I425" i="1"/>
  <c r="P424" i="1"/>
  <c r="M424" i="1"/>
  <c r="L424" i="1"/>
  <c r="I424" i="1"/>
  <c r="I424" i="2" s="1"/>
  <c r="P423" i="1"/>
  <c r="L423" i="1"/>
  <c r="I423" i="1"/>
  <c r="P422" i="1"/>
  <c r="L422" i="1"/>
  <c r="N422" i="1" s="1"/>
  <c r="O422" i="1" s="1"/>
  <c r="I422" i="1"/>
  <c r="P421" i="1"/>
  <c r="L421" i="1"/>
  <c r="Q421" i="1" s="1"/>
  <c r="I421" i="1"/>
  <c r="P420" i="1"/>
  <c r="M420" i="1"/>
  <c r="L420" i="1"/>
  <c r="I420" i="1"/>
  <c r="I420" i="2" s="1"/>
  <c r="P419" i="1"/>
  <c r="M419" i="1"/>
  <c r="L419" i="1"/>
  <c r="I419" i="1"/>
  <c r="P418" i="1"/>
  <c r="L418" i="1"/>
  <c r="N418" i="1" s="1"/>
  <c r="O418" i="1" s="1"/>
  <c r="I418" i="1"/>
  <c r="P417" i="1"/>
  <c r="O417" i="1"/>
  <c r="R417" i="1" s="1"/>
  <c r="N417" i="1"/>
  <c r="M417" i="1"/>
  <c r="L417" i="1"/>
  <c r="Q417" i="1" s="1"/>
  <c r="I417" i="1"/>
  <c r="P416" i="1"/>
  <c r="M416" i="1"/>
  <c r="L416" i="1"/>
  <c r="I416" i="1"/>
  <c r="I416" i="2" s="1"/>
  <c r="P415" i="1"/>
  <c r="M415" i="1"/>
  <c r="L415" i="1"/>
  <c r="I415" i="1"/>
  <c r="J415" i="1" s="1"/>
  <c r="P414" i="1"/>
  <c r="L414" i="1"/>
  <c r="N414" i="1" s="1"/>
  <c r="O414" i="1" s="1"/>
  <c r="I414" i="1"/>
  <c r="R413" i="1"/>
  <c r="P413" i="1"/>
  <c r="O413" i="1"/>
  <c r="N413" i="1"/>
  <c r="M413" i="1"/>
  <c r="L413" i="1"/>
  <c r="Q413" i="1" s="1"/>
  <c r="I413" i="1"/>
  <c r="P412" i="1"/>
  <c r="L412" i="1"/>
  <c r="I412" i="1"/>
  <c r="I412" i="2" s="1"/>
  <c r="P411" i="1"/>
  <c r="L411" i="1"/>
  <c r="I411" i="1"/>
  <c r="P410" i="1"/>
  <c r="O410" i="1"/>
  <c r="L410" i="1"/>
  <c r="N410" i="1" s="1"/>
  <c r="I410" i="1"/>
  <c r="P409" i="1"/>
  <c r="N409" i="1"/>
  <c r="O409" i="1" s="1"/>
  <c r="M409" i="1"/>
  <c r="L409" i="1"/>
  <c r="Q409" i="1" s="1"/>
  <c r="I409" i="1"/>
  <c r="P408" i="1"/>
  <c r="P406" i="1" s="1"/>
  <c r="M408" i="1"/>
  <c r="L408" i="1"/>
  <c r="I408" i="1"/>
  <c r="I408" i="2" s="1"/>
  <c r="P407" i="1"/>
  <c r="L407" i="1"/>
  <c r="I407" i="1"/>
  <c r="L406" i="1"/>
  <c r="I406" i="1"/>
  <c r="P405" i="1"/>
  <c r="L405" i="1"/>
  <c r="Q405" i="1" s="1"/>
  <c r="I405" i="1"/>
  <c r="P404" i="1"/>
  <c r="M404" i="1"/>
  <c r="L404" i="1"/>
  <c r="I404" i="1"/>
  <c r="I404" i="2" s="1"/>
  <c r="P403" i="1"/>
  <c r="M403" i="1"/>
  <c r="L403" i="1"/>
  <c r="I403" i="1"/>
  <c r="P402" i="1"/>
  <c r="L402" i="1"/>
  <c r="N402" i="1" s="1"/>
  <c r="O402" i="1" s="1"/>
  <c r="I402" i="1"/>
  <c r="P401" i="1"/>
  <c r="O401" i="1"/>
  <c r="R401" i="1" s="1"/>
  <c r="N401" i="1"/>
  <c r="M401" i="1"/>
  <c r="L401" i="1"/>
  <c r="Q401" i="1" s="1"/>
  <c r="I401" i="1"/>
  <c r="P400" i="1"/>
  <c r="M400" i="1"/>
  <c r="L400" i="1"/>
  <c r="I400" i="1"/>
  <c r="I400" i="2" s="1"/>
  <c r="P399" i="1"/>
  <c r="M399" i="1"/>
  <c r="L399" i="1"/>
  <c r="I399" i="1"/>
  <c r="P398" i="1"/>
  <c r="L398" i="1"/>
  <c r="N398" i="1" s="1"/>
  <c r="O398" i="1" s="1"/>
  <c r="I398" i="1"/>
  <c r="R397" i="1"/>
  <c r="P397" i="1"/>
  <c r="O397" i="1"/>
  <c r="N397" i="1"/>
  <c r="M397" i="1"/>
  <c r="L397" i="1"/>
  <c r="Q397" i="1" s="1"/>
  <c r="I397" i="1"/>
  <c r="P396" i="1"/>
  <c r="P395" i="1" s="1"/>
  <c r="L396" i="1"/>
  <c r="M396" i="1" s="1"/>
  <c r="I396" i="1"/>
  <c r="I396" i="2" s="1"/>
  <c r="L395" i="1"/>
  <c r="I395" i="1"/>
  <c r="P394" i="1"/>
  <c r="O394" i="1"/>
  <c r="L394" i="1"/>
  <c r="N394" i="1" s="1"/>
  <c r="I394" i="1"/>
  <c r="P393" i="1"/>
  <c r="N393" i="1"/>
  <c r="O393" i="1" s="1"/>
  <c r="M393" i="1"/>
  <c r="L393" i="1"/>
  <c r="Q393" i="1" s="1"/>
  <c r="R393" i="1" s="1"/>
  <c r="I393" i="1"/>
  <c r="P392" i="1"/>
  <c r="M392" i="1"/>
  <c r="L392" i="1"/>
  <c r="I392" i="1"/>
  <c r="I392" i="2" s="1"/>
  <c r="P391" i="1"/>
  <c r="L391" i="1"/>
  <c r="I391" i="1"/>
  <c r="P390" i="1"/>
  <c r="L390" i="1"/>
  <c r="N390" i="1" s="1"/>
  <c r="O390" i="1" s="1"/>
  <c r="I390" i="1"/>
  <c r="P389" i="1"/>
  <c r="L389" i="1"/>
  <c r="Q389" i="1" s="1"/>
  <c r="I389" i="1"/>
  <c r="P388" i="1"/>
  <c r="M388" i="1"/>
  <c r="L388" i="1"/>
  <c r="I388" i="1"/>
  <c r="I388" i="2" s="1"/>
  <c r="P387" i="1"/>
  <c r="M387" i="1"/>
  <c r="L387" i="1"/>
  <c r="I387" i="1"/>
  <c r="P386" i="1"/>
  <c r="L386" i="1"/>
  <c r="N386" i="1" s="1"/>
  <c r="O386" i="1" s="1"/>
  <c r="I386" i="1"/>
  <c r="P385" i="1"/>
  <c r="O385" i="1"/>
  <c r="R385" i="1" s="1"/>
  <c r="N385" i="1"/>
  <c r="M385" i="1"/>
  <c r="L385" i="1"/>
  <c r="Q385" i="1" s="1"/>
  <c r="I385" i="1"/>
  <c r="P384" i="1"/>
  <c r="M384" i="1"/>
  <c r="L384" i="1"/>
  <c r="I384" i="1"/>
  <c r="I384" i="2" s="1"/>
  <c r="P383" i="1"/>
  <c r="M383" i="1"/>
  <c r="L383" i="1"/>
  <c r="I383" i="1"/>
  <c r="P382" i="1"/>
  <c r="L382" i="1"/>
  <c r="N382" i="1" s="1"/>
  <c r="O382" i="1" s="1"/>
  <c r="I382" i="1"/>
  <c r="R381" i="1"/>
  <c r="P381" i="1"/>
  <c r="O381" i="1"/>
  <c r="N381" i="1"/>
  <c r="M381" i="1"/>
  <c r="L381" i="1"/>
  <c r="Q381" i="1" s="1"/>
  <c r="I381" i="1"/>
  <c r="P380" i="1"/>
  <c r="O380" i="1"/>
  <c r="M380" i="1"/>
  <c r="L380" i="1"/>
  <c r="N380" i="1" s="1"/>
  <c r="J380" i="1"/>
  <c r="I380" i="1"/>
  <c r="I380" i="2" s="1"/>
  <c r="P379" i="1"/>
  <c r="N379" i="1"/>
  <c r="O379" i="1" s="1"/>
  <c r="M379" i="1"/>
  <c r="L379" i="1"/>
  <c r="Q379" i="1" s="1"/>
  <c r="I379" i="1"/>
  <c r="Q378" i="1"/>
  <c r="R378" i="1" s="1"/>
  <c r="P378" i="1"/>
  <c r="O378" i="1"/>
  <c r="M378" i="1"/>
  <c r="L378" i="1"/>
  <c r="N378" i="1" s="1"/>
  <c r="J378" i="1"/>
  <c r="I378" i="1"/>
  <c r="I378" i="2" s="1"/>
  <c r="P377" i="1"/>
  <c r="L377" i="1"/>
  <c r="Q377" i="1" s="1"/>
  <c r="I377" i="1"/>
  <c r="P376" i="1"/>
  <c r="O376" i="1"/>
  <c r="L376" i="1"/>
  <c r="N376" i="1" s="1"/>
  <c r="J376" i="1"/>
  <c r="I376" i="1"/>
  <c r="I376" i="2" s="1"/>
  <c r="P375" i="1"/>
  <c r="M375" i="1"/>
  <c r="L375" i="1"/>
  <c r="Q375" i="1" s="1"/>
  <c r="I375" i="1"/>
  <c r="P374" i="1"/>
  <c r="O374" i="1"/>
  <c r="L374" i="1"/>
  <c r="N374" i="1" s="1"/>
  <c r="I374" i="1"/>
  <c r="I374" i="2" s="1"/>
  <c r="P373" i="1"/>
  <c r="O373" i="1"/>
  <c r="R373" i="1" s="1"/>
  <c r="N373" i="1"/>
  <c r="M373" i="1"/>
  <c r="L373" i="1"/>
  <c r="Q373" i="1" s="1"/>
  <c r="I373" i="1"/>
  <c r="Q372" i="1"/>
  <c r="P372" i="1"/>
  <c r="O372" i="1"/>
  <c r="R372" i="1" s="1"/>
  <c r="M372" i="1"/>
  <c r="L372" i="1"/>
  <c r="N372" i="1" s="1"/>
  <c r="J372" i="1"/>
  <c r="I372" i="1"/>
  <c r="I372" i="2" s="1"/>
  <c r="P371" i="1"/>
  <c r="N371" i="1"/>
  <c r="O371" i="1" s="1"/>
  <c r="M371" i="1"/>
  <c r="L371" i="1"/>
  <c r="Q371" i="1" s="1"/>
  <c r="R371" i="1" s="1"/>
  <c r="I371" i="1"/>
  <c r="Q370" i="1"/>
  <c r="R370" i="1" s="1"/>
  <c r="P370" i="1"/>
  <c r="O370" i="1"/>
  <c r="M370" i="1"/>
  <c r="L370" i="1"/>
  <c r="N370" i="1" s="1"/>
  <c r="J370" i="1"/>
  <c r="I370" i="1"/>
  <c r="I370" i="2" s="1"/>
  <c r="P369" i="1"/>
  <c r="L369" i="1"/>
  <c r="Q369" i="1" s="1"/>
  <c r="I369" i="1"/>
  <c r="R368" i="1"/>
  <c r="Q368" i="1"/>
  <c r="P368" i="1"/>
  <c r="O368" i="1"/>
  <c r="L368" i="1"/>
  <c r="N368" i="1" s="1"/>
  <c r="J368" i="1"/>
  <c r="I368" i="1"/>
  <c r="I368" i="2" s="1"/>
  <c r="P367" i="1"/>
  <c r="M367" i="1"/>
  <c r="L367" i="1"/>
  <c r="Q367" i="1" s="1"/>
  <c r="I367" i="1"/>
  <c r="J367" i="1" s="1"/>
  <c r="P366" i="1"/>
  <c r="O366" i="1"/>
  <c r="M366" i="1"/>
  <c r="L366" i="1"/>
  <c r="N366" i="1" s="1"/>
  <c r="I366" i="1"/>
  <c r="I366" i="2" s="1"/>
  <c r="P365" i="1"/>
  <c r="M365" i="1"/>
  <c r="L365" i="1"/>
  <c r="Q365" i="1" s="1"/>
  <c r="I365" i="1"/>
  <c r="Q364" i="1"/>
  <c r="P364" i="1"/>
  <c r="O364" i="1"/>
  <c r="R364" i="1" s="1"/>
  <c r="M364" i="1"/>
  <c r="L364" i="1"/>
  <c r="N364" i="1" s="1"/>
  <c r="J364" i="1"/>
  <c r="I364" i="1"/>
  <c r="I364" i="2" s="1"/>
  <c r="P363" i="1"/>
  <c r="M363" i="1"/>
  <c r="L363" i="1"/>
  <c r="Q363" i="1" s="1"/>
  <c r="I363" i="1"/>
  <c r="Q362" i="1"/>
  <c r="R362" i="1" s="1"/>
  <c r="P362" i="1"/>
  <c r="O362" i="1"/>
  <c r="M362" i="1"/>
  <c r="L362" i="1"/>
  <c r="N362" i="1" s="1"/>
  <c r="J362" i="1"/>
  <c r="I362" i="1"/>
  <c r="I362" i="2" s="1"/>
  <c r="P361" i="1"/>
  <c r="L361" i="1"/>
  <c r="Q361" i="1" s="1"/>
  <c r="I361" i="1"/>
  <c r="R360" i="1"/>
  <c r="Q360" i="1"/>
  <c r="P360" i="1"/>
  <c r="O360" i="1"/>
  <c r="L360" i="1"/>
  <c r="N360" i="1" s="1"/>
  <c r="J360" i="1"/>
  <c r="I360" i="1"/>
  <c r="I360" i="2" s="1"/>
  <c r="P359" i="1"/>
  <c r="M359" i="1"/>
  <c r="L359" i="1"/>
  <c r="Q359" i="1" s="1"/>
  <c r="I359" i="1"/>
  <c r="P358" i="1"/>
  <c r="O358" i="1"/>
  <c r="M358" i="1"/>
  <c r="L358" i="1"/>
  <c r="N358" i="1" s="1"/>
  <c r="I358" i="1"/>
  <c r="I358" i="2" s="1"/>
  <c r="P357" i="1"/>
  <c r="M357" i="1"/>
  <c r="L357" i="1"/>
  <c r="Q357" i="1" s="1"/>
  <c r="I357" i="1"/>
  <c r="Q356" i="1"/>
  <c r="P356" i="1"/>
  <c r="O356" i="1"/>
  <c r="R356" i="1" s="1"/>
  <c r="M356" i="1"/>
  <c r="L356" i="1"/>
  <c r="N356" i="1" s="1"/>
  <c r="J356" i="1"/>
  <c r="I356" i="1"/>
  <c r="I356" i="2" s="1"/>
  <c r="P355" i="1"/>
  <c r="M355" i="1"/>
  <c r="L355" i="1"/>
  <c r="Q355" i="1" s="1"/>
  <c r="I355" i="1"/>
  <c r="Q354" i="1"/>
  <c r="R354" i="1" s="1"/>
  <c r="P354" i="1"/>
  <c r="O354" i="1"/>
  <c r="M354" i="1"/>
  <c r="L354" i="1"/>
  <c r="N354" i="1" s="1"/>
  <c r="J354" i="1"/>
  <c r="I354" i="1"/>
  <c r="I354" i="2" s="1"/>
  <c r="P353" i="1"/>
  <c r="L353" i="1"/>
  <c r="Q353" i="1" s="1"/>
  <c r="I353" i="1"/>
  <c r="R352" i="1"/>
  <c r="Q352" i="1"/>
  <c r="P352" i="1"/>
  <c r="O352" i="1"/>
  <c r="L352" i="1"/>
  <c r="N352" i="1" s="1"/>
  <c r="J352" i="1"/>
  <c r="I352" i="1"/>
  <c r="I352" i="2" s="1"/>
  <c r="P351" i="1"/>
  <c r="M351" i="1"/>
  <c r="L351" i="1"/>
  <c r="Q351" i="1" s="1"/>
  <c r="I351" i="1"/>
  <c r="P350" i="1"/>
  <c r="O350" i="1"/>
  <c r="M350" i="1"/>
  <c r="L350" i="1"/>
  <c r="N350" i="1" s="1"/>
  <c r="I350" i="1"/>
  <c r="I350" i="2" s="1"/>
  <c r="P349" i="1"/>
  <c r="M349" i="1"/>
  <c r="L349" i="1"/>
  <c r="Q349" i="1" s="1"/>
  <c r="I349" i="1"/>
  <c r="Q348" i="1"/>
  <c r="P348" i="1"/>
  <c r="O348" i="1"/>
  <c r="R348" i="1" s="1"/>
  <c r="M348" i="1"/>
  <c r="L348" i="1"/>
  <c r="N348" i="1" s="1"/>
  <c r="I348" i="1"/>
  <c r="I348" i="2" s="1"/>
  <c r="P347" i="1"/>
  <c r="M347" i="1"/>
  <c r="L347" i="1"/>
  <c r="Q347" i="1" s="1"/>
  <c r="I347" i="1"/>
  <c r="Q346" i="1"/>
  <c r="R346" i="1" s="1"/>
  <c r="P346" i="1"/>
  <c r="O346" i="1"/>
  <c r="M346" i="1"/>
  <c r="L346" i="1"/>
  <c r="N346" i="1" s="1"/>
  <c r="J346" i="1"/>
  <c r="I346" i="1"/>
  <c r="I346" i="2" s="1"/>
  <c r="P345" i="1"/>
  <c r="L345" i="1"/>
  <c r="Q345" i="1" s="1"/>
  <c r="I345" i="1"/>
  <c r="Q344" i="1"/>
  <c r="R344" i="1" s="1"/>
  <c r="P344" i="1"/>
  <c r="O344" i="1"/>
  <c r="M344" i="1"/>
  <c r="L344" i="1"/>
  <c r="N344" i="1" s="1"/>
  <c r="J344" i="1"/>
  <c r="I344" i="1"/>
  <c r="I344" i="2" s="1"/>
  <c r="P343" i="1"/>
  <c r="P337" i="1" s="1"/>
  <c r="L343" i="1"/>
  <c r="Q343" i="1" s="1"/>
  <c r="I343" i="1"/>
  <c r="Q342" i="1"/>
  <c r="P342" i="1"/>
  <c r="O342" i="1"/>
  <c r="R342" i="1" s="1"/>
  <c r="M342" i="1"/>
  <c r="L342" i="1"/>
  <c r="N342" i="1" s="1"/>
  <c r="I342" i="1"/>
  <c r="I342" i="2" s="1"/>
  <c r="P341" i="1"/>
  <c r="M341" i="1"/>
  <c r="L341" i="1"/>
  <c r="Q341" i="1" s="1"/>
  <c r="I341" i="1"/>
  <c r="Q340" i="1"/>
  <c r="R340" i="1" s="1"/>
  <c r="P340" i="1"/>
  <c r="O340" i="1"/>
  <c r="M340" i="1"/>
  <c r="L340" i="1"/>
  <c r="N340" i="1" s="1"/>
  <c r="I340" i="1"/>
  <c r="I340" i="2" s="1"/>
  <c r="P339" i="1"/>
  <c r="L339" i="1"/>
  <c r="Q339" i="1" s="1"/>
  <c r="I339" i="1"/>
  <c r="Q338" i="1"/>
  <c r="R338" i="1" s="1"/>
  <c r="P338" i="1"/>
  <c r="O338" i="1"/>
  <c r="M338" i="1"/>
  <c r="L338" i="1"/>
  <c r="N338" i="1" s="1"/>
  <c r="J338" i="1"/>
  <c r="I338" i="1"/>
  <c r="I338" i="2" s="1"/>
  <c r="L337" i="1"/>
  <c r="I337" i="1"/>
  <c r="Q336" i="1"/>
  <c r="R336" i="1" s="1"/>
  <c r="P336" i="1"/>
  <c r="O336" i="1"/>
  <c r="M336" i="1"/>
  <c r="L336" i="1"/>
  <c r="N336" i="1" s="1"/>
  <c r="I336" i="1"/>
  <c r="I336" i="2" s="1"/>
  <c r="P335" i="1"/>
  <c r="P329" i="1" s="1"/>
  <c r="L335" i="1"/>
  <c r="Q335" i="1" s="1"/>
  <c r="I335" i="1"/>
  <c r="Q334" i="1"/>
  <c r="R334" i="1" s="1"/>
  <c r="P334" i="1"/>
  <c r="O334" i="1"/>
  <c r="M334" i="1"/>
  <c r="L334" i="1"/>
  <c r="N334" i="1" s="1"/>
  <c r="I334" i="1"/>
  <c r="I334" i="2" s="1"/>
  <c r="P333" i="1"/>
  <c r="L333" i="1"/>
  <c r="Q333" i="1" s="1"/>
  <c r="I333" i="1"/>
  <c r="Q332" i="1"/>
  <c r="R332" i="1" s="1"/>
  <c r="P332" i="1"/>
  <c r="O332" i="1"/>
  <c r="M332" i="1"/>
  <c r="L332" i="1"/>
  <c r="N332" i="1" s="1"/>
  <c r="I332" i="1"/>
  <c r="I332" i="2" s="1"/>
  <c r="P331" i="1"/>
  <c r="L331" i="1"/>
  <c r="Q331" i="1" s="1"/>
  <c r="I331" i="1"/>
  <c r="Q330" i="1"/>
  <c r="Q329" i="1" s="1"/>
  <c r="P330" i="1"/>
  <c r="O330" i="1"/>
  <c r="M330" i="1"/>
  <c r="L330" i="1"/>
  <c r="N330" i="1" s="1"/>
  <c r="I330" i="1"/>
  <c r="I330" i="2" s="1"/>
  <c r="L329" i="1"/>
  <c r="I329" i="1"/>
  <c r="L328" i="1"/>
  <c r="I328" i="1"/>
  <c r="I328" i="2" s="1"/>
  <c r="P327" i="1"/>
  <c r="L327" i="1"/>
  <c r="Q327" i="1" s="1"/>
  <c r="I327" i="1"/>
  <c r="Q326" i="1"/>
  <c r="R326" i="1" s="1"/>
  <c r="P326" i="1"/>
  <c r="O326" i="1"/>
  <c r="M326" i="1"/>
  <c r="L326" i="1"/>
  <c r="N326" i="1" s="1"/>
  <c r="I326" i="1"/>
  <c r="I326" i="2" s="1"/>
  <c r="P325" i="1"/>
  <c r="L325" i="1"/>
  <c r="Q325" i="1" s="1"/>
  <c r="I325" i="1"/>
  <c r="Q324" i="1"/>
  <c r="R324" i="1" s="1"/>
  <c r="P324" i="1"/>
  <c r="O324" i="1"/>
  <c r="M324" i="1"/>
  <c r="L324" i="1"/>
  <c r="N324" i="1" s="1"/>
  <c r="I324" i="1"/>
  <c r="I324" i="2" s="1"/>
  <c r="P323" i="1"/>
  <c r="L323" i="1"/>
  <c r="Q323" i="1" s="1"/>
  <c r="I323" i="1"/>
  <c r="J323" i="1" s="1"/>
  <c r="P322" i="1"/>
  <c r="O322" i="1"/>
  <c r="L322" i="1"/>
  <c r="N322" i="1" s="1"/>
  <c r="J322" i="1"/>
  <c r="I322" i="1"/>
  <c r="I322" i="2" s="1"/>
  <c r="Q321" i="1"/>
  <c r="P321" i="1"/>
  <c r="N321" i="1"/>
  <c r="O321" i="1" s="1"/>
  <c r="L321" i="1"/>
  <c r="M321" i="1" s="1"/>
  <c r="I321" i="1"/>
  <c r="Q320" i="1"/>
  <c r="R320" i="1" s="1"/>
  <c r="P320" i="1"/>
  <c r="N320" i="1"/>
  <c r="O320" i="1" s="1"/>
  <c r="M320" i="1"/>
  <c r="L320" i="1"/>
  <c r="I320" i="1"/>
  <c r="I320" i="2" s="1"/>
  <c r="P319" i="1"/>
  <c r="L319" i="1"/>
  <c r="Q319" i="1" s="1"/>
  <c r="I319" i="1"/>
  <c r="I319" i="2" s="1"/>
  <c r="P318" i="1"/>
  <c r="P317" i="1" s="1"/>
  <c r="O318" i="1"/>
  <c r="L318" i="1"/>
  <c r="N318" i="1" s="1"/>
  <c r="J318" i="1"/>
  <c r="I318" i="1"/>
  <c r="I318" i="2" s="1"/>
  <c r="L317" i="1"/>
  <c r="I317" i="1"/>
  <c r="Q316" i="1"/>
  <c r="Q315" i="1" s="1"/>
  <c r="P316" i="1"/>
  <c r="N316" i="1"/>
  <c r="N315" i="1" s="1"/>
  <c r="M316" i="1"/>
  <c r="M315" i="1" s="1"/>
  <c r="L316" i="1"/>
  <c r="I316" i="1"/>
  <c r="I316" i="2" s="1"/>
  <c r="P315" i="1"/>
  <c r="L315" i="1"/>
  <c r="I315" i="1"/>
  <c r="I315" i="2" s="1"/>
  <c r="P314" i="1"/>
  <c r="L314" i="1"/>
  <c r="N314" i="1" s="1"/>
  <c r="O314" i="1" s="1"/>
  <c r="J314" i="1"/>
  <c r="I314" i="1"/>
  <c r="I314" i="2" s="1"/>
  <c r="Q313" i="1"/>
  <c r="P313" i="1"/>
  <c r="N313" i="1"/>
  <c r="O313" i="1" s="1"/>
  <c r="L313" i="1"/>
  <c r="M313" i="1" s="1"/>
  <c r="I313" i="1"/>
  <c r="Q312" i="1"/>
  <c r="R312" i="1" s="1"/>
  <c r="P312" i="1"/>
  <c r="N312" i="1"/>
  <c r="O312" i="1" s="1"/>
  <c r="M312" i="1"/>
  <c r="L312" i="1"/>
  <c r="I312" i="1"/>
  <c r="I312" i="2" s="1"/>
  <c r="P311" i="1"/>
  <c r="L311" i="1"/>
  <c r="Q311" i="1" s="1"/>
  <c r="I311" i="1"/>
  <c r="I311" i="2" s="1"/>
  <c r="P310" i="1"/>
  <c r="O310" i="1"/>
  <c r="L310" i="1"/>
  <c r="N310" i="1" s="1"/>
  <c r="J310" i="1"/>
  <c r="I310" i="1"/>
  <c r="I310" i="2" s="1"/>
  <c r="Q309" i="1"/>
  <c r="R309" i="1" s="1"/>
  <c r="P309" i="1"/>
  <c r="N309" i="1"/>
  <c r="O309" i="1" s="1"/>
  <c r="L309" i="1"/>
  <c r="M309" i="1" s="1"/>
  <c r="I309" i="1"/>
  <c r="Q308" i="1"/>
  <c r="P308" i="1"/>
  <c r="P307" i="1" s="1"/>
  <c r="N308" i="1"/>
  <c r="M308" i="1"/>
  <c r="L308" i="1"/>
  <c r="I308" i="1"/>
  <c r="I308" i="2" s="1"/>
  <c r="L307" i="1"/>
  <c r="I307" i="1"/>
  <c r="I307" i="2" s="1"/>
  <c r="P306" i="1"/>
  <c r="O306" i="1"/>
  <c r="L306" i="1"/>
  <c r="N306" i="1" s="1"/>
  <c r="J306" i="1"/>
  <c r="I306" i="1"/>
  <c r="I306" i="2" s="1"/>
  <c r="Q305" i="1"/>
  <c r="P305" i="1"/>
  <c r="N305" i="1"/>
  <c r="O305" i="1" s="1"/>
  <c r="L305" i="1"/>
  <c r="M305" i="1" s="1"/>
  <c r="I305" i="1"/>
  <c r="Q304" i="1"/>
  <c r="P304" i="1"/>
  <c r="N304" i="1"/>
  <c r="O304" i="1" s="1"/>
  <c r="M304" i="1"/>
  <c r="L304" i="1"/>
  <c r="I304" i="1"/>
  <c r="I304" i="2" s="1"/>
  <c r="P303" i="1"/>
  <c r="L303" i="1"/>
  <c r="Q303" i="1" s="1"/>
  <c r="I303" i="1"/>
  <c r="I303" i="2" s="1"/>
  <c r="P302" i="1"/>
  <c r="O302" i="1"/>
  <c r="L302" i="1"/>
  <c r="N302" i="1" s="1"/>
  <c r="J302" i="1"/>
  <c r="I302" i="1"/>
  <c r="I302" i="2" s="1"/>
  <c r="P301" i="1"/>
  <c r="L301" i="1"/>
  <c r="Q301" i="1" s="1"/>
  <c r="I301" i="1"/>
  <c r="Q300" i="1"/>
  <c r="P300" i="1"/>
  <c r="N300" i="1"/>
  <c r="O300" i="1" s="1"/>
  <c r="M300" i="1"/>
  <c r="L300" i="1"/>
  <c r="I300" i="1"/>
  <c r="I300" i="2" s="1"/>
  <c r="P299" i="1"/>
  <c r="L299" i="1"/>
  <c r="Q299" i="1" s="1"/>
  <c r="I299" i="1"/>
  <c r="I299" i="2" s="1"/>
  <c r="P298" i="1"/>
  <c r="L298" i="1"/>
  <c r="N298" i="1" s="1"/>
  <c r="O298" i="1" s="1"/>
  <c r="J298" i="1"/>
  <c r="I298" i="1"/>
  <c r="I298" i="2" s="1"/>
  <c r="Q297" i="1"/>
  <c r="P297" i="1"/>
  <c r="N297" i="1"/>
  <c r="L297" i="1"/>
  <c r="M297" i="1" s="1"/>
  <c r="I297" i="1"/>
  <c r="P296" i="1"/>
  <c r="L296" i="1"/>
  <c r="I296" i="1"/>
  <c r="I296" i="2" s="1"/>
  <c r="P295" i="1"/>
  <c r="L295" i="1"/>
  <c r="Q295" i="1" s="1"/>
  <c r="I295" i="1"/>
  <c r="I295" i="2" s="1"/>
  <c r="P294" i="1"/>
  <c r="O294" i="1"/>
  <c r="L294" i="1"/>
  <c r="N294" i="1" s="1"/>
  <c r="J294" i="1"/>
  <c r="I294" i="1"/>
  <c r="I294" i="2" s="1"/>
  <c r="Q293" i="1"/>
  <c r="R293" i="1" s="1"/>
  <c r="P293" i="1"/>
  <c r="N293" i="1"/>
  <c r="O293" i="1" s="1"/>
  <c r="L293" i="1"/>
  <c r="M293" i="1" s="1"/>
  <c r="I293" i="1"/>
  <c r="Q292" i="1"/>
  <c r="P292" i="1"/>
  <c r="P291" i="1" s="1"/>
  <c r="N292" i="1"/>
  <c r="M292" i="1"/>
  <c r="L292" i="1"/>
  <c r="I292" i="1"/>
  <c r="I292" i="2" s="1"/>
  <c r="L291" i="1"/>
  <c r="I291" i="1"/>
  <c r="I291" i="2" s="1"/>
  <c r="P290" i="1"/>
  <c r="O290" i="1"/>
  <c r="L290" i="1"/>
  <c r="N290" i="1" s="1"/>
  <c r="J290" i="1"/>
  <c r="I290" i="1"/>
  <c r="I290" i="2" s="1"/>
  <c r="Q289" i="1"/>
  <c r="R289" i="1" s="1"/>
  <c r="P289" i="1"/>
  <c r="N289" i="1"/>
  <c r="O289" i="1" s="1"/>
  <c r="L289" i="1"/>
  <c r="M289" i="1" s="1"/>
  <c r="I289" i="1"/>
  <c r="P288" i="1"/>
  <c r="N288" i="1"/>
  <c r="O288" i="1" s="1"/>
  <c r="M288" i="1"/>
  <c r="L288" i="1"/>
  <c r="Q288" i="1" s="1"/>
  <c r="I288" i="1"/>
  <c r="I288" i="2" s="1"/>
  <c r="P287" i="1"/>
  <c r="L287" i="1"/>
  <c r="Q287" i="1" s="1"/>
  <c r="I287" i="1"/>
  <c r="I287" i="2" s="1"/>
  <c r="P286" i="1"/>
  <c r="O286" i="1"/>
  <c r="L286" i="1"/>
  <c r="N286" i="1" s="1"/>
  <c r="J286" i="1"/>
  <c r="I286" i="1"/>
  <c r="I286" i="2" s="1"/>
  <c r="P285" i="1"/>
  <c r="L285" i="1"/>
  <c r="Q285" i="1" s="1"/>
  <c r="I285" i="1"/>
  <c r="Q284" i="1"/>
  <c r="P284" i="1"/>
  <c r="M284" i="1"/>
  <c r="L284" i="1"/>
  <c r="N284" i="1" s="1"/>
  <c r="O284" i="1" s="1"/>
  <c r="I284" i="1"/>
  <c r="I284" i="2" s="1"/>
  <c r="P283" i="1"/>
  <c r="L283" i="1"/>
  <c r="Q283" i="1" s="1"/>
  <c r="I283" i="1"/>
  <c r="I283" i="2" s="1"/>
  <c r="P282" i="1"/>
  <c r="L282" i="1"/>
  <c r="N282" i="1" s="1"/>
  <c r="O282" i="1" s="1"/>
  <c r="J282" i="1"/>
  <c r="I282" i="1"/>
  <c r="I282" i="2" s="1"/>
  <c r="Q281" i="1"/>
  <c r="R281" i="1" s="1"/>
  <c r="P281" i="1"/>
  <c r="N281" i="1"/>
  <c r="O281" i="1" s="1"/>
  <c r="L281" i="1"/>
  <c r="M281" i="1" s="1"/>
  <c r="I281" i="1"/>
  <c r="Q280" i="1"/>
  <c r="P280" i="1"/>
  <c r="N280" i="1"/>
  <c r="O280" i="1" s="1"/>
  <c r="M280" i="1"/>
  <c r="L280" i="1"/>
  <c r="I280" i="1"/>
  <c r="I280" i="2" s="1"/>
  <c r="P279" i="1"/>
  <c r="L279" i="1"/>
  <c r="Q279" i="1" s="1"/>
  <c r="I279" i="1"/>
  <c r="I279" i="2" s="1"/>
  <c r="P278" i="1"/>
  <c r="O278" i="1"/>
  <c r="L278" i="1"/>
  <c r="N278" i="1" s="1"/>
  <c r="J278" i="1"/>
  <c r="I278" i="1"/>
  <c r="I278" i="2" s="1"/>
  <c r="Q277" i="1"/>
  <c r="P277" i="1"/>
  <c r="N277" i="1"/>
  <c r="O277" i="1" s="1"/>
  <c r="L277" i="1"/>
  <c r="M277" i="1" s="1"/>
  <c r="I277" i="1"/>
  <c r="Q276" i="1"/>
  <c r="R276" i="1" s="1"/>
  <c r="P276" i="1"/>
  <c r="N276" i="1"/>
  <c r="O276" i="1" s="1"/>
  <c r="M276" i="1"/>
  <c r="L276" i="1"/>
  <c r="I276" i="1"/>
  <c r="I276" i="2" s="1"/>
  <c r="P275" i="1"/>
  <c r="L275" i="1"/>
  <c r="Q275" i="1" s="1"/>
  <c r="I275" i="1"/>
  <c r="I275" i="2" s="1"/>
  <c r="P274" i="1"/>
  <c r="O274" i="1"/>
  <c r="L274" i="1"/>
  <c r="N274" i="1" s="1"/>
  <c r="J274" i="1"/>
  <c r="I274" i="1"/>
  <c r="I274" i="2" s="1"/>
  <c r="Q273" i="1"/>
  <c r="R273" i="1" s="1"/>
  <c r="P273" i="1"/>
  <c r="N273" i="1"/>
  <c r="O273" i="1" s="1"/>
  <c r="L273" i="1"/>
  <c r="M273" i="1" s="1"/>
  <c r="I273" i="1"/>
  <c r="Q272" i="1"/>
  <c r="P272" i="1"/>
  <c r="N272" i="1"/>
  <c r="O272" i="1" s="1"/>
  <c r="M272" i="1"/>
  <c r="L272" i="1"/>
  <c r="I272" i="1"/>
  <c r="I272" i="2" s="1"/>
  <c r="P271" i="1"/>
  <c r="L271" i="1"/>
  <c r="Q271" i="1" s="1"/>
  <c r="I271" i="1"/>
  <c r="I271" i="2" s="1"/>
  <c r="P270" i="1"/>
  <c r="O270" i="1"/>
  <c r="L270" i="1"/>
  <c r="N270" i="1" s="1"/>
  <c r="J270" i="1"/>
  <c r="I270" i="1"/>
  <c r="I270" i="2" s="1"/>
  <c r="P269" i="1"/>
  <c r="L269" i="1"/>
  <c r="Q269" i="1" s="1"/>
  <c r="I269" i="1"/>
  <c r="Q268" i="1"/>
  <c r="R268" i="1" s="1"/>
  <c r="P268" i="1"/>
  <c r="N268" i="1"/>
  <c r="O268" i="1" s="1"/>
  <c r="M268" i="1"/>
  <c r="L268" i="1"/>
  <c r="I268" i="1"/>
  <c r="I268" i="2" s="1"/>
  <c r="P267" i="1"/>
  <c r="L267" i="1"/>
  <c r="Q267" i="1" s="1"/>
  <c r="I267" i="1"/>
  <c r="I267" i="2" s="1"/>
  <c r="P266" i="1"/>
  <c r="L266" i="1"/>
  <c r="N266" i="1" s="1"/>
  <c r="O266" i="1" s="1"/>
  <c r="J266" i="1"/>
  <c r="I266" i="1"/>
  <c r="I266" i="2" s="1"/>
  <c r="Q265" i="1"/>
  <c r="P265" i="1"/>
  <c r="N265" i="1"/>
  <c r="O265" i="1" s="1"/>
  <c r="L265" i="1"/>
  <c r="M265" i="1" s="1"/>
  <c r="I265" i="1"/>
  <c r="Q264" i="1"/>
  <c r="P264" i="1"/>
  <c r="N264" i="1"/>
  <c r="O264" i="1" s="1"/>
  <c r="M264" i="1"/>
  <c r="L264" i="1"/>
  <c r="I264" i="1"/>
  <c r="I264" i="2" s="1"/>
  <c r="P263" i="1"/>
  <c r="L263" i="1"/>
  <c r="Q263" i="1" s="1"/>
  <c r="I263" i="1"/>
  <c r="I263" i="2" s="1"/>
  <c r="P262" i="1"/>
  <c r="O262" i="1"/>
  <c r="L262" i="1"/>
  <c r="N262" i="1" s="1"/>
  <c r="J262" i="1"/>
  <c r="I262" i="1"/>
  <c r="I262" i="2" s="1"/>
  <c r="Q261" i="1"/>
  <c r="R261" i="1" s="1"/>
  <c r="P261" i="1"/>
  <c r="N261" i="1"/>
  <c r="O261" i="1" s="1"/>
  <c r="L261" i="1"/>
  <c r="M261" i="1" s="1"/>
  <c r="I261" i="1"/>
  <c r="Q260" i="1"/>
  <c r="P260" i="1"/>
  <c r="N260" i="1"/>
  <c r="O260" i="1" s="1"/>
  <c r="M260" i="1"/>
  <c r="L260" i="1"/>
  <c r="I260" i="1"/>
  <c r="I260" i="2" s="1"/>
  <c r="P259" i="1"/>
  <c r="L259" i="1"/>
  <c r="Q259" i="1" s="1"/>
  <c r="I259" i="1"/>
  <c r="I259" i="2" s="1"/>
  <c r="P258" i="1"/>
  <c r="L258" i="1"/>
  <c r="Q258" i="1" s="1"/>
  <c r="I258" i="1"/>
  <c r="I258" i="2" s="1"/>
  <c r="P257" i="1"/>
  <c r="P255" i="1" s="1"/>
  <c r="L257" i="1"/>
  <c r="N257" i="1" s="1"/>
  <c r="O257" i="1" s="1"/>
  <c r="I257" i="1"/>
  <c r="I257" i="2" s="1"/>
  <c r="P256" i="1"/>
  <c r="L256" i="1"/>
  <c r="Q256" i="1" s="1"/>
  <c r="I256" i="1"/>
  <c r="I256" i="2" s="1"/>
  <c r="L255" i="1"/>
  <c r="I255" i="1"/>
  <c r="I255" i="2" s="1"/>
  <c r="P254" i="1"/>
  <c r="L254" i="1"/>
  <c r="Q254" i="1" s="1"/>
  <c r="I254" i="1"/>
  <c r="I254" i="2" s="1"/>
  <c r="P253" i="1"/>
  <c r="L253" i="1"/>
  <c r="N253" i="1" s="1"/>
  <c r="O253" i="1" s="1"/>
  <c r="I253" i="1"/>
  <c r="I253" i="2" s="1"/>
  <c r="P252" i="1"/>
  <c r="L252" i="1"/>
  <c r="M252" i="1" s="1"/>
  <c r="I252" i="1"/>
  <c r="I252" i="2" s="1"/>
  <c r="P251" i="1"/>
  <c r="L251" i="1"/>
  <c r="Q251" i="1" s="1"/>
  <c r="I251" i="1"/>
  <c r="I251" i="2" s="1"/>
  <c r="P250" i="1"/>
  <c r="L250" i="1"/>
  <c r="Q250" i="1" s="1"/>
  <c r="I250" i="1"/>
  <c r="I250" i="2" s="1"/>
  <c r="P249" i="1"/>
  <c r="L249" i="1"/>
  <c r="N249" i="1" s="1"/>
  <c r="O249" i="1" s="1"/>
  <c r="I249" i="1"/>
  <c r="I249" i="2" s="1"/>
  <c r="P248" i="1"/>
  <c r="L248" i="1"/>
  <c r="M248" i="1" s="1"/>
  <c r="I248" i="1"/>
  <c r="I248" i="2" s="1"/>
  <c r="P247" i="1"/>
  <c r="L247" i="1"/>
  <c r="Q247" i="1" s="1"/>
  <c r="I247" i="1"/>
  <c r="I247" i="2" s="1"/>
  <c r="P246" i="1"/>
  <c r="L246" i="1"/>
  <c r="Q246" i="1" s="1"/>
  <c r="I246" i="1"/>
  <c r="I246" i="2" s="1"/>
  <c r="P245" i="1"/>
  <c r="M245" i="1"/>
  <c r="L245" i="1"/>
  <c r="N245" i="1" s="1"/>
  <c r="O245" i="1" s="1"/>
  <c r="I245" i="1"/>
  <c r="I245" i="2" s="1"/>
  <c r="P244" i="1"/>
  <c r="L244" i="1"/>
  <c r="Q244" i="1" s="1"/>
  <c r="I244" i="1"/>
  <c r="I244" i="2" s="1"/>
  <c r="P243" i="1"/>
  <c r="L243" i="1"/>
  <c r="Q243" i="1" s="1"/>
  <c r="I243" i="1"/>
  <c r="I243" i="2" s="1"/>
  <c r="P242" i="1"/>
  <c r="L242" i="1"/>
  <c r="Q242" i="1" s="1"/>
  <c r="I242" i="1"/>
  <c r="I242" i="2" s="1"/>
  <c r="P241" i="1"/>
  <c r="P240" i="1" s="1"/>
  <c r="M241" i="1"/>
  <c r="L241" i="1"/>
  <c r="N241" i="1" s="1"/>
  <c r="I241" i="1"/>
  <c r="I241" i="2" s="1"/>
  <c r="L240" i="1"/>
  <c r="I240" i="1"/>
  <c r="I240" i="2" s="1"/>
  <c r="P239" i="1"/>
  <c r="L239" i="1"/>
  <c r="Q239" i="1" s="1"/>
  <c r="I239" i="1"/>
  <c r="I239" i="2" s="1"/>
  <c r="P238" i="1"/>
  <c r="L238" i="1"/>
  <c r="Q238" i="1" s="1"/>
  <c r="I238" i="1"/>
  <c r="I238" i="2" s="1"/>
  <c r="P237" i="1"/>
  <c r="M237" i="1"/>
  <c r="L237" i="1"/>
  <c r="N237" i="1" s="1"/>
  <c r="O237" i="1" s="1"/>
  <c r="I237" i="1"/>
  <c r="I237" i="2" s="1"/>
  <c r="P236" i="1"/>
  <c r="L236" i="1"/>
  <c r="M236" i="1" s="1"/>
  <c r="I236" i="1"/>
  <c r="I236" i="2" s="1"/>
  <c r="P235" i="1"/>
  <c r="M235" i="1"/>
  <c r="L235" i="1"/>
  <c r="Q235" i="1" s="1"/>
  <c r="I235" i="1"/>
  <c r="I235" i="2" s="1"/>
  <c r="P234" i="1"/>
  <c r="L234" i="1"/>
  <c r="Q234" i="1" s="1"/>
  <c r="I234" i="1"/>
  <c r="I234" i="2" s="1"/>
  <c r="P233" i="1"/>
  <c r="M233" i="1"/>
  <c r="L233" i="1"/>
  <c r="N233" i="1" s="1"/>
  <c r="O233" i="1" s="1"/>
  <c r="I233" i="1"/>
  <c r="I233" i="2" s="1"/>
  <c r="P232" i="1"/>
  <c r="L232" i="1"/>
  <c r="M232" i="1" s="1"/>
  <c r="I232" i="1"/>
  <c r="I232" i="2" s="1"/>
  <c r="P231" i="1"/>
  <c r="M231" i="1"/>
  <c r="L231" i="1"/>
  <c r="Q231" i="1" s="1"/>
  <c r="I231" i="1"/>
  <c r="I231" i="2" s="1"/>
  <c r="P230" i="1"/>
  <c r="M230" i="1"/>
  <c r="L230" i="1"/>
  <c r="Q230" i="1" s="1"/>
  <c r="I230" i="1"/>
  <c r="I230" i="2" s="1"/>
  <c r="P229" i="1"/>
  <c r="M229" i="1"/>
  <c r="L229" i="1"/>
  <c r="N229" i="1" s="1"/>
  <c r="O229" i="1" s="1"/>
  <c r="I229" i="1"/>
  <c r="I229" i="2" s="1"/>
  <c r="I229" i="5" s="1"/>
  <c r="P228" i="1"/>
  <c r="P226" i="1" s="1"/>
  <c r="P225" i="1" s="1"/>
  <c r="L228" i="1"/>
  <c r="Q228" i="1" s="1"/>
  <c r="I228" i="1"/>
  <c r="I228" i="2" s="1"/>
  <c r="P227" i="1"/>
  <c r="M227" i="1"/>
  <c r="L227" i="1"/>
  <c r="Q227" i="1" s="1"/>
  <c r="I227" i="1"/>
  <c r="I227" i="2" s="1"/>
  <c r="L226" i="1"/>
  <c r="I226" i="1"/>
  <c r="I226" i="2" s="1"/>
  <c r="L225" i="1"/>
  <c r="I225" i="1"/>
  <c r="I225" i="2" s="1"/>
  <c r="P224" i="1"/>
  <c r="P222" i="1" s="1"/>
  <c r="L224" i="1"/>
  <c r="M224" i="1" s="1"/>
  <c r="I224" i="1"/>
  <c r="I224" i="2" s="1"/>
  <c r="P223" i="1"/>
  <c r="M223" i="1"/>
  <c r="L223" i="1"/>
  <c r="Q223" i="1" s="1"/>
  <c r="I223" i="1"/>
  <c r="I223" i="2" s="1"/>
  <c r="L222" i="1"/>
  <c r="I222" i="1"/>
  <c r="I222" i="2" s="1"/>
  <c r="M221" i="1"/>
  <c r="L221" i="1"/>
  <c r="N221" i="1" s="1"/>
  <c r="O221" i="1" s="1"/>
  <c r="I221" i="1"/>
  <c r="I221" i="2" s="1"/>
  <c r="I221" i="5" s="1"/>
  <c r="I221" i="7" s="1"/>
  <c r="I221" i="9" s="1"/>
  <c r="I221" i="10" s="1"/>
  <c r="I221" i="13" s="1"/>
  <c r="I221" i="14" s="1"/>
  <c r="I221" i="15" s="1"/>
  <c r="I221" i="16" s="1"/>
  <c r="J224" i="20" s="1"/>
  <c r="N220" i="1"/>
  <c r="O220" i="1" s="1"/>
  <c r="M220" i="1"/>
  <c r="L220" i="1"/>
  <c r="I220" i="1"/>
  <c r="I220" i="2" s="1"/>
  <c r="I220" i="5" s="1"/>
  <c r="I220" i="7" s="1"/>
  <c r="I220" i="9" s="1"/>
  <c r="I220" i="10" s="1"/>
  <c r="I220" i="13" s="1"/>
  <c r="I220" i="14" s="1"/>
  <c r="I220" i="15" s="1"/>
  <c r="I220" i="16" s="1"/>
  <c r="J223" i="20" s="1"/>
  <c r="L219" i="1"/>
  <c r="N219" i="1" s="1"/>
  <c r="O219" i="1" s="1"/>
  <c r="J219" i="1"/>
  <c r="I219" i="1"/>
  <c r="I219" i="2" s="1"/>
  <c r="I219" i="5" s="1"/>
  <c r="I219" i="7" s="1"/>
  <c r="E219" i="1"/>
  <c r="E221" i="1" s="1"/>
  <c r="M218" i="1"/>
  <c r="L218" i="1"/>
  <c r="N218" i="1" s="1"/>
  <c r="O218" i="1" s="1"/>
  <c r="I218" i="1"/>
  <c r="I218" i="2" s="1"/>
  <c r="I218" i="5" s="1"/>
  <c r="I218" i="7" s="1"/>
  <c r="I218" i="9" s="1"/>
  <c r="I218" i="10" s="1"/>
  <c r="I218" i="13" s="1"/>
  <c r="I218" i="14" s="1"/>
  <c r="I218" i="15" s="1"/>
  <c r="I218" i="16" s="1"/>
  <c r="J221" i="20" s="1"/>
  <c r="Q217" i="1"/>
  <c r="R217" i="1" s="1"/>
  <c r="P217" i="1"/>
  <c r="N217" i="1"/>
  <c r="O217" i="1" s="1"/>
  <c r="O217" i="2" s="1"/>
  <c r="M217" i="1"/>
  <c r="L217" i="1"/>
  <c r="J217" i="1"/>
  <c r="I217" i="1"/>
  <c r="I217" i="2" s="1"/>
  <c r="I217" i="5" s="1"/>
  <c r="E217" i="1"/>
  <c r="L216" i="1"/>
  <c r="N216" i="1" s="1"/>
  <c r="I216" i="1"/>
  <c r="I216" i="2" s="1"/>
  <c r="I216" i="5" s="1"/>
  <c r="I216" i="7" s="1"/>
  <c r="I216" i="9" s="1"/>
  <c r="I216" i="10" s="1"/>
  <c r="I216" i="13" s="1"/>
  <c r="I216" i="14" s="1"/>
  <c r="I216" i="15" s="1"/>
  <c r="I216" i="16" s="1"/>
  <c r="J219" i="20" s="1"/>
  <c r="L215" i="1"/>
  <c r="I215" i="1"/>
  <c r="I215" i="2" s="1"/>
  <c r="P214" i="1"/>
  <c r="L214" i="1"/>
  <c r="Q214" i="1" s="1"/>
  <c r="I214" i="1"/>
  <c r="I214" i="2" s="1"/>
  <c r="P213" i="1"/>
  <c r="M213" i="1"/>
  <c r="L213" i="1"/>
  <c r="Q213" i="1" s="1"/>
  <c r="I213" i="1"/>
  <c r="I213" i="2" s="1"/>
  <c r="P212" i="1"/>
  <c r="M212" i="1"/>
  <c r="L212" i="1"/>
  <c r="Q212" i="1" s="1"/>
  <c r="I212" i="1"/>
  <c r="I212" i="2" s="1"/>
  <c r="P211" i="1"/>
  <c r="M211" i="1"/>
  <c r="L211" i="1"/>
  <c r="N211" i="1" s="1"/>
  <c r="O211" i="1" s="1"/>
  <c r="I211" i="1"/>
  <c r="I211" i="2" s="1"/>
  <c r="P210" i="1"/>
  <c r="L210" i="1"/>
  <c r="M210" i="1" s="1"/>
  <c r="I210" i="1"/>
  <c r="I210" i="2" s="1"/>
  <c r="P209" i="1"/>
  <c r="M209" i="1"/>
  <c r="L209" i="1"/>
  <c r="Q209" i="1" s="1"/>
  <c r="I209" i="1"/>
  <c r="I209" i="2" s="1"/>
  <c r="P208" i="1"/>
  <c r="M208" i="1"/>
  <c r="L208" i="1"/>
  <c r="Q208" i="1" s="1"/>
  <c r="I208" i="1"/>
  <c r="I208" i="2" s="1"/>
  <c r="P207" i="1"/>
  <c r="M207" i="1"/>
  <c r="L207" i="1"/>
  <c r="N207" i="1" s="1"/>
  <c r="O207" i="1" s="1"/>
  <c r="I207" i="1"/>
  <c r="I207" i="2" s="1"/>
  <c r="P206" i="1"/>
  <c r="P205" i="1" s="1"/>
  <c r="L206" i="1"/>
  <c r="Q206" i="1" s="1"/>
  <c r="I206" i="1"/>
  <c r="I206" i="2" s="1"/>
  <c r="L205" i="1"/>
  <c r="I205" i="1"/>
  <c r="I205" i="2" s="1"/>
  <c r="P204" i="1"/>
  <c r="M204" i="1"/>
  <c r="L204" i="1"/>
  <c r="Q204" i="1" s="1"/>
  <c r="I204" i="1"/>
  <c r="I204" i="2" s="1"/>
  <c r="P203" i="1"/>
  <c r="M203" i="1"/>
  <c r="L203" i="1"/>
  <c r="N203" i="1" s="1"/>
  <c r="O203" i="1" s="1"/>
  <c r="I203" i="1"/>
  <c r="I203" i="2" s="1"/>
  <c r="P202" i="1"/>
  <c r="L202" i="1"/>
  <c r="Q202" i="1" s="1"/>
  <c r="I202" i="1"/>
  <c r="I202" i="2" s="1"/>
  <c r="P201" i="1"/>
  <c r="M201" i="1"/>
  <c r="L201" i="1"/>
  <c r="Q201" i="1" s="1"/>
  <c r="I201" i="1"/>
  <c r="I201" i="2" s="1"/>
  <c r="P200" i="1"/>
  <c r="M200" i="1"/>
  <c r="L200" i="1"/>
  <c r="Q200" i="1" s="1"/>
  <c r="I200" i="1"/>
  <c r="I200" i="2" s="1"/>
  <c r="P199" i="1"/>
  <c r="M199" i="1"/>
  <c r="L199" i="1"/>
  <c r="N199" i="1" s="1"/>
  <c r="O199" i="1" s="1"/>
  <c r="I199" i="1"/>
  <c r="I199" i="2" s="1"/>
  <c r="P198" i="1"/>
  <c r="L198" i="1"/>
  <c r="M198" i="1" s="1"/>
  <c r="I198" i="1"/>
  <c r="I198" i="2" s="1"/>
  <c r="P197" i="1"/>
  <c r="M197" i="1"/>
  <c r="L197" i="1"/>
  <c r="Q197" i="1" s="1"/>
  <c r="I197" i="1"/>
  <c r="I197" i="2" s="1"/>
  <c r="P196" i="1"/>
  <c r="M196" i="1"/>
  <c r="L196" i="1"/>
  <c r="Q196" i="1" s="1"/>
  <c r="I196" i="1"/>
  <c r="I196" i="2" s="1"/>
  <c r="P195" i="1"/>
  <c r="M195" i="1"/>
  <c r="L195" i="1"/>
  <c r="N195" i="1" s="1"/>
  <c r="O195" i="1" s="1"/>
  <c r="I195" i="1"/>
  <c r="I195" i="2" s="1"/>
  <c r="P194" i="1"/>
  <c r="L194" i="1"/>
  <c r="Q194" i="1" s="1"/>
  <c r="I194" i="1"/>
  <c r="I194" i="2" s="1"/>
  <c r="P193" i="1"/>
  <c r="M193" i="1"/>
  <c r="L193" i="1"/>
  <c r="Q193" i="1" s="1"/>
  <c r="I193" i="1"/>
  <c r="I193" i="2" s="1"/>
  <c r="P192" i="1"/>
  <c r="M192" i="1"/>
  <c r="L192" i="1"/>
  <c r="Q192" i="1" s="1"/>
  <c r="I192" i="1"/>
  <c r="I192" i="2" s="1"/>
  <c r="P191" i="1"/>
  <c r="M191" i="1"/>
  <c r="L191" i="1"/>
  <c r="N191" i="1" s="1"/>
  <c r="O191" i="1" s="1"/>
  <c r="I191" i="1"/>
  <c r="I191" i="2" s="1"/>
  <c r="P190" i="1"/>
  <c r="L190" i="1"/>
  <c r="Q190" i="1" s="1"/>
  <c r="I190" i="1"/>
  <c r="I190" i="2" s="1"/>
  <c r="P189" i="1"/>
  <c r="M189" i="1"/>
  <c r="L189" i="1"/>
  <c r="Q189" i="1" s="1"/>
  <c r="I189" i="1"/>
  <c r="I189" i="2" s="1"/>
  <c r="P188" i="1"/>
  <c r="M188" i="1"/>
  <c r="L188" i="1"/>
  <c r="Q188" i="1" s="1"/>
  <c r="I188" i="1"/>
  <c r="I188" i="2" s="1"/>
  <c r="P187" i="1"/>
  <c r="M187" i="1"/>
  <c r="L187" i="1"/>
  <c r="N187" i="1" s="1"/>
  <c r="O187" i="1" s="1"/>
  <c r="I187" i="1"/>
  <c r="I187" i="2" s="1"/>
  <c r="P186" i="1"/>
  <c r="L186" i="1"/>
  <c r="M186" i="1" s="1"/>
  <c r="I186" i="1"/>
  <c r="I186" i="2" s="1"/>
  <c r="P185" i="1"/>
  <c r="M185" i="1"/>
  <c r="L185" i="1"/>
  <c r="Q185" i="1" s="1"/>
  <c r="I185" i="1"/>
  <c r="I185" i="2" s="1"/>
  <c r="P184" i="1"/>
  <c r="M184" i="1"/>
  <c r="L184" i="1"/>
  <c r="Q184" i="1" s="1"/>
  <c r="I184" i="1"/>
  <c r="I184" i="2" s="1"/>
  <c r="P183" i="1"/>
  <c r="M183" i="1"/>
  <c r="L183" i="1"/>
  <c r="N183" i="1" s="1"/>
  <c r="O183" i="1" s="1"/>
  <c r="O183" i="2" s="1"/>
  <c r="I183" i="1"/>
  <c r="I183" i="2" s="1"/>
  <c r="P182" i="1"/>
  <c r="L182" i="1"/>
  <c r="M182" i="1" s="1"/>
  <c r="I182" i="1"/>
  <c r="I182" i="2" s="1"/>
  <c r="P181" i="1"/>
  <c r="M181" i="1"/>
  <c r="L181" i="1"/>
  <c r="Q181" i="1" s="1"/>
  <c r="I181" i="1"/>
  <c r="I181" i="2" s="1"/>
  <c r="P180" i="1"/>
  <c r="M180" i="1"/>
  <c r="L180" i="1"/>
  <c r="Q180" i="1" s="1"/>
  <c r="I180" i="1"/>
  <c r="I180" i="2" s="1"/>
  <c r="P179" i="1"/>
  <c r="P178" i="1" s="1"/>
  <c r="L179" i="1"/>
  <c r="I179" i="1"/>
  <c r="I179" i="2" s="1"/>
  <c r="L178" i="1"/>
  <c r="I178" i="1"/>
  <c r="I178" i="2" s="1"/>
  <c r="P177" i="1"/>
  <c r="M177" i="1"/>
  <c r="L177" i="1"/>
  <c r="Q177" i="1" s="1"/>
  <c r="I177" i="1"/>
  <c r="I177" i="2" s="1"/>
  <c r="P176" i="1"/>
  <c r="M176" i="1"/>
  <c r="M175" i="1" s="1"/>
  <c r="L176" i="1"/>
  <c r="Q176" i="1" s="1"/>
  <c r="I176" i="1"/>
  <c r="I176" i="2" s="1"/>
  <c r="P175" i="1"/>
  <c r="L175" i="1"/>
  <c r="I175" i="1"/>
  <c r="I175" i="2" s="1"/>
  <c r="P174" i="1"/>
  <c r="L174" i="1"/>
  <c r="Q174" i="1" s="1"/>
  <c r="I174" i="1"/>
  <c r="I174" i="2" s="1"/>
  <c r="P173" i="1"/>
  <c r="M173" i="1"/>
  <c r="L173" i="1"/>
  <c r="Q173" i="1" s="1"/>
  <c r="I173" i="1"/>
  <c r="I173" i="2" s="1"/>
  <c r="P172" i="1"/>
  <c r="M172" i="1"/>
  <c r="L172" i="1"/>
  <c r="Q172" i="1" s="1"/>
  <c r="I172" i="1"/>
  <c r="I172" i="2" s="1"/>
  <c r="P171" i="1"/>
  <c r="P170" i="1" s="1"/>
  <c r="M171" i="1"/>
  <c r="L171" i="1"/>
  <c r="N171" i="1" s="1"/>
  <c r="I171" i="1"/>
  <c r="I171" i="2" s="1"/>
  <c r="L170" i="1"/>
  <c r="I170" i="1"/>
  <c r="I170" i="2" s="1"/>
  <c r="P169" i="1"/>
  <c r="M169" i="1"/>
  <c r="L169" i="1"/>
  <c r="Q169" i="1" s="1"/>
  <c r="I169" i="1"/>
  <c r="I169" i="2" s="1"/>
  <c r="P168" i="1"/>
  <c r="M168" i="1"/>
  <c r="L168" i="1"/>
  <c r="Q168" i="1" s="1"/>
  <c r="I168" i="1"/>
  <c r="I168" i="2" s="1"/>
  <c r="P167" i="1"/>
  <c r="P165" i="1" s="1"/>
  <c r="M167" i="1"/>
  <c r="L167" i="1"/>
  <c r="N167" i="1" s="1"/>
  <c r="O167" i="1" s="1"/>
  <c r="O167" i="2" s="1"/>
  <c r="I167" i="1"/>
  <c r="I167" i="2" s="1"/>
  <c r="P166" i="1"/>
  <c r="L166" i="1"/>
  <c r="Q166" i="1" s="1"/>
  <c r="I166" i="1"/>
  <c r="I166" i="2" s="1"/>
  <c r="L165" i="1"/>
  <c r="I165" i="1"/>
  <c r="I165" i="2" s="1"/>
  <c r="P164" i="1"/>
  <c r="M164" i="1"/>
  <c r="L164" i="1"/>
  <c r="Q164" i="1" s="1"/>
  <c r="I164" i="1"/>
  <c r="I164" i="2" s="1"/>
  <c r="P163" i="1"/>
  <c r="M163" i="1"/>
  <c r="L163" i="1"/>
  <c r="N163" i="1" s="1"/>
  <c r="O163" i="1" s="1"/>
  <c r="I163" i="1"/>
  <c r="I163" i="2" s="1"/>
  <c r="P162" i="1"/>
  <c r="L162" i="1"/>
  <c r="M162" i="1" s="1"/>
  <c r="I162" i="1"/>
  <c r="I162" i="2" s="1"/>
  <c r="P161" i="1"/>
  <c r="M161" i="1"/>
  <c r="L161" i="1"/>
  <c r="Q161" i="1" s="1"/>
  <c r="I161" i="1"/>
  <c r="I161" i="2" s="1"/>
  <c r="P160" i="1"/>
  <c r="M160" i="1"/>
  <c r="L160" i="1"/>
  <c r="Q160" i="1" s="1"/>
  <c r="I160" i="1"/>
  <c r="I160" i="2" s="1"/>
  <c r="P159" i="1"/>
  <c r="P156" i="1" s="1"/>
  <c r="M159" i="1"/>
  <c r="L159" i="1"/>
  <c r="N159" i="1" s="1"/>
  <c r="O159" i="1" s="1"/>
  <c r="I159" i="1"/>
  <c r="I159" i="2" s="1"/>
  <c r="P158" i="1"/>
  <c r="L158" i="1"/>
  <c r="Q158" i="1" s="1"/>
  <c r="I158" i="1"/>
  <c r="I158" i="2" s="1"/>
  <c r="P157" i="1"/>
  <c r="M157" i="1"/>
  <c r="L157" i="1"/>
  <c r="Q157" i="1" s="1"/>
  <c r="I157" i="1"/>
  <c r="I157" i="2" s="1"/>
  <c r="L156" i="1"/>
  <c r="I156" i="1"/>
  <c r="I156" i="2" s="1"/>
  <c r="L155" i="1"/>
  <c r="I155" i="1"/>
  <c r="I155" i="2" s="1"/>
  <c r="P154" i="1"/>
  <c r="L154" i="1"/>
  <c r="Q154" i="1" s="1"/>
  <c r="I154" i="1"/>
  <c r="I154" i="2" s="1"/>
  <c r="P153" i="1"/>
  <c r="M153" i="1"/>
  <c r="L153" i="1"/>
  <c r="Q153" i="1" s="1"/>
  <c r="I153" i="1"/>
  <c r="I153" i="2" s="1"/>
  <c r="P152" i="1"/>
  <c r="M152" i="1"/>
  <c r="L152" i="1"/>
  <c r="Q152" i="1" s="1"/>
  <c r="I152" i="1"/>
  <c r="I152" i="2" s="1"/>
  <c r="P151" i="1"/>
  <c r="M151" i="1"/>
  <c r="L151" i="1"/>
  <c r="N151" i="1" s="1"/>
  <c r="O151" i="1" s="1"/>
  <c r="I151" i="1"/>
  <c r="I151" i="2" s="1"/>
  <c r="P150" i="1"/>
  <c r="L150" i="1"/>
  <c r="M150" i="1" s="1"/>
  <c r="I150" i="1"/>
  <c r="I150" i="2" s="1"/>
  <c r="I150" i="5" s="1"/>
  <c r="I150" i="7" s="1"/>
  <c r="I150" i="9" s="1"/>
  <c r="I150" i="10" s="1"/>
  <c r="I150" i="13" s="1"/>
  <c r="I150" i="14" s="1"/>
  <c r="I150" i="15" s="1"/>
  <c r="I150" i="16" s="1"/>
  <c r="J153" i="20" s="1"/>
  <c r="E150" i="1"/>
  <c r="J150" i="1" s="1"/>
  <c r="Q149" i="1"/>
  <c r="P149" i="1"/>
  <c r="P148" i="1" s="1"/>
  <c r="N149" i="1"/>
  <c r="M149" i="1"/>
  <c r="L149" i="1"/>
  <c r="I149" i="1"/>
  <c r="I149" i="2" s="1"/>
  <c r="I149" i="5" s="1"/>
  <c r="I149" i="7" s="1"/>
  <c r="I149" i="9" s="1"/>
  <c r="I149" i="10" s="1"/>
  <c r="I149" i="13" s="1"/>
  <c r="I149" i="14" s="1"/>
  <c r="I149" i="15" s="1"/>
  <c r="E149" i="1"/>
  <c r="E141" i="1" s="1"/>
  <c r="L148" i="1"/>
  <c r="J148" i="1"/>
  <c r="I148" i="1"/>
  <c r="I148" i="2" s="1"/>
  <c r="Q147" i="1"/>
  <c r="R147" i="1" s="1"/>
  <c r="P147" i="1"/>
  <c r="L147" i="1"/>
  <c r="N147" i="1" s="1"/>
  <c r="O147" i="1" s="1"/>
  <c r="J147" i="1"/>
  <c r="I147" i="1"/>
  <c r="I147" i="2" s="1"/>
  <c r="P146" i="1"/>
  <c r="N146" i="1"/>
  <c r="O146" i="1" s="1"/>
  <c r="L146" i="1"/>
  <c r="M146" i="1" s="1"/>
  <c r="J146" i="1"/>
  <c r="I146" i="1"/>
  <c r="I146" i="2" s="1"/>
  <c r="P145" i="1"/>
  <c r="L145" i="1"/>
  <c r="Q145" i="1" s="1"/>
  <c r="J145" i="1"/>
  <c r="I145" i="1"/>
  <c r="I145" i="2" s="1"/>
  <c r="P144" i="1"/>
  <c r="L144" i="1"/>
  <c r="Q144" i="1" s="1"/>
  <c r="J144" i="1"/>
  <c r="I144" i="1"/>
  <c r="I144" i="2" s="1"/>
  <c r="L143" i="1"/>
  <c r="N143" i="1" s="1"/>
  <c r="O143" i="1" s="1"/>
  <c r="I143" i="1"/>
  <c r="P142" i="1"/>
  <c r="M142" i="1"/>
  <c r="L142" i="1"/>
  <c r="N142" i="1" s="1"/>
  <c r="O142" i="1" s="1"/>
  <c r="I142" i="1"/>
  <c r="I142" i="2" s="1"/>
  <c r="E142" i="1"/>
  <c r="J142" i="1" s="1"/>
  <c r="N141" i="1"/>
  <c r="M141" i="1"/>
  <c r="L141" i="1"/>
  <c r="I141" i="1"/>
  <c r="I141" i="2" s="1"/>
  <c r="I141" i="5" s="1"/>
  <c r="I141" i="7" s="1"/>
  <c r="I141" i="9" s="1"/>
  <c r="I141" i="10" s="1"/>
  <c r="I141" i="13" s="1"/>
  <c r="I141" i="14" s="1"/>
  <c r="I141" i="15" s="1"/>
  <c r="L140" i="1"/>
  <c r="J140" i="1"/>
  <c r="I140" i="1"/>
  <c r="I140" i="2" s="1"/>
  <c r="L139" i="1"/>
  <c r="J139" i="1"/>
  <c r="I139" i="1"/>
  <c r="I139" i="2" s="1"/>
  <c r="Q138" i="1"/>
  <c r="R138" i="1" s="1"/>
  <c r="P138" i="1"/>
  <c r="L138" i="1"/>
  <c r="N138" i="1" s="1"/>
  <c r="O138" i="1" s="1"/>
  <c r="I138" i="1"/>
  <c r="I138" i="2" s="1"/>
  <c r="P137" i="1"/>
  <c r="N137" i="1"/>
  <c r="O137" i="1" s="1"/>
  <c r="L137" i="1"/>
  <c r="M137" i="1" s="1"/>
  <c r="J137" i="1"/>
  <c r="I137" i="1"/>
  <c r="I137" i="2" s="1"/>
  <c r="P136" i="1"/>
  <c r="L136" i="1"/>
  <c r="Q136" i="1" s="1"/>
  <c r="J136" i="1"/>
  <c r="I136" i="1"/>
  <c r="I136" i="2" s="1"/>
  <c r="P135" i="1"/>
  <c r="L135" i="1"/>
  <c r="Q135" i="1" s="1"/>
  <c r="J135" i="1"/>
  <c r="I135" i="1"/>
  <c r="I135" i="2" s="1"/>
  <c r="Q134" i="1"/>
  <c r="P134" i="1"/>
  <c r="L134" i="1"/>
  <c r="N134" i="1" s="1"/>
  <c r="O134" i="1" s="1"/>
  <c r="O134" i="2" s="1"/>
  <c r="I134" i="1"/>
  <c r="I134" i="2" s="1"/>
  <c r="P133" i="1"/>
  <c r="N133" i="1"/>
  <c r="O133" i="1" s="1"/>
  <c r="L133" i="1"/>
  <c r="M133" i="1" s="1"/>
  <c r="J133" i="1"/>
  <c r="I133" i="1"/>
  <c r="I133" i="2" s="1"/>
  <c r="P132" i="1"/>
  <c r="P131" i="1" s="1"/>
  <c r="L132" i="1"/>
  <c r="Q132" i="1" s="1"/>
  <c r="J132" i="1"/>
  <c r="I132" i="1"/>
  <c r="I132" i="2" s="1"/>
  <c r="L131" i="1"/>
  <c r="J131" i="1"/>
  <c r="I131" i="1"/>
  <c r="I131" i="2" s="1"/>
  <c r="Q130" i="1"/>
  <c r="P130" i="1"/>
  <c r="L130" i="1"/>
  <c r="N130" i="1" s="1"/>
  <c r="O130" i="1" s="1"/>
  <c r="I130" i="1"/>
  <c r="I130" i="2" s="1"/>
  <c r="P129" i="1"/>
  <c r="N129" i="1"/>
  <c r="O129" i="1" s="1"/>
  <c r="L129" i="1"/>
  <c r="M129" i="1" s="1"/>
  <c r="J129" i="1"/>
  <c r="I129" i="1"/>
  <c r="I129" i="2" s="1"/>
  <c r="P128" i="1"/>
  <c r="L128" i="1"/>
  <c r="Q128" i="1" s="1"/>
  <c r="J128" i="1"/>
  <c r="I128" i="1"/>
  <c r="I128" i="2" s="1"/>
  <c r="P127" i="1"/>
  <c r="L127" i="1"/>
  <c r="Q127" i="1" s="1"/>
  <c r="J127" i="1"/>
  <c r="I127" i="1"/>
  <c r="I127" i="2" s="1"/>
  <c r="Q126" i="1"/>
  <c r="R126" i="1" s="1"/>
  <c r="P126" i="1"/>
  <c r="L126" i="1"/>
  <c r="N126" i="1" s="1"/>
  <c r="O126" i="1" s="1"/>
  <c r="O126" i="2" s="1"/>
  <c r="I126" i="1"/>
  <c r="I126" i="2" s="1"/>
  <c r="P125" i="1"/>
  <c r="N125" i="1"/>
  <c r="O125" i="1" s="1"/>
  <c r="L125" i="1"/>
  <c r="M125" i="1" s="1"/>
  <c r="J125" i="1"/>
  <c r="I125" i="1"/>
  <c r="I125" i="2" s="1"/>
  <c r="I125" i="5" s="1"/>
  <c r="P124" i="1"/>
  <c r="L124" i="1"/>
  <c r="Q124" i="1" s="1"/>
  <c r="J124" i="1"/>
  <c r="I124" i="1"/>
  <c r="I124" i="2" s="1"/>
  <c r="P123" i="1"/>
  <c r="L123" i="1"/>
  <c r="Q123" i="1" s="1"/>
  <c r="J123" i="1"/>
  <c r="I123" i="1"/>
  <c r="I123" i="2" s="1"/>
  <c r="Q122" i="1"/>
  <c r="R122" i="1" s="1"/>
  <c r="P122" i="1"/>
  <c r="P120" i="1" s="1"/>
  <c r="L122" i="1"/>
  <c r="N122" i="1" s="1"/>
  <c r="O122" i="1" s="1"/>
  <c r="I122" i="1"/>
  <c r="I122" i="2" s="1"/>
  <c r="P121" i="1"/>
  <c r="N121" i="1"/>
  <c r="O121" i="1" s="1"/>
  <c r="L121" i="1"/>
  <c r="M121" i="1" s="1"/>
  <c r="J121" i="1"/>
  <c r="I121" i="1"/>
  <c r="I121" i="2" s="1"/>
  <c r="L120" i="1"/>
  <c r="J120" i="1"/>
  <c r="I120" i="1"/>
  <c r="I120" i="2" s="1"/>
  <c r="P119" i="1"/>
  <c r="L119" i="1"/>
  <c r="Q119" i="1" s="1"/>
  <c r="J119" i="1"/>
  <c r="I119" i="1"/>
  <c r="I119" i="2" s="1"/>
  <c r="Q118" i="1"/>
  <c r="R118" i="1" s="1"/>
  <c r="P118" i="1"/>
  <c r="L118" i="1"/>
  <c r="N118" i="1" s="1"/>
  <c r="O118" i="1" s="1"/>
  <c r="I118" i="1"/>
  <c r="I118" i="2" s="1"/>
  <c r="I118" i="5" s="1"/>
  <c r="P117" i="1"/>
  <c r="N117" i="1"/>
  <c r="O117" i="1" s="1"/>
  <c r="L117" i="1"/>
  <c r="M117" i="1" s="1"/>
  <c r="J117" i="1"/>
  <c r="I117" i="1"/>
  <c r="I117" i="2" s="1"/>
  <c r="P116" i="1"/>
  <c r="L116" i="1"/>
  <c r="Q116" i="1" s="1"/>
  <c r="J116" i="1"/>
  <c r="I116" i="1"/>
  <c r="I116" i="2" s="1"/>
  <c r="P115" i="1"/>
  <c r="L115" i="1"/>
  <c r="Q115" i="1" s="1"/>
  <c r="J115" i="1"/>
  <c r="I115" i="1"/>
  <c r="I115" i="2" s="1"/>
  <c r="Q114" i="1"/>
  <c r="P114" i="1"/>
  <c r="L114" i="1"/>
  <c r="N114" i="1" s="1"/>
  <c r="O114" i="1" s="1"/>
  <c r="O114" i="2" s="1"/>
  <c r="I114" i="1"/>
  <c r="I114" i="2" s="1"/>
  <c r="P113" i="1"/>
  <c r="N113" i="1"/>
  <c r="L113" i="1"/>
  <c r="M113" i="1" s="1"/>
  <c r="J113" i="1"/>
  <c r="I113" i="1"/>
  <c r="I113" i="2" s="1"/>
  <c r="P112" i="1"/>
  <c r="L112" i="1"/>
  <c r="Q112" i="1" s="1"/>
  <c r="J112" i="1"/>
  <c r="I112" i="1"/>
  <c r="I112" i="2" s="1"/>
  <c r="P111" i="1"/>
  <c r="L111" i="1"/>
  <c r="Q111" i="1" s="1"/>
  <c r="J111" i="1"/>
  <c r="I111" i="1"/>
  <c r="Q110" i="1"/>
  <c r="P110" i="1"/>
  <c r="L110" i="1"/>
  <c r="N110" i="1" s="1"/>
  <c r="O110" i="1" s="1"/>
  <c r="I110" i="1"/>
  <c r="I110" i="2" s="1"/>
  <c r="P109" i="1"/>
  <c r="N109" i="1"/>
  <c r="O109" i="1" s="1"/>
  <c r="O109" i="2" s="1"/>
  <c r="R109" i="2" s="1"/>
  <c r="L109" i="1"/>
  <c r="M109" i="1" s="1"/>
  <c r="J109" i="1"/>
  <c r="I109" i="1"/>
  <c r="I109" i="2" s="1"/>
  <c r="P108" i="1"/>
  <c r="P107" i="1" s="1"/>
  <c r="L108" i="1"/>
  <c r="Q108" i="1" s="1"/>
  <c r="J108" i="1"/>
  <c r="I108" i="1"/>
  <c r="I108" i="2" s="1"/>
  <c r="L107" i="1"/>
  <c r="J107" i="1"/>
  <c r="I107" i="1"/>
  <c r="I107" i="2" s="1"/>
  <c r="Q106" i="1"/>
  <c r="R106" i="1" s="1"/>
  <c r="P106" i="1"/>
  <c r="L106" i="1"/>
  <c r="N106" i="1" s="1"/>
  <c r="O106" i="1" s="1"/>
  <c r="I106" i="1"/>
  <c r="I106" i="2" s="1"/>
  <c r="P105" i="1"/>
  <c r="N105" i="1"/>
  <c r="O105" i="1" s="1"/>
  <c r="L105" i="1"/>
  <c r="M105" i="1" s="1"/>
  <c r="J105" i="1"/>
  <c r="I105" i="1"/>
  <c r="I105" i="2" s="1"/>
  <c r="P104" i="1"/>
  <c r="L104" i="1"/>
  <c r="Q104" i="1" s="1"/>
  <c r="J104" i="1"/>
  <c r="I104" i="1"/>
  <c r="I104" i="2" s="1"/>
  <c r="P103" i="1"/>
  <c r="L103" i="1"/>
  <c r="Q103" i="1" s="1"/>
  <c r="J103" i="1"/>
  <c r="I103" i="1"/>
  <c r="I103" i="2" s="1"/>
  <c r="Q102" i="1"/>
  <c r="R102" i="1" s="1"/>
  <c r="P102" i="1"/>
  <c r="L102" i="1"/>
  <c r="N102" i="1" s="1"/>
  <c r="O102" i="1" s="1"/>
  <c r="O102" i="2" s="1"/>
  <c r="I102" i="1"/>
  <c r="I102" i="2" s="1"/>
  <c r="P101" i="1"/>
  <c r="N101" i="1"/>
  <c r="O101" i="1" s="1"/>
  <c r="L101" i="1"/>
  <c r="M101" i="1" s="1"/>
  <c r="J101" i="1"/>
  <c r="I101" i="1"/>
  <c r="I101" i="2" s="1"/>
  <c r="I101" i="5" s="1"/>
  <c r="P100" i="1"/>
  <c r="L100" i="1"/>
  <c r="Q100" i="1" s="1"/>
  <c r="J100" i="1"/>
  <c r="I100" i="1"/>
  <c r="I100" i="2" s="1"/>
  <c r="P99" i="1"/>
  <c r="L99" i="1"/>
  <c r="Q99" i="1" s="1"/>
  <c r="I99" i="1"/>
  <c r="I99" i="2" s="1"/>
  <c r="Q98" i="1"/>
  <c r="P98" i="1"/>
  <c r="L98" i="1"/>
  <c r="N98" i="1" s="1"/>
  <c r="O98" i="1" s="1"/>
  <c r="I98" i="1"/>
  <c r="I98" i="2" s="1"/>
  <c r="P97" i="1"/>
  <c r="N97" i="1"/>
  <c r="O97" i="1" s="1"/>
  <c r="L97" i="1"/>
  <c r="M97" i="1" s="1"/>
  <c r="J97" i="1"/>
  <c r="I97" i="1"/>
  <c r="I97" i="2" s="1"/>
  <c r="P96" i="1"/>
  <c r="P95" i="1" s="1"/>
  <c r="L96" i="1"/>
  <c r="Q96" i="1" s="1"/>
  <c r="J96" i="1"/>
  <c r="I96" i="1"/>
  <c r="I96" i="2" s="1"/>
  <c r="L95" i="1"/>
  <c r="I95" i="1"/>
  <c r="I95" i="2" s="1"/>
  <c r="L94" i="1"/>
  <c r="I94" i="1"/>
  <c r="I94" i="2" s="1"/>
  <c r="P93" i="1"/>
  <c r="N93" i="1"/>
  <c r="O93" i="1" s="1"/>
  <c r="L93" i="1"/>
  <c r="M93" i="1" s="1"/>
  <c r="J93" i="1"/>
  <c r="I93" i="1"/>
  <c r="I93" i="2" s="1"/>
  <c r="P92" i="1"/>
  <c r="L92" i="1"/>
  <c r="Q92" i="1" s="1"/>
  <c r="J92" i="1"/>
  <c r="I92" i="1"/>
  <c r="I92" i="2" s="1"/>
  <c r="P91" i="1"/>
  <c r="L91" i="1"/>
  <c r="Q91" i="1" s="1"/>
  <c r="I91" i="1"/>
  <c r="I91" i="2" s="1"/>
  <c r="Q90" i="1"/>
  <c r="R90" i="1" s="1"/>
  <c r="P90" i="1"/>
  <c r="L90" i="1"/>
  <c r="N90" i="1" s="1"/>
  <c r="O90" i="1" s="1"/>
  <c r="I90" i="1"/>
  <c r="I90" i="2" s="1"/>
  <c r="P89" i="1"/>
  <c r="N89" i="1"/>
  <c r="O89" i="1" s="1"/>
  <c r="L89" i="1"/>
  <c r="M89" i="1" s="1"/>
  <c r="J89" i="1"/>
  <c r="I89" i="1"/>
  <c r="I89" i="2" s="1"/>
  <c r="P88" i="1"/>
  <c r="L88" i="1"/>
  <c r="Q88" i="1" s="1"/>
  <c r="J88" i="1"/>
  <c r="I88" i="1"/>
  <c r="I88" i="2" s="1"/>
  <c r="P87" i="1"/>
  <c r="L87" i="1"/>
  <c r="Q87" i="1" s="1"/>
  <c r="I87" i="1"/>
  <c r="I87" i="2" s="1"/>
  <c r="Q86" i="1"/>
  <c r="R86" i="1" s="1"/>
  <c r="P86" i="1"/>
  <c r="L86" i="1"/>
  <c r="N86" i="1" s="1"/>
  <c r="O86" i="1" s="1"/>
  <c r="I86" i="1"/>
  <c r="I86" i="2" s="1"/>
  <c r="P85" i="1"/>
  <c r="N85" i="1"/>
  <c r="O85" i="1" s="1"/>
  <c r="L85" i="1"/>
  <c r="M85" i="1" s="1"/>
  <c r="J85" i="1"/>
  <c r="I85" i="1"/>
  <c r="I85" i="2" s="1"/>
  <c r="P84" i="1"/>
  <c r="L84" i="1"/>
  <c r="Q84" i="1" s="1"/>
  <c r="J84" i="1"/>
  <c r="I84" i="1"/>
  <c r="I84" i="2" s="1"/>
  <c r="L83" i="1"/>
  <c r="N83" i="1" s="1"/>
  <c r="O83" i="1" s="1"/>
  <c r="I83" i="1"/>
  <c r="I83" i="2" s="1"/>
  <c r="E83" i="1"/>
  <c r="Q83" i="1" s="1"/>
  <c r="R82" i="1"/>
  <c r="Q82" i="1"/>
  <c r="P82" i="1"/>
  <c r="O82" i="1"/>
  <c r="N82" i="1"/>
  <c r="M82" i="1"/>
  <c r="L82" i="1"/>
  <c r="I82" i="1"/>
  <c r="I82" i="2" s="1"/>
  <c r="P81" i="1"/>
  <c r="O81" i="1"/>
  <c r="O81" i="2" s="1"/>
  <c r="N81" i="1"/>
  <c r="M81" i="1"/>
  <c r="L81" i="1"/>
  <c r="Q81" i="1" s="1"/>
  <c r="R81" i="1" s="1"/>
  <c r="I81" i="1"/>
  <c r="I81" i="2" s="1"/>
  <c r="I81" i="5" s="1"/>
  <c r="P80" i="1"/>
  <c r="L80" i="1"/>
  <c r="M80" i="1" s="1"/>
  <c r="I80" i="1"/>
  <c r="I80" i="2" s="1"/>
  <c r="L79" i="1"/>
  <c r="I79" i="1"/>
  <c r="I79" i="2" s="1"/>
  <c r="R78" i="1"/>
  <c r="Q78" i="1"/>
  <c r="P78" i="1"/>
  <c r="O78" i="1"/>
  <c r="N78" i="1"/>
  <c r="M78" i="1"/>
  <c r="L78" i="1"/>
  <c r="I78" i="1"/>
  <c r="I78" i="2" s="1"/>
  <c r="P77" i="1"/>
  <c r="O77" i="1"/>
  <c r="O77" i="2" s="1"/>
  <c r="N77" i="1"/>
  <c r="M77" i="1"/>
  <c r="L77" i="1"/>
  <c r="Q77" i="1" s="1"/>
  <c r="R77" i="1" s="1"/>
  <c r="I77" i="1"/>
  <c r="I77" i="2" s="1"/>
  <c r="I77" i="5" s="1"/>
  <c r="P76" i="1"/>
  <c r="L76" i="1"/>
  <c r="M76" i="1" s="1"/>
  <c r="I76" i="1"/>
  <c r="I76" i="2" s="1"/>
  <c r="P75" i="1"/>
  <c r="N75" i="1"/>
  <c r="O75" i="1" s="1"/>
  <c r="M75" i="1"/>
  <c r="L75" i="1"/>
  <c r="Q75" i="1" s="1"/>
  <c r="R75" i="1" s="1"/>
  <c r="I75" i="1"/>
  <c r="I75" i="2" s="1"/>
  <c r="R74" i="1"/>
  <c r="Q74" i="1"/>
  <c r="P74" i="1"/>
  <c r="O74" i="1"/>
  <c r="N74" i="1"/>
  <c r="M74" i="1"/>
  <c r="L74" i="1"/>
  <c r="I74" i="1"/>
  <c r="I74" i="2" s="1"/>
  <c r="P73" i="1"/>
  <c r="O73" i="1"/>
  <c r="O73" i="2" s="1"/>
  <c r="N73" i="1"/>
  <c r="M73" i="1"/>
  <c r="L73" i="1"/>
  <c r="Q73" i="1" s="1"/>
  <c r="R73" i="1" s="1"/>
  <c r="I73" i="1"/>
  <c r="I73" i="2" s="1"/>
  <c r="J73" i="2" s="1"/>
  <c r="P72" i="1"/>
  <c r="L72" i="1"/>
  <c r="M72" i="1" s="1"/>
  <c r="I72" i="1"/>
  <c r="I72" i="2" s="1"/>
  <c r="P71" i="1"/>
  <c r="N71" i="1"/>
  <c r="O71" i="1" s="1"/>
  <c r="M71" i="1"/>
  <c r="L71" i="1"/>
  <c r="Q71" i="1" s="1"/>
  <c r="R71" i="1" s="1"/>
  <c r="I71" i="1"/>
  <c r="I71" i="2" s="1"/>
  <c r="R70" i="1"/>
  <c r="Q70" i="1"/>
  <c r="P70" i="1"/>
  <c r="O70" i="1"/>
  <c r="N70" i="1"/>
  <c r="M70" i="1"/>
  <c r="L70" i="1"/>
  <c r="I70" i="1"/>
  <c r="I70" i="2" s="1"/>
  <c r="P69" i="1"/>
  <c r="O69" i="1"/>
  <c r="O69" i="2" s="1"/>
  <c r="N69" i="1"/>
  <c r="M69" i="1"/>
  <c r="L69" i="1"/>
  <c r="Q69" i="1" s="1"/>
  <c r="R69" i="1" s="1"/>
  <c r="I69" i="1"/>
  <c r="I69" i="2" s="1"/>
  <c r="I69" i="5" s="1"/>
  <c r="P68" i="1"/>
  <c r="N68" i="1"/>
  <c r="M68" i="1"/>
  <c r="L68" i="1"/>
  <c r="Q68" i="1" s="1"/>
  <c r="J68" i="1"/>
  <c r="I68" i="1"/>
  <c r="I68" i="2" s="1"/>
  <c r="I68" i="5" s="1"/>
  <c r="E68" i="1"/>
  <c r="P67" i="1"/>
  <c r="L67" i="1"/>
  <c r="Q67" i="1" s="1"/>
  <c r="J67" i="1"/>
  <c r="I67" i="1"/>
  <c r="I67" i="2" s="1"/>
  <c r="P66" i="1"/>
  <c r="L66" i="1"/>
  <c r="Q66" i="1" s="1"/>
  <c r="I66" i="1"/>
  <c r="I66" i="2" s="1"/>
  <c r="Q65" i="1"/>
  <c r="R65" i="1" s="1"/>
  <c r="P65" i="1"/>
  <c r="L65" i="1"/>
  <c r="N65" i="1" s="1"/>
  <c r="O65" i="1" s="1"/>
  <c r="I65" i="1"/>
  <c r="I65" i="2" s="1"/>
  <c r="P64" i="1"/>
  <c r="P63" i="1" s="1"/>
  <c r="N64" i="1"/>
  <c r="O64" i="1" s="1"/>
  <c r="L64" i="1"/>
  <c r="M64" i="1" s="1"/>
  <c r="J64" i="1"/>
  <c r="I64" i="1"/>
  <c r="I64" i="2" s="1"/>
  <c r="L63" i="1"/>
  <c r="J63" i="1"/>
  <c r="I63" i="1"/>
  <c r="I63" i="2" s="1"/>
  <c r="L62" i="1"/>
  <c r="I62" i="1"/>
  <c r="I62" i="2" s="1"/>
  <c r="Q61" i="1"/>
  <c r="R61" i="1" s="1"/>
  <c r="P61" i="1"/>
  <c r="L61" i="1"/>
  <c r="N61" i="1" s="1"/>
  <c r="O61" i="1" s="1"/>
  <c r="I61" i="1"/>
  <c r="I61" i="2" s="1"/>
  <c r="P60" i="1"/>
  <c r="N60" i="1"/>
  <c r="O60" i="1" s="1"/>
  <c r="L60" i="1"/>
  <c r="M60" i="1" s="1"/>
  <c r="J60" i="1"/>
  <c r="I60" i="1"/>
  <c r="P59" i="1"/>
  <c r="L59" i="1"/>
  <c r="Q59" i="1" s="1"/>
  <c r="J59" i="1"/>
  <c r="I59" i="1"/>
  <c r="L58" i="1"/>
  <c r="N58" i="1" s="1"/>
  <c r="O58" i="1" s="1"/>
  <c r="I58" i="1"/>
  <c r="E58" i="1"/>
  <c r="Q58" i="1" s="1"/>
  <c r="R58" i="1" s="1"/>
  <c r="R57" i="1"/>
  <c r="Q57" i="1"/>
  <c r="P57" i="1"/>
  <c r="O57" i="1"/>
  <c r="N57" i="1"/>
  <c r="N595" i="1" s="1"/>
  <c r="M57" i="1"/>
  <c r="L57" i="1"/>
  <c r="I57" i="1"/>
  <c r="I57" i="2" s="1"/>
  <c r="P56" i="1"/>
  <c r="O56" i="1"/>
  <c r="N56" i="1"/>
  <c r="M56" i="1"/>
  <c r="L56" i="1"/>
  <c r="Q56" i="1" s="1"/>
  <c r="R56" i="1" s="1"/>
  <c r="I56" i="1"/>
  <c r="J56" i="1" s="1"/>
  <c r="P55" i="1"/>
  <c r="L55" i="1"/>
  <c r="M55" i="1" s="1"/>
  <c r="I55" i="1"/>
  <c r="I55" i="2" s="1"/>
  <c r="P54" i="1"/>
  <c r="M54" i="1"/>
  <c r="L54" i="1"/>
  <c r="Q54" i="1" s="1"/>
  <c r="G54" i="1"/>
  <c r="I54" i="1" s="1"/>
  <c r="L53" i="1"/>
  <c r="J53" i="1"/>
  <c r="I53" i="1"/>
  <c r="I53" i="2" s="1"/>
  <c r="L52" i="1"/>
  <c r="J52" i="1"/>
  <c r="I52" i="1"/>
  <c r="I52" i="2" s="1"/>
  <c r="P51" i="1"/>
  <c r="L51" i="1"/>
  <c r="Q51" i="1" s="1"/>
  <c r="E51" i="1"/>
  <c r="P50" i="1"/>
  <c r="L50" i="1"/>
  <c r="Q50" i="1" s="1"/>
  <c r="P49" i="1"/>
  <c r="L49" i="1"/>
  <c r="Q49" i="1" s="1"/>
  <c r="P48" i="1"/>
  <c r="L48" i="1"/>
  <c r="Q48" i="1" s="1"/>
  <c r="G48" i="1"/>
  <c r="I48" i="1" s="1"/>
  <c r="P47" i="1"/>
  <c r="M47" i="1"/>
  <c r="L47" i="1"/>
  <c r="Q47" i="1" s="1"/>
  <c r="G47" i="1"/>
  <c r="I47" i="1" s="1"/>
  <c r="Q46" i="1"/>
  <c r="P46" i="1"/>
  <c r="N46" i="1"/>
  <c r="O46" i="1" s="1"/>
  <c r="L46" i="1"/>
  <c r="M46" i="1" s="1"/>
  <c r="G46" i="1"/>
  <c r="I46" i="1" s="1"/>
  <c r="Q45" i="1"/>
  <c r="P45" i="1"/>
  <c r="L45" i="1"/>
  <c r="M45" i="1" s="1"/>
  <c r="G45" i="1"/>
  <c r="N45" i="1" s="1"/>
  <c r="P44" i="1"/>
  <c r="P43" i="1" s="1"/>
  <c r="O44" i="1"/>
  <c r="N44" i="1"/>
  <c r="M44" i="1"/>
  <c r="L44" i="1"/>
  <c r="Q44" i="1" s="1"/>
  <c r="I44" i="1"/>
  <c r="I44" i="2" s="1"/>
  <c r="G44" i="1"/>
  <c r="L43" i="1"/>
  <c r="J43" i="1"/>
  <c r="I43" i="1"/>
  <c r="I43" i="2" s="1"/>
  <c r="Q42" i="1"/>
  <c r="P42" i="1"/>
  <c r="L42" i="1"/>
  <c r="F42" i="1"/>
  <c r="G42" i="1" s="1"/>
  <c r="P41" i="1"/>
  <c r="L41" i="1"/>
  <c r="Q41" i="1" s="1"/>
  <c r="P40" i="1"/>
  <c r="L40" i="1"/>
  <c r="Q40" i="1" s="1"/>
  <c r="Q39" i="1"/>
  <c r="P39" i="1"/>
  <c r="L39" i="1"/>
  <c r="Q38" i="1"/>
  <c r="P38" i="1"/>
  <c r="L38" i="1"/>
  <c r="Q37" i="1"/>
  <c r="P37" i="1"/>
  <c r="L37" i="1"/>
  <c r="N37" i="1" s="1"/>
  <c r="O37" i="1" s="1"/>
  <c r="I37" i="1"/>
  <c r="I37" i="2" s="1"/>
  <c r="P36" i="1"/>
  <c r="P35" i="1" s="1"/>
  <c r="L36" i="1"/>
  <c r="Q36" i="1" s="1"/>
  <c r="L35" i="1"/>
  <c r="J35" i="1"/>
  <c r="I35" i="1"/>
  <c r="I35" i="2" s="1"/>
  <c r="Q34" i="1"/>
  <c r="R34" i="1" s="1"/>
  <c r="P34" i="1"/>
  <c r="L34" i="1"/>
  <c r="M34" i="1" s="1"/>
  <c r="I34" i="1"/>
  <c r="I34" i="2" s="1"/>
  <c r="G34" i="1"/>
  <c r="N34" i="1" s="1"/>
  <c r="O34" i="1" s="1"/>
  <c r="P33" i="1"/>
  <c r="L33" i="1"/>
  <c r="Q33" i="1" s="1"/>
  <c r="Q32" i="1"/>
  <c r="P32" i="1"/>
  <c r="L32" i="1"/>
  <c r="R31" i="1"/>
  <c r="Q31" i="1"/>
  <c r="P31" i="1"/>
  <c r="O31" i="1"/>
  <c r="N31" i="1"/>
  <c r="M31" i="1"/>
  <c r="L31" i="1"/>
  <c r="I31" i="1"/>
  <c r="I31" i="2" s="1"/>
  <c r="P30" i="1"/>
  <c r="L30" i="1"/>
  <c r="Q29" i="1"/>
  <c r="Q28" i="1" s="1"/>
  <c r="P29" i="1"/>
  <c r="L29" i="1"/>
  <c r="M29" i="1" s="1"/>
  <c r="M28" i="1" s="1"/>
  <c r="I29" i="1"/>
  <c r="I29" i="2" s="1"/>
  <c r="I29" i="5" s="1"/>
  <c r="G29" i="1"/>
  <c r="N29" i="1" s="1"/>
  <c r="P28" i="1"/>
  <c r="P11" i="1"/>
  <c r="T8" i="1"/>
  <c r="M20" i="25" l="1"/>
  <c r="Q30" i="1"/>
  <c r="R83" i="1"/>
  <c r="R98" i="1"/>
  <c r="R247" i="1"/>
  <c r="R272" i="1"/>
  <c r="R277" i="1"/>
  <c r="R321" i="1"/>
  <c r="R351" i="1"/>
  <c r="R379" i="1"/>
  <c r="R409" i="1"/>
  <c r="N28" i="1"/>
  <c r="O29" i="1"/>
  <c r="I46" i="2"/>
  <c r="J46" i="1"/>
  <c r="R110" i="1"/>
  <c r="R130" i="1"/>
  <c r="J141" i="1"/>
  <c r="Q141" i="1"/>
  <c r="E143" i="1"/>
  <c r="P141" i="1"/>
  <c r="I205" i="5"/>
  <c r="J205" i="2"/>
  <c r="R264" i="1"/>
  <c r="R305" i="1"/>
  <c r="P481" i="1"/>
  <c r="J89" i="2"/>
  <c r="I54" i="2"/>
  <c r="J54" i="1"/>
  <c r="R280" i="1"/>
  <c r="R313" i="1"/>
  <c r="I93" i="5"/>
  <c r="J93" i="2"/>
  <c r="P94" i="1"/>
  <c r="Q175" i="1"/>
  <c r="N215" i="1"/>
  <c r="O216" i="1"/>
  <c r="O215" i="1" s="1"/>
  <c r="P221" i="1"/>
  <c r="J221" i="1"/>
  <c r="Q221" i="1"/>
  <c r="R221" i="1" s="1"/>
  <c r="R300" i="1"/>
  <c r="R425" i="1"/>
  <c r="I97" i="5"/>
  <c r="J97" i="2"/>
  <c r="I193" i="5"/>
  <c r="J193" i="2"/>
  <c r="Q205" i="1"/>
  <c r="O241" i="1"/>
  <c r="Q35" i="1"/>
  <c r="Q27" i="1" s="1"/>
  <c r="Q43" i="1"/>
  <c r="R44" i="1"/>
  <c r="P27" i="1"/>
  <c r="R46" i="1"/>
  <c r="R134" i="1"/>
  <c r="R152" i="1"/>
  <c r="P155" i="1"/>
  <c r="R114" i="1"/>
  <c r="R123" i="1"/>
  <c r="M222" i="1"/>
  <c r="R260" i="1"/>
  <c r="R265" i="1"/>
  <c r="I47" i="2"/>
  <c r="J47" i="1"/>
  <c r="I42" i="1"/>
  <c r="N42" i="1"/>
  <c r="O42" i="1" s="1"/>
  <c r="R42" i="1" s="1"/>
  <c r="J85" i="2"/>
  <c r="M140" i="1"/>
  <c r="R284" i="1"/>
  <c r="R37" i="2"/>
  <c r="J64" i="2"/>
  <c r="R181" i="1"/>
  <c r="I224" i="5"/>
  <c r="J224" i="2"/>
  <c r="R288" i="1"/>
  <c r="R304" i="1"/>
  <c r="P507" i="1"/>
  <c r="I34" i="5"/>
  <c r="J34" i="2"/>
  <c r="O45" i="1"/>
  <c r="O171" i="1"/>
  <c r="N170" i="1"/>
  <c r="P328" i="1"/>
  <c r="R355" i="1"/>
  <c r="R37" i="1"/>
  <c r="I48" i="2"/>
  <c r="J48" i="1"/>
  <c r="O121" i="2"/>
  <c r="I161" i="5"/>
  <c r="J161" i="2"/>
  <c r="N594" i="1"/>
  <c r="I272" i="5"/>
  <c r="J272" i="2"/>
  <c r="I285" i="2"/>
  <c r="J285" i="1"/>
  <c r="I334" i="5"/>
  <c r="J334" i="2"/>
  <c r="I374" i="5"/>
  <c r="J374" i="2"/>
  <c r="I398" i="2"/>
  <c r="J398" i="1"/>
  <c r="I414" i="2"/>
  <c r="J414" i="1"/>
  <c r="N428" i="1"/>
  <c r="O428" i="1" s="1"/>
  <c r="Q428" i="1"/>
  <c r="R428" i="1" s="1"/>
  <c r="I514" i="2"/>
  <c r="J514" i="1"/>
  <c r="J34" i="1"/>
  <c r="J71" i="2"/>
  <c r="M154" i="1"/>
  <c r="M148" i="1" s="1"/>
  <c r="I169" i="5"/>
  <c r="J169" i="2"/>
  <c r="I185" i="5"/>
  <c r="J185" i="2"/>
  <c r="M190" i="1"/>
  <c r="M179" i="1" s="1"/>
  <c r="M194" i="1"/>
  <c r="I235" i="5"/>
  <c r="J235" i="2"/>
  <c r="M256" i="1"/>
  <c r="I275" i="5"/>
  <c r="J275" i="2"/>
  <c r="I291" i="5"/>
  <c r="J291" i="2"/>
  <c r="M361" i="1"/>
  <c r="I384" i="5"/>
  <c r="J384" i="2"/>
  <c r="J407" i="1"/>
  <c r="I407" i="2"/>
  <c r="M428" i="1"/>
  <c r="I522" i="2"/>
  <c r="J522" i="1"/>
  <c r="I542" i="2"/>
  <c r="J542" i="1"/>
  <c r="O48" i="2"/>
  <c r="R48" i="2" s="1"/>
  <c r="R102" i="2"/>
  <c r="O195" i="2"/>
  <c r="J87" i="2"/>
  <c r="M88" i="1"/>
  <c r="I91" i="5"/>
  <c r="J91" i="2"/>
  <c r="M92" i="1"/>
  <c r="I95" i="5"/>
  <c r="J95" i="2"/>
  <c r="M96" i="1"/>
  <c r="I99" i="5"/>
  <c r="J99" i="2"/>
  <c r="M100" i="1"/>
  <c r="I103" i="5"/>
  <c r="J103" i="2"/>
  <c r="M104" i="1"/>
  <c r="I107" i="5"/>
  <c r="J107" i="2"/>
  <c r="M108" i="1"/>
  <c r="M112" i="1"/>
  <c r="I115" i="5"/>
  <c r="J115" i="2"/>
  <c r="M116" i="1"/>
  <c r="I119" i="5"/>
  <c r="J119" i="2"/>
  <c r="I123" i="5"/>
  <c r="J123" i="2"/>
  <c r="M124" i="1"/>
  <c r="I127" i="5"/>
  <c r="J127" i="2"/>
  <c r="M128" i="1"/>
  <c r="I131" i="5"/>
  <c r="J131" i="2"/>
  <c r="M132" i="1"/>
  <c r="I135" i="5"/>
  <c r="J135" i="2"/>
  <c r="M136" i="1"/>
  <c r="I139" i="5"/>
  <c r="J139" i="2"/>
  <c r="O141" i="1"/>
  <c r="Q142" i="1"/>
  <c r="R142" i="1" s="1"/>
  <c r="I144" i="5"/>
  <c r="J144" i="2"/>
  <c r="M145" i="1"/>
  <c r="I148" i="5"/>
  <c r="J148" i="2"/>
  <c r="N150" i="1"/>
  <c r="O150" i="1" s="1"/>
  <c r="O150" i="2" s="1"/>
  <c r="Q151" i="1"/>
  <c r="R151" i="1" s="1"/>
  <c r="J153" i="1"/>
  <c r="N154" i="1"/>
  <c r="O154" i="1" s="1"/>
  <c r="R154" i="1" s="1"/>
  <c r="J157" i="1"/>
  <c r="N158" i="1"/>
  <c r="O158" i="1" s="1"/>
  <c r="O158" i="2" s="1"/>
  <c r="Q159" i="1"/>
  <c r="R159" i="1" s="1"/>
  <c r="J161" i="1"/>
  <c r="N162" i="1"/>
  <c r="O162" i="1" s="1"/>
  <c r="Q163" i="1"/>
  <c r="R163" i="1" s="1"/>
  <c r="J165" i="1"/>
  <c r="N166" i="1"/>
  <c r="Q167" i="1"/>
  <c r="R167" i="1" s="1"/>
  <c r="J169" i="1"/>
  <c r="Q171" i="1"/>
  <c r="J173" i="1"/>
  <c r="N174" i="1"/>
  <c r="O174" i="1" s="1"/>
  <c r="R174" i="1" s="1"/>
  <c r="J177" i="1"/>
  <c r="J181" i="1"/>
  <c r="N182" i="1"/>
  <c r="O182" i="1" s="1"/>
  <c r="Q183" i="1"/>
  <c r="R183" i="1" s="1"/>
  <c r="J185" i="1"/>
  <c r="N186" i="1"/>
  <c r="O186" i="1" s="1"/>
  <c r="O186" i="2" s="1"/>
  <c r="Q187" i="1"/>
  <c r="R187" i="1" s="1"/>
  <c r="J189" i="1"/>
  <c r="N190" i="1"/>
  <c r="O190" i="1" s="1"/>
  <c r="R190" i="1" s="1"/>
  <c r="Q191" i="1"/>
  <c r="R191" i="1" s="1"/>
  <c r="J193" i="1"/>
  <c r="N194" i="1"/>
  <c r="O194" i="1" s="1"/>
  <c r="R194" i="1" s="1"/>
  <c r="Q195" i="1"/>
  <c r="R195" i="1" s="1"/>
  <c r="J197" i="1"/>
  <c r="N198" i="1"/>
  <c r="O198" i="1" s="1"/>
  <c r="Q199" i="1"/>
  <c r="R199" i="1" s="1"/>
  <c r="J201" i="1"/>
  <c r="N202" i="1"/>
  <c r="O202" i="1" s="1"/>
  <c r="R202" i="1" s="1"/>
  <c r="Q203" i="1"/>
  <c r="R203" i="1" s="1"/>
  <c r="J205" i="1"/>
  <c r="N206" i="1"/>
  <c r="Q207" i="1"/>
  <c r="R207" i="1" s="1"/>
  <c r="J209" i="1"/>
  <c r="N210" i="1"/>
  <c r="O210" i="1" s="1"/>
  <c r="Q211" i="1"/>
  <c r="R211" i="1" s="1"/>
  <c r="J213" i="1"/>
  <c r="N214" i="1"/>
  <c r="O214" i="1" s="1"/>
  <c r="R214" i="1" s="1"/>
  <c r="M219" i="1"/>
  <c r="J223" i="1"/>
  <c r="N224" i="1"/>
  <c r="O224" i="1" s="1"/>
  <c r="O224" i="2" s="1"/>
  <c r="R224" i="2" s="1"/>
  <c r="J227" i="1"/>
  <c r="N228" i="1"/>
  <c r="O228" i="1" s="1"/>
  <c r="R228" i="1" s="1"/>
  <c r="Q229" i="1"/>
  <c r="R229" i="1" s="1"/>
  <c r="J231" i="1"/>
  <c r="N232" i="1"/>
  <c r="O232" i="1" s="1"/>
  <c r="Q233" i="1"/>
  <c r="R233" i="1" s="1"/>
  <c r="J235" i="1"/>
  <c r="N236" i="1"/>
  <c r="O236" i="1" s="1"/>
  <c r="Q237" i="1"/>
  <c r="R237" i="1" s="1"/>
  <c r="J239" i="1"/>
  <c r="Q241" i="1"/>
  <c r="J243" i="1"/>
  <c r="N244" i="1"/>
  <c r="O244" i="1" s="1"/>
  <c r="R244" i="1" s="1"/>
  <c r="Q245" i="1"/>
  <c r="R245" i="1" s="1"/>
  <c r="J247" i="1"/>
  <c r="N248" i="1"/>
  <c r="O248" i="1" s="1"/>
  <c r="Q249" i="1"/>
  <c r="R249" i="1" s="1"/>
  <c r="J251" i="1"/>
  <c r="N252" i="1"/>
  <c r="O252" i="1" s="1"/>
  <c r="Q253" i="1"/>
  <c r="R253" i="1" s="1"/>
  <c r="J255" i="1"/>
  <c r="N256" i="1"/>
  <c r="Q257" i="1"/>
  <c r="R257" i="1" s="1"/>
  <c r="J259" i="1"/>
  <c r="I262" i="5"/>
  <c r="J262" i="2"/>
  <c r="N263" i="1"/>
  <c r="O263" i="1" s="1"/>
  <c r="R263" i="1" s="1"/>
  <c r="M266" i="1"/>
  <c r="M269" i="1"/>
  <c r="Q270" i="1"/>
  <c r="R270" i="1" s="1"/>
  <c r="J275" i="1"/>
  <c r="I278" i="5"/>
  <c r="J278" i="2"/>
  <c r="N279" i="1"/>
  <c r="O279" i="1" s="1"/>
  <c r="R279" i="1" s="1"/>
  <c r="M282" i="1"/>
  <c r="M285" i="1"/>
  <c r="Q286" i="1"/>
  <c r="R286" i="1" s="1"/>
  <c r="J291" i="1"/>
  <c r="O292" i="1"/>
  <c r="I294" i="5"/>
  <c r="J294" i="2"/>
  <c r="N295" i="1"/>
  <c r="O295" i="1" s="1"/>
  <c r="R295" i="1" s="1"/>
  <c r="M298" i="1"/>
  <c r="M296" i="1" s="1"/>
  <c r="M301" i="1"/>
  <c r="Q302" i="1"/>
  <c r="R302" i="1" s="1"/>
  <c r="J307" i="1"/>
  <c r="O308" i="1"/>
  <c r="O307" i="1" s="1"/>
  <c r="I310" i="5"/>
  <c r="J310" i="2"/>
  <c r="N311" i="1"/>
  <c r="O311" i="1" s="1"/>
  <c r="R311" i="1" s="1"/>
  <c r="M314" i="1"/>
  <c r="Q318" i="1"/>
  <c r="J331" i="1"/>
  <c r="I331" i="2"/>
  <c r="J339" i="1"/>
  <c r="I339" i="2"/>
  <c r="N345" i="1"/>
  <c r="O345" i="1" s="1"/>
  <c r="R345" i="1" s="1"/>
  <c r="J347" i="1"/>
  <c r="I347" i="2"/>
  <c r="N353" i="1"/>
  <c r="O353" i="1" s="1"/>
  <c r="O353" i="2" s="1"/>
  <c r="J355" i="1"/>
  <c r="I355" i="2"/>
  <c r="N361" i="1"/>
  <c r="O361" i="1" s="1"/>
  <c r="R361" i="1" s="1"/>
  <c r="J363" i="1"/>
  <c r="I363" i="2"/>
  <c r="N369" i="1"/>
  <c r="O369" i="1" s="1"/>
  <c r="R369" i="1" s="1"/>
  <c r="J371" i="1"/>
  <c r="I371" i="2"/>
  <c r="N377" i="1"/>
  <c r="O377" i="1" s="1"/>
  <c r="R377" i="1" s="1"/>
  <c r="J379" i="1"/>
  <c r="I379" i="2"/>
  <c r="M382" i="1"/>
  <c r="J384" i="1"/>
  <c r="N389" i="1"/>
  <c r="O389" i="1" s="1"/>
  <c r="R389" i="1" s="1"/>
  <c r="Q391" i="1"/>
  <c r="N391" i="1"/>
  <c r="O391" i="1" s="1"/>
  <c r="I393" i="2"/>
  <c r="J393" i="1"/>
  <c r="Q394" i="1"/>
  <c r="R394" i="1" s="1"/>
  <c r="M398" i="1"/>
  <c r="M395" i="1" s="1"/>
  <c r="J400" i="1"/>
  <c r="N405" i="1"/>
  <c r="O405" i="1" s="1"/>
  <c r="R405" i="1" s="1"/>
  <c r="Q407" i="1"/>
  <c r="N407" i="1"/>
  <c r="I409" i="2"/>
  <c r="J409" i="1"/>
  <c r="Q410" i="1"/>
  <c r="R410" i="1" s="1"/>
  <c r="M414" i="1"/>
  <c r="J416" i="1"/>
  <c r="N421" i="1"/>
  <c r="O421" i="1" s="1"/>
  <c r="R421" i="1" s="1"/>
  <c r="Q423" i="1"/>
  <c r="N423" i="1"/>
  <c r="O423" i="1" s="1"/>
  <c r="I425" i="2"/>
  <c r="J425" i="1"/>
  <c r="Q426" i="1"/>
  <c r="R426" i="1" s="1"/>
  <c r="N432" i="1"/>
  <c r="O432" i="1" s="1"/>
  <c r="O432" i="2" s="1"/>
  <c r="Q432" i="1"/>
  <c r="Q450" i="1"/>
  <c r="R450" i="1" s="1"/>
  <c r="N450" i="1"/>
  <c r="O450" i="1" s="1"/>
  <c r="N452" i="1"/>
  <c r="O452" i="1" s="1"/>
  <c r="Q452" i="1"/>
  <c r="Q454" i="1"/>
  <c r="N454" i="1"/>
  <c r="O454" i="1" s="1"/>
  <c r="N456" i="1"/>
  <c r="O456" i="1" s="1"/>
  <c r="M456" i="1"/>
  <c r="Q456" i="1"/>
  <c r="N474" i="1"/>
  <c r="J477" i="1"/>
  <c r="I482" i="2"/>
  <c r="J482" i="1"/>
  <c r="I494" i="2"/>
  <c r="J494" i="1"/>
  <c r="I499" i="2"/>
  <c r="J499" i="1"/>
  <c r="I504" i="2"/>
  <c r="J504" i="1"/>
  <c r="I517" i="2"/>
  <c r="J517" i="1"/>
  <c r="I532" i="2"/>
  <c r="J532" i="1"/>
  <c r="N554" i="1"/>
  <c r="O555" i="1"/>
  <c r="Q575" i="1"/>
  <c r="N575" i="1"/>
  <c r="O575" i="1" s="1"/>
  <c r="O575" i="2" s="1"/>
  <c r="M575" i="1"/>
  <c r="R586" i="1"/>
  <c r="J29" i="2"/>
  <c r="O57" i="2"/>
  <c r="O66" i="2"/>
  <c r="O66" i="5" s="1"/>
  <c r="O66" i="7" s="1"/>
  <c r="O66" i="9" s="1"/>
  <c r="J83" i="2"/>
  <c r="O118" i="2"/>
  <c r="P120" i="2"/>
  <c r="O125" i="2"/>
  <c r="R125" i="2" s="1"/>
  <c r="Q132" i="2"/>
  <c r="N132" i="2"/>
  <c r="M132" i="2"/>
  <c r="O147" i="2"/>
  <c r="N154" i="2"/>
  <c r="O154" i="2" s="1"/>
  <c r="Q154" i="2"/>
  <c r="M154" i="2"/>
  <c r="N159" i="2"/>
  <c r="Q159" i="2"/>
  <c r="M159" i="2"/>
  <c r="I288" i="5"/>
  <c r="J288" i="2"/>
  <c r="I301" i="2"/>
  <c r="J301" i="1"/>
  <c r="I358" i="5"/>
  <c r="J358" i="2"/>
  <c r="I382" i="2"/>
  <c r="J382" i="1"/>
  <c r="N396" i="1"/>
  <c r="Q396" i="1"/>
  <c r="N412" i="1"/>
  <c r="O412" i="1" s="1"/>
  <c r="Q412" i="1"/>
  <c r="R412" i="1" s="1"/>
  <c r="N464" i="1"/>
  <c r="O464" i="1" s="1"/>
  <c r="M464" i="1"/>
  <c r="Q464" i="1"/>
  <c r="I484" i="2"/>
  <c r="J484" i="1"/>
  <c r="I323" i="5"/>
  <c r="J323" i="2"/>
  <c r="J75" i="2"/>
  <c r="O113" i="1"/>
  <c r="I153" i="5"/>
  <c r="J153" i="2"/>
  <c r="I189" i="5"/>
  <c r="J189" i="2"/>
  <c r="I201" i="5"/>
  <c r="J201" i="2"/>
  <c r="M202" i="1"/>
  <c r="M206" i="1"/>
  <c r="M214" i="1"/>
  <c r="I223" i="5"/>
  <c r="J223" i="2"/>
  <c r="M244" i="1"/>
  <c r="M48" i="1"/>
  <c r="N55" i="1"/>
  <c r="O55" i="1" s="1"/>
  <c r="M59" i="1"/>
  <c r="I62" i="5"/>
  <c r="J62" i="2"/>
  <c r="I66" i="5"/>
  <c r="J66" i="2"/>
  <c r="M67" i="1"/>
  <c r="O68" i="1"/>
  <c r="O68" i="2" s="1"/>
  <c r="J71" i="1"/>
  <c r="N72" i="1"/>
  <c r="O72" i="1" s="1"/>
  <c r="J75" i="1"/>
  <c r="N76" i="1"/>
  <c r="O76" i="1" s="1"/>
  <c r="J79" i="1"/>
  <c r="N80" i="1"/>
  <c r="M84" i="1"/>
  <c r="M42" i="1"/>
  <c r="N48" i="1"/>
  <c r="O48" i="1" s="1"/>
  <c r="R48" i="1" s="1"/>
  <c r="I53" i="5"/>
  <c r="J53" i="2"/>
  <c r="J58" i="1"/>
  <c r="N59" i="1"/>
  <c r="O59" i="1" s="1"/>
  <c r="R59" i="1" s="1"/>
  <c r="Q60" i="1"/>
  <c r="R60" i="1" s="1"/>
  <c r="J62" i="1"/>
  <c r="Q64" i="1"/>
  <c r="J66" i="1"/>
  <c r="N67" i="1"/>
  <c r="O67" i="1" s="1"/>
  <c r="R67" i="1" s="1"/>
  <c r="J83" i="1"/>
  <c r="N84" i="1"/>
  <c r="O84" i="1" s="1"/>
  <c r="R84" i="1" s="1"/>
  <c r="Q85" i="1"/>
  <c r="R85" i="1" s="1"/>
  <c r="J87" i="1"/>
  <c r="N88" i="1"/>
  <c r="O88" i="1" s="1"/>
  <c r="R88" i="1" s="1"/>
  <c r="Q89" i="1"/>
  <c r="R89" i="1" s="1"/>
  <c r="J91" i="1"/>
  <c r="N92" i="1"/>
  <c r="O92" i="1" s="1"/>
  <c r="R92" i="1" s="1"/>
  <c r="Q93" i="1"/>
  <c r="R93" i="1" s="1"/>
  <c r="J95" i="1"/>
  <c r="N96" i="1"/>
  <c r="Q97" i="1"/>
  <c r="R97" i="1" s="1"/>
  <c r="J99" i="1"/>
  <c r="N100" i="1"/>
  <c r="O100" i="1" s="1"/>
  <c r="R100" i="1" s="1"/>
  <c r="Q101" i="1"/>
  <c r="R101" i="1" s="1"/>
  <c r="N104" i="1"/>
  <c r="O104" i="1" s="1"/>
  <c r="R104" i="1" s="1"/>
  <c r="Q105" i="1"/>
  <c r="R105" i="1" s="1"/>
  <c r="N108" i="1"/>
  <c r="Q109" i="1"/>
  <c r="R109" i="1" s="1"/>
  <c r="N112" i="1"/>
  <c r="O112" i="1" s="1"/>
  <c r="R112" i="1" s="1"/>
  <c r="Q113" i="1"/>
  <c r="N116" i="1"/>
  <c r="O116" i="1" s="1"/>
  <c r="R116" i="1" s="1"/>
  <c r="Q117" i="1"/>
  <c r="R117" i="1" s="1"/>
  <c r="Q121" i="1"/>
  <c r="N124" i="1"/>
  <c r="O124" i="1" s="1"/>
  <c r="R124" i="1" s="1"/>
  <c r="Q125" i="1"/>
  <c r="R125" i="1" s="1"/>
  <c r="N128" i="1"/>
  <c r="O128" i="1" s="1"/>
  <c r="R128" i="1" s="1"/>
  <c r="Q129" i="1"/>
  <c r="R129" i="1" s="1"/>
  <c r="N132" i="1"/>
  <c r="Q133" i="1"/>
  <c r="R133" i="1" s="1"/>
  <c r="N136" i="1"/>
  <c r="O136" i="1" s="1"/>
  <c r="R136" i="1" s="1"/>
  <c r="Q137" i="1"/>
  <c r="R137" i="1" s="1"/>
  <c r="N145" i="1"/>
  <c r="O145" i="1" s="1"/>
  <c r="R145" i="1" s="1"/>
  <c r="Q146" i="1"/>
  <c r="R146" i="1" s="1"/>
  <c r="I217" i="7"/>
  <c r="J217" i="5"/>
  <c r="I265" i="2"/>
  <c r="J265" i="1"/>
  <c r="I268" i="5"/>
  <c r="J268" i="2"/>
  <c r="N269" i="1"/>
  <c r="O269" i="1" s="1"/>
  <c r="R269" i="1" s="1"/>
  <c r="I281" i="2"/>
  <c r="J281" i="1"/>
  <c r="I284" i="5"/>
  <c r="J284" i="2"/>
  <c r="N285" i="1"/>
  <c r="O285" i="1" s="1"/>
  <c r="R285" i="1" s="1"/>
  <c r="I297" i="2"/>
  <c r="J297" i="1"/>
  <c r="I300" i="5"/>
  <c r="J300" i="2"/>
  <c r="N301" i="1"/>
  <c r="O301" i="1" s="1"/>
  <c r="R301" i="1" s="1"/>
  <c r="I313" i="2"/>
  <c r="J313" i="1"/>
  <c r="I316" i="5"/>
  <c r="J316" i="2"/>
  <c r="I328" i="5"/>
  <c r="J328" i="2"/>
  <c r="I336" i="5"/>
  <c r="J336" i="2"/>
  <c r="I344" i="5"/>
  <c r="J344" i="2"/>
  <c r="I352" i="5"/>
  <c r="J352" i="2"/>
  <c r="I360" i="5"/>
  <c r="J360" i="2"/>
  <c r="I368" i="5"/>
  <c r="J368" i="2"/>
  <c r="M374" i="1"/>
  <c r="I376" i="5"/>
  <c r="J376" i="2"/>
  <c r="Q380" i="1"/>
  <c r="R380" i="1" s="1"/>
  <c r="N384" i="1"/>
  <c r="O384" i="1" s="1"/>
  <c r="Q384" i="1"/>
  <c r="I386" i="2"/>
  <c r="J386" i="1"/>
  <c r="M391" i="1"/>
  <c r="N400" i="1"/>
  <c r="O400" i="1" s="1"/>
  <c r="Q400" i="1"/>
  <c r="R400" i="1" s="1"/>
  <c r="I402" i="2"/>
  <c r="J402" i="1"/>
  <c r="M407" i="1"/>
  <c r="N416" i="1"/>
  <c r="O416" i="1" s="1"/>
  <c r="Q416" i="1"/>
  <c r="R416" i="1" s="1"/>
  <c r="I418" i="2"/>
  <c r="J418" i="1"/>
  <c r="M423" i="1"/>
  <c r="M432" i="1"/>
  <c r="M434" i="1"/>
  <c r="N436" i="1"/>
  <c r="O436" i="1" s="1"/>
  <c r="Q436" i="1"/>
  <c r="R436" i="1" s="1"/>
  <c r="Q446" i="1"/>
  <c r="R446" i="1" s="1"/>
  <c r="N446" i="1"/>
  <c r="O446" i="1" s="1"/>
  <c r="N448" i="1"/>
  <c r="O448" i="1" s="1"/>
  <c r="O448" i="2" s="1"/>
  <c r="O448" i="5" s="1"/>
  <c r="Q448" i="1"/>
  <c r="M450" i="1"/>
  <c r="M452" i="1"/>
  <c r="M454" i="1"/>
  <c r="I470" i="2"/>
  <c r="J470" i="1"/>
  <c r="I487" i="2"/>
  <c r="J487" i="1"/>
  <c r="R491" i="1"/>
  <c r="R494" i="1"/>
  <c r="R501" i="1"/>
  <c r="I512" i="2"/>
  <c r="J512" i="1"/>
  <c r="R529" i="1"/>
  <c r="R539" i="1"/>
  <c r="I550" i="2"/>
  <c r="J550" i="1"/>
  <c r="I558" i="2"/>
  <c r="J558" i="1"/>
  <c r="Q579" i="1"/>
  <c r="N579" i="1"/>
  <c r="M579" i="1"/>
  <c r="Q53" i="2"/>
  <c r="Q52" i="2" s="1"/>
  <c r="O72" i="2"/>
  <c r="R72" i="2" s="1"/>
  <c r="J81" i="2"/>
  <c r="O83" i="2"/>
  <c r="J101" i="2"/>
  <c r="Q165" i="2"/>
  <c r="J229" i="2"/>
  <c r="O262" i="2"/>
  <c r="I149" i="16"/>
  <c r="J149" i="15"/>
  <c r="I342" i="5"/>
  <c r="J342" i="2"/>
  <c r="I496" i="2"/>
  <c r="J496" i="1"/>
  <c r="I367" i="5"/>
  <c r="J367" i="2"/>
  <c r="I79" i="5"/>
  <c r="J79" i="2"/>
  <c r="I209" i="5"/>
  <c r="J209" i="2"/>
  <c r="M228" i="1"/>
  <c r="M226" i="1" s="1"/>
  <c r="I251" i="5"/>
  <c r="J251" i="2"/>
  <c r="M279" i="1"/>
  <c r="J304" i="1"/>
  <c r="M369" i="1"/>
  <c r="I400" i="5"/>
  <c r="J400" i="2"/>
  <c r="I472" i="2"/>
  <c r="J472" i="1"/>
  <c r="I31" i="5"/>
  <c r="J31" i="2"/>
  <c r="J70" i="2"/>
  <c r="J78" i="2"/>
  <c r="I160" i="5"/>
  <c r="J160" i="2"/>
  <c r="I180" i="5"/>
  <c r="J180" i="2"/>
  <c r="I184" i="5"/>
  <c r="J184" i="2"/>
  <c r="I192" i="5"/>
  <c r="J192" i="2"/>
  <c r="I196" i="5"/>
  <c r="J196" i="2"/>
  <c r="I200" i="5"/>
  <c r="J200" i="2"/>
  <c r="I204" i="5"/>
  <c r="J204" i="2"/>
  <c r="I208" i="5"/>
  <c r="J208" i="2"/>
  <c r="I212" i="5"/>
  <c r="J212" i="2"/>
  <c r="I222" i="5"/>
  <c r="J222" i="2"/>
  <c r="I226" i="5"/>
  <c r="J226" i="2"/>
  <c r="I230" i="5"/>
  <c r="J230" i="2"/>
  <c r="I234" i="5"/>
  <c r="J234" i="2"/>
  <c r="I238" i="5"/>
  <c r="J238" i="2"/>
  <c r="M239" i="1"/>
  <c r="I242" i="5"/>
  <c r="J242" i="2"/>
  <c r="M243" i="1"/>
  <c r="I246" i="5"/>
  <c r="J246" i="2"/>
  <c r="M247" i="1"/>
  <c r="I250" i="5"/>
  <c r="J250" i="2"/>
  <c r="M251" i="1"/>
  <c r="I254" i="5"/>
  <c r="J254" i="2"/>
  <c r="I258" i="5"/>
  <c r="J258" i="2"/>
  <c r="M259" i="1"/>
  <c r="J268" i="1"/>
  <c r="I271" i="5"/>
  <c r="J271" i="2"/>
  <c r="M275" i="1"/>
  <c r="J284" i="1"/>
  <c r="I287" i="5"/>
  <c r="J287" i="2"/>
  <c r="J300" i="1"/>
  <c r="I303" i="5"/>
  <c r="J303" i="2"/>
  <c r="J316" i="1"/>
  <c r="I319" i="5"/>
  <c r="J319" i="2"/>
  <c r="M323" i="1"/>
  <c r="J328" i="1"/>
  <c r="M331" i="1"/>
  <c r="M329" i="1" s="1"/>
  <c r="J336" i="1"/>
  <c r="M339" i="1"/>
  <c r="I388" i="5"/>
  <c r="J388" i="2"/>
  <c r="I395" i="2"/>
  <c r="J395" i="1"/>
  <c r="I404" i="5"/>
  <c r="J404" i="2"/>
  <c r="I411" i="2"/>
  <c r="J411" i="1"/>
  <c r="I420" i="5"/>
  <c r="J420" i="2"/>
  <c r="J427" i="1"/>
  <c r="I427" i="2"/>
  <c r="Q430" i="1"/>
  <c r="R430" i="1" s="1"/>
  <c r="N440" i="1"/>
  <c r="O440" i="1" s="1"/>
  <c r="Q440" i="1"/>
  <c r="Q442" i="1"/>
  <c r="N442" i="1"/>
  <c r="O442" i="1" s="1"/>
  <c r="N444" i="1"/>
  <c r="O444" i="1" s="1"/>
  <c r="Q444" i="1"/>
  <c r="I465" i="2"/>
  <c r="J465" i="1"/>
  <c r="R467" i="1"/>
  <c r="I475" i="2"/>
  <c r="J475" i="1"/>
  <c r="R479" i="1"/>
  <c r="I485" i="5"/>
  <c r="J485" i="2"/>
  <c r="I492" i="2"/>
  <c r="J492" i="1"/>
  <c r="I497" i="2"/>
  <c r="J497" i="1"/>
  <c r="I502" i="2"/>
  <c r="J502" i="1"/>
  <c r="I507" i="2"/>
  <c r="J507" i="1"/>
  <c r="R519" i="1"/>
  <c r="I530" i="2"/>
  <c r="J530" i="1"/>
  <c r="I540" i="2"/>
  <c r="J540" i="1"/>
  <c r="Q583" i="1"/>
  <c r="R583" i="1" s="1"/>
  <c r="N583" i="1"/>
  <c r="O583" i="1" s="1"/>
  <c r="O583" i="2" s="1"/>
  <c r="M583" i="1"/>
  <c r="N43" i="2"/>
  <c r="O44" i="2"/>
  <c r="O55" i="2"/>
  <c r="R69" i="2"/>
  <c r="O75" i="2"/>
  <c r="R77" i="2"/>
  <c r="Q108" i="2"/>
  <c r="N108" i="2"/>
  <c r="M108" i="2"/>
  <c r="R150" i="2"/>
  <c r="O163" i="2"/>
  <c r="J217" i="2"/>
  <c r="Q516" i="2"/>
  <c r="R516" i="2" s="1"/>
  <c r="N516" i="2"/>
  <c r="O516" i="2" s="1"/>
  <c r="M516" i="2"/>
  <c r="I304" i="5"/>
  <c r="J304" i="2"/>
  <c r="I326" i="5"/>
  <c r="J326" i="2"/>
  <c r="I157" i="5"/>
  <c r="J157" i="2"/>
  <c r="M158" i="1"/>
  <c r="M156" i="1" s="1"/>
  <c r="M166" i="1"/>
  <c r="M165" i="1" s="1"/>
  <c r="M174" i="1"/>
  <c r="M170" i="1" s="1"/>
  <c r="I177" i="5"/>
  <c r="J177" i="2"/>
  <c r="I231" i="5"/>
  <c r="J231" i="2"/>
  <c r="N460" i="1"/>
  <c r="O460" i="1" s="1"/>
  <c r="M460" i="1"/>
  <c r="Q460" i="1"/>
  <c r="R460" i="1" s="1"/>
  <c r="J74" i="2"/>
  <c r="I156" i="5"/>
  <c r="J156" i="2"/>
  <c r="I168" i="5"/>
  <c r="J168" i="2"/>
  <c r="I172" i="5"/>
  <c r="J172" i="2"/>
  <c r="I176" i="5"/>
  <c r="J176" i="2"/>
  <c r="I188" i="5"/>
  <c r="J188" i="2"/>
  <c r="J31" i="1"/>
  <c r="I37" i="5"/>
  <c r="J37" i="2"/>
  <c r="I45" i="1"/>
  <c r="N47" i="1"/>
  <c r="O47" i="1" s="1"/>
  <c r="O47" i="2" s="1"/>
  <c r="N54" i="1"/>
  <c r="Q55" i="1"/>
  <c r="Q53" i="1" s="1"/>
  <c r="Q52" i="1" s="1"/>
  <c r="J57" i="1"/>
  <c r="M58" i="1"/>
  <c r="M53" i="1" s="1"/>
  <c r="M52" i="1" s="1"/>
  <c r="I65" i="5"/>
  <c r="J65" i="2"/>
  <c r="M66" i="1"/>
  <c r="J70" i="1"/>
  <c r="Q72" i="1"/>
  <c r="J74" i="1"/>
  <c r="Q76" i="1"/>
  <c r="R76" i="1" s="1"/>
  <c r="J78" i="1"/>
  <c r="Q80" i="1"/>
  <c r="J82" i="1"/>
  <c r="I94" i="5"/>
  <c r="J94" i="2"/>
  <c r="I98" i="5"/>
  <c r="J98" i="2"/>
  <c r="M99" i="1"/>
  <c r="I106" i="5"/>
  <c r="J106" i="2"/>
  <c r="I110" i="5"/>
  <c r="J110" i="2"/>
  <c r="M111" i="1"/>
  <c r="I114" i="5"/>
  <c r="J114" i="2"/>
  <c r="M115" i="1"/>
  <c r="I118" i="7"/>
  <c r="J118" i="5"/>
  <c r="M119" i="1"/>
  <c r="I122" i="5"/>
  <c r="J122" i="2"/>
  <c r="M123" i="1"/>
  <c r="I126" i="5"/>
  <c r="J126" i="2"/>
  <c r="M127" i="1"/>
  <c r="I130" i="5"/>
  <c r="J130" i="2"/>
  <c r="I134" i="5"/>
  <c r="J134" i="2"/>
  <c r="M135" i="1"/>
  <c r="I138" i="5"/>
  <c r="J138" i="2"/>
  <c r="M144" i="1"/>
  <c r="I147" i="5"/>
  <c r="J147" i="2"/>
  <c r="O149" i="1"/>
  <c r="Q150" i="1"/>
  <c r="R150" i="1" s="1"/>
  <c r="J152" i="1"/>
  <c r="N153" i="1"/>
  <c r="O153" i="1" s="1"/>
  <c r="O153" i="2" s="1"/>
  <c r="J156" i="1"/>
  <c r="N157" i="1"/>
  <c r="J160" i="1"/>
  <c r="N161" i="1"/>
  <c r="O161" i="1" s="1"/>
  <c r="R161" i="1" s="1"/>
  <c r="Q162" i="1"/>
  <c r="R162" i="1" s="1"/>
  <c r="J164" i="1"/>
  <c r="J168" i="1"/>
  <c r="N169" i="1"/>
  <c r="O169" i="1" s="1"/>
  <c r="O169" i="2" s="1"/>
  <c r="R169" i="2" s="1"/>
  <c r="J172" i="1"/>
  <c r="N173" i="1"/>
  <c r="O173" i="1" s="1"/>
  <c r="O173" i="2" s="1"/>
  <c r="J176" i="1"/>
  <c r="N177" i="1"/>
  <c r="O177" i="1" s="1"/>
  <c r="R177" i="1" s="1"/>
  <c r="J180" i="1"/>
  <c r="N181" i="1"/>
  <c r="O181" i="1" s="1"/>
  <c r="O181" i="2" s="1"/>
  <c r="R181" i="2" s="1"/>
  <c r="Q182" i="1"/>
  <c r="R182" i="1" s="1"/>
  <c r="J184" i="1"/>
  <c r="N185" i="1"/>
  <c r="O185" i="1" s="1"/>
  <c r="R185" i="1" s="1"/>
  <c r="Q186" i="1"/>
  <c r="J188" i="1"/>
  <c r="N189" i="1"/>
  <c r="O189" i="1" s="1"/>
  <c r="R189" i="1" s="1"/>
  <c r="J192" i="1"/>
  <c r="N193" i="1"/>
  <c r="O193" i="1" s="1"/>
  <c r="R193" i="1" s="1"/>
  <c r="J196" i="1"/>
  <c r="N197" i="1"/>
  <c r="O197" i="1" s="1"/>
  <c r="R197" i="1" s="1"/>
  <c r="Q198" i="1"/>
  <c r="R198" i="1" s="1"/>
  <c r="J200" i="1"/>
  <c r="N201" i="1"/>
  <c r="O201" i="1" s="1"/>
  <c r="R201" i="1" s="1"/>
  <c r="J204" i="1"/>
  <c r="J208" i="1"/>
  <c r="N209" i="1"/>
  <c r="O209" i="1" s="1"/>
  <c r="R209" i="1" s="1"/>
  <c r="Q210" i="1"/>
  <c r="R210" i="1" s="1"/>
  <c r="J212" i="1"/>
  <c r="N213" i="1"/>
  <c r="O213" i="1" s="1"/>
  <c r="J219" i="23"/>
  <c r="K219" i="23" s="1"/>
  <c r="K219" i="20"/>
  <c r="P219" i="1"/>
  <c r="J222" i="1"/>
  <c r="N223" i="1"/>
  <c r="Q224" i="1"/>
  <c r="J226" i="1"/>
  <c r="N227" i="1"/>
  <c r="J230" i="1"/>
  <c r="N231" i="1"/>
  <c r="O231" i="1" s="1"/>
  <c r="R231" i="1" s="1"/>
  <c r="Q232" i="1"/>
  <c r="R232" i="1" s="1"/>
  <c r="J234" i="1"/>
  <c r="N235" i="1"/>
  <c r="O235" i="1" s="1"/>
  <c r="R235" i="1" s="1"/>
  <c r="Q236" i="1"/>
  <c r="R236" i="1" s="1"/>
  <c r="J238" i="1"/>
  <c r="N239" i="1"/>
  <c r="O239" i="1" s="1"/>
  <c r="R239" i="1" s="1"/>
  <c r="J242" i="1"/>
  <c r="N243" i="1"/>
  <c r="O243" i="1" s="1"/>
  <c r="R243" i="1" s="1"/>
  <c r="J246" i="1"/>
  <c r="N247" i="1"/>
  <c r="O247" i="1" s="1"/>
  <c r="Q248" i="1"/>
  <c r="R248" i="1" s="1"/>
  <c r="J250" i="1"/>
  <c r="N251" i="1"/>
  <c r="O251" i="1" s="1"/>
  <c r="R251" i="1" s="1"/>
  <c r="Q252" i="1"/>
  <c r="R252" i="1" s="1"/>
  <c r="J254" i="1"/>
  <c r="J258" i="1"/>
  <c r="N259" i="1"/>
  <c r="O259" i="1" s="1"/>
  <c r="R259" i="1" s="1"/>
  <c r="M262" i="1"/>
  <c r="Q266" i="1"/>
  <c r="R266" i="1" s="1"/>
  <c r="J271" i="1"/>
  <c r="I274" i="5"/>
  <c r="J274" i="2"/>
  <c r="N275" i="1"/>
  <c r="O275" i="1" s="1"/>
  <c r="R275" i="1" s="1"/>
  <c r="M278" i="1"/>
  <c r="Q282" i="1"/>
  <c r="R282" i="1" s="1"/>
  <c r="J287" i="1"/>
  <c r="I290" i="5"/>
  <c r="J290" i="2"/>
  <c r="R292" i="1"/>
  <c r="M294" i="1"/>
  <c r="M291" i="1" s="1"/>
  <c r="Q298" i="1"/>
  <c r="J303" i="1"/>
  <c r="I306" i="5"/>
  <c r="J306" i="2"/>
  <c r="M310" i="1"/>
  <c r="Q314" i="1"/>
  <c r="R314" i="1" s="1"/>
  <c r="J319" i="1"/>
  <c r="I322" i="5"/>
  <c r="J322" i="2"/>
  <c r="N323" i="1"/>
  <c r="O323" i="1" s="1"/>
  <c r="R323" i="1" s="1"/>
  <c r="I325" i="2"/>
  <c r="J325" i="1"/>
  <c r="N331" i="1"/>
  <c r="I333" i="2"/>
  <c r="J333" i="1"/>
  <c r="N339" i="1"/>
  <c r="I341" i="2"/>
  <c r="J341" i="1"/>
  <c r="N347" i="1"/>
  <c r="O347" i="1" s="1"/>
  <c r="I349" i="2"/>
  <c r="J349" i="1"/>
  <c r="N355" i="1"/>
  <c r="O355" i="1" s="1"/>
  <c r="I357" i="2"/>
  <c r="J357" i="1"/>
  <c r="N363" i="1"/>
  <c r="O363" i="1" s="1"/>
  <c r="R363" i="1" s="1"/>
  <c r="I365" i="2"/>
  <c r="J365" i="1"/>
  <c r="I373" i="2"/>
  <c r="J373" i="1"/>
  <c r="I381" i="2"/>
  <c r="J381" i="1"/>
  <c r="Q382" i="1"/>
  <c r="R382" i="1" s="1"/>
  <c r="M386" i="1"/>
  <c r="J388" i="1"/>
  <c r="I397" i="2"/>
  <c r="J397" i="1"/>
  <c r="Q398" i="1"/>
  <c r="R398" i="1" s="1"/>
  <c r="M402" i="1"/>
  <c r="J404" i="1"/>
  <c r="Q411" i="1"/>
  <c r="R411" i="1" s="1"/>
  <c r="N411" i="1"/>
  <c r="O411" i="1" s="1"/>
  <c r="I413" i="2"/>
  <c r="J413" i="1"/>
  <c r="Q414" i="1"/>
  <c r="R414" i="1" s="1"/>
  <c r="M418" i="1"/>
  <c r="J420" i="1"/>
  <c r="Q427" i="1"/>
  <c r="N427" i="1"/>
  <c r="O427" i="1" s="1"/>
  <c r="I429" i="2"/>
  <c r="J429" i="1"/>
  <c r="M440" i="1"/>
  <c r="M442" i="1"/>
  <c r="M444" i="1"/>
  <c r="I461" i="2"/>
  <c r="J461" i="1"/>
  <c r="Q465" i="1"/>
  <c r="R465" i="1" s="1"/>
  <c r="N465" i="1"/>
  <c r="O465" i="1" s="1"/>
  <c r="M465" i="1"/>
  <c r="I468" i="2"/>
  <c r="J468" i="1"/>
  <c r="I473" i="5"/>
  <c r="J473" i="2"/>
  <c r="O474" i="1"/>
  <c r="I480" i="2"/>
  <c r="J480" i="1"/>
  <c r="N482" i="1"/>
  <c r="R489" i="1"/>
  <c r="R502" i="1"/>
  <c r="I510" i="2"/>
  <c r="J510" i="1"/>
  <c r="I520" i="2"/>
  <c r="J520" i="1"/>
  <c r="R537" i="1"/>
  <c r="R547" i="1"/>
  <c r="I566" i="2"/>
  <c r="J566" i="1"/>
  <c r="Q587" i="1"/>
  <c r="N587" i="1"/>
  <c r="O587" i="1" s="1"/>
  <c r="O587" i="2" s="1"/>
  <c r="R587" i="2" s="1"/>
  <c r="M587" i="1"/>
  <c r="R84" i="2"/>
  <c r="O101" i="2"/>
  <c r="R101" i="2" s="1"/>
  <c r="R114" i="2"/>
  <c r="R118" i="2"/>
  <c r="R147" i="2"/>
  <c r="O346" i="2"/>
  <c r="O346" i="5" s="1"/>
  <c r="O346" i="7" s="1"/>
  <c r="R346" i="7" s="1"/>
  <c r="I269" i="2"/>
  <c r="J269" i="1"/>
  <c r="O127" i="2"/>
  <c r="R127" i="2" s="1"/>
  <c r="I213" i="5"/>
  <c r="J213" i="2"/>
  <c r="I243" i="5"/>
  <c r="J243" i="2"/>
  <c r="M295" i="1"/>
  <c r="J334" i="1"/>
  <c r="J358" i="1"/>
  <c r="J366" i="1"/>
  <c r="M405" i="1"/>
  <c r="M412" i="1"/>
  <c r="M421" i="1"/>
  <c r="Q458" i="1"/>
  <c r="R458" i="1" s="1"/>
  <c r="N458" i="1"/>
  <c r="O458" i="1" s="1"/>
  <c r="R57" i="2"/>
  <c r="O91" i="2"/>
  <c r="O91" i="5" s="1"/>
  <c r="R91" i="5" s="1"/>
  <c r="R158" i="2"/>
  <c r="N315" i="2"/>
  <c r="I57" i="5"/>
  <c r="J57" i="2"/>
  <c r="I82" i="5"/>
  <c r="J82" i="2"/>
  <c r="I152" i="5"/>
  <c r="J152" i="2"/>
  <c r="I164" i="5"/>
  <c r="J164" i="2"/>
  <c r="I61" i="5"/>
  <c r="J61" i="2"/>
  <c r="M83" i="1"/>
  <c r="M79" i="1" s="1"/>
  <c r="I86" i="5"/>
  <c r="J86" i="2"/>
  <c r="M87" i="1"/>
  <c r="J90" i="2"/>
  <c r="M91" i="1"/>
  <c r="I102" i="5"/>
  <c r="J102" i="2"/>
  <c r="M103" i="1"/>
  <c r="J37" i="1"/>
  <c r="I52" i="5"/>
  <c r="J52" i="2"/>
  <c r="J61" i="1"/>
  <c r="J65" i="1"/>
  <c r="N66" i="1"/>
  <c r="O66" i="1" s="1"/>
  <c r="O63" i="1" s="1"/>
  <c r="J86" i="1"/>
  <c r="N87" i="1"/>
  <c r="O87" i="1" s="1"/>
  <c r="O87" i="2" s="1"/>
  <c r="J90" i="1"/>
  <c r="N91" i="1"/>
  <c r="O91" i="1" s="1"/>
  <c r="R91" i="1" s="1"/>
  <c r="J94" i="1"/>
  <c r="J98" i="1"/>
  <c r="N99" i="1"/>
  <c r="O99" i="1" s="1"/>
  <c r="J102" i="1"/>
  <c r="N103" i="1"/>
  <c r="O103" i="1" s="1"/>
  <c r="O103" i="2" s="1"/>
  <c r="R103" i="2" s="1"/>
  <c r="J106" i="1"/>
  <c r="J110" i="1"/>
  <c r="N111" i="1"/>
  <c r="O111" i="1" s="1"/>
  <c r="R111" i="1" s="1"/>
  <c r="J114" i="1"/>
  <c r="N115" i="1"/>
  <c r="O115" i="1" s="1"/>
  <c r="R115" i="1" s="1"/>
  <c r="J118" i="1"/>
  <c r="N119" i="1"/>
  <c r="O119" i="1" s="1"/>
  <c r="R119" i="1" s="1"/>
  <c r="J122" i="1"/>
  <c r="N123" i="1"/>
  <c r="O123" i="1" s="1"/>
  <c r="O120" i="1" s="1"/>
  <c r="J126" i="1"/>
  <c r="N127" i="1"/>
  <c r="O127" i="1" s="1"/>
  <c r="R127" i="1" s="1"/>
  <c r="J130" i="1"/>
  <c r="J134" i="1"/>
  <c r="N135" i="1"/>
  <c r="O135" i="1" s="1"/>
  <c r="O135" i="2" s="1"/>
  <c r="R135" i="2" s="1"/>
  <c r="J138" i="1"/>
  <c r="N144" i="1"/>
  <c r="O144" i="1" s="1"/>
  <c r="O144" i="2" s="1"/>
  <c r="R144" i="2" s="1"/>
  <c r="Q219" i="1"/>
  <c r="R219" i="1" s="1"/>
  <c r="I261" i="2"/>
  <c r="J261" i="1"/>
  <c r="I264" i="5"/>
  <c r="J264" i="2"/>
  <c r="I277" i="2"/>
  <c r="J277" i="1"/>
  <c r="I280" i="5"/>
  <c r="J280" i="2"/>
  <c r="I293" i="2"/>
  <c r="J293" i="1"/>
  <c r="I296" i="5"/>
  <c r="J296" i="2"/>
  <c r="I309" i="2"/>
  <c r="J309" i="1"/>
  <c r="I312" i="5"/>
  <c r="J312" i="2"/>
  <c r="I330" i="5"/>
  <c r="J330" i="2"/>
  <c r="I338" i="5"/>
  <c r="J338" i="2"/>
  <c r="I346" i="5"/>
  <c r="J346" i="2"/>
  <c r="Q350" i="1"/>
  <c r="R350" i="1" s="1"/>
  <c r="M352" i="1"/>
  <c r="I354" i="5"/>
  <c r="J354" i="2"/>
  <c r="Q358" i="1"/>
  <c r="R358" i="1" s="1"/>
  <c r="M360" i="1"/>
  <c r="I362" i="5"/>
  <c r="J362" i="2"/>
  <c r="Q366" i="1"/>
  <c r="R366" i="1" s="1"/>
  <c r="M368" i="1"/>
  <c r="I370" i="5"/>
  <c r="J370" i="2"/>
  <c r="Q374" i="1"/>
  <c r="R374" i="1" s="1"/>
  <c r="M376" i="1"/>
  <c r="I378" i="5"/>
  <c r="J378" i="2"/>
  <c r="N388" i="1"/>
  <c r="O388" i="1" s="1"/>
  <c r="Q388" i="1"/>
  <c r="R388" i="1" s="1"/>
  <c r="I390" i="2"/>
  <c r="J390" i="1"/>
  <c r="N404" i="1"/>
  <c r="O404" i="1" s="1"/>
  <c r="Q404" i="1"/>
  <c r="I406" i="2"/>
  <c r="J406" i="1"/>
  <c r="M411" i="1"/>
  <c r="N420" i="1"/>
  <c r="O420" i="1" s="1"/>
  <c r="Q420" i="1"/>
  <c r="R420" i="1" s="1"/>
  <c r="I422" i="2"/>
  <c r="J422" i="1"/>
  <c r="M427" i="1"/>
  <c r="Q429" i="1"/>
  <c r="R429" i="1" s="1"/>
  <c r="M429" i="1"/>
  <c r="J431" i="1"/>
  <c r="I431" i="2"/>
  <c r="Q434" i="1"/>
  <c r="R434" i="1" s="1"/>
  <c r="I457" i="2"/>
  <c r="J457" i="1"/>
  <c r="Q461" i="1"/>
  <c r="N461" i="1"/>
  <c r="O461" i="1" s="1"/>
  <c r="M461" i="1"/>
  <c r="Q463" i="1"/>
  <c r="N463" i="1"/>
  <c r="O463" i="1" s="1"/>
  <c r="O463" i="2" s="1"/>
  <c r="M463" i="1"/>
  <c r="J473" i="1"/>
  <c r="R477" i="1"/>
  <c r="I490" i="2"/>
  <c r="J490" i="1"/>
  <c r="R499" i="1"/>
  <c r="I505" i="2"/>
  <c r="J505" i="1"/>
  <c r="R517" i="1"/>
  <c r="R527" i="1"/>
  <c r="I538" i="2"/>
  <c r="J538" i="1"/>
  <c r="I548" i="2"/>
  <c r="J548" i="1"/>
  <c r="N552" i="1"/>
  <c r="O553" i="1"/>
  <c r="O552" i="1" s="1"/>
  <c r="Q35" i="2"/>
  <c r="Q115" i="2"/>
  <c r="N115" i="2"/>
  <c r="M115" i="2"/>
  <c r="R119" i="2"/>
  <c r="O123" i="2"/>
  <c r="O129" i="2"/>
  <c r="O391" i="2"/>
  <c r="R391" i="2" s="1"/>
  <c r="O444" i="2"/>
  <c r="O444" i="5" s="1"/>
  <c r="I317" i="2"/>
  <c r="J317" i="1"/>
  <c r="I479" i="2"/>
  <c r="J479" i="1"/>
  <c r="I165" i="5"/>
  <c r="J165" i="2"/>
  <c r="I227" i="5"/>
  <c r="J227" i="2"/>
  <c r="I247" i="5"/>
  <c r="J247" i="2"/>
  <c r="M311" i="1"/>
  <c r="J320" i="1"/>
  <c r="R330" i="1"/>
  <c r="M353" i="1"/>
  <c r="M389" i="1"/>
  <c r="Q571" i="1"/>
  <c r="R571" i="1" s="1"/>
  <c r="N571" i="1"/>
  <c r="O571" i="1" s="1"/>
  <c r="M571" i="1"/>
  <c r="I111" i="5"/>
  <c r="J111" i="2"/>
  <c r="R242" i="2"/>
  <c r="J224" i="23"/>
  <c r="K224" i="23" s="1"/>
  <c r="K224" i="20"/>
  <c r="I225" i="5"/>
  <c r="J225" i="2"/>
  <c r="I229" i="7"/>
  <c r="J229" i="5"/>
  <c r="I233" i="5"/>
  <c r="J233" i="2"/>
  <c r="M234" i="1"/>
  <c r="I237" i="5"/>
  <c r="J237" i="2"/>
  <c r="M238" i="1"/>
  <c r="I241" i="5"/>
  <c r="J241" i="2"/>
  <c r="M242" i="1"/>
  <c r="I245" i="5"/>
  <c r="J245" i="2"/>
  <c r="M246" i="1"/>
  <c r="I249" i="5"/>
  <c r="J249" i="2"/>
  <c r="M250" i="1"/>
  <c r="I253" i="5"/>
  <c r="J253" i="2"/>
  <c r="M254" i="1"/>
  <c r="I257" i="5"/>
  <c r="J257" i="2"/>
  <c r="M258" i="1"/>
  <c r="J264" i="1"/>
  <c r="I267" i="5"/>
  <c r="J267" i="2"/>
  <c r="M271" i="1"/>
  <c r="J280" i="1"/>
  <c r="I283" i="5"/>
  <c r="J283" i="2"/>
  <c r="M287" i="1"/>
  <c r="J296" i="1"/>
  <c r="O297" i="1"/>
  <c r="R297" i="1" s="1"/>
  <c r="I299" i="5"/>
  <c r="J299" i="2"/>
  <c r="M303" i="1"/>
  <c r="J312" i="1"/>
  <c r="I315" i="5"/>
  <c r="J315" i="2"/>
  <c r="M319" i="1"/>
  <c r="M325" i="1"/>
  <c r="J330" i="1"/>
  <c r="M333" i="1"/>
  <c r="J383" i="1"/>
  <c r="I383" i="2"/>
  <c r="I392" i="5"/>
  <c r="J392" i="2"/>
  <c r="J399" i="1"/>
  <c r="I399" i="2"/>
  <c r="I408" i="5"/>
  <c r="J408" i="2"/>
  <c r="I424" i="5"/>
  <c r="J424" i="2"/>
  <c r="Q431" i="1"/>
  <c r="R431" i="1" s="1"/>
  <c r="N431" i="1"/>
  <c r="O431" i="1" s="1"/>
  <c r="I433" i="2"/>
  <c r="J433" i="1"/>
  <c r="I451" i="2"/>
  <c r="J451" i="1"/>
  <c r="I453" i="2"/>
  <c r="J453" i="1"/>
  <c r="Q457" i="1"/>
  <c r="R457" i="1" s="1"/>
  <c r="N457" i="1"/>
  <c r="O457" i="1" s="1"/>
  <c r="M457" i="1"/>
  <c r="Q459" i="1"/>
  <c r="N459" i="1"/>
  <c r="O459" i="1" s="1"/>
  <c r="O459" i="2" s="1"/>
  <c r="R459" i="2" s="1"/>
  <c r="M459" i="1"/>
  <c r="I466" i="2"/>
  <c r="J466" i="1"/>
  <c r="I478" i="2"/>
  <c r="J478" i="1"/>
  <c r="I483" i="2"/>
  <c r="J483" i="1"/>
  <c r="I495" i="2"/>
  <c r="J495" i="1"/>
  <c r="I500" i="2"/>
  <c r="J500" i="1"/>
  <c r="I513" i="2"/>
  <c r="J513" i="1"/>
  <c r="I518" i="2"/>
  <c r="J518" i="1"/>
  <c r="I528" i="2"/>
  <c r="J528" i="1"/>
  <c r="R545" i="1"/>
  <c r="R563" i="1"/>
  <c r="O34" i="2"/>
  <c r="Q68" i="2"/>
  <c r="R68" i="2" s="1"/>
  <c r="P68" i="2"/>
  <c r="J68" i="2"/>
  <c r="O70" i="2"/>
  <c r="R70" i="2" s="1"/>
  <c r="R75" i="2"/>
  <c r="O78" i="2"/>
  <c r="R78" i="2" s="1"/>
  <c r="R152" i="2"/>
  <c r="R200" i="2"/>
  <c r="O293" i="2"/>
  <c r="I320" i="5"/>
  <c r="J320" i="2"/>
  <c r="I467" i="2"/>
  <c r="J467" i="1"/>
  <c r="I489" i="5"/>
  <c r="J489" i="2"/>
  <c r="I509" i="2"/>
  <c r="J509" i="1"/>
  <c r="R47" i="2"/>
  <c r="J29" i="1"/>
  <c r="J149" i="1"/>
  <c r="I173" i="5"/>
  <c r="J173" i="2"/>
  <c r="I181" i="5"/>
  <c r="J181" i="2"/>
  <c r="I239" i="5"/>
  <c r="J239" i="2"/>
  <c r="I255" i="5"/>
  <c r="J255" i="2"/>
  <c r="M263" i="1"/>
  <c r="J272" i="1"/>
  <c r="M377" i="1"/>
  <c r="J391" i="1"/>
  <c r="I391" i="2"/>
  <c r="M430" i="1"/>
  <c r="I450" i="5"/>
  <c r="J450" i="2"/>
  <c r="J489" i="1"/>
  <c r="I415" i="5"/>
  <c r="J415" i="2"/>
  <c r="J77" i="5"/>
  <c r="I142" i="5"/>
  <c r="I142" i="7" s="1"/>
  <c r="I142" i="9" s="1"/>
  <c r="J142" i="2"/>
  <c r="I151" i="5"/>
  <c r="J151" i="2"/>
  <c r="I163" i="5"/>
  <c r="J163" i="2"/>
  <c r="I167" i="5"/>
  <c r="J167" i="2"/>
  <c r="I171" i="5"/>
  <c r="J171" i="2"/>
  <c r="I175" i="5"/>
  <c r="J175" i="2"/>
  <c r="I179" i="5"/>
  <c r="J179" i="2"/>
  <c r="I183" i="5"/>
  <c r="J183" i="2"/>
  <c r="I187" i="5"/>
  <c r="J187" i="2"/>
  <c r="I191" i="5"/>
  <c r="J191" i="2"/>
  <c r="I195" i="5"/>
  <c r="J195" i="2"/>
  <c r="I199" i="5"/>
  <c r="J199" i="2"/>
  <c r="I203" i="5"/>
  <c r="J203" i="2"/>
  <c r="I207" i="5"/>
  <c r="J207" i="2"/>
  <c r="I211" i="5"/>
  <c r="J211" i="2"/>
  <c r="I215" i="5"/>
  <c r="J215" i="2"/>
  <c r="P596" i="1"/>
  <c r="R29" i="1"/>
  <c r="R28" i="1" s="1"/>
  <c r="M37" i="1"/>
  <c r="J44" i="1"/>
  <c r="P58" i="1"/>
  <c r="P53" i="1" s="1"/>
  <c r="P52" i="1" s="1"/>
  <c r="M61" i="1"/>
  <c r="M65" i="1"/>
  <c r="M63" i="1" s="1"/>
  <c r="J69" i="1"/>
  <c r="J73" i="1"/>
  <c r="J77" i="1"/>
  <c r="J81" i="1"/>
  <c r="P83" i="1"/>
  <c r="P79" i="1" s="1"/>
  <c r="P62" i="1" s="1"/>
  <c r="M86" i="1"/>
  <c r="M90" i="1"/>
  <c r="M98" i="1"/>
  <c r="I101" i="7"/>
  <c r="J101" i="5"/>
  <c r="M102" i="1"/>
  <c r="I105" i="5"/>
  <c r="J105" i="2"/>
  <c r="M106" i="1"/>
  <c r="I109" i="5"/>
  <c r="J109" i="2"/>
  <c r="M110" i="1"/>
  <c r="I113" i="5"/>
  <c r="J113" i="2"/>
  <c r="M114" i="1"/>
  <c r="I117" i="5"/>
  <c r="J117" i="2"/>
  <c r="M118" i="1"/>
  <c r="I121" i="5"/>
  <c r="J121" i="2"/>
  <c r="M122" i="1"/>
  <c r="M120" i="1" s="1"/>
  <c r="I125" i="7"/>
  <c r="J125" i="5"/>
  <c r="M126" i="1"/>
  <c r="I129" i="5"/>
  <c r="J129" i="2"/>
  <c r="M130" i="1"/>
  <c r="I133" i="5"/>
  <c r="J133" i="2"/>
  <c r="M134" i="1"/>
  <c r="I137" i="5"/>
  <c r="J137" i="2"/>
  <c r="M138" i="1"/>
  <c r="M143" i="1"/>
  <c r="I146" i="5"/>
  <c r="J146" i="2"/>
  <c r="M147" i="1"/>
  <c r="J151" i="1"/>
  <c r="N152" i="1"/>
  <c r="O152" i="1" s="1"/>
  <c r="J155" i="1"/>
  <c r="J159" i="1"/>
  <c r="N160" i="1"/>
  <c r="O160" i="1" s="1"/>
  <c r="R160" i="1" s="1"/>
  <c r="J163" i="1"/>
  <c r="N164" i="1"/>
  <c r="O164" i="1" s="1"/>
  <c r="R164" i="1" s="1"/>
  <c r="J167" i="1"/>
  <c r="N168" i="1"/>
  <c r="O168" i="1" s="1"/>
  <c r="R168" i="1" s="1"/>
  <c r="J171" i="1"/>
  <c r="N172" i="1"/>
  <c r="O172" i="1" s="1"/>
  <c r="R172" i="1" s="1"/>
  <c r="J175" i="1"/>
  <c r="N176" i="1"/>
  <c r="J179" i="1"/>
  <c r="N180" i="1"/>
  <c r="J183" i="1"/>
  <c r="N184" i="1"/>
  <c r="O184" i="1" s="1"/>
  <c r="J187" i="1"/>
  <c r="N188" i="1"/>
  <c r="O188" i="1" s="1"/>
  <c r="R188" i="1" s="1"/>
  <c r="J191" i="1"/>
  <c r="N192" i="1"/>
  <c r="O192" i="1" s="1"/>
  <c r="R192" i="1" s="1"/>
  <c r="J195" i="1"/>
  <c r="N196" i="1"/>
  <c r="O196" i="1" s="1"/>
  <c r="R196" i="1" s="1"/>
  <c r="J199" i="1"/>
  <c r="N200" i="1"/>
  <c r="O200" i="1" s="1"/>
  <c r="R200" i="1" s="1"/>
  <c r="J203" i="1"/>
  <c r="N204" i="1"/>
  <c r="O204" i="1" s="1"/>
  <c r="R204" i="1" s="1"/>
  <c r="J207" i="1"/>
  <c r="N208" i="1"/>
  <c r="O208" i="1" s="1"/>
  <c r="J211" i="1"/>
  <c r="N212" i="1"/>
  <c r="O212" i="1" s="1"/>
  <c r="R212" i="1" s="1"/>
  <c r="J215" i="1"/>
  <c r="M216" i="1"/>
  <c r="M215" i="1" s="1"/>
  <c r="J225" i="1"/>
  <c r="J229" i="1"/>
  <c r="N230" i="1"/>
  <c r="O230" i="1" s="1"/>
  <c r="R230" i="1" s="1"/>
  <c r="J233" i="1"/>
  <c r="N234" i="1"/>
  <c r="O234" i="1" s="1"/>
  <c r="R234" i="1" s="1"/>
  <c r="J237" i="1"/>
  <c r="N238" i="1"/>
  <c r="O238" i="1" s="1"/>
  <c r="R238" i="1" s="1"/>
  <c r="J241" i="1"/>
  <c r="N242" i="1"/>
  <c r="O242" i="1" s="1"/>
  <c r="R242" i="1" s="1"/>
  <c r="J245" i="1"/>
  <c r="N246" i="1"/>
  <c r="O246" i="1" s="1"/>
  <c r="R246" i="1" s="1"/>
  <c r="J249" i="1"/>
  <c r="N250" i="1"/>
  <c r="O250" i="1" s="1"/>
  <c r="R250" i="1" s="1"/>
  <c r="J253" i="1"/>
  <c r="N254" i="1"/>
  <c r="O254" i="1" s="1"/>
  <c r="R254" i="1" s="1"/>
  <c r="J257" i="1"/>
  <c r="N258" i="1"/>
  <c r="O258" i="1" s="1"/>
  <c r="R258" i="1" s="1"/>
  <c r="Q262" i="1"/>
  <c r="R262" i="1" s="1"/>
  <c r="J267" i="1"/>
  <c r="I270" i="5"/>
  <c r="J270" i="2"/>
  <c r="N271" i="1"/>
  <c r="O271" i="1" s="1"/>
  <c r="R271" i="1" s="1"/>
  <c r="M274" i="1"/>
  <c r="Q278" i="1"/>
  <c r="R278" i="1" s="1"/>
  <c r="J283" i="1"/>
  <c r="I286" i="5"/>
  <c r="J286" i="2"/>
  <c r="N287" i="1"/>
  <c r="O287" i="1" s="1"/>
  <c r="R287" i="1" s="1"/>
  <c r="M290" i="1"/>
  <c r="Q294" i="1"/>
  <c r="R294" i="1" s="1"/>
  <c r="J299" i="1"/>
  <c r="I302" i="5"/>
  <c r="J302" i="2"/>
  <c r="N303" i="1"/>
  <c r="O303" i="1" s="1"/>
  <c r="R303" i="1" s="1"/>
  <c r="M306" i="1"/>
  <c r="Q310" i="1"/>
  <c r="R310" i="1" s="1"/>
  <c r="J315" i="1"/>
  <c r="O316" i="1"/>
  <c r="O315" i="1" s="1"/>
  <c r="I318" i="5"/>
  <c r="J318" i="2"/>
  <c r="N319" i="1"/>
  <c r="M322" i="1"/>
  <c r="N325" i="1"/>
  <c r="O325" i="1" s="1"/>
  <c r="R325" i="1" s="1"/>
  <c r="J327" i="1"/>
  <c r="I327" i="2"/>
  <c r="N333" i="1"/>
  <c r="O333" i="1" s="1"/>
  <c r="R333" i="1" s="1"/>
  <c r="J335" i="1"/>
  <c r="I335" i="2"/>
  <c r="N341" i="1"/>
  <c r="O341" i="1" s="1"/>
  <c r="R341" i="1" s="1"/>
  <c r="I343" i="2"/>
  <c r="J343" i="1"/>
  <c r="N349" i="1"/>
  <c r="O349" i="1" s="1"/>
  <c r="R349" i="1" s="1"/>
  <c r="J351" i="1"/>
  <c r="I351" i="2"/>
  <c r="N357" i="1"/>
  <c r="O357" i="1" s="1"/>
  <c r="R357" i="1" s="1"/>
  <c r="J359" i="1"/>
  <c r="I359" i="2"/>
  <c r="N365" i="1"/>
  <c r="O365" i="1" s="1"/>
  <c r="R365" i="1" s="1"/>
  <c r="J375" i="1"/>
  <c r="I375" i="2"/>
  <c r="Q383" i="1"/>
  <c r="R383" i="1" s="1"/>
  <c r="N383" i="1"/>
  <c r="O383" i="1" s="1"/>
  <c r="I385" i="2"/>
  <c r="J385" i="1"/>
  <c r="Q386" i="1"/>
  <c r="R386" i="1" s="1"/>
  <c r="M390" i="1"/>
  <c r="J392" i="1"/>
  <c r="Q399" i="1"/>
  <c r="R399" i="1" s="1"/>
  <c r="N399" i="1"/>
  <c r="O399" i="1" s="1"/>
  <c r="I401" i="2"/>
  <c r="J401" i="1"/>
  <c r="Q402" i="1"/>
  <c r="R402" i="1" s="1"/>
  <c r="J408" i="1"/>
  <c r="Q415" i="1"/>
  <c r="R415" i="1" s="1"/>
  <c r="N415" i="1"/>
  <c r="O415" i="1" s="1"/>
  <c r="I417" i="2"/>
  <c r="J417" i="1"/>
  <c r="Q418" i="1"/>
  <c r="R418" i="1" s="1"/>
  <c r="M422" i="1"/>
  <c r="J424" i="1"/>
  <c r="M431" i="1"/>
  <c r="Q433" i="1"/>
  <c r="R433" i="1" s="1"/>
  <c r="M433" i="1"/>
  <c r="J435" i="1"/>
  <c r="I435" i="2"/>
  <c r="I437" i="2"/>
  <c r="J437" i="1"/>
  <c r="I447" i="2"/>
  <c r="J447" i="1"/>
  <c r="I449" i="2"/>
  <c r="J449" i="1"/>
  <c r="Q451" i="1"/>
  <c r="R451" i="1" s="1"/>
  <c r="N451" i="1"/>
  <c r="O451" i="1" s="1"/>
  <c r="O451" i="2" s="1"/>
  <c r="M451" i="1"/>
  <c r="Q453" i="1"/>
  <c r="N453" i="1"/>
  <c r="O453" i="1" s="1"/>
  <c r="M453" i="1"/>
  <c r="Q455" i="1"/>
  <c r="R455" i="1" s="1"/>
  <c r="N455" i="1"/>
  <c r="O455" i="1" s="1"/>
  <c r="M455" i="1"/>
  <c r="R466" i="1"/>
  <c r="I471" i="2"/>
  <c r="J471" i="1"/>
  <c r="Q474" i="1"/>
  <c r="R475" i="1"/>
  <c r="R478" i="1"/>
  <c r="O482" i="1"/>
  <c r="I488" i="2"/>
  <c r="J488" i="1"/>
  <c r="I493" i="5"/>
  <c r="J493" i="2"/>
  <c r="R497" i="1"/>
  <c r="I508" i="2"/>
  <c r="J508" i="1"/>
  <c r="R518" i="1"/>
  <c r="R525" i="1"/>
  <c r="R535" i="1"/>
  <c r="I546" i="2"/>
  <c r="J546" i="1"/>
  <c r="P554" i="1"/>
  <c r="Q43" i="2"/>
  <c r="Q27" i="2" s="1"/>
  <c r="R44" i="2"/>
  <c r="R55" i="2"/>
  <c r="R81" i="2"/>
  <c r="P107" i="2"/>
  <c r="P94" i="2" s="1"/>
  <c r="O116" i="2"/>
  <c r="O119" i="2"/>
  <c r="O130" i="2"/>
  <c r="J149" i="2"/>
  <c r="O161" i="2"/>
  <c r="R161" i="2" s="1"/>
  <c r="O207" i="2"/>
  <c r="N205" i="2"/>
  <c r="O497" i="2"/>
  <c r="J69" i="5"/>
  <c r="I366" i="5"/>
  <c r="J366" i="2"/>
  <c r="Q462" i="1"/>
  <c r="R462" i="1" s="1"/>
  <c r="N462" i="1"/>
  <c r="O462" i="1" s="1"/>
  <c r="R100" i="2"/>
  <c r="O271" i="2"/>
  <c r="O363" i="2"/>
  <c r="J221" i="23"/>
  <c r="K221" i="23" s="1"/>
  <c r="K221" i="20"/>
  <c r="J288" i="1"/>
  <c r="I307" i="5"/>
  <c r="J307" i="2"/>
  <c r="J326" i="1"/>
  <c r="J342" i="1"/>
  <c r="J350" i="1"/>
  <c r="I416" i="5"/>
  <c r="J416" i="2"/>
  <c r="N508" i="1"/>
  <c r="N507" i="1" s="1"/>
  <c r="O509" i="1"/>
  <c r="O508" i="1" s="1"/>
  <c r="O100" i="2"/>
  <c r="O143" i="2"/>
  <c r="I44" i="5"/>
  <c r="J44" i="2"/>
  <c r="I81" i="7"/>
  <c r="J81" i="5"/>
  <c r="I155" i="5"/>
  <c r="J155" i="2"/>
  <c r="I159" i="5"/>
  <c r="J159" i="2"/>
  <c r="I35" i="5"/>
  <c r="J35" i="2"/>
  <c r="I43" i="5"/>
  <c r="J43" i="2"/>
  <c r="I68" i="7"/>
  <c r="J68" i="5"/>
  <c r="I141" i="16"/>
  <c r="J144" i="20" s="1"/>
  <c r="J141" i="15"/>
  <c r="J223" i="23"/>
  <c r="K223" i="23" s="1"/>
  <c r="K223" i="20"/>
  <c r="I260" i="5"/>
  <c r="J260" i="2"/>
  <c r="I273" i="2"/>
  <c r="J273" i="1"/>
  <c r="I276" i="5"/>
  <c r="J276" i="2"/>
  <c r="I289" i="2"/>
  <c r="J289" i="1"/>
  <c r="I292" i="5"/>
  <c r="J292" i="2"/>
  <c r="I305" i="2"/>
  <c r="J305" i="1"/>
  <c r="I308" i="5"/>
  <c r="J308" i="2"/>
  <c r="I321" i="2"/>
  <c r="J321" i="1"/>
  <c r="I324" i="5"/>
  <c r="J324" i="2"/>
  <c r="I332" i="5"/>
  <c r="J332" i="2"/>
  <c r="I340" i="5"/>
  <c r="J340" i="2"/>
  <c r="I348" i="5"/>
  <c r="J348" i="2"/>
  <c r="I356" i="5"/>
  <c r="J356" i="2"/>
  <c r="I364" i="5"/>
  <c r="J364" i="2"/>
  <c r="I372" i="5"/>
  <c r="J372" i="2"/>
  <c r="Q376" i="1"/>
  <c r="R376" i="1" s="1"/>
  <c r="I380" i="5"/>
  <c r="J380" i="2"/>
  <c r="N392" i="1"/>
  <c r="O392" i="1" s="1"/>
  <c r="Q392" i="1"/>
  <c r="I394" i="2"/>
  <c r="J394" i="1"/>
  <c r="N408" i="1"/>
  <c r="O408" i="1" s="1"/>
  <c r="Q408" i="1"/>
  <c r="R408" i="1" s="1"/>
  <c r="I410" i="2"/>
  <c r="J410" i="1"/>
  <c r="N424" i="1"/>
  <c r="O424" i="1" s="1"/>
  <c r="Q424" i="1"/>
  <c r="I426" i="2"/>
  <c r="J426" i="1"/>
  <c r="Q435" i="1"/>
  <c r="R435" i="1" s="1"/>
  <c r="N435" i="1"/>
  <c r="O435" i="1" s="1"/>
  <c r="M435" i="1"/>
  <c r="Q437" i="1"/>
  <c r="R437" i="1" s="1"/>
  <c r="M437" i="1"/>
  <c r="J439" i="1"/>
  <c r="I439" i="2"/>
  <c r="I441" i="2"/>
  <c r="J441" i="1"/>
  <c r="J443" i="1"/>
  <c r="I443" i="2"/>
  <c r="I445" i="2"/>
  <c r="J445" i="1"/>
  <c r="Q447" i="1"/>
  <c r="N447" i="1"/>
  <c r="O447" i="1" s="1"/>
  <c r="M447" i="1"/>
  <c r="Q449" i="1"/>
  <c r="N449" i="1"/>
  <c r="O449" i="1" s="1"/>
  <c r="M449" i="1"/>
  <c r="I469" i="5"/>
  <c r="J469" i="2"/>
  <c r="I476" i="2"/>
  <c r="J476" i="1"/>
  <c r="I481" i="5"/>
  <c r="J481" i="2"/>
  <c r="R485" i="1"/>
  <c r="O488" i="1"/>
  <c r="O487" i="1" s="1"/>
  <c r="N487" i="1"/>
  <c r="I498" i="2"/>
  <c r="J498" i="1"/>
  <c r="I503" i="2"/>
  <c r="J503" i="1"/>
  <c r="R515" i="1"/>
  <c r="N520" i="1"/>
  <c r="O521" i="1"/>
  <c r="O520" i="1" s="1"/>
  <c r="I526" i="2"/>
  <c r="J526" i="1"/>
  <c r="I536" i="2"/>
  <c r="J536" i="1"/>
  <c r="R546" i="1"/>
  <c r="R553" i="1"/>
  <c r="R552" i="1" s="1"/>
  <c r="O567" i="1"/>
  <c r="R568" i="1"/>
  <c r="R34" i="2"/>
  <c r="O45" i="2"/>
  <c r="O76" i="2"/>
  <c r="R76" i="2" s="1"/>
  <c r="O105" i="2"/>
  <c r="O113" i="2"/>
  <c r="R113" i="2" s="1"/>
  <c r="O152" i="2"/>
  <c r="O250" i="2"/>
  <c r="O283" i="2"/>
  <c r="O286" i="2"/>
  <c r="I350" i="5"/>
  <c r="J350" i="2"/>
  <c r="J146" i="23"/>
  <c r="K146" i="23" s="1"/>
  <c r="K146" i="20"/>
  <c r="I197" i="5"/>
  <c r="J197" i="2"/>
  <c r="I259" i="5"/>
  <c r="J259" i="2"/>
  <c r="M345" i="1"/>
  <c r="J374" i="1"/>
  <c r="J423" i="1"/>
  <c r="I423" i="2"/>
  <c r="I477" i="5"/>
  <c r="J477" i="2"/>
  <c r="O46" i="2"/>
  <c r="R46" i="2" s="1"/>
  <c r="J72" i="2"/>
  <c r="J76" i="2"/>
  <c r="I80" i="5"/>
  <c r="J80" i="2"/>
  <c r="J153" i="23"/>
  <c r="K153" i="23" s="1"/>
  <c r="K153" i="20"/>
  <c r="I154" i="5"/>
  <c r="J154" i="2"/>
  <c r="I158" i="5"/>
  <c r="J158" i="2"/>
  <c r="I162" i="5"/>
  <c r="J162" i="2"/>
  <c r="I166" i="5"/>
  <c r="J166" i="2"/>
  <c r="I170" i="5"/>
  <c r="J170" i="2"/>
  <c r="I174" i="5"/>
  <c r="J174" i="2"/>
  <c r="I178" i="5"/>
  <c r="J178" i="2"/>
  <c r="I182" i="5"/>
  <c r="J182" i="2"/>
  <c r="I186" i="5"/>
  <c r="J186" i="2"/>
  <c r="I190" i="5"/>
  <c r="J190" i="2"/>
  <c r="I194" i="5"/>
  <c r="J194" i="2"/>
  <c r="I198" i="5"/>
  <c r="J198" i="2"/>
  <c r="I202" i="5"/>
  <c r="J202" i="2"/>
  <c r="I206" i="5"/>
  <c r="J206" i="2"/>
  <c r="I210" i="5"/>
  <c r="J210" i="2"/>
  <c r="I214" i="5"/>
  <c r="J214" i="2"/>
  <c r="I228" i="5"/>
  <c r="J228" i="2"/>
  <c r="I232" i="5"/>
  <c r="J232" i="2"/>
  <c r="I236" i="5"/>
  <c r="J236" i="2"/>
  <c r="I240" i="5"/>
  <c r="J240" i="2"/>
  <c r="I244" i="5"/>
  <c r="J244" i="2"/>
  <c r="I248" i="5"/>
  <c r="J248" i="2"/>
  <c r="M249" i="1"/>
  <c r="I252" i="5"/>
  <c r="J252" i="2"/>
  <c r="M253" i="1"/>
  <c r="I256" i="5"/>
  <c r="J256" i="2"/>
  <c r="M257" i="1"/>
  <c r="J260" i="1"/>
  <c r="I263" i="5"/>
  <c r="J263" i="2"/>
  <c r="M267" i="1"/>
  <c r="J276" i="1"/>
  <c r="I279" i="5"/>
  <c r="J279" i="2"/>
  <c r="M283" i="1"/>
  <c r="J292" i="1"/>
  <c r="I295" i="5"/>
  <c r="J295" i="2"/>
  <c r="M299" i="1"/>
  <c r="J308" i="1"/>
  <c r="I311" i="5"/>
  <c r="J311" i="2"/>
  <c r="J324" i="1"/>
  <c r="M327" i="1"/>
  <c r="J332" i="1"/>
  <c r="M335" i="1"/>
  <c r="J340" i="1"/>
  <c r="M343" i="1"/>
  <c r="J348" i="1"/>
  <c r="J387" i="1"/>
  <c r="I387" i="2"/>
  <c r="I396" i="5"/>
  <c r="J396" i="2"/>
  <c r="J403" i="1"/>
  <c r="I403" i="2"/>
  <c r="I412" i="5"/>
  <c r="J412" i="2"/>
  <c r="J419" i="1"/>
  <c r="I419" i="2"/>
  <c r="Q439" i="1"/>
  <c r="N439" i="1"/>
  <c r="O439" i="1" s="1"/>
  <c r="O439" i="2" s="1"/>
  <c r="R439" i="2" s="1"/>
  <c r="M439" i="1"/>
  <c r="Q441" i="1"/>
  <c r="M441" i="1"/>
  <c r="Q443" i="1"/>
  <c r="N443" i="1"/>
  <c r="O443" i="1" s="1"/>
  <c r="O443" i="2" s="1"/>
  <c r="R443" i="2" s="1"/>
  <c r="M443" i="1"/>
  <c r="Q445" i="1"/>
  <c r="R445" i="1" s="1"/>
  <c r="N445" i="1"/>
  <c r="O445" i="1" s="1"/>
  <c r="O445" i="2" s="1"/>
  <c r="O445" i="5" s="1"/>
  <c r="M445" i="1"/>
  <c r="I486" i="2"/>
  <c r="J486" i="1"/>
  <c r="R498" i="1"/>
  <c r="I511" i="5"/>
  <c r="J511" i="2"/>
  <c r="I516" i="2"/>
  <c r="J516" i="1"/>
  <c r="R526" i="1"/>
  <c r="I554" i="2"/>
  <c r="J554" i="1"/>
  <c r="I562" i="2"/>
  <c r="J562" i="1"/>
  <c r="M566" i="1"/>
  <c r="R45" i="2"/>
  <c r="P63" i="2"/>
  <c r="P62" i="2" s="1"/>
  <c r="O71" i="2"/>
  <c r="R71" i="2" s="1"/>
  <c r="R73" i="2"/>
  <c r="O124" i="2"/>
  <c r="R124" i="2" s="1"/>
  <c r="R126" i="2"/>
  <c r="O142" i="2"/>
  <c r="R142" i="2" s="1"/>
  <c r="R376" i="2"/>
  <c r="O429" i="2"/>
  <c r="J29" i="5"/>
  <c r="I29" i="7"/>
  <c r="R521" i="1"/>
  <c r="M146" i="2"/>
  <c r="Q146" i="2"/>
  <c r="N146" i="2"/>
  <c r="O146" i="2" s="1"/>
  <c r="I55" i="5"/>
  <c r="J55" i="2"/>
  <c r="J55" i="1"/>
  <c r="I63" i="5"/>
  <c r="J63" i="2"/>
  <c r="I67" i="5"/>
  <c r="J67" i="2"/>
  <c r="J72" i="1"/>
  <c r="J76" i="1"/>
  <c r="J80" i="1"/>
  <c r="J84" i="2"/>
  <c r="J88" i="2"/>
  <c r="J92" i="2"/>
  <c r="I96" i="5"/>
  <c r="J96" i="2"/>
  <c r="I100" i="5"/>
  <c r="J100" i="2"/>
  <c r="I104" i="5"/>
  <c r="J104" i="2"/>
  <c r="I108" i="5"/>
  <c r="J108" i="2"/>
  <c r="J112" i="2"/>
  <c r="I112" i="5"/>
  <c r="I116" i="5"/>
  <c r="J116" i="2"/>
  <c r="I120" i="5"/>
  <c r="J120" i="2"/>
  <c r="I124" i="5"/>
  <c r="J124" i="2"/>
  <c r="I128" i="5"/>
  <c r="J128" i="2"/>
  <c r="J132" i="2"/>
  <c r="I132" i="5"/>
  <c r="I136" i="5"/>
  <c r="J136" i="2"/>
  <c r="I140" i="5"/>
  <c r="J140" i="2"/>
  <c r="I145" i="5"/>
  <c r="J145" i="2"/>
  <c r="J154" i="1"/>
  <c r="J158" i="1"/>
  <c r="J162" i="1"/>
  <c r="J166" i="1"/>
  <c r="J170" i="1"/>
  <c r="J174" i="1"/>
  <c r="J178" i="1"/>
  <c r="J182" i="1"/>
  <c r="J186" i="1"/>
  <c r="J190" i="1"/>
  <c r="J194" i="1"/>
  <c r="J198" i="1"/>
  <c r="J202" i="1"/>
  <c r="J206" i="1"/>
  <c r="J210" i="1"/>
  <c r="J214" i="1"/>
  <c r="I219" i="9"/>
  <c r="J219" i="7"/>
  <c r="J224" i="1"/>
  <c r="J228" i="1"/>
  <c r="J232" i="1"/>
  <c r="J236" i="1"/>
  <c r="J240" i="1"/>
  <c r="J244" i="1"/>
  <c r="J248" i="1"/>
  <c r="J252" i="1"/>
  <c r="J256" i="1"/>
  <c r="J263" i="1"/>
  <c r="I266" i="5"/>
  <c r="J266" i="2"/>
  <c r="N267" i="1"/>
  <c r="O267" i="1" s="1"/>
  <c r="R267" i="1" s="1"/>
  <c r="M270" i="1"/>
  <c r="Q274" i="1"/>
  <c r="J279" i="1"/>
  <c r="I282" i="5"/>
  <c r="J282" i="2"/>
  <c r="N283" i="1"/>
  <c r="O283" i="1" s="1"/>
  <c r="R283" i="1" s="1"/>
  <c r="M286" i="1"/>
  <c r="Q290" i="1"/>
  <c r="R290" i="1" s="1"/>
  <c r="J295" i="1"/>
  <c r="I298" i="5"/>
  <c r="J298" i="2"/>
  <c r="N299" i="1"/>
  <c r="O299" i="1" s="1"/>
  <c r="R299" i="1" s="1"/>
  <c r="M302" i="1"/>
  <c r="Q306" i="1"/>
  <c r="R306" i="1" s="1"/>
  <c r="J311" i="1"/>
  <c r="I314" i="5"/>
  <c r="J314" i="2"/>
  <c r="R316" i="1"/>
  <c r="R315" i="1" s="1"/>
  <c r="M318" i="1"/>
  <c r="Q322" i="1"/>
  <c r="R322" i="1" s="1"/>
  <c r="N327" i="1"/>
  <c r="O327" i="1" s="1"/>
  <c r="R327" i="1" s="1"/>
  <c r="I329" i="2"/>
  <c r="J329" i="1"/>
  <c r="N335" i="1"/>
  <c r="O335" i="1" s="1"/>
  <c r="R335" i="1" s="1"/>
  <c r="I337" i="2"/>
  <c r="J337" i="1"/>
  <c r="N343" i="1"/>
  <c r="O343" i="1" s="1"/>
  <c r="O343" i="2" s="1"/>
  <c r="R343" i="2" s="1"/>
  <c r="I345" i="2"/>
  <c r="J345" i="1"/>
  <c r="N351" i="1"/>
  <c r="O351" i="1" s="1"/>
  <c r="I353" i="2"/>
  <c r="J353" i="1"/>
  <c r="N359" i="1"/>
  <c r="O359" i="1" s="1"/>
  <c r="R359" i="1" s="1"/>
  <c r="I361" i="2"/>
  <c r="J361" i="1"/>
  <c r="N367" i="1"/>
  <c r="O367" i="1" s="1"/>
  <c r="R367" i="1" s="1"/>
  <c r="I369" i="2"/>
  <c r="J369" i="1"/>
  <c r="N375" i="1"/>
  <c r="O375" i="1" s="1"/>
  <c r="R375" i="1" s="1"/>
  <c r="I377" i="2"/>
  <c r="J377" i="1"/>
  <c r="Q387" i="1"/>
  <c r="N387" i="1"/>
  <c r="O387" i="1" s="1"/>
  <c r="I389" i="2"/>
  <c r="J389" i="1"/>
  <c r="Q390" i="1"/>
  <c r="R390" i="1" s="1"/>
  <c r="M394" i="1"/>
  <c r="J396" i="1"/>
  <c r="Q403" i="1"/>
  <c r="N403" i="1"/>
  <c r="O403" i="1" s="1"/>
  <c r="O403" i="2" s="1"/>
  <c r="R403" i="2" s="1"/>
  <c r="I405" i="2"/>
  <c r="J405" i="1"/>
  <c r="M410" i="1"/>
  <c r="J412" i="1"/>
  <c r="Q419" i="1"/>
  <c r="R419" i="1" s="1"/>
  <c r="N419" i="1"/>
  <c r="O419" i="1" s="1"/>
  <c r="I421" i="2"/>
  <c r="J421" i="1"/>
  <c r="Q422" i="1"/>
  <c r="R422" i="1" s="1"/>
  <c r="M426" i="1"/>
  <c r="I430" i="2"/>
  <c r="J430" i="1"/>
  <c r="N441" i="1"/>
  <c r="O441" i="1" s="1"/>
  <c r="I474" i="2"/>
  <c r="J474" i="1"/>
  <c r="R483" i="1"/>
  <c r="R482" i="1" s="1"/>
  <c r="R486" i="1"/>
  <c r="I491" i="2"/>
  <c r="J491" i="1"/>
  <c r="I501" i="2"/>
  <c r="J501" i="1"/>
  <c r="I506" i="2"/>
  <c r="J506" i="1"/>
  <c r="I524" i="2"/>
  <c r="J524" i="1"/>
  <c r="I534" i="2"/>
  <c r="J534" i="1"/>
  <c r="I544" i="2"/>
  <c r="J544" i="1"/>
  <c r="R562" i="1"/>
  <c r="N42" i="2"/>
  <c r="O42" i="2" s="1"/>
  <c r="O42" i="5" s="1"/>
  <c r="O42" i="7" s="1"/>
  <c r="R65" i="2"/>
  <c r="J69" i="2"/>
  <c r="J77" i="2"/>
  <c r="O82" i="2"/>
  <c r="R82" i="2" s="1"/>
  <c r="O106" i="2"/>
  <c r="R106" i="2" s="1"/>
  <c r="O117" i="2"/>
  <c r="R130" i="2"/>
  <c r="R134" i="2"/>
  <c r="O162" i="2"/>
  <c r="R162" i="2" s="1"/>
  <c r="R197" i="2"/>
  <c r="N219" i="2"/>
  <c r="O219" i="2" s="1"/>
  <c r="O219" i="5" s="1"/>
  <c r="M219" i="2"/>
  <c r="I434" i="5"/>
  <c r="J434" i="2"/>
  <c r="I438" i="5"/>
  <c r="J438" i="2"/>
  <c r="I442" i="5"/>
  <c r="J442" i="2"/>
  <c r="I446" i="5"/>
  <c r="J446" i="2"/>
  <c r="I454" i="5"/>
  <c r="J454" i="2"/>
  <c r="I458" i="5"/>
  <c r="J458" i="2"/>
  <c r="I462" i="5"/>
  <c r="J462" i="2"/>
  <c r="Q468" i="1"/>
  <c r="R468" i="1" s="1"/>
  <c r="Q472" i="1"/>
  <c r="R472" i="1" s="1"/>
  <c r="Q476" i="1"/>
  <c r="R476" i="1" s="1"/>
  <c r="Q480" i="1"/>
  <c r="R480" i="1" s="1"/>
  <c r="Q484" i="1"/>
  <c r="R484" i="1" s="1"/>
  <c r="Q488" i="1"/>
  <c r="Q492" i="1"/>
  <c r="R492" i="1" s="1"/>
  <c r="Q496" i="1"/>
  <c r="R496" i="1" s="1"/>
  <c r="Q500" i="1"/>
  <c r="R500" i="1" s="1"/>
  <c r="Q504" i="1"/>
  <c r="R504" i="1" s="1"/>
  <c r="Q512" i="1"/>
  <c r="R512" i="1" s="1"/>
  <c r="Q516" i="1"/>
  <c r="R516" i="1" s="1"/>
  <c r="Q524" i="1"/>
  <c r="R524" i="1" s="1"/>
  <c r="Q528" i="1"/>
  <c r="R528" i="1" s="1"/>
  <c r="Q532" i="1"/>
  <c r="R532" i="1" s="1"/>
  <c r="Q536" i="1"/>
  <c r="R536" i="1" s="1"/>
  <c r="Q540" i="1"/>
  <c r="R540" i="1" s="1"/>
  <c r="Q544" i="1"/>
  <c r="R544" i="1" s="1"/>
  <c r="Q548" i="1"/>
  <c r="R548" i="1" s="1"/>
  <c r="Q552" i="1"/>
  <c r="Q556" i="1"/>
  <c r="R556" i="1" s="1"/>
  <c r="Q560" i="1"/>
  <c r="R560" i="1" s="1"/>
  <c r="Q564" i="1"/>
  <c r="R564" i="1" s="1"/>
  <c r="I570" i="5"/>
  <c r="J570" i="2"/>
  <c r="I574" i="5"/>
  <c r="J574" i="2"/>
  <c r="I578" i="5"/>
  <c r="J578" i="2"/>
  <c r="I582" i="5"/>
  <c r="J582" i="2"/>
  <c r="I586" i="5"/>
  <c r="J586" i="2"/>
  <c r="I590" i="5"/>
  <c r="J590" i="2"/>
  <c r="M42" i="2"/>
  <c r="N61" i="2"/>
  <c r="O61" i="2" s="1"/>
  <c r="R61" i="2" s="1"/>
  <c r="N65" i="2"/>
  <c r="O65" i="2" s="1"/>
  <c r="Q66" i="2"/>
  <c r="Q83" i="2"/>
  <c r="R83" i="2" s="1"/>
  <c r="N86" i="2"/>
  <c r="Q87" i="2"/>
  <c r="Q79" i="2" s="1"/>
  <c r="N90" i="2"/>
  <c r="O90" i="2" s="1"/>
  <c r="R90" i="2" s="1"/>
  <c r="Q91" i="2"/>
  <c r="N98" i="2"/>
  <c r="O98" i="2" s="1"/>
  <c r="R98" i="2" s="1"/>
  <c r="Q99" i="2"/>
  <c r="Q95" i="2" s="1"/>
  <c r="Q116" i="2"/>
  <c r="N122" i="2"/>
  <c r="Q123" i="2"/>
  <c r="R123" i="2" s="1"/>
  <c r="N138" i="2"/>
  <c r="O138" i="2" s="1"/>
  <c r="R138" i="2" s="1"/>
  <c r="O141" i="2"/>
  <c r="R190" i="2"/>
  <c r="O229" i="2"/>
  <c r="O239" i="2"/>
  <c r="O245" i="2"/>
  <c r="O326" i="2"/>
  <c r="O326" i="5" s="1"/>
  <c r="O326" i="7" s="1"/>
  <c r="R326" i="7" s="1"/>
  <c r="N329" i="2"/>
  <c r="O340" i="2"/>
  <c r="O340" i="5" s="1"/>
  <c r="O360" i="2"/>
  <c r="O360" i="5" s="1"/>
  <c r="O377" i="2"/>
  <c r="O384" i="2"/>
  <c r="O384" i="5" s="1"/>
  <c r="N395" i="2"/>
  <c r="O411" i="2"/>
  <c r="R411" i="2" s="1"/>
  <c r="O433" i="2"/>
  <c r="R436" i="2"/>
  <c r="O466" i="2"/>
  <c r="R466" i="2" s="1"/>
  <c r="O543" i="2"/>
  <c r="Q578" i="2"/>
  <c r="R578" i="2" s="1"/>
  <c r="N578" i="2"/>
  <c r="O578" i="2" s="1"/>
  <c r="O578" i="5" s="1"/>
  <c r="M578" i="2"/>
  <c r="N35" i="5"/>
  <c r="J434" i="1"/>
  <c r="J438" i="1"/>
  <c r="J442" i="1"/>
  <c r="J446" i="1"/>
  <c r="J450" i="1"/>
  <c r="Q588" i="1"/>
  <c r="O188" i="2"/>
  <c r="R188" i="2" s="1"/>
  <c r="O193" i="2"/>
  <c r="R193" i="2" s="1"/>
  <c r="O198" i="2"/>
  <c r="O200" i="2"/>
  <c r="O210" i="2"/>
  <c r="O212" i="2"/>
  <c r="R212" i="2" s="1"/>
  <c r="O234" i="2"/>
  <c r="R234" i="2" s="1"/>
  <c r="O242" i="2"/>
  <c r="O248" i="2"/>
  <c r="O257" i="2"/>
  <c r="O257" i="5" s="1"/>
  <c r="R257" i="5" s="1"/>
  <c r="R266" i="2"/>
  <c r="R271" i="2"/>
  <c r="R278" i="2"/>
  <c r="R283" i="2"/>
  <c r="O297" i="2"/>
  <c r="N296" i="2"/>
  <c r="O300" i="2"/>
  <c r="R300" i="2" s="1"/>
  <c r="R310" i="2"/>
  <c r="O320" i="2"/>
  <c r="O320" i="5" s="1"/>
  <c r="O323" i="2"/>
  <c r="R336" i="2"/>
  <c r="R356" i="2"/>
  <c r="R363" i="2"/>
  <c r="O388" i="2"/>
  <c r="O388" i="5" s="1"/>
  <c r="O400" i="2"/>
  <c r="O400" i="5" s="1"/>
  <c r="O415" i="2"/>
  <c r="R415" i="2" s="1"/>
  <c r="R430" i="2"/>
  <c r="O437" i="2"/>
  <c r="R440" i="2"/>
  <c r="O506" i="2"/>
  <c r="R575" i="2"/>
  <c r="Q156" i="5"/>
  <c r="I521" i="5"/>
  <c r="J521" i="2"/>
  <c r="I525" i="5"/>
  <c r="J525" i="2"/>
  <c r="I529" i="5"/>
  <c r="J529" i="2"/>
  <c r="I533" i="5"/>
  <c r="J533" i="2"/>
  <c r="I537" i="5"/>
  <c r="J537" i="2"/>
  <c r="I541" i="5"/>
  <c r="J541" i="2"/>
  <c r="I545" i="5"/>
  <c r="J545" i="2"/>
  <c r="M546" i="1"/>
  <c r="I549" i="5"/>
  <c r="J549" i="2"/>
  <c r="M550" i="1"/>
  <c r="I553" i="5"/>
  <c r="J553" i="2"/>
  <c r="I557" i="5"/>
  <c r="J557" i="2"/>
  <c r="M558" i="1"/>
  <c r="I561" i="5"/>
  <c r="J561" i="2"/>
  <c r="M562" i="1"/>
  <c r="I565" i="5"/>
  <c r="J565" i="2"/>
  <c r="M34" i="2"/>
  <c r="M40" i="2"/>
  <c r="M64" i="2"/>
  <c r="M85" i="2"/>
  <c r="M89" i="2"/>
  <c r="M93" i="2"/>
  <c r="M97" i="2"/>
  <c r="M95" i="2" s="1"/>
  <c r="M104" i="2"/>
  <c r="Q105" i="2"/>
  <c r="R105" i="2" s="1"/>
  <c r="M111" i="2"/>
  <c r="M128" i="2"/>
  <c r="Q129" i="2"/>
  <c r="R129" i="2" s="1"/>
  <c r="M143" i="2"/>
  <c r="M140" i="2" s="1"/>
  <c r="M139" i="2" s="1"/>
  <c r="N170" i="2"/>
  <c r="O177" i="2"/>
  <c r="M226" i="2"/>
  <c r="O232" i="2"/>
  <c r="O237" i="2"/>
  <c r="R239" i="2"/>
  <c r="O260" i="2"/>
  <c r="O269" i="2"/>
  <c r="O272" i="2"/>
  <c r="R272" i="2" s="1"/>
  <c r="O281" i="2"/>
  <c r="O284" i="2"/>
  <c r="R284" i="2" s="1"/>
  <c r="R294" i="2"/>
  <c r="O303" i="2"/>
  <c r="O306" i="2"/>
  <c r="O306" i="5" s="1"/>
  <c r="O306" i="7" s="1"/>
  <c r="R306" i="7" s="1"/>
  <c r="O313" i="2"/>
  <c r="O357" i="2"/>
  <c r="O364" i="2"/>
  <c r="O364" i="5" s="1"/>
  <c r="O381" i="2"/>
  <c r="O392" i="2"/>
  <c r="O392" i="5" s="1"/>
  <c r="O404" i="2"/>
  <c r="O404" i="5" s="1"/>
  <c r="O408" i="2"/>
  <c r="O408" i="5" s="1"/>
  <c r="O419" i="2"/>
  <c r="R419" i="2" s="1"/>
  <c r="O441" i="2"/>
  <c r="R444" i="2"/>
  <c r="R448" i="2"/>
  <c r="O455" i="2"/>
  <c r="O65" i="5"/>
  <c r="J521" i="1"/>
  <c r="I569" i="5"/>
  <c r="J569" i="2"/>
  <c r="I573" i="5"/>
  <c r="J573" i="2"/>
  <c r="I577" i="5"/>
  <c r="J577" i="2"/>
  <c r="I581" i="5"/>
  <c r="J581" i="2"/>
  <c r="I585" i="5"/>
  <c r="J585" i="2"/>
  <c r="I589" i="5"/>
  <c r="J589" i="2"/>
  <c r="N64" i="2"/>
  <c r="N85" i="2"/>
  <c r="O85" i="2" s="1"/>
  <c r="R85" i="2" s="1"/>
  <c r="N89" i="2"/>
  <c r="O89" i="2" s="1"/>
  <c r="R89" i="2" s="1"/>
  <c r="N93" i="2"/>
  <c r="O93" i="2" s="1"/>
  <c r="R93" i="2" s="1"/>
  <c r="N97" i="2"/>
  <c r="O97" i="2" s="1"/>
  <c r="R97" i="2" s="1"/>
  <c r="N104" i="2"/>
  <c r="O104" i="2" s="1"/>
  <c r="R104" i="2" s="1"/>
  <c r="N111" i="2"/>
  <c r="O111" i="2" s="1"/>
  <c r="R111" i="2" s="1"/>
  <c r="N128" i="2"/>
  <c r="O128" i="2" s="1"/>
  <c r="R128" i="2" s="1"/>
  <c r="N151" i="2"/>
  <c r="Q151" i="2"/>
  <c r="O182" i="2"/>
  <c r="O191" i="2"/>
  <c r="O203" i="2"/>
  <c r="O251" i="2"/>
  <c r="R251" i="2" s="1"/>
  <c r="O263" i="2"/>
  <c r="O266" i="2"/>
  <c r="O275" i="2"/>
  <c r="O278" i="2"/>
  <c r="O287" i="2"/>
  <c r="R287" i="2" s="1"/>
  <c r="O290" i="2"/>
  <c r="R290" i="2" s="1"/>
  <c r="P296" i="2"/>
  <c r="O310" i="2"/>
  <c r="O310" i="5" s="1"/>
  <c r="O310" i="7" s="1"/>
  <c r="R310" i="7" s="1"/>
  <c r="R323" i="2"/>
  <c r="O334" i="2"/>
  <c r="O334" i="5" s="1"/>
  <c r="O334" i="7" s="1"/>
  <c r="R334" i="7" s="1"/>
  <c r="O344" i="2"/>
  <c r="O344" i="5" s="1"/>
  <c r="R360" i="2"/>
  <c r="O371" i="2"/>
  <c r="R371" i="2" s="1"/>
  <c r="R378" i="2"/>
  <c r="R384" i="2"/>
  <c r="O412" i="2"/>
  <c r="O412" i="5" s="1"/>
  <c r="O423" i="2"/>
  <c r="R423" i="2" s="1"/>
  <c r="O494" i="2"/>
  <c r="R242" i="5"/>
  <c r="R555" i="1"/>
  <c r="R554" i="1" s="1"/>
  <c r="R567" i="1"/>
  <c r="J569" i="1"/>
  <c r="J573" i="1"/>
  <c r="J577" i="1"/>
  <c r="J581" i="1"/>
  <c r="J585" i="1"/>
  <c r="J589" i="1"/>
  <c r="M57" i="2"/>
  <c r="M72" i="2"/>
  <c r="M76" i="2"/>
  <c r="M80" i="2"/>
  <c r="M79" i="2" s="1"/>
  <c r="M100" i="2"/>
  <c r="N137" i="2"/>
  <c r="O137" i="2" s="1"/>
  <c r="M151" i="2"/>
  <c r="M148" i="2" s="1"/>
  <c r="M158" i="2"/>
  <c r="M156" i="2" s="1"/>
  <c r="M155" i="2" s="1"/>
  <c r="O171" i="2"/>
  <c r="R177" i="2"/>
  <c r="M182" i="2"/>
  <c r="M179" i="2" s="1"/>
  <c r="M178" i="2" s="1"/>
  <c r="R186" i="2"/>
  <c r="R198" i="2"/>
  <c r="R210" i="2"/>
  <c r="Q217" i="2"/>
  <c r="R217" i="2" s="1"/>
  <c r="N222" i="2"/>
  <c r="R230" i="2"/>
  <c r="R248" i="2"/>
  <c r="O254" i="2"/>
  <c r="O254" i="5" s="1"/>
  <c r="O294" i="2"/>
  <c r="O294" i="5" s="1"/>
  <c r="O294" i="7" s="1"/>
  <c r="R294" i="7" s="1"/>
  <c r="R303" i="2"/>
  <c r="R320" i="2"/>
  <c r="O324" i="2"/>
  <c r="R324" i="2" s="1"/>
  <c r="O327" i="2"/>
  <c r="O361" i="2"/>
  <c r="O368" i="2"/>
  <c r="O368" i="5" s="1"/>
  <c r="O385" i="2"/>
  <c r="O397" i="2"/>
  <c r="O397" i="5" s="1"/>
  <c r="R400" i="2"/>
  <c r="O416" i="2"/>
  <c r="O416" i="5" s="1"/>
  <c r="O427" i="2"/>
  <c r="R427" i="2" s="1"/>
  <c r="Q513" i="2"/>
  <c r="R513" i="2" s="1"/>
  <c r="N513" i="2"/>
  <c r="O513" i="2" s="1"/>
  <c r="M513" i="2"/>
  <c r="I552" i="5"/>
  <c r="J552" i="2"/>
  <c r="I556" i="5"/>
  <c r="J556" i="2"/>
  <c r="J560" i="2"/>
  <c r="I560" i="5"/>
  <c r="I564" i="5"/>
  <c r="J564" i="2"/>
  <c r="O145" i="2"/>
  <c r="O145" i="5" s="1"/>
  <c r="R173" i="2"/>
  <c r="O189" i="2"/>
  <c r="R189" i="2" s="1"/>
  <c r="O194" i="2"/>
  <c r="O196" i="2"/>
  <c r="O201" i="2"/>
  <c r="R201" i="2" s="1"/>
  <c r="Q226" i="2"/>
  <c r="R232" i="2"/>
  <c r="O235" i="2"/>
  <c r="O243" i="2"/>
  <c r="O249" i="2"/>
  <c r="O249" i="5" s="1"/>
  <c r="R249" i="5" s="1"/>
  <c r="R258" i="2"/>
  <c r="R260" i="2"/>
  <c r="R263" i="2"/>
  <c r="R270" i="2"/>
  <c r="R275" i="2"/>
  <c r="O301" i="2"/>
  <c r="O304" i="2"/>
  <c r="O304" i="5" s="1"/>
  <c r="R318" i="2"/>
  <c r="O321" i="2"/>
  <c r="O351" i="2"/>
  <c r="R351" i="2" s="1"/>
  <c r="O389" i="2"/>
  <c r="R392" i="2"/>
  <c r="P395" i="2"/>
  <c r="P328" i="2" s="1"/>
  <c r="O401" i="2"/>
  <c r="O420" i="2"/>
  <c r="O420" i="5" s="1"/>
  <c r="O431" i="2"/>
  <c r="R431" i="2" s="1"/>
  <c r="R478" i="2"/>
  <c r="O490" i="2"/>
  <c r="R494" i="2"/>
  <c r="O499" i="2"/>
  <c r="R502" i="2"/>
  <c r="Q226" i="5"/>
  <c r="I428" i="5"/>
  <c r="J428" i="2"/>
  <c r="I432" i="5"/>
  <c r="J432" i="2"/>
  <c r="I436" i="5"/>
  <c r="J436" i="2"/>
  <c r="I440" i="5"/>
  <c r="J440" i="2"/>
  <c r="I444" i="5"/>
  <c r="J444" i="2"/>
  <c r="I448" i="5"/>
  <c r="J448" i="2"/>
  <c r="I452" i="5"/>
  <c r="J452" i="2"/>
  <c r="I456" i="5"/>
  <c r="J456" i="2"/>
  <c r="I460" i="5"/>
  <c r="J460" i="2"/>
  <c r="I464" i="5"/>
  <c r="J464" i="2"/>
  <c r="J552" i="1"/>
  <c r="J556" i="1"/>
  <c r="J560" i="1"/>
  <c r="J564" i="1"/>
  <c r="I568" i="5"/>
  <c r="J568" i="2"/>
  <c r="I572" i="5"/>
  <c r="J572" i="2"/>
  <c r="I576" i="5"/>
  <c r="J576" i="2"/>
  <c r="I580" i="5"/>
  <c r="J580" i="2"/>
  <c r="I584" i="5"/>
  <c r="J584" i="2"/>
  <c r="I588" i="5"/>
  <c r="J588" i="2"/>
  <c r="M31" i="2"/>
  <c r="M37" i="2"/>
  <c r="M51" i="2"/>
  <c r="M43" i="2" s="1"/>
  <c r="N67" i="2"/>
  <c r="O67" i="2" s="1"/>
  <c r="R67" i="2" s="1"/>
  <c r="N84" i="2"/>
  <c r="O84" i="2" s="1"/>
  <c r="N88" i="2"/>
  <c r="O88" i="2" s="1"/>
  <c r="R88" i="2" s="1"/>
  <c r="N92" i="2"/>
  <c r="N96" i="2"/>
  <c r="M103" i="2"/>
  <c r="N110" i="2"/>
  <c r="O110" i="2" s="1"/>
  <c r="R110" i="2" s="1"/>
  <c r="Q121" i="2"/>
  <c r="M127" i="2"/>
  <c r="J150" i="2"/>
  <c r="P150" i="2"/>
  <c r="P148" i="2" s="1"/>
  <c r="M160" i="2"/>
  <c r="N179" i="2"/>
  <c r="N178" i="2" s="1"/>
  <c r="Q182" i="2"/>
  <c r="R182" i="2" s="1"/>
  <c r="O220" i="2"/>
  <c r="O230" i="2"/>
  <c r="O246" i="2"/>
  <c r="R246" i="2" s="1"/>
  <c r="O252" i="2"/>
  <c r="O261" i="2"/>
  <c r="O264" i="2"/>
  <c r="R264" i="2" s="1"/>
  <c r="O273" i="2"/>
  <c r="O276" i="2"/>
  <c r="O285" i="2"/>
  <c r="O288" i="2"/>
  <c r="O298" i="2"/>
  <c r="O298" i="5" s="1"/>
  <c r="O298" i="7" s="1"/>
  <c r="R298" i="7" s="1"/>
  <c r="N307" i="2"/>
  <c r="O308" i="2"/>
  <c r="O314" i="2"/>
  <c r="O314" i="5" s="1"/>
  <c r="O314" i="7" s="1"/>
  <c r="R314" i="7" s="1"/>
  <c r="R327" i="2"/>
  <c r="R344" i="2"/>
  <c r="O348" i="2"/>
  <c r="O348" i="5" s="1"/>
  <c r="O365" i="2"/>
  <c r="O372" i="2"/>
  <c r="O372" i="5" s="1"/>
  <c r="O393" i="2"/>
  <c r="O405" i="2"/>
  <c r="O409" i="2"/>
  <c r="R412" i="2"/>
  <c r="O424" i="2"/>
  <c r="O424" i="5" s="1"/>
  <c r="O435" i="2"/>
  <c r="R435" i="2" s="1"/>
  <c r="J459" i="2"/>
  <c r="O519" i="2"/>
  <c r="O551" i="2"/>
  <c r="O563" i="2"/>
  <c r="O571" i="2"/>
  <c r="K96" i="3"/>
  <c r="K95" i="3"/>
  <c r="O200" i="5"/>
  <c r="R200" i="5" s="1"/>
  <c r="P596" i="2"/>
  <c r="J31" i="23"/>
  <c r="K31" i="23" s="1"/>
  <c r="K31" i="20"/>
  <c r="N31" i="2"/>
  <c r="N37" i="2"/>
  <c r="O37" i="2" s="1"/>
  <c r="P58" i="2"/>
  <c r="P53" i="2" s="1"/>
  <c r="P52" i="2" s="1"/>
  <c r="R137" i="2"/>
  <c r="E143" i="2"/>
  <c r="Q141" i="2"/>
  <c r="N160" i="2"/>
  <c r="O174" i="2"/>
  <c r="O187" i="2"/>
  <c r="O187" i="5" s="1"/>
  <c r="R192" i="2"/>
  <c r="O199" i="2"/>
  <c r="O211" i="2"/>
  <c r="N215" i="2"/>
  <c r="O218" i="2"/>
  <c r="O228" i="2"/>
  <c r="R228" i="2" s="1"/>
  <c r="O233" i="2"/>
  <c r="R235" i="2"/>
  <c r="O241" i="2"/>
  <c r="N240" i="2"/>
  <c r="N225" i="2" s="1"/>
  <c r="R243" i="2"/>
  <c r="O258" i="2"/>
  <c r="O267" i="2"/>
  <c r="O270" i="2"/>
  <c r="O279" i="2"/>
  <c r="R279" i="2" s="1"/>
  <c r="O282" i="2"/>
  <c r="R282" i="2" s="1"/>
  <c r="N291" i="2"/>
  <c r="O292" i="2"/>
  <c r="R292" i="2" s="1"/>
  <c r="O311" i="2"/>
  <c r="R311" i="2" s="1"/>
  <c r="O332" i="2"/>
  <c r="O332" i="5" s="1"/>
  <c r="R332" i="5" s="1"/>
  <c r="O335" i="2"/>
  <c r="O345" i="2"/>
  <c r="O355" i="2"/>
  <c r="R355" i="2" s="1"/>
  <c r="R368" i="2"/>
  <c r="O379" i="2"/>
  <c r="P406" i="2"/>
  <c r="O413" i="2"/>
  <c r="O428" i="2"/>
  <c r="O428" i="5" s="1"/>
  <c r="Q469" i="2"/>
  <c r="R469" i="2" s="1"/>
  <c r="M469" i="2"/>
  <c r="N469" i="2"/>
  <c r="O469" i="2" s="1"/>
  <c r="O469" i="5" s="1"/>
  <c r="O535" i="2"/>
  <c r="I515" i="5"/>
  <c r="J515" i="2"/>
  <c r="I519" i="5"/>
  <c r="J519" i="2"/>
  <c r="I523" i="5"/>
  <c r="J523" i="2"/>
  <c r="I527" i="5"/>
  <c r="J527" i="2"/>
  <c r="M528" i="1"/>
  <c r="M520" i="1" s="1"/>
  <c r="I531" i="5"/>
  <c r="J531" i="2"/>
  <c r="M532" i="1"/>
  <c r="I535" i="5"/>
  <c r="J535" i="2"/>
  <c r="M536" i="1"/>
  <c r="I539" i="5"/>
  <c r="J539" i="2"/>
  <c r="M540" i="1"/>
  <c r="I543" i="5"/>
  <c r="J543" i="2"/>
  <c r="M544" i="1"/>
  <c r="I547" i="5"/>
  <c r="J547" i="2"/>
  <c r="M548" i="1"/>
  <c r="I551" i="5"/>
  <c r="J551" i="2"/>
  <c r="I555" i="5"/>
  <c r="J555" i="2"/>
  <c r="M556" i="1"/>
  <c r="M554" i="1" s="1"/>
  <c r="I559" i="5"/>
  <c r="J559" i="2"/>
  <c r="M560" i="1"/>
  <c r="I563" i="5"/>
  <c r="J563" i="2"/>
  <c r="M564" i="1"/>
  <c r="I567" i="5"/>
  <c r="J567" i="2"/>
  <c r="O589" i="1"/>
  <c r="O589" i="2" s="1"/>
  <c r="M66" i="2"/>
  <c r="M83" i="2"/>
  <c r="M87" i="2"/>
  <c r="M91" i="2"/>
  <c r="M99" i="2"/>
  <c r="M116" i="2"/>
  <c r="Q117" i="2"/>
  <c r="R117" i="2" s="1"/>
  <c r="M123" i="2"/>
  <c r="M120" i="2" s="1"/>
  <c r="N133" i="2"/>
  <c r="O133" i="2" s="1"/>
  <c r="R133" i="2" s="1"/>
  <c r="M136" i="2"/>
  <c r="Q153" i="2"/>
  <c r="M172" i="2"/>
  <c r="M170" i="2" s="1"/>
  <c r="M174" i="2"/>
  <c r="M176" i="2"/>
  <c r="M175" i="2" s="1"/>
  <c r="R194" i="2"/>
  <c r="M216" i="2"/>
  <c r="M215" i="2" s="1"/>
  <c r="O238" i="2"/>
  <c r="R238" i="2" s="1"/>
  <c r="O244" i="2"/>
  <c r="R244" i="2" s="1"/>
  <c r="M291" i="2"/>
  <c r="O295" i="2"/>
  <c r="R295" i="2" s="1"/>
  <c r="R322" i="2"/>
  <c r="O325" i="2"/>
  <c r="O342" i="2"/>
  <c r="O352" i="2"/>
  <c r="O352" i="5" s="1"/>
  <c r="O369" i="2"/>
  <c r="O376" i="2"/>
  <c r="O376" i="5" s="1"/>
  <c r="R410" i="2"/>
  <c r="O417" i="2"/>
  <c r="R420" i="2"/>
  <c r="R447" i="2"/>
  <c r="I455" i="5"/>
  <c r="J455" i="2"/>
  <c r="I459" i="7"/>
  <c r="J459" i="5"/>
  <c r="I463" i="5"/>
  <c r="J463" i="2"/>
  <c r="J511" i="1"/>
  <c r="J515" i="1"/>
  <c r="J519" i="1"/>
  <c r="J523" i="1"/>
  <c r="J527" i="1"/>
  <c r="J531" i="1"/>
  <c r="J535" i="1"/>
  <c r="J539" i="1"/>
  <c r="J543" i="1"/>
  <c r="I571" i="5"/>
  <c r="J571" i="2"/>
  <c r="I575" i="5"/>
  <c r="J575" i="2"/>
  <c r="I579" i="5"/>
  <c r="J579" i="2"/>
  <c r="I583" i="5"/>
  <c r="J583" i="2"/>
  <c r="I587" i="5"/>
  <c r="J587" i="2"/>
  <c r="P51" i="2"/>
  <c r="P43" i="2" s="1"/>
  <c r="P27" i="2" s="1"/>
  <c r="J141" i="2"/>
  <c r="P142" i="2"/>
  <c r="N172" i="2"/>
  <c r="O172" i="2" s="1"/>
  <c r="R172" i="2" s="1"/>
  <c r="N176" i="2"/>
  <c r="O185" i="2"/>
  <c r="R185" i="2" s="1"/>
  <c r="O190" i="2"/>
  <c r="O192" i="2"/>
  <c r="O197" i="2"/>
  <c r="O202" i="2"/>
  <c r="R202" i="2" s="1"/>
  <c r="O204" i="2"/>
  <c r="R204" i="2" s="1"/>
  <c r="O209" i="2"/>
  <c r="R209" i="2" s="1"/>
  <c r="O214" i="2"/>
  <c r="R214" i="2" s="1"/>
  <c r="O216" i="2"/>
  <c r="O236" i="2"/>
  <c r="R236" i="2" s="1"/>
  <c r="P240" i="2"/>
  <c r="P225" i="2" s="1"/>
  <c r="R252" i="2"/>
  <c r="R262" i="2"/>
  <c r="R267" i="2"/>
  <c r="R274" i="2"/>
  <c r="R276" i="2"/>
  <c r="R286" i="2"/>
  <c r="O305" i="2"/>
  <c r="Q307" i="2"/>
  <c r="O322" i="2"/>
  <c r="O322" i="5" s="1"/>
  <c r="O322" i="7" s="1"/>
  <c r="R322" i="7" s="1"/>
  <c r="R335" i="2"/>
  <c r="R348" i="2"/>
  <c r="O359" i="2"/>
  <c r="R359" i="2" s="1"/>
  <c r="R366" i="2"/>
  <c r="R379" i="2"/>
  <c r="O383" i="2"/>
  <c r="R383" i="2" s="1"/>
  <c r="R414" i="2"/>
  <c r="O421" i="2"/>
  <c r="O436" i="2"/>
  <c r="O436" i="5" s="1"/>
  <c r="O470" i="2"/>
  <c r="O470" i="5" s="1"/>
  <c r="Q476" i="2"/>
  <c r="R476" i="2" s="1"/>
  <c r="N476" i="2"/>
  <c r="O476" i="2" s="1"/>
  <c r="M476" i="2"/>
  <c r="O515" i="2"/>
  <c r="O559" i="2"/>
  <c r="R44" i="5"/>
  <c r="R265" i="5"/>
  <c r="J455" i="1"/>
  <c r="J459" i="1"/>
  <c r="J463" i="1"/>
  <c r="O164" i="2"/>
  <c r="R164" i="2" s="1"/>
  <c r="O168" i="2"/>
  <c r="R168" i="2" s="1"/>
  <c r="Q174" i="2"/>
  <c r="R174" i="2" s="1"/>
  <c r="J219" i="2"/>
  <c r="E221" i="2"/>
  <c r="Q219" i="2"/>
  <c r="R219" i="2" s="1"/>
  <c r="O221" i="2"/>
  <c r="Q222" i="2"/>
  <c r="O231" i="2"/>
  <c r="R231" i="2" s="1"/>
  <c r="O247" i="2"/>
  <c r="R247" i="2" s="1"/>
  <c r="O253" i="2"/>
  <c r="M255" i="2"/>
  <c r="O265" i="2"/>
  <c r="O268" i="2"/>
  <c r="R268" i="2" s="1"/>
  <c r="O277" i="2"/>
  <c r="O280" i="2"/>
  <c r="R280" i="2" s="1"/>
  <c r="O289" i="2"/>
  <c r="O302" i="2"/>
  <c r="O309" i="2"/>
  <c r="O312" i="2"/>
  <c r="O312" i="5" s="1"/>
  <c r="O336" i="2"/>
  <c r="O336" i="5" s="1"/>
  <c r="R346" i="2"/>
  <c r="O349" i="2"/>
  <c r="O356" i="2"/>
  <c r="O356" i="5" s="1"/>
  <c r="O373" i="2"/>
  <c r="O380" i="2"/>
  <c r="O380" i="5" s="1"/>
  <c r="O387" i="2"/>
  <c r="R387" i="2" s="1"/>
  <c r="O399" i="2"/>
  <c r="R399" i="2" s="1"/>
  <c r="R418" i="2"/>
  <c r="O425" i="2"/>
  <c r="R428" i="2"/>
  <c r="O440" i="2"/>
  <c r="O440" i="5" s="1"/>
  <c r="Q163" i="2"/>
  <c r="R163" i="2" s="1"/>
  <c r="Q167" i="2"/>
  <c r="R167" i="2" s="1"/>
  <c r="Q171" i="2"/>
  <c r="Q183" i="2"/>
  <c r="R183" i="2" s="1"/>
  <c r="Q187" i="2"/>
  <c r="R187" i="2" s="1"/>
  <c r="Q191" i="2"/>
  <c r="Q195" i="2"/>
  <c r="R195" i="2" s="1"/>
  <c r="Q199" i="2"/>
  <c r="Q203" i="2"/>
  <c r="R203" i="2" s="1"/>
  <c r="Q207" i="2"/>
  <c r="Q211" i="2"/>
  <c r="R211" i="2" s="1"/>
  <c r="Q229" i="2"/>
  <c r="R229" i="2" s="1"/>
  <c r="Q233" i="2"/>
  <c r="Q237" i="2"/>
  <c r="R237" i="2" s="1"/>
  <c r="Q241" i="2"/>
  <c r="Q245" i="2"/>
  <c r="R245" i="2" s="1"/>
  <c r="Q249" i="2"/>
  <c r="R249" i="2" s="1"/>
  <c r="Q253" i="2"/>
  <c r="R253" i="2" s="1"/>
  <c r="Q257" i="2"/>
  <c r="R257" i="2" s="1"/>
  <c r="Q261" i="2"/>
  <c r="R261" i="2" s="1"/>
  <c r="Q265" i="2"/>
  <c r="R265" i="2" s="1"/>
  <c r="Q269" i="2"/>
  <c r="R269" i="2" s="1"/>
  <c r="Q273" i="2"/>
  <c r="R273" i="2" s="1"/>
  <c r="Q277" i="2"/>
  <c r="R277" i="2" s="1"/>
  <c r="Q281" i="2"/>
  <c r="Q285" i="2"/>
  <c r="R285" i="2" s="1"/>
  <c r="Q289" i="2"/>
  <c r="Q293" i="2"/>
  <c r="Q297" i="2"/>
  <c r="Q301" i="2"/>
  <c r="R301" i="2" s="1"/>
  <c r="Q305" i="2"/>
  <c r="R305" i="2" s="1"/>
  <c r="Q309" i="2"/>
  <c r="Q313" i="2"/>
  <c r="R313" i="2" s="1"/>
  <c r="Q321" i="2"/>
  <c r="Q325" i="2"/>
  <c r="R325" i="2" s="1"/>
  <c r="Q333" i="2"/>
  <c r="Q329" i="2" s="1"/>
  <c r="Q341" i="2"/>
  <c r="Q345" i="2"/>
  <c r="R345" i="2" s="1"/>
  <c r="Q349" i="2"/>
  <c r="Q353" i="2"/>
  <c r="R353" i="2" s="1"/>
  <c r="Q357" i="2"/>
  <c r="R357" i="2" s="1"/>
  <c r="Q361" i="2"/>
  <c r="R361" i="2" s="1"/>
  <c r="Q365" i="2"/>
  <c r="R365" i="2" s="1"/>
  <c r="Q369" i="2"/>
  <c r="Q373" i="2"/>
  <c r="R373" i="2" s="1"/>
  <c r="Q377" i="2"/>
  <c r="R377" i="2" s="1"/>
  <c r="Q381" i="2"/>
  <c r="R381" i="2" s="1"/>
  <c r="Q385" i="2"/>
  <c r="R385" i="2" s="1"/>
  <c r="Q389" i="2"/>
  <c r="R389" i="2" s="1"/>
  <c r="Q393" i="2"/>
  <c r="Q397" i="2"/>
  <c r="Q401" i="2"/>
  <c r="Q405" i="2"/>
  <c r="R405" i="2" s="1"/>
  <c r="Q409" i="2"/>
  <c r="R409" i="2" s="1"/>
  <c r="Q413" i="2"/>
  <c r="R413" i="2" s="1"/>
  <c r="Q417" i="2"/>
  <c r="R417" i="2" s="1"/>
  <c r="Q421" i="2"/>
  <c r="R421" i="2" s="1"/>
  <c r="Q425" i="2"/>
  <c r="Q429" i="2"/>
  <c r="R429" i="2" s="1"/>
  <c r="Q433" i="2"/>
  <c r="R433" i="2" s="1"/>
  <c r="Q437" i="2"/>
  <c r="Q441" i="2"/>
  <c r="Q445" i="2"/>
  <c r="P481" i="2"/>
  <c r="Q488" i="2"/>
  <c r="N488" i="2"/>
  <c r="M488" i="2"/>
  <c r="Q505" i="2"/>
  <c r="M505" i="2"/>
  <c r="P520" i="2"/>
  <c r="P507" i="2" s="1"/>
  <c r="Q542" i="2"/>
  <c r="R542" i="2" s="1"/>
  <c r="N542" i="2"/>
  <c r="O542" i="2" s="1"/>
  <c r="Q556" i="2"/>
  <c r="N556" i="2"/>
  <c r="O556" i="2" s="1"/>
  <c r="M556" i="2"/>
  <c r="R585" i="2"/>
  <c r="M588" i="2"/>
  <c r="K56" i="3"/>
  <c r="K55" i="3"/>
  <c r="F39" i="1" s="1"/>
  <c r="K36" i="4"/>
  <c r="K35" i="4"/>
  <c r="O47" i="5"/>
  <c r="O61" i="5"/>
  <c r="R61" i="5" s="1"/>
  <c r="O93" i="5"/>
  <c r="O102" i="5"/>
  <c r="O142" i="5"/>
  <c r="O172" i="5"/>
  <c r="R172" i="5" s="1"/>
  <c r="Q179" i="5"/>
  <c r="Q178" i="5" s="1"/>
  <c r="O203" i="5"/>
  <c r="R210" i="5"/>
  <c r="N220" i="5"/>
  <c r="O220" i="5" s="1"/>
  <c r="M220" i="5"/>
  <c r="R229" i="5"/>
  <c r="O253" i="5"/>
  <c r="R253" i="5" s="1"/>
  <c r="O261" i="5"/>
  <c r="R269" i="5"/>
  <c r="Q421" i="5"/>
  <c r="M421" i="5"/>
  <c r="N421" i="5"/>
  <c r="O421" i="5" s="1"/>
  <c r="Q585" i="5"/>
  <c r="M585" i="5"/>
  <c r="N585" i="5"/>
  <c r="O585" i="5" s="1"/>
  <c r="M447" i="2"/>
  <c r="Q451" i="2"/>
  <c r="R451" i="2" s="1"/>
  <c r="O453" i="2"/>
  <c r="R453" i="2" s="1"/>
  <c r="N467" i="2"/>
  <c r="O467" i="2" s="1"/>
  <c r="M467" i="2"/>
  <c r="Q467" i="2"/>
  <c r="R467" i="2" s="1"/>
  <c r="N495" i="2"/>
  <c r="O495" i="2" s="1"/>
  <c r="M495" i="2"/>
  <c r="Q495" i="2"/>
  <c r="R495" i="2" s="1"/>
  <c r="Q500" i="2"/>
  <c r="R500" i="2" s="1"/>
  <c r="N500" i="2"/>
  <c r="O500" i="2" s="1"/>
  <c r="M500" i="2"/>
  <c r="N505" i="2"/>
  <c r="O505" i="2" s="1"/>
  <c r="O505" i="5" s="1"/>
  <c r="Q526" i="2"/>
  <c r="N526" i="2"/>
  <c r="O526" i="2" s="1"/>
  <c r="Q532" i="2"/>
  <c r="R532" i="2" s="1"/>
  <c r="N532" i="2"/>
  <c r="O532" i="2" s="1"/>
  <c r="M532" i="2"/>
  <c r="M542" i="2"/>
  <c r="R549" i="2"/>
  <c r="O573" i="2"/>
  <c r="R583" i="2"/>
  <c r="Q586" i="2"/>
  <c r="R586" i="2" s="1"/>
  <c r="N586" i="2"/>
  <c r="O586" i="2" s="1"/>
  <c r="O586" i="5" s="1"/>
  <c r="M586" i="2"/>
  <c r="K126" i="4"/>
  <c r="K125" i="4"/>
  <c r="P43" i="5"/>
  <c r="O55" i="5"/>
  <c r="O55" i="7" s="1"/>
  <c r="O55" i="9" s="1"/>
  <c r="O77" i="5"/>
  <c r="R77" i="5" s="1"/>
  <c r="O81" i="5"/>
  <c r="P95" i="5"/>
  <c r="P94" i="5" s="1"/>
  <c r="O147" i="5"/>
  <c r="R236" i="5"/>
  <c r="O258" i="5"/>
  <c r="O258" i="7" s="1"/>
  <c r="R258" i="7" s="1"/>
  <c r="O265" i="5"/>
  <c r="R273" i="5"/>
  <c r="N210" i="7"/>
  <c r="M210" i="7"/>
  <c r="Q210" i="7"/>
  <c r="N447" i="2"/>
  <c r="O447" i="2" s="1"/>
  <c r="N450" i="2"/>
  <c r="O450" i="2" s="1"/>
  <c r="O450" i="5" s="1"/>
  <c r="O450" i="7" s="1"/>
  <c r="R450" i="7" s="1"/>
  <c r="M486" i="2"/>
  <c r="Q490" i="2"/>
  <c r="R490" i="2" s="1"/>
  <c r="Q493" i="2"/>
  <c r="R493" i="2" s="1"/>
  <c r="M493" i="2"/>
  <c r="Q514" i="2"/>
  <c r="N514" i="2"/>
  <c r="O514" i="2" s="1"/>
  <c r="M526" i="2"/>
  <c r="Q529" i="2"/>
  <c r="R529" i="2" s="1"/>
  <c r="N529" i="2"/>
  <c r="O529" i="2" s="1"/>
  <c r="O529" i="5" s="1"/>
  <c r="M529" i="2"/>
  <c r="Q546" i="2"/>
  <c r="R546" i="2" s="1"/>
  <c r="N546" i="2"/>
  <c r="O546" i="2" s="1"/>
  <c r="Q560" i="2"/>
  <c r="R560" i="2" s="1"/>
  <c r="N560" i="2"/>
  <c r="O560" i="2" s="1"/>
  <c r="M560" i="2"/>
  <c r="O576" i="2"/>
  <c r="K16" i="3"/>
  <c r="K15" i="3"/>
  <c r="F32" i="1" s="1"/>
  <c r="O45" i="5"/>
  <c r="R45" i="5" s="1"/>
  <c r="O48" i="5"/>
  <c r="R65" i="5"/>
  <c r="R68" i="5"/>
  <c r="R81" i="5"/>
  <c r="O98" i="5"/>
  <c r="R123" i="5"/>
  <c r="O143" i="5"/>
  <c r="Q175" i="5"/>
  <c r="O188" i="5"/>
  <c r="R188" i="5" s="1"/>
  <c r="O204" i="5"/>
  <c r="O207" i="5"/>
  <c r="O207" i="7" s="1"/>
  <c r="O217" i="5"/>
  <c r="R217" i="5" s="1"/>
  <c r="O229" i="5"/>
  <c r="O229" i="7" s="1"/>
  <c r="R233" i="5"/>
  <c r="O262" i="5"/>
  <c r="O262" i="7" s="1"/>
  <c r="R262" i="7" s="1"/>
  <c r="O269" i="5"/>
  <c r="Q291" i="5"/>
  <c r="Q353" i="5"/>
  <c r="M353" i="5"/>
  <c r="N353" i="5"/>
  <c r="O386" i="5"/>
  <c r="O386" i="7" s="1"/>
  <c r="R386" i="7" s="1"/>
  <c r="R529" i="5"/>
  <c r="K88" i="6"/>
  <c r="K87" i="6"/>
  <c r="Q147" i="7"/>
  <c r="N147" i="7"/>
  <c r="M147" i="7"/>
  <c r="O457" i="2"/>
  <c r="Q472" i="2"/>
  <c r="R472" i="2" s="1"/>
  <c r="N472" i="2"/>
  <c r="O472" i="2" s="1"/>
  <c r="M472" i="2"/>
  <c r="N479" i="2"/>
  <c r="O479" i="2" s="1"/>
  <c r="M479" i="2"/>
  <c r="Q479" i="2"/>
  <c r="R479" i="2" s="1"/>
  <c r="Q484" i="2"/>
  <c r="N484" i="2"/>
  <c r="O484" i="2" s="1"/>
  <c r="M484" i="2"/>
  <c r="Q517" i="2"/>
  <c r="R517" i="2" s="1"/>
  <c r="N517" i="2"/>
  <c r="O517" i="2" s="1"/>
  <c r="O517" i="5" s="1"/>
  <c r="M517" i="2"/>
  <c r="Q536" i="2"/>
  <c r="R536" i="2" s="1"/>
  <c r="N536" i="2"/>
  <c r="O536" i="2" s="1"/>
  <c r="M536" i="2"/>
  <c r="Q552" i="2"/>
  <c r="O569" i="2"/>
  <c r="R569" i="2" s="1"/>
  <c r="R571" i="2"/>
  <c r="R573" i="2"/>
  <c r="O581" i="2"/>
  <c r="K42" i="4"/>
  <c r="Q29" i="5"/>
  <c r="N29" i="5"/>
  <c r="M29" i="5"/>
  <c r="M28" i="5" s="1"/>
  <c r="O37" i="5"/>
  <c r="O118" i="5"/>
  <c r="O138" i="5"/>
  <c r="O152" i="5"/>
  <c r="O152" i="7" s="1"/>
  <c r="Q165" i="5"/>
  <c r="O191" i="5"/>
  <c r="O221" i="5"/>
  <c r="O221" i="7" s="1"/>
  <c r="O221" i="9" s="1"/>
  <c r="O221" i="10" s="1"/>
  <c r="O221" i="13" s="1"/>
  <c r="O266" i="5"/>
  <c r="O266" i="7" s="1"/>
  <c r="R266" i="7" s="1"/>
  <c r="O273" i="5"/>
  <c r="O290" i="5"/>
  <c r="O290" i="7" s="1"/>
  <c r="R290" i="7" s="1"/>
  <c r="Q296" i="5"/>
  <c r="R372" i="5"/>
  <c r="O479" i="5"/>
  <c r="O479" i="7" s="1"/>
  <c r="O563" i="5"/>
  <c r="R308" i="2"/>
  <c r="R455" i="2"/>
  <c r="O461" i="2"/>
  <c r="R461" i="2" s="1"/>
  <c r="Q477" i="2"/>
  <c r="R477" i="2" s="1"/>
  <c r="M477" i="2"/>
  <c r="N491" i="2"/>
  <c r="O491" i="2" s="1"/>
  <c r="M491" i="2"/>
  <c r="Q491" i="2"/>
  <c r="R491" i="2" s="1"/>
  <c r="Q550" i="2"/>
  <c r="N550" i="2"/>
  <c r="O550" i="2" s="1"/>
  <c r="Q564" i="2"/>
  <c r="N564" i="2"/>
  <c r="O564" i="2" s="1"/>
  <c r="M564" i="2"/>
  <c r="Q574" i="2"/>
  <c r="R574" i="2" s="1"/>
  <c r="N574" i="2"/>
  <c r="O574" i="2" s="1"/>
  <c r="O574" i="5" s="1"/>
  <c r="M574" i="2"/>
  <c r="O584" i="2"/>
  <c r="Q590" i="2"/>
  <c r="N590" i="2"/>
  <c r="O590" i="2" s="1"/>
  <c r="O590" i="5" s="1"/>
  <c r="O590" i="7" s="1"/>
  <c r="M590" i="2"/>
  <c r="K26" i="3"/>
  <c r="K25" i="3"/>
  <c r="F33" i="1" s="1"/>
  <c r="K66" i="3"/>
  <c r="K65" i="3"/>
  <c r="F40" i="1" s="1"/>
  <c r="K116" i="3"/>
  <c r="K115" i="3"/>
  <c r="F51" i="1" s="1"/>
  <c r="P596" i="5"/>
  <c r="P27" i="5"/>
  <c r="O34" i="5"/>
  <c r="O68" i="5"/>
  <c r="R144" i="5"/>
  <c r="E150" i="5"/>
  <c r="E141" i="5"/>
  <c r="Q149" i="5"/>
  <c r="P149" i="5"/>
  <c r="J149" i="5"/>
  <c r="O230" i="5"/>
  <c r="O230" i="7" s="1"/>
  <c r="R230" i="7" s="1"/>
  <c r="O233" i="5"/>
  <c r="R237" i="5"/>
  <c r="O270" i="5"/>
  <c r="O270" i="7" s="1"/>
  <c r="R270" i="7" s="1"/>
  <c r="O277" i="5"/>
  <c r="R277" i="5" s="1"/>
  <c r="O454" i="5"/>
  <c r="Q293" i="7"/>
  <c r="N293" i="7"/>
  <c r="M293" i="7"/>
  <c r="M314" i="2"/>
  <c r="M307" i="2" s="1"/>
  <c r="M318" i="2"/>
  <c r="M317" i="2" s="1"/>
  <c r="M322" i="2"/>
  <c r="M326" i="2"/>
  <c r="M330" i="2"/>
  <c r="M329" i="2" s="1"/>
  <c r="M334" i="2"/>
  <c r="M338" i="2"/>
  <c r="M342" i="2"/>
  <c r="M346" i="2"/>
  <c r="M350" i="2"/>
  <c r="M354" i="2"/>
  <c r="M358" i="2"/>
  <c r="M362" i="2"/>
  <c r="M366" i="2"/>
  <c r="M370" i="2"/>
  <c r="M374" i="2"/>
  <c r="M378" i="2"/>
  <c r="M382" i="2"/>
  <c r="M386" i="2"/>
  <c r="M390" i="2"/>
  <c r="M394" i="2"/>
  <c r="M398" i="2"/>
  <c r="M402" i="2"/>
  <c r="M410" i="2"/>
  <c r="M414" i="2"/>
  <c r="M418" i="2"/>
  <c r="M422" i="2"/>
  <c r="M426" i="2"/>
  <c r="M430" i="2"/>
  <c r="M434" i="2"/>
  <c r="M438" i="2"/>
  <c r="M442" i="2"/>
  <c r="M446" i="2"/>
  <c r="M449" i="2"/>
  <c r="Q450" i="2"/>
  <c r="R450" i="2" s="1"/>
  <c r="R457" i="2"/>
  <c r="O465" i="2"/>
  <c r="O465" i="5" s="1"/>
  <c r="M470" i="2"/>
  <c r="N477" i="2"/>
  <c r="O477" i="2" s="1"/>
  <c r="O477" i="5" s="1"/>
  <c r="Q486" i="2"/>
  <c r="R486" i="2" s="1"/>
  <c r="Q489" i="2"/>
  <c r="R489" i="2" s="1"/>
  <c r="M489" i="2"/>
  <c r="Q501" i="2"/>
  <c r="R501" i="2" s="1"/>
  <c r="M501" i="2"/>
  <c r="M506" i="2"/>
  <c r="Q530" i="2"/>
  <c r="N530" i="2"/>
  <c r="O530" i="2" s="1"/>
  <c r="O530" i="5" s="1"/>
  <c r="Q540" i="2"/>
  <c r="R540" i="2" s="1"/>
  <c r="N540" i="2"/>
  <c r="O540" i="2" s="1"/>
  <c r="M540" i="2"/>
  <c r="M550" i="2"/>
  <c r="R581" i="2"/>
  <c r="K96" i="4"/>
  <c r="K95" i="4"/>
  <c r="Q53" i="5"/>
  <c r="Q52" i="5" s="1"/>
  <c r="R55" i="5"/>
  <c r="O114" i="5"/>
  <c r="R129" i="5"/>
  <c r="O134" i="5"/>
  <c r="O192" i="5"/>
  <c r="O211" i="5"/>
  <c r="R211" i="5" s="1"/>
  <c r="Q240" i="5"/>
  <c r="R241" i="5"/>
  <c r="R266" i="5"/>
  <c r="O274" i="5"/>
  <c r="O274" i="7" s="1"/>
  <c r="R274" i="7" s="1"/>
  <c r="O281" i="5"/>
  <c r="R281" i="5" s="1"/>
  <c r="O300" i="5"/>
  <c r="Q327" i="5"/>
  <c r="R327" i="5" s="1"/>
  <c r="M327" i="5"/>
  <c r="N327" i="5"/>
  <c r="O327" i="5" s="1"/>
  <c r="O430" i="5"/>
  <c r="O430" i="7" s="1"/>
  <c r="R430" i="7" s="1"/>
  <c r="O549" i="5"/>
  <c r="O549" i="7" s="1"/>
  <c r="O549" i="9" s="1"/>
  <c r="R549" i="9" s="1"/>
  <c r="Q577" i="5"/>
  <c r="M577" i="5"/>
  <c r="N577" i="5"/>
  <c r="O48" i="7"/>
  <c r="N350" i="2"/>
  <c r="O350" i="2" s="1"/>
  <c r="O350" i="5" s="1"/>
  <c r="O350" i="7" s="1"/>
  <c r="R350" i="7" s="1"/>
  <c r="N354" i="2"/>
  <c r="O354" i="2" s="1"/>
  <c r="O354" i="5" s="1"/>
  <c r="O354" i="7" s="1"/>
  <c r="R354" i="7" s="1"/>
  <c r="N358" i="2"/>
  <c r="O358" i="2" s="1"/>
  <c r="O358" i="5" s="1"/>
  <c r="O358" i="7" s="1"/>
  <c r="R358" i="7" s="1"/>
  <c r="N362" i="2"/>
  <c r="O362" i="2" s="1"/>
  <c r="O362" i="5" s="1"/>
  <c r="O362" i="7" s="1"/>
  <c r="R362" i="7" s="1"/>
  <c r="N366" i="2"/>
  <c r="O366" i="2" s="1"/>
  <c r="O366" i="5" s="1"/>
  <c r="O366" i="7" s="1"/>
  <c r="R366" i="7" s="1"/>
  <c r="N370" i="2"/>
  <c r="O370" i="2" s="1"/>
  <c r="O370" i="5" s="1"/>
  <c r="O370" i="7" s="1"/>
  <c r="R370" i="7" s="1"/>
  <c r="N374" i="2"/>
  <c r="O374" i="2" s="1"/>
  <c r="O374" i="5" s="1"/>
  <c r="O374" i="7" s="1"/>
  <c r="N378" i="2"/>
  <c r="O378" i="2" s="1"/>
  <c r="O378" i="5" s="1"/>
  <c r="O378" i="7" s="1"/>
  <c r="N382" i="2"/>
  <c r="O382" i="2" s="1"/>
  <c r="O382" i="5" s="1"/>
  <c r="O382" i="7" s="1"/>
  <c r="R382" i="7" s="1"/>
  <c r="N386" i="2"/>
  <c r="O386" i="2" s="1"/>
  <c r="R386" i="2" s="1"/>
  <c r="N390" i="2"/>
  <c r="O390" i="2" s="1"/>
  <c r="N394" i="2"/>
  <c r="O394" i="2" s="1"/>
  <c r="O394" i="5" s="1"/>
  <c r="O394" i="7" s="1"/>
  <c r="N398" i="2"/>
  <c r="O398" i="2" s="1"/>
  <c r="O398" i="5" s="1"/>
  <c r="O398" i="7" s="1"/>
  <c r="R398" i="7" s="1"/>
  <c r="N402" i="2"/>
  <c r="O402" i="2" s="1"/>
  <c r="O402" i="5" s="1"/>
  <c r="O402" i="7" s="1"/>
  <c r="R402" i="7" s="1"/>
  <c r="N410" i="2"/>
  <c r="O410" i="2" s="1"/>
  <c r="O410" i="5" s="1"/>
  <c r="N414" i="2"/>
  <c r="O414" i="2" s="1"/>
  <c r="O414" i="5" s="1"/>
  <c r="N418" i="2"/>
  <c r="O418" i="2" s="1"/>
  <c r="O418" i="5" s="1"/>
  <c r="O418" i="7" s="1"/>
  <c r="N422" i="2"/>
  <c r="O422" i="2" s="1"/>
  <c r="O422" i="5" s="1"/>
  <c r="O422" i="7" s="1"/>
  <c r="R422" i="7" s="1"/>
  <c r="N426" i="2"/>
  <c r="O426" i="2" s="1"/>
  <c r="O426" i="5" s="1"/>
  <c r="O426" i="7" s="1"/>
  <c r="N430" i="2"/>
  <c r="O430" i="2" s="1"/>
  <c r="N434" i="2"/>
  <c r="O434" i="2" s="1"/>
  <c r="O434" i="5" s="1"/>
  <c r="O434" i="7" s="1"/>
  <c r="R434" i="7" s="1"/>
  <c r="N438" i="2"/>
  <c r="O438" i="2" s="1"/>
  <c r="R438" i="2" s="1"/>
  <c r="N442" i="2"/>
  <c r="O442" i="2" s="1"/>
  <c r="N446" i="2"/>
  <c r="O446" i="2" s="1"/>
  <c r="O446" i="5" s="1"/>
  <c r="O446" i="7" s="1"/>
  <c r="R446" i="7" s="1"/>
  <c r="N449" i="2"/>
  <c r="O449" i="2" s="1"/>
  <c r="R449" i="2" s="1"/>
  <c r="O452" i="2"/>
  <c r="O452" i="5" s="1"/>
  <c r="R463" i="2"/>
  <c r="Q468" i="2"/>
  <c r="N468" i="2"/>
  <c r="O468" i="2" s="1"/>
  <c r="M468" i="2"/>
  <c r="N475" i="2"/>
  <c r="M475" i="2"/>
  <c r="Q475" i="2"/>
  <c r="Q496" i="2"/>
  <c r="R496" i="2" s="1"/>
  <c r="N496" i="2"/>
  <c r="O496" i="2" s="1"/>
  <c r="M496" i="2"/>
  <c r="Q509" i="2"/>
  <c r="M509" i="2"/>
  <c r="Q518" i="2"/>
  <c r="R518" i="2" s="1"/>
  <c r="N518" i="2"/>
  <c r="O518" i="2" s="1"/>
  <c r="Q521" i="2"/>
  <c r="N521" i="2"/>
  <c r="M521" i="2"/>
  <c r="Q524" i="2"/>
  <c r="R524" i="2" s="1"/>
  <c r="N524" i="2"/>
  <c r="O524" i="2" s="1"/>
  <c r="M524" i="2"/>
  <c r="Q582" i="2"/>
  <c r="N582" i="2"/>
  <c r="O582" i="2" s="1"/>
  <c r="O582" i="5" s="1"/>
  <c r="M582" i="2"/>
  <c r="K36" i="3"/>
  <c r="K35" i="3"/>
  <c r="F36" i="1" s="1"/>
  <c r="K56" i="4"/>
  <c r="K55" i="4"/>
  <c r="F39" i="2" s="1"/>
  <c r="R34" i="5"/>
  <c r="R66" i="5"/>
  <c r="R152" i="5"/>
  <c r="O163" i="5"/>
  <c r="R163" i="5" s="1"/>
  <c r="R167" i="5"/>
  <c r="O195" i="5"/>
  <c r="R195" i="5" s="1"/>
  <c r="O218" i="5"/>
  <c r="O234" i="5"/>
  <c r="O237" i="5"/>
  <c r="R270" i="5"/>
  <c r="O278" i="5"/>
  <c r="O278" i="7" s="1"/>
  <c r="R278" i="7" s="1"/>
  <c r="O285" i="5"/>
  <c r="R285" i="5" s="1"/>
  <c r="O324" i="5"/>
  <c r="R440" i="5"/>
  <c r="O458" i="5"/>
  <c r="O493" i="5"/>
  <c r="R523" i="5"/>
  <c r="O318" i="2"/>
  <c r="O330" i="2"/>
  <c r="R330" i="2" s="1"/>
  <c r="O338" i="2"/>
  <c r="O454" i="2"/>
  <c r="Q512" i="2"/>
  <c r="N512" i="2"/>
  <c r="M512" i="2"/>
  <c r="R537" i="2"/>
  <c r="Q544" i="2"/>
  <c r="N544" i="2"/>
  <c r="O544" i="2" s="1"/>
  <c r="M544" i="2"/>
  <c r="Q558" i="2"/>
  <c r="N558" i="2"/>
  <c r="O558" i="2" s="1"/>
  <c r="O558" i="5" s="1"/>
  <c r="N570" i="2"/>
  <c r="O570" i="2" s="1"/>
  <c r="O570" i="5" s="1"/>
  <c r="O570" i="7" s="1"/>
  <c r="O570" i="9" s="1"/>
  <c r="M570" i="2"/>
  <c r="O572" i="2"/>
  <c r="D638" i="7"/>
  <c r="J627" i="5"/>
  <c r="J638" i="5" s="1"/>
  <c r="D638" i="5"/>
  <c r="K16" i="4"/>
  <c r="K15" i="4"/>
  <c r="F32" i="2" s="1"/>
  <c r="K156" i="4"/>
  <c r="K155" i="4"/>
  <c r="F59" i="2" s="1"/>
  <c r="Q30" i="5"/>
  <c r="R37" i="5"/>
  <c r="R42" i="5"/>
  <c r="Q46" i="5"/>
  <c r="R46" i="5" s="1"/>
  <c r="N46" i="5"/>
  <c r="O46" i="5" s="1"/>
  <c r="O46" i="7" s="1"/>
  <c r="M46" i="5"/>
  <c r="M64" i="5"/>
  <c r="G64" i="5"/>
  <c r="N64" i="5" s="1"/>
  <c r="R100" i="5"/>
  <c r="O110" i="5"/>
  <c r="O110" i="7" s="1"/>
  <c r="R110" i="7" s="1"/>
  <c r="R145" i="5"/>
  <c r="N148" i="5"/>
  <c r="O212" i="5"/>
  <c r="N215" i="5"/>
  <c r="O241" i="5"/>
  <c r="Q255" i="5"/>
  <c r="O282" i="5"/>
  <c r="O282" i="7" s="1"/>
  <c r="R282" i="7" s="1"/>
  <c r="Q377" i="5"/>
  <c r="R377" i="5" s="1"/>
  <c r="M377" i="5"/>
  <c r="N377" i="5"/>
  <c r="O377" i="5" s="1"/>
  <c r="O497" i="5"/>
  <c r="O513" i="5"/>
  <c r="M385" i="2"/>
  <c r="M389" i="2"/>
  <c r="M393" i="2"/>
  <c r="M397" i="2"/>
  <c r="M395" i="2" s="1"/>
  <c r="M401" i="2"/>
  <c r="M405" i="2"/>
  <c r="M409" i="2"/>
  <c r="M413" i="2"/>
  <c r="M417" i="2"/>
  <c r="M421" i="2"/>
  <c r="M425" i="2"/>
  <c r="M429" i="2"/>
  <c r="M433" i="2"/>
  <c r="M437" i="2"/>
  <c r="M441" i="2"/>
  <c r="M445" i="2"/>
  <c r="O456" i="2"/>
  <c r="N458" i="2"/>
  <c r="O458" i="2" s="1"/>
  <c r="M466" i="2"/>
  <c r="Q470" i="2"/>
  <c r="Q473" i="2"/>
  <c r="R473" i="2" s="1"/>
  <c r="M473" i="2"/>
  <c r="Q480" i="2"/>
  <c r="R480" i="2" s="1"/>
  <c r="N480" i="2"/>
  <c r="O480" i="2" s="1"/>
  <c r="M480" i="2"/>
  <c r="Q485" i="2"/>
  <c r="R485" i="2" s="1"/>
  <c r="M485" i="2"/>
  <c r="M494" i="2"/>
  <c r="Q504" i="2"/>
  <c r="N504" i="2"/>
  <c r="O504" i="2" s="1"/>
  <c r="M504" i="2"/>
  <c r="Q506" i="2"/>
  <c r="R506" i="2" s="1"/>
  <c r="O509" i="2"/>
  <c r="Q534" i="2"/>
  <c r="N534" i="2"/>
  <c r="O534" i="2" s="1"/>
  <c r="M558" i="2"/>
  <c r="R565" i="2"/>
  <c r="O577" i="2"/>
  <c r="R577" i="2" s="1"/>
  <c r="Q63" i="5"/>
  <c r="O130" i="5"/>
  <c r="N141" i="5"/>
  <c r="M141" i="5"/>
  <c r="M140" i="5" s="1"/>
  <c r="M139" i="5" s="1"/>
  <c r="O164" i="5"/>
  <c r="O164" i="7" s="1"/>
  <c r="O167" i="5"/>
  <c r="Q170" i="5"/>
  <c r="R192" i="5"/>
  <c r="M215" i="5"/>
  <c r="J221" i="5"/>
  <c r="Q221" i="5"/>
  <c r="R221" i="5" s="1"/>
  <c r="P221" i="5"/>
  <c r="O238" i="5"/>
  <c r="O238" i="7" s="1"/>
  <c r="R238" i="7" s="1"/>
  <c r="R252" i="5"/>
  <c r="P255" i="5"/>
  <c r="P225" i="5" s="1"/>
  <c r="R278" i="5"/>
  <c r="O286" i="5"/>
  <c r="O286" i="7" s="1"/>
  <c r="R286" i="7" s="1"/>
  <c r="O438" i="5"/>
  <c r="O473" i="5"/>
  <c r="R473" i="5" s="1"/>
  <c r="Q454" i="2"/>
  <c r="R454" i="2" s="1"/>
  <c r="O460" i="2"/>
  <c r="O460" i="5" s="1"/>
  <c r="R460" i="5" s="1"/>
  <c r="N462" i="2"/>
  <c r="O462" i="2" s="1"/>
  <c r="O462" i="5" s="1"/>
  <c r="O462" i="7" s="1"/>
  <c r="N473" i="2"/>
  <c r="O473" i="2" s="1"/>
  <c r="N485" i="2"/>
  <c r="O485" i="2" s="1"/>
  <c r="O485" i="5" s="1"/>
  <c r="Q492" i="2"/>
  <c r="N492" i="2"/>
  <c r="O492" i="2" s="1"/>
  <c r="M492" i="2"/>
  <c r="Q522" i="2"/>
  <c r="R522" i="2" s="1"/>
  <c r="N522" i="2"/>
  <c r="O522" i="2" s="1"/>
  <c r="M534" i="2"/>
  <c r="R541" i="2"/>
  <c r="Q548" i="2"/>
  <c r="N548" i="2"/>
  <c r="O548" i="2" s="1"/>
  <c r="M548" i="2"/>
  <c r="Q562" i="2"/>
  <c r="R562" i="2" s="1"/>
  <c r="N562" i="2"/>
  <c r="O562" i="2" s="1"/>
  <c r="O568" i="2"/>
  <c r="Q570" i="2"/>
  <c r="R570" i="2" s="1"/>
  <c r="O580" i="2"/>
  <c r="K42" i="3"/>
  <c r="K166" i="4"/>
  <c r="K165" i="4"/>
  <c r="F60" i="2" s="1"/>
  <c r="M32" i="5"/>
  <c r="G32" i="5"/>
  <c r="N32" i="5" s="1"/>
  <c r="P63" i="5"/>
  <c r="O67" i="5"/>
  <c r="R67" i="5" s="1"/>
  <c r="N80" i="5"/>
  <c r="O82" i="5"/>
  <c r="R82" i="5" s="1"/>
  <c r="R111" i="5"/>
  <c r="J142" i="5"/>
  <c r="O150" i="5"/>
  <c r="R161" i="5"/>
  <c r="O199" i="5"/>
  <c r="O199" i="7" s="1"/>
  <c r="Q205" i="5"/>
  <c r="R228" i="5"/>
  <c r="O242" i="5"/>
  <c r="O242" i="7" s="1"/>
  <c r="R242" i="7" s="1"/>
  <c r="O245" i="5"/>
  <c r="R245" i="5" s="1"/>
  <c r="R282" i="5"/>
  <c r="P296" i="5"/>
  <c r="P317" i="5"/>
  <c r="O525" i="5"/>
  <c r="O525" i="7" s="1"/>
  <c r="R458" i="2"/>
  <c r="O464" i="2"/>
  <c r="O464" i="5" s="1"/>
  <c r="N471" i="2"/>
  <c r="O471" i="2" s="1"/>
  <c r="O471" i="5" s="1"/>
  <c r="M471" i="2"/>
  <c r="Q471" i="2"/>
  <c r="N483" i="2"/>
  <c r="M483" i="2"/>
  <c r="Q483" i="2"/>
  <c r="Q497" i="2"/>
  <c r="R497" i="2" s="1"/>
  <c r="M497" i="2"/>
  <c r="Q510" i="2"/>
  <c r="R510" i="2" s="1"/>
  <c r="N510" i="2"/>
  <c r="O510" i="2" s="1"/>
  <c r="Q525" i="2"/>
  <c r="R525" i="2" s="1"/>
  <c r="N525" i="2"/>
  <c r="O525" i="2" s="1"/>
  <c r="M525" i="2"/>
  <c r="Q528" i="2"/>
  <c r="N528" i="2"/>
  <c r="O528" i="2" s="1"/>
  <c r="M528" i="2"/>
  <c r="Q538" i="2"/>
  <c r="N538" i="2"/>
  <c r="O538" i="2" s="1"/>
  <c r="O538" i="5" s="1"/>
  <c r="O585" i="2"/>
  <c r="K22" i="4"/>
  <c r="K66" i="4"/>
  <c r="K65" i="4"/>
  <c r="K112" i="4"/>
  <c r="O44" i="5"/>
  <c r="R47" i="5"/>
  <c r="O57" i="5"/>
  <c r="O57" i="7" s="1"/>
  <c r="R57" i="7" s="1"/>
  <c r="O69" i="5"/>
  <c r="R69" i="5" s="1"/>
  <c r="O106" i="5"/>
  <c r="O106" i="7" s="1"/>
  <c r="O126" i="5"/>
  <c r="R158" i="5"/>
  <c r="O168" i="5"/>
  <c r="O168" i="7" s="1"/>
  <c r="O171" i="5"/>
  <c r="O183" i="5"/>
  <c r="R183" i="5" s="1"/>
  <c r="R203" i="5"/>
  <c r="R238" i="5"/>
  <c r="R261" i="5"/>
  <c r="R283" i="5"/>
  <c r="R286" i="5"/>
  <c r="N291" i="5"/>
  <c r="R298" i="5"/>
  <c r="R348" i="5"/>
  <c r="R469" i="5"/>
  <c r="R485" i="5"/>
  <c r="Q569" i="5"/>
  <c r="M569" i="5"/>
  <c r="M566" i="5" s="1"/>
  <c r="N569" i="5"/>
  <c r="K252" i="6"/>
  <c r="K251" i="6"/>
  <c r="F76" i="5" s="1"/>
  <c r="Q499" i="2"/>
  <c r="R499" i="2" s="1"/>
  <c r="Q503" i="2"/>
  <c r="R503" i="2" s="1"/>
  <c r="Q511" i="2"/>
  <c r="R511" i="2" s="1"/>
  <c r="Q515" i="2"/>
  <c r="R515" i="2" s="1"/>
  <c r="Q519" i="2"/>
  <c r="R519" i="2" s="1"/>
  <c r="Q523" i="2"/>
  <c r="R523" i="2" s="1"/>
  <c r="Q527" i="2"/>
  <c r="R527" i="2" s="1"/>
  <c r="Q531" i="2"/>
  <c r="R531" i="2" s="1"/>
  <c r="Q535" i="2"/>
  <c r="R535" i="2" s="1"/>
  <c r="Q539" i="2"/>
  <c r="R539" i="2" s="1"/>
  <c r="Q543" i="2"/>
  <c r="R543" i="2" s="1"/>
  <c r="Q547" i="2"/>
  <c r="R547" i="2" s="1"/>
  <c r="Q551" i="2"/>
  <c r="R551" i="2" s="1"/>
  <c r="Q555" i="2"/>
  <c r="Q559" i="2"/>
  <c r="R559" i="2" s="1"/>
  <c r="Q563" i="2"/>
  <c r="R563" i="2" s="1"/>
  <c r="Q567" i="2"/>
  <c r="Q36" i="5"/>
  <c r="Q48" i="5"/>
  <c r="R48" i="5" s="1"/>
  <c r="M80" i="5"/>
  <c r="N97" i="5"/>
  <c r="Q98" i="5"/>
  <c r="N101" i="5"/>
  <c r="O101" i="5" s="1"/>
  <c r="O101" i="7" s="1"/>
  <c r="R101" i="7" s="1"/>
  <c r="Q102" i="5"/>
  <c r="R102" i="5" s="1"/>
  <c r="N105" i="5"/>
  <c r="O105" i="5" s="1"/>
  <c r="R105" i="5" s="1"/>
  <c r="Q106" i="5"/>
  <c r="R106" i="5" s="1"/>
  <c r="N109" i="5"/>
  <c r="O109" i="5" s="1"/>
  <c r="R109" i="5" s="1"/>
  <c r="Q110" i="5"/>
  <c r="Q107" i="5" s="1"/>
  <c r="N113" i="5"/>
  <c r="O113" i="5" s="1"/>
  <c r="R113" i="5" s="1"/>
  <c r="Q114" i="5"/>
  <c r="R114" i="5" s="1"/>
  <c r="N117" i="5"/>
  <c r="O117" i="5" s="1"/>
  <c r="R117" i="5" s="1"/>
  <c r="Q118" i="5"/>
  <c r="N121" i="5"/>
  <c r="Q122" i="5"/>
  <c r="N125" i="5"/>
  <c r="O125" i="5" s="1"/>
  <c r="R125" i="5" s="1"/>
  <c r="Q126" i="5"/>
  <c r="R126" i="5" s="1"/>
  <c r="N129" i="5"/>
  <c r="O129" i="5" s="1"/>
  <c r="Q130" i="5"/>
  <c r="N133" i="5"/>
  <c r="O133" i="5" s="1"/>
  <c r="R133" i="5" s="1"/>
  <c r="Q134" i="5"/>
  <c r="N137" i="5"/>
  <c r="O137" i="5" s="1"/>
  <c r="O137" i="7" s="1"/>
  <c r="Q138" i="5"/>
  <c r="R138" i="5" s="1"/>
  <c r="N146" i="5"/>
  <c r="O146" i="5" s="1"/>
  <c r="R146" i="5" s="1"/>
  <c r="Q147" i="5"/>
  <c r="R147" i="5" s="1"/>
  <c r="J219" i="5"/>
  <c r="N297" i="5"/>
  <c r="N305" i="5"/>
  <c r="O305" i="5" s="1"/>
  <c r="R305" i="5" s="1"/>
  <c r="R310" i="5"/>
  <c r="Q325" i="5"/>
  <c r="R346" i="5"/>
  <c r="Q351" i="5"/>
  <c r="R351" i="5" s="1"/>
  <c r="N351" i="5"/>
  <c r="O351" i="5" s="1"/>
  <c r="M351" i="5"/>
  <c r="Q375" i="5"/>
  <c r="N375" i="5"/>
  <c r="M375" i="5"/>
  <c r="R404" i="5"/>
  <c r="R412" i="5"/>
  <c r="Q441" i="5"/>
  <c r="M441" i="5"/>
  <c r="R446" i="5"/>
  <c r="O467" i="5"/>
  <c r="O467" i="7" s="1"/>
  <c r="Q476" i="5"/>
  <c r="N476" i="5"/>
  <c r="M476" i="5"/>
  <c r="M474" i="5" s="1"/>
  <c r="N482" i="5"/>
  <c r="R489" i="5"/>
  <c r="R501" i="5"/>
  <c r="R511" i="5"/>
  <c r="R517" i="5"/>
  <c r="O527" i="5"/>
  <c r="O539" i="5"/>
  <c r="O539" i="7" s="1"/>
  <c r="O551" i="5"/>
  <c r="Q560" i="5"/>
  <c r="R560" i="5" s="1"/>
  <c r="N560" i="5"/>
  <c r="O560" i="5" s="1"/>
  <c r="O560" i="7" s="1"/>
  <c r="M560" i="5"/>
  <c r="K28" i="6"/>
  <c r="K27" i="6"/>
  <c r="F33" i="5" s="1"/>
  <c r="K218" i="6"/>
  <c r="K217" i="6"/>
  <c r="F73" i="5" s="1"/>
  <c r="O61" i="7"/>
  <c r="O61" i="9" s="1"/>
  <c r="R106" i="7"/>
  <c r="Q203" i="7"/>
  <c r="N203" i="7"/>
  <c r="O203" i="7" s="1"/>
  <c r="O203" i="9" s="1"/>
  <c r="R203" i="9" s="1"/>
  <c r="M203" i="7"/>
  <c r="O408" i="7"/>
  <c r="O408" i="9" s="1"/>
  <c r="P83" i="5"/>
  <c r="P79" i="5" s="1"/>
  <c r="M252" i="5"/>
  <c r="M256" i="5"/>
  <c r="M260" i="5"/>
  <c r="M264" i="5"/>
  <c r="M268" i="5"/>
  <c r="M272" i="5"/>
  <c r="M276" i="5"/>
  <c r="M280" i="5"/>
  <c r="M284" i="5"/>
  <c r="R312" i="5"/>
  <c r="R344" i="5"/>
  <c r="Q349" i="5"/>
  <c r="R349" i="5" s="1"/>
  <c r="M349" i="5"/>
  <c r="R368" i="5"/>
  <c r="Q373" i="5"/>
  <c r="R373" i="5" s="1"/>
  <c r="M373" i="5"/>
  <c r="Q393" i="5"/>
  <c r="M393" i="5"/>
  <c r="R402" i="5"/>
  <c r="Q405" i="5"/>
  <c r="M405" i="5"/>
  <c r="Q413" i="5"/>
  <c r="R413" i="5" s="1"/>
  <c r="M413" i="5"/>
  <c r="R418" i="5"/>
  <c r="N441" i="5"/>
  <c r="Q461" i="5"/>
  <c r="M461" i="5"/>
  <c r="O486" i="5"/>
  <c r="O499" i="5"/>
  <c r="O515" i="5"/>
  <c r="O515" i="7" s="1"/>
  <c r="Q524" i="5"/>
  <c r="N524" i="5"/>
  <c r="O524" i="5" s="1"/>
  <c r="M524" i="5"/>
  <c r="Q536" i="5"/>
  <c r="R536" i="5" s="1"/>
  <c r="N536" i="5"/>
  <c r="O536" i="5" s="1"/>
  <c r="M536" i="5"/>
  <c r="O542" i="5"/>
  <c r="Q548" i="5"/>
  <c r="N548" i="5"/>
  <c r="M548" i="5"/>
  <c r="R574" i="5"/>
  <c r="R582" i="5"/>
  <c r="Q589" i="5"/>
  <c r="M589" i="5"/>
  <c r="M588" i="5" s="1"/>
  <c r="K99" i="6"/>
  <c r="K98" i="6"/>
  <c r="F49" i="5" s="1"/>
  <c r="K181" i="6"/>
  <c r="K343" i="6"/>
  <c r="K342" i="6"/>
  <c r="F90" i="5" s="1"/>
  <c r="M97" i="7"/>
  <c r="G97" i="7"/>
  <c r="N97" i="7" s="1"/>
  <c r="O102" i="7"/>
  <c r="R102" i="7" s="1"/>
  <c r="R114" i="7"/>
  <c r="O143" i="7"/>
  <c r="Q315" i="7"/>
  <c r="M533" i="2"/>
  <c r="M537" i="2"/>
  <c r="M541" i="2"/>
  <c r="M545" i="2"/>
  <c r="M549" i="2"/>
  <c r="M553" i="2"/>
  <c r="M552" i="2" s="1"/>
  <c r="M557" i="2"/>
  <c r="M561" i="2"/>
  <c r="M565" i="2"/>
  <c r="R612" i="2"/>
  <c r="R622" i="2" s="1"/>
  <c r="M45" i="5"/>
  <c r="Q83" i="5"/>
  <c r="Q79" i="5" s="1"/>
  <c r="M96" i="5"/>
  <c r="M100" i="5"/>
  <c r="M104" i="5"/>
  <c r="M108" i="5"/>
  <c r="M112" i="5"/>
  <c r="M116" i="5"/>
  <c r="M124" i="5"/>
  <c r="M120" i="5" s="1"/>
  <c r="M128" i="5"/>
  <c r="M132" i="5"/>
  <c r="M136" i="5"/>
  <c r="Q142" i="5"/>
  <c r="R142" i="5" s="1"/>
  <c r="M145" i="5"/>
  <c r="N154" i="5"/>
  <c r="O154" i="5" s="1"/>
  <c r="O154" i="7" s="1"/>
  <c r="N158" i="5"/>
  <c r="O158" i="5" s="1"/>
  <c r="N162" i="5"/>
  <c r="N166" i="5"/>
  <c r="N174" i="5"/>
  <c r="O174" i="5" s="1"/>
  <c r="R174" i="5" s="1"/>
  <c r="N182" i="5"/>
  <c r="O182" i="5" s="1"/>
  <c r="R182" i="5" s="1"/>
  <c r="N186" i="5"/>
  <c r="N190" i="5"/>
  <c r="O190" i="5" s="1"/>
  <c r="R190" i="5" s="1"/>
  <c r="N194" i="5"/>
  <c r="O194" i="5" s="1"/>
  <c r="R194" i="5" s="1"/>
  <c r="N198" i="5"/>
  <c r="O198" i="5" s="1"/>
  <c r="R198" i="5" s="1"/>
  <c r="N202" i="5"/>
  <c r="N206" i="5"/>
  <c r="N210" i="5"/>
  <c r="O210" i="5" s="1"/>
  <c r="N214" i="5"/>
  <c r="O214" i="5" s="1"/>
  <c r="R214" i="5" s="1"/>
  <c r="N224" i="5"/>
  <c r="N228" i="5"/>
  <c r="O228" i="5" s="1"/>
  <c r="N232" i="5"/>
  <c r="O232" i="5" s="1"/>
  <c r="R232" i="5" s="1"/>
  <c r="N236" i="5"/>
  <c r="O236" i="5" s="1"/>
  <c r="N244" i="5"/>
  <c r="O244" i="5" s="1"/>
  <c r="R244" i="5" s="1"/>
  <c r="N248" i="5"/>
  <c r="O248" i="5" s="1"/>
  <c r="R248" i="5" s="1"/>
  <c r="N252" i="5"/>
  <c r="O252" i="5" s="1"/>
  <c r="N256" i="5"/>
  <c r="N260" i="5"/>
  <c r="O260" i="5" s="1"/>
  <c r="R260" i="5" s="1"/>
  <c r="N264" i="5"/>
  <c r="O264" i="5" s="1"/>
  <c r="R264" i="5" s="1"/>
  <c r="N268" i="5"/>
  <c r="O268" i="5" s="1"/>
  <c r="R268" i="5" s="1"/>
  <c r="N272" i="5"/>
  <c r="N276" i="5"/>
  <c r="O276" i="5" s="1"/>
  <c r="R276" i="5" s="1"/>
  <c r="N280" i="5"/>
  <c r="N284" i="5"/>
  <c r="O284" i="5" s="1"/>
  <c r="R284" i="5" s="1"/>
  <c r="R300" i="5"/>
  <c r="N309" i="5"/>
  <c r="R314" i="5"/>
  <c r="Q347" i="5"/>
  <c r="N347" i="5"/>
  <c r="M347" i="5"/>
  <c r="N349" i="5"/>
  <c r="O349" i="5" s="1"/>
  <c r="R366" i="5"/>
  <c r="Q371" i="5"/>
  <c r="N371" i="5"/>
  <c r="M371" i="5"/>
  <c r="N373" i="5"/>
  <c r="O373" i="5" s="1"/>
  <c r="R388" i="5"/>
  <c r="Q391" i="5"/>
  <c r="R391" i="5" s="1"/>
  <c r="N391" i="5"/>
  <c r="O391" i="5" s="1"/>
  <c r="M391" i="5"/>
  <c r="N393" i="5"/>
  <c r="N405" i="5"/>
  <c r="O405" i="5" s="1"/>
  <c r="N413" i="5"/>
  <c r="O413" i="5" s="1"/>
  <c r="Q433" i="5"/>
  <c r="M433" i="5"/>
  <c r="R452" i="5"/>
  <c r="N461" i="5"/>
  <c r="R479" i="5"/>
  <c r="O490" i="5"/>
  <c r="Q496" i="5"/>
  <c r="N496" i="5"/>
  <c r="O496" i="5" s="1"/>
  <c r="M496" i="5"/>
  <c r="O502" i="5"/>
  <c r="O509" i="5"/>
  <c r="Q512" i="5"/>
  <c r="N512" i="5"/>
  <c r="N508" i="5" s="1"/>
  <c r="M512" i="5"/>
  <c r="M508" i="5" s="1"/>
  <c r="O518" i="5"/>
  <c r="R563" i="5"/>
  <c r="N589" i="5"/>
  <c r="M115" i="7"/>
  <c r="G115" i="7"/>
  <c r="N115" i="7" s="1"/>
  <c r="O124" i="7"/>
  <c r="O144" i="7"/>
  <c r="R144" i="7" s="1"/>
  <c r="P155" i="7"/>
  <c r="M267" i="7"/>
  <c r="Q267" i="7"/>
  <c r="N267" i="7"/>
  <c r="P481" i="7"/>
  <c r="R504" i="7"/>
  <c r="N533" i="2"/>
  <c r="O533" i="2" s="1"/>
  <c r="R533" i="2" s="1"/>
  <c r="N537" i="2"/>
  <c r="O537" i="2" s="1"/>
  <c r="O537" i="5" s="1"/>
  <c r="R537" i="5" s="1"/>
  <c r="N541" i="2"/>
  <c r="O541" i="2" s="1"/>
  <c r="O541" i="5" s="1"/>
  <c r="R541" i="5" s="1"/>
  <c r="N545" i="2"/>
  <c r="O545" i="2" s="1"/>
  <c r="O545" i="5" s="1"/>
  <c r="O545" i="7" s="1"/>
  <c r="N549" i="2"/>
  <c r="O549" i="2" s="1"/>
  <c r="N553" i="2"/>
  <c r="N557" i="2"/>
  <c r="O557" i="2" s="1"/>
  <c r="O557" i="5" s="1"/>
  <c r="N561" i="2"/>
  <c r="O561" i="2" s="1"/>
  <c r="O561" i="5" s="1"/>
  <c r="O561" i="7" s="1"/>
  <c r="N565" i="2"/>
  <c r="O565" i="2" s="1"/>
  <c r="O565" i="5" s="1"/>
  <c r="N100" i="5"/>
  <c r="O100" i="5" s="1"/>
  <c r="N104" i="5"/>
  <c r="O104" i="5" s="1"/>
  <c r="N108" i="5"/>
  <c r="N112" i="5"/>
  <c r="N116" i="5"/>
  <c r="N124" i="5"/>
  <c r="O124" i="5" s="1"/>
  <c r="R124" i="5" s="1"/>
  <c r="N128" i="5"/>
  <c r="O128" i="5" s="1"/>
  <c r="R128" i="5" s="1"/>
  <c r="N132" i="5"/>
  <c r="N136" i="5"/>
  <c r="Q311" i="5"/>
  <c r="R311" i="5" s="1"/>
  <c r="M311" i="5"/>
  <c r="M307" i="5" s="1"/>
  <c r="Q315" i="5"/>
  <c r="M329" i="5"/>
  <c r="R340" i="5"/>
  <c r="Q345" i="5"/>
  <c r="M345" i="5"/>
  <c r="R364" i="5"/>
  <c r="Q369" i="5"/>
  <c r="M369" i="5"/>
  <c r="R386" i="5"/>
  <c r="Q403" i="5"/>
  <c r="N403" i="5"/>
  <c r="M403" i="5"/>
  <c r="R424" i="5"/>
  <c r="O433" i="5"/>
  <c r="Q453" i="5"/>
  <c r="M453" i="5"/>
  <c r="R467" i="5"/>
  <c r="R527" i="5"/>
  <c r="R539" i="5"/>
  <c r="R545" i="5"/>
  <c r="Q30" i="7"/>
  <c r="Q39" i="7"/>
  <c r="N39" i="7"/>
  <c r="M39" i="7"/>
  <c r="O100" i="7"/>
  <c r="M120" i="7"/>
  <c r="R163" i="7"/>
  <c r="O200" i="7"/>
  <c r="O352" i="7"/>
  <c r="R352" i="7" s="1"/>
  <c r="O311" i="5"/>
  <c r="O313" i="5"/>
  <c r="Q343" i="5"/>
  <c r="N343" i="5"/>
  <c r="O343" i="5" s="1"/>
  <c r="O343" i="7" s="1"/>
  <c r="M343" i="5"/>
  <c r="O345" i="5"/>
  <c r="R362" i="5"/>
  <c r="Q367" i="5"/>
  <c r="N367" i="5"/>
  <c r="M367" i="5"/>
  <c r="O369" i="5"/>
  <c r="Q389" i="5"/>
  <c r="R389" i="5" s="1"/>
  <c r="M389" i="5"/>
  <c r="R400" i="5"/>
  <c r="Q411" i="5"/>
  <c r="R411" i="5" s="1"/>
  <c r="N411" i="5"/>
  <c r="O411" i="5" s="1"/>
  <c r="O411" i="7" s="1"/>
  <c r="O411" i="9" s="1"/>
  <c r="O411" i="10" s="1"/>
  <c r="R411" i="10" s="1"/>
  <c r="M411" i="5"/>
  <c r="Q425" i="5"/>
  <c r="M425" i="5"/>
  <c r="R444" i="5"/>
  <c r="O453" i="5"/>
  <c r="Q480" i="5"/>
  <c r="R480" i="5" s="1"/>
  <c r="N480" i="5"/>
  <c r="O480" i="5" s="1"/>
  <c r="M480" i="5"/>
  <c r="R493" i="5"/>
  <c r="R499" i="5"/>
  <c r="O531" i="5"/>
  <c r="R531" i="5" s="1"/>
  <c r="O543" i="5"/>
  <c r="M554" i="5"/>
  <c r="Q564" i="5"/>
  <c r="R564" i="5" s="1"/>
  <c r="N564" i="5"/>
  <c r="O564" i="5" s="1"/>
  <c r="M564" i="5"/>
  <c r="K58" i="6"/>
  <c r="K110" i="6"/>
  <c r="K109" i="6"/>
  <c r="F50" i="5" s="1"/>
  <c r="K273" i="6"/>
  <c r="K359" i="6"/>
  <c r="K358" i="6"/>
  <c r="F92" i="5" s="1"/>
  <c r="R55" i="7"/>
  <c r="Q81" i="7"/>
  <c r="R81" i="7" s="1"/>
  <c r="N81" i="7"/>
  <c r="O81" i="7" s="1"/>
  <c r="O81" i="9" s="1"/>
  <c r="M81" i="7"/>
  <c r="Q118" i="7"/>
  <c r="N118" i="7"/>
  <c r="M118" i="7"/>
  <c r="N194" i="7"/>
  <c r="O194" i="7" s="1"/>
  <c r="M194" i="7"/>
  <c r="Q194" i="7"/>
  <c r="M283" i="7"/>
  <c r="Q283" i="7"/>
  <c r="N283" i="7"/>
  <c r="K75" i="3"/>
  <c r="F41" i="1" s="1"/>
  <c r="K75" i="4"/>
  <c r="F41" i="2" s="1"/>
  <c r="M31" i="5"/>
  <c r="M38" i="5"/>
  <c r="M35" i="5" s="1"/>
  <c r="F83" i="5"/>
  <c r="G84" i="5"/>
  <c r="N84" i="5" s="1"/>
  <c r="O84" i="5" s="1"/>
  <c r="R84" i="5" s="1"/>
  <c r="M99" i="5"/>
  <c r="M103" i="5"/>
  <c r="M111" i="5"/>
  <c r="M115" i="5"/>
  <c r="M119" i="5"/>
  <c r="M123" i="5"/>
  <c r="M127" i="5"/>
  <c r="M135" i="5"/>
  <c r="M144" i="5"/>
  <c r="N153" i="5"/>
  <c r="N157" i="5"/>
  <c r="N161" i="5"/>
  <c r="O161" i="5" s="1"/>
  <c r="N169" i="5"/>
  <c r="N173" i="5"/>
  <c r="O173" i="5" s="1"/>
  <c r="R173" i="5" s="1"/>
  <c r="N177" i="5"/>
  <c r="N181" i="5"/>
  <c r="N185" i="5"/>
  <c r="O185" i="5" s="1"/>
  <c r="R185" i="5" s="1"/>
  <c r="N189" i="5"/>
  <c r="N193" i="5"/>
  <c r="N197" i="5"/>
  <c r="O197" i="5" s="1"/>
  <c r="R197" i="5" s="1"/>
  <c r="N201" i="5"/>
  <c r="O201" i="5" s="1"/>
  <c r="R201" i="5" s="1"/>
  <c r="N209" i="5"/>
  <c r="O209" i="5" s="1"/>
  <c r="R209" i="5" s="1"/>
  <c r="N213" i="5"/>
  <c r="P219" i="5"/>
  <c r="N223" i="5"/>
  <c r="N227" i="5"/>
  <c r="N231" i="5"/>
  <c r="N235" i="5"/>
  <c r="O235" i="5" s="1"/>
  <c r="R235" i="5" s="1"/>
  <c r="N239" i="5"/>
  <c r="O239" i="5" s="1"/>
  <c r="R239" i="5" s="1"/>
  <c r="N243" i="5"/>
  <c r="N247" i="5"/>
  <c r="O247" i="5" s="1"/>
  <c r="O247" i="7" s="1"/>
  <c r="N251" i="5"/>
  <c r="O251" i="5" s="1"/>
  <c r="R251" i="5" s="1"/>
  <c r="N259" i="5"/>
  <c r="N263" i="5"/>
  <c r="O263" i="5" s="1"/>
  <c r="R263" i="5" s="1"/>
  <c r="N267" i="5"/>
  <c r="O267" i="5" s="1"/>
  <c r="R267" i="5" s="1"/>
  <c r="N271" i="5"/>
  <c r="O271" i="5" s="1"/>
  <c r="R271" i="5" s="1"/>
  <c r="N275" i="5"/>
  <c r="O275" i="5" s="1"/>
  <c r="R275" i="5" s="1"/>
  <c r="N279" i="5"/>
  <c r="N283" i="5"/>
  <c r="O283" i="5" s="1"/>
  <c r="N287" i="5"/>
  <c r="M293" i="5"/>
  <c r="M291" i="5" s="1"/>
  <c r="R294" i="5"/>
  <c r="M301" i="5"/>
  <c r="M296" i="5" s="1"/>
  <c r="R320" i="5"/>
  <c r="R336" i="5"/>
  <c r="Q341" i="5"/>
  <c r="M341" i="5"/>
  <c r="R360" i="5"/>
  <c r="Q365" i="5"/>
  <c r="M365" i="5"/>
  <c r="R384" i="5"/>
  <c r="Q387" i="5"/>
  <c r="N387" i="5"/>
  <c r="M387" i="5"/>
  <c r="N389" i="5"/>
  <c r="O389" i="5" s="1"/>
  <c r="Q401" i="5"/>
  <c r="M401" i="5"/>
  <c r="R416" i="5"/>
  <c r="N425" i="5"/>
  <c r="O425" i="5" s="1"/>
  <c r="Q445" i="5"/>
  <c r="M445" i="5"/>
  <c r="R450" i="5"/>
  <c r="R464" i="5"/>
  <c r="Q468" i="5"/>
  <c r="N468" i="5"/>
  <c r="M468" i="5"/>
  <c r="Q484" i="5"/>
  <c r="N484" i="5"/>
  <c r="M484" i="5"/>
  <c r="M482" i="5" s="1"/>
  <c r="O491" i="5"/>
  <c r="O491" i="7" s="1"/>
  <c r="R491" i="7" s="1"/>
  <c r="O503" i="5"/>
  <c r="O519" i="5"/>
  <c r="O519" i="7" s="1"/>
  <c r="O519" i="9" s="1"/>
  <c r="O522" i="5"/>
  <c r="Q528" i="5"/>
  <c r="N528" i="5"/>
  <c r="O528" i="5" s="1"/>
  <c r="M528" i="5"/>
  <c r="O534" i="5"/>
  <c r="Q540" i="5"/>
  <c r="R540" i="5" s="1"/>
  <c r="N540" i="5"/>
  <c r="O540" i="5" s="1"/>
  <c r="M540" i="5"/>
  <c r="O546" i="5"/>
  <c r="Q573" i="5"/>
  <c r="M573" i="5"/>
  <c r="Q581" i="5"/>
  <c r="R581" i="5" s="1"/>
  <c r="M581" i="5"/>
  <c r="I638" i="5"/>
  <c r="K196" i="6"/>
  <c r="K195" i="6"/>
  <c r="F71" i="5" s="1"/>
  <c r="R42" i="7"/>
  <c r="O98" i="7"/>
  <c r="P131" i="7"/>
  <c r="M148" i="7"/>
  <c r="O188" i="7"/>
  <c r="R188" i="7" s="1"/>
  <c r="Q261" i="7"/>
  <c r="N261" i="7"/>
  <c r="O261" i="7" s="1"/>
  <c r="O261" i="9" s="1"/>
  <c r="R261" i="9" s="1"/>
  <c r="M261" i="7"/>
  <c r="O435" i="7"/>
  <c r="O435" i="9" s="1"/>
  <c r="O435" i="10" s="1"/>
  <c r="R435" i="10" s="1"/>
  <c r="O529" i="7"/>
  <c r="O529" i="9" s="1"/>
  <c r="R529" i="9" s="1"/>
  <c r="N31" i="5"/>
  <c r="P58" i="5"/>
  <c r="P53" i="5" s="1"/>
  <c r="P52" i="5" s="1"/>
  <c r="N99" i="5"/>
  <c r="N103" i="5"/>
  <c r="N111" i="5"/>
  <c r="O111" i="5" s="1"/>
  <c r="N115" i="5"/>
  <c r="N119" i="5"/>
  <c r="O119" i="5" s="1"/>
  <c r="O119" i="7" s="1"/>
  <c r="R119" i="7" s="1"/>
  <c r="N123" i="5"/>
  <c r="O123" i="5" s="1"/>
  <c r="N127" i="5"/>
  <c r="O127" i="5" s="1"/>
  <c r="O127" i="7" s="1"/>
  <c r="N135" i="5"/>
  <c r="N144" i="5"/>
  <c r="O144" i="5" s="1"/>
  <c r="Q219" i="5"/>
  <c r="R219" i="5" s="1"/>
  <c r="N293" i="5"/>
  <c r="O293" i="5" s="1"/>
  <c r="R293" i="5" s="1"/>
  <c r="N301" i="5"/>
  <c r="O301" i="5" s="1"/>
  <c r="R301" i="5" s="1"/>
  <c r="Q313" i="5"/>
  <c r="R322" i="5"/>
  <c r="R334" i="5"/>
  <c r="Q339" i="5"/>
  <c r="N339" i="5"/>
  <c r="M339" i="5"/>
  <c r="R358" i="5"/>
  <c r="Q363" i="5"/>
  <c r="N363" i="5"/>
  <c r="O363" i="5" s="1"/>
  <c r="M363" i="5"/>
  <c r="O365" i="5"/>
  <c r="R382" i="5"/>
  <c r="O401" i="5"/>
  <c r="R408" i="5"/>
  <c r="Q417" i="5"/>
  <c r="M417" i="5"/>
  <c r="R436" i="5"/>
  <c r="Q465" i="5"/>
  <c r="M465" i="5"/>
  <c r="R477" i="5"/>
  <c r="Q488" i="5"/>
  <c r="N488" i="5"/>
  <c r="M488" i="5"/>
  <c r="O494" i="5"/>
  <c r="Q500" i="5"/>
  <c r="N500" i="5"/>
  <c r="O500" i="5" s="1"/>
  <c r="M500" i="5"/>
  <c r="O506" i="5"/>
  <c r="O510" i="5"/>
  <c r="Q516" i="5"/>
  <c r="N516" i="5"/>
  <c r="O516" i="5" s="1"/>
  <c r="M516" i="5"/>
  <c r="P520" i="5"/>
  <c r="R561" i="5"/>
  <c r="Q568" i="5"/>
  <c r="P568" i="5"/>
  <c r="P566" i="5" s="1"/>
  <c r="O573" i="5"/>
  <c r="O581" i="5"/>
  <c r="O581" i="7" s="1"/>
  <c r="J628" i="5"/>
  <c r="K68" i="6"/>
  <c r="K67" i="6"/>
  <c r="K159" i="6"/>
  <c r="K228" i="6"/>
  <c r="F74" i="5" s="1"/>
  <c r="K310" i="6"/>
  <c r="K309" i="6"/>
  <c r="F87" i="5" s="1"/>
  <c r="Q28" i="7"/>
  <c r="Q64" i="7"/>
  <c r="N64" i="7"/>
  <c r="M64" i="7"/>
  <c r="O129" i="7"/>
  <c r="O129" i="9" s="1"/>
  <c r="R152" i="7"/>
  <c r="O242" i="9"/>
  <c r="R242" i="9" s="1"/>
  <c r="M172" i="5"/>
  <c r="M170" i="5" s="1"/>
  <c r="M176" i="5"/>
  <c r="M175" i="5" s="1"/>
  <c r="M180" i="5"/>
  <c r="M184" i="5"/>
  <c r="M230" i="5"/>
  <c r="M226" i="5" s="1"/>
  <c r="M234" i="5"/>
  <c r="M238" i="5"/>
  <c r="M242" i="5"/>
  <c r="M246" i="5"/>
  <c r="M240" i="5" s="1"/>
  <c r="M250" i="5"/>
  <c r="M254" i="5"/>
  <c r="M258" i="5"/>
  <c r="M262" i="5"/>
  <c r="M266" i="5"/>
  <c r="M270" i="5"/>
  <c r="M274" i="5"/>
  <c r="M278" i="5"/>
  <c r="M282" i="5"/>
  <c r="M286" i="5"/>
  <c r="Q319" i="5"/>
  <c r="M319" i="5"/>
  <c r="M317" i="5" s="1"/>
  <c r="R324" i="5"/>
  <c r="R356" i="5"/>
  <c r="Q361" i="5"/>
  <c r="R361" i="5" s="1"/>
  <c r="M361" i="5"/>
  <c r="R380" i="5"/>
  <c r="Q385" i="5"/>
  <c r="R385" i="5" s="1"/>
  <c r="M385" i="5"/>
  <c r="Q399" i="5"/>
  <c r="R399" i="5" s="1"/>
  <c r="N399" i="5"/>
  <c r="O399" i="5" s="1"/>
  <c r="M399" i="5"/>
  <c r="Q409" i="5"/>
  <c r="R409" i="5" s="1"/>
  <c r="M409" i="5"/>
  <c r="O417" i="5"/>
  <c r="Q437" i="5"/>
  <c r="M437" i="5"/>
  <c r="N474" i="5"/>
  <c r="P487" i="5"/>
  <c r="P481" i="5" s="1"/>
  <c r="P508" i="5"/>
  <c r="R543" i="5"/>
  <c r="R549" i="5"/>
  <c r="O559" i="5"/>
  <c r="O559" i="7" s="1"/>
  <c r="R570" i="5"/>
  <c r="R578" i="5"/>
  <c r="R586" i="5"/>
  <c r="K121" i="6"/>
  <c r="K120" i="6"/>
  <c r="F51" i="5" s="1"/>
  <c r="K240" i="6"/>
  <c r="K239" i="6"/>
  <c r="F75" i="5" s="1"/>
  <c r="P596" i="7"/>
  <c r="P27" i="7"/>
  <c r="N43" i="7"/>
  <c r="R46" i="7"/>
  <c r="P63" i="7"/>
  <c r="O145" i="7"/>
  <c r="R145" i="7" s="1"/>
  <c r="O172" i="7"/>
  <c r="R172" i="7" s="1"/>
  <c r="O201" i="7"/>
  <c r="N215" i="7"/>
  <c r="R428" i="7"/>
  <c r="Q498" i="7"/>
  <c r="N498" i="7"/>
  <c r="M498" i="7"/>
  <c r="Q526" i="7"/>
  <c r="R526" i="7" s="1"/>
  <c r="N526" i="7"/>
  <c r="O526" i="7" s="1"/>
  <c r="O526" i="9" s="1"/>
  <c r="M526" i="7"/>
  <c r="M499" i="2"/>
  <c r="M503" i="2"/>
  <c r="M511" i="2"/>
  <c r="M515" i="2"/>
  <c r="M519" i="2"/>
  <c r="M523" i="2"/>
  <c r="M527" i="2"/>
  <c r="M531" i="2"/>
  <c r="M535" i="2"/>
  <c r="M539" i="2"/>
  <c r="M543" i="2"/>
  <c r="M547" i="2"/>
  <c r="M551" i="2"/>
  <c r="M555" i="2"/>
  <c r="M559" i="2"/>
  <c r="M563" i="2"/>
  <c r="M567" i="2"/>
  <c r="M566" i="2" s="1"/>
  <c r="K105" i="3"/>
  <c r="K105" i="4"/>
  <c r="M98" i="5"/>
  <c r="M102" i="5"/>
  <c r="M106" i="5"/>
  <c r="M110" i="5"/>
  <c r="M114" i="5"/>
  <c r="M118" i="5"/>
  <c r="M122" i="5"/>
  <c r="M126" i="5"/>
  <c r="M130" i="5"/>
  <c r="M134" i="5"/>
  <c r="M138" i="5"/>
  <c r="M143" i="5"/>
  <c r="M147" i="5"/>
  <c r="R304" i="5"/>
  <c r="Q317" i="5"/>
  <c r="N319" i="5"/>
  <c r="N321" i="5"/>
  <c r="O321" i="5" s="1"/>
  <c r="R321" i="5" s="1"/>
  <c r="R326" i="5"/>
  <c r="Q335" i="5"/>
  <c r="N335" i="5"/>
  <c r="M335" i="5"/>
  <c r="R354" i="5"/>
  <c r="Q359" i="5"/>
  <c r="N359" i="5"/>
  <c r="O359" i="5" s="1"/>
  <c r="M359" i="5"/>
  <c r="N361" i="5"/>
  <c r="O361" i="5" s="1"/>
  <c r="R378" i="5"/>
  <c r="Q383" i="5"/>
  <c r="R383" i="5" s="1"/>
  <c r="N383" i="5"/>
  <c r="O383" i="5" s="1"/>
  <c r="O383" i="7" s="1"/>
  <c r="M383" i="5"/>
  <c r="N385" i="5"/>
  <c r="O385" i="5" s="1"/>
  <c r="N409" i="5"/>
  <c r="O409" i="5" s="1"/>
  <c r="R428" i="5"/>
  <c r="N437" i="5"/>
  <c r="O437" i="5" s="1"/>
  <c r="Q457" i="5"/>
  <c r="M457" i="5"/>
  <c r="R462" i="5"/>
  <c r="O478" i="5"/>
  <c r="R497" i="5"/>
  <c r="R503" i="5"/>
  <c r="R513" i="5"/>
  <c r="R519" i="5"/>
  <c r="O523" i="5"/>
  <c r="O535" i="5"/>
  <c r="R535" i="5" s="1"/>
  <c r="O547" i="5"/>
  <c r="R547" i="5" s="1"/>
  <c r="Q556" i="5"/>
  <c r="N556" i="5"/>
  <c r="M556" i="5"/>
  <c r="O562" i="5"/>
  <c r="O562" i="7" s="1"/>
  <c r="R562" i="7" s="1"/>
  <c r="K38" i="6"/>
  <c r="K203" i="6"/>
  <c r="Q47" i="7"/>
  <c r="Q43" i="7" s="1"/>
  <c r="N47" i="7"/>
  <c r="O47" i="7" s="1"/>
  <c r="O47" i="9" s="1"/>
  <c r="M47" i="7"/>
  <c r="P94" i="7"/>
  <c r="R100" i="7"/>
  <c r="R111" i="7"/>
  <c r="O150" i="7"/>
  <c r="O379" i="7"/>
  <c r="R290" i="5"/>
  <c r="Q323" i="5"/>
  <c r="R323" i="5" s="1"/>
  <c r="M323" i="5"/>
  <c r="Q331" i="5"/>
  <c r="Q329" i="5" s="1"/>
  <c r="M331" i="5"/>
  <c r="Q333" i="5"/>
  <c r="M333" i="5"/>
  <c r="R352" i="5"/>
  <c r="Q357" i="5"/>
  <c r="R357" i="5" s="1"/>
  <c r="M357" i="5"/>
  <c r="R376" i="5"/>
  <c r="Q381" i="5"/>
  <c r="R381" i="5" s="1"/>
  <c r="M381" i="5"/>
  <c r="R394" i="5"/>
  <c r="Q397" i="5"/>
  <c r="Q395" i="5" s="1"/>
  <c r="M397" i="5"/>
  <c r="M395" i="5" s="1"/>
  <c r="Q407" i="5"/>
  <c r="N407" i="5"/>
  <c r="M407" i="5"/>
  <c r="Q429" i="5"/>
  <c r="M429" i="5"/>
  <c r="R434" i="5"/>
  <c r="R448" i="5"/>
  <c r="O457" i="5"/>
  <c r="O466" i="5"/>
  <c r="Q472" i="5"/>
  <c r="R472" i="5" s="1"/>
  <c r="N472" i="5"/>
  <c r="O472" i="5" s="1"/>
  <c r="M472" i="5"/>
  <c r="O495" i="5"/>
  <c r="O495" i="7" s="1"/>
  <c r="O511" i="5"/>
  <c r="O511" i="7" s="1"/>
  <c r="R511" i="7" s="1"/>
  <c r="O526" i="5"/>
  <c r="Q532" i="5"/>
  <c r="N532" i="5"/>
  <c r="O532" i="5" s="1"/>
  <c r="M532" i="5"/>
  <c r="Q544" i="5"/>
  <c r="R544" i="5" s="1"/>
  <c r="N544" i="5"/>
  <c r="O544" i="5" s="1"/>
  <c r="M544" i="5"/>
  <c r="O550" i="5"/>
  <c r="O550" i="7" s="1"/>
  <c r="R590" i="5"/>
  <c r="K321" i="6"/>
  <c r="K320" i="6"/>
  <c r="F88" i="5" s="1"/>
  <c r="O68" i="7"/>
  <c r="R68" i="7" s="1"/>
  <c r="R98" i="7"/>
  <c r="O114" i="7"/>
  <c r="O123" i="7"/>
  <c r="R123" i="7" s="1"/>
  <c r="R129" i="7"/>
  <c r="J142" i="7"/>
  <c r="R185" i="7"/>
  <c r="R201" i="7"/>
  <c r="Q281" i="7"/>
  <c r="N281" i="7"/>
  <c r="O281" i="7" s="1"/>
  <c r="O281" i="9" s="1"/>
  <c r="M281" i="7"/>
  <c r="O376" i="7"/>
  <c r="R376" i="7" s="1"/>
  <c r="O499" i="7"/>
  <c r="O523" i="7"/>
  <c r="O527" i="7"/>
  <c r="O535" i="7"/>
  <c r="O535" i="9" s="1"/>
  <c r="R535" i="9" s="1"/>
  <c r="O289" i="5"/>
  <c r="R289" i="5" s="1"/>
  <c r="O295" i="5"/>
  <c r="R295" i="5" s="1"/>
  <c r="O303" i="5"/>
  <c r="R303" i="5" s="1"/>
  <c r="R306" i="5"/>
  <c r="O323" i="5"/>
  <c r="O323" i="7" s="1"/>
  <c r="O325" i="5"/>
  <c r="R350" i="5"/>
  <c r="Q355" i="5"/>
  <c r="N355" i="5"/>
  <c r="M355" i="5"/>
  <c r="N357" i="5"/>
  <c r="O357" i="5" s="1"/>
  <c r="R374" i="5"/>
  <c r="Q379" i="5"/>
  <c r="R379" i="5" s="1"/>
  <c r="N379" i="5"/>
  <c r="O379" i="5" s="1"/>
  <c r="M379" i="5"/>
  <c r="N381" i="5"/>
  <c r="O381" i="5" s="1"/>
  <c r="N395" i="5"/>
  <c r="R420" i="5"/>
  <c r="O429" i="5"/>
  <c r="Q449" i="5"/>
  <c r="M449" i="5"/>
  <c r="Q492" i="5"/>
  <c r="N492" i="5"/>
  <c r="M492" i="5"/>
  <c r="O498" i="5"/>
  <c r="Q504" i="5"/>
  <c r="N504" i="5"/>
  <c r="O504" i="5" s="1"/>
  <c r="M504" i="5"/>
  <c r="O514" i="5"/>
  <c r="R559" i="5"/>
  <c r="K48" i="6"/>
  <c r="K47" i="6"/>
  <c r="K128" i="6"/>
  <c r="K174" i="6"/>
  <c r="K173" i="6"/>
  <c r="F60" i="5" s="1"/>
  <c r="K288" i="6"/>
  <c r="K287" i="6"/>
  <c r="F85" i="5" s="1"/>
  <c r="K332" i="6"/>
  <c r="K331" i="6"/>
  <c r="F89" i="5" s="1"/>
  <c r="P53" i="7"/>
  <c r="P52" i="7" s="1"/>
  <c r="O65" i="7"/>
  <c r="R142" i="7"/>
  <c r="O158" i="7"/>
  <c r="R168" i="7"/>
  <c r="O192" i="7"/>
  <c r="R192" i="7" s="1"/>
  <c r="O217" i="7"/>
  <c r="O217" i="9" s="1"/>
  <c r="O503" i="7"/>
  <c r="O546" i="7"/>
  <c r="O546" i="9" s="1"/>
  <c r="Q466" i="5"/>
  <c r="R466" i="5" s="1"/>
  <c r="Q470" i="5"/>
  <c r="Q478" i="5"/>
  <c r="Q486" i="5"/>
  <c r="R486" i="5" s="1"/>
  <c r="Q490" i="5"/>
  <c r="R490" i="5" s="1"/>
  <c r="Q494" i="5"/>
  <c r="R494" i="5" s="1"/>
  <c r="Q498" i="5"/>
  <c r="Q502" i="5"/>
  <c r="Q506" i="5"/>
  <c r="R506" i="5" s="1"/>
  <c r="Q510" i="5"/>
  <c r="R510" i="5" s="1"/>
  <c r="Q514" i="5"/>
  <c r="R514" i="5" s="1"/>
  <c r="Q518" i="5"/>
  <c r="Q522" i="5"/>
  <c r="Q526" i="5"/>
  <c r="R526" i="5" s="1"/>
  <c r="Q530" i="5"/>
  <c r="Q534" i="5"/>
  <c r="R534" i="5" s="1"/>
  <c r="Q538" i="5"/>
  <c r="Q542" i="5"/>
  <c r="R542" i="5" s="1"/>
  <c r="Q546" i="5"/>
  <c r="R546" i="5" s="1"/>
  <c r="Q550" i="5"/>
  <c r="Q554" i="5"/>
  <c r="Q558" i="5"/>
  <c r="Q562" i="5"/>
  <c r="R562" i="5" s="1"/>
  <c r="Q566" i="5"/>
  <c r="Q36" i="7"/>
  <c r="Q61" i="7"/>
  <c r="Q66" i="7"/>
  <c r="P83" i="7"/>
  <c r="P79" i="7" s="1"/>
  <c r="Q95" i="7"/>
  <c r="M101" i="7"/>
  <c r="M95" i="7" s="1"/>
  <c r="M94" i="7" s="1"/>
  <c r="Q124" i="7"/>
  <c r="Q128" i="7"/>
  <c r="Q132" i="7"/>
  <c r="Q136" i="7"/>
  <c r="R154" i="7"/>
  <c r="N159" i="7"/>
  <c r="N167" i="7"/>
  <c r="O167" i="7" s="1"/>
  <c r="Q170" i="7"/>
  <c r="N177" i="7"/>
  <c r="N175" i="7" s="1"/>
  <c r="N228" i="7"/>
  <c r="O228" i="7" s="1"/>
  <c r="M228" i="7"/>
  <c r="M226" i="7" s="1"/>
  <c r="Q257" i="7"/>
  <c r="N257" i="7"/>
  <c r="M263" i="7"/>
  <c r="Q263" i="7"/>
  <c r="N272" i="7"/>
  <c r="M272" i="7"/>
  <c r="N288" i="7"/>
  <c r="M288" i="7"/>
  <c r="O324" i="7"/>
  <c r="R324" i="7" s="1"/>
  <c r="O327" i="7"/>
  <c r="N329" i="7"/>
  <c r="O404" i="7"/>
  <c r="O404" i="9" s="1"/>
  <c r="O501" i="7"/>
  <c r="O501" i="9" s="1"/>
  <c r="M577" i="7"/>
  <c r="Q577" i="7"/>
  <c r="N577" i="7"/>
  <c r="N236" i="7"/>
  <c r="O236" i="7" s="1"/>
  <c r="M236" i="7"/>
  <c r="R244" i="7"/>
  <c r="Q253" i="7"/>
  <c r="N253" i="7"/>
  <c r="M259" i="7"/>
  <c r="Q259" i="7"/>
  <c r="O263" i="7"/>
  <c r="N304" i="7"/>
  <c r="O304" i="7" s="1"/>
  <c r="M304" i="7"/>
  <c r="O356" i="7"/>
  <c r="O359" i="7"/>
  <c r="O380" i="7"/>
  <c r="O380" i="9" s="1"/>
  <c r="R408" i="7"/>
  <c r="O412" i="7"/>
  <c r="O412" i="9" s="1"/>
  <c r="O415" i="7"/>
  <c r="O436" i="7"/>
  <c r="R436" i="7" s="1"/>
  <c r="O460" i="7"/>
  <c r="O463" i="7"/>
  <c r="O463" i="9" s="1"/>
  <c r="O463" i="10" s="1"/>
  <c r="R463" i="10" s="1"/>
  <c r="R467" i="7"/>
  <c r="O477" i="7"/>
  <c r="O477" i="9" s="1"/>
  <c r="O477" i="10" s="1"/>
  <c r="R489" i="7"/>
  <c r="Q530" i="7"/>
  <c r="N530" i="7"/>
  <c r="M530" i="7"/>
  <c r="O544" i="7"/>
  <c r="R544" i="7" s="1"/>
  <c r="O574" i="7"/>
  <c r="M29" i="7"/>
  <c r="M28" i="7" s="1"/>
  <c r="M34" i="7"/>
  <c r="Q56" i="7"/>
  <c r="M59" i="7"/>
  <c r="Q65" i="7"/>
  <c r="R65" i="7" s="1"/>
  <c r="M80" i="7"/>
  <c r="Q82" i="7"/>
  <c r="M93" i="7"/>
  <c r="M99" i="7"/>
  <c r="G113" i="7"/>
  <c r="N113" i="7" s="1"/>
  <c r="O113" i="7" s="1"/>
  <c r="R113" i="7" s="1"/>
  <c r="M117" i="7"/>
  <c r="M107" i="7" s="1"/>
  <c r="M122" i="7"/>
  <c r="M126" i="7"/>
  <c r="M130" i="7"/>
  <c r="M134" i="7"/>
  <c r="M131" i="7" s="1"/>
  <c r="M138" i="7"/>
  <c r="E141" i="7"/>
  <c r="M143" i="7"/>
  <c r="M150" i="7"/>
  <c r="Q162" i="7"/>
  <c r="M169" i="7"/>
  <c r="N174" i="7"/>
  <c r="O174" i="7" s="1"/>
  <c r="R174" i="7" s="1"/>
  <c r="M174" i="7"/>
  <c r="N198" i="7"/>
  <c r="M198" i="7"/>
  <c r="N214" i="7"/>
  <c r="O214" i="7" s="1"/>
  <c r="R214" i="7" s="1"/>
  <c r="M214" i="7"/>
  <c r="Q217" i="7"/>
  <c r="O219" i="7"/>
  <c r="O219" i="9" s="1"/>
  <c r="O219" i="10" s="1"/>
  <c r="O219" i="13" s="1"/>
  <c r="O219" i="14" s="1"/>
  <c r="O219" i="15" s="1"/>
  <c r="O219" i="16" s="1"/>
  <c r="P222" i="20" s="1"/>
  <c r="N232" i="7"/>
  <c r="M232" i="7"/>
  <c r="P240" i="7"/>
  <c r="P225" i="7" s="1"/>
  <c r="Q249" i="7"/>
  <c r="N249" i="7"/>
  <c r="M253" i="7"/>
  <c r="N259" i="7"/>
  <c r="Q277" i="7"/>
  <c r="N277" i="7"/>
  <c r="O277" i="7" s="1"/>
  <c r="O277" i="9" s="1"/>
  <c r="R277" i="9" s="1"/>
  <c r="M277" i="7"/>
  <c r="M279" i="7"/>
  <c r="Q279" i="7"/>
  <c r="O332" i="7"/>
  <c r="R332" i="7" s="1"/>
  <c r="R457" i="7"/>
  <c r="N474" i="7"/>
  <c r="R495" i="7"/>
  <c r="Q502" i="7"/>
  <c r="N502" i="7"/>
  <c r="M502" i="7"/>
  <c r="O547" i="7"/>
  <c r="O547" i="9" s="1"/>
  <c r="O563" i="7"/>
  <c r="O578" i="7"/>
  <c r="R578" i="7" s="1"/>
  <c r="N29" i="7"/>
  <c r="N34" i="7"/>
  <c r="O34" i="7" s="1"/>
  <c r="R34" i="7" s="1"/>
  <c r="N59" i="7"/>
  <c r="N80" i="7"/>
  <c r="N122" i="7"/>
  <c r="N120" i="7" s="1"/>
  <c r="N126" i="7"/>
  <c r="O126" i="7" s="1"/>
  <c r="R126" i="7" s="1"/>
  <c r="N130" i="7"/>
  <c r="O130" i="7" s="1"/>
  <c r="R130" i="7" s="1"/>
  <c r="N134" i="7"/>
  <c r="O134" i="7" s="1"/>
  <c r="R134" i="7" s="1"/>
  <c r="N138" i="7"/>
  <c r="J149" i="7"/>
  <c r="N169" i="7"/>
  <c r="N186" i="7"/>
  <c r="M186" i="7"/>
  <c r="R228" i="7"/>
  <c r="Q245" i="7"/>
  <c r="N245" i="7"/>
  <c r="O245" i="7" s="1"/>
  <c r="O245" i="9" s="1"/>
  <c r="O245" i="10" s="1"/>
  <c r="O245" i="13" s="1"/>
  <c r="R245" i="13" s="1"/>
  <c r="M251" i="7"/>
  <c r="Q251" i="7"/>
  <c r="N268" i="7"/>
  <c r="O268" i="7" s="1"/>
  <c r="M268" i="7"/>
  <c r="N284" i="7"/>
  <c r="M284" i="7"/>
  <c r="Q304" i="7"/>
  <c r="R304" i="7" s="1"/>
  <c r="R325" i="7"/>
  <c r="R356" i="7"/>
  <c r="O360" i="7"/>
  <c r="O363" i="7"/>
  <c r="R380" i="7"/>
  <c r="O384" i="7"/>
  <c r="O384" i="9" s="1"/>
  <c r="R412" i="7"/>
  <c r="O416" i="7"/>
  <c r="O419" i="7"/>
  <c r="O419" i="9" s="1"/>
  <c r="O419" i="10" s="1"/>
  <c r="R419" i="10" s="1"/>
  <c r="O440" i="7"/>
  <c r="O464" i="7"/>
  <c r="M474" i="7"/>
  <c r="Q478" i="7"/>
  <c r="Q474" i="7" s="1"/>
  <c r="N478" i="7"/>
  <c r="M478" i="7"/>
  <c r="O485" i="7"/>
  <c r="O485" i="9" s="1"/>
  <c r="O485" i="10" s="1"/>
  <c r="O489" i="7"/>
  <c r="O489" i="9" s="1"/>
  <c r="R513" i="7"/>
  <c r="Q534" i="7"/>
  <c r="N534" i="7"/>
  <c r="M534" i="7"/>
  <c r="O537" i="7"/>
  <c r="R541" i="7"/>
  <c r="R581" i="7"/>
  <c r="K165" i="8"/>
  <c r="K164" i="8"/>
  <c r="K403" i="8"/>
  <c r="K402" i="8"/>
  <c r="F88" i="7" s="1"/>
  <c r="R509" i="5"/>
  <c r="M54" i="7"/>
  <c r="M86" i="7"/>
  <c r="M91" i="7"/>
  <c r="Q107" i="7"/>
  <c r="G111" i="7"/>
  <c r="N111" i="7" s="1"/>
  <c r="O111" i="7" s="1"/>
  <c r="O111" i="9" s="1"/>
  <c r="R111" i="9" s="1"/>
  <c r="M142" i="7"/>
  <c r="M146" i="7"/>
  <c r="M158" i="7"/>
  <c r="O161" i="7"/>
  <c r="N166" i="7"/>
  <c r="M166" i="7"/>
  <c r="M165" i="7" s="1"/>
  <c r="M171" i="7"/>
  <c r="M170" i="7" s="1"/>
  <c r="N223" i="7"/>
  <c r="Q236" i="7"/>
  <c r="Q241" i="7"/>
  <c r="N241" i="7"/>
  <c r="M245" i="7"/>
  <c r="M247" i="7"/>
  <c r="Q247" i="7"/>
  <c r="N251" i="7"/>
  <c r="O251" i="7" s="1"/>
  <c r="Q289" i="7"/>
  <c r="N289" i="7"/>
  <c r="M289" i="7"/>
  <c r="Q297" i="7"/>
  <c r="N297" i="7"/>
  <c r="M297" i="7"/>
  <c r="O336" i="7"/>
  <c r="R336" i="7" s="1"/>
  <c r="R381" i="7"/>
  <c r="R413" i="7"/>
  <c r="Q510" i="7"/>
  <c r="R510" i="7" s="1"/>
  <c r="N510" i="7"/>
  <c r="O510" i="7" s="1"/>
  <c r="M510" i="7"/>
  <c r="R564" i="7"/>
  <c r="N568" i="7"/>
  <c r="M568" i="7"/>
  <c r="M566" i="7" s="1"/>
  <c r="R574" i="7"/>
  <c r="K69" i="8"/>
  <c r="K70" i="8"/>
  <c r="N54" i="7"/>
  <c r="N86" i="7"/>
  <c r="N91" i="7"/>
  <c r="O91" i="7" s="1"/>
  <c r="N142" i="7"/>
  <c r="O142" i="7" s="1"/>
  <c r="O142" i="9" s="1"/>
  <c r="O142" i="10" s="1"/>
  <c r="O142" i="13" s="1"/>
  <c r="R142" i="13" s="1"/>
  <c r="N146" i="7"/>
  <c r="O146" i="7" s="1"/>
  <c r="O146" i="9" s="1"/>
  <c r="N171" i="7"/>
  <c r="N202" i="7"/>
  <c r="M202" i="7"/>
  <c r="O209" i="7"/>
  <c r="M240" i="7"/>
  <c r="M243" i="7"/>
  <c r="Q243" i="7"/>
  <c r="N264" i="7"/>
  <c r="M264" i="7"/>
  <c r="Q273" i="7"/>
  <c r="N273" i="7"/>
  <c r="O273" i="7" s="1"/>
  <c r="O273" i="9" s="1"/>
  <c r="M273" i="7"/>
  <c r="M275" i="7"/>
  <c r="Q275" i="7"/>
  <c r="O311" i="7"/>
  <c r="O340" i="7"/>
  <c r="R340" i="7" s="1"/>
  <c r="R360" i="7"/>
  <c r="O364" i="7"/>
  <c r="R364" i="7" s="1"/>
  <c r="R384" i="7"/>
  <c r="O388" i="7"/>
  <c r="O388" i="9" s="1"/>
  <c r="O391" i="7"/>
  <c r="R416" i="7"/>
  <c r="O420" i="7"/>
  <c r="O423" i="7"/>
  <c r="O423" i="9" s="1"/>
  <c r="O423" i="10" s="1"/>
  <c r="R423" i="10" s="1"/>
  <c r="R440" i="7"/>
  <c r="O444" i="7"/>
  <c r="O444" i="9" s="1"/>
  <c r="R444" i="9" s="1"/>
  <c r="M482" i="7"/>
  <c r="Q486" i="7"/>
  <c r="Q482" i="7" s="1"/>
  <c r="N486" i="7"/>
  <c r="O486" i="7" s="1"/>
  <c r="O486" i="9" s="1"/>
  <c r="M486" i="7"/>
  <c r="Q490" i="7"/>
  <c r="R490" i="7" s="1"/>
  <c r="N490" i="7"/>
  <c r="O490" i="7" s="1"/>
  <c r="M490" i="7"/>
  <c r="R499" i="7"/>
  <c r="Q506" i="7"/>
  <c r="N506" i="7"/>
  <c r="M506" i="7"/>
  <c r="O513" i="7"/>
  <c r="O513" i="9" s="1"/>
  <c r="R517" i="7"/>
  <c r="Q538" i="7"/>
  <c r="N538" i="7"/>
  <c r="M538" i="7"/>
  <c r="O541" i="7"/>
  <c r="O541" i="9" s="1"/>
  <c r="R541" i="9" s="1"/>
  <c r="M415" i="5"/>
  <c r="M419" i="5"/>
  <c r="M423" i="5"/>
  <c r="M427" i="5"/>
  <c r="M431" i="5"/>
  <c r="M435" i="5"/>
  <c r="M439" i="5"/>
  <c r="M443" i="5"/>
  <c r="M447" i="5"/>
  <c r="M451" i="5"/>
  <c r="M455" i="5"/>
  <c r="M459" i="5"/>
  <c r="M463" i="5"/>
  <c r="M571" i="5"/>
  <c r="M575" i="5"/>
  <c r="M579" i="5"/>
  <c r="M583" i="5"/>
  <c r="M587" i="5"/>
  <c r="M37" i="7"/>
  <c r="M41" i="7"/>
  <c r="M45" i="7"/>
  <c r="M43" i="7" s="1"/>
  <c r="M49" i="7"/>
  <c r="M67" i="7"/>
  <c r="M90" i="7"/>
  <c r="G103" i="7"/>
  <c r="N103" i="7" s="1"/>
  <c r="N95" i="7" s="1"/>
  <c r="M105" i="7"/>
  <c r="G109" i="7"/>
  <c r="N109" i="7" s="1"/>
  <c r="O109" i="7" s="1"/>
  <c r="R109" i="7" s="1"/>
  <c r="M141" i="7"/>
  <c r="N148" i="7"/>
  <c r="M163" i="7"/>
  <c r="M156" i="7" s="1"/>
  <c r="M155" i="7" s="1"/>
  <c r="N183" i="7"/>
  <c r="O183" i="7" s="1"/>
  <c r="Q186" i="7"/>
  <c r="Q179" i="7" s="1"/>
  <c r="M195" i="7"/>
  <c r="M211" i="7"/>
  <c r="N218" i="7"/>
  <c r="O218" i="7" s="1"/>
  <c r="Q223" i="7"/>
  <c r="N227" i="7"/>
  <c r="Q237" i="7"/>
  <c r="R237" i="7" s="1"/>
  <c r="N237" i="7"/>
  <c r="O237" i="7" s="1"/>
  <c r="O237" i="9" s="1"/>
  <c r="N243" i="7"/>
  <c r="N260" i="7"/>
  <c r="M260" i="7"/>
  <c r="Q268" i="7"/>
  <c r="R268" i="7" s="1"/>
  <c r="N275" i="7"/>
  <c r="O275" i="7" s="1"/>
  <c r="N280" i="7"/>
  <c r="M280" i="7"/>
  <c r="Q284" i="7"/>
  <c r="R361" i="7"/>
  <c r="R469" i="7"/>
  <c r="O493" i="7"/>
  <c r="O493" i="9" s="1"/>
  <c r="P554" i="7"/>
  <c r="P507" i="7" s="1"/>
  <c r="O582" i="7"/>
  <c r="R582" i="7" s="1"/>
  <c r="N415" i="5"/>
  <c r="O415" i="5" s="1"/>
  <c r="R415" i="5" s="1"/>
  <c r="N419" i="5"/>
  <c r="O419" i="5" s="1"/>
  <c r="R419" i="5" s="1"/>
  <c r="N423" i="5"/>
  <c r="O423" i="5" s="1"/>
  <c r="R423" i="5" s="1"/>
  <c r="N427" i="5"/>
  <c r="O427" i="5" s="1"/>
  <c r="N431" i="5"/>
  <c r="O431" i="5" s="1"/>
  <c r="R431" i="5" s="1"/>
  <c r="N435" i="5"/>
  <c r="O435" i="5" s="1"/>
  <c r="R435" i="5" s="1"/>
  <c r="N439" i="5"/>
  <c r="N443" i="5"/>
  <c r="N447" i="5"/>
  <c r="O447" i="5" s="1"/>
  <c r="R447" i="5" s="1"/>
  <c r="N451" i="5"/>
  <c r="O451" i="5" s="1"/>
  <c r="R451" i="5" s="1"/>
  <c r="N455" i="5"/>
  <c r="O455" i="5" s="1"/>
  <c r="R455" i="5" s="1"/>
  <c r="N459" i="5"/>
  <c r="N463" i="5"/>
  <c r="O463" i="5" s="1"/>
  <c r="R463" i="5" s="1"/>
  <c r="N571" i="5"/>
  <c r="O571" i="5" s="1"/>
  <c r="N575" i="5"/>
  <c r="O575" i="5" s="1"/>
  <c r="R575" i="5" s="1"/>
  <c r="N579" i="5"/>
  <c r="N583" i="5"/>
  <c r="O583" i="5" s="1"/>
  <c r="N587" i="5"/>
  <c r="N37" i="7"/>
  <c r="O37" i="7" s="1"/>
  <c r="R37" i="7" s="1"/>
  <c r="N41" i="7"/>
  <c r="N45" i="7"/>
  <c r="N49" i="7"/>
  <c r="N67" i="7"/>
  <c r="N90" i="7"/>
  <c r="N105" i="7"/>
  <c r="O105" i="7" s="1"/>
  <c r="R105" i="7" s="1"/>
  <c r="Q158" i="7"/>
  <c r="Q156" i="7" s="1"/>
  <c r="N163" i="7"/>
  <c r="O163" i="7" s="1"/>
  <c r="O163" i="9" s="1"/>
  <c r="O163" i="10" s="1"/>
  <c r="O163" i="13" s="1"/>
  <c r="Q166" i="7"/>
  <c r="P175" i="7"/>
  <c r="Q193" i="7"/>
  <c r="N195" i="7"/>
  <c r="Q209" i="7"/>
  <c r="N211" i="7"/>
  <c r="O211" i="7" s="1"/>
  <c r="O211" i="9" s="1"/>
  <c r="R211" i="9" s="1"/>
  <c r="Q233" i="7"/>
  <c r="N233" i="7"/>
  <c r="O233" i="7" s="1"/>
  <c r="O233" i="9" s="1"/>
  <c r="O233" i="10" s="1"/>
  <c r="M239" i="7"/>
  <c r="Q239" i="7"/>
  <c r="N256" i="7"/>
  <c r="M256" i="7"/>
  <c r="N300" i="7"/>
  <c r="O300" i="7" s="1"/>
  <c r="R300" i="7" s="1"/>
  <c r="M300" i="7"/>
  <c r="O312" i="7"/>
  <c r="M329" i="7"/>
  <c r="O344" i="7"/>
  <c r="R344" i="7" s="1"/>
  <c r="O368" i="7"/>
  <c r="R388" i="7"/>
  <c r="R420" i="7"/>
  <c r="O424" i="7"/>
  <c r="O424" i="9" s="1"/>
  <c r="R424" i="9" s="1"/>
  <c r="R444" i="7"/>
  <c r="O448" i="7"/>
  <c r="O451" i="7"/>
  <c r="O451" i="9" s="1"/>
  <c r="Q466" i="7"/>
  <c r="N466" i="7"/>
  <c r="O466" i="7" s="1"/>
  <c r="M466" i="7"/>
  <c r="R497" i="7"/>
  <c r="Q514" i="7"/>
  <c r="R514" i="7" s="1"/>
  <c r="N514" i="7"/>
  <c r="O514" i="7" s="1"/>
  <c r="M514" i="7"/>
  <c r="O517" i="7"/>
  <c r="O517" i="9" s="1"/>
  <c r="Q542" i="7"/>
  <c r="R542" i="7" s="1"/>
  <c r="N542" i="7"/>
  <c r="O542" i="7" s="1"/>
  <c r="M542" i="7"/>
  <c r="O575" i="7"/>
  <c r="M102" i="9"/>
  <c r="G102" i="9"/>
  <c r="N102" i="9" s="1"/>
  <c r="P58" i="7"/>
  <c r="M145" i="7"/>
  <c r="Q149" i="7"/>
  <c r="O173" i="7"/>
  <c r="R173" i="7" s="1"/>
  <c r="Q175" i="7"/>
  <c r="N190" i="7"/>
  <c r="M190" i="7"/>
  <c r="N197" i="7"/>
  <c r="O197" i="7" s="1"/>
  <c r="Q202" i="7"/>
  <c r="N206" i="7"/>
  <c r="M206" i="7"/>
  <c r="N213" i="7"/>
  <c r="O220" i="7"/>
  <c r="Q227" i="7"/>
  <c r="M231" i="7"/>
  <c r="Q231" i="7"/>
  <c r="M233" i="7"/>
  <c r="M235" i="7"/>
  <c r="Q235" i="7"/>
  <c r="R235" i="7" s="1"/>
  <c r="N239" i="7"/>
  <c r="O239" i="7" s="1"/>
  <c r="N252" i="7"/>
  <c r="O252" i="7" s="1"/>
  <c r="R252" i="7" s="1"/>
  <c r="M252" i="7"/>
  <c r="Q264" i="7"/>
  <c r="Q269" i="7"/>
  <c r="R269" i="7" s="1"/>
  <c r="N269" i="7"/>
  <c r="O269" i="7" s="1"/>
  <c r="O269" i="9" s="1"/>
  <c r="R269" i="9" s="1"/>
  <c r="M269" i="7"/>
  <c r="M271" i="7"/>
  <c r="Q271" i="7"/>
  <c r="R271" i="7" s="1"/>
  <c r="Q285" i="7"/>
  <c r="N285" i="7"/>
  <c r="M285" i="7"/>
  <c r="M287" i="7"/>
  <c r="Q287" i="7"/>
  <c r="N292" i="7"/>
  <c r="M292" i="7"/>
  <c r="M291" i="7" s="1"/>
  <c r="R389" i="7"/>
  <c r="O399" i="7"/>
  <c r="O469" i="7"/>
  <c r="O469" i="9" s="1"/>
  <c r="O469" i="10" s="1"/>
  <c r="Q494" i="7"/>
  <c r="N494" i="7"/>
  <c r="O494" i="7" s="1"/>
  <c r="M494" i="7"/>
  <c r="O586" i="7"/>
  <c r="R586" i="7" s="1"/>
  <c r="N588" i="7"/>
  <c r="Q53" i="9"/>
  <c r="Q52" i="9" s="1"/>
  <c r="O185" i="7"/>
  <c r="O235" i="7"/>
  <c r="N248" i="7"/>
  <c r="O248" i="7" s="1"/>
  <c r="R248" i="7" s="1"/>
  <c r="M248" i="7"/>
  <c r="O271" i="7"/>
  <c r="N276" i="7"/>
  <c r="M276" i="7"/>
  <c r="R312" i="7"/>
  <c r="O348" i="7"/>
  <c r="R348" i="7" s="1"/>
  <c r="O351" i="7"/>
  <c r="R368" i="7"/>
  <c r="O372" i="7"/>
  <c r="R372" i="7" s="1"/>
  <c r="R424" i="7"/>
  <c r="O428" i="7"/>
  <c r="R448" i="7"/>
  <c r="O452" i="7"/>
  <c r="R452" i="7" s="1"/>
  <c r="Q487" i="7"/>
  <c r="O497" i="7"/>
  <c r="O497" i="9" s="1"/>
  <c r="R497" i="9" s="1"/>
  <c r="Q518" i="7"/>
  <c r="N518" i="7"/>
  <c r="M518" i="7"/>
  <c r="Q522" i="7"/>
  <c r="R522" i="7" s="1"/>
  <c r="N522" i="7"/>
  <c r="O522" i="7" s="1"/>
  <c r="M522" i="7"/>
  <c r="M520" i="7" s="1"/>
  <c r="R529" i="7"/>
  <c r="R570" i="7"/>
  <c r="P94" i="9"/>
  <c r="Q158" i="9"/>
  <c r="N158" i="9"/>
  <c r="M158" i="9"/>
  <c r="M156" i="9" s="1"/>
  <c r="E150" i="7"/>
  <c r="N182" i="7"/>
  <c r="O182" i="7" s="1"/>
  <c r="R182" i="7" s="1"/>
  <c r="M182" i="7"/>
  <c r="M187" i="7"/>
  <c r="Q197" i="7"/>
  <c r="Q213" i="7"/>
  <c r="E221" i="7"/>
  <c r="Q219" i="7"/>
  <c r="R219" i="7" s="1"/>
  <c r="N224" i="7"/>
  <c r="M224" i="7"/>
  <c r="M222" i="7" s="1"/>
  <c r="N244" i="7"/>
  <c r="O244" i="7" s="1"/>
  <c r="M244" i="7"/>
  <c r="Q256" i="7"/>
  <c r="Q265" i="7"/>
  <c r="N265" i="7"/>
  <c r="O265" i="7" s="1"/>
  <c r="O265" i="9" s="1"/>
  <c r="Q301" i="7"/>
  <c r="N301" i="7"/>
  <c r="M301" i="7"/>
  <c r="O303" i="7"/>
  <c r="O320" i="7"/>
  <c r="R320" i="7" s="1"/>
  <c r="Q329" i="7"/>
  <c r="Q395" i="7"/>
  <c r="O400" i="7"/>
  <c r="O400" i="9" s="1"/>
  <c r="Q470" i="7"/>
  <c r="N470" i="7"/>
  <c r="O470" i="7" s="1"/>
  <c r="O470" i="9" s="1"/>
  <c r="M470" i="7"/>
  <c r="R501" i="7"/>
  <c r="O543" i="7"/>
  <c r="O543" i="9" s="1"/>
  <c r="R546" i="7"/>
  <c r="Q580" i="7"/>
  <c r="N580" i="7"/>
  <c r="M580" i="7"/>
  <c r="Q543" i="7"/>
  <c r="Q563" i="7"/>
  <c r="K76" i="8"/>
  <c r="R37" i="9"/>
  <c r="Q107" i="9"/>
  <c r="Q131" i="9"/>
  <c r="Q154" i="9"/>
  <c r="N154" i="9"/>
  <c r="O154" i="9" s="1"/>
  <c r="M154" i="9"/>
  <c r="R163" i="9"/>
  <c r="P178" i="9"/>
  <c r="R201" i="9"/>
  <c r="O218" i="9"/>
  <c r="O230" i="9"/>
  <c r="R230" i="9" s="1"/>
  <c r="Q264" i="9"/>
  <c r="N264" i="9"/>
  <c r="M264" i="9"/>
  <c r="Q276" i="9"/>
  <c r="N276" i="9"/>
  <c r="M276" i="9"/>
  <c r="Q288" i="9"/>
  <c r="N288" i="9"/>
  <c r="M288" i="9"/>
  <c r="O306" i="9"/>
  <c r="R306" i="9" s="1"/>
  <c r="Q324" i="9"/>
  <c r="N324" i="9"/>
  <c r="O324" i="9" s="1"/>
  <c r="M324" i="9"/>
  <c r="Q352" i="9"/>
  <c r="N352" i="9"/>
  <c r="O352" i="9" s="1"/>
  <c r="M352" i="9"/>
  <c r="O358" i="9"/>
  <c r="R358" i="9" s="1"/>
  <c r="N391" i="9"/>
  <c r="O391" i="9" s="1"/>
  <c r="O391" i="10" s="1"/>
  <c r="Q391" i="9"/>
  <c r="M391" i="9"/>
  <c r="Q515" i="7"/>
  <c r="Q519" i="7"/>
  <c r="R519" i="7" s="1"/>
  <c r="Q523" i="7"/>
  <c r="R523" i="7" s="1"/>
  <c r="Q527" i="7"/>
  <c r="R527" i="7" s="1"/>
  <c r="Q531" i="7"/>
  <c r="Q535" i="7"/>
  <c r="Q539" i="7"/>
  <c r="R539" i="7" s="1"/>
  <c r="Q549" i="7"/>
  <c r="R549" i="7" s="1"/>
  <c r="Q560" i="7"/>
  <c r="R560" i="7" s="1"/>
  <c r="K272" i="8"/>
  <c r="K271" i="8"/>
  <c r="F73" i="7" s="1"/>
  <c r="K354" i="8"/>
  <c r="O57" i="9"/>
  <c r="O57" i="10" s="1"/>
  <c r="R57" i="10" s="1"/>
  <c r="O105" i="9"/>
  <c r="P107" i="9"/>
  <c r="R129" i="9"/>
  <c r="M131" i="9"/>
  <c r="O143" i="9"/>
  <c r="Q214" i="9"/>
  <c r="N214" i="9"/>
  <c r="M214" i="9"/>
  <c r="J221" i="9"/>
  <c r="Q221" i="9"/>
  <c r="R221" i="9" s="1"/>
  <c r="P221" i="9"/>
  <c r="Q252" i="9"/>
  <c r="N252" i="9"/>
  <c r="M252" i="9"/>
  <c r="O294" i="9"/>
  <c r="R294" i="9" s="1"/>
  <c r="Q296" i="9"/>
  <c r="Q332" i="9"/>
  <c r="Q329" i="9" s="1"/>
  <c r="N332" i="9"/>
  <c r="M332" i="9"/>
  <c r="Q295" i="7"/>
  <c r="Q291" i="7" s="1"/>
  <c r="Q299" i="7"/>
  <c r="Q303" i="7"/>
  <c r="Q311" i="7"/>
  <c r="Q319" i="7"/>
  <c r="Q317" i="7" s="1"/>
  <c r="Q323" i="7"/>
  <c r="Q327" i="7"/>
  <c r="R327" i="7" s="1"/>
  <c r="Q331" i="7"/>
  <c r="Q335" i="7"/>
  <c r="Q339" i="7"/>
  <c r="Q343" i="7"/>
  <c r="Q347" i="7"/>
  <c r="Q351" i="7"/>
  <c r="R351" i="7" s="1"/>
  <c r="Q355" i="7"/>
  <c r="Q359" i="7"/>
  <c r="Q363" i="7"/>
  <c r="R363" i="7" s="1"/>
  <c r="Q367" i="7"/>
  <c r="Q371" i="7"/>
  <c r="Q375" i="7"/>
  <c r="Q379" i="7"/>
  <c r="Q383" i="7"/>
  <c r="Q387" i="7"/>
  <c r="Q391" i="7"/>
  <c r="R391" i="7" s="1"/>
  <c r="Q399" i="7"/>
  <c r="Q403" i="7"/>
  <c r="Q407" i="7"/>
  <c r="Q411" i="7"/>
  <c r="Q415" i="7"/>
  <c r="R415" i="7" s="1"/>
  <c r="Q419" i="7"/>
  <c r="Q423" i="7"/>
  <c r="Q427" i="7"/>
  <c r="Q431" i="7"/>
  <c r="Q435" i="7"/>
  <c r="Q439" i="7"/>
  <c r="Q443" i="7"/>
  <c r="Q447" i="7"/>
  <c r="Q451" i="7"/>
  <c r="Q455" i="7"/>
  <c r="Q459" i="7"/>
  <c r="Q463" i="7"/>
  <c r="R463" i="7" s="1"/>
  <c r="P568" i="7"/>
  <c r="P566" i="7" s="1"/>
  <c r="I649" i="7"/>
  <c r="J638" i="7"/>
  <c r="K90" i="8"/>
  <c r="K89" i="8"/>
  <c r="K123" i="8"/>
  <c r="K122" i="8"/>
  <c r="O65" i="9"/>
  <c r="R65" i="9" s="1"/>
  <c r="Q120" i="9"/>
  <c r="O173" i="9"/>
  <c r="O173" i="10" s="1"/>
  <c r="Q190" i="9"/>
  <c r="N190" i="9"/>
  <c r="M190" i="9"/>
  <c r="Q202" i="9"/>
  <c r="N202" i="9"/>
  <c r="M202" i="9"/>
  <c r="Q228" i="9"/>
  <c r="N228" i="9"/>
  <c r="O228" i="9" s="1"/>
  <c r="M228" i="9"/>
  <c r="O258" i="9"/>
  <c r="R258" i="9" s="1"/>
  <c r="O270" i="9"/>
  <c r="R270" i="9" s="1"/>
  <c r="O282" i="9"/>
  <c r="R282" i="9" s="1"/>
  <c r="Q304" i="9"/>
  <c r="R304" i="9" s="1"/>
  <c r="N304" i="9"/>
  <c r="O304" i="9" s="1"/>
  <c r="M304" i="9"/>
  <c r="O310" i="9"/>
  <c r="R310" i="9" s="1"/>
  <c r="M317" i="9"/>
  <c r="O362" i="9"/>
  <c r="R362" i="9" s="1"/>
  <c r="Q568" i="7"/>
  <c r="K134" i="8"/>
  <c r="K133" i="8"/>
  <c r="K239" i="8"/>
  <c r="K238" i="8"/>
  <c r="F70" i="7" s="1"/>
  <c r="K283" i="8"/>
  <c r="K282" i="8"/>
  <c r="F74" i="7" s="1"/>
  <c r="K381" i="8"/>
  <c r="K380" i="8"/>
  <c r="K543" i="8"/>
  <c r="O34" i="9"/>
  <c r="O34" i="10" s="1"/>
  <c r="R105" i="9"/>
  <c r="M112" i="9"/>
  <c r="G112" i="9"/>
  <c r="N112" i="9" s="1"/>
  <c r="N175" i="9"/>
  <c r="Q292" i="9"/>
  <c r="N292" i="9"/>
  <c r="M292" i="9"/>
  <c r="M291" i="9" s="1"/>
  <c r="Q340" i="9"/>
  <c r="N340" i="9"/>
  <c r="M340" i="9"/>
  <c r="O346" i="9"/>
  <c r="Q356" i="9"/>
  <c r="R356" i="9" s="1"/>
  <c r="N356" i="9"/>
  <c r="O356" i="9" s="1"/>
  <c r="M356" i="9"/>
  <c r="O382" i="9"/>
  <c r="R382" i="9" s="1"/>
  <c r="O422" i="9"/>
  <c r="O422" i="10" s="1"/>
  <c r="Q556" i="9"/>
  <c r="N556" i="9"/>
  <c r="M556" i="9"/>
  <c r="M305" i="7"/>
  <c r="M309" i="7"/>
  <c r="M313" i="7"/>
  <c r="M321" i="7"/>
  <c r="M325" i="7"/>
  <c r="M333" i="7"/>
  <c r="M341" i="7"/>
  <c r="M345" i="7"/>
  <c r="M349" i="7"/>
  <c r="M353" i="7"/>
  <c r="M357" i="7"/>
  <c r="M361" i="7"/>
  <c r="M365" i="7"/>
  <c r="M369" i="7"/>
  <c r="M373" i="7"/>
  <c r="M377" i="7"/>
  <c r="M381" i="7"/>
  <c r="M385" i="7"/>
  <c r="M389" i="7"/>
  <c r="M393" i="7"/>
  <c r="M397" i="7"/>
  <c r="M401" i="7"/>
  <c r="M405" i="7"/>
  <c r="M409" i="7"/>
  <c r="M413" i="7"/>
  <c r="M417" i="7"/>
  <c r="M421" i="7"/>
  <c r="M425" i="7"/>
  <c r="M429" i="7"/>
  <c r="M433" i="7"/>
  <c r="M437" i="7"/>
  <c r="M441" i="7"/>
  <c r="M445" i="7"/>
  <c r="M449" i="7"/>
  <c r="M453" i="7"/>
  <c r="M457" i="7"/>
  <c r="M461" i="7"/>
  <c r="M465" i="7"/>
  <c r="M553" i="7"/>
  <c r="M552" i="7" s="1"/>
  <c r="M564" i="7"/>
  <c r="M554" i="7" s="1"/>
  <c r="N567" i="7"/>
  <c r="N573" i="7"/>
  <c r="M576" i="7"/>
  <c r="N585" i="7"/>
  <c r="O585" i="7" s="1"/>
  <c r="K40" i="8"/>
  <c r="K39" i="8"/>
  <c r="O68" i="9"/>
  <c r="Q256" i="9"/>
  <c r="N256" i="9"/>
  <c r="M256" i="9"/>
  <c r="Q268" i="9"/>
  <c r="R268" i="9" s="1"/>
  <c r="N268" i="9"/>
  <c r="O268" i="9" s="1"/>
  <c r="M268" i="9"/>
  <c r="Q280" i="9"/>
  <c r="N280" i="9"/>
  <c r="M280" i="9"/>
  <c r="O298" i="9"/>
  <c r="R298" i="9" s="1"/>
  <c r="Q336" i="9"/>
  <c r="R336" i="9" s="1"/>
  <c r="N336" i="9"/>
  <c r="O336" i="9" s="1"/>
  <c r="M336" i="9"/>
  <c r="O366" i="9"/>
  <c r="R385" i="9"/>
  <c r="N305" i="7"/>
  <c r="O305" i="7" s="1"/>
  <c r="O305" i="9" s="1"/>
  <c r="R305" i="9" s="1"/>
  <c r="N309" i="7"/>
  <c r="N313" i="7"/>
  <c r="O313" i="7" s="1"/>
  <c r="N321" i="7"/>
  <c r="N325" i="7"/>
  <c r="O325" i="7" s="1"/>
  <c r="O325" i="9" s="1"/>
  <c r="R325" i="9" s="1"/>
  <c r="N333" i="7"/>
  <c r="N341" i="7"/>
  <c r="N345" i="7"/>
  <c r="N349" i="7"/>
  <c r="O349" i="7" s="1"/>
  <c r="O349" i="9" s="1"/>
  <c r="N353" i="7"/>
  <c r="N357" i="7"/>
  <c r="N361" i="7"/>
  <c r="O361" i="7" s="1"/>
  <c r="O361" i="9" s="1"/>
  <c r="N365" i="7"/>
  <c r="N369" i="7"/>
  <c r="N373" i="7"/>
  <c r="O373" i="7" s="1"/>
  <c r="R373" i="7" s="1"/>
  <c r="N377" i="7"/>
  <c r="O377" i="7" s="1"/>
  <c r="R377" i="7" s="1"/>
  <c r="N381" i="7"/>
  <c r="O381" i="7" s="1"/>
  <c r="N385" i="7"/>
  <c r="O385" i="7" s="1"/>
  <c r="R385" i="7" s="1"/>
  <c r="N389" i="7"/>
  <c r="O389" i="7" s="1"/>
  <c r="N393" i="7"/>
  <c r="N397" i="7"/>
  <c r="N401" i="7"/>
  <c r="O401" i="7" s="1"/>
  <c r="R401" i="7" s="1"/>
  <c r="N405" i="7"/>
  <c r="O405" i="7" s="1"/>
  <c r="R405" i="7" s="1"/>
  <c r="N409" i="7"/>
  <c r="O409" i="7" s="1"/>
  <c r="R409" i="7" s="1"/>
  <c r="N413" i="7"/>
  <c r="O413" i="7" s="1"/>
  <c r="O413" i="9" s="1"/>
  <c r="N417" i="7"/>
  <c r="O417" i="7" s="1"/>
  <c r="R417" i="7" s="1"/>
  <c r="N421" i="7"/>
  <c r="N425" i="7"/>
  <c r="O425" i="7" s="1"/>
  <c r="R425" i="7" s="1"/>
  <c r="N429" i="7"/>
  <c r="O429" i="7" s="1"/>
  <c r="R429" i="7" s="1"/>
  <c r="N433" i="7"/>
  <c r="N437" i="7"/>
  <c r="N441" i="7"/>
  <c r="N445" i="7"/>
  <c r="N449" i="7"/>
  <c r="N453" i="7"/>
  <c r="N457" i="7"/>
  <c r="O457" i="7" s="1"/>
  <c r="N461" i="7"/>
  <c r="N465" i="7"/>
  <c r="O509" i="7"/>
  <c r="M550" i="7"/>
  <c r="Q559" i="7"/>
  <c r="R559" i="7" s="1"/>
  <c r="N564" i="7"/>
  <c r="O564" i="7" s="1"/>
  <c r="N576" i="7"/>
  <c r="K14" i="8"/>
  <c r="K414" i="8"/>
  <c r="K413" i="8"/>
  <c r="K477" i="8"/>
  <c r="R55" i="9"/>
  <c r="P53" i="9"/>
  <c r="P52" i="9" s="1"/>
  <c r="N125" i="9"/>
  <c r="O130" i="9"/>
  <c r="R130" i="9" s="1"/>
  <c r="Q150" i="9"/>
  <c r="P150" i="9"/>
  <c r="J150" i="9"/>
  <c r="O152" i="9"/>
  <c r="Q162" i="9"/>
  <c r="N162" i="9"/>
  <c r="M162" i="9"/>
  <c r="Q174" i="9"/>
  <c r="N174" i="9"/>
  <c r="M174" i="9"/>
  <c r="Q206" i="9"/>
  <c r="N206" i="9"/>
  <c r="M206" i="9"/>
  <c r="N215" i="9"/>
  <c r="Q224" i="9"/>
  <c r="N224" i="9"/>
  <c r="M224" i="9"/>
  <c r="R237" i="9"/>
  <c r="Q244" i="9"/>
  <c r="Q240" i="9" s="1"/>
  <c r="N244" i="9"/>
  <c r="M244" i="9"/>
  <c r="Q308" i="9"/>
  <c r="N308" i="9"/>
  <c r="M308" i="9"/>
  <c r="O314" i="9"/>
  <c r="R314" i="9" s="1"/>
  <c r="O372" i="9"/>
  <c r="R372" i="9" s="1"/>
  <c r="O386" i="9"/>
  <c r="K50" i="8"/>
  <c r="K49" i="8"/>
  <c r="K425" i="8"/>
  <c r="K424" i="8"/>
  <c r="Q28" i="9"/>
  <c r="O106" i="9"/>
  <c r="R106" i="9" s="1"/>
  <c r="O168" i="9"/>
  <c r="R168" i="9" s="1"/>
  <c r="Q182" i="9"/>
  <c r="R182" i="9" s="1"/>
  <c r="N182" i="9"/>
  <c r="O182" i="9" s="1"/>
  <c r="M182" i="9"/>
  <c r="Q194" i="9"/>
  <c r="R194" i="9" s="1"/>
  <c r="N194" i="9"/>
  <c r="O194" i="9" s="1"/>
  <c r="M194" i="9"/>
  <c r="O220" i="9"/>
  <c r="Q232" i="9"/>
  <c r="N232" i="9"/>
  <c r="M232" i="9"/>
  <c r="O262" i="9"/>
  <c r="R262" i="9" s="1"/>
  <c r="O274" i="9"/>
  <c r="R274" i="9" s="1"/>
  <c r="O286" i="9"/>
  <c r="R286" i="9" s="1"/>
  <c r="O322" i="9"/>
  <c r="R322" i="9" s="1"/>
  <c r="Q344" i="9"/>
  <c r="N344" i="9"/>
  <c r="M344" i="9"/>
  <c r="O350" i="9"/>
  <c r="R350" i="9" s="1"/>
  <c r="Q360" i="9"/>
  <c r="N360" i="9"/>
  <c r="O360" i="9" s="1"/>
  <c r="M360" i="9"/>
  <c r="O370" i="9"/>
  <c r="R370" i="9" s="1"/>
  <c r="O389" i="9"/>
  <c r="R389" i="9" s="1"/>
  <c r="Q393" i="9"/>
  <c r="N393" i="9"/>
  <c r="M393" i="9"/>
  <c r="Q409" i="9"/>
  <c r="R409" i="9" s="1"/>
  <c r="N409" i="9"/>
  <c r="O409" i="9" s="1"/>
  <c r="M409" i="9"/>
  <c r="M308" i="7"/>
  <c r="M312" i="7"/>
  <c r="M316" i="7"/>
  <c r="M315" i="7" s="1"/>
  <c r="M320" i="7"/>
  <c r="M317" i="7" s="1"/>
  <c r="M324" i="7"/>
  <c r="M332" i="7"/>
  <c r="M336" i="7"/>
  <c r="M340" i="7"/>
  <c r="M337" i="7" s="1"/>
  <c r="M344" i="7"/>
  <c r="M348" i="7"/>
  <c r="M352" i="7"/>
  <c r="M356" i="7"/>
  <c r="M360" i="7"/>
  <c r="M364" i="7"/>
  <c r="M368" i="7"/>
  <c r="M372" i="7"/>
  <c r="M376" i="7"/>
  <c r="M380" i="7"/>
  <c r="M384" i="7"/>
  <c r="M388" i="7"/>
  <c r="M392" i="7"/>
  <c r="M396" i="7"/>
  <c r="M400" i="7"/>
  <c r="M404" i="7"/>
  <c r="M408" i="7"/>
  <c r="M412" i="7"/>
  <c r="M416" i="7"/>
  <c r="M420" i="7"/>
  <c r="M424" i="7"/>
  <c r="M428" i="7"/>
  <c r="M432" i="7"/>
  <c r="M436" i="7"/>
  <c r="M440" i="7"/>
  <c r="M444" i="7"/>
  <c r="M448" i="7"/>
  <c r="M452" i="7"/>
  <c r="M456" i="7"/>
  <c r="M460" i="7"/>
  <c r="M464" i="7"/>
  <c r="N468" i="7"/>
  <c r="N472" i="7"/>
  <c r="N476" i="7"/>
  <c r="N480" i="7"/>
  <c r="O480" i="7" s="1"/>
  <c r="R480" i="7" s="1"/>
  <c r="N484" i="7"/>
  <c r="N488" i="7"/>
  <c r="N492" i="7"/>
  <c r="N496" i="7"/>
  <c r="N500" i="7"/>
  <c r="O500" i="7" s="1"/>
  <c r="R500" i="7" s="1"/>
  <c r="N504" i="7"/>
  <c r="O504" i="7" s="1"/>
  <c r="N512" i="7"/>
  <c r="N516" i="7"/>
  <c r="O516" i="7" s="1"/>
  <c r="R516" i="7" s="1"/>
  <c r="N524" i="7"/>
  <c r="O524" i="7" s="1"/>
  <c r="R524" i="7" s="1"/>
  <c r="N528" i="7"/>
  <c r="N532" i="7"/>
  <c r="N536" i="7"/>
  <c r="N540" i="7"/>
  <c r="O540" i="7" s="1"/>
  <c r="R540" i="7" s="1"/>
  <c r="Q553" i="7"/>
  <c r="N555" i="7"/>
  <c r="N558" i="7"/>
  <c r="Q567" i="7"/>
  <c r="Q573" i="7"/>
  <c r="M578" i="7"/>
  <c r="Q585" i="7"/>
  <c r="R585" i="7" s="1"/>
  <c r="Q588" i="7"/>
  <c r="K101" i="8"/>
  <c r="K100" i="8"/>
  <c r="K250" i="8"/>
  <c r="K249" i="8"/>
  <c r="F71" i="7" s="1"/>
  <c r="K294" i="8"/>
  <c r="K293" i="8"/>
  <c r="F75" i="7" s="1"/>
  <c r="Q30" i="9"/>
  <c r="P27" i="9"/>
  <c r="R98" i="9"/>
  <c r="N116" i="9"/>
  <c r="O134" i="9"/>
  <c r="O134" i="10" s="1"/>
  <c r="O134" i="13" s="1"/>
  <c r="N156" i="9"/>
  <c r="Q170" i="9"/>
  <c r="R265" i="9"/>
  <c r="O373" i="9"/>
  <c r="O578" i="9"/>
  <c r="O578" i="10" s="1"/>
  <c r="K60" i="8"/>
  <c r="K59" i="8"/>
  <c r="K112" i="8"/>
  <c r="K111" i="8"/>
  <c r="K224" i="8"/>
  <c r="N28" i="9"/>
  <c r="N150" i="9"/>
  <c r="O150" i="9" s="1"/>
  <c r="M150" i="9"/>
  <c r="Q166" i="9"/>
  <c r="N166" i="9"/>
  <c r="M166" i="9"/>
  <c r="M165" i="9" s="1"/>
  <c r="R235" i="9"/>
  <c r="O238" i="9"/>
  <c r="R238" i="9" s="1"/>
  <c r="Q260" i="9"/>
  <c r="N260" i="9"/>
  <c r="M260" i="9"/>
  <c r="Q272" i="9"/>
  <c r="N272" i="9"/>
  <c r="M272" i="9"/>
  <c r="Q284" i="9"/>
  <c r="N284" i="9"/>
  <c r="M284" i="9"/>
  <c r="Q312" i="9"/>
  <c r="R312" i="9" s="1"/>
  <c r="N312" i="9"/>
  <c r="O312" i="9" s="1"/>
  <c r="M312" i="9"/>
  <c r="P328" i="9"/>
  <c r="Q364" i="9"/>
  <c r="N364" i="9"/>
  <c r="M364" i="9"/>
  <c r="R380" i="9"/>
  <c r="O398" i="9"/>
  <c r="R398" i="9" s="1"/>
  <c r="K261" i="8"/>
  <c r="K260" i="8"/>
  <c r="F72" i="7" s="1"/>
  <c r="K306" i="8"/>
  <c r="K305" i="8"/>
  <c r="F76" i="7" s="1"/>
  <c r="K454" i="8"/>
  <c r="F92" i="7" s="1"/>
  <c r="K455" i="8"/>
  <c r="Q64" i="9"/>
  <c r="N64" i="9"/>
  <c r="M64" i="9"/>
  <c r="Q95" i="9"/>
  <c r="Q210" i="9"/>
  <c r="N210" i="9"/>
  <c r="M210" i="9"/>
  <c r="Q248" i="9"/>
  <c r="N248" i="9"/>
  <c r="M248" i="9"/>
  <c r="Q320" i="9"/>
  <c r="N320" i="9"/>
  <c r="O320" i="9" s="1"/>
  <c r="M320" i="9"/>
  <c r="O326" i="9"/>
  <c r="R326" i="9" s="1"/>
  <c r="Q348" i="9"/>
  <c r="N348" i="9"/>
  <c r="O348" i="9" s="1"/>
  <c r="M348" i="9"/>
  <c r="O354" i="9"/>
  <c r="R354" i="9" s="1"/>
  <c r="O402" i="9"/>
  <c r="M546" i="7"/>
  <c r="M549" i="7"/>
  <c r="Q555" i="7"/>
  <c r="K26" i="8"/>
  <c r="K370" i="8"/>
  <c r="K369" i="8"/>
  <c r="F85" i="7" s="1"/>
  <c r="K510" i="8"/>
  <c r="O37" i="9"/>
  <c r="O123" i="9"/>
  <c r="R123" i="9" s="1"/>
  <c r="R134" i="9"/>
  <c r="O172" i="9"/>
  <c r="R172" i="9" s="1"/>
  <c r="Q186" i="9"/>
  <c r="N186" i="9"/>
  <c r="M186" i="9"/>
  <c r="Q198" i="9"/>
  <c r="N198" i="9"/>
  <c r="M198" i="9"/>
  <c r="P225" i="9"/>
  <c r="Q236" i="9"/>
  <c r="R236" i="9" s="1"/>
  <c r="N236" i="9"/>
  <c r="O236" i="9" s="1"/>
  <c r="M236" i="9"/>
  <c r="O266" i="9"/>
  <c r="R266" i="9" s="1"/>
  <c r="O278" i="9"/>
  <c r="R278" i="9" s="1"/>
  <c r="O290" i="9"/>
  <c r="R290" i="9" s="1"/>
  <c r="N296" i="9"/>
  <c r="Q300" i="9"/>
  <c r="N300" i="9"/>
  <c r="M300" i="9"/>
  <c r="Q316" i="9"/>
  <c r="N316" i="9"/>
  <c r="M316" i="9"/>
  <c r="M315" i="9" s="1"/>
  <c r="O334" i="9"/>
  <c r="R334" i="9" s="1"/>
  <c r="P337" i="9"/>
  <c r="Q368" i="9"/>
  <c r="R368" i="9" s="1"/>
  <c r="N368" i="9"/>
  <c r="O368" i="9" s="1"/>
  <c r="M368" i="9"/>
  <c r="N385" i="9"/>
  <c r="O385" i="9" s="1"/>
  <c r="O385" i="10" s="1"/>
  <c r="N387" i="9"/>
  <c r="Q387" i="9"/>
  <c r="N399" i="9"/>
  <c r="M399" i="9"/>
  <c r="Q399" i="9"/>
  <c r="N401" i="9"/>
  <c r="O401" i="9" s="1"/>
  <c r="O429" i="9"/>
  <c r="R429" i="9" s="1"/>
  <c r="O467" i="9"/>
  <c r="O494" i="9"/>
  <c r="Q564" i="9"/>
  <c r="R564" i="9" s="1"/>
  <c r="N564" i="9"/>
  <c r="O564" i="9" s="1"/>
  <c r="M564" i="9"/>
  <c r="R570" i="9"/>
  <c r="O265" i="10"/>
  <c r="O265" i="13" s="1"/>
  <c r="R265" i="13" s="1"/>
  <c r="M90" i="9"/>
  <c r="R404" i="9"/>
  <c r="O416" i="9"/>
  <c r="O448" i="9"/>
  <c r="Q476" i="9"/>
  <c r="N476" i="9"/>
  <c r="M476" i="9"/>
  <c r="Q492" i="9"/>
  <c r="N492" i="9"/>
  <c r="M492" i="9"/>
  <c r="Q512" i="9"/>
  <c r="N512" i="9"/>
  <c r="M512" i="9"/>
  <c r="M508" i="9" s="1"/>
  <c r="O523" i="9"/>
  <c r="Q532" i="9"/>
  <c r="N532" i="9"/>
  <c r="M532" i="9"/>
  <c r="N150" i="10"/>
  <c r="O150" i="10" s="1"/>
  <c r="M150" i="10"/>
  <c r="N38" i="9"/>
  <c r="Q39" i="9"/>
  <c r="N42" i="9"/>
  <c r="O42" i="9" s="1"/>
  <c r="O42" i="10" s="1"/>
  <c r="N46" i="9"/>
  <c r="Q47" i="9"/>
  <c r="N60" i="9"/>
  <c r="Q61" i="9"/>
  <c r="R61" i="9" s="1"/>
  <c r="Q66" i="9"/>
  <c r="M72" i="9"/>
  <c r="Q74" i="9"/>
  <c r="I407" i="24"/>
  <c r="K407" i="24" s="1"/>
  <c r="I385" i="21"/>
  <c r="K385" i="21" s="1"/>
  <c r="I403" i="22"/>
  <c r="K403" i="22" s="1"/>
  <c r="I379" i="19"/>
  <c r="K379" i="19" s="1"/>
  <c r="I383" i="17"/>
  <c r="K383" i="17" s="1"/>
  <c r="I381" i="18"/>
  <c r="K381" i="18" s="1"/>
  <c r="I371" i="11"/>
  <c r="K371" i="11" s="1"/>
  <c r="I375" i="12"/>
  <c r="K375" i="12" s="1"/>
  <c r="Q80" i="9"/>
  <c r="Q91" i="9"/>
  <c r="M106" i="9"/>
  <c r="M116" i="9"/>
  <c r="M125" i="9"/>
  <c r="J149" i="9"/>
  <c r="N377" i="9"/>
  <c r="O377" i="9" s="1"/>
  <c r="O377" i="10" s="1"/>
  <c r="R377" i="10" s="1"/>
  <c r="N397" i="9"/>
  <c r="Q468" i="9"/>
  <c r="N468" i="9"/>
  <c r="M468" i="9"/>
  <c r="R517" i="9"/>
  <c r="O559" i="9"/>
  <c r="O559" i="10" s="1"/>
  <c r="R559" i="10" s="1"/>
  <c r="N488" i="10"/>
  <c r="M488" i="10"/>
  <c r="Q488" i="10"/>
  <c r="N504" i="10"/>
  <c r="M504" i="10"/>
  <c r="Q504" i="10"/>
  <c r="N379" i="9"/>
  <c r="O379" i="9" s="1"/>
  <c r="Q379" i="9"/>
  <c r="R379" i="9" s="1"/>
  <c r="N406" i="9"/>
  <c r="R412" i="9"/>
  <c r="O446" i="9"/>
  <c r="O446" i="10" s="1"/>
  <c r="R446" i="10" s="1"/>
  <c r="R489" i="9"/>
  <c r="Q524" i="9"/>
  <c r="N524" i="9"/>
  <c r="M524" i="9"/>
  <c r="N588" i="9"/>
  <c r="M37" i="9"/>
  <c r="M35" i="9" s="1"/>
  <c r="M41" i="9"/>
  <c r="M45" i="9"/>
  <c r="M49" i="9"/>
  <c r="M59" i="9"/>
  <c r="M77" i="9"/>
  <c r="G100" i="9"/>
  <c r="N100" i="9" s="1"/>
  <c r="O100" i="9" s="1"/>
  <c r="R100" i="9" s="1"/>
  <c r="G110" i="9"/>
  <c r="N110" i="9" s="1"/>
  <c r="N132" i="9"/>
  <c r="N136" i="9"/>
  <c r="N145" i="9"/>
  <c r="O145" i="9" s="1"/>
  <c r="R145" i="9" s="1"/>
  <c r="M149" i="9"/>
  <c r="M148" i="9" s="1"/>
  <c r="R400" i="9"/>
  <c r="Q425" i="9"/>
  <c r="R425" i="9" s="1"/>
  <c r="M425" i="9"/>
  <c r="R440" i="9"/>
  <c r="Q482" i="9"/>
  <c r="Q504" i="9"/>
  <c r="R504" i="9" s="1"/>
  <c r="N504" i="9"/>
  <c r="O504" i="9" s="1"/>
  <c r="M504" i="9"/>
  <c r="R559" i="9"/>
  <c r="O562" i="9"/>
  <c r="M324" i="10"/>
  <c r="N324" i="10"/>
  <c r="O324" i="10" s="1"/>
  <c r="Q324" i="10"/>
  <c r="N41" i="9"/>
  <c r="N45" i="9"/>
  <c r="N49" i="9"/>
  <c r="N59" i="9"/>
  <c r="M153" i="9"/>
  <c r="M169" i="9"/>
  <c r="M173" i="9"/>
  <c r="M170" i="9" s="1"/>
  <c r="M177" i="9"/>
  <c r="M175" i="9" s="1"/>
  <c r="M181" i="9"/>
  <c r="M185" i="9"/>
  <c r="M189" i="9"/>
  <c r="M193" i="9"/>
  <c r="M197" i="9"/>
  <c r="M201" i="9"/>
  <c r="M209" i="9"/>
  <c r="M213" i="9"/>
  <c r="M218" i="9"/>
  <c r="M223" i="9"/>
  <c r="M222" i="9" s="1"/>
  <c r="M227" i="9"/>
  <c r="M231" i="9"/>
  <c r="M235" i="9"/>
  <c r="M239" i="9"/>
  <c r="M243" i="9"/>
  <c r="M247" i="9"/>
  <c r="M251" i="9"/>
  <c r="M240" i="9" s="1"/>
  <c r="M259" i="9"/>
  <c r="M263" i="9"/>
  <c r="M267" i="9"/>
  <c r="M271" i="9"/>
  <c r="M275" i="9"/>
  <c r="M279" i="9"/>
  <c r="M283" i="9"/>
  <c r="M287" i="9"/>
  <c r="M295" i="9"/>
  <c r="M299" i="9"/>
  <c r="M296" i="9" s="1"/>
  <c r="M303" i="9"/>
  <c r="M311" i="9"/>
  <c r="M319" i="9"/>
  <c r="M323" i="9"/>
  <c r="M327" i="9"/>
  <c r="M331" i="9"/>
  <c r="M335" i="9"/>
  <c r="M339" i="9"/>
  <c r="M343" i="9"/>
  <c r="M347" i="9"/>
  <c r="M351" i="9"/>
  <c r="M355" i="9"/>
  <c r="M359" i="9"/>
  <c r="M363" i="9"/>
  <c r="M367" i="9"/>
  <c r="O415" i="9"/>
  <c r="O415" i="10" s="1"/>
  <c r="R415" i="10" s="1"/>
  <c r="O417" i="9"/>
  <c r="R417" i="9" s="1"/>
  <c r="R420" i="9"/>
  <c r="R422" i="9"/>
  <c r="N425" i="9"/>
  <c r="O425" i="9" s="1"/>
  <c r="O434" i="9"/>
  <c r="Q484" i="9"/>
  <c r="N484" i="9"/>
  <c r="M484" i="9"/>
  <c r="O510" i="9"/>
  <c r="O527" i="9"/>
  <c r="R527" i="9" s="1"/>
  <c r="Q560" i="9"/>
  <c r="N560" i="9"/>
  <c r="O560" i="9" s="1"/>
  <c r="O560" i="10" s="1"/>
  <c r="R560" i="10" s="1"/>
  <c r="M560" i="9"/>
  <c r="P51" i="9"/>
  <c r="P43" i="9" s="1"/>
  <c r="M54" i="9"/>
  <c r="M53" i="9" s="1"/>
  <c r="M52" i="9" s="1"/>
  <c r="M76" i="9"/>
  <c r="M82" i="9"/>
  <c r="M88" i="9"/>
  <c r="G98" i="9"/>
  <c r="N98" i="9" s="1"/>
  <c r="O98" i="9" s="1"/>
  <c r="G108" i="9"/>
  <c r="N108" i="9" s="1"/>
  <c r="M144" i="9"/>
  <c r="N185" i="9"/>
  <c r="O185" i="9" s="1"/>
  <c r="N189" i="9"/>
  <c r="N193" i="9"/>
  <c r="N197" i="9"/>
  <c r="N201" i="9"/>
  <c r="O201" i="9" s="1"/>
  <c r="N209" i="9"/>
  <c r="O209" i="9" s="1"/>
  <c r="N213" i="9"/>
  <c r="P219" i="9"/>
  <c r="N223" i="9"/>
  <c r="N227" i="9"/>
  <c r="N231" i="9"/>
  <c r="N235" i="9"/>
  <c r="O235" i="9" s="1"/>
  <c r="N239" i="9"/>
  <c r="O239" i="9" s="1"/>
  <c r="R239" i="9" s="1"/>
  <c r="N243" i="9"/>
  <c r="N247" i="9"/>
  <c r="N251" i="9"/>
  <c r="N259" i="9"/>
  <c r="N263" i="9"/>
  <c r="O263" i="9" s="1"/>
  <c r="R263" i="9" s="1"/>
  <c r="N267" i="9"/>
  <c r="N271" i="9"/>
  <c r="O271" i="9" s="1"/>
  <c r="R271" i="9" s="1"/>
  <c r="N275" i="9"/>
  <c r="N279" i="9"/>
  <c r="N283" i="9"/>
  <c r="N287" i="9"/>
  <c r="N295" i="9"/>
  <c r="N299" i="9"/>
  <c r="N303" i="9"/>
  <c r="O303" i="9" s="1"/>
  <c r="R303" i="9" s="1"/>
  <c r="N311" i="9"/>
  <c r="N319" i="9"/>
  <c r="N323" i="9"/>
  <c r="N327" i="9"/>
  <c r="O327" i="9" s="1"/>
  <c r="R327" i="9" s="1"/>
  <c r="N331" i="9"/>
  <c r="N335" i="9"/>
  <c r="N339" i="9"/>
  <c r="N343" i="9"/>
  <c r="N347" i="9"/>
  <c r="N351" i="9"/>
  <c r="O351" i="9" s="1"/>
  <c r="R351" i="9" s="1"/>
  <c r="N355" i="9"/>
  <c r="N359" i="9"/>
  <c r="N363" i="9"/>
  <c r="N367" i="9"/>
  <c r="M376" i="9"/>
  <c r="M381" i="9"/>
  <c r="O440" i="9"/>
  <c r="R446" i="9"/>
  <c r="O450" i="9"/>
  <c r="O450" i="10" s="1"/>
  <c r="Q480" i="9"/>
  <c r="R480" i="9" s="1"/>
  <c r="N480" i="9"/>
  <c r="O480" i="9" s="1"/>
  <c r="M480" i="9"/>
  <c r="O490" i="9"/>
  <c r="Q496" i="9"/>
  <c r="N496" i="9"/>
  <c r="M496" i="9"/>
  <c r="Q516" i="9"/>
  <c r="N516" i="9"/>
  <c r="M516" i="9"/>
  <c r="O539" i="9"/>
  <c r="R539" i="9" s="1"/>
  <c r="Q548" i="9"/>
  <c r="N548" i="9"/>
  <c r="M548" i="9"/>
  <c r="O586" i="9"/>
  <c r="O586" i="10" s="1"/>
  <c r="R586" i="10" s="1"/>
  <c r="Q85" i="10"/>
  <c r="N85" i="10"/>
  <c r="M85" i="10"/>
  <c r="O172" i="10"/>
  <c r="R172" i="10" s="1"/>
  <c r="N351" i="10"/>
  <c r="O351" i="10" s="1"/>
  <c r="O351" i="13" s="1"/>
  <c r="R351" i="13" s="1"/>
  <c r="Q351" i="10"/>
  <c r="M351" i="10"/>
  <c r="N36" i="9"/>
  <c r="M40" i="9"/>
  <c r="M44" i="9"/>
  <c r="M48" i="9"/>
  <c r="N54" i="9"/>
  <c r="M58" i="9"/>
  <c r="Q78" i="9"/>
  <c r="N135" i="9"/>
  <c r="N144" i="9"/>
  <c r="P149" i="9"/>
  <c r="P148" i="9" s="1"/>
  <c r="Q219" i="9"/>
  <c r="N376" i="9"/>
  <c r="N381" i="9"/>
  <c r="O381" i="9" s="1"/>
  <c r="R381" i="9" s="1"/>
  <c r="N383" i="9"/>
  <c r="Q383" i="9"/>
  <c r="N405" i="9"/>
  <c r="O405" i="9" s="1"/>
  <c r="O405" i="10" s="1"/>
  <c r="O420" i="9"/>
  <c r="O428" i="9"/>
  <c r="R428" i="9" s="1"/>
  <c r="O466" i="9"/>
  <c r="O499" i="9"/>
  <c r="Q30" i="10"/>
  <c r="R42" i="10"/>
  <c r="Q186" i="10"/>
  <c r="N186" i="10"/>
  <c r="M186" i="10"/>
  <c r="P83" i="9"/>
  <c r="P79" i="9" s="1"/>
  <c r="P62" i="9" s="1"/>
  <c r="K1213" i="19"/>
  <c r="K1055" i="12"/>
  <c r="Q149" i="9"/>
  <c r="M362" i="9"/>
  <c r="M366" i="9"/>
  <c r="M383" i="9"/>
  <c r="R386" i="9"/>
  <c r="R408" i="9"/>
  <c r="Q472" i="9"/>
  <c r="N472" i="9"/>
  <c r="M472" i="9"/>
  <c r="Q488" i="9"/>
  <c r="N488" i="9"/>
  <c r="M488" i="9"/>
  <c r="R513" i="9"/>
  <c r="N566" i="9"/>
  <c r="M97" i="10"/>
  <c r="G97" i="10"/>
  <c r="N97" i="10" s="1"/>
  <c r="E143" i="10"/>
  <c r="Q141" i="10"/>
  <c r="P141" i="10"/>
  <c r="J141" i="10"/>
  <c r="O269" i="10"/>
  <c r="O269" i="13" s="1"/>
  <c r="M138" i="9"/>
  <c r="E141" i="9"/>
  <c r="M143" i="9"/>
  <c r="M140" i="9" s="1"/>
  <c r="M139" i="9" s="1"/>
  <c r="M147" i="9"/>
  <c r="M216" i="9"/>
  <c r="M215" i="9" s="1"/>
  <c r="R401" i="9"/>
  <c r="R450" i="9"/>
  <c r="O491" i="9"/>
  <c r="R499" i="9"/>
  <c r="O511" i="9"/>
  <c r="O522" i="9"/>
  <c r="R522" i="9" s="1"/>
  <c r="Q540" i="9"/>
  <c r="N540" i="9"/>
  <c r="M540" i="9"/>
  <c r="Q109" i="10"/>
  <c r="N109" i="10"/>
  <c r="Q204" i="10"/>
  <c r="N204" i="10"/>
  <c r="M204" i="10"/>
  <c r="N375" i="9"/>
  <c r="Q375" i="9"/>
  <c r="M401" i="9"/>
  <c r="M395" i="9" s="1"/>
  <c r="R416" i="9"/>
  <c r="Q421" i="9"/>
  <c r="M421" i="9"/>
  <c r="R448" i="9"/>
  <c r="O457" i="9"/>
  <c r="R457" i="9" s="1"/>
  <c r="R469" i="9"/>
  <c r="Q500" i="9"/>
  <c r="N500" i="9"/>
  <c r="M500" i="9"/>
  <c r="O574" i="9"/>
  <c r="O336" i="10"/>
  <c r="M453" i="10"/>
  <c r="Q453" i="10"/>
  <c r="N453" i="10"/>
  <c r="P481" i="9"/>
  <c r="R493" i="9"/>
  <c r="R501" i="9"/>
  <c r="R523" i="9"/>
  <c r="O542" i="9"/>
  <c r="O585" i="9"/>
  <c r="R585" i="9" s="1"/>
  <c r="Q588" i="9"/>
  <c r="O65" i="10"/>
  <c r="R65" i="10" s="1"/>
  <c r="Q95" i="10"/>
  <c r="Q101" i="10"/>
  <c r="N101" i="10"/>
  <c r="M109" i="10"/>
  <c r="P120" i="10"/>
  <c r="R142" i="10"/>
  <c r="R163" i="10"/>
  <c r="N527" i="10"/>
  <c r="O527" i="10" s="1"/>
  <c r="M527" i="10"/>
  <c r="Q527" i="10"/>
  <c r="R527" i="10" s="1"/>
  <c r="Q37" i="10"/>
  <c r="N37" i="10"/>
  <c r="O37" i="10" s="1"/>
  <c r="M37" i="10"/>
  <c r="Q56" i="10"/>
  <c r="N56" i="10"/>
  <c r="M56" i="10"/>
  <c r="P94" i="10"/>
  <c r="O143" i="10"/>
  <c r="M320" i="10"/>
  <c r="N320" i="10"/>
  <c r="P337" i="10"/>
  <c r="O354" i="10"/>
  <c r="R354" i="10" s="1"/>
  <c r="O501" i="10"/>
  <c r="Q49" i="10"/>
  <c r="N49" i="10"/>
  <c r="M49" i="10"/>
  <c r="Q89" i="10"/>
  <c r="N89" i="10"/>
  <c r="M89" i="10"/>
  <c r="N140" i="10"/>
  <c r="P155" i="10"/>
  <c r="O220" i="10"/>
  <c r="N261" i="10"/>
  <c r="O261" i="10" s="1"/>
  <c r="O261" i="13" s="1"/>
  <c r="Q261" i="10"/>
  <c r="M261" i="10"/>
  <c r="N277" i="10"/>
  <c r="M277" i="10"/>
  <c r="M288" i="10"/>
  <c r="N288" i="10"/>
  <c r="O304" i="10"/>
  <c r="Q320" i="10"/>
  <c r="R541" i="10"/>
  <c r="O574" i="10"/>
  <c r="Q93" i="10"/>
  <c r="N93" i="10"/>
  <c r="M93" i="10"/>
  <c r="M140" i="10"/>
  <c r="Q162" i="10"/>
  <c r="N162" i="10"/>
  <c r="M162" i="10"/>
  <c r="M156" i="10" s="1"/>
  <c r="M155" i="10" s="1"/>
  <c r="Q170" i="10"/>
  <c r="Q212" i="10"/>
  <c r="N212" i="10"/>
  <c r="M212" i="10"/>
  <c r="N215" i="10"/>
  <c r="O228" i="10"/>
  <c r="R228" i="10" s="1"/>
  <c r="O489" i="10"/>
  <c r="N512" i="10"/>
  <c r="N508" i="10" s="1"/>
  <c r="M512" i="10"/>
  <c r="Q512" i="10"/>
  <c r="N557" i="10"/>
  <c r="M557" i="10"/>
  <c r="Q557" i="10"/>
  <c r="K644" i="12"/>
  <c r="K642" i="12"/>
  <c r="R574" i="9"/>
  <c r="R586" i="9"/>
  <c r="R34" i="10"/>
  <c r="O66" i="10"/>
  <c r="R66" i="10" s="1"/>
  <c r="R134" i="10"/>
  <c r="Q180" i="10"/>
  <c r="N180" i="10"/>
  <c r="M180" i="10"/>
  <c r="Q194" i="10"/>
  <c r="N194" i="10"/>
  <c r="M194" i="10"/>
  <c r="Q217" i="10"/>
  <c r="P217" i="10"/>
  <c r="E219" i="10"/>
  <c r="Q262" i="10"/>
  <c r="N262" i="10"/>
  <c r="O262" i="10" s="1"/>
  <c r="O262" i="13" s="1"/>
  <c r="R262" i="13" s="1"/>
  <c r="M262" i="10"/>
  <c r="R269" i="10"/>
  <c r="O305" i="10"/>
  <c r="O325" i="10"/>
  <c r="O358" i="10"/>
  <c r="R358" i="10" s="1"/>
  <c r="O409" i="10"/>
  <c r="N492" i="10"/>
  <c r="M492" i="10"/>
  <c r="Q492" i="10"/>
  <c r="Q41" i="10"/>
  <c r="N41" i="10"/>
  <c r="M41" i="10"/>
  <c r="Q79" i="10"/>
  <c r="O98" i="10"/>
  <c r="R98" i="10" s="1"/>
  <c r="O105" i="10"/>
  <c r="R105" i="10" s="1"/>
  <c r="Q119" i="10"/>
  <c r="N119" i="10"/>
  <c r="M129" i="10"/>
  <c r="P179" i="10"/>
  <c r="P178" i="10" s="1"/>
  <c r="O201" i="10"/>
  <c r="R201" i="10" s="1"/>
  <c r="O236" i="10"/>
  <c r="R236" i="10" s="1"/>
  <c r="Q270" i="10"/>
  <c r="N270" i="10"/>
  <c r="M270" i="10"/>
  <c r="O513" i="10"/>
  <c r="N535" i="10"/>
  <c r="O535" i="10" s="1"/>
  <c r="M535" i="10"/>
  <c r="Q535" i="10"/>
  <c r="R477" i="9"/>
  <c r="O495" i="9"/>
  <c r="R495" i="9" s="1"/>
  <c r="N508" i="9"/>
  <c r="R511" i="9"/>
  <c r="O514" i="9"/>
  <c r="Q528" i="9"/>
  <c r="N528" i="9"/>
  <c r="M528" i="9"/>
  <c r="Q536" i="9"/>
  <c r="N536" i="9"/>
  <c r="M536" i="9"/>
  <c r="Q544" i="9"/>
  <c r="N544" i="9"/>
  <c r="M544" i="9"/>
  <c r="O563" i="9"/>
  <c r="O563" i="10" s="1"/>
  <c r="R563" i="10" s="1"/>
  <c r="R581" i="9"/>
  <c r="Q28" i="10"/>
  <c r="P58" i="10"/>
  <c r="P53" i="10" s="1"/>
  <c r="P52" i="10" s="1"/>
  <c r="N79" i="10"/>
  <c r="P226" i="10"/>
  <c r="P225" i="10" s="1"/>
  <c r="N285" i="10"/>
  <c r="Q285" i="10"/>
  <c r="M285" i="10"/>
  <c r="P328" i="10"/>
  <c r="R422" i="10"/>
  <c r="O493" i="10"/>
  <c r="O581" i="9"/>
  <c r="O581" i="10" s="1"/>
  <c r="O47" i="10"/>
  <c r="R47" i="10" s="1"/>
  <c r="Q67" i="10"/>
  <c r="N67" i="10"/>
  <c r="N63" i="10" s="1"/>
  <c r="N62" i="10" s="1"/>
  <c r="M67" i="10"/>
  <c r="P79" i="10"/>
  <c r="Q129" i="10"/>
  <c r="N129" i="10"/>
  <c r="O129" i="10" s="1"/>
  <c r="O129" i="13" s="1"/>
  <c r="R129" i="13" s="1"/>
  <c r="N131" i="10"/>
  <c r="Q154" i="10"/>
  <c r="N154" i="10"/>
  <c r="O154" i="10" s="1"/>
  <c r="M154" i="10"/>
  <c r="O168" i="10"/>
  <c r="R168" i="10" s="1"/>
  <c r="Q188" i="10"/>
  <c r="N188" i="10"/>
  <c r="M188" i="10"/>
  <c r="Q202" i="10"/>
  <c r="N202" i="10"/>
  <c r="M202" i="10"/>
  <c r="Q251" i="10"/>
  <c r="N251" i="10"/>
  <c r="M251" i="10"/>
  <c r="O370" i="10"/>
  <c r="R370" i="10" s="1"/>
  <c r="O499" i="10"/>
  <c r="R499" i="10" s="1"/>
  <c r="O529" i="10"/>
  <c r="R529" i="10" s="1"/>
  <c r="P507" i="9"/>
  <c r="Q554" i="9"/>
  <c r="R563" i="9"/>
  <c r="O61" i="10"/>
  <c r="R61" i="10" s="1"/>
  <c r="P63" i="10"/>
  <c r="P62" i="10" s="1"/>
  <c r="Q158" i="10"/>
  <c r="N158" i="10"/>
  <c r="M158" i="10"/>
  <c r="Q166" i="10"/>
  <c r="N166" i="10"/>
  <c r="M166" i="10"/>
  <c r="M165" i="10" s="1"/>
  <c r="O218" i="10"/>
  <c r="Q286" i="10"/>
  <c r="N286" i="10"/>
  <c r="M286" i="10"/>
  <c r="Q310" i="10"/>
  <c r="R310" i="10" s="1"/>
  <c r="N310" i="10"/>
  <c r="O310" i="10" s="1"/>
  <c r="M310" i="10"/>
  <c r="M307" i="10" s="1"/>
  <c r="Q314" i="10"/>
  <c r="N314" i="10"/>
  <c r="M314" i="10"/>
  <c r="Q379" i="10"/>
  <c r="N379" i="10"/>
  <c r="M379" i="10"/>
  <c r="N523" i="10"/>
  <c r="M523" i="10"/>
  <c r="Q523" i="10"/>
  <c r="N539" i="10"/>
  <c r="M539" i="10"/>
  <c r="Q539" i="10"/>
  <c r="K479" i="11"/>
  <c r="F92" i="9" s="1"/>
  <c r="K480" i="11"/>
  <c r="O582" i="9"/>
  <c r="R582" i="9" s="1"/>
  <c r="Q45" i="10"/>
  <c r="N45" i="10"/>
  <c r="M45" i="10"/>
  <c r="M121" i="10"/>
  <c r="G121" i="10"/>
  <c r="N121" i="10" s="1"/>
  <c r="O145" i="10"/>
  <c r="R145" i="10" s="1"/>
  <c r="Q174" i="10"/>
  <c r="N174" i="10"/>
  <c r="N170" i="10" s="1"/>
  <c r="M174" i="10"/>
  <c r="M170" i="10" s="1"/>
  <c r="Q210" i="10"/>
  <c r="N210" i="10"/>
  <c r="M210" i="10"/>
  <c r="O237" i="10"/>
  <c r="O362" i="10"/>
  <c r="R362" i="10" s="1"/>
  <c r="O497" i="10"/>
  <c r="O515" i="9"/>
  <c r="R515" i="9" s="1"/>
  <c r="Q59" i="10"/>
  <c r="N59" i="10"/>
  <c r="M59" i="10"/>
  <c r="Q120" i="10"/>
  <c r="Q196" i="10"/>
  <c r="N196" i="10"/>
  <c r="M196" i="10"/>
  <c r="M264" i="10"/>
  <c r="N264" i="10"/>
  <c r="M272" i="10"/>
  <c r="Q272" i="10"/>
  <c r="N272" i="10"/>
  <c r="N500" i="10"/>
  <c r="M500" i="10"/>
  <c r="Q500" i="10"/>
  <c r="O517" i="10"/>
  <c r="Q403" i="9"/>
  <c r="Q407" i="9"/>
  <c r="Q411" i="9"/>
  <c r="Q415" i="9"/>
  <c r="Q419" i="9"/>
  <c r="Q423" i="9"/>
  <c r="Q427" i="9"/>
  <c r="Q431" i="9"/>
  <c r="Q435" i="9"/>
  <c r="Q439" i="9"/>
  <c r="Q443" i="9"/>
  <c r="Q447" i="9"/>
  <c r="Q451" i="9"/>
  <c r="R451" i="9" s="1"/>
  <c r="Q455" i="9"/>
  <c r="Q459" i="9"/>
  <c r="Q463" i="9"/>
  <c r="Q571" i="9"/>
  <c r="Q575" i="9"/>
  <c r="Q579" i="9"/>
  <c r="Q583" i="9"/>
  <c r="Q587" i="9"/>
  <c r="Q135" i="10"/>
  <c r="Q144" i="10"/>
  <c r="E150" i="10"/>
  <c r="N181" i="10"/>
  <c r="N189" i="10"/>
  <c r="N197" i="10"/>
  <c r="N213" i="10"/>
  <c r="Q229" i="10"/>
  <c r="N231" i="10"/>
  <c r="Q238" i="10"/>
  <c r="R238" i="10" s="1"/>
  <c r="N238" i="10"/>
  <c r="O238" i="10" s="1"/>
  <c r="M238" i="10"/>
  <c r="Q245" i="10"/>
  <c r="N275" i="10"/>
  <c r="Q297" i="10"/>
  <c r="M335" i="10"/>
  <c r="Q335" i="10"/>
  <c r="N390" i="10"/>
  <c r="M390" i="10"/>
  <c r="M413" i="10"/>
  <c r="Q413" i="10"/>
  <c r="M425" i="10"/>
  <c r="Q425" i="10"/>
  <c r="M433" i="10"/>
  <c r="Q433" i="10"/>
  <c r="M441" i="10"/>
  <c r="Q441" i="10"/>
  <c r="K978" i="12"/>
  <c r="K976" i="12"/>
  <c r="Q214" i="13"/>
  <c r="N214" i="13"/>
  <c r="M214" i="13"/>
  <c r="Q266" i="10"/>
  <c r="R266" i="10" s="1"/>
  <c r="N266" i="10"/>
  <c r="O266" i="10" s="1"/>
  <c r="M266" i="10"/>
  <c r="Q290" i="10"/>
  <c r="N290" i="10"/>
  <c r="M290" i="10"/>
  <c r="Q318" i="10"/>
  <c r="N318" i="10"/>
  <c r="M318" i="10"/>
  <c r="Q322" i="10"/>
  <c r="R322" i="10" s="1"/>
  <c r="N322" i="10"/>
  <c r="O322" i="10" s="1"/>
  <c r="M322" i="10"/>
  <c r="Q326" i="10"/>
  <c r="N326" i="10"/>
  <c r="M326" i="10"/>
  <c r="O381" i="10"/>
  <c r="R381" i="10" s="1"/>
  <c r="M401" i="10"/>
  <c r="Q401" i="10"/>
  <c r="Q408" i="10"/>
  <c r="N408" i="10"/>
  <c r="M408" i="10"/>
  <c r="Q420" i="10"/>
  <c r="R420" i="10" s="1"/>
  <c r="N420" i="10"/>
  <c r="O420" i="10" s="1"/>
  <c r="O420" i="13" s="1"/>
  <c r="R420" i="13" s="1"/>
  <c r="M420" i="10"/>
  <c r="O425" i="10"/>
  <c r="M461" i="10"/>
  <c r="Q461" i="10"/>
  <c r="N549" i="10"/>
  <c r="O549" i="10" s="1"/>
  <c r="R549" i="10" s="1"/>
  <c r="M549" i="10"/>
  <c r="N565" i="10"/>
  <c r="M565" i="10"/>
  <c r="K16" i="11"/>
  <c r="K33" i="11"/>
  <c r="F33" i="9" s="1"/>
  <c r="K34" i="11"/>
  <c r="K491" i="12"/>
  <c r="K490" i="12"/>
  <c r="M429" i="9"/>
  <c r="M433" i="9"/>
  <c r="M437" i="9"/>
  <c r="M441" i="9"/>
  <c r="M445" i="9"/>
  <c r="M449" i="9"/>
  <c r="M453" i="9"/>
  <c r="M457" i="9"/>
  <c r="M461" i="9"/>
  <c r="M465" i="9"/>
  <c r="M569" i="9"/>
  <c r="M573" i="9"/>
  <c r="M577" i="9"/>
  <c r="M581" i="9"/>
  <c r="M585" i="9"/>
  <c r="M589" i="9"/>
  <c r="M588" i="9" s="1"/>
  <c r="M68" i="10"/>
  <c r="M63" i="10" s="1"/>
  <c r="M72" i="10"/>
  <c r="M76" i="10"/>
  <c r="M80" i="10"/>
  <c r="M99" i="10"/>
  <c r="G115" i="10"/>
  <c r="N115" i="10" s="1"/>
  <c r="M133" i="10"/>
  <c r="M131" i="10" s="1"/>
  <c r="M137" i="10"/>
  <c r="M146" i="10"/>
  <c r="M183" i="10"/>
  <c r="M191" i="10"/>
  <c r="M199" i="10"/>
  <c r="M207" i="10"/>
  <c r="M228" i="10"/>
  <c r="Q242" i="10"/>
  <c r="N242" i="10"/>
  <c r="M242" i="10"/>
  <c r="M257" i="10"/>
  <c r="M255" i="10" s="1"/>
  <c r="N268" i="10"/>
  <c r="O268" i="10" s="1"/>
  <c r="M281" i="10"/>
  <c r="Q294" i="10"/>
  <c r="N294" i="10"/>
  <c r="M294" i="10"/>
  <c r="N308" i="10"/>
  <c r="N312" i="10"/>
  <c r="O312" i="10" s="1"/>
  <c r="M331" i="10"/>
  <c r="Q331" i="10"/>
  <c r="M343" i="10"/>
  <c r="N386" i="10"/>
  <c r="O386" i="10" s="1"/>
  <c r="M386" i="10"/>
  <c r="N401" i="10"/>
  <c r="N461" i="10"/>
  <c r="Q88" i="13"/>
  <c r="N88" i="13"/>
  <c r="M88" i="13"/>
  <c r="Q182" i="13"/>
  <c r="N182" i="13"/>
  <c r="M182" i="13"/>
  <c r="M179" i="13" s="1"/>
  <c r="N55" i="10"/>
  <c r="O55" i="10" s="1"/>
  <c r="R55" i="10" s="1"/>
  <c r="N84" i="10"/>
  <c r="N88" i="10"/>
  <c r="N92" i="10"/>
  <c r="J149" i="10"/>
  <c r="N223" i="10"/>
  <c r="Q230" i="10"/>
  <c r="R230" i="10" s="1"/>
  <c r="N230" i="10"/>
  <c r="O230" i="10" s="1"/>
  <c r="M230" i="10"/>
  <c r="N235" i="10"/>
  <c r="O235" i="10" s="1"/>
  <c r="Q246" i="10"/>
  <c r="N246" i="10"/>
  <c r="M246" i="10"/>
  <c r="N259" i="10"/>
  <c r="N283" i="10"/>
  <c r="Q298" i="10"/>
  <c r="N298" i="10"/>
  <c r="M298" i="10"/>
  <c r="Q302" i="10"/>
  <c r="N302" i="10"/>
  <c r="M302" i="10"/>
  <c r="Q306" i="10"/>
  <c r="N306" i="10"/>
  <c r="M306" i="10"/>
  <c r="Q343" i="10"/>
  <c r="N382" i="10"/>
  <c r="O382" i="10" s="1"/>
  <c r="M382" i="10"/>
  <c r="Q386" i="10"/>
  <c r="R386" i="10" s="1"/>
  <c r="M409" i="10"/>
  <c r="Q409" i="10"/>
  <c r="R409" i="10" s="1"/>
  <c r="M421" i="10"/>
  <c r="Q421" i="10"/>
  <c r="O34" i="13"/>
  <c r="Q183" i="10"/>
  <c r="Q191" i="10"/>
  <c r="Q199" i="10"/>
  <c r="Q207" i="10"/>
  <c r="Q257" i="10"/>
  <c r="Q268" i="10"/>
  <c r="R268" i="10" s="1"/>
  <c r="Q274" i="10"/>
  <c r="R274" i="10" s="1"/>
  <c r="N274" i="10"/>
  <c r="O274" i="10" s="1"/>
  <c r="M274" i="10"/>
  <c r="Q281" i="10"/>
  <c r="Q308" i="10"/>
  <c r="Q312" i="10"/>
  <c r="N340" i="10"/>
  <c r="Q340" i="10"/>
  <c r="Q347" i="10"/>
  <c r="N398" i="10"/>
  <c r="O398" i="10" s="1"/>
  <c r="M398" i="10"/>
  <c r="Q416" i="10"/>
  <c r="N416" i="10"/>
  <c r="O416" i="10" s="1"/>
  <c r="M416" i="10"/>
  <c r="M445" i="10"/>
  <c r="Q445" i="10"/>
  <c r="N472" i="10"/>
  <c r="M472" i="10"/>
  <c r="R578" i="10"/>
  <c r="R581" i="10"/>
  <c r="K323" i="11"/>
  <c r="K322" i="11"/>
  <c r="Q228" i="13"/>
  <c r="N228" i="13"/>
  <c r="O228" i="13" s="1"/>
  <c r="O228" i="14" s="1"/>
  <c r="O228" i="15" s="1"/>
  <c r="M228" i="13"/>
  <c r="M54" i="10"/>
  <c r="M53" i="10" s="1"/>
  <c r="M52" i="10" s="1"/>
  <c r="M83" i="10"/>
  <c r="M87" i="10"/>
  <c r="M91" i="10"/>
  <c r="G111" i="10"/>
  <c r="N111" i="10" s="1"/>
  <c r="M149" i="10"/>
  <c r="M148" i="10" s="1"/>
  <c r="M182" i="10"/>
  <c r="M190" i="10"/>
  <c r="M198" i="10"/>
  <c r="M206" i="10"/>
  <c r="M214" i="10"/>
  <c r="M232" i="10"/>
  <c r="M239" i="10"/>
  <c r="Q244" i="10"/>
  <c r="Q250" i="10"/>
  <c r="N250" i="10"/>
  <c r="M250" i="10"/>
  <c r="N263" i="10"/>
  <c r="M265" i="10"/>
  <c r="N276" i="10"/>
  <c r="N287" i="10"/>
  <c r="M289" i="10"/>
  <c r="Q300" i="10"/>
  <c r="Q304" i="10"/>
  <c r="R304" i="10" s="1"/>
  <c r="M319" i="10"/>
  <c r="M323" i="10"/>
  <c r="M327" i="10"/>
  <c r="R336" i="10"/>
  <c r="M340" i="10"/>
  <c r="N344" i="10"/>
  <c r="Q344" i="10"/>
  <c r="M380" i="10"/>
  <c r="Q380" i="10"/>
  <c r="R380" i="10" s="1"/>
  <c r="R382" i="10"/>
  <c r="Q404" i="10"/>
  <c r="R404" i="10" s="1"/>
  <c r="N404" i="10"/>
  <c r="O404" i="10" s="1"/>
  <c r="M404" i="10"/>
  <c r="M429" i="10"/>
  <c r="Q429" i="10"/>
  <c r="R429" i="10" s="1"/>
  <c r="M437" i="10"/>
  <c r="Q437" i="10"/>
  <c r="N445" i="10"/>
  <c r="R450" i="10"/>
  <c r="M465" i="10"/>
  <c r="Q465" i="10"/>
  <c r="N480" i="10"/>
  <c r="M480" i="10"/>
  <c r="N482" i="10"/>
  <c r="N545" i="10"/>
  <c r="M545" i="10"/>
  <c r="M520" i="10" s="1"/>
  <c r="N553" i="10"/>
  <c r="M553" i="10"/>
  <c r="M552" i="10" s="1"/>
  <c r="N561" i="10"/>
  <c r="M561" i="10"/>
  <c r="J642" i="10"/>
  <c r="Q30" i="13"/>
  <c r="M467" i="9"/>
  <c r="M471" i="9"/>
  <c r="M475" i="9"/>
  <c r="M474" i="9" s="1"/>
  <c r="M479" i="9"/>
  <c r="M483" i="9"/>
  <c r="M482" i="9" s="1"/>
  <c r="M491" i="9"/>
  <c r="M495" i="9"/>
  <c r="M499" i="9"/>
  <c r="M503" i="9"/>
  <c r="M511" i="9"/>
  <c r="M515" i="9"/>
  <c r="M519" i="9"/>
  <c r="M523" i="9"/>
  <c r="M520" i="9" s="1"/>
  <c r="M527" i="9"/>
  <c r="M531" i="9"/>
  <c r="M535" i="9"/>
  <c r="M539" i="9"/>
  <c r="M543" i="9"/>
  <c r="M547" i="9"/>
  <c r="M551" i="9"/>
  <c r="M555" i="9"/>
  <c r="M554" i="9" s="1"/>
  <c r="M559" i="9"/>
  <c r="M563" i="9"/>
  <c r="M567" i="9"/>
  <c r="M36" i="10"/>
  <c r="M35" i="10" s="1"/>
  <c r="M40" i="10"/>
  <c r="M44" i="10"/>
  <c r="M48" i="10"/>
  <c r="N54" i="10"/>
  <c r="N87" i="10"/>
  <c r="N91" i="10"/>
  <c r="N182" i="10"/>
  <c r="O182" i="10" s="1"/>
  <c r="R182" i="10" s="1"/>
  <c r="N190" i="10"/>
  <c r="N198" i="10"/>
  <c r="N206" i="10"/>
  <c r="N214" i="10"/>
  <c r="M217" i="10"/>
  <c r="M227" i="10"/>
  <c r="N232" i="10"/>
  <c r="N239" i="10"/>
  <c r="M241" i="10"/>
  <c r="N252" i="10"/>
  <c r="M267" i="10"/>
  <c r="Q278" i="10"/>
  <c r="R278" i="10" s="1"/>
  <c r="N278" i="10"/>
  <c r="O278" i="10" s="1"/>
  <c r="M278" i="10"/>
  <c r="M293" i="10"/>
  <c r="M291" i="10" s="1"/>
  <c r="N319" i="10"/>
  <c r="N323" i="10"/>
  <c r="N327" i="10"/>
  <c r="O327" i="10" s="1"/>
  <c r="M336" i="10"/>
  <c r="M344" i="10"/>
  <c r="N348" i="10"/>
  <c r="Q348" i="10"/>
  <c r="Q355" i="10"/>
  <c r="N380" i="10"/>
  <c r="O380" i="10" s="1"/>
  <c r="Q398" i="10"/>
  <c r="R398" i="10" s="1"/>
  <c r="O400" i="10"/>
  <c r="O400" i="13" s="1"/>
  <c r="R400" i="13" s="1"/>
  <c r="N429" i="10"/>
  <c r="O429" i="10" s="1"/>
  <c r="O429" i="13" s="1"/>
  <c r="N437" i="10"/>
  <c r="O451" i="10"/>
  <c r="R451" i="10" s="1"/>
  <c r="N465" i="10"/>
  <c r="Q472" i="10"/>
  <c r="N496" i="10"/>
  <c r="M496" i="10"/>
  <c r="O511" i="10"/>
  <c r="R511" i="10" s="1"/>
  <c r="N531" i="10"/>
  <c r="M531" i="10"/>
  <c r="K243" i="11"/>
  <c r="K242" i="11"/>
  <c r="F69" i="9" s="1"/>
  <c r="Q252" i="13"/>
  <c r="N252" i="13"/>
  <c r="M252" i="13"/>
  <c r="M403" i="9"/>
  <c r="M407" i="9"/>
  <c r="M411" i="9"/>
  <c r="M415" i="9"/>
  <c r="M439" i="9"/>
  <c r="M443" i="9"/>
  <c r="M447" i="9"/>
  <c r="M451" i="9"/>
  <c r="M455" i="9"/>
  <c r="M459" i="9"/>
  <c r="M463" i="9"/>
  <c r="P568" i="9"/>
  <c r="P566" i="9" s="1"/>
  <c r="Q234" i="10"/>
  <c r="N234" i="10"/>
  <c r="M234" i="10"/>
  <c r="Q254" i="10"/>
  <c r="N254" i="10"/>
  <c r="M254" i="10"/>
  <c r="Q334" i="10"/>
  <c r="R334" i="10" s="1"/>
  <c r="N334" i="10"/>
  <c r="O334" i="10" s="1"/>
  <c r="M334" i="10"/>
  <c r="N352" i="10"/>
  <c r="Q352" i="10"/>
  <c r="N356" i="10"/>
  <c r="O356" i="10" s="1"/>
  <c r="Q356" i="10"/>
  <c r="N360" i="10"/>
  <c r="O360" i="10" s="1"/>
  <c r="Q360" i="10"/>
  <c r="R360" i="10" s="1"/>
  <c r="N364" i="10"/>
  <c r="Q364" i="10"/>
  <c r="N368" i="10"/>
  <c r="O368" i="10" s="1"/>
  <c r="O368" i="13" s="1"/>
  <c r="R368" i="13" s="1"/>
  <c r="Q368" i="10"/>
  <c r="N372" i="10"/>
  <c r="O372" i="10" s="1"/>
  <c r="O372" i="13" s="1"/>
  <c r="R372" i="13" s="1"/>
  <c r="Q372" i="10"/>
  <c r="M417" i="10"/>
  <c r="Q417" i="10"/>
  <c r="M457" i="10"/>
  <c r="Q457" i="10"/>
  <c r="Q480" i="10"/>
  <c r="Q545" i="10"/>
  <c r="Q553" i="10"/>
  <c r="N554" i="10"/>
  <c r="Q561" i="10"/>
  <c r="O570" i="10"/>
  <c r="M585" i="10"/>
  <c r="Q585" i="10"/>
  <c r="N585" i="10"/>
  <c r="K535" i="11"/>
  <c r="K533" i="11"/>
  <c r="K537" i="11" s="1"/>
  <c r="K661" i="11"/>
  <c r="F109" i="9" s="1"/>
  <c r="K658" i="11"/>
  <c r="K662" i="11" s="1"/>
  <c r="M57" i="10"/>
  <c r="P83" i="10"/>
  <c r="M86" i="10"/>
  <c r="M90" i="10"/>
  <c r="P149" i="10"/>
  <c r="Q176" i="10"/>
  <c r="N176" i="10"/>
  <c r="Q184" i="10"/>
  <c r="N184" i="10"/>
  <c r="Q192" i="10"/>
  <c r="N192" i="10"/>
  <c r="Q200" i="10"/>
  <c r="N200" i="10"/>
  <c r="Q208" i="10"/>
  <c r="N208" i="10"/>
  <c r="M219" i="10"/>
  <c r="M229" i="10"/>
  <c r="N243" i="10"/>
  <c r="M245" i="10"/>
  <c r="Q258" i="10"/>
  <c r="N258" i="10"/>
  <c r="M258" i="10"/>
  <c r="Q265" i="10"/>
  <c r="M271" i="10"/>
  <c r="Q276" i="10"/>
  <c r="Q282" i="10"/>
  <c r="R282" i="10" s="1"/>
  <c r="N282" i="10"/>
  <c r="O282" i="10" s="1"/>
  <c r="M282" i="10"/>
  <c r="Q289" i="10"/>
  <c r="N295" i="10"/>
  <c r="M297" i="10"/>
  <c r="M299" i="10"/>
  <c r="M303" i="10"/>
  <c r="N311" i="10"/>
  <c r="M352" i="10"/>
  <c r="M356" i="10"/>
  <c r="M360" i="10"/>
  <c r="M364" i="10"/>
  <c r="M368" i="10"/>
  <c r="M372" i="10"/>
  <c r="O389" i="10"/>
  <c r="R389" i="10" s="1"/>
  <c r="R391" i="10"/>
  <c r="N395" i="10"/>
  <c r="M405" i="10"/>
  <c r="Q405" i="10"/>
  <c r="R405" i="10" s="1"/>
  <c r="Q412" i="10"/>
  <c r="R412" i="10" s="1"/>
  <c r="N412" i="10"/>
  <c r="O412" i="10" s="1"/>
  <c r="O412" i="13" s="1"/>
  <c r="R412" i="13" s="1"/>
  <c r="M412" i="10"/>
  <c r="N417" i="10"/>
  <c r="O417" i="10" s="1"/>
  <c r="Q424" i="10"/>
  <c r="N424" i="10"/>
  <c r="M424" i="10"/>
  <c r="N457" i="10"/>
  <c r="O457" i="10" s="1"/>
  <c r="N468" i="10"/>
  <c r="M468" i="10"/>
  <c r="P487" i="10"/>
  <c r="P481" i="10" s="1"/>
  <c r="Q496" i="10"/>
  <c r="P508" i="10"/>
  <c r="P507" i="10" s="1"/>
  <c r="Q531" i="10"/>
  <c r="K101" i="11"/>
  <c r="Q98" i="13"/>
  <c r="N98" i="13"/>
  <c r="M98" i="13"/>
  <c r="Q166" i="13"/>
  <c r="N166" i="13"/>
  <c r="M166" i="13"/>
  <c r="M165" i="13" s="1"/>
  <c r="Q241" i="10"/>
  <c r="Q252" i="10"/>
  <c r="P255" i="10"/>
  <c r="N271" i="10"/>
  <c r="Q293" i="10"/>
  <c r="N299" i="10"/>
  <c r="N303" i="10"/>
  <c r="O303" i="10" s="1"/>
  <c r="Q330" i="10"/>
  <c r="N330" i="10"/>
  <c r="M330" i="10"/>
  <c r="O350" i="10"/>
  <c r="M376" i="10"/>
  <c r="Q376" i="10"/>
  <c r="N394" i="10"/>
  <c r="M394" i="10"/>
  <c r="P395" i="10"/>
  <c r="M449" i="10"/>
  <c r="Q449" i="10"/>
  <c r="N476" i="10"/>
  <c r="M476" i="10"/>
  <c r="N484" i="10"/>
  <c r="M484" i="10"/>
  <c r="M482" i="10" s="1"/>
  <c r="M517" i="10"/>
  <c r="M508" i="10" s="1"/>
  <c r="Q517" i="10"/>
  <c r="R517" i="10" s="1"/>
  <c r="O541" i="10"/>
  <c r="O564" i="10"/>
  <c r="R564" i="10" s="1"/>
  <c r="P566" i="10"/>
  <c r="O274" i="13"/>
  <c r="R274" i="13" s="1"/>
  <c r="K266" i="11"/>
  <c r="K265" i="11"/>
  <c r="K400" i="11"/>
  <c r="K399" i="11"/>
  <c r="K510" i="11"/>
  <c r="F96" i="9" s="1"/>
  <c r="K507" i="11"/>
  <c r="K511" i="11" s="1"/>
  <c r="K34" i="12"/>
  <c r="K32" i="12"/>
  <c r="K96" i="12"/>
  <c r="K95" i="12"/>
  <c r="K175" i="12"/>
  <c r="K174" i="12"/>
  <c r="K660" i="12"/>
  <c r="K658" i="12"/>
  <c r="K1023" i="12"/>
  <c r="R42" i="13"/>
  <c r="O172" i="13"/>
  <c r="R172" i="13" s="1"/>
  <c r="Q202" i="13"/>
  <c r="N202" i="13"/>
  <c r="M202" i="13"/>
  <c r="Q256" i="13"/>
  <c r="N256" i="13"/>
  <c r="M256" i="13"/>
  <c r="Q268" i="13"/>
  <c r="N268" i="13"/>
  <c r="M268" i="13"/>
  <c r="Q280" i="13"/>
  <c r="N280" i="13"/>
  <c r="M280" i="13"/>
  <c r="Q300" i="13"/>
  <c r="N300" i="13"/>
  <c r="M300" i="13"/>
  <c r="R356" i="13"/>
  <c r="M428" i="10"/>
  <c r="M432" i="10"/>
  <c r="M436" i="10"/>
  <c r="M440" i="10"/>
  <c r="M444" i="10"/>
  <c r="M448" i="10"/>
  <c r="M452" i="10"/>
  <c r="M456" i="10"/>
  <c r="M460" i="10"/>
  <c r="M464" i="10"/>
  <c r="Q469" i="10"/>
  <c r="R469" i="10" s="1"/>
  <c r="Q473" i="10"/>
  <c r="Q477" i="10"/>
  <c r="Q485" i="10"/>
  <c r="R485" i="10" s="1"/>
  <c r="Q489" i="10"/>
  <c r="R489" i="10" s="1"/>
  <c r="Q493" i="10"/>
  <c r="R493" i="10" s="1"/>
  <c r="Q497" i="10"/>
  <c r="R497" i="10" s="1"/>
  <c r="Q501" i="10"/>
  <c r="Q505" i="10"/>
  <c r="Q509" i="10"/>
  <c r="Q513" i="10"/>
  <c r="R513" i="10" s="1"/>
  <c r="M516" i="10"/>
  <c r="Q542" i="10"/>
  <c r="Q546" i="10"/>
  <c r="Q550" i="10"/>
  <c r="Q558" i="10"/>
  <c r="Q562" i="10"/>
  <c r="M569" i="10"/>
  <c r="M573" i="10"/>
  <c r="M577" i="10"/>
  <c r="M580" i="10"/>
  <c r="K44" i="11"/>
  <c r="K43" i="11"/>
  <c r="K278" i="11"/>
  <c r="K277" i="11"/>
  <c r="K411" i="11"/>
  <c r="K410" i="11"/>
  <c r="K578" i="11"/>
  <c r="F101" i="9" s="1"/>
  <c r="K575" i="11"/>
  <c r="K579" i="11" s="1"/>
  <c r="K705" i="11"/>
  <c r="F113" i="9" s="1"/>
  <c r="K702" i="11"/>
  <c r="K706" i="11" s="1"/>
  <c r="K259" i="12"/>
  <c r="K258" i="12"/>
  <c r="K289" i="12"/>
  <c r="K625" i="12"/>
  <c r="K929" i="12"/>
  <c r="K933" i="12" s="1"/>
  <c r="O65" i="13"/>
  <c r="N148" i="13"/>
  <c r="Q224" i="13"/>
  <c r="N224" i="13"/>
  <c r="M224" i="13"/>
  <c r="M240" i="13"/>
  <c r="Q317" i="13"/>
  <c r="Q332" i="13"/>
  <c r="N332" i="13"/>
  <c r="M332" i="13"/>
  <c r="Q352" i="13"/>
  <c r="N352" i="13"/>
  <c r="M352" i="13"/>
  <c r="N428" i="10"/>
  <c r="N432" i="10"/>
  <c r="N436" i="10"/>
  <c r="N440" i="10"/>
  <c r="O440" i="10" s="1"/>
  <c r="N444" i="10"/>
  <c r="N448" i="10"/>
  <c r="O448" i="10" s="1"/>
  <c r="N452" i="10"/>
  <c r="N456" i="10"/>
  <c r="N460" i="10"/>
  <c r="N464" i="10"/>
  <c r="N569" i="10"/>
  <c r="Q570" i="10"/>
  <c r="Q566" i="10" s="1"/>
  <c r="N573" i="10"/>
  <c r="Q574" i="10"/>
  <c r="R574" i="10" s="1"/>
  <c r="N577" i="10"/>
  <c r="N580" i="10"/>
  <c r="K136" i="11"/>
  <c r="K606" i="11"/>
  <c r="K816" i="11"/>
  <c r="K103" i="12"/>
  <c r="K377" i="12"/>
  <c r="K496" i="12"/>
  <c r="K512" i="12"/>
  <c r="K528" i="12"/>
  <c r="K544" i="12"/>
  <c r="K735" i="12"/>
  <c r="F106" i="10" s="1"/>
  <c r="O42" i="13"/>
  <c r="N53" i="13"/>
  <c r="N52" i="13" s="1"/>
  <c r="Q83" i="13"/>
  <c r="Q79" i="13" s="1"/>
  <c r="P83" i="13"/>
  <c r="Q95" i="13"/>
  <c r="R134" i="13"/>
  <c r="N150" i="13"/>
  <c r="O150" i="13" s="1"/>
  <c r="M150" i="13"/>
  <c r="N175" i="13"/>
  <c r="Q194" i="13"/>
  <c r="N194" i="13"/>
  <c r="M194" i="13"/>
  <c r="Q206" i="13"/>
  <c r="N206" i="13"/>
  <c r="M206" i="13"/>
  <c r="O220" i="13"/>
  <c r="O238" i="13"/>
  <c r="R238" i="13" s="1"/>
  <c r="O322" i="13"/>
  <c r="R322" i="13" s="1"/>
  <c r="Q382" i="13"/>
  <c r="R382" i="13" s="1"/>
  <c r="N382" i="13"/>
  <c r="O382" i="13" s="1"/>
  <c r="M382" i="13"/>
  <c r="O404" i="13"/>
  <c r="R404" i="13" s="1"/>
  <c r="O416" i="13"/>
  <c r="R416" i="13" s="1"/>
  <c r="K167" i="11"/>
  <c r="K560" i="11"/>
  <c r="K564" i="11" s="1"/>
  <c r="K426" i="12"/>
  <c r="K425" i="12"/>
  <c r="O61" i="13"/>
  <c r="R65" i="13"/>
  <c r="Q92" i="13"/>
  <c r="N92" i="13"/>
  <c r="M92" i="13"/>
  <c r="M79" i="13" s="1"/>
  <c r="P155" i="13"/>
  <c r="N215" i="13"/>
  <c r="Q232" i="13"/>
  <c r="N232" i="13"/>
  <c r="M232" i="13"/>
  <c r="Q244" i="13"/>
  <c r="N244" i="13"/>
  <c r="M244" i="13"/>
  <c r="O266" i="13"/>
  <c r="R266" i="13" s="1"/>
  <c r="O278" i="13"/>
  <c r="R278" i="13" s="1"/>
  <c r="Q284" i="13"/>
  <c r="N284" i="13"/>
  <c r="M284" i="13"/>
  <c r="Q304" i="13"/>
  <c r="N304" i="13"/>
  <c r="O304" i="13" s="1"/>
  <c r="O304" i="14" s="1"/>
  <c r="M304" i="13"/>
  <c r="Q308" i="13"/>
  <c r="N308" i="13"/>
  <c r="M308" i="13"/>
  <c r="O360" i="13"/>
  <c r="O360" i="14" s="1"/>
  <c r="O360" i="15" s="1"/>
  <c r="O65" i="14"/>
  <c r="K144" i="12"/>
  <c r="K143" i="12"/>
  <c r="K186" i="12"/>
  <c r="K185" i="12"/>
  <c r="K304" i="12"/>
  <c r="K303" i="12"/>
  <c r="K612" i="12"/>
  <c r="K610" i="12"/>
  <c r="K953" i="12"/>
  <c r="K951" i="12"/>
  <c r="Q55" i="13"/>
  <c r="Q53" i="13" s="1"/>
  <c r="Q52" i="13" s="1"/>
  <c r="N55" i="13"/>
  <c r="M55" i="13"/>
  <c r="Q158" i="13"/>
  <c r="N158" i="13"/>
  <c r="M158" i="13"/>
  <c r="M156" i="13" s="1"/>
  <c r="M155" i="13" s="1"/>
  <c r="R163" i="13"/>
  <c r="Q186" i="13"/>
  <c r="N186" i="13"/>
  <c r="M186" i="13"/>
  <c r="Q260" i="13"/>
  <c r="N260" i="13"/>
  <c r="M260" i="13"/>
  <c r="Q272" i="13"/>
  <c r="N272" i="13"/>
  <c r="M272" i="13"/>
  <c r="Q336" i="13"/>
  <c r="R336" i="13" s="1"/>
  <c r="N336" i="13"/>
  <c r="O336" i="13" s="1"/>
  <c r="O336" i="14" s="1"/>
  <c r="M336" i="13"/>
  <c r="Q340" i="13"/>
  <c r="N340" i="13"/>
  <c r="M340" i="13"/>
  <c r="K724" i="11"/>
  <c r="K728" i="11" s="1"/>
  <c r="K801" i="11"/>
  <c r="F119" i="9" s="1"/>
  <c r="K56" i="12"/>
  <c r="K120" i="12"/>
  <c r="K119" i="12"/>
  <c r="F50" i="10" s="1"/>
  <c r="K437" i="12"/>
  <c r="K436" i="12"/>
  <c r="K508" i="12"/>
  <c r="K524" i="12"/>
  <c r="K550" i="12" s="1"/>
  <c r="K540" i="12"/>
  <c r="K768" i="12"/>
  <c r="K772" i="12" s="1"/>
  <c r="K825" i="12"/>
  <c r="K829" i="12" s="1"/>
  <c r="K1011" i="12"/>
  <c r="K1010" i="12"/>
  <c r="F124" i="10" s="1"/>
  <c r="K1070" i="12"/>
  <c r="K1072" i="12"/>
  <c r="Q28" i="13"/>
  <c r="Q27" i="13" s="1"/>
  <c r="Q43" i="13"/>
  <c r="O47" i="13"/>
  <c r="R47" i="13" s="1"/>
  <c r="R61" i="13"/>
  <c r="Q107" i="13"/>
  <c r="Q131" i="13"/>
  <c r="O143" i="13"/>
  <c r="O143" i="14" s="1"/>
  <c r="O143" i="15" s="1"/>
  <c r="Q170" i="13"/>
  <c r="Q175" i="13"/>
  <c r="E221" i="13"/>
  <c r="Q219" i="13"/>
  <c r="P219" i="13"/>
  <c r="P406" i="13"/>
  <c r="K84" i="11"/>
  <c r="K83" i="11"/>
  <c r="K385" i="11"/>
  <c r="K66" i="12"/>
  <c r="K65" i="12"/>
  <c r="K672" i="12"/>
  <c r="K791" i="12"/>
  <c r="K795" i="12" s="1"/>
  <c r="P63" i="13"/>
  <c r="P62" i="13" s="1"/>
  <c r="Q84" i="13"/>
  <c r="N84" i="13"/>
  <c r="M84" i="13"/>
  <c r="Q154" i="13"/>
  <c r="R154" i="13" s="1"/>
  <c r="N154" i="13"/>
  <c r="O154" i="13" s="1"/>
  <c r="O154" i="14" s="1"/>
  <c r="M154" i="13"/>
  <c r="M148" i="13" s="1"/>
  <c r="O230" i="13"/>
  <c r="R269" i="13"/>
  <c r="Q288" i="13"/>
  <c r="N288" i="13"/>
  <c r="M288" i="13"/>
  <c r="Q292" i="13"/>
  <c r="N292" i="13"/>
  <c r="M292" i="13"/>
  <c r="Q312" i="13"/>
  <c r="N312" i="13"/>
  <c r="M312" i="13"/>
  <c r="Q316" i="13"/>
  <c r="N316" i="13"/>
  <c r="M316" i="13"/>
  <c r="M315" i="13" s="1"/>
  <c r="P568" i="10"/>
  <c r="K53" i="11"/>
  <c r="K251" i="11"/>
  <c r="K547" i="11"/>
  <c r="K551" i="11" s="1"/>
  <c r="K315" i="12"/>
  <c r="K314" i="12"/>
  <c r="K579" i="12"/>
  <c r="K1056" i="12"/>
  <c r="F127" i="10" s="1"/>
  <c r="N28" i="13"/>
  <c r="O105" i="13"/>
  <c r="O168" i="13"/>
  <c r="R168" i="13" s="1"/>
  <c r="Q198" i="13"/>
  <c r="N198" i="13"/>
  <c r="M198" i="13"/>
  <c r="Q210" i="13"/>
  <c r="N210" i="13"/>
  <c r="M210" i="13"/>
  <c r="Q236" i="13"/>
  <c r="R236" i="13" s="1"/>
  <c r="N236" i="13"/>
  <c r="O236" i="13" s="1"/>
  <c r="O236" i="14" s="1"/>
  <c r="M236" i="13"/>
  <c r="Q248" i="13"/>
  <c r="N248" i="13"/>
  <c r="M248" i="13"/>
  <c r="O282" i="13"/>
  <c r="R282" i="13" s="1"/>
  <c r="Q320" i="13"/>
  <c r="N320" i="13"/>
  <c r="M320" i="13"/>
  <c r="Q329" i="13"/>
  <c r="Q344" i="13"/>
  <c r="N344" i="13"/>
  <c r="M344" i="13"/>
  <c r="D642" i="10"/>
  <c r="D647" i="13" s="1"/>
  <c r="K373" i="11"/>
  <c r="K422" i="11"/>
  <c r="K76" i="12"/>
  <c r="K75" i="12"/>
  <c r="K270" i="12"/>
  <c r="K269" i="12"/>
  <c r="K404" i="12"/>
  <c r="K403" i="12"/>
  <c r="K444" i="12"/>
  <c r="K756" i="12"/>
  <c r="K760" i="12" s="1"/>
  <c r="K789" i="12"/>
  <c r="K794" i="12" s="1"/>
  <c r="F113" i="10" s="1"/>
  <c r="P95" i="13"/>
  <c r="P94" i="13" s="1"/>
  <c r="R105" i="13"/>
  <c r="Q120" i="13"/>
  <c r="R201" i="13"/>
  <c r="M226" i="13"/>
  <c r="Q264" i="13"/>
  <c r="N264" i="13"/>
  <c r="M264" i="13"/>
  <c r="Q276" i="13"/>
  <c r="N276" i="13"/>
  <c r="M276" i="13"/>
  <c r="O334" i="13"/>
  <c r="O380" i="13"/>
  <c r="R380" i="13" s="1"/>
  <c r="K64" i="11"/>
  <c r="K63" i="11"/>
  <c r="K300" i="11"/>
  <c r="K299" i="11"/>
  <c r="K433" i="11"/>
  <c r="K432" i="11"/>
  <c r="K716" i="11"/>
  <c r="F114" i="9" s="1"/>
  <c r="K713" i="11"/>
  <c r="K717" i="11" s="1"/>
  <c r="K859" i="11"/>
  <c r="K995" i="12"/>
  <c r="F123" i="10" s="1"/>
  <c r="K992" i="12"/>
  <c r="Q63" i="13"/>
  <c r="M114" i="13"/>
  <c r="G114" i="13"/>
  <c r="N114" i="13" s="1"/>
  <c r="Q162" i="13"/>
  <c r="N162" i="13"/>
  <c r="M162" i="13"/>
  <c r="Q174" i="13"/>
  <c r="N174" i="13"/>
  <c r="M174" i="13"/>
  <c r="M170" i="13" s="1"/>
  <c r="Q190" i="13"/>
  <c r="N190" i="13"/>
  <c r="M190" i="13"/>
  <c r="N226" i="13"/>
  <c r="P337" i="13"/>
  <c r="P328" i="13" s="1"/>
  <c r="Q366" i="13"/>
  <c r="N366" i="13"/>
  <c r="M366" i="13"/>
  <c r="O61" i="14"/>
  <c r="O245" i="14"/>
  <c r="R245" i="14" s="1"/>
  <c r="K125" i="11"/>
  <c r="K86" i="12"/>
  <c r="K85" i="12"/>
  <c r="K133" i="12"/>
  <c r="K132" i="12"/>
  <c r="F51" i="10" s="1"/>
  <c r="K282" i="12"/>
  <c r="K281" i="12"/>
  <c r="K327" i="12"/>
  <c r="K326" i="12"/>
  <c r="K415" i="12"/>
  <c r="K414" i="12"/>
  <c r="K566" i="12"/>
  <c r="K564" i="12"/>
  <c r="K659" i="12"/>
  <c r="F103" i="10" s="1"/>
  <c r="K1042" i="12"/>
  <c r="K1041" i="12"/>
  <c r="F126" i="10" s="1"/>
  <c r="P79" i="13"/>
  <c r="Q117" i="13"/>
  <c r="N117" i="13"/>
  <c r="M117" i="13"/>
  <c r="J150" i="13"/>
  <c r="Q150" i="13"/>
  <c r="R150" i="13" s="1"/>
  <c r="P150" i="13"/>
  <c r="O201" i="13"/>
  <c r="O218" i="13"/>
  <c r="M222" i="13"/>
  <c r="R261" i="13"/>
  <c r="O310" i="13"/>
  <c r="Q324" i="13"/>
  <c r="N324" i="13"/>
  <c r="O324" i="13" s="1"/>
  <c r="O324" i="14" s="1"/>
  <c r="M324" i="13"/>
  <c r="Q348" i="13"/>
  <c r="N348" i="13"/>
  <c r="M348" i="13"/>
  <c r="R37" i="14"/>
  <c r="R129" i="14"/>
  <c r="K815" i="11"/>
  <c r="F121" i="9" s="1"/>
  <c r="K890" i="11"/>
  <c r="F126" i="9" s="1"/>
  <c r="N68" i="13"/>
  <c r="N72" i="13"/>
  <c r="N76" i="13"/>
  <c r="N80" i="13"/>
  <c r="J149" i="13"/>
  <c r="Q371" i="13"/>
  <c r="N371" i="13"/>
  <c r="Q387" i="13"/>
  <c r="N387" i="13"/>
  <c r="Q411" i="13"/>
  <c r="N411" i="13"/>
  <c r="M411" i="13"/>
  <c r="O541" i="13"/>
  <c r="R559" i="13"/>
  <c r="P27" i="14"/>
  <c r="M226" i="15"/>
  <c r="O304" i="15"/>
  <c r="K647" i="11"/>
  <c r="K651" i="11" s="1"/>
  <c r="M371" i="13"/>
  <c r="M387" i="13"/>
  <c r="Q419" i="13"/>
  <c r="N419" i="13"/>
  <c r="O419" i="13" s="1"/>
  <c r="O419" i="14" s="1"/>
  <c r="R419" i="14" s="1"/>
  <c r="M419" i="13"/>
  <c r="Q427" i="13"/>
  <c r="N427" i="13"/>
  <c r="M427" i="13"/>
  <c r="O477" i="13"/>
  <c r="R477" i="13" s="1"/>
  <c r="N149" i="14"/>
  <c r="M149" i="14"/>
  <c r="N37" i="13"/>
  <c r="O37" i="13" s="1"/>
  <c r="O37" i="14" s="1"/>
  <c r="N41" i="13"/>
  <c r="N45" i="13"/>
  <c r="N49" i="13"/>
  <c r="N59" i="13"/>
  <c r="N67" i="13"/>
  <c r="M71" i="13"/>
  <c r="M75" i="13"/>
  <c r="G104" i="13"/>
  <c r="N104" i="13" s="1"/>
  <c r="G112" i="13"/>
  <c r="N112" i="13" s="1"/>
  <c r="M124" i="13"/>
  <c r="N132" i="13"/>
  <c r="N136" i="13"/>
  <c r="N145" i="13"/>
  <c r="Q354" i="13"/>
  <c r="N354" i="13"/>
  <c r="O354" i="13" s="1"/>
  <c r="M356" i="13"/>
  <c r="Q362" i="13"/>
  <c r="N362" i="13"/>
  <c r="O362" i="13" s="1"/>
  <c r="M362" i="13"/>
  <c r="Q378" i="13"/>
  <c r="N378" i="13"/>
  <c r="M378" i="13"/>
  <c r="Q394" i="13"/>
  <c r="N394" i="13"/>
  <c r="M394" i="13"/>
  <c r="P395" i="13"/>
  <c r="Q399" i="13"/>
  <c r="N399" i="13"/>
  <c r="O489" i="13"/>
  <c r="O497" i="13"/>
  <c r="R541" i="13"/>
  <c r="Q60" i="14"/>
  <c r="N60" i="14"/>
  <c r="M60" i="14"/>
  <c r="P62" i="14"/>
  <c r="N356" i="13"/>
  <c r="O356" i="13" s="1"/>
  <c r="O356" i="14" s="1"/>
  <c r="O356" i="15" s="1"/>
  <c r="Q358" i="13"/>
  <c r="N358" i="13"/>
  <c r="O358" i="13" s="1"/>
  <c r="O358" i="14" s="1"/>
  <c r="Q367" i="13"/>
  <c r="N367" i="13"/>
  <c r="Q383" i="13"/>
  <c r="N383" i="13"/>
  <c r="O409" i="13"/>
  <c r="R409" i="13" s="1"/>
  <c r="Q414" i="13"/>
  <c r="N414" i="13"/>
  <c r="M414" i="13"/>
  <c r="Q474" i="13"/>
  <c r="N43" i="14"/>
  <c r="O150" i="14"/>
  <c r="Q422" i="13"/>
  <c r="N422" i="13"/>
  <c r="O422" i="13" s="1"/>
  <c r="M422" i="13"/>
  <c r="Q431" i="13"/>
  <c r="N431" i="13"/>
  <c r="M431" i="13"/>
  <c r="O469" i="13"/>
  <c r="R489" i="13"/>
  <c r="R497" i="13"/>
  <c r="O517" i="13"/>
  <c r="Q552" i="13"/>
  <c r="O560" i="13"/>
  <c r="N35" i="14"/>
  <c r="R47" i="14"/>
  <c r="K392" i="12"/>
  <c r="N36" i="13"/>
  <c r="N40" i="13"/>
  <c r="N44" i="13"/>
  <c r="N48" i="13"/>
  <c r="N66" i="13"/>
  <c r="O66" i="13" s="1"/>
  <c r="M70" i="13"/>
  <c r="M74" i="13"/>
  <c r="M78" i="13"/>
  <c r="M82" i="13"/>
  <c r="G101" i="13"/>
  <c r="N101" i="13" s="1"/>
  <c r="G109" i="13"/>
  <c r="N109" i="13" s="1"/>
  <c r="N135" i="13"/>
  <c r="N144" i="13"/>
  <c r="N140" i="13" s="1"/>
  <c r="N139" i="13" s="1"/>
  <c r="P149" i="13"/>
  <c r="M217" i="13"/>
  <c r="M596" i="13" s="1"/>
  <c r="Q374" i="13"/>
  <c r="N374" i="13"/>
  <c r="M374" i="13"/>
  <c r="O381" i="13"/>
  <c r="R381" i="13" s="1"/>
  <c r="Q390" i="13"/>
  <c r="N390" i="13"/>
  <c r="M390" i="13"/>
  <c r="Q407" i="13"/>
  <c r="N407" i="13"/>
  <c r="M407" i="13"/>
  <c r="O417" i="13"/>
  <c r="R417" i="13" s="1"/>
  <c r="O425" i="13"/>
  <c r="R425" i="13" s="1"/>
  <c r="R563" i="13"/>
  <c r="O581" i="13"/>
  <c r="R581" i="13" s="1"/>
  <c r="N588" i="13"/>
  <c r="N28" i="14"/>
  <c r="Q43" i="14"/>
  <c r="Q100" i="14"/>
  <c r="N100" i="14"/>
  <c r="M100" i="14"/>
  <c r="R134" i="14"/>
  <c r="R360" i="14"/>
  <c r="L392" i="12"/>
  <c r="N70" i="13"/>
  <c r="N74" i="13"/>
  <c r="N78" i="13"/>
  <c r="N82" i="13"/>
  <c r="K1354" i="21"/>
  <c r="K1364" i="17"/>
  <c r="K1273" i="18"/>
  <c r="K1274" i="18" s="1"/>
  <c r="Q149" i="13"/>
  <c r="M282" i="13"/>
  <c r="M286" i="13"/>
  <c r="M290" i="13"/>
  <c r="M294" i="13"/>
  <c r="M298" i="13"/>
  <c r="M302" i="13"/>
  <c r="M306" i="13"/>
  <c r="M310" i="13"/>
  <c r="M314" i="13"/>
  <c r="M318" i="13"/>
  <c r="M322" i="13"/>
  <c r="M326" i="13"/>
  <c r="M330" i="13"/>
  <c r="M334" i="13"/>
  <c r="M338" i="13"/>
  <c r="M342" i="13"/>
  <c r="M346" i="13"/>
  <c r="M350" i="13"/>
  <c r="Q363" i="13"/>
  <c r="N363" i="13"/>
  <c r="Q379" i="13"/>
  <c r="N379" i="13"/>
  <c r="Q402" i="13"/>
  <c r="N402" i="13"/>
  <c r="N395" i="13" s="1"/>
  <c r="M402" i="13"/>
  <c r="R469" i="13"/>
  <c r="Q508" i="13"/>
  <c r="R517" i="13"/>
  <c r="R560" i="13"/>
  <c r="Q35" i="14"/>
  <c r="O47" i="14"/>
  <c r="Q79" i="14"/>
  <c r="Q222" i="14"/>
  <c r="O266" i="14"/>
  <c r="R266" i="14" s="1"/>
  <c r="K17" i="12"/>
  <c r="M39" i="13"/>
  <c r="M35" i="13" s="1"/>
  <c r="M47" i="13"/>
  <c r="P58" i="13"/>
  <c r="P53" i="13" s="1"/>
  <c r="P52" i="13" s="1"/>
  <c r="M61" i="13"/>
  <c r="M53" i="13" s="1"/>
  <c r="M52" i="13" s="1"/>
  <c r="M65" i="13"/>
  <c r="M63" i="13" s="1"/>
  <c r="M62" i="13" s="1"/>
  <c r="M134" i="13"/>
  <c r="M131" i="13" s="1"/>
  <c r="M138" i="13"/>
  <c r="E141" i="13"/>
  <c r="M143" i="13"/>
  <c r="M140" i="13" s="1"/>
  <c r="M139" i="13" s="1"/>
  <c r="M147" i="13"/>
  <c r="M216" i="13"/>
  <c r="M363" i="13"/>
  <c r="M379" i="13"/>
  <c r="Q415" i="13"/>
  <c r="N415" i="13"/>
  <c r="O415" i="13" s="1"/>
  <c r="M415" i="13"/>
  <c r="Q423" i="13"/>
  <c r="N423" i="13"/>
  <c r="O423" i="13" s="1"/>
  <c r="O423" i="14" s="1"/>
  <c r="M423" i="13"/>
  <c r="Q435" i="13"/>
  <c r="N435" i="13"/>
  <c r="M435" i="13"/>
  <c r="O457" i="13"/>
  <c r="R457" i="13" s="1"/>
  <c r="Q554" i="13"/>
  <c r="Q566" i="13"/>
  <c r="R574" i="13"/>
  <c r="O42" i="14"/>
  <c r="Q175" i="14"/>
  <c r="M438" i="14"/>
  <c r="Q438" i="14"/>
  <c r="N438" i="14"/>
  <c r="K915" i="11"/>
  <c r="K919" i="11" s="1"/>
  <c r="P217" i="13"/>
  <c r="P596" i="13" s="1"/>
  <c r="Q355" i="13"/>
  <c r="N355" i="13"/>
  <c r="Q370" i="13"/>
  <c r="N370" i="13"/>
  <c r="O370" i="13" s="1"/>
  <c r="M370" i="13"/>
  <c r="O377" i="13"/>
  <c r="R377" i="13" s="1"/>
  <c r="Q386" i="13"/>
  <c r="R386" i="13" s="1"/>
  <c r="N386" i="13"/>
  <c r="O386" i="13" s="1"/>
  <c r="O386" i="14" s="1"/>
  <c r="M386" i="13"/>
  <c r="O405" i="13"/>
  <c r="R405" i="13" s="1"/>
  <c r="Q410" i="13"/>
  <c r="N410" i="13"/>
  <c r="M410" i="13"/>
  <c r="O485" i="13"/>
  <c r="R485" i="13" s="1"/>
  <c r="O493" i="13"/>
  <c r="O501" i="13"/>
  <c r="R501" i="13" s="1"/>
  <c r="O529" i="13"/>
  <c r="P566" i="13"/>
  <c r="E221" i="14"/>
  <c r="Q219" i="14"/>
  <c r="P219" i="14"/>
  <c r="Q255" i="14"/>
  <c r="Q217" i="13"/>
  <c r="M355" i="13"/>
  <c r="Q359" i="13"/>
  <c r="N359" i="13"/>
  <c r="Q375" i="13"/>
  <c r="N375" i="13"/>
  <c r="Q391" i="13"/>
  <c r="N391" i="13"/>
  <c r="O391" i="13" s="1"/>
  <c r="R450" i="13"/>
  <c r="O564" i="13"/>
  <c r="R564" i="13" s="1"/>
  <c r="Q473" i="14"/>
  <c r="N473" i="14"/>
  <c r="M473" i="14"/>
  <c r="P27" i="13"/>
  <c r="Q398" i="13"/>
  <c r="N398" i="13"/>
  <c r="O398" i="13" s="1"/>
  <c r="O398" i="14" s="1"/>
  <c r="M398" i="13"/>
  <c r="Q403" i="13"/>
  <c r="N403" i="13"/>
  <c r="M403" i="13"/>
  <c r="Q418" i="13"/>
  <c r="N418" i="13"/>
  <c r="M418" i="13"/>
  <c r="Q482" i="13"/>
  <c r="Q481" i="13" s="1"/>
  <c r="R493" i="13"/>
  <c r="R499" i="13"/>
  <c r="O513" i="13"/>
  <c r="R513" i="13" s="1"/>
  <c r="Q520" i="13"/>
  <c r="R529" i="13"/>
  <c r="O549" i="13"/>
  <c r="R549" i="13" s="1"/>
  <c r="R586" i="13"/>
  <c r="Q64" i="14"/>
  <c r="N64" i="14"/>
  <c r="M64" i="14"/>
  <c r="Q107" i="14"/>
  <c r="O559" i="14"/>
  <c r="O563" i="14"/>
  <c r="P170" i="14"/>
  <c r="Q177" i="14"/>
  <c r="N177" i="14"/>
  <c r="M177" i="14"/>
  <c r="R228" i="14"/>
  <c r="O238" i="14"/>
  <c r="R238" i="14" s="1"/>
  <c r="Q315" i="14"/>
  <c r="N35" i="15"/>
  <c r="M535" i="13"/>
  <c r="M539" i="13"/>
  <c r="M543" i="13"/>
  <c r="M547" i="13"/>
  <c r="M551" i="13"/>
  <c r="M555" i="13"/>
  <c r="M554" i="13" s="1"/>
  <c r="M559" i="13"/>
  <c r="M563" i="13"/>
  <c r="M567" i="13"/>
  <c r="Q31" i="14"/>
  <c r="Q61" i="14"/>
  <c r="R61" i="14" s="1"/>
  <c r="Q65" i="14"/>
  <c r="R65" i="14" s="1"/>
  <c r="O163" i="14"/>
  <c r="R163" i="14" s="1"/>
  <c r="N165" i="14"/>
  <c r="P255" i="14"/>
  <c r="R324" i="14"/>
  <c r="O382" i="14"/>
  <c r="N404" i="14"/>
  <c r="O404" i="14" s="1"/>
  <c r="O404" i="15" s="1"/>
  <c r="M404" i="14"/>
  <c r="Q404" i="14"/>
  <c r="Q431" i="14"/>
  <c r="N431" i="14"/>
  <c r="M431" i="14"/>
  <c r="R586" i="14"/>
  <c r="M439" i="13"/>
  <c r="M443" i="13"/>
  <c r="M447" i="13"/>
  <c r="M451" i="13"/>
  <c r="M455" i="13"/>
  <c r="M459" i="13"/>
  <c r="M463" i="13"/>
  <c r="N471" i="13"/>
  <c r="N475" i="13"/>
  <c r="N479" i="13"/>
  <c r="N483" i="13"/>
  <c r="N491" i="13"/>
  <c r="N495" i="13"/>
  <c r="N499" i="13"/>
  <c r="O499" i="13" s="1"/>
  <c r="O499" i="14" s="1"/>
  <c r="N503" i="13"/>
  <c r="N511" i="13"/>
  <c r="N515" i="13"/>
  <c r="N519" i="13"/>
  <c r="N523" i="13"/>
  <c r="N527" i="13"/>
  <c r="O527" i="13" s="1"/>
  <c r="R527" i="13" s="1"/>
  <c r="N531" i="13"/>
  <c r="N535" i="13"/>
  <c r="O535" i="13" s="1"/>
  <c r="N539" i="13"/>
  <c r="N543" i="13"/>
  <c r="N547" i="13"/>
  <c r="N551" i="13"/>
  <c r="N555" i="13"/>
  <c r="N559" i="13"/>
  <c r="O559" i="13" s="1"/>
  <c r="N563" i="13"/>
  <c r="O563" i="13" s="1"/>
  <c r="N567" i="13"/>
  <c r="M571" i="13"/>
  <c r="M575" i="13"/>
  <c r="M579" i="13"/>
  <c r="M583" i="13"/>
  <c r="M587" i="13"/>
  <c r="M51" i="14"/>
  <c r="M43" i="14" s="1"/>
  <c r="M55" i="14"/>
  <c r="N72" i="14"/>
  <c r="N76" i="14"/>
  <c r="N80" i="14"/>
  <c r="M84" i="14"/>
  <c r="M88" i="14"/>
  <c r="M92" i="14"/>
  <c r="M98" i="14"/>
  <c r="M104" i="14"/>
  <c r="Q169" i="14"/>
  <c r="N169" i="14"/>
  <c r="M169" i="14"/>
  <c r="Q213" i="14"/>
  <c r="N213" i="14"/>
  <c r="M213" i="14"/>
  <c r="R336" i="14"/>
  <c r="M454" i="14"/>
  <c r="Q454" i="14"/>
  <c r="N454" i="14"/>
  <c r="N439" i="13"/>
  <c r="N443" i="13"/>
  <c r="N447" i="13"/>
  <c r="N451" i="13"/>
  <c r="O451" i="13" s="1"/>
  <c r="O451" i="14" s="1"/>
  <c r="R451" i="14" s="1"/>
  <c r="N455" i="13"/>
  <c r="N459" i="13"/>
  <c r="N463" i="13"/>
  <c r="N571" i="13"/>
  <c r="N575" i="13"/>
  <c r="N579" i="13"/>
  <c r="N583" i="13"/>
  <c r="N587" i="13"/>
  <c r="N55" i="14"/>
  <c r="M59" i="14"/>
  <c r="M67" i="14"/>
  <c r="N84" i="14"/>
  <c r="N88" i="14"/>
  <c r="N92" i="14"/>
  <c r="M106" i="14"/>
  <c r="G110" i="14"/>
  <c r="N110" i="14" s="1"/>
  <c r="M113" i="14"/>
  <c r="M135" i="14"/>
  <c r="G135" i="14"/>
  <c r="N135" i="14" s="1"/>
  <c r="O142" i="14"/>
  <c r="R142" i="14" s="1"/>
  <c r="Q161" i="14"/>
  <c r="N161" i="14"/>
  <c r="M161" i="14"/>
  <c r="P165" i="14"/>
  <c r="P155" i="14" s="1"/>
  <c r="O172" i="14"/>
  <c r="R172" i="14" s="1"/>
  <c r="O274" i="14"/>
  <c r="O354" i="14"/>
  <c r="R368" i="14"/>
  <c r="Q123" i="14"/>
  <c r="M123" i="14"/>
  <c r="Q153" i="14"/>
  <c r="N153" i="14"/>
  <c r="M153" i="14"/>
  <c r="Q181" i="14"/>
  <c r="N181" i="14"/>
  <c r="M181" i="14"/>
  <c r="Q189" i="14"/>
  <c r="N189" i="14"/>
  <c r="M189" i="14"/>
  <c r="Q197" i="14"/>
  <c r="N197" i="14"/>
  <c r="M197" i="14"/>
  <c r="O220" i="14"/>
  <c r="O220" i="15" s="1"/>
  <c r="R236" i="14"/>
  <c r="Q291" i="14"/>
  <c r="Q447" i="14"/>
  <c r="N447" i="14"/>
  <c r="M447" i="14"/>
  <c r="M426" i="13"/>
  <c r="M430" i="13"/>
  <c r="M434" i="13"/>
  <c r="M438" i="13"/>
  <c r="M442" i="13"/>
  <c r="M446" i="13"/>
  <c r="M450" i="13"/>
  <c r="M454" i="13"/>
  <c r="M458" i="13"/>
  <c r="M462" i="13"/>
  <c r="M570" i="13"/>
  <c r="M574" i="13"/>
  <c r="M578" i="13"/>
  <c r="M582" i="13"/>
  <c r="M586" i="13"/>
  <c r="M590" i="13"/>
  <c r="M588" i="13" s="1"/>
  <c r="P51" i="14"/>
  <c r="P43" i="14" s="1"/>
  <c r="M54" i="14"/>
  <c r="M83" i="14"/>
  <c r="M87" i="14"/>
  <c r="M91" i="14"/>
  <c r="M115" i="14"/>
  <c r="M119" i="14"/>
  <c r="G119" i="14"/>
  <c r="N119" i="14" s="1"/>
  <c r="Q120" i="14"/>
  <c r="N123" i="14"/>
  <c r="M129" i="14"/>
  <c r="G129" i="14"/>
  <c r="N129" i="14" s="1"/>
  <c r="O129" i="14" s="1"/>
  <c r="R274" i="14"/>
  <c r="O278" i="14"/>
  <c r="R354" i="14"/>
  <c r="P508" i="14"/>
  <c r="P507" i="14" s="1"/>
  <c r="O527" i="14"/>
  <c r="N426" i="13"/>
  <c r="N430" i="13"/>
  <c r="N434" i="13"/>
  <c r="N438" i="13"/>
  <c r="N442" i="13"/>
  <c r="N446" i="13"/>
  <c r="O446" i="13" s="1"/>
  <c r="R446" i="13" s="1"/>
  <c r="N450" i="13"/>
  <c r="O450" i="13" s="1"/>
  <c r="O450" i="14" s="1"/>
  <c r="R450" i="14" s="1"/>
  <c r="N454" i="13"/>
  <c r="N458" i="13"/>
  <c r="N462" i="13"/>
  <c r="N570" i="13"/>
  <c r="O570" i="13" s="1"/>
  <c r="N574" i="13"/>
  <c r="O574" i="13" s="1"/>
  <c r="O574" i="14" s="1"/>
  <c r="N578" i="13"/>
  <c r="O578" i="13" s="1"/>
  <c r="O578" i="14" s="1"/>
  <c r="N582" i="13"/>
  <c r="N586" i="13"/>
  <c r="O586" i="13" s="1"/>
  <c r="O586" i="14" s="1"/>
  <c r="O586" i="15" s="1"/>
  <c r="N590" i="13"/>
  <c r="N54" i="14"/>
  <c r="N87" i="14"/>
  <c r="N91" i="14"/>
  <c r="P120" i="14"/>
  <c r="P94" i="14" s="1"/>
  <c r="Q137" i="14"/>
  <c r="O261" i="14"/>
  <c r="R261" i="14" s="1"/>
  <c r="P291" i="14"/>
  <c r="P317" i="14"/>
  <c r="R154" i="15"/>
  <c r="Q173" i="14"/>
  <c r="Q170" i="14" s="1"/>
  <c r="N173" i="14"/>
  <c r="M173" i="14"/>
  <c r="R278" i="14"/>
  <c r="O282" i="14"/>
  <c r="Q317" i="14"/>
  <c r="O322" i="14"/>
  <c r="R322" i="14" s="1"/>
  <c r="O362" i="14"/>
  <c r="O362" i="15" s="1"/>
  <c r="R362" i="15" s="1"/>
  <c r="Q463" i="14"/>
  <c r="N463" i="14"/>
  <c r="M463" i="14"/>
  <c r="P83" i="14"/>
  <c r="P79" i="14" s="1"/>
  <c r="R154" i="14"/>
  <c r="O221" i="14"/>
  <c r="O221" i="15" s="1"/>
  <c r="O265" i="14"/>
  <c r="R265" i="14" s="1"/>
  <c r="R304" i="14"/>
  <c r="Q329" i="14"/>
  <c r="P337" i="14"/>
  <c r="M422" i="14"/>
  <c r="Q422" i="14"/>
  <c r="N422" i="14"/>
  <c r="O422" i="14" s="1"/>
  <c r="Q68" i="15"/>
  <c r="P68" i="15"/>
  <c r="M31" i="14"/>
  <c r="P58" i="14"/>
  <c r="P53" i="14" s="1"/>
  <c r="P52" i="14" s="1"/>
  <c r="M61" i="14"/>
  <c r="M65" i="14"/>
  <c r="Q95" i="14"/>
  <c r="M111" i="14"/>
  <c r="O134" i="14"/>
  <c r="N141" i="14"/>
  <c r="M141" i="14"/>
  <c r="Q157" i="14"/>
  <c r="N157" i="14"/>
  <c r="M157" i="14"/>
  <c r="Q209" i="14"/>
  <c r="N209" i="14"/>
  <c r="M209" i="14"/>
  <c r="Q226" i="14"/>
  <c r="O262" i="14"/>
  <c r="R262" i="14" s="1"/>
  <c r="R282" i="14"/>
  <c r="Q307" i="14"/>
  <c r="R356" i="14"/>
  <c r="R362" i="14"/>
  <c r="P597" i="14"/>
  <c r="N111" i="14"/>
  <c r="E150" i="14"/>
  <c r="E141" i="14"/>
  <c r="Q149" i="14"/>
  <c r="P149" i="14"/>
  <c r="J149" i="14"/>
  <c r="O168" i="14"/>
  <c r="R168" i="14" s="1"/>
  <c r="Q185" i="14"/>
  <c r="N185" i="14"/>
  <c r="M185" i="14"/>
  <c r="Q193" i="14"/>
  <c r="N193" i="14"/>
  <c r="M193" i="14"/>
  <c r="Q201" i="14"/>
  <c r="N201" i="14"/>
  <c r="O201" i="14" s="1"/>
  <c r="M201" i="14"/>
  <c r="P205" i="14"/>
  <c r="P178" i="14" s="1"/>
  <c r="N218" i="14"/>
  <c r="M218" i="14"/>
  <c r="P240" i="14"/>
  <c r="O269" i="14"/>
  <c r="R269" i="14" s="1"/>
  <c r="P296" i="14"/>
  <c r="O370" i="14"/>
  <c r="O370" i="15" s="1"/>
  <c r="O381" i="14"/>
  <c r="Q415" i="14"/>
  <c r="R415" i="14" s="1"/>
  <c r="N415" i="14"/>
  <c r="O415" i="14" s="1"/>
  <c r="M415" i="14"/>
  <c r="N492" i="14"/>
  <c r="M492" i="14"/>
  <c r="Q502" i="14"/>
  <c r="N502" i="14"/>
  <c r="M502" i="14"/>
  <c r="N524" i="14"/>
  <c r="M524" i="14"/>
  <c r="Q530" i="14"/>
  <c r="N530" i="14"/>
  <c r="M530" i="14"/>
  <c r="Q542" i="14"/>
  <c r="N542" i="14"/>
  <c r="M542" i="14"/>
  <c r="Q558" i="14"/>
  <c r="Q554" i="14" s="1"/>
  <c r="N558" i="14"/>
  <c r="M558" i="14"/>
  <c r="R61" i="15"/>
  <c r="P63" i="15"/>
  <c r="P62" i="15" s="1"/>
  <c r="N79" i="15"/>
  <c r="Q89" i="15"/>
  <c r="N89" i="15"/>
  <c r="M89" i="15"/>
  <c r="Q172" i="15"/>
  <c r="N172" i="15"/>
  <c r="O172" i="15" s="1"/>
  <c r="O172" i="16" s="1"/>
  <c r="R172" i="16" s="1"/>
  <c r="M172" i="15"/>
  <c r="Q189" i="15"/>
  <c r="N189" i="15"/>
  <c r="O278" i="15"/>
  <c r="R278" i="15" s="1"/>
  <c r="M220" i="14"/>
  <c r="N408" i="14"/>
  <c r="M408" i="14"/>
  <c r="Q417" i="14"/>
  <c r="M417" i="14"/>
  <c r="N424" i="14"/>
  <c r="M424" i="14"/>
  <c r="Q433" i="14"/>
  <c r="M433" i="14"/>
  <c r="N440" i="14"/>
  <c r="M440" i="14"/>
  <c r="Q449" i="14"/>
  <c r="M449" i="14"/>
  <c r="N456" i="14"/>
  <c r="M456" i="14"/>
  <c r="Q465" i="14"/>
  <c r="M465" i="14"/>
  <c r="Q469" i="14"/>
  <c r="R469" i="14" s="1"/>
  <c r="N469" i="14"/>
  <c r="O469" i="14" s="1"/>
  <c r="N480" i="14"/>
  <c r="M480" i="14"/>
  <c r="Q485" i="14"/>
  <c r="N485" i="14"/>
  <c r="O485" i="14" s="1"/>
  <c r="N516" i="14"/>
  <c r="M516" i="14"/>
  <c r="O47" i="15"/>
  <c r="O47" i="16" s="1"/>
  <c r="Q73" i="15"/>
  <c r="N73" i="15"/>
  <c r="Q134" i="15"/>
  <c r="N134" i="15"/>
  <c r="O134" i="15" s="1"/>
  <c r="Q176" i="15"/>
  <c r="N176" i="15"/>
  <c r="M176" i="15"/>
  <c r="M175" i="15" s="1"/>
  <c r="M189" i="15"/>
  <c r="O265" i="15"/>
  <c r="O324" i="15"/>
  <c r="R586" i="15"/>
  <c r="M154" i="14"/>
  <c r="M158" i="14"/>
  <c r="M162" i="14"/>
  <c r="M166" i="14"/>
  <c r="M174" i="14"/>
  <c r="M182" i="14"/>
  <c r="M186" i="14"/>
  <c r="M190" i="14"/>
  <c r="M194" i="14"/>
  <c r="M198" i="14"/>
  <c r="M202" i="14"/>
  <c r="M206" i="14"/>
  <c r="M210" i="14"/>
  <c r="M214" i="14"/>
  <c r="M224" i="14"/>
  <c r="M228" i="14"/>
  <c r="M232" i="14"/>
  <c r="M236" i="14"/>
  <c r="M244" i="14"/>
  <c r="M248" i="14"/>
  <c r="M252" i="14"/>
  <c r="M256" i="14"/>
  <c r="M260" i="14"/>
  <c r="M264" i="14"/>
  <c r="M268" i="14"/>
  <c r="M272" i="14"/>
  <c r="M276" i="14"/>
  <c r="M280" i="14"/>
  <c r="M284" i="14"/>
  <c r="M288" i="14"/>
  <c r="M292" i="14"/>
  <c r="M291" i="14" s="1"/>
  <c r="M300" i="14"/>
  <c r="M304" i="14"/>
  <c r="M308" i="14"/>
  <c r="M312" i="14"/>
  <c r="M316" i="14"/>
  <c r="M315" i="14" s="1"/>
  <c r="M320" i="14"/>
  <c r="M324" i="14"/>
  <c r="M332" i="14"/>
  <c r="M336" i="14"/>
  <c r="M340" i="14"/>
  <c r="M344" i="14"/>
  <c r="M348" i="14"/>
  <c r="M352" i="14"/>
  <c r="M356" i="14"/>
  <c r="M360" i="14"/>
  <c r="M364" i="14"/>
  <c r="M368" i="14"/>
  <c r="M372" i="14"/>
  <c r="M376" i="14"/>
  <c r="M380" i="14"/>
  <c r="M384" i="14"/>
  <c r="M388" i="14"/>
  <c r="M392" i="14"/>
  <c r="M401" i="14"/>
  <c r="N417" i="14"/>
  <c r="O417" i="14" s="1"/>
  <c r="O417" i="15" s="1"/>
  <c r="O417" i="16" s="1"/>
  <c r="N433" i="14"/>
  <c r="N449" i="14"/>
  <c r="N465" i="14"/>
  <c r="M469" i="14"/>
  <c r="Q478" i="14"/>
  <c r="N478" i="14"/>
  <c r="M478" i="14"/>
  <c r="M485" i="14"/>
  <c r="Q492" i="14"/>
  <c r="N500" i="14"/>
  <c r="M500" i="14"/>
  <c r="Q524" i="14"/>
  <c r="R559" i="14"/>
  <c r="P566" i="14"/>
  <c r="R574" i="14"/>
  <c r="Q43" i="15"/>
  <c r="G51" i="15"/>
  <c r="N51" i="15" s="1"/>
  <c r="O61" i="15"/>
  <c r="M73" i="15"/>
  <c r="N101" i="15"/>
  <c r="Q120" i="15"/>
  <c r="Q128" i="15"/>
  <c r="M128" i="15"/>
  <c r="M134" i="15"/>
  <c r="Q152" i="15"/>
  <c r="N152" i="15"/>
  <c r="M152" i="15"/>
  <c r="M243" i="15"/>
  <c r="M240" i="15" s="1"/>
  <c r="Q243" i="15"/>
  <c r="O282" i="15"/>
  <c r="R282" i="15" s="1"/>
  <c r="M424" i="15"/>
  <c r="Q424" i="15"/>
  <c r="N424" i="15"/>
  <c r="N368" i="14"/>
  <c r="O368" i="14" s="1"/>
  <c r="O368" i="15" s="1"/>
  <c r="N372" i="14"/>
  <c r="O372" i="14" s="1"/>
  <c r="O372" i="15" s="1"/>
  <c r="N376" i="14"/>
  <c r="N380" i="14"/>
  <c r="O380" i="14" s="1"/>
  <c r="O380" i="15" s="1"/>
  <c r="R380" i="15" s="1"/>
  <c r="N384" i="14"/>
  <c r="N388" i="14"/>
  <c r="N401" i="14"/>
  <c r="P406" i="14"/>
  <c r="Q480" i="14"/>
  <c r="Q490" i="14"/>
  <c r="N490" i="14"/>
  <c r="M490" i="14"/>
  <c r="Q516" i="14"/>
  <c r="Q522" i="14"/>
  <c r="N522" i="14"/>
  <c r="M522" i="14"/>
  <c r="Q546" i="14"/>
  <c r="N546" i="14"/>
  <c r="M546" i="14"/>
  <c r="Q562" i="14"/>
  <c r="N562" i="14"/>
  <c r="M562" i="14"/>
  <c r="Q81" i="15"/>
  <c r="N81" i="15"/>
  <c r="Q93" i="15"/>
  <c r="N93" i="15"/>
  <c r="M93" i="15"/>
  <c r="M121" i="15"/>
  <c r="N177" i="15"/>
  <c r="N179" i="15"/>
  <c r="Q185" i="15"/>
  <c r="N185" i="15"/>
  <c r="Q201" i="15"/>
  <c r="R201" i="15" s="1"/>
  <c r="N201" i="15"/>
  <c r="O201" i="15" s="1"/>
  <c r="O201" i="16" s="1"/>
  <c r="N243" i="15"/>
  <c r="O269" i="15"/>
  <c r="R269" i="15" s="1"/>
  <c r="N412" i="14"/>
  <c r="O412" i="14" s="1"/>
  <c r="O412" i="15" s="1"/>
  <c r="M412" i="14"/>
  <c r="Q421" i="14"/>
  <c r="M421" i="14"/>
  <c r="N428" i="14"/>
  <c r="M428" i="14"/>
  <c r="Q437" i="14"/>
  <c r="M437" i="14"/>
  <c r="N444" i="14"/>
  <c r="M444" i="14"/>
  <c r="Q453" i="14"/>
  <c r="M453" i="14"/>
  <c r="N460" i="14"/>
  <c r="M460" i="14"/>
  <c r="N476" i="14"/>
  <c r="M476" i="14"/>
  <c r="M474" i="14" s="1"/>
  <c r="Q514" i="14"/>
  <c r="N514" i="14"/>
  <c r="M514" i="14"/>
  <c r="Q534" i="14"/>
  <c r="N534" i="14"/>
  <c r="M534" i="14"/>
  <c r="N63" i="15"/>
  <c r="O65" i="15"/>
  <c r="R65" i="15" s="1"/>
  <c r="Q69" i="15"/>
  <c r="N69" i="15"/>
  <c r="Q101" i="15"/>
  <c r="M101" i="15"/>
  <c r="O129" i="15"/>
  <c r="Q165" i="15"/>
  <c r="N215" i="15"/>
  <c r="O262" i="15"/>
  <c r="R262" i="15" s="1"/>
  <c r="R368" i="15"/>
  <c r="Q83" i="16"/>
  <c r="P83" i="16"/>
  <c r="M223" i="14"/>
  <c r="M227" i="14"/>
  <c r="M231" i="14"/>
  <c r="M235" i="14"/>
  <c r="M239" i="14"/>
  <c r="M243" i="14"/>
  <c r="M247" i="14"/>
  <c r="M251" i="14"/>
  <c r="M259" i="14"/>
  <c r="M263" i="14"/>
  <c r="M267" i="14"/>
  <c r="M271" i="14"/>
  <c r="M275" i="14"/>
  <c r="M279" i="14"/>
  <c r="M283" i="14"/>
  <c r="M287" i="14"/>
  <c r="M295" i="14"/>
  <c r="M299" i="14"/>
  <c r="M303" i="14"/>
  <c r="M311" i="14"/>
  <c r="M319" i="14"/>
  <c r="M323" i="14"/>
  <c r="M327" i="14"/>
  <c r="M331" i="14"/>
  <c r="M335" i="14"/>
  <c r="M339" i="14"/>
  <c r="M343" i="14"/>
  <c r="M347" i="14"/>
  <c r="M351" i="14"/>
  <c r="M355" i="14"/>
  <c r="M359" i="14"/>
  <c r="M363" i="14"/>
  <c r="M367" i="14"/>
  <c r="M371" i="14"/>
  <c r="M375" i="14"/>
  <c r="M379" i="14"/>
  <c r="M383" i="14"/>
  <c r="M387" i="14"/>
  <c r="M391" i="14"/>
  <c r="Q392" i="14"/>
  <c r="Q337" i="14" s="1"/>
  <c r="N403" i="14"/>
  <c r="Q405" i="14"/>
  <c r="R405" i="14" s="1"/>
  <c r="M405" i="14"/>
  <c r="N421" i="14"/>
  <c r="N437" i="14"/>
  <c r="N453" i="14"/>
  <c r="N488" i="14"/>
  <c r="M488" i="14"/>
  <c r="Q498" i="14"/>
  <c r="N498" i="14"/>
  <c r="M498" i="14"/>
  <c r="R563" i="14"/>
  <c r="R578" i="14"/>
  <c r="Q56" i="15"/>
  <c r="Q53" i="15" s="1"/>
  <c r="Q52" i="15" s="1"/>
  <c r="N56" i="15"/>
  <c r="M56" i="15"/>
  <c r="M69" i="15"/>
  <c r="M97" i="15"/>
  <c r="M95" i="15" s="1"/>
  <c r="G97" i="15"/>
  <c r="N97" i="15" s="1"/>
  <c r="P95" i="15"/>
  <c r="P94" i="15" s="1"/>
  <c r="Q111" i="15"/>
  <c r="N111" i="15"/>
  <c r="M111" i="15"/>
  <c r="R129" i="15"/>
  <c r="N140" i="15"/>
  <c r="J150" i="15"/>
  <c r="M177" i="15"/>
  <c r="Q291" i="15"/>
  <c r="O391" i="15"/>
  <c r="O391" i="16" s="1"/>
  <c r="P394" i="20" s="1"/>
  <c r="T394" i="20" s="1"/>
  <c r="M144" i="14"/>
  <c r="N223" i="14"/>
  <c r="N227" i="14"/>
  <c r="N231" i="14"/>
  <c r="N235" i="14"/>
  <c r="N239" i="14"/>
  <c r="N243" i="14"/>
  <c r="N247" i="14"/>
  <c r="N251" i="14"/>
  <c r="N259" i="14"/>
  <c r="N263" i="14"/>
  <c r="N267" i="14"/>
  <c r="N271" i="14"/>
  <c r="N275" i="14"/>
  <c r="N279" i="14"/>
  <c r="N283" i="14"/>
  <c r="N287" i="14"/>
  <c r="N295" i="14"/>
  <c r="N299" i="14"/>
  <c r="N303" i="14"/>
  <c r="N311" i="14"/>
  <c r="N319" i="14"/>
  <c r="N323" i="14"/>
  <c r="N327" i="14"/>
  <c r="N331" i="14"/>
  <c r="N329" i="14" s="1"/>
  <c r="N335" i="14"/>
  <c r="N339" i="14"/>
  <c r="N343" i="14"/>
  <c r="N347" i="14"/>
  <c r="N351" i="14"/>
  <c r="O351" i="14" s="1"/>
  <c r="R351" i="14" s="1"/>
  <c r="N355" i="14"/>
  <c r="N359" i="14"/>
  <c r="N363" i="14"/>
  <c r="N367" i="14"/>
  <c r="N371" i="14"/>
  <c r="N375" i="14"/>
  <c r="N379" i="14"/>
  <c r="N383" i="14"/>
  <c r="N387" i="14"/>
  <c r="N391" i="14"/>
  <c r="O391" i="14" s="1"/>
  <c r="R391" i="14" s="1"/>
  <c r="M394" i="14"/>
  <c r="N405" i="14"/>
  <c r="O405" i="14" s="1"/>
  <c r="M407" i="14"/>
  <c r="Q410" i="14"/>
  <c r="N414" i="14"/>
  <c r="M423" i="14"/>
  <c r="Q426" i="14"/>
  <c r="N430" i="14"/>
  <c r="M439" i="14"/>
  <c r="Q442" i="14"/>
  <c r="N446" i="14"/>
  <c r="M455" i="14"/>
  <c r="Q458" i="14"/>
  <c r="N462" i="14"/>
  <c r="Q466" i="14"/>
  <c r="N466" i="14"/>
  <c r="Q476" i="14"/>
  <c r="P487" i="14"/>
  <c r="P481" i="14" s="1"/>
  <c r="Q550" i="14"/>
  <c r="N550" i="14"/>
  <c r="M550" i="14"/>
  <c r="N102" i="15"/>
  <c r="M129" i="15"/>
  <c r="O150" i="15"/>
  <c r="R150" i="15" s="1"/>
  <c r="Q160" i="15"/>
  <c r="N160" i="15"/>
  <c r="M160" i="15"/>
  <c r="Q181" i="15"/>
  <c r="N181" i="15"/>
  <c r="Q197" i="15"/>
  <c r="N197" i="15"/>
  <c r="P205" i="15"/>
  <c r="P178" i="15" s="1"/>
  <c r="E219" i="15"/>
  <c r="Q217" i="15"/>
  <c r="P217" i="15"/>
  <c r="M232" i="15"/>
  <c r="Q232" i="15"/>
  <c r="O266" i="15"/>
  <c r="R266" i="15" s="1"/>
  <c r="N144" i="14"/>
  <c r="N400" i="14"/>
  <c r="O400" i="14" s="1"/>
  <c r="M400" i="14"/>
  <c r="Q409" i="14"/>
  <c r="M409" i="14"/>
  <c r="Q412" i="14"/>
  <c r="R412" i="14" s="1"/>
  <c r="N416" i="14"/>
  <c r="O416" i="14" s="1"/>
  <c r="M416" i="14"/>
  <c r="Q425" i="14"/>
  <c r="M425" i="14"/>
  <c r="Q428" i="14"/>
  <c r="N432" i="14"/>
  <c r="M432" i="14"/>
  <c r="Q441" i="14"/>
  <c r="M441" i="14"/>
  <c r="Q444" i="14"/>
  <c r="N448" i="14"/>
  <c r="M448" i="14"/>
  <c r="Q457" i="14"/>
  <c r="M457" i="14"/>
  <c r="Q460" i="14"/>
  <c r="N464" i="14"/>
  <c r="M464" i="14"/>
  <c r="Q470" i="14"/>
  <c r="N470" i="14"/>
  <c r="N472" i="14"/>
  <c r="M472" i="14"/>
  <c r="Q486" i="14"/>
  <c r="N486" i="14"/>
  <c r="M486" i="14"/>
  <c r="N496" i="14"/>
  <c r="M496" i="14"/>
  <c r="Q506" i="14"/>
  <c r="N506" i="14"/>
  <c r="M506" i="14"/>
  <c r="N512" i="14"/>
  <c r="M512" i="14"/>
  <c r="O560" i="14"/>
  <c r="Q566" i="14"/>
  <c r="M319" i="15"/>
  <c r="Q319" i="15"/>
  <c r="N319" i="15"/>
  <c r="O336" i="15"/>
  <c r="R336" i="15" s="1"/>
  <c r="M133" i="14"/>
  <c r="M131" i="14" s="1"/>
  <c r="M152" i="14"/>
  <c r="M160" i="14"/>
  <c r="M164" i="14"/>
  <c r="M168" i="14"/>
  <c r="M172" i="14"/>
  <c r="M170" i="14" s="1"/>
  <c r="M176" i="14"/>
  <c r="M175" i="14" s="1"/>
  <c r="M180" i="14"/>
  <c r="M184" i="14"/>
  <c r="M188" i="14"/>
  <c r="M192" i="14"/>
  <c r="M196" i="14"/>
  <c r="M200" i="14"/>
  <c r="M204" i="14"/>
  <c r="M208" i="14"/>
  <c r="M212" i="14"/>
  <c r="M230" i="14"/>
  <c r="M234" i="14"/>
  <c r="M238" i="14"/>
  <c r="M242" i="14"/>
  <c r="M246" i="14"/>
  <c r="M250" i="14"/>
  <c r="M254" i="14"/>
  <c r="M258" i="14"/>
  <c r="M262" i="14"/>
  <c r="M266" i="14"/>
  <c r="M270" i="14"/>
  <c r="M274" i="14"/>
  <c r="M278" i="14"/>
  <c r="M282" i="14"/>
  <c r="M286" i="14"/>
  <c r="M290" i="14"/>
  <c r="M294" i="14"/>
  <c r="M298" i="14"/>
  <c r="M296" i="14" s="1"/>
  <c r="M302" i="14"/>
  <c r="M306" i="14"/>
  <c r="M310" i="14"/>
  <c r="M314" i="14"/>
  <c r="M318" i="14"/>
  <c r="M322" i="14"/>
  <c r="M326" i="14"/>
  <c r="M330" i="14"/>
  <c r="M334" i="14"/>
  <c r="M338" i="14"/>
  <c r="M342" i="14"/>
  <c r="M346" i="14"/>
  <c r="M350" i="14"/>
  <c r="M354" i="14"/>
  <c r="M358" i="14"/>
  <c r="M362" i="14"/>
  <c r="M366" i="14"/>
  <c r="M370" i="14"/>
  <c r="M374" i="14"/>
  <c r="M378" i="14"/>
  <c r="M382" i="14"/>
  <c r="M386" i="14"/>
  <c r="M390" i="14"/>
  <c r="N397" i="14"/>
  <c r="N409" i="14"/>
  <c r="N425" i="14"/>
  <c r="O425" i="14" s="1"/>
  <c r="N441" i="14"/>
  <c r="N457" i="14"/>
  <c r="O457" i="14" s="1"/>
  <c r="O457" i="15" s="1"/>
  <c r="M468" i="14"/>
  <c r="M470" i="14"/>
  <c r="Q477" i="14"/>
  <c r="N477" i="14"/>
  <c r="R499" i="14"/>
  <c r="Q526" i="14"/>
  <c r="N526" i="14"/>
  <c r="M526" i="14"/>
  <c r="Q538" i="14"/>
  <c r="N538" i="14"/>
  <c r="M538" i="14"/>
  <c r="P35" i="15"/>
  <c r="P27" i="15" s="1"/>
  <c r="M102" i="15"/>
  <c r="G119" i="15"/>
  <c r="N119" i="15" s="1"/>
  <c r="Q148" i="15"/>
  <c r="Q209" i="15"/>
  <c r="N209" i="15"/>
  <c r="O245" i="15"/>
  <c r="R245" i="15" s="1"/>
  <c r="O415" i="15"/>
  <c r="O415" i="16" s="1"/>
  <c r="Q472" i="14"/>
  <c r="N484" i="14"/>
  <c r="M484" i="14"/>
  <c r="M482" i="14" s="1"/>
  <c r="Q489" i="14"/>
  <c r="R489" i="14" s="1"/>
  <c r="N489" i="14"/>
  <c r="O489" i="14" s="1"/>
  <c r="N504" i="14"/>
  <c r="M504" i="14"/>
  <c r="Q35" i="15"/>
  <c r="Q27" i="15" s="1"/>
  <c r="Q85" i="15"/>
  <c r="N85" i="15"/>
  <c r="M85" i="15"/>
  <c r="E143" i="15"/>
  <c r="Q142" i="15"/>
  <c r="P142" i="15"/>
  <c r="O154" i="15"/>
  <c r="Q164" i="15"/>
  <c r="N164" i="15"/>
  <c r="M164" i="15"/>
  <c r="M170" i="15"/>
  <c r="Q193" i="15"/>
  <c r="N193" i="15"/>
  <c r="R47" i="16"/>
  <c r="M393" i="14"/>
  <c r="Q400" i="14"/>
  <c r="N402" i="14"/>
  <c r="Q413" i="14"/>
  <c r="M413" i="14"/>
  <c r="Q416" i="14"/>
  <c r="R416" i="14" s="1"/>
  <c r="N420" i="14"/>
  <c r="O420" i="14" s="1"/>
  <c r="R420" i="14" s="1"/>
  <c r="M420" i="14"/>
  <c r="Q429" i="14"/>
  <c r="M429" i="14"/>
  <c r="Q432" i="14"/>
  <c r="N436" i="14"/>
  <c r="M436" i="14"/>
  <c r="Q445" i="14"/>
  <c r="M445" i="14"/>
  <c r="Q448" i="14"/>
  <c r="N452" i="14"/>
  <c r="M452" i="14"/>
  <c r="Q461" i="14"/>
  <c r="M461" i="14"/>
  <c r="Q464" i="14"/>
  <c r="Q468" i="14"/>
  <c r="M489" i="14"/>
  <c r="Q494" i="14"/>
  <c r="N494" i="14"/>
  <c r="M494" i="14"/>
  <c r="Q510" i="14"/>
  <c r="N510" i="14"/>
  <c r="M510" i="14"/>
  <c r="M508" i="14" s="1"/>
  <c r="Q518" i="14"/>
  <c r="N518" i="14"/>
  <c r="M518" i="14"/>
  <c r="R527" i="14"/>
  <c r="O564" i="14"/>
  <c r="O564" i="15" s="1"/>
  <c r="R564" i="15" s="1"/>
  <c r="P53" i="15"/>
  <c r="P52" i="15" s="1"/>
  <c r="M63" i="15"/>
  <c r="Q77" i="15"/>
  <c r="N77" i="15"/>
  <c r="G108" i="15"/>
  <c r="N108" i="15" s="1"/>
  <c r="O142" i="15"/>
  <c r="Q168" i="15"/>
  <c r="N168" i="15"/>
  <c r="O168" i="15" s="1"/>
  <c r="M168" i="15"/>
  <c r="M193" i="15"/>
  <c r="M179" i="15" s="1"/>
  <c r="M178" i="15" s="1"/>
  <c r="O274" i="15"/>
  <c r="R274" i="15" s="1"/>
  <c r="P395" i="15"/>
  <c r="Q574" i="15"/>
  <c r="N574" i="15"/>
  <c r="O574" i="15" s="1"/>
  <c r="M574" i="15"/>
  <c r="R228" i="15"/>
  <c r="Q239" i="15"/>
  <c r="N291" i="15"/>
  <c r="Q331" i="15"/>
  <c r="Q329" i="15" s="1"/>
  <c r="Q343" i="15"/>
  <c r="Q359" i="15"/>
  <c r="Q375" i="15"/>
  <c r="Q391" i="15"/>
  <c r="R391" i="15" s="1"/>
  <c r="P406" i="15"/>
  <c r="Q415" i="15"/>
  <c r="O425" i="15"/>
  <c r="R425" i="15" s="1"/>
  <c r="N539" i="15"/>
  <c r="Q539" i="15"/>
  <c r="D758" i="23"/>
  <c r="K750" i="20"/>
  <c r="Q213" i="15"/>
  <c r="N236" i="15"/>
  <c r="O236" i="15" s="1"/>
  <c r="O236" i="16" s="1"/>
  <c r="N247" i="15"/>
  <c r="N339" i="15"/>
  <c r="N355" i="15"/>
  <c r="N371" i="15"/>
  <c r="N387" i="15"/>
  <c r="O405" i="15"/>
  <c r="R405" i="15" s="1"/>
  <c r="Q422" i="15"/>
  <c r="R422" i="15" s="1"/>
  <c r="M422" i="15"/>
  <c r="Q454" i="15"/>
  <c r="N454" i="15"/>
  <c r="M454" i="15"/>
  <c r="Q522" i="15"/>
  <c r="N522" i="15"/>
  <c r="N531" i="15"/>
  <c r="Q531" i="15"/>
  <c r="M531" i="15"/>
  <c r="M539" i="15"/>
  <c r="P296" i="15"/>
  <c r="R324" i="15"/>
  <c r="O416" i="15"/>
  <c r="R416" i="15" s="1"/>
  <c r="Q419" i="15"/>
  <c r="N419" i="15"/>
  <c r="M419" i="15"/>
  <c r="O422" i="15"/>
  <c r="O451" i="15"/>
  <c r="O451" i="16" s="1"/>
  <c r="N397" i="15"/>
  <c r="Q397" i="15"/>
  <c r="Q395" i="15" s="1"/>
  <c r="M397" i="15"/>
  <c r="M395" i="15" s="1"/>
  <c r="N582" i="15"/>
  <c r="Q582" i="15"/>
  <c r="M582" i="15"/>
  <c r="N493" i="14"/>
  <c r="N497" i="14"/>
  <c r="O497" i="14" s="1"/>
  <c r="R497" i="14" s="1"/>
  <c r="N501" i="14"/>
  <c r="N505" i="14"/>
  <c r="N509" i="14"/>
  <c r="N513" i="14"/>
  <c r="O513" i="14" s="1"/>
  <c r="R513" i="14" s="1"/>
  <c r="N517" i="14"/>
  <c r="O517" i="14" s="1"/>
  <c r="R517" i="14" s="1"/>
  <c r="N521" i="14"/>
  <c r="N525" i="14"/>
  <c r="N529" i="14"/>
  <c r="O529" i="14" s="1"/>
  <c r="R529" i="14" s="1"/>
  <c r="N533" i="14"/>
  <c r="N537" i="14"/>
  <c r="N541" i="14"/>
  <c r="O541" i="14" s="1"/>
  <c r="R541" i="14" s="1"/>
  <c r="N545" i="14"/>
  <c r="N549" i="14"/>
  <c r="O549" i="14" s="1"/>
  <c r="R549" i="14" s="1"/>
  <c r="N553" i="14"/>
  <c r="N557" i="14"/>
  <c r="N561" i="14"/>
  <c r="N565" i="14"/>
  <c r="M569" i="14"/>
  <c r="M573" i="14"/>
  <c r="M577" i="14"/>
  <c r="M581" i="14"/>
  <c r="M585" i="14"/>
  <c r="M589" i="14"/>
  <c r="M588" i="14" s="1"/>
  <c r="M37" i="15"/>
  <c r="M41" i="15"/>
  <c r="M45" i="15"/>
  <c r="M49" i="15"/>
  <c r="N55" i="15"/>
  <c r="N53" i="15" s="1"/>
  <c r="N52" i="15" s="1"/>
  <c r="M59" i="15"/>
  <c r="M67" i="15"/>
  <c r="N84" i="15"/>
  <c r="N88" i="15"/>
  <c r="N92" i="15"/>
  <c r="G105" i="15"/>
  <c r="N105" i="15" s="1"/>
  <c r="G115" i="15"/>
  <c r="N115" i="15" s="1"/>
  <c r="M118" i="15"/>
  <c r="M107" i="15" s="1"/>
  <c r="M125" i="15"/>
  <c r="M132" i="15"/>
  <c r="M131" i="15" s="1"/>
  <c r="M137" i="15"/>
  <c r="M146" i="15"/>
  <c r="N151" i="15"/>
  <c r="N159" i="15"/>
  <c r="N163" i="15"/>
  <c r="O163" i="15" s="1"/>
  <c r="R163" i="15" s="1"/>
  <c r="N167" i="15"/>
  <c r="N171" i="15"/>
  <c r="N223" i="15"/>
  <c r="N227" i="15"/>
  <c r="Q236" i="15"/>
  <c r="R236" i="15" s="1"/>
  <c r="O238" i="15"/>
  <c r="N244" i="15"/>
  <c r="N259" i="15"/>
  <c r="N263" i="15"/>
  <c r="N267" i="15"/>
  <c r="N271" i="15"/>
  <c r="N275" i="15"/>
  <c r="N279" i="15"/>
  <c r="N283" i="15"/>
  <c r="Q303" i="15"/>
  <c r="O322" i="15"/>
  <c r="N351" i="15"/>
  <c r="O351" i="15" s="1"/>
  <c r="O351" i="16" s="1"/>
  <c r="P354" i="20" s="1"/>
  <c r="T354" i="20" s="1"/>
  <c r="R360" i="15"/>
  <c r="N367" i="15"/>
  <c r="N383" i="15"/>
  <c r="Q400" i="15"/>
  <c r="N400" i="15"/>
  <c r="O400" i="15" s="1"/>
  <c r="M400" i="15"/>
  <c r="Q242" i="16"/>
  <c r="N242" i="16"/>
  <c r="M242" i="16"/>
  <c r="Q349" i="16"/>
  <c r="N349" i="16"/>
  <c r="M349" i="16"/>
  <c r="N569" i="14"/>
  <c r="N566" i="14" s="1"/>
  <c r="N573" i="14"/>
  <c r="N577" i="14"/>
  <c r="N581" i="14"/>
  <c r="O581" i="14" s="1"/>
  <c r="R581" i="14" s="1"/>
  <c r="N585" i="14"/>
  <c r="N589" i="14"/>
  <c r="N37" i="15"/>
  <c r="O37" i="15" s="1"/>
  <c r="R37" i="15" s="1"/>
  <c r="N41" i="15"/>
  <c r="N45" i="15"/>
  <c r="N49" i="15"/>
  <c r="N59" i="15"/>
  <c r="N67" i="15"/>
  <c r="N118" i="15"/>
  <c r="N125" i="15"/>
  <c r="N132" i="15"/>
  <c r="N137" i="15"/>
  <c r="N146" i="15"/>
  <c r="P226" i="15"/>
  <c r="Q251" i="15"/>
  <c r="M296" i="15"/>
  <c r="Q478" i="15"/>
  <c r="N478" i="15"/>
  <c r="M478" i="15"/>
  <c r="Q552" i="15"/>
  <c r="M589" i="15"/>
  <c r="M588" i="15" s="1"/>
  <c r="Q589" i="15"/>
  <c r="O142" i="16"/>
  <c r="M528" i="14"/>
  <c r="M532" i="14"/>
  <c r="M536" i="14"/>
  <c r="M540" i="14"/>
  <c r="M544" i="14"/>
  <c r="M548" i="14"/>
  <c r="M556" i="14"/>
  <c r="M554" i="14" s="1"/>
  <c r="M560" i="14"/>
  <c r="M564" i="14"/>
  <c r="M31" i="15"/>
  <c r="P51" i="15"/>
  <c r="P43" i="15" s="1"/>
  <c r="M54" i="15"/>
  <c r="M83" i="15"/>
  <c r="M79" i="15" s="1"/>
  <c r="M87" i="15"/>
  <c r="M91" i="15"/>
  <c r="M150" i="15"/>
  <c r="M154" i="15"/>
  <c r="M158" i="15"/>
  <c r="M156" i="15" s="1"/>
  <c r="M162" i="15"/>
  <c r="M166" i="15"/>
  <c r="M174" i="15"/>
  <c r="Q223" i="15"/>
  <c r="Q227" i="15"/>
  <c r="N231" i="15"/>
  <c r="P240" i="15"/>
  <c r="N248" i="15"/>
  <c r="Q259" i="15"/>
  <c r="Q263" i="15"/>
  <c r="Q267" i="15"/>
  <c r="Q271" i="15"/>
  <c r="Q275" i="15"/>
  <c r="Q279" i="15"/>
  <c r="Q283" i="15"/>
  <c r="N296" i="15"/>
  <c r="N329" i="15"/>
  <c r="Q351" i="15"/>
  <c r="R351" i="15" s="1"/>
  <c r="Q367" i="15"/>
  <c r="Q383" i="15"/>
  <c r="O420" i="15"/>
  <c r="N589" i="15"/>
  <c r="M568" i="14"/>
  <c r="M566" i="14" s="1"/>
  <c r="M572" i="14"/>
  <c r="M576" i="14"/>
  <c r="M580" i="14"/>
  <c r="M584" i="14"/>
  <c r="P597" i="15"/>
  <c r="M36" i="15"/>
  <c r="M35" i="15" s="1"/>
  <c r="M40" i="15"/>
  <c r="M44" i="15"/>
  <c r="M48" i="15"/>
  <c r="M58" i="15"/>
  <c r="M66" i="15"/>
  <c r="M136" i="15"/>
  <c r="M145" i="15"/>
  <c r="M140" i="15" s="1"/>
  <c r="M216" i="15"/>
  <c r="M215" i="15" s="1"/>
  <c r="Q244" i="15"/>
  <c r="Q299" i="15"/>
  <c r="Q315" i="15"/>
  <c r="N317" i="15"/>
  <c r="Q327" i="15"/>
  <c r="P329" i="15"/>
  <c r="P328" i="15" s="1"/>
  <c r="N335" i="15"/>
  <c r="N347" i="15"/>
  <c r="R356" i="15"/>
  <c r="N363" i="15"/>
  <c r="N337" i="15" s="1"/>
  <c r="R372" i="15"/>
  <c r="N379" i="15"/>
  <c r="N401" i="15"/>
  <c r="M401" i="15"/>
  <c r="Q401" i="15"/>
  <c r="N409" i="15"/>
  <c r="N406" i="15" s="1"/>
  <c r="Q409" i="15"/>
  <c r="M409" i="15"/>
  <c r="N511" i="15"/>
  <c r="Q511" i="15"/>
  <c r="P566" i="15"/>
  <c r="Q231" i="15"/>
  <c r="N256" i="15"/>
  <c r="M256" i="15"/>
  <c r="N260" i="15"/>
  <c r="M260" i="15"/>
  <c r="N264" i="15"/>
  <c r="M264" i="15"/>
  <c r="N268" i="15"/>
  <c r="M268" i="15"/>
  <c r="N272" i="15"/>
  <c r="M272" i="15"/>
  <c r="N276" i="15"/>
  <c r="M276" i="15"/>
  <c r="N280" i="15"/>
  <c r="M280" i="15"/>
  <c r="N284" i="15"/>
  <c r="M284" i="15"/>
  <c r="R304" i="15"/>
  <c r="P317" i="15"/>
  <c r="R420" i="15"/>
  <c r="N559" i="15"/>
  <c r="O559" i="15" s="1"/>
  <c r="O559" i="16" s="1"/>
  <c r="R559" i="16" s="1"/>
  <c r="Q559" i="15"/>
  <c r="R559" i="15" s="1"/>
  <c r="Q317" i="15"/>
  <c r="O354" i="15"/>
  <c r="R354" i="15" s="1"/>
  <c r="M404" i="15"/>
  <c r="Q404" i="15"/>
  <c r="M407" i="15"/>
  <c r="Q407" i="15"/>
  <c r="Q550" i="15"/>
  <c r="N550" i="15"/>
  <c r="M550" i="15"/>
  <c r="Q414" i="15"/>
  <c r="M414" i="15"/>
  <c r="M447" i="15"/>
  <c r="Q447" i="15"/>
  <c r="Q470" i="15"/>
  <c r="N470" i="15"/>
  <c r="N495" i="15"/>
  <c r="Q495" i="15"/>
  <c r="N503" i="15"/>
  <c r="Q503" i="15"/>
  <c r="Q542" i="15"/>
  <c r="N542" i="15"/>
  <c r="Q562" i="15"/>
  <c r="N562" i="15"/>
  <c r="N166" i="16"/>
  <c r="M166" i="16"/>
  <c r="M165" i="16" s="1"/>
  <c r="M340" i="16"/>
  <c r="Q340" i="16"/>
  <c r="Q412" i="15"/>
  <c r="R412" i="15" s="1"/>
  <c r="N414" i="15"/>
  <c r="Q417" i="15"/>
  <c r="Q431" i="15"/>
  <c r="Q442" i="15"/>
  <c r="N442" i="15"/>
  <c r="M442" i="15"/>
  <c r="N447" i="15"/>
  <c r="Q462" i="15"/>
  <c r="N462" i="15"/>
  <c r="M462" i="15"/>
  <c r="M470" i="15"/>
  <c r="M495" i="15"/>
  <c r="M503" i="15"/>
  <c r="Q514" i="15"/>
  <c r="N514" i="15"/>
  <c r="N523" i="15"/>
  <c r="Q523" i="15"/>
  <c r="Q534" i="15"/>
  <c r="N534" i="15"/>
  <c r="M542" i="15"/>
  <c r="M562" i="15"/>
  <c r="N92" i="16"/>
  <c r="M92" i="16"/>
  <c r="Q92" i="16"/>
  <c r="M123" i="16"/>
  <c r="N340" i="16"/>
  <c r="Q426" i="15"/>
  <c r="M426" i="15"/>
  <c r="M455" i="15"/>
  <c r="Q455" i="15"/>
  <c r="N479" i="15"/>
  <c r="Q479" i="15"/>
  <c r="N551" i="15"/>
  <c r="Q551" i="15"/>
  <c r="Q570" i="15"/>
  <c r="N570" i="15"/>
  <c r="M570" i="15"/>
  <c r="M42" i="16"/>
  <c r="Q42" i="16"/>
  <c r="M46" i="16"/>
  <c r="Q46" i="16"/>
  <c r="N51" i="16"/>
  <c r="M51" i="16"/>
  <c r="M79" i="16"/>
  <c r="Q95" i="16"/>
  <c r="N220" i="16"/>
  <c r="O220" i="16" s="1"/>
  <c r="P223" i="20" s="1"/>
  <c r="M220" i="16"/>
  <c r="M215" i="16" s="1"/>
  <c r="N471" i="15"/>
  <c r="Q471" i="15"/>
  <c r="Q490" i="15"/>
  <c r="N490" i="15"/>
  <c r="Q498" i="15"/>
  <c r="N498" i="15"/>
  <c r="Q506" i="15"/>
  <c r="N506" i="15"/>
  <c r="Q526" i="15"/>
  <c r="N526" i="15"/>
  <c r="N543" i="15"/>
  <c r="Q543" i="15"/>
  <c r="N563" i="15"/>
  <c r="O563" i="15" s="1"/>
  <c r="Q563" i="15"/>
  <c r="P94" i="16"/>
  <c r="P221" i="16"/>
  <c r="Q221" i="16"/>
  <c r="R221" i="16" s="1"/>
  <c r="J221" i="16"/>
  <c r="N267" i="16"/>
  <c r="Q267" i="16"/>
  <c r="M267" i="16"/>
  <c r="M288" i="15"/>
  <c r="M292" i="15"/>
  <c r="M291" i="15" s="1"/>
  <c r="M300" i="15"/>
  <c r="M304" i="15"/>
  <c r="M308" i="15"/>
  <c r="M312" i="15"/>
  <c r="M316" i="15"/>
  <c r="M315" i="15" s="1"/>
  <c r="M320" i="15"/>
  <c r="M324" i="15"/>
  <c r="M317" i="15" s="1"/>
  <c r="M332" i="15"/>
  <c r="M329" i="15" s="1"/>
  <c r="M336" i="15"/>
  <c r="M340" i="15"/>
  <c r="M344" i="15"/>
  <c r="M348" i="15"/>
  <c r="M352" i="15"/>
  <c r="M356" i="15"/>
  <c r="M360" i="15"/>
  <c r="M364" i="15"/>
  <c r="M368" i="15"/>
  <c r="M372" i="15"/>
  <c r="M376" i="15"/>
  <c r="M380" i="15"/>
  <c r="M384" i="15"/>
  <c r="M388" i="15"/>
  <c r="M392" i="15"/>
  <c r="N396" i="15"/>
  <c r="M399" i="15"/>
  <c r="Q430" i="15"/>
  <c r="M430" i="15"/>
  <c r="M443" i="15"/>
  <c r="Q443" i="15"/>
  <c r="Q450" i="15"/>
  <c r="N450" i="15"/>
  <c r="M450" i="15"/>
  <c r="M463" i="15"/>
  <c r="Q463" i="15"/>
  <c r="M471" i="15"/>
  <c r="M490" i="15"/>
  <c r="M498" i="15"/>
  <c r="M506" i="15"/>
  <c r="N515" i="15"/>
  <c r="Q515" i="15"/>
  <c r="M526" i="15"/>
  <c r="N535" i="15"/>
  <c r="Q535" i="15"/>
  <c r="M543" i="15"/>
  <c r="M563" i="15"/>
  <c r="Q51" i="16"/>
  <c r="M128" i="16"/>
  <c r="G128" i="16"/>
  <c r="N128" i="16" s="1"/>
  <c r="Q137" i="16"/>
  <c r="N137" i="16"/>
  <c r="M137" i="16"/>
  <c r="P175" i="16"/>
  <c r="Q418" i="15"/>
  <c r="M418" i="15"/>
  <c r="Q434" i="15"/>
  <c r="M434" i="15"/>
  <c r="Q438" i="15"/>
  <c r="N438" i="15"/>
  <c r="M438" i="15"/>
  <c r="N555" i="15"/>
  <c r="Q555" i="15"/>
  <c r="M571" i="15"/>
  <c r="Q571" i="15"/>
  <c r="P597" i="16"/>
  <c r="Q30" i="16"/>
  <c r="O37" i="16"/>
  <c r="P68" i="16"/>
  <c r="P63" i="16" s="1"/>
  <c r="Q68" i="16"/>
  <c r="M177" i="16"/>
  <c r="M175" i="16" s="1"/>
  <c r="G177" i="16"/>
  <c r="N177" i="16" s="1"/>
  <c r="Q458" i="15"/>
  <c r="N458" i="15"/>
  <c r="M458" i="15"/>
  <c r="Q466" i="15"/>
  <c r="N466" i="15"/>
  <c r="N483" i="15"/>
  <c r="Q483" i="15"/>
  <c r="N491" i="15"/>
  <c r="Q491" i="15"/>
  <c r="N499" i="15"/>
  <c r="O499" i="15" s="1"/>
  <c r="Q499" i="15"/>
  <c r="Q518" i="15"/>
  <c r="N518" i="15"/>
  <c r="Q520" i="15"/>
  <c r="N527" i="15"/>
  <c r="O527" i="15" s="1"/>
  <c r="Q527" i="15"/>
  <c r="R527" i="15" s="1"/>
  <c r="Q546" i="15"/>
  <c r="N546" i="15"/>
  <c r="Q77" i="16"/>
  <c r="N77" i="16"/>
  <c r="M77" i="16"/>
  <c r="Q107" i="16"/>
  <c r="N154" i="16"/>
  <c r="O154" i="16" s="1"/>
  <c r="P157" i="20" s="1"/>
  <c r="M154" i="16"/>
  <c r="Q154" i="16"/>
  <c r="P165" i="16"/>
  <c r="Q258" i="16"/>
  <c r="N258" i="16"/>
  <c r="M258" i="16"/>
  <c r="Q410" i="15"/>
  <c r="M410" i="15"/>
  <c r="M451" i="15"/>
  <c r="Q451" i="15"/>
  <c r="M466" i="15"/>
  <c r="M483" i="15"/>
  <c r="M491" i="15"/>
  <c r="M499" i="15"/>
  <c r="Q510" i="15"/>
  <c r="N510" i="15"/>
  <c r="M518" i="15"/>
  <c r="M527" i="15"/>
  <c r="Q538" i="15"/>
  <c r="N538" i="15"/>
  <c r="M546" i="15"/>
  <c r="Q558" i="15"/>
  <c r="N558" i="15"/>
  <c r="N567" i="15"/>
  <c r="Q567" i="15"/>
  <c r="G111" i="16"/>
  <c r="N111" i="16" s="1"/>
  <c r="M111" i="16"/>
  <c r="N574" i="16"/>
  <c r="O574" i="16" s="1"/>
  <c r="P581" i="20" s="1"/>
  <c r="M574" i="16"/>
  <c r="Q574" i="16"/>
  <c r="M439" i="15"/>
  <c r="Q439" i="15"/>
  <c r="N475" i="15"/>
  <c r="Q475" i="15"/>
  <c r="Q530" i="15"/>
  <c r="N530" i="15"/>
  <c r="P554" i="15"/>
  <c r="P507" i="15" s="1"/>
  <c r="Q40" i="16"/>
  <c r="N40" i="16"/>
  <c r="M82" i="16"/>
  <c r="Q82" i="16"/>
  <c r="N251" i="16"/>
  <c r="Q251" i="16"/>
  <c r="M251" i="16"/>
  <c r="N439" i="15"/>
  <c r="Q446" i="15"/>
  <c r="N446" i="15"/>
  <c r="M446" i="15"/>
  <c r="M459" i="15"/>
  <c r="Q459" i="15"/>
  <c r="N467" i="15"/>
  <c r="Q467" i="15"/>
  <c r="M475" i="15"/>
  <c r="P481" i="15"/>
  <c r="Q486" i="15"/>
  <c r="N486" i="15"/>
  <c r="Q494" i="15"/>
  <c r="N494" i="15"/>
  <c r="Q502" i="15"/>
  <c r="N502" i="15"/>
  <c r="N519" i="15"/>
  <c r="Q519" i="15"/>
  <c r="M530" i="15"/>
  <c r="N547" i="15"/>
  <c r="Q547" i="15"/>
  <c r="O578" i="15"/>
  <c r="R578" i="15" s="1"/>
  <c r="Q581" i="15"/>
  <c r="R581" i="15" s="1"/>
  <c r="N581" i="15"/>
  <c r="O581" i="15" s="1"/>
  <c r="O581" i="16" s="1"/>
  <c r="P588" i="20" s="1"/>
  <c r="M581" i="15"/>
  <c r="M40" i="16"/>
  <c r="M35" i="16" s="1"/>
  <c r="Q44" i="16"/>
  <c r="M44" i="16"/>
  <c r="N44" i="16"/>
  <c r="N82" i="16"/>
  <c r="M98" i="16"/>
  <c r="M95" i="16" s="1"/>
  <c r="G98" i="16"/>
  <c r="N98" i="16" s="1"/>
  <c r="G109" i="16"/>
  <c r="N109" i="16" s="1"/>
  <c r="P120" i="16"/>
  <c r="Q170" i="16"/>
  <c r="Q65" i="16"/>
  <c r="M115" i="16"/>
  <c r="Q147" i="16"/>
  <c r="J150" i="16"/>
  <c r="N162" i="16"/>
  <c r="M162" i="16"/>
  <c r="Q175" i="16"/>
  <c r="Q200" i="16"/>
  <c r="N200" i="16"/>
  <c r="O228" i="16"/>
  <c r="P231" i="20" s="1"/>
  <c r="T231" i="20" s="1"/>
  <c r="P240" i="16"/>
  <c r="P225" i="16" s="1"/>
  <c r="Q298" i="16"/>
  <c r="N298" i="16"/>
  <c r="M298" i="16"/>
  <c r="I665" i="15"/>
  <c r="Q48" i="16"/>
  <c r="M48" i="16"/>
  <c r="N66" i="16"/>
  <c r="Q66" i="16"/>
  <c r="M78" i="16"/>
  <c r="Q78" i="16"/>
  <c r="P79" i="16"/>
  <c r="G101" i="16"/>
  <c r="N101" i="16" s="1"/>
  <c r="M101" i="16"/>
  <c r="N150" i="16"/>
  <c r="O150" i="16" s="1"/>
  <c r="P153" i="20" s="1"/>
  <c r="M150" i="16"/>
  <c r="M148" i="16" s="1"/>
  <c r="P156" i="16"/>
  <c r="P155" i="16" s="1"/>
  <c r="Q210" i="16"/>
  <c r="M210" i="16"/>
  <c r="N210" i="16"/>
  <c r="Q308" i="16"/>
  <c r="N308" i="16"/>
  <c r="M308" i="16"/>
  <c r="M469" i="15"/>
  <c r="M473" i="15"/>
  <c r="M477" i="15"/>
  <c r="M485" i="15"/>
  <c r="M489" i="15"/>
  <c r="M487" i="15" s="1"/>
  <c r="M493" i="15"/>
  <c r="M497" i="15"/>
  <c r="M501" i="15"/>
  <c r="M505" i="15"/>
  <c r="M509" i="15"/>
  <c r="M513" i="15"/>
  <c r="M517" i="15"/>
  <c r="M521" i="15"/>
  <c r="M525" i="15"/>
  <c r="M529" i="15"/>
  <c r="M533" i="15"/>
  <c r="M537" i="15"/>
  <c r="M541" i="15"/>
  <c r="M545" i="15"/>
  <c r="M549" i="15"/>
  <c r="M553" i="15"/>
  <c r="M552" i="15" s="1"/>
  <c r="M557" i="15"/>
  <c r="M561" i="15"/>
  <c r="M565" i="15"/>
  <c r="M577" i="15"/>
  <c r="M584" i="15"/>
  <c r="M31" i="16"/>
  <c r="N48" i="16"/>
  <c r="O61" i="16"/>
  <c r="M66" i="16"/>
  <c r="N78" i="16"/>
  <c r="N88" i="16"/>
  <c r="M88" i="16"/>
  <c r="N103" i="16"/>
  <c r="G122" i="16"/>
  <c r="N122" i="16" s="1"/>
  <c r="M122" i="16"/>
  <c r="M134" i="16"/>
  <c r="G134" i="16"/>
  <c r="N134" i="16" s="1"/>
  <c r="O134" i="16" s="1"/>
  <c r="R134" i="16" s="1"/>
  <c r="N218" i="16"/>
  <c r="M218" i="16"/>
  <c r="Q312" i="16"/>
  <c r="N312" i="16"/>
  <c r="Q315" i="16"/>
  <c r="N469" i="15"/>
  <c r="O469" i="15" s="1"/>
  <c r="R469" i="15" s="1"/>
  <c r="N473" i="15"/>
  <c r="N477" i="15"/>
  <c r="N485" i="15"/>
  <c r="O485" i="15" s="1"/>
  <c r="R485" i="15" s="1"/>
  <c r="N489" i="15"/>
  <c r="O489" i="15" s="1"/>
  <c r="R489" i="15" s="1"/>
  <c r="N493" i="15"/>
  <c r="N497" i="15"/>
  <c r="N501" i="15"/>
  <c r="N505" i="15"/>
  <c r="N509" i="15"/>
  <c r="N513" i="15"/>
  <c r="N517" i="15"/>
  <c r="O517" i="15" s="1"/>
  <c r="R517" i="15" s="1"/>
  <c r="N521" i="15"/>
  <c r="N525" i="15"/>
  <c r="N529" i="15"/>
  <c r="O529" i="15" s="1"/>
  <c r="R529" i="15" s="1"/>
  <c r="N533" i="15"/>
  <c r="N541" i="15"/>
  <c r="N549" i="15"/>
  <c r="O549" i="15" s="1"/>
  <c r="R549" i="15" s="1"/>
  <c r="N553" i="15"/>
  <c r="N557" i="15"/>
  <c r="N561" i="15"/>
  <c r="N565" i="15"/>
  <c r="N577" i="15"/>
  <c r="N584" i="15"/>
  <c r="N31" i="16"/>
  <c r="Q73" i="16"/>
  <c r="N73" i="16"/>
  <c r="M73" i="16"/>
  <c r="M124" i="16"/>
  <c r="Q124" i="16"/>
  <c r="Q120" i="16" s="1"/>
  <c r="T120" i="16" s="1"/>
  <c r="O129" i="16"/>
  <c r="R129" i="16" s="1"/>
  <c r="E143" i="16"/>
  <c r="Q141" i="16"/>
  <c r="P141" i="16"/>
  <c r="J141" i="16"/>
  <c r="R142" i="16"/>
  <c r="Q150" i="16"/>
  <c r="N158" i="16"/>
  <c r="M158" i="16"/>
  <c r="M156" i="16" s="1"/>
  <c r="M155" i="16" s="1"/>
  <c r="O221" i="16"/>
  <c r="P255" i="16"/>
  <c r="Q274" i="16"/>
  <c r="N274" i="16"/>
  <c r="O274" i="16" s="1"/>
  <c r="P277" i="20" s="1"/>
  <c r="P277" i="23" s="1"/>
  <c r="M274" i="16"/>
  <c r="M302" i="16"/>
  <c r="Q302" i="16"/>
  <c r="N302" i="16"/>
  <c r="R304" i="16"/>
  <c r="N465" i="15"/>
  <c r="M580" i="15"/>
  <c r="N34" i="16"/>
  <c r="R37" i="16"/>
  <c r="N55" i="16"/>
  <c r="M55" i="16"/>
  <c r="N124" i="16"/>
  <c r="M138" i="16"/>
  <c r="N235" i="16"/>
  <c r="Q235" i="16"/>
  <c r="M235" i="16"/>
  <c r="M516" i="15"/>
  <c r="M524" i="15"/>
  <c r="M528" i="15"/>
  <c r="M532" i="15"/>
  <c r="M536" i="15"/>
  <c r="M540" i="15"/>
  <c r="M544" i="15"/>
  <c r="M548" i="15"/>
  <c r="M556" i="15"/>
  <c r="M560" i="15"/>
  <c r="M564" i="15"/>
  <c r="N41" i="16"/>
  <c r="N45" i="16"/>
  <c r="Q61" i="16"/>
  <c r="R61" i="16" s="1"/>
  <c r="M74" i="16"/>
  <c r="Q74" i="16"/>
  <c r="Q81" i="16"/>
  <c r="N81" i="16"/>
  <c r="M81" i="16"/>
  <c r="N84" i="16"/>
  <c r="M84" i="16"/>
  <c r="O143" i="16"/>
  <c r="Q158" i="16"/>
  <c r="Q188" i="16"/>
  <c r="N188" i="16"/>
  <c r="N287" i="16"/>
  <c r="Q287" i="16"/>
  <c r="M287" i="16"/>
  <c r="O324" i="16"/>
  <c r="P337" i="16"/>
  <c r="Q377" i="16"/>
  <c r="M377" i="16"/>
  <c r="N377" i="16"/>
  <c r="Q55" i="16"/>
  <c r="Q69" i="16"/>
  <c r="N69" i="16"/>
  <c r="M69" i="16"/>
  <c r="M108" i="16"/>
  <c r="G108" i="16"/>
  <c r="N108" i="16" s="1"/>
  <c r="M112" i="16"/>
  <c r="M170" i="16"/>
  <c r="N175" i="16"/>
  <c r="Q364" i="16"/>
  <c r="M364" i="16"/>
  <c r="N364" i="16"/>
  <c r="R415" i="16"/>
  <c r="P35" i="16"/>
  <c r="P27" i="16" s="1"/>
  <c r="O65" i="16"/>
  <c r="M70" i="16"/>
  <c r="Q70" i="16"/>
  <c r="N102" i="16"/>
  <c r="P131" i="16"/>
  <c r="R201" i="16"/>
  <c r="R219" i="16"/>
  <c r="Q306" i="16"/>
  <c r="N306" i="16"/>
  <c r="M306" i="16"/>
  <c r="R351" i="16"/>
  <c r="O405" i="16"/>
  <c r="Q58" i="16"/>
  <c r="Q132" i="16"/>
  <c r="Q144" i="16"/>
  <c r="Q228" i="16"/>
  <c r="R228" i="16" s="1"/>
  <c r="M228" i="16"/>
  <c r="Q231" i="16"/>
  <c r="Q238" i="16"/>
  <c r="Q247" i="16"/>
  <c r="Q254" i="16"/>
  <c r="Q263" i="16"/>
  <c r="Q270" i="16"/>
  <c r="O304" i="16"/>
  <c r="P307" i="20" s="1"/>
  <c r="T307" i="20" s="1"/>
  <c r="Q320" i="16"/>
  <c r="Q322" i="16"/>
  <c r="M357" i="16"/>
  <c r="Q357" i="16"/>
  <c r="N357" i="16"/>
  <c r="N362" i="16"/>
  <c r="M362" i="16"/>
  <c r="Q372" i="16"/>
  <c r="M372" i="16"/>
  <c r="Q388" i="16"/>
  <c r="N388" i="16"/>
  <c r="M388" i="16"/>
  <c r="R391" i="16"/>
  <c r="O422" i="16"/>
  <c r="N513" i="16"/>
  <c r="M513" i="16"/>
  <c r="Q513" i="16"/>
  <c r="M524" i="16"/>
  <c r="Q524" i="16"/>
  <c r="K643" i="19"/>
  <c r="K641" i="19"/>
  <c r="N170" i="16"/>
  <c r="Q202" i="16"/>
  <c r="M202" i="16"/>
  <c r="O372" i="16"/>
  <c r="P375" i="20" s="1"/>
  <c r="T375" i="20" s="1"/>
  <c r="M468" i="16"/>
  <c r="Q468" i="16"/>
  <c r="M60" i="16"/>
  <c r="M64" i="16"/>
  <c r="G96" i="16"/>
  <c r="N96" i="16" s="1"/>
  <c r="G118" i="16"/>
  <c r="N118" i="16" s="1"/>
  <c r="M121" i="16"/>
  <c r="M146" i="16"/>
  <c r="N151" i="16"/>
  <c r="N159" i="16"/>
  <c r="N163" i="16"/>
  <c r="O163" i="16" s="1"/>
  <c r="R163" i="16" s="1"/>
  <c r="M181" i="16"/>
  <c r="N190" i="16"/>
  <c r="M193" i="16"/>
  <c r="N202" i="16"/>
  <c r="M223" i="16"/>
  <c r="M278" i="16"/>
  <c r="M336" i="16"/>
  <c r="Q352" i="16"/>
  <c r="N352" i="16"/>
  <c r="M352" i="16"/>
  <c r="M337" i="16" s="1"/>
  <c r="Q362" i="16"/>
  <c r="N468" i="16"/>
  <c r="O269" i="16"/>
  <c r="O278" i="16"/>
  <c r="M309" i="16"/>
  <c r="Q309" i="16"/>
  <c r="Q325" i="16"/>
  <c r="N325" i="16"/>
  <c r="M325" i="16"/>
  <c r="M406" i="16"/>
  <c r="Q462" i="16"/>
  <c r="N462" i="16"/>
  <c r="M462" i="16"/>
  <c r="K319" i="19"/>
  <c r="K318" i="19"/>
  <c r="Q214" i="16"/>
  <c r="M214" i="16"/>
  <c r="O262" i="16"/>
  <c r="P265" i="20" s="1"/>
  <c r="P265" i="23" s="1"/>
  <c r="M282" i="16"/>
  <c r="M295" i="16"/>
  <c r="N309" i="16"/>
  <c r="M313" i="16"/>
  <c r="R420" i="16"/>
  <c r="N482" i="16"/>
  <c r="R581" i="16"/>
  <c r="G115" i="16"/>
  <c r="N115" i="16" s="1"/>
  <c r="M127" i="16"/>
  <c r="M133" i="16"/>
  <c r="M145" i="16"/>
  <c r="M140" i="16" s="1"/>
  <c r="Q190" i="16"/>
  <c r="M204" i="16"/>
  <c r="M209" i="16"/>
  <c r="N214" i="16"/>
  <c r="N205" i="16" s="1"/>
  <c r="Q223" i="16"/>
  <c r="N282" i="16"/>
  <c r="O282" i="16" s="1"/>
  <c r="P285" i="20" s="1"/>
  <c r="P285" i="23" s="1"/>
  <c r="N313" i="16"/>
  <c r="N330" i="16"/>
  <c r="Q332" i="16"/>
  <c r="N332" i="16"/>
  <c r="M332" i="16"/>
  <c r="M329" i="16" s="1"/>
  <c r="Q381" i="16"/>
  <c r="M381" i="16"/>
  <c r="Q390" i="16"/>
  <c r="N390" i="16"/>
  <c r="Q414" i="16"/>
  <c r="N414" i="16"/>
  <c r="M414" i="16"/>
  <c r="M500" i="16"/>
  <c r="Q500" i="16"/>
  <c r="N500" i="16"/>
  <c r="M542" i="16"/>
  <c r="Q542" i="16"/>
  <c r="N542" i="16"/>
  <c r="K653" i="18"/>
  <c r="K651" i="18"/>
  <c r="N59" i="16"/>
  <c r="N67" i="16"/>
  <c r="N133" i="16"/>
  <c r="N145" i="16"/>
  <c r="Q206" i="16"/>
  <c r="M206" i="16"/>
  <c r="M205" i="16" s="1"/>
  <c r="R262" i="16"/>
  <c r="Q301" i="16"/>
  <c r="N301" i="16"/>
  <c r="M301" i="16"/>
  <c r="M296" i="16" s="1"/>
  <c r="P329" i="16"/>
  <c r="P406" i="16"/>
  <c r="M504" i="16"/>
  <c r="Q504" i="16"/>
  <c r="K40" i="18"/>
  <c r="K39" i="18"/>
  <c r="F33" i="14" s="1"/>
  <c r="O266" i="16"/>
  <c r="P269" i="20" s="1"/>
  <c r="Q295" i="16"/>
  <c r="Q318" i="16"/>
  <c r="N318" i="16"/>
  <c r="M318" i="16"/>
  <c r="M326" i="16"/>
  <c r="Q326" i="16"/>
  <c r="Q418" i="16"/>
  <c r="N418" i="16"/>
  <c r="K278" i="17"/>
  <c r="K277" i="17"/>
  <c r="K181" i="18"/>
  <c r="K180" i="18"/>
  <c r="Q224" i="16"/>
  <c r="M224" i="16"/>
  <c r="N291" i="16"/>
  <c r="M333" i="16"/>
  <c r="Q333" i="16"/>
  <c r="Q342" i="16"/>
  <c r="N342" i="16"/>
  <c r="M342" i="16"/>
  <c r="Q356" i="16"/>
  <c r="R356" i="16" s="1"/>
  <c r="M356" i="16"/>
  <c r="K456" i="17"/>
  <c r="K455" i="17"/>
  <c r="N168" i="16"/>
  <c r="P179" i="16"/>
  <c r="P178" i="16" s="1"/>
  <c r="Q186" i="16"/>
  <c r="Q198" i="16"/>
  <c r="N224" i="16"/>
  <c r="Q227" i="16"/>
  <c r="M231" i="16"/>
  <c r="Q243" i="16"/>
  <c r="Q240" i="16" s="1"/>
  <c r="O245" i="16"/>
  <c r="R245" i="16" s="1"/>
  <c r="M247" i="16"/>
  <c r="Q259" i="16"/>
  <c r="M263" i="16"/>
  <c r="Q275" i="16"/>
  <c r="N316" i="16"/>
  <c r="N333" i="16"/>
  <c r="O354" i="16"/>
  <c r="N356" i="16"/>
  <c r="O356" i="16" s="1"/>
  <c r="P359" i="20" s="1"/>
  <c r="N533" i="16"/>
  <c r="M533" i="16"/>
  <c r="Q533" i="16"/>
  <c r="P481" i="16"/>
  <c r="N509" i="16"/>
  <c r="M509" i="16"/>
  <c r="K290" i="17"/>
  <c r="K289" i="17"/>
  <c r="K50" i="18"/>
  <c r="K49" i="18"/>
  <c r="P248" i="20"/>
  <c r="Q361" i="16"/>
  <c r="Q369" i="16"/>
  <c r="M394" i="16"/>
  <c r="M398" i="16"/>
  <c r="M410" i="16"/>
  <c r="M458" i="16"/>
  <c r="N477" i="16"/>
  <c r="M477" i="16"/>
  <c r="M474" i="16" s="1"/>
  <c r="Q482" i="16"/>
  <c r="N496" i="16"/>
  <c r="N529" i="16"/>
  <c r="M529" i="16"/>
  <c r="M548" i="16"/>
  <c r="Q548" i="16"/>
  <c r="K250" i="19"/>
  <c r="K251" i="19"/>
  <c r="Q376" i="16"/>
  <c r="N376" i="16"/>
  <c r="Q385" i="16"/>
  <c r="M385" i="16"/>
  <c r="N394" i="16"/>
  <c r="N398" i="16"/>
  <c r="N410" i="16"/>
  <c r="N458" i="16"/>
  <c r="P508" i="16"/>
  <c r="M555" i="16"/>
  <c r="Q555" i="16"/>
  <c r="N555" i="16"/>
  <c r="K1232" i="19"/>
  <c r="F128" i="13" s="1"/>
  <c r="S122" i="20"/>
  <c r="N473" i="16"/>
  <c r="M473" i="16"/>
  <c r="Q496" i="16"/>
  <c r="Q509" i="16"/>
  <c r="N525" i="16"/>
  <c r="M525" i="16"/>
  <c r="M543" i="16"/>
  <c r="Q543" i="16"/>
  <c r="N543" i="16"/>
  <c r="O564" i="16"/>
  <c r="P571" i="20" s="1"/>
  <c r="P566" i="16"/>
  <c r="K141" i="17"/>
  <c r="K140" i="17"/>
  <c r="K593" i="17"/>
  <c r="N360" i="16"/>
  <c r="O360" i="16" s="1"/>
  <c r="N365" i="16"/>
  <c r="N368" i="16"/>
  <c r="O368" i="16" s="1"/>
  <c r="M370" i="16"/>
  <c r="N373" i="16"/>
  <c r="M446" i="16"/>
  <c r="N469" i="16"/>
  <c r="O469" i="16" s="1"/>
  <c r="M469" i="16"/>
  <c r="P474" i="16"/>
  <c r="N484" i="16"/>
  <c r="N505" i="16"/>
  <c r="M505" i="16"/>
  <c r="N516" i="16"/>
  <c r="O527" i="16"/>
  <c r="K62" i="17"/>
  <c r="K61" i="17"/>
  <c r="K182" i="17"/>
  <c r="K183" i="17"/>
  <c r="K251" i="17"/>
  <c r="K1201" i="18"/>
  <c r="K1200" i="18"/>
  <c r="K1150" i="19"/>
  <c r="K1149" i="19"/>
  <c r="F123" i="13" s="1"/>
  <c r="M232" i="16"/>
  <c r="M236" i="16"/>
  <c r="M244" i="16"/>
  <c r="M240" i="16" s="1"/>
  <c r="M248" i="16"/>
  <c r="M252" i="16"/>
  <c r="M256" i="16"/>
  <c r="M260" i="16"/>
  <c r="M264" i="16"/>
  <c r="M268" i="16"/>
  <c r="M272" i="16"/>
  <c r="M276" i="16"/>
  <c r="M280" i="16"/>
  <c r="M284" i="16"/>
  <c r="M288" i="16"/>
  <c r="M292" i="16"/>
  <c r="M310" i="16"/>
  <c r="M334" i="16"/>
  <c r="M341" i="16"/>
  <c r="M348" i="16"/>
  <c r="Q380" i="16"/>
  <c r="N380" i="16"/>
  <c r="O380" i="16" s="1"/>
  <c r="P383" i="20" s="1"/>
  <c r="T383" i="20" s="1"/>
  <c r="M382" i="16"/>
  <c r="Q389" i="16"/>
  <c r="M389" i="16"/>
  <c r="O425" i="16"/>
  <c r="P429" i="20" s="1"/>
  <c r="N446" i="16"/>
  <c r="Q474" i="16"/>
  <c r="Q488" i="16"/>
  <c r="N501" i="16"/>
  <c r="M501" i="16"/>
  <c r="N521" i="16"/>
  <c r="M521" i="16"/>
  <c r="N536" i="16"/>
  <c r="Q540" i="16"/>
  <c r="M561" i="16"/>
  <c r="Q561" i="16"/>
  <c r="N561" i="16"/>
  <c r="J659" i="16"/>
  <c r="Q473" i="16"/>
  <c r="Q484" i="16"/>
  <c r="N497" i="16"/>
  <c r="M497" i="16"/>
  <c r="Q516" i="16"/>
  <c r="Q525" i="16"/>
  <c r="Q544" i="16"/>
  <c r="N544" i="16"/>
  <c r="M544" i="16"/>
  <c r="R564" i="16"/>
  <c r="M568" i="16"/>
  <c r="Q568" i="16"/>
  <c r="N568" i="16"/>
  <c r="K72" i="17"/>
  <c r="K71" i="17"/>
  <c r="K321" i="18"/>
  <c r="K320" i="18"/>
  <c r="G846" i="19"/>
  <c r="K845" i="19"/>
  <c r="Q365" i="16"/>
  <c r="Q373" i="16"/>
  <c r="R469" i="16"/>
  <c r="N480" i="16"/>
  <c r="N493" i="16"/>
  <c r="M493" i="16"/>
  <c r="O499" i="16"/>
  <c r="P520" i="16"/>
  <c r="N541" i="16"/>
  <c r="M541" i="16"/>
  <c r="K312" i="17"/>
  <c r="K311" i="17"/>
  <c r="K123" i="19"/>
  <c r="K122" i="19"/>
  <c r="F50" i="13" s="1"/>
  <c r="K148" i="19"/>
  <c r="K147" i="19"/>
  <c r="Q384" i="16"/>
  <c r="N384" i="16"/>
  <c r="Q393" i="16"/>
  <c r="M393" i="16"/>
  <c r="Q397" i="16"/>
  <c r="M397" i="16"/>
  <c r="N489" i="16"/>
  <c r="M489" i="16"/>
  <c r="M487" i="16" s="1"/>
  <c r="N517" i="16"/>
  <c r="O517" i="16" s="1"/>
  <c r="R517" i="16" s="1"/>
  <c r="M517" i="16"/>
  <c r="Q550" i="16"/>
  <c r="N550" i="16"/>
  <c r="M550" i="16"/>
  <c r="M553" i="16"/>
  <c r="M552" i="16" s="1"/>
  <c r="Q553" i="16"/>
  <c r="N553" i="16"/>
  <c r="Q562" i="16"/>
  <c r="M562" i="16"/>
  <c r="M576" i="16"/>
  <c r="Q576" i="16"/>
  <c r="N576" i="16"/>
  <c r="K287" i="18"/>
  <c r="K288" i="18"/>
  <c r="K452" i="19"/>
  <c r="K451" i="19"/>
  <c r="M384" i="16"/>
  <c r="N393" i="16"/>
  <c r="N397" i="16"/>
  <c r="Q401" i="16"/>
  <c r="M401" i="16"/>
  <c r="Q480" i="16"/>
  <c r="N485" i="16"/>
  <c r="O485" i="16" s="1"/>
  <c r="P492" i="20" s="1"/>
  <c r="T492" i="20" s="1"/>
  <c r="M485" i="16"/>
  <c r="M482" i="16" s="1"/>
  <c r="Q497" i="16"/>
  <c r="N528" i="16"/>
  <c r="Q532" i="16"/>
  <c r="N537" i="16"/>
  <c r="M537" i="16"/>
  <c r="N562" i="16"/>
  <c r="K265" i="18"/>
  <c r="K264" i="18"/>
  <c r="O578" i="16"/>
  <c r="P585" i="20" s="1"/>
  <c r="K401" i="17"/>
  <c r="L400" i="17"/>
  <c r="K400" i="17"/>
  <c r="K441" i="17"/>
  <c r="K940" i="17"/>
  <c r="K1292" i="17"/>
  <c r="K1291" i="17"/>
  <c r="K1409" i="17"/>
  <c r="K1413" i="17" s="1"/>
  <c r="K509" i="18"/>
  <c r="K525" i="18"/>
  <c r="K541" i="18"/>
  <c r="K557" i="18"/>
  <c r="K573" i="18"/>
  <c r="K632" i="18"/>
  <c r="K630" i="18"/>
  <c r="K713" i="18"/>
  <c r="K715" i="18"/>
  <c r="K1258" i="18"/>
  <c r="K1260" i="18"/>
  <c r="K297" i="19"/>
  <c r="K296" i="19"/>
  <c r="K381" i="19"/>
  <c r="K430" i="19"/>
  <c r="K429" i="19"/>
  <c r="K846" i="19"/>
  <c r="S29" i="20"/>
  <c r="S28" i="20" s="1"/>
  <c r="N98" i="20"/>
  <c r="H98" i="20"/>
  <c r="O98" i="20" s="1"/>
  <c r="M588" i="16"/>
  <c r="K997" i="17"/>
  <c r="K1001" i="17" s="1"/>
  <c r="K1303" i="17"/>
  <c r="K150" i="18"/>
  <c r="K149" i="18"/>
  <c r="K1390" i="18"/>
  <c r="F130" i="14" s="1"/>
  <c r="K1432" i="18"/>
  <c r="K1436" i="18" s="1"/>
  <c r="K44" i="19"/>
  <c r="K308" i="19"/>
  <c r="K307" i="19"/>
  <c r="K621" i="19"/>
  <c r="K1215" i="19"/>
  <c r="K1214" i="19"/>
  <c r="Q54" i="20"/>
  <c r="Q53" i="20" s="1"/>
  <c r="R97" i="20"/>
  <c r="M405" i="16"/>
  <c r="M409" i="16"/>
  <c r="M413" i="16"/>
  <c r="M417" i="16"/>
  <c r="M421" i="16"/>
  <c r="M425" i="16"/>
  <c r="M429" i="16"/>
  <c r="M433" i="16"/>
  <c r="M437" i="16"/>
  <c r="M441" i="16"/>
  <c r="M445" i="16"/>
  <c r="M449" i="16"/>
  <c r="M453" i="16"/>
  <c r="M457" i="16"/>
  <c r="M461" i="16"/>
  <c r="N547" i="16"/>
  <c r="Q578" i="16"/>
  <c r="R578" i="16" s="1"/>
  <c r="N580" i="16"/>
  <c r="I667" i="16"/>
  <c r="K78" i="17"/>
  <c r="K702" i="17"/>
  <c r="K706" i="17" s="1"/>
  <c r="K747" i="17"/>
  <c r="K751" i="17" s="1"/>
  <c r="K957" i="17"/>
  <c r="K965" i="17" s="1"/>
  <c r="K969" i="17" s="1"/>
  <c r="K982" i="17"/>
  <c r="K986" i="17" s="1"/>
  <c r="K192" i="18"/>
  <c r="K191" i="18"/>
  <c r="K299" i="18"/>
  <c r="K298" i="18"/>
  <c r="K398" i="18"/>
  <c r="K399" i="18"/>
  <c r="K505" i="18"/>
  <c r="K521" i="18"/>
  <c r="K537" i="18"/>
  <c r="K553" i="18"/>
  <c r="K591" i="18" s="1"/>
  <c r="K569" i="18"/>
  <c r="K585" i="18"/>
  <c r="K732" i="18"/>
  <c r="K932" i="18"/>
  <c r="K936" i="18" s="1"/>
  <c r="K1259" i="18"/>
  <c r="F126" i="14" s="1"/>
  <c r="K441" i="19"/>
  <c r="K440" i="19"/>
  <c r="K1096" i="19"/>
  <c r="F121" i="13" s="1"/>
  <c r="O36" i="20"/>
  <c r="P38" i="20"/>
  <c r="T38" i="20" s="1"/>
  <c r="K276" i="18"/>
  <c r="K275" i="18"/>
  <c r="K454" i="18"/>
  <c r="K453" i="18"/>
  <c r="K1295" i="18"/>
  <c r="K34" i="19"/>
  <c r="K589" i="19"/>
  <c r="F96" i="13" s="1"/>
  <c r="K694" i="19"/>
  <c r="K1093" i="19"/>
  <c r="K1097" i="19" s="1"/>
  <c r="K1200" i="19"/>
  <c r="K1199" i="19"/>
  <c r="K1248" i="19"/>
  <c r="S54" i="20"/>
  <c r="S53" i="20" s="1"/>
  <c r="Q580" i="16"/>
  <c r="K323" i="17"/>
  <c r="K322" i="17"/>
  <c r="K1045" i="17"/>
  <c r="K1049" i="17" s="1"/>
  <c r="K1351" i="17"/>
  <c r="K1350" i="17"/>
  <c r="F126" i="15" s="1"/>
  <c r="K1386" i="17"/>
  <c r="K1390" i="17" s="1"/>
  <c r="K19" i="18"/>
  <c r="K124" i="18"/>
  <c r="K432" i="18"/>
  <c r="K431" i="18"/>
  <c r="K497" i="18"/>
  <c r="K496" i="18"/>
  <c r="K18" i="19"/>
  <c r="K58" i="19"/>
  <c r="K57" i="19"/>
  <c r="K137" i="19"/>
  <c r="K136" i="19"/>
  <c r="F51" i="13" s="1"/>
  <c r="K407" i="19"/>
  <c r="K608" i="19"/>
  <c r="K606" i="19"/>
  <c r="K656" i="19"/>
  <c r="K677" i="19"/>
  <c r="K679" i="19"/>
  <c r="K732" i="19"/>
  <c r="K1064" i="19"/>
  <c r="K1068" i="19" s="1"/>
  <c r="K1229" i="19"/>
  <c r="O586" i="16"/>
  <c r="P593" i="20" s="1"/>
  <c r="K335" i="17"/>
  <c r="K334" i="17"/>
  <c r="K1029" i="17"/>
  <c r="K1033" i="17" s="1"/>
  <c r="K70" i="18"/>
  <c r="K69" i="18"/>
  <c r="K249" i="18"/>
  <c r="K383" i="18"/>
  <c r="K501" i="18"/>
  <c r="K517" i="18"/>
  <c r="K533" i="18"/>
  <c r="K549" i="18"/>
  <c r="K565" i="18"/>
  <c r="K581" i="18"/>
  <c r="K669" i="18"/>
  <c r="K1318" i="18"/>
  <c r="K710" i="19"/>
  <c r="K863" i="19"/>
  <c r="K867" i="19" s="1"/>
  <c r="K1181" i="19"/>
  <c r="K1183" i="19"/>
  <c r="R44" i="20"/>
  <c r="N392" i="16"/>
  <c r="N396" i="16"/>
  <c r="N400" i="16"/>
  <c r="O400" i="16" s="1"/>
  <c r="R400" i="16" s="1"/>
  <c r="N404" i="16"/>
  <c r="N408" i="16"/>
  <c r="N412" i="16"/>
  <c r="O412" i="16" s="1"/>
  <c r="N416" i="16"/>
  <c r="O416" i="16" s="1"/>
  <c r="P420" i="20" s="1"/>
  <c r="P420" i="23" s="1"/>
  <c r="N420" i="16"/>
  <c r="O420" i="16" s="1"/>
  <c r="N424" i="16"/>
  <c r="N428" i="16"/>
  <c r="N432" i="16"/>
  <c r="N436" i="16"/>
  <c r="N440" i="16"/>
  <c r="N444" i="16"/>
  <c r="N448" i="16"/>
  <c r="N452" i="16"/>
  <c r="N456" i="16"/>
  <c r="N460" i="16"/>
  <c r="N464" i="16"/>
  <c r="N549" i="16"/>
  <c r="O549" i="16" s="1"/>
  <c r="P554" i="16"/>
  <c r="N563" i="16"/>
  <c r="O563" i="16" s="1"/>
  <c r="M570" i="16"/>
  <c r="M586" i="16"/>
  <c r="K91" i="17"/>
  <c r="K123" i="17"/>
  <c r="K148" i="17"/>
  <c r="K423" i="17"/>
  <c r="K422" i="17"/>
  <c r="K495" i="17"/>
  <c r="K694" i="18"/>
  <c r="F101" i="14" s="1"/>
  <c r="K757" i="18"/>
  <c r="K755" i="18"/>
  <c r="K977" i="18"/>
  <c r="K981" i="18" s="1"/>
  <c r="K68" i="19"/>
  <c r="K67" i="19"/>
  <c r="K286" i="19"/>
  <c r="K285" i="19"/>
  <c r="K823" i="19"/>
  <c r="K827" i="19" s="1"/>
  <c r="P224" i="20"/>
  <c r="P224" i="23" s="1"/>
  <c r="T224" i="23" s="1"/>
  <c r="Q584" i="16"/>
  <c r="K48" i="17"/>
  <c r="K190" i="17"/>
  <c r="K590" i="17"/>
  <c r="K594" i="17" s="1"/>
  <c r="K656" i="17"/>
  <c r="K660" i="17" s="1"/>
  <c r="K770" i="17"/>
  <c r="K774" i="17" s="1"/>
  <c r="K930" i="17"/>
  <c r="K934" i="17" s="1"/>
  <c r="K947" i="17"/>
  <c r="K951" i="17" s="1"/>
  <c r="K1014" i="17"/>
  <c r="K1018" i="17" s="1"/>
  <c r="K1269" i="17"/>
  <c r="K1273" i="17" s="1"/>
  <c r="K107" i="18"/>
  <c r="K310" i="18"/>
  <c r="K410" i="18"/>
  <c r="K409" i="18"/>
  <c r="K1362" i="17"/>
  <c r="K695" i="18"/>
  <c r="K693" i="18"/>
  <c r="K78" i="19"/>
  <c r="K77" i="19"/>
  <c r="K331" i="19"/>
  <c r="K330" i="19"/>
  <c r="K491" i="19"/>
  <c r="K586" i="19"/>
  <c r="K590" i="19" s="1"/>
  <c r="K1067" i="19"/>
  <c r="F119" i="13" s="1"/>
  <c r="Q549" i="16"/>
  <c r="Q563" i="16"/>
  <c r="R563" i="16" s="1"/>
  <c r="Q588" i="16"/>
  <c r="K20" i="17"/>
  <c r="K38" i="17"/>
  <c r="K267" i="17"/>
  <c r="K266" i="17"/>
  <c r="K301" i="17"/>
  <c r="K300" i="17"/>
  <c r="K385" i="17"/>
  <c r="K434" i="17"/>
  <c r="K433" i="17"/>
  <c r="K611" i="17"/>
  <c r="K615" i="17" s="1"/>
  <c r="K608" i="18"/>
  <c r="K886" i="18"/>
  <c r="K890" i="18" s="1"/>
  <c r="K1212" i="18"/>
  <c r="K1422" i="18"/>
  <c r="K1426" i="18" s="1"/>
  <c r="K109" i="19"/>
  <c r="K186" i="19"/>
  <c r="K397" i="19"/>
  <c r="L396" i="19"/>
  <c r="K396" i="19"/>
  <c r="K925" i="19"/>
  <c r="K1161" i="19"/>
  <c r="Q28" i="20"/>
  <c r="K1543" i="17"/>
  <c r="K1547" i="17" s="1"/>
  <c r="N136" i="20"/>
  <c r="H136" i="20"/>
  <c r="O136" i="20" s="1"/>
  <c r="P146" i="20"/>
  <c r="T146" i="20" s="1"/>
  <c r="P204" i="20"/>
  <c r="K1001" i="18"/>
  <c r="K1007" i="18" s="1"/>
  <c r="K1011" i="18" s="1"/>
  <c r="K858" i="19"/>
  <c r="S81" i="20"/>
  <c r="R153" i="20"/>
  <c r="Q153" i="20"/>
  <c r="P166" i="20"/>
  <c r="P166" i="23" s="1"/>
  <c r="S229" i="20"/>
  <c r="S299" i="20"/>
  <c r="S320" i="20"/>
  <c r="Q331" i="20"/>
  <c r="R488" i="20"/>
  <c r="M565" i="16"/>
  <c r="P66" i="20"/>
  <c r="P66" i="23" s="1"/>
  <c r="T66" i="23" s="1"/>
  <c r="S208" i="20"/>
  <c r="Q340" i="20"/>
  <c r="O340" i="20"/>
  <c r="J409" i="23"/>
  <c r="K409" i="23" s="1"/>
  <c r="K409" i="20"/>
  <c r="J621" i="23"/>
  <c r="K621" i="23" s="1"/>
  <c r="K621" i="20"/>
  <c r="J661" i="23"/>
  <c r="K661" i="23" s="1"/>
  <c r="Q661" i="23" s="1"/>
  <c r="K661" i="20"/>
  <c r="Q661" i="20" s="1"/>
  <c r="K1308" i="19"/>
  <c r="K1312" i="19" s="1"/>
  <c r="N76" i="20"/>
  <c r="H76" i="20"/>
  <c r="O76" i="20" s="1"/>
  <c r="O64" i="20" s="1"/>
  <c r="P131" i="20"/>
  <c r="S143" i="20"/>
  <c r="S142" i="20" s="1"/>
  <c r="Q243" i="20"/>
  <c r="N299" i="20"/>
  <c r="R340" i="20"/>
  <c r="P424" i="20"/>
  <c r="P424" i="23" s="1"/>
  <c r="K89" i="18"/>
  <c r="P48" i="20"/>
  <c r="P48" i="23" s="1"/>
  <c r="T48" i="23" s="1"/>
  <c r="N109" i="20"/>
  <c r="T166" i="20"/>
  <c r="T269" i="20"/>
  <c r="O299" i="20"/>
  <c r="S488" i="20"/>
  <c r="T581" i="20"/>
  <c r="K956" i="18"/>
  <c r="K962" i="18" s="1"/>
  <c r="K966" i="18" s="1"/>
  <c r="R54" i="20"/>
  <c r="R53" i="20" s="1"/>
  <c r="S64" i="20"/>
  <c r="T66" i="20"/>
  <c r="J80" i="23"/>
  <c r="K80" i="23" s="1"/>
  <c r="K80" i="20"/>
  <c r="Q109" i="20"/>
  <c r="Q96" i="20" s="1"/>
  <c r="P137" i="20"/>
  <c r="S159" i="20"/>
  <c r="S168" i="20"/>
  <c r="S173" i="20"/>
  <c r="O181" i="20"/>
  <c r="Q208" i="20"/>
  <c r="Q181" i="20" s="1"/>
  <c r="O218" i="20"/>
  <c r="S340" i="20"/>
  <c r="K910" i="18"/>
  <c r="K916" i="18" s="1"/>
  <c r="K920" i="18" s="1"/>
  <c r="K262" i="19"/>
  <c r="K418" i="19"/>
  <c r="K924" i="19"/>
  <c r="K928" i="19" s="1"/>
  <c r="K932" i="19" s="1"/>
  <c r="N64" i="20"/>
  <c r="N118" i="20"/>
  <c r="H118" i="20"/>
  <c r="O118" i="20" s="1"/>
  <c r="N134" i="20"/>
  <c r="P145" i="20"/>
  <c r="P145" i="23" s="1"/>
  <c r="R220" i="20"/>
  <c r="Q220" i="20"/>
  <c r="E222" i="20"/>
  <c r="O294" i="20"/>
  <c r="R36" i="20"/>
  <c r="R28" i="20" s="1"/>
  <c r="N44" i="20"/>
  <c r="T48" i="20"/>
  <c r="R81" i="20"/>
  <c r="N100" i="20"/>
  <c r="H100" i="20"/>
  <c r="O100" i="20" s="1"/>
  <c r="N159" i="20"/>
  <c r="N158" i="20" s="1"/>
  <c r="P175" i="20"/>
  <c r="T175" i="20" s="1"/>
  <c r="S182" i="20"/>
  <c r="S181" i="20" s="1"/>
  <c r="T265" i="20"/>
  <c r="O561" i="20"/>
  <c r="O44" i="20"/>
  <c r="P62" i="20"/>
  <c r="T157" i="20"/>
  <c r="N182" i="20"/>
  <c r="R410" i="20"/>
  <c r="O54" i="20"/>
  <c r="O53" i="20" s="1"/>
  <c r="R64" i="20"/>
  <c r="S97" i="20"/>
  <c r="R109" i="20"/>
  <c r="T137" i="20"/>
  <c r="T145" i="20"/>
  <c r="N208" i="20"/>
  <c r="R243" i="20"/>
  <c r="T285" i="20"/>
  <c r="T359" i="20"/>
  <c r="N598" i="20"/>
  <c r="S258" i="20"/>
  <c r="P419" i="20"/>
  <c r="P419" i="23" s="1"/>
  <c r="T419" i="23" s="1"/>
  <c r="P566" i="20"/>
  <c r="J600" i="23"/>
  <c r="K600" i="23" s="1"/>
  <c r="K600" i="20"/>
  <c r="Q600" i="20" s="1"/>
  <c r="Q258" i="20"/>
  <c r="Q310" i="20"/>
  <c r="R332" i="20"/>
  <c r="S515" i="20"/>
  <c r="N258" i="20"/>
  <c r="Q299" i="20"/>
  <c r="S310" i="20"/>
  <c r="R320" i="20"/>
  <c r="Q514" i="20"/>
  <c r="O258" i="20"/>
  <c r="R299" i="20"/>
  <c r="N488" i="20"/>
  <c r="J651" i="23"/>
  <c r="K651" i="23" s="1"/>
  <c r="K651" i="20"/>
  <c r="Q651" i="20" s="1"/>
  <c r="H106" i="20"/>
  <c r="O106" i="20" s="1"/>
  <c r="H116" i="20"/>
  <c r="O116" i="20" s="1"/>
  <c r="Q152" i="20"/>
  <c r="N310" i="20"/>
  <c r="N410" i="20"/>
  <c r="H105" i="20"/>
  <c r="O105" i="20" s="1"/>
  <c r="H115" i="20"/>
  <c r="O115" i="20" s="1"/>
  <c r="O109" i="20" s="1"/>
  <c r="R152" i="20"/>
  <c r="R151" i="20" s="1"/>
  <c r="O310" i="20"/>
  <c r="N398" i="20"/>
  <c r="N331" i="20" s="1"/>
  <c r="O410" i="20"/>
  <c r="S494" i="20"/>
  <c r="K414" i="21"/>
  <c r="K413" i="21"/>
  <c r="R258" i="20"/>
  <c r="R228" i="20" s="1"/>
  <c r="S294" i="20"/>
  <c r="T637" i="20"/>
  <c r="S632" i="20"/>
  <c r="S109" i="20"/>
  <c r="E144" i="20"/>
  <c r="T403" i="20"/>
  <c r="S410" i="20"/>
  <c r="J630" i="23"/>
  <c r="K630" i="23" s="1"/>
  <c r="Q630" i="23" s="1"/>
  <c r="K630" i="20"/>
  <c r="Q630" i="20" s="1"/>
  <c r="Q294" i="20"/>
  <c r="O320" i="20"/>
  <c r="S332" i="20"/>
  <c r="J602" i="23"/>
  <c r="K602" i="23" s="1"/>
  <c r="K602" i="20"/>
  <c r="Q602" i="20" s="1"/>
  <c r="S680" i="20"/>
  <c r="T681" i="20"/>
  <c r="T680" i="20" s="1"/>
  <c r="J479" i="23"/>
  <c r="K479" i="23" s="1"/>
  <c r="K479" i="20"/>
  <c r="S481" i="20"/>
  <c r="P570" i="20"/>
  <c r="T570" i="20" s="1"/>
  <c r="T593" i="20"/>
  <c r="O618" i="20"/>
  <c r="P618" i="20" s="1"/>
  <c r="P618" i="23" s="1"/>
  <c r="T618" i="23" s="1"/>
  <c r="J618" i="20"/>
  <c r="K196" i="21"/>
  <c r="K195" i="21"/>
  <c r="K634" i="21"/>
  <c r="K638" i="21" s="1"/>
  <c r="K1580" i="24"/>
  <c r="K1579" i="24"/>
  <c r="G129" i="23" s="1"/>
  <c r="O181" i="26"/>
  <c r="P403" i="20"/>
  <c r="R494" i="20"/>
  <c r="J628" i="23"/>
  <c r="K628" i="23" s="1"/>
  <c r="K628" i="20"/>
  <c r="Q628" i="20" s="1"/>
  <c r="T631" i="20"/>
  <c r="P635" i="23"/>
  <c r="T635" i="23" s="1"/>
  <c r="T645" i="20"/>
  <c r="J667" i="23"/>
  <c r="K667" i="23" s="1"/>
  <c r="Q667" i="23" s="1"/>
  <c r="K667" i="20"/>
  <c r="Q667" i="20" s="1"/>
  <c r="K432" i="22"/>
  <c r="K431" i="22"/>
  <c r="Q181" i="26"/>
  <c r="Q489" i="20"/>
  <c r="Q488" i="20" s="1"/>
  <c r="Q561" i="20"/>
  <c r="S573" i="20"/>
  <c r="T602" i="20"/>
  <c r="S609" i="20"/>
  <c r="T610" i="20"/>
  <c r="Q615" i="20"/>
  <c r="R625" i="20"/>
  <c r="R598" i="20" s="1"/>
  <c r="T635" i="20"/>
  <c r="O638" i="20"/>
  <c r="J638" i="20"/>
  <c r="N673" i="20"/>
  <c r="K139" i="21"/>
  <c r="N514" i="20"/>
  <c r="J603" i="20"/>
  <c r="O603" i="20"/>
  <c r="P603" i="20" s="1"/>
  <c r="J613" i="23"/>
  <c r="K613" i="23" s="1"/>
  <c r="K613" i="20"/>
  <c r="Q613" i="20" s="1"/>
  <c r="O619" i="20"/>
  <c r="P619" i="20" s="1"/>
  <c r="P619" i="23" s="1"/>
  <c r="T619" i="23" s="1"/>
  <c r="J619" i="20"/>
  <c r="O624" i="20"/>
  <c r="P624" i="20" s="1"/>
  <c r="T624" i="20" s="1"/>
  <c r="J624" i="20"/>
  <c r="S670" i="20"/>
  <c r="T671" i="20"/>
  <c r="T670" i="20" s="1"/>
  <c r="K74" i="21"/>
  <c r="K73" i="21"/>
  <c r="J617" i="23"/>
  <c r="K617" i="23" s="1"/>
  <c r="K617" i="20"/>
  <c r="Q617" i="20" s="1"/>
  <c r="O621" i="20"/>
  <c r="K161" i="22"/>
  <c r="K160" i="22"/>
  <c r="T409" i="20"/>
  <c r="T419" i="20"/>
  <c r="T600" i="20"/>
  <c r="P621" i="20"/>
  <c r="J657" i="23"/>
  <c r="K657" i="23" s="1"/>
  <c r="K657" i="20"/>
  <c r="J758" i="20"/>
  <c r="T429" i="20"/>
  <c r="O559" i="20"/>
  <c r="O573" i="20"/>
  <c r="T588" i="20"/>
  <c r="J662" i="20"/>
  <c r="O662" i="20"/>
  <c r="P662" i="20" s="1"/>
  <c r="T662" i="20" s="1"/>
  <c r="K337" i="21"/>
  <c r="K336" i="21"/>
  <c r="K56" i="22"/>
  <c r="K55" i="22"/>
  <c r="K92" i="22"/>
  <c r="K91" i="22"/>
  <c r="S398" i="20"/>
  <c r="Q410" i="20"/>
  <c r="Q604" i="23"/>
  <c r="Q631" i="20"/>
  <c r="R632" i="20"/>
  <c r="O652" i="20"/>
  <c r="P652" i="20" s="1"/>
  <c r="P652" i="23" s="1"/>
  <c r="T652" i="23" s="1"/>
  <c r="J652" i="20"/>
  <c r="O657" i="20"/>
  <c r="J675" i="23"/>
  <c r="K675" i="23" s="1"/>
  <c r="Q675" i="23" s="1"/>
  <c r="K675" i="20"/>
  <c r="Q675" i="20" s="1"/>
  <c r="K303" i="21"/>
  <c r="K302" i="21"/>
  <c r="K321" i="22"/>
  <c r="K320" i="22"/>
  <c r="O398" i="20"/>
  <c r="O331" i="20" s="1"/>
  <c r="R561" i="20"/>
  <c r="R514" i="20" s="1"/>
  <c r="K604" i="20"/>
  <c r="Q604" i="20" s="1"/>
  <c r="K608" i="20"/>
  <c r="Q608" i="20" s="1"/>
  <c r="K620" i="20"/>
  <c r="Q620" i="20" s="1"/>
  <c r="T621" i="20"/>
  <c r="K436" i="21"/>
  <c r="K435" i="21"/>
  <c r="O527" i="20"/>
  <c r="P556" i="20"/>
  <c r="P556" i="23" s="1"/>
  <c r="P605" i="20"/>
  <c r="T606" i="20"/>
  <c r="T605" i="20" s="1"/>
  <c r="J649" i="23"/>
  <c r="K649" i="23" s="1"/>
  <c r="K649" i="20"/>
  <c r="Q649" i="20" s="1"/>
  <c r="K44" i="21"/>
  <c r="K43" i="21"/>
  <c r="F33" i="16" s="1"/>
  <c r="K94" i="21"/>
  <c r="K93" i="21"/>
  <c r="K184" i="21"/>
  <c r="K185" i="21"/>
  <c r="K269" i="21"/>
  <c r="K268" i="21"/>
  <c r="O515" i="20"/>
  <c r="O514" i="20" s="1"/>
  <c r="N573" i="20"/>
  <c r="T652" i="20"/>
  <c r="K280" i="21"/>
  <c r="K279" i="21"/>
  <c r="K521" i="21"/>
  <c r="K525" i="21" s="1"/>
  <c r="O601" i="20"/>
  <c r="J601" i="20"/>
  <c r="T604" i="20"/>
  <c r="T613" i="20"/>
  <c r="J635" i="23"/>
  <c r="K635" i="23" s="1"/>
  <c r="K635" i="20"/>
  <c r="Q635" i="20" s="1"/>
  <c r="P644" i="23"/>
  <c r="T644" i="23" s="1"/>
  <c r="T644" i="20"/>
  <c r="Q648" i="20"/>
  <c r="T655" i="20"/>
  <c r="S654" i="20"/>
  <c r="S598" i="20" s="1"/>
  <c r="O660" i="20"/>
  <c r="P660" i="20" s="1"/>
  <c r="P660" i="23" s="1"/>
  <c r="T660" i="23" s="1"/>
  <c r="J660" i="20"/>
  <c r="K275" i="22"/>
  <c r="K274" i="22"/>
  <c r="P473" i="20"/>
  <c r="O481" i="20"/>
  <c r="Q614" i="23"/>
  <c r="J641" i="23"/>
  <c r="K641" i="23" s="1"/>
  <c r="K641" i="20"/>
  <c r="Q641" i="20" s="1"/>
  <c r="J656" i="20"/>
  <c r="O656" i="20"/>
  <c r="P656" i="20" s="1"/>
  <c r="T656" i="20" s="1"/>
  <c r="O678" i="20"/>
  <c r="P678" i="20" s="1"/>
  <c r="J678" i="20"/>
  <c r="S595" i="20"/>
  <c r="O612" i="20"/>
  <c r="J612" i="20"/>
  <c r="Q614" i="20"/>
  <c r="T615" i="20"/>
  <c r="Q658" i="20"/>
  <c r="K115" i="21"/>
  <c r="K114" i="21"/>
  <c r="S561" i="20"/>
  <c r="O629" i="20"/>
  <c r="P629" i="20" s="1"/>
  <c r="P629" i="23" s="1"/>
  <c r="J629" i="20"/>
  <c r="K639" i="20"/>
  <c r="Q639" i="20" s="1"/>
  <c r="J643" i="23"/>
  <c r="K643" i="23" s="1"/>
  <c r="K643" i="20"/>
  <c r="Q643" i="20" s="1"/>
  <c r="J645" i="23"/>
  <c r="K645" i="23" s="1"/>
  <c r="Q645" i="23" s="1"/>
  <c r="K645" i="20"/>
  <c r="Q645" i="20" s="1"/>
  <c r="P666" i="23"/>
  <c r="T666" i="20"/>
  <c r="O670" i="20"/>
  <c r="K21" i="21"/>
  <c r="K253" i="21"/>
  <c r="K1461" i="22"/>
  <c r="K1460" i="22"/>
  <c r="G129" i="20" s="1"/>
  <c r="J607" i="23"/>
  <c r="K607" i="23" s="1"/>
  <c r="Q607" i="23" s="1"/>
  <c r="K607" i="20"/>
  <c r="Q607" i="20" s="1"/>
  <c r="P614" i="23"/>
  <c r="T614" i="23" s="1"/>
  <c r="T614" i="20"/>
  <c r="J622" i="23"/>
  <c r="K622" i="23" s="1"/>
  <c r="K622" i="20"/>
  <c r="Q622" i="20" s="1"/>
  <c r="J663" i="23"/>
  <c r="K663" i="23" s="1"/>
  <c r="K663" i="20"/>
  <c r="Q663" i="20" s="1"/>
  <c r="K1376" i="21"/>
  <c r="K1380" i="21" s="1"/>
  <c r="K332" i="22"/>
  <c r="K331" i="22"/>
  <c r="K421" i="22"/>
  <c r="L420" i="22"/>
  <c r="K420" i="22"/>
  <c r="K454" i="22"/>
  <c r="K453" i="22"/>
  <c r="K1610" i="22"/>
  <c r="G132" i="20" s="1"/>
  <c r="K1293" i="21"/>
  <c r="K1292" i="21"/>
  <c r="P38" i="23"/>
  <c r="O151" i="23"/>
  <c r="P524" i="20"/>
  <c r="T524" i="20" s="1"/>
  <c r="Q575" i="20"/>
  <c r="Q573" i="20" s="1"/>
  <c r="P600" i="23"/>
  <c r="J611" i="23"/>
  <c r="K611" i="23" s="1"/>
  <c r="Q611" i="23" s="1"/>
  <c r="K611" i="20"/>
  <c r="Q611" i="20" s="1"/>
  <c r="O626" i="20"/>
  <c r="T627" i="20"/>
  <c r="T629" i="20"/>
  <c r="J636" i="23"/>
  <c r="K636" i="23" s="1"/>
  <c r="K636" i="20"/>
  <c r="Q636" i="20" s="1"/>
  <c r="J655" i="23"/>
  <c r="K655" i="23" s="1"/>
  <c r="K655" i="20"/>
  <c r="Q655" i="20" s="1"/>
  <c r="J677" i="23"/>
  <c r="K677" i="23" s="1"/>
  <c r="K677" i="20"/>
  <c r="Q677" i="20" s="1"/>
  <c r="K387" i="21"/>
  <c r="K1278" i="21"/>
  <c r="K1277" i="21"/>
  <c r="K634" i="22"/>
  <c r="K638" i="22" s="1"/>
  <c r="J659" i="23"/>
  <c r="K659" i="23" s="1"/>
  <c r="K659" i="20"/>
  <c r="Q659" i="20" s="1"/>
  <c r="K54" i="21"/>
  <c r="K53" i="21"/>
  <c r="K454" i="21"/>
  <c r="K543" i="21"/>
  <c r="K547" i="21" s="1"/>
  <c r="K958" i="21"/>
  <c r="K962" i="21" s="1"/>
  <c r="K997" i="21"/>
  <c r="K1001" i="21" s="1"/>
  <c r="K1485" i="21"/>
  <c r="K1489" i="21" s="1"/>
  <c r="K1488" i="21"/>
  <c r="F130" i="16" s="1"/>
  <c r="K405" i="22"/>
  <c r="K1411" i="22"/>
  <c r="N108" i="23"/>
  <c r="H108" i="23"/>
  <c r="O108" i="23" s="1"/>
  <c r="N114" i="23"/>
  <c r="H114" i="23"/>
  <c r="O114" i="23" s="1"/>
  <c r="O653" i="20"/>
  <c r="P653" i="20" s="1"/>
  <c r="J653" i="20"/>
  <c r="T660" i="20"/>
  <c r="J671" i="23"/>
  <c r="K671" i="23" s="1"/>
  <c r="K671" i="20"/>
  <c r="Q671" i="20" s="1"/>
  <c r="O673" i="20"/>
  <c r="T675" i="20"/>
  <c r="J681" i="23"/>
  <c r="K681" i="23" s="1"/>
  <c r="K681" i="20"/>
  <c r="Q681" i="20" s="1"/>
  <c r="Q680" i="20" s="1"/>
  <c r="K425" i="21"/>
  <c r="K424" i="21"/>
  <c r="K102" i="22"/>
  <c r="K101" i="22"/>
  <c r="K916" i="22"/>
  <c r="G108" i="20" s="1"/>
  <c r="K1479" i="22"/>
  <c r="K1647" i="22"/>
  <c r="K1651" i="22" s="1"/>
  <c r="S64" i="23"/>
  <c r="N238" i="23"/>
  <c r="H238" i="23"/>
  <c r="O238" i="23" s="1"/>
  <c r="K606" i="20"/>
  <c r="Q606" i="20" s="1"/>
  <c r="Q605" i="20" s="1"/>
  <c r="K623" i="20"/>
  <c r="Q623" i="20" s="1"/>
  <c r="Q637" i="23"/>
  <c r="K646" i="20"/>
  <c r="Q646" i="20" s="1"/>
  <c r="O659" i="20"/>
  <c r="P659" i="20" s="1"/>
  <c r="T659" i="20" s="1"/>
  <c r="P674" i="20"/>
  <c r="K679" i="20"/>
  <c r="Q679" i="20" s="1"/>
  <c r="K612" i="21"/>
  <c r="K616" i="21" s="1"/>
  <c r="K657" i="21"/>
  <c r="K661" i="21" s="1"/>
  <c r="K297" i="22"/>
  <c r="K708" i="22"/>
  <c r="K712" i="22" s="1"/>
  <c r="K480" i="20"/>
  <c r="K637" i="20"/>
  <c r="Q637" i="20" s="1"/>
  <c r="K642" i="20"/>
  <c r="Q642" i="20" s="1"/>
  <c r="J676" i="23"/>
  <c r="K676" i="23" s="1"/>
  <c r="Q676" i="23" s="1"/>
  <c r="K676" i="20"/>
  <c r="Q676" i="20" s="1"/>
  <c r="K403" i="21"/>
  <c r="L402" i="21"/>
  <c r="K402" i="21"/>
  <c r="K497" i="21"/>
  <c r="K566" i="21"/>
  <c r="K570" i="21" s="1"/>
  <c r="K850" i="21"/>
  <c r="K854" i="21" s="1"/>
  <c r="K1333" i="21"/>
  <c r="K310" i="22"/>
  <c r="K309" i="22"/>
  <c r="K610" i="22"/>
  <c r="K614" i="22" s="1"/>
  <c r="F1053" i="22"/>
  <c r="K1053" i="22" s="1"/>
  <c r="K1063" i="22" s="1"/>
  <c r="K1067" i="22" s="1"/>
  <c r="K1052" i="22"/>
  <c r="K1434" i="22"/>
  <c r="R81" i="23"/>
  <c r="R63" i="23" s="1"/>
  <c r="R85" i="23"/>
  <c r="Q85" i="23"/>
  <c r="Q610" i="23"/>
  <c r="T651" i="20"/>
  <c r="K150" i="21"/>
  <c r="F935" i="21"/>
  <c r="K935" i="21" s="1"/>
  <c r="K934" i="21"/>
  <c r="K22" i="22"/>
  <c r="K465" i="22"/>
  <c r="K464" i="22"/>
  <c r="K511" i="22"/>
  <c r="K537" i="22"/>
  <c r="K541" i="22" s="1"/>
  <c r="K540" i="22"/>
  <c r="G99" i="20" s="1"/>
  <c r="K1004" i="22"/>
  <c r="K1008" i="22" s="1"/>
  <c r="K1328" i="22"/>
  <c r="K1332" i="22" s="1"/>
  <c r="K1607" i="22"/>
  <c r="K1611" i="22" s="1"/>
  <c r="S81" i="23"/>
  <c r="N106" i="23"/>
  <c r="H106" i="23"/>
  <c r="O106" i="23" s="1"/>
  <c r="K168" i="22"/>
  <c r="K343" i="22"/>
  <c r="K342" i="22"/>
  <c r="K948" i="22"/>
  <c r="K952" i="22" s="1"/>
  <c r="Q648" i="23"/>
  <c r="K321" i="21"/>
  <c r="F894" i="21"/>
  <c r="K894" i="21" s="1"/>
  <c r="K893" i="21"/>
  <c r="K902" i="21" s="1"/>
  <c r="K906" i="21" s="1"/>
  <c r="K919" i="21"/>
  <c r="K923" i="21" s="1"/>
  <c r="K967" i="21"/>
  <c r="K977" i="21" s="1"/>
  <c r="K981" i="21" s="1"/>
  <c r="K1352" i="21"/>
  <c r="K1399" i="21"/>
  <c r="K1403" i="21" s="1"/>
  <c r="K111" i="22"/>
  <c r="K287" i="22"/>
  <c r="K286" i="22"/>
  <c r="K586" i="22"/>
  <c r="K590" i="22" s="1"/>
  <c r="K913" i="22"/>
  <c r="K917" i="22" s="1"/>
  <c r="K1674" i="22"/>
  <c r="K1678" i="22" s="1"/>
  <c r="P137" i="23"/>
  <c r="T137" i="23" s="1"/>
  <c r="K1248" i="21"/>
  <c r="F119" i="16" s="1"/>
  <c r="K1498" i="21"/>
  <c r="K1502" i="21" s="1"/>
  <c r="K42" i="22"/>
  <c r="K122" i="22"/>
  <c r="K121" i="22"/>
  <c r="K214" i="22"/>
  <c r="K213" i="22"/>
  <c r="K474" i="22"/>
  <c r="K1624" i="22"/>
  <c r="G133" i="20" s="1"/>
  <c r="K1621" i="22"/>
  <c r="K1625" i="22" s="1"/>
  <c r="Q644" i="23"/>
  <c r="T646" i="20"/>
  <c r="R654" i="20"/>
  <c r="T661" i="20"/>
  <c r="Q665" i="23"/>
  <c r="K588" i="21"/>
  <c r="K592" i="21" s="1"/>
  <c r="F929" i="21"/>
  <c r="K929" i="21" s="1"/>
  <c r="K928" i="21"/>
  <c r="K938" i="21" s="1"/>
  <c r="K942" i="21" s="1"/>
  <c r="K1311" i="21"/>
  <c r="K1315" i="21" s="1"/>
  <c r="K1314" i="21" s="1"/>
  <c r="F125" i="16" s="1"/>
  <c r="K82" i="22"/>
  <c r="K81" i="22"/>
  <c r="K443" i="22"/>
  <c r="K442" i="22"/>
  <c r="K1365" i="22"/>
  <c r="K1388" i="22"/>
  <c r="K1691" i="22"/>
  <c r="K1713" i="22"/>
  <c r="G252" i="20" s="1"/>
  <c r="K1710" i="22"/>
  <c r="K1714" i="22" s="1"/>
  <c r="Q688" i="23"/>
  <c r="P80" i="23"/>
  <c r="T80" i="23" s="1"/>
  <c r="R28" i="23"/>
  <c r="S97" i="23"/>
  <c r="N104" i="23"/>
  <c r="H104" i="23"/>
  <c r="O104" i="23" s="1"/>
  <c r="S122" i="23"/>
  <c r="K1634" i="22"/>
  <c r="K1638" i="22" s="1"/>
  <c r="T38" i="23"/>
  <c r="R59" i="23"/>
  <c r="R54" i="23" s="1"/>
  <c r="R53" i="23" s="1"/>
  <c r="Q59" i="23"/>
  <c r="Q54" i="23" s="1"/>
  <c r="Q53" i="23" s="1"/>
  <c r="N141" i="23"/>
  <c r="H141" i="23"/>
  <c r="O141" i="23" s="1"/>
  <c r="S229" i="23"/>
  <c r="K664" i="20"/>
  <c r="Q664" i="20" s="1"/>
  <c r="K668" i="20"/>
  <c r="K672" i="20"/>
  <c r="Q672" i="20" s="1"/>
  <c r="N36" i="23"/>
  <c r="O54" i="23"/>
  <c r="O53" i="23" s="1"/>
  <c r="K957" i="22"/>
  <c r="K966" i="22" s="1"/>
  <c r="K970" i="22" s="1"/>
  <c r="O36" i="23"/>
  <c r="R109" i="23"/>
  <c r="H117" i="23"/>
  <c r="O117" i="23" s="1"/>
  <c r="T145" i="23"/>
  <c r="T166" i="23"/>
  <c r="S258" i="23"/>
  <c r="K876" i="21"/>
  <c r="K884" i="21" s="1"/>
  <c r="K888" i="21" s="1"/>
  <c r="Q36" i="23"/>
  <c r="Q28" i="23" s="1"/>
  <c r="Q97" i="23"/>
  <c r="Q96" i="23" s="1"/>
  <c r="O310" i="23"/>
  <c r="R97" i="23"/>
  <c r="R96" i="23" s="1"/>
  <c r="P146" i="23"/>
  <c r="T146" i="23" s="1"/>
  <c r="O81" i="23"/>
  <c r="H107" i="23"/>
  <c r="O107" i="23" s="1"/>
  <c r="N143" i="23"/>
  <c r="N142" i="23" s="1"/>
  <c r="P157" i="23"/>
  <c r="T285" i="23"/>
  <c r="Q666" i="23"/>
  <c r="O64" i="23"/>
  <c r="O143" i="23"/>
  <c r="O142" i="23" s="1"/>
  <c r="K1734" i="22"/>
  <c r="Q64" i="23"/>
  <c r="Q63" i="23" s="1"/>
  <c r="Q81" i="23"/>
  <c r="N116" i="23"/>
  <c r="H116" i="23"/>
  <c r="O116" i="23" s="1"/>
  <c r="N134" i="23"/>
  <c r="S151" i="23"/>
  <c r="Q182" i="23"/>
  <c r="Q181" i="23" s="1"/>
  <c r="K1505" i="24"/>
  <c r="K1504" i="24"/>
  <c r="G126" i="23" s="1"/>
  <c r="O225" i="23"/>
  <c r="R229" i="23"/>
  <c r="O243" i="23"/>
  <c r="P269" i="23"/>
  <c r="N320" i="23"/>
  <c r="P359" i="23"/>
  <c r="T359" i="23" s="1"/>
  <c r="H103" i="23"/>
  <c r="O103" i="23" s="1"/>
  <c r="S109" i="23"/>
  <c r="H113" i="23"/>
  <c r="O113" i="23" s="1"/>
  <c r="N124" i="23"/>
  <c r="H124" i="23"/>
  <c r="O124" i="23" s="1"/>
  <c r="O134" i="23"/>
  <c r="S134" i="23"/>
  <c r="H102" i="23"/>
  <c r="O102" i="23" s="1"/>
  <c r="H112" i="23"/>
  <c r="O112" i="23" s="1"/>
  <c r="Q159" i="23"/>
  <c r="Q158" i="23" s="1"/>
  <c r="R182" i="23"/>
  <c r="R181" i="23" s="1"/>
  <c r="S515" i="23"/>
  <c r="S514" i="23" s="1"/>
  <c r="E153" i="23"/>
  <c r="E144" i="23"/>
  <c r="R152" i="23"/>
  <c r="Q152" i="23"/>
  <c r="T157" i="23"/>
  <c r="S173" i="23"/>
  <c r="S182" i="23"/>
  <c r="O208" i="23"/>
  <c r="O181" i="23" s="1"/>
  <c r="N229" i="23"/>
  <c r="R243" i="23"/>
  <c r="Q332" i="23"/>
  <c r="R488" i="23"/>
  <c r="Q134" i="23"/>
  <c r="S168" i="23"/>
  <c r="S158" i="23" s="1"/>
  <c r="Q208" i="23"/>
  <c r="S489" i="23"/>
  <c r="P175" i="23"/>
  <c r="T175" i="23" s="1"/>
  <c r="O178" i="23"/>
  <c r="S331" i="23"/>
  <c r="N408" i="23"/>
  <c r="N398" i="23" s="1"/>
  <c r="N331" i="23" s="1"/>
  <c r="H408" i="23"/>
  <c r="O408" i="23" s="1"/>
  <c r="R134" i="23"/>
  <c r="N151" i="23"/>
  <c r="N159" i="23"/>
  <c r="N158" i="23" s="1"/>
  <c r="S243" i="23"/>
  <c r="N258" i="23"/>
  <c r="P307" i="23"/>
  <c r="P642" i="23"/>
  <c r="T265" i="23"/>
  <c r="Q294" i="23"/>
  <c r="S559" i="23"/>
  <c r="H133" i="23"/>
  <c r="O133" i="23" s="1"/>
  <c r="S143" i="23"/>
  <c r="S218" i="23"/>
  <c r="O340" i="23"/>
  <c r="Q488" i="23"/>
  <c r="E224" i="23"/>
  <c r="R222" i="23"/>
  <c r="Q222" i="23"/>
  <c r="T269" i="23"/>
  <c r="T307" i="23"/>
  <c r="Q243" i="23"/>
  <c r="N294" i="23"/>
  <c r="S299" i="23"/>
  <c r="Q340" i="23"/>
  <c r="P354" i="23"/>
  <c r="T354" i="23" s="1"/>
  <c r="P634" i="23"/>
  <c r="O229" i="23"/>
  <c r="P231" i="23"/>
  <c r="T231" i="23" s="1"/>
  <c r="Q310" i="23"/>
  <c r="R340" i="23"/>
  <c r="Q410" i="23"/>
  <c r="O258" i="23"/>
  <c r="R320" i="23"/>
  <c r="S340" i="23"/>
  <c r="T604" i="23"/>
  <c r="S208" i="23"/>
  <c r="N243" i="23"/>
  <c r="T277" i="23"/>
  <c r="T409" i="23"/>
  <c r="P383" i="23"/>
  <c r="T383" i="23" s="1"/>
  <c r="P394" i="23"/>
  <c r="T394" i="23" s="1"/>
  <c r="S398" i="23"/>
  <c r="R494" i="23"/>
  <c r="P613" i="23"/>
  <c r="T613" i="23" s="1"/>
  <c r="O489" i="23"/>
  <c r="P658" i="23"/>
  <c r="T658" i="23" s="1"/>
  <c r="O398" i="23"/>
  <c r="Q398" i="23"/>
  <c r="N410" i="23"/>
  <c r="P524" i="23"/>
  <c r="T524" i="23" s="1"/>
  <c r="N527" i="23"/>
  <c r="P403" i="23"/>
  <c r="T403" i="23" s="1"/>
  <c r="O410" i="23"/>
  <c r="T420" i="23"/>
  <c r="O527" i="23"/>
  <c r="R398" i="23"/>
  <c r="T424" i="23"/>
  <c r="N494" i="23"/>
  <c r="Q494" i="23"/>
  <c r="N489" i="23"/>
  <c r="N488" i="23" s="1"/>
  <c r="O494" i="23"/>
  <c r="P636" i="23"/>
  <c r="T636" i="23" s="1"/>
  <c r="P647" i="23"/>
  <c r="Q647" i="23" s="1"/>
  <c r="P679" i="23"/>
  <c r="Q679" i="23" s="1"/>
  <c r="P409" i="23"/>
  <c r="S410" i="23"/>
  <c r="S481" i="23"/>
  <c r="P492" i="23"/>
  <c r="T492" i="23" s="1"/>
  <c r="P479" i="23"/>
  <c r="T479" i="23" s="1"/>
  <c r="Q481" i="23"/>
  <c r="O515" i="23"/>
  <c r="R573" i="23"/>
  <c r="P602" i="23"/>
  <c r="N598" i="23"/>
  <c r="T628" i="23"/>
  <c r="S625" i="23"/>
  <c r="T639" i="23"/>
  <c r="S632" i="23"/>
  <c r="S494" i="23"/>
  <c r="N573" i="23"/>
  <c r="T602" i="23"/>
  <c r="T608" i="23"/>
  <c r="S605" i="23"/>
  <c r="P623" i="23"/>
  <c r="P656" i="23"/>
  <c r="T656" i="23" s="1"/>
  <c r="O654" i="23"/>
  <c r="P677" i="23"/>
  <c r="K93" i="24"/>
  <c r="K94" i="24"/>
  <c r="N515" i="23"/>
  <c r="O573" i="23"/>
  <c r="T617" i="23"/>
  <c r="O632" i="23"/>
  <c r="P633" i="23"/>
  <c r="R654" i="23"/>
  <c r="N670" i="23"/>
  <c r="S527" i="23"/>
  <c r="R595" i="23"/>
  <c r="P643" i="23"/>
  <c r="T643" i="23" s="1"/>
  <c r="P648" i="23"/>
  <c r="T648" i="23" s="1"/>
  <c r="P662" i="23"/>
  <c r="T662" i="23" s="1"/>
  <c r="T677" i="23"/>
  <c r="K469" i="24"/>
  <c r="K468" i="24"/>
  <c r="N481" i="23"/>
  <c r="T606" i="23"/>
  <c r="T605" i="23" s="1"/>
  <c r="T629" i="23"/>
  <c r="P665" i="23"/>
  <c r="T665" i="23" s="1"/>
  <c r="K207" i="24"/>
  <c r="K206" i="24"/>
  <c r="P429" i="23"/>
  <c r="T429" i="23" s="1"/>
  <c r="P478" i="23"/>
  <c r="T478" i="23" s="1"/>
  <c r="O481" i="23"/>
  <c r="Q515" i="23"/>
  <c r="P624" i="23"/>
  <c r="T624" i="23" s="1"/>
  <c r="O621" i="23"/>
  <c r="T645" i="23"/>
  <c r="P651" i="23"/>
  <c r="T651" i="23" s="1"/>
  <c r="P672" i="23"/>
  <c r="Q672" i="23" s="1"/>
  <c r="K150" i="24"/>
  <c r="K149" i="24"/>
  <c r="G51" i="23" s="1"/>
  <c r="K325" i="24"/>
  <c r="K324" i="24"/>
  <c r="P570" i="23"/>
  <c r="T570" i="23" s="1"/>
  <c r="Q573" i="23"/>
  <c r="T600" i="23"/>
  <c r="S599" i="23"/>
  <c r="S598" i="23" s="1"/>
  <c r="P616" i="23"/>
  <c r="Q616" i="23" s="1"/>
  <c r="P620" i="23"/>
  <c r="Q620" i="23" s="1"/>
  <c r="O625" i="23"/>
  <c r="P627" i="23"/>
  <c r="S673" i="23"/>
  <c r="P588" i="23"/>
  <c r="T588" i="23" s="1"/>
  <c r="O609" i="23"/>
  <c r="P610" i="23"/>
  <c r="P641" i="23"/>
  <c r="P649" i="23"/>
  <c r="T649" i="23" s="1"/>
  <c r="P669" i="23"/>
  <c r="O668" i="23"/>
  <c r="T679" i="23"/>
  <c r="K1437" i="24"/>
  <c r="K1441" i="24" s="1"/>
  <c r="O605" i="23"/>
  <c r="P606" i="23"/>
  <c r="P605" i="23" s="1"/>
  <c r="T610" i="23"/>
  <c r="P617" i="23"/>
  <c r="P628" i="23"/>
  <c r="P659" i="23"/>
  <c r="T659" i="23" s="1"/>
  <c r="P663" i="23"/>
  <c r="T663" i="23" s="1"/>
  <c r="K44" i="24"/>
  <c r="F1140" i="24"/>
  <c r="K1140" i="24" s="1"/>
  <c r="K1139" i="24"/>
  <c r="O561" i="23"/>
  <c r="P615" i="23"/>
  <c r="T630" i="23"/>
  <c r="P645" i="23"/>
  <c r="K359" i="24"/>
  <c r="K358" i="24"/>
  <c r="Q561" i="23"/>
  <c r="P581" i="23"/>
  <c r="T581" i="23" s="1"/>
  <c r="R632" i="23"/>
  <c r="N654" i="23"/>
  <c r="P671" i="23"/>
  <c r="K279" i="24"/>
  <c r="K278" i="24"/>
  <c r="Q527" i="23"/>
  <c r="T556" i="23"/>
  <c r="O599" i="23"/>
  <c r="P622" i="23"/>
  <c r="P631" i="23"/>
  <c r="T631" i="23" s="1"/>
  <c r="P646" i="23"/>
  <c r="T646" i="23" s="1"/>
  <c r="P664" i="23"/>
  <c r="Q664" i="23" s="1"/>
  <c r="O680" i="23"/>
  <c r="P681" i="23"/>
  <c r="K124" i="24"/>
  <c r="K123" i="24"/>
  <c r="P593" i="23"/>
  <c r="T593" i="23" s="1"/>
  <c r="O595" i="23"/>
  <c r="R609" i="23"/>
  <c r="R598" i="23" s="1"/>
  <c r="P640" i="23"/>
  <c r="T640" i="23" s="1"/>
  <c r="T650" i="23"/>
  <c r="P655" i="23"/>
  <c r="S654" i="23"/>
  <c r="S670" i="23"/>
  <c r="J766" i="23"/>
  <c r="K336" i="24"/>
  <c r="K335" i="24"/>
  <c r="K723" i="24"/>
  <c r="K727" i="24" s="1"/>
  <c r="F1086" i="24"/>
  <c r="K1086" i="24" s="1"/>
  <c r="K1085" i="24"/>
  <c r="K1092" i="24" s="1"/>
  <c r="G115" i="23" s="1"/>
  <c r="P181" i="26"/>
  <c r="T666" i="23"/>
  <c r="N673" i="23"/>
  <c r="T675" i="23"/>
  <c r="K23" i="24"/>
  <c r="K603" i="24"/>
  <c r="K607" i="24" s="1"/>
  <c r="K632" i="24"/>
  <c r="K636" i="24" s="1"/>
  <c r="K1157" i="24"/>
  <c r="G118" i="23" s="1"/>
  <c r="F182" i="26"/>
  <c r="F183" i="26" s="1"/>
  <c r="F181" i="26"/>
  <c r="R181" i="26"/>
  <c r="P650" i="23"/>
  <c r="Q650" i="23" s="1"/>
  <c r="K70" i="24"/>
  <c r="K74" i="24" s="1"/>
  <c r="K1526" i="24"/>
  <c r="G181" i="26"/>
  <c r="S181" i="26"/>
  <c r="P674" i="23"/>
  <c r="K83" i="24"/>
  <c r="K302" i="24"/>
  <c r="K436" i="24"/>
  <c r="K573" i="24"/>
  <c r="K577" i="24" s="1"/>
  <c r="K1477" i="24"/>
  <c r="H181" i="26"/>
  <c r="T181" i="26"/>
  <c r="T620" i="23"/>
  <c r="T647" i="23"/>
  <c r="R673" i="23"/>
  <c r="K73" i="24"/>
  <c r="L60" i="24" s="1"/>
  <c r="K409" i="24"/>
  <c r="K421" i="24"/>
  <c r="G1034" i="24"/>
  <c r="K1034" i="24" s="1"/>
  <c r="K1033" i="24"/>
  <c r="K1043" i="24" s="1"/>
  <c r="K1047" i="24" s="1"/>
  <c r="I181" i="26"/>
  <c r="U181" i="26"/>
  <c r="K515" i="24"/>
  <c r="K1736" i="24"/>
  <c r="K1740" i="24" s="1"/>
  <c r="K1739" i="24"/>
  <c r="G132" i="23" s="1"/>
  <c r="K1844" i="24"/>
  <c r="K1848" i="24" s="1"/>
  <c r="J181" i="26"/>
  <c r="K181" i="26"/>
  <c r="T616" i="23"/>
  <c r="K131" i="24"/>
  <c r="K161" i="24"/>
  <c r="K544" i="24"/>
  <c r="K548" i="24" s="1"/>
  <c r="K576" i="24"/>
  <c r="G100" i="23" s="1"/>
  <c r="K1065" i="24"/>
  <c r="K1069" i="24" s="1"/>
  <c r="K1600" i="24"/>
  <c r="T641" i="23"/>
  <c r="T664" i="23"/>
  <c r="K218" i="24"/>
  <c r="K217" i="24"/>
  <c r="K1014" i="24"/>
  <c r="K1024" i="24" s="1"/>
  <c r="K1028" i="24" s="1"/>
  <c r="K1551" i="24"/>
  <c r="K1837" i="24"/>
  <c r="L181" i="26"/>
  <c r="K176" i="24"/>
  <c r="K175" i="24"/>
  <c r="K1004" i="24"/>
  <c r="K1008" i="24" s="1"/>
  <c r="K1440" i="24"/>
  <c r="G121" i="23" s="1"/>
  <c r="K1820" i="24"/>
  <c r="K1824" i="24" s="1"/>
  <c r="M181" i="26"/>
  <c r="K758" i="23"/>
  <c r="K313" i="24"/>
  <c r="K478" i="24"/>
  <c r="K547" i="24"/>
  <c r="G99" i="23" s="1"/>
  <c r="K752" i="24"/>
  <c r="K756" i="24" s="1"/>
  <c r="K983" i="24"/>
  <c r="K987" i="24" s="1"/>
  <c r="F1147" i="24"/>
  <c r="K1147" i="24" s="1"/>
  <c r="K1146" i="24"/>
  <c r="K1778" i="24"/>
  <c r="K1782" i="24" s="1"/>
  <c r="K1857" i="24"/>
  <c r="K1854" i="24"/>
  <c r="K1858" i="24" s="1"/>
  <c r="N181" i="26"/>
  <c r="V20" i="26"/>
  <c r="W20" i="26" s="1"/>
  <c r="X29" i="26"/>
  <c r="X37" i="26"/>
  <c r="X65" i="26"/>
  <c r="X89" i="26"/>
  <c r="X109" i="26"/>
  <c r="X49" i="26"/>
  <c r="V60" i="26"/>
  <c r="W60" i="26" s="1"/>
  <c r="X73" i="26"/>
  <c r="X105" i="26"/>
  <c r="X45" i="26"/>
  <c r="X81" i="26"/>
  <c r="X101" i="26"/>
  <c r="V124" i="26"/>
  <c r="W124" i="26" s="1"/>
  <c r="F178" i="26"/>
  <c r="V128" i="26"/>
  <c r="W128" i="26" s="1"/>
  <c r="T178" i="26"/>
  <c r="T179" i="26" s="1"/>
  <c r="X93" i="26"/>
  <c r="X141" i="26"/>
  <c r="V16" i="26"/>
  <c r="W16" i="26" s="1"/>
  <c r="X41" i="26"/>
  <c r="X149" i="26"/>
  <c r="V172" i="26"/>
  <c r="W172" i="26" s="1"/>
  <c r="X69" i="26"/>
  <c r="X157" i="26"/>
  <c r="N115" i="23" l="1"/>
  <c r="H115" i="23"/>
  <c r="O115" i="23" s="1"/>
  <c r="F122" i="10"/>
  <c r="F96" i="10"/>
  <c r="M596" i="1"/>
  <c r="P680" i="23"/>
  <c r="T681" i="23"/>
  <c r="T680" i="23" s="1"/>
  <c r="I253" i="7"/>
  <c r="J253" i="5"/>
  <c r="K1089" i="24"/>
  <c r="K1093" i="24" s="1"/>
  <c r="K1154" i="24"/>
  <c r="K1158" i="24" s="1"/>
  <c r="Q228" i="23"/>
  <c r="G125" i="16"/>
  <c r="N125" i="16" s="1"/>
  <c r="M125" i="16"/>
  <c r="Q655" i="23"/>
  <c r="Q641" i="23"/>
  <c r="J624" i="23"/>
  <c r="K624" i="23" s="1"/>
  <c r="Q624" i="23" s="1"/>
  <c r="K624" i="20"/>
  <c r="Q624" i="20" s="1"/>
  <c r="T556" i="20"/>
  <c r="K253" i="18"/>
  <c r="K252" i="18"/>
  <c r="K1307" i="17"/>
  <c r="K1306" i="17"/>
  <c r="Q296" i="16"/>
  <c r="N165" i="16"/>
  <c r="R417" i="16"/>
  <c r="P421" i="20"/>
  <c r="O42" i="15"/>
  <c r="R42" i="14"/>
  <c r="R423" i="13"/>
  <c r="R304" i="13"/>
  <c r="Q296" i="13"/>
  <c r="O515" i="10"/>
  <c r="R515" i="10" s="1"/>
  <c r="O545" i="9"/>
  <c r="R545" i="9" s="1"/>
  <c r="R545" i="7"/>
  <c r="P653" i="23"/>
  <c r="T653" i="23" s="1"/>
  <c r="T653" i="20"/>
  <c r="K1299" i="18"/>
  <c r="K1297" i="18"/>
  <c r="N140" i="16"/>
  <c r="T633" i="23"/>
  <c r="Q633" i="23"/>
  <c r="K154" i="21"/>
  <c r="K153" i="21"/>
  <c r="Q640" i="23"/>
  <c r="J638" i="23"/>
  <c r="K638" i="23" s="1"/>
  <c r="K638" i="20"/>
  <c r="Q151" i="20"/>
  <c r="Q688" i="20"/>
  <c r="N554" i="15"/>
  <c r="M255" i="15"/>
  <c r="Q296" i="15"/>
  <c r="O570" i="14"/>
  <c r="R570" i="14" s="1"/>
  <c r="R570" i="13"/>
  <c r="O182" i="13"/>
  <c r="O182" i="14" s="1"/>
  <c r="N179" i="13"/>
  <c r="R68" i="9"/>
  <c r="O68" i="10"/>
  <c r="R68" i="10" s="1"/>
  <c r="O543" i="10"/>
  <c r="R543" i="10" s="1"/>
  <c r="R543" i="9"/>
  <c r="F179" i="26"/>
  <c r="V178" i="26"/>
  <c r="F184" i="26"/>
  <c r="G184" i="26" s="1"/>
  <c r="N118" i="23"/>
  <c r="H118" i="23"/>
  <c r="O118" i="23" s="1"/>
  <c r="K48" i="24"/>
  <c r="K47" i="24"/>
  <c r="G34" i="23" s="1"/>
  <c r="Q623" i="23"/>
  <c r="T623" i="23"/>
  <c r="O488" i="23"/>
  <c r="O331" i="23"/>
  <c r="Q658" i="23"/>
  <c r="Q674" i="23"/>
  <c r="P638" i="20"/>
  <c r="O632" i="20"/>
  <c r="K714" i="19"/>
  <c r="K712" i="19"/>
  <c r="R451" i="15"/>
  <c r="N255" i="15"/>
  <c r="M240" i="14"/>
  <c r="N474" i="14"/>
  <c r="N148" i="14"/>
  <c r="R303" i="10"/>
  <c r="O303" i="13"/>
  <c r="R303" i="13" s="1"/>
  <c r="M62" i="10"/>
  <c r="R434" i="9"/>
  <c r="O434" i="10"/>
  <c r="R434" i="10" s="1"/>
  <c r="K482" i="24"/>
  <c r="K481" i="24"/>
  <c r="K1555" i="24"/>
  <c r="K1554" i="24"/>
  <c r="G128" i="23" s="1"/>
  <c r="K135" i="24"/>
  <c r="K134" i="24"/>
  <c r="T634" i="23"/>
  <c r="Q634" i="23"/>
  <c r="Q681" i="23"/>
  <c r="Q680" i="23" s="1"/>
  <c r="J629" i="23"/>
  <c r="K629" i="23" s="1"/>
  <c r="Q629" i="23" s="1"/>
  <c r="K629" i="20"/>
  <c r="Q629" i="20" s="1"/>
  <c r="Q635" i="23"/>
  <c r="P657" i="20"/>
  <c r="O654" i="20"/>
  <c r="K1322" i="18"/>
  <c r="K1320" i="18"/>
  <c r="P408" i="20"/>
  <c r="T408" i="20" s="1"/>
  <c r="R405" i="16"/>
  <c r="M554" i="15"/>
  <c r="N148" i="16"/>
  <c r="N474" i="15"/>
  <c r="Q337" i="15"/>
  <c r="Q328" i="15" s="1"/>
  <c r="R334" i="13"/>
  <c r="O334" i="14"/>
  <c r="K105" i="11"/>
  <c r="K104" i="11"/>
  <c r="O34" i="14"/>
  <c r="R34" i="13"/>
  <c r="Q53" i="10"/>
  <c r="Q52" i="10" s="1"/>
  <c r="O188" i="10"/>
  <c r="O188" i="13" s="1"/>
  <c r="K1603" i="24"/>
  <c r="G130" i="23" s="1"/>
  <c r="K1604" i="24"/>
  <c r="K1216" i="18"/>
  <c r="K1215" i="18"/>
  <c r="P455" i="20"/>
  <c r="R451" i="16"/>
  <c r="N179" i="14"/>
  <c r="R310" i="13"/>
  <c r="O310" i="14"/>
  <c r="R423" i="14"/>
  <c r="O423" i="15"/>
  <c r="Q226" i="13"/>
  <c r="I237" i="7"/>
  <c r="J237" i="5"/>
  <c r="H100" i="23"/>
  <c r="O100" i="23" s="1"/>
  <c r="N100" i="23"/>
  <c r="K165" i="24"/>
  <c r="K164" i="24"/>
  <c r="G52" i="23" s="1"/>
  <c r="G182" i="26"/>
  <c r="T674" i="23"/>
  <c r="P375" i="23"/>
  <c r="T375" i="23" s="1"/>
  <c r="H252" i="20"/>
  <c r="O252" i="20" s="1"/>
  <c r="N252" i="20"/>
  <c r="N243" i="20" s="1"/>
  <c r="N228" i="20" s="1"/>
  <c r="Q659" i="23"/>
  <c r="Q228" i="20"/>
  <c r="M119" i="13"/>
  <c r="M107" i="13" s="1"/>
  <c r="G119" i="13"/>
  <c r="N119" i="13" s="1"/>
  <c r="R412" i="16"/>
  <c r="P416" i="20"/>
  <c r="K23" i="18"/>
  <c r="K22" i="18"/>
  <c r="F32" i="14" s="1"/>
  <c r="Q317" i="16"/>
  <c r="M139" i="16"/>
  <c r="P327" i="20"/>
  <c r="R324" i="16"/>
  <c r="N156" i="15"/>
  <c r="M62" i="15"/>
  <c r="R485" i="14"/>
  <c r="Q482" i="14"/>
  <c r="O440" i="14"/>
  <c r="Q94" i="14"/>
  <c r="Q165" i="14"/>
  <c r="Q222" i="9"/>
  <c r="O497" i="15"/>
  <c r="R497" i="15" s="1"/>
  <c r="N487" i="15"/>
  <c r="N131" i="16"/>
  <c r="P426" i="20"/>
  <c r="R422" i="16"/>
  <c r="K519" i="24"/>
  <c r="K518" i="24"/>
  <c r="K1530" i="24"/>
  <c r="K1529" i="24"/>
  <c r="G127" i="23" s="1"/>
  <c r="K27" i="24"/>
  <c r="K26" i="24"/>
  <c r="G33" i="23" s="1"/>
  <c r="P621" i="23"/>
  <c r="T622" i="23"/>
  <c r="T621" i="23" s="1"/>
  <c r="O514" i="23"/>
  <c r="T642" i="23"/>
  <c r="Q642" i="23"/>
  <c r="K1415" i="22"/>
  <c r="K1414" i="22"/>
  <c r="G127" i="20" s="1"/>
  <c r="K257" i="21"/>
  <c r="K256" i="21"/>
  <c r="Q617" i="23"/>
  <c r="P62" i="23"/>
  <c r="T62" i="23" s="1"/>
  <c r="T62" i="20"/>
  <c r="N406" i="16"/>
  <c r="M481" i="16"/>
  <c r="Q291" i="16"/>
  <c r="M131" i="16"/>
  <c r="N63" i="16"/>
  <c r="Q63" i="16"/>
  <c r="M139" i="15"/>
  <c r="M597" i="15"/>
  <c r="N337" i="14"/>
  <c r="Q520" i="14"/>
  <c r="R370" i="15"/>
  <c r="O370" i="16"/>
  <c r="P328" i="14"/>
  <c r="O398" i="15"/>
  <c r="R398" i="15" s="1"/>
  <c r="R398" i="14"/>
  <c r="N329" i="13"/>
  <c r="O491" i="10"/>
  <c r="R491" i="10" s="1"/>
  <c r="R491" i="9"/>
  <c r="Q487" i="5"/>
  <c r="N222" i="16"/>
  <c r="N552" i="15"/>
  <c r="N205" i="14"/>
  <c r="H99" i="23"/>
  <c r="O99" i="23" s="1"/>
  <c r="N99" i="23"/>
  <c r="O598" i="23"/>
  <c r="P668" i="23"/>
  <c r="Q669" i="23"/>
  <c r="Q668" i="23" s="1"/>
  <c r="T669" i="23"/>
  <c r="T668" i="23" s="1"/>
  <c r="T627" i="23"/>
  <c r="Q627" i="23"/>
  <c r="S142" i="23"/>
  <c r="S181" i="23"/>
  <c r="K515" i="22"/>
  <c r="K514" i="22"/>
  <c r="G94" i="20" s="1"/>
  <c r="N129" i="23"/>
  <c r="N688" i="23" s="1"/>
  <c r="H129" i="23"/>
  <c r="O129" i="23" s="1"/>
  <c r="Q651" i="23"/>
  <c r="G51" i="13"/>
  <c r="N51" i="13" s="1"/>
  <c r="M51" i="13"/>
  <c r="N566" i="16"/>
  <c r="M63" i="16"/>
  <c r="M62" i="16" s="1"/>
  <c r="M337" i="15"/>
  <c r="R370" i="14"/>
  <c r="R526" i="9"/>
  <c r="O526" i="10"/>
  <c r="E180" i="24"/>
  <c r="K180" i="24" s="1"/>
  <c r="K182" i="24" s="1"/>
  <c r="E190" i="24"/>
  <c r="K190" i="24" s="1"/>
  <c r="K192" i="24" s="1"/>
  <c r="Q63" i="15"/>
  <c r="Q62" i="15" s="1"/>
  <c r="Q175" i="10"/>
  <c r="N95" i="15"/>
  <c r="Q179" i="14"/>
  <c r="I513" i="5"/>
  <c r="J513" i="2"/>
  <c r="K1480" i="24"/>
  <c r="G125" i="23" s="1"/>
  <c r="K1481" i="24"/>
  <c r="P670" i="23"/>
  <c r="T671" i="23"/>
  <c r="T615" i="23"/>
  <c r="Q615" i="23"/>
  <c r="R331" i="23"/>
  <c r="Q621" i="20"/>
  <c r="J603" i="23"/>
  <c r="K603" i="23" s="1"/>
  <c r="K603" i="20"/>
  <c r="Q603" i="20" s="1"/>
  <c r="T566" i="20"/>
  <c r="P566" i="23"/>
  <c r="T566" i="23" s="1"/>
  <c r="T585" i="20"/>
  <c r="P585" i="23"/>
  <c r="T585" i="23" s="1"/>
  <c r="Q566" i="16"/>
  <c r="P248" i="23"/>
  <c r="T248" i="23" s="1"/>
  <c r="T248" i="20"/>
  <c r="N554" i="14"/>
  <c r="N508" i="14"/>
  <c r="N507" i="14" s="1"/>
  <c r="M317" i="14"/>
  <c r="O560" i="15"/>
  <c r="R560" i="14"/>
  <c r="M395" i="14"/>
  <c r="Q205" i="14"/>
  <c r="O463" i="13"/>
  <c r="R463" i="13" s="1"/>
  <c r="O386" i="15"/>
  <c r="R386" i="14"/>
  <c r="Q148" i="13"/>
  <c r="R358" i="14"/>
  <c r="O358" i="15"/>
  <c r="N337" i="13"/>
  <c r="O568" i="5"/>
  <c r="O568" i="7" s="1"/>
  <c r="R568" i="2"/>
  <c r="O212" i="7"/>
  <c r="R212" i="5"/>
  <c r="R479" i="7"/>
  <c r="O479" i="9"/>
  <c r="T672" i="23"/>
  <c r="R322" i="15"/>
  <c r="O322" i="16"/>
  <c r="P325" i="20" s="1"/>
  <c r="Q156" i="15"/>
  <c r="Q155" i="15" s="1"/>
  <c r="O146" i="10"/>
  <c r="R146" i="9"/>
  <c r="H121" i="23"/>
  <c r="O121" i="23" s="1"/>
  <c r="N121" i="23"/>
  <c r="L424" i="24"/>
  <c r="K424" i="24"/>
  <c r="K425" i="24"/>
  <c r="N51" i="23"/>
  <c r="H51" i="23"/>
  <c r="O51" i="23" s="1"/>
  <c r="N514" i="23"/>
  <c r="P673" i="20"/>
  <c r="T674" i="20"/>
  <c r="Q674" i="20"/>
  <c r="P601" i="20"/>
  <c r="O599" i="20"/>
  <c r="O134" i="20"/>
  <c r="G50" i="13"/>
  <c r="N50" i="13" s="1"/>
  <c r="M50" i="13"/>
  <c r="M43" i="13" s="1"/>
  <c r="Q487" i="16"/>
  <c r="P281" i="20"/>
  <c r="R278" i="16"/>
  <c r="P223" i="23"/>
  <c r="T223" i="23" s="1"/>
  <c r="T223" i="20"/>
  <c r="M155" i="15"/>
  <c r="R457" i="15"/>
  <c r="O457" i="16"/>
  <c r="O382" i="15"/>
  <c r="R382" i="14"/>
  <c r="N205" i="13"/>
  <c r="Q165" i="10"/>
  <c r="N132" i="23"/>
  <c r="H132" i="23"/>
  <c r="O132" i="23" s="1"/>
  <c r="K23" i="17"/>
  <c r="F32" i="15" s="1"/>
  <c r="K24" i="17"/>
  <c r="T153" i="20"/>
  <c r="P153" i="23"/>
  <c r="T153" i="23" s="1"/>
  <c r="Q43" i="16"/>
  <c r="R265" i="15"/>
  <c r="O265" i="16"/>
  <c r="T655" i="23"/>
  <c r="N126" i="23"/>
  <c r="H126" i="23"/>
  <c r="O126" i="23" s="1"/>
  <c r="M119" i="16"/>
  <c r="G119" i="16"/>
  <c r="N119" i="16" s="1"/>
  <c r="K1438" i="22"/>
  <c r="K1437" i="22"/>
  <c r="G128" i="20" s="1"/>
  <c r="N108" i="20"/>
  <c r="H108" i="20"/>
  <c r="O108" i="20" s="1"/>
  <c r="J653" i="23"/>
  <c r="K653" i="23" s="1"/>
  <c r="Q653" i="23" s="1"/>
  <c r="K653" i="20"/>
  <c r="Q653" i="20" s="1"/>
  <c r="J662" i="23"/>
  <c r="K662" i="23" s="1"/>
  <c r="Q662" i="23" s="1"/>
  <c r="K662" i="20"/>
  <c r="Q662" i="20" s="1"/>
  <c r="Q481" i="16"/>
  <c r="P272" i="20"/>
  <c r="R269" i="16"/>
  <c r="R238" i="15"/>
  <c r="O238" i="16"/>
  <c r="P241" i="20" s="1"/>
  <c r="P225" i="14"/>
  <c r="N554" i="13"/>
  <c r="O440" i="13"/>
  <c r="R440" i="13" s="1"/>
  <c r="R440" i="10"/>
  <c r="M406" i="10"/>
  <c r="P222" i="23"/>
  <c r="T222" i="23" s="1"/>
  <c r="T222" i="20"/>
  <c r="O170" i="5"/>
  <c r="R171" i="5"/>
  <c r="R170" i="5" s="1"/>
  <c r="S488" i="23"/>
  <c r="H133" i="20"/>
  <c r="N133" i="20"/>
  <c r="Q646" i="23"/>
  <c r="K409" i="22"/>
  <c r="K408" i="22"/>
  <c r="H132" i="20"/>
  <c r="O132" i="20" s="1"/>
  <c r="N132" i="20"/>
  <c r="Q643" i="23"/>
  <c r="Q649" i="23"/>
  <c r="Q602" i="23"/>
  <c r="S96" i="20"/>
  <c r="N181" i="20"/>
  <c r="P131" i="23"/>
  <c r="T131" i="23" s="1"/>
  <c r="T131" i="20"/>
  <c r="K190" i="19"/>
  <c r="K189" i="19"/>
  <c r="K1366" i="17"/>
  <c r="K1365" i="17"/>
  <c r="K152" i="17"/>
  <c r="K151" i="17"/>
  <c r="O404" i="16"/>
  <c r="M126" i="15"/>
  <c r="G126" i="15"/>
  <c r="N126" i="15" s="1"/>
  <c r="M126" i="14"/>
  <c r="G126" i="14"/>
  <c r="N126" i="14" s="1"/>
  <c r="R497" i="16"/>
  <c r="M566" i="16"/>
  <c r="O497" i="16"/>
  <c r="P504" i="20" s="1"/>
  <c r="R380" i="16"/>
  <c r="P534" i="20"/>
  <c r="R527" i="16"/>
  <c r="P571" i="23"/>
  <c r="T571" i="23" s="1"/>
  <c r="T571" i="20"/>
  <c r="N554" i="16"/>
  <c r="N474" i="16"/>
  <c r="Q329" i="16"/>
  <c r="Q328" i="16" s="1"/>
  <c r="N156" i="16"/>
  <c r="N155" i="16" s="1"/>
  <c r="N255" i="16"/>
  <c r="M307" i="15"/>
  <c r="M225" i="15" s="1"/>
  <c r="Q406" i="15"/>
  <c r="N43" i="15"/>
  <c r="N226" i="15"/>
  <c r="N552" i="14"/>
  <c r="R168" i="15"/>
  <c r="E221" i="15"/>
  <c r="Q219" i="15"/>
  <c r="R219" i="15" s="1"/>
  <c r="P219" i="15"/>
  <c r="N317" i="14"/>
  <c r="N255" i="14"/>
  <c r="M520" i="14"/>
  <c r="M507" i="14" s="1"/>
  <c r="O480" i="14"/>
  <c r="O480" i="15" s="1"/>
  <c r="R480" i="15" s="1"/>
  <c r="R172" i="15"/>
  <c r="M215" i="14"/>
  <c r="M317" i="13"/>
  <c r="N35" i="13"/>
  <c r="K1040" i="12"/>
  <c r="G51" i="10"/>
  <c r="N51" i="10" s="1"/>
  <c r="M51" i="10"/>
  <c r="Q205" i="13"/>
  <c r="M106" i="10"/>
  <c r="G106" i="10"/>
  <c r="N106" i="10" s="1"/>
  <c r="O106" i="10" s="1"/>
  <c r="Q291" i="10"/>
  <c r="O480" i="10"/>
  <c r="O480" i="13" s="1"/>
  <c r="R480" i="13" s="1"/>
  <c r="N474" i="10"/>
  <c r="M205" i="10"/>
  <c r="R306" i="10"/>
  <c r="R235" i="10"/>
  <c r="O235" i="13"/>
  <c r="R235" i="13" s="1"/>
  <c r="M337" i="10"/>
  <c r="M317" i="10"/>
  <c r="Q63" i="10"/>
  <c r="Q62" i="10" s="1"/>
  <c r="O495" i="10"/>
  <c r="R495" i="10" s="1"/>
  <c r="M337" i="9"/>
  <c r="O524" i="9"/>
  <c r="O524" i="10" s="1"/>
  <c r="N520" i="9"/>
  <c r="N507" i="9" s="1"/>
  <c r="M85" i="7"/>
  <c r="G85" i="7"/>
  <c r="N85" i="7" s="1"/>
  <c r="R352" i="9"/>
  <c r="Q337" i="9"/>
  <c r="Q328" i="9" s="1"/>
  <c r="O91" i="9"/>
  <c r="R91" i="7"/>
  <c r="O464" i="9"/>
  <c r="R464" i="9" s="1"/>
  <c r="R464" i="7"/>
  <c r="Q53" i="7"/>
  <c r="Q52" i="7" s="1"/>
  <c r="O460" i="9"/>
  <c r="R460" i="9" s="1"/>
  <c r="R460" i="7"/>
  <c r="M89" i="5"/>
  <c r="G89" i="5"/>
  <c r="R550" i="7"/>
  <c r="O550" i="9"/>
  <c r="O519" i="10"/>
  <c r="R519" i="10" s="1"/>
  <c r="R519" i="9"/>
  <c r="N588" i="5"/>
  <c r="O589" i="5"/>
  <c r="O458" i="7"/>
  <c r="R458" i="5"/>
  <c r="M406" i="2"/>
  <c r="O288" i="5"/>
  <c r="R288" i="5" s="1"/>
  <c r="R288" i="2"/>
  <c r="O254" i="7"/>
  <c r="R254" i="5"/>
  <c r="O250" i="5"/>
  <c r="R250" i="2"/>
  <c r="S96" i="23"/>
  <c r="K478" i="22"/>
  <c r="K477" i="22"/>
  <c r="G92" i="20" s="1"/>
  <c r="K325" i="21"/>
  <c r="K324" i="21"/>
  <c r="N99" i="20"/>
  <c r="H99" i="20"/>
  <c r="O99" i="20" s="1"/>
  <c r="M130" i="16"/>
  <c r="G130" i="16"/>
  <c r="N130" i="16" s="1"/>
  <c r="Q636" i="23"/>
  <c r="Q663" i="23"/>
  <c r="N129" i="20"/>
  <c r="N688" i="20" s="1"/>
  <c r="H129" i="20"/>
  <c r="O129" i="20" s="1"/>
  <c r="J660" i="23"/>
  <c r="K660" i="23" s="1"/>
  <c r="Q660" i="23" s="1"/>
  <c r="K660" i="20"/>
  <c r="Q660" i="20" s="1"/>
  <c r="Q628" i="23"/>
  <c r="R331" i="20"/>
  <c r="S158" i="20"/>
  <c r="T224" i="20"/>
  <c r="K127" i="17"/>
  <c r="K126" i="17"/>
  <c r="K625" i="19"/>
  <c r="K623" i="19"/>
  <c r="K385" i="19"/>
  <c r="K384" i="19"/>
  <c r="K849" i="19"/>
  <c r="K853" i="19" s="1"/>
  <c r="R425" i="16"/>
  <c r="Q554" i="16"/>
  <c r="N329" i="16"/>
  <c r="Q520" i="16"/>
  <c r="R322" i="16"/>
  <c r="R150" i="16"/>
  <c r="O541" i="15"/>
  <c r="R541" i="15" s="1"/>
  <c r="R574" i="16"/>
  <c r="R154" i="16"/>
  <c r="R499" i="15"/>
  <c r="P62" i="16"/>
  <c r="Q179" i="16"/>
  <c r="M406" i="15"/>
  <c r="M328" i="15" s="1"/>
  <c r="Q226" i="15"/>
  <c r="M53" i="15"/>
  <c r="M52" i="15" s="1"/>
  <c r="N222" i="15"/>
  <c r="O501" i="14"/>
  <c r="R501" i="14" s="1"/>
  <c r="R574" i="15"/>
  <c r="O218" i="14"/>
  <c r="O218" i="15" s="1"/>
  <c r="O218" i="16" s="1"/>
  <c r="P221" i="20" s="1"/>
  <c r="N215" i="14"/>
  <c r="M156" i="14"/>
  <c r="M155" i="14" s="1"/>
  <c r="R564" i="14"/>
  <c r="O495" i="13"/>
  <c r="M520" i="13"/>
  <c r="M507" i="13" s="1"/>
  <c r="M63" i="14"/>
  <c r="R391" i="13"/>
  <c r="R219" i="14"/>
  <c r="R578" i="13"/>
  <c r="N107" i="13"/>
  <c r="R354" i="13"/>
  <c r="M126" i="10"/>
  <c r="G126" i="10"/>
  <c r="N126" i="10" s="1"/>
  <c r="N296" i="13"/>
  <c r="R352" i="10"/>
  <c r="N317" i="10"/>
  <c r="R403" i="9"/>
  <c r="Q395" i="9"/>
  <c r="M139" i="10"/>
  <c r="R542" i="9"/>
  <c r="O542" i="10"/>
  <c r="O542" i="13" s="1"/>
  <c r="R542" i="13" s="1"/>
  <c r="O323" i="9"/>
  <c r="R323" i="9" s="1"/>
  <c r="R209" i="9"/>
  <c r="O209" i="10"/>
  <c r="O385" i="13"/>
  <c r="R385" i="10"/>
  <c r="N205" i="9"/>
  <c r="O509" i="9"/>
  <c r="R509" i="7"/>
  <c r="O421" i="7"/>
  <c r="N406" i="7"/>
  <c r="O313" i="9"/>
  <c r="R313" i="7"/>
  <c r="O470" i="10"/>
  <c r="R470" i="9"/>
  <c r="Q255" i="7"/>
  <c r="Q150" i="7"/>
  <c r="R150" i="7" s="1"/>
  <c r="P150" i="7"/>
  <c r="P148" i="7" s="1"/>
  <c r="J150" i="7"/>
  <c r="O537" i="9"/>
  <c r="R537" i="7"/>
  <c r="R127" i="7"/>
  <c r="O127" i="9"/>
  <c r="R127" i="9" s="1"/>
  <c r="M337" i="5"/>
  <c r="R200" i="7"/>
  <c r="O200" i="9"/>
  <c r="R200" i="9" s="1"/>
  <c r="O137" i="9"/>
  <c r="R137" i="7"/>
  <c r="R462" i="7"/>
  <c r="O462" i="9"/>
  <c r="R93" i="5"/>
  <c r="O93" i="7"/>
  <c r="R187" i="5"/>
  <c r="O187" i="7"/>
  <c r="O432" i="5"/>
  <c r="R432" i="2"/>
  <c r="Q224" i="23"/>
  <c r="R224" i="23"/>
  <c r="Q331" i="23"/>
  <c r="S228" i="23"/>
  <c r="K172" i="22"/>
  <c r="K171" i="22"/>
  <c r="Q606" i="23"/>
  <c r="Q605" i="23" s="1"/>
  <c r="J601" i="23"/>
  <c r="K601" i="23" s="1"/>
  <c r="K601" i="20"/>
  <c r="Q601" i="20" s="1"/>
  <c r="T618" i="20"/>
  <c r="S63" i="20"/>
  <c r="K41" i="17"/>
  <c r="F33" i="15" s="1"/>
  <c r="K42" i="17"/>
  <c r="N395" i="16"/>
  <c r="K671" i="18"/>
  <c r="K673" i="18"/>
  <c r="K1233" i="19"/>
  <c r="K1231" i="19"/>
  <c r="K736" i="18"/>
  <c r="K734" i="18"/>
  <c r="M255" i="16"/>
  <c r="K254" i="17"/>
  <c r="K255" i="17"/>
  <c r="M554" i="16"/>
  <c r="O398" i="16"/>
  <c r="O168" i="16"/>
  <c r="Q255" i="16"/>
  <c r="O336" i="16"/>
  <c r="M179" i="16"/>
  <c r="M178" i="16" s="1"/>
  <c r="M226" i="16"/>
  <c r="N79" i="16"/>
  <c r="M53" i="16"/>
  <c r="M52" i="16" s="1"/>
  <c r="M520" i="15"/>
  <c r="R563" i="15"/>
  <c r="R417" i="15"/>
  <c r="R404" i="15"/>
  <c r="Q222" i="15"/>
  <c r="R400" i="15"/>
  <c r="O419" i="15"/>
  <c r="O419" i="16" s="1"/>
  <c r="O409" i="14"/>
  <c r="R409" i="14" s="1"/>
  <c r="O303" i="14"/>
  <c r="M120" i="15"/>
  <c r="M94" i="15" s="1"/>
  <c r="Q240" i="15"/>
  <c r="M165" i="14"/>
  <c r="R47" i="15"/>
  <c r="N156" i="14"/>
  <c r="N155" i="14" s="1"/>
  <c r="N131" i="14"/>
  <c r="Q131" i="14"/>
  <c r="O543" i="13"/>
  <c r="O491" i="13"/>
  <c r="N63" i="14"/>
  <c r="M395" i="13"/>
  <c r="J221" i="14"/>
  <c r="Q221" i="14"/>
  <c r="R221" i="14" s="1"/>
  <c r="P221" i="14"/>
  <c r="O145" i="13"/>
  <c r="K255" i="11"/>
  <c r="K254" i="11"/>
  <c r="F70" i="9" s="1"/>
  <c r="R219" i="13"/>
  <c r="Q255" i="13"/>
  <c r="Q296" i="10"/>
  <c r="Q150" i="10"/>
  <c r="P150" i="10"/>
  <c r="J150" i="10"/>
  <c r="O539" i="10"/>
  <c r="Q219" i="10"/>
  <c r="R219" i="10" s="1"/>
  <c r="P219" i="10"/>
  <c r="E221" i="10"/>
  <c r="O144" i="9"/>
  <c r="N140" i="9"/>
  <c r="R320" i="9"/>
  <c r="Q317" i="9"/>
  <c r="Q205" i="7"/>
  <c r="O388" i="10"/>
  <c r="R388" i="9"/>
  <c r="O138" i="7"/>
  <c r="N131" i="7"/>
  <c r="O547" i="10"/>
  <c r="R547" i="10" s="1"/>
  <c r="R547" i="9"/>
  <c r="Q520" i="5"/>
  <c r="Q337" i="5"/>
  <c r="Q328" i="5" s="1"/>
  <c r="O590" i="9"/>
  <c r="R590" i="7"/>
  <c r="O588" i="2"/>
  <c r="R589" i="2"/>
  <c r="K193" i="17"/>
  <c r="K194" i="17"/>
  <c r="K22" i="19"/>
  <c r="K21" i="19"/>
  <c r="F32" i="13" s="1"/>
  <c r="M395" i="16"/>
  <c r="M328" i="16" s="1"/>
  <c r="P357" i="20"/>
  <c r="R354" i="16"/>
  <c r="Q79" i="16"/>
  <c r="N53" i="16"/>
  <c r="N52" i="16" s="1"/>
  <c r="N395" i="15"/>
  <c r="N328" i="15" s="1"/>
  <c r="P225" i="15"/>
  <c r="N588" i="14"/>
  <c r="N240" i="16"/>
  <c r="O493" i="14"/>
  <c r="R493" i="14" s="1"/>
  <c r="P239" i="20"/>
  <c r="R236" i="16"/>
  <c r="N395" i="14"/>
  <c r="N328" i="14" s="1"/>
  <c r="M406" i="14"/>
  <c r="N62" i="15"/>
  <c r="N175" i="15"/>
  <c r="N240" i="14"/>
  <c r="Q156" i="14"/>
  <c r="Q155" i="14" s="1"/>
  <c r="Q328" i="14"/>
  <c r="O539" i="13"/>
  <c r="N482" i="13"/>
  <c r="Q63" i="14"/>
  <c r="Q62" i="14" s="1"/>
  <c r="Q315" i="13"/>
  <c r="J221" i="13"/>
  <c r="Q221" i="13"/>
  <c r="R221" i="13" s="1"/>
  <c r="P221" i="13"/>
  <c r="N566" i="10"/>
  <c r="M566" i="10"/>
  <c r="O237" i="13"/>
  <c r="R237" i="10"/>
  <c r="P596" i="10"/>
  <c r="Q337" i="10"/>
  <c r="O466" i="10"/>
  <c r="R466" i="9"/>
  <c r="N487" i="10"/>
  <c r="N481" i="10" s="1"/>
  <c r="O413" i="10"/>
  <c r="O413" i="13" s="1"/>
  <c r="R413" i="9"/>
  <c r="R173" i="10"/>
  <c r="O173" i="13"/>
  <c r="R173" i="13" s="1"/>
  <c r="R311" i="7"/>
  <c r="Q307" i="7"/>
  <c r="K80" i="8"/>
  <c r="K79" i="8"/>
  <c r="R546" i="9"/>
  <c r="O546" i="10"/>
  <c r="O546" i="13" s="1"/>
  <c r="R546" i="13" s="1"/>
  <c r="O556" i="5"/>
  <c r="O556" i="7" s="1"/>
  <c r="R556" i="7" s="1"/>
  <c r="N554" i="5"/>
  <c r="O104" i="7"/>
  <c r="R104" i="5"/>
  <c r="M507" i="5"/>
  <c r="M49" i="5"/>
  <c r="G49" i="5"/>
  <c r="N49" i="5" s="1"/>
  <c r="O454" i="7"/>
  <c r="R454" i="5"/>
  <c r="O302" i="5"/>
  <c r="R302" i="2"/>
  <c r="O342" i="5"/>
  <c r="R342" i="2"/>
  <c r="I259" i="7"/>
  <c r="J259" i="5"/>
  <c r="R213" i="1"/>
  <c r="O213" i="2"/>
  <c r="R213" i="2" s="1"/>
  <c r="O149" i="2"/>
  <c r="O148" i="1"/>
  <c r="R149" i="1"/>
  <c r="I45" i="2"/>
  <c r="J45" i="1"/>
  <c r="I404" i="7"/>
  <c r="J404" i="5"/>
  <c r="Q151" i="23"/>
  <c r="R228" i="23"/>
  <c r="O63" i="23"/>
  <c r="Q631" i="23"/>
  <c r="O625" i="20"/>
  <c r="P626" i="20"/>
  <c r="Q622" i="23"/>
  <c r="K24" i="21"/>
  <c r="F32" i="16" s="1"/>
  <c r="K25" i="21"/>
  <c r="P473" i="23"/>
  <c r="T473" i="23" s="1"/>
  <c r="T473" i="20"/>
  <c r="J652" i="23"/>
  <c r="K652" i="23" s="1"/>
  <c r="Q652" i="23" s="1"/>
  <c r="K652" i="20"/>
  <c r="Q652" i="20" s="1"/>
  <c r="Q657" i="20"/>
  <c r="T420" i="20"/>
  <c r="R63" i="20"/>
  <c r="T277" i="20"/>
  <c r="K52" i="17"/>
  <c r="K51" i="17"/>
  <c r="K1198" i="19"/>
  <c r="F126" i="13"/>
  <c r="K48" i="19"/>
  <c r="K47" i="19"/>
  <c r="R586" i="16"/>
  <c r="N552" i="16"/>
  <c r="Q395" i="16"/>
  <c r="P371" i="20"/>
  <c r="R368" i="16"/>
  <c r="P328" i="16"/>
  <c r="N215" i="16"/>
  <c r="N226" i="16"/>
  <c r="R274" i="16"/>
  <c r="P140" i="16"/>
  <c r="P139" i="16" s="1"/>
  <c r="Q53" i="16"/>
  <c r="Q52" i="16" s="1"/>
  <c r="R65" i="16"/>
  <c r="O409" i="15"/>
  <c r="O409" i="16" s="1"/>
  <c r="M165" i="15"/>
  <c r="O585" i="14"/>
  <c r="N170" i="15"/>
  <c r="Q175" i="15"/>
  <c r="R417" i="14"/>
  <c r="N307" i="14"/>
  <c r="N53" i="14"/>
  <c r="N52" i="14" s="1"/>
  <c r="R372" i="14"/>
  <c r="O535" i="14"/>
  <c r="R535" i="14" s="1"/>
  <c r="R535" i="13"/>
  <c r="R398" i="13"/>
  <c r="Q395" i="13"/>
  <c r="Q328" i="13" s="1"/>
  <c r="K21" i="12"/>
  <c r="K20" i="12"/>
  <c r="F32" i="10" s="1"/>
  <c r="R358" i="13"/>
  <c r="N131" i="13"/>
  <c r="N79" i="13"/>
  <c r="K129" i="11"/>
  <c r="K128" i="11"/>
  <c r="F51" i="9" s="1"/>
  <c r="O174" i="13"/>
  <c r="O174" i="14" s="1"/>
  <c r="Q337" i="13"/>
  <c r="K547" i="12"/>
  <c r="M101" i="9"/>
  <c r="G101" i="9"/>
  <c r="N101" i="9" s="1"/>
  <c r="O101" i="9" s="1"/>
  <c r="R101" i="9" s="1"/>
  <c r="N63" i="13"/>
  <c r="N62" i="13" s="1"/>
  <c r="R416" i="10"/>
  <c r="N307" i="10"/>
  <c r="M395" i="10"/>
  <c r="Q520" i="9"/>
  <c r="Q107" i="10"/>
  <c r="Q94" i="10" s="1"/>
  <c r="Q474" i="9"/>
  <c r="O494" i="10"/>
  <c r="R494" i="9"/>
  <c r="M406" i="7"/>
  <c r="O174" i="9"/>
  <c r="N170" i="9"/>
  <c r="O503" i="9"/>
  <c r="R503" i="7"/>
  <c r="M520" i="5"/>
  <c r="O512" i="2"/>
  <c r="N508" i="2"/>
  <c r="O414" i="7"/>
  <c r="R414" i="5"/>
  <c r="O347" i="2"/>
  <c r="R347" i="2" s="1"/>
  <c r="R347" i="1"/>
  <c r="K412" i="24"/>
  <c r="K413" i="24"/>
  <c r="Q514" i="23"/>
  <c r="R151" i="23"/>
  <c r="K1391" i="22"/>
  <c r="G126" i="20" s="1"/>
  <c r="K1392" i="22"/>
  <c r="K1337" i="21"/>
  <c r="K1336" i="21"/>
  <c r="F126" i="16" s="1"/>
  <c r="T619" i="20"/>
  <c r="J678" i="23"/>
  <c r="K678" i="23" s="1"/>
  <c r="K678" i="20"/>
  <c r="Q678" i="20" s="1"/>
  <c r="J619" i="23"/>
  <c r="K619" i="23" s="1"/>
  <c r="Q619" i="23" s="1"/>
  <c r="K619" i="20"/>
  <c r="Q619" i="20" s="1"/>
  <c r="E146" i="20"/>
  <c r="R144" i="20"/>
  <c r="Q144" i="20"/>
  <c r="E224" i="20"/>
  <c r="R222" i="20"/>
  <c r="Q222" i="20"/>
  <c r="K612" i="18"/>
  <c r="K610" i="18"/>
  <c r="K495" i="19"/>
  <c r="K494" i="19"/>
  <c r="Q552" i="16"/>
  <c r="O489" i="16"/>
  <c r="N487" i="16"/>
  <c r="N481" i="16" s="1"/>
  <c r="M291" i="16"/>
  <c r="P507" i="16"/>
  <c r="M33" i="14"/>
  <c r="G33" i="14"/>
  <c r="N33" i="14" s="1"/>
  <c r="R372" i="16"/>
  <c r="N520" i="15"/>
  <c r="M508" i="15"/>
  <c r="N337" i="16"/>
  <c r="Q482" i="15"/>
  <c r="Q481" i="15" s="1"/>
  <c r="M566" i="15"/>
  <c r="Q337" i="16"/>
  <c r="O268" i="15"/>
  <c r="N165" i="15"/>
  <c r="Q148" i="16"/>
  <c r="R415" i="15"/>
  <c r="M337" i="14"/>
  <c r="M179" i="14"/>
  <c r="O235" i="14"/>
  <c r="M226" i="14"/>
  <c r="M597" i="14" s="1"/>
  <c r="N240" i="15"/>
  <c r="R201" i="14"/>
  <c r="R422" i="14"/>
  <c r="R380" i="14"/>
  <c r="O261" i="15"/>
  <c r="M566" i="13"/>
  <c r="M215" i="13"/>
  <c r="Q507" i="13"/>
  <c r="M296" i="13"/>
  <c r="Q53" i="14"/>
  <c r="Q52" i="14" s="1"/>
  <c r="R422" i="13"/>
  <c r="R451" i="13"/>
  <c r="K377" i="11"/>
  <c r="K376" i="11"/>
  <c r="F78" i="9" s="1"/>
  <c r="R230" i="13"/>
  <c r="O230" i="14"/>
  <c r="M69" i="9"/>
  <c r="G69" i="9"/>
  <c r="N69" i="9" s="1"/>
  <c r="Q255" i="10"/>
  <c r="O101" i="10"/>
  <c r="O101" i="13" s="1"/>
  <c r="R101" i="13" s="1"/>
  <c r="E143" i="9"/>
  <c r="Q141" i="9"/>
  <c r="P141" i="9"/>
  <c r="J141" i="9"/>
  <c r="M487" i="9"/>
  <c r="M481" i="9" s="1"/>
  <c r="O467" i="10"/>
  <c r="R467" i="9"/>
  <c r="R366" i="9"/>
  <c r="O366" i="10"/>
  <c r="R366" i="10" s="1"/>
  <c r="O486" i="10"/>
  <c r="R486" i="9"/>
  <c r="R384" i="9"/>
  <c r="O384" i="10"/>
  <c r="R217" i="9"/>
  <c r="O217" i="10"/>
  <c r="O217" i="13" s="1"/>
  <c r="O217" i="14" s="1"/>
  <c r="G41" i="1"/>
  <c r="M41" i="1"/>
  <c r="O81" i="10"/>
  <c r="R81" i="9"/>
  <c r="O565" i="7"/>
  <c r="R565" i="5"/>
  <c r="O551" i="7"/>
  <c r="R551" i="5"/>
  <c r="O438" i="7"/>
  <c r="R438" i="5"/>
  <c r="O410" i="7"/>
  <c r="R410" i="5"/>
  <c r="M337" i="2"/>
  <c r="I454" i="7"/>
  <c r="J454" i="5"/>
  <c r="I412" i="7"/>
  <c r="J412" i="5"/>
  <c r="I61" i="7"/>
  <c r="J61" i="5"/>
  <c r="E146" i="23"/>
  <c r="R144" i="23"/>
  <c r="Q144" i="23"/>
  <c r="K1369" i="22"/>
  <c r="K1368" i="22"/>
  <c r="G125" i="20" s="1"/>
  <c r="K46" i="22"/>
  <c r="K45" i="22"/>
  <c r="G34" i="20" s="1"/>
  <c r="K26" i="22"/>
  <c r="K25" i="22"/>
  <c r="G33" i="20" s="1"/>
  <c r="S63" i="23"/>
  <c r="S682" i="23" s="1"/>
  <c r="K458" i="21"/>
  <c r="K457" i="21"/>
  <c r="K391" i="21"/>
  <c r="K390" i="21"/>
  <c r="J612" i="23"/>
  <c r="K612" i="23" s="1"/>
  <c r="K612" i="20"/>
  <c r="P678" i="23"/>
  <c r="T678" i="23" s="1"/>
  <c r="T678" i="20"/>
  <c r="P204" i="23"/>
  <c r="T204" i="23" s="1"/>
  <c r="T204" i="20"/>
  <c r="M130" i="14"/>
  <c r="G130" i="14"/>
  <c r="N130" i="14" s="1"/>
  <c r="P363" i="20"/>
  <c r="R360" i="16"/>
  <c r="Q131" i="16"/>
  <c r="R282" i="16"/>
  <c r="N179" i="16"/>
  <c r="N178" i="16" s="1"/>
  <c r="R266" i="16"/>
  <c r="J143" i="16"/>
  <c r="E216" i="16"/>
  <c r="P143" i="16"/>
  <c r="Q143" i="16"/>
  <c r="R143" i="16" s="1"/>
  <c r="M474" i="15"/>
  <c r="Q566" i="15"/>
  <c r="N482" i="15"/>
  <c r="N481" i="15" s="1"/>
  <c r="O570" i="15"/>
  <c r="O570" i="16" s="1"/>
  <c r="Q35" i="16"/>
  <c r="Q27" i="16" s="1"/>
  <c r="N588" i="15"/>
  <c r="Q588" i="15"/>
  <c r="N131" i="15"/>
  <c r="N107" i="15"/>
  <c r="R142" i="15"/>
  <c r="M487" i="14"/>
  <c r="M481" i="14" s="1"/>
  <c r="M222" i="14"/>
  <c r="M205" i="14"/>
  <c r="N406" i="14"/>
  <c r="O542" i="14"/>
  <c r="O542" i="15" s="1"/>
  <c r="N140" i="14"/>
  <c r="N139" i="14" s="1"/>
  <c r="Q406" i="14"/>
  <c r="M79" i="14"/>
  <c r="M50" i="10"/>
  <c r="G50" i="10"/>
  <c r="N50" i="10" s="1"/>
  <c r="M307" i="13"/>
  <c r="R477" i="10"/>
  <c r="Q474" i="10"/>
  <c r="R350" i="10"/>
  <c r="O350" i="13"/>
  <c r="N165" i="13"/>
  <c r="R429" i="13"/>
  <c r="O429" i="14"/>
  <c r="O429" i="15" s="1"/>
  <c r="N226" i="10"/>
  <c r="N53" i="10"/>
  <c r="N52" i="10" s="1"/>
  <c r="Q205" i="10"/>
  <c r="Q43" i="10"/>
  <c r="Q27" i="10" s="1"/>
  <c r="R185" i="9"/>
  <c r="O185" i="10"/>
  <c r="Q508" i="9"/>
  <c r="Q507" i="9" s="1"/>
  <c r="O402" i="10"/>
  <c r="R402" i="10" s="1"/>
  <c r="R402" i="9"/>
  <c r="Q165" i="7"/>
  <c r="Q155" i="7" s="1"/>
  <c r="R427" i="5"/>
  <c r="O427" i="7"/>
  <c r="O427" i="9" s="1"/>
  <c r="O427" i="10" s="1"/>
  <c r="R427" i="10" s="1"/>
  <c r="Q178" i="7"/>
  <c r="Q481" i="7"/>
  <c r="O243" i="5"/>
  <c r="R243" i="5" s="1"/>
  <c r="N240" i="5"/>
  <c r="O189" i="5"/>
  <c r="N179" i="5"/>
  <c r="O561" i="9"/>
  <c r="R561" i="9" s="1"/>
  <c r="R561" i="7"/>
  <c r="R471" i="5"/>
  <c r="O471" i="7"/>
  <c r="R164" i="7"/>
  <c r="O164" i="9"/>
  <c r="O191" i="7"/>
  <c r="R191" i="5"/>
  <c r="R505" i="5"/>
  <c r="O505" i="7"/>
  <c r="R291" i="2"/>
  <c r="I554" i="5"/>
  <c r="J554" i="2"/>
  <c r="I469" i="7"/>
  <c r="J469" i="5"/>
  <c r="I441" i="5"/>
  <c r="J441" i="2"/>
  <c r="I372" i="7"/>
  <c r="J372" i="5"/>
  <c r="I324" i="7"/>
  <c r="J324" i="5"/>
  <c r="I276" i="7"/>
  <c r="J276" i="5"/>
  <c r="I43" i="7"/>
  <c r="J43" i="5"/>
  <c r="J548" i="2"/>
  <c r="I548" i="5"/>
  <c r="I390" i="5"/>
  <c r="J390" i="2"/>
  <c r="I362" i="7"/>
  <c r="J362" i="5"/>
  <c r="I330" i="7"/>
  <c r="J330" i="5"/>
  <c r="I277" i="5"/>
  <c r="J277" i="2"/>
  <c r="O99" i="2"/>
  <c r="R99" i="1"/>
  <c r="M307" i="1"/>
  <c r="I496" i="5"/>
  <c r="J496" i="2"/>
  <c r="O228" i="23"/>
  <c r="P408" i="23"/>
  <c r="T408" i="23" s="1"/>
  <c r="N228" i="23"/>
  <c r="R153" i="23"/>
  <c r="Q153" i="23"/>
  <c r="K941" i="21"/>
  <c r="F113" i="16" s="1"/>
  <c r="Q670" i="20"/>
  <c r="P612" i="20"/>
  <c r="O609" i="20"/>
  <c r="T424" i="20"/>
  <c r="S514" i="20"/>
  <c r="K1165" i="19"/>
  <c r="K1164" i="19"/>
  <c r="R549" i="16"/>
  <c r="K111" i="18"/>
  <c r="K110" i="18"/>
  <c r="K660" i="19"/>
  <c r="K658" i="19"/>
  <c r="K82" i="17"/>
  <c r="K81" i="17"/>
  <c r="R96" i="20"/>
  <c r="N97" i="20"/>
  <c r="K445" i="17"/>
  <c r="K444" i="17"/>
  <c r="M520" i="16"/>
  <c r="Q406" i="16"/>
  <c r="O529" i="16"/>
  <c r="M508" i="16"/>
  <c r="N315" i="16"/>
  <c r="Q222" i="16"/>
  <c r="M222" i="16"/>
  <c r="O362" i="16"/>
  <c r="P365" i="20" s="1"/>
  <c r="O513" i="15"/>
  <c r="R513" i="15" s="1"/>
  <c r="M307" i="16"/>
  <c r="N566" i="15"/>
  <c r="M482" i="15"/>
  <c r="M481" i="15" s="1"/>
  <c r="R570" i="15"/>
  <c r="N35" i="16"/>
  <c r="Q508" i="14"/>
  <c r="Q507" i="14" s="1"/>
  <c r="E216" i="15"/>
  <c r="Q143" i="15"/>
  <c r="R143" i="15" s="1"/>
  <c r="P143" i="15"/>
  <c r="P140" i="15" s="1"/>
  <c r="P139" i="15" s="1"/>
  <c r="J143" i="15"/>
  <c r="O477" i="14"/>
  <c r="O477" i="15" s="1"/>
  <c r="M329" i="14"/>
  <c r="M328" i="14" s="1"/>
  <c r="R425" i="14"/>
  <c r="Q179" i="15"/>
  <c r="Q178" i="15" s="1"/>
  <c r="O446" i="14"/>
  <c r="R446" i="14" s="1"/>
  <c r="N226" i="14"/>
  <c r="N487" i="14"/>
  <c r="Q79" i="15"/>
  <c r="R134" i="15"/>
  <c r="Q131" i="15"/>
  <c r="R542" i="14"/>
  <c r="M53" i="14"/>
  <c r="M52" i="14" s="1"/>
  <c r="N520" i="13"/>
  <c r="N487" i="13"/>
  <c r="O435" i="13"/>
  <c r="O435" i="14" s="1"/>
  <c r="M337" i="13"/>
  <c r="M406" i="13"/>
  <c r="O66" i="14"/>
  <c r="R66" i="13"/>
  <c r="O68" i="13"/>
  <c r="K863" i="11"/>
  <c r="K862" i="11"/>
  <c r="F124" i="9" s="1"/>
  <c r="R37" i="13"/>
  <c r="R546" i="10"/>
  <c r="M329" i="10"/>
  <c r="O258" i="10"/>
  <c r="O258" i="13" s="1"/>
  <c r="N255" i="10"/>
  <c r="O327" i="13"/>
  <c r="R327" i="13" s="1"/>
  <c r="R327" i="10"/>
  <c r="Q554" i="10"/>
  <c r="R320" i="10"/>
  <c r="R37" i="10"/>
  <c r="Q35" i="10"/>
  <c r="R346" i="9"/>
  <c r="O346" i="10"/>
  <c r="R575" i="7"/>
  <c r="O575" i="9"/>
  <c r="O575" i="10" s="1"/>
  <c r="R575" i="10" s="1"/>
  <c r="O183" i="9"/>
  <c r="R183" i="7"/>
  <c r="M35" i="7"/>
  <c r="N95" i="5"/>
  <c r="N94" i="5" s="1"/>
  <c r="O557" i="7"/>
  <c r="R557" i="5"/>
  <c r="N255" i="5"/>
  <c r="O234" i="7"/>
  <c r="R234" i="5"/>
  <c r="G51" i="1"/>
  <c r="M51" i="1"/>
  <c r="O204" i="7"/>
  <c r="R204" i="5"/>
  <c r="M507" i="1"/>
  <c r="O86" i="2"/>
  <c r="N79" i="2"/>
  <c r="I402" i="5"/>
  <c r="J402" i="2"/>
  <c r="K1356" i="21"/>
  <c r="K1355" i="21"/>
  <c r="K501" i="21"/>
  <c r="K500" i="21"/>
  <c r="K1483" i="22"/>
  <c r="K1482" i="22"/>
  <c r="G130" i="20" s="1"/>
  <c r="Q671" i="23"/>
  <c r="Q670" i="23" s="1"/>
  <c r="Q677" i="23"/>
  <c r="J656" i="23"/>
  <c r="K656" i="23" s="1"/>
  <c r="Q656" i="23" s="1"/>
  <c r="K656" i="20"/>
  <c r="Q656" i="20" s="1"/>
  <c r="Q654" i="20" s="1"/>
  <c r="Q613" i="23"/>
  <c r="K143" i="21"/>
  <c r="K142" i="21"/>
  <c r="J618" i="23"/>
  <c r="K618" i="23" s="1"/>
  <c r="Q618" i="23" s="1"/>
  <c r="K618" i="20"/>
  <c r="Q618" i="20" s="1"/>
  <c r="S331" i="20"/>
  <c r="S682" i="20" s="1"/>
  <c r="Q599" i="20"/>
  <c r="S228" i="20"/>
  <c r="M101" i="14"/>
  <c r="G101" i="14"/>
  <c r="N101" i="14" s="1"/>
  <c r="K588" i="18"/>
  <c r="K592" i="18" s="1"/>
  <c r="G96" i="13"/>
  <c r="N96" i="13" s="1"/>
  <c r="M96" i="13"/>
  <c r="M95" i="13" s="1"/>
  <c r="E154" i="18"/>
  <c r="K154" i="18" s="1"/>
  <c r="K156" i="18" s="1"/>
  <c r="E164" i="18"/>
  <c r="K164" i="18" s="1"/>
  <c r="K166" i="18" s="1"/>
  <c r="N520" i="16"/>
  <c r="Q508" i="16"/>
  <c r="Q507" i="16" s="1"/>
  <c r="M128" i="13"/>
  <c r="G128" i="13"/>
  <c r="N128" i="13" s="1"/>
  <c r="N508" i="16"/>
  <c r="M317" i="16"/>
  <c r="R416" i="16"/>
  <c r="N508" i="15"/>
  <c r="Q156" i="16"/>
  <c r="Q155" i="16" s="1"/>
  <c r="N307" i="16"/>
  <c r="N43" i="16"/>
  <c r="Q487" i="15"/>
  <c r="O535" i="15"/>
  <c r="O535" i="16" s="1"/>
  <c r="O450" i="15"/>
  <c r="O450" i="16" s="1"/>
  <c r="M43" i="15"/>
  <c r="M148" i="15"/>
  <c r="N148" i="15"/>
  <c r="N139" i="15" s="1"/>
  <c r="N520" i="14"/>
  <c r="Q205" i="15"/>
  <c r="Q487" i="14"/>
  <c r="N222" i="14"/>
  <c r="N205" i="15"/>
  <c r="N178" i="15" s="1"/>
  <c r="M307" i="14"/>
  <c r="M255" i="14"/>
  <c r="N120" i="15"/>
  <c r="Q150" i="14"/>
  <c r="R150" i="14" s="1"/>
  <c r="P150" i="14"/>
  <c r="P148" i="14" s="1"/>
  <c r="J150" i="14"/>
  <c r="N296" i="14"/>
  <c r="N291" i="14"/>
  <c r="O575" i="13"/>
  <c r="N566" i="13"/>
  <c r="O519" i="13"/>
  <c r="Q170" i="15"/>
  <c r="R404" i="14"/>
  <c r="J141" i="13"/>
  <c r="E143" i="13"/>
  <c r="Q141" i="13"/>
  <c r="P141" i="13"/>
  <c r="N175" i="14"/>
  <c r="N406" i="13"/>
  <c r="Q240" i="13"/>
  <c r="N156" i="13"/>
  <c r="N155" i="13" s="1"/>
  <c r="N222" i="13"/>
  <c r="R542" i="10"/>
  <c r="R480" i="10"/>
  <c r="M43" i="10"/>
  <c r="O305" i="13"/>
  <c r="R305" i="10"/>
  <c r="M179" i="10"/>
  <c r="M178" i="10" s="1"/>
  <c r="O46" i="9"/>
  <c r="M507" i="9"/>
  <c r="O345" i="7"/>
  <c r="N337" i="7"/>
  <c r="N328" i="7" s="1"/>
  <c r="R173" i="9"/>
  <c r="R228" i="9"/>
  <c r="Q226" i="9"/>
  <c r="Q225" i="9" s="1"/>
  <c r="R343" i="7"/>
  <c r="Q337" i="7"/>
  <c r="Q328" i="7" s="1"/>
  <c r="M329" i="9"/>
  <c r="R161" i="7"/>
  <c r="O161" i="9"/>
  <c r="R124" i="7"/>
  <c r="Q120" i="7"/>
  <c r="R347" i="5"/>
  <c r="O297" i="5"/>
  <c r="N296" i="5"/>
  <c r="Q120" i="5"/>
  <c r="R98" i="5"/>
  <c r="Q95" i="5"/>
  <c r="R48" i="7"/>
  <c r="O48" i="9"/>
  <c r="R196" i="2"/>
  <c r="O196" i="5"/>
  <c r="I552" i="7"/>
  <c r="J552" i="5"/>
  <c r="I137" i="7"/>
  <c r="J137" i="5"/>
  <c r="I121" i="7"/>
  <c r="J121" i="5"/>
  <c r="I105" i="7"/>
  <c r="J105" i="5"/>
  <c r="M62" i="1"/>
  <c r="I207" i="7"/>
  <c r="J207" i="5"/>
  <c r="I183" i="7"/>
  <c r="J183" i="5"/>
  <c r="I151" i="7"/>
  <c r="J151" i="5"/>
  <c r="O579" i="1"/>
  <c r="O579" i="2" s="1"/>
  <c r="R579" i="2" s="1"/>
  <c r="N566" i="1"/>
  <c r="M33" i="16"/>
  <c r="G33" i="16"/>
  <c r="N33" i="16" s="1"/>
  <c r="P603" i="23"/>
  <c r="T603" i="23" s="1"/>
  <c r="T603" i="20"/>
  <c r="Q600" i="23"/>
  <c r="K389" i="17"/>
  <c r="K388" i="17"/>
  <c r="K499" i="17"/>
  <c r="K498" i="17"/>
  <c r="K387" i="18"/>
  <c r="K386" i="18"/>
  <c r="K37" i="19"/>
  <c r="F33" i="13" s="1"/>
  <c r="K38" i="19"/>
  <c r="M121" i="13"/>
  <c r="G121" i="13"/>
  <c r="N121" i="13" s="1"/>
  <c r="E152" i="19"/>
  <c r="K152" i="19" s="1"/>
  <c r="K154" i="19" s="1"/>
  <c r="E162" i="19"/>
  <c r="K162" i="19" s="1"/>
  <c r="K164" i="19" s="1"/>
  <c r="P506" i="20"/>
  <c r="R499" i="16"/>
  <c r="M123" i="13"/>
  <c r="G123" i="13"/>
  <c r="N123" i="13" s="1"/>
  <c r="O123" i="13" s="1"/>
  <c r="R123" i="13" s="1"/>
  <c r="R485" i="16"/>
  <c r="Q226" i="16"/>
  <c r="N317" i="16"/>
  <c r="Q205" i="16"/>
  <c r="N95" i="16"/>
  <c r="Q307" i="16"/>
  <c r="N296" i="16"/>
  <c r="M43" i="16"/>
  <c r="Q474" i="15"/>
  <c r="Q554" i="15"/>
  <c r="R450" i="15"/>
  <c r="Q508" i="15"/>
  <c r="Q507" i="15" s="1"/>
  <c r="Q94" i="16"/>
  <c r="R400" i="14"/>
  <c r="Q395" i="14"/>
  <c r="Q474" i="14"/>
  <c r="Q255" i="15"/>
  <c r="R457" i="14"/>
  <c r="Q95" i="15"/>
  <c r="Q94" i="15" s="1"/>
  <c r="N482" i="14"/>
  <c r="N481" i="14" s="1"/>
  <c r="O381" i="15"/>
  <c r="R381" i="14"/>
  <c r="O377" i="14"/>
  <c r="O515" i="13"/>
  <c r="Q107" i="15"/>
  <c r="M329" i="13"/>
  <c r="N170" i="14"/>
  <c r="Q406" i="13"/>
  <c r="R419" i="13"/>
  <c r="R324" i="13"/>
  <c r="N170" i="13"/>
  <c r="G127" i="10"/>
  <c r="N127" i="10" s="1"/>
  <c r="O127" i="10" s="1"/>
  <c r="M127" i="10"/>
  <c r="M596" i="10" s="1"/>
  <c r="N291" i="13"/>
  <c r="Q179" i="13"/>
  <c r="Q178" i="13" s="1"/>
  <c r="K140" i="11"/>
  <c r="K139" i="11"/>
  <c r="O448" i="13"/>
  <c r="R448" i="13" s="1"/>
  <c r="R448" i="10"/>
  <c r="K629" i="12"/>
  <c r="K627" i="12"/>
  <c r="Q156" i="13"/>
  <c r="O98" i="13"/>
  <c r="O98" i="14" s="1"/>
  <c r="N175" i="10"/>
  <c r="O531" i="10"/>
  <c r="R531" i="10" s="1"/>
  <c r="N520" i="10"/>
  <c r="N507" i="10" s="1"/>
  <c r="Q395" i="10"/>
  <c r="Q520" i="10"/>
  <c r="N337" i="10"/>
  <c r="N165" i="10"/>
  <c r="N315" i="9"/>
  <c r="Q165" i="9"/>
  <c r="O373" i="10"/>
  <c r="R373" i="9"/>
  <c r="M75" i="7"/>
  <c r="G75" i="7"/>
  <c r="N75" i="7" s="1"/>
  <c r="N554" i="7"/>
  <c r="M395" i="7"/>
  <c r="R152" i="9"/>
  <c r="O152" i="10"/>
  <c r="O525" i="9"/>
  <c r="R525" i="7"/>
  <c r="R442" i="2"/>
  <c r="O442" i="5"/>
  <c r="O390" i="5"/>
  <c r="R390" i="2"/>
  <c r="R401" i="2"/>
  <c r="Q395" i="2"/>
  <c r="R293" i="2"/>
  <c r="Q291" i="2"/>
  <c r="I543" i="7"/>
  <c r="J543" i="5"/>
  <c r="I527" i="7"/>
  <c r="J527" i="5"/>
  <c r="O392" i="7"/>
  <c r="R392" i="5"/>
  <c r="R274" i="1"/>
  <c r="Q255" i="1"/>
  <c r="I140" i="7"/>
  <c r="J140" i="5"/>
  <c r="I116" i="7"/>
  <c r="J116" i="5"/>
  <c r="I302" i="7"/>
  <c r="J302" i="5"/>
  <c r="I270" i="7"/>
  <c r="J270" i="5"/>
  <c r="O208" i="2"/>
  <c r="R208" i="1"/>
  <c r="R184" i="1"/>
  <c r="O184" i="2"/>
  <c r="I153" i="7"/>
  <c r="J153" i="5"/>
  <c r="I288" i="7"/>
  <c r="J288" i="5"/>
  <c r="N131" i="2"/>
  <c r="N406" i="1"/>
  <c r="O407" i="1"/>
  <c r="I310" i="7"/>
  <c r="J310" i="5"/>
  <c r="I148" i="7"/>
  <c r="J148" i="5"/>
  <c r="I115" i="7"/>
  <c r="J115" i="5"/>
  <c r="I169" i="7"/>
  <c r="J169" i="5"/>
  <c r="M139" i="1"/>
  <c r="I205" i="7"/>
  <c r="J205" i="5"/>
  <c r="N474" i="13"/>
  <c r="R370" i="13"/>
  <c r="P148" i="13"/>
  <c r="R362" i="13"/>
  <c r="O411" i="13"/>
  <c r="O411" i="14" s="1"/>
  <c r="G126" i="9"/>
  <c r="N126" i="9" s="1"/>
  <c r="O126" i="9" s="1"/>
  <c r="R126" i="9" s="1"/>
  <c r="M126" i="9"/>
  <c r="M114" i="9"/>
  <c r="G114" i="9"/>
  <c r="N114" i="9" s="1"/>
  <c r="O114" i="9" s="1"/>
  <c r="D648" i="14"/>
  <c r="J647" i="13"/>
  <c r="O312" i="13"/>
  <c r="O312" i="14" s="1"/>
  <c r="O55" i="13"/>
  <c r="O55" i="14" s="1"/>
  <c r="N307" i="13"/>
  <c r="K380" i="12"/>
  <c r="K381" i="12"/>
  <c r="O464" i="10"/>
  <c r="M255" i="13"/>
  <c r="K36" i="12"/>
  <c r="K35" i="12"/>
  <c r="F33" i="10" s="1"/>
  <c r="O57" i="13"/>
  <c r="M474" i="10"/>
  <c r="N329" i="10"/>
  <c r="Q165" i="13"/>
  <c r="P148" i="10"/>
  <c r="O585" i="10"/>
  <c r="O585" i="13" s="1"/>
  <c r="R585" i="13" s="1"/>
  <c r="O352" i="10"/>
  <c r="O352" i="13" s="1"/>
  <c r="M406" i="9"/>
  <c r="M240" i="10"/>
  <c r="O91" i="10"/>
  <c r="O582" i="10"/>
  <c r="R582" i="10" s="1"/>
  <c r="O263" i="10"/>
  <c r="R182" i="13"/>
  <c r="Q317" i="10"/>
  <c r="O130" i="10"/>
  <c r="R523" i="10"/>
  <c r="R129" i="10"/>
  <c r="O211" i="10"/>
  <c r="R101" i="10"/>
  <c r="O500" i="9"/>
  <c r="R500" i="9" s="1"/>
  <c r="J143" i="10"/>
  <c r="E216" i="10"/>
  <c r="P143" i="10"/>
  <c r="Q143" i="10"/>
  <c r="R143" i="10" s="1"/>
  <c r="N487" i="9"/>
  <c r="N317" i="9"/>
  <c r="N482" i="9"/>
  <c r="N481" i="9" s="1"/>
  <c r="R405" i="9"/>
  <c r="R524" i="9"/>
  <c r="O436" i="9"/>
  <c r="R436" i="9" s="1"/>
  <c r="R91" i="9"/>
  <c r="R66" i="9"/>
  <c r="R399" i="9"/>
  <c r="R377" i="9"/>
  <c r="Q63" i="9"/>
  <c r="N148" i="9"/>
  <c r="M307" i="9"/>
  <c r="R174" i="9"/>
  <c r="O437" i="7"/>
  <c r="M255" i="9"/>
  <c r="R57" i="9"/>
  <c r="R42" i="9"/>
  <c r="R411" i="7"/>
  <c r="R359" i="7"/>
  <c r="R303" i="7"/>
  <c r="Q179" i="9"/>
  <c r="R34" i="9"/>
  <c r="R515" i="7"/>
  <c r="O192" i="9"/>
  <c r="R192" i="9" s="1"/>
  <c r="R563" i="7"/>
  <c r="R197" i="7"/>
  <c r="O276" i="7"/>
  <c r="R276" i="7" s="1"/>
  <c r="O285" i="7"/>
  <c r="O285" i="9" s="1"/>
  <c r="R285" i="9" s="1"/>
  <c r="O190" i="7"/>
  <c r="R190" i="7" s="1"/>
  <c r="M255" i="7"/>
  <c r="M225" i="7" s="1"/>
  <c r="M487" i="7"/>
  <c r="M481" i="7" s="1"/>
  <c r="R247" i="7"/>
  <c r="R277" i="7"/>
  <c r="R550" i="5"/>
  <c r="R502" i="5"/>
  <c r="O355" i="5"/>
  <c r="O355" i="7" s="1"/>
  <c r="R355" i="7" s="1"/>
  <c r="O531" i="7"/>
  <c r="O531" i="9" s="1"/>
  <c r="R531" i="9" s="1"/>
  <c r="N140" i="7"/>
  <c r="N139" i="7" s="1"/>
  <c r="R437" i="5"/>
  <c r="M179" i="5"/>
  <c r="M178" i="5" s="1"/>
  <c r="O133" i="7"/>
  <c r="M74" i="5"/>
  <c r="G74" i="5"/>
  <c r="R528" i="5"/>
  <c r="O128" i="7"/>
  <c r="O128" i="9" s="1"/>
  <c r="R343" i="5"/>
  <c r="R496" i="5"/>
  <c r="M131" i="5"/>
  <c r="O97" i="7"/>
  <c r="O441" i="5"/>
  <c r="O441" i="7" s="1"/>
  <c r="O476" i="5"/>
  <c r="R476" i="5" s="1"/>
  <c r="N120" i="5"/>
  <c r="O121" i="5"/>
  <c r="O97" i="5"/>
  <c r="R97" i="5" s="1"/>
  <c r="O569" i="5"/>
  <c r="O569" i="7" s="1"/>
  <c r="N170" i="5"/>
  <c r="P62" i="5"/>
  <c r="R492" i="2"/>
  <c r="N140" i="5"/>
  <c r="N139" i="5" s="1"/>
  <c r="O141" i="5"/>
  <c r="D638" i="9"/>
  <c r="R512" i="2"/>
  <c r="R230" i="5"/>
  <c r="Q474" i="2"/>
  <c r="O577" i="5"/>
  <c r="O577" i="7" s="1"/>
  <c r="R484" i="2"/>
  <c r="O147" i="7"/>
  <c r="O147" i="9" s="1"/>
  <c r="M32" i="1"/>
  <c r="G32" i="1"/>
  <c r="O210" i="7"/>
  <c r="R210" i="7" s="1"/>
  <c r="R585" i="5"/>
  <c r="R445" i="2"/>
  <c r="R397" i="2"/>
  <c r="R349" i="2"/>
  <c r="R289" i="2"/>
  <c r="R241" i="2"/>
  <c r="Q240" i="2"/>
  <c r="Q225" i="2" s="1"/>
  <c r="R171" i="2"/>
  <c r="R170" i="2" s="1"/>
  <c r="Q170" i="2"/>
  <c r="O299" i="2"/>
  <c r="R465" i="2"/>
  <c r="I583" i="7"/>
  <c r="J583" i="5"/>
  <c r="R464" i="2"/>
  <c r="I559" i="7"/>
  <c r="J559" i="5"/>
  <c r="I580" i="7"/>
  <c r="J580" i="5"/>
  <c r="I464" i="7"/>
  <c r="J464" i="5"/>
  <c r="I440" i="7"/>
  <c r="J440" i="5"/>
  <c r="R314" i="2"/>
  <c r="R388" i="2"/>
  <c r="I589" i="7"/>
  <c r="J589" i="5"/>
  <c r="O246" i="5"/>
  <c r="I529" i="7"/>
  <c r="J529" i="5"/>
  <c r="Q156" i="2"/>
  <c r="Q155" i="2" s="1"/>
  <c r="I578" i="7"/>
  <c r="J578" i="5"/>
  <c r="R488" i="1"/>
  <c r="R487" i="1" s="1"/>
  <c r="Q487" i="1"/>
  <c r="I506" i="5"/>
  <c r="J506" i="2"/>
  <c r="I430" i="5"/>
  <c r="J430" i="2"/>
  <c r="R403" i="1"/>
  <c r="I369" i="5"/>
  <c r="J369" i="2"/>
  <c r="I337" i="5"/>
  <c r="J337" i="2"/>
  <c r="I112" i="7"/>
  <c r="J112" i="5"/>
  <c r="I403" i="5"/>
  <c r="J403" i="2"/>
  <c r="I248" i="7"/>
  <c r="J248" i="5"/>
  <c r="I214" i="7"/>
  <c r="J214" i="5"/>
  <c r="I190" i="7"/>
  <c r="J190" i="5"/>
  <c r="I166" i="7"/>
  <c r="J166" i="5"/>
  <c r="O567" i="2"/>
  <c r="O566" i="1"/>
  <c r="I503" i="5"/>
  <c r="J503" i="2"/>
  <c r="I439" i="5"/>
  <c r="J439" i="2"/>
  <c r="I410" i="5"/>
  <c r="J410" i="2"/>
  <c r="N140" i="2"/>
  <c r="I307" i="7"/>
  <c r="J307" i="5"/>
  <c r="I366" i="7"/>
  <c r="J366" i="5"/>
  <c r="R459" i="1"/>
  <c r="I283" i="7"/>
  <c r="J283" i="5"/>
  <c r="I317" i="5"/>
  <c r="J317" i="2"/>
  <c r="I243" i="7"/>
  <c r="J243" i="5"/>
  <c r="R587" i="1"/>
  <c r="N481" i="1"/>
  <c r="I461" i="5"/>
  <c r="J461" i="2"/>
  <c r="I413" i="5"/>
  <c r="J413" i="2"/>
  <c r="I381" i="5"/>
  <c r="J381" i="2"/>
  <c r="I126" i="7"/>
  <c r="J126" i="5"/>
  <c r="I110" i="7"/>
  <c r="J110" i="5"/>
  <c r="I156" i="7"/>
  <c r="J156" i="5"/>
  <c r="M155" i="1"/>
  <c r="I540" i="5"/>
  <c r="J540" i="2"/>
  <c r="I492" i="5"/>
  <c r="J492" i="2"/>
  <c r="R442" i="1"/>
  <c r="Q307" i="1"/>
  <c r="I222" i="7"/>
  <c r="J222" i="5"/>
  <c r="I192" i="7"/>
  <c r="J192" i="5"/>
  <c r="I31" i="7"/>
  <c r="J31" i="5"/>
  <c r="I251" i="7"/>
  <c r="J251" i="5"/>
  <c r="R579" i="1"/>
  <c r="I368" i="7"/>
  <c r="J368" i="5"/>
  <c r="I316" i="7"/>
  <c r="J316" i="5"/>
  <c r="I281" i="5"/>
  <c r="J281" i="2"/>
  <c r="N406" i="2"/>
  <c r="Q131" i="2"/>
  <c r="I532" i="5"/>
  <c r="J532" i="2"/>
  <c r="Q406" i="1"/>
  <c r="R407" i="1"/>
  <c r="I379" i="5"/>
  <c r="J379" i="2"/>
  <c r="I347" i="5"/>
  <c r="J347" i="2"/>
  <c r="Q240" i="1"/>
  <c r="R241" i="1"/>
  <c r="R240" i="1" s="1"/>
  <c r="I131" i="7"/>
  <c r="J131" i="5"/>
  <c r="I95" i="7"/>
  <c r="J95" i="5"/>
  <c r="I291" i="7"/>
  <c r="J291" i="5"/>
  <c r="I414" i="5"/>
  <c r="J414" i="2"/>
  <c r="R343" i="1"/>
  <c r="O170" i="1"/>
  <c r="N148" i="1"/>
  <c r="R353" i="1"/>
  <c r="R158" i="1"/>
  <c r="M148" i="14"/>
  <c r="R411" i="13"/>
  <c r="M121" i="9"/>
  <c r="G121" i="9"/>
  <c r="N121" i="9" s="1"/>
  <c r="M113" i="10"/>
  <c r="G113" i="10"/>
  <c r="N113" i="10" s="1"/>
  <c r="R312" i="13"/>
  <c r="M124" i="10"/>
  <c r="G124" i="10"/>
  <c r="N124" i="10" s="1"/>
  <c r="M119" i="9"/>
  <c r="G119" i="9"/>
  <c r="N119" i="9" s="1"/>
  <c r="O119" i="9" s="1"/>
  <c r="R119" i="9" s="1"/>
  <c r="R55" i="13"/>
  <c r="E158" i="12"/>
  <c r="K158" i="12" s="1"/>
  <c r="K160" i="12" s="1"/>
  <c r="E148" i="12"/>
  <c r="K148" i="12" s="1"/>
  <c r="K150" i="12" s="1"/>
  <c r="Q307" i="13"/>
  <c r="K107" i="12"/>
  <c r="K106" i="12"/>
  <c r="O460" i="10"/>
  <c r="O389" i="13"/>
  <c r="K293" i="12"/>
  <c r="K292" i="12"/>
  <c r="N255" i="13"/>
  <c r="Q329" i="10"/>
  <c r="R585" i="10"/>
  <c r="R372" i="10"/>
  <c r="O239" i="10"/>
  <c r="N240" i="10"/>
  <c r="O242" i="10"/>
  <c r="O242" i="13" s="1"/>
  <c r="M79" i="10"/>
  <c r="M33" i="9"/>
  <c r="G33" i="9"/>
  <c r="N33" i="9" s="1"/>
  <c r="R425" i="10"/>
  <c r="R245" i="10"/>
  <c r="N156" i="10"/>
  <c r="N155" i="10" s="1"/>
  <c r="R285" i="10"/>
  <c r="O270" i="10"/>
  <c r="O270" i="13" s="1"/>
  <c r="Q131" i="10"/>
  <c r="Q482" i="10"/>
  <c r="O100" i="10"/>
  <c r="Q487" i="9"/>
  <c r="Q481" i="9" s="1"/>
  <c r="Q148" i="9"/>
  <c r="O363" i="9"/>
  <c r="O311" i="9"/>
  <c r="R311" i="9" s="1"/>
  <c r="O251" i="9"/>
  <c r="R251" i="9" s="1"/>
  <c r="O197" i="9"/>
  <c r="R197" i="9" s="1"/>
  <c r="P596" i="9"/>
  <c r="O504" i="10"/>
  <c r="O504" i="13" s="1"/>
  <c r="R504" i="13" s="1"/>
  <c r="Q79" i="9"/>
  <c r="M307" i="7"/>
  <c r="N307" i="9"/>
  <c r="O433" i="7"/>
  <c r="N255" i="9"/>
  <c r="O340" i="9"/>
  <c r="O340" i="10" s="1"/>
  <c r="N179" i="9"/>
  <c r="N178" i="9" s="1"/>
  <c r="Q406" i="7"/>
  <c r="O252" i="9"/>
  <c r="R252" i="9" s="1"/>
  <c r="K358" i="8"/>
  <c r="K357" i="8"/>
  <c r="F78" i="7" s="1"/>
  <c r="R543" i="7"/>
  <c r="R285" i="7"/>
  <c r="N255" i="7"/>
  <c r="R158" i="7"/>
  <c r="O571" i="7"/>
  <c r="R571" i="5"/>
  <c r="O260" i="7"/>
  <c r="R260" i="7" s="1"/>
  <c r="R275" i="7"/>
  <c r="N53" i="7"/>
  <c r="N52" i="7" s="1"/>
  <c r="R547" i="7"/>
  <c r="O534" i="7"/>
  <c r="O534" i="9" s="1"/>
  <c r="O198" i="7"/>
  <c r="R198" i="7" s="1"/>
  <c r="R498" i="5"/>
  <c r="M85" i="5"/>
  <c r="G85" i="5"/>
  <c r="R146" i="7"/>
  <c r="O82" i="7"/>
  <c r="O82" i="9" s="1"/>
  <c r="R457" i="5"/>
  <c r="O498" i="7"/>
  <c r="O498" i="9" s="1"/>
  <c r="K163" i="6"/>
  <c r="K162" i="6"/>
  <c r="F59" i="5" s="1"/>
  <c r="O287" i="5"/>
  <c r="O181" i="5"/>
  <c r="O125" i="7"/>
  <c r="R125" i="7" s="1"/>
  <c r="N566" i="5"/>
  <c r="M255" i="5"/>
  <c r="M225" i="5" s="1"/>
  <c r="R370" i="5"/>
  <c r="R118" i="5"/>
  <c r="K26" i="4"/>
  <c r="K25" i="4"/>
  <c r="F33" i="2" s="1"/>
  <c r="O572" i="5"/>
  <c r="R572" i="2"/>
  <c r="M474" i="2"/>
  <c r="M328" i="2" s="1"/>
  <c r="R119" i="5"/>
  <c r="Q307" i="5"/>
  <c r="G40" i="1"/>
  <c r="M40" i="1"/>
  <c r="R147" i="7"/>
  <c r="O117" i="7"/>
  <c r="O533" i="5"/>
  <c r="R441" i="2"/>
  <c r="R393" i="2"/>
  <c r="I523" i="7"/>
  <c r="J523" i="5"/>
  <c r="R382" i="2"/>
  <c r="R298" i="2"/>
  <c r="R460" i="2"/>
  <c r="I549" i="7"/>
  <c r="J549" i="5"/>
  <c r="Q406" i="2"/>
  <c r="Q255" i="2"/>
  <c r="O140" i="2"/>
  <c r="R66" i="2"/>
  <c r="I446" i="7"/>
  <c r="J446" i="5"/>
  <c r="R145" i="2"/>
  <c r="I136" i="7"/>
  <c r="J136" i="5"/>
  <c r="I197" i="7"/>
  <c r="J197" i="5"/>
  <c r="I364" i="7"/>
  <c r="J364" i="5"/>
  <c r="I321" i="5"/>
  <c r="J321" i="2"/>
  <c r="I273" i="5"/>
  <c r="J273" i="2"/>
  <c r="I35" i="7"/>
  <c r="J35" i="5"/>
  <c r="I471" i="5"/>
  <c r="J471" i="2"/>
  <c r="I449" i="5"/>
  <c r="J449" i="2"/>
  <c r="I351" i="5"/>
  <c r="J351" i="2"/>
  <c r="N179" i="1"/>
  <c r="O180" i="1"/>
  <c r="I203" i="7"/>
  <c r="J203" i="5"/>
  <c r="I179" i="7"/>
  <c r="J179" i="5"/>
  <c r="I142" i="10"/>
  <c r="J142" i="9"/>
  <c r="I500" i="5"/>
  <c r="J500" i="2"/>
  <c r="I424" i="7"/>
  <c r="J424" i="5"/>
  <c r="I111" i="7"/>
  <c r="J111" i="5"/>
  <c r="I247" i="7"/>
  <c r="J247" i="5"/>
  <c r="O115" i="2"/>
  <c r="R115" i="2" s="1"/>
  <c r="I538" i="5"/>
  <c r="J538" i="2"/>
  <c r="R463" i="1"/>
  <c r="I312" i="7"/>
  <c r="J312" i="5"/>
  <c r="I264" i="7"/>
  <c r="J264" i="5"/>
  <c r="I164" i="7"/>
  <c r="J164" i="5"/>
  <c r="O136" i="2"/>
  <c r="R136" i="2" s="1"/>
  <c r="I341" i="5"/>
  <c r="J341" i="2"/>
  <c r="I147" i="7"/>
  <c r="J147" i="5"/>
  <c r="R72" i="1"/>
  <c r="I37" i="7"/>
  <c r="J37" i="5"/>
  <c r="R440" i="1"/>
  <c r="I395" i="5"/>
  <c r="J395" i="2"/>
  <c r="I242" i="7"/>
  <c r="J242" i="5"/>
  <c r="I342" i="7"/>
  <c r="J342" i="5"/>
  <c r="N131" i="1"/>
  <c r="O132" i="1"/>
  <c r="N107" i="1"/>
  <c r="O108" i="1"/>
  <c r="Q395" i="1"/>
  <c r="R396" i="1"/>
  <c r="R456" i="1"/>
  <c r="N255" i="1"/>
  <c r="O256" i="1"/>
  <c r="M107" i="1"/>
  <c r="R153" i="1"/>
  <c r="Q156" i="1"/>
  <c r="Q131" i="1"/>
  <c r="R169" i="1"/>
  <c r="I46" i="5"/>
  <c r="J46" i="2"/>
  <c r="K19" i="11"/>
  <c r="F32" i="9" s="1"/>
  <c r="K20" i="11"/>
  <c r="O290" i="10"/>
  <c r="O290" i="13" s="1"/>
  <c r="R435" i="9"/>
  <c r="O523" i="10"/>
  <c r="O523" i="13" s="1"/>
  <c r="O285" i="10"/>
  <c r="O285" i="13" s="1"/>
  <c r="R535" i="10"/>
  <c r="O194" i="10"/>
  <c r="O194" i="13" s="1"/>
  <c r="M554" i="10"/>
  <c r="M507" i="10" s="1"/>
  <c r="O359" i="9"/>
  <c r="O247" i="9"/>
  <c r="Q487" i="10"/>
  <c r="O399" i="9"/>
  <c r="O399" i="10" s="1"/>
  <c r="R399" i="10" s="1"/>
  <c r="O248" i="9"/>
  <c r="O248" i="10" s="1"/>
  <c r="R248" i="10" s="1"/>
  <c r="Q566" i="7"/>
  <c r="Q307" i="9"/>
  <c r="Q255" i="9"/>
  <c r="N554" i="9"/>
  <c r="R340" i="9"/>
  <c r="R451" i="7"/>
  <c r="G73" i="7"/>
  <c r="N73" i="7" s="1"/>
  <c r="M73" i="7"/>
  <c r="M179" i="7"/>
  <c r="R239" i="7"/>
  <c r="O243" i="7"/>
  <c r="O243" i="9" s="1"/>
  <c r="O538" i="7"/>
  <c r="O538" i="9" s="1"/>
  <c r="M508" i="7"/>
  <c r="M507" i="7" s="1"/>
  <c r="G88" i="7"/>
  <c r="N88" i="7" s="1"/>
  <c r="M88" i="7"/>
  <c r="R251" i="7"/>
  <c r="R404" i="7"/>
  <c r="N179" i="7"/>
  <c r="M596" i="7"/>
  <c r="Q508" i="7"/>
  <c r="O177" i="7"/>
  <c r="Q94" i="7"/>
  <c r="R498" i="7"/>
  <c r="M75" i="5"/>
  <c r="G75" i="5"/>
  <c r="R525" i="5"/>
  <c r="R516" i="5"/>
  <c r="R465" i="5"/>
  <c r="R363" i="5"/>
  <c r="R445" i="5"/>
  <c r="R365" i="5"/>
  <c r="O231" i="5"/>
  <c r="O177" i="5"/>
  <c r="R177" i="5" s="1"/>
  <c r="N175" i="5"/>
  <c r="O403" i="5"/>
  <c r="O403" i="7" s="1"/>
  <c r="O403" i="9" s="1"/>
  <c r="O403" i="10" s="1"/>
  <c r="R403" i="10" s="1"/>
  <c r="O309" i="5"/>
  <c r="R309" i="5" s="1"/>
  <c r="N307" i="5"/>
  <c r="O186" i="5"/>
  <c r="R186" i="5" s="1"/>
  <c r="R211" i="7"/>
  <c r="Q588" i="5"/>
  <c r="R589" i="5"/>
  <c r="R588" i="5" s="1"/>
  <c r="N554" i="2"/>
  <c r="R534" i="2"/>
  <c r="R274" i="5"/>
  <c r="R199" i="5"/>
  <c r="R426" i="5"/>
  <c r="M39" i="2"/>
  <c r="G39" i="2"/>
  <c r="N39" i="2" s="1"/>
  <c r="M520" i="2"/>
  <c r="N474" i="2"/>
  <c r="O475" i="2"/>
  <c r="O378" i="9"/>
  <c r="R378" i="7"/>
  <c r="R564" i="2"/>
  <c r="O576" i="5"/>
  <c r="R576" i="5" s="1"/>
  <c r="R576" i="2"/>
  <c r="R514" i="2"/>
  <c r="O449" i="5"/>
  <c r="R449" i="5" s="1"/>
  <c r="R556" i="2"/>
  <c r="R437" i="2"/>
  <c r="R341" i="2"/>
  <c r="R281" i="2"/>
  <c r="R233" i="2"/>
  <c r="R424" i="2"/>
  <c r="I579" i="7"/>
  <c r="J579" i="5"/>
  <c r="R304" i="2"/>
  <c r="I539" i="7"/>
  <c r="J539" i="5"/>
  <c r="R416" i="2"/>
  <c r="O31" i="2"/>
  <c r="I576" i="7"/>
  <c r="J576" i="5"/>
  <c r="I460" i="7"/>
  <c r="J460" i="5"/>
  <c r="I436" i="7"/>
  <c r="J436" i="5"/>
  <c r="O375" i="2"/>
  <c r="R375" i="2" s="1"/>
  <c r="R164" i="5"/>
  <c r="Q179" i="2"/>
  <c r="R452" i="2"/>
  <c r="R354" i="2"/>
  <c r="O151" i="2"/>
  <c r="O151" i="5" s="1"/>
  <c r="N148" i="2"/>
  <c r="I585" i="7"/>
  <c r="J585" i="5"/>
  <c r="R254" i="2"/>
  <c r="I565" i="7"/>
  <c r="J565" i="5"/>
  <c r="I525" i="7"/>
  <c r="J525" i="5"/>
  <c r="R312" i="2"/>
  <c r="I574" i="7"/>
  <c r="J574" i="5"/>
  <c r="I501" i="5"/>
  <c r="J501" i="2"/>
  <c r="I132" i="7"/>
  <c r="J132" i="5"/>
  <c r="I55" i="7"/>
  <c r="J55" i="5"/>
  <c r="R443" i="1"/>
  <c r="I311" i="7"/>
  <c r="J311" i="5"/>
  <c r="I263" i="7"/>
  <c r="J263" i="5"/>
  <c r="I244" i="7"/>
  <c r="J244" i="5"/>
  <c r="I210" i="7"/>
  <c r="J210" i="5"/>
  <c r="I186" i="7"/>
  <c r="J186" i="5"/>
  <c r="I162" i="7"/>
  <c r="J162" i="5"/>
  <c r="I498" i="5"/>
  <c r="J498" i="2"/>
  <c r="R449" i="1"/>
  <c r="I508" i="5"/>
  <c r="J508" i="2"/>
  <c r="O319" i="1"/>
  <c r="N317" i="1"/>
  <c r="I133" i="7"/>
  <c r="J133" i="5"/>
  <c r="J117" i="5"/>
  <c r="I117" i="7"/>
  <c r="I101" i="9"/>
  <c r="J101" i="7"/>
  <c r="I249" i="7"/>
  <c r="J249" i="5"/>
  <c r="I233" i="7"/>
  <c r="J233" i="5"/>
  <c r="I422" i="5"/>
  <c r="J422" i="2"/>
  <c r="I102" i="7"/>
  <c r="J102" i="5"/>
  <c r="I213" i="7"/>
  <c r="J213" i="5"/>
  <c r="I566" i="5"/>
  <c r="J566" i="2"/>
  <c r="I480" i="5"/>
  <c r="J480" i="2"/>
  <c r="I373" i="5"/>
  <c r="J373" i="2"/>
  <c r="O339" i="1"/>
  <c r="N337" i="1"/>
  <c r="R308" i="1"/>
  <c r="R307" i="1" s="1"/>
  <c r="R186" i="1"/>
  <c r="I106" i="7"/>
  <c r="J106" i="5"/>
  <c r="I157" i="7"/>
  <c r="J157" i="5"/>
  <c r="I530" i="5"/>
  <c r="J530" i="2"/>
  <c r="I485" i="7"/>
  <c r="J485" i="5"/>
  <c r="I303" i="7"/>
  <c r="J303" i="5"/>
  <c r="I258" i="7"/>
  <c r="J258" i="5"/>
  <c r="I212" i="7"/>
  <c r="J212" i="5"/>
  <c r="I184" i="7"/>
  <c r="J184" i="5"/>
  <c r="I558" i="5"/>
  <c r="J558" i="2"/>
  <c r="I487" i="5"/>
  <c r="J487" i="2"/>
  <c r="I360" i="7"/>
  <c r="J360" i="5"/>
  <c r="I313" i="5"/>
  <c r="J313" i="2"/>
  <c r="I223" i="7"/>
  <c r="J223" i="5"/>
  <c r="N395" i="1"/>
  <c r="O396" i="1"/>
  <c r="I517" i="5"/>
  <c r="J517" i="2"/>
  <c r="I425" i="5"/>
  <c r="J425" i="2"/>
  <c r="I144" i="7"/>
  <c r="J144" i="5"/>
  <c r="I542" i="5"/>
  <c r="J542" i="2"/>
  <c r="I275" i="7"/>
  <c r="J275" i="5"/>
  <c r="I398" i="5"/>
  <c r="J398" i="2"/>
  <c r="N140" i="1"/>
  <c r="R103" i="1"/>
  <c r="R66" i="1"/>
  <c r="R87" i="1"/>
  <c r="I193" i="7"/>
  <c r="J193" i="5"/>
  <c r="N291" i="1"/>
  <c r="K448" i="12"/>
  <c r="K447" i="12"/>
  <c r="M291" i="13"/>
  <c r="M225" i="13" s="1"/>
  <c r="Q508" i="10"/>
  <c r="G96" i="9"/>
  <c r="N96" i="9" s="1"/>
  <c r="M96" i="9"/>
  <c r="M95" i="9" s="1"/>
  <c r="R98" i="13"/>
  <c r="R457" i="10"/>
  <c r="R368" i="10"/>
  <c r="O323" i="10"/>
  <c r="M226" i="10"/>
  <c r="O561" i="10"/>
  <c r="O561" i="13" s="1"/>
  <c r="R561" i="13" s="1"/>
  <c r="O111" i="10"/>
  <c r="O298" i="10"/>
  <c r="O298" i="13" s="1"/>
  <c r="N296" i="10"/>
  <c r="N222" i="10"/>
  <c r="O401" i="10"/>
  <c r="O401" i="13" s="1"/>
  <c r="R401" i="13" s="1"/>
  <c r="R413" i="10"/>
  <c r="O500" i="10"/>
  <c r="O500" i="13" s="1"/>
  <c r="R500" i="13" s="1"/>
  <c r="O203" i="10"/>
  <c r="O286" i="10"/>
  <c r="O286" i="13" s="1"/>
  <c r="O540" i="9"/>
  <c r="O540" i="10" s="1"/>
  <c r="O472" i="9"/>
  <c r="R472" i="9" s="1"/>
  <c r="N53" i="9"/>
  <c r="N52" i="9" s="1"/>
  <c r="O516" i="9"/>
  <c r="O516" i="10" s="1"/>
  <c r="O562" i="10"/>
  <c r="O562" i="13" s="1"/>
  <c r="R562" i="13" s="1"/>
  <c r="R562" i="9"/>
  <c r="M487" i="10"/>
  <c r="M481" i="10" s="1"/>
  <c r="R47" i="9"/>
  <c r="Q43" i="9"/>
  <c r="K228" i="8"/>
  <c r="K227" i="8"/>
  <c r="F69" i="7" s="1"/>
  <c r="O558" i="7"/>
  <c r="O496" i="7"/>
  <c r="R496" i="7" s="1"/>
  <c r="O430" i="9"/>
  <c r="R360" i="9"/>
  <c r="M205" i="9"/>
  <c r="O321" i="7"/>
  <c r="R399" i="7"/>
  <c r="R347" i="7"/>
  <c r="R233" i="9"/>
  <c r="R324" i="9"/>
  <c r="R245" i="9"/>
  <c r="R265" i="7"/>
  <c r="O455" i="7"/>
  <c r="O455" i="9" s="1"/>
  <c r="O455" i="10" s="1"/>
  <c r="R455" i="10" s="1"/>
  <c r="Q148" i="7"/>
  <c r="R466" i="7"/>
  <c r="O459" i="5"/>
  <c r="M140" i="7"/>
  <c r="M139" i="7" s="1"/>
  <c r="R538" i="7"/>
  <c r="R305" i="7"/>
  <c r="N240" i="7"/>
  <c r="O241" i="7"/>
  <c r="O249" i="7"/>
  <c r="O249" i="9" s="1"/>
  <c r="O530" i="7"/>
  <c r="O530" i="9" s="1"/>
  <c r="R538" i="5"/>
  <c r="G60" i="5"/>
  <c r="N60" i="5" s="1"/>
  <c r="M60" i="5"/>
  <c r="R504" i="5"/>
  <c r="R359" i="5"/>
  <c r="F49" i="1"/>
  <c r="F50" i="1"/>
  <c r="O473" i="7"/>
  <c r="P507" i="5"/>
  <c r="O135" i="5"/>
  <c r="R477" i="7"/>
  <c r="R573" i="5"/>
  <c r="O279" i="5"/>
  <c r="N226" i="5"/>
  <c r="N225" i="5" s="1"/>
  <c r="O283" i="7"/>
  <c r="O118" i="7"/>
  <c r="O118" i="9" s="1"/>
  <c r="R403" i="5"/>
  <c r="O267" i="7"/>
  <c r="O461" i="5"/>
  <c r="R461" i="5" s="1"/>
  <c r="R524" i="5"/>
  <c r="Q35" i="5"/>
  <c r="O508" i="2"/>
  <c r="O338" i="5"/>
  <c r="N520" i="2"/>
  <c r="O521" i="2"/>
  <c r="O426" i="9"/>
  <c r="R426" i="7"/>
  <c r="O374" i="9"/>
  <c r="R374" i="7"/>
  <c r="G33" i="1"/>
  <c r="M33" i="1"/>
  <c r="R557" i="2"/>
  <c r="N566" i="2"/>
  <c r="R168" i="5"/>
  <c r="E130" i="4"/>
  <c r="K130" i="4" s="1"/>
  <c r="K132" i="4" s="1"/>
  <c r="E140" i="4"/>
  <c r="K140" i="4" s="1"/>
  <c r="K142" i="4" s="1"/>
  <c r="F56" i="2"/>
  <c r="R137" i="5"/>
  <c r="I555" i="7"/>
  <c r="J555" i="5"/>
  <c r="I519" i="7"/>
  <c r="J519" i="5"/>
  <c r="R545" i="2"/>
  <c r="I442" i="7"/>
  <c r="J442" i="5"/>
  <c r="I361" i="5"/>
  <c r="J361" i="2"/>
  <c r="I329" i="5"/>
  <c r="J329" i="2"/>
  <c r="I298" i="7"/>
  <c r="J298" i="5"/>
  <c r="I266" i="7"/>
  <c r="J266" i="5"/>
  <c r="I219" i="10"/>
  <c r="I219" i="13" s="1"/>
  <c r="J219" i="9"/>
  <c r="I108" i="7"/>
  <c r="J108" i="5"/>
  <c r="I84" i="5"/>
  <c r="I516" i="5"/>
  <c r="J516" i="2"/>
  <c r="I396" i="7"/>
  <c r="J396" i="5"/>
  <c r="I356" i="7"/>
  <c r="J356" i="5"/>
  <c r="I308" i="7"/>
  <c r="J308" i="5"/>
  <c r="I260" i="7"/>
  <c r="J260" i="5"/>
  <c r="I159" i="7"/>
  <c r="J159" i="5"/>
  <c r="I447" i="5"/>
  <c r="J447" i="2"/>
  <c r="I417" i="5"/>
  <c r="J417" i="2"/>
  <c r="N175" i="1"/>
  <c r="O176" i="1"/>
  <c r="O176" i="2" s="1"/>
  <c r="I199" i="7"/>
  <c r="J199" i="5"/>
  <c r="I175" i="7"/>
  <c r="J175" i="5"/>
  <c r="I509" i="5"/>
  <c r="J509" i="2"/>
  <c r="I495" i="5"/>
  <c r="J495" i="2"/>
  <c r="I408" i="7"/>
  <c r="J408" i="5"/>
  <c r="I315" i="7"/>
  <c r="J315" i="5"/>
  <c r="I227" i="7"/>
  <c r="J227" i="5"/>
  <c r="O112" i="2"/>
  <c r="R112" i="2" s="1"/>
  <c r="I378" i="7"/>
  <c r="J378" i="5"/>
  <c r="I354" i="7"/>
  <c r="J354" i="5"/>
  <c r="I309" i="5"/>
  <c r="J309" i="2"/>
  <c r="I261" i="5"/>
  <c r="J261" i="2"/>
  <c r="I152" i="7"/>
  <c r="J152" i="5"/>
  <c r="Q554" i="1"/>
  <c r="N226" i="1"/>
  <c r="N225" i="1" s="1"/>
  <c r="O227" i="1"/>
  <c r="I122" i="7"/>
  <c r="J122" i="5"/>
  <c r="R422" i="2"/>
  <c r="Q148" i="2"/>
  <c r="I388" i="7"/>
  <c r="J388" i="5"/>
  <c r="I209" i="7"/>
  <c r="J209" i="5"/>
  <c r="J152" i="20"/>
  <c r="J149" i="16"/>
  <c r="I268" i="7"/>
  <c r="J268" i="5"/>
  <c r="R159" i="2"/>
  <c r="I371" i="5"/>
  <c r="J371" i="2"/>
  <c r="I339" i="5"/>
  <c r="J339" i="2"/>
  <c r="I278" i="7"/>
  <c r="J278" i="5"/>
  <c r="I127" i="7"/>
  <c r="J127" i="5"/>
  <c r="I107" i="7"/>
  <c r="J107" i="5"/>
  <c r="I91" i="7"/>
  <c r="J91" i="5"/>
  <c r="M255" i="1"/>
  <c r="I48" i="5"/>
  <c r="J48" i="2"/>
  <c r="R135" i="1"/>
  <c r="Q179" i="1"/>
  <c r="Q178" i="1" s="1"/>
  <c r="Q226" i="7"/>
  <c r="O233" i="13"/>
  <c r="R233" i="10"/>
  <c r="O67" i="7"/>
  <c r="O273" i="10"/>
  <c r="R273" i="9"/>
  <c r="R241" i="7"/>
  <c r="Q240" i="7"/>
  <c r="R249" i="7"/>
  <c r="R530" i="7"/>
  <c r="O167" i="9"/>
  <c r="R167" i="7"/>
  <c r="R66" i="7"/>
  <c r="M51" i="5"/>
  <c r="G51" i="5"/>
  <c r="N51" i="5" s="1"/>
  <c r="N222" i="5"/>
  <c r="O169" i="5"/>
  <c r="R169" i="5" s="1"/>
  <c r="R283" i="7"/>
  <c r="R118" i="7"/>
  <c r="G92" i="5"/>
  <c r="M92" i="5"/>
  <c r="N552" i="2"/>
  <c r="O553" i="2"/>
  <c r="R267" i="7"/>
  <c r="M73" i="5"/>
  <c r="G73" i="5"/>
  <c r="Q566" i="2"/>
  <c r="R567" i="2"/>
  <c r="Q482" i="2"/>
  <c r="R470" i="2"/>
  <c r="O330" i="5"/>
  <c r="M36" i="1"/>
  <c r="G36" i="1"/>
  <c r="Q520" i="2"/>
  <c r="N175" i="2"/>
  <c r="I575" i="7"/>
  <c r="J575" i="5"/>
  <c r="O588" i="1"/>
  <c r="R589" i="1"/>
  <c r="R588" i="1" s="1"/>
  <c r="I572" i="7"/>
  <c r="J572" i="5"/>
  <c r="I456" i="7"/>
  <c r="J456" i="5"/>
  <c r="I432" i="7"/>
  <c r="J432" i="5"/>
  <c r="R446" i="2"/>
  <c r="R364" i="2"/>
  <c r="O341" i="2"/>
  <c r="O341" i="5" s="1"/>
  <c r="O341" i="7" s="1"/>
  <c r="O170" i="2"/>
  <c r="I581" i="7"/>
  <c r="J581" i="5"/>
  <c r="R334" i="2"/>
  <c r="J545" i="5"/>
  <c r="I545" i="7"/>
  <c r="I521" i="7"/>
  <c r="J521" i="5"/>
  <c r="N120" i="2"/>
  <c r="O122" i="2"/>
  <c r="I570" i="7"/>
  <c r="J570" i="5"/>
  <c r="Q520" i="1"/>
  <c r="I491" i="5"/>
  <c r="J491" i="2"/>
  <c r="I421" i="5"/>
  <c r="J421" i="2"/>
  <c r="R146" i="2"/>
  <c r="R441" i="1"/>
  <c r="I387" i="5"/>
  <c r="J387" i="2"/>
  <c r="J240" i="5"/>
  <c r="I240" i="7"/>
  <c r="I206" i="7"/>
  <c r="J206" i="5"/>
  <c r="I182" i="7"/>
  <c r="J182" i="5"/>
  <c r="I158" i="7"/>
  <c r="J158" i="5"/>
  <c r="I394" i="5"/>
  <c r="J394" i="2"/>
  <c r="I385" i="5"/>
  <c r="J385" i="2"/>
  <c r="I318" i="7"/>
  <c r="J318" i="5"/>
  <c r="I255" i="7"/>
  <c r="J255" i="5"/>
  <c r="I399" i="5"/>
  <c r="J399" i="2"/>
  <c r="I267" i="7"/>
  <c r="J267" i="5"/>
  <c r="I229" i="9"/>
  <c r="J229" i="7"/>
  <c r="R461" i="1"/>
  <c r="R370" i="2"/>
  <c r="I365" i="5"/>
  <c r="J365" i="2"/>
  <c r="I333" i="5"/>
  <c r="J333" i="2"/>
  <c r="I306" i="7"/>
  <c r="J306" i="5"/>
  <c r="I274" i="7"/>
  <c r="J274" i="5"/>
  <c r="J138" i="5"/>
  <c r="I138" i="7"/>
  <c r="I188" i="7"/>
  <c r="J188" i="5"/>
  <c r="R509" i="1"/>
  <c r="R508" i="1" s="1"/>
  <c r="I427" i="5"/>
  <c r="J427" i="2"/>
  <c r="M337" i="1"/>
  <c r="M328" i="1" s="1"/>
  <c r="Q291" i="1"/>
  <c r="I254" i="7"/>
  <c r="J254" i="5"/>
  <c r="I238" i="7"/>
  <c r="J238" i="5"/>
  <c r="I208" i="7"/>
  <c r="J208" i="5"/>
  <c r="I180" i="7"/>
  <c r="J180" i="5"/>
  <c r="I470" i="5"/>
  <c r="J470" i="2"/>
  <c r="I386" i="5"/>
  <c r="J386" i="2"/>
  <c r="I352" i="7"/>
  <c r="J352" i="5"/>
  <c r="I53" i="7"/>
  <c r="J53" i="5"/>
  <c r="M205" i="1"/>
  <c r="M178" i="1" s="1"/>
  <c r="I382" i="5"/>
  <c r="J382" i="2"/>
  <c r="N156" i="2"/>
  <c r="N155" i="2" s="1"/>
  <c r="O159" i="2"/>
  <c r="O159" i="5" s="1"/>
  <c r="R159" i="5" s="1"/>
  <c r="I504" i="5"/>
  <c r="J504" i="2"/>
  <c r="R423" i="1"/>
  <c r="O140" i="1"/>
  <c r="O139" i="1" s="1"/>
  <c r="I522" i="5"/>
  <c r="J522" i="2"/>
  <c r="I374" i="7"/>
  <c r="J374" i="5"/>
  <c r="T68" i="1"/>
  <c r="Q107" i="1"/>
  <c r="P143" i="1"/>
  <c r="P140" i="1" s="1"/>
  <c r="P139" i="1" s="1"/>
  <c r="J143" i="1"/>
  <c r="Q143" i="1"/>
  <c r="R143" i="1" s="1"/>
  <c r="E216" i="1"/>
  <c r="N307" i="1"/>
  <c r="E143" i="14"/>
  <c r="Q141" i="14"/>
  <c r="J141" i="14"/>
  <c r="P141" i="14"/>
  <c r="Q225" i="14"/>
  <c r="M140" i="14"/>
  <c r="M139" i="14" s="1"/>
  <c r="O434" i="13"/>
  <c r="N79" i="14"/>
  <c r="O511" i="13"/>
  <c r="N508" i="13"/>
  <c r="N507" i="13" s="1"/>
  <c r="Q30" i="14"/>
  <c r="Q27" i="14" s="1"/>
  <c r="R415" i="13"/>
  <c r="M103" i="10"/>
  <c r="G103" i="10"/>
  <c r="N103" i="10" s="1"/>
  <c r="Q222" i="13"/>
  <c r="Q62" i="13"/>
  <c r="Q291" i="13"/>
  <c r="K676" i="12"/>
  <c r="K674" i="12"/>
  <c r="N240" i="13"/>
  <c r="N225" i="13" s="1"/>
  <c r="O444" i="10"/>
  <c r="R360" i="13"/>
  <c r="M113" i="9"/>
  <c r="G113" i="9"/>
  <c r="N113" i="9" s="1"/>
  <c r="O113" i="9" s="1"/>
  <c r="R113" i="9" s="1"/>
  <c r="R501" i="10"/>
  <c r="K1027" i="12"/>
  <c r="K1026" i="12"/>
  <c r="F125" i="10" s="1"/>
  <c r="O271" i="10"/>
  <c r="R265" i="10"/>
  <c r="R561" i="10"/>
  <c r="M215" i="10"/>
  <c r="N552" i="10"/>
  <c r="R228" i="13"/>
  <c r="O326" i="10"/>
  <c r="O326" i="13" s="1"/>
  <c r="R575" i="9"/>
  <c r="R423" i="9"/>
  <c r="O379" i="10"/>
  <c r="O379" i="13" s="1"/>
  <c r="R578" i="9"/>
  <c r="Q156" i="10"/>
  <c r="Q155" i="10" s="1"/>
  <c r="N179" i="10"/>
  <c r="N178" i="10" s="1"/>
  <c r="O277" i="10"/>
  <c r="N148" i="10"/>
  <c r="N139" i="10" s="1"/>
  <c r="R383" i="9"/>
  <c r="R560" i="9"/>
  <c r="R485" i="9"/>
  <c r="Q315" i="9"/>
  <c r="R348" i="9"/>
  <c r="Q94" i="9"/>
  <c r="M92" i="7"/>
  <c r="G92" i="7"/>
  <c r="N92" i="7" s="1"/>
  <c r="Q552" i="7"/>
  <c r="N487" i="7"/>
  <c r="O244" i="9"/>
  <c r="O244" i="10" s="1"/>
  <c r="O244" i="13" s="1"/>
  <c r="Q205" i="9"/>
  <c r="O465" i="7"/>
  <c r="O369" i="7"/>
  <c r="O309" i="7"/>
  <c r="N307" i="7"/>
  <c r="N291" i="9"/>
  <c r="G74" i="7"/>
  <c r="N74" i="7" s="1"/>
  <c r="M74" i="7"/>
  <c r="R391" i="9"/>
  <c r="R470" i="7"/>
  <c r="R494" i="7"/>
  <c r="N317" i="7"/>
  <c r="R233" i="7"/>
  <c r="N226" i="7"/>
  <c r="Q520" i="7"/>
  <c r="R486" i="7"/>
  <c r="R273" i="7"/>
  <c r="R493" i="7"/>
  <c r="M296" i="7"/>
  <c r="R236" i="7"/>
  <c r="R245" i="7"/>
  <c r="N508" i="7"/>
  <c r="O159" i="7"/>
  <c r="N156" i="7"/>
  <c r="R61" i="7"/>
  <c r="R530" i="5"/>
  <c r="Q482" i="5"/>
  <c r="Q481" i="5" s="1"/>
  <c r="K132" i="6"/>
  <c r="K131" i="6"/>
  <c r="R532" i="5"/>
  <c r="R429" i="5"/>
  <c r="R47" i="7"/>
  <c r="O295" i="7"/>
  <c r="O295" i="9" s="1"/>
  <c r="R422" i="5"/>
  <c r="N131" i="5"/>
  <c r="O371" i="5"/>
  <c r="O371" i="7" s="1"/>
  <c r="O371" i="9" s="1"/>
  <c r="O280" i="5"/>
  <c r="R280" i="5" s="1"/>
  <c r="N165" i="5"/>
  <c r="M107" i="5"/>
  <c r="Q79" i="7"/>
  <c r="R203" i="7"/>
  <c r="R134" i="5"/>
  <c r="R110" i="5"/>
  <c r="R538" i="2"/>
  <c r="M482" i="2"/>
  <c r="M481" i="2" s="1"/>
  <c r="R548" i="2"/>
  <c r="Q62" i="5"/>
  <c r="R558" i="2"/>
  <c r="O318" i="5"/>
  <c r="R468" i="2"/>
  <c r="O418" i="9"/>
  <c r="R418" i="7"/>
  <c r="R550" i="2"/>
  <c r="R258" i="5"/>
  <c r="N588" i="2"/>
  <c r="R526" i="2"/>
  <c r="R207" i="5"/>
  <c r="Q131" i="5"/>
  <c r="R425" i="2"/>
  <c r="R321" i="2"/>
  <c r="R207" i="2"/>
  <c r="Q205" i="2"/>
  <c r="Q221" i="2"/>
  <c r="R221" i="2" s="1"/>
  <c r="J221" i="2"/>
  <c r="P221" i="2"/>
  <c r="Q43" i="5"/>
  <c r="I463" i="7"/>
  <c r="J463" i="5"/>
  <c r="R153" i="2"/>
  <c r="I551" i="7"/>
  <c r="J551" i="5"/>
  <c r="I535" i="7"/>
  <c r="J535" i="5"/>
  <c r="I515" i="7"/>
  <c r="J515" i="5"/>
  <c r="R402" i="2"/>
  <c r="O240" i="2"/>
  <c r="R358" i="2"/>
  <c r="I564" i="7"/>
  <c r="J564" i="5"/>
  <c r="Q337" i="2"/>
  <c r="Q328" i="2" s="1"/>
  <c r="R340" i="2"/>
  <c r="I561" i="7"/>
  <c r="J561" i="5"/>
  <c r="R380" i="2"/>
  <c r="R116" i="2"/>
  <c r="I438" i="7"/>
  <c r="J438" i="5"/>
  <c r="I389" i="5"/>
  <c r="J389" i="2"/>
  <c r="I128" i="7"/>
  <c r="J128" i="5"/>
  <c r="I104" i="7"/>
  <c r="J104" i="5"/>
  <c r="I511" i="7"/>
  <c r="J511" i="5"/>
  <c r="I477" i="7"/>
  <c r="J477" i="5"/>
  <c r="J536" i="2"/>
  <c r="I536" i="5"/>
  <c r="R447" i="1"/>
  <c r="R392" i="1"/>
  <c r="I348" i="7"/>
  <c r="J348" i="5"/>
  <c r="I305" i="5"/>
  <c r="J305" i="2"/>
  <c r="I155" i="7"/>
  <c r="J155" i="5"/>
  <c r="I493" i="7"/>
  <c r="J493" i="5"/>
  <c r="I437" i="5"/>
  <c r="J437" i="2"/>
  <c r="I343" i="5"/>
  <c r="J343" i="2"/>
  <c r="I286" i="7"/>
  <c r="J286" i="5"/>
  <c r="I129" i="7"/>
  <c r="J129" i="5"/>
  <c r="I113" i="7"/>
  <c r="J113" i="5"/>
  <c r="I195" i="7"/>
  <c r="J195" i="5"/>
  <c r="I171" i="7"/>
  <c r="J171" i="5"/>
  <c r="I415" i="7"/>
  <c r="J415" i="5"/>
  <c r="I489" i="7"/>
  <c r="J489" i="5"/>
  <c r="I483" i="5"/>
  <c r="J483" i="2"/>
  <c r="I453" i="5"/>
  <c r="J453" i="2"/>
  <c r="I245" i="7"/>
  <c r="J245" i="5"/>
  <c r="I165" i="7"/>
  <c r="J165" i="5"/>
  <c r="I505" i="5"/>
  <c r="J505" i="2"/>
  <c r="I296" i="7"/>
  <c r="J296" i="5"/>
  <c r="I82" i="7"/>
  <c r="J82" i="5"/>
  <c r="I473" i="7"/>
  <c r="J473" i="5"/>
  <c r="I429" i="5"/>
  <c r="J429" i="2"/>
  <c r="O331" i="1"/>
  <c r="N329" i="1"/>
  <c r="N328" i="1" s="1"/>
  <c r="R224" i="1"/>
  <c r="I98" i="7"/>
  <c r="J98" i="5"/>
  <c r="I65" i="7"/>
  <c r="J65" i="5"/>
  <c r="I326" i="7"/>
  <c r="J326" i="5"/>
  <c r="M107" i="2"/>
  <c r="M94" i="2" s="1"/>
  <c r="I475" i="5"/>
  <c r="J475" i="2"/>
  <c r="I472" i="5"/>
  <c r="J472" i="2"/>
  <c r="I79" i="7"/>
  <c r="J79" i="5"/>
  <c r="I550" i="5"/>
  <c r="J550" i="2"/>
  <c r="R384" i="1"/>
  <c r="I300" i="7"/>
  <c r="J300" i="5"/>
  <c r="I265" i="5"/>
  <c r="J265" i="2"/>
  <c r="I66" i="7"/>
  <c r="J66" i="5"/>
  <c r="I323" i="7"/>
  <c r="J323" i="5"/>
  <c r="R454" i="1"/>
  <c r="I331" i="5"/>
  <c r="J331" i="2"/>
  <c r="I235" i="7"/>
  <c r="J235" i="5"/>
  <c r="R47" i="1"/>
  <c r="R141" i="1"/>
  <c r="N296" i="1"/>
  <c r="R45" i="1"/>
  <c r="O311" i="10"/>
  <c r="O192" i="10"/>
  <c r="O192" i="13" s="1"/>
  <c r="O294" i="10"/>
  <c r="O294" i="13" s="1"/>
  <c r="R419" i="9"/>
  <c r="R379" i="10"/>
  <c r="O514" i="10"/>
  <c r="R514" i="9"/>
  <c r="Q179" i="10"/>
  <c r="Q178" i="10" s="1"/>
  <c r="N291" i="10"/>
  <c r="O383" i="9"/>
  <c r="O383" i="10" s="1"/>
  <c r="R383" i="10" s="1"/>
  <c r="O496" i="9"/>
  <c r="O496" i="10" s="1"/>
  <c r="O343" i="9"/>
  <c r="O283" i="9"/>
  <c r="R283" i="9" s="1"/>
  <c r="N131" i="9"/>
  <c r="Q35" i="9"/>
  <c r="Q27" i="9" s="1"/>
  <c r="K29" i="8"/>
  <c r="F33" i="7" s="1"/>
  <c r="K30" i="8"/>
  <c r="M76" i="7"/>
  <c r="G76" i="7"/>
  <c r="N76" i="7" s="1"/>
  <c r="G71" i="7"/>
  <c r="N71" i="7" s="1"/>
  <c r="M71" i="7"/>
  <c r="O484" i="7"/>
  <c r="R484" i="7" s="1"/>
  <c r="O344" i="9"/>
  <c r="O344" i="10" s="1"/>
  <c r="O461" i="7"/>
  <c r="O365" i="7"/>
  <c r="Q291" i="9"/>
  <c r="R435" i="7"/>
  <c r="R383" i="7"/>
  <c r="M155" i="9"/>
  <c r="O431" i="7"/>
  <c r="O431" i="9" s="1"/>
  <c r="O431" i="10" s="1"/>
  <c r="R431" i="10" s="1"/>
  <c r="N520" i="7"/>
  <c r="M328" i="7"/>
  <c r="O45" i="7"/>
  <c r="R45" i="7" s="1"/>
  <c r="Q222" i="7"/>
  <c r="N482" i="7"/>
  <c r="N481" i="7" s="1"/>
  <c r="N296" i="7"/>
  <c r="O297" i="7"/>
  <c r="N222" i="7"/>
  <c r="O272" i="7"/>
  <c r="R272" i="7" s="1"/>
  <c r="Q35" i="7"/>
  <c r="R478" i="5"/>
  <c r="O492" i="5"/>
  <c r="O492" i="7" s="1"/>
  <c r="O281" i="10"/>
  <c r="O281" i="13" s="1"/>
  <c r="R281" i="9"/>
  <c r="M406" i="5"/>
  <c r="M328" i="5" s="1"/>
  <c r="O335" i="5"/>
  <c r="O335" i="7" s="1"/>
  <c r="O335" i="9" s="1"/>
  <c r="N329" i="5"/>
  <c r="Q63" i="7"/>
  <c r="N337" i="5"/>
  <c r="O484" i="5"/>
  <c r="R484" i="5" s="1"/>
  <c r="R401" i="5"/>
  <c r="O213" i="5"/>
  <c r="R213" i="5" s="1"/>
  <c r="N156" i="5"/>
  <c r="K276" i="6"/>
  <c r="F78" i="5" s="1"/>
  <c r="K277" i="6"/>
  <c r="R430" i="5"/>
  <c r="R369" i="5"/>
  <c r="O512" i="5"/>
  <c r="R512" i="5" s="1"/>
  <c r="R508" i="5" s="1"/>
  <c r="O224" i="5"/>
  <c r="R224" i="5" s="1"/>
  <c r="O162" i="5"/>
  <c r="O548" i="5"/>
  <c r="O548" i="7" s="1"/>
  <c r="R548" i="7" s="1"/>
  <c r="R405" i="5"/>
  <c r="M33" i="5"/>
  <c r="G33" i="5"/>
  <c r="N33" i="5" s="1"/>
  <c r="R441" i="5"/>
  <c r="O44" i="7"/>
  <c r="N482" i="2"/>
  <c r="O483" i="2"/>
  <c r="R483" i="2" s="1"/>
  <c r="R482" i="2" s="1"/>
  <c r="G60" i="2"/>
  <c r="M60" i="2"/>
  <c r="M59" i="2"/>
  <c r="M596" i="2" s="1"/>
  <c r="G59" i="2"/>
  <c r="R262" i="5"/>
  <c r="N28" i="5"/>
  <c r="O29" i="5"/>
  <c r="O28" i="5" s="1"/>
  <c r="R247" i="5"/>
  <c r="R421" i="5"/>
  <c r="R127" i="5"/>
  <c r="R332" i="2"/>
  <c r="I571" i="7"/>
  <c r="J571" i="5"/>
  <c r="I567" i="7"/>
  <c r="J567" i="5"/>
  <c r="Q120" i="2"/>
  <c r="R121" i="2"/>
  <c r="I568" i="7"/>
  <c r="J568" i="5"/>
  <c r="I452" i="7"/>
  <c r="J452" i="5"/>
  <c r="I428" i="7"/>
  <c r="J428" i="5"/>
  <c r="I560" i="7"/>
  <c r="J560" i="5"/>
  <c r="R338" i="2"/>
  <c r="I577" i="7"/>
  <c r="J577" i="5"/>
  <c r="M225" i="2"/>
  <c r="I541" i="7"/>
  <c r="J541" i="5"/>
  <c r="Q155" i="5"/>
  <c r="R374" i="2"/>
  <c r="O296" i="2"/>
  <c r="R99" i="2"/>
  <c r="I590" i="7"/>
  <c r="J590" i="5"/>
  <c r="I544" i="5"/>
  <c r="J544" i="2"/>
  <c r="R481" i="1"/>
  <c r="I353" i="5"/>
  <c r="J353" i="2"/>
  <c r="M317" i="1"/>
  <c r="I295" i="7"/>
  <c r="J295" i="5"/>
  <c r="I256" i="7"/>
  <c r="J256" i="5"/>
  <c r="I236" i="7"/>
  <c r="J236" i="5"/>
  <c r="I202" i="7"/>
  <c r="J202" i="5"/>
  <c r="I178" i="7"/>
  <c r="J178" i="5"/>
  <c r="I154" i="7"/>
  <c r="J154" i="5"/>
  <c r="I423" i="5"/>
  <c r="J423" i="2"/>
  <c r="I350" i="7"/>
  <c r="J350" i="5"/>
  <c r="I435" i="5"/>
  <c r="J435" i="2"/>
  <c r="I239" i="7"/>
  <c r="J239" i="5"/>
  <c r="M240" i="1"/>
  <c r="M225" i="1" s="1"/>
  <c r="I225" i="7"/>
  <c r="J225" i="5"/>
  <c r="R462" i="2"/>
  <c r="I457" i="5"/>
  <c r="J457" i="2"/>
  <c r="Q296" i="1"/>
  <c r="R298" i="1"/>
  <c r="R296" i="1" s="1"/>
  <c r="N222" i="1"/>
  <c r="O223" i="1"/>
  <c r="N156" i="1"/>
  <c r="O157" i="1"/>
  <c r="I118" i="9"/>
  <c r="J118" i="7"/>
  <c r="I176" i="7"/>
  <c r="J176" i="5"/>
  <c r="N107" i="2"/>
  <c r="T68" i="2" s="1"/>
  <c r="O108" i="2"/>
  <c r="I507" i="5"/>
  <c r="J507" i="2"/>
  <c r="I287" i="7"/>
  <c r="J287" i="5"/>
  <c r="I234" i="7"/>
  <c r="J234" i="5"/>
  <c r="I204" i="7"/>
  <c r="J204" i="5"/>
  <c r="I160" i="7"/>
  <c r="J160" i="5"/>
  <c r="R352" i="2"/>
  <c r="I418" i="5"/>
  <c r="J418" i="2"/>
  <c r="I344" i="7"/>
  <c r="J344" i="5"/>
  <c r="Q120" i="1"/>
  <c r="R121" i="1"/>
  <c r="R120" i="1" s="1"/>
  <c r="I358" i="7"/>
  <c r="J358" i="5"/>
  <c r="R154" i="2"/>
  <c r="I499" i="5"/>
  <c r="J499" i="2"/>
  <c r="R452" i="1"/>
  <c r="I393" i="5"/>
  <c r="J393" i="2"/>
  <c r="I363" i="5"/>
  <c r="J363" i="2"/>
  <c r="I139" i="7"/>
  <c r="J139" i="5"/>
  <c r="I123" i="7"/>
  <c r="J123" i="5"/>
  <c r="I103" i="7"/>
  <c r="J103" i="5"/>
  <c r="I407" i="5"/>
  <c r="J407" i="2"/>
  <c r="I334" i="7"/>
  <c r="J334" i="5"/>
  <c r="Q222" i="1"/>
  <c r="N240" i="1"/>
  <c r="Q165" i="1"/>
  <c r="Q95" i="1"/>
  <c r="O29" i="2"/>
  <c r="O28" i="1"/>
  <c r="N205" i="10"/>
  <c r="M566" i="9"/>
  <c r="O545" i="10"/>
  <c r="O545" i="13" s="1"/>
  <c r="R545" i="13" s="1"/>
  <c r="R300" i="10"/>
  <c r="Q226" i="10"/>
  <c r="R294" i="10"/>
  <c r="O522" i="10"/>
  <c r="R463" i="9"/>
  <c r="R415" i="9"/>
  <c r="O174" i="10"/>
  <c r="R174" i="10" s="1"/>
  <c r="M92" i="9"/>
  <c r="M79" i="9" s="1"/>
  <c r="G92" i="9"/>
  <c r="N92" i="9" s="1"/>
  <c r="R400" i="10"/>
  <c r="O325" i="13"/>
  <c r="R325" i="10"/>
  <c r="R262" i="10"/>
  <c r="R261" i="10"/>
  <c r="N35" i="9"/>
  <c r="N337" i="9"/>
  <c r="N226" i="9"/>
  <c r="O110" i="9"/>
  <c r="N474" i="9"/>
  <c r="O300" i="9"/>
  <c r="O300" i="10" s="1"/>
  <c r="O300" i="13" s="1"/>
  <c r="Q554" i="7"/>
  <c r="O210" i="9"/>
  <c r="R210" i="9" s="1"/>
  <c r="O364" i="9"/>
  <c r="R364" i="9" s="1"/>
  <c r="O188" i="9"/>
  <c r="R188" i="9" s="1"/>
  <c r="O536" i="7"/>
  <c r="R536" i="7" s="1"/>
  <c r="R344" i="9"/>
  <c r="N240" i="9"/>
  <c r="R150" i="9"/>
  <c r="O361" i="10"/>
  <c r="R361" i="9"/>
  <c r="O573" i="7"/>
  <c r="O573" i="9" s="1"/>
  <c r="R573" i="9" s="1"/>
  <c r="M70" i="7"/>
  <c r="G70" i="7"/>
  <c r="N70" i="7" s="1"/>
  <c r="R431" i="7"/>
  <c r="R379" i="7"/>
  <c r="O332" i="9"/>
  <c r="O332" i="10" s="1"/>
  <c r="R332" i="10" s="1"/>
  <c r="R535" i="7"/>
  <c r="R154" i="9"/>
  <c r="O158" i="9"/>
  <c r="O158" i="10" s="1"/>
  <c r="R264" i="7"/>
  <c r="M205" i="7"/>
  <c r="R209" i="7"/>
  <c r="O443" i="5"/>
  <c r="O264" i="7"/>
  <c r="O264" i="9" s="1"/>
  <c r="Q296" i="7"/>
  <c r="M53" i="7"/>
  <c r="M52" i="7" s="1"/>
  <c r="O502" i="7"/>
  <c r="O502" i="9" s="1"/>
  <c r="O232" i="7"/>
  <c r="R232" i="7" s="1"/>
  <c r="R82" i="7"/>
  <c r="R485" i="7"/>
  <c r="R400" i="7"/>
  <c r="R263" i="7"/>
  <c r="N35" i="7"/>
  <c r="R522" i="5"/>
  <c r="Q474" i="5"/>
  <c r="R492" i="5"/>
  <c r="R281" i="7"/>
  <c r="M88" i="5"/>
  <c r="G88" i="5"/>
  <c r="N406" i="5"/>
  <c r="K207" i="6"/>
  <c r="K206" i="6"/>
  <c r="F72" i="5" s="1"/>
  <c r="M554" i="2"/>
  <c r="R500" i="5"/>
  <c r="R417" i="5"/>
  <c r="O115" i="5"/>
  <c r="R115" i="5" s="1"/>
  <c r="R261" i="7"/>
  <c r="R398" i="5"/>
  <c r="O153" i="5"/>
  <c r="M83" i="5"/>
  <c r="M79" i="5" s="1"/>
  <c r="G83" i="5"/>
  <c r="R194" i="7"/>
  <c r="O84" i="7"/>
  <c r="M50" i="5"/>
  <c r="M43" i="5" s="1"/>
  <c r="M27" i="5" s="1"/>
  <c r="M592" i="5" s="1"/>
  <c r="G50" i="5"/>
  <c r="N50" i="5" s="1"/>
  <c r="R515" i="5"/>
  <c r="N107" i="7"/>
  <c r="N94" i="7" s="1"/>
  <c r="R433" i="5"/>
  <c r="O272" i="5"/>
  <c r="R272" i="5" s="1"/>
  <c r="R495" i="5"/>
  <c r="R325" i="5"/>
  <c r="R130" i="5"/>
  <c r="Q554" i="2"/>
  <c r="R555" i="2"/>
  <c r="R471" i="2"/>
  <c r="R101" i="5"/>
  <c r="R504" i="2"/>
  <c r="O456" i="5"/>
  <c r="R456" i="2"/>
  <c r="O240" i="5"/>
  <c r="M508" i="2"/>
  <c r="R530" i="2"/>
  <c r="O293" i="7"/>
  <c r="O293" i="9" s="1"/>
  <c r="Q588" i="2"/>
  <c r="R590" i="2"/>
  <c r="Q28" i="5"/>
  <c r="Q27" i="5" s="1"/>
  <c r="R505" i="2"/>
  <c r="R369" i="2"/>
  <c r="R309" i="2"/>
  <c r="R307" i="2" s="1"/>
  <c r="R199" i="2"/>
  <c r="R372" i="2"/>
  <c r="O216" i="5"/>
  <c r="O215" i="2"/>
  <c r="I459" i="9"/>
  <c r="J459" i="7"/>
  <c r="R394" i="2"/>
  <c r="R408" i="2"/>
  <c r="R434" i="2"/>
  <c r="M63" i="2"/>
  <c r="M62" i="2" s="1"/>
  <c r="O367" i="2"/>
  <c r="R367" i="2" s="1"/>
  <c r="Q508" i="1"/>
  <c r="Q507" i="1" s="1"/>
  <c r="I462" i="7"/>
  <c r="J462" i="5"/>
  <c r="I434" i="7"/>
  <c r="J434" i="5"/>
  <c r="Q482" i="1"/>
  <c r="Q481" i="1" s="1"/>
  <c r="R387" i="1"/>
  <c r="I124" i="7"/>
  <c r="J124" i="5"/>
  <c r="I100" i="7"/>
  <c r="J100" i="5"/>
  <c r="R520" i="1"/>
  <c r="R439" i="1"/>
  <c r="I526" i="5"/>
  <c r="J526" i="2"/>
  <c r="I481" i="7"/>
  <c r="J481" i="5"/>
  <c r="I445" i="5"/>
  <c r="J445" i="2"/>
  <c r="I340" i="7"/>
  <c r="J340" i="5"/>
  <c r="I292" i="7"/>
  <c r="J292" i="5"/>
  <c r="J144" i="23"/>
  <c r="K144" i="23" s="1"/>
  <c r="K144" i="20"/>
  <c r="I81" i="9"/>
  <c r="J81" i="7"/>
  <c r="I416" i="7"/>
  <c r="J416" i="5"/>
  <c r="I488" i="5"/>
  <c r="J488" i="2"/>
  <c r="J375" i="2"/>
  <c r="I375" i="5"/>
  <c r="I335" i="5"/>
  <c r="J335" i="2"/>
  <c r="I146" i="7"/>
  <c r="J146" i="5"/>
  <c r="I215" i="7"/>
  <c r="J215" i="5"/>
  <c r="I191" i="7"/>
  <c r="J191" i="5"/>
  <c r="I167" i="7"/>
  <c r="J167" i="5"/>
  <c r="I467" i="5"/>
  <c r="J467" i="2"/>
  <c r="I528" i="5"/>
  <c r="J528" i="2"/>
  <c r="I478" i="5"/>
  <c r="J478" i="2"/>
  <c r="I451" i="5"/>
  <c r="J451" i="2"/>
  <c r="I392" i="7"/>
  <c r="J392" i="5"/>
  <c r="I299" i="7"/>
  <c r="J299" i="5"/>
  <c r="R326" i="2"/>
  <c r="I406" i="5"/>
  <c r="J406" i="2"/>
  <c r="I370" i="7"/>
  <c r="J370" i="5"/>
  <c r="I346" i="7"/>
  <c r="J346" i="5"/>
  <c r="I293" i="5"/>
  <c r="J293" i="2"/>
  <c r="I57" i="7"/>
  <c r="J57" i="5"/>
  <c r="I520" i="5"/>
  <c r="J520" i="2"/>
  <c r="I468" i="5"/>
  <c r="J468" i="2"/>
  <c r="R427" i="1"/>
  <c r="I397" i="5"/>
  <c r="J397" i="2"/>
  <c r="I357" i="5"/>
  <c r="J357" i="2"/>
  <c r="I325" i="5"/>
  <c r="J325" i="2"/>
  <c r="I134" i="7"/>
  <c r="J134" i="5"/>
  <c r="I94" i="7"/>
  <c r="J94" i="5"/>
  <c r="I231" i="7"/>
  <c r="J231" i="5"/>
  <c r="I304" i="7"/>
  <c r="J304" i="5"/>
  <c r="Q107" i="2"/>
  <c r="Q94" i="2" s="1"/>
  <c r="R108" i="2"/>
  <c r="I420" i="7"/>
  <c r="J420" i="5"/>
  <c r="I250" i="7"/>
  <c r="J250" i="5"/>
  <c r="I400" i="7"/>
  <c r="J400" i="5"/>
  <c r="I367" i="7"/>
  <c r="J367" i="5"/>
  <c r="I297" i="5"/>
  <c r="J297" i="2"/>
  <c r="I217" i="9"/>
  <c r="J217" i="7"/>
  <c r="N120" i="1"/>
  <c r="I62" i="7"/>
  <c r="J62" i="5"/>
  <c r="I201" i="7"/>
  <c r="J201" i="5"/>
  <c r="I484" i="5"/>
  <c r="J484" i="2"/>
  <c r="Q337" i="1"/>
  <c r="Q317" i="1"/>
  <c r="R318" i="1"/>
  <c r="I294" i="7"/>
  <c r="J294" i="5"/>
  <c r="Q170" i="1"/>
  <c r="R171" i="1"/>
  <c r="I161" i="7"/>
  <c r="J161" i="5"/>
  <c r="I64" i="5"/>
  <c r="O240" i="1"/>
  <c r="J93" i="5"/>
  <c r="I93" i="7"/>
  <c r="K996" i="12"/>
  <c r="K994" i="12"/>
  <c r="K389" i="11"/>
  <c r="L388" i="11"/>
  <c r="K388" i="11"/>
  <c r="K170" i="11"/>
  <c r="K171" i="11"/>
  <c r="O573" i="10"/>
  <c r="Q240" i="10"/>
  <c r="R258" i="10"/>
  <c r="Q552" i="10"/>
  <c r="R348" i="10"/>
  <c r="R312" i="10"/>
  <c r="O408" i="10"/>
  <c r="O408" i="13" s="1"/>
  <c r="R408" i="13" s="1"/>
  <c r="N406" i="10"/>
  <c r="N317" i="13"/>
  <c r="O197" i="10"/>
  <c r="R411" i="9"/>
  <c r="R539" i="10"/>
  <c r="R154" i="10"/>
  <c r="O320" i="10"/>
  <c r="O320" i="13" s="1"/>
  <c r="Q566" i="9"/>
  <c r="N395" i="9"/>
  <c r="O376" i="9"/>
  <c r="O490" i="10"/>
  <c r="R490" i="9"/>
  <c r="O275" i="9"/>
  <c r="R275" i="9" s="1"/>
  <c r="N222" i="9"/>
  <c r="O452" i="9"/>
  <c r="R452" i="9" s="1"/>
  <c r="O532" i="9"/>
  <c r="O532" i="10" s="1"/>
  <c r="R300" i="9"/>
  <c r="G72" i="7"/>
  <c r="N72" i="7" s="1"/>
  <c r="M72" i="7"/>
  <c r="O272" i="9"/>
  <c r="O272" i="10" s="1"/>
  <c r="O532" i="7"/>
  <c r="R532" i="7" s="1"/>
  <c r="O476" i="7"/>
  <c r="R476" i="7" s="1"/>
  <c r="O453" i="7"/>
  <c r="O357" i="7"/>
  <c r="N566" i="7"/>
  <c r="O214" i="9"/>
  <c r="O214" i="10" s="1"/>
  <c r="R531" i="7"/>
  <c r="R142" i="9"/>
  <c r="Q156" i="9"/>
  <c r="Q155" i="9" s="1"/>
  <c r="O518" i="7"/>
  <c r="O518" i="9" s="1"/>
  <c r="O292" i="7"/>
  <c r="O292" i="9" s="1"/>
  <c r="N291" i="7"/>
  <c r="N205" i="7"/>
  <c r="O102" i="9"/>
  <c r="O195" i="7"/>
  <c r="O439" i="5"/>
  <c r="O447" i="7"/>
  <c r="O447" i="9" s="1"/>
  <c r="O447" i="10" s="1"/>
  <c r="R447" i="10" s="1"/>
  <c r="N170" i="7"/>
  <c r="O171" i="7"/>
  <c r="O478" i="7"/>
  <c r="O478" i="9" s="1"/>
  <c r="O186" i="7"/>
  <c r="O186" i="9" s="1"/>
  <c r="N28" i="7"/>
  <c r="M79" i="7"/>
  <c r="Q131" i="7"/>
  <c r="R518" i="5"/>
  <c r="R470" i="5"/>
  <c r="Q406" i="5"/>
  <c r="R491" i="5"/>
  <c r="P62" i="7"/>
  <c r="Q508" i="5"/>
  <c r="Q507" i="5" s="1"/>
  <c r="R425" i="5"/>
  <c r="O116" i="5"/>
  <c r="O508" i="5"/>
  <c r="M95" i="5"/>
  <c r="M94" i="5" s="1"/>
  <c r="M90" i="5"/>
  <c r="G90" i="5"/>
  <c r="R528" i="2"/>
  <c r="K46" i="3"/>
  <c r="K45" i="3"/>
  <c r="F38" i="1" s="1"/>
  <c r="N520" i="5"/>
  <c r="N507" i="5" s="1"/>
  <c r="M32" i="2"/>
  <c r="G32" i="2"/>
  <c r="N32" i="2" s="1"/>
  <c r="R544" i="2"/>
  <c r="R582" i="2"/>
  <c r="Q508" i="2"/>
  <c r="Q507" i="2" s="1"/>
  <c r="R509" i="2"/>
  <c r="R508" i="2" s="1"/>
  <c r="O584" i="5"/>
  <c r="R584" i="2"/>
  <c r="K46" i="4"/>
  <c r="K45" i="4"/>
  <c r="F38" i="2" s="1"/>
  <c r="O353" i="5"/>
  <c r="O353" i="7" s="1"/>
  <c r="O229" i="9"/>
  <c r="R229" i="7"/>
  <c r="M39" i="1"/>
  <c r="G39" i="1"/>
  <c r="M487" i="2"/>
  <c r="I547" i="7"/>
  <c r="J547" i="5"/>
  <c r="I531" i="7"/>
  <c r="J531" i="5"/>
  <c r="O291" i="2"/>
  <c r="O292" i="5"/>
  <c r="O160" i="2"/>
  <c r="O308" i="5"/>
  <c r="O307" i="2"/>
  <c r="I588" i="7"/>
  <c r="J588" i="5"/>
  <c r="I448" i="7"/>
  <c r="J448" i="5"/>
  <c r="Q225" i="5"/>
  <c r="R404" i="2"/>
  <c r="N337" i="2"/>
  <c r="N328" i="2" s="1"/>
  <c r="I573" i="7"/>
  <c r="J573" i="5"/>
  <c r="I557" i="7"/>
  <c r="J557" i="5"/>
  <c r="I537" i="7"/>
  <c r="J537" i="5"/>
  <c r="R426" i="2"/>
  <c r="R91" i="2"/>
  <c r="I586" i="7"/>
  <c r="J586" i="5"/>
  <c r="I534" i="5"/>
  <c r="J534" i="2"/>
  <c r="I67" i="7"/>
  <c r="J67" i="5"/>
  <c r="I29" i="9"/>
  <c r="J29" i="7"/>
  <c r="I486" i="5"/>
  <c r="J486" i="2"/>
  <c r="I419" i="5"/>
  <c r="J419" i="2"/>
  <c r="I232" i="7"/>
  <c r="J232" i="5"/>
  <c r="I198" i="7"/>
  <c r="J198" i="5"/>
  <c r="I174" i="7"/>
  <c r="J174" i="5"/>
  <c r="O333" i="2"/>
  <c r="O333" i="5" s="1"/>
  <c r="R333" i="5" s="1"/>
  <c r="Q63" i="2"/>
  <c r="Q62" i="2" s="1"/>
  <c r="I443" i="5"/>
  <c r="J443" i="2"/>
  <c r="I426" i="5"/>
  <c r="J426" i="2"/>
  <c r="I380" i="7"/>
  <c r="J380" i="5"/>
  <c r="R42" i="2"/>
  <c r="O481" i="1"/>
  <c r="R453" i="1"/>
  <c r="I125" i="9"/>
  <c r="J125" i="7"/>
  <c r="I109" i="7"/>
  <c r="J109" i="5"/>
  <c r="I450" i="7"/>
  <c r="J450" i="5"/>
  <c r="I181" i="7"/>
  <c r="J181" i="5"/>
  <c r="I383" i="5"/>
  <c r="J383" i="2"/>
  <c r="O296" i="1"/>
  <c r="J257" i="5"/>
  <c r="I257" i="7"/>
  <c r="I241" i="7"/>
  <c r="J241" i="5"/>
  <c r="I490" i="5"/>
  <c r="J490" i="2"/>
  <c r="I431" i="5"/>
  <c r="J431" i="2"/>
  <c r="R404" i="1"/>
  <c r="I86" i="7"/>
  <c r="J86" i="5"/>
  <c r="O316" i="2"/>
  <c r="I269" i="5"/>
  <c r="J269" i="2"/>
  <c r="R291" i="1"/>
  <c r="R55" i="1"/>
  <c r="I172" i="7"/>
  <c r="J172" i="5"/>
  <c r="I502" i="5"/>
  <c r="J502" i="2"/>
  <c r="I465" i="5"/>
  <c r="J465" i="2"/>
  <c r="I230" i="7"/>
  <c r="J230" i="5"/>
  <c r="I200" i="7"/>
  <c r="J200" i="5"/>
  <c r="O259" i="2"/>
  <c r="R259" i="2" s="1"/>
  <c r="R448" i="1"/>
  <c r="I336" i="7"/>
  <c r="J336" i="5"/>
  <c r="N95" i="1"/>
  <c r="N94" i="1" s="1"/>
  <c r="O96" i="1"/>
  <c r="N79" i="1"/>
  <c r="O80" i="1"/>
  <c r="R464" i="1"/>
  <c r="R575" i="1"/>
  <c r="I494" i="5"/>
  <c r="J494" i="2"/>
  <c r="R391" i="1"/>
  <c r="O291" i="1"/>
  <c r="N205" i="1"/>
  <c r="O206" i="1"/>
  <c r="I119" i="7"/>
  <c r="J119" i="5"/>
  <c r="I514" i="5"/>
  <c r="J514" i="2"/>
  <c r="I285" i="5"/>
  <c r="J285" i="2"/>
  <c r="I42" i="2"/>
  <c r="J42" i="1"/>
  <c r="I54" i="5"/>
  <c r="J54" i="2"/>
  <c r="M123" i="10"/>
  <c r="G123" i="10"/>
  <c r="N123" i="10" s="1"/>
  <c r="O123" i="10" s="1"/>
  <c r="R123" i="10" s="1"/>
  <c r="N315" i="13"/>
  <c r="M205" i="13"/>
  <c r="M178" i="13" s="1"/>
  <c r="Q94" i="13"/>
  <c r="R570" i="10"/>
  <c r="O428" i="10"/>
  <c r="O268" i="13"/>
  <c r="O268" i="14" s="1"/>
  <c r="R268" i="14" s="1"/>
  <c r="O424" i="10"/>
  <c r="O424" i="13" s="1"/>
  <c r="R424" i="13" s="1"/>
  <c r="M296" i="10"/>
  <c r="M109" i="9"/>
  <c r="G109" i="9"/>
  <c r="N109" i="9" s="1"/>
  <c r="O109" i="9" s="1"/>
  <c r="R109" i="9" s="1"/>
  <c r="R545" i="10"/>
  <c r="R417" i="10"/>
  <c r="R356" i="10"/>
  <c r="O348" i="10"/>
  <c r="O348" i="13" s="1"/>
  <c r="O190" i="10"/>
  <c r="R190" i="10" s="1"/>
  <c r="Q307" i="10"/>
  <c r="O306" i="10"/>
  <c r="O306" i="13" s="1"/>
  <c r="R408" i="10"/>
  <c r="Q406" i="10"/>
  <c r="R455" i="9"/>
  <c r="Q406" i="9"/>
  <c r="O314" i="10"/>
  <c r="O314" i="13" s="1"/>
  <c r="O544" i="9"/>
  <c r="O544" i="10" s="1"/>
  <c r="N35" i="10"/>
  <c r="R219" i="9"/>
  <c r="O548" i="9"/>
  <c r="O548" i="10" s="1"/>
  <c r="N329" i="9"/>
  <c r="N328" i="9" s="1"/>
  <c r="O510" i="10"/>
  <c r="R510" i="9"/>
  <c r="M179" i="9"/>
  <c r="M178" i="9" s="1"/>
  <c r="R324" i="10"/>
  <c r="R532" i="9"/>
  <c r="O198" i="9"/>
  <c r="O198" i="10" s="1"/>
  <c r="R272" i="9"/>
  <c r="O528" i="7"/>
  <c r="R528" i="7" s="1"/>
  <c r="O472" i="7"/>
  <c r="R472" i="7" s="1"/>
  <c r="O449" i="7"/>
  <c r="E148" i="8"/>
  <c r="K148" i="8" s="1"/>
  <c r="K150" i="8" s="1"/>
  <c r="E138" i="8"/>
  <c r="K138" i="8" s="1"/>
  <c r="K140" i="8" s="1"/>
  <c r="O190" i="9"/>
  <c r="R423" i="7"/>
  <c r="R371" i="7"/>
  <c r="R323" i="7"/>
  <c r="R214" i="9"/>
  <c r="O587" i="5"/>
  <c r="O280" i="7"/>
  <c r="R280" i="7" s="1"/>
  <c r="O506" i="7"/>
  <c r="O506" i="9" s="1"/>
  <c r="O289" i="7"/>
  <c r="O289" i="9" s="1"/>
  <c r="O284" i="7"/>
  <c r="O284" i="9" s="1"/>
  <c r="O169" i="7"/>
  <c r="R217" i="7"/>
  <c r="E143" i="7"/>
  <c r="Q141" i="7"/>
  <c r="P141" i="7"/>
  <c r="J141" i="7"/>
  <c r="O253" i="7"/>
  <c r="O253" i="9" s="1"/>
  <c r="R349" i="7"/>
  <c r="O257" i="7"/>
  <c r="O257" i="9" s="1"/>
  <c r="Q27" i="7"/>
  <c r="M487" i="5"/>
  <c r="M481" i="5" s="1"/>
  <c r="O103" i="5"/>
  <c r="R103" i="5" s="1"/>
  <c r="G71" i="5"/>
  <c r="M71" i="5"/>
  <c r="O468" i="5"/>
  <c r="O468" i="7" s="1"/>
  <c r="M30" i="5"/>
  <c r="R453" i="5"/>
  <c r="R345" i="5"/>
  <c r="N205" i="5"/>
  <c r="R393" i="5"/>
  <c r="O580" i="5"/>
  <c r="R580" i="5" s="1"/>
  <c r="R580" i="2"/>
  <c r="J141" i="5"/>
  <c r="E143" i="5"/>
  <c r="Q141" i="5"/>
  <c r="P141" i="5"/>
  <c r="N487" i="2"/>
  <c r="O488" i="2"/>
  <c r="O487" i="2" s="1"/>
  <c r="R191" i="2"/>
  <c r="I455" i="7"/>
  <c r="J455" i="5"/>
  <c r="I563" i="7"/>
  <c r="J563" i="5"/>
  <c r="R141" i="2"/>
  <c r="R140" i="2" s="1"/>
  <c r="N95" i="2"/>
  <c r="N94" i="2" s="1"/>
  <c r="O96" i="2"/>
  <c r="I556" i="7"/>
  <c r="J556" i="5"/>
  <c r="R566" i="1"/>
  <c r="I458" i="7"/>
  <c r="J458" i="5"/>
  <c r="I474" i="5"/>
  <c r="J474" i="2"/>
  <c r="I377" i="5"/>
  <c r="J377" i="2"/>
  <c r="I345" i="5"/>
  <c r="J345" i="2"/>
  <c r="I314" i="7"/>
  <c r="J314" i="5"/>
  <c r="I282" i="7"/>
  <c r="J282" i="5"/>
  <c r="I145" i="7"/>
  <c r="J145" i="5"/>
  <c r="I120" i="7"/>
  <c r="J120" i="5"/>
  <c r="I96" i="7"/>
  <c r="J96" i="5"/>
  <c r="I562" i="5"/>
  <c r="J562" i="2"/>
  <c r="I252" i="7"/>
  <c r="J252" i="5"/>
  <c r="J476" i="2"/>
  <c r="I476" i="5"/>
  <c r="R424" i="1"/>
  <c r="I332" i="7"/>
  <c r="J332" i="5"/>
  <c r="I289" i="5"/>
  <c r="J289" i="2"/>
  <c r="I68" i="9"/>
  <c r="J68" i="7"/>
  <c r="I546" i="5"/>
  <c r="J546" i="2"/>
  <c r="I401" i="5"/>
  <c r="J401" i="2"/>
  <c r="I211" i="7"/>
  <c r="J211" i="5"/>
  <c r="I187" i="7"/>
  <c r="J187" i="5"/>
  <c r="I163" i="7"/>
  <c r="J163" i="5"/>
  <c r="I320" i="7"/>
  <c r="J320" i="5"/>
  <c r="I518" i="5"/>
  <c r="J518" i="2"/>
  <c r="I466" i="5"/>
  <c r="J466" i="2"/>
  <c r="I433" i="5"/>
  <c r="J433" i="2"/>
  <c r="I338" i="7"/>
  <c r="J338" i="5"/>
  <c r="I280" i="7"/>
  <c r="J280" i="5"/>
  <c r="I510" i="5"/>
  <c r="J510" i="2"/>
  <c r="I130" i="7"/>
  <c r="J130" i="5"/>
  <c r="I114" i="7"/>
  <c r="J114" i="5"/>
  <c r="Q79" i="1"/>
  <c r="N53" i="1"/>
  <c r="N52" i="1" s="1"/>
  <c r="O54" i="1"/>
  <c r="I177" i="7"/>
  <c r="J177" i="5"/>
  <c r="R444" i="1"/>
  <c r="I411" i="5"/>
  <c r="J411" i="2"/>
  <c r="Q566" i="1"/>
  <c r="J512" i="2"/>
  <c r="I512" i="5"/>
  <c r="M406" i="1"/>
  <c r="I376" i="7"/>
  <c r="J376" i="5"/>
  <c r="Q63" i="1"/>
  <c r="Q62" i="1" s="1"/>
  <c r="R64" i="1"/>
  <c r="I189" i="7"/>
  <c r="J189" i="5"/>
  <c r="I301" i="5"/>
  <c r="J301" i="2"/>
  <c r="O555" i="2"/>
  <c r="O554" i="1"/>
  <c r="O507" i="1" s="1"/>
  <c r="I355" i="5"/>
  <c r="J355" i="2"/>
  <c r="I135" i="7"/>
  <c r="J135" i="5"/>
  <c r="J99" i="5"/>
  <c r="I99" i="7"/>
  <c r="I384" i="7"/>
  <c r="J384" i="5"/>
  <c r="I185" i="7"/>
  <c r="J185" i="5"/>
  <c r="I34" i="7"/>
  <c r="J34" i="5"/>
  <c r="I224" i="7"/>
  <c r="J224" i="5"/>
  <c r="R173" i="1"/>
  <c r="Q226" i="1"/>
  <c r="Q225" i="1" s="1"/>
  <c r="R68" i="1"/>
  <c r="M107" i="10"/>
  <c r="O109" i="10"/>
  <c r="O109" i="13" s="1"/>
  <c r="P140" i="10"/>
  <c r="P139" i="10" s="1"/>
  <c r="R351" i="10"/>
  <c r="R548" i="9"/>
  <c r="O267" i="9"/>
  <c r="M226" i="9"/>
  <c r="M225" i="9" s="1"/>
  <c r="N165" i="9"/>
  <c r="N155" i="9" s="1"/>
  <c r="K18" i="8"/>
  <c r="K17" i="8"/>
  <c r="F32" i="7" s="1"/>
  <c r="O445" i="7"/>
  <c r="O397" i="7"/>
  <c r="R397" i="7" s="1"/>
  <c r="N395" i="7"/>
  <c r="O349" i="10"/>
  <c r="R349" i="9"/>
  <c r="R190" i="9"/>
  <c r="R419" i="7"/>
  <c r="O276" i="9"/>
  <c r="R276" i="9" s="1"/>
  <c r="O301" i="7"/>
  <c r="O301" i="9" s="1"/>
  <c r="Q221" i="7"/>
  <c r="R221" i="7" s="1"/>
  <c r="P221" i="7"/>
  <c r="J221" i="7"/>
  <c r="O583" i="7"/>
  <c r="R583" i="5"/>
  <c r="R186" i="7"/>
  <c r="R506" i="7"/>
  <c r="N165" i="7"/>
  <c r="R253" i="7"/>
  <c r="R257" i="7"/>
  <c r="R128" i="7"/>
  <c r="R558" i="5"/>
  <c r="R397" i="5"/>
  <c r="N317" i="5"/>
  <c r="M87" i="5"/>
  <c r="G87" i="5"/>
  <c r="N487" i="5"/>
  <c r="R313" i="5"/>
  <c r="O99" i="5"/>
  <c r="O387" i="5"/>
  <c r="O387" i="7" s="1"/>
  <c r="O387" i="9" s="1"/>
  <c r="O193" i="5"/>
  <c r="G41" i="2"/>
  <c r="N41" i="2" s="1"/>
  <c r="M41" i="2"/>
  <c r="N107" i="5"/>
  <c r="T68" i="5" s="1"/>
  <c r="O108" i="5"/>
  <c r="O393" i="5"/>
  <c r="O393" i="7" s="1"/>
  <c r="O347" i="5"/>
  <c r="O347" i="7" s="1"/>
  <c r="O347" i="9" s="1"/>
  <c r="O202" i="5"/>
  <c r="R202" i="5" s="1"/>
  <c r="K185" i="6"/>
  <c r="K184" i="6"/>
  <c r="F70" i="5" s="1"/>
  <c r="N481" i="5"/>
  <c r="M76" i="5"/>
  <c r="G76" i="5"/>
  <c r="K116" i="4"/>
  <c r="K115" i="4"/>
  <c r="O199" i="9"/>
  <c r="R199" i="7"/>
  <c r="R561" i="2"/>
  <c r="O394" i="9"/>
  <c r="R394" i="9" s="1"/>
  <c r="R394" i="7"/>
  <c r="Q150" i="5"/>
  <c r="R150" i="5" s="1"/>
  <c r="P150" i="5"/>
  <c r="P148" i="5" s="1"/>
  <c r="J150" i="5"/>
  <c r="R353" i="5"/>
  <c r="O207" i="9"/>
  <c r="R207" i="7"/>
  <c r="Q487" i="2"/>
  <c r="R488" i="2"/>
  <c r="Q296" i="2"/>
  <c r="R297" i="2"/>
  <c r="I587" i="7"/>
  <c r="J587" i="5"/>
  <c r="R154" i="5"/>
  <c r="R362" i="2"/>
  <c r="P143" i="2"/>
  <c r="P140" i="2" s="1"/>
  <c r="P139" i="2" s="1"/>
  <c r="E216" i="2"/>
  <c r="Q143" i="2"/>
  <c r="R143" i="2" s="1"/>
  <c r="J143" i="2"/>
  <c r="R398" i="2"/>
  <c r="O92" i="2"/>
  <c r="R92" i="2" s="1"/>
  <c r="I584" i="7"/>
  <c r="J584" i="5"/>
  <c r="I444" i="7"/>
  <c r="J444" i="5"/>
  <c r="R57" i="5"/>
  <c r="Q317" i="2"/>
  <c r="N63" i="2"/>
  <c r="N62" i="2" s="1"/>
  <c r="O64" i="2"/>
  <c r="O64" i="5" s="1"/>
  <c r="I569" i="7"/>
  <c r="J569" i="5"/>
  <c r="I553" i="7"/>
  <c r="J553" i="5"/>
  <c r="I533" i="7"/>
  <c r="J533" i="5"/>
  <c r="R350" i="2"/>
  <c r="R306" i="2"/>
  <c r="R87" i="2"/>
  <c r="I582" i="7"/>
  <c r="J582" i="5"/>
  <c r="J524" i="2"/>
  <c r="I524" i="5"/>
  <c r="I405" i="5"/>
  <c r="J405" i="2"/>
  <c r="I63" i="7"/>
  <c r="J63" i="5"/>
  <c r="I279" i="7"/>
  <c r="J279" i="5"/>
  <c r="I228" i="7"/>
  <c r="J228" i="5"/>
  <c r="I194" i="7"/>
  <c r="J194" i="5"/>
  <c r="I170" i="7"/>
  <c r="J170" i="5"/>
  <c r="J80" i="5"/>
  <c r="I80" i="7"/>
  <c r="I44" i="7"/>
  <c r="J44" i="5"/>
  <c r="R474" i="1"/>
  <c r="I359" i="5"/>
  <c r="J359" i="2"/>
  <c r="I327" i="5"/>
  <c r="J327" i="2"/>
  <c r="I391" i="5"/>
  <c r="J391" i="2"/>
  <c r="I173" i="7"/>
  <c r="J173" i="5"/>
  <c r="I479" i="5"/>
  <c r="J479" i="2"/>
  <c r="I52" i="7"/>
  <c r="J52" i="5"/>
  <c r="I349" i="5"/>
  <c r="J349" i="2"/>
  <c r="I322" i="7"/>
  <c r="J322" i="5"/>
  <c r="I290" i="7"/>
  <c r="J290" i="5"/>
  <c r="I168" i="7"/>
  <c r="J168" i="5"/>
  <c r="I497" i="5"/>
  <c r="J497" i="2"/>
  <c r="I319" i="7"/>
  <c r="J319" i="5"/>
  <c r="I271" i="7"/>
  <c r="J271" i="5"/>
  <c r="I246" i="7"/>
  <c r="J246" i="5"/>
  <c r="I226" i="7"/>
  <c r="J226" i="5"/>
  <c r="I196" i="7"/>
  <c r="J196" i="5"/>
  <c r="I328" i="7"/>
  <c r="J328" i="5"/>
  <c r="I284" i="7"/>
  <c r="J284" i="5"/>
  <c r="R113" i="1"/>
  <c r="N63" i="1"/>
  <c r="N62" i="1" s="1"/>
  <c r="M131" i="2"/>
  <c r="I482" i="5"/>
  <c r="J482" i="2"/>
  <c r="R432" i="1"/>
  <c r="I409" i="5"/>
  <c r="J409" i="2"/>
  <c r="I262" i="7"/>
  <c r="J262" i="5"/>
  <c r="N165" i="1"/>
  <c r="O166" i="1"/>
  <c r="M131" i="1"/>
  <c r="M95" i="1"/>
  <c r="I272" i="7"/>
  <c r="J272" i="5"/>
  <c r="Q148" i="1"/>
  <c r="I47" i="5"/>
  <c r="J47" i="2"/>
  <c r="R144" i="1"/>
  <c r="I97" i="7"/>
  <c r="J97" i="5"/>
  <c r="R243" i="9" l="1"/>
  <c r="O243" i="10"/>
  <c r="T221" i="20"/>
  <c r="P221" i="23"/>
  <c r="T221" i="23" s="1"/>
  <c r="O341" i="9"/>
  <c r="R341" i="7"/>
  <c r="O291" i="9"/>
  <c r="O292" i="10"/>
  <c r="R292" i="9"/>
  <c r="O320" i="14"/>
  <c r="R320" i="13"/>
  <c r="O542" i="16"/>
  <c r="R542" i="15"/>
  <c r="O272" i="13"/>
  <c r="R272" i="10"/>
  <c r="R347" i="9"/>
  <c r="O347" i="10"/>
  <c r="R468" i="7"/>
  <c r="O468" i="9"/>
  <c r="R344" i="10"/>
  <c r="O344" i="13"/>
  <c r="O194" i="14"/>
  <c r="R194" i="13"/>
  <c r="O340" i="13"/>
  <c r="R340" i="10"/>
  <c r="O109" i="14"/>
  <c r="R109" i="13"/>
  <c r="R393" i="7"/>
  <c r="O393" i="9"/>
  <c r="R186" i="9"/>
  <c r="O186" i="10"/>
  <c r="O348" i="14"/>
  <c r="R348" i="13"/>
  <c r="O335" i="10"/>
  <c r="R335" i="9"/>
  <c r="O244" i="14"/>
  <c r="R244" i="13"/>
  <c r="O352" i="14"/>
  <c r="R352" i="13"/>
  <c r="O284" i="10"/>
  <c r="R284" i="9"/>
  <c r="O577" i="9"/>
  <c r="R577" i="7"/>
  <c r="O300" i="14"/>
  <c r="R300" i="13"/>
  <c r="R214" i="10"/>
  <c r="O214" i="13"/>
  <c r="O523" i="14"/>
  <c r="R523" i="13"/>
  <c r="R55" i="14"/>
  <c r="O55" i="15"/>
  <c r="R477" i="15"/>
  <c r="O477" i="16"/>
  <c r="O568" i="9"/>
  <c r="R568" i="7"/>
  <c r="R264" i="9"/>
  <c r="O264" i="10"/>
  <c r="O496" i="13"/>
  <c r="R496" i="10"/>
  <c r="R295" i="9"/>
  <c r="O295" i="10"/>
  <c r="O158" i="13"/>
  <c r="R158" i="10"/>
  <c r="R492" i="7"/>
  <c r="O492" i="9"/>
  <c r="O379" i="14"/>
  <c r="R379" i="13"/>
  <c r="O441" i="9"/>
  <c r="R441" i="7"/>
  <c r="R64" i="5"/>
  <c r="O64" i="7"/>
  <c r="O387" i="10"/>
  <c r="R387" i="9"/>
  <c r="R198" i="10"/>
  <c r="O198" i="13"/>
  <c r="O353" i="9"/>
  <c r="R353" i="7"/>
  <c r="O175" i="2"/>
  <c r="R176" i="2"/>
  <c r="R175" i="2" s="1"/>
  <c r="O176" i="5"/>
  <c r="I400" i="9"/>
  <c r="J400" i="7"/>
  <c r="I103" i="9"/>
  <c r="J103" i="7"/>
  <c r="I176" i="9"/>
  <c r="J176" i="7"/>
  <c r="I541" i="9"/>
  <c r="J541" i="7"/>
  <c r="O297" i="9"/>
  <c r="I399" i="7"/>
  <c r="J399" i="5"/>
  <c r="I309" i="7"/>
  <c r="J309" i="5"/>
  <c r="R177" i="7"/>
  <c r="O177" i="9"/>
  <c r="H34" i="20"/>
  <c r="O34" i="20" s="1"/>
  <c r="N34" i="20"/>
  <c r="O565" i="9"/>
  <c r="R565" i="7"/>
  <c r="R414" i="7"/>
  <c r="O414" i="9"/>
  <c r="R585" i="14"/>
  <c r="O585" i="15"/>
  <c r="O590" i="10"/>
  <c r="R590" i="9"/>
  <c r="T426" i="20"/>
  <c r="P426" i="23"/>
  <c r="T426" i="23" s="1"/>
  <c r="E158" i="21"/>
  <c r="K158" i="21" s="1"/>
  <c r="K160" i="21" s="1"/>
  <c r="E168" i="21"/>
  <c r="K168" i="21" s="1"/>
  <c r="K170" i="21" s="1"/>
  <c r="I253" i="9"/>
  <c r="J253" i="7"/>
  <c r="I482" i="7"/>
  <c r="J482" i="5"/>
  <c r="I194" i="9"/>
  <c r="J194" i="7"/>
  <c r="I582" i="9"/>
  <c r="J582" i="7"/>
  <c r="N76" i="5"/>
  <c r="O76" i="5" s="1"/>
  <c r="R76" i="5" s="1"/>
  <c r="I76" i="5"/>
  <c r="O193" i="7"/>
  <c r="R193" i="5"/>
  <c r="O349" i="13"/>
  <c r="R349" i="10"/>
  <c r="I384" i="9"/>
  <c r="J384" i="7"/>
  <c r="I320" i="9"/>
  <c r="J320" i="7"/>
  <c r="I68" i="10"/>
  <c r="J68" i="9"/>
  <c r="Q140" i="2"/>
  <c r="Q139" i="2" s="1"/>
  <c r="R548" i="10"/>
  <c r="O548" i="13"/>
  <c r="I514" i="7"/>
  <c r="J514" i="5"/>
  <c r="I465" i="7"/>
  <c r="J465" i="5"/>
  <c r="I380" i="9"/>
  <c r="J380" i="7"/>
  <c r="I232" i="9"/>
  <c r="J232" i="7"/>
  <c r="I586" i="9"/>
  <c r="J586" i="7"/>
  <c r="I547" i="9"/>
  <c r="J547" i="7"/>
  <c r="Q148" i="5"/>
  <c r="O478" i="10"/>
  <c r="R478" i="9"/>
  <c r="I201" i="9"/>
  <c r="J201" i="7"/>
  <c r="I520" i="7"/>
  <c r="J520" i="5"/>
  <c r="R496" i="9"/>
  <c r="O28" i="2"/>
  <c r="R29" i="2"/>
  <c r="R28" i="2" s="1"/>
  <c r="I204" i="9"/>
  <c r="J204" i="7"/>
  <c r="I225" i="9"/>
  <c r="J225" i="7"/>
  <c r="I353" i="7"/>
  <c r="J353" i="5"/>
  <c r="I568" i="9"/>
  <c r="J568" i="7"/>
  <c r="R335" i="7"/>
  <c r="I65" i="9"/>
  <c r="J65" i="7"/>
  <c r="I305" i="7"/>
  <c r="J305" i="5"/>
  <c r="I104" i="9"/>
  <c r="J104" i="7"/>
  <c r="I551" i="9"/>
  <c r="J551" i="7"/>
  <c r="O318" i="7"/>
  <c r="R318" i="5"/>
  <c r="O465" i="9"/>
  <c r="R465" i="7"/>
  <c r="I504" i="7"/>
  <c r="J504" i="5"/>
  <c r="O553" i="5"/>
  <c r="O552" i="2"/>
  <c r="R553" i="2"/>
  <c r="R552" i="2" s="1"/>
  <c r="O202" i="7"/>
  <c r="I48" i="7"/>
  <c r="J48" i="5"/>
  <c r="I495" i="7"/>
  <c r="J495" i="5"/>
  <c r="I447" i="7"/>
  <c r="J447" i="5"/>
  <c r="I329" i="7"/>
  <c r="J329" i="5"/>
  <c r="M56" i="2"/>
  <c r="G56" i="2"/>
  <c r="O520" i="2"/>
  <c r="O521" i="5"/>
  <c r="O118" i="10"/>
  <c r="R118" i="9"/>
  <c r="O355" i="9"/>
  <c r="O203" i="13"/>
  <c r="R203" i="10"/>
  <c r="R298" i="13"/>
  <c r="O298" i="14"/>
  <c r="I275" i="9"/>
  <c r="J275" i="7"/>
  <c r="I223" i="9"/>
  <c r="J223" i="7"/>
  <c r="I212" i="9"/>
  <c r="J212" i="7"/>
  <c r="I106" i="9"/>
  <c r="J106" i="7"/>
  <c r="I213" i="9"/>
  <c r="J213" i="7"/>
  <c r="I117" i="9"/>
  <c r="J117" i="7"/>
  <c r="I162" i="9"/>
  <c r="J162" i="7"/>
  <c r="I565" i="9"/>
  <c r="J565" i="7"/>
  <c r="I436" i="9"/>
  <c r="J436" i="7"/>
  <c r="I579" i="9"/>
  <c r="J579" i="7"/>
  <c r="R577" i="5"/>
  <c r="R231" i="5"/>
  <c r="O231" i="7"/>
  <c r="Q507" i="7"/>
  <c r="R290" i="13"/>
  <c r="O290" i="14"/>
  <c r="O255" i="1"/>
  <c r="R256" i="1"/>
  <c r="R255" i="1" s="1"/>
  <c r="O256" i="2"/>
  <c r="I242" i="9"/>
  <c r="J242" i="7"/>
  <c r="O179" i="1"/>
  <c r="R180" i="1"/>
  <c r="R179" i="1" s="1"/>
  <c r="O180" i="2"/>
  <c r="R572" i="5"/>
  <c r="O572" i="7"/>
  <c r="G59" i="5"/>
  <c r="N59" i="5" s="1"/>
  <c r="M59" i="5"/>
  <c r="M596" i="5" s="1"/>
  <c r="R534" i="9"/>
  <c r="O534" i="10"/>
  <c r="R100" i="10"/>
  <c r="O100" i="13"/>
  <c r="R406" i="1"/>
  <c r="I368" i="9"/>
  <c r="J368" i="7"/>
  <c r="I381" i="7"/>
  <c r="J381" i="5"/>
  <c r="I283" i="9"/>
  <c r="J283" i="7"/>
  <c r="I503" i="7"/>
  <c r="J503" i="5"/>
  <c r="I403" i="7"/>
  <c r="J403" i="5"/>
  <c r="I506" i="7"/>
  <c r="J506" i="5"/>
  <c r="N32" i="1"/>
  <c r="I32" i="1"/>
  <c r="O484" i="9"/>
  <c r="R130" i="10"/>
  <c r="O130" i="13"/>
  <c r="R130" i="13" s="1"/>
  <c r="I169" i="9"/>
  <c r="J169" i="7"/>
  <c r="I288" i="9"/>
  <c r="J288" i="7"/>
  <c r="I116" i="9"/>
  <c r="J116" i="7"/>
  <c r="M328" i="13"/>
  <c r="R480" i="14"/>
  <c r="M120" i="13"/>
  <c r="I183" i="9"/>
  <c r="J183" i="7"/>
  <c r="O196" i="7"/>
  <c r="R196" i="5"/>
  <c r="R387" i="5"/>
  <c r="R305" i="13"/>
  <c r="O305" i="14"/>
  <c r="R435" i="13"/>
  <c r="R477" i="14"/>
  <c r="P542" i="20"/>
  <c r="R535" i="16"/>
  <c r="R535" i="15"/>
  <c r="I469" i="9"/>
  <c r="J469" i="7"/>
  <c r="Q612" i="20"/>
  <c r="Q609" i="20" s="1"/>
  <c r="N507" i="2"/>
  <c r="M51" i="9"/>
  <c r="M43" i="9" s="1"/>
  <c r="G51" i="9"/>
  <c r="N51" i="9" s="1"/>
  <c r="G126" i="13"/>
  <c r="N126" i="13" s="1"/>
  <c r="M126" i="13"/>
  <c r="N481" i="13"/>
  <c r="O432" i="7"/>
  <c r="R432" i="5"/>
  <c r="O385" i="14"/>
  <c r="R385" i="13"/>
  <c r="M62" i="14"/>
  <c r="R524" i="10"/>
  <c r="O524" i="13"/>
  <c r="R281" i="10"/>
  <c r="T504" i="20"/>
  <c r="P504" i="23"/>
  <c r="T504" i="23" s="1"/>
  <c r="M32" i="15"/>
  <c r="G32" i="15"/>
  <c r="N32" i="15" s="1"/>
  <c r="R382" i="15"/>
  <c r="O382" i="16"/>
  <c r="N125" i="23"/>
  <c r="H125" i="23"/>
  <c r="O125" i="23" s="1"/>
  <c r="O561" i="14"/>
  <c r="H34" i="23"/>
  <c r="O34" i="23" s="1"/>
  <c r="N34" i="23"/>
  <c r="N178" i="13"/>
  <c r="I290" i="9"/>
  <c r="J290" i="7"/>
  <c r="I510" i="7"/>
  <c r="J510" i="5"/>
  <c r="I562" i="7"/>
  <c r="J562" i="5"/>
  <c r="I86" i="9"/>
  <c r="J86" i="7"/>
  <c r="J124" i="7"/>
  <c r="O369" i="9"/>
  <c r="R369" i="7"/>
  <c r="I386" i="7"/>
  <c r="J386" i="5"/>
  <c r="I306" i="9"/>
  <c r="J306" i="7"/>
  <c r="I572" i="9"/>
  <c r="J572" i="7"/>
  <c r="R426" i="9"/>
  <c r="O426" i="10"/>
  <c r="I203" i="9"/>
  <c r="J203" i="7"/>
  <c r="O287" i="7"/>
  <c r="R287" i="5"/>
  <c r="O97" i="9"/>
  <c r="R97" i="7"/>
  <c r="R86" i="2"/>
  <c r="O86" i="5"/>
  <c r="I496" i="7"/>
  <c r="J496" i="5"/>
  <c r="R429" i="15"/>
  <c r="O429" i="16"/>
  <c r="R174" i="14"/>
  <c r="O174" i="15"/>
  <c r="O332" i="13"/>
  <c r="R188" i="13"/>
  <c r="O188" i="14"/>
  <c r="I189" i="9"/>
  <c r="J189" i="7"/>
  <c r="I272" i="9"/>
  <c r="J272" i="7"/>
  <c r="I246" i="9"/>
  <c r="J246" i="7"/>
  <c r="I322" i="9"/>
  <c r="J322" i="7"/>
  <c r="I327" i="7"/>
  <c r="J327" i="5"/>
  <c r="R583" i="7"/>
  <c r="O583" i="9"/>
  <c r="R198" i="9"/>
  <c r="I99" i="9"/>
  <c r="J99" i="7"/>
  <c r="R63" i="1"/>
  <c r="I177" i="9"/>
  <c r="J177" i="7"/>
  <c r="I280" i="9"/>
  <c r="J280" i="7"/>
  <c r="I96" i="9"/>
  <c r="J96" i="7"/>
  <c r="I377" i="7"/>
  <c r="J377" i="5"/>
  <c r="N71" i="5"/>
  <c r="O71" i="5" s="1"/>
  <c r="R71" i="5" s="1"/>
  <c r="I71" i="5"/>
  <c r="E216" i="7"/>
  <c r="Q143" i="7"/>
  <c r="R143" i="7" s="1"/>
  <c r="P143" i="7"/>
  <c r="J143" i="7"/>
  <c r="O95" i="1"/>
  <c r="R96" i="1"/>
  <c r="R95" i="1" s="1"/>
  <c r="I181" i="9"/>
  <c r="J181" i="7"/>
  <c r="I448" i="9"/>
  <c r="J448" i="7"/>
  <c r="R293" i="7"/>
  <c r="N90" i="5"/>
  <c r="O90" i="5" s="1"/>
  <c r="I90" i="5"/>
  <c r="O171" i="9"/>
  <c r="O170" i="7"/>
  <c r="R171" i="7"/>
  <c r="R170" i="7" s="1"/>
  <c r="R158" i="9"/>
  <c r="O357" i="9"/>
  <c r="R357" i="7"/>
  <c r="R532" i="10"/>
  <c r="O532" i="13"/>
  <c r="I161" i="9"/>
  <c r="J161" i="7"/>
  <c r="I250" i="9"/>
  <c r="J250" i="7"/>
  <c r="I134" i="9"/>
  <c r="J134" i="7"/>
  <c r="I299" i="9"/>
  <c r="J299" i="7"/>
  <c r="I167" i="9"/>
  <c r="J167" i="7"/>
  <c r="I488" i="7"/>
  <c r="J488" i="5"/>
  <c r="I445" i="7"/>
  <c r="J445" i="5"/>
  <c r="O502" i="10"/>
  <c r="R502" i="9"/>
  <c r="O280" i="9"/>
  <c r="N79" i="9"/>
  <c r="Q94" i="1"/>
  <c r="I123" i="9"/>
  <c r="J123" i="7"/>
  <c r="I358" i="9"/>
  <c r="J358" i="7"/>
  <c r="I118" i="10"/>
  <c r="J118" i="9"/>
  <c r="I178" i="9"/>
  <c r="J178" i="7"/>
  <c r="N155" i="5"/>
  <c r="O71" i="7"/>
  <c r="N107" i="9"/>
  <c r="O364" i="10"/>
  <c r="I331" i="7"/>
  <c r="J331" i="5"/>
  <c r="I550" i="7"/>
  <c r="J550" i="5"/>
  <c r="I296" i="9"/>
  <c r="J296" i="7"/>
  <c r="I489" i="9"/>
  <c r="J489" i="7"/>
  <c r="I286" i="9"/>
  <c r="J286" i="7"/>
  <c r="E136" i="6"/>
  <c r="K136" i="6" s="1"/>
  <c r="K138" i="6" s="1"/>
  <c r="E146" i="6"/>
  <c r="K146" i="6" s="1"/>
  <c r="K148" i="6" s="1"/>
  <c r="F56" i="5"/>
  <c r="I470" i="7"/>
  <c r="J470" i="5"/>
  <c r="I427" i="7"/>
  <c r="J427" i="5"/>
  <c r="I333" i="7"/>
  <c r="J333" i="5"/>
  <c r="I255" i="9"/>
  <c r="J255" i="7"/>
  <c r="I182" i="9"/>
  <c r="J182" i="7"/>
  <c r="I491" i="7"/>
  <c r="J491" i="5"/>
  <c r="I581" i="9"/>
  <c r="J581" i="7"/>
  <c r="I371" i="7"/>
  <c r="J371" i="5"/>
  <c r="I354" i="9"/>
  <c r="J354" i="7"/>
  <c r="I516" i="7"/>
  <c r="J516" i="5"/>
  <c r="K146" i="4"/>
  <c r="K145" i="4"/>
  <c r="F58" i="2" s="1"/>
  <c r="O459" i="7"/>
  <c r="R459" i="5"/>
  <c r="R447" i="7"/>
  <c r="R516" i="10"/>
  <c r="O516" i="13"/>
  <c r="I55" i="9"/>
  <c r="J55" i="7"/>
  <c r="R569" i="5"/>
  <c r="O556" i="9"/>
  <c r="R270" i="10"/>
  <c r="I164" i="9"/>
  <c r="J164" i="7"/>
  <c r="I111" i="9"/>
  <c r="J111" i="7"/>
  <c r="N178" i="1"/>
  <c r="I321" i="7"/>
  <c r="J321" i="5"/>
  <c r="R533" i="5"/>
  <c r="O533" i="7"/>
  <c r="M33" i="2"/>
  <c r="M30" i="2" s="1"/>
  <c r="G33" i="2"/>
  <c r="N33" i="2" s="1"/>
  <c r="R389" i="13"/>
  <c r="O389" i="14"/>
  <c r="I291" i="9"/>
  <c r="J291" i="7"/>
  <c r="I492" i="7"/>
  <c r="J492" i="5"/>
  <c r="O299" i="5"/>
  <c r="R299" i="2"/>
  <c r="M30" i="1"/>
  <c r="Q62" i="9"/>
  <c r="R91" i="10"/>
  <c r="O91" i="13"/>
  <c r="N328" i="10"/>
  <c r="R411" i="14"/>
  <c r="O411" i="15"/>
  <c r="N507" i="15"/>
  <c r="R427" i="9"/>
  <c r="O435" i="15"/>
  <c r="R435" i="14"/>
  <c r="O562" i="14"/>
  <c r="O579" i="5"/>
  <c r="R192" i="10"/>
  <c r="Q140" i="15"/>
  <c r="Q139" i="15" s="1"/>
  <c r="P577" i="20"/>
  <c r="R570" i="16"/>
  <c r="Q612" i="23"/>
  <c r="Q609" i="23" s="1"/>
  <c r="N125" i="20"/>
  <c r="H125" i="20"/>
  <c r="O125" i="20" s="1"/>
  <c r="I454" i="9"/>
  <c r="J454" i="7"/>
  <c r="O81" i="13"/>
  <c r="R81" i="10"/>
  <c r="M596" i="9"/>
  <c r="N225" i="16"/>
  <c r="T371" i="20"/>
  <c r="P371" i="23"/>
  <c r="T371" i="23" s="1"/>
  <c r="I259" i="9"/>
  <c r="J259" i="7"/>
  <c r="O104" i="9"/>
  <c r="R104" i="7"/>
  <c r="R237" i="13"/>
  <c r="O237" i="14"/>
  <c r="R539" i="13"/>
  <c r="O539" i="14"/>
  <c r="R419" i="15"/>
  <c r="G32" i="13"/>
  <c r="N32" i="13" s="1"/>
  <c r="M32" i="13"/>
  <c r="M30" i="13" s="1"/>
  <c r="M27" i="13" s="1"/>
  <c r="M592" i="13" s="1"/>
  <c r="R150" i="10"/>
  <c r="Q148" i="10"/>
  <c r="P171" i="20"/>
  <c r="R168" i="16"/>
  <c r="R470" i="10"/>
  <c r="O470" i="13"/>
  <c r="Q225" i="15"/>
  <c r="N225" i="15"/>
  <c r="O493" i="15"/>
  <c r="P268" i="20"/>
  <c r="R265" i="16"/>
  <c r="Q62" i="16"/>
  <c r="P327" i="23"/>
  <c r="T327" i="23" s="1"/>
  <c r="T327" i="20"/>
  <c r="I237" i="9"/>
  <c r="J237" i="7"/>
  <c r="T455" i="20"/>
  <c r="P455" i="23"/>
  <c r="T455" i="23" s="1"/>
  <c r="O182" i="15"/>
  <c r="R182" i="14"/>
  <c r="I82" i="9"/>
  <c r="J82" i="7"/>
  <c r="M49" i="1"/>
  <c r="G49" i="1"/>
  <c r="I552" i="9"/>
  <c r="J552" i="7"/>
  <c r="P612" i="23"/>
  <c r="P609" i="20"/>
  <c r="T612" i="20"/>
  <c r="T609" i="20" s="1"/>
  <c r="J412" i="7"/>
  <c r="I412" i="9"/>
  <c r="E219" i="20"/>
  <c r="R146" i="20"/>
  <c r="Q146" i="20"/>
  <c r="Q143" i="20" s="1"/>
  <c r="Q142" i="20" s="1"/>
  <c r="R494" i="10"/>
  <c r="O494" i="13"/>
  <c r="M70" i="9"/>
  <c r="G70" i="9"/>
  <c r="N70" i="9" s="1"/>
  <c r="N63" i="9" s="1"/>
  <c r="N62" i="9" s="1"/>
  <c r="M33" i="15"/>
  <c r="G33" i="15"/>
  <c r="N33" i="15" s="1"/>
  <c r="E166" i="17"/>
  <c r="K166" i="17" s="1"/>
  <c r="K168" i="17" s="1"/>
  <c r="E156" i="17"/>
  <c r="K156" i="17" s="1"/>
  <c r="K158" i="17" s="1"/>
  <c r="M94" i="1"/>
  <c r="I228" i="9"/>
  <c r="J228" i="7"/>
  <c r="R468" i="5"/>
  <c r="O54" i="2"/>
  <c r="O53" i="1"/>
  <c r="O52" i="1" s="1"/>
  <c r="R54" i="1"/>
  <c r="R53" i="1" s="1"/>
  <c r="R52" i="1" s="1"/>
  <c r="I163" i="9"/>
  <c r="J163" i="7"/>
  <c r="I289" i="7"/>
  <c r="J289" i="5"/>
  <c r="I563" i="9"/>
  <c r="J563" i="7"/>
  <c r="R518" i="7"/>
  <c r="O248" i="13"/>
  <c r="I119" i="9"/>
  <c r="J119" i="7"/>
  <c r="I502" i="7"/>
  <c r="J502" i="5"/>
  <c r="I431" i="7"/>
  <c r="J431" i="5"/>
  <c r="I426" i="7"/>
  <c r="J426" i="5"/>
  <c r="I419" i="7"/>
  <c r="J419" i="5"/>
  <c r="N39" i="1"/>
  <c r="O39" i="1" s="1"/>
  <c r="R39" i="1" s="1"/>
  <c r="I39" i="1"/>
  <c r="O224" i="7"/>
  <c r="O453" i="9"/>
  <c r="R453" i="7"/>
  <c r="R170" i="1"/>
  <c r="I62" i="9"/>
  <c r="J62" i="7"/>
  <c r="I57" i="9"/>
  <c r="J57" i="7"/>
  <c r="I459" i="10"/>
  <c r="J459" i="9"/>
  <c r="R554" i="2"/>
  <c r="I234" i="9"/>
  <c r="J234" i="7"/>
  <c r="O157" i="2"/>
  <c r="O156" i="1"/>
  <c r="R157" i="1"/>
  <c r="R156" i="1" s="1"/>
  <c r="R155" i="1" s="1"/>
  <c r="I577" i="9"/>
  <c r="J577" i="7"/>
  <c r="N59" i="2"/>
  <c r="O59" i="2" s="1"/>
  <c r="R59" i="2" s="1"/>
  <c r="I59" i="2"/>
  <c r="R281" i="13"/>
  <c r="O281" i="14"/>
  <c r="R514" i="10"/>
  <c r="O514" i="13"/>
  <c r="R192" i="13"/>
  <c r="O192" i="14"/>
  <c r="I98" i="9"/>
  <c r="J98" i="7"/>
  <c r="I348" i="9"/>
  <c r="J348" i="7"/>
  <c r="I128" i="9"/>
  <c r="J128" i="7"/>
  <c r="I564" i="9"/>
  <c r="J564" i="7"/>
  <c r="O371" i="10"/>
  <c r="R371" i="9"/>
  <c r="O434" i="14"/>
  <c r="R434" i="13"/>
  <c r="R507" i="1"/>
  <c r="O330" i="7"/>
  <c r="R330" i="5"/>
  <c r="O136" i="5"/>
  <c r="O273" i="13"/>
  <c r="R273" i="10"/>
  <c r="I122" i="9"/>
  <c r="J122" i="7"/>
  <c r="I509" i="7"/>
  <c r="J509" i="5"/>
  <c r="I84" i="7"/>
  <c r="J84" i="5"/>
  <c r="I361" i="7"/>
  <c r="J361" i="5"/>
  <c r="K136" i="4"/>
  <c r="K135" i="4"/>
  <c r="R248" i="9"/>
  <c r="I542" i="7"/>
  <c r="J542" i="5"/>
  <c r="I313" i="7"/>
  <c r="J313" i="5"/>
  <c r="I258" i="9"/>
  <c r="J258" i="7"/>
  <c r="I102" i="9"/>
  <c r="J102" i="7"/>
  <c r="I186" i="9"/>
  <c r="J186" i="7"/>
  <c r="I460" i="9"/>
  <c r="J460" i="7"/>
  <c r="R378" i="9"/>
  <c r="O378" i="10"/>
  <c r="M178" i="7"/>
  <c r="M32" i="9"/>
  <c r="M30" i="9" s="1"/>
  <c r="G32" i="9"/>
  <c r="N32" i="9" s="1"/>
  <c r="I395" i="7"/>
  <c r="J395" i="5"/>
  <c r="R117" i="7"/>
  <c r="O117" i="9"/>
  <c r="O498" i="10"/>
  <c r="R498" i="9"/>
  <c r="M78" i="7"/>
  <c r="G78" i="7"/>
  <c r="N78" i="7" s="1"/>
  <c r="O333" i="7"/>
  <c r="Q481" i="10"/>
  <c r="O210" i="10"/>
  <c r="O460" i="13"/>
  <c r="R460" i="10"/>
  <c r="I413" i="7"/>
  <c r="J413" i="5"/>
  <c r="O566" i="2"/>
  <c r="O567" i="5"/>
  <c r="I440" i="9"/>
  <c r="J440" i="7"/>
  <c r="R147" i="9"/>
  <c r="O147" i="10"/>
  <c r="R556" i="5"/>
  <c r="O211" i="13"/>
  <c r="R211" i="10"/>
  <c r="O427" i="13"/>
  <c r="I115" i="9"/>
  <c r="J115" i="7"/>
  <c r="I153" i="9"/>
  <c r="J153" i="7"/>
  <c r="I140" i="9"/>
  <c r="J140" i="7"/>
  <c r="N594" i="13"/>
  <c r="G33" i="13"/>
  <c r="N33" i="13" s="1"/>
  <c r="M33" i="13"/>
  <c r="I207" i="9"/>
  <c r="J207" i="7"/>
  <c r="R48" i="9"/>
  <c r="O48" i="10"/>
  <c r="R244" i="10"/>
  <c r="H130" i="20"/>
  <c r="O130" i="20" s="1"/>
  <c r="N130" i="20"/>
  <c r="O204" i="9"/>
  <c r="R204" i="7"/>
  <c r="O183" i="10"/>
  <c r="R183" i="9"/>
  <c r="O582" i="13"/>
  <c r="J216" i="15"/>
  <c r="P216" i="15"/>
  <c r="E220" i="15"/>
  <c r="E218" i="15"/>
  <c r="Q216" i="15"/>
  <c r="G113" i="16"/>
  <c r="N113" i="16" s="1"/>
  <c r="M113" i="16"/>
  <c r="M107" i="16" s="1"/>
  <c r="I43" i="9"/>
  <c r="J43" i="7"/>
  <c r="I554" i="7"/>
  <c r="J554" i="5"/>
  <c r="R298" i="10"/>
  <c r="O97" i="20"/>
  <c r="R467" i="10"/>
  <c r="O467" i="13"/>
  <c r="R261" i="15"/>
  <c r="O261" i="16"/>
  <c r="M507" i="15"/>
  <c r="O513" i="16"/>
  <c r="R413" i="13"/>
  <c r="O413" i="14"/>
  <c r="R401" i="10"/>
  <c r="O447" i="13"/>
  <c r="R409" i="15"/>
  <c r="N139" i="9"/>
  <c r="O187" i="9"/>
  <c r="R187" i="7"/>
  <c r="O209" i="13"/>
  <c r="R209" i="10"/>
  <c r="O495" i="14"/>
  <c r="R495" i="13"/>
  <c r="R458" i="7"/>
  <c r="O458" i="9"/>
  <c r="O403" i="13"/>
  <c r="P221" i="15"/>
  <c r="Q221" i="15"/>
  <c r="R221" i="15" s="1"/>
  <c r="J221" i="15"/>
  <c r="O480" i="16"/>
  <c r="I513" i="7"/>
  <c r="J513" i="5"/>
  <c r="K196" i="24"/>
  <c r="K195" i="24"/>
  <c r="N97" i="23"/>
  <c r="Q225" i="13"/>
  <c r="I64" i="7"/>
  <c r="J64" i="5"/>
  <c r="N88" i="5"/>
  <c r="O88" i="5" s="1"/>
  <c r="R88" i="5" s="1"/>
  <c r="I88" i="5"/>
  <c r="I154" i="9"/>
  <c r="J154" i="7"/>
  <c r="I273" i="7"/>
  <c r="J273" i="5"/>
  <c r="R471" i="7"/>
  <c r="O471" i="9"/>
  <c r="O268" i="16"/>
  <c r="R268" i="15"/>
  <c r="I271" i="9"/>
  <c r="J271" i="7"/>
  <c r="I349" i="7"/>
  <c r="J349" i="5"/>
  <c r="I359" i="7"/>
  <c r="J359" i="5"/>
  <c r="I444" i="9"/>
  <c r="J444" i="7"/>
  <c r="I587" i="9"/>
  <c r="J587" i="7"/>
  <c r="G70" i="5"/>
  <c r="M70" i="5"/>
  <c r="O99" i="7"/>
  <c r="R99" i="5"/>
  <c r="R445" i="7"/>
  <c r="O445" i="9"/>
  <c r="I338" i="9"/>
  <c r="J338" i="7"/>
  <c r="I120" i="9"/>
  <c r="J120" i="7"/>
  <c r="I474" i="7"/>
  <c r="J474" i="5"/>
  <c r="O169" i="9"/>
  <c r="R169" i="7"/>
  <c r="O428" i="13"/>
  <c r="R428" i="10"/>
  <c r="O205" i="1"/>
  <c r="R206" i="1"/>
  <c r="R205" i="1" s="1"/>
  <c r="O206" i="2"/>
  <c r="I450" i="9"/>
  <c r="J450" i="7"/>
  <c r="I588" i="9"/>
  <c r="J588" i="7"/>
  <c r="I420" i="9"/>
  <c r="J420" i="7"/>
  <c r="I325" i="7"/>
  <c r="J325" i="5"/>
  <c r="I392" i="9"/>
  <c r="J392" i="7"/>
  <c r="I191" i="9"/>
  <c r="J191" i="7"/>
  <c r="I416" i="9"/>
  <c r="J416" i="7"/>
  <c r="I481" i="9"/>
  <c r="J481" i="7"/>
  <c r="I434" i="9"/>
  <c r="J434" i="7"/>
  <c r="O293" i="10"/>
  <c r="R293" i="9"/>
  <c r="R361" i="10"/>
  <c r="O361" i="13"/>
  <c r="Q225" i="10"/>
  <c r="I139" i="9"/>
  <c r="J139" i="7"/>
  <c r="N155" i="1"/>
  <c r="I239" i="9"/>
  <c r="J239" i="7"/>
  <c r="I202" i="9"/>
  <c r="J202" i="7"/>
  <c r="I544" i="7"/>
  <c r="J544" i="5"/>
  <c r="O162" i="7"/>
  <c r="R162" i="5"/>
  <c r="O103" i="7"/>
  <c r="O76" i="7"/>
  <c r="R311" i="10"/>
  <c r="O311" i="13"/>
  <c r="I79" i="9"/>
  <c r="J79" i="7"/>
  <c r="I505" i="7"/>
  <c r="J505" i="5"/>
  <c r="I415" i="9"/>
  <c r="J415" i="7"/>
  <c r="I343" i="7"/>
  <c r="J343" i="5"/>
  <c r="I463" i="9"/>
  <c r="J463" i="7"/>
  <c r="R387" i="7"/>
  <c r="I180" i="9"/>
  <c r="J180" i="7"/>
  <c r="I365" i="7"/>
  <c r="J365" i="5"/>
  <c r="I206" i="9"/>
  <c r="J206" i="7"/>
  <c r="R67" i="7"/>
  <c r="O67" i="9"/>
  <c r="I91" i="9"/>
  <c r="J91" i="7"/>
  <c r="O226" i="1"/>
  <c r="R227" i="1"/>
  <c r="R226" i="1" s="1"/>
  <c r="R225" i="1" s="1"/>
  <c r="O227" i="2"/>
  <c r="I378" i="9"/>
  <c r="J378" i="7"/>
  <c r="I159" i="9"/>
  <c r="J159" i="7"/>
  <c r="O338" i="7"/>
  <c r="R338" i="5"/>
  <c r="O60" i="5"/>
  <c r="O321" i="9"/>
  <c r="R321" i="7"/>
  <c r="R431" i="9"/>
  <c r="R111" i="10"/>
  <c r="O111" i="13"/>
  <c r="I133" i="9"/>
  <c r="J133" i="7"/>
  <c r="I132" i="9"/>
  <c r="J132" i="7"/>
  <c r="I585" i="9"/>
  <c r="J585" i="7"/>
  <c r="O474" i="2"/>
  <c r="O475" i="5"/>
  <c r="N178" i="7"/>
  <c r="R285" i="13"/>
  <c r="O285" i="14"/>
  <c r="R242" i="10"/>
  <c r="R395" i="1"/>
  <c r="I264" i="9"/>
  <c r="J264" i="7"/>
  <c r="I424" i="9"/>
  <c r="J424" i="7"/>
  <c r="I351" i="7"/>
  <c r="J351" i="5"/>
  <c r="I364" i="9"/>
  <c r="J364" i="7"/>
  <c r="O433" i="9"/>
  <c r="R433" i="7"/>
  <c r="R500" i="10"/>
  <c r="O239" i="13"/>
  <c r="R239" i="10"/>
  <c r="I95" i="9"/>
  <c r="J95" i="7"/>
  <c r="I532" i="7"/>
  <c r="J532" i="5"/>
  <c r="I251" i="9"/>
  <c r="J251" i="7"/>
  <c r="I540" i="7"/>
  <c r="J540" i="5"/>
  <c r="I366" i="9"/>
  <c r="J366" i="7"/>
  <c r="I112" i="9"/>
  <c r="J112" i="7"/>
  <c r="O128" i="10"/>
  <c r="R128" i="10" s="1"/>
  <c r="R128" i="9"/>
  <c r="O275" i="10"/>
  <c r="R57" i="13"/>
  <c r="O57" i="14"/>
  <c r="R184" i="2"/>
  <c r="O184" i="5"/>
  <c r="R98" i="14"/>
  <c r="O98" i="15"/>
  <c r="O127" i="13"/>
  <c r="R127" i="10"/>
  <c r="R515" i="13"/>
  <c r="O515" i="14"/>
  <c r="O161" i="10"/>
  <c r="R161" i="9"/>
  <c r="N507" i="16"/>
  <c r="M124" i="9"/>
  <c r="G124" i="9"/>
  <c r="N124" i="9" s="1"/>
  <c r="O124" i="9" s="1"/>
  <c r="R124" i="9" s="1"/>
  <c r="R217" i="13"/>
  <c r="I41" i="1"/>
  <c r="N41" i="1"/>
  <c r="O41" i="1" s="1"/>
  <c r="R41" i="1" s="1"/>
  <c r="O541" i="16"/>
  <c r="O342" i="7"/>
  <c r="R342" i="5"/>
  <c r="O260" i="9"/>
  <c r="R144" i="9"/>
  <c r="O144" i="10"/>
  <c r="R429" i="14"/>
  <c r="M225" i="16"/>
  <c r="P401" i="20"/>
  <c r="R398" i="16"/>
  <c r="R313" i="9"/>
  <c r="O313" i="10"/>
  <c r="O547" i="13"/>
  <c r="N92" i="20"/>
  <c r="H92" i="20"/>
  <c r="O92" i="20" s="1"/>
  <c r="O588" i="5"/>
  <c r="O589" i="7"/>
  <c r="O501" i="15"/>
  <c r="N128" i="20"/>
  <c r="H128" i="20"/>
  <c r="O128" i="20" s="1"/>
  <c r="R544" i="9"/>
  <c r="O327" i="14"/>
  <c r="O598" i="20"/>
  <c r="O358" i="16"/>
  <c r="R358" i="15"/>
  <c r="Q178" i="14"/>
  <c r="K186" i="24"/>
  <c r="K185" i="24"/>
  <c r="N94" i="20"/>
  <c r="H94" i="20"/>
  <c r="O94" i="20" s="1"/>
  <c r="O97" i="23"/>
  <c r="P373" i="20"/>
  <c r="R370" i="16"/>
  <c r="N62" i="16"/>
  <c r="N33" i="23"/>
  <c r="N31" i="23" s="1"/>
  <c r="H33" i="23"/>
  <c r="O33" i="23" s="1"/>
  <c r="O34" i="15"/>
  <c r="R34" i="14"/>
  <c r="O109" i="23"/>
  <c r="R42" i="15"/>
  <c r="O42" i="16"/>
  <c r="O217" i="15"/>
  <c r="R217" i="14"/>
  <c r="O230" i="15"/>
  <c r="R230" i="14"/>
  <c r="Q678" i="23"/>
  <c r="Q673" i="23" s="1"/>
  <c r="P413" i="20"/>
  <c r="R409" i="16"/>
  <c r="I404" i="9"/>
  <c r="J404" i="7"/>
  <c r="O252" i="10"/>
  <c r="J221" i="10"/>
  <c r="Q221" i="10"/>
  <c r="R221" i="10" s="1"/>
  <c r="P221" i="10"/>
  <c r="O276" i="10"/>
  <c r="O145" i="14"/>
  <c r="R145" i="13"/>
  <c r="Q178" i="16"/>
  <c r="R424" i="10"/>
  <c r="R504" i="10"/>
  <c r="P601" i="23"/>
  <c r="Q601" i="23" s="1"/>
  <c r="Q599" i="23" s="1"/>
  <c r="P599" i="20"/>
  <c r="T601" i="20"/>
  <c r="T599" i="20" s="1"/>
  <c r="T598" i="20" s="1"/>
  <c r="Q603" i="23"/>
  <c r="O526" i="13"/>
  <c r="R526" i="10"/>
  <c r="O440" i="15"/>
  <c r="R440" i="14"/>
  <c r="O243" i="20"/>
  <c r="O228" i="20" s="1"/>
  <c r="O423" i="16"/>
  <c r="R423" i="15"/>
  <c r="O472" i="10"/>
  <c r="H128" i="23"/>
  <c r="O128" i="23" s="1"/>
  <c r="N128" i="23"/>
  <c r="P638" i="23"/>
  <c r="P632" i="20"/>
  <c r="T638" i="20"/>
  <c r="T632" i="20" s="1"/>
  <c r="G185" i="26"/>
  <c r="H184" i="26"/>
  <c r="I391" i="7"/>
  <c r="J391" i="5"/>
  <c r="O41" i="2"/>
  <c r="I158" i="9"/>
  <c r="J158" i="7"/>
  <c r="N36" i="1"/>
  <c r="I36" i="1"/>
  <c r="I339" i="7"/>
  <c r="J339" i="5"/>
  <c r="I101" i="10"/>
  <c r="J101" i="9"/>
  <c r="I382" i="7"/>
  <c r="J382" i="5"/>
  <c r="O507" i="2"/>
  <c r="I422" i="7"/>
  <c r="J422" i="5"/>
  <c r="I148" i="9"/>
  <c r="J148" i="7"/>
  <c r="O390" i="7"/>
  <c r="R390" i="5"/>
  <c r="O75" i="7"/>
  <c r="Q155" i="13"/>
  <c r="Q225" i="16"/>
  <c r="O345" i="9"/>
  <c r="R345" i="7"/>
  <c r="O519" i="14"/>
  <c r="R519" i="13"/>
  <c r="I51" i="1"/>
  <c r="N51" i="1"/>
  <c r="O51" i="1" s="1"/>
  <c r="I277" i="7"/>
  <c r="J277" i="5"/>
  <c r="I276" i="9"/>
  <c r="J276" i="7"/>
  <c r="N178" i="5"/>
  <c r="R350" i="13"/>
  <c r="O350" i="14"/>
  <c r="O130" i="14"/>
  <c r="Q143" i="23"/>
  <c r="Q142" i="23" s="1"/>
  <c r="I284" i="9"/>
  <c r="J284" i="7"/>
  <c r="I319" i="9"/>
  <c r="J319" i="7"/>
  <c r="I52" i="9"/>
  <c r="J52" i="7"/>
  <c r="I533" i="9"/>
  <c r="J533" i="7"/>
  <c r="I584" i="9"/>
  <c r="J584" i="7"/>
  <c r="O488" i="5"/>
  <c r="R301" i="9"/>
  <c r="O301" i="10"/>
  <c r="O267" i="10"/>
  <c r="R267" i="9"/>
  <c r="I145" i="9"/>
  <c r="J145" i="7"/>
  <c r="I458" i="9"/>
  <c r="J458" i="7"/>
  <c r="R478" i="7"/>
  <c r="R544" i="10"/>
  <c r="O544" i="13"/>
  <c r="I109" i="9"/>
  <c r="J109" i="7"/>
  <c r="O307" i="5"/>
  <c r="R308" i="5"/>
  <c r="R307" i="5" s="1"/>
  <c r="O308" i="7"/>
  <c r="O229" i="10"/>
  <c r="R229" i="9"/>
  <c r="R116" i="5"/>
  <c r="O116" i="7"/>
  <c r="O195" i="9"/>
  <c r="R195" i="7"/>
  <c r="I294" i="9"/>
  <c r="J294" i="7"/>
  <c r="I217" i="10"/>
  <c r="J217" i="9"/>
  <c r="I357" i="7"/>
  <c r="J357" i="5"/>
  <c r="I451" i="7"/>
  <c r="J451" i="5"/>
  <c r="I215" i="9"/>
  <c r="J215" i="7"/>
  <c r="I81" i="10"/>
  <c r="J81" i="9"/>
  <c r="I526" i="7"/>
  <c r="J526" i="5"/>
  <c r="I462" i="9"/>
  <c r="J462" i="7"/>
  <c r="M507" i="2"/>
  <c r="R335" i="5"/>
  <c r="I363" i="7"/>
  <c r="J363" i="5"/>
  <c r="I344" i="9"/>
  <c r="J344" i="7"/>
  <c r="I435" i="7"/>
  <c r="J435" i="5"/>
  <c r="I236" i="9"/>
  <c r="J236" i="7"/>
  <c r="I590" i="9"/>
  <c r="J590" i="7"/>
  <c r="I560" i="9"/>
  <c r="J560" i="7"/>
  <c r="N60" i="2"/>
  <c r="O60" i="2" s="1"/>
  <c r="R60" i="2" s="1"/>
  <c r="I60" i="2"/>
  <c r="R371" i="5"/>
  <c r="O343" i="10"/>
  <c r="R343" i="9"/>
  <c r="I472" i="7"/>
  <c r="J472" i="5"/>
  <c r="O329" i="1"/>
  <c r="O331" i="2"/>
  <c r="R331" i="1"/>
  <c r="R329" i="1" s="1"/>
  <c r="I165" i="9"/>
  <c r="J165" i="7"/>
  <c r="I171" i="9"/>
  <c r="J171" i="7"/>
  <c r="I437" i="7"/>
  <c r="J437" i="5"/>
  <c r="I536" i="7"/>
  <c r="J536" i="5"/>
  <c r="R341" i="5"/>
  <c r="N225" i="7"/>
  <c r="I208" i="9"/>
  <c r="J208" i="7"/>
  <c r="I188" i="9"/>
  <c r="J188" i="7"/>
  <c r="O122" i="5"/>
  <c r="R122" i="2"/>
  <c r="R120" i="2" s="1"/>
  <c r="N92" i="5"/>
  <c r="O92" i="5" s="1"/>
  <c r="R92" i="5" s="1"/>
  <c r="I92" i="5"/>
  <c r="O288" i="7"/>
  <c r="R233" i="13"/>
  <c r="O233" i="14"/>
  <c r="I107" i="9"/>
  <c r="J107" i="7"/>
  <c r="I260" i="9"/>
  <c r="J260" i="7"/>
  <c r="R530" i="9"/>
  <c r="O530" i="10"/>
  <c r="R540" i="10"/>
  <c r="O540" i="13"/>
  <c r="N95" i="9"/>
  <c r="O319" i="2"/>
  <c r="R319" i="1"/>
  <c r="R317" i="1" s="1"/>
  <c r="O317" i="1"/>
  <c r="I501" i="7"/>
  <c r="J501" i="5"/>
  <c r="O151" i="7"/>
  <c r="R151" i="5"/>
  <c r="R31" i="2"/>
  <c r="O107" i="1"/>
  <c r="R108" i="1"/>
  <c r="R107" i="1" s="1"/>
  <c r="I37" i="9"/>
  <c r="J37" i="7"/>
  <c r="I312" i="9"/>
  <c r="J312" i="7"/>
  <c r="I500" i="7"/>
  <c r="J500" i="5"/>
  <c r="I449" i="7"/>
  <c r="J449" i="5"/>
  <c r="I197" i="9"/>
  <c r="J197" i="7"/>
  <c r="R151" i="2"/>
  <c r="N40" i="1"/>
  <c r="O40" i="1" s="1"/>
  <c r="I40" i="1"/>
  <c r="I131" i="9"/>
  <c r="J131" i="7"/>
  <c r="I31" i="9"/>
  <c r="J31" i="7"/>
  <c r="I307" i="9"/>
  <c r="J307" i="7"/>
  <c r="I337" i="7"/>
  <c r="J337" i="5"/>
  <c r="R240" i="2"/>
  <c r="O31" i="5"/>
  <c r="O442" i="7"/>
  <c r="R442" i="5"/>
  <c r="K168" i="19"/>
  <c r="K167" i="19"/>
  <c r="I105" i="9"/>
  <c r="J105" i="7"/>
  <c r="Q94" i="5"/>
  <c r="O128" i="13"/>
  <c r="K170" i="18"/>
  <c r="K169" i="18"/>
  <c r="O580" i="7"/>
  <c r="O505" i="9"/>
  <c r="R505" i="7"/>
  <c r="O189" i="7"/>
  <c r="R189" i="5"/>
  <c r="R143" i="23"/>
  <c r="R142" i="23" s="1"/>
  <c r="R410" i="7"/>
  <c r="O410" i="9"/>
  <c r="M178" i="14"/>
  <c r="R109" i="10"/>
  <c r="R562" i="10"/>
  <c r="G32" i="16"/>
  <c r="N32" i="16" s="1"/>
  <c r="M32" i="16"/>
  <c r="M30" i="16" s="1"/>
  <c r="M27" i="16" s="1"/>
  <c r="O200" i="10"/>
  <c r="R138" i="7"/>
  <c r="O138" i="9"/>
  <c r="N62" i="14"/>
  <c r="E176" i="22"/>
  <c r="K176" i="22" s="1"/>
  <c r="K178" i="22" s="1"/>
  <c r="E186" i="22"/>
  <c r="K186" i="22" s="1"/>
  <c r="K188" i="22" s="1"/>
  <c r="R93" i="7"/>
  <c r="O93" i="9"/>
  <c r="R537" i="9"/>
  <c r="O537" i="10"/>
  <c r="R421" i="7"/>
  <c r="O421" i="9"/>
  <c r="R516" i="9"/>
  <c r="O455" i="13"/>
  <c r="R238" i="16"/>
  <c r="Q673" i="20"/>
  <c r="N94" i="15"/>
  <c r="N127" i="23"/>
  <c r="H127" i="23"/>
  <c r="O127" i="23" s="1"/>
  <c r="Q481" i="14"/>
  <c r="M32" i="14"/>
  <c r="M30" i="14" s="1"/>
  <c r="M27" i="14" s="1"/>
  <c r="G32" i="14"/>
  <c r="N32" i="14" s="1"/>
  <c r="O123" i="14"/>
  <c r="O375" i="5"/>
  <c r="I421" i="7"/>
  <c r="J421" i="5"/>
  <c r="M69" i="7"/>
  <c r="G69" i="7"/>
  <c r="I279" i="9"/>
  <c r="J279" i="7"/>
  <c r="I172" i="9"/>
  <c r="J172" i="7"/>
  <c r="I443" i="7"/>
  <c r="J443" i="5"/>
  <c r="R573" i="10"/>
  <c r="O573" i="13"/>
  <c r="O476" i="9"/>
  <c r="I567" i="9"/>
  <c r="J567" i="7"/>
  <c r="I240" i="9"/>
  <c r="J240" i="7"/>
  <c r="I108" i="9"/>
  <c r="J108" i="7"/>
  <c r="I144" i="9"/>
  <c r="J144" i="7"/>
  <c r="I166" i="9"/>
  <c r="J166" i="7"/>
  <c r="I44" i="9"/>
  <c r="J44" i="7"/>
  <c r="I63" i="9"/>
  <c r="J63" i="7"/>
  <c r="I512" i="7"/>
  <c r="J512" i="5"/>
  <c r="I211" i="9"/>
  <c r="J211" i="7"/>
  <c r="I476" i="7"/>
  <c r="J476" i="5"/>
  <c r="O257" i="10"/>
  <c r="R257" i="9"/>
  <c r="I54" i="7"/>
  <c r="J54" i="5"/>
  <c r="I241" i="9"/>
  <c r="J241" i="7"/>
  <c r="I557" i="9"/>
  <c r="J557" i="7"/>
  <c r="O160" i="5"/>
  <c r="R160" i="2"/>
  <c r="O102" i="10"/>
  <c r="R102" i="9"/>
  <c r="I346" i="9"/>
  <c r="J346" i="7"/>
  <c r="M72" i="5"/>
  <c r="G72" i="5"/>
  <c r="R284" i="7"/>
  <c r="I571" i="9"/>
  <c r="J571" i="7"/>
  <c r="O482" i="2"/>
  <c r="O481" i="2" s="1"/>
  <c r="O483" i="5"/>
  <c r="O365" i="9"/>
  <c r="R365" i="7"/>
  <c r="M33" i="7"/>
  <c r="G33" i="7"/>
  <c r="N33" i="7" s="1"/>
  <c r="I66" i="9"/>
  <c r="J66" i="7"/>
  <c r="I438" i="9"/>
  <c r="J438" i="7"/>
  <c r="N155" i="7"/>
  <c r="O45" i="9"/>
  <c r="R326" i="13"/>
  <c r="O326" i="14"/>
  <c r="O444" i="13"/>
  <c r="R444" i="10"/>
  <c r="I374" i="9"/>
  <c r="J374" i="7"/>
  <c r="I138" i="9"/>
  <c r="J138" i="7"/>
  <c r="I385" i="7"/>
  <c r="J385" i="5"/>
  <c r="Q481" i="2"/>
  <c r="Q225" i="7"/>
  <c r="J152" i="23"/>
  <c r="K152" i="23" s="1"/>
  <c r="K152" i="20"/>
  <c r="I227" i="9"/>
  <c r="J227" i="7"/>
  <c r="I199" i="9"/>
  <c r="J199" i="7"/>
  <c r="I219" i="14"/>
  <c r="J219" i="13"/>
  <c r="R249" i="9"/>
  <c r="O249" i="10"/>
  <c r="R290" i="10"/>
  <c r="M225" i="10"/>
  <c r="Q507" i="10"/>
  <c r="I425" i="7"/>
  <c r="J425" i="5"/>
  <c r="I487" i="7"/>
  <c r="J487" i="5"/>
  <c r="I485" i="9"/>
  <c r="J485" i="7"/>
  <c r="I373" i="7"/>
  <c r="J373" i="5"/>
  <c r="I244" i="9"/>
  <c r="J244" i="7"/>
  <c r="O39" i="2"/>
  <c r="R534" i="7"/>
  <c r="R247" i="9"/>
  <c r="O247" i="10"/>
  <c r="I46" i="7"/>
  <c r="J46" i="5"/>
  <c r="R355" i="5"/>
  <c r="R363" i="9"/>
  <c r="O363" i="10"/>
  <c r="O113" i="10"/>
  <c r="N107" i="10"/>
  <c r="I156" i="9"/>
  <c r="J156" i="7"/>
  <c r="N139" i="2"/>
  <c r="I190" i="9"/>
  <c r="J190" i="7"/>
  <c r="I580" i="9"/>
  <c r="J580" i="7"/>
  <c r="R475" i="2"/>
  <c r="R474" i="2" s="1"/>
  <c r="O120" i="5"/>
  <c r="R121" i="5"/>
  <c r="O121" i="7"/>
  <c r="N30" i="5"/>
  <c r="N27" i="5" s="1"/>
  <c r="O437" i="9"/>
  <c r="R437" i="7"/>
  <c r="R217" i="10"/>
  <c r="O431" i="13"/>
  <c r="I310" i="9"/>
  <c r="J310" i="7"/>
  <c r="R208" i="2"/>
  <c r="O208" i="5"/>
  <c r="O392" i="9"/>
  <c r="R392" i="7"/>
  <c r="K158" i="19"/>
  <c r="K157" i="19"/>
  <c r="K160" i="18"/>
  <c r="K159" i="18"/>
  <c r="R234" i="7"/>
  <c r="O234" i="9"/>
  <c r="R346" i="10"/>
  <c r="O346" i="13"/>
  <c r="I330" i="9"/>
  <c r="J330" i="7"/>
  <c r="I324" i="9"/>
  <c r="J324" i="7"/>
  <c r="Q148" i="14"/>
  <c r="E219" i="23"/>
  <c r="Q146" i="23"/>
  <c r="R146" i="23"/>
  <c r="O384" i="13"/>
  <c r="R384" i="10"/>
  <c r="Q140" i="9"/>
  <c r="Q139" i="9" s="1"/>
  <c r="M225" i="14"/>
  <c r="R503" i="9"/>
  <c r="O503" i="10"/>
  <c r="Q621" i="23"/>
  <c r="I45" i="5"/>
  <c r="J45" i="2"/>
  <c r="O302" i="7"/>
  <c r="R302" i="5"/>
  <c r="T357" i="20"/>
  <c r="P357" i="23"/>
  <c r="T357" i="23" s="1"/>
  <c r="O491" i="14"/>
  <c r="R491" i="13"/>
  <c r="O303" i="15"/>
  <c r="R303" i="14"/>
  <c r="R314" i="10"/>
  <c r="P272" i="23"/>
  <c r="T272" i="23" s="1"/>
  <c r="T272" i="20"/>
  <c r="P461" i="20"/>
  <c r="R457" i="16"/>
  <c r="T673" i="20"/>
  <c r="R146" i="10"/>
  <c r="O146" i="13"/>
  <c r="R479" i="9"/>
  <c r="O479" i="10"/>
  <c r="R560" i="15"/>
  <c r="O560" i="16"/>
  <c r="M597" i="16"/>
  <c r="T673" i="23"/>
  <c r="R362" i="16"/>
  <c r="P657" i="23"/>
  <c r="T657" i="20"/>
  <c r="T654" i="20" s="1"/>
  <c r="P654" i="20"/>
  <c r="X108" i="26"/>
  <c r="X64" i="26"/>
  <c r="F185" i="26"/>
  <c r="O546" i="14"/>
  <c r="T421" i="20"/>
  <c r="P421" i="23"/>
  <c r="T421" i="23" s="1"/>
  <c r="M96" i="10"/>
  <c r="M95" i="10" s="1"/>
  <c r="G96" i="10"/>
  <c r="N96" i="10" s="1"/>
  <c r="I226" i="9"/>
  <c r="J226" i="7"/>
  <c r="I383" i="7"/>
  <c r="J383" i="5"/>
  <c r="I247" i="9"/>
  <c r="J247" i="7"/>
  <c r="R242" i="13"/>
  <c r="O242" i="14"/>
  <c r="N120" i="13"/>
  <c r="O165" i="1"/>
  <c r="R166" i="1"/>
  <c r="R165" i="1" s="1"/>
  <c r="O166" i="2"/>
  <c r="M32" i="7"/>
  <c r="M30" i="7" s="1"/>
  <c r="M27" i="7" s="1"/>
  <c r="M592" i="7" s="1"/>
  <c r="G32" i="7"/>
  <c r="N32" i="7" s="1"/>
  <c r="I332" i="9"/>
  <c r="J332" i="7"/>
  <c r="I455" i="9"/>
  <c r="J455" i="7"/>
  <c r="R297" i="7"/>
  <c r="O167" i="10"/>
  <c r="R167" i="9"/>
  <c r="I442" i="9"/>
  <c r="J442" i="7"/>
  <c r="I360" i="9"/>
  <c r="J360" i="7"/>
  <c r="I549" i="9"/>
  <c r="J549" i="7"/>
  <c r="I578" i="9"/>
  <c r="J578" i="7"/>
  <c r="R312" i="14"/>
  <c r="O312" i="15"/>
  <c r="O531" i="13"/>
  <c r="R487" i="2"/>
  <c r="R481" i="2" s="1"/>
  <c r="I29" i="10"/>
  <c r="J29" i="9"/>
  <c r="I328" i="9"/>
  <c r="J328" i="7"/>
  <c r="I497" i="7"/>
  <c r="J497" i="5"/>
  <c r="I80" i="9"/>
  <c r="J80" i="7"/>
  <c r="I553" i="9"/>
  <c r="J553" i="7"/>
  <c r="N87" i="5"/>
  <c r="O87" i="5" s="1"/>
  <c r="I87" i="5"/>
  <c r="M38" i="2"/>
  <c r="M35" i="2" s="1"/>
  <c r="G38" i="2"/>
  <c r="N38" i="2" s="1"/>
  <c r="R332" i="9"/>
  <c r="R548" i="5"/>
  <c r="R326" i="10"/>
  <c r="R140" i="1"/>
  <c r="R139" i="1" s="1"/>
  <c r="I475" i="7"/>
  <c r="J475" i="5"/>
  <c r="I493" i="9"/>
  <c r="J493" i="7"/>
  <c r="O159" i="9"/>
  <c r="R159" i="7"/>
  <c r="O511" i="14"/>
  <c r="R511" i="13"/>
  <c r="I53" i="9"/>
  <c r="J53" i="7"/>
  <c r="I238" i="9"/>
  <c r="J238" i="7"/>
  <c r="I229" i="10"/>
  <c r="J229" i="9"/>
  <c r="I387" i="7"/>
  <c r="J387" i="5"/>
  <c r="I432" i="9"/>
  <c r="J432" i="7"/>
  <c r="R566" i="2"/>
  <c r="I127" i="9"/>
  <c r="J127" i="7"/>
  <c r="I152" i="9"/>
  <c r="J152" i="7"/>
  <c r="O175" i="1"/>
  <c r="R176" i="1"/>
  <c r="R175" i="1" s="1"/>
  <c r="I308" i="9"/>
  <c r="J308" i="7"/>
  <c r="I519" i="9"/>
  <c r="J519" i="7"/>
  <c r="N33" i="1"/>
  <c r="O33" i="1" s="1"/>
  <c r="R33" i="1" s="1"/>
  <c r="I33" i="1"/>
  <c r="R135" i="5"/>
  <c r="O135" i="7"/>
  <c r="R194" i="10"/>
  <c r="O323" i="13"/>
  <c r="R323" i="10"/>
  <c r="I233" i="9"/>
  <c r="J233" i="7"/>
  <c r="I508" i="7"/>
  <c r="J508" i="5"/>
  <c r="I574" i="9"/>
  <c r="J574" i="7"/>
  <c r="N75" i="5"/>
  <c r="O75" i="5" s="1"/>
  <c r="R75" i="5" s="1"/>
  <c r="I75" i="5"/>
  <c r="R295" i="7"/>
  <c r="O359" i="10"/>
  <c r="R359" i="9"/>
  <c r="O131" i="1"/>
  <c r="R132" i="1"/>
  <c r="R131" i="1" s="1"/>
  <c r="I142" i="13"/>
  <c r="J142" i="10"/>
  <c r="I471" i="7"/>
  <c r="J471" i="5"/>
  <c r="I136" i="9"/>
  <c r="J136" i="7"/>
  <c r="N85" i="5"/>
  <c r="O85" i="5" s="1"/>
  <c r="R85" i="5" s="1"/>
  <c r="I85" i="5"/>
  <c r="R571" i="7"/>
  <c r="O571" i="9"/>
  <c r="R573" i="7"/>
  <c r="Q328" i="10"/>
  <c r="I192" i="9"/>
  <c r="J192" i="7"/>
  <c r="I369" i="7"/>
  <c r="J369" i="5"/>
  <c r="I529" i="9"/>
  <c r="J529" i="7"/>
  <c r="N74" i="5"/>
  <c r="O74" i="5" s="1"/>
  <c r="R74" i="5" s="1"/>
  <c r="I74" i="5"/>
  <c r="O406" i="1"/>
  <c r="O407" i="2"/>
  <c r="R373" i="10"/>
  <c r="O373" i="13"/>
  <c r="O377" i="15"/>
  <c r="R377" i="14"/>
  <c r="I121" i="9"/>
  <c r="J121" i="7"/>
  <c r="M328" i="9"/>
  <c r="R575" i="13"/>
  <c r="O575" i="14"/>
  <c r="M94" i="13"/>
  <c r="R258" i="13"/>
  <c r="O258" i="14"/>
  <c r="R68" i="13"/>
  <c r="O68" i="14"/>
  <c r="R185" i="10"/>
  <c r="O185" i="13"/>
  <c r="E218" i="16"/>
  <c r="J216" i="16"/>
  <c r="E220" i="16"/>
  <c r="Q216" i="16"/>
  <c r="P216" i="16"/>
  <c r="R438" i="7"/>
  <c r="O438" i="9"/>
  <c r="J143" i="9"/>
  <c r="E216" i="9"/>
  <c r="P143" i="9"/>
  <c r="P140" i="9" s="1"/>
  <c r="P139" i="9" s="1"/>
  <c r="Q143" i="9"/>
  <c r="R143" i="9" s="1"/>
  <c r="M78" i="9"/>
  <c r="G78" i="9"/>
  <c r="N78" i="9" s="1"/>
  <c r="O173" i="14"/>
  <c r="M126" i="16"/>
  <c r="M120" i="16" s="1"/>
  <c r="G126" i="16"/>
  <c r="N126" i="16" s="1"/>
  <c r="P626" i="23"/>
  <c r="P625" i="20"/>
  <c r="Q626" i="20"/>
  <c r="Q625" i="20" s="1"/>
  <c r="Q598" i="20" s="1"/>
  <c r="T626" i="20"/>
  <c r="T625" i="20" s="1"/>
  <c r="R148" i="1"/>
  <c r="O394" i="10"/>
  <c r="O388" i="13"/>
  <c r="R388" i="10"/>
  <c r="J219" i="10"/>
  <c r="O543" i="14"/>
  <c r="R543" i="13"/>
  <c r="R419" i="16"/>
  <c r="P423" i="20"/>
  <c r="O462" i="10"/>
  <c r="R462" i="9"/>
  <c r="O250" i="7"/>
  <c r="R250" i="5"/>
  <c r="O550" i="10"/>
  <c r="R550" i="9"/>
  <c r="P281" i="23"/>
  <c r="T281" i="23" s="1"/>
  <c r="T281" i="20"/>
  <c r="O448" i="14"/>
  <c r="P416" i="23"/>
  <c r="T416" i="23" s="1"/>
  <c r="T416" i="20"/>
  <c r="G183" i="26"/>
  <c r="H182" i="26"/>
  <c r="H130" i="23"/>
  <c r="O130" i="23" s="1"/>
  <c r="N130" i="23"/>
  <c r="R334" i="14"/>
  <c r="O334" i="15"/>
  <c r="R301" i="7"/>
  <c r="M122" i="10"/>
  <c r="G122" i="10"/>
  <c r="N122" i="10" s="1"/>
  <c r="I345" i="7"/>
  <c r="J345" i="5"/>
  <c r="R449" i="7"/>
  <c r="O449" i="9"/>
  <c r="O518" i="10"/>
  <c r="R518" i="9"/>
  <c r="M78" i="5"/>
  <c r="G78" i="5"/>
  <c r="I235" i="9"/>
  <c r="J235" i="7"/>
  <c r="I129" i="9"/>
  <c r="J129" i="7"/>
  <c r="P216" i="1"/>
  <c r="E220" i="1"/>
  <c r="J216" i="1"/>
  <c r="Q216" i="1"/>
  <c r="E218" i="1"/>
  <c r="P454" i="20"/>
  <c r="R450" i="16"/>
  <c r="R296" i="2"/>
  <c r="I135" i="9"/>
  <c r="J135" i="7"/>
  <c r="I376" i="9"/>
  <c r="J376" i="7"/>
  <c r="I187" i="9"/>
  <c r="J187" i="7"/>
  <c r="I336" i="9"/>
  <c r="J336" i="7"/>
  <c r="I490" i="7"/>
  <c r="J490" i="5"/>
  <c r="I486" i="7"/>
  <c r="J486" i="5"/>
  <c r="I537" i="9"/>
  <c r="J537" i="7"/>
  <c r="R107" i="2"/>
  <c r="I293" i="7"/>
  <c r="J293" i="5"/>
  <c r="O216" i="7"/>
  <c r="O215" i="5"/>
  <c r="O84" i="9"/>
  <c r="R84" i="7"/>
  <c r="O222" i="1"/>
  <c r="O223" i="2"/>
  <c r="R223" i="1"/>
  <c r="R222" i="1" s="1"/>
  <c r="I323" i="9"/>
  <c r="J323" i="7"/>
  <c r="O277" i="13"/>
  <c r="R277" i="10"/>
  <c r="I318" i="9"/>
  <c r="J318" i="7"/>
  <c r="I570" i="9"/>
  <c r="J570" i="7"/>
  <c r="I575" i="9"/>
  <c r="J575" i="7"/>
  <c r="O279" i="7"/>
  <c r="R279" i="5"/>
  <c r="I193" i="9"/>
  <c r="J193" i="7"/>
  <c r="I303" i="9"/>
  <c r="J303" i="7"/>
  <c r="O337" i="1"/>
  <c r="R339" i="1"/>
  <c r="R337" i="1" s="1"/>
  <c r="O339" i="2"/>
  <c r="I210" i="9"/>
  <c r="J210" i="7"/>
  <c r="O569" i="9"/>
  <c r="R569" i="7"/>
  <c r="M33" i="10"/>
  <c r="G33" i="10"/>
  <c r="N33" i="10" s="1"/>
  <c r="I97" i="9"/>
  <c r="J97" i="7"/>
  <c r="I224" i="9"/>
  <c r="J224" i="7"/>
  <c r="I355" i="7"/>
  <c r="J355" i="5"/>
  <c r="I433" i="7"/>
  <c r="J433" i="5"/>
  <c r="R289" i="9"/>
  <c r="O289" i="10"/>
  <c r="N83" i="5"/>
  <c r="I83" i="5"/>
  <c r="R110" i="9"/>
  <c r="O110" i="10"/>
  <c r="I262" i="9"/>
  <c r="J262" i="7"/>
  <c r="I479" i="7"/>
  <c r="J479" i="5"/>
  <c r="I114" i="9"/>
  <c r="J114" i="7"/>
  <c r="I282" i="9"/>
  <c r="J282" i="7"/>
  <c r="O112" i="5"/>
  <c r="O107" i="5" s="1"/>
  <c r="R243" i="7"/>
  <c r="I257" i="9"/>
  <c r="J257" i="7"/>
  <c r="J125" i="9"/>
  <c r="O291" i="5"/>
  <c r="R292" i="5"/>
  <c r="R291" i="5" s="1"/>
  <c r="I297" i="7"/>
  <c r="J297" i="5"/>
  <c r="I304" i="9"/>
  <c r="J304" i="7"/>
  <c r="I397" i="7"/>
  <c r="J397" i="5"/>
  <c r="I478" i="7"/>
  <c r="J478" i="5"/>
  <c r="I146" i="9"/>
  <c r="J146" i="7"/>
  <c r="R443" i="5"/>
  <c r="O443" i="7"/>
  <c r="I334" i="9"/>
  <c r="J334" i="7"/>
  <c r="I393" i="7"/>
  <c r="J393" i="5"/>
  <c r="I418" i="7"/>
  <c r="J418" i="5"/>
  <c r="I507" i="7"/>
  <c r="J507" i="5"/>
  <c r="I350" i="9"/>
  <c r="J350" i="7"/>
  <c r="I256" i="9"/>
  <c r="J256" i="7"/>
  <c r="N481" i="2"/>
  <c r="R461" i="7"/>
  <c r="O461" i="9"/>
  <c r="I429" i="7"/>
  <c r="J429" i="5"/>
  <c r="I245" i="9"/>
  <c r="J245" i="7"/>
  <c r="I195" i="9"/>
  <c r="J195" i="7"/>
  <c r="I405" i="7"/>
  <c r="J405" i="5"/>
  <c r="O108" i="7"/>
  <c r="R108" i="5"/>
  <c r="R289" i="7"/>
  <c r="I34" i="9"/>
  <c r="J34" i="7"/>
  <c r="O554" i="2"/>
  <c r="O555" i="5"/>
  <c r="I466" i="7"/>
  <c r="J466" i="5"/>
  <c r="I401" i="7"/>
  <c r="J401" i="5"/>
  <c r="I556" i="9"/>
  <c r="J556" i="7"/>
  <c r="O506" i="10"/>
  <c r="R506" i="9"/>
  <c r="K144" i="8"/>
  <c r="K143" i="8"/>
  <c r="R314" i="13"/>
  <c r="O314" i="14"/>
  <c r="M107" i="9"/>
  <c r="M94" i="9" s="1"/>
  <c r="I42" i="5"/>
  <c r="J42" i="2"/>
  <c r="I494" i="7"/>
  <c r="J494" i="5"/>
  <c r="I200" i="9"/>
  <c r="J200" i="7"/>
  <c r="I269" i="7"/>
  <c r="J269" i="5"/>
  <c r="I174" i="9"/>
  <c r="J174" i="7"/>
  <c r="I67" i="9"/>
  <c r="J67" i="7"/>
  <c r="I573" i="9"/>
  <c r="J573" i="7"/>
  <c r="O259" i="5"/>
  <c r="R502" i="7"/>
  <c r="R490" i="10"/>
  <c r="O490" i="13"/>
  <c r="I93" i="9"/>
  <c r="J93" i="7"/>
  <c r="Q328" i="1"/>
  <c r="I370" i="9"/>
  <c r="J370" i="7"/>
  <c r="R153" i="5"/>
  <c r="O153" i="7"/>
  <c r="N225" i="9"/>
  <c r="R522" i="10"/>
  <c r="O522" i="13"/>
  <c r="O107" i="2"/>
  <c r="I428" i="9"/>
  <c r="J428" i="7"/>
  <c r="O367" i="5"/>
  <c r="Q62" i="7"/>
  <c r="R244" i="9"/>
  <c r="R294" i="13"/>
  <c r="O294" i="14"/>
  <c r="Q140" i="1"/>
  <c r="Q139" i="1" s="1"/>
  <c r="I265" i="7"/>
  <c r="J265" i="5"/>
  <c r="I477" i="9"/>
  <c r="J477" i="7"/>
  <c r="I515" i="9"/>
  <c r="J515" i="7"/>
  <c r="N507" i="7"/>
  <c r="R271" i="10"/>
  <c r="O271" i="13"/>
  <c r="J143" i="14"/>
  <c r="E216" i="14"/>
  <c r="Q143" i="14"/>
  <c r="R143" i="14" s="1"/>
  <c r="P143" i="14"/>
  <c r="P140" i="14" s="1"/>
  <c r="P139" i="14" s="1"/>
  <c r="I522" i="7"/>
  <c r="J522" i="5"/>
  <c r="I521" i="9"/>
  <c r="J521" i="7"/>
  <c r="I209" i="9"/>
  <c r="J209" i="7"/>
  <c r="I315" i="9"/>
  <c r="J315" i="7"/>
  <c r="I266" i="9"/>
  <c r="J266" i="7"/>
  <c r="O241" i="9"/>
  <c r="R430" i="9"/>
  <c r="O430" i="10"/>
  <c r="O528" i="9"/>
  <c r="N139" i="1"/>
  <c r="I517" i="7"/>
  <c r="J517" i="5"/>
  <c r="I558" i="7"/>
  <c r="J558" i="5"/>
  <c r="I530" i="7"/>
  <c r="J530" i="5"/>
  <c r="I480" i="7"/>
  <c r="J480" i="5"/>
  <c r="I263" i="9"/>
  <c r="J263" i="7"/>
  <c r="Q178" i="2"/>
  <c r="O115" i="7"/>
  <c r="O88" i="7"/>
  <c r="R403" i="7"/>
  <c r="I147" i="9"/>
  <c r="J147" i="7"/>
  <c r="I538" i="7"/>
  <c r="J538" i="5"/>
  <c r="K154" i="12"/>
  <c r="K153" i="12"/>
  <c r="I281" i="7"/>
  <c r="J281" i="5"/>
  <c r="I110" i="9"/>
  <c r="J110" i="7"/>
  <c r="I243" i="9"/>
  <c r="J243" i="7"/>
  <c r="I410" i="7"/>
  <c r="J410" i="5"/>
  <c r="I214" i="9"/>
  <c r="J214" i="7"/>
  <c r="O246" i="7"/>
  <c r="R246" i="5"/>
  <c r="R240" i="5" s="1"/>
  <c r="I559" i="9"/>
  <c r="J559" i="7"/>
  <c r="O536" i="9"/>
  <c r="D656" i="15"/>
  <c r="J648" i="14"/>
  <c r="N43" i="13"/>
  <c r="I205" i="9"/>
  <c r="J205" i="7"/>
  <c r="I270" i="9"/>
  <c r="J270" i="7"/>
  <c r="I527" i="9"/>
  <c r="J527" i="7"/>
  <c r="R525" i="9"/>
  <c r="O525" i="10"/>
  <c r="N95" i="13"/>
  <c r="N94" i="13" s="1"/>
  <c r="R540" i="9"/>
  <c r="M328" i="10"/>
  <c r="I362" i="9"/>
  <c r="J362" i="7"/>
  <c r="I372" i="9"/>
  <c r="J372" i="7"/>
  <c r="O191" i="9"/>
  <c r="R191" i="7"/>
  <c r="H33" i="20"/>
  <c r="O33" i="20" s="1"/>
  <c r="N33" i="20"/>
  <c r="N31" i="20" s="1"/>
  <c r="N28" i="20" s="1"/>
  <c r="Q140" i="16"/>
  <c r="Q139" i="16" s="1"/>
  <c r="P496" i="20"/>
  <c r="R489" i="16"/>
  <c r="R224" i="20"/>
  <c r="Q224" i="20"/>
  <c r="O251" i="10"/>
  <c r="K551" i="12"/>
  <c r="K549" i="12"/>
  <c r="R454" i="7"/>
  <c r="O454" i="9"/>
  <c r="R466" i="10"/>
  <c r="O466" i="13"/>
  <c r="R588" i="2"/>
  <c r="O119" i="10"/>
  <c r="R119" i="10" s="1"/>
  <c r="O545" i="14"/>
  <c r="P339" i="20"/>
  <c r="R336" i="16"/>
  <c r="O509" i="10"/>
  <c r="R509" i="9"/>
  <c r="O436" i="10"/>
  <c r="J133" i="20"/>
  <c r="O133" i="20"/>
  <c r="P133" i="20" s="1"/>
  <c r="O402" i="13"/>
  <c r="N127" i="20"/>
  <c r="H127" i="20"/>
  <c r="O127" i="20" s="1"/>
  <c r="N52" i="23"/>
  <c r="H52" i="23"/>
  <c r="O52" i="23" s="1"/>
  <c r="R310" i="14"/>
  <c r="O310" i="15"/>
  <c r="O500" i="14"/>
  <c r="Q638" i="20"/>
  <c r="Q632" i="20" s="1"/>
  <c r="O401" i="14"/>
  <c r="P673" i="23"/>
  <c r="J143" i="5"/>
  <c r="E216" i="5"/>
  <c r="Q143" i="5"/>
  <c r="R143" i="5" s="1"/>
  <c r="P143" i="5"/>
  <c r="O79" i="1"/>
  <c r="O62" i="1" s="1"/>
  <c r="O80" i="2"/>
  <c r="R325" i="13"/>
  <c r="O325" i="14"/>
  <c r="I483" i="7"/>
  <c r="J483" i="5"/>
  <c r="I396" i="9"/>
  <c r="J396" i="7"/>
  <c r="I379" i="7"/>
  <c r="J379" i="5"/>
  <c r="O140" i="5"/>
  <c r="O141" i="7"/>
  <c r="R141" i="7" s="1"/>
  <c r="R140" i="7" s="1"/>
  <c r="I548" i="7"/>
  <c r="J548" i="5"/>
  <c r="R439" i="5"/>
  <c r="O439" i="7"/>
  <c r="I287" i="9"/>
  <c r="J287" i="7"/>
  <c r="I389" i="7"/>
  <c r="J389" i="5"/>
  <c r="I268" i="9"/>
  <c r="J268" i="7"/>
  <c r="I576" i="9"/>
  <c r="J576" i="7"/>
  <c r="I464" i="9"/>
  <c r="J464" i="7"/>
  <c r="I196" i="9"/>
  <c r="J196" i="7"/>
  <c r="I252" i="9"/>
  <c r="J252" i="7"/>
  <c r="O253" i="10"/>
  <c r="R253" i="9"/>
  <c r="K154" i="8"/>
  <c r="K153" i="8"/>
  <c r="R510" i="10"/>
  <c r="O510" i="13"/>
  <c r="N43" i="10"/>
  <c r="R306" i="13"/>
  <c r="O306" i="14"/>
  <c r="O315" i="2"/>
  <c r="R316" i="2"/>
  <c r="R315" i="2" s="1"/>
  <c r="O316" i="5"/>
  <c r="R568" i="5"/>
  <c r="O29" i="7"/>
  <c r="R427" i="7"/>
  <c r="R376" i="9"/>
  <c r="O376" i="10"/>
  <c r="I367" i="9"/>
  <c r="J367" i="7"/>
  <c r="I231" i="9"/>
  <c r="J231" i="7"/>
  <c r="I528" i="7"/>
  <c r="J528" i="5"/>
  <c r="I335" i="7"/>
  <c r="J335" i="5"/>
  <c r="I292" i="9"/>
  <c r="J292" i="7"/>
  <c r="I100" i="9"/>
  <c r="J100" i="7"/>
  <c r="I407" i="7"/>
  <c r="J407" i="5"/>
  <c r="I457" i="7"/>
  <c r="J457" i="5"/>
  <c r="I423" i="7"/>
  <c r="J423" i="5"/>
  <c r="I295" i="9"/>
  <c r="J295" i="7"/>
  <c r="O44" i="9"/>
  <c r="R44" i="7"/>
  <c r="O213" i="7"/>
  <c r="O232" i="9"/>
  <c r="O397" i="9"/>
  <c r="I473" i="9"/>
  <c r="J473" i="7"/>
  <c r="I453" i="7"/>
  <c r="J453" i="5"/>
  <c r="I113" i="9"/>
  <c r="J113" i="7"/>
  <c r="O418" i="10"/>
  <c r="R418" i="9"/>
  <c r="O92" i="7"/>
  <c r="R92" i="7" s="1"/>
  <c r="K1025" i="12"/>
  <c r="I352" i="9"/>
  <c r="J352" i="7"/>
  <c r="I254" i="9"/>
  <c r="J254" i="7"/>
  <c r="I274" i="9"/>
  <c r="J274" i="7"/>
  <c r="I267" i="9"/>
  <c r="J267" i="7"/>
  <c r="I394" i="7"/>
  <c r="J394" i="5"/>
  <c r="I545" i="9"/>
  <c r="J545" i="7"/>
  <c r="I456" i="9"/>
  <c r="J456" i="7"/>
  <c r="R521" i="2"/>
  <c r="R520" i="2" s="1"/>
  <c r="R507" i="2" s="1"/>
  <c r="N73" i="5"/>
  <c r="O73" i="5" s="1"/>
  <c r="R73" i="5" s="1"/>
  <c r="I73" i="5"/>
  <c r="N79" i="7"/>
  <c r="I278" i="9"/>
  <c r="J278" i="7"/>
  <c r="I261" i="7"/>
  <c r="J261" i="5"/>
  <c r="I356" i="9"/>
  <c r="J356" i="7"/>
  <c r="I555" i="9"/>
  <c r="J555" i="7"/>
  <c r="R374" i="9"/>
  <c r="O374" i="10"/>
  <c r="O473" i="9"/>
  <c r="R473" i="7"/>
  <c r="O452" i="10"/>
  <c r="O395" i="1"/>
  <c r="O396" i="2"/>
  <c r="I249" i="9"/>
  <c r="J249" i="7"/>
  <c r="I539" i="9"/>
  <c r="J539" i="7"/>
  <c r="Q155" i="1"/>
  <c r="I179" i="9"/>
  <c r="J179" i="7"/>
  <c r="I35" i="9"/>
  <c r="J35" i="7"/>
  <c r="R455" i="7"/>
  <c r="R270" i="13"/>
  <c r="O270" i="14"/>
  <c r="K164" i="12"/>
  <c r="K163" i="12"/>
  <c r="O121" i="9"/>
  <c r="I347" i="7"/>
  <c r="J347" i="5"/>
  <c r="I222" i="9"/>
  <c r="J222" i="7"/>
  <c r="O133" i="9"/>
  <c r="R133" i="7"/>
  <c r="Q178" i="9"/>
  <c r="O512" i="7"/>
  <c r="R263" i="10"/>
  <c r="O263" i="13"/>
  <c r="O464" i="13"/>
  <c r="R464" i="10"/>
  <c r="R114" i="9"/>
  <c r="O114" i="10"/>
  <c r="O576" i="7"/>
  <c r="E144" i="11"/>
  <c r="K144" i="11" s="1"/>
  <c r="K146" i="11" s="1"/>
  <c r="E154" i="11"/>
  <c r="K154" i="11" s="1"/>
  <c r="K156" i="11" s="1"/>
  <c r="R381" i="15"/>
  <c r="O381" i="16"/>
  <c r="I137" i="9"/>
  <c r="J137" i="7"/>
  <c r="O46" i="10"/>
  <c r="R46" i="9"/>
  <c r="Q140" i="13"/>
  <c r="Q139" i="13" s="1"/>
  <c r="I402" i="7"/>
  <c r="J402" i="5"/>
  <c r="T365" i="20"/>
  <c r="P365" i="23"/>
  <c r="T365" i="23" s="1"/>
  <c r="M507" i="16"/>
  <c r="R164" i="9"/>
  <c r="O164" i="10"/>
  <c r="N225" i="10"/>
  <c r="O408" i="14"/>
  <c r="I61" i="9"/>
  <c r="J61" i="7"/>
  <c r="O551" i="9"/>
  <c r="R551" i="7"/>
  <c r="R486" i="10"/>
  <c r="O486" i="13"/>
  <c r="R174" i="13"/>
  <c r="O235" i="15"/>
  <c r="R235" i="14"/>
  <c r="O504" i="14"/>
  <c r="R149" i="2"/>
  <c r="R148" i="2" s="1"/>
  <c r="R139" i="2" s="1"/>
  <c r="O148" i="2"/>
  <c r="O139" i="2" s="1"/>
  <c r="O149" i="5"/>
  <c r="N43" i="5"/>
  <c r="O125" i="9"/>
  <c r="R125" i="9" s="1"/>
  <c r="O424" i="14"/>
  <c r="O190" i="13"/>
  <c r="R254" i="7"/>
  <c r="O254" i="9"/>
  <c r="N89" i="5"/>
  <c r="O89" i="5" s="1"/>
  <c r="I89" i="5"/>
  <c r="R106" i="10"/>
  <c r="O106" i="13"/>
  <c r="O446" i="15"/>
  <c r="R404" i="16"/>
  <c r="P407" i="20"/>
  <c r="P241" i="23"/>
  <c r="T241" i="23" s="1"/>
  <c r="T241" i="20"/>
  <c r="O399" i="13"/>
  <c r="O44" i="23"/>
  <c r="O212" i="9"/>
  <c r="R212" i="7"/>
  <c r="T670" i="23"/>
  <c r="N155" i="15"/>
  <c r="Q638" i="23"/>
  <c r="Q632" i="23" s="1"/>
  <c r="R268" i="13"/>
  <c r="P140" i="7"/>
  <c r="P139" i="7" s="1"/>
  <c r="I94" i="9"/>
  <c r="J94" i="7"/>
  <c r="I467" i="7"/>
  <c r="J467" i="5"/>
  <c r="I340" i="9"/>
  <c r="J340" i="7"/>
  <c r="I414" i="7"/>
  <c r="J414" i="5"/>
  <c r="I583" i="9"/>
  <c r="J583" i="7"/>
  <c r="R80" i="1"/>
  <c r="R79" i="1" s="1"/>
  <c r="I175" i="9"/>
  <c r="J175" i="7"/>
  <c r="R82" i="9"/>
  <c r="O82" i="10"/>
  <c r="I461" i="7"/>
  <c r="J461" i="5"/>
  <c r="P506" i="23"/>
  <c r="T506" i="23" s="1"/>
  <c r="T506" i="20"/>
  <c r="I409" i="7"/>
  <c r="J409" i="5"/>
  <c r="I168" i="9"/>
  <c r="J168" i="7"/>
  <c r="I173" i="9"/>
  <c r="J173" i="7"/>
  <c r="I524" i="7"/>
  <c r="J524" i="5"/>
  <c r="I569" i="9"/>
  <c r="J569" i="7"/>
  <c r="O199" i="10"/>
  <c r="R199" i="9"/>
  <c r="I130" i="9"/>
  <c r="J130" i="7"/>
  <c r="I314" i="9"/>
  <c r="J314" i="7"/>
  <c r="O96" i="5"/>
  <c r="O95" i="2"/>
  <c r="R96" i="2"/>
  <c r="R95" i="2" s="1"/>
  <c r="P140" i="5"/>
  <c r="P139" i="5" s="1"/>
  <c r="I47" i="7"/>
  <c r="J47" i="5"/>
  <c r="I170" i="9"/>
  <c r="J170" i="7"/>
  <c r="O63" i="2"/>
  <c r="R64" i="2"/>
  <c r="R63" i="2" s="1"/>
  <c r="E218" i="2"/>
  <c r="Q216" i="2"/>
  <c r="P216" i="2"/>
  <c r="J216" i="2"/>
  <c r="E220" i="2"/>
  <c r="O207" i="10"/>
  <c r="R207" i="9"/>
  <c r="I185" i="9"/>
  <c r="J185" i="7"/>
  <c r="I301" i="7"/>
  <c r="J301" i="5"/>
  <c r="I411" i="7"/>
  <c r="J411" i="5"/>
  <c r="I518" i="7"/>
  <c r="J518" i="5"/>
  <c r="I546" i="7"/>
  <c r="J546" i="5"/>
  <c r="Q140" i="5"/>
  <c r="Q139" i="5" s="1"/>
  <c r="R141" i="5"/>
  <c r="R140" i="5" s="1"/>
  <c r="R587" i="5"/>
  <c r="O587" i="7"/>
  <c r="I285" i="7"/>
  <c r="J285" i="5"/>
  <c r="I230" i="9"/>
  <c r="J230" i="7"/>
  <c r="I198" i="9"/>
  <c r="J198" i="7"/>
  <c r="I534" i="7"/>
  <c r="J534" i="5"/>
  <c r="I531" i="9"/>
  <c r="J531" i="7"/>
  <c r="O584" i="7"/>
  <c r="R584" i="5"/>
  <c r="M38" i="1"/>
  <c r="M35" i="1" s="1"/>
  <c r="G38" i="1"/>
  <c r="O291" i="7"/>
  <c r="R292" i="7"/>
  <c r="R197" i="10"/>
  <c r="O197" i="13"/>
  <c r="I484" i="7"/>
  <c r="J484" i="5"/>
  <c r="I468" i="7"/>
  <c r="J468" i="5"/>
  <c r="I406" i="7"/>
  <c r="J406" i="5"/>
  <c r="I375" i="7"/>
  <c r="J375" i="5"/>
  <c r="R29" i="5"/>
  <c r="R28" i="5" s="1"/>
  <c r="R456" i="5"/>
  <c r="O456" i="7"/>
  <c r="N594" i="7"/>
  <c r="D639" i="7" s="1"/>
  <c r="I499" i="7"/>
  <c r="J499" i="5"/>
  <c r="I160" i="9"/>
  <c r="J160" i="7"/>
  <c r="I452" i="9"/>
  <c r="J452" i="7"/>
  <c r="N328" i="5"/>
  <c r="O283" i="10"/>
  <c r="I300" i="9"/>
  <c r="J300" i="7"/>
  <c r="I326" i="9"/>
  <c r="J326" i="7"/>
  <c r="I155" i="9"/>
  <c r="J155" i="7"/>
  <c r="I511" i="9"/>
  <c r="J511" i="7"/>
  <c r="I561" i="9"/>
  <c r="J561" i="7"/>
  <c r="I535" i="9"/>
  <c r="J535" i="7"/>
  <c r="O309" i="9"/>
  <c r="R309" i="7"/>
  <c r="M125" i="10"/>
  <c r="G125" i="10"/>
  <c r="N125" i="10" s="1"/>
  <c r="O125" i="10" s="1"/>
  <c r="I388" i="9"/>
  <c r="J388" i="7"/>
  <c r="I408" i="9"/>
  <c r="J408" i="7"/>
  <c r="I417" i="7"/>
  <c r="J417" i="5"/>
  <c r="I298" i="9"/>
  <c r="J298" i="7"/>
  <c r="R333" i="2"/>
  <c r="G50" i="1"/>
  <c r="M50" i="1"/>
  <c r="O558" i="9"/>
  <c r="R558" i="7"/>
  <c r="R286" i="13"/>
  <c r="O286" i="14"/>
  <c r="I398" i="7"/>
  <c r="J398" i="5"/>
  <c r="I184" i="9"/>
  <c r="J184" i="7"/>
  <c r="I157" i="9"/>
  <c r="J157" i="7"/>
  <c r="I566" i="7"/>
  <c r="J566" i="5"/>
  <c r="I498" i="7"/>
  <c r="J498" i="5"/>
  <c r="I311" i="9"/>
  <c r="J311" i="7"/>
  <c r="I525" i="9"/>
  <c r="J525" i="7"/>
  <c r="R538" i="9"/>
  <c r="O538" i="10"/>
  <c r="I342" i="9"/>
  <c r="J342" i="7"/>
  <c r="I341" i="7"/>
  <c r="J341" i="5"/>
  <c r="I446" i="9"/>
  <c r="J446" i="7"/>
  <c r="I523" i="9"/>
  <c r="J523" i="7"/>
  <c r="O181" i="7"/>
  <c r="R181" i="5"/>
  <c r="M120" i="9"/>
  <c r="I316" i="9"/>
  <c r="J316" i="7"/>
  <c r="I126" i="9"/>
  <c r="J126" i="7"/>
  <c r="I317" i="7"/>
  <c r="J317" i="5"/>
  <c r="I439" i="7"/>
  <c r="J439" i="5"/>
  <c r="I248" i="9"/>
  <c r="J248" i="7"/>
  <c r="I430" i="7"/>
  <c r="J430" i="5"/>
  <c r="I589" i="9"/>
  <c r="J589" i="7"/>
  <c r="D640" i="10"/>
  <c r="J638" i="9"/>
  <c r="P216" i="10"/>
  <c r="E220" i="10"/>
  <c r="E218" i="10"/>
  <c r="J216" i="10"/>
  <c r="Q216" i="10"/>
  <c r="R188" i="10"/>
  <c r="O120" i="2"/>
  <c r="O132" i="2"/>
  <c r="I302" i="9"/>
  <c r="J302" i="7"/>
  <c r="I543" i="9"/>
  <c r="J543" i="7"/>
  <c r="R152" i="10"/>
  <c r="O152" i="13"/>
  <c r="I151" i="9"/>
  <c r="J151" i="7"/>
  <c r="O296" i="5"/>
  <c r="R297" i="5"/>
  <c r="P143" i="13"/>
  <c r="P140" i="13" s="1"/>
  <c r="P139" i="13" s="1"/>
  <c r="J143" i="13"/>
  <c r="E216" i="13"/>
  <c r="Q143" i="13"/>
  <c r="R143" i="13" s="1"/>
  <c r="O101" i="14"/>
  <c r="O557" i="9"/>
  <c r="R557" i="7"/>
  <c r="R66" i="14"/>
  <c r="O66" i="15"/>
  <c r="N225" i="14"/>
  <c r="P536" i="20"/>
  <c r="R529" i="16"/>
  <c r="I390" i="7"/>
  <c r="J390" i="5"/>
  <c r="I441" i="7"/>
  <c r="J441" i="5"/>
  <c r="R286" i="10"/>
  <c r="P363" i="23"/>
  <c r="T363" i="23" s="1"/>
  <c r="T363" i="20"/>
  <c r="R143" i="20"/>
  <c r="R142" i="20" s="1"/>
  <c r="N126" i="20"/>
  <c r="H126" i="20"/>
  <c r="O126" i="20" s="1"/>
  <c r="M32" i="10"/>
  <c r="G32" i="10"/>
  <c r="N32" i="10" s="1"/>
  <c r="P239" i="23"/>
  <c r="T239" i="23" s="1"/>
  <c r="T239" i="20"/>
  <c r="R447" i="9"/>
  <c r="R137" i="9"/>
  <c r="O137" i="10"/>
  <c r="O126" i="10"/>
  <c r="R126" i="10" s="1"/>
  <c r="O463" i="14"/>
  <c r="N328" i="16"/>
  <c r="T534" i="20"/>
  <c r="P534" i="23"/>
  <c r="T534" i="23" s="1"/>
  <c r="O366" i="13"/>
  <c r="N44" i="23"/>
  <c r="P325" i="23"/>
  <c r="T325" i="23" s="1"/>
  <c r="T325" i="20"/>
  <c r="O386" i="16"/>
  <c r="R386" i="15"/>
  <c r="N328" i="13"/>
  <c r="Q140" i="10"/>
  <c r="Q139" i="10" s="1"/>
  <c r="O119" i="13"/>
  <c r="N178" i="14"/>
  <c r="O383" i="13"/>
  <c r="N139" i="16"/>
  <c r="N109" i="23"/>
  <c r="I235" i="10" l="1"/>
  <c r="J235" i="9"/>
  <c r="O249" i="13"/>
  <c r="R249" i="10"/>
  <c r="R537" i="10"/>
  <c r="O537" i="13"/>
  <c r="I197" i="10"/>
  <c r="J197" i="9"/>
  <c r="O343" i="13"/>
  <c r="R343" i="10"/>
  <c r="R116" i="7"/>
  <c r="O116" i="9"/>
  <c r="I533" i="10"/>
  <c r="J533" i="9"/>
  <c r="O75" i="9"/>
  <c r="R75" i="7"/>
  <c r="R440" i="15"/>
  <c r="O440" i="16"/>
  <c r="N28" i="23"/>
  <c r="N682" i="23" s="1"/>
  <c r="I112" i="10"/>
  <c r="J112" i="9"/>
  <c r="O458" i="10"/>
  <c r="R458" i="9"/>
  <c r="T171" i="20"/>
  <c r="P171" i="23"/>
  <c r="T171" i="23" s="1"/>
  <c r="I182" i="10"/>
  <c r="J182" i="9"/>
  <c r="N56" i="2"/>
  <c r="I56" i="2"/>
  <c r="I551" i="10"/>
  <c r="J551" i="9"/>
  <c r="I465" i="9"/>
  <c r="J465" i="7"/>
  <c r="R414" i="9"/>
  <c r="O414" i="10"/>
  <c r="R297" i="9"/>
  <c r="O297" i="10"/>
  <c r="O295" i="13"/>
  <c r="R295" i="10"/>
  <c r="O291" i="10"/>
  <c r="R292" i="10"/>
  <c r="O292" i="13"/>
  <c r="R137" i="10"/>
  <c r="O137" i="13"/>
  <c r="I317" i="9"/>
  <c r="J317" i="7"/>
  <c r="I326" i="10"/>
  <c r="J326" i="9"/>
  <c r="J639" i="7"/>
  <c r="J649" i="7" s="1"/>
  <c r="D649" i="7"/>
  <c r="R197" i="13"/>
  <c r="O197" i="14"/>
  <c r="I534" i="9"/>
  <c r="J534" i="7"/>
  <c r="I546" i="9"/>
  <c r="J546" i="7"/>
  <c r="O94" i="2"/>
  <c r="O399" i="14"/>
  <c r="R399" i="13"/>
  <c r="R235" i="15"/>
  <c r="O235" i="16"/>
  <c r="O452" i="13"/>
  <c r="R452" i="10"/>
  <c r="I278" i="10"/>
  <c r="J278" i="9"/>
  <c r="I267" i="10"/>
  <c r="J267" i="9"/>
  <c r="I113" i="10"/>
  <c r="J113" i="9"/>
  <c r="I295" i="10"/>
  <c r="J295" i="9"/>
  <c r="I335" i="9"/>
  <c r="J335" i="7"/>
  <c r="O253" i="13"/>
  <c r="R253" i="10"/>
  <c r="I389" i="9"/>
  <c r="J389" i="7"/>
  <c r="I396" i="10"/>
  <c r="J396" i="9"/>
  <c r="T133" i="20"/>
  <c r="P133" i="23"/>
  <c r="T133" i="23" s="1"/>
  <c r="R466" i="13"/>
  <c r="O466" i="14"/>
  <c r="N682" i="20"/>
  <c r="O536" i="10"/>
  <c r="R536" i="9"/>
  <c r="I110" i="10"/>
  <c r="J110" i="9"/>
  <c r="R115" i="7"/>
  <c r="O115" i="9"/>
  <c r="I515" i="10"/>
  <c r="J515" i="9"/>
  <c r="I428" i="10"/>
  <c r="J428" i="9"/>
  <c r="R490" i="13"/>
  <c r="O490" i="14"/>
  <c r="R506" i="10"/>
  <c r="O506" i="13"/>
  <c r="O289" i="13"/>
  <c r="R289" i="10"/>
  <c r="O279" i="9"/>
  <c r="R279" i="7"/>
  <c r="O222" i="2"/>
  <c r="R223" i="2"/>
  <c r="R222" i="2" s="1"/>
  <c r="O223" i="5"/>
  <c r="I486" i="9"/>
  <c r="J486" i="7"/>
  <c r="N78" i="5"/>
  <c r="O78" i="5" s="1"/>
  <c r="R78" i="5" s="1"/>
  <c r="I78" i="5"/>
  <c r="O550" i="13"/>
  <c r="R550" i="10"/>
  <c r="R394" i="10"/>
  <c r="O394" i="13"/>
  <c r="R377" i="15"/>
  <c r="O377" i="16"/>
  <c r="I192" i="10"/>
  <c r="J192" i="9"/>
  <c r="I142" i="14"/>
  <c r="J142" i="13"/>
  <c r="I308" i="10"/>
  <c r="J308" i="9"/>
  <c r="R312" i="15"/>
  <c r="O312" i="16"/>
  <c r="O167" i="13"/>
  <c r="R167" i="10"/>
  <c r="P567" i="20"/>
  <c r="R560" i="16"/>
  <c r="R503" i="10"/>
  <c r="O503" i="13"/>
  <c r="I324" i="10"/>
  <c r="J324" i="9"/>
  <c r="R121" i="7"/>
  <c r="R113" i="10"/>
  <c r="O113" i="13"/>
  <c r="I385" i="9"/>
  <c r="J385" i="7"/>
  <c r="O74" i="7"/>
  <c r="I557" i="10"/>
  <c r="J557" i="9"/>
  <c r="I512" i="9"/>
  <c r="J512" i="7"/>
  <c r="I240" i="10"/>
  <c r="J240" i="9"/>
  <c r="N69" i="7"/>
  <c r="I69" i="7"/>
  <c r="I337" i="9"/>
  <c r="J337" i="7"/>
  <c r="R530" i="10"/>
  <c r="O530" i="13"/>
  <c r="R122" i="5"/>
  <c r="O122" i="7"/>
  <c r="O120" i="7" s="1"/>
  <c r="I437" i="9"/>
  <c r="J437" i="7"/>
  <c r="I344" i="10"/>
  <c r="J344" i="9"/>
  <c r="I215" i="10"/>
  <c r="J215" i="9"/>
  <c r="J458" i="9"/>
  <c r="I458" i="10"/>
  <c r="I276" i="10"/>
  <c r="J276" i="9"/>
  <c r="O313" i="13"/>
  <c r="R313" i="10"/>
  <c r="R541" i="16"/>
  <c r="P548" i="20"/>
  <c r="R127" i="13"/>
  <c r="O127" i="14"/>
  <c r="R111" i="13"/>
  <c r="O111" i="14"/>
  <c r="I378" i="10"/>
  <c r="J378" i="9"/>
  <c r="I79" i="10"/>
  <c r="J79" i="9"/>
  <c r="I474" i="9"/>
  <c r="J474" i="7"/>
  <c r="I587" i="10"/>
  <c r="J587" i="9"/>
  <c r="I43" i="10"/>
  <c r="J43" i="9"/>
  <c r="R204" i="9"/>
  <c r="O204" i="10"/>
  <c r="O333" i="9"/>
  <c r="R333" i="7"/>
  <c r="R378" i="10"/>
  <c r="O378" i="13"/>
  <c r="I122" i="10"/>
  <c r="J122" i="9"/>
  <c r="R281" i="14"/>
  <c r="O281" i="15"/>
  <c r="I39" i="2"/>
  <c r="J39" i="1"/>
  <c r="O248" i="14"/>
  <c r="R248" i="13"/>
  <c r="I259" i="10"/>
  <c r="J259" i="9"/>
  <c r="I286" i="10"/>
  <c r="J286" i="9"/>
  <c r="O92" i="9"/>
  <c r="I177" i="10"/>
  <c r="J177" i="9"/>
  <c r="I246" i="10"/>
  <c r="J246" i="9"/>
  <c r="I203" i="10"/>
  <c r="J203" i="9"/>
  <c r="R524" i="13"/>
  <c r="O524" i="14"/>
  <c r="I169" i="10"/>
  <c r="J169" i="9"/>
  <c r="O59" i="5"/>
  <c r="O290" i="15"/>
  <c r="R290" i="14"/>
  <c r="R478" i="10"/>
  <c r="O478" i="13"/>
  <c r="I384" i="10"/>
  <c r="J384" i="9"/>
  <c r="I482" i="9"/>
  <c r="J482" i="7"/>
  <c r="R284" i="10"/>
  <c r="O284" i="13"/>
  <c r="O393" i="10"/>
  <c r="R393" i="9"/>
  <c r="R94" i="2"/>
  <c r="R254" i="9"/>
  <c r="O254" i="10"/>
  <c r="I209" i="10"/>
  <c r="J209" i="9"/>
  <c r="I393" i="9"/>
  <c r="J393" i="7"/>
  <c r="R388" i="13"/>
  <c r="O388" i="14"/>
  <c r="R87" i="5"/>
  <c r="O87" i="7"/>
  <c r="I101" i="13"/>
  <c r="J101" i="10"/>
  <c r="P361" i="20"/>
  <c r="R358" i="16"/>
  <c r="R547" i="13"/>
  <c r="O547" i="14"/>
  <c r="R342" i="7"/>
  <c r="O342" i="9"/>
  <c r="R239" i="13"/>
  <c r="O239" i="14"/>
  <c r="I133" i="10"/>
  <c r="J133" i="9"/>
  <c r="I365" i="9"/>
  <c r="J365" i="7"/>
  <c r="I202" i="10"/>
  <c r="J202" i="9"/>
  <c r="J434" i="9"/>
  <c r="I434" i="10"/>
  <c r="I420" i="10"/>
  <c r="J420" i="9"/>
  <c r="O413" i="15"/>
  <c r="R413" i="14"/>
  <c r="O147" i="13"/>
  <c r="R147" i="10"/>
  <c r="I313" i="9"/>
  <c r="J313" i="7"/>
  <c r="R371" i="10"/>
  <c r="O371" i="13"/>
  <c r="I119" i="10"/>
  <c r="J119" i="9"/>
  <c r="O389" i="15"/>
  <c r="R389" i="14"/>
  <c r="I164" i="10"/>
  <c r="J164" i="9"/>
  <c r="R71" i="7"/>
  <c r="O71" i="9"/>
  <c r="I299" i="10"/>
  <c r="J299" i="9"/>
  <c r="O174" i="16"/>
  <c r="R174" i="15"/>
  <c r="I503" i="9"/>
  <c r="J503" i="7"/>
  <c r="I565" i="10"/>
  <c r="J565" i="9"/>
  <c r="I223" i="10"/>
  <c r="J223" i="9"/>
  <c r="I353" i="9"/>
  <c r="J353" i="7"/>
  <c r="O468" i="10"/>
  <c r="R468" i="9"/>
  <c r="R101" i="14"/>
  <c r="O101" i="15"/>
  <c r="I341" i="9"/>
  <c r="J341" i="7"/>
  <c r="I566" i="9"/>
  <c r="J566" i="7"/>
  <c r="I50" i="1"/>
  <c r="N50" i="1"/>
  <c r="O50" i="1" s="1"/>
  <c r="O456" i="9"/>
  <c r="R456" i="7"/>
  <c r="O190" i="14"/>
  <c r="R190" i="13"/>
  <c r="K160" i="11"/>
  <c r="K159" i="11"/>
  <c r="R401" i="14"/>
  <c r="O401" i="15"/>
  <c r="O31" i="20"/>
  <c r="O28" i="20" s="1"/>
  <c r="R525" i="10"/>
  <c r="O525" i="13"/>
  <c r="O528" i="10"/>
  <c r="R528" i="9"/>
  <c r="I521" i="10"/>
  <c r="J521" i="9"/>
  <c r="I200" i="10"/>
  <c r="J200" i="9"/>
  <c r="R108" i="7"/>
  <c r="O108" i="9"/>
  <c r="I334" i="10"/>
  <c r="J334" i="9"/>
  <c r="I297" i="9"/>
  <c r="J297" i="7"/>
  <c r="I114" i="10"/>
  <c r="J114" i="9"/>
  <c r="R569" i="9"/>
  <c r="O569" i="10"/>
  <c r="O68" i="15"/>
  <c r="R68" i="14"/>
  <c r="R373" i="13"/>
  <c r="O373" i="14"/>
  <c r="I233" i="10"/>
  <c r="J233" i="9"/>
  <c r="I229" i="13"/>
  <c r="J229" i="10"/>
  <c r="I493" i="10"/>
  <c r="J493" i="9"/>
  <c r="I553" i="10"/>
  <c r="J553" i="9"/>
  <c r="R120" i="5"/>
  <c r="R363" i="10"/>
  <c r="O363" i="13"/>
  <c r="I373" i="9"/>
  <c r="J373" i="7"/>
  <c r="I571" i="10"/>
  <c r="J571" i="9"/>
  <c r="R93" i="9"/>
  <c r="O93" i="10"/>
  <c r="O128" i="14"/>
  <c r="R128" i="13"/>
  <c r="I449" i="9"/>
  <c r="J449" i="7"/>
  <c r="I60" i="5"/>
  <c r="J60" i="2"/>
  <c r="I52" i="10"/>
  <c r="J52" i="9"/>
  <c r="R390" i="7"/>
  <c r="O390" i="9"/>
  <c r="I339" i="9"/>
  <c r="J339" i="7"/>
  <c r="R526" i="13"/>
  <c r="O526" i="14"/>
  <c r="R145" i="14"/>
  <c r="O145" i="15"/>
  <c r="R230" i="15"/>
  <c r="O230" i="16"/>
  <c r="O327" i="15"/>
  <c r="R327" i="14"/>
  <c r="R98" i="15"/>
  <c r="O98" i="16"/>
  <c r="I366" i="10"/>
  <c r="J366" i="9"/>
  <c r="R285" i="14"/>
  <c r="O285" i="15"/>
  <c r="O226" i="2"/>
  <c r="R227" i="2"/>
  <c r="R226" i="2" s="1"/>
  <c r="O227" i="5"/>
  <c r="I180" i="10"/>
  <c r="J180" i="9"/>
  <c r="R311" i="13"/>
  <c r="O311" i="14"/>
  <c r="I239" i="10"/>
  <c r="J239" i="9"/>
  <c r="I481" i="10"/>
  <c r="J481" i="9"/>
  <c r="I588" i="10"/>
  <c r="J588" i="9"/>
  <c r="O471" i="10"/>
  <c r="R471" i="9"/>
  <c r="P520" i="20"/>
  <c r="R513" i="16"/>
  <c r="M94" i="16"/>
  <c r="O78" i="7"/>
  <c r="R78" i="7" s="1"/>
  <c r="I542" i="9"/>
  <c r="J542" i="7"/>
  <c r="I564" i="10"/>
  <c r="J564" i="9"/>
  <c r="I228" i="10"/>
  <c r="J228" i="9"/>
  <c r="E223" i="20"/>
  <c r="R219" i="20"/>
  <c r="Q219" i="20"/>
  <c r="E221" i="20"/>
  <c r="I82" i="10"/>
  <c r="J82" i="9"/>
  <c r="T577" i="20"/>
  <c r="P577" i="23"/>
  <c r="T577" i="23" s="1"/>
  <c r="R91" i="13"/>
  <c r="O91" i="14"/>
  <c r="O33" i="2"/>
  <c r="O556" i="10"/>
  <c r="R556" i="9"/>
  <c r="I516" i="9"/>
  <c r="J516" i="7"/>
  <c r="I255" i="10"/>
  <c r="J255" i="9"/>
  <c r="O280" i="10"/>
  <c r="R280" i="9"/>
  <c r="I134" i="10"/>
  <c r="J134" i="9"/>
  <c r="O171" i="10"/>
  <c r="O170" i="9"/>
  <c r="R171" i="9"/>
  <c r="R170" i="9" s="1"/>
  <c r="R62" i="1"/>
  <c r="P433" i="20"/>
  <c r="R429" i="16"/>
  <c r="R426" i="10"/>
  <c r="O426" i="13"/>
  <c r="I124" i="9"/>
  <c r="R561" i="14"/>
  <c r="O561" i="15"/>
  <c r="O196" i="9"/>
  <c r="R196" i="7"/>
  <c r="I283" i="10"/>
  <c r="J283" i="9"/>
  <c r="R572" i="7"/>
  <c r="O572" i="9"/>
  <c r="I162" i="10"/>
  <c r="J162" i="9"/>
  <c r="I275" i="10"/>
  <c r="J275" i="9"/>
  <c r="O552" i="5"/>
  <c r="O553" i="7"/>
  <c r="R553" i="5"/>
  <c r="R552" i="5" s="1"/>
  <c r="I104" i="10"/>
  <c r="J104" i="9"/>
  <c r="I225" i="10"/>
  <c r="J225" i="9"/>
  <c r="I514" i="9"/>
  <c r="J514" i="7"/>
  <c r="R523" i="14"/>
  <c r="O523" i="15"/>
  <c r="O347" i="13"/>
  <c r="R347" i="10"/>
  <c r="I135" i="10"/>
  <c r="J135" i="9"/>
  <c r="R185" i="13"/>
  <c r="O185" i="14"/>
  <c r="R386" i="16"/>
  <c r="P389" i="20"/>
  <c r="I543" i="10"/>
  <c r="J543" i="9"/>
  <c r="O95" i="5"/>
  <c r="O94" i="5" s="1"/>
  <c r="R96" i="5"/>
  <c r="R95" i="5" s="1"/>
  <c r="O96" i="7"/>
  <c r="I173" i="10"/>
  <c r="J173" i="9"/>
  <c r="I175" i="10"/>
  <c r="J175" i="9"/>
  <c r="I94" i="10"/>
  <c r="J94" i="9"/>
  <c r="O133" i="10"/>
  <c r="R133" i="9"/>
  <c r="O315" i="5"/>
  <c r="O316" i="7"/>
  <c r="R316" i="5"/>
  <c r="R315" i="5" s="1"/>
  <c r="J133" i="23"/>
  <c r="K133" i="23" s="1"/>
  <c r="K133" i="20"/>
  <c r="I441" i="9"/>
  <c r="J441" i="7"/>
  <c r="P216" i="13"/>
  <c r="E220" i="13"/>
  <c r="J216" i="13"/>
  <c r="E218" i="13"/>
  <c r="Q216" i="13"/>
  <c r="D645" i="13"/>
  <c r="J640" i="10"/>
  <c r="I126" i="10"/>
  <c r="J126" i="9"/>
  <c r="R309" i="9"/>
  <c r="O309" i="10"/>
  <c r="I300" i="10"/>
  <c r="J300" i="9"/>
  <c r="R291" i="7"/>
  <c r="I198" i="10"/>
  <c r="J198" i="9"/>
  <c r="I518" i="9"/>
  <c r="J518" i="7"/>
  <c r="Q215" i="2"/>
  <c r="Q592" i="2" s="1"/>
  <c r="D13" i="2" s="1"/>
  <c r="T15" i="2" s="1"/>
  <c r="T18" i="2" s="1"/>
  <c r="R216" i="2"/>
  <c r="R424" i="14"/>
  <c r="O424" i="15"/>
  <c r="R486" i="13"/>
  <c r="O486" i="14"/>
  <c r="K150" i="11"/>
  <c r="K149" i="11"/>
  <c r="I35" i="10"/>
  <c r="J35" i="9"/>
  <c r="O473" i="10"/>
  <c r="R473" i="9"/>
  <c r="I73" i="7"/>
  <c r="J73" i="5"/>
  <c r="I274" i="10"/>
  <c r="J274" i="9"/>
  <c r="I453" i="9"/>
  <c r="J453" i="7"/>
  <c r="I423" i="9"/>
  <c r="J423" i="7"/>
  <c r="I528" i="9"/>
  <c r="J528" i="7"/>
  <c r="I252" i="10"/>
  <c r="J252" i="9"/>
  <c r="I287" i="10"/>
  <c r="J287" i="9"/>
  <c r="I483" i="9"/>
  <c r="J483" i="7"/>
  <c r="O436" i="13"/>
  <c r="R436" i="10"/>
  <c r="O454" i="10"/>
  <c r="R454" i="9"/>
  <c r="I559" i="10"/>
  <c r="J559" i="9"/>
  <c r="I281" i="9"/>
  <c r="J281" i="7"/>
  <c r="R430" i="10"/>
  <c r="O430" i="13"/>
  <c r="I477" i="10"/>
  <c r="J477" i="9"/>
  <c r="R522" i="13"/>
  <c r="O522" i="14"/>
  <c r="I556" i="10"/>
  <c r="J556" i="9"/>
  <c r="O443" i="9"/>
  <c r="R443" i="7"/>
  <c r="J575" i="9"/>
  <c r="I575" i="10"/>
  <c r="I490" i="9"/>
  <c r="J490" i="7"/>
  <c r="T454" i="20"/>
  <c r="P454" i="23"/>
  <c r="T454" i="23" s="1"/>
  <c r="R250" i="7"/>
  <c r="O250" i="9"/>
  <c r="E220" i="9"/>
  <c r="J216" i="9"/>
  <c r="P216" i="9"/>
  <c r="Q216" i="9"/>
  <c r="E218" i="9"/>
  <c r="R242" i="14"/>
  <c r="O242" i="15"/>
  <c r="R546" i="14"/>
  <c r="O546" i="15"/>
  <c r="R479" i="10"/>
  <c r="O479" i="13"/>
  <c r="O303" i="16"/>
  <c r="R303" i="15"/>
  <c r="I330" i="10"/>
  <c r="J330" i="9"/>
  <c r="O392" i="10"/>
  <c r="R392" i="9"/>
  <c r="I219" i="15"/>
  <c r="J219" i="14"/>
  <c r="I138" i="10"/>
  <c r="J138" i="9"/>
  <c r="I241" i="10"/>
  <c r="J241" i="9"/>
  <c r="I63" i="10"/>
  <c r="J63" i="9"/>
  <c r="I567" i="10"/>
  <c r="J567" i="9"/>
  <c r="I307" i="10"/>
  <c r="J307" i="9"/>
  <c r="O151" i="9"/>
  <c r="R151" i="7"/>
  <c r="I188" i="10"/>
  <c r="J188" i="9"/>
  <c r="I171" i="10"/>
  <c r="J171" i="9"/>
  <c r="I363" i="9"/>
  <c r="J363" i="7"/>
  <c r="I451" i="9"/>
  <c r="J451" i="7"/>
  <c r="O229" i="13"/>
  <c r="R229" i="10"/>
  <c r="I145" i="10"/>
  <c r="J145" i="9"/>
  <c r="I277" i="9"/>
  <c r="J277" i="7"/>
  <c r="I36" i="2"/>
  <c r="J36" i="1"/>
  <c r="T638" i="23"/>
  <c r="T632" i="23" s="1"/>
  <c r="P632" i="23"/>
  <c r="O276" i="13"/>
  <c r="R276" i="10"/>
  <c r="T373" i="20"/>
  <c r="P373" i="23"/>
  <c r="T373" i="23" s="1"/>
  <c r="I41" i="2"/>
  <c r="J41" i="1"/>
  <c r="R433" i="9"/>
  <c r="O433" i="10"/>
  <c r="I120" i="10"/>
  <c r="J120" i="9"/>
  <c r="I444" i="10"/>
  <c r="J444" i="9"/>
  <c r="R495" i="14"/>
  <c r="O495" i="15"/>
  <c r="N107" i="16"/>
  <c r="I140" i="10"/>
  <c r="J140" i="9"/>
  <c r="I440" i="10"/>
  <c r="J440" i="9"/>
  <c r="O273" i="14"/>
  <c r="R273" i="13"/>
  <c r="I59" i="5"/>
  <c r="J59" i="2"/>
  <c r="I459" i="13"/>
  <c r="J459" i="10"/>
  <c r="I412" i="10"/>
  <c r="J412" i="9"/>
  <c r="M27" i="2"/>
  <c r="I489" i="10"/>
  <c r="J489" i="9"/>
  <c r="I90" i="7"/>
  <c r="J90" i="5"/>
  <c r="J216" i="7"/>
  <c r="Q216" i="7"/>
  <c r="P216" i="7"/>
  <c r="E220" i="7"/>
  <c r="E218" i="7"/>
  <c r="I272" i="10"/>
  <c r="J272" i="9"/>
  <c r="O122" i="23"/>
  <c r="R298" i="14"/>
  <c r="O298" i="15"/>
  <c r="I329" i="9"/>
  <c r="J329" i="7"/>
  <c r="R548" i="13"/>
  <c r="O548" i="14"/>
  <c r="R349" i="13"/>
  <c r="O349" i="14"/>
  <c r="I253" i="10"/>
  <c r="J253" i="9"/>
  <c r="R565" i="9"/>
  <c r="O565" i="10"/>
  <c r="I541" i="10"/>
  <c r="J541" i="9"/>
  <c r="O353" i="10"/>
  <c r="R353" i="9"/>
  <c r="R441" i="9"/>
  <c r="O441" i="10"/>
  <c r="O352" i="15"/>
  <c r="R352" i="14"/>
  <c r="R461" i="9"/>
  <c r="O461" i="10"/>
  <c r="I302" i="10"/>
  <c r="J302" i="9"/>
  <c r="R283" i="10"/>
  <c r="O283" i="13"/>
  <c r="J218" i="2"/>
  <c r="Q218" i="2"/>
  <c r="R218" i="2" s="1"/>
  <c r="P218" i="2"/>
  <c r="P215" i="2" s="1"/>
  <c r="P592" i="2" s="1"/>
  <c r="I314" i="10"/>
  <c r="J314" i="9"/>
  <c r="I168" i="10"/>
  <c r="J168" i="9"/>
  <c r="T407" i="20"/>
  <c r="P407" i="23"/>
  <c r="T407" i="23" s="1"/>
  <c r="R576" i="7"/>
  <c r="O576" i="9"/>
  <c r="I222" i="10"/>
  <c r="J222" i="9"/>
  <c r="R374" i="10"/>
  <c r="O374" i="13"/>
  <c r="O439" i="9"/>
  <c r="R439" i="7"/>
  <c r="O325" i="15"/>
  <c r="R325" i="14"/>
  <c r="R500" i="14"/>
  <c r="O500" i="15"/>
  <c r="O191" i="10"/>
  <c r="R191" i="9"/>
  <c r="I263" i="10"/>
  <c r="J263" i="9"/>
  <c r="I522" i="9"/>
  <c r="J522" i="7"/>
  <c r="R259" i="5"/>
  <c r="O259" i="7"/>
  <c r="I494" i="9"/>
  <c r="J494" i="7"/>
  <c r="I256" i="10"/>
  <c r="J256" i="9"/>
  <c r="I479" i="9"/>
  <c r="J479" i="7"/>
  <c r="I433" i="9"/>
  <c r="J433" i="7"/>
  <c r="I210" i="10"/>
  <c r="J210" i="9"/>
  <c r="R84" i="9"/>
  <c r="O84" i="10"/>
  <c r="Q218" i="1"/>
  <c r="R218" i="1" s="1"/>
  <c r="P218" i="1"/>
  <c r="P215" i="1" s="1"/>
  <c r="P592" i="1" s="1"/>
  <c r="J218" i="1"/>
  <c r="O518" i="13"/>
  <c r="R518" i="10"/>
  <c r="H183" i="26"/>
  <c r="I182" i="26"/>
  <c r="R258" i="14"/>
  <c r="O258" i="15"/>
  <c r="R407" i="2"/>
  <c r="R406" i="2" s="1"/>
  <c r="O406" i="2"/>
  <c r="O407" i="5"/>
  <c r="O571" i="10"/>
  <c r="R571" i="9"/>
  <c r="R323" i="13"/>
  <c r="O323" i="14"/>
  <c r="I238" i="10"/>
  <c r="J238" i="9"/>
  <c r="I475" i="9"/>
  <c r="J475" i="7"/>
  <c r="I80" i="10"/>
  <c r="J80" i="9"/>
  <c r="I578" i="10"/>
  <c r="J578" i="9"/>
  <c r="O208" i="7"/>
  <c r="R208" i="5"/>
  <c r="I485" i="10"/>
  <c r="J485" i="9"/>
  <c r="I438" i="10"/>
  <c r="J438" i="9"/>
  <c r="N72" i="5"/>
  <c r="O72" i="5" s="1"/>
  <c r="I72" i="5"/>
  <c r="O476" i="10"/>
  <c r="R476" i="9"/>
  <c r="I421" i="9"/>
  <c r="J421" i="7"/>
  <c r="K192" i="22"/>
  <c r="K191" i="22"/>
  <c r="O410" i="10"/>
  <c r="R410" i="9"/>
  <c r="I500" i="9"/>
  <c r="J500" i="7"/>
  <c r="I260" i="10"/>
  <c r="J260" i="9"/>
  <c r="O307" i="7"/>
  <c r="R308" i="7"/>
  <c r="R307" i="7" s="1"/>
  <c r="O308" i="9"/>
  <c r="I319" i="10"/>
  <c r="J319" i="9"/>
  <c r="O51" i="2"/>
  <c r="R51" i="1"/>
  <c r="I148" i="10"/>
  <c r="J148" i="9"/>
  <c r="O36" i="1"/>
  <c r="O217" i="16"/>
  <c r="R217" i="15"/>
  <c r="O96" i="23"/>
  <c r="O184" i="7"/>
  <c r="R184" i="5"/>
  <c r="I540" i="9"/>
  <c r="J540" i="7"/>
  <c r="O225" i="1"/>
  <c r="O76" i="9"/>
  <c r="R76" i="7"/>
  <c r="I416" i="10"/>
  <c r="J416" i="9"/>
  <c r="J450" i="9"/>
  <c r="I450" i="10"/>
  <c r="P264" i="20"/>
  <c r="R261" i="16"/>
  <c r="O566" i="5"/>
  <c r="R567" i="5"/>
  <c r="O567" i="7"/>
  <c r="I460" i="10"/>
  <c r="J460" i="9"/>
  <c r="R136" i="5"/>
  <c r="O136" i="7"/>
  <c r="I128" i="10"/>
  <c r="J128" i="9"/>
  <c r="I419" i="9"/>
  <c r="J419" i="7"/>
  <c r="I563" i="10"/>
  <c r="J563" i="9"/>
  <c r="K162" i="17"/>
  <c r="K161" i="17"/>
  <c r="P268" i="23"/>
  <c r="T268" i="23" s="1"/>
  <c r="T268" i="20"/>
  <c r="N30" i="13"/>
  <c r="N27" i="13" s="1"/>
  <c r="N592" i="13" s="1"/>
  <c r="O533" i="9"/>
  <c r="R533" i="7"/>
  <c r="I354" i="10"/>
  <c r="J354" i="9"/>
  <c r="I333" i="9"/>
  <c r="J333" i="7"/>
  <c r="I178" i="10"/>
  <c r="J178" i="9"/>
  <c r="R502" i="10"/>
  <c r="O502" i="13"/>
  <c r="I250" i="10"/>
  <c r="J250" i="9"/>
  <c r="R90" i="5"/>
  <c r="O90" i="7"/>
  <c r="I71" i="7"/>
  <c r="J71" i="5"/>
  <c r="I99" i="10"/>
  <c r="J99" i="9"/>
  <c r="I86" i="10"/>
  <c r="J86" i="9"/>
  <c r="N122" i="23"/>
  <c r="N96" i="23" s="1"/>
  <c r="I469" i="10"/>
  <c r="J469" i="9"/>
  <c r="I183" i="10"/>
  <c r="J183" i="9"/>
  <c r="O484" i="10"/>
  <c r="R484" i="9"/>
  <c r="I381" i="9"/>
  <c r="J381" i="7"/>
  <c r="O231" i="9"/>
  <c r="R231" i="7"/>
  <c r="I117" i="10"/>
  <c r="J117" i="9"/>
  <c r="I305" i="9"/>
  <c r="J305" i="7"/>
  <c r="I204" i="10"/>
  <c r="J204" i="9"/>
  <c r="I547" i="10"/>
  <c r="J547" i="9"/>
  <c r="K174" i="21"/>
  <c r="K173" i="21"/>
  <c r="O198" i="14"/>
  <c r="R198" i="13"/>
  <c r="R496" i="13"/>
  <c r="O496" i="14"/>
  <c r="O214" i="14"/>
  <c r="R214" i="13"/>
  <c r="R109" i="14"/>
  <c r="O109" i="15"/>
  <c r="R558" i="9"/>
  <c r="O558" i="10"/>
  <c r="P384" i="20"/>
  <c r="R381" i="16"/>
  <c r="I269" i="9"/>
  <c r="J269" i="7"/>
  <c r="I304" i="10"/>
  <c r="J304" i="9"/>
  <c r="R45" i="9"/>
  <c r="O45" i="10"/>
  <c r="I589" i="10"/>
  <c r="J589" i="9"/>
  <c r="R538" i="10"/>
  <c r="O538" i="13"/>
  <c r="I402" i="9"/>
  <c r="J402" i="7"/>
  <c r="I231" i="10"/>
  <c r="J231" i="9"/>
  <c r="I527" i="10"/>
  <c r="J527" i="9"/>
  <c r="I265" i="9"/>
  <c r="J265" i="7"/>
  <c r="R449" i="9"/>
  <c r="O449" i="10"/>
  <c r="R491" i="14"/>
  <c r="O491" i="15"/>
  <c r="I54" i="9"/>
  <c r="J54" i="7"/>
  <c r="K182" i="22"/>
  <c r="K181" i="22"/>
  <c r="I105" i="10"/>
  <c r="J105" i="9"/>
  <c r="I31" i="10"/>
  <c r="J31" i="9"/>
  <c r="I560" i="10"/>
  <c r="J560" i="9"/>
  <c r="I357" i="9"/>
  <c r="J357" i="7"/>
  <c r="R267" i="10"/>
  <c r="O267" i="13"/>
  <c r="I51" i="2"/>
  <c r="J51" i="1"/>
  <c r="T401" i="20"/>
  <c r="P401" i="23"/>
  <c r="T401" i="23" s="1"/>
  <c r="I364" i="10"/>
  <c r="J364" i="9"/>
  <c r="O474" i="5"/>
  <c r="O475" i="7"/>
  <c r="R475" i="5"/>
  <c r="R474" i="5" s="1"/>
  <c r="R321" i="9"/>
  <c r="O321" i="10"/>
  <c r="I463" i="10"/>
  <c r="J463" i="9"/>
  <c r="R103" i="7"/>
  <c r="O103" i="9"/>
  <c r="I139" i="10"/>
  <c r="J139" i="9"/>
  <c r="O205" i="2"/>
  <c r="R206" i="2"/>
  <c r="R205" i="2" s="1"/>
  <c r="O206" i="5"/>
  <c r="I338" i="10"/>
  <c r="J338" i="9"/>
  <c r="I359" i="9"/>
  <c r="J359" i="7"/>
  <c r="I273" i="9"/>
  <c r="J273" i="7"/>
  <c r="R209" i="13"/>
  <c r="O209" i="14"/>
  <c r="J218" i="15"/>
  <c r="Q218" i="15"/>
  <c r="R218" i="15" s="1"/>
  <c r="P218" i="15"/>
  <c r="I153" i="10"/>
  <c r="J153" i="9"/>
  <c r="R498" i="10"/>
  <c r="O498" i="13"/>
  <c r="I57" i="10"/>
  <c r="J57" i="9"/>
  <c r="K172" i="17"/>
  <c r="K171" i="17"/>
  <c r="O182" i="16"/>
  <c r="R182" i="15"/>
  <c r="O579" i="7"/>
  <c r="R579" i="5"/>
  <c r="I55" i="10"/>
  <c r="J55" i="9"/>
  <c r="I296" i="10"/>
  <c r="J296" i="9"/>
  <c r="I189" i="10"/>
  <c r="J189" i="9"/>
  <c r="I496" i="9"/>
  <c r="J496" i="7"/>
  <c r="I572" i="10"/>
  <c r="J572" i="9"/>
  <c r="O385" i="15"/>
  <c r="R385" i="14"/>
  <c r="I32" i="2"/>
  <c r="J32" i="1"/>
  <c r="O179" i="2"/>
  <c r="O178" i="2" s="1"/>
  <c r="O180" i="5"/>
  <c r="R180" i="2"/>
  <c r="R179" i="2" s="1"/>
  <c r="R178" i="2" s="1"/>
  <c r="I447" i="9"/>
  <c r="J447" i="7"/>
  <c r="I504" i="9"/>
  <c r="J504" i="7"/>
  <c r="O193" i="9"/>
  <c r="R193" i="7"/>
  <c r="K164" i="21"/>
  <c r="K163" i="21"/>
  <c r="I176" i="10"/>
  <c r="J176" i="9"/>
  <c r="R379" i="14"/>
  <c r="O379" i="15"/>
  <c r="R264" i="10"/>
  <c r="O264" i="13"/>
  <c r="R244" i="14"/>
  <c r="O244" i="15"/>
  <c r="O272" i="14"/>
  <c r="R272" i="13"/>
  <c r="O341" i="10"/>
  <c r="R341" i="9"/>
  <c r="O509" i="13"/>
  <c r="R509" i="10"/>
  <c r="I372" i="10"/>
  <c r="J372" i="9"/>
  <c r="I480" i="9"/>
  <c r="J480" i="7"/>
  <c r="O241" i="10"/>
  <c r="R241" i="9"/>
  <c r="R153" i="7"/>
  <c r="O153" i="9"/>
  <c r="I573" i="10"/>
  <c r="J573" i="9"/>
  <c r="I42" i="7"/>
  <c r="J42" i="5"/>
  <c r="I350" i="10"/>
  <c r="J350" i="9"/>
  <c r="I146" i="10"/>
  <c r="J146" i="9"/>
  <c r="I125" i="10"/>
  <c r="I262" i="10"/>
  <c r="J262" i="9"/>
  <c r="I355" i="9"/>
  <c r="J355" i="7"/>
  <c r="O215" i="7"/>
  <c r="O216" i="9"/>
  <c r="P423" i="23"/>
  <c r="T423" i="23" s="1"/>
  <c r="T423" i="20"/>
  <c r="P625" i="23"/>
  <c r="T626" i="23"/>
  <c r="T625" i="23" s="1"/>
  <c r="Q626" i="23"/>
  <c r="Q625" i="23" s="1"/>
  <c r="Q598" i="23" s="1"/>
  <c r="I74" i="7"/>
  <c r="J74" i="5"/>
  <c r="I85" i="7"/>
  <c r="J85" i="5"/>
  <c r="R135" i="7"/>
  <c r="O135" i="9"/>
  <c r="I53" i="10"/>
  <c r="J53" i="9"/>
  <c r="I497" i="9"/>
  <c r="J497" i="7"/>
  <c r="I549" i="10"/>
  <c r="J549" i="9"/>
  <c r="I247" i="10"/>
  <c r="J247" i="9"/>
  <c r="I580" i="10"/>
  <c r="J580" i="9"/>
  <c r="I46" i="9"/>
  <c r="J46" i="7"/>
  <c r="I487" i="9"/>
  <c r="J487" i="7"/>
  <c r="N594" i="10"/>
  <c r="I66" i="10"/>
  <c r="J66" i="9"/>
  <c r="I312" i="10"/>
  <c r="J312" i="9"/>
  <c r="I107" i="10"/>
  <c r="J107" i="9"/>
  <c r="R328" i="1"/>
  <c r="O301" i="13"/>
  <c r="R301" i="10"/>
  <c r="I284" i="10"/>
  <c r="J284" i="9"/>
  <c r="I422" i="9"/>
  <c r="J422" i="7"/>
  <c r="I158" i="10"/>
  <c r="J158" i="9"/>
  <c r="O472" i="13"/>
  <c r="R472" i="10"/>
  <c r="P598" i="20"/>
  <c r="P43" i="20"/>
  <c r="R42" i="16"/>
  <c r="R501" i="15"/>
  <c r="O501" i="16"/>
  <c r="R57" i="14"/>
  <c r="O57" i="15"/>
  <c r="I251" i="10"/>
  <c r="J251" i="9"/>
  <c r="O60" i="7"/>
  <c r="R60" i="5"/>
  <c r="I91" i="10"/>
  <c r="J91" i="9"/>
  <c r="I191" i="10"/>
  <c r="J191" i="9"/>
  <c r="R445" i="9"/>
  <c r="O445" i="10"/>
  <c r="I513" i="9"/>
  <c r="J513" i="7"/>
  <c r="O467" i="14"/>
  <c r="R467" i="13"/>
  <c r="Q220" i="15"/>
  <c r="R220" i="15" s="1"/>
  <c r="J220" i="15"/>
  <c r="P220" i="15"/>
  <c r="R48" i="10"/>
  <c r="O48" i="13"/>
  <c r="O117" i="10"/>
  <c r="R117" i="9"/>
  <c r="I186" i="10"/>
  <c r="J186" i="9"/>
  <c r="I348" i="10"/>
  <c r="J348" i="9"/>
  <c r="I577" i="10"/>
  <c r="J577" i="9"/>
  <c r="I426" i="9"/>
  <c r="J426" i="7"/>
  <c r="I289" i="9"/>
  <c r="J289" i="7"/>
  <c r="R493" i="15"/>
  <c r="O493" i="16"/>
  <c r="R539" i="14"/>
  <c r="O539" i="15"/>
  <c r="O562" i="15"/>
  <c r="R562" i="14"/>
  <c r="R516" i="13"/>
  <c r="O516" i="14"/>
  <c r="I371" i="9"/>
  <c r="J371" i="7"/>
  <c r="I427" i="9"/>
  <c r="J427" i="7"/>
  <c r="I118" i="13"/>
  <c r="J118" i="10"/>
  <c r="I445" i="9"/>
  <c r="J445" i="7"/>
  <c r="I161" i="10"/>
  <c r="J161" i="9"/>
  <c r="O583" i="10"/>
  <c r="R583" i="9"/>
  <c r="R188" i="14"/>
  <c r="O188" i="15"/>
  <c r="R86" i="5"/>
  <c r="O86" i="7"/>
  <c r="I562" i="9"/>
  <c r="J562" i="7"/>
  <c r="R382" i="16"/>
  <c r="P385" i="20"/>
  <c r="N30" i="1"/>
  <c r="O32" i="1"/>
  <c r="I368" i="10"/>
  <c r="J368" i="9"/>
  <c r="R178" i="1"/>
  <c r="I213" i="10"/>
  <c r="J213" i="9"/>
  <c r="R203" i="13"/>
  <c r="O203" i="14"/>
  <c r="I65" i="10"/>
  <c r="J65" i="9"/>
  <c r="I586" i="10"/>
  <c r="J586" i="9"/>
  <c r="Q140" i="7"/>
  <c r="Q139" i="7" s="1"/>
  <c r="I76" i="7"/>
  <c r="J76" i="5"/>
  <c r="R177" i="9"/>
  <c r="O177" i="10"/>
  <c r="R492" i="9"/>
  <c r="O492" i="10"/>
  <c r="N30" i="2"/>
  <c r="J446" i="9"/>
  <c r="I446" i="10"/>
  <c r="I498" i="9"/>
  <c r="J498" i="7"/>
  <c r="Q220" i="2"/>
  <c r="R220" i="2" s="1"/>
  <c r="P220" i="2"/>
  <c r="J220" i="2"/>
  <c r="I524" i="9"/>
  <c r="J524" i="7"/>
  <c r="I467" i="9"/>
  <c r="J467" i="7"/>
  <c r="O28" i="7"/>
  <c r="R29" i="7"/>
  <c r="R28" i="7" s="1"/>
  <c r="O29" i="9"/>
  <c r="I517" i="9"/>
  <c r="J517" i="7"/>
  <c r="I508" i="9"/>
  <c r="J508" i="7"/>
  <c r="O306" i="15"/>
  <c r="R306" i="14"/>
  <c r="I196" i="10"/>
  <c r="J196" i="9"/>
  <c r="R310" i="15"/>
  <c r="O310" i="16"/>
  <c r="I570" i="10"/>
  <c r="J570" i="9"/>
  <c r="I336" i="10"/>
  <c r="J336" i="9"/>
  <c r="I152" i="10"/>
  <c r="J152" i="9"/>
  <c r="I184" i="10"/>
  <c r="J184" i="9"/>
  <c r="N38" i="1"/>
  <c r="O38" i="1" s="1"/>
  <c r="R38" i="1" s="1"/>
  <c r="I38" i="1"/>
  <c r="I130" i="10"/>
  <c r="J130" i="9"/>
  <c r="R446" i="15"/>
  <c r="O446" i="16"/>
  <c r="I417" i="9"/>
  <c r="J417" i="7"/>
  <c r="I414" i="9"/>
  <c r="J414" i="7"/>
  <c r="N120" i="9"/>
  <c r="I456" i="10"/>
  <c r="J456" i="9"/>
  <c r="I407" i="9"/>
  <c r="J407" i="7"/>
  <c r="I548" i="9"/>
  <c r="J548" i="7"/>
  <c r="O251" i="13"/>
  <c r="R251" i="10"/>
  <c r="I270" i="10"/>
  <c r="J270" i="9"/>
  <c r="I214" i="10"/>
  <c r="J214" i="9"/>
  <c r="R294" i="14"/>
  <c r="O294" i="15"/>
  <c r="I466" i="9"/>
  <c r="J466" i="7"/>
  <c r="O257" i="13"/>
  <c r="R257" i="10"/>
  <c r="I131" i="10"/>
  <c r="J131" i="9"/>
  <c r="R233" i="14"/>
  <c r="O233" i="15"/>
  <c r="I217" i="13"/>
  <c r="J217" i="10"/>
  <c r="I351" i="9"/>
  <c r="J351" i="7"/>
  <c r="R67" i="9"/>
  <c r="O67" i="10"/>
  <c r="I343" i="9"/>
  <c r="J343" i="7"/>
  <c r="R162" i="7"/>
  <c r="O162" i="9"/>
  <c r="I349" i="9"/>
  <c r="J349" i="7"/>
  <c r="I154" i="10"/>
  <c r="J154" i="9"/>
  <c r="P487" i="20"/>
  <c r="R480" i="16"/>
  <c r="O187" i="10"/>
  <c r="R187" i="9"/>
  <c r="P215" i="15"/>
  <c r="P591" i="15" s="1"/>
  <c r="I115" i="10"/>
  <c r="J115" i="9"/>
  <c r="I413" i="9"/>
  <c r="J413" i="7"/>
  <c r="I361" i="9"/>
  <c r="J361" i="7"/>
  <c r="R330" i="7"/>
  <c r="O330" i="9"/>
  <c r="I62" i="10"/>
  <c r="J62" i="9"/>
  <c r="T612" i="23"/>
  <c r="T609" i="23" s="1"/>
  <c r="P609" i="23"/>
  <c r="R81" i="13"/>
  <c r="O81" i="14"/>
  <c r="R299" i="5"/>
  <c r="O299" i="7"/>
  <c r="I321" i="9"/>
  <c r="J321" i="7"/>
  <c r="I550" i="9"/>
  <c r="J550" i="7"/>
  <c r="R532" i="13"/>
  <c r="O532" i="14"/>
  <c r="I448" i="10"/>
  <c r="J448" i="9"/>
  <c r="I377" i="9"/>
  <c r="J377" i="7"/>
  <c r="I306" i="10"/>
  <c r="J306" i="9"/>
  <c r="O432" i="9"/>
  <c r="R432" i="7"/>
  <c r="T542" i="20"/>
  <c r="P542" i="23"/>
  <c r="T542" i="23" s="1"/>
  <c r="O178" i="1"/>
  <c r="O355" i="10"/>
  <c r="R355" i="9"/>
  <c r="I495" i="9"/>
  <c r="J495" i="7"/>
  <c r="R465" i="9"/>
  <c r="O465" i="10"/>
  <c r="I103" i="10"/>
  <c r="J103" i="9"/>
  <c r="R387" i="10"/>
  <c r="O387" i="13"/>
  <c r="O335" i="13"/>
  <c r="R335" i="10"/>
  <c r="O340" i="14"/>
  <c r="R340" i="13"/>
  <c r="P549" i="20"/>
  <c r="R542" i="16"/>
  <c r="I282" i="10"/>
  <c r="J282" i="9"/>
  <c r="O531" i="14"/>
  <c r="R531" i="13"/>
  <c r="I342" i="10"/>
  <c r="J342" i="9"/>
  <c r="I157" i="10"/>
  <c r="J157" i="9"/>
  <c r="I390" i="9"/>
  <c r="J390" i="7"/>
  <c r="O131" i="2"/>
  <c r="R132" i="2"/>
  <c r="R131" i="2" s="1"/>
  <c r="O132" i="5"/>
  <c r="I316" i="10"/>
  <c r="J316" i="9"/>
  <c r="I535" i="10"/>
  <c r="J535" i="9"/>
  <c r="I583" i="10"/>
  <c r="J583" i="9"/>
  <c r="R114" i="10"/>
  <c r="O114" i="13"/>
  <c r="I254" i="10"/>
  <c r="J254" i="9"/>
  <c r="I457" i="9"/>
  <c r="J457" i="7"/>
  <c r="I401" i="9"/>
  <c r="J401" i="7"/>
  <c r="I405" i="9"/>
  <c r="J405" i="7"/>
  <c r="I455" i="10"/>
  <c r="J455" i="9"/>
  <c r="O146" i="14"/>
  <c r="R146" i="13"/>
  <c r="J374" i="9"/>
  <c r="I374" i="10"/>
  <c r="R573" i="13"/>
  <c r="O573" i="14"/>
  <c r="I501" i="9"/>
  <c r="J501" i="7"/>
  <c r="I375" i="9"/>
  <c r="J375" i="7"/>
  <c r="I409" i="9"/>
  <c r="J409" i="7"/>
  <c r="O551" i="10"/>
  <c r="R551" i="9"/>
  <c r="I347" i="9"/>
  <c r="J347" i="7"/>
  <c r="R397" i="9"/>
  <c r="O397" i="10"/>
  <c r="O366" i="14"/>
  <c r="R366" i="13"/>
  <c r="P536" i="23"/>
  <c r="T536" i="23" s="1"/>
  <c r="T536" i="20"/>
  <c r="I561" i="10"/>
  <c r="J561" i="9"/>
  <c r="O149" i="7"/>
  <c r="O148" i="5"/>
  <c r="O139" i="5" s="1"/>
  <c r="R149" i="5"/>
  <c r="R148" i="5" s="1"/>
  <c r="I555" i="10"/>
  <c r="J555" i="9"/>
  <c r="I352" i="10"/>
  <c r="J352" i="9"/>
  <c r="O232" i="10"/>
  <c r="R232" i="9"/>
  <c r="I367" i="10"/>
  <c r="J367" i="9"/>
  <c r="I464" i="10"/>
  <c r="J464" i="9"/>
  <c r="O79" i="2"/>
  <c r="O62" i="2" s="1"/>
  <c r="R80" i="2"/>
  <c r="R79" i="2" s="1"/>
  <c r="R62" i="2" s="1"/>
  <c r="O80" i="5"/>
  <c r="E220" i="14"/>
  <c r="J216" i="14"/>
  <c r="E218" i="14"/>
  <c r="Q216" i="14"/>
  <c r="P216" i="14"/>
  <c r="I195" i="10"/>
  <c r="J195" i="9"/>
  <c r="J220" i="1"/>
  <c r="Q220" i="1"/>
  <c r="R220" i="1" s="1"/>
  <c r="P220" i="1"/>
  <c r="I127" i="10"/>
  <c r="J127" i="9"/>
  <c r="R234" i="9"/>
  <c r="O234" i="10"/>
  <c r="I227" i="10"/>
  <c r="J227" i="9"/>
  <c r="I346" i="10"/>
  <c r="J346" i="9"/>
  <c r="I590" i="10"/>
  <c r="J590" i="9"/>
  <c r="T601" i="23"/>
  <c r="T599" i="23" s="1"/>
  <c r="T598" i="23" s="1"/>
  <c r="P599" i="23"/>
  <c r="P598" i="23" s="1"/>
  <c r="O383" i="14"/>
  <c r="R383" i="13"/>
  <c r="I525" i="10"/>
  <c r="J525" i="9"/>
  <c r="O199" i="13"/>
  <c r="R199" i="10"/>
  <c r="I61" i="10"/>
  <c r="J61" i="9"/>
  <c r="R464" i="13"/>
  <c r="O464" i="14"/>
  <c r="R121" i="9"/>
  <c r="O121" i="10"/>
  <c r="I539" i="10"/>
  <c r="J539" i="9"/>
  <c r="O213" i="9"/>
  <c r="R213" i="7"/>
  <c r="O376" i="13"/>
  <c r="R376" i="10"/>
  <c r="R510" i="13"/>
  <c r="O510" i="14"/>
  <c r="O140" i="7"/>
  <c r="O141" i="9"/>
  <c r="I362" i="10"/>
  <c r="J362" i="9"/>
  <c r="I538" i="9"/>
  <c r="J538" i="7"/>
  <c r="I530" i="9"/>
  <c r="J530" i="7"/>
  <c r="I266" i="10"/>
  <c r="J266" i="9"/>
  <c r="I67" i="10"/>
  <c r="J67" i="9"/>
  <c r="R314" i="14"/>
  <c r="O314" i="15"/>
  <c r="O554" i="5"/>
  <c r="R555" i="5"/>
  <c r="R554" i="5" s="1"/>
  <c r="O555" i="7"/>
  <c r="I507" i="9"/>
  <c r="J507" i="7"/>
  <c r="I478" i="9"/>
  <c r="J478" i="7"/>
  <c r="I257" i="10"/>
  <c r="J257" i="9"/>
  <c r="I224" i="10"/>
  <c r="J224" i="9"/>
  <c r="I293" i="9"/>
  <c r="J293" i="7"/>
  <c r="I187" i="10"/>
  <c r="J187" i="9"/>
  <c r="I345" i="9"/>
  <c r="J345" i="7"/>
  <c r="O448" i="15"/>
  <c r="R448" i="14"/>
  <c r="I33" i="2"/>
  <c r="J33" i="1"/>
  <c r="Q140" i="14"/>
  <c r="Q139" i="14" s="1"/>
  <c r="I328" i="10"/>
  <c r="J328" i="9"/>
  <c r="I360" i="10"/>
  <c r="J360" i="9"/>
  <c r="N30" i="7"/>
  <c r="N27" i="7" s="1"/>
  <c r="I383" i="9"/>
  <c r="J383" i="7"/>
  <c r="R431" i="13"/>
  <c r="O431" i="14"/>
  <c r="I190" i="10"/>
  <c r="J190" i="9"/>
  <c r="I425" i="9"/>
  <c r="J425" i="7"/>
  <c r="I443" i="9"/>
  <c r="J443" i="7"/>
  <c r="O455" i="14"/>
  <c r="R455" i="13"/>
  <c r="R189" i="7"/>
  <c r="O189" i="9"/>
  <c r="I40" i="2"/>
  <c r="J40" i="1"/>
  <c r="I37" i="10"/>
  <c r="J37" i="9"/>
  <c r="R319" i="2"/>
  <c r="R317" i="2" s="1"/>
  <c r="O319" i="5"/>
  <c r="O317" i="2"/>
  <c r="O328" i="1"/>
  <c r="I109" i="10"/>
  <c r="J109" i="9"/>
  <c r="O487" i="5"/>
  <c r="O488" i="7"/>
  <c r="R488" i="5"/>
  <c r="R487" i="5" s="1"/>
  <c r="O130" i="15"/>
  <c r="R130" i="14"/>
  <c r="P427" i="20"/>
  <c r="R423" i="16"/>
  <c r="O588" i="7"/>
  <c r="R589" i="7"/>
  <c r="R588" i="7" s="1"/>
  <c r="O589" i="9"/>
  <c r="O144" i="13"/>
  <c r="R144" i="10"/>
  <c r="R275" i="10"/>
  <c r="O275" i="13"/>
  <c r="I532" i="9"/>
  <c r="J532" i="7"/>
  <c r="I585" i="10"/>
  <c r="J585" i="9"/>
  <c r="I392" i="10"/>
  <c r="J392" i="9"/>
  <c r="I88" i="7"/>
  <c r="J88" i="5"/>
  <c r="O96" i="20"/>
  <c r="O427" i="14"/>
  <c r="R427" i="13"/>
  <c r="O124" i="10"/>
  <c r="I102" i="10"/>
  <c r="J102" i="9"/>
  <c r="I98" i="10"/>
  <c r="J98" i="9"/>
  <c r="O155" i="1"/>
  <c r="I431" i="9"/>
  <c r="J431" i="7"/>
  <c r="I163" i="10"/>
  <c r="J163" i="9"/>
  <c r="N594" i="9"/>
  <c r="O237" i="15"/>
  <c r="R237" i="14"/>
  <c r="O435" i="16"/>
  <c r="R435" i="15"/>
  <c r="I581" i="10"/>
  <c r="J581" i="9"/>
  <c r="I470" i="9"/>
  <c r="J470" i="7"/>
  <c r="I358" i="10"/>
  <c r="J358" i="9"/>
  <c r="I488" i="9"/>
  <c r="J488" i="7"/>
  <c r="I510" i="9"/>
  <c r="J510" i="7"/>
  <c r="N30" i="15"/>
  <c r="N27" i="15" s="1"/>
  <c r="N591" i="15" s="1"/>
  <c r="I506" i="9"/>
  <c r="J506" i="7"/>
  <c r="R100" i="13"/>
  <c r="O100" i="14"/>
  <c r="I579" i="10"/>
  <c r="J579" i="9"/>
  <c r="I106" i="10"/>
  <c r="J106" i="9"/>
  <c r="I232" i="10"/>
  <c r="J232" i="9"/>
  <c r="O64" i="9"/>
  <c r="R64" i="7"/>
  <c r="R568" i="9"/>
  <c r="O568" i="10"/>
  <c r="O300" i="15"/>
  <c r="R300" i="14"/>
  <c r="R557" i="9"/>
  <c r="O557" i="10"/>
  <c r="I44" i="10"/>
  <c r="J44" i="9"/>
  <c r="O375" i="7"/>
  <c r="R375" i="5"/>
  <c r="I165" i="10"/>
  <c r="J165" i="9"/>
  <c r="N30" i="10"/>
  <c r="N27" i="10" s="1"/>
  <c r="R296" i="5"/>
  <c r="M30" i="10"/>
  <c r="M27" i="10" s="1"/>
  <c r="M592" i="10" s="1"/>
  <c r="I430" i="9"/>
  <c r="J430" i="7"/>
  <c r="I452" i="10"/>
  <c r="J452" i="9"/>
  <c r="I285" i="9"/>
  <c r="J285" i="7"/>
  <c r="I301" i="9"/>
  <c r="J301" i="7"/>
  <c r="O106" i="14"/>
  <c r="R106" i="13"/>
  <c r="O110" i="13"/>
  <c r="R110" i="10"/>
  <c r="I318" i="10"/>
  <c r="J318" i="9"/>
  <c r="N120" i="16"/>
  <c r="O575" i="15"/>
  <c r="R575" i="14"/>
  <c r="I75" i="7"/>
  <c r="J75" i="5"/>
  <c r="I332" i="10"/>
  <c r="J332" i="9"/>
  <c r="R384" i="13"/>
  <c r="O384" i="14"/>
  <c r="I310" i="10"/>
  <c r="J310" i="9"/>
  <c r="R247" i="10"/>
  <c r="O247" i="13"/>
  <c r="I166" i="10"/>
  <c r="J166" i="9"/>
  <c r="O123" i="15"/>
  <c r="R123" i="14"/>
  <c r="R138" i="9"/>
  <c r="O138" i="10"/>
  <c r="R331" i="2"/>
  <c r="R329" i="2" s="1"/>
  <c r="O331" i="5"/>
  <c r="O329" i="2"/>
  <c r="J462" i="9"/>
  <c r="I462" i="10"/>
  <c r="R519" i="14"/>
  <c r="O519" i="15"/>
  <c r="R41" i="2"/>
  <c r="O41" i="5"/>
  <c r="O252" i="13"/>
  <c r="R252" i="10"/>
  <c r="R361" i="13"/>
  <c r="O361" i="14"/>
  <c r="R181" i="7"/>
  <c r="O181" i="9"/>
  <c r="I398" i="9"/>
  <c r="J398" i="7"/>
  <c r="I406" i="9"/>
  <c r="J406" i="7"/>
  <c r="R587" i="7"/>
  <c r="O587" i="9"/>
  <c r="I170" i="10"/>
  <c r="J170" i="9"/>
  <c r="R66" i="15"/>
  <c r="O66" i="16"/>
  <c r="I151" i="10"/>
  <c r="J151" i="9"/>
  <c r="I248" i="10"/>
  <c r="J248" i="9"/>
  <c r="R286" i="14"/>
  <c r="O286" i="15"/>
  <c r="I408" i="10"/>
  <c r="J408" i="9"/>
  <c r="I511" i="10"/>
  <c r="J511" i="9"/>
  <c r="I160" i="10"/>
  <c r="J160" i="9"/>
  <c r="R584" i="7"/>
  <c r="O584" i="9"/>
  <c r="I185" i="10"/>
  <c r="J185" i="9"/>
  <c r="O85" i="7"/>
  <c r="O408" i="15"/>
  <c r="R408" i="14"/>
  <c r="R46" i="10"/>
  <c r="O46" i="13"/>
  <c r="R263" i="13"/>
  <c r="O263" i="14"/>
  <c r="I356" i="10"/>
  <c r="J356" i="9"/>
  <c r="I545" i="10"/>
  <c r="J545" i="9"/>
  <c r="I100" i="10"/>
  <c r="J100" i="9"/>
  <c r="I576" i="10"/>
  <c r="J576" i="9"/>
  <c r="P339" i="23"/>
  <c r="T339" i="23" s="1"/>
  <c r="T339" i="20"/>
  <c r="I205" i="10"/>
  <c r="J205" i="9"/>
  <c r="I410" i="9"/>
  <c r="J410" i="7"/>
  <c r="R271" i="13"/>
  <c r="O271" i="14"/>
  <c r="J370" i="9"/>
  <c r="I370" i="10"/>
  <c r="I245" i="10"/>
  <c r="J245" i="9"/>
  <c r="I83" i="7"/>
  <c r="J83" i="5"/>
  <c r="I303" i="10"/>
  <c r="J303" i="9"/>
  <c r="R277" i="13"/>
  <c r="O277" i="14"/>
  <c r="N120" i="10"/>
  <c r="R543" i="14"/>
  <c r="O543" i="15"/>
  <c r="Q220" i="16"/>
  <c r="R220" i="16" s="1"/>
  <c r="P220" i="16"/>
  <c r="J220" i="16"/>
  <c r="I529" i="10"/>
  <c r="J529" i="9"/>
  <c r="I136" i="10"/>
  <c r="J136" i="9"/>
  <c r="N35" i="2"/>
  <c r="T657" i="23"/>
  <c r="T654" i="23" s="1"/>
  <c r="Q657" i="23"/>
  <c r="Q654" i="23" s="1"/>
  <c r="P654" i="23"/>
  <c r="P461" i="23"/>
  <c r="T461" i="23" s="1"/>
  <c r="T461" i="20"/>
  <c r="R302" i="7"/>
  <c r="O302" i="9"/>
  <c r="R444" i="13"/>
  <c r="O444" i="14"/>
  <c r="R102" i="10"/>
  <c r="O102" i="13"/>
  <c r="I476" i="9"/>
  <c r="J476" i="7"/>
  <c r="I144" i="10"/>
  <c r="J144" i="9"/>
  <c r="O200" i="13"/>
  <c r="R200" i="10"/>
  <c r="R442" i="7"/>
  <c r="O442" i="9"/>
  <c r="R40" i="1"/>
  <c r="O40" i="2"/>
  <c r="N94" i="9"/>
  <c r="R288" i="7"/>
  <c r="O288" i="9"/>
  <c r="I236" i="10"/>
  <c r="J236" i="9"/>
  <c r="I526" i="9"/>
  <c r="J526" i="7"/>
  <c r="I294" i="10"/>
  <c r="J294" i="9"/>
  <c r="R544" i="13"/>
  <c r="O544" i="14"/>
  <c r="O350" i="15"/>
  <c r="R350" i="14"/>
  <c r="O345" i="10"/>
  <c r="R345" i="9"/>
  <c r="I382" i="9"/>
  <c r="J382" i="7"/>
  <c r="I391" i="9"/>
  <c r="J391" i="7"/>
  <c r="I404" i="10"/>
  <c r="J404" i="9"/>
  <c r="R161" i="10"/>
  <c r="O161" i="13"/>
  <c r="I424" i="10"/>
  <c r="J424" i="9"/>
  <c r="R338" i="7"/>
  <c r="O338" i="9"/>
  <c r="I415" i="10"/>
  <c r="J415" i="9"/>
  <c r="R428" i="13"/>
  <c r="O428" i="14"/>
  <c r="R99" i="7"/>
  <c r="O99" i="9"/>
  <c r="I271" i="10"/>
  <c r="J271" i="9"/>
  <c r="O582" i="14"/>
  <c r="R582" i="13"/>
  <c r="I207" i="10"/>
  <c r="J207" i="9"/>
  <c r="I395" i="9"/>
  <c r="J395" i="7"/>
  <c r="I84" i="9"/>
  <c r="J84" i="7"/>
  <c r="R192" i="14"/>
  <c r="O192" i="15"/>
  <c r="O156" i="2"/>
  <c r="O155" i="2" s="1"/>
  <c r="R157" i="2"/>
  <c r="R156" i="2" s="1"/>
  <c r="R155" i="2" s="1"/>
  <c r="O157" i="5"/>
  <c r="M63" i="9"/>
  <c r="M62" i="9" s="1"/>
  <c r="I552" i="10"/>
  <c r="J552" i="9"/>
  <c r="I237" i="10"/>
  <c r="J237" i="9"/>
  <c r="R470" i="13"/>
  <c r="O470" i="14"/>
  <c r="J454" i="9"/>
  <c r="I454" i="10"/>
  <c r="I492" i="9"/>
  <c r="J492" i="7"/>
  <c r="M56" i="5"/>
  <c r="M53" i="5" s="1"/>
  <c r="M52" i="5" s="1"/>
  <c r="G56" i="5"/>
  <c r="N56" i="5" s="1"/>
  <c r="I331" i="9"/>
  <c r="J331" i="7"/>
  <c r="I181" i="10"/>
  <c r="J181" i="9"/>
  <c r="I96" i="10"/>
  <c r="J96" i="9"/>
  <c r="I327" i="9"/>
  <c r="J327" i="7"/>
  <c r="O332" i="14"/>
  <c r="R332" i="13"/>
  <c r="R97" i="9"/>
  <c r="O97" i="10"/>
  <c r="I386" i="9"/>
  <c r="J386" i="7"/>
  <c r="M30" i="15"/>
  <c r="M27" i="15" s="1"/>
  <c r="M591" i="15" s="1"/>
  <c r="I116" i="10"/>
  <c r="J116" i="9"/>
  <c r="I242" i="10"/>
  <c r="J242" i="9"/>
  <c r="R118" i="10"/>
  <c r="O118" i="13"/>
  <c r="R118" i="13" s="1"/>
  <c r="I48" i="9"/>
  <c r="J48" i="7"/>
  <c r="I520" i="9"/>
  <c r="J520" i="7"/>
  <c r="I68" i="13"/>
  <c r="J68" i="10"/>
  <c r="I582" i="10"/>
  <c r="J582" i="9"/>
  <c r="R590" i="10"/>
  <c r="O590" i="13"/>
  <c r="I309" i="9"/>
  <c r="J309" i="7"/>
  <c r="I400" i="10"/>
  <c r="J400" i="9"/>
  <c r="O158" i="14"/>
  <c r="R158" i="13"/>
  <c r="P484" i="20"/>
  <c r="R477" i="16"/>
  <c r="O194" i="15"/>
  <c r="R194" i="14"/>
  <c r="O243" i="13"/>
  <c r="R243" i="10"/>
  <c r="R125" i="10"/>
  <c r="O125" i="13"/>
  <c r="D658" i="16"/>
  <c r="J656" i="15"/>
  <c r="O88" i="9"/>
  <c r="R88" i="7"/>
  <c r="R334" i="15"/>
  <c r="O334" i="16"/>
  <c r="I387" i="9"/>
  <c r="J387" i="7"/>
  <c r="I279" i="10"/>
  <c r="J279" i="9"/>
  <c r="I230" i="10"/>
  <c r="J230" i="9"/>
  <c r="I411" i="9"/>
  <c r="J411" i="7"/>
  <c r="I179" i="10"/>
  <c r="J179" i="9"/>
  <c r="R246" i="7"/>
  <c r="R240" i="7" s="1"/>
  <c r="O246" i="9"/>
  <c r="R438" i="9"/>
  <c r="O438" i="10"/>
  <c r="R359" i="10"/>
  <c r="O359" i="13"/>
  <c r="I199" i="10"/>
  <c r="J199" i="9"/>
  <c r="I208" i="10"/>
  <c r="J208" i="9"/>
  <c r="R119" i="13"/>
  <c r="O119" i="14"/>
  <c r="I523" i="10"/>
  <c r="J523" i="9"/>
  <c r="I311" i="10"/>
  <c r="J311" i="9"/>
  <c r="I468" i="9"/>
  <c r="J468" i="7"/>
  <c r="R139" i="5"/>
  <c r="I47" i="9"/>
  <c r="J47" i="7"/>
  <c r="I569" i="10"/>
  <c r="J569" i="9"/>
  <c r="I461" i="9"/>
  <c r="J461" i="7"/>
  <c r="I340" i="10"/>
  <c r="J340" i="9"/>
  <c r="R212" i="9"/>
  <c r="O212" i="10"/>
  <c r="I89" i="7"/>
  <c r="J89" i="5"/>
  <c r="O504" i="15"/>
  <c r="R504" i="14"/>
  <c r="I249" i="10"/>
  <c r="J249" i="9"/>
  <c r="R44" i="9"/>
  <c r="O44" i="10"/>
  <c r="O545" i="15"/>
  <c r="R545" i="14"/>
  <c r="I147" i="10"/>
  <c r="J147" i="9"/>
  <c r="I558" i="9"/>
  <c r="J558" i="7"/>
  <c r="I315" i="10"/>
  <c r="J315" i="9"/>
  <c r="I174" i="10"/>
  <c r="J174" i="9"/>
  <c r="I418" i="9"/>
  <c r="J418" i="7"/>
  <c r="I397" i="9"/>
  <c r="J397" i="7"/>
  <c r="R112" i="5"/>
  <c r="R107" i="5" s="1"/>
  <c r="O112" i="7"/>
  <c r="O107" i="7" s="1"/>
  <c r="O83" i="5"/>
  <c r="N79" i="5"/>
  <c r="I97" i="10"/>
  <c r="J97" i="9"/>
  <c r="I376" i="10"/>
  <c r="J376" i="9"/>
  <c r="I129" i="10"/>
  <c r="J129" i="9"/>
  <c r="M120" i="10"/>
  <c r="M94" i="10" s="1"/>
  <c r="O173" i="15"/>
  <c r="R173" i="14"/>
  <c r="I574" i="10"/>
  <c r="J574" i="9"/>
  <c r="I432" i="10"/>
  <c r="J432" i="9"/>
  <c r="R511" i="14"/>
  <c r="O511" i="15"/>
  <c r="I29" i="13"/>
  <c r="J29" i="10"/>
  <c r="O165" i="2"/>
  <c r="R166" i="2"/>
  <c r="R165" i="2" s="1"/>
  <c r="O166" i="5"/>
  <c r="I226" i="10"/>
  <c r="J226" i="9"/>
  <c r="E223" i="23"/>
  <c r="E221" i="23"/>
  <c r="R219" i="23"/>
  <c r="Q219" i="23"/>
  <c r="O39" i="5"/>
  <c r="R39" i="2"/>
  <c r="O326" i="15"/>
  <c r="R326" i="14"/>
  <c r="O365" i="10"/>
  <c r="R365" i="9"/>
  <c r="I172" i="10"/>
  <c r="J172" i="9"/>
  <c r="N30" i="14"/>
  <c r="N27" i="14" s="1"/>
  <c r="O421" i="10"/>
  <c r="R421" i="9"/>
  <c r="M591" i="16"/>
  <c r="R505" i="9"/>
  <c r="O505" i="10"/>
  <c r="O31" i="7"/>
  <c r="R31" i="5"/>
  <c r="I92" i="7"/>
  <c r="J92" i="5"/>
  <c r="I472" i="9"/>
  <c r="J472" i="7"/>
  <c r="I584" i="10"/>
  <c r="J584" i="9"/>
  <c r="R34" i="15"/>
  <c r="O34" i="16"/>
  <c r="O81" i="20"/>
  <c r="O63" i="20" s="1"/>
  <c r="O260" i="10"/>
  <c r="R260" i="9"/>
  <c r="R515" i="14"/>
  <c r="O515" i="15"/>
  <c r="I95" i="10"/>
  <c r="J95" i="9"/>
  <c r="I132" i="10"/>
  <c r="J132" i="9"/>
  <c r="I206" i="10"/>
  <c r="J206" i="9"/>
  <c r="I544" i="9"/>
  <c r="J544" i="7"/>
  <c r="O293" i="13"/>
  <c r="R293" i="10"/>
  <c r="I325" i="9"/>
  <c r="J325" i="7"/>
  <c r="M63" i="5"/>
  <c r="M62" i="5" s="1"/>
  <c r="R447" i="13"/>
  <c r="O447" i="14"/>
  <c r="O211" i="14"/>
  <c r="R211" i="13"/>
  <c r="R460" i="13"/>
  <c r="O460" i="14"/>
  <c r="N30" i="9"/>
  <c r="I258" i="10"/>
  <c r="J258" i="9"/>
  <c r="R434" i="14"/>
  <c r="O434" i="15"/>
  <c r="R453" i="9"/>
  <c r="O453" i="10"/>
  <c r="I502" i="9"/>
  <c r="J502" i="7"/>
  <c r="R494" i="13"/>
  <c r="O494" i="14"/>
  <c r="I49" i="1"/>
  <c r="N49" i="1"/>
  <c r="O122" i="20"/>
  <c r="I111" i="10"/>
  <c r="J111" i="9"/>
  <c r="O459" i="9"/>
  <c r="R459" i="7"/>
  <c r="I491" i="9"/>
  <c r="J491" i="7"/>
  <c r="K152" i="6"/>
  <c r="K151" i="6"/>
  <c r="O364" i="13"/>
  <c r="R364" i="10"/>
  <c r="I123" i="10"/>
  <c r="J123" i="9"/>
  <c r="I167" i="10"/>
  <c r="J167" i="9"/>
  <c r="O357" i="10"/>
  <c r="R357" i="9"/>
  <c r="R94" i="1"/>
  <c r="I290" i="10"/>
  <c r="J290" i="9"/>
  <c r="O126" i="13"/>
  <c r="O305" i="15"/>
  <c r="R305" i="14"/>
  <c r="I403" i="9"/>
  <c r="J403" i="7"/>
  <c r="R534" i="10"/>
  <c r="O534" i="13"/>
  <c r="O255" i="2"/>
  <c r="R256" i="2"/>
  <c r="R255" i="2" s="1"/>
  <c r="O256" i="5"/>
  <c r="I436" i="10"/>
  <c r="J436" i="9"/>
  <c r="I212" i="10"/>
  <c r="J212" i="9"/>
  <c r="O520" i="5"/>
  <c r="R521" i="5"/>
  <c r="R520" i="5" s="1"/>
  <c r="R507" i="5" s="1"/>
  <c r="O521" i="7"/>
  <c r="O202" i="9"/>
  <c r="R202" i="7"/>
  <c r="R318" i="7"/>
  <c r="O318" i="9"/>
  <c r="I568" i="10"/>
  <c r="J568" i="9"/>
  <c r="I380" i="10"/>
  <c r="J380" i="9"/>
  <c r="O585" i="16"/>
  <c r="R585" i="15"/>
  <c r="R577" i="9"/>
  <c r="O577" i="10"/>
  <c r="O348" i="15"/>
  <c r="R348" i="14"/>
  <c r="O344" i="14"/>
  <c r="R344" i="13"/>
  <c r="O320" i="15"/>
  <c r="R320" i="14"/>
  <c r="I484" i="9"/>
  <c r="J484" i="7"/>
  <c r="I93" i="10"/>
  <c r="J93" i="9"/>
  <c r="O159" i="10"/>
  <c r="R159" i="9"/>
  <c r="I244" i="10"/>
  <c r="J244" i="9"/>
  <c r="I298" i="10"/>
  <c r="J298" i="9"/>
  <c r="I473" i="10"/>
  <c r="J473" i="9"/>
  <c r="O240" i="7"/>
  <c r="R339" i="2"/>
  <c r="R337" i="2" s="1"/>
  <c r="O339" i="5"/>
  <c r="O337" i="2"/>
  <c r="R216" i="1"/>
  <c r="R215" i="1" s="1"/>
  <c r="Q215" i="1"/>
  <c r="Q592" i="1" s="1"/>
  <c r="D13" i="1" s="1"/>
  <c r="T15" i="1" s="1"/>
  <c r="T18" i="1" s="1"/>
  <c r="R462" i="10"/>
  <c r="O462" i="13"/>
  <c r="R346" i="13"/>
  <c r="O346" i="14"/>
  <c r="Q218" i="10"/>
  <c r="R218" i="10" s="1"/>
  <c r="P218" i="10"/>
  <c r="J218" i="10"/>
  <c r="O463" i="15"/>
  <c r="R463" i="14"/>
  <c r="R152" i="13"/>
  <c r="O152" i="14"/>
  <c r="Q220" i="10"/>
  <c r="R220" i="10" s="1"/>
  <c r="P220" i="10"/>
  <c r="P215" i="10" s="1"/>
  <c r="P592" i="10" s="1"/>
  <c r="J220" i="10"/>
  <c r="I439" i="9"/>
  <c r="J439" i="7"/>
  <c r="I388" i="10"/>
  <c r="J388" i="9"/>
  <c r="I155" i="10"/>
  <c r="J155" i="9"/>
  <c r="I499" i="9"/>
  <c r="J499" i="7"/>
  <c r="I531" i="10"/>
  <c r="J531" i="9"/>
  <c r="O207" i="13"/>
  <c r="R207" i="10"/>
  <c r="R82" i="10"/>
  <c r="O82" i="13"/>
  <c r="R89" i="5"/>
  <c r="O89" i="7"/>
  <c r="R164" i="10"/>
  <c r="O164" i="13"/>
  <c r="I137" i="10"/>
  <c r="J137" i="9"/>
  <c r="R512" i="7"/>
  <c r="R508" i="7" s="1"/>
  <c r="O508" i="7"/>
  <c r="O512" i="9"/>
  <c r="O270" i="15"/>
  <c r="R270" i="14"/>
  <c r="O396" i="5"/>
  <c r="O395" i="2"/>
  <c r="R396" i="2"/>
  <c r="R395" i="2" s="1"/>
  <c r="I261" i="9"/>
  <c r="J261" i="7"/>
  <c r="I394" i="9"/>
  <c r="J394" i="7"/>
  <c r="R418" i="10"/>
  <c r="O418" i="13"/>
  <c r="I292" i="10"/>
  <c r="J292" i="9"/>
  <c r="I268" i="10"/>
  <c r="J268" i="9"/>
  <c r="J379" i="7"/>
  <c r="I379" i="9"/>
  <c r="E220" i="5"/>
  <c r="J216" i="5"/>
  <c r="E218" i="5"/>
  <c r="Q216" i="5"/>
  <c r="P216" i="5"/>
  <c r="R402" i="13"/>
  <c r="O402" i="14"/>
  <c r="T496" i="20"/>
  <c r="P496" i="23"/>
  <c r="T496" i="23" s="1"/>
  <c r="I243" i="10"/>
  <c r="J243" i="9"/>
  <c r="O367" i="7"/>
  <c r="R367" i="5"/>
  <c r="I34" i="10"/>
  <c r="J34" i="9"/>
  <c r="I429" i="9"/>
  <c r="J429" i="7"/>
  <c r="I193" i="10"/>
  <c r="J193" i="9"/>
  <c r="I323" i="10"/>
  <c r="J323" i="9"/>
  <c r="I537" i="10"/>
  <c r="J537" i="9"/>
  <c r="O78" i="9"/>
  <c r="P218" i="16"/>
  <c r="P215" i="16" s="1"/>
  <c r="P591" i="16" s="1"/>
  <c r="Q218" i="16"/>
  <c r="R218" i="16" s="1"/>
  <c r="J218" i="16"/>
  <c r="I121" i="10"/>
  <c r="J121" i="9"/>
  <c r="I369" i="9"/>
  <c r="J369" i="7"/>
  <c r="I471" i="9"/>
  <c r="J471" i="7"/>
  <c r="I519" i="10"/>
  <c r="J519" i="9"/>
  <c r="I87" i="7"/>
  <c r="J87" i="5"/>
  <c r="J442" i="9"/>
  <c r="I442" i="10"/>
  <c r="N95" i="10"/>
  <c r="N94" i="10" s="1"/>
  <c r="I45" i="7"/>
  <c r="J45" i="5"/>
  <c r="R437" i="9"/>
  <c r="O437" i="10"/>
  <c r="I156" i="10"/>
  <c r="J156" i="9"/>
  <c r="O482" i="5"/>
  <c r="O481" i="5" s="1"/>
  <c r="O483" i="7"/>
  <c r="R483" i="5"/>
  <c r="R482" i="5" s="1"/>
  <c r="R481" i="5" s="1"/>
  <c r="O160" i="7"/>
  <c r="R160" i="5"/>
  <c r="I211" i="10"/>
  <c r="J211" i="9"/>
  <c r="I108" i="10"/>
  <c r="J108" i="9"/>
  <c r="M591" i="14"/>
  <c r="N30" i="16"/>
  <c r="N27" i="16" s="1"/>
  <c r="O580" i="9"/>
  <c r="R580" i="7"/>
  <c r="O73" i="7"/>
  <c r="R540" i="13"/>
  <c r="O540" i="14"/>
  <c r="I536" i="9"/>
  <c r="J536" i="7"/>
  <c r="I435" i="9"/>
  <c r="J435" i="7"/>
  <c r="I81" i="13"/>
  <c r="J81" i="10"/>
  <c r="R195" i="9"/>
  <c r="O195" i="10"/>
  <c r="H185" i="26"/>
  <c r="I184" i="26"/>
  <c r="P413" i="23"/>
  <c r="T413" i="23" s="1"/>
  <c r="T413" i="20"/>
  <c r="O31" i="23"/>
  <c r="O28" i="23" s="1"/>
  <c r="O682" i="23" s="1"/>
  <c r="N81" i="20"/>
  <c r="N63" i="20" s="1"/>
  <c r="I264" i="10"/>
  <c r="J264" i="9"/>
  <c r="I159" i="10"/>
  <c r="J159" i="9"/>
  <c r="I505" i="9"/>
  <c r="J505" i="7"/>
  <c r="O169" i="10"/>
  <c r="R169" i="9"/>
  <c r="N70" i="5"/>
  <c r="I70" i="5"/>
  <c r="R268" i="16"/>
  <c r="P271" i="20"/>
  <c r="I64" i="9"/>
  <c r="J64" i="7"/>
  <c r="O403" i="14"/>
  <c r="R403" i="13"/>
  <c r="I554" i="9"/>
  <c r="J554" i="7"/>
  <c r="O183" i="13"/>
  <c r="R183" i="10"/>
  <c r="R210" i="10"/>
  <c r="O210" i="13"/>
  <c r="M27" i="9"/>
  <c r="M592" i="9" s="1"/>
  <c r="I509" i="9"/>
  <c r="J509" i="7"/>
  <c r="R514" i="13"/>
  <c r="O514" i="14"/>
  <c r="I234" i="10"/>
  <c r="J234" i="9"/>
  <c r="R224" i="7"/>
  <c r="O224" i="9"/>
  <c r="O54" i="5"/>
  <c r="R54" i="2"/>
  <c r="M43" i="1"/>
  <c r="M27" i="1" s="1"/>
  <c r="M592" i="1" s="1"/>
  <c r="R104" i="9"/>
  <c r="O104" i="10"/>
  <c r="N122" i="20"/>
  <c r="N96" i="20" s="1"/>
  <c r="O411" i="16"/>
  <c r="R411" i="15"/>
  <c r="I291" i="10"/>
  <c r="J291" i="9"/>
  <c r="M58" i="2"/>
  <c r="M53" i="2" s="1"/>
  <c r="M52" i="2" s="1"/>
  <c r="G58" i="2"/>
  <c r="K141" i="6"/>
  <c r="K142" i="6"/>
  <c r="O94" i="1"/>
  <c r="I280" i="10"/>
  <c r="J280" i="9"/>
  <c r="I322" i="10"/>
  <c r="J322" i="9"/>
  <c r="O287" i="9"/>
  <c r="R287" i="7"/>
  <c r="O369" i="10"/>
  <c r="R369" i="9"/>
  <c r="N43" i="9"/>
  <c r="I288" i="10"/>
  <c r="J288" i="9"/>
  <c r="I201" i="10"/>
  <c r="J201" i="9"/>
  <c r="I320" i="10"/>
  <c r="J320" i="9"/>
  <c r="I194" i="10"/>
  <c r="J194" i="9"/>
  <c r="I399" i="9"/>
  <c r="J399" i="7"/>
  <c r="O175" i="5"/>
  <c r="R176" i="5"/>
  <c r="R175" i="5" s="1"/>
  <c r="O176" i="7"/>
  <c r="R55" i="15"/>
  <c r="O55" i="16"/>
  <c r="R186" i="10"/>
  <c r="O186" i="13"/>
  <c r="R291" i="9"/>
  <c r="I432" i="13" l="1"/>
  <c r="J432" i="10"/>
  <c r="R287" i="9"/>
  <c r="O287" i="10"/>
  <c r="I379" i="10"/>
  <c r="J379" i="9"/>
  <c r="I155" i="13"/>
  <c r="J155" i="10"/>
  <c r="R305" i="15"/>
  <c r="O305" i="16"/>
  <c r="O364" i="14"/>
  <c r="R364" i="13"/>
  <c r="I49" i="2"/>
  <c r="J49" i="1"/>
  <c r="O31" i="9"/>
  <c r="R31" i="7"/>
  <c r="R44" i="10"/>
  <c r="O44" i="13"/>
  <c r="I340" i="13"/>
  <c r="J340" i="10"/>
  <c r="R246" i="9"/>
  <c r="O246" i="10"/>
  <c r="P337" i="20"/>
  <c r="R334" i="16"/>
  <c r="O194" i="16"/>
  <c r="R194" i="15"/>
  <c r="I96" i="13"/>
  <c r="J96" i="10"/>
  <c r="I84" i="10"/>
  <c r="J84" i="9"/>
  <c r="R200" i="13"/>
  <c r="O200" i="14"/>
  <c r="I245" i="13"/>
  <c r="J245" i="10"/>
  <c r="O46" i="14"/>
  <c r="R46" i="13"/>
  <c r="I511" i="13"/>
  <c r="J511" i="10"/>
  <c r="I170" i="13"/>
  <c r="J170" i="10"/>
  <c r="O361" i="15"/>
  <c r="R361" i="14"/>
  <c r="R328" i="2"/>
  <c r="O384" i="15"/>
  <c r="R384" i="14"/>
  <c r="I318" i="13"/>
  <c r="J318" i="10"/>
  <c r="I430" i="10"/>
  <c r="J430" i="9"/>
  <c r="I106" i="13"/>
  <c r="J106" i="10"/>
  <c r="I488" i="10"/>
  <c r="J488" i="9"/>
  <c r="D639" i="9"/>
  <c r="R615" i="9"/>
  <c r="R621" i="9" s="1"/>
  <c r="O427" i="15"/>
  <c r="R427" i="14"/>
  <c r="R448" i="15"/>
  <c r="O448" i="16"/>
  <c r="I266" i="13"/>
  <c r="J266" i="10"/>
  <c r="R376" i="13"/>
  <c r="O376" i="14"/>
  <c r="I195" i="13"/>
  <c r="J195" i="10"/>
  <c r="I367" i="13"/>
  <c r="J367" i="10"/>
  <c r="I455" i="13"/>
  <c r="J455" i="10"/>
  <c r="J583" i="10"/>
  <c r="I583" i="13"/>
  <c r="R387" i="13"/>
  <c r="O387" i="14"/>
  <c r="I550" i="10"/>
  <c r="J550" i="9"/>
  <c r="T487" i="20"/>
  <c r="P487" i="23"/>
  <c r="T487" i="23" s="1"/>
  <c r="I351" i="10"/>
  <c r="J351" i="9"/>
  <c r="I196" i="13"/>
  <c r="J196" i="10"/>
  <c r="R177" i="10"/>
  <c r="O177" i="13"/>
  <c r="I427" i="10"/>
  <c r="J427" i="9"/>
  <c r="R48" i="13"/>
  <c r="O48" i="14"/>
  <c r="I191" i="13"/>
  <c r="J191" i="10"/>
  <c r="R301" i="13"/>
  <c r="O301" i="14"/>
  <c r="R135" i="9"/>
  <c r="O135" i="10"/>
  <c r="R509" i="13"/>
  <c r="O509" i="14"/>
  <c r="I189" i="13"/>
  <c r="J189" i="10"/>
  <c r="I105" i="13"/>
  <c r="J105" i="10"/>
  <c r="I527" i="13"/>
  <c r="J527" i="10"/>
  <c r="O496" i="15"/>
  <c r="R496" i="14"/>
  <c r="I460" i="13"/>
  <c r="J460" i="10"/>
  <c r="N35" i="1"/>
  <c r="I444" i="13"/>
  <c r="J444" i="10"/>
  <c r="I363" i="10"/>
  <c r="J363" i="9"/>
  <c r="I63" i="13"/>
  <c r="J63" i="10"/>
  <c r="P306" i="20"/>
  <c r="R303" i="16"/>
  <c r="R250" i="9"/>
  <c r="O250" i="10"/>
  <c r="I556" i="13"/>
  <c r="J556" i="10"/>
  <c r="R454" i="10"/>
  <c r="O454" i="13"/>
  <c r="I423" i="10"/>
  <c r="J423" i="9"/>
  <c r="J220" i="13"/>
  <c r="Q220" i="13"/>
  <c r="R220" i="13" s="1"/>
  <c r="P220" i="13"/>
  <c r="I94" i="13"/>
  <c r="J94" i="10"/>
  <c r="I225" i="13"/>
  <c r="J225" i="10"/>
  <c r="R556" i="10"/>
  <c r="O556" i="13"/>
  <c r="R471" i="10"/>
  <c r="O471" i="13"/>
  <c r="R225" i="2"/>
  <c r="R145" i="15"/>
  <c r="O145" i="16"/>
  <c r="R107" i="7"/>
  <c r="O401" i="16"/>
  <c r="R401" i="15"/>
  <c r="I565" i="13"/>
  <c r="J565" i="10"/>
  <c r="R389" i="15"/>
  <c r="O389" i="16"/>
  <c r="R342" i="9"/>
  <c r="O342" i="10"/>
  <c r="O388" i="15"/>
  <c r="R388" i="14"/>
  <c r="I169" i="13"/>
  <c r="J169" i="10"/>
  <c r="I286" i="13"/>
  <c r="J286" i="10"/>
  <c r="I79" i="13"/>
  <c r="J79" i="10"/>
  <c r="I276" i="13"/>
  <c r="J276" i="10"/>
  <c r="O74" i="9"/>
  <c r="R74" i="7"/>
  <c r="P567" i="23"/>
  <c r="T567" i="23" s="1"/>
  <c r="T567" i="20"/>
  <c r="I515" i="13"/>
  <c r="J515" i="10"/>
  <c r="I546" i="10"/>
  <c r="J546" i="9"/>
  <c r="I465" i="10"/>
  <c r="J465" i="9"/>
  <c r="I112" i="13"/>
  <c r="J112" i="10"/>
  <c r="O459" i="10"/>
  <c r="R459" i="9"/>
  <c r="O125" i="14"/>
  <c r="R125" i="13"/>
  <c r="I429" i="10"/>
  <c r="J429" i="9"/>
  <c r="R152" i="14"/>
  <c r="O152" i="15"/>
  <c r="O515" i="16"/>
  <c r="R515" i="15"/>
  <c r="O332" i="15"/>
  <c r="R332" i="14"/>
  <c r="O339" i="7"/>
  <c r="R339" i="5"/>
  <c r="R337" i="5" s="1"/>
  <c r="O337" i="5"/>
  <c r="I403" i="10"/>
  <c r="J403" i="9"/>
  <c r="I123" i="13"/>
  <c r="J123" i="10"/>
  <c r="I258" i="13"/>
  <c r="J258" i="10"/>
  <c r="I194" i="13"/>
  <c r="J194" i="10"/>
  <c r="I234" i="13"/>
  <c r="J234" i="10"/>
  <c r="O89" i="9"/>
  <c r="R89" i="7"/>
  <c r="I484" i="10"/>
  <c r="J484" i="9"/>
  <c r="I380" i="13"/>
  <c r="J380" i="10"/>
  <c r="I212" i="13"/>
  <c r="J212" i="10"/>
  <c r="R126" i="13"/>
  <c r="O126" i="14"/>
  <c r="O494" i="15"/>
  <c r="R494" i="14"/>
  <c r="O460" i="15"/>
  <c r="R460" i="14"/>
  <c r="I544" i="10"/>
  <c r="J544" i="9"/>
  <c r="O505" i="13"/>
  <c r="R505" i="10"/>
  <c r="R326" i="15"/>
  <c r="O326" i="16"/>
  <c r="I129" i="13"/>
  <c r="J129" i="10"/>
  <c r="J418" i="9"/>
  <c r="I418" i="10"/>
  <c r="I523" i="13"/>
  <c r="J523" i="10"/>
  <c r="I582" i="13"/>
  <c r="J582" i="10"/>
  <c r="I116" i="13"/>
  <c r="J116" i="10"/>
  <c r="I391" i="10"/>
  <c r="J391" i="9"/>
  <c r="I526" i="10"/>
  <c r="J526" i="9"/>
  <c r="R543" i="15"/>
  <c r="O543" i="16"/>
  <c r="I370" i="13"/>
  <c r="J370" i="10"/>
  <c r="O587" i="10"/>
  <c r="R587" i="9"/>
  <c r="O138" i="13"/>
  <c r="R138" i="10"/>
  <c r="R144" i="13"/>
  <c r="O144" i="14"/>
  <c r="I109" i="13"/>
  <c r="J109" i="10"/>
  <c r="O455" i="15"/>
  <c r="R455" i="14"/>
  <c r="I478" i="10"/>
  <c r="J478" i="9"/>
  <c r="R199" i="13"/>
  <c r="O199" i="14"/>
  <c r="I346" i="13"/>
  <c r="J346" i="10"/>
  <c r="I342" i="13"/>
  <c r="J342" i="10"/>
  <c r="I456" i="13"/>
  <c r="J456" i="10"/>
  <c r="I524" i="10"/>
  <c r="J524" i="9"/>
  <c r="I213" i="13"/>
  <c r="J213" i="10"/>
  <c r="R188" i="15"/>
  <c r="O188" i="16"/>
  <c r="I289" i="10"/>
  <c r="J289" i="9"/>
  <c r="T43" i="20"/>
  <c r="P43" i="23"/>
  <c r="T43" i="23" s="1"/>
  <c r="I46" i="10"/>
  <c r="J46" i="9"/>
  <c r="I573" i="13"/>
  <c r="J573" i="10"/>
  <c r="I176" i="13"/>
  <c r="J176" i="10"/>
  <c r="O179" i="5"/>
  <c r="O178" i="5" s="1"/>
  <c r="R180" i="5"/>
  <c r="R179" i="5" s="1"/>
  <c r="O180" i="7"/>
  <c r="I57" i="13"/>
  <c r="J57" i="10"/>
  <c r="I273" i="10"/>
  <c r="J273" i="9"/>
  <c r="I304" i="13"/>
  <c r="J304" i="10"/>
  <c r="I117" i="13"/>
  <c r="J117" i="10"/>
  <c r="O566" i="7"/>
  <c r="O567" i="9"/>
  <c r="R567" i="7"/>
  <c r="R76" i="9"/>
  <c r="O76" i="10"/>
  <c r="I500" i="10"/>
  <c r="J500" i="9"/>
  <c r="I438" i="13"/>
  <c r="J438" i="10"/>
  <c r="I475" i="10"/>
  <c r="J475" i="9"/>
  <c r="I183" i="26"/>
  <c r="J182" i="26"/>
  <c r="I433" i="10"/>
  <c r="J433" i="9"/>
  <c r="I263" i="13"/>
  <c r="J263" i="10"/>
  <c r="I222" i="13"/>
  <c r="J222" i="10"/>
  <c r="O353" i="13"/>
  <c r="R353" i="10"/>
  <c r="I329" i="10"/>
  <c r="J329" i="9"/>
  <c r="R273" i="14"/>
  <c r="O273" i="15"/>
  <c r="O479" i="14"/>
  <c r="R479" i="13"/>
  <c r="R522" i="14"/>
  <c r="O522" i="15"/>
  <c r="R486" i="14"/>
  <c r="O486" i="15"/>
  <c r="I300" i="13"/>
  <c r="J300" i="10"/>
  <c r="R185" i="14"/>
  <c r="O185" i="15"/>
  <c r="I283" i="13"/>
  <c r="J283" i="10"/>
  <c r="R33" i="2"/>
  <c r="O33" i="5"/>
  <c r="I228" i="13"/>
  <c r="J228" i="10"/>
  <c r="O225" i="2"/>
  <c r="I449" i="10"/>
  <c r="J449" i="9"/>
  <c r="I341" i="10"/>
  <c r="J341" i="9"/>
  <c r="I420" i="13"/>
  <c r="J420" i="10"/>
  <c r="O524" i="15"/>
  <c r="R524" i="14"/>
  <c r="I458" i="13"/>
  <c r="J458" i="10"/>
  <c r="O394" i="14"/>
  <c r="R394" i="13"/>
  <c r="O279" i="10"/>
  <c r="R279" i="9"/>
  <c r="R115" i="9"/>
  <c r="O115" i="10"/>
  <c r="I396" i="13"/>
  <c r="J396" i="10"/>
  <c r="I267" i="13"/>
  <c r="J267" i="10"/>
  <c r="O292" i="14"/>
  <c r="O291" i="13"/>
  <c r="R292" i="13"/>
  <c r="I197" i="13"/>
  <c r="J197" i="10"/>
  <c r="O207" i="14"/>
  <c r="R207" i="13"/>
  <c r="I47" i="10"/>
  <c r="J47" i="9"/>
  <c r="O156" i="5"/>
  <c r="R157" i="5"/>
  <c r="R156" i="5" s="1"/>
  <c r="O157" i="7"/>
  <c r="I165" i="13"/>
  <c r="J165" i="10"/>
  <c r="I498" i="10"/>
  <c r="J498" i="9"/>
  <c r="R562" i="15"/>
  <c r="O562" i="16"/>
  <c r="O70" i="5"/>
  <c r="N63" i="5"/>
  <c r="N62" i="5" s="1"/>
  <c r="I121" i="13"/>
  <c r="J121" i="10"/>
  <c r="R577" i="10"/>
  <c r="O577" i="13"/>
  <c r="I167" i="13"/>
  <c r="J167" i="10"/>
  <c r="I111" i="13"/>
  <c r="J111" i="10"/>
  <c r="I574" i="13"/>
  <c r="J574" i="10"/>
  <c r="I399" i="10"/>
  <c r="J399" i="9"/>
  <c r="I34" i="13"/>
  <c r="J34" i="10"/>
  <c r="R164" i="13"/>
  <c r="O164" i="14"/>
  <c r="R367" i="7"/>
  <c r="O367" i="9"/>
  <c r="O403" i="15"/>
  <c r="R403" i="14"/>
  <c r="I159" i="13"/>
  <c r="J159" i="10"/>
  <c r="I537" i="13"/>
  <c r="J537" i="10"/>
  <c r="O437" i="13"/>
  <c r="R437" i="10"/>
  <c r="I243" i="13"/>
  <c r="J243" i="10"/>
  <c r="R82" i="13"/>
  <c r="O82" i="14"/>
  <c r="P35" i="20"/>
  <c r="R34" i="16"/>
  <c r="R119" i="14"/>
  <c r="O119" i="15"/>
  <c r="I144" i="13"/>
  <c r="J144" i="10"/>
  <c r="I576" i="13"/>
  <c r="J576" i="10"/>
  <c r="R110" i="13"/>
  <c r="O110" i="14"/>
  <c r="R300" i="15"/>
  <c r="O300" i="16"/>
  <c r="I579" i="13"/>
  <c r="J579" i="10"/>
  <c r="I358" i="13"/>
  <c r="J358" i="10"/>
  <c r="I163" i="13"/>
  <c r="J163" i="10"/>
  <c r="I345" i="10"/>
  <c r="J345" i="9"/>
  <c r="I530" i="10"/>
  <c r="J530" i="9"/>
  <c r="R213" i="9"/>
  <c r="O213" i="10"/>
  <c r="I375" i="10"/>
  <c r="J375" i="9"/>
  <c r="I405" i="10"/>
  <c r="J405" i="9"/>
  <c r="I535" i="13"/>
  <c r="J535" i="10"/>
  <c r="R432" i="9"/>
  <c r="O432" i="10"/>
  <c r="I321" i="10"/>
  <c r="J321" i="9"/>
  <c r="I154" i="13"/>
  <c r="J154" i="10"/>
  <c r="I217" i="14"/>
  <c r="J217" i="13"/>
  <c r="I184" i="13"/>
  <c r="J184" i="10"/>
  <c r="R306" i="15"/>
  <c r="O306" i="16"/>
  <c r="I371" i="10"/>
  <c r="J371" i="9"/>
  <c r="I91" i="13"/>
  <c r="J91" i="10"/>
  <c r="I355" i="10"/>
  <c r="J355" i="9"/>
  <c r="R153" i="9"/>
  <c r="O153" i="10"/>
  <c r="I296" i="13"/>
  <c r="J296" i="10"/>
  <c r="I463" i="13"/>
  <c r="J463" i="10"/>
  <c r="I51" i="5"/>
  <c r="J51" i="2"/>
  <c r="I231" i="13"/>
  <c r="J231" i="10"/>
  <c r="I86" i="13"/>
  <c r="J86" i="10"/>
  <c r="I178" i="13"/>
  <c r="J178" i="10"/>
  <c r="R566" i="5"/>
  <c r="I148" i="13"/>
  <c r="J148" i="10"/>
  <c r="O576" i="10"/>
  <c r="R576" i="9"/>
  <c r="R283" i="13"/>
  <c r="O283" i="14"/>
  <c r="R298" i="15"/>
  <c r="O298" i="16"/>
  <c r="I90" i="9"/>
  <c r="J90" i="7"/>
  <c r="I120" i="13"/>
  <c r="J120" i="10"/>
  <c r="I36" i="5"/>
  <c r="J36" i="2"/>
  <c r="I171" i="13"/>
  <c r="J171" i="10"/>
  <c r="I241" i="13"/>
  <c r="J241" i="10"/>
  <c r="R436" i="13"/>
  <c r="O436" i="14"/>
  <c r="I453" i="10"/>
  <c r="J453" i="9"/>
  <c r="O309" i="13"/>
  <c r="R309" i="10"/>
  <c r="I175" i="13"/>
  <c r="J175" i="10"/>
  <c r="I104" i="13"/>
  <c r="J104" i="10"/>
  <c r="O171" i="13"/>
  <c r="O170" i="10"/>
  <c r="R171" i="10"/>
  <c r="R170" i="10" s="1"/>
  <c r="R91" i="14"/>
  <c r="O91" i="15"/>
  <c r="I588" i="13"/>
  <c r="J588" i="10"/>
  <c r="R285" i="15"/>
  <c r="O285" i="16"/>
  <c r="R526" i="14"/>
  <c r="O526" i="15"/>
  <c r="O68" i="16"/>
  <c r="R68" i="15"/>
  <c r="I503" i="10"/>
  <c r="J503" i="9"/>
  <c r="I119" i="13"/>
  <c r="J119" i="10"/>
  <c r="I434" i="13"/>
  <c r="J434" i="10"/>
  <c r="R547" i="14"/>
  <c r="O547" i="15"/>
  <c r="I482" i="10"/>
  <c r="J482" i="9"/>
  <c r="I259" i="13"/>
  <c r="J259" i="10"/>
  <c r="O333" i="10"/>
  <c r="R333" i="9"/>
  <c r="I378" i="13"/>
  <c r="J378" i="10"/>
  <c r="I337" i="10"/>
  <c r="J337" i="9"/>
  <c r="I385" i="10"/>
  <c r="J385" i="9"/>
  <c r="R167" i="13"/>
  <c r="O167" i="14"/>
  <c r="I534" i="10"/>
  <c r="J534" i="9"/>
  <c r="R291" i="10"/>
  <c r="I551" i="13"/>
  <c r="J551" i="10"/>
  <c r="P444" i="20"/>
  <c r="R440" i="16"/>
  <c r="R537" i="13"/>
  <c r="O537" i="14"/>
  <c r="O519" i="16"/>
  <c r="R519" i="15"/>
  <c r="I301" i="10"/>
  <c r="J301" i="9"/>
  <c r="I457" i="10"/>
  <c r="J457" i="9"/>
  <c r="I131" i="13"/>
  <c r="J131" i="10"/>
  <c r="I354" i="13"/>
  <c r="J354" i="10"/>
  <c r="R54" i="5"/>
  <c r="O54" i="7"/>
  <c r="I531" i="13"/>
  <c r="J531" i="10"/>
  <c r="R369" i="10"/>
  <c r="O369" i="13"/>
  <c r="I499" i="10"/>
  <c r="J499" i="9"/>
  <c r="R411" i="16"/>
  <c r="P415" i="20"/>
  <c r="O514" i="15"/>
  <c r="R514" i="14"/>
  <c r="O395" i="5"/>
  <c r="R396" i="5"/>
  <c r="R395" i="5" s="1"/>
  <c r="O396" i="7"/>
  <c r="I388" i="13"/>
  <c r="J388" i="10"/>
  <c r="I29" i="14"/>
  <c r="J29" i="13"/>
  <c r="I181" i="13"/>
  <c r="J181" i="10"/>
  <c r="I237" i="13"/>
  <c r="J237" i="10"/>
  <c r="J395" i="9"/>
  <c r="I395" i="10"/>
  <c r="I415" i="13"/>
  <c r="J415" i="10"/>
  <c r="I408" i="13"/>
  <c r="J408" i="10"/>
  <c r="O588" i="9"/>
  <c r="O589" i="10"/>
  <c r="R589" i="9"/>
  <c r="R588" i="9" s="1"/>
  <c r="R232" i="10"/>
  <c r="O232" i="13"/>
  <c r="I214" i="13"/>
  <c r="J214" i="10"/>
  <c r="R104" i="10"/>
  <c r="O104" i="13"/>
  <c r="I64" i="10"/>
  <c r="J64" i="9"/>
  <c r="I264" i="13"/>
  <c r="J264" i="10"/>
  <c r="I471" i="10"/>
  <c r="J471" i="9"/>
  <c r="I323" i="13"/>
  <c r="J323" i="10"/>
  <c r="I268" i="13"/>
  <c r="J268" i="10"/>
  <c r="R346" i="14"/>
  <c r="O346" i="15"/>
  <c r="I473" i="13"/>
  <c r="J473" i="10"/>
  <c r="R320" i="15"/>
  <c r="O320" i="16"/>
  <c r="I568" i="13"/>
  <c r="J568" i="10"/>
  <c r="I436" i="13"/>
  <c r="J436" i="10"/>
  <c r="I290" i="13"/>
  <c r="J290" i="10"/>
  <c r="I206" i="13"/>
  <c r="J206" i="10"/>
  <c r="R39" i="5"/>
  <c r="O39" i="7"/>
  <c r="O511" i="16"/>
  <c r="R511" i="15"/>
  <c r="I376" i="13"/>
  <c r="J376" i="10"/>
  <c r="I174" i="13"/>
  <c r="J174" i="10"/>
  <c r="I179" i="13"/>
  <c r="J179" i="10"/>
  <c r="R88" i="9"/>
  <c r="O88" i="10"/>
  <c r="I68" i="14"/>
  <c r="J68" i="13"/>
  <c r="R338" i="9"/>
  <c r="O338" i="10"/>
  <c r="I382" i="10"/>
  <c r="J382" i="9"/>
  <c r="I236" i="13"/>
  <c r="J236" i="10"/>
  <c r="R271" i="14"/>
  <c r="O271" i="15"/>
  <c r="R408" i="15"/>
  <c r="O408" i="16"/>
  <c r="R286" i="15"/>
  <c r="O286" i="16"/>
  <c r="O252" i="14"/>
  <c r="R252" i="13"/>
  <c r="I332" i="13"/>
  <c r="J332" i="10"/>
  <c r="N592" i="10"/>
  <c r="R568" i="10"/>
  <c r="O568" i="13"/>
  <c r="O100" i="15"/>
  <c r="R100" i="14"/>
  <c r="I88" i="9"/>
  <c r="J88" i="7"/>
  <c r="I443" i="10"/>
  <c r="J443" i="9"/>
  <c r="I360" i="13"/>
  <c r="J360" i="10"/>
  <c r="I507" i="10"/>
  <c r="J507" i="9"/>
  <c r="I525" i="13"/>
  <c r="J525" i="10"/>
  <c r="I227" i="13"/>
  <c r="J227" i="10"/>
  <c r="Q218" i="14"/>
  <c r="R218" i="14" s="1"/>
  <c r="P218" i="14"/>
  <c r="P215" i="14" s="1"/>
  <c r="P591" i="14" s="1"/>
  <c r="J218" i="14"/>
  <c r="R366" i="14"/>
  <c r="O366" i="15"/>
  <c r="R531" i="14"/>
  <c r="O531" i="15"/>
  <c r="I103" i="13"/>
  <c r="J103" i="10"/>
  <c r="R299" i="7"/>
  <c r="R296" i="7" s="1"/>
  <c r="O299" i="9"/>
  <c r="O296" i="7"/>
  <c r="I361" i="10"/>
  <c r="J361" i="9"/>
  <c r="R233" i="15"/>
  <c r="O233" i="16"/>
  <c r="I76" i="9"/>
  <c r="J76" i="7"/>
  <c r="O516" i="15"/>
  <c r="R516" i="14"/>
  <c r="J426" i="9"/>
  <c r="I426" i="10"/>
  <c r="I107" i="13"/>
  <c r="J107" i="10"/>
  <c r="I580" i="13"/>
  <c r="J580" i="10"/>
  <c r="I85" i="9"/>
  <c r="J85" i="7"/>
  <c r="O341" i="13"/>
  <c r="R341" i="10"/>
  <c r="R498" i="13"/>
  <c r="O498" i="14"/>
  <c r="I359" i="10"/>
  <c r="J359" i="9"/>
  <c r="R321" i="10"/>
  <c r="O321" i="13"/>
  <c r="R267" i="13"/>
  <c r="O267" i="14"/>
  <c r="I269" i="10"/>
  <c r="J269" i="9"/>
  <c r="O198" i="15"/>
  <c r="R198" i="14"/>
  <c r="R231" i="9"/>
  <c r="O231" i="10"/>
  <c r="R410" i="10"/>
  <c r="O410" i="13"/>
  <c r="I485" i="13"/>
  <c r="J485" i="10"/>
  <c r="I238" i="13"/>
  <c r="J238" i="10"/>
  <c r="I479" i="10"/>
  <c r="J479" i="9"/>
  <c r="O191" i="13"/>
  <c r="R191" i="10"/>
  <c r="I541" i="13"/>
  <c r="J541" i="10"/>
  <c r="I440" i="13"/>
  <c r="J440" i="10"/>
  <c r="O433" i="13"/>
  <c r="R433" i="10"/>
  <c r="O546" i="16"/>
  <c r="R546" i="15"/>
  <c r="O424" i="16"/>
  <c r="R424" i="15"/>
  <c r="I441" i="10"/>
  <c r="J441" i="9"/>
  <c r="R196" i="9"/>
  <c r="O196" i="10"/>
  <c r="I564" i="13"/>
  <c r="J564" i="10"/>
  <c r="R128" i="14"/>
  <c r="O128" i="15"/>
  <c r="R569" i="10"/>
  <c r="O569" i="13"/>
  <c r="I200" i="13"/>
  <c r="J200" i="10"/>
  <c r="R101" i="15"/>
  <c r="O101" i="16"/>
  <c r="O371" i="14"/>
  <c r="R371" i="13"/>
  <c r="I393" i="10"/>
  <c r="J393" i="9"/>
  <c r="O204" i="13"/>
  <c r="R204" i="10"/>
  <c r="R111" i="14"/>
  <c r="O111" i="15"/>
  <c r="R113" i="13"/>
  <c r="O113" i="14"/>
  <c r="P315" i="20"/>
  <c r="R312" i="16"/>
  <c r="R289" i="13"/>
  <c r="O289" i="14"/>
  <c r="I389" i="10"/>
  <c r="J389" i="9"/>
  <c r="I278" i="13"/>
  <c r="J278" i="10"/>
  <c r="R197" i="14"/>
  <c r="O197" i="15"/>
  <c r="I56" i="5"/>
  <c r="J56" i="2"/>
  <c r="I70" i="7"/>
  <c r="J70" i="5"/>
  <c r="I211" i="13"/>
  <c r="J211" i="10"/>
  <c r="R582" i="14"/>
  <c r="O582" i="15"/>
  <c r="J410" i="9"/>
  <c r="I410" i="10"/>
  <c r="O64" i="10"/>
  <c r="R64" i="9"/>
  <c r="P427" i="23"/>
  <c r="T427" i="23" s="1"/>
  <c r="T427" i="20"/>
  <c r="I362" i="13"/>
  <c r="J362" i="10"/>
  <c r="I555" i="13"/>
  <c r="J555" i="10"/>
  <c r="I251" i="13"/>
  <c r="J251" i="10"/>
  <c r="Q215" i="5"/>
  <c r="Q592" i="5" s="1"/>
  <c r="D13" i="5" s="1"/>
  <c r="T15" i="5" s="1"/>
  <c r="T18" i="5" s="1"/>
  <c r="R216" i="5"/>
  <c r="R112" i="7"/>
  <c r="O112" i="9"/>
  <c r="I156" i="13"/>
  <c r="J156" i="10"/>
  <c r="I519" i="13"/>
  <c r="J519" i="10"/>
  <c r="I320" i="13"/>
  <c r="J320" i="10"/>
  <c r="I461" i="10"/>
  <c r="J461" i="9"/>
  <c r="P56" i="20"/>
  <c r="R55" i="16"/>
  <c r="I201" i="13"/>
  <c r="J201" i="10"/>
  <c r="T271" i="20"/>
  <c r="P271" i="23"/>
  <c r="T271" i="23" s="1"/>
  <c r="O255" i="5"/>
  <c r="R256" i="5"/>
  <c r="R255" i="5" s="1"/>
  <c r="O256" i="7"/>
  <c r="R211" i="14"/>
  <c r="O211" i="15"/>
  <c r="I569" i="13"/>
  <c r="J569" i="10"/>
  <c r="I100" i="13"/>
  <c r="J100" i="10"/>
  <c r="R85" i="7"/>
  <c r="O85" i="9"/>
  <c r="J406" i="9"/>
  <c r="I406" i="10"/>
  <c r="R41" i="5"/>
  <c r="O41" i="7"/>
  <c r="O123" i="16"/>
  <c r="R123" i="15"/>
  <c r="O106" i="15"/>
  <c r="R106" i="14"/>
  <c r="I470" i="10"/>
  <c r="J470" i="9"/>
  <c r="I431" i="10"/>
  <c r="J431" i="9"/>
  <c r="O319" i="7"/>
  <c r="R319" i="5"/>
  <c r="R317" i="5" s="1"/>
  <c r="O317" i="5"/>
  <c r="O554" i="7"/>
  <c r="O555" i="9"/>
  <c r="R555" i="7"/>
  <c r="R554" i="7" s="1"/>
  <c r="I538" i="10"/>
  <c r="J538" i="9"/>
  <c r="I539" i="13"/>
  <c r="J539" i="10"/>
  <c r="O234" i="13"/>
  <c r="R234" i="10"/>
  <c r="I352" i="13"/>
  <c r="J352" i="10"/>
  <c r="R397" i="10"/>
  <c r="O397" i="13"/>
  <c r="I501" i="10"/>
  <c r="J501" i="9"/>
  <c r="I401" i="10"/>
  <c r="J401" i="9"/>
  <c r="I316" i="13"/>
  <c r="J316" i="10"/>
  <c r="O465" i="13"/>
  <c r="R465" i="10"/>
  <c r="I306" i="13"/>
  <c r="J306" i="10"/>
  <c r="I349" i="10"/>
  <c r="J349" i="9"/>
  <c r="I270" i="13"/>
  <c r="J270" i="10"/>
  <c r="J414" i="9"/>
  <c r="I414" i="10"/>
  <c r="I152" i="13"/>
  <c r="J152" i="10"/>
  <c r="J508" i="9"/>
  <c r="I508" i="10"/>
  <c r="I368" i="13"/>
  <c r="J368" i="10"/>
  <c r="R583" i="10"/>
  <c r="O583" i="13"/>
  <c r="R60" i="7"/>
  <c r="O60" i="9"/>
  <c r="R472" i="13"/>
  <c r="O472" i="14"/>
  <c r="I262" i="13"/>
  <c r="J262" i="10"/>
  <c r="R240" i="9"/>
  <c r="I32" i="5"/>
  <c r="J32" i="2"/>
  <c r="I55" i="13"/>
  <c r="J55" i="10"/>
  <c r="I54" i="10"/>
  <c r="J54" i="9"/>
  <c r="J402" i="9"/>
  <c r="I402" i="10"/>
  <c r="I99" i="13"/>
  <c r="J99" i="10"/>
  <c r="I333" i="10"/>
  <c r="J333" i="9"/>
  <c r="I563" i="13"/>
  <c r="J563" i="10"/>
  <c r="Q215" i="15"/>
  <c r="Q591" i="15" s="1"/>
  <c r="D13" i="15" s="1"/>
  <c r="T15" i="15" s="1"/>
  <c r="T18" i="15" s="1"/>
  <c r="I540" i="10"/>
  <c r="J540" i="9"/>
  <c r="R51" i="2"/>
  <c r="O51" i="5"/>
  <c r="R323" i="14"/>
  <c r="O323" i="15"/>
  <c r="R518" i="13"/>
  <c r="O518" i="14"/>
  <c r="R500" i="15"/>
  <c r="O500" i="16"/>
  <c r="R565" i="10"/>
  <c r="O565" i="13"/>
  <c r="I489" i="13"/>
  <c r="J489" i="10"/>
  <c r="I277" i="10"/>
  <c r="J277" i="9"/>
  <c r="I188" i="13"/>
  <c r="J188" i="10"/>
  <c r="I138" i="13"/>
  <c r="J138" i="10"/>
  <c r="I477" i="13"/>
  <c r="J477" i="10"/>
  <c r="I483" i="10"/>
  <c r="J483" i="9"/>
  <c r="I274" i="13"/>
  <c r="J274" i="10"/>
  <c r="I173" i="13"/>
  <c r="J173" i="10"/>
  <c r="I135" i="13"/>
  <c r="J135" i="10"/>
  <c r="O553" i="9"/>
  <c r="O552" i="7"/>
  <c r="R553" i="7"/>
  <c r="R552" i="7" s="1"/>
  <c r="R561" i="15"/>
  <c r="O561" i="16"/>
  <c r="I134" i="13"/>
  <c r="J134" i="10"/>
  <c r="I481" i="13"/>
  <c r="J481" i="10"/>
  <c r="O93" i="13"/>
  <c r="R93" i="10"/>
  <c r="I553" i="13"/>
  <c r="J553" i="10"/>
  <c r="P177" i="20"/>
  <c r="R174" i="16"/>
  <c r="I384" i="13"/>
  <c r="J384" i="10"/>
  <c r="R248" i="14"/>
  <c r="O248" i="15"/>
  <c r="I215" i="13"/>
  <c r="J215" i="10"/>
  <c r="I69" i="9"/>
  <c r="J69" i="7"/>
  <c r="R550" i="13"/>
  <c r="O550" i="14"/>
  <c r="I110" i="13"/>
  <c r="J110" i="10"/>
  <c r="O56" i="2"/>
  <c r="O210" i="14"/>
  <c r="R210" i="13"/>
  <c r="O418" i="14"/>
  <c r="R418" i="13"/>
  <c r="O357" i="13"/>
  <c r="R357" i="10"/>
  <c r="R504" i="15"/>
  <c r="O504" i="16"/>
  <c r="I248" i="13"/>
  <c r="J248" i="10"/>
  <c r="R184" i="7"/>
  <c r="O184" i="9"/>
  <c r="N58" i="2"/>
  <c r="O58" i="2" s="1"/>
  <c r="I58" i="2"/>
  <c r="I442" i="13"/>
  <c r="J442" i="10"/>
  <c r="R161" i="13"/>
  <c r="O161" i="14"/>
  <c r="O482" i="7"/>
  <c r="R483" i="7"/>
  <c r="R482" i="7" s="1"/>
  <c r="O483" i="9"/>
  <c r="O186" i="14"/>
  <c r="R186" i="13"/>
  <c r="I322" i="13"/>
  <c r="J322" i="10"/>
  <c r="I81" i="14"/>
  <c r="J81" i="13"/>
  <c r="P484" i="23"/>
  <c r="T484" i="23" s="1"/>
  <c r="T484" i="20"/>
  <c r="I280" i="13"/>
  <c r="J280" i="10"/>
  <c r="I509" i="10"/>
  <c r="J509" i="9"/>
  <c r="I435" i="10"/>
  <c r="J435" i="9"/>
  <c r="I108" i="13"/>
  <c r="J108" i="10"/>
  <c r="R270" i="15"/>
  <c r="O270" i="16"/>
  <c r="I439" i="10"/>
  <c r="J439" i="9"/>
  <c r="R318" i="9"/>
  <c r="O318" i="10"/>
  <c r="I491" i="10"/>
  <c r="J491" i="9"/>
  <c r="I502" i="10"/>
  <c r="J502" i="9"/>
  <c r="I249" i="13"/>
  <c r="J249" i="10"/>
  <c r="R158" i="14"/>
  <c r="O158" i="15"/>
  <c r="I386" i="10"/>
  <c r="J386" i="9"/>
  <c r="I331" i="10"/>
  <c r="J331" i="9"/>
  <c r="I552" i="13"/>
  <c r="J552" i="10"/>
  <c r="I207" i="13"/>
  <c r="J207" i="10"/>
  <c r="O288" i="10"/>
  <c r="R288" i="9"/>
  <c r="I476" i="10"/>
  <c r="J476" i="9"/>
  <c r="O688" i="23"/>
  <c r="Q19" i="23"/>
  <c r="Q20" i="23" s="1"/>
  <c r="Q21" i="23"/>
  <c r="I45" i="9"/>
  <c r="J45" i="7"/>
  <c r="I369" i="10"/>
  <c r="J369" i="9"/>
  <c r="I193" i="13"/>
  <c r="J193" i="10"/>
  <c r="R402" i="14"/>
  <c r="O402" i="15"/>
  <c r="I292" i="13"/>
  <c r="J292" i="10"/>
  <c r="R512" i="9"/>
  <c r="R508" i="9" s="1"/>
  <c r="O512" i="10"/>
  <c r="O508" i="9"/>
  <c r="R462" i="13"/>
  <c r="O462" i="14"/>
  <c r="I298" i="13"/>
  <c r="J298" i="10"/>
  <c r="O344" i="15"/>
  <c r="R344" i="14"/>
  <c r="O453" i="13"/>
  <c r="R453" i="10"/>
  <c r="O447" i="15"/>
  <c r="R447" i="14"/>
  <c r="I132" i="13"/>
  <c r="J132" i="10"/>
  <c r="I584" i="13"/>
  <c r="J584" i="10"/>
  <c r="O421" i="13"/>
  <c r="R421" i="10"/>
  <c r="I97" i="13"/>
  <c r="J97" i="10"/>
  <c r="I315" i="13"/>
  <c r="J315" i="10"/>
  <c r="I208" i="13"/>
  <c r="J208" i="10"/>
  <c r="I411" i="10"/>
  <c r="J411" i="9"/>
  <c r="D749" i="20"/>
  <c r="J658" i="16"/>
  <c r="I520" i="10"/>
  <c r="J520" i="9"/>
  <c r="R97" i="10"/>
  <c r="O97" i="13"/>
  <c r="O56" i="5"/>
  <c r="N53" i="5"/>
  <c r="N52" i="5" s="1"/>
  <c r="N592" i="5" s="1"/>
  <c r="R345" i="10"/>
  <c r="O345" i="13"/>
  <c r="R102" i="13"/>
  <c r="O102" i="14"/>
  <c r="O38" i="2"/>
  <c r="R277" i="14"/>
  <c r="O277" i="15"/>
  <c r="I75" i="9"/>
  <c r="J75" i="7"/>
  <c r="I392" i="13"/>
  <c r="J392" i="10"/>
  <c r="I425" i="10"/>
  <c r="J425" i="9"/>
  <c r="I328" i="13"/>
  <c r="J328" i="10"/>
  <c r="I187" i="13"/>
  <c r="J187" i="10"/>
  <c r="R121" i="10"/>
  <c r="O121" i="13"/>
  <c r="R383" i="14"/>
  <c r="O383" i="15"/>
  <c r="Q220" i="14"/>
  <c r="R220" i="14" s="1"/>
  <c r="P220" i="14"/>
  <c r="J220" i="14"/>
  <c r="R573" i="14"/>
  <c r="O573" i="15"/>
  <c r="O131" i="5"/>
  <c r="R132" i="5"/>
  <c r="R131" i="5" s="1"/>
  <c r="O132" i="7"/>
  <c r="I282" i="13"/>
  <c r="J282" i="10"/>
  <c r="R81" i="14"/>
  <c r="O81" i="15"/>
  <c r="I413" i="10"/>
  <c r="J413" i="9"/>
  <c r="R162" i="9"/>
  <c r="O162" i="10"/>
  <c r="O30" i="1"/>
  <c r="R32" i="1"/>
  <c r="R30" i="1" s="1"/>
  <c r="O32" i="2"/>
  <c r="I577" i="13"/>
  <c r="J577" i="10"/>
  <c r="I312" i="13"/>
  <c r="J312" i="10"/>
  <c r="I247" i="13"/>
  <c r="J247" i="10"/>
  <c r="I74" i="9"/>
  <c r="J74" i="7"/>
  <c r="I125" i="13"/>
  <c r="J125" i="10"/>
  <c r="O240" i="9"/>
  <c r="R272" i="14"/>
  <c r="O272" i="15"/>
  <c r="I338" i="13"/>
  <c r="J338" i="10"/>
  <c r="O491" i="16"/>
  <c r="R491" i="15"/>
  <c r="P384" i="23"/>
  <c r="T384" i="23" s="1"/>
  <c r="T384" i="20"/>
  <c r="I381" i="10"/>
  <c r="J381" i="9"/>
  <c r="R208" i="7"/>
  <c r="O208" i="9"/>
  <c r="I256" i="13"/>
  <c r="J256" i="10"/>
  <c r="I302" i="13"/>
  <c r="J302" i="10"/>
  <c r="M592" i="2"/>
  <c r="I140" i="13"/>
  <c r="J140" i="10"/>
  <c r="R242" i="15"/>
  <c r="O242" i="16"/>
  <c r="R430" i="13"/>
  <c r="O430" i="14"/>
  <c r="R215" i="2"/>
  <c r="I126" i="13"/>
  <c r="J126" i="10"/>
  <c r="O95" i="7"/>
  <c r="O94" i="7" s="1"/>
  <c r="R96" i="7"/>
  <c r="R95" i="7" s="1"/>
  <c r="O96" i="9"/>
  <c r="I542" i="10"/>
  <c r="J542" i="9"/>
  <c r="I366" i="13"/>
  <c r="J366" i="10"/>
  <c r="I339" i="10"/>
  <c r="J339" i="9"/>
  <c r="I521" i="13"/>
  <c r="J521" i="10"/>
  <c r="O190" i="15"/>
  <c r="R190" i="14"/>
  <c r="I202" i="13"/>
  <c r="J202" i="10"/>
  <c r="T361" i="20"/>
  <c r="P361" i="23"/>
  <c r="T361" i="23" s="1"/>
  <c r="I209" i="13"/>
  <c r="J209" i="10"/>
  <c r="R478" i="13"/>
  <c r="O478" i="14"/>
  <c r="I203" i="13"/>
  <c r="J203" i="10"/>
  <c r="R127" i="14"/>
  <c r="O127" i="15"/>
  <c r="O69" i="7"/>
  <c r="R120" i="7"/>
  <c r="I78" i="7"/>
  <c r="J78" i="5"/>
  <c r="R506" i="13"/>
  <c r="O506" i="14"/>
  <c r="R253" i="13"/>
  <c r="O253" i="14"/>
  <c r="R452" i="13"/>
  <c r="O452" i="14"/>
  <c r="R295" i="13"/>
  <c r="O295" i="14"/>
  <c r="R75" i="9"/>
  <c r="O75" i="10"/>
  <c r="R249" i="13"/>
  <c r="O249" i="14"/>
  <c r="I288" i="13"/>
  <c r="J288" i="10"/>
  <c r="R251" i="13"/>
  <c r="O251" i="14"/>
  <c r="I336" i="13"/>
  <c r="J336" i="10"/>
  <c r="I586" i="13"/>
  <c r="J586" i="10"/>
  <c r="I158" i="13"/>
  <c r="J158" i="10"/>
  <c r="O241" i="13"/>
  <c r="O240" i="10"/>
  <c r="R241" i="10"/>
  <c r="O244" i="16"/>
  <c r="R244" i="15"/>
  <c r="R193" i="9"/>
  <c r="O193" i="10"/>
  <c r="R385" i="15"/>
  <c r="O385" i="16"/>
  <c r="I153" i="13"/>
  <c r="J153" i="10"/>
  <c r="O205" i="5"/>
  <c r="R206" i="5"/>
  <c r="R205" i="5" s="1"/>
  <c r="O206" i="7"/>
  <c r="O474" i="7"/>
  <c r="R475" i="7"/>
  <c r="R474" i="7" s="1"/>
  <c r="O475" i="9"/>
  <c r="I357" i="10"/>
  <c r="J357" i="9"/>
  <c r="R538" i="13"/>
  <c r="O538" i="14"/>
  <c r="O558" i="13"/>
  <c r="R558" i="10"/>
  <c r="I71" i="9"/>
  <c r="J71" i="7"/>
  <c r="O461" i="13"/>
  <c r="R461" i="10"/>
  <c r="I41" i="5"/>
  <c r="J41" i="2"/>
  <c r="I145" i="13"/>
  <c r="J145" i="10"/>
  <c r="O151" i="10"/>
  <c r="R151" i="9"/>
  <c r="I219" i="16"/>
  <c r="J219" i="15"/>
  <c r="I490" i="10"/>
  <c r="J490" i="9"/>
  <c r="I287" i="13"/>
  <c r="J287" i="10"/>
  <c r="I73" i="9"/>
  <c r="J73" i="7"/>
  <c r="R94" i="5"/>
  <c r="R347" i="13"/>
  <c r="O347" i="14"/>
  <c r="I124" i="10"/>
  <c r="J124" i="9"/>
  <c r="R280" i="10"/>
  <c r="O280" i="13"/>
  <c r="I239" i="13"/>
  <c r="J239" i="10"/>
  <c r="R98" i="16"/>
  <c r="P100" i="20"/>
  <c r="R390" i="9"/>
  <c r="O390" i="10"/>
  <c r="I493" i="13"/>
  <c r="J493" i="10"/>
  <c r="I114" i="13"/>
  <c r="J114" i="10"/>
  <c r="R468" i="10"/>
  <c r="O468" i="13"/>
  <c r="I299" i="13"/>
  <c r="J299" i="10"/>
  <c r="I313" i="10"/>
  <c r="J313" i="9"/>
  <c r="O254" i="13"/>
  <c r="R254" i="10"/>
  <c r="I39" i="5"/>
  <c r="J39" i="2"/>
  <c r="I43" i="13"/>
  <c r="J43" i="10"/>
  <c r="I344" i="13"/>
  <c r="J344" i="10"/>
  <c r="I308" i="13"/>
  <c r="J308" i="10"/>
  <c r="O536" i="13"/>
  <c r="R536" i="10"/>
  <c r="P238" i="20"/>
  <c r="R235" i="16"/>
  <c r="O297" i="13"/>
  <c r="R297" i="10"/>
  <c r="I182" i="13"/>
  <c r="J182" i="10"/>
  <c r="R221" i="23"/>
  <c r="R218" i="23" s="1"/>
  <c r="R682" i="23" s="1"/>
  <c r="D13" i="23" s="1"/>
  <c r="Q221" i="23"/>
  <c r="Q218" i="23" s="1"/>
  <c r="Q682" i="23" s="1"/>
  <c r="I185" i="13"/>
  <c r="J185" i="10"/>
  <c r="I419" i="10"/>
  <c r="J419" i="9"/>
  <c r="I244" i="13"/>
  <c r="J244" i="10"/>
  <c r="R348" i="15"/>
  <c r="O348" i="16"/>
  <c r="R534" i="13"/>
  <c r="O534" i="14"/>
  <c r="O434" i="16"/>
  <c r="R434" i="15"/>
  <c r="I95" i="13"/>
  <c r="J95" i="10"/>
  <c r="I472" i="10"/>
  <c r="J472" i="9"/>
  <c r="R223" i="23"/>
  <c r="Q223" i="23"/>
  <c r="O83" i="7"/>
  <c r="R83" i="5"/>
  <c r="I558" i="10"/>
  <c r="J558" i="9"/>
  <c r="I199" i="13"/>
  <c r="J199" i="10"/>
  <c r="I230" i="13"/>
  <c r="J230" i="10"/>
  <c r="I400" i="13"/>
  <c r="J400" i="10"/>
  <c r="I48" i="10"/>
  <c r="J48" i="9"/>
  <c r="I424" i="13"/>
  <c r="J424" i="10"/>
  <c r="R350" i="15"/>
  <c r="O350" i="16"/>
  <c r="R40" i="2"/>
  <c r="O40" i="5"/>
  <c r="O444" i="15"/>
  <c r="R444" i="14"/>
  <c r="I136" i="13"/>
  <c r="J136" i="10"/>
  <c r="I545" i="13"/>
  <c r="J545" i="10"/>
  <c r="R584" i="9"/>
  <c r="O584" i="10"/>
  <c r="R181" i="9"/>
  <c r="O181" i="10"/>
  <c r="O575" i="16"/>
  <c r="R575" i="15"/>
  <c r="N597" i="15"/>
  <c r="P20" i="15"/>
  <c r="P18" i="15"/>
  <c r="P19" i="15" s="1"/>
  <c r="I98" i="13"/>
  <c r="J98" i="10"/>
  <c r="I585" i="13"/>
  <c r="J585" i="10"/>
  <c r="I37" i="13"/>
  <c r="J37" i="10"/>
  <c r="I190" i="13"/>
  <c r="J190" i="10"/>
  <c r="I293" i="10"/>
  <c r="J293" i="9"/>
  <c r="R314" i="15"/>
  <c r="O314" i="16"/>
  <c r="O140" i="9"/>
  <c r="O141" i="10"/>
  <c r="R141" i="9"/>
  <c r="R140" i="9" s="1"/>
  <c r="I127" i="13"/>
  <c r="J127" i="10"/>
  <c r="I347" i="10"/>
  <c r="J347" i="9"/>
  <c r="I374" i="13"/>
  <c r="J374" i="10"/>
  <c r="P549" i="23"/>
  <c r="T549" i="23" s="1"/>
  <c r="T549" i="20"/>
  <c r="I495" i="10"/>
  <c r="J495" i="9"/>
  <c r="I115" i="13"/>
  <c r="J115" i="10"/>
  <c r="P450" i="20"/>
  <c r="R446" i="16"/>
  <c r="O29" i="10"/>
  <c r="O28" i="9"/>
  <c r="R29" i="9"/>
  <c r="R28" i="9" s="1"/>
  <c r="I446" i="13"/>
  <c r="J446" i="10"/>
  <c r="P385" i="23"/>
  <c r="T385" i="23" s="1"/>
  <c r="T385" i="20"/>
  <c r="O539" i="16"/>
  <c r="R539" i="15"/>
  <c r="I348" i="13"/>
  <c r="J348" i="10"/>
  <c r="R57" i="15"/>
  <c r="O57" i="16"/>
  <c r="I549" i="13"/>
  <c r="J549" i="10"/>
  <c r="I146" i="13"/>
  <c r="J146" i="10"/>
  <c r="R579" i="7"/>
  <c r="O579" i="9"/>
  <c r="O449" i="13"/>
  <c r="R449" i="10"/>
  <c r="I547" i="13"/>
  <c r="J547" i="10"/>
  <c r="R484" i="10"/>
  <c r="O484" i="13"/>
  <c r="R90" i="7"/>
  <c r="O90" i="9"/>
  <c r="P264" i="23"/>
  <c r="T264" i="23" s="1"/>
  <c r="T264" i="20"/>
  <c r="O307" i="9"/>
  <c r="R308" i="9"/>
  <c r="R307" i="9" s="1"/>
  <c r="O308" i="10"/>
  <c r="I421" i="10"/>
  <c r="J421" i="9"/>
  <c r="R571" i="10"/>
  <c r="O571" i="13"/>
  <c r="I494" i="10"/>
  <c r="J494" i="9"/>
  <c r="R325" i="15"/>
  <c r="O325" i="16"/>
  <c r="I168" i="13"/>
  <c r="J168" i="10"/>
  <c r="I253" i="13"/>
  <c r="J253" i="10"/>
  <c r="I272" i="13"/>
  <c r="J272" i="10"/>
  <c r="I412" i="13"/>
  <c r="J412" i="10"/>
  <c r="N94" i="16"/>
  <c r="N591" i="16" s="1"/>
  <c r="Q218" i="9"/>
  <c r="R218" i="9" s="1"/>
  <c r="P218" i="9"/>
  <c r="J218" i="9"/>
  <c r="I575" i="13"/>
  <c r="J575" i="10"/>
  <c r="O315" i="7"/>
  <c r="R316" i="7"/>
  <c r="R315" i="7" s="1"/>
  <c r="O316" i="9"/>
  <c r="O523" i="16"/>
  <c r="R523" i="15"/>
  <c r="I275" i="13"/>
  <c r="J275" i="10"/>
  <c r="O426" i="14"/>
  <c r="R426" i="13"/>
  <c r="I82" i="13"/>
  <c r="J82" i="10"/>
  <c r="R311" i="14"/>
  <c r="O311" i="15"/>
  <c r="R528" i="10"/>
  <c r="O528" i="13"/>
  <c r="R456" i="9"/>
  <c r="O456" i="10"/>
  <c r="R71" i="9"/>
  <c r="O71" i="10"/>
  <c r="I365" i="10"/>
  <c r="J365" i="9"/>
  <c r="I101" i="14"/>
  <c r="J101" i="13"/>
  <c r="I246" i="13"/>
  <c r="J246" i="10"/>
  <c r="R281" i="15"/>
  <c r="O281" i="16"/>
  <c r="P548" i="23"/>
  <c r="T548" i="23" s="1"/>
  <c r="T548" i="20"/>
  <c r="I240" i="13"/>
  <c r="J240" i="10"/>
  <c r="O490" i="15"/>
  <c r="R490" i="14"/>
  <c r="I335" i="10"/>
  <c r="J335" i="9"/>
  <c r="I533" i="13"/>
  <c r="J533" i="10"/>
  <c r="I235" i="13"/>
  <c r="J235" i="10"/>
  <c r="R160" i="7"/>
  <c r="O160" i="9"/>
  <c r="I89" i="9"/>
  <c r="J89" i="7"/>
  <c r="I271" i="13"/>
  <c r="J271" i="10"/>
  <c r="O544" i="15"/>
  <c r="R544" i="14"/>
  <c r="I303" i="13"/>
  <c r="J303" i="10"/>
  <c r="I205" i="13"/>
  <c r="J205" i="10"/>
  <c r="I151" i="13"/>
  <c r="J151" i="10"/>
  <c r="R247" i="13"/>
  <c r="O247" i="14"/>
  <c r="R375" i="7"/>
  <c r="O375" i="9"/>
  <c r="P439" i="20"/>
  <c r="R435" i="16"/>
  <c r="I33" i="5"/>
  <c r="J33" i="2"/>
  <c r="O139" i="7"/>
  <c r="I445" i="10"/>
  <c r="J445" i="9"/>
  <c r="I513" i="10"/>
  <c r="J513" i="9"/>
  <c r="J422" i="9"/>
  <c r="I422" i="10"/>
  <c r="I66" i="13"/>
  <c r="J66" i="10"/>
  <c r="I480" i="10"/>
  <c r="J480" i="9"/>
  <c r="O264" i="14"/>
  <c r="R264" i="13"/>
  <c r="I572" i="13"/>
  <c r="J572" i="10"/>
  <c r="I560" i="13"/>
  <c r="J560" i="10"/>
  <c r="R109" i="15"/>
  <c r="O109" i="16"/>
  <c r="R533" i="9"/>
  <c r="O533" i="10"/>
  <c r="I128" i="13"/>
  <c r="J128" i="10"/>
  <c r="I450" i="13"/>
  <c r="J450" i="10"/>
  <c r="O406" i="5"/>
  <c r="O407" i="7"/>
  <c r="R407" i="5"/>
  <c r="R406" i="5" s="1"/>
  <c r="R84" i="10"/>
  <c r="O84" i="13"/>
  <c r="R259" i="7"/>
  <c r="O259" i="9"/>
  <c r="O349" i="15"/>
  <c r="R349" i="14"/>
  <c r="J218" i="7"/>
  <c r="Q218" i="7"/>
  <c r="R218" i="7" s="1"/>
  <c r="P218" i="7"/>
  <c r="O229" i="14"/>
  <c r="R229" i="13"/>
  <c r="I307" i="13"/>
  <c r="J307" i="10"/>
  <c r="R392" i="10"/>
  <c r="O392" i="13"/>
  <c r="R216" i="9"/>
  <c r="I281" i="10"/>
  <c r="J281" i="9"/>
  <c r="I252" i="13"/>
  <c r="J252" i="10"/>
  <c r="O473" i="13"/>
  <c r="R473" i="10"/>
  <c r="J518" i="9"/>
  <c r="I518" i="10"/>
  <c r="D646" i="14"/>
  <c r="J645" i="13"/>
  <c r="I255" i="13"/>
  <c r="J255" i="10"/>
  <c r="R221" i="20"/>
  <c r="Q221" i="20"/>
  <c r="I571" i="13"/>
  <c r="J571" i="10"/>
  <c r="I229" i="14"/>
  <c r="J229" i="13"/>
  <c r="I297" i="10"/>
  <c r="J297" i="9"/>
  <c r="R525" i="13"/>
  <c r="O525" i="14"/>
  <c r="R50" i="1"/>
  <c r="O50" i="2"/>
  <c r="I353" i="10"/>
  <c r="J353" i="9"/>
  <c r="O147" i="14"/>
  <c r="R147" i="13"/>
  <c r="I587" i="13"/>
  <c r="J587" i="10"/>
  <c r="I437" i="10"/>
  <c r="J437" i="9"/>
  <c r="I324" i="13"/>
  <c r="J324" i="10"/>
  <c r="I142" i="15"/>
  <c r="J142" i="14"/>
  <c r="I486" i="10"/>
  <c r="J486" i="9"/>
  <c r="O466" i="15"/>
  <c r="R466" i="14"/>
  <c r="I326" i="13"/>
  <c r="J326" i="10"/>
  <c r="R116" i="9"/>
  <c r="O116" i="10"/>
  <c r="I166" i="13"/>
  <c r="J166" i="10"/>
  <c r="I506" i="10"/>
  <c r="J506" i="9"/>
  <c r="I377" i="10"/>
  <c r="J377" i="9"/>
  <c r="I517" i="10"/>
  <c r="J517" i="9"/>
  <c r="I161" i="13"/>
  <c r="J161" i="10"/>
  <c r="R467" i="14"/>
  <c r="O467" i="15"/>
  <c r="I319" i="13"/>
  <c r="J319" i="10"/>
  <c r="R202" i="9"/>
  <c r="O202" i="10"/>
  <c r="R359" i="13"/>
  <c r="O359" i="14"/>
  <c r="I492" i="10"/>
  <c r="J492" i="9"/>
  <c r="I462" i="13"/>
  <c r="J462" i="10"/>
  <c r="I285" i="10"/>
  <c r="J285" i="9"/>
  <c r="R130" i="15"/>
  <c r="O130" i="16"/>
  <c r="O431" i="15"/>
  <c r="R431" i="14"/>
  <c r="O464" i="15"/>
  <c r="R464" i="14"/>
  <c r="I254" i="13"/>
  <c r="J254" i="10"/>
  <c r="I448" i="13"/>
  <c r="J448" i="10"/>
  <c r="I343" i="10"/>
  <c r="J343" i="9"/>
  <c r="R257" i="13"/>
  <c r="O257" i="14"/>
  <c r="I570" i="13"/>
  <c r="J570" i="10"/>
  <c r="O224" i="10"/>
  <c r="R224" i="9"/>
  <c r="R183" i="13"/>
  <c r="O183" i="14"/>
  <c r="O169" i="13"/>
  <c r="R169" i="10"/>
  <c r="I185" i="26"/>
  <c r="J184" i="26"/>
  <c r="O73" i="9"/>
  <c r="R73" i="7"/>
  <c r="Q218" i="5"/>
  <c r="R218" i="5" s="1"/>
  <c r="P218" i="5"/>
  <c r="P215" i="5" s="1"/>
  <c r="P592" i="5" s="1"/>
  <c r="J218" i="5"/>
  <c r="I394" i="10"/>
  <c r="J394" i="9"/>
  <c r="I137" i="13"/>
  <c r="J137" i="10"/>
  <c r="O159" i="13"/>
  <c r="R159" i="10"/>
  <c r="O521" i="9"/>
  <c r="O520" i="7"/>
  <c r="R521" i="7"/>
  <c r="R520" i="7" s="1"/>
  <c r="R507" i="7" s="1"/>
  <c r="I325" i="10"/>
  <c r="J325" i="9"/>
  <c r="I92" i="9"/>
  <c r="J92" i="7"/>
  <c r="I172" i="13"/>
  <c r="J172" i="10"/>
  <c r="I226" i="13"/>
  <c r="J226" i="10"/>
  <c r="I147" i="13"/>
  <c r="J147" i="10"/>
  <c r="O212" i="13"/>
  <c r="R212" i="10"/>
  <c r="I468" i="10"/>
  <c r="J468" i="9"/>
  <c r="I279" i="13"/>
  <c r="J279" i="10"/>
  <c r="I309" i="10"/>
  <c r="J309" i="9"/>
  <c r="I454" i="13"/>
  <c r="J454" i="10"/>
  <c r="O192" i="16"/>
  <c r="R192" i="15"/>
  <c r="O99" i="10"/>
  <c r="R99" i="9"/>
  <c r="O442" i="10"/>
  <c r="R442" i="9"/>
  <c r="R302" i="9"/>
  <c r="O302" i="10"/>
  <c r="I529" i="13"/>
  <c r="J529" i="10"/>
  <c r="I356" i="13"/>
  <c r="J356" i="10"/>
  <c r="P67" i="20"/>
  <c r="R66" i="16"/>
  <c r="I232" i="13"/>
  <c r="J232" i="10"/>
  <c r="I102" i="13"/>
  <c r="J102" i="10"/>
  <c r="I532" i="10"/>
  <c r="J532" i="9"/>
  <c r="I40" i="5"/>
  <c r="J40" i="2"/>
  <c r="Q215" i="16"/>
  <c r="Q591" i="16" s="1"/>
  <c r="D13" i="16" s="1"/>
  <c r="T15" i="16" s="1"/>
  <c r="T18" i="16" s="1"/>
  <c r="I224" i="13"/>
  <c r="J224" i="10"/>
  <c r="R510" i="14"/>
  <c r="O510" i="15"/>
  <c r="O148" i="7"/>
  <c r="O149" i="9"/>
  <c r="R149" i="7"/>
  <c r="R148" i="7" s="1"/>
  <c r="R139" i="7" s="1"/>
  <c r="R551" i="10"/>
  <c r="O551" i="13"/>
  <c r="R114" i="13"/>
  <c r="O114" i="14"/>
  <c r="I390" i="10"/>
  <c r="J390" i="9"/>
  <c r="O340" i="15"/>
  <c r="R340" i="14"/>
  <c r="R355" i="10"/>
  <c r="O355" i="13"/>
  <c r="R532" i="14"/>
  <c r="O532" i="15"/>
  <c r="R67" i="10"/>
  <c r="O67" i="13"/>
  <c r="I548" i="10"/>
  <c r="J548" i="9"/>
  <c r="P313" i="20"/>
  <c r="R310" i="16"/>
  <c r="N27" i="2"/>
  <c r="I65" i="13"/>
  <c r="J65" i="10"/>
  <c r="P500" i="20"/>
  <c r="R493" i="16"/>
  <c r="I186" i="13"/>
  <c r="J186" i="10"/>
  <c r="O445" i="13"/>
  <c r="R445" i="10"/>
  <c r="R501" i="16"/>
  <c r="P508" i="20"/>
  <c r="R616" i="10"/>
  <c r="R621" i="10" s="1"/>
  <c r="D641" i="10"/>
  <c r="I497" i="10"/>
  <c r="J497" i="9"/>
  <c r="I350" i="13"/>
  <c r="J350" i="10"/>
  <c r="I504" i="10"/>
  <c r="J504" i="9"/>
  <c r="P185" i="20"/>
  <c r="R182" i="16"/>
  <c r="I364" i="13"/>
  <c r="J364" i="10"/>
  <c r="I589" i="13"/>
  <c r="J589" i="10"/>
  <c r="I204" i="13"/>
  <c r="J204" i="10"/>
  <c r="I183" i="13"/>
  <c r="J183" i="10"/>
  <c r="N596" i="13"/>
  <c r="P18" i="13"/>
  <c r="P19" i="13" s="1"/>
  <c r="P20" i="13"/>
  <c r="R136" i="7"/>
  <c r="O136" i="9"/>
  <c r="O476" i="13"/>
  <c r="R476" i="10"/>
  <c r="I578" i="13"/>
  <c r="J578" i="10"/>
  <c r="O439" i="10"/>
  <c r="R439" i="9"/>
  <c r="I314" i="13"/>
  <c r="J314" i="10"/>
  <c r="R352" i="15"/>
  <c r="O352" i="16"/>
  <c r="Q220" i="7"/>
  <c r="R220" i="7" s="1"/>
  <c r="P220" i="7"/>
  <c r="P215" i="7" s="1"/>
  <c r="P592" i="7" s="1"/>
  <c r="J220" i="7"/>
  <c r="I459" i="14"/>
  <c r="J459" i="13"/>
  <c r="O495" i="16"/>
  <c r="R495" i="15"/>
  <c r="Q215" i="13"/>
  <c r="Q592" i="13" s="1"/>
  <c r="D13" i="13" s="1"/>
  <c r="T15" i="13" s="1"/>
  <c r="T18" i="13" s="1"/>
  <c r="I162" i="13"/>
  <c r="J162" i="10"/>
  <c r="Q218" i="20"/>
  <c r="Q682" i="20" s="1"/>
  <c r="T520" i="20"/>
  <c r="P520" i="23"/>
  <c r="T520" i="23" s="1"/>
  <c r="O327" i="16"/>
  <c r="R327" i="15"/>
  <c r="I52" i="13"/>
  <c r="J52" i="10"/>
  <c r="I50" i="2"/>
  <c r="J50" i="1"/>
  <c r="I133" i="13"/>
  <c r="J133" i="10"/>
  <c r="R290" i="15"/>
  <c r="O290" i="16"/>
  <c r="I177" i="13"/>
  <c r="J177" i="10"/>
  <c r="R122" i="7"/>
  <c r="O122" i="9"/>
  <c r="I512" i="10"/>
  <c r="J512" i="9"/>
  <c r="R503" i="13"/>
  <c r="O503" i="14"/>
  <c r="O222" i="5"/>
  <c r="R223" i="5"/>
  <c r="R222" i="5" s="1"/>
  <c r="O223" i="7"/>
  <c r="I295" i="13"/>
  <c r="J295" i="10"/>
  <c r="R399" i="14"/>
  <c r="O399" i="15"/>
  <c r="R414" i="10"/>
  <c r="O414" i="13"/>
  <c r="R176" i="7"/>
  <c r="R175" i="7" s="1"/>
  <c r="O175" i="7"/>
  <c r="O176" i="9"/>
  <c r="I536" i="10"/>
  <c r="J536" i="9"/>
  <c r="O507" i="7"/>
  <c r="I398" i="10"/>
  <c r="J398" i="9"/>
  <c r="I581" i="13"/>
  <c r="J581" i="10"/>
  <c r="O79" i="5"/>
  <c r="R80" i="5"/>
  <c r="R79" i="5" s="1"/>
  <c r="O80" i="7"/>
  <c r="I417" i="10"/>
  <c r="J417" i="9"/>
  <c r="O540" i="15"/>
  <c r="R540" i="14"/>
  <c r="R438" i="10"/>
  <c r="O438" i="13"/>
  <c r="R243" i="13"/>
  <c r="O243" i="14"/>
  <c r="I83" i="9"/>
  <c r="J83" i="7"/>
  <c r="R263" i="14"/>
  <c r="O263" i="15"/>
  <c r="I160" i="13"/>
  <c r="J160" i="10"/>
  <c r="Q215" i="10"/>
  <c r="Q592" i="10" s="1"/>
  <c r="D13" i="10" s="1"/>
  <c r="T15" i="10" s="1"/>
  <c r="T18" i="10" s="1"/>
  <c r="O328" i="2"/>
  <c r="I452" i="13"/>
  <c r="J452" i="10"/>
  <c r="I44" i="13"/>
  <c r="J44" i="10"/>
  <c r="I510" i="10"/>
  <c r="J510" i="9"/>
  <c r="R237" i="15"/>
  <c r="O237" i="16"/>
  <c r="R124" i="10"/>
  <c r="O124" i="13"/>
  <c r="R275" i="13"/>
  <c r="O275" i="14"/>
  <c r="O487" i="7"/>
  <c r="R488" i="7"/>
  <c r="R487" i="7" s="1"/>
  <c r="O488" i="9"/>
  <c r="R189" i="9"/>
  <c r="O189" i="10"/>
  <c r="I67" i="13"/>
  <c r="J67" i="10"/>
  <c r="I464" i="13"/>
  <c r="J464" i="10"/>
  <c r="R146" i="14"/>
  <c r="O146" i="15"/>
  <c r="I62" i="13"/>
  <c r="J62" i="10"/>
  <c r="O187" i="13"/>
  <c r="R187" i="10"/>
  <c r="I466" i="10"/>
  <c r="J466" i="9"/>
  <c r="I130" i="13"/>
  <c r="J130" i="10"/>
  <c r="O492" i="13"/>
  <c r="R492" i="10"/>
  <c r="R203" i="14"/>
  <c r="O203" i="15"/>
  <c r="I562" i="10"/>
  <c r="J562" i="9"/>
  <c r="J118" i="13"/>
  <c r="I284" i="13"/>
  <c r="J284" i="10"/>
  <c r="I372" i="13"/>
  <c r="J372" i="10"/>
  <c r="O379" i="16"/>
  <c r="R379" i="15"/>
  <c r="I496" i="10"/>
  <c r="J496" i="9"/>
  <c r="O209" i="15"/>
  <c r="R209" i="14"/>
  <c r="I139" i="13"/>
  <c r="J139" i="10"/>
  <c r="I31" i="13"/>
  <c r="J31" i="10"/>
  <c r="I265" i="10"/>
  <c r="J265" i="9"/>
  <c r="O45" i="13"/>
  <c r="R45" i="10"/>
  <c r="I250" i="13"/>
  <c r="J250" i="10"/>
  <c r="R217" i="16"/>
  <c r="P220" i="20"/>
  <c r="I72" i="7"/>
  <c r="J72" i="5"/>
  <c r="O374" i="14"/>
  <c r="R374" i="13"/>
  <c r="O441" i="13"/>
  <c r="R441" i="10"/>
  <c r="O548" i="15"/>
  <c r="R548" i="14"/>
  <c r="O276" i="14"/>
  <c r="R276" i="13"/>
  <c r="I451" i="10"/>
  <c r="J451" i="9"/>
  <c r="I567" i="13"/>
  <c r="J567" i="10"/>
  <c r="I330" i="13"/>
  <c r="J330" i="10"/>
  <c r="O443" i="10"/>
  <c r="R443" i="9"/>
  <c r="I559" i="13"/>
  <c r="J559" i="10"/>
  <c r="I528" i="10"/>
  <c r="J528" i="9"/>
  <c r="I35" i="13"/>
  <c r="J35" i="10"/>
  <c r="I198" i="13"/>
  <c r="J198" i="10"/>
  <c r="Q218" i="13"/>
  <c r="R218" i="13" s="1"/>
  <c r="P218" i="13"/>
  <c r="P215" i="13" s="1"/>
  <c r="P592" i="13" s="1"/>
  <c r="J218" i="13"/>
  <c r="R133" i="10"/>
  <c r="O133" i="13"/>
  <c r="I543" i="13"/>
  <c r="J543" i="10"/>
  <c r="I514" i="10"/>
  <c r="J514" i="9"/>
  <c r="R572" i="9"/>
  <c r="O572" i="10"/>
  <c r="T433" i="20"/>
  <c r="P433" i="23"/>
  <c r="T433" i="23" s="1"/>
  <c r="I516" i="10"/>
  <c r="J516" i="9"/>
  <c r="R218" i="20"/>
  <c r="R682" i="20" s="1"/>
  <c r="D13" i="20" s="1"/>
  <c r="I180" i="13"/>
  <c r="J180" i="10"/>
  <c r="R230" i="16"/>
  <c r="P233" i="20"/>
  <c r="I373" i="10"/>
  <c r="J373" i="9"/>
  <c r="I233" i="13"/>
  <c r="J233" i="10"/>
  <c r="I334" i="13"/>
  <c r="J334" i="10"/>
  <c r="O682" i="20"/>
  <c r="I223" i="13"/>
  <c r="J223" i="10"/>
  <c r="I164" i="13"/>
  <c r="J164" i="10"/>
  <c r="R239" i="14"/>
  <c r="O239" i="15"/>
  <c r="R87" i="7"/>
  <c r="O87" i="9"/>
  <c r="O393" i="13"/>
  <c r="R393" i="10"/>
  <c r="R59" i="5"/>
  <c r="O59" i="7"/>
  <c r="R92" i="9"/>
  <c r="O92" i="10"/>
  <c r="I122" i="13"/>
  <c r="J122" i="10"/>
  <c r="I474" i="10"/>
  <c r="J474" i="9"/>
  <c r="R313" i="13"/>
  <c r="O313" i="14"/>
  <c r="I192" i="13"/>
  <c r="J192" i="10"/>
  <c r="I428" i="13"/>
  <c r="J428" i="10"/>
  <c r="I317" i="10"/>
  <c r="J317" i="9"/>
  <c r="R458" i="10"/>
  <c r="O458" i="13"/>
  <c r="O165" i="5"/>
  <c r="R166" i="5"/>
  <c r="R165" i="5" s="1"/>
  <c r="O166" i="7"/>
  <c r="O173" i="16"/>
  <c r="R173" i="15"/>
  <c r="O590" i="14"/>
  <c r="R590" i="13"/>
  <c r="I327" i="10"/>
  <c r="J327" i="9"/>
  <c r="I291" i="13"/>
  <c r="J291" i="10"/>
  <c r="I554" i="10"/>
  <c r="J554" i="9"/>
  <c r="I505" i="10"/>
  <c r="J505" i="9"/>
  <c r="O195" i="13"/>
  <c r="R195" i="10"/>
  <c r="R580" i="9"/>
  <c r="O580" i="10"/>
  <c r="I87" i="9"/>
  <c r="J87" i="7"/>
  <c r="O78" i="10"/>
  <c r="R78" i="9"/>
  <c r="J220" i="5"/>
  <c r="Q220" i="5"/>
  <c r="R220" i="5" s="1"/>
  <c r="P220" i="5"/>
  <c r="I261" i="10"/>
  <c r="J261" i="9"/>
  <c r="O463" i="16"/>
  <c r="R463" i="15"/>
  <c r="I93" i="13"/>
  <c r="J93" i="10"/>
  <c r="P592" i="20"/>
  <c r="R585" i="16"/>
  <c r="O507" i="5"/>
  <c r="O49" i="1"/>
  <c r="N43" i="1"/>
  <c r="N27" i="1" s="1"/>
  <c r="N592" i="1" s="1"/>
  <c r="N27" i="9"/>
  <c r="N592" i="9" s="1"/>
  <c r="O293" i="14"/>
  <c r="R293" i="13"/>
  <c r="R260" i="10"/>
  <c r="O260" i="13"/>
  <c r="R365" i="10"/>
  <c r="O365" i="13"/>
  <c r="I397" i="10"/>
  <c r="J397" i="9"/>
  <c r="R545" i="15"/>
  <c r="O545" i="16"/>
  <c r="I311" i="13"/>
  <c r="J311" i="10"/>
  <c r="I387" i="10"/>
  <c r="J387" i="9"/>
  <c r="I242" i="13"/>
  <c r="J242" i="10"/>
  <c r="O470" i="15"/>
  <c r="R470" i="14"/>
  <c r="O428" i="15"/>
  <c r="R428" i="14"/>
  <c r="I404" i="13"/>
  <c r="J404" i="10"/>
  <c r="I294" i="13"/>
  <c r="J294" i="10"/>
  <c r="O331" i="7"/>
  <c r="R331" i="5"/>
  <c r="R329" i="5" s="1"/>
  <c r="O329" i="5"/>
  <c r="I310" i="13"/>
  <c r="J310" i="10"/>
  <c r="O557" i="13"/>
  <c r="R557" i="10"/>
  <c r="I383" i="10"/>
  <c r="J383" i="9"/>
  <c r="I257" i="13"/>
  <c r="J257" i="10"/>
  <c r="I61" i="13"/>
  <c r="J61" i="10"/>
  <c r="I590" i="13"/>
  <c r="J590" i="10"/>
  <c r="I561" i="13"/>
  <c r="J561" i="10"/>
  <c r="I409" i="10"/>
  <c r="J409" i="9"/>
  <c r="I157" i="13"/>
  <c r="J157" i="10"/>
  <c r="R335" i="13"/>
  <c r="O335" i="14"/>
  <c r="R330" i="9"/>
  <c r="O330" i="10"/>
  <c r="R294" i="15"/>
  <c r="O294" i="16"/>
  <c r="I407" i="10"/>
  <c r="J407" i="9"/>
  <c r="I38" i="2"/>
  <c r="J38" i="1"/>
  <c r="I467" i="10"/>
  <c r="J467" i="9"/>
  <c r="O86" i="9"/>
  <c r="R86" i="7"/>
  <c r="R117" i="10"/>
  <c r="O117" i="13"/>
  <c r="R117" i="13" s="1"/>
  <c r="I487" i="10"/>
  <c r="J487" i="9"/>
  <c r="I53" i="13"/>
  <c r="J53" i="10"/>
  <c r="O215" i="9"/>
  <c r="O216" i="10"/>
  <c r="I42" i="9"/>
  <c r="J42" i="7"/>
  <c r="I447" i="10"/>
  <c r="J447" i="9"/>
  <c r="R103" i="9"/>
  <c r="O103" i="10"/>
  <c r="O214" i="15"/>
  <c r="R214" i="14"/>
  <c r="I305" i="10"/>
  <c r="J305" i="9"/>
  <c r="I469" i="13"/>
  <c r="J469" i="10"/>
  <c r="R502" i="13"/>
  <c r="O502" i="14"/>
  <c r="I416" i="13"/>
  <c r="J416" i="10"/>
  <c r="O35" i="1"/>
  <c r="R36" i="1"/>
  <c r="R35" i="1" s="1"/>
  <c r="O36" i="2"/>
  <c r="I260" i="13"/>
  <c r="J260" i="10"/>
  <c r="R72" i="5"/>
  <c r="O72" i="7"/>
  <c r="I80" i="13"/>
  <c r="J80" i="10"/>
  <c r="R258" i="15"/>
  <c r="O258" i="16"/>
  <c r="I210" i="13"/>
  <c r="J210" i="10"/>
  <c r="I522" i="10"/>
  <c r="J522" i="9"/>
  <c r="R216" i="7"/>
  <c r="I59" i="7"/>
  <c r="J59" i="5"/>
  <c r="Q220" i="9"/>
  <c r="R220" i="9" s="1"/>
  <c r="P220" i="9"/>
  <c r="P215" i="9" s="1"/>
  <c r="P592" i="9" s="1"/>
  <c r="J220" i="9"/>
  <c r="T389" i="20"/>
  <c r="P389" i="23"/>
  <c r="T389" i="23" s="1"/>
  <c r="R223" i="20"/>
  <c r="Q223" i="20"/>
  <c r="O226" i="5"/>
  <c r="O225" i="5" s="1"/>
  <c r="R227" i="5"/>
  <c r="R226" i="5" s="1"/>
  <c r="R225" i="5" s="1"/>
  <c r="O227" i="7"/>
  <c r="I60" i="7"/>
  <c r="J60" i="5"/>
  <c r="O363" i="14"/>
  <c r="R363" i="13"/>
  <c r="O373" i="15"/>
  <c r="R373" i="14"/>
  <c r="O108" i="10"/>
  <c r="O107" i="9"/>
  <c r="R108" i="9"/>
  <c r="I566" i="10"/>
  <c r="J566" i="9"/>
  <c r="O413" i="16"/>
  <c r="R413" i="15"/>
  <c r="O284" i="14"/>
  <c r="R284" i="13"/>
  <c r="O378" i="14"/>
  <c r="R378" i="13"/>
  <c r="R530" i="13"/>
  <c r="O530" i="14"/>
  <c r="I557" i="13"/>
  <c r="J557" i="10"/>
  <c r="P380" i="20"/>
  <c r="R377" i="16"/>
  <c r="I113" i="13"/>
  <c r="J113" i="10"/>
  <c r="R137" i="13"/>
  <c r="O137" i="14"/>
  <c r="R343" i="13"/>
  <c r="O343" i="14"/>
  <c r="N597" i="16" l="1"/>
  <c r="P18" i="16"/>
  <c r="P20" i="16"/>
  <c r="N596" i="1"/>
  <c r="P20" i="1"/>
  <c r="P21" i="1" s="1"/>
  <c r="T19" i="1" s="1"/>
  <c r="T20" i="1" s="1"/>
  <c r="T21" i="1" s="1"/>
  <c r="P18" i="1"/>
  <c r="P19" i="1" s="1"/>
  <c r="O49" i="2"/>
  <c r="R49" i="1"/>
  <c r="R43" i="1" s="1"/>
  <c r="O43" i="1"/>
  <c r="I162" i="14"/>
  <c r="J162" i="13"/>
  <c r="O302" i="13"/>
  <c r="R302" i="10"/>
  <c r="I572" i="14"/>
  <c r="J572" i="13"/>
  <c r="I315" i="14"/>
  <c r="J315" i="13"/>
  <c r="I135" i="14"/>
  <c r="J135" i="13"/>
  <c r="R111" i="15"/>
  <c r="O111" i="16"/>
  <c r="O39" i="9"/>
  <c r="R39" i="7"/>
  <c r="I367" i="14"/>
  <c r="J367" i="13"/>
  <c r="O137" i="15"/>
  <c r="R137" i="14"/>
  <c r="I528" i="13"/>
  <c r="J528" i="10"/>
  <c r="R276" i="14"/>
  <c r="O276" i="15"/>
  <c r="R203" i="15"/>
  <c r="O203" i="16"/>
  <c r="R146" i="15"/>
  <c r="O146" i="16"/>
  <c r="R540" i="15"/>
  <c r="O540" i="16"/>
  <c r="I536" i="13"/>
  <c r="J536" i="10"/>
  <c r="I133" i="14"/>
  <c r="J133" i="13"/>
  <c r="D599" i="13"/>
  <c r="E605" i="13"/>
  <c r="E606" i="13" s="1"/>
  <c r="I504" i="13"/>
  <c r="J504" i="10"/>
  <c r="I186" i="14"/>
  <c r="J186" i="13"/>
  <c r="I532" i="13"/>
  <c r="J532" i="10"/>
  <c r="I279" i="14"/>
  <c r="J279" i="13"/>
  <c r="I92" i="10"/>
  <c r="J92" i="9"/>
  <c r="R224" i="10"/>
  <c r="O224" i="13"/>
  <c r="R464" i="15"/>
  <c r="O464" i="16"/>
  <c r="O466" i="16"/>
  <c r="R466" i="15"/>
  <c r="O147" i="15"/>
  <c r="R147" i="14"/>
  <c r="I571" i="14"/>
  <c r="J571" i="13"/>
  <c r="P284" i="20"/>
  <c r="R281" i="16"/>
  <c r="R528" i="13"/>
  <c r="O528" i="14"/>
  <c r="O315" i="9"/>
  <c r="O316" i="10"/>
  <c r="R316" i="9"/>
  <c r="R315" i="9" s="1"/>
  <c r="I547" i="14"/>
  <c r="J547" i="13"/>
  <c r="I348" i="14"/>
  <c r="J348" i="13"/>
  <c r="I585" i="14"/>
  <c r="J585" i="13"/>
  <c r="I182" i="14"/>
  <c r="J182" i="13"/>
  <c r="J222" i="20"/>
  <c r="J219" i="16"/>
  <c r="R558" i="13"/>
  <c r="O558" i="14"/>
  <c r="I153" i="14"/>
  <c r="J153" i="13"/>
  <c r="O295" i="15"/>
  <c r="R295" i="14"/>
  <c r="R69" i="7"/>
  <c r="O69" i="9"/>
  <c r="I202" i="14"/>
  <c r="J202" i="13"/>
  <c r="R94" i="7"/>
  <c r="I312" i="14"/>
  <c r="J312" i="13"/>
  <c r="R121" i="13"/>
  <c r="O97" i="14"/>
  <c r="R97" i="13"/>
  <c r="R453" i="13"/>
  <c r="O453" i="14"/>
  <c r="R402" i="15"/>
  <c r="O402" i="16"/>
  <c r="I476" i="13"/>
  <c r="J476" i="10"/>
  <c r="I439" i="13"/>
  <c r="J439" i="10"/>
  <c r="O357" i="14"/>
  <c r="R357" i="13"/>
  <c r="I69" i="10"/>
  <c r="J69" i="9"/>
  <c r="O93" i="14"/>
  <c r="R93" i="13"/>
  <c r="O51" i="7"/>
  <c r="R51" i="5"/>
  <c r="O60" i="10"/>
  <c r="R60" i="9"/>
  <c r="I401" i="13"/>
  <c r="J401" i="10"/>
  <c r="I538" i="13"/>
  <c r="J538" i="10"/>
  <c r="R106" i="15"/>
  <c r="O106" i="16"/>
  <c r="I569" i="14"/>
  <c r="J569" i="13"/>
  <c r="I410" i="13"/>
  <c r="J410" i="10"/>
  <c r="P553" i="20"/>
  <c r="R546" i="16"/>
  <c r="I238" i="14"/>
  <c r="J238" i="13"/>
  <c r="I580" i="14"/>
  <c r="J580" i="13"/>
  <c r="I361" i="13"/>
  <c r="J361" i="10"/>
  <c r="I88" i="10"/>
  <c r="J88" i="9"/>
  <c r="R408" i="16"/>
  <c r="P412" i="20"/>
  <c r="I68" i="15"/>
  <c r="J68" i="14"/>
  <c r="I473" i="14"/>
  <c r="J473" i="13"/>
  <c r="I64" i="13"/>
  <c r="J64" i="10"/>
  <c r="I29" i="15"/>
  <c r="J29" i="15" s="1"/>
  <c r="J29" i="14"/>
  <c r="O369" i="14"/>
  <c r="R369" i="13"/>
  <c r="I457" i="13"/>
  <c r="J457" i="10"/>
  <c r="O170" i="13"/>
  <c r="R171" i="13"/>
  <c r="R170" i="13" s="1"/>
  <c r="O171" i="14"/>
  <c r="I241" i="14"/>
  <c r="J241" i="13"/>
  <c r="O432" i="13"/>
  <c r="R432" i="10"/>
  <c r="O155" i="5"/>
  <c r="I283" i="14"/>
  <c r="J283" i="13"/>
  <c r="R273" i="15"/>
  <c r="O273" i="16"/>
  <c r="J183" i="26"/>
  <c r="K182" i="26"/>
  <c r="R199" i="14"/>
  <c r="O199" i="15"/>
  <c r="I429" i="13"/>
  <c r="J429" i="10"/>
  <c r="I515" i="14"/>
  <c r="J515" i="13"/>
  <c r="I169" i="14"/>
  <c r="J169" i="13"/>
  <c r="P148" i="20"/>
  <c r="R145" i="16"/>
  <c r="I527" i="14"/>
  <c r="J527" i="13"/>
  <c r="J639" i="9"/>
  <c r="J649" i="9" s="1"/>
  <c r="D649" i="9"/>
  <c r="R44" i="13"/>
  <c r="O44" i="14"/>
  <c r="R158" i="15"/>
  <c r="O158" i="16"/>
  <c r="T56" i="20"/>
  <c r="P56" i="23"/>
  <c r="T56" i="23" s="1"/>
  <c r="R569" i="13"/>
  <c r="O569" i="14"/>
  <c r="I321" i="13"/>
  <c r="J321" i="10"/>
  <c r="R524" i="15"/>
  <c r="O524" i="16"/>
  <c r="I157" i="14"/>
  <c r="J157" i="13"/>
  <c r="O175" i="9"/>
  <c r="R176" i="9"/>
  <c r="R175" i="9" s="1"/>
  <c r="O176" i="10"/>
  <c r="R532" i="15"/>
  <c r="O532" i="16"/>
  <c r="I252" i="14"/>
  <c r="J252" i="13"/>
  <c r="I421" i="13"/>
  <c r="J421" i="10"/>
  <c r="I115" i="14"/>
  <c r="J115" i="13"/>
  <c r="O538" i="15"/>
  <c r="R538" i="14"/>
  <c r="P388" i="20"/>
  <c r="R385" i="16"/>
  <c r="I586" i="14"/>
  <c r="J586" i="13"/>
  <c r="O127" i="16"/>
  <c r="R127" i="15"/>
  <c r="I302" i="14"/>
  <c r="J302" i="13"/>
  <c r="I338" i="14"/>
  <c r="J338" i="13"/>
  <c r="I282" i="14"/>
  <c r="J282" i="13"/>
  <c r="I75" i="10"/>
  <c r="J75" i="9"/>
  <c r="I97" i="14"/>
  <c r="J97" i="13"/>
  <c r="P273" i="20"/>
  <c r="R270" i="16"/>
  <c r="I442" i="14"/>
  <c r="J442" i="13"/>
  <c r="I173" i="14"/>
  <c r="J173" i="13"/>
  <c r="I277" i="13"/>
  <c r="J277" i="10"/>
  <c r="R211" i="15"/>
  <c r="O211" i="16"/>
  <c r="I461" i="13"/>
  <c r="J461" i="10"/>
  <c r="I251" i="14"/>
  <c r="J251" i="13"/>
  <c r="R128" i="15"/>
  <c r="O128" i="16"/>
  <c r="R321" i="13"/>
  <c r="O321" i="14"/>
  <c r="R88" i="10"/>
  <c r="O88" i="13"/>
  <c r="R346" i="15"/>
  <c r="O346" i="16"/>
  <c r="R104" i="13"/>
  <c r="O104" i="14"/>
  <c r="I408" i="14"/>
  <c r="J408" i="13"/>
  <c r="I534" i="13"/>
  <c r="J534" i="10"/>
  <c r="I259" i="14"/>
  <c r="J259" i="13"/>
  <c r="P69" i="20"/>
  <c r="R68" i="16"/>
  <c r="I51" i="7"/>
  <c r="J51" i="5"/>
  <c r="I371" i="13"/>
  <c r="J371" i="10"/>
  <c r="I345" i="13"/>
  <c r="J345" i="10"/>
  <c r="I576" i="14"/>
  <c r="J576" i="13"/>
  <c r="R437" i="13"/>
  <c r="O437" i="14"/>
  <c r="I34" i="14"/>
  <c r="J34" i="13"/>
  <c r="J121" i="13"/>
  <c r="I396" i="14"/>
  <c r="J396" i="13"/>
  <c r="I420" i="14"/>
  <c r="J420" i="13"/>
  <c r="O185" i="16"/>
  <c r="R185" i="15"/>
  <c r="I176" i="14"/>
  <c r="J176" i="13"/>
  <c r="I213" i="14"/>
  <c r="J213" i="13"/>
  <c r="R587" i="10"/>
  <c r="O587" i="13"/>
  <c r="I582" i="14"/>
  <c r="J582" i="13"/>
  <c r="I544" i="13"/>
  <c r="J544" i="10"/>
  <c r="I484" i="13"/>
  <c r="J484" i="10"/>
  <c r="I403" i="13"/>
  <c r="J403" i="10"/>
  <c r="I63" i="14"/>
  <c r="J63" i="13"/>
  <c r="I191" i="14"/>
  <c r="J191" i="13"/>
  <c r="I195" i="14"/>
  <c r="J195" i="13"/>
  <c r="O361" i="16"/>
  <c r="R361" i="15"/>
  <c r="I84" i="13"/>
  <c r="J84" i="10"/>
  <c r="I155" i="14"/>
  <c r="J155" i="13"/>
  <c r="R503" i="14"/>
  <c r="O503" i="15"/>
  <c r="I377" i="13"/>
  <c r="J377" i="10"/>
  <c r="I272" i="14"/>
  <c r="J272" i="13"/>
  <c r="I545" i="14"/>
  <c r="J545" i="13"/>
  <c r="I48" i="13"/>
  <c r="J48" i="10"/>
  <c r="I244" i="14"/>
  <c r="J244" i="13"/>
  <c r="I43" i="14"/>
  <c r="J43" i="13"/>
  <c r="I114" i="14"/>
  <c r="J114" i="13"/>
  <c r="I124" i="13"/>
  <c r="J124" i="10"/>
  <c r="I60" i="9"/>
  <c r="J60" i="7"/>
  <c r="I59" i="9"/>
  <c r="J59" i="7"/>
  <c r="I38" i="5"/>
  <c r="J38" i="2"/>
  <c r="R428" i="15"/>
  <c r="O428" i="16"/>
  <c r="I397" i="13"/>
  <c r="J397" i="10"/>
  <c r="T592" i="20"/>
  <c r="P592" i="23"/>
  <c r="T592" i="23" s="1"/>
  <c r="R92" i="10"/>
  <c r="O92" i="13"/>
  <c r="I180" i="14"/>
  <c r="J180" i="13"/>
  <c r="R133" i="13"/>
  <c r="O133" i="14"/>
  <c r="I559" i="14"/>
  <c r="J559" i="13"/>
  <c r="I160" i="14"/>
  <c r="J160" i="13"/>
  <c r="I417" i="13"/>
  <c r="J417" i="10"/>
  <c r="I50" i="5"/>
  <c r="J50" i="2"/>
  <c r="I183" i="14"/>
  <c r="J183" i="13"/>
  <c r="I350" i="14"/>
  <c r="J350" i="13"/>
  <c r="P500" i="23"/>
  <c r="T500" i="23" s="1"/>
  <c r="T500" i="20"/>
  <c r="O148" i="9"/>
  <c r="O149" i="10"/>
  <c r="R149" i="9"/>
  <c r="R148" i="9" s="1"/>
  <c r="R139" i="9" s="1"/>
  <c r="I102" i="14"/>
  <c r="J102" i="13"/>
  <c r="R442" i="10"/>
  <c r="O442" i="13"/>
  <c r="I468" i="13"/>
  <c r="J468" i="10"/>
  <c r="I325" i="13"/>
  <c r="J325" i="10"/>
  <c r="I570" i="14"/>
  <c r="J570" i="13"/>
  <c r="O431" i="16"/>
  <c r="R431" i="15"/>
  <c r="I486" i="13"/>
  <c r="J486" i="10"/>
  <c r="I353" i="13"/>
  <c r="J353" i="10"/>
  <c r="R311" i="15"/>
  <c r="O311" i="16"/>
  <c r="O307" i="10"/>
  <c r="R308" i="10"/>
  <c r="R307" i="10" s="1"/>
  <c r="O308" i="13"/>
  <c r="R449" i="13"/>
  <c r="O449" i="14"/>
  <c r="R539" i="16"/>
  <c r="P546" i="20"/>
  <c r="O139" i="9"/>
  <c r="J98" i="13"/>
  <c r="I98" i="14"/>
  <c r="R347" i="14"/>
  <c r="O347" i="15"/>
  <c r="O151" i="13"/>
  <c r="R151" i="10"/>
  <c r="R452" i="14"/>
  <c r="O452" i="15"/>
  <c r="R190" i="15"/>
  <c r="O190" i="16"/>
  <c r="O272" i="16"/>
  <c r="R272" i="15"/>
  <c r="I577" i="14"/>
  <c r="J577" i="13"/>
  <c r="O131" i="7"/>
  <c r="O132" i="9"/>
  <c r="R132" i="7"/>
  <c r="R131" i="7" s="1"/>
  <c r="R277" i="15"/>
  <c r="O277" i="16"/>
  <c r="R344" i="15"/>
  <c r="O344" i="16"/>
  <c r="R288" i="10"/>
  <c r="O288" i="13"/>
  <c r="I249" i="14"/>
  <c r="J249" i="13"/>
  <c r="I81" i="15"/>
  <c r="J81" i="14"/>
  <c r="I58" i="5"/>
  <c r="J58" i="2"/>
  <c r="R418" i="14"/>
  <c r="O418" i="15"/>
  <c r="I215" i="14"/>
  <c r="J215" i="13"/>
  <c r="I481" i="14"/>
  <c r="J481" i="13"/>
  <c r="I54" i="13"/>
  <c r="J54" i="10"/>
  <c r="R583" i="13"/>
  <c r="O583" i="14"/>
  <c r="I270" i="14"/>
  <c r="J270" i="13"/>
  <c r="I501" i="13"/>
  <c r="J501" i="10"/>
  <c r="O555" i="10"/>
  <c r="O554" i="9"/>
  <c r="R555" i="9"/>
  <c r="R554" i="9" s="1"/>
  <c r="R123" i="16"/>
  <c r="P125" i="20"/>
  <c r="O582" i="16"/>
  <c r="R582" i="15"/>
  <c r="I278" i="14"/>
  <c r="J278" i="13"/>
  <c r="R204" i="13"/>
  <c r="O204" i="14"/>
  <c r="R433" i="13"/>
  <c r="O433" i="14"/>
  <c r="I485" i="14"/>
  <c r="J485" i="13"/>
  <c r="I107" i="14"/>
  <c r="J107" i="13"/>
  <c r="R299" i="9"/>
  <c r="R296" i="9" s="1"/>
  <c r="O299" i="10"/>
  <c r="O296" i="9"/>
  <c r="I227" i="14"/>
  <c r="J227" i="13"/>
  <c r="R100" i="15"/>
  <c r="O100" i="16"/>
  <c r="O271" i="16"/>
  <c r="R271" i="15"/>
  <c r="I206" i="14"/>
  <c r="J206" i="13"/>
  <c r="J388" i="13"/>
  <c r="I388" i="14"/>
  <c r="I301" i="13"/>
  <c r="J301" i="10"/>
  <c r="R167" i="14"/>
  <c r="O167" i="15"/>
  <c r="O526" i="16"/>
  <c r="R526" i="15"/>
  <c r="J104" i="13"/>
  <c r="I104" i="14"/>
  <c r="I171" i="14"/>
  <c r="J171" i="13"/>
  <c r="R576" i="10"/>
  <c r="O576" i="13"/>
  <c r="P309" i="20"/>
  <c r="R306" i="16"/>
  <c r="I47" i="13"/>
  <c r="J47" i="10"/>
  <c r="R115" i="10"/>
  <c r="O115" i="13"/>
  <c r="J117" i="13"/>
  <c r="R125" i="14"/>
  <c r="O125" i="15"/>
  <c r="R388" i="15"/>
  <c r="O388" i="16"/>
  <c r="J105" i="13"/>
  <c r="R48" i="14"/>
  <c r="O48" i="15"/>
  <c r="O376" i="15"/>
  <c r="R376" i="14"/>
  <c r="I488" i="13"/>
  <c r="J488" i="10"/>
  <c r="I62" i="14"/>
  <c r="J62" i="13"/>
  <c r="R267" i="14"/>
  <c r="O267" i="15"/>
  <c r="I433" i="13"/>
  <c r="J433" i="10"/>
  <c r="I346" i="14"/>
  <c r="J346" i="13"/>
  <c r="I123" i="14"/>
  <c r="J123" i="13"/>
  <c r="I80" i="14"/>
  <c r="J80" i="13"/>
  <c r="R257" i="14"/>
  <c r="O257" i="15"/>
  <c r="R130" i="16"/>
  <c r="P132" i="20"/>
  <c r="I506" i="13"/>
  <c r="J506" i="10"/>
  <c r="R50" i="2"/>
  <c r="O50" i="5"/>
  <c r="I281" i="13"/>
  <c r="J281" i="10"/>
  <c r="I128" i="14"/>
  <c r="J128" i="13"/>
  <c r="I480" i="13"/>
  <c r="J480" i="10"/>
  <c r="I33" i="7"/>
  <c r="J33" i="5"/>
  <c r="I303" i="14"/>
  <c r="J303" i="13"/>
  <c r="I533" i="14"/>
  <c r="J533" i="13"/>
  <c r="I246" i="14"/>
  <c r="J246" i="13"/>
  <c r="I253" i="14"/>
  <c r="J253" i="13"/>
  <c r="O579" i="10"/>
  <c r="R579" i="9"/>
  <c r="I495" i="13"/>
  <c r="J495" i="10"/>
  <c r="P317" i="20"/>
  <c r="R314" i="16"/>
  <c r="I136" i="14"/>
  <c r="J136" i="13"/>
  <c r="I400" i="14"/>
  <c r="J400" i="13"/>
  <c r="I472" i="13"/>
  <c r="J472" i="10"/>
  <c r="R297" i="13"/>
  <c r="O297" i="14"/>
  <c r="I39" i="7"/>
  <c r="J39" i="5"/>
  <c r="I493" i="14"/>
  <c r="J493" i="13"/>
  <c r="R193" i="10"/>
  <c r="O193" i="13"/>
  <c r="I336" i="14"/>
  <c r="J336" i="13"/>
  <c r="I126" i="14"/>
  <c r="J126" i="13"/>
  <c r="I256" i="14"/>
  <c r="J256" i="13"/>
  <c r="R32" i="2"/>
  <c r="R30" i="2" s="1"/>
  <c r="O32" i="5"/>
  <c r="O30" i="2"/>
  <c r="I520" i="13"/>
  <c r="J520" i="10"/>
  <c r="I193" i="14"/>
  <c r="J193" i="13"/>
  <c r="R58" i="2"/>
  <c r="O58" i="5"/>
  <c r="O248" i="16"/>
  <c r="R248" i="15"/>
  <c r="I274" i="14"/>
  <c r="J274" i="13"/>
  <c r="I489" i="14"/>
  <c r="J489" i="13"/>
  <c r="I540" i="13"/>
  <c r="J540" i="10"/>
  <c r="R397" i="13"/>
  <c r="O397" i="14"/>
  <c r="R41" i="7"/>
  <c r="O41" i="9"/>
  <c r="O255" i="7"/>
  <c r="R256" i="7"/>
  <c r="R255" i="7" s="1"/>
  <c r="O256" i="9"/>
  <c r="I320" i="14"/>
  <c r="J320" i="13"/>
  <c r="O410" i="14"/>
  <c r="R410" i="13"/>
  <c r="I426" i="13"/>
  <c r="J426" i="10"/>
  <c r="O568" i="14"/>
  <c r="R568" i="13"/>
  <c r="I415" i="14"/>
  <c r="J415" i="13"/>
  <c r="O396" i="9"/>
  <c r="O395" i="7"/>
  <c r="R396" i="7"/>
  <c r="R395" i="7" s="1"/>
  <c r="I531" i="14"/>
  <c r="J531" i="13"/>
  <c r="I482" i="13"/>
  <c r="J482" i="10"/>
  <c r="I463" i="14"/>
  <c r="J463" i="13"/>
  <c r="I535" i="14"/>
  <c r="J535" i="13"/>
  <c r="I163" i="14"/>
  <c r="J163" i="13"/>
  <c r="I144" i="14"/>
  <c r="J144" i="13"/>
  <c r="I537" i="14"/>
  <c r="J537" i="13"/>
  <c r="I399" i="13"/>
  <c r="J399" i="10"/>
  <c r="R70" i="5"/>
  <c r="R63" i="5" s="1"/>
  <c r="R62" i="5" s="1"/>
  <c r="O63" i="5"/>
  <c r="O62" i="5" s="1"/>
  <c r="O70" i="7"/>
  <c r="I341" i="13"/>
  <c r="J341" i="10"/>
  <c r="I329" i="13"/>
  <c r="J329" i="10"/>
  <c r="I475" i="13"/>
  <c r="J475" i="10"/>
  <c r="I573" i="14"/>
  <c r="J573" i="13"/>
  <c r="I524" i="13"/>
  <c r="J524" i="10"/>
  <c r="I478" i="13"/>
  <c r="J478" i="10"/>
  <c r="I370" i="14"/>
  <c r="J370" i="13"/>
  <c r="I523" i="14"/>
  <c r="J523" i="13"/>
  <c r="R460" i="15"/>
  <c r="O460" i="16"/>
  <c r="R89" i="9"/>
  <c r="O89" i="10"/>
  <c r="R342" i="10"/>
  <c r="O342" i="13"/>
  <c r="O471" i="14"/>
  <c r="R471" i="13"/>
  <c r="I423" i="13"/>
  <c r="J423" i="10"/>
  <c r="I363" i="13"/>
  <c r="J363" i="10"/>
  <c r="I550" i="13"/>
  <c r="J550" i="10"/>
  <c r="I170" i="14"/>
  <c r="J170" i="13"/>
  <c r="J96" i="13"/>
  <c r="I379" i="13"/>
  <c r="J379" i="10"/>
  <c r="I474" i="13"/>
  <c r="J474" i="10"/>
  <c r="I514" i="13"/>
  <c r="J514" i="10"/>
  <c r="I562" i="13"/>
  <c r="J562" i="10"/>
  <c r="O229" i="15"/>
  <c r="R229" i="14"/>
  <c r="T450" i="20"/>
  <c r="P450" i="23"/>
  <c r="T450" i="23" s="1"/>
  <c r="O83" i="9"/>
  <c r="R83" i="7"/>
  <c r="O95" i="9"/>
  <c r="R96" i="9"/>
  <c r="R95" i="9" s="1"/>
  <c r="O96" i="10"/>
  <c r="O197" i="16"/>
  <c r="R197" i="15"/>
  <c r="I503" i="13"/>
  <c r="J503" i="10"/>
  <c r="R155" i="5"/>
  <c r="R479" i="14"/>
  <c r="O479" i="15"/>
  <c r="I116" i="14"/>
  <c r="J116" i="13"/>
  <c r="I340" i="14"/>
  <c r="J340" i="13"/>
  <c r="R363" i="14"/>
  <c r="O363" i="15"/>
  <c r="R284" i="14"/>
  <c r="O284" i="15"/>
  <c r="O72" i="9"/>
  <c r="R72" i="7"/>
  <c r="I469" i="14"/>
  <c r="J469" i="13"/>
  <c r="O215" i="10"/>
  <c r="O216" i="13"/>
  <c r="R216" i="10"/>
  <c r="R215" i="10" s="1"/>
  <c r="I383" i="13"/>
  <c r="J383" i="10"/>
  <c r="J122" i="13"/>
  <c r="I543" i="14"/>
  <c r="J543" i="13"/>
  <c r="I496" i="13"/>
  <c r="J496" i="10"/>
  <c r="P417" i="20"/>
  <c r="R413" i="16"/>
  <c r="I87" i="10"/>
  <c r="J87" i="9"/>
  <c r="I317" i="13"/>
  <c r="J317" i="10"/>
  <c r="P382" i="20"/>
  <c r="R379" i="16"/>
  <c r="I464" i="14"/>
  <c r="J464" i="13"/>
  <c r="O263" i="16"/>
  <c r="R263" i="15"/>
  <c r="R439" i="10"/>
  <c r="O439" i="13"/>
  <c r="Q215" i="7"/>
  <c r="Q592" i="7" s="1"/>
  <c r="D13" i="7" s="1"/>
  <c r="T15" i="7" s="1"/>
  <c r="T18" i="7" s="1"/>
  <c r="I53" i="14"/>
  <c r="J53" i="13"/>
  <c r="I52" i="14"/>
  <c r="J52" i="13"/>
  <c r="I255" i="14"/>
  <c r="J255" i="13"/>
  <c r="R215" i="9"/>
  <c r="R349" i="15"/>
  <c r="O349" i="16"/>
  <c r="R533" i="10"/>
  <c r="O533" i="13"/>
  <c r="I419" i="13"/>
  <c r="J419" i="10"/>
  <c r="R390" i="10"/>
  <c r="O390" i="13"/>
  <c r="I145" i="14"/>
  <c r="J145" i="13"/>
  <c r="I357" i="13"/>
  <c r="J357" i="10"/>
  <c r="O251" i="15"/>
  <c r="R251" i="14"/>
  <c r="R253" i="14"/>
  <c r="O253" i="15"/>
  <c r="I203" i="14"/>
  <c r="J203" i="13"/>
  <c r="I521" i="14"/>
  <c r="J521" i="13"/>
  <c r="R208" i="9"/>
  <c r="O208" i="10"/>
  <c r="R27" i="1"/>
  <c r="R592" i="1" s="1"/>
  <c r="P22" i="1" s="1"/>
  <c r="I187" i="14"/>
  <c r="J187" i="13"/>
  <c r="O38" i="5"/>
  <c r="R38" i="2"/>
  <c r="R421" i="13"/>
  <c r="O421" i="14"/>
  <c r="I298" i="14"/>
  <c r="J298" i="13"/>
  <c r="I207" i="14"/>
  <c r="J207" i="13"/>
  <c r="J108" i="13"/>
  <c r="I322" i="14"/>
  <c r="J322" i="13"/>
  <c r="R184" i="9"/>
  <c r="O184" i="10"/>
  <c r="O210" i="15"/>
  <c r="R210" i="14"/>
  <c r="I134" i="14"/>
  <c r="J134" i="13"/>
  <c r="R565" i="13"/>
  <c r="O565" i="14"/>
  <c r="J55" i="13"/>
  <c r="I55" i="14"/>
  <c r="I349" i="13"/>
  <c r="J349" i="10"/>
  <c r="I555" i="14"/>
  <c r="J555" i="13"/>
  <c r="I389" i="13"/>
  <c r="J389" i="10"/>
  <c r="I393" i="13"/>
  <c r="J393" i="10"/>
  <c r="I564" i="14"/>
  <c r="J564" i="13"/>
  <c r="I440" i="14"/>
  <c r="J440" i="13"/>
  <c r="I359" i="13"/>
  <c r="J359" i="10"/>
  <c r="I525" i="14"/>
  <c r="J525" i="13"/>
  <c r="I179" i="14"/>
  <c r="J179" i="13"/>
  <c r="I290" i="14"/>
  <c r="J290" i="13"/>
  <c r="I268" i="14"/>
  <c r="J268" i="13"/>
  <c r="I214" i="14"/>
  <c r="J214" i="13"/>
  <c r="I395" i="13"/>
  <c r="J395" i="10"/>
  <c r="R54" i="7"/>
  <c r="O54" i="9"/>
  <c r="R519" i="16"/>
  <c r="P526" i="20"/>
  <c r="O547" i="16"/>
  <c r="R547" i="15"/>
  <c r="P288" i="20"/>
  <c r="R285" i="16"/>
  <c r="I175" i="14"/>
  <c r="J175" i="13"/>
  <c r="I36" i="7"/>
  <c r="J36" i="5"/>
  <c r="I148" i="14"/>
  <c r="J148" i="13"/>
  <c r="R119" i="15"/>
  <c r="O119" i="16"/>
  <c r="P569" i="20"/>
  <c r="R562" i="16"/>
  <c r="R207" i="14"/>
  <c r="O207" i="15"/>
  <c r="I304" i="14"/>
  <c r="J304" i="13"/>
  <c r="P550" i="20"/>
  <c r="R543" i="16"/>
  <c r="I418" i="13"/>
  <c r="J418" i="10"/>
  <c r="O339" i="9"/>
  <c r="R339" i="7"/>
  <c r="R337" i="7" s="1"/>
  <c r="O337" i="7"/>
  <c r="R459" i="10"/>
  <c r="O459" i="13"/>
  <c r="O74" i="10"/>
  <c r="R74" i="9"/>
  <c r="R454" i="13"/>
  <c r="O454" i="14"/>
  <c r="I189" i="14"/>
  <c r="J189" i="13"/>
  <c r="R387" i="14"/>
  <c r="O387" i="15"/>
  <c r="I106" i="14"/>
  <c r="J106" i="13"/>
  <c r="R31" i="9"/>
  <c r="O31" i="10"/>
  <c r="R545" i="16"/>
  <c r="P552" i="20"/>
  <c r="O209" i="16"/>
  <c r="R209" i="15"/>
  <c r="R275" i="14"/>
  <c r="O275" i="15"/>
  <c r="O67" i="14"/>
  <c r="R67" i="13"/>
  <c r="R523" i="16"/>
  <c r="P530" i="20"/>
  <c r="I424" i="14"/>
  <c r="J424" i="13"/>
  <c r="I158" i="14"/>
  <c r="J158" i="13"/>
  <c r="I402" i="13"/>
  <c r="J402" i="10"/>
  <c r="I414" i="13"/>
  <c r="J414" i="10"/>
  <c r="O64" i="13"/>
  <c r="R64" i="10"/>
  <c r="O333" i="13"/>
  <c r="R333" i="10"/>
  <c r="I530" i="13"/>
  <c r="J530" i="10"/>
  <c r="O138" i="14"/>
  <c r="R138" i="13"/>
  <c r="I351" i="13"/>
  <c r="J351" i="10"/>
  <c r="I467" i="13"/>
  <c r="J467" i="10"/>
  <c r="O458" i="14"/>
  <c r="R458" i="13"/>
  <c r="R78" i="10"/>
  <c r="O78" i="13"/>
  <c r="I291" i="14"/>
  <c r="J291" i="13"/>
  <c r="I250" i="14"/>
  <c r="J250" i="13"/>
  <c r="O124" i="14"/>
  <c r="R124" i="13"/>
  <c r="I314" i="14"/>
  <c r="J314" i="13"/>
  <c r="R202" i="10"/>
  <c r="O202" i="13"/>
  <c r="I450" i="14"/>
  <c r="J450" i="13"/>
  <c r="O140" i="10"/>
  <c r="O141" i="13"/>
  <c r="R141" i="10"/>
  <c r="R140" i="10" s="1"/>
  <c r="R215" i="7"/>
  <c r="I305" i="13"/>
  <c r="J305" i="10"/>
  <c r="I409" i="13"/>
  <c r="J409" i="10"/>
  <c r="R557" i="13"/>
  <c r="O557" i="14"/>
  <c r="R365" i="13"/>
  <c r="O365" i="14"/>
  <c r="I327" i="13"/>
  <c r="J327" i="10"/>
  <c r="I223" i="14"/>
  <c r="J223" i="13"/>
  <c r="R548" i="15"/>
  <c r="O548" i="16"/>
  <c r="R492" i="13"/>
  <c r="O492" i="14"/>
  <c r="R237" i="16"/>
  <c r="P240" i="20"/>
  <c r="O80" i="9"/>
  <c r="O79" i="7"/>
  <c r="R80" i="7"/>
  <c r="R79" i="7" s="1"/>
  <c r="O355" i="14"/>
  <c r="R355" i="13"/>
  <c r="R580" i="10"/>
  <c r="O580" i="13"/>
  <c r="O414" i="14"/>
  <c r="R414" i="13"/>
  <c r="I512" i="13"/>
  <c r="J512" i="10"/>
  <c r="I497" i="13"/>
  <c r="J497" i="10"/>
  <c r="O510" i="16"/>
  <c r="R510" i="15"/>
  <c r="I232" i="14"/>
  <c r="J232" i="13"/>
  <c r="R212" i="13"/>
  <c r="O212" i="14"/>
  <c r="O73" i="10"/>
  <c r="R73" i="9"/>
  <c r="O35" i="2"/>
  <c r="O36" i="5"/>
  <c r="R36" i="2"/>
  <c r="R35" i="2" s="1"/>
  <c r="R214" i="15"/>
  <c r="O214" i="16"/>
  <c r="I310" i="14"/>
  <c r="J310" i="13"/>
  <c r="I67" i="14"/>
  <c r="J67" i="13"/>
  <c r="R122" i="9"/>
  <c r="R120" i="9" s="1"/>
  <c r="O120" i="9"/>
  <c r="O122" i="10"/>
  <c r="I578" i="14"/>
  <c r="J578" i="13"/>
  <c r="D646" i="13"/>
  <c r="J641" i="10"/>
  <c r="J651" i="10" s="1"/>
  <c r="D651" i="10"/>
  <c r="N592" i="2"/>
  <c r="O520" i="9"/>
  <c r="O521" i="10"/>
  <c r="R521" i="9"/>
  <c r="R520" i="9" s="1"/>
  <c r="K184" i="26"/>
  <c r="J185" i="26"/>
  <c r="I319" i="14"/>
  <c r="J319" i="13"/>
  <c r="I166" i="14"/>
  <c r="J166" i="13"/>
  <c r="R525" i="14"/>
  <c r="O525" i="15"/>
  <c r="Q215" i="9"/>
  <c r="Q592" i="9" s="1"/>
  <c r="D13" i="9" s="1"/>
  <c r="T15" i="9" s="1"/>
  <c r="T18" i="9" s="1"/>
  <c r="R259" i="9"/>
  <c r="O259" i="10"/>
  <c r="I66" i="14"/>
  <c r="J66" i="13"/>
  <c r="P439" i="23"/>
  <c r="T439" i="23" s="1"/>
  <c r="T439" i="20"/>
  <c r="R544" i="15"/>
  <c r="O544" i="16"/>
  <c r="I335" i="13"/>
  <c r="J335" i="10"/>
  <c r="I101" i="15"/>
  <c r="J101" i="14"/>
  <c r="I82" i="14"/>
  <c r="J82" i="13"/>
  <c r="I575" i="14"/>
  <c r="J575" i="13"/>
  <c r="I168" i="14"/>
  <c r="J168" i="13"/>
  <c r="D600" i="15"/>
  <c r="E606" i="15"/>
  <c r="E607" i="15" s="1"/>
  <c r="R444" i="15"/>
  <c r="O444" i="16"/>
  <c r="I230" i="14"/>
  <c r="J230" i="13"/>
  <c r="I95" i="14"/>
  <c r="J95" i="13"/>
  <c r="T238" i="20"/>
  <c r="P238" i="23"/>
  <c r="T238" i="23" s="1"/>
  <c r="R254" i="13"/>
  <c r="O254" i="14"/>
  <c r="O474" i="9"/>
  <c r="O475" i="10"/>
  <c r="R475" i="9"/>
  <c r="R474" i="9" s="1"/>
  <c r="O478" i="15"/>
  <c r="R478" i="14"/>
  <c r="R430" i="14"/>
  <c r="O430" i="15"/>
  <c r="O27" i="1"/>
  <c r="O592" i="1" s="1"/>
  <c r="R573" i="15"/>
  <c r="O573" i="16"/>
  <c r="R102" i="14"/>
  <c r="O102" i="15"/>
  <c r="D757" i="23"/>
  <c r="K757" i="23" s="1"/>
  <c r="K749" i="20"/>
  <c r="R462" i="14"/>
  <c r="O462" i="15"/>
  <c r="I369" i="13"/>
  <c r="J369" i="10"/>
  <c r="I502" i="13"/>
  <c r="J502" i="10"/>
  <c r="N53" i="2"/>
  <c r="N52" i="2" s="1"/>
  <c r="P568" i="20"/>
  <c r="R561" i="16"/>
  <c r="I483" i="13"/>
  <c r="J483" i="10"/>
  <c r="J368" i="13"/>
  <c r="I368" i="14"/>
  <c r="I406" i="13"/>
  <c r="J406" i="10"/>
  <c r="I519" i="14"/>
  <c r="J519" i="13"/>
  <c r="R289" i="14"/>
  <c r="O289" i="15"/>
  <c r="O196" i="13"/>
  <c r="R196" i="10"/>
  <c r="R231" i="10"/>
  <c r="O231" i="13"/>
  <c r="R498" i="14"/>
  <c r="O498" i="15"/>
  <c r="I103" i="14"/>
  <c r="J103" i="13"/>
  <c r="N596" i="10"/>
  <c r="P20" i="10"/>
  <c r="P18" i="10"/>
  <c r="I236" i="14"/>
  <c r="J236" i="13"/>
  <c r="O232" i="14"/>
  <c r="R232" i="13"/>
  <c r="O537" i="15"/>
  <c r="R537" i="14"/>
  <c r="I385" i="13"/>
  <c r="J385" i="10"/>
  <c r="I296" i="14"/>
  <c r="J296" i="13"/>
  <c r="I184" i="14"/>
  <c r="J184" i="13"/>
  <c r="I405" i="13"/>
  <c r="J405" i="10"/>
  <c r="I358" i="14"/>
  <c r="J358" i="13"/>
  <c r="I159" i="14"/>
  <c r="J159" i="13"/>
  <c r="I574" i="14"/>
  <c r="J574" i="13"/>
  <c r="R279" i="10"/>
  <c r="O279" i="13"/>
  <c r="I449" i="13"/>
  <c r="J449" i="10"/>
  <c r="I300" i="14"/>
  <c r="J300" i="13"/>
  <c r="R353" i="13"/>
  <c r="O353" i="14"/>
  <c r="I438" i="14"/>
  <c r="J438" i="13"/>
  <c r="I46" i="13"/>
  <c r="J46" i="10"/>
  <c r="I456" i="14"/>
  <c r="J456" i="13"/>
  <c r="O455" i="16"/>
  <c r="R455" i="15"/>
  <c r="O494" i="16"/>
  <c r="R494" i="15"/>
  <c r="I234" i="14"/>
  <c r="J234" i="13"/>
  <c r="P392" i="20"/>
  <c r="R389" i="16"/>
  <c r="R556" i="13"/>
  <c r="O556" i="14"/>
  <c r="I444" i="14"/>
  <c r="J444" i="13"/>
  <c r="R509" i="14"/>
  <c r="O509" i="15"/>
  <c r="I427" i="13"/>
  <c r="J427" i="10"/>
  <c r="I266" i="14"/>
  <c r="J266" i="13"/>
  <c r="I511" i="14"/>
  <c r="J511" i="13"/>
  <c r="P197" i="20"/>
  <c r="R194" i="16"/>
  <c r="R287" i="10"/>
  <c r="O287" i="13"/>
  <c r="O359" i="15"/>
  <c r="R359" i="14"/>
  <c r="I151" i="14"/>
  <c r="J151" i="13"/>
  <c r="I412" i="14"/>
  <c r="J412" i="13"/>
  <c r="I344" i="14"/>
  <c r="J344" i="13"/>
  <c r="P498" i="20"/>
  <c r="R491" i="16"/>
  <c r="R56" i="5"/>
  <c r="O56" i="7"/>
  <c r="I292" i="14"/>
  <c r="J292" i="13"/>
  <c r="I499" i="13"/>
  <c r="J499" i="10"/>
  <c r="R283" i="14"/>
  <c r="O283" i="15"/>
  <c r="I91" i="14"/>
  <c r="J91" i="13"/>
  <c r="I243" i="14"/>
  <c r="J243" i="13"/>
  <c r="I267" i="14"/>
  <c r="J267" i="13"/>
  <c r="O567" i="10"/>
  <c r="O566" i="9"/>
  <c r="R567" i="9"/>
  <c r="R505" i="13"/>
  <c r="O505" i="14"/>
  <c r="P306" i="23"/>
  <c r="T306" i="23" s="1"/>
  <c r="T306" i="20"/>
  <c r="I404" i="14"/>
  <c r="J404" i="13"/>
  <c r="R264" i="14"/>
  <c r="O264" i="15"/>
  <c r="I235" i="14"/>
  <c r="J235" i="13"/>
  <c r="I113" i="14"/>
  <c r="J113" i="13"/>
  <c r="O226" i="7"/>
  <c r="O225" i="7" s="1"/>
  <c r="O227" i="9"/>
  <c r="R227" i="7"/>
  <c r="R226" i="7" s="1"/>
  <c r="R225" i="7" s="1"/>
  <c r="R45" i="13"/>
  <c r="O45" i="14"/>
  <c r="I260" i="14"/>
  <c r="J260" i="13"/>
  <c r="O688" i="20"/>
  <c r="Q21" i="20"/>
  <c r="Q19" i="20"/>
  <c r="Q20" i="20" s="1"/>
  <c r="R443" i="10"/>
  <c r="O443" i="13"/>
  <c r="I204" i="14"/>
  <c r="J204" i="13"/>
  <c r="I65" i="14"/>
  <c r="J65" i="13"/>
  <c r="R99" i="10"/>
  <c r="O99" i="13"/>
  <c r="T380" i="20"/>
  <c r="P380" i="23"/>
  <c r="T380" i="23" s="1"/>
  <c r="P297" i="20"/>
  <c r="R294" i="16"/>
  <c r="I516" i="13"/>
  <c r="J516" i="10"/>
  <c r="R441" i="13"/>
  <c r="O441" i="14"/>
  <c r="I265" i="13"/>
  <c r="J265" i="10"/>
  <c r="J372" i="13"/>
  <c r="I372" i="14"/>
  <c r="I130" i="14"/>
  <c r="J130" i="13"/>
  <c r="I522" i="13"/>
  <c r="J522" i="10"/>
  <c r="R103" i="10"/>
  <c r="O103" i="13"/>
  <c r="I487" i="13"/>
  <c r="J487" i="10"/>
  <c r="O328" i="5"/>
  <c r="I242" i="14"/>
  <c r="J242" i="13"/>
  <c r="P467" i="20"/>
  <c r="R463" i="16"/>
  <c r="I334" i="14"/>
  <c r="J334" i="13"/>
  <c r="I330" i="14"/>
  <c r="J330" i="13"/>
  <c r="R189" i="10"/>
  <c r="O189" i="13"/>
  <c r="I510" i="13"/>
  <c r="J510" i="10"/>
  <c r="I83" i="10"/>
  <c r="J83" i="9"/>
  <c r="O399" i="16"/>
  <c r="R399" i="15"/>
  <c r="P330" i="20"/>
  <c r="R327" i="16"/>
  <c r="I459" i="15"/>
  <c r="J459" i="14"/>
  <c r="I589" i="14"/>
  <c r="J589" i="13"/>
  <c r="R340" i="15"/>
  <c r="O340" i="16"/>
  <c r="P67" i="23"/>
  <c r="T67" i="23" s="1"/>
  <c r="T67" i="20"/>
  <c r="R192" i="16"/>
  <c r="P195" i="20"/>
  <c r="I147" i="14"/>
  <c r="J147" i="13"/>
  <c r="I343" i="13"/>
  <c r="J343" i="10"/>
  <c r="I285" i="13"/>
  <c r="J285" i="10"/>
  <c r="O467" i="16"/>
  <c r="R467" i="15"/>
  <c r="O116" i="13"/>
  <c r="R116" i="10"/>
  <c r="I324" i="14"/>
  <c r="J324" i="13"/>
  <c r="R392" i="13"/>
  <c r="O392" i="14"/>
  <c r="R109" i="16"/>
  <c r="P111" i="20"/>
  <c r="I422" i="13"/>
  <c r="J422" i="10"/>
  <c r="O375" i="10"/>
  <c r="R375" i="9"/>
  <c r="P328" i="20"/>
  <c r="R325" i="16"/>
  <c r="I146" i="14"/>
  <c r="J146" i="13"/>
  <c r="I446" i="14"/>
  <c r="J446" i="13"/>
  <c r="I293" i="13"/>
  <c r="J293" i="10"/>
  <c r="O40" i="7"/>
  <c r="R40" i="5"/>
  <c r="T100" i="20"/>
  <c r="P100" i="23"/>
  <c r="T100" i="23" s="1"/>
  <c r="I73" i="10"/>
  <c r="J73" i="9"/>
  <c r="I41" i="7"/>
  <c r="J41" i="5"/>
  <c r="P247" i="20"/>
  <c r="R244" i="16"/>
  <c r="O506" i="15"/>
  <c r="R506" i="14"/>
  <c r="I339" i="13"/>
  <c r="J339" i="10"/>
  <c r="I125" i="14"/>
  <c r="J125" i="13"/>
  <c r="R162" i="10"/>
  <c r="O162" i="13"/>
  <c r="I328" i="14"/>
  <c r="J328" i="13"/>
  <c r="I584" i="14"/>
  <c r="J584" i="13"/>
  <c r="I552" i="14"/>
  <c r="J552" i="13"/>
  <c r="I435" i="13"/>
  <c r="J435" i="10"/>
  <c r="O186" i="15"/>
  <c r="R186" i="14"/>
  <c r="R56" i="2"/>
  <c r="R53" i="2" s="1"/>
  <c r="R52" i="2" s="1"/>
  <c r="O53" i="2"/>
  <c r="O52" i="2" s="1"/>
  <c r="J384" i="13"/>
  <c r="I384" i="14"/>
  <c r="P507" i="20"/>
  <c r="R500" i="16"/>
  <c r="I563" i="14"/>
  <c r="J563" i="13"/>
  <c r="I32" i="7"/>
  <c r="J32" i="5"/>
  <c r="I306" i="14"/>
  <c r="J306" i="13"/>
  <c r="I352" i="14"/>
  <c r="J352" i="13"/>
  <c r="R319" i="7"/>
  <c r="R317" i="7" s="1"/>
  <c r="O319" i="9"/>
  <c r="O317" i="7"/>
  <c r="I362" i="14"/>
  <c r="J362" i="13"/>
  <c r="I211" i="14"/>
  <c r="J211" i="13"/>
  <c r="R371" i="14"/>
  <c r="O371" i="15"/>
  <c r="I541" i="14"/>
  <c r="J541" i="13"/>
  <c r="R516" i="15"/>
  <c r="O516" i="16"/>
  <c r="O531" i="16"/>
  <c r="R531" i="15"/>
  <c r="I507" i="13"/>
  <c r="J507" i="10"/>
  <c r="I174" i="14"/>
  <c r="J174" i="13"/>
  <c r="I436" i="14"/>
  <c r="J436" i="13"/>
  <c r="I323" i="14"/>
  <c r="J323" i="13"/>
  <c r="O53" i="5"/>
  <c r="O52" i="5" s="1"/>
  <c r="R309" i="13"/>
  <c r="O309" i="14"/>
  <c r="I120" i="14"/>
  <c r="J120" i="13"/>
  <c r="O153" i="13"/>
  <c r="R153" i="10"/>
  <c r="I197" i="14"/>
  <c r="J197" i="13"/>
  <c r="O486" i="16"/>
  <c r="R486" i="15"/>
  <c r="I273" i="13"/>
  <c r="J273" i="10"/>
  <c r="R126" i="14"/>
  <c r="O126" i="15"/>
  <c r="R332" i="15"/>
  <c r="O332" i="16"/>
  <c r="I112" i="14"/>
  <c r="J112" i="13"/>
  <c r="I276" i="14"/>
  <c r="J276" i="13"/>
  <c r="R177" i="13"/>
  <c r="O177" i="14"/>
  <c r="I583" i="14"/>
  <c r="J583" i="13"/>
  <c r="R448" i="16"/>
  <c r="P452" i="20"/>
  <c r="I430" i="13"/>
  <c r="J430" i="10"/>
  <c r="I257" i="14"/>
  <c r="J257" i="13"/>
  <c r="I554" i="13"/>
  <c r="J554" i="10"/>
  <c r="T233" i="20"/>
  <c r="P233" i="23"/>
  <c r="T233" i="23" s="1"/>
  <c r="O551" i="14"/>
  <c r="R551" i="13"/>
  <c r="I394" i="13"/>
  <c r="J394" i="10"/>
  <c r="I517" i="13"/>
  <c r="J517" i="10"/>
  <c r="R473" i="13"/>
  <c r="O473" i="14"/>
  <c r="I445" i="13"/>
  <c r="J445" i="10"/>
  <c r="I127" i="14"/>
  <c r="J127" i="13"/>
  <c r="I188" i="14"/>
  <c r="J188" i="13"/>
  <c r="I231" i="14"/>
  <c r="J231" i="13"/>
  <c r="J380" i="13"/>
  <c r="I380" i="14"/>
  <c r="I42" i="10"/>
  <c r="J42" i="9"/>
  <c r="I164" i="14"/>
  <c r="J164" i="13"/>
  <c r="I205" i="14"/>
  <c r="J205" i="13"/>
  <c r="I407" i="13"/>
  <c r="J407" i="10"/>
  <c r="O470" i="16"/>
  <c r="R470" i="15"/>
  <c r="I93" i="14"/>
  <c r="J93" i="13"/>
  <c r="R59" i="7"/>
  <c r="O59" i="9"/>
  <c r="R495" i="16"/>
  <c r="P502" i="20"/>
  <c r="I142" i="16"/>
  <c r="J142" i="15"/>
  <c r="I566" i="13"/>
  <c r="J566" i="10"/>
  <c r="I561" i="14"/>
  <c r="J561" i="13"/>
  <c r="O260" i="14"/>
  <c r="R260" i="13"/>
  <c r="O590" i="15"/>
  <c r="R590" i="14"/>
  <c r="I428" i="14"/>
  <c r="J428" i="13"/>
  <c r="I557" i="14"/>
  <c r="J557" i="13"/>
  <c r="O330" i="13"/>
  <c r="R330" i="10"/>
  <c r="I590" i="14"/>
  <c r="J590" i="13"/>
  <c r="R328" i="5"/>
  <c r="O195" i="14"/>
  <c r="R195" i="13"/>
  <c r="P176" i="20"/>
  <c r="R173" i="16"/>
  <c r="I192" i="14"/>
  <c r="J192" i="13"/>
  <c r="R393" i="13"/>
  <c r="O393" i="14"/>
  <c r="O374" i="15"/>
  <c r="R374" i="14"/>
  <c r="I31" i="14"/>
  <c r="J31" i="13"/>
  <c r="I284" i="14"/>
  <c r="J284" i="13"/>
  <c r="I466" i="13"/>
  <c r="J466" i="10"/>
  <c r="R243" i="14"/>
  <c r="O243" i="15"/>
  <c r="I581" i="14"/>
  <c r="J581" i="13"/>
  <c r="R476" i="13"/>
  <c r="O476" i="14"/>
  <c r="T508" i="20"/>
  <c r="P508" i="23"/>
  <c r="T508" i="23" s="1"/>
  <c r="I224" i="14"/>
  <c r="J224" i="13"/>
  <c r="O159" i="14"/>
  <c r="R159" i="13"/>
  <c r="D654" i="15"/>
  <c r="J646" i="14"/>
  <c r="R84" i="13"/>
  <c r="O84" i="14"/>
  <c r="I271" i="14"/>
  <c r="J271" i="13"/>
  <c r="O490" i="16"/>
  <c r="R490" i="15"/>
  <c r="I365" i="13"/>
  <c r="J365" i="10"/>
  <c r="O426" i="15"/>
  <c r="R426" i="14"/>
  <c r="R90" i="9"/>
  <c r="O90" i="10"/>
  <c r="I374" i="14"/>
  <c r="J374" i="13"/>
  <c r="P582" i="20"/>
  <c r="R575" i="16"/>
  <c r="I199" i="14"/>
  <c r="J199" i="13"/>
  <c r="P438" i="20"/>
  <c r="R434" i="16"/>
  <c r="I185" i="14"/>
  <c r="J185" i="13"/>
  <c r="R536" i="13"/>
  <c r="O536" i="14"/>
  <c r="I313" i="13"/>
  <c r="J313" i="10"/>
  <c r="I288" i="14"/>
  <c r="J288" i="13"/>
  <c r="P245" i="20"/>
  <c r="R242" i="16"/>
  <c r="I381" i="13"/>
  <c r="J381" i="10"/>
  <c r="R345" i="13"/>
  <c r="O345" i="14"/>
  <c r="I411" i="13"/>
  <c r="J411" i="10"/>
  <c r="I45" i="10"/>
  <c r="J45" i="9"/>
  <c r="I491" i="13"/>
  <c r="J491" i="10"/>
  <c r="O482" i="9"/>
  <c r="O481" i="9" s="1"/>
  <c r="R483" i="9"/>
  <c r="R482" i="9" s="1"/>
  <c r="O483" i="10"/>
  <c r="I477" i="14"/>
  <c r="J477" i="13"/>
  <c r="I508" i="13"/>
  <c r="J508" i="10"/>
  <c r="R85" i="9"/>
  <c r="O85" i="10"/>
  <c r="I156" i="14"/>
  <c r="J156" i="13"/>
  <c r="R101" i="16"/>
  <c r="P103" i="20"/>
  <c r="J332" i="13"/>
  <c r="I332" i="14"/>
  <c r="I382" i="13"/>
  <c r="J382" i="10"/>
  <c r="I237" i="14"/>
  <c r="J237" i="13"/>
  <c r="O514" i="16"/>
  <c r="R514" i="15"/>
  <c r="I337" i="13"/>
  <c r="J337" i="10"/>
  <c r="I434" i="14"/>
  <c r="J434" i="13"/>
  <c r="I588" i="14"/>
  <c r="J588" i="13"/>
  <c r="I178" i="14"/>
  <c r="J178" i="13"/>
  <c r="I217" i="15"/>
  <c r="J217" i="14"/>
  <c r="I375" i="13"/>
  <c r="J375" i="10"/>
  <c r="I579" i="14"/>
  <c r="J579" i="13"/>
  <c r="P35" i="23"/>
  <c r="T35" i="23" s="1"/>
  <c r="T35" i="20"/>
  <c r="O403" i="16"/>
  <c r="R403" i="15"/>
  <c r="J111" i="13"/>
  <c r="I111" i="14"/>
  <c r="I498" i="13"/>
  <c r="J498" i="10"/>
  <c r="R291" i="13"/>
  <c r="R394" i="14"/>
  <c r="O394" i="15"/>
  <c r="I222" i="14"/>
  <c r="J222" i="13"/>
  <c r="I500" i="13"/>
  <c r="J500" i="10"/>
  <c r="I109" i="14"/>
  <c r="J109" i="13"/>
  <c r="I526" i="13"/>
  <c r="J526" i="10"/>
  <c r="I129" i="14"/>
  <c r="J129" i="13"/>
  <c r="I194" i="14"/>
  <c r="J194" i="13"/>
  <c r="I556" i="14"/>
  <c r="J556" i="13"/>
  <c r="O46" i="15"/>
  <c r="R46" i="14"/>
  <c r="P337" i="23"/>
  <c r="T337" i="23" s="1"/>
  <c r="T337" i="20"/>
  <c r="I49" i="5"/>
  <c r="J49" i="2"/>
  <c r="O165" i="7"/>
  <c r="O166" i="9"/>
  <c r="R166" i="7"/>
  <c r="R165" i="7" s="1"/>
  <c r="O313" i="15"/>
  <c r="R313" i="14"/>
  <c r="R87" i="9"/>
  <c r="O87" i="10"/>
  <c r="I233" i="14"/>
  <c r="J233" i="13"/>
  <c r="R572" i="10"/>
  <c r="O572" i="13"/>
  <c r="I198" i="14"/>
  <c r="J198" i="13"/>
  <c r="I567" i="14"/>
  <c r="J567" i="13"/>
  <c r="O487" i="9"/>
  <c r="O488" i="10"/>
  <c r="R488" i="9"/>
  <c r="R487" i="9" s="1"/>
  <c r="I44" i="14"/>
  <c r="J44" i="13"/>
  <c r="I177" i="14"/>
  <c r="J177" i="13"/>
  <c r="R136" i="9"/>
  <c r="O136" i="10"/>
  <c r="J364" i="13"/>
  <c r="I364" i="14"/>
  <c r="T313" i="20"/>
  <c r="P313" i="23"/>
  <c r="T313" i="23" s="1"/>
  <c r="I390" i="13"/>
  <c r="J390" i="10"/>
  <c r="J356" i="13"/>
  <c r="I356" i="14"/>
  <c r="I454" i="14"/>
  <c r="J454" i="13"/>
  <c r="I226" i="14"/>
  <c r="J226" i="13"/>
  <c r="R169" i="13"/>
  <c r="O169" i="14"/>
  <c r="I448" i="14"/>
  <c r="J448" i="13"/>
  <c r="I462" i="14"/>
  <c r="J462" i="13"/>
  <c r="I437" i="13"/>
  <c r="J437" i="10"/>
  <c r="I297" i="13"/>
  <c r="J297" i="10"/>
  <c r="I518" i="13"/>
  <c r="J518" i="10"/>
  <c r="R247" i="14"/>
  <c r="O247" i="15"/>
  <c r="O71" i="13"/>
  <c r="R71" i="10"/>
  <c r="I549" i="14"/>
  <c r="J549" i="13"/>
  <c r="I190" i="14"/>
  <c r="J190" i="13"/>
  <c r="R181" i="10"/>
  <c r="O181" i="13"/>
  <c r="P353" i="20"/>
  <c r="R350" i="16"/>
  <c r="O534" i="15"/>
  <c r="R534" i="14"/>
  <c r="I287" i="14"/>
  <c r="J287" i="13"/>
  <c r="R461" i="13"/>
  <c r="O461" i="14"/>
  <c r="O205" i="7"/>
  <c r="R206" i="7"/>
  <c r="R205" i="7" s="1"/>
  <c r="O206" i="9"/>
  <c r="O249" i="15"/>
  <c r="R249" i="14"/>
  <c r="I209" i="14"/>
  <c r="J209" i="13"/>
  <c r="I366" i="14"/>
  <c r="J366" i="13"/>
  <c r="I74" i="10"/>
  <c r="J74" i="9"/>
  <c r="I425" i="13"/>
  <c r="J425" i="10"/>
  <c r="I132" i="14"/>
  <c r="J132" i="13"/>
  <c r="O512" i="13"/>
  <c r="R512" i="10"/>
  <c r="R508" i="10" s="1"/>
  <c r="O508" i="10"/>
  <c r="I331" i="13"/>
  <c r="J331" i="10"/>
  <c r="O318" i="13"/>
  <c r="R318" i="10"/>
  <c r="I509" i="13"/>
  <c r="J509" i="10"/>
  <c r="R481" i="7"/>
  <c r="I248" i="14"/>
  <c r="J248" i="13"/>
  <c r="I110" i="14"/>
  <c r="J110" i="13"/>
  <c r="P177" i="23"/>
  <c r="T177" i="23" s="1"/>
  <c r="T177" i="20"/>
  <c r="O518" i="15"/>
  <c r="R518" i="14"/>
  <c r="I333" i="13"/>
  <c r="J333" i="10"/>
  <c r="R465" i="13"/>
  <c r="O465" i="14"/>
  <c r="R234" i="13"/>
  <c r="O234" i="14"/>
  <c r="I431" i="13"/>
  <c r="J431" i="10"/>
  <c r="R112" i="9"/>
  <c r="R107" i="9" s="1"/>
  <c r="O112" i="10"/>
  <c r="I70" i="9"/>
  <c r="J70" i="7"/>
  <c r="P315" i="23"/>
  <c r="T315" i="23" s="1"/>
  <c r="T315" i="20"/>
  <c r="I441" i="13"/>
  <c r="J441" i="10"/>
  <c r="R191" i="13"/>
  <c r="O191" i="14"/>
  <c r="O198" i="16"/>
  <c r="R198" i="15"/>
  <c r="O341" i="14"/>
  <c r="R341" i="13"/>
  <c r="I76" i="10"/>
  <c r="J76" i="9"/>
  <c r="R366" i="15"/>
  <c r="O366" i="16"/>
  <c r="I360" i="14"/>
  <c r="J360" i="13"/>
  <c r="R338" i="10"/>
  <c r="O338" i="13"/>
  <c r="J376" i="13"/>
  <c r="I376" i="14"/>
  <c r="I568" i="14"/>
  <c r="J568" i="13"/>
  <c r="I471" i="13"/>
  <c r="J471" i="10"/>
  <c r="Q215" i="14"/>
  <c r="Q591" i="14" s="1"/>
  <c r="D13" i="14" s="1"/>
  <c r="T15" i="14" s="1"/>
  <c r="T18" i="14" s="1"/>
  <c r="P415" i="23"/>
  <c r="T415" i="23" s="1"/>
  <c r="T415" i="20"/>
  <c r="I354" i="14"/>
  <c r="J354" i="13"/>
  <c r="P444" i="23"/>
  <c r="T444" i="23" s="1"/>
  <c r="T444" i="20"/>
  <c r="R91" i="15"/>
  <c r="O91" i="16"/>
  <c r="I453" i="13"/>
  <c r="J453" i="10"/>
  <c r="I90" i="10"/>
  <c r="J90" i="9"/>
  <c r="R213" i="10"/>
  <c r="O213" i="13"/>
  <c r="R300" i="16"/>
  <c r="P303" i="20"/>
  <c r="O82" i="15"/>
  <c r="R82" i="14"/>
  <c r="R367" i="9"/>
  <c r="O367" i="10"/>
  <c r="J228" i="13"/>
  <c r="I228" i="14"/>
  <c r="O522" i="16"/>
  <c r="R522" i="15"/>
  <c r="R76" i="10"/>
  <c r="O76" i="13"/>
  <c r="I57" i="14"/>
  <c r="J57" i="13"/>
  <c r="I342" i="14"/>
  <c r="J342" i="13"/>
  <c r="O144" i="15"/>
  <c r="R144" i="14"/>
  <c r="P329" i="20"/>
  <c r="R326" i="16"/>
  <c r="P522" i="20"/>
  <c r="R515" i="16"/>
  <c r="I465" i="13"/>
  <c r="J465" i="10"/>
  <c r="I79" i="14"/>
  <c r="J79" i="13"/>
  <c r="I565" i="14"/>
  <c r="J565" i="13"/>
  <c r="I225" i="14"/>
  <c r="J225" i="13"/>
  <c r="O250" i="13"/>
  <c r="R250" i="10"/>
  <c r="I460" i="14"/>
  <c r="J460" i="13"/>
  <c r="O135" i="13"/>
  <c r="R135" i="10"/>
  <c r="I318" i="14"/>
  <c r="J318" i="13"/>
  <c r="O246" i="13"/>
  <c r="R246" i="10"/>
  <c r="R240" i="10" s="1"/>
  <c r="I432" i="14"/>
  <c r="J432" i="13"/>
  <c r="R331" i="7"/>
  <c r="R329" i="7" s="1"/>
  <c r="O331" i="9"/>
  <c r="O329" i="7"/>
  <c r="I387" i="13"/>
  <c r="J387" i="10"/>
  <c r="O293" i="15"/>
  <c r="R293" i="14"/>
  <c r="I261" i="13"/>
  <c r="J261" i="10"/>
  <c r="P261" i="20"/>
  <c r="R258" i="16"/>
  <c r="I61" i="14"/>
  <c r="J61" i="13"/>
  <c r="I505" i="13"/>
  <c r="J505" i="10"/>
  <c r="I72" i="9"/>
  <c r="J72" i="7"/>
  <c r="R187" i="13"/>
  <c r="O187" i="14"/>
  <c r="R438" i="13"/>
  <c r="O438" i="14"/>
  <c r="I398" i="13"/>
  <c r="J398" i="10"/>
  <c r="I295" i="14"/>
  <c r="J295" i="13"/>
  <c r="P293" i="20"/>
  <c r="R290" i="16"/>
  <c r="O114" i="15"/>
  <c r="R114" i="14"/>
  <c r="I137" i="14"/>
  <c r="J137" i="13"/>
  <c r="R183" i="14"/>
  <c r="O183" i="15"/>
  <c r="I161" i="14"/>
  <c r="J161" i="13"/>
  <c r="I307" i="14"/>
  <c r="J307" i="13"/>
  <c r="I560" i="14"/>
  <c r="J560" i="13"/>
  <c r="I513" i="13"/>
  <c r="J513" i="10"/>
  <c r="I89" i="10"/>
  <c r="J89" i="9"/>
  <c r="I240" i="14"/>
  <c r="J240" i="13"/>
  <c r="I275" i="14"/>
  <c r="J275" i="13"/>
  <c r="I494" i="13"/>
  <c r="J494" i="10"/>
  <c r="R484" i="13"/>
  <c r="O484" i="14"/>
  <c r="P58" i="20"/>
  <c r="R57" i="16"/>
  <c r="O28" i="10"/>
  <c r="O29" i="13"/>
  <c r="R29" i="10"/>
  <c r="R28" i="10" s="1"/>
  <c r="I347" i="13"/>
  <c r="J347" i="10"/>
  <c r="I558" i="13"/>
  <c r="J558" i="10"/>
  <c r="I308" i="14"/>
  <c r="J308" i="13"/>
  <c r="I299" i="14"/>
  <c r="J299" i="13"/>
  <c r="I239" i="14"/>
  <c r="J239" i="13"/>
  <c r="O241" i="14"/>
  <c r="R241" i="13"/>
  <c r="I78" i="9"/>
  <c r="J78" i="7"/>
  <c r="F77" i="7"/>
  <c r="I413" i="13"/>
  <c r="J413" i="10"/>
  <c r="I208" i="14"/>
  <c r="J208" i="13"/>
  <c r="R507" i="9"/>
  <c r="O481" i="7"/>
  <c r="P511" i="20"/>
  <c r="R504" i="16"/>
  <c r="R550" i="14"/>
  <c r="O550" i="15"/>
  <c r="R553" i="9"/>
  <c r="R552" i="9" s="1"/>
  <c r="O552" i="9"/>
  <c r="O507" i="9" s="1"/>
  <c r="O553" i="10"/>
  <c r="I138" i="14"/>
  <c r="J138" i="13"/>
  <c r="I262" i="14"/>
  <c r="J262" i="13"/>
  <c r="I201" i="14"/>
  <c r="J201" i="13"/>
  <c r="R113" i="14"/>
  <c r="O113" i="15"/>
  <c r="R233" i="16"/>
  <c r="P236" i="20"/>
  <c r="O252" i="15"/>
  <c r="R252" i="14"/>
  <c r="P323" i="20"/>
  <c r="R320" i="16"/>
  <c r="I181" i="14"/>
  <c r="J181" i="13"/>
  <c r="I378" i="14"/>
  <c r="J378" i="13"/>
  <c r="I119" i="14"/>
  <c r="J119" i="13"/>
  <c r="O436" i="15"/>
  <c r="R436" i="14"/>
  <c r="P301" i="20"/>
  <c r="R298" i="16"/>
  <c r="I86" i="14"/>
  <c r="J86" i="13"/>
  <c r="I355" i="13"/>
  <c r="J355" i="10"/>
  <c r="I154" i="14"/>
  <c r="J154" i="13"/>
  <c r="I167" i="14"/>
  <c r="J167" i="13"/>
  <c r="I165" i="14"/>
  <c r="J165" i="13"/>
  <c r="O291" i="14"/>
  <c r="R292" i="14"/>
  <c r="R291" i="14" s="1"/>
  <c r="O292" i="15"/>
  <c r="I458" i="14"/>
  <c r="J458" i="13"/>
  <c r="R33" i="5"/>
  <c r="O33" i="7"/>
  <c r="I263" i="14"/>
  <c r="J263" i="13"/>
  <c r="O179" i="7"/>
  <c r="O178" i="7" s="1"/>
  <c r="R180" i="7"/>
  <c r="R179" i="7" s="1"/>
  <c r="R178" i="7" s="1"/>
  <c r="O180" i="9"/>
  <c r="I289" i="13"/>
  <c r="J289" i="10"/>
  <c r="I391" i="13"/>
  <c r="J391" i="10"/>
  <c r="I212" i="14"/>
  <c r="J212" i="13"/>
  <c r="I258" i="14"/>
  <c r="J258" i="13"/>
  <c r="O152" i="16"/>
  <c r="R152" i="15"/>
  <c r="I196" i="14"/>
  <c r="J196" i="13"/>
  <c r="I455" i="14"/>
  <c r="J455" i="13"/>
  <c r="I245" i="14"/>
  <c r="J245" i="13"/>
  <c r="R364" i="14"/>
  <c r="O364" i="15"/>
  <c r="R378" i="14"/>
  <c r="O378" i="15"/>
  <c r="R530" i="14"/>
  <c r="O530" i="15"/>
  <c r="O107" i="10"/>
  <c r="O108" i="13"/>
  <c r="R108" i="10"/>
  <c r="J210" i="13"/>
  <c r="I210" i="14"/>
  <c r="I416" i="14"/>
  <c r="J416" i="13"/>
  <c r="I447" i="13"/>
  <c r="J447" i="10"/>
  <c r="N596" i="9"/>
  <c r="P20" i="9"/>
  <c r="P18" i="9"/>
  <c r="I139" i="14"/>
  <c r="J139" i="13"/>
  <c r="O343" i="15"/>
  <c r="R343" i="14"/>
  <c r="R373" i="15"/>
  <c r="O373" i="16"/>
  <c r="R502" i="14"/>
  <c r="O502" i="15"/>
  <c r="R86" i="9"/>
  <c r="O86" i="10"/>
  <c r="R335" i="14"/>
  <c r="O335" i="15"/>
  <c r="I294" i="14"/>
  <c r="J294" i="13"/>
  <c r="I311" i="14"/>
  <c r="J311" i="13"/>
  <c r="O239" i="16"/>
  <c r="R239" i="15"/>
  <c r="I373" i="13"/>
  <c r="J373" i="10"/>
  <c r="I35" i="14"/>
  <c r="J35" i="13"/>
  <c r="I451" i="13"/>
  <c r="J451" i="10"/>
  <c r="P220" i="23"/>
  <c r="T220" i="23" s="1"/>
  <c r="T220" i="20"/>
  <c r="I452" i="14"/>
  <c r="J452" i="13"/>
  <c r="O222" i="7"/>
  <c r="R223" i="7"/>
  <c r="R222" i="7" s="1"/>
  <c r="O223" i="9"/>
  <c r="P355" i="20"/>
  <c r="R352" i="16"/>
  <c r="T185" i="20"/>
  <c r="P185" i="23"/>
  <c r="T185" i="23" s="1"/>
  <c r="R445" i="13"/>
  <c r="O445" i="14"/>
  <c r="I548" i="13"/>
  <c r="J548" i="10"/>
  <c r="I40" i="7"/>
  <c r="J40" i="5"/>
  <c r="I529" i="14"/>
  <c r="J529" i="13"/>
  <c r="I309" i="13"/>
  <c r="J309" i="10"/>
  <c r="I172" i="14"/>
  <c r="J172" i="13"/>
  <c r="I254" i="14"/>
  <c r="J254" i="13"/>
  <c r="I492" i="13"/>
  <c r="J492" i="10"/>
  <c r="I326" i="14"/>
  <c r="J326" i="13"/>
  <c r="I587" i="14"/>
  <c r="J587" i="13"/>
  <c r="I229" i="15"/>
  <c r="J229" i="14"/>
  <c r="O406" i="7"/>
  <c r="O407" i="9"/>
  <c r="R407" i="7"/>
  <c r="R406" i="7" s="1"/>
  <c r="R160" i="9"/>
  <c r="O160" i="10"/>
  <c r="O456" i="13"/>
  <c r="R456" i="10"/>
  <c r="O571" i="14"/>
  <c r="R571" i="13"/>
  <c r="I37" i="14"/>
  <c r="J37" i="13"/>
  <c r="R584" i="10"/>
  <c r="O584" i="13"/>
  <c r="P351" i="20"/>
  <c r="R348" i="16"/>
  <c r="O468" i="14"/>
  <c r="R468" i="13"/>
  <c r="O280" i="14"/>
  <c r="R280" i="13"/>
  <c r="I490" i="13"/>
  <c r="J490" i="10"/>
  <c r="I71" i="10"/>
  <c r="J71" i="9"/>
  <c r="O75" i="13"/>
  <c r="R75" i="10"/>
  <c r="I542" i="13"/>
  <c r="J542" i="10"/>
  <c r="I140" i="14"/>
  <c r="J140" i="13"/>
  <c r="I247" i="14"/>
  <c r="J247" i="13"/>
  <c r="R81" i="15"/>
  <c r="O81" i="16"/>
  <c r="O383" i="16"/>
  <c r="R383" i="15"/>
  <c r="J392" i="13"/>
  <c r="I392" i="14"/>
  <c r="P20" i="5"/>
  <c r="P18" i="5"/>
  <c r="P19" i="5" s="1"/>
  <c r="N596" i="5"/>
  <c r="O447" i="16"/>
  <c r="R447" i="15"/>
  <c r="F697" i="23"/>
  <c r="F698" i="23" s="1"/>
  <c r="D691" i="23"/>
  <c r="I386" i="13"/>
  <c r="J386" i="10"/>
  <c r="I280" i="14"/>
  <c r="J280" i="13"/>
  <c r="O161" i="15"/>
  <c r="R161" i="14"/>
  <c r="I553" i="14"/>
  <c r="J553" i="13"/>
  <c r="O323" i="16"/>
  <c r="R323" i="15"/>
  <c r="I99" i="14"/>
  <c r="J99" i="13"/>
  <c r="O472" i="15"/>
  <c r="R472" i="14"/>
  <c r="I152" i="14"/>
  <c r="J152" i="13"/>
  <c r="J316" i="13"/>
  <c r="I316" i="14"/>
  <c r="I539" i="14"/>
  <c r="J539" i="13"/>
  <c r="I470" i="13"/>
  <c r="J470" i="10"/>
  <c r="I100" i="14"/>
  <c r="J100" i="13"/>
  <c r="R215" i="5"/>
  <c r="I56" i="7"/>
  <c r="J56" i="5"/>
  <c r="I200" i="14"/>
  <c r="J200" i="13"/>
  <c r="P428" i="20"/>
  <c r="R424" i="16"/>
  <c r="I479" i="13"/>
  <c r="J479" i="10"/>
  <c r="I269" i="13"/>
  <c r="J269" i="10"/>
  <c r="I85" i="10"/>
  <c r="J85" i="9"/>
  <c r="I443" i="13"/>
  <c r="J443" i="10"/>
  <c r="P289" i="20"/>
  <c r="R286" i="16"/>
  <c r="P518" i="20"/>
  <c r="R511" i="16"/>
  <c r="I264" i="14"/>
  <c r="J264" i="13"/>
  <c r="O588" i="10"/>
  <c r="R589" i="10"/>
  <c r="R588" i="10" s="1"/>
  <c r="O589" i="13"/>
  <c r="I131" i="14"/>
  <c r="J131" i="13"/>
  <c r="I551" i="14"/>
  <c r="J551" i="13"/>
  <c r="R110" i="14"/>
  <c r="O110" i="15"/>
  <c r="R164" i="14"/>
  <c r="O164" i="15"/>
  <c r="R577" i="13"/>
  <c r="O577" i="14"/>
  <c r="O156" i="7"/>
  <c r="O155" i="7" s="1"/>
  <c r="O157" i="9"/>
  <c r="R157" i="7"/>
  <c r="R156" i="7" s="1"/>
  <c r="R155" i="7" s="1"/>
  <c r="R566" i="7"/>
  <c r="R178" i="5"/>
  <c r="P191" i="20"/>
  <c r="R188" i="16"/>
  <c r="I546" i="13"/>
  <c r="J546" i="10"/>
  <c r="I286" i="14"/>
  <c r="J286" i="13"/>
  <c r="P404" i="20"/>
  <c r="R401" i="16"/>
  <c r="I94" i="14"/>
  <c r="J94" i="13"/>
  <c r="R496" i="15"/>
  <c r="O496" i="16"/>
  <c r="O301" i="15"/>
  <c r="R301" i="14"/>
  <c r="O427" i="16"/>
  <c r="R427" i="15"/>
  <c r="R384" i="15"/>
  <c r="O384" i="16"/>
  <c r="O200" i="15"/>
  <c r="R200" i="14"/>
  <c r="P308" i="20"/>
  <c r="R305" i="16"/>
  <c r="O255" i="9" l="1"/>
  <c r="O256" i="10"/>
  <c r="R256" i="9"/>
  <c r="R255" i="9" s="1"/>
  <c r="I54" i="14"/>
  <c r="J54" i="13"/>
  <c r="R199" i="15"/>
  <c r="O199" i="16"/>
  <c r="R558" i="14"/>
  <c r="O558" i="15"/>
  <c r="I254" i="15"/>
  <c r="J254" i="14"/>
  <c r="I139" i="15"/>
  <c r="J139" i="14"/>
  <c r="J196" i="14"/>
  <c r="I196" i="15"/>
  <c r="I165" i="15"/>
  <c r="J165" i="14"/>
  <c r="T236" i="20"/>
  <c r="P236" i="23"/>
  <c r="T236" i="23" s="1"/>
  <c r="I453" i="14"/>
  <c r="J453" i="13"/>
  <c r="O458" i="15"/>
  <c r="R458" i="14"/>
  <c r="R94" i="9"/>
  <c r="R301" i="15"/>
  <c r="O301" i="16"/>
  <c r="P191" i="23"/>
  <c r="T191" i="23" s="1"/>
  <c r="T191" i="20"/>
  <c r="P289" i="23"/>
  <c r="T289" i="23" s="1"/>
  <c r="T289" i="20"/>
  <c r="I200" i="15"/>
  <c r="J200" i="14"/>
  <c r="I542" i="14"/>
  <c r="J542" i="13"/>
  <c r="P351" i="23"/>
  <c r="T351" i="23" s="1"/>
  <c r="T351" i="20"/>
  <c r="O406" i="9"/>
  <c r="O407" i="10"/>
  <c r="R407" i="9"/>
  <c r="R406" i="9" s="1"/>
  <c r="O335" i="16"/>
  <c r="R335" i="15"/>
  <c r="P19" i="9"/>
  <c r="O530" i="16"/>
  <c r="R530" i="15"/>
  <c r="I558" i="14"/>
  <c r="J558" i="13"/>
  <c r="R367" i="10"/>
  <c r="O367" i="13"/>
  <c r="P93" i="20"/>
  <c r="R91" i="16"/>
  <c r="I568" i="15"/>
  <c r="J568" i="14"/>
  <c r="R112" i="10"/>
  <c r="O112" i="13"/>
  <c r="I287" i="15"/>
  <c r="J287" i="14"/>
  <c r="R313" i="15"/>
  <c r="O313" i="16"/>
  <c r="R394" i="15"/>
  <c r="O394" i="16"/>
  <c r="I579" i="15"/>
  <c r="J579" i="14"/>
  <c r="I337" i="14"/>
  <c r="J337" i="13"/>
  <c r="I156" i="15"/>
  <c r="J156" i="14"/>
  <c r="I288" i="15"/>
  <c r="J288" i="14"/>
  <c r="R490" i="16"/>
  <c r="P497" i="20"/>
  <c r="I380" i="15"/>
  <c r="J380" i="14"/>
  <c r="I112" i="15"/>
  <c r="J112" i="14"/>
  <c r="R153" i="13"/>
  <c r="O153" i="14"/>
  <c r="I563" i="15"/>
  <c r="J563" i="14"/>
  <c r="I552" i="15"/>
  <c r="J552" i="14"/>
  <c r="O506" i="16"/>
  <c r="R506" i="15"/>
  <c r="I293" i="14"/>
  <c r="J293" i="13"/>
  <c r="I589" i="15"/>
  <c r="J589" i="14"/>
  <c r="R103" i="13"/>
  <c r="O103" i="14"/>
  <c r="I204" i="15"/>
  <c r="J204" i="14"/>
  <c r="I234" i="15"/>
  <c r="J234" i="14"/>
  <c r="I358" i="15"/>
  <c r="J358" i="14"/>
  <c r="I483" i="14"/>
  <c r="J483" i="13"/>
  <c r="R102" i="15"/>
  <c r="O102" i="16"/>
  <c r="O254" i="15"/>
  <c r="R254" i="14"/>
  <c r="I578" i="15"/>
  <c r="J578" i="14"/>
  <c r="I512" i="14"/>
  <c r="J512" i="13"/>
  <c r="O492" i="15"/>
  <c r="R492" i="14"/>
  <c r="R67" i="14"/>
  <c r="O67" i="15"/>
  <c r="O387" i="16"/>
  <c r="R387" i="15"/>
  <c r="O339" i="10"/>
  <c r="R339" i="9"/>
  <c r="R337" i="9" s="1"/>
  <c r="O337" i="9"/>
  <c r="O421" i="15"/>
  <c r="R421" i="14"/>
  <c r="I203" i="15"/>
  <c r="J203" i="14"/>
  <c r="I419" i="14"/>
  <c r="J419" i="13"/>
  <c r="I53" i="15"/>
  <c r="J53" i="14"/>
  <c r="I340" i="15"/>
  <c r="J340" i="14"/>
  <c r="O94" i="9"/>
  <c r="I474" i="14"/>
  <c r="J474" i="13"/>
  <c r="I163" i="15"/>
  <c r="J163" i="14"/>
  <c r="P251" i="20"/>
  <c r="R248" i="16"/>
  <c r="R579" i="10"/>
  <c r="O579" i="13"/>
  <c r="I480" i="14"/>
  <c r="J480" i="13"/>
  <c r="I62" i="15"/>
  <c r="J62" i="14"/>
  <c r="I171" i="15"/>
  <c r="J171" i="14"/>
  <c r="I206" i="15"/>
  <c r="J206" i="14"/>
  <c r="I481" i="15"/>
  <c r="J481" i="14"/>
  <c r="P193" i="20"/>
  <c r="R190" i="16"/>
  <c r="I417" i="14"/>
  <c r="J417" i="13"/>
  <c r="I124" i="14"/>
  <c r="J124" i="13"/>
  <c r="P364" i="20"/>
  <c r="R361" i="16"/>
  <c r="I544" i="14"/>
  <c r="J544" i="13"/>
  <c r="I420" i="15"/>
  <c r="J420" i="14"/>
  <c r="I345" i="14"/>
  <c r="J345" i="13"/>
  <c r="I408" i="15"/>
  <c r="J408" i="14"/>
  <c r="I251" i="15"/>
  <c r="J251" i="14"/>
  <c r="P273" i="23"/>
  <c r="T273" i="23" s="1"/>
  <c r="T273" i="20"/>
  <c r="I321" i="14"/>
  <c r="J321" i="13"/>
  <c r="K183" i="26"/>
  <c r="L182" i="26"/>
  <c r="O315" i="10"/>
  <c r="R316" i="10"/>
  <c r="R315" i="10" s="1"/>
  <c r="O316" i="13"/>
  <c r="R464" i="16"/>
  <c r="P468" i="20"/>
  <c r="O39" i="10"/>
  <c r="R39" i="9"/>
  <c r="I162" i="15"/>
  <c r="J162" i="14"/>
  <c r="I140" i="15"/>
  <c r="J140" i="14"/>
  <c r="O552" i="10"/>
  <c r="O553" i="13"/>
  <c r="R553" i="10"/>
  <c r="R552" i="10" s="1"/>
  <c r="I228" i="15"/>
  <c r="J228" i="14"/>
  <c r="R40" i="7"/>
  <c r="O40" i="9"/>
  <c r="R557" i="14"/>
  <c r="O557" i="15"/>
  <c r="I514" i="14"/>
  <c r="J514" i="13"/>
  <c r="J84" i="13"/>
  <c r="I84" i="14"/>
  <c r="R436" i="15"/>
  <c r="O436" i="16"/>
  <c r="I61" i="15"/>
  <c r="J61" i="14"/>
  <c r="R250" i="13"/>
  <c r="O250" i="14"/>
  <c r="I556" i="15"/>
  <c r="J556" i="14"/>
  <c r="I257" i="15"/>
  <c r="J257" i="14"/>
  <c r="R231" i="13"/>
  <c r="O231" i="14"/>
  <c r="I106" i="15"/>
  <c r="J106" i="14"/>
  <c r="F105" i="14"/>
  <c r="F96" i="14"/>
  <c r="I172" i="15"/>
  <c r="J172" i="14"/>
  <c r="I451" i="14"/>
  <c r="J451" i="13"/>
  <c r="I119" i="15"/>
  <c r="J119" i="14"/>
  <c r="F117" i="14"/>
  <c r="F118" i="14"/>
  <c r="F108" i="14"/>
  <c r="I78" i="10"/>
  <c r="J78" i="9"/>
  <c r="I275" i="15"/>
  <c r="J275" i="14"/>
  <c r="I161" i="15"/>
  <c r="J161" i="14"/>
  <c r="I398" i="14"/>
  <c r="J398" i="13"/>
  <c r="I432" i="15"/>
  <c r="J432" i="14"/>
  <c r="I225" i="15"/>
  <c r="J225" i="14"/>
  <c r="O144" i="16"/>
  <c r="R144" i="15"/>
  <c r="I376" i="15"/>
  <c r="J376" i="14"/>
  <c r="O341" i="15"/>
  <c r="R341" i="14"/>
  <c r="I331" i="14"/>
  <c r="J331" i="13"/>
  <c r="I366" i="15"/>
  <c r="J366" i="14"/>
  <c r="R71" i="13"/>
  <c r="O71" i="14"/>
  <c r="I448" i="15"/>
  <c r="J448" i="14"/>
  <c r="I194" i="15"/>
  <c r="J194" i="14"/>
  <c r="O85" i="13"/>
  <c r="R85" i="10"/>
  <c r="I45" i="13"/>
  <c r="J45" i="10"/>
  <c r="P582" i="23"/>
  <c r="T582" i="23" s="1"/>
  <c r="T582" i="20"/>
  <c r="I31" i="15"/>
  <c r="J31" i="14"/>
  <c r="R260" i="14"/>
  <c r="O260" i="15"/>
  <c r="I93" i="15"/>
  <c r="J93" i="14"/>
  <c r="I517" i="14"/>
  <c r="J517" i="13"/>
  <c r="I430" i="14"/>
  <c r="J430" i="13"/>
  <c r="P335" i="20"/>
  <c r="R332" i="16"/>
  <c r="I507" i="14"/>
  <c r="J507" i="13"/>
  <c r="I362" i="15"/>
  <c r="J362" i="14"/>
  <c r="O392" i="15"/>
  <c r="R392" i="14"/>
  <c r="I343" i="14"/>
  <c r="J343" i="13"/>
  <c r="O443" i="14"/>
  <c r="R443" i="13"/>
  <c r="R566" i="9"/>
  <c r="I499" i="14"/>
  <c r="J499" i="13"/>
  <c r="I151" i="15"/>
  <c r="J151" i="14"/>
  <c r="I427" i="14"/>
  <c r="J427" i="13"/>
  <c r="R232" i="14"/>
  <c r="O232" i="15"/>
  <c r="I319" i="15"/>
  <c r="J319" i="14"/>
  <c r="R122" i="10"/>
  <c r="R120" i="10" s="1"/>
  <c r="O122" i="13"/>
  <c r="O120" i="10"/>
  <c r="I409" i="14"/>
  <c r="J409" i="13"/>
  <c r="I314" i="15"/>
  <c r="J314" i="14"/>
  <c r="I467" i="14"/>
  <c r="J467" i="13"/>
  <c r="O275" i="16"/>
  <c r="R275" i="15"/>
  <c r="R54" i="9"/>
  <c r="O54" i="10"/>
  <c r="I179" i="15"/>
  <c r="J179" i="14"/>
  <c r="I389" i="14"/>
  <c r="J389" i="13"/>
  <c r="R210" i="15"/>
  <c r="O210" i="16"/>
  <c r="R253" i="15"/>
  <c r="O253" i="16"/>
  <c r="I87" i="13"/>
  <c r="J87" i="10"/>
  <c r="O216" i="14"/>
  <c r="O215" i="13"/>
  <c r="R216" i="13"/>
  <c r="R215" i="13" s="1"/>
  <c r="I423" i="14"/>
  <c r="J423" i="13"/>
  <c r="I370" i="15"/>
  <c r="J370" i="14"/>
  <c r="I341" i="14"/>
  <c r="J341" i="13"/>
  <c r="I415" i="15"/>
  <c r="J415" i="14"/>
  <c r="R41" i="9"/>
  <c r="O41" i="10"/>
  <c r="R58" i="5"/>
  <c r="R53" i="5" s="1"/>
  <c r="R52" i="5" s="1"/>
  <c r="O58" i="7"/>
  <c r="I126" i="15"/>
  <c r="J126" i="14"/>
  <c r="I104" i="15"/>
  <c r="J104" i="14"/>
  <c r="I485" i="15"/>
  <c r="J485" i="14"/>
  <c r="P347" i="20"/>
  <c r="R344" i="16"/>
  <c r="O449" i="15"/>
  <c r="R449" i="14"/>
  <c r="P435" i="20"/>
  <c r="R431" i="16"/>
  <c r="O149" i="13"/>
  <c r="O148" i="10"/>
  <c r="R149" i="10"/>
  <c r="R148" i="10" s="1"/>
  <c r="I272" i="15"/>
  <c r="J272" i="14"/>
  <c r="O104" i="15"/>
  <c r="R104" i="14"/>
  <c r="R127" i="16"/>
  <c r="P129" i="20"/>
  <c r="I252" i="15"/>
  <c r="J252" i="14"/>
  <c r="R569" i="14"/>
  <c r="O569" i="15"/>
  <c r="I527" i="15"/>
  <c r="J527" i="14"/>
  <c r="I68" i="16"/>
  <c r="J68" i="15"/>
  <c r="P553" i="23"/>
  <c r="T553" i="23" s="1"/>
  <c r="T553" i="20"/>
  <c r="R60" i="10"/>
  <c r="O60" i="13"/>
  <c r="I476" i="14"/>
  <c r="J476" i="13"/>
  <c r="J222" i="23"/>
  <c r="K222" i="23" s="1"/>
  <c r="K222" i="20"/>
  <c r="I504" i="14"/>
  <c r="J504" i="13"/>
  <c r="R203" i="16"/>
  <c r="P206" i="20"/>
  <c r="R111" i="16"/>
  <c r="P113" i="20"/>
  <c r="T245" i="20"/>
  <c r="P245" i="23"/>
  <c r="T245" i="23" s="1"/>
  <c r="O95" i="10"/>
  <c r="R96" i="10"/>
  <c r="R95" i="10" s="1"/>
  <c r="O96" i="13"/>
  <c r="M77" i="7"/>
  <c r="M63" i="7" s="1"/>
  <c r="M62" i="7" s="1"/>
  <c r="G77" i="7"/>
  <c r="I295" i="15"/>
  <c r="J295" i="14"/>
  <c r="P329" i="23"/>
  <c r="T329" i="23" s="1"/>
  <c r="T329" i="20"/>
  <c r="I76" i="13"/>
  <c r="J76" i="10"/>
  <c r="I549" i="15"/>
  <c r="J549" i="14"/>
  <c r="I390" i="14"/>
  <c r="J390" i="13"/>
  <c r="I224" i="15"/>
  <c r="J224" i="14"/>
  <c r="I174" i="15"/>
  <c r="J174" i="14"/>
  <c r="I285" i="14"/>
  <c r="J285" i="13"/>
  <c r="R257" i="15"/>
  <c r="O257" i="16"/>
  <c r="I107" i="15"/>
  <c r="J107" i="14"/>
  <c r="I302" i="15"/>
  <c r="J302" i="14"/>
  <c r="P149" i="20"/>
  <c r="R146" i="16"/>
  <c r="I551" i="15"/>
  <c r="J551" i="14"/>
  <c r="I152" i="15"/>
  <c r="J152" i="14"/>
  <c r="I280" i="15"/>
  <c r="J280" i="14"/>
  <c r="I167" i="15"/>
  <c r="J167" i="14"/>
  <c r="R550" i="15"/>
  <c r="O550" i="16"/>
  <c r="I443" i="14"/>
  <c r="J443" i="13"/>
  <c r="R75" i="13"/>
  <c r="O75" i="14"/>
  <c r="R86" i="10"/>
  <c r="O86" i="13"/>
  <c r="E605" i="9"/>
  <c r="E606" i="9" s="1"/>
  <c r="D599" i="9"/>
  <c r="R378" i="15"/>
  <c r="O378" i="16"/>
  <c r="I263" i="15"/>
  <c r="J263" i="14"/>
  <c r="I347" i="14"/>
  <c r="J347" i="13"/>
  <c r="O183" i="16"/>
  <c r="R183" i="15"/>
  <c r="O438" i="15"/>
  <c r="R438" i="14"/>
  <c r="P261" i="23"/>
  <c r="T261" i="23" s="1"/>
  <c r="T261" i="20"/>
  <c r="O534" i="16"/>
  <c r="R534" i="15"/>
  <c r="O247" i="16"/>
  <c r="R247" i="15"/>
  <c r="O169" i="15"/>
  <c r="R169" i="14"/>
  <c r="I364" i="15"/>
  <c r="J364" i="14"/>
  <c r="I567" i="15"/>
  <c r="J567" i="14"/>
  <c r="O165" i="9"/>
  <c r="R166" i="9"/>
  <c r="R165" i="9" s="1"/>
  <c r="O166" i="10"/>
  <c r="I375" i="14"/>
  <c r="J375" i="13"/>
  <c r="R514" i="16"/>
  <c r="P521" i="20"/>
  <c r="I271" i="15"/>
  <c r="J271" i="14"/>
  <c r="O476" i="15"/>
  <c r="R476" i="14"/>
  <c r="I590" i="15"/>
  <c r="J590" i="14"/>
  <c r="P452" i="23"/>
  <c r="T452" i="23" s="1"/>
  <c r="T452" i="20"/>
  <c r="I120" i="15"/>
  <c r="J120" i="14"/>
  <c r="T507" i="20"/>
  <c r="P507" i="23"/>
  <c r="T507" i="23" s="1"/>
  <c r="J584" i="14"/>
  <c r="I584" i="15"/>
  <c r="T247" i="20"/>
  <c r="P247" i="23"/>
  <c r="T247" i="23" s="1"/>
  <c r="I446" i="15"/>
  <c r="J446" i="14"/>
  <c r="I459" i="16"/>
  <c r="J459" i="15"/>
  <c r="I330" i="15"/>
  <c r="J330" i="14"/>
  <c r="I516" i="14"/>
  <c r="J516" i="13"/>
  <c r="I113" i="15"/>
  <c r="J113" i="14"/>
  <c r="R509" i="15"/>
  <c r="O509" i="16"/>
  <c r="R494" i="16"/>
  <c r="P501" i="20"/>
  <c r="I300" i="15"/>
  <c r="J300" i="14"/>
  <c r="I405" i="14"/>
  <c r="J405" i="13"/>
  <c r="R196" i="13"/>
  <c r="O196" i="14"/>
  <c r="P568" i="23"/>
  <c r="T568" i="23" s="1"/>
  <c r="T568" i="20"/>
  <c r="P580" i="20"/>
  <c r="R573" i="16"/>
  <c r="I168" i="15"/>
  <c r="J168" i="14"/>
  <c r="O73" i="13"/>
  <c r="R73" i="10"/>
  <c r="R414" i="14"/>
  <c r="O414" i="15"/>
  <c r="P555" i="20"/>
  <c r="R548" i="16"/>
  <c r="I414" i="14"/>
  <c r="J414" i="13"/>
  <c r="I418" i="14"/>
  <c r="J418" i="13"/>
  <c r="I148" i="15"/>
  <c r="J148" i="14"/>
  <c r="O184" i="13"/>
  <c r="R184" i="10"/>
  <c r="R533" i="13"/>
  <c r="O533" i="14"/>
  <c r="R439" i="13"/>
  <c r="O439" i="14"/>
  <c r="I116" i="15"/>
  <c r="J116" i="14"/>
  <c r="O83" i="10"/>
  <c r="R83" i="9"/>
  <c r="I379" i="14"/>
  <c r="J379" i="13"/>
  <c r="R70" i="7"/>
  <c r="O70" i="9"/>
  <c r="I535" i="15"/>
  <c r="J535" i="14"/>
  <c r="I472" i="14"/>
  <c r="J472" i="13"/>
  <c r="I253" i="15"/>
  <c r="J253" i="14"/>
  <c r="I128" i="15"/>
  <c r="J128" i="14"/>
  <c r="I80" i="15"/>
  <c r="J80" i="14"/>
  <c r="I488" i="14"/>
  <c r="J488" i="13"/>
  <c r="P274" i="20"/>
  <c r="R271" i="16"/>
  <c r="O433" i="15"/>
  <c r="R433" i="14"/>
  <c r="O554" i="10"/>
  <c r="R555" i="10"/>
  <c r="R554" i="10" s="1"/>
  <c r="O555" i="13"/>
  <c r="J215" i="14"/>
  <c r="I215" i="15"/>
  <c r="R452" i="15"/>
  <c r="O452" i="16"/>
  <c r="I160" i="15"/>
  <c r="J160" i="14"/>
  <c r="I397" i="14"/>
  <c r="J397" i="13"/>
  <c r="I114" i="15"/>
  <c r="J114" i="14"/>
  <c r="I195" i="15"/>
  <c r="J195" i="14"/>
  <c r="I582" i="15"/>
  <c r="J582" i="14"/>
  <c r="I396" i="15"/>
  <c r="J396" i="14"/>
  <c r="I371" i="14"/>
  <c r="J371" i="13"/>
  <c r="I461" i="14"/>
  <c r="J461" i="13"/>
  <c r="I97" i="15"/>
  <c r="J97" i="14"/>
  <c r="P539" i="20"/>
  <c r="R532" i="16"/>
  <c r="P276" i="20"/>
  <c r="R273" i="16"/>
  <c r="P412" i="23"/>
  <c r="T412" i="23" s="1"/>
  <c r="T412" i="20"/>
  <c r="R402" i="16"/>
  <c r="P405" i="20"/>
  <c r="I202" i="15"/>
  <c r="J202" i="14"/>
  <c r="R528" i="14"/>
  <c r="O528" i="15"/>
  <c r="O224" i="14"/>
  <c r="R224" i="13"/>
  <c r="O110" i="16"/>
  <c r="R110" i="15"/>
  <c r="O179" i="9"/>
  <c r="R180" i="9"/>
  <c r="R179" i="9" s="1"/>
  <c r="R178" i="9" s="1"/>
  <c r="O180" i="10"/>
  <c r="I413" i="14"/>
  <c r="J413" i="13"/>
  <c r="I434" i="15"/>
  <c r="J434" i="14"/>
  <c r="I65" i="15"/>
  <c r="J65" i="14"/>
  <c r="O202" i="14"/>
  <c r="R202" i="13"/>
  <c r="I576" i="15"/>
  <c r="J576" i="14"/>
  <c r="R302" i="13"/>
  <c r="O302" i="14"/>
  <c r="O487" i="10"/>
  <c r="O488" i="13"/>
  <c r="R488" i="10"/>
  <c r="R487" i="10" s="1"/>
  <c r="I199" i="15"/>
  <c r="J199" i="14"/>
  <c r="I42" i="13"/>
  <c r="J42" i="10"/>
  <c r="I412" i="15"/>
  <c r="J412" i="14"/>
  <c r="R119" i="16"/>
  <c r="P121" i="20"/>
  <c r="I134" i="15"/>
  <c r="J134" i="14"/>
  <c r="I317" i="14"/>
  <c r="J317" i="13"/>
  <c r="I363" i="14"/>
  <c r="J363" i="13"/>
  <c r="T546" i="20"/>
  <c r="P546" i="23"/>
  <c r="T546" i="23" s="1"/>
  <c r="P470" i="20"/>
  <c r="R466" i="16"/>
  <c r="P503" i="20"/>
  <c r="R496" i="16"/>
  <c r="R113" i="15"/>
  <c r="O113" i="16"/>
  <c r="I258" i="15"/>
  <c r="J258" i="14"/>
  <c r="R33" i="7"/>
  <c r="O33" i="9"/>
  <c r="I154" i="15"/>
  <c r="J154" i="14"/>
  <c r="I378" i="15"/>
  <c r="J378" i="14"/>
  <c r="O241" i="15"/>
  <c r="R241" i="14"/>
  <c r="I342" i="15"/>
  <c r="J342" i="14"/>
  <c r="R82" i="15"/>
  <c r="O82" i="16"/>
  <c r="R338" i="13"/>
  <c r="O338" i="14"/>
  <c r="P201" i="20"/>
  <c r="R198" i="16"/>
  <c r="I431" i="14"/>
  <c r="J431" i="13"/>
  <c r="I110" i="15"/>
  <c r="J110" i="14"/>
  <c r="I209" i="15"/>
  <c r="J209" i="14"/>
  <c r="I129" i="15"/>
  <c r="J129" i="14"/>
  <c r="I313" i="14"/>
  <c r="J313" i="13"/>
  <c r="I374" i="15"/>
  <c r="J374" i="14"/>
  <c r="R84" i="14"/>
  <c r="O84" i="15"/>
  <c r="O374" i="16"/>
  <c r="R374" i="15"/>
  <c r="I561" i="15"/>
  <c r="J561" i="14"/>
  <c r="R470" i="16"/>
  <c r="P474" i="20"/>
  <c r="I231" i="15"/>
  <c r="J231" i="14"/>
  <c r="I394" i="14"/>
  <c r="J394" i="13"/>
  <c r="R126" i="15"/>
  <c r="O126" i="16"/>
  <c r="O309" i="15"/>
  <c r="R309" i="14"/>
  <c r="P538" i="20"/>
  <c r="R531" i="16"/>
  <c r="R319" i="9"/>
  <c r="R317" i="9" s="1"/>
  <c r="O319" i="10"/>
  <c r="O317" i="9"/>
  <c r="I384" i="15"/>
  <c r="J384" i="14"/>
  <c r="I522" i="14"/>
  <c r="J522" i="13"/>
  <c r="O566" i="10"/>
  <c r="R567" i="10"/>
  <c r="R566" i="10" s="1"/>
  <c r="O567" i="13"/>
  <c r="I292" i="15"/>
  <c r="J292" i="14"/>
  <c r="O359" i="16"/>
  <c r="R359" i="15"/>
  <c r="I236" i="15"/>
  <c r="J236" i="14"/>
  <c r="R289" i="15"/>
  <c r="O289" i="16"/>
  <c r="L184" i="26"/>
  <c r="K185" i="26"/>
  <c r="O212" i="15"/>
  <c r="R212" i="14"/>
  <c r="R580" i="13"/>
  <c r="O580" i="14"/>
  <c r="I305" i="14"/>
  <c r="J305" i="13"/>
  <c r="R124" i="14"/>
  <c r="O124" i="15"/>
  <c r="I351" i="14"/>
  <c r="J351" i="13"/>
  <c r="I189" i="15"/>
  <c r="J189" i="14"/>
  <c r="J525" i="14"/>
  <c r="I525" i="15"/>
  <c r="I555" i="15"/>
  <c r="J555" i="14"/>
  <c r="O38" i="7"/>
  <c r="R38" i="5"/>
  <c r="P417" i="23"/>
  <c r="T417" i="23" s="1"/>
  <c r="T417" i="20"/>
  <c r="O479" i="16"/>
  <c r="R479" i="15"/>
  <c r="R471" i="14"/>
  <c r="O471" i="15"/>
  <c r="I478" i="14"/>
  <c r="J478" i="13"/>
  <c r="O568" i="15"/>
  <c r="R568" i="14"/>
  <c r="R397" i="14"/>
  <c r="O397" i="15"/>
  <c r="I336" i="15"/>
  <c r="J336" i="14"/>
  <c r="R115" i="13"/>
  <c r="O115" i="14"/>
  <c r="R100" i="16"/>
  <c r="P102" i="20"/>
  <c r="R418" i="15"/>
  <c r="O418" i="16"/>
  <c r="P280" i="20"/>
  <c r="R277" i="16"/>
  <c r="O308" i="14"/>
  <c r="O307" i="13"/>
  <c r="R308" i="13"/>
  <c r="R307" i="13" s="1"/>
  <c r="I570" i="15"/>
  <c r="J570" i="14"/>
  <c r="R428" i="16"/>
  <c r="P432" i="20"/>
  <c r="I377" i="14"/>
  <c r="J377" i="13"/>
  <c r="R587" i="13"/>
  <c r="O587" i="14"/>
  <c r="P349" i="20"/>
  <c r="R346" i="16"/>
  <c r="R211" i="16"/>
  <c r="P214" i="20"/>
  <c r="I586" i="15"/>
  <c r="J586" i="14"/>
  <c r="T148" i="20"/>
  <c r="P148" i="23"/>
  <c r="T148" i="23" s="1"/>
  <c r="I457" i="14"/>
  <c r="J457" i="13"/>
  <c r="I410" i="14"/>
  <c r="J410" i="13"/>
  <c r="R51" i="7"/>
  <c r="O51" i="9"/>
  <c r="I182" i="15"/>
  <c r="J182" i="14"/>
  <c r="E608" i="13"/>
  <c r="D600" i="13" s="1"/>
  <c r="O600" i="13" s="1"/>
  <c r="E607" i="13"/>
  <c r="O276" i="16"/>
  <c r="R276" i="15"/>
  <c r="R49" i="2"/>
  <c r="R43" i="2" s="1"/>
  <c r="O43" i="2"/>
  <c r="O49" i="5"/>
  <c r="P431" i="20"/>
  <c r="R427" i="16"/>
  <c r="E605" i="5"/>
  <c r="E606" i="5" s="1"/>
  <c r="D599" i="5"/>
  <c r="I197" i="15"/>
  <c r="J197" i="14"/>
  <c r="I435" i="14"/>
  <c r="J435" i="13"/>
  <c r="I265" i="14"/>
  <c r="J265" i="13"/>
  <c r="R537" i="15"/>
  <c r="O537" i="16"/>
  <c r="D647" i="14"/>
  <c r="J646" i="13"/>
  <c r="J656" i="13" s="1"/>
  <c r="D656" i="13"/>
  <c r="R547" i="16"/>
  <c r="P554" i="20"/>
  <c r="I144" i="15"/>
  <c r="J144" i="14"/>
  <c r="I274" i="15"/>
  <c r="J274" i="14"/>
  <c r="O297" i="15"/>
  <c r="R297" i="14"/>
  <c r="J249" i="14"/>
  <c r="I249" i="15"/>
  <c r="I60" i="10"/>
  <c r="J60" i="9"/>
  <c r="I367" i="15"/>
  <c r="J367" i="14"/>
  <c r="I74" i="13"/>
  <c r="J74" i="10"/>
  <c r="I462" i="15"/>
  <c r="J462" i="14"/>
  <c r="I222" i="15"/>
  <c r="J222" i="14"/>
  <c r="I284" i="15"/>
  <c r="J284" i="14"/>
  <c r="E609" i="15"/>
  <c r="D601" i="15" s="1"/>
  <c r="O601" i="15" s="1"/>
  <c r="E608" i="15"/>
  <c r="I290" i="15"/>
  <c r="J290" i="14"/>
  <c r="I298" i="15"/>
  <c r="J298" i="14"/>
  <c r="I329" i="14"/>
  <c r="J329" i="13"/>
  <c r="I102" i="15"/>
  <c r="J102" i="14"/>
  <c r="I229" i="16"/>
  <c r="J229" i="15"/>
  <c r="I309" i="14"/>
  <c r="J309" i="13"/>
  <c r="I35" i="15"/>
  <c r="J35" i="14"/>
  <c r="I240" i="15"/>
  <c r="J240" i="14"/>
  <c r="R246" i="13"/>
  <c r="R240" i="13" s="1"/>
  <c r="O246" i="14"/>
  <c r="I565" i="15"/>
  <c r="J565" i="14"/>
  <c r="P308" i="23"/>
  <c r="T308" i="23" s="1"/>
  <c r="T308" i="20"/>
  <c r="I94" i="15"/>
  <c r="J94" i="14"/>
  <c r="O156" i="9"/>
  <c r="O155" i="9" s="1"/>
  <c r="R157" i="9"/>
  <c r="R156" i="9" s="1"/>
  <c r="R155" i="9" s="1"/>
  <c r="O157" i="10"/>
  <c r="O588" i="13"/>
  <c r="R589" i="13"/>
  <c r="R588" i="13" s="1"/>
  <c r="O589" i="14"/>
  <c r="I85" i="13"/>
  <c r="J85" i="10"/>
  <c r="I386" i="14"/>
  <c r="J386" i="13"/>
  <c r="P386" i="20"/>
  <c r="R383" i="16"/>
  <c r="I71" i="13"/>
  <c r="J71" i="10"/>
  <c r="I37" i="15"/>
  <c r="J37" i="14"/>
  <c r="P355" i="23"/>
  <c r="T355" i="23" s="1"/>
  <c r="T355" i="20"/>
  <c r="O502" i="16"/>
  <c r="R502" i="15"/>
  <c r="I447" i="14"/>
  <c r="J447" i="13"/>
  <c r="R364" i="15"/>
  <c r="O364" i="16"/>
  <c r="P511" i="23"/>
  <c r="T511" i="23" s="1"/>
  <c r="T511" i="20"/>
  <c r="O240" i="13"/>
  <c r="O28" i="13"/>
  <c r="R29" i="13"/>
  <c r="R28" i="13" s="1"/>
  <c r="O29" i="14"/>
  <c r="R187" i="14"/>
  <c r="O187" i="15"/>
  <c r="I261" i="14"/>
  <c r="J261" i="13"/>
  <c r="T303" i="20"/>
  <c r="P303" i="23"/>
  <c r="T303" i="23" s="1"/>
  <c r="R191" i="14"/>
  <c r="O191" i="15"/>
  <c r="R234" i="14"/>
  <c r="O234" i="15"/>
  <c r="T353" i="20"/>
  <c r="P353" i="23"/>
  <c r="T353" i="23" s="1"/>
  <c r="R136" i="10"/>
  <c r="O136" i="13"/>
  <c r="I198" i="15"/>
  <c r="J198" i="14"/>
  <c r="I498" i="14"/>
  <c r="J498" i="13"/>
  <c r="I217" i="16"/>
  <c r="J217" i="15"/>
  <c r="I237" i="15"/>
  <c r="J237" i="14"/>
  <c r="I508" i="14"/>
  <c r="J508" i="13"/>
  <c r="I411" i="14"/>
  <c r="J411" i="13"/>
  <c r="R536" i="14"/>
  <c r="O536" i="15"/>
  <c r="O393" i="15"/>
  <c r="R393" i="14"/>
  <c r="R330" i="13"/>
  <c r="O330" i="14"/>
  <c r="P523" i="20"/>
  <c r="R516" i="16"/>
  <c r="I328" i="15"/>
  <c r="J328" i="14"/>
  <c r="I41" i="9"/>
  <c r="J41" i="7"/>
  <c r="I146" i="15"/>
  <c r="J146" i="14"/>
  <c r="J147" i="14"/>
  <c r="I147" i="15"/>
  <c r="P330" i="23"/>
  <c r="T330" i="23" s="1"/>
  <c r="T330" i="20"/>
  <c r="I334" i="15"/>
  <c r="J334" i="14"/>
  <c r="P297" i="23"/>
  <c r="T297" i="23" s="1"/>
  <c r="T297" i="20"/>
  <c r="I235" i="15"/>
  <c r="J235" i="14"/>
  <c r="O56" i="9"/>
  <c r="R56" i="7"/>
  <c r="R287" i="13"/>
  <c r="O287" i="14"/>
  <c r="P459" i="20"/>
  <c r="R455" i="16"/>
  <c r="I449" i="14"/>
  <c r="J449" i="13"/>
  <c r="I184" i="15"/>
  <c r="J184" i="14"/>
  <c r="P19" i="10"/>
  <c r="I575" i="15"/>
  <c r="J575" i="14"/>
  <c r="I66" i="15"/>
  <c r="J66" i="14"/>
  <c r="I402" i="14"/>
  <c r="J402" i="13"/>
  <c r="P212" i="20"/>
  <c r="R209" i="16"/>
  <c r="R454" i="14"/>
  <c r="O454" i="15"/>
  <c r="T550" i="20"/>
  <c r="P550" i="23"/>
  <c r="T550" i="23" s="1"/>
  <c r="I36" i="9"/>
  <c r="J36" i="7"/>
  <c r="R251" i="15"/>
  <c r="O251" i="16"/>
  <c r="P352" i="20"/>
  <c r="R349" i="16"/>
  <c r="I469" i="15"/>
  <c r="J469" i="14"/>
  <c r="R342" i="13"/>
  <c r="O342" i="14"/>
  <c r="I463" i="15"/>
  <c r="J463" i="14"/>
  <c r="I193" i="15"/>
  <c r="J193" i="14"/>
  <c r="R193" i="13"/>
  <c r="O193" i="14"/>
  <c r="I400" i="15"/>
  <c r="J400" i="14"/>
  <c r="I246" i="15"/>
  <c r="J246" i="14"/>
  <c r="I281" i="14"/>
  <c r="J281" i="13"/>
  <c r="I123" i="15"/>
  <c r="J123" i="14"/>
  <c r="R376" i="15"/>
  <c r="O376" i="16"/>
  <c r="R526" i="16"/>
  <c r="P533" i="20"/>
  <c r="R204" i="14"/>
  <c r="O204" i="15"/>
  <c r="I501" i="14"/>
  <c r="J501" i="13"/>
  <c r="I559" i="15"/>
  <c r="J559" i="14"/>
  <c r="I43" i="15"/>
  <c r="J43" i="14"/>
  <c r="O503" i="16"/>
  <c r="R503" i="15"/>
  <c r="I191" i="15"/>
  <c r="J191" i="14"/>
  <c r="I51" i="9"/>
  <c r="J51" i="7"/>
  <c r="I75" i="13"/>
  <c r="J75" i="10"/>
  <c r="O175" i="10"/>
  <c r="O176" i="13"/>
  <c r="R176" i="10"/>
  <c r="R175" i="10" s="1"/>
  <c r="O453" i="15"/>
  <c r="R453" i="14"/>
  <c r="O69" i="10"/>
  <c r="R69" i="9"/>
  <c r="I135" i="15"/>
  <c r="J135" i="14"/>
  <c r="R59" i="9"/>
  <c r="O59" i="10"/>
  <c r="I339" i="14"/>
  <c r="J339" i="13"/>
  <c r="I438" i="15"/>
  <c r="J438" i="14"/>
  <c r="R475" i="10"/>
  <c r="R474" i="10" s="1"/>
  <c r="O474" i="10"/>
  <c r="O475" i="13"/>
  <c r="I521" i="15"/>
  <c r="J521" i="14"/>
  <c r="I33" i="9"/>
  <c r="J33" i="7"/>
  <c r="P188" i="20"/>
  <c r="R185" i="16"/>
  <c r="I241" i="15"/>
  <c r="J241" i="14"/>
  <c r="I547" i="15"/>
  <c r="J547" i="14"/>
  <c r="I494" i="14"/>
  <c r="J494" i="13"/>
  <c r="O518" i="16"/>
  <c r="R518" i="15"/>
  <c r="I491" i="14"/>
  <c r="J491" i="13"/>
  <c r="R195" i="14"/>
  <c r="O195" i="15"/>
  <c r="R189" i="13"/>
  <c r="O189" i="14"/>
  <c r="O441" i="15"/>
  <c r="R441" i="14"/>
  <c r="R505" i="14"/>
  <c r="O505" i="15"/>
  <c r="O353" i="15"/>
  <c r="R353" i="14"/>
  <c r="I166" i="15"/>
  <c r="J166" i="14"/>
  <c r="R64" i="13"/>
  <c r="O64" i="14"/>
  <c r="I523" i="15"/>
  <c r="J523" i="14"/>
  <c r="I473" i="15"/>
  <c r="J473" i="14"/>
  <c r="I238" i="15"/>
  <c r="J238" i="14"/>
  <c r="I186" i="15"/>
  <c r="J186" i="14"/>
  <c r="I392" i="15"/>
  <c r="J392" i="14"/>
  <c r="R472" i="15"/>
  <c r="O472" i="16"/>
  <c r="I100" i="15"/>
  <c r="J100" i="14"/>
  <c r="I587" i="15"/>
  <c r="J587" i="14"/>
  <c r="I529" i="15"/>
  <c r="J529" i="14"/>
  <c r="O222" i="9"/>
  <c r="R223" i="9"/>
  <c r="R222" i="9" s="1"/>
  <c r="O223" i="10"/>
  <c r="I373" i="14"/>
  <c r="J373" i="13"/>
  <c r="J212" i="14"/>
  <c r="I212" i="15"/>
  <c r="I355" i="14"/>
  <c r="J355" i="13"/>
  <c r="I181" i="15"/>
  <c r="J181" i="14"/>
  <c r="I201" i="15"/>
  <c r="J201" i="14"/>
  <c r="I89" i="13"/>
  <c r="J89" i="10"/>
  <c r="I137" i="15"/>
  <c r="J137" i="14"/>
  <c r="I318" i="15"/>
  <c r="J318" i="14"/>
  <c r="I79" i="15"/>
  <c r="J79" i="14"/>
  <c r="I57" i="15"/>
  <c r="J57" i="14"/>
  <c r="I354" i="15"/>
  <c r="J354" i="14"/>
  <c r="I248" i="15"/>
  <c r="J248" i="14"/>
  <c r="R512" i="13"/>
  <c r="R508" i="13" s="1"/>
  <c r="O512" i="14"/>
  <c r="O508" i="13"/>
  <c r="R249" i="15"/>
  <c r="O249" i="16"/>
  <c r="R181" i="13"/>
  <c r="O181" i="14"/>
  <c r="I518" i="14"/>
  <c r="J518" i="13"/>
  <c r="I226" i="15"/>
  <c r="J226" i="14"/>
  <c r="R572" i="13"/>
  <c r="O572" i="14"/>
  <c r="I49" i="7"/>
  <c r="J49" i="5"/>
  <c r="I526" i="14"/>
  <c r="J526" i="13"/>
  <c r="I111" i="15"/>
  <c r="J111" i="14"/>
  <c r="O345" i="15"/>
  <c r="R345" i="14"/>
  <c r="R90" i="10"/>
  <c r="O90" i="13"/>
  <c r="I581" i="15"/>
  <c r="J581" i="14"/>
  <c r="I566" i="14"/>
  <c r="J566" i="13"/>
  <c r="I407" i="14"/>
  <c r="J407" i="13"/>
  <c r="I188" i="15"/>
  <c r="J188" i="14"/>
  <c r="R551" i="14"/>
  <c r="O551" i="15"/>
  <c r="I583" i="15"/>
  <c r="J583" i="14"/>
  <c r="O162" i="14"/>
  <c r="R162" i="13"/>
  <c r="I324" i="15"/>
  <c r="J324" i="14"/>
  <c r="P195" i="23"/>
  <c r="T195" i="23" s="1"/>
  <c r="T195" i="20"/>
  <c r="D691" i="20"/>
  <c r="F697" i="20"/>
  <c r="F698" i="20" s="1"/>
  <c r="R264" i="15"/>
  <c r="O264" i="16"/>
  <c r="I267" i="15"/>
  <c r="J267" i="14"/>
  <c r="R279" i="13"/>
  <c r="O279" i="14"/>
  <c r="I502" i="14"/>
  <c r="J502" i="13"/>
  <c r="O430" i="16"/>
  <c r="R430" i="15"/>
  <c r="I95" i="15"/>
  <c r="J95" i="14"/>
  <c r="R259" i="10"/>
  <c r="O259" i="13"/>
  <c r="O520" i="10"/>
  <c r="O507" i="10" s="1"/>
  <c r="O521" i="13"/>
  <c r="R521" i="10"/>
  <c r="R520" i="10" s="1"/>
  <c r="R507" i="10" s="1"/>
  <c r="I67" i="15"/>
  <c r="J67" i="14"/>
  <c r="I223" i="15"/>
  <c r="J223" i="14"/>
  <c r="R139" i="10"/>
  <c r="I250" i="15"/>
  <c r="J250" i="14"/>
  <c r="O138" i="15"/>
  <c r="R138" i="14"/>
  <c r="P552" i="23"/>
  <c r="T552" i="23" s="1"/>
  <c r="T552" i="20"/>
  <c r="I395" i="14"/>
  <c r="J395" i="13"/>
  <c r="I359" i="14"/>
  <c r="J359" i="13"/>
  <c r="I349" i="14"/>
  <c r="J349" i="13"/>
  <c r="I322" i="15"/>
  <c r="J322" i="14"/>
  <c r="I187" i="15"/>
  <c r="J187" i="14"/>
  <c r="P266" i="20"/>
  <c r="R263" i="16"/>
  <c r="I496" i="14"/>
  <c r="J496" i="13"/>
  <c r="J524" i="13"/>
  <c r="I524" i="14"/>
  <c r="I426" i="14"/>
  <c r="J426" i="13"/>
  <c r="O50" i="7"/>
  <c r="R50" i="5"/>
  <c r="R48" i="15"/>
  <c r="O48" i="16"/>
  <c r="R167" i="15"/>
  <c r="O167" i="16"/>
  <c r="O151" i="14"/>
  <c r="R151" i="13"/>
  <c r="I325" i="14"/>
  <c r="J325" i="13"/>
  <c r="O133" i="15"/>
  <c r="R133" i="14"/>
  <c r="R88" i="13"/>
  <c r="O88" i="14"/>
  <c r="P388" i="23"/>
  <c r="T388" i="23" s="1"/>
  <c r="T388" i="20"/>
  <c r="P161" i="20"/>
  <c r="R158" i="16"/>
  <c r="I169" i="15"/>
  <c r="J169" i="14"/>
  <c r="I283" i="15"/>
  <c r="J283" i="14"/>
  <c r="O369" i="15"/>
  <c r="R369" i="14"/>
  <c r="I88" i="13"/>
  <c r="J88" i="10"/>
  <c r="I569" i="15"/>
  <c r="J569" i="14"/>
  <c r="R93" i="14"/>
  <c r="O93" i="15"/>
  <c r="I585" i="15"/>
  <c r="J585" i="14"/>
  <c r="P284" i="23"/>
  <c r="T284" i="23" s="1"/>
  <c r="T284" i="20"/>
  <c r="I92" i="13"/>
  <c r="J92" i="10"/>
  <c r="P518" i="23"/>
  <c r="T518" i="23" s="1"/>
  <c r="T518" i="20"/>
  <c r="O252" i="16"/>
  <c r="R252" i="15"/>
  <c r="O283" i="16"/>
  <c r="R283" i="15"/>
  <c r="I159" i="15"/>
  <c r="J159" i="14"/>
  <c r="I497" i="14"/>
  <c r="J497" i="13"/>
  <c r="I52" i="15"/>
  <c r="J52" i="14"/>
  <c r="T125" i="20"/>
  <c r="P125" i="23"/>
  <c r="T125" i="23" s="1"/>
  <c r="I484" i="14"/>
  <c r="J484" i="13"/>
  <c r="I442" i="15"/>
  <c r="J442" i="14"/>
  <c r="R328" i="7"/>
  <c r="P551" i="20"/>
  <c r="R544" i="16"/>
  <c r="O395" i="9"/>
  <c r="R396" i="9"/>
  <c r="R395" i="9" s="1"/>
  <c r="O396" i="10"/>
  <c r="R125" i="15"/>
  <c r="O125" i="16"/>
  <c r="I486" i="14"/>
  <c r="J486" i="13"/>
  <c r="I545" i="15"/>
  <c r="J545" i="14"/>
  <c r="I421" i="14"/>
  <c r="J421" i="13"/>
  <c r="R584" i="13"/>
  <c r="O584" i="14"/>
  <c r="R152" i="16"/>
  <c r="P155" i="20"/>
  <c r="I56" i="9"/>
  <c r="J56" i="7"/>
  <c r="I131" i="15"/>
  <c r="J131" i="14"/>
  <c r="I99" i="15"/>
  <c r="J99" i="14"/>
  <c r="P83" i="20"/>
  <c r="R81" i="16"/>
  <c r="R200" i="15"/>
  <c r="O200" i="16"/>
  <c r="T404" i="20"/>
  <c r="P404" i="23"/>
  <c r="T404" i="23" s="1"/>
  <c r="R577" i="14"/>
  <c r="O577" i="15"/>
  <c r="I269" i="14"/>
  <c r="J269" i="13"/>
  <c r="F699" i="23"/>
  <c r="F700" i="23"/>
  <c r="D692" i="23" s="1"/>
  <c r="P692" i="23" s="1"/>
  <c r="I490" i="14"/>
  <c r="J490" i="13"/>
  <c r="O571" i="15"/>
  <c r="R571" i="14"/>
  <c r="P376" i="20"/>
  <c r="R373" i="16"/>
  <c r="I416" i="15"/>
  <c r="J416" i="14"/>
  <c r="I458" i="15"/>
  <c r="J458" i="14"/>
  <c r="I239" i="15"/>
  <c r="J239" i="14"/>
  <c r="R293" i="15"/>
  <c r="O293" i="16"/>
  <c r="R76" i="13"/>
  <c r="O76" i="14"/>
  <c r="R213" i="13"/>
  <c r="O213" i="14"/>
  <c r="O465" i="15"/>
  <c r="R465" i="14"/>
  <c r="O205" i="9"/>
  <c r="O206" i="10"/>
  <c r="R206" i="9"/>
  <c r="R205" i="9" s="1"/>
  <c r="I178" i="15"/>
  <c r="J178" i="14"/>
  <c r="I382" i="14"/>
  <c r="J382" i="13"/>
  <c r="I477" i="15"/>
  <c r="J477" i="14"/>
  <c r="O243" i="16"/>
  <c r="R243" i="15"/>
  <c r="R177" i="14"/>
  <c r="O177" i="15"/>
  <c r="I273" i="14"/>
  <c r="J273" i="13"/>
  <c r="I352" i="15"/>
  <c r="J352" i="14"/>
  <c r="I73" i="13"/>
  <c r="J73" i="10"/>
  <c r="P328" i="23"/>
  <c r="T328" i="23" s="1"/>
  <c r="T328" i="20"/>
  <c r="R399" i="16"/>
  <c r="P402" i="20"/>
  <c r="P467" i="23"/>
  <c r="T467" i="23" s="1"/>
  <c r="T467" i="20"/>
  <c r="I130" i="15"/>
  <c r="F122" i="14"/>
  <c r="F121" i="14"/>
  <c r="J130" i="14"/>
  <c r="I444" i="15"/>
  <c r="J444" i="14"/>
  <c r="I456" i="15"/>
  <c r="J456" i="14"/>
  <c r="I296" i="15"/>
  <c r="J296" i="14"/>
  <c r="D599" i="10"/>
  <c r="E605" i="10"/>
  <c r="E606" i="10" s="1"/>
  <c r="I519" i="15"/>
  <c r="J519" i="14"/>
  <c r="I82" i="15"/>
  <c r="J82" i="14"/>
  <c r="I232" i="15"/>
  <c r="J232" i="14"/>
  <c r="R355" i="14"/>
  <c r="O355" i="15"/>
  <c r="O140" i="13"/>
  <c r="O141" i="14"/>
  <c r="R141" i="13"/>
  <c r="R140" i="13" s="1"/>
  <c r="I158" i="15"/>
  <c r="J158" i="14"/>
  <c r="I304" i="15"/>
  <c r="J304" i="14"/>
  <c r="I175" i="15"/>
  <c r="J175" i="14"/>
  <c r="I55" i="15"/>
  <c r="J55" i="14"/>
  <c r="I357" i="14"/>
  <c r="J357" i="13"/>
  <c r="R72" i="9"/>
  <c r="O72" i="10"/>
  <c r="R229" i="15"/>
  <c r="O229" i="16"/>
  <c r="O89" i="13"/>
  <c r="R89" i="10"/>
  <c r="I399" i="14"/>
  <c r="J399" i="13"/>
  <c r="I482" i="14"/>
  <c r="J482" i="13"/>
  <c r="I540" i="14"/>
  <c r="J540" i="13"/>
  <c r="I520" i="14"/>
  <c r="J520" i="13"/>
  <c r="I136" i="15"/>
  <c r="J136" i="14"/>
  <c r="I533" i="15"/>
  <c r="J533" i="14"/>
  <c r="I346" i="15"/>
  <c r="J346" i="14"/>
  <c r="I47" i="14"/>
  <c r="J47" i="13"/>
  <c r="I227" i="15"/>
  <c r="J227" i="14"/>
  <c r="I270" i="15"/>
  <c r="J270" i="14"/>
  <c r="I58" i="7"/>
  <c r="J58" i="5"/>
  <c r="O131" i="9"/>
  <c r="R132" i="9"/>
  <c r="R131" i="9" s="1"/>
  <c r="O132" i="10"/>
  <c r="O347" i="16"/>
  <c r="R347" i="15"/>
  <c r="P314" i="20"/>
  <c r="R311" i="16"/>
  <c r="I350" i="15"/>
  <c r="J350" i="14"/>
  <c r="I38" i="7"/>
  <c r="J38" i="5"/>
  <c r="I63" i="15"/>
  <c r="J63" i="14"/>
  <c r="I213" i="15"/>
  <c r="J213" i="14"/>
  <c r="I34" i="15"/>
  <c r="J34" i="14"/>
  <c r="P69" i="23"/>
  <c r="T69" i="23" s="1"/>
  <c r="T69" i="20"/>
  <c r="I277" i="14"/>
  <c r="J277" i="13"/>
  <c r="R106" i="16"/>
  <c r="P108" i="20"/>
  <c r="I133" i="15"/>
  <c r="J133" i="14"/>
  <c r="I528" i="14"/>
  <c r="J528" i="13"/>
  <c r="I315" i="15"/>
  <c r="J315" i="14"/>
  <c r="D599" i="1"/>
  <c r="E605" i="1"/>
  <c r="O600" i="1"/>
  <c r="D600" i="1"/>
  <c r="I546" i="14"/>
  <c r="J546" i="13"/>
  <c r="P428" i="23"/>
  <c r="T428" i="23" s="1"/>
  <c r="T428" i="20"/>
  <c r="I316" i="15"/>
  <c r="J316" i="14"/>
  <c r="O468" i="15"/>
  <c r="R468" i="14"/>
  <c r="O107" i="13"/>
  <c r="R108" i="13"/>
  <c r="I308" i="15"/>
  <c r="J308" i="14"/>
  <c r="I471" i="14"/>
  <c r="J471" i="13"/>
  <c r="I276" i="15"/>
  <c r="J276" i="14"/>
  <c r="I510" i="14"/>
  <c r="J510" i="13"/>
  <c r="O161" i="16"/>
  <c r="R161" i="15"/>
  <c r="I294" i="15"/>
  <c r="J294" i="14"/>
  <c r="I307" i="15"/>
  <c r="J307" i="14"/>
  <c r="I70" i="10"/>
  <c r="J70" i="9"/>
  <c r="R590" i="15"/>
  <c r="O590" i="16"/>
  <c r="O226" i="9"/>
  <c r="O225" i="9" s="1"/>
  <c r="R227" i="9"/>
  <c r="R226" i="9" s="1"/>
  <c r="R225" i="9" s="1"/>
  <c r="O227" i="10"/>
  <c r="I383" i="14"/>
  <c r="J383" i="13"/>
  <c r="O288" i="14"/>
  <c r="R288" i="13"/>
  <c r="O170" i="14"/>
  <c r="R171" i="14"/>
  <c r="R170" i="14" s="1"/>
  <c r="O171" i="15"/>
  <c r="I439" i="14"/>
  <c r="J439" i="13"/>
  <c r="R239" i="16"/>
  <c r="P242" i="20"/>
  <c r="I210" i="15"/>
  <c r="J210" i="14"/>
  <c r="T323" i="20"/>
  <c r="P323" i="23"/>
  <c r="T323" i="23" s="1"/>
  <c r="I513" i="14"/>
  <c r="J513" i="13"/>
  <c r="I360" i="15"/>
  <c r="J360" i="14"/>
  <c r="I177" i="15"/>
  <c r="J177" i="14"/>
  <c r="I332" i="15"/>
  <c r="J332" i="14"/>
  <c r="R483" i="10"/>
  <c r="R482" i="10" s="1"/>
  <c r="R481" i="10" s="1"/>
  <c r="O482" i="10"/>
  <c r="O481" i="10" s="1"/>
  <c r="O483" i="13"/>
  <c r="I185" i="15"/>
  <c r="J185" i="14"/>
  <c r="J192" i="14"/>
  <c r="I192" i="15"/>
  <c r="J145" i="20"/>
  <c r="J142" i="16"/>
  <c r="I205" i="15"/>
  <c r="J205" i="14"/>
  <c r="I127" i="15"/>
  <c r="J127" i="14"/>
  <c r="I323" i="15"/>
  <c r="J323" i="14"/>
  <c r="I541" i="15"/>
  <c r="J541" i="14"/>
  <c r="O116" i="14"/>
  <c r="R116" i="13"/>
  <c r="I372" i="15"/>
  <c r="J372" i="14"/>
  <c r="R99" i="13"/>
  <c r="O99" i="14"/>
  <c r="I260" i="15"/>
  <c r="J260" i="14"/>
  <c r="I243" i="15"/>
  <c r="J243" i="14"/>
  <c r="P498" i="23"/>
  <c r="T498" i="23" s="1"/>
  <c r="T498" i="20"/>
  <c r="T197" i="20"/>
  <c r="P197" i="23"/>
  <c r="T197" i="23" s="1"/>
  <c r="O556" i="15"/>
  <c r="R556" i="14"/>
  <c r="I369" i="14"/>
  <c r="J369" i="13"/>
  <c r="I230" i="15"/>
  <c r="J230" i="14"/>
  <c r="N596" i="2"/>
  <c r="P20" i="2"/>
  <c r="P21" i="2" s="1"/>
  <c r="T19" i="2" s="1"/>
  <c r="T20" i="2" s="1"/>
  <c r="T21" i="2" s="1"/>
  <c r="P18" i="2"/>
  <c r="P19" i="2" s="1"/>
  <c r="I310" i="15"/>
  <c r="J310" i="14"/>
  <c r="I327" i="14"/>
  <c r="J327" i="13"/>
  <c r="O139" i="10"/>
  <c r="I291" i="15"/>
  <c r="J291" i="14"/>
  <c r="I530" i="14"/>
  <c r="J530" i="13"/>
  <c r="R31" i="10"/>
  <c r="O31" i="13"/>
  <c r="R74" i="10"/>
  <c r="O74" i="13"/>
  <c r="R207" i="15"/>
  <c r="O207" i="16"/>
  <c r="I214" i="15"/>
  <c r="J214" i="14"/>
  <c r="I440" i="15"/>
  <c r="J440" i="14"/>
  <c r="O208" i="13"/>
  <c r="R208" i="10"/>
  <c r="I464" i="15"/>
  <c r="J464" i="14"/>
  <c r="I543" i="15"/>
  <c r="J543" i="14"/>
  <c r="O284" i="16"/>
  <c r="R284" i="15"/>
  <c r="I503" i="14"/>
  <c r="J503" i="13"/>
  <c r="I170" i="15"/>
  <c r="J170" i="14"/>
  <c r="I573" i="15"/>
  <c r="J573" i="14"/>
  <c r="O410" i="15"/>
  <c r="R410" i="14"/>
  <c r="O27" i="2"/>
  <c r="O592" i="2" s="1"/>
  <c r="I493" i="15"/>
  <c r="J493" i="14"/>
  <c r="I278" i="15"/>
  <c r="J278" i="14"/>
  <c r="O583" i="15"/>
  <c r="R583" i="14"/>
  <c r="I468" i="14"/>
  <c r="J468" i="13"/>
  <c r="I244" i="15"/>
  <c r="J244" i="14"/>
  <c r="I155" i="15"/>
  <c r="J155" i="14"/>
  <c r="O437" i="15"/>
  <c r="R437" i="14"/>
  <c r="O321" i="15"/>
  <c r="R321" i="14"/>
  <c r="I282" i="15"/>
  <c r="J282" i="14"/>
  <c r="O538" i="16"/>
  <c r="R538" i="15"/>
  <c r="O44" i="15"/>
  <c r="R44" i="14"/>
  <c r="I515" i="15"/>
  <c r="J515" i="14"/>
  <c r="I361" i="14"/>
  <c r="J361" i="13"/>
  <c r="I69" i="13"/>
  <c r="J69" i="10"/>
  <c r="R97" i="14"/>
  <c r="O97" i="15"/>
  <c r="R295" i="15"/>
  <c r="O295" i="16"/>
  <c r="I571" i="15"/>
  <c r="J571" i="14"/>
  <c r="I279" i="15"/>
  <c r="J279" i="14"/>
  <c r="O331" i="10"/>
  <c r="R331" i="9"/>
  <c r="R329" i="9" s="1"/>
  <c r="R328" i="9" s="1"/>
  <c r="O329" i="9"/>
  <c r="O328" i="9" s="1"/>
  <c r="I365" i="14"/>
  <c r="J365" i="13"/>
  <c r="I32" i="9"/>
  <c r="J32" i="7"/>
  <c r="I335" i="14"/>
  <c r="J335" i="13"/>
  <c r="P240" i="23"/>
  <c r="T240" i="23" s="1"/>
  <c r="T240" i="20"/>
  <c r="I495" i="14"/>
  <c r="J495" i="13"/>
  <c r="P111" i="23"/>
  <c r="T111" i="23" s="1"/>
  <c r="T111" i="20"/>
  <c r="I487" i="14"/>
  <c r="J487" i="13"/>
  <c r="I266" i="15"/>
  <c r="J266" i="14"/>
  <c r="T526" i="20"/>
  <c r="P526" i="23"/>
  <c r="T526" i="23" s="1"/>
  <c r="R272" i="16"/>
  <c r="P275" i="20"/>
  <c r="I312" i="15"/>
  <c r="J312" i="14"/>
  <c r="P326" i="20"/>
  <c r="R323" i="16"/>
  <c r="I326" i="15"/>
  <c r="J326" i="14"/>
  <c r="I40" i="9"/>
  <c r="J40" i="7"/>
  <c r="I245" i="15"/>
  <c r="J245" i="14"/>
  <c r="I391" i="14"/>
  <c r="J391" i="13"/>
  <c r="O291" i="15"/>
  <c r="R292" i="15"/>
  <c r="O292" i="16"/>
  <c r="I86" i="15"/>
  <c r="J86" i="14"/>
  <c r="I262" i="15"/>
  <c r="J262" i="14"/>
  <c r="R114" i="15"/>
  <c r="O114" i="16"/>
  <c r="R135" i="13"/>
  <c r="O135" i="14"/>
  <c r="I441" i="14"/>
  <c r="J441" i="13"/>
  <c r="I297" i="14"/>
  <c r="J297" i="13"/>
  <c r="J109" i="14"/>
  <c r="I109" i="15"/>
  <c r="J208" i="14"/>
  <c r="I208" i="15"/>
  <c r="I299" i="15"/>
  <c r="J299" i="14"/>
  <c r="R484" i="14"/>
  <c r="O484" i="15"/>
  <c r="I387" i="14"/>
  <c r="J387" i="13"/>
  <c r="P369" i="20"/>
  <c r="R366" i="16"/>
  <c r="I509" i="14"/>
  <c r="J509" i="13"/>
  <c r="I190" i="15"/>
  <c r="J190" i="14"/>
  <c r="I356" i="15"/>
  <c r="J356" i="14"/>
  <c r="I233" i="15"/>
  <c r="J233" i="14"/>
  <c r="R403" i="16"/>
  <c r="P406" i="20"/>
  <c r="I588" i="15"/>
  <c r="J588" i="14"/>
  <c r="R481" i="9"/>
  <c r="I381" i="14"/>
  <c r="J381" i="13"/>
  <c r="O426" i="16"/>
  <c r="R426" i="15"/>
  <c r="P502" i="23"/>
  <c r="T502" i="23" s="1"/>
  <c r="T502" i="20"/>
  <c r="R486" i="16"/>
  <c r="P493" i="20"/>
  <c r="O371" i="16"/>
  <c r="R371" i="15"/>
  <c r="I306" i="15"/>
  <c r="J306" i="14"/>
  <c r="O186" i="16"/>
  <c r="R186" i="15"/>
  <c r="I125" i="15"/>
  <c r="J125" i="14"/>
  <c r="R375" i="10"/>
  <c r="O375" i="13"/>
  <c r="I83" i="13"/>
  <c r="J83" i="10"/>
  <c r="I242" i="15"/>
  <c r="J242" i="14"/>
  <c r="R45" i="14"/>
  <c r="O45" i="15"/>
  <c r="I404" i="15"/>
  <c r="J404" i="14"/>
  <c r="I46" i="14"/>
  <c r="J46" i="13"/>
  <c r="I574" i="15"/>
  <c r="J574" i="14"/>
  <c r="I385" i="14"/>
  <c r="J385" i="13"/>
  <c r="I103" i="15"/>
  <c r="J103" i="14"/>
  <c r="I406" i="14"/>
  <c r="J406" i="13"/>
  <c r="R462" i="15"/>
  <c r="O462" i="16"/>
  <c r="O478" i="16"/>
  <c r="R478" i="15"/>
  <c r="R444" i="16"/>
  <c r="P448" i="20"/>
  <c r="I101" i="16"/>
  <c r="J101" i="15"/>
  <c r="R525" i="15"/>
  <c r="O525" i="16"/>
  <c r="P217" i="20"/>
  <c r="R214" i="16"/>
  <c r="R510" i="16"/>
  <c r="P517" i="20"/>
  <c r="O365" i="15"/>
  <c r="R365" i="14"/>
  <c r="R78" i="13"/>
  <c r="O78" i="14"/>
  <c r="I424" i="15"/>
  <c r="J424" i="14"/>
  <c r="O459" i="14"/>
  <c r="R459" i="13"/>
  <c r="P288" i="23"/>
  <c r="T288" i="23" s="1"/>
  <c r="T288" i="20"/>
  <c r="R565" i="14"/>
  <c r="O565" i="15"/>
  <c r="I145" i="15"/>
  <c r="J145" i="14"/>
  <c r="I255" i="15"/>
  <c r="J255" i="14"/>
  <c r="I562" i="14"/>
  <c r="J562" i="13"/>
  <c r="R460" i="16"/>
  <c r="P464" i="20"/>
  <c r="I537" i="15"/>
  <c r="J537" i="14"/>
  <c r="I531" i="15"/>
  <c r="J531" i="14"/>
  <c r="J489" i="14"/>
  <c r="I489" i="15"/>
  <c r="R32" i="5"/>
  <c r="R30" i="5" s="1"/>
  <c r="O30" i="5"/>
  <c r="O32" i="7"/>
  <c r="P317" i="23"/>
  <c r="T317" i="23" s="1"/>
  <c r="T317" i="20"/>
  <c r="I303" i="15"/>
  <c r="J303" i="14"/>
  <c r="I506" i="14"/>
  <c r="J506" i="13"/>
  <c r="I433" i="14"/>
  <c r="J433" i="13"/>
  <c r="T309" i="20"/>
  <c r="P309" i="23"/>
  <c r="T309" i="23" s="1"/>
  <c r="I301" i="14"/>
  <c r="J301" i="13"/>
  <c r="R299" i="10"/>
  <c r="R296" i="10" s="1"/>
  <c r="O299" i="13"/>
  <c r="O296" i="10"/>
  <c r="I81" i="16"/>
  <c r="J81" i="15"/>
  <c r="I98" i="15"/>
  <c r="J98" i="14"/>
  <c r="O442" i="14"/>
  <c r="R442" i="13"/>
  <c r="I183" i="15"/>
  <c r="J183" i="14"/>
  <c r="J180" i="14"/>
  <c r="I180" i="15"/>
  <c r="I59" i="10"/>
  <c r="J59" i="9"/>
  <c r="I403" i="14"/>
  <c r="J403" i="13"/>
  <c r="I176" i="15"/>
  <c r="J176" i="14"/>
  <c r="I259" i="15"/>
  <c r="J259" i="14"/>
  <c r="I173" i="15"/>
  <c r="J173" i="14"/>
  <c r="I157" i="15"/>
  <c r="J157" i="14"/>
  <c r="R432" i="13"/>
  <c r="O432" i="14"/>
  <c r="I348" i="15"/>
  <c r="J348" i="14"/>
  <c r="I536" i="14"/>
  <c r="J536" i="13"/>
  <c r="R137" i="15"/>
  <c r="O137" i="16"/>
  <c r="I572" i="15"/>
  <c r="J572" i="14"/>
  <c r="P19" i="16"/>
  <c r="O445" i="15"/>
  <c r="R445" i="14"/>
  <c r="R318" i="13"/>
  <c r="O318" i="14"/>
  <c r="O473" i="15"/>
  <c r="R473" i="14"/>
  <c r="I422" i="14"/>
  <c r="J422" i="13"/>
  <c r="P392" i="23"/>
  <c r="T392" i="23" s="1"/>
  <c r="T392" i="20"/>
  <c r="P569" i="23"/>
  <c r="T569" i="23" s="1"/>
  <c r="T569" i="20"/>
  <c r="I50" i="7"/>
  <c r="J50" i="5"/>
  <c r="I534" i="14"/>
  <c r="J534" i="13"/>
  <c r="I211" i="15"/>
  <c r="J211" i="14"/>
  <c r="O35" i="5"/>
  <c r="O36" i="7"/>
  <c r="R36" i="5"/>
  <c r="R35" i="5" s="1"/>
  <c r="I393" i="14"/>
  <c r="J393" i="13"/>
  <c r="I256" i="15"/>
  <c r="J256" i="14"/>
  <c r="I401" i="14"/>
  <c r="J401" i="13"/>
  <c r="P387" i="20"/>
  <c r="R384" i="16"/>
  <c r="I470" i="14"/>
  <c r="J470" i="13"/>
  <c r="P58" i="23"/>
  <c r="T58" i="23" s="1"/>
  <c r="T58" i="20"/>
  <c r="I72" i="10"/>
  <c r="J72" i="9"/>
  <c r="I465" i="14"/>
  <c r="J465" i="13"/>
  <c r="I132" i="15"/>
  <c r="J132" i="14"/>
  <c r="I454" i="15"/>
  <c r="J454" i="14"/>
  <c r="D656" i="16"/>
  <c r="J654" i="15"/>
  <c r="I557" i="15"/>
  <c r="J557" i="14"/>
  <c r="I286" i="15"/>
  <c r="J286" i="14"/>
  <c r="O164" i="16"/>
  <c r="R164" i="15"/>
  <c r="I264" i="15"/>
  <c r="J264" i="14"/>
  <c r="I479" i="14"/>
  <c r="J479" i="13"/>
  <c r="I247" i="15"/>
  <c r="J247" i="14"/>
  <c r="R280" i="14"/>
  <c r="O280" i="15"/>
  <c r="R456" i="13"/>
  <c r="O456" i="14"/>
  <c r="I539" i="15"/>
  <c r="J539" i="14"/>
  <c r="I553" i="15"/>
  <c r="J553" i="14"/>
  <c r="P451" i="20"/>
  <c r="R447" i="16"/>
  <c r="R160" i="10"/>
  <c r="O160" i="13"/>
  <c r="J492" i="13"/>
  <c r="I492" i="14"/>
  <c r="I548" i="14"/>
  <c r="J548" i="13"/>
  <c r="I452" i="15"/>
  <c r="J452" i="14"/>
  <c r="I311" i="15"/>
  <c r="J311" i="14"/>
  <c r="O343" i="16"/>
  <c r="R343" i="15"/>
  <c r="R107" i="10"/>
  <c r="I455" i="15"/>
  <c r="J455" i="14"/>
  <c r="I289" i="14"/>
  <c r="J289" i="13"/>
  <c r="T301" i="20"/>
  <c r="P301" i="23"/>
  <c r="T301" i="23" s="1"/>
  <c r="J138" i="14"/>
  <c r="I138" i="15"/>
  <c r="I560" i="15"/>
  <c r="J560" i="14"/>
  <c r="T293" i="20"/>
  <c r="P293" i="23"/>
  <c r="T293" i="23" s="1"/>
  <c r="I505" i="14"/>
  <c r="J505" i="13"/>
  <c r="O328" i="7"/>
  <c r="I460" i="15"/>
  <c r="J460" i="14"/>
  <c r="P522" i="23"/>
  <c r="T522" i="23" s="1"/>
  <c r="T522" i="20"/>
  <c r="R522" i="16"/>
  <c r="P529" i="20"/>
  <c r="I90" i="13"/>
  <c r="J90" i="10"/>
  <c r="I333" i="14"/>
  <c r="J333" i="13"/>
  <c r="I425" i="14"/>
  <c r="J425" i="13"/>
  <c r="O461" i="15"/>
  <c r="R461" i="14"/>
  <c r="I437" i="14"/>
  <c r="J437" i="13"/>
  <c r="I44" i="15"/>
  <c r="J44" i="14"/>
  <c r="O87" i="13"/>
  <c r="R87" i="10"/>
  <c r="O46" i="16"/>
  <c r="R46" i="15"/>
  <c r="I500" i="14"/>
  <c r="J500" i="13"/>
  <c r="T103" i="20"/>
  <c r="P103" i="23"/>
  <c r="T103" i="23" s="1"/>
  <c r="T438" i="20"/>
  <c r="P438" i="23"/>
  <c r="T438" i="23" s="1"/>
  <c r="R159" i="14"/>
  <c r="O159" i="15"/>
  <c r="I466" i="14"/>
  <c r="J466" i="13"/>
  <c r="T176" i="20"/>
  <c r="P176" i="23"/>
  <c r="T176" i="23" s="1"/>
  <c r="I428" i="15"/>
  <c r="J428" i="14"/>
  <c r="I164" i="15"/>
  <c r="J164" i="14"/>
  <c r="I445" i="14"/>
  <c r="J445" i="13"/>
  <c r="I554" i="14"/>
  <c r="J554" i="13"/>
  <c r="I436" i="15"/>
  <c r="J436" i="14"/>
  <c r="P471" i="20"/>
  <c r="R467" i="16"/>
  <c r="P343" i="20"/>
  <c r="R340" i="16"/>
  <c r="I91" i="15"/>
  <c r="J91" i="14"/>
  <c r="I344" i="15"/>
  <c r="J344" i="14"/>
  <c r="I511" i="15"/>
  <c r="J511" i="14"/>
  <c r="O498" i="16"/>
  <c r="R498" i="15"/>
  <c r="I368" i="15"/>
  <c r="J368" i="14"/>
  <c r="O79" i="9"/>
  <c r="O80" i="10"/>
  <c r="R80" i="9"/>
  <c r="R79" i="9" s="1"/>
  <c r="I450" i="15"/>
  <c r="J450" i="14"/>
  <c r="R333" i="13"/>
  <c r="O333" i="14"/>
  <c r="P530" i="23"/>
  <c r="T530" i="23" s="1"/>
  <c r="T530" i="20"/>
  <c r="I268" i="15"/>
  <c r="J268" i="14"/>
  <c r="I564" i="15"/>
  <c r="J564" i="14"/>
  <c r="I207" i="15"/>
  <c r="J207" i="14"/>
  <c r="O390" i="14"/>
  <c r="R390" i="13"/>
  <c r="T382" i="20"/>
  <c r="P382" i="23"/>
  <c r="T382" i="23" s="1"/>
  <c r="O363" i="16"/>
  <c r="R363" i="15"/>
  <c r="P200" i="20"/>
  <c r="R197" i="16"/>
  <c r="I550" i="14"/>
  <c r="J550" i="13"/>
  <c r="I475" i="14"/>
  <c r="J475" i="13"/>
  <c r="I320" i="15"/>
  <c r="J320" i="14"/>
  <c r="R27" i="2"/>
  <c r="R592" i="2" s="1"/>
  <c r="P22" i="2" s="1"/>
  <c r="I39" i="9"/>
  <c r="J39" i="7"/>
  <c r="T132" i="20"/>
  <c r="P132" i="23"/>
  <c r="T132" i="23" s="1"/>
  <c r="O267" i="16"/>
  <c r="R267" i="15"/>
  <c r="P391" i="20"/>
  <c r="R388" i="16"/>
  <c r="O576" i="14"/>
  <c r="R576" i="13"/>
  <c r="I388" i="15"/>
  <c r="J388" i="14"/>
  <c r="P589" i="20"/>
  <c r="R582" i="16"/>
  <c r="I577" i="15"/>
  <c r="J577" i="14"/>
  <c r="I353" i="14"/>
  <c r="J353" i="13"/>
  <c r="O92" i="14"/>
  <c r="R92" i="13"/>
  <c r="I48" i="14"/>
  <c r="J48" i="13"/>
  <c r="R128" i="16"/>
  <c r="P130" i="20"/>
  <c r="I338" i="15"/>
  <c r="J338" i="14"/>
  <c r="I115" i="15"/>
  <c r="J115" i="14"/>
  <c r="P531" i="20"/>
  <c r="R524" i="16"/>
  <c r="I429" i="14"/>
  <c r="J429" i="13"/>
  <c r="I64" i="14"/>
  <c r="J64" i="13"/>
  <c r="I580" i="15"/>
  <c r="J580" i="14"/>
  <c r="I538" i="14"/>
  <c r="J538" i="13"/>
  <c r="O357" i="15"/>
  <c r="R357" i="14"/>
  <c r="I153" i="15"/>
  <c r="J153" i="14"/>
  <c r="R147" i="15"/>
  <c r="O147" i="16"/>
  <c r="I532" i="14"/>
  <c r="J532" i="13"/>
  <c r="P547" i="20"/>
  <c r="R540" i="16"/>
  <c r="E606" i="16"/>
  <c r="E607" i="16" s="1"/>
  <c r="D600" i="16"/>
  <c r="I48" i="15" l="1"/>
  <c r="J48" i="14"/>
  <c r="I465" i="15"/>
  <c r="J465" i="14"/>
  <c r="J403" i="14"/>
  <c r="I403" i="15"/>
  <c r="R583" i="15"/>
  <c r="O583" i="16"/>
  <c r="I369" i="15"/>
  <c r="J369" i="14"/>
  <c r="I178" i="16"/>
  <c r="J178" i="15"/>
  <c r="I159" i="16"/>
  <c r="J159" i="15"/>
  <c r="I585" i="16"/>
  <c r="J585" i="15"/>
  <c r="I67" i="16"/>
  <c r="J67" i="15"/>
  <c r="I526" i="15"/>
  <c r="J526" i="14"/>
  <c r="I587" i="16"/>
  <c r="J587" i="15"/>
  <c r="R124" i="15"/>
  <c r="O124" i="16"/>
  <c r="I431" i="15"/>
  <c r="J431" i="14"/>
  <c r="I330" i="16"/>
  <c r="J330" i="15"/>
  <c r="I120" i="16"/>
  <c r="J120" i="15"/>
  <c r="I263" i="16"/>
  <c r="J263" i="15"/>
  <c r="P557" i="20"/>
  <c r="R550" i="16"/>
  <c r="R58" i="7"/>
  <c r="R53" i="7" s="1"/>
  <c r="R52" i="7" s="1"/>
  <c r="O58" i="9"/>
  <c r="I179" i="16"/>
  <c r="J179" i="15"/>
  <c r="I499" i="15"/>
  <c r="J499" i="14"/>
  <c r="G117" i="14"/>
  <c r="M117" i="14"/>
  <c r="I420" i="16"/>
  <c r="J420" i="15"/>
  <c r="I481" i="16"/>
  <c r="J481" i="15"/>
  <c r="R492" i="15"/>
  <c r="O492" i="16"/>
  <c r="I358" i="16"/>
  <c r="J358" i="15"/>
  <c r="I558" i="15"/>
  <c r="J558" i="14"/>
  <c r="I542" i="15"/>
  <c r="J542" i="14"/>
  <c r="I254" i="16"/>
  <c r="J254" i="15"/>
  <c r="I475" i="15"/>
  <c r="J475" i="14"/>
  <c r="I286" i="16"/>
  <c r="J286" i="15"/>
  <c r="I256" i="16"/>
  <c r="J256" i="15"/>
  <c r="I303" i="16"/>
  <c r="J303" i="15"/>
  <c r="T464" i="20"/>
  <c r="P464" i="23"/>
  <c r="T464" i="23" s="1"/>
  <c r="T217" i="20"/>
  <c r="P217" i="23"/>
  <c r="T217" i="23" s="1"/>
  <c r="I406" i="15"/>
  <c r="J406" i="14"/>
  <c r="I306" i="16"/>
  <c r="J306" i="15"/>
  <c r="O291" i="16"/>
  <c r="R292" i="16"/>
  <c r="P295" i="20"/>
  <c r="P326" i="23"/>
  <c r="T326" i="23" s="1"/>
  <c r="T326" i="20"/>
  <c r="I69" i="14"/>
  <c r="J69" i="13"/>
  <c r="I503" i="15"/>
  <c r="J503" i="14"/>
  <c r="I214" i="16"/>
  <c r="J214" i="15"/>
  <c r="I177" i="16"/>
  <c r="J177" i="15"/>
  <c r="I439" i="15"/>
  <c r="J439" i="14"/>
  <c r="I276" i="16"/>
  <c r="J276" i="15"/>
  <c r="I133" i="16"/>
  <c r="J133" i="15"/>
  <c r="I63" i="16"/>
  <c r="J63" i="15"/>
  <c r="R229" i="16"/>
  <c r="P232" i="20"/>
  <c r="I519" i="16"/>
  <c r="J519" i="15"/>
  <c r="G122" i="14"/>
  <c r="M122" i="14"/>
  <c r="I239" i="16"/>
  <c r="J239" i="15"/>
  <c r="I99" i="16"/>
  <c r="J99" i="15"/>
  <c r="I545" i="16"/>
  <c r="J545" i="15"/>
  <c r="I442" i="16"/>
  <c r="J442" i="15"/>
  <c r="I169" i="16"/>
  <c r="J169" i="15"/>
  <c r="R151" i="14"/>
  <c r="O151" i="15"/>
  <c r="I496" i="15"/>
  <c r="J496" i="14"/>
  <c r="I395" i="15"/>
  <c r="J395" i="14"/>
  <c r="R279" i="14"/>
  <c r="O279" i="15"/>
  <c r="I324" i="16"/>
  <c r="J324" i="15"/>
  <c r="I566" i="15"/>
  <c r="J566" i="14"/>
  <c r="I355" i="15"/>
  <c r="J355" i="14"/>
  <c r="O441" i="16"/>
  <c r="R441" i="15"/>
  <c r="I547" i="16"/>
  <c r="J547" i="15"/>
  <c r="R453" i="15"/>
  <c r="O453" i="16"/>
  <c r="I235" i="16"/>
  <c r="J235" i="15"/>
  <c r="I198" i="16"/>
  <c r="J198" i="15"/>
  <c r="I309" i="15"/>
  <c r="J309" i="14"/>
  <c r="I60" i="13"/>
  <c r="J60" i="10"/>
  <c r="I182" i="16"/>
  <c r="J182" i="15"/>
  <c r="T214" i="20"/>
  <c r="P214" i="23"/>
  <c r="T214" i="23" s="1"/>
  <c r="I336" i="16"/>
  <c r="J336" i="15"/>
  <c r="I236" i="16"/>
  <c r="J236" i="15"/>
  <c r="I384" i="16"/>
  <c r="J384" i="15"/>
  <c r="I374" i="16"/>
  <c r="J374" i="15"/>
  <c r="P503" i="23"/>
  <c r="T503" i="23" s="1"/>
  <c r="T503" i="20"/>
  <c r="O178" i="9"/>
  <c r="I396" i="16"/>
  <c r="J396" i="15"/>
  <c r="R73" i="13"/>
  <c r="O73" i="14"/>
  <c r="I300" i="16"/>
  <c r="J300" i="15"/>
  <c r="O165" i="10"/>
  <c r="R166" i="10"/>
  <c r="R165" i="10" s="1"/>
  <c r="O166" i="13"/>
  <c r="R534" i="16"/>
  <c r="P541" i="20"/>
  <c r="R378" i="16"/>
  <c r="P381" i="20"/>
  <c r="I302" i="16"/>
  <c r="J302" i="15"/>
  <c r="I390" i="15"/>
  <c r="J390" i="14"/>
  <c r="R94" i="10"/>
  <c r="T435" i="20"/>
  <c r="P435" i="23"/>
  <c r="T435" i="23" s="1"/>
  <c r="R54" i="10"/>
  <c r="O54" i="13"/>
  <c r="R122" i="13"/>
  <c r="R120" i="13" s="1"/>
  <c r="O120" i="13"/>
  <c r="P335" i="23"/>
  <c r="T335" i="23" s="1"/>
  <c r="T335" i="20"/>
  <c r="I366" i="16"/>
  <c r="J366" i="15"/>
  <c r="I432" i="16"/>
  <c r="J432" i="15"/>
  <c r="I140" i="16"/>
  <c r="J140" i="15"/>
  <c r="I203" i="16"/>
  <c r="J203" i="15"/>
  <c r="P21" i="5"/>
  <c r="T19" i="5" s="1"/>
  <c r="T20" i="5" s="1"/>
  <c r="T21" i="5" s="1"/>
  <c r="O558" i="16"/>
  <c r="R558" i="15"/>
  <c r="I509" i="15"/>
  <c r="J509" i="14"/>
  <c r="I86" i="16"/>
  <c r="J86" i="15"/>
  <c r="I205" i="16"/>
  <c r="J205" i="15"/>
  <c r="P597" i="20"/>
  <c r="R590" i="16"/>
  <c r="O89" i="14"/>
  <c r="R89" i="13"/>
  <c r="I79" i="16"/>
  <c r="J79" i="15"/>
  <c r="I473" i="16"/>
  <c r="J473" i="15"/>
  <c r="P510" i="20"/>
  <c r="R503" i="16"/>
  <c r="I193" i="16"/>
  <c r="J193" i="15"/>
  <c r="T386" i="20"/>
  <c r="P386" i="23"/>
  <c r="T386" i="23" s="1"/>
  <c r="I94" i="16"/>
  <c r="J94" i="15"/>
  <c r="I570" i="16"/>
  <c r="J570" i="15"/>
  <c r="I394" i="15"/>
  <c r="J394" i="14"/>
  <c r="R241" i="15"/>
  <c r="O241" i="16"/>
  <c r="P456" i="20"/>
  <c r="R452" i="16"/>
  <c r="I375" i="15"/>
  <c r="J375" i="14"/>
  <c r="T251" i="20"/>
  <c r="P251" i="23"/>
  <c r="T251" i="23" s="1"/>
  <c r="R506" i="16"/>
  <c r="P513" i="20"/>
  <c r="O458" i="16"/>
  <c r="R458" i="15"/>
  <c r="P150" i="20"/>
  <c r="R147" i="16"/>
  <c r="I207" i="16"/>
  <c r="J207" i="15"/>
  <c r="O79" i="10"/>
  <c r="R80" i="10"/>
  <c r="O80" i="13"/>
  <c r="I460" i="16"/>
  <c r="J460" i="15"/>
  <c r="I548" i="15"/>
  <c r="J548" i="14"/>
  <c r="O445" i="16"/>
  <c r="R445" i="15"/>
  <c r="I429" i="15"/>
  <c r="J429" i="14"/>
  <c r="R92" i="14"/>
  <c r="O92" i="15"/>
  <c r="T391" i="20"/>
  <c r="P391" i="23"/>
  <c r="T391" i="23" s="1"/>
  <c r="P343" i="23"/>
  <c r="T343" i="23" s="1"/>
  <c r="T343" i="20"/>
  <c r="I428" i="16"/>
  <c r="J428" i="15"/>
  <c r="I500" i="15"/>
  <c r="J500" i="14"/>
  <c r="I425" i="15"/>
  <c r="J425" i="14"/>
  <c r="J289" i="14"/>
  <c r="I289" i="15"/>
  <c r="I492" i="15"/>
  <c r="J492" i="14"/>
  <c r="O280" i="16"/>
  <c r="R280" i="15"/>
  <c r="I72" i="13"/>
  <c r="J72" i="10"/>
  <c r="I59" i="13"/>
  <c r="J59" i="10"/>
  <c r="R299" i="13"/>
  <c r="R296" i="13" s="1"/>
  <c r="O299" i="14"/>
  <c r="O296" i="13"/>
  <c r="R459" i="14"/>
  <c r="O459" i="15"/>
  <c r="P532" i="20"/>
  <c r="R525" i="16"/>
  <c r="I588" i="16"/>
  <c r="J588" i="15"/>
  <c r="T369" i="20"/>
  <c r="P369" i="23"/>
  <c r="T369" i="23" s="1"/>
  <c r="I297" i="15"/>
  <c r="J297" i="14"/>
  <c r="R291" i="15"/>
  <c r="O331" i="13"/>
  <c r="R331" i="10"/>
  <c r="R329" i="10" s="1"/>
  <c r="O329" i="10"/>
  <c r="R321" i="15"/>
  <c r="O321" i="16"/>
  <c r="I278" i="16"/>
  <c r="J278" i="15"/>
  <c r="R207" i="16"/>
  <c r="P210" i="20"/>
  <c r="R556" i="15"/>
  <c r="O556" i="16"/>
  <c r="I372" i="16"/>
  <c r="J372" i="15"/>
  <c r="J145" i="23"/>
  <c r="K145" i="23" s="1"/>
  <c r="K145" i="20"/>
  <c r="O170" i="15"/>
  <c r="R171" i="15"/>
  <c r="R170" i="15" s="1"/>
  <c r="O171" i="16"/>
  <c r="T108" i="20"/>
  <c r="P108" i="23"/>
  <c r="T108" i="23" s="1"/>
  <c r="I58" i="9"/>
  <c r="J58" i="7"/>
  <c r="I136" i="16"/>
  <c r="J136" i="15"/>
  <c r="I158" i="16"/>
  <c r="J158" i="15"/>
  <c r="I130" i="16"/>
  <c r="J130" i="15"/>
  <c r="I273" i="15"/>
  <c r="J273" i="14"/>
  <c r="O205" i="10"/>
  <c r="R206" i="10"/>
  <c r="R205" i="10" s="1"/>
  <c r="O206" i="13"/>
  <c r="P286" i="20"/>
  <c r="R283" i="16"/>
  <c r="O93" i="16"/>
  <c r="R93" i="15"/>
  <c r="R167" i="16"/>
  <c r="P170" i="20"/>
  <c r="O520" i="13"/>
  <c r="O507" i="13" s="1"/>
  <c r="R521" i="13"/>
  <c r="R520" i="13" s="1"/>
  <c r="O521" i="14"/>
  <c r="I49" i="9"/>
  <c r="J49" i="7"/>
  <c r="R512" i="14"/>
  <c r="R508" i="14" s="1"/>
  <c r="O512" i="15"/>
  <c r="O508" i="14"/>
  <c r="I318" i="16"/>
  <c r="J318" i="15"/>
  <c r="I212" i="16"/>
  <c r="J212" i="15"/>
  <c r="I100" i="16"/>
  <c r="J100" i="15"/>
  <c r="I523" i="16"/>
  <c r="J523" i="15"/>
  <c r="O189" i="15"/>
  <c r="R189" i="14"/>
  <c r="I438" i="16"/>
  <c r="J438" i="15"/>
  <c r="I43" i="16"/>
  <c r="J43" i="15"/>
  <c r="I123" i="16"/>
  <c r="J123" i="15"/>
  <c r="I463" i="16"/>
  <c r="J463" i="15"/>
  <c r="I41" i="10"/>
  <c r="J41" i="9"/>
  <c r="R136" i="13"/>
  <c r="O136" i="14"/>
  <c r="I261" i="15"/>
  <c r="J261" i="14"/>
  <c r="I447" i="15"/>
  <c r="J447" i="14"/>
  <c r="I386" i="15"/>
  <c r="J386" i="14"/>
  <c r="I249" i="16"/>
  <c r="J249" i="15"/>
  <c r="E608" i="5"/>
  <c r="D600" i="5" s="1"/>
  <c r="O600" i="5" s="1"/>
  <c r="E607" i="5"/>
  <c r="O397" i="16"/>
  <c r="R397" i="15"/>
  <c r="I231" i="16"/>
  <c r="J231" i="15"/>
  <c r="T201" i="20"/>
  <c r="P201" i="23"/>
  <c r="T201" i="23" s="1"/>
  <c r="I378" i="16"/>
  <c r="J378" i="15"/>
  <c r="I576" i="16"/>
  <c r="J576" i="15"/>
  <c r="I215" i="16"/>
  <c r="J215" i="15"/>
  <c r="I80" i="16"/>
  <c r="J80" i="15"/>
  <c r="I379" i="15"/>
  <c r="J379" i="14"/>
  <c r="P501" i="23"/>
  <c r="T501" i="23" s="1"/>
  <c r="T501" i="20"/>
  <c r="J463" i="20"/>
  <c r="J459" i="16"/>
  <c r="O94" i="10"/>
  <c r="I476" i="15"/>
  <c r="J476" i="14"/>
  <c r="I252" i="16"/>
  <c r="J252" i="15"/>
  <c r="O41" i="13"/>
  <c r="R41" i="10"/>
  <c r="O215" i="14"/>
  <c r="O216" i="15"/>
  <c r="R216" i="14"/>
  <c r="R215" i="14" s="1"/>
  <c r="I119" i="16"/>
  <c r="J119" i="15"/>
  <c r="I257" i="16"/>
  <c r="J257" i="15"/>
  <c r="I514" i="15"/>
  <c r="J514" i="14"/>
  <c r="I321" i="15"/>
  <c r="J321" i="14"/>
  <c r="I544" i="15"/>
  <c r="J544" i="14"/>
  <c r="I206" i="16"/>
  <c r="J206" i="15"/>
  <c r="I163" i="16"/>
  <c r="J163" i="15"/>
  <c r="I512" i="15"/>
  <c r="J512" i="14"/>
  <c r="I234" i="16"/>
  <c r="J234" i="15"/>
  <c r="I552" i="16"/>
  <c r="J552" i="15"/>
  <c r="I288" i="16"/>
  <c r="J288" i="15"/>
  <c r="I287" i="16"/>
  <c r="J287" i="15"/>
  <c r="R530" i="16"/>
  <c r="P537" i="20"/>
  <c r="I453" i="15"/>
  <c r="J453" i="14"/>
  <c r="I533" i="16"/>
  <c r="J533" i="15"/>
  <c r="I304" i="16"/>
  <c r="J304" i="15"/>
  <c r="I352" i="16"/>
  <c r="J352" i="15"/>
  <c r="I586" i="16"/>
  <c r="J586" i="15"/>
  <c r="I488" i="15"/>
  <c r="J488" i="14"/>
  <c r="R184" i="13"/>
  <c r="O184" i="14"/>
  <c r="I550" i="15"/>
  <c r="J550" i="14"/>
  <c r="I557" i="16"/>
  <c r="J557" i="15"/>
  <c r="I393" i="15"/>
  <c r="J393" i="14"/>
  <c r="I242" i="16"/>
  <c r="J242" i="15"/>
  <c r="T406" i="20"/>
  <c r="P406" i="23"/>
  <c r="T406" i="23" s="1"/>
  <c r="I495" i="15"/>
  <c r="J495" i="14"/>
  <c r="I361" i="15"/>
  <c r="J361" i="14"/>
  <c r="I327" i="15"/>
  <c r="J327" i="14"/>
  <c r="I192" i="16"/>
  <c r="J192" i="15"/>
  <c r="I360" i="16"/>
  <c r="J360" i="15"/>
  <c r="I70" i="13"/>
  <c r="J70" i="10"/>
  <c r="I471" i="15"/>
  <c r="J471" i="14"/>
  <c r="I546" i="15"/>
  <c r="J546" i="14"/>
  <c r="I38" i="9"/>
  <c r="J38" i="7"/>
  <c r="R72" i="10"/>
  <c r="O72" i="13"/>
  <c r="E608" i="10"/>
  <c r="D600" i="10" s="1"/>
  <c r="O600" i="10" s="1"/>
  <c r="E607" i="10"/>
  <c r="R177" i="15"/>
  <c r="O177" i="16"/>
  <c r="I458" i="16"/>
  <c r="J458" i="15"/>
  <c r="I269" i="15"/>
  <c r="J269" i="14"/>
  <c r="I131" i="16"/>
  <c r="J131" i="15"/>
  <c r="I486" i="15"/>
  <c r="J486" i="14"/>
  <c r="I484" i="15"/>
  <c r="J484" i="14"/>
  <c r="P161" i="23"/>
  <c r="T161" i="23" s="1"/>
  <c r="T161" i="20"/>
  <c r="T266" i="20"/>
  <c r="P266" i="23"/>
  <c r="T266" i="23" s="1"/>
  <c r="R162" i="14"/>
  <c r="O162" i="15"/>
  <c r="I581" i="16"/>
  <c r="J581" i="15"/>
  <c r="O572" i="15"/>
  <c r="R572" i="14"/>
  <c r="P476" i="20"/>
  <c r="R472" i="16"/>
  <c r="O64" i="15"/>
  <c r="R64" i="14"/>
  <c r="I241" i="16"/>
  <c r="J241" i="15"/>
  <c r="R176" i="13"/>
  <c r="R175" i="13" s="1"/>
  <c r="O175" i="13"/>
  <c r="O176" i="14"/>
  <c r="O342" i="15"/>
  <c r="R342" i="14"/>
  <c r="O454" i="16"/>
  <c r="R454" i="15"/>
  <c r="I184" i="16"/>
  <c r="J184" i="15"/>
  <c r="I411" i="15"/>
  <c r="J411" i="14"/>
  <c r="R187" i="15"/>
  <c r="O187" i="16"/>
  <c r="J232" i="20"/>
  <c r="J229" i="16"/>
  <c r="I284" i="16"/>
  <c r="J284" i="15"/>
  <c r="D655" i="15"/>
  <c r="J647" i="14"/>
  <c r="J657" i="14" s="1"/>
  <c r="D657" i="14"/>
  <c r="R51" i="9"/>
  <c r="O51" i="10"/>
  <c r="O308" i="15"/>
  <c r="O307" i="14"/>
  <c r="R308" i="14"/>
  <c r="R307" i="14" s="1"/>
  <c r="R38" i="7"/>
  <c r="O38" i="9"/>
  <c r="I305" i="15"/>
  <c r="J305" i="14"/>
  <c r="R319" i="10"/>
  <c r="R317" i="10" s="1"/>
  <c r="O319" i="13"/>
  <c r="O317" i="10"/>
  <c r="T474" i="20"/>
  <c r="P474" i="23"/>
  <c r="T474" i="23" s="1"/>
  <c r="I313" i="15"/>
  <c r="J313" i="14"/>
  <c r="R338" i="14"/>
  <c r="O338" i="15"/>
  <c r="T470" i="20"/>
  <c r="P470" i="23"/>
  <c r="T470" i="23" s="1"/>
  <c r="I412" i="16"/>
  <c r="J412" i="15"/>
  <c r="P112" i="20"/>
  <c r="R110" i="16"/>
  <c r="P276" i="23"/>
  <c r="T276" i="23" s="1"/>
  <c r="T276" i="20"/>
  <c r="I582" i="16"/>
  <c r="J582" i="15"/>
  <c r="I148" i="16"/>
  <c r="J148" i="15"/>
  <c r="I168" i="16"/>
  <c r="J168" i="15"/>
  <c r="I167" i="16"/>
  <c r="J167" i="15"/>
  <c r="I107" i="16"/>
  <c r="J107" i="15"/>
  <c r="I549" i="16"/>
  <c r="J549" i="15"/>
  <c r="R60" i="13"/>
  <c r="O60" i="14"/>
  <c r="T129" i="20"/>
  <c r="P129" i="23"/>
  <c r="T129" i="23" s="1"/>
  <c r="R449" i="15"/>
  <c r="O449" i="16"/>
  <c r="O443" i="15"/>
  <c r="R443" i="14"/>
  <c r="I430" i="15"/>
  <c r="J430" i="14"/>
  <c r="I45" i="14"/>
  <c r="J45" i="13"/>
  <c r="I331" i="15"/>
  <c r="J331" i="14"/>
  <c r="I398" i="15"/>
  <c r="J398" i="14"/>
  <c r="R557" i="15"/>
  <c r="O557" i="16"/>
  <c r="I162" i="16"/>
  <c r="J162" i="15"/>
  <c r="O421" i="16"/>
  <c r="R421" i="15"/>
  <c r="R112" i="13"/>
  <c r="O112" i="14"/>
  <c r="I200" i="16"/>
  <c r="J200" i="15"/>
  <c r="R199" i="16"/>
  <c r="P202" i="20"/>
  <c r="I532" i="15"/>
  <c r="J532" i="14"/>
  <c r="R461" i="15"/>
  <c r="O461" i="16"/>
  <c r="O432" i="15"/>
  <c r="R432" i="14"/>
  <c r="I291" i="16"/>
  <c r="J291" i="15"/>
  <c r="M121" i="14"/>
  <c r="M120" i="14" s="1"/>
  <c r="G121" i="14"/>
  <c r="I36" i="10"/>
  <c r="J36" i="9"/>
  <c r="I575" i="16"/>
  <c r="J575" i="15"/>
  <c r="I146" i="16"/>
  <c r="J146" i="15"/>
  <c r="R536" i="15"/>
  <c r="O536" i="16"/>
  <c r="T121" i="20"/>
  <c r="P121" i="23"/>
  <c r="T121" i="23" s="1"/>
  <c r="O95" i="13"/>
  <c r="O94" i="13" s="1"/>
  <c r="R96" i="13"/>
  <c r="R95" i="13" s="1"/>
  <c r="I564" i="16"/>
  <c r="J564" i="15"/>
  <c r="I180" i="16"/>
  <c r="J180" i="15"/>
  <c r="I103" i="16"/>
  <c r="J103" i="15"/>
  <c r="P374" i="20"/>
  <c r="R371" i="16"/>
  <c r="I312" i="16"/>
  <c r="J312" i="15"/>
  <c r="P287" i="20"/>
  <c r="R284" i="16"/>
  <c r="I153" i="16"/>
  <c r="J153" i="15"/>
  <c r="P531" i="23"/>
  <c r="T531" i="23" s="1"/>
  <c r="T531" i="20"/>
  <c r="I353" i="15"/>
  <c r="J353" i="14"/>
  <c r="P270" i="20"/>
  <c r="R267" i="16"/>
  <c r="I368" i="16"/>
  <c r="J368" i="15"/>
  <c r="T471" i="20"/>
  <c r="P471" i="23"/>
  <c r="T471" i="23" s="1"/>
  <c r="P47" i="20"/>
  <c r="R46" i="16"/>
  <c r="I505" i="15"/>
  <c r="J505" i="14"/>
  <c r="I455" i="16"/>
  <c r="J455" i="15"/>
  <c r="R160" i="13"/>
  <c r="O160" i="14"/>
  <c r="I572" i="16"/>
  <c r="J572" i="15"/>
  <c r="I157" i="16"/>
  <c r="J157" i="15"/>
  <c r="R32" i="7"/>
  <c r="R30" i="7" s="1"/>
  <c r="O32" i="9"/>
  <c r="O30" i="7"/>
  <c r="I562" i="15"/>
  <c r="J562" i="14"/>
  <c r="P493" i="23"/>
  <c r="T493" i="23" s="1"/>
  <c r="T493" i="20"/>
  <c r="I387" i="15"/>
  <c r="J387" i="14"/>
  <c r="I441" i="15"/>
  <c r="J441" i="14"/>
  <c r="T275" i="20"/>
  <c r="P275" i="23"/>
  <c r="T275" i="23" s="1"/>
  <c r="R437" i="15"/>
  <c r="O437" i="16"/>
  <c r="I493" i="16"/>
  <c r="J493" i="15"/>
  <c r="R74" i="13"/>
  <c r="O74" i="14"/>
  <c r="O116" i="15"/>
  <c r="R116" i="14"/>
  <c r="I270" i="16"/>
  <c r="J270" i="15"/>
  <c r="I520" i="15"/>
  <c r="J520" i="14"/>
  <c r="O140" i="14"/>
  <c r="O141" i="15"/>
  <c r="R141" i="14"/>
  <c r="R140" i="14" s="1"/>
  <c r="R577" i="15"/>
  <c r="O577" i="16"/>
  <c r="R125" i="16"/>
  <c r="P127" i="20"/>
  <c r="R252" i="16"/>
  <c r="P255" i="20"/>
  <c r="P49" i="20"/>
  <c r="R48" i="16"/>
  <c r="R259" i="13"/>
  <c r="O259" i="14"/>
  <c r="I267" i="16"/>
  <c r="J267" i="15"/>
  <c r="I137" i="16"/>
  <c r="J137" i="15"/>
  <c r="O195" i="16"/>
  <c r="R195" i="15"/>
  <c r="I339" i="15"/>
  <c r="J339" i="14"/>
  <c r="I559" i="16"/>
  <c r="J559" i="15"/>
  <c r="I281" i="15"/>
  <c r="J281" i="14"/>
  <c r="I328" i="16"/>
  <c r="J328" i="15"/>
  <c r="R502" i="16"/>
  <c r="P509" i="20"/>
  <c r="I85" i="14"/>
  <c r="J85" i="13"/>
  <c r="I565" i="16"/>
  <c r="J565" i="15"/>
  <c r="R537" i="16"/>
  <c r="P544" i="20"/>
  <c r="P431" i="23"/>
  <c r="T431" i="23" s="1"/>
  <c r="T431" i="20"/>
  <c r="T349" i="20"/>
  <c r="P349" i="23"/>
  <c r="T349" i="23" s="1"/>
  <c r="O580" i="15"/>
  <c r="R580" i="14"/>
  <c r="P362" i="20"/>
  <c r="R359" i="16"/>
  <c r="I154" i="16"/>
  <c r="J154" i="15"/>
  <c r="O202" i="15"/>
  <c r="R202" i="14"/>
  <c r="O554" i="13"/>
  <c r="R555" i="13"/>
  <c r="R554" i="13" s="1"/>
  <c r="O555" i="14"/>
  <c r="I128" i="16"/>
  <c r="J128" i="15"/>
  <c r="R83" i="10"/>
  <c r="O83" i="13"/>
  <c r="P516" i="20"/>
  <c r="R509" i="16"/>
  <c r="I446" i="16"/>
  <c r="J446" i="15"/>
  <c r="I590" i="16"/>
  <c r="J590" i="15"/>
  <c r="P260" i="20"/>
  <c r="R257" i="16"/>
  <c r="I87" i="14"/>
  <c r="J87" i="13"/>
  <c r="J319" i="15"/>
  <c r="I319" i="16"/>
  <c r="I451" i="15"/>
  <c r="J451" i="14"/>
  <c r="I556" i="16"/>
  <c r="J556" i="15"/>
  <c r="P364" i="23"/>
  <c r="T364" i="23" s="1"/>
  <c r="T364" i="20"/>
  <c r="I171" i="16"/>
  <c r="J171" i="15"/>
  <c r="I474" i="15"/>
  <c r="J474" i="14"/>
  <c r="I578" i="16"/>
  <c r="J578" i="15"/>
  <c r="I204" i="16"/>
  <c r="J204" i="15"/>
  <c r="I563" i="16"/>
  <c r="J563" i="15"/>
  <c r="I156" i="16"/>
  <c r="J156" i="15"/>
  <c r="P188" i="23"/>
  <c r="T188" i="23" s="1"/>
  <c r="T188" i="20"/>
  <c r="O59" i="13"/>
  <c r="R59" i="10"/>
  <c r="I449" i="15"/>
  <c r="J449" i="14"/>
  <c r="I508" i="15"/>
  <c r="J508" i="14"/>
  <c r="O29" i="15"/>
  <c r="O28" i="14"/>
  <c r="R29" i="14"/>
  <c r="R28" i="14" s="1"/>
  <c r="O588" i="14"/>
  <c r="R589" i="14"/>
  <c r="R588" i="14" s="1"/>
  <c r="O589" i="15"/>
  <c r="R246" i="14"/>
  <c r="O246" i="15"/>
  <c r="O240" i="15" s="1"/>
  <c r="I102" i="16"/>
  <c r="J102" i="15"/>
  <c r="I222" i="16"/>
  <c r="J222" i="15"/>
  <c r="R49" i="5"/>
  <c r="R43" i="5" s="1"/>
  <c r="R27" i="5" s="1"/>
  <c r="R592" i="5" s="1"/>
  <c r="P22" i="5" s="1"/>
  <c r="O43" i="5"/>
  <c r="O49" i="7"/>
  <c r="R587" i="14"/>
  <c r="O587" i="15"/>
  <c r="P280" i="23"/>
  <c r="T280" i="23" s="1"/>
  <c r="T280" i="20"/>
  <c r="R568" i="15"/>
  <c r="O568" i="16"/>
  <c r="I555" i="16"/>
  <c r="J555" i="15"/>
  <c r="I129" i="16"/>
  <c r="J129" i="15"/>
  <c r="R33" i="9"/>
  <c r="O33" i="10"/>
  <c r="I42" i="14"/>
  <c r="J42" i="13"/>
  <c r="O224" i="15"/>
  <c r="R224" i="14"/>
  <c r="P539" i="23"/>
  <c r="T539" i="23" s="1"/>
  <c r="T539" i="20"/>
  <c r="I195" i="16"/>
  <c r="J195" i="15"/>
  <c r="I418" i="15"/>
  <c r="J418" i="14"/>
  <c r="T580" i="20"/>
  <c r="P580" i="23"/>
  <c r="T580" i="23" s="1"/>
  <c r="I567" i="16"/>
  <c r="J567" i="15"/>
  <c r="O438" i="16"/>
  <c r="R438" i="15"/>
  <c r="E607" i="9"/>
  <c r="E608" i="9"/>
  <c r="D600" i="9" s="1"/>
  <c r="O600" i="9" s="1"/>
  <c r="I280" i="16"/>
  <c r="J280" i="15"/>
  <c r="I76" i="14"/>
  <c r="J76" i="13"/>
  <c r="T113" i="20"/>
  <c r="P113" i="23"/>
  <c r="T113" i="23" s="1"/>
  <c r="P347" i="23"/>
  <c r="T347" i="23" s="1"/>
  <c r="T347" i="20"/>
  <c r="I415" i="16"/>
  <c r="J415" i="15"/>
  <c r="P256" i="20"/>
  <c r="R253" i="16"/>
  <c r="P278" i="20"/>
  <c r="R275" i="16"/>
  <c r="O232" i="16"/>
  <c r="R232" i="15"/>
  <c r="I343" i="15"/>
  <c r="J343" i="14"/>
  <c r="I517" i="15"/>
  <c r="J517" i="14"/>
  <c r="O85" i="14"/>
  <c r="R85" i="13"/>
  <c r="R341" i="15"/>
  <c r="O341" i="16"/>
  <c r="I161" i="16"/>
  <c r="J161" i="15"/>
  <c r="R250" i="14"/>
  <c r="O250" i="15"/>
  <c r="R40" i="9"/>
  <c r="O40" i="10"/>
  <c r="R39" i="10"/>
  <c r="O39" i="13"/>
  <c r="R103" i="14"/>
  <c r="O103" i="15"/>
  <c r="O153" i="15"/>
  <c r="R153" i="14"/>
  <c r="P338" i="20"/>
  <c r="R335" i="16"/>
  <c r="I91" i="16"/>
  <c r="J91" i="15"/>
  <c r="I50" i="9"/>
  <c r="J50" i="7"/>
  <c r="I268" i="16"/>
  <c r="J268" i="15"/>
  <c r="O35" i="7"/>
  <c r="R36" i="7"/>
  <c r="R35" i="7" s="1"/>
  <c r="O36" i="9"/>
  <c r="O27" i="5"/>
  <c r="O592" i="5" s="1"/>
  <c r="I424" i="16"/>
  <c r="J424" i="15"/>
  <c r="I385" i="15"/>
  <c r="J385" i="14"/>
  <c r="I83" i="14"/>
  <c r="J83" i="13"/>
  <c r="R484" i="15"/>
  <c r="O484" i="16"/>
  <c r="R135" i="14"/>
  <c r="O135" i="15"/>
  <c r="I391" i="15"/>
  <c r="J391" i="14"/>
  <c r="I279" i="16"/>
  <c r="J279" i="15"/>
  <c r="I310" i="16"/>
  <c r="J310" i="15"/>
  <c r="I513" i="15"/>
  <c r="J513" i="14"/>
  <c r="I307" i="16"/>
  <c r="J307" i="15"/>
  <c r="I308" i="16"/>
  <c r="J308" i="15"/>
  <c r="I277" i="15"/>
  <c r="J277" i="14"/>
  <c r="I350" i="16"/>
  <c r="J350" i="15"/>
  <c r="T402" i="20"/>
  <c r="P402" i="23"/>
  <c r="T402" i="23" s="1"/>
  <c r="R465" i="15"/>
  <c r="O465" i="16"/>
  <c r="I416" i="16"/>
  <c r="J416" i="15"/>
  <c r="I56" i="10"/>
  <c r="J56" i="9"/>
  <c r="I569" i="16"/>
  <c r="J569" i="15"/>
  <c r="I187" i="16"/>
  <c r="J187" i="15"/>
  <c r="R138" i="15"/>
  <c r="O138" i="16"/>
  <c r="R264" i="16"/>
  <c r="P267" i="20"/>
  <c r="I583" i="16"/>
  <c r="J583" i="15"/>
  <c r="R90" i="13"/>
  <c r="O90" i="14"/>
  <c r="I248" i="16"/>
  <c r="J248" i="15"/>
  <c r="I373" i="15"/>
  <c r="J373" i="14"/>
  <c r="R357" i="15"/>
  <c r="O357" i="16"/>
  <c r="I115" i="16"/>
  <c r="J115" i="15"/>
  <c r="I577" i="16"/>
  <c r="J577" i="15"/>
  <c r="R498" i="16"/>
  <c r="P505" i="20"/>
  <c r="I436" i="16"/>
  <c r="J436" i="15"/>
  <c r="I466" i="15"/>
  <c r="J466" i="14"/>
  <c r="R87" i="13"/>
  <c r="O87" i="14"/>
  <c r="D747" i="20"/>
  <c r="J656" i="16"/>
  <c r="I470" i="15"/>
  <c r="J470" i="14"/>
  <c r="I422" i="15"/>
  <c r="J422" i="14"/>
  <c r="I173" i="16"/>
  <c r="J173" i="15"/>
  <c r="I183" i="16"/>
  <c r="J183" i="15"/>
  <c r="I255" i="16"/>
  <c r="J255" i="15"/>
  <c r="O78" i="15"/>
  <c r="R78" i="14"/>
  <c r="T448" i="20"/>
  <c r="P448" i="23"/>
  <c r="T448" i="23" s="1"/>
  <c r="O375" i="14"/>
  <c r="R375" i="13"/>
  <c r="I233" i="16"/>
  <c r="J233" i="15"/>
  <c r="I155" i="16"/>
  <c r="J155" i="15"/>
  <c r="O31" i="14"/>
  <c r="R31" i="13"/>
  <c r="I541" i="16"/>
  <c r="J541" i="15"/>
  <c r="I185" i="16"/>
  <c r="J185" i="15"/>
  <c r="R288" i="14"/>
  <c r="O288" i="15"/>
  <c r="R107" i="13"/>
  <c r="E607" i="1"/>
  <c r="E606" i="1"/>
  <c r="I227" i="16"/>
  <c r="J227" i="15"/>
  <c r="I540" i="15"/>
  <c r="J540" i="14"/>
  <c r="I357" i="15"/>
  <c r="J357" i="14"/>
  <c r="O355" i="16"/>
  <c r="R355" i="15"/>
  <c r="I296" i="16"/>
  <c r="J296" i="15"/>
  <c r="P246" i="20"/>
  <c r="R243" i="16"/>
  <c r="O213" i="15"/>
  <c r="R213" i="14"/>
  <c r="T155" i="20"/>
  <c r="P155" i="23"/>
  <c r="T155" i="23" s="1"/>
  <c r="O395" i="10"/>
  <c r="R396" i="10"/>
  <c r="R395" i="10" s="1"/>
  <c r="O396" i="13"/>
  <c r="R88" i="14"/>
  <c r="O88" i="15"/>
  <c r="O551" i="16"/>
  <c r="R551" i="15"/>
  <c r="I226" i="16"/>
  <c r="J226" i="15"/>
  <c r="I89" i="14"/>
  <c r="J89" i="13"/>
  <c r="O222" i="10"/>
  <c r="R223" i="10"/>
  <c r="R222" i="10" s="1"/>
  <c r="O223" i="13"/>
  <c r="I392" i="16"/>
  <c r="J392" i="15"/>
  <c r="I75" i="14"/>
  <c r="J75" i="13"/>
  <c r="I501" i="15"/>
  <c r="J501" i="14"/>
  <c r="I246" i="16"/>
  <c r="J246" i="15"/>
  <c r="I469" i="16"/>
  <c r="J469" i="15"/>
  <c r="T212" i="20"/>
  <c r="P212" i="23"/>
  <c r="T212" i="23" s="1"/>
  <c r="I334" i="16"/>
  <c r="J334" i="15"/>
  <c r="P523" i="23"/>
  <c r="T523" i="23" s="1"/>
  <c r="T523" i="20"/>
  <c r="R297" i="15"/>
  <c r="O297" i="16"/>
  <c r="I410" i="15"/>
  <c r="J410" i="14"/>
  <c r="P422" i="20"/>
  <c r="R418" i="16"/>
  <c r="I525" i="16"/>
  <c r="J525" i="15"/>
  <c r="I292" i="16"/>
  <c r="J292" i="15"/>
  <c r="T538" i="20"/>
  <c r="P538" i="23"/>
  <c r="T538" i="23" s="1"/>
  <c r="I561" i="16"/>
  <c r="J561" i="15"/>
  <c r="P84" i="20"/>
  <c r="R82" i="16"/>
  <c r="I65" i="16"/>
  <c r="J65" i="15"/>
  <c r="R528" i="15"/>
  <c r="O528" i="16"/>
  <c r="I253" i="16"/>
  <c r="J253" i="15"/>
  <c r="I116" i="16"/>
  <c r="J116" i="15"/>
  <c r="R476" i="15"/>
  <c r="O476" i="16"/>
  <c r="R86" i="13"/>
  <c r="O86" i="14"/>
  <c r="R104" i="15"/>
  <c r="O104" i="16"/>
  <c r="I172" i="16"/>
  <c r="J172" i="15"/>
  <c r="T468" i="20"/>
  <c r="P468" i="23"/>
  <c r="T468" i="23" s="1"/>
  <c r="I251" i="16"/>
  <c r="J251" i="15"/>
  <c r="I124" i="15"/>
  <c r="J124" i="14"/>
  <c r="I62" i="16"/>
  <c r="J62" i="15"/>
  <c r="R339" i="10"/>
  <c r="R337" i="10" s="1"/>
  <c r="O339" i="13"/>
  <c r="O337" i="10"/>
  <c r="R254" i="15"/>
  <c r="O254" i="16"/>
  <c r="I337" i="15"/>
  <c r="J337" i="14"/>
  <c r="I568" i="16"/>
  <c r="J568" i="15"/>
  <c r="I165" i="16"/>
  <c r="J165" i="15"/>
  <c r="I54" i="15"/>
  <c r="J54" i="14"/>
  <c r="I164" i="16"/>
  <c r="J164" i="15"/>
  <c r="J83" i="20"/>
  <c r="J81" i="16"/>
  <c r="I282" i="16"/>
  <c r="J282" i="15"/>
  <c r="R159" i="15"/>
  <c r="O159" i="16"/>
  <c r="I90" i="14"/>
  <c r="J90" i="13"/>
  <c r="P346" i="20"/>
  <c r="R343" i="16"/>
  <c r="T451" i="20"/>
  <c r="P451" i="23"/>
  <c r="T451" i="23" s="1"/>
  <c r="I479" i="15"/>
  <c r="J479" i="14"/>
  <c r="I489" i="16"/>
  <c r="J489" i="15"/>
  <c r="I574" i="16"/>
  <c r="J574" i="15"/>
  <c r="R114" i="16"/>
  <c r="P116" i="20"/>
  <c r="I245" i="16"/>
  <c r="J245" i="15"/>
  <c r="I335" i="15"/>
  <c r="J335" i="14"/>
  <c r="I571" i="16"/>
  <c r="J571" i="15"/>
  <c r="R44" i="15"/>
  <c r="O44" i="16"/>
  <c r="R410" i="15"/>
  <c r="O410" i="16"/>
  <c r="I464" i="16"/>
  <c r="J464" i="15"/>
  <c r="O482" i="13"/>
  <c r="O483" i="14"/>
  <c r="R483" i="13"/>
  <c r="R482" i="13" s="1"/>
  <c r="R481" i="13" s="1"/>
  <c r="I294" i="16"/>
  <c r="J294" i="15"/>
  <c r="P314" i="23"/>
  <c r="T314" i="23" s="1"/>
  <c r="T314" i="20"/>
  <c r="T376" i="20"/>
  <c r="P376" i="23"/>
  <c r="T376" i="23" s="1"/>
  <c r="I52" i="16"/>
  <c r="J52" i="15"/>
  <c r="I88" i="14"/>
  <c r="J88" i="13"/>
  <c r="R50" i="7"/>
  <c r="O50" i="9"/>
  <c r="I322" i="16"/>
  <c r="J322" i="15"/>
  <c r="I250" i="16"/>
  <c r="J250" i="15"/>
  <c r="I95" i="16"/>
  <c r="J95" i="15"/>
  <c r="F700" i="20"/>
  <c r="D692" i="20" s="1"/>
  <c r="P692" i="20" s="1"/>
  <c r="F699" i="20"/>
  <c r="I166" i="16"/>
  <c r="J166" i="15"/>
  <c r="I491" i="15"/>
  <c r="J491" i="14"/>
  <c r="I33" i="10"/>
  <c r="J33" i="9"/>
  <c r="R204" i="15"/>
  <c r="O204" i="16"/>
  <c r="P459" i="23"/>
  <c r="T459" i="23" s="1"/>
  <c r="T459" i="20"/>
  <c r="R330" i="14"/>
  <c r="O330" i="15"/>
  <c r="I237" i="16"/>
  <c r="J237" i="15"/>
  <c r="R234" i="15"/>
  <c r="O234" i="16"/>
  <c r="I329" i="15"/>
  <c r="J329" i="14"/>
  <c r="I462" i="16"/>
  <c r="J462" i="15"/>
  <c r="I265" i="15"/>
  <c r="J265" i="14"/>
  <c r="I478" i="15"/>
  <c r="J478" i="14"/>
  <c r="R212" i="15"/>
  <c r="O212" i="16"/>
  <c r="O566" i="13"/>
  <c r="O567" i="14"/>
  <c r="R567" i="13"/>
  <c r="I209" i="16"/>
  <c r="J209" i="15"/>
  <c r="I363" i="15"/>
  <c r="J363" i="14"/>
  <c r="I199" i="16"/>
  <c r="J199" i="15"/>
  <c r="I97" i="16"/>
  <c r="J97" i="15"/>
  <c r="I114" i="16"/>
  <c r="J114" i="15"/>
  <c r="R439" i="14"/>
  <c r="O439" i="15"/>
  <c r="I414" i="15"/>
  <c r="J414" i="14"/>
  <c r="I584" i="16"/>
  <c r="J584" i="15"/>
  <c r="I364" i="16"/>
  <c r="J364" i="15"/>
  <c r="P186" i="20"/>
  <c r="R183" i="16"/>
  <c r="I152" i="16"/>
  <c r="J152" i="15"/>
  <c r="I285" i="15"/>
  <c r="J285" i="14"/>
  <c r="P206" i="23"/>
  <c r="T206" i="23" s="1"/>
  <c r="T206" i="20"/>
  <c r="I485" i="16"/>
  <c r="J485" i="15"/>
  <c r="I341" i="15"/>
  <c r="J341" i="14"/>
  <c r="P213" i="20"/>
  <c r="R210" i="16"/>
  <c r="I467" i="15"/>
  <c r="J467" i="14"/>
  <c r="R392" i="15"/>
  <c r="O392" i="16"/>
  <c r="I93" i="16"/>
  <c r="J93" i="15"/>
  <c r="I194" i="16"/>
  <c r="J194" i="15"/>
  <c r="I376" i="16"/>
  <c r="J376" i="15"/>
  <c r="I275" i="16"/>
  <c r="J275" i="15"/>
  <c r="M96" i="14"/>
  <c r="M95" i="14" s="1"/>
  <c r="G96" i="14"/>
  <c r="I340" i="16"/>
  <c r="J340" i="15"/>
  <c r="P104" i="20"/>
  <c r="R102" i="16"/>
  <c r="O406" i="10"/>
  <c r="R407" i="10"/>
  <c r="R406" i="10" s="1"/>
  <c r="O407" i="13"/>
  <c r="I196" i="16"/>
  <c r="J196" i="15"/>
  <c r="I333" i="15"/>
  <c r="J333" i="14"/>
  <c r="P140" i="20"/>
  <c r="R137" i="16"/>
  <c r="I301" i="15"/>
  <c r="J301" i="14"/>
  <c r="J103" i="20"/>
  <c r="J101" i="16"/>
  <c r="E608" i="16"/>
  <c r="E609" i="16"/>
  <c r="D601" i="16" s="1"/>
  <c r="O601" i="16" s="1"/>
  <c r="I538" i="15"/>
  <c r="J538" i="14"/>
  <c r="I338" i="16"/>
  <c r="J338" i="15"/>
  <c r="T589" i="20"/>
  <c r="P589" i="23"/>
  <c r="T589" i="23" s="1"/>
  <c r="I39" i="10"/>
  <c r="J39" i="9"/>
  <c r="O333" i="15"/>
  <c r="R333" i="14"/>
  <c r="I511" i="16"/>
  <c r="J511" i="15"/>
  <c r="I554" i="15"/>
  <c r="J554" i="14"/>
  <c r="I44" i="16"/>
  <c r="J44" i="15"/>
  <c r="T529" i="20"/>
  <c r="P529" i="23"/>
  <c r="T529" i="23" s="1"/>
  <c r="I560" i="16"/>
  <c r="J560" i="15"/>
  <c r="I454" i="16"/>
  <c r="J454" i="15"/>
  <c r="T387" i="20"/>
  <c r="P387" i="23"/>
  <c r="T387" i="23" s="1"/>
  <c r="I211" i="16"/>
  <c r="J211" i="15"/>
  <c r="R473" i="15"/>
  <c r="O473" i="16"/>
  <c r="I536" i="15"/>
  <c r="J536" i="14"/>
  <c r="I259" i="16"/>
  <c r="J259" i="15"/>
  <c r="R442" i="14"/>
  <c r="O442" i="15"/>
  <c r="I145" i="16"/>
  <c r="J145" i="15"/>
  <c r="I356" i="16"/>
  <c r="J356" i="15"/>
  <c r="I299" i="16"/>
  <c r="J299" i="15"/>
  <c r="P298" i="20"/>
  <c r="R295" i="16"/>
  <c r="I244" i="16"/>
  <c r="J244" i="15"/>
  <c r="E605" i="2"/>
  <c r="E606" i="2" s="1"/>
  <c r="D599" i="2"/>
  <c r="I243" i="16"/>
  <c r="J243" i="15"/>
  <c r="I323" i="16"/>
  <c r="J323" i="15"/>
  <c r="I383" i="15"/>
  <c r="J383" i="14"/>
  <c r="I47" i="15"/>
  <c r="J47" i="14"/>
  <c r="I482" i="15"/>
  <c r="J482" i="14"/>
  <c r="I55" i="16"/>
  <c r="J55" i="15"/>
  <c r="I456" i="16"/>
  <c r="J456" i="15"/>
  <c r="I477" i="16"/>
  <c r="J477" i="15"/>
  <c r="R76" i="14"/>
  <c r="O76" i="15"/>
  <c r="P203" i="20"/>
  <c r="R200" i="16"/>
  <c r="R584" i="14"/>
  <c r="O584" i="15"/>
  <c r="J92" i="13"/>
  <c r="I92" i="14"/>
  <c r="R345" i="15"/>
  <c r="O345" i="16"/>
  <c r="I518" i="15"/>
  <c r="J518" i="14"/>
  <c r="I354" i="16"/>
  <c r="J354" i="15"/>
  <c r="I186" i="16"/>
  <c r="J186" i="15"/>
  <c r="I135" i="16"/>
  <c r="J135" i="15"/>
  <c r="I51" i="10"/>
  <c r="J51" i="9"/>
  <c r="I400" i="16"/>
  <c r="J400" i="15"/>
  <c r="T352" i="20"/>
  <c r="P352" i="23"/>
  <c r="T352" i="23" s="1"/>
  <c r="I402" i="15"/>
  <c r="J402" i="14"/>
  <c r="R287" i="14"/>
  <c r="O287" i="15"/>
  <c r="I37" i="16"/>
  <c r="J37" i="15"/>
  <c r="O156" i="10"/>
  <c r="O155" i="10" s="1"/>
  <c r="O157" i="13"/>
  <c r="R157" i="10"/>
  <c r="R156" i="10" s="1"/>
  <c r="I240" i="16"/>
  <c r="J240" i="15"/>
  <c r="I274" i="16"/>
  <c r="J274" i="15"/>
  <c r="I457" i="15"/>
  <c r="J457" i="14"/>
  <c r="I377" i="15"/>
  <c r="J377" i="14"/>
  <c r="T102" i="20"/>
  <c r="P102" i="23"/>
  <c r="T102" i="23" s="1"/>
  <c r="O471" i="16"/>
  <c r="R471" i="15"/>
  <c r="R309" i="15"/>
  <c r="O309" i="16"/>
  <c r="I258" i="16"/>
  <c r="J258" i="15"/>
  <c r="I434" i="16"/>
  <c r="J434" i="15"/>
  <c r="R433" i="15"/>
  <c r="O433" i="16"/>
  <c r="I472" i="15"/>
  <c r="J472" i="14"/>
  <c r="O196" i="15"/>
  <c r="R196" i="14"/>
  <c r="I113" i="16"/>
  <c r="J113" i="15"/>
  <c r="I271" i="16"/>
  <c r="J271" i="15"/>
  <c r="R75" i="14"/>
  <c r="O75" i="15"/>
  <c r="J69" i="20"/>
  <c r="J68" i="16"/>
  <c r="I272" i="16"/>
  <c r="J272" i="15"/>
  <c r="I427" i="15"/>
  <c r="J427" i="14"/>
  <c r="O260" i="16"/>
  <c r="R260" i="15"/>
  <c r="G105" i="14"/>
  <c r="M105" i="14"/>
  <c r="I61" i="16"/>
  <c r="J61" i="15"/>
  <c r="I228" i="16"/>
  <c r="J228" i="15"/>
  <c r="O316" i="14"/>
  <c r="O315" i="13"/>
  <c r="R316" i="13"/>
  <c r="R315" i="13" s="1"/>
  <c r="I408" i="16"/>
  <c r="J408" i="15"/>
  <c r="I417" i="15"/>
  <c r="J417" i="14"/>
  <c r="I480" i="15"/>
  <c r="J480" i="14"/>
  <c r="R387" i="16"/>
  <c r="P390" i="20"/>
  <c r="I589" i="16"/>
  <c r="J589" i="15"/>
  <c r="I112" i="16"/>
  <c r="J112" i="15"/>
  <c r="I579" i="16"/>
  <c r="J579" i="15"/>
  <c r="T93" i="20"/>
  <c r="P93" i="23"/>
  <c r="T93" i="23" s="1"/>
  <c r="P304" i="20"/>
  <c r="R301" i="16"/>
  <c r="O255" i="10"/>
  <c r="R256" i="10"/>
  <c r="R255" i="10" s="1"/>
  <c r="O256" i="13"/>
  <c r="I515" i="16"/>
  <c r="J515" i="15"/>
  <c r="I543" i="16"/>
  <c r="J543" i="15"/>
  <c r="I264" i="16"/>
  <c r="J264" i="15"/>
  <c r="I433" i="15"/>
  <c r="J433" i="14"/>
  <c r="R478" i="16"/>
  <c r="P485" i="20"/>
  <c r="I125" i="16"/>
  <c r="J125" i="15"/>
  <c r="I208" i="16"/>
  <c r="J208" i="15"/>
  <c r="I40" i="10"/>
  <c r="J40" i="9"/>
  <c r="I266" i="16"/>
  <c r="J266" i="15"/>
  <c r="I32" i="10"/>
  <c r="J32" i="9"/>
  <c r="I573" i="16"/>
  <c r="J573" i="15"/>
  <c r="R208" i="13"/>
  <c r="O208" i="14"/>
  <c r="I210" i="16"/>
  <c r="J210" i="15"/>
  <c r="O226" i="10"/>
  <c r="R227" i="10"/>
  <c r="R226" i="10" s="1"/>
  <c r="R225" i="10" s="1"/>
  <c r="O227" i="13"/>
  <c r="P164" i="20"/>
  <c r="R161" i="16"/>
  <c r="R468" i="15"/>
  <c r="O468" i="16"/>
  <c r="I315" i="16"/>
  <c r="J315" i="15"/>
  <c r="I34" i="16"/>
  <c r="J34" i="15"/>
  <c r="P350" i="20"/>
  <c r="R347" i="16"/>
  <c r="I232" i="16"/>
  <c r="J232" i="15"/>
  <c r="O571" i="16"/>
  <c r="R571" i="15"/>
  <c r="R369" i="15"/>
  <c r="O369" i="16"/>
  <c r="R133" i="15"/>
  <c r="O133" i="16"/>
  <c r="I426" i="15"/>
  <c r="J426" i="14"/>
  <c r="I349" i="15"/>
  <c r="J349" i="14"/>
  <c r="P434" i="20"/>
  <c r="R430" i="16"/>
  <c r="I188" i="16"/>
  <c r="J188" i="15"/>
  <c r="O181" i="15"/>
  <c r="R181" i="14"/>
  <c r="I201" i="16"/>
  <c r="J201" i="15"/>
  <c r="R353" i="15"/>
  <c r="O353" i="16"/>
  <c r="R518" i="16"/>
  <c r="P525" i="20"/>
  <c r="I521" i="16"/>
  <c r="J521" i="15"/>
  <c r="P533" i="23"/>
  <c r="T533" i="23" s="1"/>
  <c r="T533" i="20"/>
  <c r="O193" i="15"/>
  <c r="R193" i="14"/>
  <c r="P254" i="20"/>
  <c r="R251" i="16"/>
  <c r="I147" i="16"/>
  <c r="J147" i="15"/>
  <c r="J220" i="20"/>
  <c r="J217" i="16"/>
  <c r="R191" i="15"/>
  <c r="O191" i="16"/>
  <c r="I298" i="16"/>
  <c r="J298" i="15"/>
  <c r="I74" i="14"/>
  <c r="J74" i="13"/>
  <c r="I435" i="15"/>
  <c r="J435" i="14"/>
  <c r="P279" i="20"/>
  <c r="R276" i="16"/>
  <c r="T432" i="20"/>
  <c r="P432" i="23"/>
  <c r="T432" i="23" s="1"/>
  <c r="I189" i="16"/>
  <c r="J189" i="15"/>
  <c r="M184" i="26"/>
  <c r="L185" i="26"/>
  <c r="R126" i="16"/>
  <c r="P128" i="20"/>
  <c r="R374" i="16"/>
  <c r="P377" i="20"/>
  <c r="I342" i="16"/>
  <c r="J342" i="15"/>
  <c r="R113" i="16"/>
  <c r="P115" i="20"/>
  <c r="I317" i="15"/>
  <c r="J317" i="14"/>
  <c r="O487" i="13"/>
  <c r="R488" i="13"/>
  <c r="R487" i="13" s="1"/>
  <c r="O488" i="14"/>
  <c r="I202" i="16"/>
  <c r="J202" i="15"/>
  <c r="I461" i="15"/>
  <c r="J461" i="14"/>
  <c r="I397" i="15"/>
  <c r="J397" i="14"/>
  <c r="R533" i="14"/>
  <c r="O533" i="15"/>
  <c r="P555" i="23"/>
  <c r="T555" i="23" s="1"/>
  <c r="T555" i="20"/>
  <c r="P521" i="23"/>
  <c r="T521" i="23" s="1"/>
  <c r="T521" i="20"/>
  <c r="O169" i="16"/>
  <c r="R169" i="15"/>
  <c r="I347" i="15"/>
  <c r="J347" i="14"/>
  <c r="I551" i="16"/>
  <c r="J551" i="15"/>
  <c r="I174" i="16"/>
  <c r="J174" i="15"/>
  <c r="I295" i="16"/>
  <c r="J295" i="15"/>
  <c r="I104" i="16"/>
  <c r="J104" i="15"/>
  <c r="I370" i="16"/>
  <c r="J370" i="15"/>
  <c r="I314" i="16"/>
  <c r="J314" i="15"/>
  <c r="I362" i="16"/>
  <c r="J362" i="15"/>
  <c r="I448" i="16"/>
  <c r="J448" i="15"/>
  <c r="P147" i="20"/>
  <c r="R144" i="16"/>
  <c r="I78" i="13"/>
  <c r="J78" i="10"/>
  <c r="P440" i="20"/>
  <c r="R436" i="16"/>
  <c r="O579" i="14"/>
  <c r="R579" i="13"/>
  <c r="I53" i="16"/>
  <c r="J53" i="15"/>
  <c r="R67" i="15"/>
  <c r="O67" i="16"/>
  <c r="P397" i="20"/>
  <c r="R394" i="16"/>
  <c r="O367" i="14"/>
  <c r="R367" i="13"/>
  <c r="I64" i="15"/>
  <c r="J64" i="14"/>
  <c r="I537" i="16"/>
  <c r="J537" i="15"/>
  <c r="R45" i="15"/>
  <c r="O45" i="16"/>
  <c r="P366" i="20"/>
  <c r="R363" i="16"/>
  <c r="T130" i="20"/>
  <c r="P130" i="23"/>
  <c r="T130" i="23" s="1"/>
  <c r="I138" i="16"/>
  <c r="J138" i="15"/>
  <c r="I311" i="16"/>
  <c r="J311" i="15"/>
  <c r="I553" i="16"/>
  <c r="J553" i="15"/>
  <c r="R318" i="14"/>
  <c r="O318" i="15"/>
  <c r="R565" i="15"/>
  <c r="O565" i="16"/>
  <c r="R365" i="15"/>
  <c r="O365" i="16"/>
  <c r="I46" i="15"/>
  <c r="J46" i="14"/>
  <c r="P430" i="20"/>
  <c r="R426" i="16"/>
  <c r="P547" i="23"/>
  <c r="T547" i="23" s="1"/>
  <c r="T547" i="20"/>
  <c r="I580" i="16"/>
  <c r="J580" i="15"/>
  <c r="I388" i="16"/>
  <c r="J388" i="15"/>
  <c r="I344" i="16"/>
  <c r="J344" i="15"/>
  <c r="I445" i="15"/>
  <c r="J445" i="14"/>
  <c r="I437" i="15"/>
  <c r="J437" i="14"/>
  <c r="I132" i="16"/>
  <c r="J132" i="15"/>
  <c r="I401" i="15"/>
  <c r="J401" i="14"/>
  <c r="I534" i="15"/>
  <c r="J534" i="14"/>
  <c r="I348" i="16"/>
  <c r="J348" i="15"/>
  <c r="I176" i="16"/>
  <c r="J176" i="15"/>
  <c r="I98" i="16"/>
  <c r="J98" i="15"/>
  <c r="I531" i="16"/>
  <c r="J531" i="15"/>
  <c r="P517" i="23"/>
  <c r="T517" i="23" s="1"/>
  <c r="T517" i="20"/>
  <c r="P466" i="20"/>
  <c r="R462" i="16"/>
  <c r="I190" i="16"/>
  <c r="J190" i="15"/>
  <c r="I262" i="16"/>
  <c r="J262" i="15"/>
  <c r="R97" i="15"/>
  <c r="O97" i="16"/>
  <c r="R538" i="16"/>
  <c r="P545" i="20"/>
  <c r="I468" i="15"/>
  <c r="J468" i="14"/>
  <c r="I530" i="15"/>
  <c r="J530" i="14"/>
  <c r="I230" i="16"/>
  <c r="J230" i="15"/>
  <c r="I260" i="16"/>
  <c r="J260" i="15"/>
  <c r="I127" i="16"/>
  <c r="J127" i="15"/>
  <c r="T242" i="20"/>
  <c r="P242" i="23"/>
  <c r="T242" i="23" s="1"/>
  <c r="O131" i="10"/>
  <c r="R132" i="10"/>
  <c r="R131" i="10" s="1"/>
  <c r="O132" i="13"/>
  <c r="I346" i="16"/>
  <c r="J346" i="15"/>
  <c r="I399" i="15"/>
  <c r="J399" i="14"/>
  <c r="I175" i="16"/>
  <c r="J175" i="15"/>
  <c r="I444" i="16"/>
  <c r="J444" i="15"/>
  <c r="I73" i="14"/>
  <c r="J73" i="13"/>
  <c r="I382" i="15"/>
  <c r="J382" i="14"/>
  <c r="P296" i="20"/>
  <c r="R293" i="16"/>
  <c r="P551" i="23"/>
  <c r="T551" i="23" s="1"/>
  <c r="T551" i="20"/>
  <c r="I497" i="15"/>
  <c r="J497" i="14"/>
  <c r="I524" i="15"/>
  <c r="J524" i="14"/>
  <c r="I223" i="16"/>
  <c r="J223" i="15"/>
  <c r="I111" i="16"/>
  <c r="J111" i="15"/>
  <c r="I57" i="16"/>
  <c r="J57" i="15"/>
  <c r="I529" i="16"/>
  <c r="J529" i="15"/>
  <c r="I238" i="16"/>
  <c r="J238" i="15"/>
  <c r="R505" i="15"/>
  <c r="O505" i="16"/>
  <c r="O474" i="13"/>
  <c r="R475" i="13"/>
  <c r="R474" i="13" s="1"/>
  <c r="O475" i="14"/>
  <c r="I191" i="16"/>
  <c r="J191" i="15"/>
  <c r="I66" i="16"/>
  <c r="J66" i="15"/>
  <c r="I71" i="14"/>
  <c r="J71" i="13"/>
  <c r="I144" i="16"/>
  <c r="J144" i="15"/>
  <c r="R115" i="14"/>
  <c r="O115" i="15"/>
  <c r="P292" i="20"/>
  <c r="R289" i="16"/>
  <c r="R84" i="15"/>
  <c r="O84" i="16"/>
  <c r="I110" i="16"/>
  <c r="J110" i="15"/>
  <c r="O240" i="14"/>
  <c r="I413" i="15"/>
  <c r="J413" i="14"/>
  <c r="P405" i="23"/>
  <c r="T405" i="23" s="1"/>
  <c r="T405" i="20"/>
  <c r="T274" i="20"/>
  <c r="P274" i="23"/>
  <c r="T274" i="23" s="1"/>
  <c r="I535" i="16"/>
  <c r="J535" i="15"/>
  <c r="R414" i="15"/>
  <c r="O414" i="16"/>
  <c r="I516" i="15"/>
  <c r="J516" i="14"/>
  <c r="N77" i="7"/>
  <c r="I77" i="7"/>
  <c r="I504" i="15"/>
  <c r="J504" i="14"/>
  <c r="I527" i="16"/>
  <c r="J527" i="15"/>
  <c r="I389" i="15"/>
  <c r="J389" i="14"/>
  <c r="I151" i="16"/>
  <c r="J151" i="15"/>
  <c r="O71" i="15"/>
  <c r="R71" i="14"/>
  <c r="M108" i="14"/>
  <c r="G108" i="14"/>
  <c r="I106" i="16"/>
  <c r="J106" i="15"/>
  <c r="O552" i="13"/>
  <c r="R553" i="13"/>
  <c r="R552" i="13" s="1"/>
  <c r="R507" i="13" s="1"/>
  <c r="O553" i="14"/>
  <c r="I345" i="15"/>
  <c r="J345" i="14"/>
  <c r="T193" i="20"/>
  <c r="P193" i="23"/>
  <c r="T193" i="23" s="1"/>
  <c r="I483" i="15"/>
  <c r="J483" i="14"/>
  <c r="I293" i="15"/>
  <c r="J293" i="14"/>
  <c r="I380" i="16"/>
  <c r="J380" i="15"/>
  <c r="I139" i="16"/>
  <c r="J139" i="15"/>
  <c r="O576" i="15"/>
  <c r="R576" i="14"/>
  <c r="O456" i="15"/>
  <c r="R456" i="14"/>
  <c r="P200" i="23"/>
  <c r="T200" i="23" s="1"/>
  <c r="T200" i="20"/>
  <c r="I247" i="16"/>
  <c r="J247" i="15"/>
  <c r="I320" i="16"/>
  <c r="J320" i="15"/>
  <c r="O390" i="15"/>
  <c r="R390" i="14"/>
  <c r="I450" i="16"/>
  <c r="J450" i="15"/>
  <c r="I452" i="16"/>
  <c r="J452" i="15"/>
  <c r="I539" i="16"/>
  <c r="J539" i="15"/>
  <c r="R164" i="16"/>
  <c r="P167" i="20"/>
  <c r="I506" i="15"/>
  <c r="J506" i="14"/>
  <c r="I404" i="16"/>
  <c r="J404" i="15"/>
  <c r="P189" i="20"/>
  <c r="R186" i="16"/>
  <c r="I381" i="15"/>
  <c r="J381" i="14"/>
  <c r="I109" i="16"/>
  <c r="J109" i="15"/>
  <c r="I326" i="16"/>
  <c r="J326" i="15"/>
  <c r="I487" i="15"/>
  <c r="J487" i="14"/>
  <c r="I365" i="15"/>
  <c r="J365" i="14"/>
  <c r="I170" i="16"/>
  <c r="J170" i="15"/>
  <c r="I440" i="16"/>
  <c r="J440" i="15"/>
  <c r="R99" i="14"/>
  <c r="O99" i="15"/>
  <c r="I332" i="16"/>
  <c r="J332" i="15"/>
  <c r="I510" i="15"/>
  <c r="J510" i="14"/>
  <c r="I316" i="16"/>
  <c r="J316" i="15"/>
  <c r="I528" i="15"/>
  <c r="J528" i="14"/>
  <c r="I213" i="16"/>
  <c r="J213" i="15"/>
  <c r="I82" i="16"/>
  <c r="J82" i="15"/>
  <c r="I490" i="15"/>
  <c r="J490" i="14"/>
  <c r="T83" i="20"/>
  <c r="P83" i="23"/>
  <c r="T83" i="23" s="1"/>
  <c r="I421" i="15"/>
  <c r="J421" i="14"/>
  <c r="I283" i="16"/>
  <c r="J283" i="15"/>
  <c r="I325" i="15"/>
  <c r="J325" i="14"/>
  <c r="I359" i="15"/>
  <c r="J359" i="14"/>
  <c r="I502" i="15"/>
  <c r="J502" i="14"/>
  <c r="I407" i="15"/>
  <c r="J407" i="14"/>
  <c r="R249" i="16"/>
  <c r="P252" i="20"/>
  <c r="I181" i="16"/>
  <c r="J181" i="15"/>
  <c r="I494" i="15"/>
  <c r="J494" i="14"/>
  <c r="O69" i="13"/>
  <c r="R69" i="10"/>
  <c r="P379" i="20"/>
  <c r="R376" i="16"/>
  <c r="R56" i="9"/>
  <c r="O56" i="10"/>
  <c r="R393" i="15"/>
  <c r="O393" i="16"/>
  <c r="I498" i="15"/>
  <c r="J498" i="14"/>
  <c r="P367" i="20"/>
  <c r="R364" i="16"/>
  <c r="I35" i="16"/>
  <c r="J35" i="15"/>
  <c r="I290" i="16"/>
  <c r="J290" i="15"/>
  <c r="I367" i="16"/>
  <c r="J367" i="15"/>
  <c r="T554" i="20"/>
  <c r="P554" i="23"/>
  <c r="T554" i="23" s="1"/>
  <c r="I197" i="16"/>
  <c r="J197" i="15"/>
  <c r="P486" i="20"/>
  <c r="R479" i="16"/>
  <c r="I351" i="15"/>
  <c r="J351" i="14"/>
  <c r="I522" i="15"/>
  <c r="J522" i="14"/>
  <c r="R240" i="14"/>
  <c r="I134" i="16"/>
  <c r="J134" i="15"/>
  <c r="R302" i="14"/>
  <c r="O302" i="15"/>
  <c r="O179" i="10"/>
  <c r="O178" i="10" s="1"/>
  <c r="O180" i="13"/>
  <c r="R180" i="10"/>
  <c r="R179" i="10" s="1"/>
  <c r="R178" i="10" s="1"/>
  <c r="I371" i="15"/>
  <c r="J371" i="14"/>
  <c r="I160" i="16"/>
  <c r="J160" i="15"/>
  <c r="O70" i="10"/>
  <c r="R70" i="9"/>
  <c r="I405" i="15"/>
  <c r="J405" i="14"/>
  <c r="P250" i="20"/>
  <c r="R247" i="16"/>
  <c r="I443" i="15"/>
  <c r="J443" i="14"/>
  <c r="T149" i="20"/>
  <c r="P149" i="23"/>
  <c r="T149" i="23" s="1"/>
  <c r="I224" i="16"/>
  <c r="J224" i="15"/>
  <c r="O569" i="16"/>
  <c r="R569" i="15"/>
  <c r="O148" i="13"/>
  <c r="O139" i="13" s="1"/>
  <c r="R149" i="13"/>
  <c r="R148" i="13" s="1"/>
  <c r="R139" i="13" s="1"/>
  <c r="O149" i="14"/>
  <c r="I126" i="16"/>
  <c r="J126" i="15"/>
  <c r="I423" i="15"/>
  <c r="J423" i="14"/>
  <c r="I409" i="15"/>
  <c r="J409" i="14"/>
  <c r="I507" i="15"/>
  <c r="J507" i="14"/>
  <c r="I31" i="16"/>
  <c r="J31" i="15"/>
  <c r="I225" i="16"/>
  <c r="J225" i="15"/>
  <c r="M118" i="14"/>
  <c r="G118" i="14"/>
  <c r="R231" i="14"/>
  <c r="O231" i="15"/>
  <c r="I84" i="15"/>
  <c r="J84" i="14"/>
  <c r="L183" i="26"/>
  <c r="M182" i="26"/>
  <c r="I419" i="15"/>
  <c r="J419" i="14"/>
  <c r="P497" i="23"/>
  <c r="T497" i="23" s="1"/>
  <c r="T497" i="20"/>
  <c r="R313" i="16"/>
  <c r="P316" i="20"/>
  <c r="O53" i="7"/>
  <c r="O52" i="7" s="1"/>
  <c r="P252" i="23" l="1"/>
  <c r="T252" i="23" s="1"/>
  <c r="T252" i="20"/>
  <c r="I530" i="16"/>
  <c r="J530" i="15"/>
  <c r="T147" i="20"/>
  <c r="P147" i="23"/>
  <c r="T147" i="23" s="1"/>
  <c r="P578" i="20"/>
  <c r="R571" i="16"/>
  <c r="I383" i="16"/>
  <c r="J383" i="15"/>
  <c r="J155" i="20"/>
  <c r="J152" i="16"/>
  <c r="I418" i="16"/>
  <c r="J418" i="15"/>
  <c r="J131" i="20"/>
  <c r="J129" i="16"/>
  <c r="J570" i="20"/>
  <c r="J563" i="16"/>
  <c r="R338" i="15"/>
  <c r="O338" i="16"/>
  <c r="O38" i="10"/>
  <c r="R38" i="9"/>
  <c r="O215" i="15"/>
  <c r="O216" i="16"/>
  <c r="R216" i="15"/>
  <c r="R215" i="15" s="1"/>
  <c r="J321" i="20"/>
  <c r="J318" i="16"/>
  <c r="T456" i="20"/>
  <c r="P456" i="23"/>
  <c r="T456" i="23" s="1"/>
  <c r="J143" i="20"/>
  <c r="J140" i="16"/>
  <c r="P445" i="20"/>
  <c r="R441" i="16"/>
  <c r="N117" i="14"/>
  <c r="O117" i="14" s="1"/>
  <c r="I117" i="14"/>
  <c r="J122" i="20"/>
  <c r="J120" i="16"/>
  <c r="J68" i="20"/>
  <c r="J67" i="16"/>
  <c r="I419" i="16"/>
  <c r="J419" i="15"/>
  <c r="J32" i="20"/>
  <c r="J31" i="16"/>
  <c r="J137" i="20"/>
  <c r="J134" i="16"/>
  <c r="T134" i="16"/>
  <c r="U134" i="16" s="1"/>
  <c r="O56" i="13"/>
  <c r="R56" i="10"/>
  <c r="I421" i="16"/>
  <c r="J421" i="15"/>
  <c r="J319" i="20"/>
  <c r="J316" i="16"/>
  <c r="I365" i="16"/>
  <c r="J365" i="15"/>
  <c r="J407" i="20"/>
  <c r="J404" i="16"/>
  <c r="R390" i="15"/>
  <c r="O390" i="16"/>
  <c r="J142" i="20"/>
  <c r="J139" i="16"/>
  <c r="P292" i="23"/>
  <c r="T292" i="23" s="1"/>
  <c r="T292" i="20"/>
  <c r="O474" i="14"/>
  <c r="R475" i="14"/>
  <c r="R474" i="14" s="1"/>
  <c r="O475" i="15"/>
  <c r="J113" i="20"/>
  <c r="J111" i="16"/>
  <c r="I382" i="16"/>
  <c r="J382" i="15"/>
  <c r="I534" i="16"/>
  <c r="J534" i="15"/>
  <c r="J391" i="20"/>
  <c r="J388" i="16"/>
  <c r="R67" i="16"/>
  <c r="P68" i="20"/>
  <c r="R533" i="15"/>
  <c r="O533" i="16"/>
  <c r="I317" i="16"/>
  <c r="J317" i="15"/>
  <c r="J192" i="20"/>
  <c r="J189" i="16"/>
  <c r="O226" i="13"/>
  <c r="R227" i="13"/>
  <c r="R226" i="13" s="1"/>
  <c r="O227" i="14"/>
  <c r="J269" i="20"/>
  <c r="J266" i="16"/>
  <c r="J267" i="20"/>
  <c r="J264" i="16"/>
  <c r="R260" i="16"/>
  <c r="P263" i="20"/>
  <c r="J115" i="20"/>
  <c r="J113" i="16"/>
  <c r="J277" i="20"/>
  <c r="J274" i="16"/>
  <c r="J302" i="20"/>
  <c r="J299" i="16"/>
  <c r="J45" i="20"/>
  <c r="J44" i="16"/>
  <c r="J341" i="20"/>
  <c r="J338" i="16"/>
  <c r="I333" i="16"/>
  <c r="J333" i="15"/>
  <c r="I491" i="16"/>
  <c r="J491" i="15"/>
  <c r="R483" i="14"/>
  <c r="R482" i="14" s="1"/>
  <c r="R481" i="14" s="1"/>
  <c r="O482" i="14"/>
  <c r="O483" i="15"/>
  <c r="J175" i="20"/>
  <c r="J172" i="16"/>
  <c r="J532" i="20"/>
  <c r="J525" i="16"/>
  <c r="J337" i="20"/>
  <c r="J334" i="16"/>
  <c r="J395" i="20"/>
  <c r="J392" i="16"/>
  <c r="O396" i="14"/>
  <c r="O395" i="13"/>
  <c r="R396" i="13"/>
  <c r="R395" i="13" s="1"/>
  <c r="P358" i="20"/>
  <c r="R355" i="16"/>
  <c r="J176" i="20"/>
  <c r="J173" i="16"/>
  <c r="J353" i="20"/>
  <c r="J350" i="16"/>
  <c r="J282" i="20"/>
  <c r="J279" i="16"/>
  <c r="J428" i="20"/>
  <c r="J424" i="16"/>
  <c r="P338" i="23"/>
  <c r="T338" i="23" s="1"/>
  <c r="T338" i="20"/>
  <c r="J164" i="20"/>
  <c r="J161" i="16"/>
  <c r="T278" i="20"/>
  <c r="P278" i="23"/>
  <c r="T278" i="23" s="1"/>
  <c r="J283" i="20"/>
  <c r="J280" i="16"/>
  <c r="J566" i="20"/>
  <c r="J559" i="16"/>
  <c r="I520" i="16"/>
  <c r="J520" i="15"/>
  <c r="T47" i="20"/>
  <c r="P47" i="23"/>
  <c r="T47" i="23" s="1"/>
  <c r="J156" i="20"/>
  <c r="J153" i="16"/>
  <c r="J571" i="20"/>
  <c r="J564" i="16"/>
  <c r="I36" i="13"/>
  <c r="J36" i="10"/>
  <c r="I398" i="16"/>
  <c r="J398" i="15"/>
  <c r="J151" i="20"/>
  <c r="J148" i="16"/>
  <c r="J232" i="23"/>
  <c r="K232" i="23" s="1"/>
  <c r="K232" i="20"/>
  <c r="J195" i="20"/>
  <c r="J192" i="16"/>
  <c r="I393" i="16"/>
  <c r="J393" i="15"/>
  <c r="J355" i="20"/>
  <c r="J352" i="16"/>
  <c r="J291" i="20"/>
  <c r="J288" i="16"/>
  <c r="I544" i="16"/>
  <c r="J544" i="15"/>
  <c r="J139" i="20"/>
  <c r="J136" i="16"/>
  <c r="P563" i="20"/>
  <c r="R556" i="16"/>
  <c r="I425" i="16"/>
  <c r="J425" i="15"/>
  <c r="I429" i="16"/>
  <c r="J429" i="15"/>
  <c r="R241" i="16"/>
  <c r="P244" i="20"/>
  <c r="J196" i="20"/>
  <c r="J193" i="16"/>
  <c r="J208" i="20"/>
  <c r="J205" i="16"/>
  <c r="I496" i="16"/>
  <c r="J496" i="15"/>
  <c r="J242" i="20"/>
  <c r="J239" i="16"/>
  <c r="J279" i="20"/>
  <c r="J276" i="16"/>
  <c r="I402" i="16"/>
  <c r="J402" i="15"/>
  <c r="P477" i="20"/>
  <c r="R473" i="16"/>
  <c r="J83" i="23"/>
  <c r="K83" i="23" s="1"/>
  <c r="K83" i="20"/>
  <c r="I373" i="16"/>
  <c r="J373" i="15"/>
  <c r="J563" i="20"/>
  <c r="J556" i="16"/>
  <c r="P544" i="23"/>
  <c r="T544" i="23" s="1"/>
  <c r="T544" i="20"/>
  <c r="T202" i="20"/>
  <c r="P202" i="23"/>
  <c r="T202" i="23" s="1"/>
  <c r="O175" i="14"/>
  <c r="R176" i="14"/>
  <c r="R175" i="14" s="1"/>
  <c r="O176" i="15"/>
  <c r="R572" i="15"/>
  <c r="O572" i="16"/>
  <c r="I486" i="16"/>
  <c r="J486" i="15"/>
  <c r="R72" i="13"/>
  <c r="O72" i="14"/>
  <c r="I447" i="16"/>
  <c r="J447" i="15"/>
  <c r="J44" i="20"/>
  <c r="J43" i="16"/>
  <c r="R93" i="16"/>
  <c r="P95" i="20"/>
  <c r="O299" i="15"/>
  <c r="R299" i="14"/>
  <c r="R296" i="14" s="1"/>
  <c r="O296" i="14"/>
  <c r="J210" i="20"/>
  <c r="J207" i="16"/>
  <c r="J377" i="20"/>
  <c r="J374" i="16"/>
  <c r="R70" i="10"/>
  <c r="O70" i="13"/>
  <c r="J370" i="20"/>
  <c r="J367" i="16"/>
  <c r="I468" i="16"/>
  <c r="J468" i="15"/>
  <c r="T434" i="20"/>
  <c r="P434" i="23"/>
  <c r="T434" i="23" s="1"/>
  <c r="J586" i="20"/>
  <c r="J579" i="16"/>
  <c r="J412" i="20"/>
  <c r="J408" i="16"/>
  <c r="I518" i="16"/>
  <c r="J518" i="15"/>
  <c r="J484" i="20"/>
  <c r="J477" i="16"/>
  <c r="J326" i="20"/>
  <c r="J323" i="16"/>
  <c r="J278" i="20"/>
  <c r="J275" i="16"/>
  <c r="T213" i="20"/>
  <c r="P213" i="23"/>
  <c r="T213" i="23" s="1"/>
  <c r="P186" i="23"/>
  <c r="T186" i="23" s="1"/>
  <c r="T186" i="20"/>
  <c r="J99" i="20"/>
  <c r="J97" i="16"/>
  <c r="J240" i="20"/>
  <c r="J237" i="16"/>
  <c r="O481" i="13"/>
  <c r="I335" i="16"/>
  <c r="J335" i="15"/>
  <c r="J167" i="20"/>
  <c r="J164" i="16"/>
  <c r="R339" i="13"/>
  <c r="R337" i="13" s="1"/>
  <c r="O339" i="14"/>
  <c r="O337" i="13"/>
  <c r="R104" i="16"/>
  <c r="P106" i="20"/>
  <c r="O222" i="13"/>
  <c r="R223" i="13"/>
  <c r="R222" i="13" s="1"/>
  <c r="O223" i="14"/>
  <c r="J188" i="20"/>
  <c r="J185" i="16"/>
  <c r="R375" i="14"/>
  <c r="O375" i="15"/>
  <c r="J440" i="20"/>
  <c r="J436" i="16"/>
  <c r="J251" i="20"/>
  <c r="J248" i="16"/>
  <c r="J576" i="20"/>
  <c r="J569" i="16"/>
  <c r="R341" i="16"/>
  <c r="P344" i="20"/>
  <c r="J198" i="20"/>
  <c r="J195" i="16"/>
  <c r="J562" i="20"/>
  <c r="J555" i="16"/>
  <c r="J225" i="20"/>
  <c r="J222" i="16"/>
  <c r="I508" i="16"/>
  <c r="J508" i="15"/>
  <c r="J207" i="20"/>
  <c r="J204" i="16"/>
  <c r="I451" i="16"/>
  <c r="J451" i="15"/>
  <c r="T516" i="20"/>
  <c r="P516" i="23"/>
  <c r="J157" i="20"/>
  <c r="J154" i="16"/>
  <c r="T49" i="20"/>
  <c r="P49" i="23"/>
  <c r="T49" i="23" s="1"/>
  <c r="J160" i="20"/>
  <c r="J157" i="16"/>
  <c r="R94" i="13"/>
  <c r="N121" i="14"/>
  <c r="I121" i="14"/>
  <c r="O60" i="15"/>
  <c r="R60" i="14"/>
  <c r="R187" i="16"/>
  <c r="P190" i="20"/>
  <c r="J588" i="20"/>
  <c r="J581" i="16"/>
  <c r="J134" i="20"/>
  <c r="J131" i="16"/>
  <c r="I379" i="16"/>
  <c r="J379" i="15"/>
  <c r="J234" i="20"/>
  <c r="J231" i="16"/>
  <c r="I261" i="16"/>
  <c r="J261" i="15"/>
  <c r="J442" i="20"/>
  <c r="J438" i="16"/>
  <c r="R512" i="15"/>
  <c r="R508" i="15" s="1"/>
  <c r="O512" i="16"/>
  <c r="O508" i="15"/>
  <c r="T286" i="20"/>
  <c r="P286" i="23"/>
  <c r="T286" i="23" s="1"/>
  <c r="I297" i="16"/>
  <c r="J297" i="15"/>
  <c r="P150" i="23"/>
  <c r="T150" i="23" s="1"/>
  <c r="T150" i="20"/>
  <c r="J436" i="20"/>
  <c r="J432" i="16"/>
  <c r="J387" i="20"/>
  <c r="J384" i="16"/>
  <c r="I309" i="16"/>
  <c r="J309" i="15"/>
  <c r="I355" i="16"/>
  <c r="J355" i="15"/>
  <c r="R151" i="15"/>
  <c r="O151" i="16"/>
  <c r="P294" i="20"/>
  <c r="T295" i="20"/>
  <c r="P295" i="23"/>
  <c r="J306" i="20"/>
  <c r="J303" i="16"/>
  <c r="I558" i="16"/>
  <c r="J558" i="15"/>
  <c r="I499" i="16"/>
  <c r="J499" i="15"/>
  <c r="J333" i="20"/>
  <c r="J330" i="16"/>
  <c r="J592" i="20"/>
  <c r="J585" i="16"/>
  <c r="I465" i="16"/>
  <c r="J465" i="15"/>
  <c r="I542" i="16"/>
  <c r="J542" i="15"/>
  <c r="P576" i="20"/>
  <c r="R569" i="16"/>
  <c r="J534" i="20"/>
  <c r="J527" i="16"/>
  <c r="R115" i="15"/>
  <c r="O115" i="16"/>
  <c r="J452" i="20"/>
  <c r="J448" i="16"/>
  <c r="J177" i="20"/>
  <c r="J174" i="16"/>
  <c r="T115" i="20"/>
  <c r="P115" i="23"/>
  <c r="T115" i="23" s="1"/>
  <c r="J528" i="20"/>
  <c r="J521" i="16"/>
  <c r="J235" i="20"/>
  <c r="J232" i="16"/>
  <c r="I507" i="16"/>
  <c r="J507" i="15"/>
  <c r="I510" i="16"/>
  <c r="J510" i="15"/>
  <c r="I506" i="16"/>
  <c r="J506" i="15"/>
  <c r="J383" i="20"/>
  <c r="J380" i="16"/>
  <c r="J226" i="20"/>
  <c r="J223" i="16"/>
  <c r="P545" i="23"/>
  <c r="T545" i="23" s="1"/>
  <c r="T545" i="20"/>
  <c r="I401" i="16"/>
  <c r="J401" i="15"/>
  <c r="J587" i="20"/>
  <c r="J580" i="16"/>
  <c r="P46" i="20"/>
  <c r="R45" i="16"/>
  <c r="J220" i="23"/>
  <c r="K220" i="23" s="1"/>
  <c r="K220" i="20"/>
  <c r="P525" i="23"/>
  <c r="T525" i="23" s="1"/>
  <c r="T525" i="20"/>
  <c r="O225" i="10"/>
  <c r="I40" i="13"/>
  <c r="J40" i="10"/>
  <c r="J550" i="20"/>
  <c r="J543" i="16"/>
  <c r="I427" i="16"/>
  <c r="J427" i="15"/>
  <c r="O196" i="16"/>
  <c r="R196" i="15"/>
  <c r="J243" i="20"/>
  <c r="J240" i="16"/>
  <c r="P348" i="20"/>
  <c r="R345" i="16"/>
  <c r="J359" i="20"/>
  <c r="J356" i="16"/>
  <c r="J214" i="20"/>
  <c r="J211" i="16"/>
  <c r="I554" i="16"/>
  <c r="J554" i="15"/>
  <c r="I538" i="16"/>
  <c r="J538" i="15"/>
  <c r="J199" i="20"/>
  <c r="J196" i="16"/>
  <c r="I478" i="16"/>
  <c r="J478" i="15"/>
  <c r="R330" i="15"/>
  <c r="O330" i="16"/>
  <c r="J169" i="20"/>
  <c r="J166" i="16"/>
  <c r="I88" i="15"/>
  <c r="J88" i="14"/>
  <c r="J66" i="20"/>
  <c r="J65" i="16"/>
  <c r="P422" i="23"/>
  <c r="T422" i="23" s="1"/>
  <c r="T422" i="20"/>
  <c r="I357" i="16"/>
  <c r="J357" i="15"/>
  <c r="I422" i="16"/>
  <c r="J422" i="15"/>
  <c r="P505" i="23"/>
  <c r="T505" i="23" s="1"/>
  <c r="T505" i="20"/>
  <c r="R90" i="14"/>
  <c r="O90" i="15"/>
  <c r="I277" i="16"/>
  <c r="J277" i="15"/>
  <c r="I391" i="16"/>
  <c r="J391" i="15"/>
  <c r="O35" i="9"/>
  <c r="R36" i="9"/>
  <c r="R35" i="9" s="1"/>
  <c r="O36" i="10"/>
  <c r="O153" i="16"/>
  <c r="R153" i="15"/>
  <c r="P256" i="23"/>
  <c r="T256" i="23" s="1"/>
  <c r="T256" i="20"/>
  <c r="P575" i="20"/>
  <c r="R568" i="16"/>
  <c r="J322" i="20"/>
  <c r="J319" i="16"/>
  <c r="J572" i="20"/>
  <c r="J565" i="16"/>
  <c r="I339" i="16"/>
  <c r="J339" i="15"/>
  <c r="P255" i="23"/>
  <c r="T255" i="23" s="1"/>
  <c r="T255" i="20"/>
  <c r="J273" i="20"/>
  <c r="J270" i="16"/>
  <c r="I441" i="16"/>
  <c r="J441" i="15"/>
  <c r="T287" i="20"/>
  <c r="P287" i="23"/>
  <c r="T287" i="23" s="1"/>
  <c r="J203" i="20"/>
  <c r="J200" i="16"/>
  <c r="I331" i="16"/>
  <c r="J331" i="15"/>
  <c r="J589" i="20"/>
  <c r="J582" i="16"/>
  <c r="R162" i="15"/>
  <c r="O162" i="16"/>
  <c r="I38" i="10"/>
  <c r="J38" i="9"/>
  <c r="I327" i="16"/>
  <c r="J327" i="15"/>
  <c r="J564" i="20"/>
  <c r="J557" i="16"/>
  <c r="J307" i="20"/>
  <c r="J304" i="16"/>
  <c r="J559" i="20"/>
  <c r="J552" i="16"/>
  <c r="I321" i="16"/>
  <c r="J321" i="15"/>
  <c r="R41" i="13"/>
  <c r="O41" i="14"/>
  <c r="O136" i="15"/>
  <c r="R136" i="14"/>
  <c r="R507" i="14"/>
  <c r="O205" i="13"/>
  <c r="O206" i="14"/>
  <c r="R206" i="13"/>
  <c r="R205" i="13" s="1"/>
  <c r="I58" i="10"/>
  <c r="J58" i="9"/>
  <c r="P210" i="23"/>
  <c r="T210" i="23" s="1"/>
  <c r="T210" i="20"/>
  <c r="I59" i="14"/>
  <c r="J59" i="13"/>
  <c r="I500" i="16"/>
  <c r="J500" i="15"/>
  <c r="P449" i="20"/>
  <c r="R445" i="16"/>
  <c r="P510" i="23"/>
  <c r="T510" i="23" s="1"/>
  <c r="T510" i="20"/>
  <c r="J88" i="20"/>
  <c r="J86" i="16"/>
  <c r="J303" i="20"/>
  <c r="J300" i="16"/>
  <c r="N122" i="14"/>
  <c r="O122" i="14" s="1"/>
  <c r="I122" i="14"/>
  <c r="I439" i="16"/>
  <c r="J439" i="15"/>
  <c r="R291" i="16"/>
  <c r="J228" i="20"/>
  <c r="J225" i="16"/>
  <c r="R191" i="16"/>
  <c r="P194" i="20"/>
  <c r="J357" i="20"/>
  <c r="J354" i="16"/>
  <c r="I467" i="16"/>
  <c r="J467" i="15"/>
  <c r="R212" i="16"/>
  <c r="P215" i="20"/>
  <c r="J578" i="20"/>
  <c r="J571" i="16"/>
  <c r="O28" i="15"/>
  <c r="R29" i="15"/>
  <c r="R28" i="15" s="1"/>
  <c r="O29" i="16"/>
  <c r="J450" i="20"/>
  <c r="J446" i="16"/>
  <c r="J375" i="20"/>
  <c r="J372" i="16"/>
  <c r="I60" i="14"/>
  <c r="J60" i="13"/>
  <c r="M183" i="26"/>
  <c r="N182" i="26"/>
  <c r="R318" i="15"/>
  <c r="O318" i="16"/>
  <c r="T366" i="20"/>
  <c r="P366" i="23"/>
  <c r="T366" i="23" s="1"/>
  <c r="I407" i="16"/>
  <c r="J407" i="15"/>
  <c r="I487" i="16"/>
  <c r="J487" i="15"/>
  <c r="J323" i="20"/>
  <c r="J320" i="16"/>
  <c r="I73" i="15"/>
  <c r="J73" i="14"/>
  <c r="J227" i="20"/>
  <c r="J224" i="16"/>
  <c r="J163" i="20"/>
  <c r="J160" i="16"/>
  <c r="I522" i="16"/>
  <c r="J522" i="15"/>
  <c r="J293" i="20"/>
  <c r="J290" i="16"/>
  <c r="T379" i="20"/>
  <c r="P379" i="23"/>
  <c r="T379" i="23" s="1"/>
  <c r="T167" i="20"/>
  <c r="P167" i="23"/>
  <c r="T167" i="23" s="1"/>
  <c r="J108" i="20"/>
  <c r="J106" i="16"/>
  <c r="I504" i="16"/>
  <c r="J504" i="15"/>
  <c r="R505" i="16"/>
  <c r="P512" i="20"/>
  <c r="J538" i="20"/>
  <c r="J531" i="16"/>
  <c r="J54" i="20"/>
  <c r="J53" i="16"/>
  <c r="J365" i="20"/>
  <c r="J362" i="16"/>
  <c r="J558" i="20"/>
  <c r="J551" i="16"/>
  <c r="I397" i="16"/>
  <c r="J397" i="15"/>
  <c r="I349" i="16"/>
  <c r="J349" i="15"/>
  <c r="T350" i="20"/>
  <c r="P350" i="23"/>
  <c r="T350" i="23" s="1"/>
  <c r="J114" i="20"/>
  <c r="J112" i="16"/>
  <c r="R155" i="10"/>
  <c r="J403" i="20"/>
  <c r="J400" i="16"/>
  <c r="J460" i="20"/>
  <c r="J456" i="16"/>
  <c r="J246" i="20"/>
  <c r="J243" i="16"/>
  <c r="O406" i="13"/>
  <c r="O407" i="14"/>
  <c r="R407" i="13"/>
  <c r="R406" i="13" s="1"/>
  <c r="J379" i="20"/>
  <c r="J376" i="16"/>
  <c r="I341" i="16"/>
  <c r="J341" i="15"/>
  <c r="J367" i="20"/>
  <c r="J364" i="16"/>
  <c r="J202" i="20"/>
  <c r="J199" i="16"/>
  <c r="J248" i="20"/>
  <c r="J245" i="16"/>
  <c r="P346" i="23"/>
  <c r="T346" i="23" s="1"/>
  <c r="T346" i="20"/>
  <c r="I54" i="16"/>
  <c r="J54" i="15"/>
  <c r="R86" i="14"/>
  <c r="O86" i="15"/>
  <c r="J548" i="20"/>
  <c r="J541" i="16"/>
  <c r="I56" i="13"/>
  <c r="J56" i="10"/>
  <c r="R135" i="15"/>
  <c r="O135" i="16"/>
  <c r="R103" i="15"/>
  <c r="O103" i="16"/>
  <c r="J104" i="20"/>
  <c r="J102" i="16"/>
  <c r="I449" i="16"/>
  <c r="J449" i="15"/>
  <c r="J585" i="20"/>
  <c r="J578" i="16"/>
  <c r="O83" i="14"/>
  <c r="R83" i="13"/>
  <c r="J579" i="20"/>
  <c r="J572" i="16"/>
  <c r="O112" i="15"/>
  <c r="R112" i="14"/>
  <c r="I313" i="16"/>
  <c r="J313" i="15"/>
  <c r="O307" i="15"/>
  <c r="R308" i="15"/>
  <c r="R307" i="15" s="1"/>
  <c r="O308" i="16"/>
  <c r="J244" i="20"/>
  <c r="J241" i="16"/>
  <c r="I269" i="16"/>
  <c r="J269" i="15"/>
  <c r="J82" i="20"/>
  <c r="J80" i="16"/>
  <c r="P400" i="20"/>
  <c r="R397" i="16"/>
  <c r="O189" i="16"/>
  <c r="R189" i="15"/>
  <c r="P462" i="20"/>
  <c r="R458" i="16"/>
  <c r="J369" i="20"/>
  <c r="J366" i="16"/>
  <c r="I390" i="16"/>
  <c r="J390" i="15"/>
  <c r="R73" i="14"/>
  <c r="O73" i="15"/>
  <c r="J239" i="20"/>
  <c r="J236" i="16"/>
  <c r="J201" i="20"/>
  <c r="J198" i="16"/>
  <c r="J259" i="20"/>
  <c r="J256" i="16"/>
  <c r="J361" i="20"/>
  <c r="J358" i="16"/>
  <c r="J182" i="20"/>
  <c r="J179" i="16"/>
  <c r="I431" i="16"/>
  <c r="J431" i="15"/>
  <c r="J162" i="20"/>
  <c r="J159" i="16"/>
  <c r="I48" i="16"/>
  <c r="J48" i="15"/>
  <c r="T116" i="20"/>
  <c r="P116" i="23"/>
  <c r="T116" i="23" s="1"/>
  <c r="I410" i="16"/>
  <c r="J410" i="15"/>
  <c r="J311" i="20"/>
  <c r="J308" i="16"/>
  <c r="R85" i="14"/>
  <c r="O85" i="15"/>
  <c r="J419" i="20"/>
  <c r="J415" i="16"/>
  <c r="P442" i="20"/>
  <c r="R438" i="16"/>
  <c r="R246" i="15"/>
  <c r="R240" i="15" s="1"/>
  <c r="O246" i="16"/>
  <c r="O240" i="16" s="1"/>
  <c r="T362" i="20"/>
  <c r="P362" i="23"/>
  <c r="T362" i="23" s="1"/>
  <c r="I85" i="15"/>
  <c r="J85" i="14"/>
  <c r="P198" i="20"/>
  <c r="R195" i="16"/>
  <c r="T127" i="20"/>
  <c r="P127" i="23"/>
  <c r="T127" i="23" s="1"/>
  <c r="O116" i="16"/>
  <c r="R116" i="15"/>
  <c r="I387" i="16"/>
  <c r="J387" i="15"/>
  <c r="J371" i="20"/>
  <c r="J368" i="16"/>
  <c r="J315" i="20"/>
  <c r="J312" i="16"/>
  <c r="J294" i="20"/>
  <c r="J291" i="16"/>
  <c r="I45" i="15"/>
  <c r="J45" i="14"/>
  <c r="J556" i="20"/>
  <c r="J549" i="16"/>
  <c r="R51" i="10"/>
  <c r="O51" i="13"/>
  <c r="I411" i="16"/>
  <c r="J411" i="15"/>
  <c r="I546" i="16"/>
  <c r="J546" i="15"/>
  <c r="I361" i="16"/>
  <c r="J361" i="15"/>
  <c r="I550" i="16"/>
  <c r="J550" i="15"/>
  <c r="J540" i="20"/>
  <c r="J533" i="16"/>
  <c r="J237" i="20"/>
  <c r="J234" i="16"/>
  <c r="I514" i="16"/>
  <c r="J514" i="15"/>
  <c r="J255" i="20"/>
  <c r="J252" i="16"/>
  <c r="I49" i="10"/>
  <c r="J49" i="9"/>
  <c r="I72" i="14"/>
  <c r="J72" i="13"/>
  <c r="J432" i="20"/>
  <c r="J428" i="16"/>
  <c r="I548" i="16"/>
  <c r="J548" i="15"/>
  <c r="P513" i="23"/>
  <c r="T513" i="23" s="1"/>
  <c r="T513" i="20"/>
  <c r="I394" i="16"/>
  <c r="J394" i="15"/>
  <c r="J477" i="20"/>
  <c r="J473" i="16"/>
  <c r="I509" i="16"/>
  <c r="J509" i="15"/>
  <c r="I566" i="16"/>
  <c r="J566" i="15"/>
  <c r="J172" i="20"/>
  <c r="J169" i="16"/>
  <c r="J526" i="20"/>
  <c r="J519" i="16"/>
  <c r="J180" i="20"/>
  <c r="J177" i="16"/>
  <c r="P499" i="20"/>
  <c r="R492" i="16"/>
  <c r="R58" i="9"/>
  <c r="R53" i="9" s="1"/>
  <c r="R52" i="9" s="1"/>
  <c r="O58" i="10"/>
  <c r="R124" i="16"/>
  <c r="P126" i="20"/>
  <c r="R565" i="16"/>
  <c r="P572" i="20"/>
  <c r="J116" i="20"/>
  <c r="J114" i="16"/>
  <c r="I479" i="16"/>
  <c r="J479" i="15"/>
  <c r="I84" i="16"/>
  <c r="J84" i="15"/>
  <c r="I490" i="16"/>
  <c r="J490" i="15"/>
  <c r="J250" i="20"/>
  <c r="J247" i="16"/>
  <c r="N108" i="14"/>
  <c r="I108" i="14"/>
  <c r="I77" i="9"/>
  <c r="J77" i="7"/>
  <c r="I524" i="16"/>
  <c r="J524" i="15"/>
  <c r="J448" i="20"/>
  <c r="J444" i="16"/>
  <c r="J135" i="20"/>
  <c r="J132" i="16"/>
  <c r="J213" i="20"/>
  <c r="J210" i="16"/>
  <c r="J211" i="20"/>
  <c r="J208" i="16"/>
  <c r="J522" i="20"/>
  <c r="J515" i="16"/>
  <c r="I472" i="16"/>
  <c r="J472" i="15"/>
  <c r="J53" i="20"/>
  <c r="J52" i="16"/>
  <c r="J473" i="20"/>
  <c r="J469" i="16"/>
  <c r="I351" i="16"/>
  <c r="J351" i="15"/>
  <c r="J36" i="20"/>
  <c r="J35" i="16"/>
  <c r="O99" i="16"/>
  <c r="R99" i="15"/>
  <c r="O77" i="7"/>
  <c r="N63" i="7"/>
  <c r="N62" i="7" s="1"/>
  <c r="N592" i="7" s="1"/>
  <c r="I413" i="16"/>
  <c r="J413" i="15"/>
  <c r="J129" i="20"/>
  <c r="J127" i="16"/>
  <c r="J544" i="20"/>
  <c r="J537" i="16"/>
  <c r="O579" i="15"/>
  <c r="R579" i="14"/>
  <c r="J317" i="20"/>
  <c r="J314" i="16"/>
  <c r="I347" i="16"/>
  <c r="J347" i="15"/>
  <c r="I461" i="16"/>
  <c r="J461" i="15"/>
  <c r="T377" i="20"/>
  <c r="P377" i="23"/>
  <c r="T377" i="23" s="1"/>
  <c r="J150" i="20"/>
  <c r="J147" i="16"/>
  <c r="I426" i="16"/>
  <c r="J426" i="15"/>
  <c r="J35" i="20"/>
  <c r="J34" i="16"/>
  <c r="R208" i="14"/>
  <c r="O208" i="15"/>
  <c r="O256" i="14"/>
  <c r="O255" i="13"/>
  <c r="R256" i="13"/>
  <c r="R255" i="13" s="1"/>
  <c r="J596" i="20"/>
  <c r="J589" i="16"/>
  <c r="P437" i="20"/>
  <c r="R433" i="16"/>
  <c r="I51" i="13"/>
  <c r="J51" i="10"/>
  <c r="J56" i="20"/>
  <c r="J55" i="16"/>
  <c r="O442" i="16"/>
  <c r="R442" i="15"/>
  <c r="J197" i="20"/>
  <c r="J194" i="16"/>
  <c r="J492" i="20"/>
  <c r="J485" i="16"/>
  <c r="J591" i="20"/>
  <c r="J584" i="16"/>
  <c r="I363" i="16"/>
  <c r="J363" i="15"/>
  <c r="R410" i="16"/>
  <c r="P414" i="20"/>
  <c r="I90" i="15"/>
  <c r="J90" i="14"/>
  <c r="J168" i="20"/>
  <c r="J165" i="16"/>
  <c r="P483" i="20"/>
  <c r="R476" i="16"/>
  <c r="P300" i="20"/>
  <c r="R297" i="16"/>
  <c r="I89" i="15"/>
  <c r="J89" i="14"/>
  <c r="O31" i="15"/>
  <c r="R31" i="14"/>
  <c r="R78" i="15"/>
  <c r="O78" i="16"/>
  <c r="J584" i="20"/>
  <c r="J577" i="16"/>
  <c r="J590" i="20"/>
  <c r="J583" i="16"/>
  <c r="J420" i="20"/>
  <c r="J416" i="16"/>
  <c r="P491" i="20"/>
  <c r="R484" i="16"/>
  <c r="R39" i="13"/>
  <c r="O39" i="14"/>
  <c r="R224" i="15"/>
  <c r="O224" i="16"/>
  <c r="R59" i="13"/>
  <c r="O59" i="14"/>
  <c r="I474" i="16"/>
  <c r="J474" i="15"/>
  <c r="I87" i="15"/>
  <c r="J87" i="14"/>
  <c r="P509" i="23"/>
  <c r="T509" i="23" s="1"/>
  <c r="T509" i="20"/>
  <c r="O74" i="15"/>
  <c r="R74" i="14"/>
  <c r="R160" i="14"/>
  <c r="O160" i="15"/>
  <c r="P543" i="20"/>
  <c r="R536" i="16"/>
  <c r="J462" i="20"/>
  <c r="J458" i="16"/>
  <c r="O184" i="15"/>
  <c r="R184" i="14"/>
  <c r="J218" i="20"/>
  <c r="J215" i="16"/>
  <c r="I41" i="13"/>
  <c r="J41" i="10"/>
  <c r="J530" i="20"/>
  <c r="J523" i="16"/>
  <c r="O520" i="14"/>
  <c r="O507" i="14" s="1"/>
  <c r="R521" i="14"/>
  <c r="R520" i="14" s="1"/>
  <c r="O521" i="15"/>
  <c r="O170" i="16"/>
  <c r="R171" i="16"/>
  <c r="R170" i="16" s="1"/>
  <c r="P174" i="20"/>
  <c r="J281" i="20"/>
  <c r="J278" i="16"/>
  <c r="J595" i="20"/>
  <c r="J588" i="16"/>
  <c r="J305" i="20"/>
  <c r="J302" i="16"/>
  <c r="J339" i="20"/>
  <c r="J336" i="16"/>
  <c r="J238" i="20"/>
  <c r="J235" i="16"/>
  <c r="P232" i="23"/>
  <c r="T232" i="23" s="1"/>
  <c r="T232" i="20"/>
  <c r="J309" i="20"/>
  <c r="J306" i="16"/>
  <c r="J289" i="20"/>
  <c r="J286" i="16"/>
  <c r="J181" i="20"/>
  <c r="J178" i="16"/>
  <c r="I405" i="16"/>
  <c r="J405" i="15"/>
  <c r="I389" i="16"/>
  <c r="J389" i="15"/>
  <c r="T466" i="20"/>
  <c r="P466" i="23"/>
  <c r="T466" i="23" s="1"/>
  <c r="P164" i="23"/>
  <c r="T164" i="23" s="1"/>
  <c r="T164" i="20"/>
  <c r="I417" i="16"/>
  <c r="J417" i="15"/>
  <c r="R50" i="9"/>
  <c r="O50" i="10"/>
  <c r="J190" i="20"/>
  <c r="J187" i="16"/>
  <c r="I502" i="16"/>
  <c r="J502" i="15"/>
  <c r="J335" i="20"/>
  <c r="J332" i="16"/>
  <c r="J329" i="20"/>
  <c r="J326" i="16"/>
  <c r="J147" i="20"/>
  <c r="J144" i="16"/>
  <c r="O156" i="13"/>
  <c r="R157" i="13"/>
  <c r="R156" i="13" s="1"/>
  <c r="O157" i="14"/>
  <c r="M107" i="14"/>
  <c r="J100" i="20"/>
  <c r="J98" i="16"/>
  <c r="I423" i="16"/>
  <c r="J423" i="15"/>
  <c r="J111" i="20"/>
  <c r="J109" i="16"/>
  <c r="J546" i="20"/>
  <c r="J539" i="16"/>
  <c r="I483" i="16"/>
  <c r="J483" i="15"/>
  <c r="I71" i="15"/>
  <c r="J71" i="14"/>
  <c r="J241" i="20"/>
  <c r="J238" i="16"/>
  <c r="I497" i="16"/>
  <c r="J497" i="15"/>
  <c r="J178" i="20"/>
  <c r="J175" i="16"/>
  <c r="I437" i="16"/>
  <c r="J437" i="15"/>
  <c r="T430" i="20"/>
  <c r="P430" i="23"/>
  <c r="T430" i="23" s="1"/>
  <c r="I435" i="16"/>
  <c r="J435" i="15"/>
  <c r="R133" i="16"/>
  <c r="P136" i="20"/>
  <c r="J127" i="20"/>
  <c r="J125" i="16"/>
  <c r="T390" i="20"/>
  <c r="P390" i="23"/>
  <c r="T390" i="23" s="1"/>
  <c r="J231" i="20"/>
  <c r="J228" i="16"/>
  <c r="J69" i="23"/>
  <c r="K69" i="23" s="1"/>
  <c r="K69" i="20"/>
  <c r="O584" i="16"/>
  <c r="R584" i="15"/>
  <c r="E608" i="2"/>
  <c r="D600" i="2" s="1"/>
  <c r="O600" i="2" s="1"/>
  <c r="E607" i="2"/>
  <c r="J458" i="20"/>
  <c r="J454" i="16"/>
  <c r="R333" i="15"/>
  <c r="O333" i="16"/>
  <c r="J103" i="23"/>
  <c r="K103" i="23" s="1"/>
  <c r="K103" i="20"/>
  <c r="J466" i="20"/>
  <c r="J462" i="16"/>
  <c r="J97" i="20"/>
  <c r="J95" i="16"/>
  <c r="R159" i="16"/>
  <c r="P162" i="20"/>
  <c r="I124" i="16"/>
  <c r="J124" i="15"/>
  <c r="J568" i="20"/>
  <c r="J561" i="16"/>
  <c r="J249" i="20"/>
  <c r="J246" i="16"/>
  <c r="O213" i="16"/>
  <c r="R213" i="15"/>
  <c r="J230" i="20"/>
  <c r="J227" i="16"/>
  <c r="T267" i="20"/>
  <c r="P267" i="23"/>
  <c r="T267" i="23" s="1"/>
  <c r="P469" i="20"/>
  <c r="R465" i="16"/>
  <c r="J310" i="20"/>
  <c r="J307" i="16"/>
  <c r="J271" i="20"/>
  <c r="J268" i="16"/>
  <c r="I517" i="16"/>
  <c r="J517" i="15"/>
  <c r="J574" i="20"/>
  <c r="J567" i="16"/>
  <c r="R587" i="15"/>
  <c r="O587" i="16"/>
  <c r="O588" i="15"/>
  <c r="O589" i="16"/>
  <c r="R589" i="15"/>
  <c r="R588" i="15" s="1"/>
  <c r="J130" i="20"/>
  <c r="J128" i="16"/>
  <c r="R580" i="15"/>
  <c r="O580" i="16"/>
  <c r="P584" i="20"/>
  <c r="R577" i="16"/>
  <c r="T270" i="20"/>
  <c r="P270" i="23"/>
  <c r="T270" i="23" s="1"/>
  <c r="T374" i="20"/>
  <c r="P374" i="23"/>
  <c r="T374" i="23" s="1"/>
  <c r="R432" i="15"/>
  <c r="O432" i="16"/>
  <c r="R421" i="16"/>
  <c r="P425" i="20"/>
  <c r="I430" i="16"/>
  <c r="J430" i="15"/>
  <c r="J109" i="20"/>
  <c r="J107" i="16"/>
  <c r="T112" i="20"/>
  <c r="P112" i="23"/>
  <c r="T112" i="23" s="1"/>
  <c r="J187" i="20"/>
  <c r="J184" i="16"/>
  <c r="O64" i="16"/>
  <c r="R64" i="15"/>
  <c r="R177" i="16"/>
  <c r="P180" i="20"/>
  <c r="I471" i="16"/>
  <c r="J471" i="15"/>
  <c r="I495" i="16"/>
  <c r="J495" i="15"/>
  <c r="I453" i="16"/>
  <c r="J453" i="15"/>
  <c r="I512" i="16"/>
  <c r="J512" i="15"/>
  <c r="J260" i="20"/>
  <c r="J257" i="16"/>
  <c r="I476" i="16"/>
  <c r="J476" i="15"/>
  <c r="I273" i="16"/>
  <c r="J273" i="15"/>
  <c r="P324" i="20"/>
  <c r="R321" i="16"/>
  <c r="P283" i="20"/>
  <c r="R280" i="16"/>
  <c r="J464" i="20"/>
  <c r="J460" i="16"/>
  <c r="J577" i="20"/>
  <c r="J570" i="16"/>
  <c r="J81" i="20"/>
  <c r="J79" i="16"/>
  <c r="R558" i="16"/>
  <c r="P565" i="20"/>
  <c r="T381" i="20"/>
  <c r="P381" i="23"/>
  <c r="T381" i="23" s="1"/>
  <c r="J399" i="20"/>
  <c r="J396" i="16"/>
  <c r="P457" i="20"/>
  <c r="R453" i="16"/>
  <c r="J327" i="20"/>
  <c r="J324" i="16"/>
  <c r="J446" i="20"/>
  <c r="J442" i="16"/>
  <c r="J217" i="20"/>
  <c r="J214" i="16"/>
  <c r="P312" i="20"/>
  <c r="R309" i="16"/>
  <c r="M94" i="14"/>
  <c r="P535" i="20"/>
  <c r="R528" i="16"/>
  <c r="R202" i="15"/>
  <c r="O202" i="16"/>
  <c r="J345" i="20"/>
  <c r="J342" i="16"/>
  <c r="O316" i="15"/>
  <c r="O315" i="14"/>
  <c r="R316" i="14"/>
  <c r="R315" i="14" s="1"/>
  <c r="J275" i="20"/>
  <c r="J272" i="16"/>
  <c r="J518" i="20"/>
  <c r="J511" i="16"/>
  <c r="J468" i="20"/>
  <c r="J464" i="16"/>
  <c r="J63" i="20"/>
  <c r="J62" i="16"/>
  <c r="T84" i="20"/>
  <c r="P84" i="23"/>
  <c r="T84" i="23" s="1"/>
  <c r="I470" i="16"/>
  <c r="J470" i="15"/>
  <c r="O231" i="16"/>
  <c r="R231" i="15"/>
  <c r="I371" i="16"/>
  <c r="J371" i="15"/>
  <c r="J560" i="20"/>
  <c r="J553" i="16"/>
  <c r="R69" i="13"/>
  <c r="O69" i="14"/>
  <c r="I359" i="16"/>
  <c r="J359" i="15"/>
  <c r="J84" i="20"/>
  <c r="J82" i="16"/>
  <c r="P316" i="23"/>
  <c r="T316" i="23" s="1"/>
  <c r="T316" i="20"/>
  <c r="N118" i="14"/>
  <c r="O118" i="14" s="1"/>
  <c r="I118" i="14"/>
  <c r="I443" i="16"/>
  <c r="J443" i="15"/>
  <c r="R180" i="13"/>
  <c r="R179" i="13" s="1"/>
  <c r="R178" i="13" s="1"/>
  <c r="O179" i="13"/>
  <c r="O178" i="13" s="1"/>
  <c r="O180" i="14"/>
  <c r="P486" i="23"/>
  <c r="T486" i="23" s="1"/>
  <c r="T486" i="20"/>
  <c r="P367" i="23"/>
  <c r="T367" i="23" s="1"/>
  <c r="T367" i="20"/>
  <c r="R71" i="15"/>
  <c r="O71" i="16"/>
  <c r="I516" i="16"/>
  <c r="J516" i="15"/>
  <c r="J263" i="20"/>
  <c r="J260" i="16"/>
  <c r="J265" i="20"/>
  <c r="J262" i="16"/>
  <c r="J179" i="20"/>
  <c r="J176" i="16"/>
  <c r="J314" i="20"/>
  <c r="J311" i="16"/>
  <c r="I64" i="16"/>
  <c r="J64" i="15"/>
  <c r="P440" i="23"/>
  <c r="T440" i="23" s="1"/>
  <c r="T440" i="20"/>
  <c r="J373" i="20"/>
  <c r="J370" i="16"/>
  <c r="R169" i="16"/>
  <c r="P172" i="20"/>
  <c r="J205" i="20"/>
  <c r="J202" i="16"/>
  <c r="T128" i="20"/>
  <c r="P128" i="23"/>
  <c r="T128" i="23" s="1"/>
  <c r="T254" i="20"/>
  <c r="P254" i="23"/>
  <c r="T254" i="23" s="1"/>
  <c r="J204" i="20"/>
  <c r="J201" i="16"/>
  <c r="J318" i="20"/>
  <c r="J315" i="16"/>
  <c r="T485" i="20"/>
  <c r="P485" i="23"/>
  <c r="T485" i="23" s="1"/>
  <c r="O75" i="16"/>
  <c r="R75" i="15"/>
  <c r="J38" i="20"/>
  <c r="J37" i="16"/>
  <c r="J138" i="20"/>
  <c r="J135" i="16"/>
  <c r="I482" i="16"/>
  <c r="J482" i="15"/>
  <c r="T104" i="20"/>
  <c r="P104" i="23"/>
  <c r="T104" i="23" s="1"/>
  <c r="J95" i="20"/>
  <c r="J93" i="16"/>
  <c r="I414" i="16"/>
  <c r="J414" i="15"/>
  <c r="J212" i="20"/>
  <c r="J209" i="16"/>
  <c r="R204" i="16"/>
  <c r="P207" i="20"/>
  <c r="P45" i="20"/>
  <c r="R44" i="16"/>
  <c r="J581" i="20"/>
  <c r="J574" i="16"/>
  <c r="J575" i="20"/>
  <c r="J568" i="16"/>
  <c r="J229" i="20"/>
  <c r="J226" i="16"/>
  <c r="J258" i="20"/>
  <c r="J255" i="16"/>
  <c r="D755" i="23"/>
  <c r="K747" i="20"/>
  <c r="J117" i="20"/>
  <c r="J115" i="16"/>
  <c r="R40" i="10"/>
  <c r="O40" i="13"/>
  <c r="I42" i="15"/>
  <c r="J42" i="14"/>
  <c r="J174" i="20"/>
  <c r="J171" i="16"/>
  <c r="P260" i="23"/>
  <c r="T260" i="23" s="1"/>
  <c r="T260" i="20"/>
  <c r="O554" i="14"/>
  <c r="R555" i="14"/>
  <c r="R554" i="14" s="1"/>
  <c r="O555" i="15"/>
  <c r="J140" i="20"/>
  <c r="J137" i="16"/>
  <c r="P465" i="20"/>
  <c r="R461" i="16"/>
  <c r="R319" i="13"/>
  <c r="R317" i="13" s="1"/>
  <c r="O319" i="14"/>
  <c r="O317" i="13"/>
  <c r="P537" i="23"/>
  <c r="T537" i="23" s="1"/>
  <c r="T537" i="20"/>
  <c r="J583" i="20"/>
  <c r="J576" i="16"/>
  <c r="J252" i="20"/>
  <c r="J249" i="16"/>
  <c r="J467" i="20"/>
  <c r="J463" i="16"/>
  <c r="J102" i="20"/>
  <c r="J100" i="16"/>
  <c r="P532" i="23"/>
  <c r="T532" i="23" s="1"/>
  <c r="T532" i="20"/>
  <c r="O79" i="13"/>
  <c r="R80" i="13"/>
  <c r="R79" i="13" s="1"/>
  <c r="O80" i="14"/>
  <c r="O279" i="16"/>
  <c r="R279" i="15"/>
  <c r="I406" i="16"/>
  <c r="J406" i="15"/>
  <c r="I475" i="16"/>
  <c r="J475" i="15"/>
  <c r="J488" i="20"/>
  <c r="J481" i="16"/>
  <c r="P557" i="23"/>
  <c r="T557" i="23" s="1"/>
  <c r="T557" i="20"/>
  <c r="J594" i="20"/>
  <c r="J587" i="16"/>
  <c r="I369" i="16"/>
  <c r="J369" i="15"/>
  <c r="O53" i="9"/>
  <c r="O52" i="9" s="1"/>
  <c r="O552" i="14"/>
  <c r="R553" i="14"/>
  <c r="R552" i="14" s="1"/>
  <c r="O553" i="15"/>
  <c r="I92" i="15"/>
  <c r="J92" i="14"/>
  <c r="J148" i="20"/>
  <c r="J145" i="16"/>
  <c r="I265" i="16"/>
  <c r="J265" i="15"/>
  <c r="J128" i="20"/>
  <c r="J126" i="16"/>
  <c r="J216" i="20"/>
  <c r="J213" i="16"/>
  <c r="I381" i="16"/>
  <c r="J381" i="15"/>
  <c r="R456" i="15"/>
  <c r="O456" i="16"/>
  <c r="P418" i="20"/>
  <c r="R414" i="16"/>
  <c r="J112" i="20"/>
  <c r="J110" i="16"/>
  <c r="J67" i="20"/>
  <c r="J66" i="16"/>
  <c r="J536" i="20"/>
  <c r="J529" i="16"/>
  <c r="I399" i="16"/>
  <c r="J399" i="15"/>
  <c r="I445" i="16"/>
  <c r="J445" i="15"/>
  <c r="I46" i="16"/>
  <c r="J46" i="15"/>
  <c r="O488" i="15"/>
  <c r="O487" i="14"/>
  <c r="R488" i="14"/>
  <c r="R487" i="14" s="1"/>
  <c r="I74" i="15"/>
  <c r="J74" i="14"/>
  <c r="P372" i="20"/>
  <c r="R369" i="16"/>
  <c r="P472" i="20"/>
  <c r="R468" i="16"/>
  <c r="J580" i="20"/>
  <c r="J573" i="16"/>
  <c r="J62" i="20"/>
  <c r="J61" i="16"/>
  <c r="J438" i="20"/>
  <c r="J434" i="16"/>
  <c r="I377" i="16"/>
  <c r="J377" i="15"/>
  <c r="R287" i="15"/>
  <c r="O287" i="16"/>
  <c r="J247" i="20"/>
  <c r="J244" i="16"/>
  <c r="J262" i="20"/>
  <c r="J259" i="16"/>
  <c r="J567" i="20"/>
  <c r="J560" i="16"/>
  <c r="I39" i="13"/>
  <c r="J39" i="10"/>
  <c r="I301" i="16"/>
  <c r="J301" i="15"/>
  <c r="P395" i="20"/>
  <c r="R392" i="16"/>
  <c r="O439" i="16"/>
  <c r="R439" i="15"/>
  <c r="R566" i="13"/>
  <c r="I329" i="16"/>
  <c r="J329" i="15"/>
  <c r="J253" i="20"/>
  <c r="J250" i="16"/>
  <c r="J254" i="20"/>
  <c r="J251" i="16"/>
  <c r="J118" i="20"/>
  <c r="J116" i="16"/>
  <c r="I501" i="16"/>
  <c r="J501" i="15"/>
  <c r="T246" i="20"/>
  <c r="P246" i="23"/>
  <c r="T246" i="23" s="1"/>
  <c r="E609" i="1"/>
  <c r="E608" i="1"/>
  <c r="J158" i="20"/>
  <c r="J155" i="16"/>
  <c r="R87" i="14"/>
  <c r="O87" i="15"/>
  <c r="P360" i="20"/>
  <c r="R357" i="16"/>
  <c r="P141" i="20"/>
  <c r="R138" i="16"/>
  <c r="I513" i="16"/>
  <c r="J513" i="15"/>
  <c r="I83" i="15"/>
  <c r="J83" i="14"/>
  <c r="I50" i="10"/>
  <c r="J50" i="9"/>
  <c r="I343" i="16"/>
  <c r="J343" i="15"/>
  <c r="R33" i="10"/>
  <c r="O33" i="13"/>
  <c r="R49" i="7"/>
  <c r="R43" i="7" s="1"/>
  <c r="R27" i="7" s="1"/>
  <c r="O49" i="9"/>
  <c r="O43" i="7"/>
  <c r="J331" i="20"/>
  <c r="J328" i="16"/>
  <c r="J500" i="20"/>
  <c r="J493" i="16"/>
  <c r="I562" i="16"/>
  <c r="J562" i="15"/>
  <c r="J459" i="20"/>
  <c r="J455" i="16"/>
  <c r="I353" i="16"/>
  <c r="J353" i="15"/>
  <c r="J105" i="20"/>
  <c r="J103" i="16"/>
  <c r="J149" i="20"/>
  <c r="J146" i="16"/>
  <c r="J165" i="20"/>
  <c r="J162" i="16"/>
  <c r="O443" i="16"/>
  <c r="R443" i="15"/>
  <c r="J170" i="20"/>
  <c r="J167" i="16"/>
  <c r="J416" i="20"/>
  <c r="J412" i="16"/>
  <c r="D657" i="16"/>
  <c r="J655" i="15"/>
  <c r="J665" i="15" s="1"/>
  <c r="D665" i="15"/>
  <c r="P458" i="20"/>
  <c r="R454" i="16"/>
  <c r="P476" i="23"/>
  <c r="T476" i="23" s="1"/>
  <c r="T476" i="20"/>
  <c r="I70" i="14"/>
  <c r="J70" i="13"/>
  <c r="I488" i="16"/>
  <c r="J488" i="15"/>
  <c r="J166" i="20"/>
  <c r="J163" i="16"/>
  <c r="J121" i="20"/>
  <c r="J119" i="16"/>
  <c r="P170" i="23"/>
  <c r="T170" i="23" s="1"/>
  <c r="T170" i="20"/>
  <c r="J132" i="20"/>
  <c r="J130" i="16"/>
  <c r="O328" i="10"/>
  <c r="O459" i="16"/>
  <c r="R459" i="15"/>
  <c r="I492" i="16"/>
  <c r="J492" i="15"/>
  <c r="R79" i="10"/>
  <c r="J96" i="20"/>
  <c r="J94" i="16"/>
  <c r="R89" i="14"/>
  <c r="O89" i="15"/>
  <c r="R54" i="13"/>
  <c r="O54" i="14"/>
  <c r="P541" i="23"/>
  <c r="T541" i="23" s="1"/>
  <c r="T541" i="20"/>
  <c r="J552" i="20"/>
  <c r="J545" i="16"/>
  <c r="J64" i="20"/>
  <c r="J63" i="16"/>
  <c r="I503" i="16"/>
  <c r="J503" i="15"/>
  <c r="P590" i="20"/>
  <c r="R583" i="16"/>
  <c r="J542" i="20"/>
  <c r="J535" i="16"/>
  <c r="O131" i="13"/>
  <c r="O132" i="14"/>
  <c r="R132" i="13"/>
  <c r="R131" i="13" s="1"/>
  <c r="T397" i="20"/>
  <c r="P397" i="23"/>
  <c r="T397" i="23" s="1"/>
  <c r="J298" i="20"/>
  <c r="J295" i="16"/>
  <c r="J191" i="20"/>
  <c r="J188" i="16"/>
  <c r="J236" i="20"/>
  <c r="J233" i="16"/>
  <c r="I466" i="16"/>
  <c r="J466" i="15"/>
  <c r="I409" i="16"/>
  <c r="J409" i="15"/>
  <c r="I293" i="16"/>
  <c r="J293" i="15"/>
  <c r="R97" i="16"/>
  <c r="P99" i="20"/>
  <c r="T279" i="20"/>
  <c r="P279" i="23"/>
  <c r="T279" i="23" s="1"/>
  <c r="P356" i="20"/>
  <c r="R353" i="16"/>
  <c r="P475" i="20"/>
  <c r="R471" i="16"/>
  <c r="I540" i="16"/>
  <c r="J540" i="15"/>
  <c r="I494" i="16"/>
  <c r="J494" i="15"/>
  <c r="I325" i="16"/>
  <c r="J325" i="15"/>
  <c r="J444" i="20"/>
  <c r="J440" i="16"/>
  <c r="J456" i="20"/>
  <c r="J452" i="16"/>
  <c r="O148" i="14"/>
  <c r="O149" i="15"/>
  <c r="R149" i="14"/>
  <c r="R148" i="14" s="1"/>
  <c r="R139" i="14" s="1"/>
  <c r="T250" i="20"/>
  <c r="P250" i="23"/>
  <c r="T250" i="23" s="1"/>
  <c r="R302" i="15"/>
  <c r="O302" i="16"/>
  <c r="J200" i="20"/>
  <c r="J197" i="16"/>
  <c r="I498" i="16"/>
  <c r="J498" i="15"/>
  <c r="J154" i="20"/>
  <c r="J151" i="16"/>
  <c r="P86" i="20"/>
  <c r="R84" i="16"/>
  <c r="J233" i="20"/>
  <c r="J230" i="16"/>
  <c r="J193" i="20"/>
  <c r="J190" i="16"/>
  <c r="J351" i="20"/>
  <c r="J348" i="16"/>
  <c r="P368" i="20"/>
  <c r="R365" i="16"/>
  <c r="J141" i="20"/>
  <c r="J138" i="16"/>
  <c r="R367" i="14"/>
  <c r="O367" i="15"/>
  <c r="I78" i="14"/>
  <c r="J78" i="13"/>
  <c r="J106" i="20"/>
  <c r="J104" i="16"/>
  <c r="O193" i="16"/>
  <c r="R193" i="15"/>
  <c r="O181" i="16"/>
  <c r="R181" i="15"/>
  <c r="P304" i="23"/>
  <c r="T304" i="23" s="1"/>
  <c r="T304" i="20"/>
  <c r="I480" i="16"/>
  <c r="J480" i="15"/>
  <c r="J189" i="20"/>
  <c r="J186" i="16"/>
  <c r="P203" i="23"/>
  <c r="T203" i="23" s="1"/>
  <c r="T203" i="20"/>
  <c r="I47" i="16"/>
  <c r="J47" i="15"/>
  <c r="J343" i="20"/>
  <c r="J340" i="16"/>
  <c r="I285" i="16"/>
  <c r="J285" i="15"/>
  <c r="O566" i="14"/>
  <c r="R567" i="14"/>
  <c r="R566" i="14" s="1"/>
  <c r="O567" i="15"/>
  <c r="J496" i="20"/>
  <c r="J489" i="16"/>
  <c r="J285" i="20"/>
  <c r="J282" i="16"/>
  <c r="I337" i="16"/>
  <c r="J337" i="15"/>
  <c r="R551" i="16"/>
  <c r="P558" i="20"/>
  <c r="R250" i="15"/>
  <c r="O250" i="16"/>
  <c r="J159" i="20"/>
  <c r="J156" i="16"/>
  <c r="J597" i="20"/>
  <c r="J590" i="16"/>
  <c r="J270" i="20"/>
  <c r="J267" i="16"/>
  <c r="O140" i="15"/>
  <c r="R141" i="15"/>
  <c r="R140" i="15" s="1"/>
  <c r="O141" i="16"/>
  <c r="P441" i="20"/>
  <c r="R437" i="16"/>
  <c r="O27" i="7"/>
  <c r="R557" i="16"/>
  <c r="P564" i="20"/>
  <c r="P453" i="20"/>
  <c r="R449" i="16"/>
  <c r="I484" i="16"/>
  <c r="J484" i="15"/>
  <c r="J463" i="23"/>
  <c r="K463" i="23" s="1"/>
  <c r="K463" i="20"/>
  <c r="J381" i="20"/>
  <c r="J378" i="16"/>
  <c r="I386" i="16"/>
  <c r="J386" i="15"/>
  <c r="J125" i="20"/>
  <c r="J123" i="16"/>
  <c r="J215" i="20"/>
  <c r="J212" i="16"/>
  <c r="R328" i="10"/>
  <c r="I289" i="16"/>
  <c r="J289" i="15"/>
  <c r="R92" i="15"/>
  <c r="O92" i="16"/>
  <c r="I375" i="16"/>
  <c r="J375" i="15"/>
  <c r="J206" i="20"/>
  <c r="J203" i="16"/>
  <c r="J185" i="20"/>
  <c r="J182" i="16"/>
  <c r="J554" i="20"/>
  <c r="J547" i="16"/>
  <c r="J257" i="20"/>
  <c r="J254" i="16"/>
  <c r="J424" i="20"/>
  <c r="J420" i="16"/>
  <c r="J266" i="20"/>
  <c r="J263" i="16"/>
  <c r="I526" i="16"/>
  <c r="J526" i="15"/>
  <c r="P396" i="20"/>
  <c r="R393" i="16"/>
  <c r="J184" i="20"/>
  <c r="J181" i="16"/>
  <c r="J286" i="20"/>
  <c r="J283" i="16"/>
  <c r="I528" i="16"/>
  <c r="J528" i="15"/>
  <c r="J173" i="20"/>
  <c r="J170" i="16"/>
  <c r="T189" i="20"/>
  <c r="P189" i="23"/>
  <c r="T189" i="23" s="1"/>
  <c r="J454" i="20"/>
  <c r="J450" i="16"/>
  <c r="R576" i="15"/>
  <c r="O576" i="16"/>
  <c r="I345" i="16"/>
  <c r="J345" i="15"/>
  <c r="J194" i="20"/>
  <c r="J191" i="16"/>
  <c r="J58" i="20"/>
  <c r="J57" i="16"/>
  <c r="P296" i="23"/>
  <c r="T296" i="23" s="1"/>
  <c r="T296" i="20"/>
  <c r="J349" i="20"/>
  <c r="J346" i="16"/>
  <c r="J347" i="20"/>
  <c r="J344" i="16"/>
  <c r="M185" i="26"/>
  <c r="N184" i="26"/>
  <c r="J301" i="20"/>
  <c r="J298" i="16"/>
  <c r="I32" i="13"/>
  <c r="J32" i="10"/>
  <c r="I433" i="16"/>
  <c r="J433" i="15"/>
  <c r="N105" i="14"/>
  <c r="O105" i="14" s="1"/>
  <c r="I105" i="14"/>
  <c r="J274" i="20"/>
  <c r="J271" i="16"/>
  <c r="J261" i="20"/>
  <c r="J258" i="16"/>
  <c r="I457" i="16"/>
  <c r="J457" i="15"/>
  <c r="O76" i="16"/>
  <c r="R76" i="15"/>
  <c r="T298" i="20"/>
  <c r="P298" i="23"/>
  <c r="T298" i="23" s="1"/>
  <c r="I536" i="16"/>
  <c r="J536" i="15"/>
  <c r="T140" i="20"/>
  <c r="P140" i="23"/>
  <c r="T140" i="23" s="1"/>
  <c r="N96" i="14"/>
  <c r="I96" i="14"/>
  <c r="R234" i="16"/>
  <c r="P237" i="20"/>
  <c r="I33" i="13"/>
  <c r="J33" i="10"/>
  <c r="J325" i="20"/>
  <c r="J322" i="16"/>
  <c r="J297" i="20"/>
  <c r="J294" i="16"/>
  <c r="P257" i="20"/>
  <c r="R254" i="16"/>
  <c r="J256" i="20"/>
  <c r="J253" i="16"/>
  <c r="J295" i="20"/>
  <c r="J292" i="16"/>
  <c r="I75" i="15"/>
  <c r="J75" i="14"/>
  <c r="R88" i="15"/>
  <c r="O88" i="16"/>
  <c r="J299" i="20"/>
  <c r="J296" i="16"/>
  <c r="O288" i="16"/>
  <c r="R288" i="15"/>
  <c r="J186" i="20"/>
  <c r="J183" i="16"/>
  <c r="J313" i="20"/>
  <c r="J310" i="16"/>
  <c r="I385" i="16"/>
  <c r="J385" i="15"/>
  <c r="J93" i="20"/>
  <c r="J91" i="16"/>
  <c r="P235" i="20"/>
  <c r="R232" i="16"/>
  <c r="I76" i="15"/>
  <c r="J76" i="14"/>
  <c r="I281" i="16"/>
  <c r="J281" i="15"/>
  <c r="R259" i="14"/>
  <c r="O259" i="15"/>
  <c r="O139" i="14"/>
  <c r="R32" i="9"/>
  <c r="R30" i="9" s="1"/>
  <c r="O32" i="10"/>
  <c r="O30" i="9"/>
  <c r="I505" i="16"/>
  <c r="J505" i="15"/>
  <c r="J183" i="20"/>
  <c r="J180" i="16"/>
  <c r="J582" i="20"/>
  <c r="J575" i="16"/>
  <c r="I532" i="16"/>
  <c r="J532" i="15"/>
  <c r="J171" i="20"/>
  <c r="J168" i="16"/>
  <c r="I305" i="16"/>
  <c r="J305" i="15"/>
  <c r="J287" i="20"/>
  <c r="J284" i="16"/>
  <c r="R342" i="15"/>
  <c r="O342" i="16"/>
  <c r="J363" i="20"/>
  <c r="J360" i="16"/>
  <c r="J245" i="20"/>
  <c r="J242" i="16"/>
  <c r="J593" i="20"/>
  <c r="J586" i="16"/>
  <c r="J290" i="20"/>
  <c r="J287" i="16"/>
  <c r="J209" i="20"/>
  <c r="J206" i="16"/>
  <c r="J161" i="20"/>
  <c r="J158" i="16"/>
  <c r="R331" i="13"/>
  <c r="R329" i="13" s="1"/>
  <c r="R328" i="13" s="1"/>
  <c r="O331" i="14"/>
  <c r="O329" i="13"/>
  <c r="T597" i="20"/>
  <c r="P597" i="23"/>
  <c r="T597" i="23" s="1"/>
  <c r="O165" i="13"/>
  <c r="O166" i="14"/>
  <c r="R166" i="13"/>
  <c r="R165" i="13" s="1"/>
  <c r="I395" i="16"/>
  <c r="J395" i="15"/>
  <c r="J101" i="20"/>
  <c r="J99" i="16"/>
  <c r="J136" i="20"/>
  <c r="J133" i="16"/>
  <c r="I69" i="15"/>
  <c r="J69" i="14"/>
  <c r="I403" i="16"/>
  <c r="J403" i="15"/>
  <c r="I75" i="16" l="1"/>
  <c r="J75" i="15"/>
  <c r="P253" i="20"/>
  <c r="R250" i="16"/>
  <c r="J467" i="23"/>
  <c r="K467" i="23" s="1"/>
  <c r="K467" i="20"/>
  <c r="J575" i="23"/>
  <c r="K575" i="23" s="1"/>
  <c r="K575" i="20"/>
  <c r="J362" i="20"/>
  <c r="J359" i="16"/>
  <c r="T180" i="20"/>
  <c r="P180" i="23"/>
  <c r="T180" i="23" s="1"/>
  <c r="J168" i="23"/>
  <c r="K168" i="23" s="1"/>
  <c r="K168" i="20"/>
  <c r="J540" i="23"/>
  <c r="K540" i="23" s="1"/>
  <c r="K540" i="20"/>
  <c r="J99" i="23"/>
  <c r="K99" i="23" s="1"/>
  <c r="K99" i="20"/>
  <c r="O328" i="13"/>
  <c r="J539" i="20"/>
  <c r="J532" i="16"/>
  <c r="T237" i="20"/>
  <c r="P237" i="23"/>
  <c r="T237" i="23" s="1"/>
  <c r="J378" i="20"/>
  <c r="J375" i="16"/>
  <c r="O54" i="15"/>
  <c r="R54" i="14"/>
  <c r="J81" i="23"/>
  <c r="K81" i="23" s="1"/>
  <c r="K81" i="20"/>
  <c r="J271" i="23"/>
  <c r="K271" i="23" s="1"/>
  <c r="K271" i="20"/>
  <c r="J249" i="23"/>
  <c r="K249" i="23" s="1"/>
  <c r="K249" i="20"/>
  <c r="J231" i="23"/>
  <c r="K231" i="23" s="1"/>
  <c r="K231" i="20"/>
  <c r="J441" i="20"/>
  <c r="J437" i="16"/>
  <c r="J546" i="23"/>
  <c r="K546" i="23" s="1"/>
  <c r="K546" i="20"/>
  <c r="J147" i="23"/>
  <c r="K147" i="23" s="1"/>
  <c r="K147" i="20"/>
  <c r="J421" i="20"/>
  <c r="J417" i="16"/>
  <c r="J289" i="23"/>
  <c r="K289" i="23" s="1"/>
  <c r="K289" i="20"/>
  <c r="J595" i="23"/>
  <c r="K595" i="23" s="1"/>
  <c r="K595" i="20"/>
  <c r="I41" i="14"/>
  <c r="J41" i="13"/>
  <c r="O74" i="16"/>
  <c r="R74" i="15"/>
  <c r="O255" i="14"/>
  <c r="R256" i="14"/>
  <c r="R255" i="14" s="1"/>
  <c r="O256" i="15"/>
  <c r="J465" i="20"/>
  <c r="J461" i="16"/>
  <c r="J417" i="20"/>
  <c r="J413" i="16"/>
  <c r="J473" i="23"/>
  <c r="K473" i="23" s="1"/>
  <c r="K473" i="20"/>
  <c r="J135" i="23"/>
  <c r="K135" i="23" s="1"/>
  <c r="K135" i="20"/>
  <c r="J497" i="20"/>
  <c r="J490" i="16"/>
  <c r="R58" i="10"/>
  <c r="R53" i="10" s="1"/>
  <c r="R52" i="10" s="1"/>
  <c r="O58" i="13"/>
  <c r="J556" i="23"/>
  <c r="K556" i="23" s="1"/>
  <c r="K556" i="20"/>
  <c r="R116" i="16"/>
  <c r="P118" i="20"/>
  <c r="T442" i="20"/>
  <c r="P442" i="23"/>
  <c r="T442" i="23" s="1"/>
  <c r="J49" i="20"/>
  <c r="J48" i="16"/>
  <c r="J201" i="23"/>
  <c r="K201" i="23" s="1"/>
  <c r="K201" i="20"/>
  <c r="P192" i="20"/>
  <c r="R189" i="16"/>
  <c r="J344" i="20"/>
  <c r="J341" i="16"/>
  <c r="J365" i="23"/>
  <c r="K365" i="23" s="1"/>
  <c r="K365" i="20"/>
  <c r="I73" i="16"/>
  <c r="J73" i="15"/>
  <c r="N183" i="26"/>
  <c r="O182" i="26"/>
  <c r="J578" i="23"/>
  <c r="K578" i="23" s="1"/>
  <c r="K578" i="20"/>
  <c r="J394" i="20"/>
  <c r="J391" i="16"/>
  <c r="J312" i="20"/>
  <c r="J309" i="16"/>
  <c r="J134" i="23"/>
  <c r="K134" i="23" s="1"/>
  <c r="K134" i="20"/>
  <c r="J515" i="20"/>
  <c r="J508" i="16"/>
  <c r="J251" i="23"/>
  <c r="K251" i="23" s="1"/>
  <c r="K251" i="20"/>
  <c r="J451" i="20"/>
  <c r="J447" i="16"/>
  <c r="J151" i="23"/>
  <c r="K151" i="23" s="1"/>
  <c r="K151" i="20"/>
  <c r="J527" i="20"/>
  <c r="J520" i="16"/>
  <c r="O395" i="14"/>
  <c r="R396" i="14"/>
  <c r="R395" i="14" s="1"/>
  <c r="O396" i="15"/>
  <c r="J192" i="23"/>
  <c r="K192" i="23" s="1"/>
  <c r="K192" i="20"/>
  <c r="J385" i="20"/>
  <c r="J382" i="16"/>
  <c r="J137" i="23"/>
  <c r="K137" i="23" s="1"/>
  <c r="K137" i="20"/>
  <c r="T445" i="20"/>
  <c r="P445" i="23"/>
  <c r="T445" i="23" s="1"/>
  <c r="P341" i="20"/>
  <c r="R338" i="16"/>
  <c r="J386" i="20"/>
  <c r="J383" i="16"/>
  <c r="J495" i="20"/>
  <c r="J488" i="16"/>
  <c r="I33" i="14"/>
  <c r="J33" i="13"/>
  <c r="J389" i="20"/>
  <c r="J386" i="16"/>
  <c r="P86" i="23"/>
  <c r="T86" i="23" s="1"/>
  <c r="T86" i="20"/>
  <c r="R459" i="16"/>
  <c r="P463" i="20"/>
  <c r="T360" i="20"/>
  <c r="P360" i="23"/>
  <c r="T360" i="23" s="1"/>
  <c r="J235" i="23"/>
  <c r="K235" i="23" s="1"/>
  <c r="K235" i="20"/>
  <c r="J470" i="20"/>
  <c r="J466" i="16"/>
  <c r="J136" i="23"/>
  <c r="K136" i="23" s="1"/>
  <c r="K136" i="20"/>
  <c r="J461" i="20"/>
  <c r="J457" i="16"/>
  <c r="J424" i="23"/>
  <c r="K424" i="23" s="1"/>
  <c r="K424" i="20"/>
  <c r="R92" i="16"/>
  <c r="P94" i="20"/>
  <c r="J381" i="23"/>
  <c r="K381" i="23" s="1"/>
  <c r="K381" i="20"/>
  <c r="J154" i="23"/>
  <c r="K154" i="23" s="1"/>
  <c r="K154" i="20"/>
  <c r="J542" i="23"/>
  <c r="K542" i="23" s="1"/>
  <c r="K542" i="20"/>
  <c r="R443" i="16"/>
  <c r="P447" i="20"/>
  <c r="J569" i="20"/>
  <c r="J562" i="16"/>
  <c r="J346" i="20"/>
  <c r="J343" i="16"/>
  <c r="J254" i="23"/>
  <c r="K254" i="23" s="1"/>
  <c r="K254" i="20"/>
  <c r="J304" i="20"/>
  <c r="J301" i="16"/>
  <c r="J380" i="20"/>
  <c r="J377" i="16"/>
  <c r="I74" i="16"/>
  <c r="J74" i="15"/>
  <c r="J252" i="23"/>
  <c r="K252" i="23" s="1"/>
  <c r="K252" i="20"/>
  <c r="O554" i="15"/>
  <c r="O555" i="16"/>
  <c r="R555" i="15"/>
  <c r="R554" i="15" s="1"/>
  <c r="J117" i="23"/>
  <c r="K117" i="23" s="1"/>
  <c r="K117" i="20"/>
  <c r="J581" i="23"/>
  <c r="K581" i="23" s="1"/>
  <c r="K581" i="20"/>
  <c r="R69" i="14"/>
  <c r="O69" i="15"/>
  <c r="J345" i="23"/>
  <c r="K345" i="23" s="1"/>
  <c r="K345" i="20"/>
  <c r="J130" i="23"/>
  <c r="K130" i="23" s="1"/>
  <c r="K130" i="20"/>
  <c r="P336" i="20"/>
  <c r="R333" i="16"/>
  <c r="R31" i="15"/>
  <c r="O31" i="16"/>
  <c r="I90" i="16"/>
  <c r="J90" i="15"/>
  <c r="P446" i="20"/>
  <c r="R442" i="16"/>
  <c r="O208" i="16"/>
  <c r="R208" i="15"/>
  <c r="N596" i="7"/>
  <c r="P20" i="7"/>
  <c r="P21" i="7" s="1"/>
  <c r="P18" i="7"/>
  <c r="P19" i="7" s="1"/>
  <c r="J516" i="20"/>
  <c r="J509" i="16"/>
  <c r="I72" i="15"/>
  <c r="J72" i="14"/>
  <c r="J557" i="20"/>
  <c r="J550" i="16"/>
  <c r="J316" i="20"/>
  <c r="J313" i="16"/>
  <c r="J104" i="23"/>
  <c r="K104" i="23" s="1"/>
  <c r="K104" i="20"/>
  <c r="J55" i="20"/>
  <c r="J54" i="16"/>
  <c r="T215" i="20"/>
  <c r="P215" i="23"/>
  <c r="T215" i="23" s="1"/>
  <c r="J443" i="20"/>
  <c r="J439" i="16"/>
  <c r="J507" i="20"/>
  <c r="J500" i="16"/>
  <c r="O136" i="16"/>
  <c r="R136" i="15"/>
  <c r="J330" i="20"/>
  <c r="J327" i="16"/>
  <c r="J322" i="23"/>
  <c r="K322" i="23" s="1"/>
  <c r="K322" i="20"/>
  <c r="J199" i="23"/>
  <c r="K199" i="23" s="1"/>
  <c r="K199" i="20"/>
  <c r="J243" i="23"/>
  <c r="K243" i="23" s="1"/>
  <c r="K243" i="20"/>
  <c r="J226" i="23"/>
  <c r="K226" i="23" s="1"/>
  <c r="K226" i="20"/>
  <c r="J528" i="23"/>
  <c r="K528" i="23" s="1"/>
  <c r="K528" i="20"/>
  <c r="T576" i="20"/>
  <c r="P576" i="23"/>
  <c r="T576" i="23" s="1"/>
  <c r="J565" i="20"/>
  <c r="J558" i="16"/>
  <c r="P519" i="20"/>
  <c r="R512" i="16"/>
  <c r="R508" i="16" s="1"/>
  <c r="O508" i="16"/>
  <c r="R339" i="14"/>
  <c r="R337" i="14" s="1"/>
  <c r="O339" i="15"/>
  <c r="O337" i="14"/>
  <c r="J412" i="23"/>
  <c r="K412" i="23" s="1"/>
  <c r="K412" i="20"/>
  <c r="J377" i="23"/>
  <c r="K377" i="23" s="1"/>
  <c r="K377" i="20"/>
  <c r="R72" i="14"/>
  <c r="O72" i="15"/>
  <c r="J279" i="23"/>
  <c r="K279" i="23" s="1"/>
  <c r="K279" i="20"/>
  <c r="J291" i="23"/>
  <c r="K291" i="23" s="1"/>
  <c r="K291" i="20"/>
  <c r="J428" i="23"/>
  <c r="K428" i="23" s="1"/>
  <c r="K428" i="20"/>
  <c r="J498" i="20"/>
  <c r="J491" i="16"/>
  <c r="J115" i="23"/>
  <c r="K115" i="23" s="1"/>
  <c r="K115" i="20"/>
  <c r="J407" i="23"/>
  <c r="K407" i="23" s="1"/>
  <c r="K407" i="20"/>
  <c r="J171" i="23"/>
  <c r="K171" i="23" s="1"/>
  <c r="K171" i="20"/>
  <c r="O367" i="16"/>
  <c r="R367" i="15"/>
  <c r="J547" i="20"/>
  <c r="J540" i="16"/>
  <c r="J173" i="23"/>
  <c r="K173" i="23" s="1"/>
  <c r="K173" i="20"/>
  <c r="J118" i="23"/>
  <c r="K118" i="23" s="1"/>
  <c r="K118" i="20"/>
  <c r="O179" i="14"/>
  <c r="R180" i="14"/>
  <c r="R179" i="14" s="1"/>
  <c r="O180" i="15"/>
  <c r="J573" i="20"/>
  <c r="J566" i="16"/>
  <c r="J453" i="20"/>
  <c r="J449" i="16"/>
  <c r="J572" i="23"/>
  <c r="K572" i="23" s="1"/>
  <c r="K572" i="20"/>
  <c r="J485" i="20"/>
  <c r="J478" i="16"/>
  <c r="J506" i="20"/>
  <c r="J499" i="16"/>
  <c r="J265" i="23"/>
  <c r="K265" i="23" s="1"/>
  <c r="K265" i="20"/>
  <c r="O140" i="16"/>
  <c r="P144" i="20"/>
  <c r="R141" i="16"/>
  <c r="R140" i="16" s="1"/>
  <c r="T558" i="20"/>
  <c r="P558" i="23"/>
  <c r="T558" i="23" s="1"/>
  <c r="J288" i="20"/>
  <c r="J285" i="16"/>
  <c r="J141" i="23"/>
  <c r="K141" i="23" s="1"/>
  <c r="K141" i="20"/>
  <c r="J363" i="23"/>
  <c r="K363" i="23" s="1"/>
  <c r="K363" i="20"/>
  <c r="J582" i="23"/>
  <c r="K582" i="23" s="1"/>
  <c r="K582" i="20"/>
  <c r="J284" i="20"/>
  <c r="J281" i="16"/>
  <c r="I96" i="15"/>
  <c r="J96" i="14"/>
  <c r="N185" i="26"/>
  <c r="O184" i="26"/>
  <c r="J456" i="23"/>
  <c r="K456" i="23" s="1"/>
  <c r="K456" i="20"/>
  <c r="T356" i="20"/>
  <c r="P356" i="23"/>
  <c r="T356" i="23" s="1"/>
  <c r="J236" i="23"/>
  <c r="K236" i="23" s="1"/>
  <c r="K236" i="20"/>
  <c r="J132" i="23"/>
  <c r="K132" i="23" s="1"/>
  <c r="K132" i="20"/>
  <c r="J67" i="23"/>
  <c r="K67" i="23" s="1"/>
  <c r="K67" i="20"/>
  <c r="J128" i="23"/>
  <c r="K128" i="23" s="1"/>
  <c r="K128" i="20"/>
  <c r="J372" i="20"/>
  <c r="J369" i="16"/>
  <c r="P282" i="20"/>
  <c r="R279" i="16"/>
  <c r="J318" i="23"/>
  <c r="K318" i="23" s="1"/>
  <c r="K318" i="20"/>
  <c r="J373" i="23"/>
  <c r="K373" i="23" s="1"/>
  <c r="K373" i="20"/>
  <c r="J263" i="23"/>
  <c r="K263" i="23" s="1"/>
  <c r="K263" i="20"/>
  <c r="J63" i="23"/>
  <c r="K63" i="23" s="1"/>
  <c r="K63" i="20"/>
  <c r="P205" i="20"/>
  <c r="R202" i="16"/>
  <c r="J327" i="23"/>
  <c r="K327" i="23" s="1"/>
  <c r="K327" i="20"/>
  <c r="J577" i="23"/>
  <c r="K577" i="23" s="1"/>
  <c r="K577" i="20"/>
  <c r="J260" i="23"/>
  <c r="K260" i="23" s="1"/>
  <c r="K260" i="20"/>
  <c r="R64" i="16"/>
  <c r="P65" i="20"/>
  <c r="P436" i="20"/>
  <c r="R432" i="16"/>
  <c r="J310" i="23"/>
  <c r="K310" i="23" s="1"/>
  <c r="K310" i="20"/>
  <c r="J568" i="23"/>
  <c r="K568" i="23" s="1"/>
  <c r="K568" i="20"/>
  <c r="J178" i="23"/>
  <c r="K178" i="23" s="1"/>
  <c r="K178" i="20"/>
  <c r="J111" i="23"/>
  <c r="K111" i="23" s="1"/>
  <c r="K111" i="20"/>
  <c r="J329" i="23"/>
  <c r="K329" i="23" s="1"/>
  <c r="K329" i="20"/>
  <c r="J309" i="23"/>
  <c r="K309" i="23" s="1"/>
  <c r="K309" i="20"/>
  <c r="J281" i="23"/>
  <c r="K281" i="23" s="1"/>
  <c r="K281" i="20"/>
  <c r="J218" i="23"/>
  <c r="K218" i="23" s="1"/>
  <c r="K218" i="20"/>
  <c r="T491" i="20"/>
  <c r="P491" i="23"/>
  <c r="T491" i="23" s="1"/>
  <c r="P414" i="23"/>
  <c r="T414" i="23" s="1"/>
  <c r="T414" i="20"/>
  <c r="J350" i="20"/>
  <c r="J347" i="16"/>
  <c r="R77" i="7"/>
  <c r="R63" i="7" s="1"/>
  <c r="R62" i="7" s="1"/>
  <c r="R592" i="7" s="1"/>
  <c r="P22" i="7" s="1"/>
  <c r="O77" i="9"/>
  <c r="O63" i="7"/>
  <c r="O62" i="7" s="1"/>
  <c r="J53" i="23"/>
  <c r="K53" i="23" s="1"/>
  <c r="K53" i="20"/>
  <c r="J448" i="23"/>
  <c r="K448" i="23" s="1"/>
  <c r="K448" i="20"/>
  <c r="J86" i="20"/>
  <c r="J84" i="16"/>
  <c r="I45" i="16"/>
  <c r="J45" i="15"/>
  <c r="J419" i="23"/>
  <c r="K419" i="23" s="1"/>
  <c r="K419" i="20"/>
  <c r="J162" i="23"/>
  <c r="K162" i="23" s="1"/>
  <c r="K162" i="20"/>
  <c r="J239" i="23"/>
  <c r="K239" i="23" s="1"/>
  <c r="K239" i="20"/>
  <c r="T400" i="20"/>
  <c r="P400" i="23"/>
  <c r="T400" i="23" s="1"/>
  <c r="R103" i="16"/>
  <c r="P105" i="20"/>
  <c r="J379" i="23"/>
  <c r="K379" i="23" s="1"/>
  <c r="K379" i="20"/>
  <c r="J114" i="23"/>
  <c r="K114" i="23" s="1"/>
  <c r="K114" i="20"/>
  <c r="J54" i="23"/>
  <c r="K54" i="23" s="1"/>
  <c r="K54" i="20"/>
  <c r="J323" i="23"/>
  <c r="K323" i="23" s="1"/>
  <c r="K323" i="20"/>
  <c r="I122" i="15"/>
  <c r="J122" i="14"/>
  <c r="R41" i="14"/>
  <c r="O41" i="15"/>
  <c r="J280" i="20"/>
  <c r="J277" i="16"/>
  <c r="J66" i="23"/>
  <c r="K66" i="23" s="1"/>
  <c r="K66" i="20"/>
  <c r="J387" i="23"/>
  <c r="K387" i="23" s="1"/>
  <c r="K387" i="20"/>
  <c r="J588" i="23"/>
  <c r="K588" i="23" s="1"/>
  <c r="K588" i="20"/>
  <c r="J225" i="23"/>
  <c r="K225" i="23" s="1"/>
  <c r="K225" i="20"/>
  <c r="J440" i="23"/>
  <c r="K440" i="23" s="1"/>
  <c r="K440" i="20"/>
  <c r="J433" i="20"/>
  <c r="J429" i="16"/>
  <c r="J401" i="20"/>
  <c r="J398" i="16"/>
  <c r="J566" i="23"/>
  <c r="K566" i="23" s="1"/>
  <c r="K566" i="20"/>
  <c r="J395" i="23"/>
  <c r="K395" i="23" s="1"/>
  <c r="K395" i="20"/>
  <c r="T263" i="20"/>
  <c r="P263" i="23"/>
  <c r="T263" i="23" s="1"/>
  <c r="J320" i="20"/>
  <c r="J317" i="16"/>
  <c r="J113" i="23"/>
  <c r="K113" i="23" s="1"/>
  <c r="K113" i="20"/>
  <c r="J32" i="23"/>
  <c r="K32" i="23" s="1"/>
  <c r="K32" i="20"/>
  <c r="J143" i="23"/>
  <c r="K143" i="23" s="1"/>
  <c r="K143" i="20"/>
  <c r="P578" i="23"/>
  <c r="T578" i="23" s="1"/>
  <c r="T578" i="20"/>
  <c r="O259" i="16"/>
  <c r="R259" i="15"/>
  <c r="J58" i="23"/>
  <c r="K58" i="23" s="1"/>
  <c r="K58" i="20"/>
  <c r="J487" i="20"/>
  <c r="J480" i="16"/>
  <c r="J459" i="23"/>
  <c r="K459" i="23" s="1"/>
  <c r="K459" i="20"/>
  <c r="T395" i="20"/>
  <c r="P395" i="23"/>
  <c r="T395" i="23" s="1"/>
  <c r="T172" i="20"/>
  <c r="P172" i="23"/>
  <c r="T172" i="23" s="1"/>
  <c r="J160" i="23"/>
  <c r="K160" i="23" s="1"/>
  <c r="K160" i="20"/>
  <c r="J525" i="20"/>
  <c r="J518" i="16"/>
  <c r="O38" i="13"/>
  <c r="R38" i="10"/>
  <c r="J245" i="23"/>
  <c r="K245" i="23" s="1"/>
  <c r="K245" i="20"/>
  <c r="I70" i="15"/>
  <c r="J70" i="14"/>
  <c r="J216" i="23"/>
  <c r="K216" i="23" s="1"/>
  <c r="K216" i="20"/>
  <c r="J410" i="20"/>
  <c r="J406" i="16"/>
  <c r="J483" i="20"/>
  <c r="J476" i="16"/>
  <c r="J313" i="23"/>
  <c r="K313" i="23" s="1"/>
  <c r="K313" i="20"/>
  <c r="J256" i="23"/>
  <c r="K256" i="23" s="1"/>
  <c r="K256" i="20"/>
  <c r="O96" i="14"/>
  <c r="N95" i="14"/>
  <c r="J261" i="23"/>
  <c r="K261" i="23" s="1"/>
  <c r="K261" i="20"/>
  <c r="J348" i="20"/>
  <c r="J345" i="16"/>
  <c r="J286" i="23"/>
  <c r="K286" i="23" s="1"/>
  <c r="K286" i="20"/>
  <c r="J257" i="23"/>
  <c r="K257" i="23" s="1"/>
  <c r="K257" i="20"/>
  <c r="O139" i="15"/>
  <c r="J343" i="23"/>
  <c r="K343" i="23" s="1"/>
  <c r="K343" i="20"/>
  <c r="P184" i="20"/>
  <c r="R181" i="16"/>
  <c r="P368" i="23"/>
  <c r="T368" i="23" s="1"/>
  <c r="T368" i="20"/>
  <c r="J505" i="20"/>
  <c r="J498" i="16"/>
  <c r="P590" i="23"/>
  <c r="T590" i="23" s="1"/>
  <c r="T590" i="20"/>
  <c r="O89" i="16"/>
  <c r="R89" i="15"/>
  <c r="J165" i="23"/>
  <c r="K165" i="23" s="1"/>
  <c r="K165" i="20"/>
  <c r="J500" i="23"/>
  <c r="K500" i="23" s="1"/>
  <c r="K500" i="20"/>
  <c r="I50" i="13"/>
  <c r="J50" i="10"/>
  <c r="J158" i="23"/>
  <c r="K158" i="23" s="1"/>
  <c r="K158" i="20"/>
  <c r="I39" i="14"/>
  <c r="J39" i="13"/>
  <c r="J438" i="23"/>
  <c r="K438" i="23" s="1"/>
  <c r="K438" i="20"/>
  <c r="O79" i="14"/>
  <c r="O80" i="15"/>
  <c r="R80" i="14"/>
  <c r="R79" i="14" s="1"/>
  <c r="J583" i="23"/>
  <c r="K583" i="23" s="1"/>
  <c r="K583" i="20"/>
  <c r="T45" i="20"/>
  <c r="P45" i="23"/>
  <c r="J447" i="20"/>
  <c r="J443" i="16"/>
  <c r="P596" i="20"/>
  <c r="O588" i="16"/>
  <c r="R589" i="16"/>
  <c r="R588" i="16" s="1"/>
  <c r="P174" i="23"/>
  <c r="P173" i="20"/>
  <c r="T174" i="20"/>
  <c r="T173" i="20" s="1"/>
  <c r="J56" i="23"/>
  <c r="K56" i="23" s="1"/>
  <c r="K56" i="20"/>
  <c r="P499" i="23"/>
  <c r="T499" i="23" s="1"/>
  <c r="T499" i="20"/>
  <c r="J477" i="23"/>
  <c r="K477" i="23" s="1"/>
  <c r="K477" i="20"/>
  <c r="I49" i="13"/>
  <c r="J49" i="10"/>
  <c r="J364" i="20"/>
  <c r="J361" i="16"/>
  <c r="O85" i="16"/>
  <c r="R85" i="15"/>
  <c r="R73" i="15"/>
  <c r="O73" i="16"/>
  <c r="R112" i="15"/>
  <c r="O112" i="16"/>
  <c r="I60" i="15"/>
  <c r="J60" i="14"/>
  <c r="O122" i="15"/>
  <c r="R122" i="14"/>
  <c r="I59" i="15"/>
  <c r="J59" i="14"/>
  <c r="I38" i="13"/>
  <c r="J38" i="10"/>
  <c r="J445" i="20"/>
  <c r="J441" i="16"/>
  <c r="T575" i="20"/>
  <c r="P575" i="23"/>
  <c r="T575" i="23" s="1"/>
  <c r="R90" i="15"/>
  <c r="O90" i="16"/>
  <c r="J545" i="20"/>
  <c r="J538" i="16"/>
  <c r="R196" i="16"/>
  <c r="P199" i="20"/>
  <c r="J383" i="23"/>
  <c r="K383" i="23" s="1"/>
  <c r="K383" i="20"/>
  <c r="J549" i="20"/>
  <c r="J542" i="16"/>
  <c r="J306" i="23"/>
  <c r="K306" i="23" s="1"/>
  <c r="K306" i="20"/>
  <c r="P190" i="23"/>
  <c r="T190" i="23" s="1"/>
  <c r="T190" i="20"/>
  <c r="J157" i="23"/>
  <c r="K157" i="23" s="1"/>
  <c r="K157" i="20"/>
  <c r="O375" i="16"/>
  <c r="R375" i="15"/>
  <c r="J586" i="23"/>
  <c r="K586" i="23" s="1"/>
  <c r="K586" i="20"/>
  <c r="J210" i="23"/>
  <c r="K210" i="23" s="1"/>
  <c r="K210" i="20"/>
  <c r="J563" i="23"/>
  <c r="K563" i="23" s="1"/>
  <c r="K563" i="20"/>
  <c r="J242" i="23"/>
  <c r="K242" i="23" s="1"/>
  <c r="K242" i="20"/>
  <c r="J355" i="23"/>
  <c r="K355" i="23" s="1"/>
  <c r="K355" i="20"/>
  <c r="J282" i="23"/>
  <c r="K282" i="23" s="1"/>
  <c r="K282" i="20"/>
  <c r="J336" i="20"/>
  <c r="J333" i="16"/>
  <c r="P540" i="20"/>
  <c r="R533" i="16"/>
  <c r="O474" i="15"/>
  <c r="O475" i="16"/>
  <c r="R475" i="15"/>
  <c r="R474" i="15" s="1"/>
  <c r="J368" i="20"/>
  <c r="J365" i="16"/>
  <c r="O592" i="7"/>
  <c r="O131" i="14"/>
  <c r="R132" i="14"/>
  <c r="R131" i="14" s="1"/>
  <c r="O132" i="15"/>
  <c r="J388" i="20"/>
  <c r="J385" i="16"/>
  <c r="I32" i="14"/>
  <c r="J32" i="13"/>
  <c r="J170" i="23"/>
  <c r="K170" i="23" s="1"/>
  <c r="K170" i="20"/>
  <c r="J446" i="23"/>
  <c r="K446" i="23" s="1"/>
  <c r="K446" i="20"/>
  <c r="R331" i="14"/>
  <c r="R329" i="14" s="1"/>
  <c r="O331" i="15"/>
  <c r="O329" i="14"/>
  <c r="O328" i="14" s="1"/>
  <c r="J301" i="23"/>
  <c r="K301" i="23" s="1"/>
  <c r="K301" i="20"/>
  <c r="J101" i="23"/>
  <c r="K101" i="23" s="1"/>
  <c r="K101" i="20"/>
  <c r="J444" i="23"/>
  <c r="K444" i="23" s="1"/>
  <c r="K444" i="20"/>
  <c r="J253" i="23"/>
  <c r="K253" i="23" s="1"/>
  <c r="K253" i="20"/>
  <c r="R488" i="15"/>
  <c r="R487" i="15" s="1"/>
  <c r="O487" i="15"/>
  <c r="O488" i="16"/>
  <c r="J112" i="23"/>
  <c r="K112" i="23" s="1"/>
  <c r="K112" i="20"/>
  <c r="J268" i="20"/>
  <c r="J265" i="16"/>
  <c r="J594" i="23"/>
  <c r="K594" i="23" s="1"/>
  <c r="K594" i="20"/>
  <c r="K755" i="23"/>
  <c r="J489" i="20"/>
  <c r="J482" i="16"/>
  <c r="J204" i="23"/>
  <c r="K204" i="23" s="1"/>
  <c r="K204" i="20"/>
  <c r="J523" i="20"/>
  <c r="J516" i="16"/>
  <c r="I118" i="15"/>
  <c r="J118" i="14"/>
  <c r="J560" i="23"/>
  <c r="K560" i="23" s="1"/>
  <c r="K560" i="20"/>
  <c r="J468" i="23"/>
  <c r="K468" i="23" s="1"/>
  <c r="K468" i="20"/>
  <c r="T457" i="20"/>
  <c r="P457" i="23"/>
  <c r="T457" i="23" s="1"/>
  <c r="J464" i="23"/>
  <c r="K464" i="23" s="1"/>
  <c r="K464" i="20"/>
  <c r="J519" i="20"/>
  <c r="J512" i="16"/>
  <c r="P469" i="23"/>
  <c r="T469" i="23" s="1"/>
  <c r="T469" i="20"/>
  <c r="J126" i="20"/>
  <c r="J124" i="16"/>
  <c r="J458" i="23"/>
  <c r="K458" i="23" s="1"/>
  <c r="K458" i="20"/>
  <c r="J127" i="23"/>
  <c r="K127" i="23" s="1"/>
  <c r="K127" i="20"/>
  <c r="J504" i="20"/>
  <c r="J497" i="16"/>
  <c r="J427" i="20"/>
  <c r="J423" i="16"/>
  <c r="J335" i="23"/>
  <c r="K335" i="23" s="1"/>
  <c r="K335" i="20"/>
  <c r="R184" i="15"/>
  <c r="O184" i="16"/>
  <c r="I87" i="16"/>
  <c r="J87" i="15"/>
  <c r="J420" i="23"/>
  <c r="K420" i="23" s="1"/>
  <c r="K420" i="20"/>
  <c r="I89" i="16"/>
  <c r="J89" i="15"/>
  <c r="J35" i="23"/>
  <c r="K35" i="23" s="1"/>
  <c r="K35" i="20"/>
  <c r="J317" i="23"/>
  <c r="K317" i="23" s="1"/>
  <c r="K317" i="20"/>
  <c r="R99" i="16"/>
  <c r="P101" i="20"/>
  <c r="J476" i="20"/>
  <c r="J472" i="16"/>
  <c r="J531" i="20"/>
  <c r="J524" i="16"/>
  <c r="J294" i="23"/>
  <c r="K294" i="23" s="1"/>
  <c r="K294" i="20"/>
  <c r="P198" i="23"/>
  <c r="T198" i="23" s="1"/>
  <c r="T198" i="20"/>
  <c r="J435" i="20"/>
  <c r="J431" i="16"/>
  <c r="J82" i="23"/>
  <c r="K82" i="23" s="1"/>
  <c r="K82" i="20"/>
  <c r="R135" i="16"/>
  <c r="P138" i="20"/>
  <c r="O406" i="14"/>
  <c r="R407" i="14"/>
  <c r="R406" i="14" s="1"/>
  <c r="O407" i="15"/>
  <c r="J538" i="23"/>
  <c r="K538" i="23" s="1"/>
  <c r="K538" i="20"/>
  <c r="J293" i="23"/>
  <c r="K293" i="23" s="1"/>
  <c r="K293" i="20"/>
  <c r="J494" i="20"/>
  <c r="J487" i="16"/>
  <c r="J471" i="20"/>
  <c r="J467" i="16"/>
  <c r="P165" i="20"/>
  <c r="R162" i="16"/>
  <c r="I88" i="16"/>
  <c r="J88" i="15"/>
  <c r="T46" i="20"/>
  <c r="P46" i="23"/>
  <c r="T46" i="23" s="1"/>
  <c r="P294" i="23"/>
  <c r="T295" i="23"/>
  <c r="T294" i="23" s="1"/>
  <c r="J436" i="23"/>
  <c r="K436" i="23" s="1"/>
  <c r="K436" i="20"/>
  <c r="J442" i="23"/>
  <c r="K442" i="23" s="1"/>
  <c r="K442" i="20"/>
  <c r="T516" i="23"/>
  <c r="J562" i="23"/>
  <c r="K562" i="23" s="1"/>
  <c r="K562" i="20"/>
  <c r="J167" i="23"/>
  <c r="K167" i="23" s="1"/>
  <c r="K167" i="20"/>
  <c r="J493" i="20"/>
  <c r="J486" i="16"/>
  <c r="J429" i="20"/>
  <c r="J425" i="16"/>
  <c r="I36" i="14"/>
  <c r="J36" i="13"/>
  <c r="J337" i="23"/>
  <c r="K337" i="23" s="1"/>
  <c r="K337" i="20"/>
  <c r="J423" i="20"/>
  <c r="J419" i="16"/>
  <c r="J570" i="23"/>
  <c r="K570" i="23" s="1"/>
  <c r="K570" i="20"/>
  <c r="J593" i="23"/>
  <c r="K593" i="23" s="1"/>
  <c r="K593" i="20"/>
  <c r="J206" i="23"/>
  <c r="K206" i="23" s="1"/>
  <c r="K206" i="20"/>
  <c r="I69" i="16"/>
  <c r="J69" i="15"/>
  <c r="R76" i="16"/>
  <c r="P77" i="20"/>
  <c r="J266" i="23"/>
  <c r="K266" i="23" s="1"/>
  <c r="K266" i="20"/>
  <c r="T372" i="20"/>
  <c r="P372" i="23"/>
  <c r="T372" i="23" s="1"/>
  <c r="R39" i="14"/>
  <c r="O39" i="15"/>
  <c r="T449" i="20"/>
  <c r="P449" i="23"/>
  <c r="T449" i="23" s="1"/>
  <c r="J564" i="23"/>
  <c r="K564" i="23" s="1"/>
  <c r="K564" i="20"/>
  <c r="J203" i="23"/>
  <c r="K203" i="23" s="1"/>
  <c r="K203" i="20"/>
  <c r="J534" i="23"/>
  <c r="K534" i="23" s="1"/>
  <c r="K534" i="20"/>
  <c r="J405" i="20"/>
  <c r="J402" i="16"/>
  <c r="J277" i="23"/>
  <c r="K277" i="23" s="1"/>
  <c r="K277" i="20"/>
  <c r="T441" i="20"/>
  <c r="P441" i="23"/>
  <c r="T441" i="23" s="1"/>
  <c r="J536" i="23"/>
  <c r="K536" i="23" s="1"/>
  <c r="K536" i="20"/>
  <c r="J140" i="23"/>
  <c r="K140" i="23" s="1"/>
  <c r="K140" i="20"/>
  <c r="T425" i="20"/>
  <c r="P425" i="23"/>
  <c r="T425" i="23" s="1"/>
  <c r="J295" i="23"/>
  <c r="K295" i="23" s="1"/>
  <c r="K295" i="20"/>
  <c r="J194" i="23"/>
  <c r="K194" i="23" s="1"/>
  <c r="K194" i="20"/>
  <c r="J535" i="20"/>
  <c r="J528" i="16"/>
  <c r="P345" i="20"/>
  <c r="R342" i="16"/>
  <c r="J161" i="23"/>
  <c r="K161" i="23" s="1"/>
  <c r="K161" i="20"/>
  <c r="J183" i="23"/>
  <c r="K183" i="23" s="1"/>
  <c r="K183" i="20"/>
  <c r="P583" i="20"/>
  <c r="R576" i="16"/>
  <c r="J292" i="20"/>
  <c r="J289" i="16"/>
  <c r="J340" i="20"/>
  <c r="J337" i="16"/>
  <c r="J191" i="23"/>
  <c r="K191" i="23" s="1"/>
  <c r="K191" i="20"/>
  <c r="T458" i="20"/>
  <c r="P458" i="23"/>
  <c r="T458" i="23" s="1"/>
  <c r="J398" i="20"/>
  <c r="J395" i="16"/>
  <c r="I76" i="16"/>
  <c r="J76" i="15"/>
  <c r="P291" i="20"/>
  <c r="R288" i="16"/>
  <c r="T257" i="20"/>
  <c r="P257" i="23"/>
  <c r="T257" i="23" s="1"/>
  <c r="J274" i="23"/>
  <c r="K274" i="23" s="1"/>
  <c r="K274" i="20"/>
  <c r="J347" i="23"/>
  <c r="K347" i="23" s="1"/>
  <c r="K347" i="20"/>
  <c r="J184" i="23"/>
  <c r="K184" i="23" s="1"/>
  <c r="K184" i="20"/>
  <c r="J554" i="23"/>
  <c r="K554" i="23" s="1"/>
  <c r="K554" i="20"/>
  <c r="J491" i="20"/>
  <c r="J484" i="16"/>
  <c r="J270" i="23"/>
  <c r="K270" i="23" s="1"/>
  <c r="K270" i="20"/>
  <c r="J48" i="20"/>
  <c r="J47" i="16"/>
  <c r="R193" i="16"/>
  <c r="P196" i="20"/>
  <c r="J351" i="23"/>
  <c r="K351" i="23" s="1"/>
  <c r="K351" i="20"/>
  <c r="J200" i="23"/>
  <c r="K200" i="23" s="1"/>
  <c r="K200" i="20"/>
  <c r="T99" i="20"/>
  <c r="P99" i="23"/>
  <c r="T99" i="23" s="1"/>
  <c r="J510" i="20"/>
  <c r="J503" i="16"/>
  <c r="J149" i="23"/>
  <c r="K149" i="23" s="1"/>
  <c r="K149" i="20"/>
  <c r="I83" i="16"/>
  <c r="J83" i="15"/>
  <c r="J567" i="23"/>
  <c r="K567" i="23" s="1"/>
  <c r="K567" i="20"/>
  <c r="J62" i="23"/>
  <c r="K62" i="23" s="1"/>
  <c r="K62" i="20"/>
  <c r="P207" i="23"/>
  <c r="T207" i="23" s="1"/>
  <c r="T207" i="20"/>
  <c r="P72" i="20"/>
  <c r="R71" i="16"/>
  <c r="R118" i="14"/>
  <c r="O118" i="15"/>
  <c r="P535" i="23"/>
  <c r="T535" i="23" s="1"/>
  <c r="T535" i="20"/>
  <c r="J187" i="23"/>
  <c r="K187" i="23" s="1"/>
  <c r="K187" i="20"/>
  <c r="P594" i="20"/>
  <c r="R587" i="16"/>
  <c r="P162" i="23"/>
  <c r="T162" i="23" s="1"/>
  <c r="T162" i="20"/>
  <c r="T136" i="20"/>
  <c r="P136" i="23"/>
  <c r="T136" i="23" s="1"/>
  <c r="J366" i="20"/>
  <c r="J363" i="16"/>
  <c r="J51" i="13"/>
  <c r="I51" i="14"/>
  <c r="J486" i="20"/>
  <c r="J479" i="16"/>
  <c r="J180" i="23"/>
  <c r="K180" i="23" s="1"/>
  <c r="K180" i="20"/>
  <c r="J397" i="20"/>
  <c r="J394" i="16"/>
  <c r="J255" i="23"/>
  <c r="K255" i="23" s="1"/>
  <c r="K255" i="20"/>
  <c r="J553" i="20"/>
  <c r="J546" i="16"/>
  <c r="J579" i="23"/>
  <c r="K579" i="23" s="1"/>
  <c r="K579" i="20"/>
  <c r="J248" i="23"/>
  <c r="K248" i="23" s="1"/>
  <c r="K248" i="20"/>
  <c r="T512" i="20"/>
  <c r="P512" i="23"/>
  <c r="T512" i="23" s="1"/>
  <c r="J375" i="23"/>
  <c r="K375" i="23" s="1"/>
  <c r="K375" i="20"/>
  <c r="J303" i="23"/>
  <c r="K303" i="23" s="1"/>
  <c r="K303" i="20"/>
  <c r="J324" i="20"/>
  <c r="J321" i="16"/>
  <c r="J273" i="23"/>
  <c r="K273" i="23" s="1"/>
  <c r="K273" i="20"/>
  <c r="J561" i="20"/>
  <c r="J554" i="16"/>
  <c r="J431" i="20"/>
  <c r="J427" i="16"/>
  <c r="J513" i="20"/>
  <c r="J506" i="16"/>
  <c r="J177" i="23"/>
  <c r="K177" i="23" s="1"/>
  <c r="K177" i="20"/>
  <c r="J469" i="20"/>
  <c r="J465" i="16"/>
  <c r="T294" i="20"/>
  <c r="J278" i="23"/>
  <c r="K278" i="23" s="1"/>
  <c r="K278" i="20"/>
  <c r="P579" i="20"/>
  <c r="R572" i="16"/>
  <c r="J376" i="20"/>
  <c r="J373" i="16"/>
  <c r="J503" i="20"/>
  <c r="J496" i="16"/>
  <c r="J396" i="20"/>
  <c r="J393" i="16"/>
  <c r="J283" i="23"/>
  <c r="K283" i="23" s="1"/>
  <c r="K283" i="20"/>
  <c r="J353" i="23"/>
  <c r="K353" i="23" s="1"/>
  <c r="K353" i="20"/>
  <c r="J341" i="23"/>
  <c r="K341" i="23" s="1"/>
  <c r="K341" i="20"/>
  <c r="J267" i="23"/>
  <c r="K267" i="23" s="1"/>
  <c r="K267" i="20"/>
  <c r="P68" i="23"/>
  <c r="T68" i="23" s="1"/>
  <c r="T68" i="20"/>
  <c r="J319" i="23"/>
  <c r="K319" i="23" s="1"/>
  <c r="K319" i="20"/>
  <c r="O315" i="15"/>
  <c r="R316" i="15"/>
  <c r="R315" i="15" s="1"/>
  <c r="O316" i="16"/>
  <c r="J434" i="20"/>
  <c r="J430" i="16"/>
  <c r="J197" i="23"/>
  <c r="K197" i="23" s="1"/>
  <c r="K197" i="20"/>
  <c r="J432" i="23"/>
  <c r="K432" i="23" s="1"/>
  <c r="K432" i="20"/>
  <c r="J403" i="23"/>
  <c r="K403" i="23" s="1"/>
  <c r="K403" i="20"/>
  <c r="J551" i="20"/>
  <c r="J544" i="16"/>
  <c r="T475" i="20"/>
  <c r="P475" i="23"/>
  <c r="T475" i="23" s="1"/>
  <c r="R87" i="15"/>
  <c r="O87" i="16"/>
  <c r="J95" i="23"/>
  <c r="K95" i="23" s="1"/>
  <c r="K95" i="20"/>
  <c r="J186" i="23"/>
  <c r="K186" i="23" s="1"/>
  <c r="K186" i="20"/>
  <c r="J209" i="23"/>
  <c r="K209" i="23" s="1"/>
  <c r="K209" i="20"/>
  <c r="J287" i="23"/>
  <c r="K287" i="23" s="1"/>
  <c r="K287" i="20"/>
  <c r="J512" i="20"/>
  <c r="J505" i="16"/>
  <c r="I105" i="15"/>
  <c r="J105" i="14"/>
  <c r="J285" i="23"/>
  <c r="K285" i="23" s="1"/>
  <c r="K285" i="20"/>
  <c r="P305" i="20"/>
  <c r="R302" i="16"/>
  <c r="J328" i="20"/>
  <c r="J325" i="16"/>
  <c r="J298" i="23"/>
  <c r="K298" i="23" s="1"/>
  <c r="K298" i="20"/>
  <c r="J96" i="23"/>
  <c r="K96" i="23" s="1"/>
  <c r="K96" i="20"/>
  <c r="J121" i="23"/>
  <c r="K121" i="23" s="1"/>
  <c r="K121" i="20"/>
  <c r="J331" i="23"/>
  <c r="K331" i="23" s="1"/>
  <c r="K331" i="20"/>
  <c r="J332" i="20"/>
  <c r="J329" i="16"/>
  <c r="J47" i="20"/>
  <c r="J46" i="16"/>
  <c r="P418" i="23"/>
  <c r="T418" i="23" s="1"/>
  <c r="T418" i="20"/>
  <c r="J148" i="23"/>
  <c r="K148" i="23" s="1"/>
  <c r="K148" i="20"/>
  <c r="J258" i="23"/>
  <c r="K258" i="23" s="1"/>
  <c r="K258" i="20"/>
  <c r="J138" i="23"/>
  <c r="K138" i="23" s="1"/>
  <c r="K138" i="20"/>
  <c r="J65" i="20"/>
  <c r="J64" i="16"/>
  <c r="J374" i="20"/>
  <c r="J371" i="16"/>
  <c r="J518" i="23"/>
  <c r="K518" i="23" s="1"/>
  <c r="K518" i="20"/>
  <c r="J399" i="23"/>
  <c r="K399" i="23" s="1"/>
  <c r="K399" i="20"/>
  <c r="P283" i="23"/>
  <c r="T283" i="23" s="1"/>
  <c r="T283" i="20"/>
  <c r="J457" i="20"/>
  <c r="J453" i="16"/>
  <c r="J241" i="23"/>
  <c r="K241" i="23" s="1"/>
  <c r="K241" i="20"/>
  <c r="J100" i="23"/>
  <c r="K100" i="23" s="1"/>
  <c r="K100" i="20"/>
  <c r="J509" i="20"/>
  <c r="J502" i="16"/>
  <c r="J392" i="20"/>
  <c r="J389" i="16"/>
  <c r="J238" i="23"/>
  <c r="K238" i="23" s="1"/>
  <c r="K238" i="20"/>
  <c r="O520" i="15"/>
  <c r="O507" i="15" s="1"/>
  <c r="R521" i="15"/>
  <c r="R520" i="15" s="1"/>
  <c r="R507" i="15" s="1"/>
  <c r="O521" i="16"/>
  <c r="J462" i="23"/>
  <c r="K462" i="23" s="1"/>
  <c r="K462" i="20"/>
  <c r="J481" i="20"/>
  <c r="J474" i="16"/>
  <c r="J590" i="23"/>
  <c r="K590" i="23" s="1"/>
  <c r="K590" i="20"/>
  <c r="J430" i="20"/>
  <c r="J426" i="16"/>
  <c r="O579" i="16"/>
  <c r="R579" i="15"/>
  <c r="J522" i="23"/>
  <c r="K522" i="23" s="1"/>
  <c r="K522" i="20"/>
  <c r="I77" i="10"/>
  <c r="J77" i="9"/>
  <c r="J315" i="23"/>
  <c r="K315" i="23" s="1"/>
  <c r="K315" i="20"/>
  <c r="I85" i="16"/>
  <c r="J85" i="15"/>
  <c r="J311" i="23"/>
  <c r="K311" i="23" s="1"/>
  <c r="K311" i="20"/>
  <c r="J182" i="23"/>
  <c r="K182" i="23" s="1"/>
  <c r="K182" i="20"/>
  <c r="J393" i="20"/>
  <c r="J390" i="16"/>
  <c r="J272" i="20"/>
  <c r="J269" i="16"/>
  <c r="J352" i="20"/>
  <c r="J349" i="16"/>
  <c r="J529" i="20"/>
  <c r="J522" i="16"/>
  <c r="J411" i="20"/>
  <c r="J407" i="16"/>
  <c r="J357" i="23"/>
  <c r="K357" i="23" s="1"/>
  <c r="K357" i="20"/>
  <c r="J169" i="23"/>
  <c r="K169" i="23" s="1"/>
  <c r="K169" i="20"/>
  <c r="J264" i="20"/>
  <c r="J261" i="16"/>
  <c r="R60" i="15"/>
  <c r="O60" i="16"/>
  <c r="J198" i="23"/>
  <c r="K198" i="23" s="1"/>
  <c r="K198" i="20"/>
  <c r="J188" i="23"/>
  <c r="K188" i="23" s="1"/>
  <c r="K188" i="20"/>
  <c r="J338" i="20"/>
  <c r="J335" i="16"/>
  <c r="O299" i="16"/>
  <c r="R299" i="15"/>
  <c r="R296" i="15" s="1"/>
  <c r="O296" i="15"/>
  <c r="P563" i="23"/>
  <c r="T563" i="23" s="1"/>
  <c r="T563" i="20"/>
  <c r="J571" i="23"/>
  <c r="K571" i="23" s="1"/>
  <c r="K571" i="20"/>
  <c r="J532" i="23"/>
  <c r="K532" i="23" s="1"/>
  <c r="K532" i="20"/>
  <c r="J68" i="23"/>
  <c r="K68" i="23" s="1"/>
  <c r="K68" i="20"/>
  <c r="J321" i="23"/>
  <c r="K321" i="23" s="1"/>
  <c r="K321" i="20"/>
  <c r="J131" i="23"/>
  <c r="K131" i="23" s="1"/>
  <c r="K131" i="20"/>
  <c r="J537" i="20"/>
  <c r="J530" i="16"/>
  <c r="R319" i="14"/>
  <c r="R317" i="14" s="1"/>
  <c r="O319" i="15"/>
  <c r="O317" i="14"/>
  <c r="J174" i="23"/>
  <c r="K174" i="23" s="1"/>
  <c r="K174" i="20"/>
  <c r="R59" i="14"/>
  <c r="O59" i="15"/>
  <c r="P300" i="23"/>
  <c r="T300" i="20"/>
  <c r="J591" i="23"/>
  <c r="K591" i="23" s="1"/>
  <c r="K591" i="20"/>
  <c r="P437" i="23"/>
  <c r="T437" i="23" s="1"/>
  <c r="T437" i="20"/>
  <c r="J36" i="23"/>
  <c r="K36" i="23" s="1"/>
  <c r="K36" i="20"/>
  <c r="I108" i="15"/>
  <c r="J108" i="14"/>
  <c r="J116" i="23"/>
  <c r="K116" i="23" s="1"/>
  <c r="K116" i="20"/>
  <c r="J526" i="23"/>
  <c r="K526" i="23" s="1"/>
  <c r="K526" i="20"/>
  <c r="J521" i="20"/>
  <c r="J514" i="16"/>
  <c r="R83" i="14"/>
  <c r="O83" i="15"/>
  <c r="I56" i="14"/>
  <c r="J56" i="13"/>
  <c r="J246" i="23"/>
  <c r="K246" i="23" s="1"/>
  <c r="K246" i="20"/>
  <c r="J450" i="23"/>
  <c r="K450" i="23" s="1"/>
  <c r="K450" i="20"/>
  <c r="T194" i="20"/>
  <c r="P194" i="23"/>
  <c r="T194" i="23" s="1"/>
  <c r="J88" i="23"/>
  <c r="K88" i="23" s="1"/>
  <c r="K88" i="20"/>
  <c r="I58" i="13"/>
  <c r="J58" i="10"/>
  <c r="J559" i="23"/>
  <c r="K559" i="23" s="1"/>
  <c r="K559" i="20"/>
  <c r="J589" i="23"/>
  <c r="K589" i="23" s="1"/>
  <c r="K589" i="20"/>
  <c r="P156" i="20"/>
  <c r="R153" i="16"/>
  <c r="P333" i="20"/>
  <c r="R330" i="16"/>
  <c r="J214" i="23"/>
  <c r="K214" i="23" s="1"/>
  <c r="K214" i="20"/>
  <c r="J550" i="23"/>
  <c r="K550" i="23" s="1"/>
  <c r="K550" i="20"/>
  <c r="J587" i="23"/>
  <c r="K587" i="23" s="1"/>
  <c r="K587" i="20"/>
  <c r="J517" i="20"/>
  <c r="J510" i="16"/>
  <c r="J452" i="23"/>
  <c r="K452" i="23" s="1"/>
  <c r="K452" i="20"/>
  <c r="J592" i="23"/>
  <c r="K592" i="23" s="1"/>
  <c r="K592" i="20"/>
  <c r="R151" i="16"/>
  <c r="P154" i="20"/>
  <c r="I121" i="15"/>
  <c r="J121" i="14"/>
  <c r="P344" i="23"/>
  <c r="T344" i="23" s="1"/>
  <c r="T344" i="20"/>
  <c r="O222" i="14"/>
  <c r="R223" i="14"/>
  <c r="R222" i="14" s="1"/>
  <c r="O223" i="15"/>
  <c r="J326" i="23"/>
  <c r="K326" i="23" s="1"/>
  <c r="K326" i="20"/>
  <c r="J472" i="20"/>
  <c r="J468" i="16"/>
  <c r="T95" i="20"/>
  <c r="P95" i="23"/>
  <c r="T95" i="23" s="1"/>
  <c r="O175" i="15"/>
  <c r="O176" i="16"/>
  <c r="R176" i="15"/>
  <c r="R175" i="15" s="1"/>
  <c r="J208" i="23"/>
  <c r="K208" i="23" s="1"/>
  <c r="K208" i="20"/>
  <c r="J195" i="23"/>
  <c r="K195" i="23" s="1"/>
  <c r="K195" i="20"/>
  <c r="J176" i="23"/>
  <c r="K176" i="23" s="1"/>
  <c r="K176" i="20"/>
  <c r="J45" i="23"/>
  <c r="K45" i="23" s="1"/>
  <c r="K45" i="20"/>
  <c r="J269" i="23"/>
  <c r="K269" i="23" s="1"/>
  <c r="K269" i="20"/>
  <c r="J425" i="20"/>
  <c r="J421" i="16"/>
  <c r="P348" i="23"/>
  <c r="T348" i="23" s="1"/>
  <c r="T348" i="20"/>
  <c r="O165" i="14"/>
  <c r="O166" i="15"/>
  <c r="R166" i="14"/>
  <c r="R165" i="14" s="1"/>
  <c r="T235" i="20"/>
  <c r="P235" i="23"/>
  <c r="T235" i="23" s="1"/>
  <c r="J299" i="23"/>
  <c r="K299" i="23" s="1"/>
  <c r="K299" i="20"/>
  <c r="J297" i="23"/>
  <c r="K297" i="23" s="1"/>
  <c r="K297" i="20"/>
  <c r="J543" i="20"/>
  <c r="J536" i="16"/>
  <c r="R105" i="14"/>
  <c r="O105" i="15"/>
  <c r="J349" i="23"/>
  <c r="K349" i="23" s="1"/>
  <c r="K349" i="20"/>
  <c r="J454" i="23"/>
  <c r="K454" i="23" s="1"/>
  <c r="K454" i="20"/>
  <c r="T396" i="20"/>
  <c r="P396" i="23"/>
  <c r="T396" i="23" s="1"/>
  <c r="J185" i="23"/>
  <c r="K185" i="23" s="1"/>
  <c r="K185" i="20"/>
  <c r="J215" i="23"/>
  <c r="K215" i="23" s="1"/>
  <c r="K215" i="20"/>
  <c r="T453" i="20"/>
  <c r="P453" i="23"/>
  <c r="T453" i="23" s="1"/>
  <c r="J597" i="23"/>
  <c r="K597" i="23" s="1"/>
  <c r="K597" i="20"/>
  <c r="J106" i="23"/>
  <c r="K106" i="23" s="1"/>
  <c r="K106" i="20"/>
  <c r="J193" i="23"/>
  <c r="K193" i="23" s="1"/>
  <c r="K193" i="20"/>
  <c r="J64" i="23"/>
  <c r="K64" i="23" s="1"/>
  <c r="K64" i="20"/>
  <c r="D748" i="20"/>
  <c r="J657" i="16"/>
  <c r="J667" i="16" s="1"/>
  <c r="D667" i="16"/>
  <c r="J105" i="23"/>
  <c r="K105" i="23" s="1"/>
  <c r="K105" i="20"/>
  <c r="J520" i="20"/>
  <c r="J513" i="16"/>
  <c r="J262" i="23"/>
  <c r="K262" i="23" s="1"/>
  <c r="K262" i="20"/>
  <c r="J580" i="23"/>
  <c r="K580" i="23" s="1"/>
  <c r="K580" i="20"/>
  <c r="P460" i="20"/>
  <c r="R456" i="16"/>
  <c r="J290" i="23"/>
  <c r="K290" i="23" s="1"/>
  <c r="K290" i="20"/>
  <c r="J308" i="20"/>
  <c r="J305" i="16"/>
  <c r="R32" i="10"/>
  <c r="R30" i="10" s="1"/>
  <c r="O32" i="13"/>
  <c r="O30" i="10"/>
  <c r="P90" i="20"/>
  <c r="R88" i="16"/>
  <c r="O53" i="10"/>
  <c r="O52" i="10" s="1"/>
  <c r="P564" i="23"/>
  <c r="T564" i="23" s="1"/>
  <c r="T564" i="20"/>
  <c r="J496" i="23"/>
  <c r="K496" i="23" s="1"/>
  <c r="K496" i="20"/>
  <c r="J501" i="20"/>
  <c r="J494" i="16"/>
  <c r="J296" i="20"/>
  <c r="J293" i="16"/>
  <c r="J166" i="23"/>
  <c r="K166" i="23" s="1"/>
  <c r="K166" i="20"/>
  <c r="R49" i="9"/>
  <c r="R43" i="9" s="1"/>
  <c r="R27" i="9" s="1"/>
  <c r="O49" i="10"/>
  <c r="O43" i="9"/>
  <c r="O27" i="9" s="1"/>
  <c r="J449" i="20"/>
  <c r="J445" i="16"/>
  <c r="I92" i="16"/>
  <c r="J92" i="15"/>
  <c r="J488" i="23"/>
  <c r="K488" i="23" s="1"/>
  <c r="K488" i="20"/>
  <c r="J229" i="23"/>
  <c r="K229" i="23" s="1"/>
  <c r="K229" i="20"/>
  <c r="J212" i="23"/>
  <c r="K212" i="23" s="1"/>
  <c r="K212" i="20"/>
  <c r="J38" i="23"/>
  <c r="K38" i="23" s="1"/>
  <c r="K38" i="20"/>
  <c r="J314" i="23"/>
  <c r="K314" i="23" s="1"/>
  <c r="K314" i="20"/>
  <c r="P234" i="20"/>
  <c r="R231" i="16"/>
  <c r="J275" i="23"/>
  <c r="K275" i="23" s="1"/>
  <c r="K275" i="20"/>
  <c r="P312" i="23"/>
  <c r="T312" i="23" s="1"/>
  <c r="T312" i="20"/>
  <c r="P324" i="23"/>
  <c r="T324" i="23" s="1"/>
  <c r="T324" i="20"/>
  <c r="J502" i="20"/>
  <c r="J495" i="16"/>
  <c r="J574" i="23"/>
  <c r="K574" i="23" s="1"/>
  <c r="K574" i="20"/>
  <c r="J230" i="23"/>
  <c r="K230" i="23" s="1"/>
  <c r="K230" i="20"/>
  <c r="J97" i="23"/>
  <c r="K97" i="23" s="1"/>
  <c r="K97" i="20"/>
  <c r="P591" i="20"/>
  <c r="R584" i="16"/>
  <c r="J439" i="20"/>
  <c r="J435" i="16"/>
  <c r="I71" i="16"/>
  <c r="J71" i="15"/>
  <c r="O156" i="14"/>
  <c r="O155" i="14" s="1"/>
  <c r="O157" i="15"/>
  <c r="R157" i="14"/>
  <c r="R156" i="14" s="1"/>
  <c r="J190" i="23"/>
  <c r="K190" i="23" s="1"/>
  <c r="K190" i="20"/>
  <c r="J408" i="20"/>
  <c r="J405" i="16"/>
  <c r="J339" i="23"/>
  <c r="K339" i="23" s="1"/>
  <c r="K339" i="20"/>
  <c r="P543" i="23"/>
  <c r="T543" i="23" s="1"/>
  <c r="T543" i="20"/>
  <c r="J584" i="23"/>
  <c r="K584" i="23" s="1"/>
  <c r="K584" i="20"/>
  <c r="J150" i="23"/>
  <c r="K150" i="23" s="1"/>
  <c r="K150" i="20"/>
  <c r="J544" i="23"/>
  <c r="K544" i="23" s="1"/>
  <c r="K544" i="20"/>
  <c r="J211" i="23"/>
  <c r="K211" i="23" s="1"/>
  <c r="K211" i="20"/>
  <c r="O108" i="14"/>
  <c r="N107" i="14"/>
  <c r="P572" i="23"/>
  <c r="T572" i="23" s="1"/>
  <c r="T572" i="20"/>
  <c r="J415" i="20"/>
  <c r="J411" i="16"/>
  <c r="J371" i="23"/>
  <c r="K371" i="23" s="1"/>
  <c r="K371" i="20"/>
  <c r="J414" i="20"/>
  <c r="J410" i="16"/>
  <c r="J361" i="23"/>
  <c r="K361" i="23" s="1"/>
  <c r="K361" i="20"/>
  <c r="J369" i="23"/>
  <c r="K369" i="23" s="1"/>
  <c r="K369" i="20"/>
  <c r="J244" i="23"/>
  <c r="K244" i="23" s="1"/>
  <c r="K244" i="20"/>
  <c r="J202" i="23"/>
  <c r="K202" i="23" s="1"/>
  <c r="K202" i="20"/>
  <c r="J400" i="20"/>
  <c r="J397" i="16"/>
  <c r="J511" i="20"/>
  <c r="J504" i="16"/>
  <c r="J163" i="23"/>
  <c r="K163" i="23" s="1"/>
  <c r="K163" i="20"/>
  <c r="O28" i="16"/>
  <c r="R29" i="16"/>
  <c r="R28" i="16" s="1"/>
  <c r="P30" i="20"/>
  <c r="O35" i="10"/>
  <c r="R36" i="10"/>
  <c r="R35" i="10" s="1"/>
  <c r="O36" i="13"/>
  <c r="J426" i="20"/>
  <c r="J422" i="16"/>
  <c r="P117" i="20"/>
  <c r="R115" i="16"/>
  <c r="J234" i="23"/>
  <c r="K234" i="23" s="1"/>
  <c r="K234" i="20"/>
  <c r="O121" i="14"/>
  <c r="N120" i="14"/>
  <c r="J455" i="20"/>
  <c r="J451" i="16"/>
  <c r="J139" i="23"/>
  <c r="K139" i="23" s="1"/>
  <c r="K139" i="20"/>
  <c r="J156" i="23"/>
  <c r="K156" i="23" s="1"/>
  <c r="K156" i="20"/>
  <c r="J175" i="23"/>
  <c r="K175" i="23" s="1"/>
  <c r="K175" i="20"/>
  <c r="O226" i="14"/>
  <c r="O225" i="14" s="1"/>
  <c r="R227" i="14"/>
  <c r="R226" i="14" s="1"/>
  <c r="R225" i="14" s="1"/>
  <c r="O227" i="15"/>
  <c r="J391" i="23"/>
  <c r="K391" i="23" s="1"/>
  <c r="K391" i="20"/>
  <c r="J122" i="23"/>
  <c r="K122" i="23" s="1"/>
  <c r="K122" i="20"/>
  <c r="P219" i="20"/>
  <c r="O215" i="16"/>
  <c r="R216" i="16"/>
  <c r="R215" i="16" s="1"/>
  <c r="J422" i="20"/>
  <c r="J418" i="16"/>
  <c r="O149" i="16"/>
  <c r="O148" i="15"/>
  <c r="R149" i="15"/>
  <c r="R148" i="15" s="1"/>
  <c r="R139" i="15" s="1"/>
  <c r="J406" i="20"/>
  <c r="J403" i="16"/>
  <c r="J93" i="23"/>
  <c r="K93" i="23" s="1"/>
  <c r="K93" i="20"/>
  <c r="J325" i="23"/>
  <c r="K325" i="23" s="1"/>
  <c r="K325" i="20"/>
  <c r="J437" i="20"/>
  <c r="J433" i="16"/>
  <c r="J533" i="20"/>
  <c r="J526" i="16"/>
  <c r="J125" i="23"/>
  <c r="K125" i="23" s="1"/>
  <c r="K125" i="20"/>
  <c r="J159" i="23"/>
  <c r="K159" i="23" s="1"/>
  <c r="K159" i="20"/>
  <c r="O566" i="15"/>
  <c r="O567" i="16"/>
  <c r="R567" i="15"/>
  <c r="R566" i="15" s="1"/>
  <c r="J189" i="23"/>
  <c r="K189" i="23" s="1"/>
  <c r="K189" i="20"/>
  <c r="I78" i="15"/>
  <c r="J78" i="14"/>
  <c r="J233" i="23"/>
  <c r="K233" i="23" s="1"/>
  <c r="K233" i="20"/>
  <c r="J552" i="23"/>
  <c r="K552" i="23" s="1"/>
  <c r="K552" i="20"/>
  <c r="J499" i="20"/>
  <c r="J492" i="16"/>
  <c r="J416" i="23"/>
  <c r="K416" i="23" s="1"/>
  <c r="K416" i="20"/>
  <c r="J356" i="20"/>
  <c r="J353" i="16"/>
  <c r="T141" i="20"/>
  <c r="P141" i="23"/>
  <c r="T141" i="23" s="1"/>
  <c r="J508" i="20"/>
  <c r="J501" i="16"/>
  <c r="P443" i="20"/>
  <c r="R439" i="16"/>
  <c r="J247" i="23"/>
  <c r="K247" i="23" s="1"/>
  <c r="K247" i="20"/>
  <c r="P472" i="23"/>
  <c r="T472" i="23" s="1"/>
  <c r="T472" i="20"/>
  <c r="O552" i="15"/>
  <c r="R553" i="15"/>
  <c r="R552" i="15" s="1"/>
  <c r="O553" i="16"/>
  <c r="J102" i="23"/>
  <c r="K102" i="23" s="1"/>
  <c r="K102" i="20"/>
  <c r="I42" i="16"/>
  <c r="J42" i="15"/>
  <c r="J84" i="23"/>
  <c r="K84" i="23" s="1"/>
  <c r="K84" i="20"/>
  <c r="P565" i="23"/>
  <c r="T565" i="23" s="1"/>
  <c r="T565" i="20"/>
  <c r="J109" i="23"/>
  <c r="K109" i="23" s="1"/>
  <c r="K109" i="20"/>
  <c r="P584" i="23"/>
  <c r="T584" i="23" s="1"/>
  <c r="T584" i="20"/>
  <c r="R155" i="13"/>
  <c r="R50" i="10"/>
  <c r="O50" i="13"/>
  <c r="O160" i="16"/>
  <c r="R160" i="15"/>
  <c r="P227" i="20"/>
  <c r="R224" i="16"/>
  <c r="T483" i="20"/>
  <c r="P483" i="23"/>
  <c r="T483" i="23" s="1"/>
  <c r="J492" i="23"/>
  <c r="K492" i="23" s="1"/>
  <c r="K492" i="20"/>
  <c r="J596" i="23"/>
  <c r="K596" i="23" s="1"/>
  <c r="K596" i="20"/>
  <c r="J354" i="20"/>
  <c r="J351" i="16"/>
  <c r="J172" i="23"/>
  <c r="K172" i="23" s="1"/>
  <c r="K172" i="20"/>
  <c r="J555" i="20"/>
  <c r="J548" i="16"/>
  <c r="J237" i="23"/>
  <c r="K237" i="23" s="1"/>
  <c r="K237" i="20"/>
  <c r="R51" i="13"/>
  <c r="O51" i="14"/>
  <c r="R246" i="16"/>
  <c r="R240" i="16" s="1"/>
  <c r="P249" i="20"/>
  <c r="O307" i="16"/>
  <c r="P311" i="20"/>
  <c r="R308" i="16"/>
  <c r="R307" i="16" s="1"/>
  <c r="J585" i="23"/>
  <c r="K585" i="23" s="1"/>
  <c r="K585" i="20"/>
  <c r="J548" i="23"/>
  <c r="K548" i="23" s="1"/>
  <c r="K548" i="20"/>
  <c r="J460" i="23"/>
  <c r="K460" i="23" s="1"/>
  <c r="K460" i="20"/>
  <c r="P321" i="20"/>
  <c r="R318" i="16"/>
  <c r="O205" i="14"/>
  <c r="O206" i="15"/>
  <c r="R206" i="14"/>
  <c r="R205" i="14" s="1"/>
  <c r="J307" i="23"/>
  <c r="K307" i="23" s="1"/>
  <c r="K307" i="20"/>
  <c r="J334" i="20"/>
  <c r="J331" i="16"/>
  <c r="J342" i="20"/>
  <c r="J339" i="16"/>
  <c r="J359" i="23"/>
  <c r="K359" i="23" s="1"/>
  <c r="K359" i="20"/>
  <c r="I40" i="14"/>
  <c r="J40" i="13"/>
  <c r="J404" i="20"/>
  <c r="J401" i="16"/>
  <c r="J514" i="20"/>
  <c r="J507" i="16"/>
  <c r="J333" i="23"/>
  <c r="K333" i="23" s="1"/>
  <c r="K333" i="20"/>
  <c r="J300" i="20"/>
  <c r="J297" i="16"/>
  <c r="J240" i="23"/>
  <c r="K240" i="23" s="1"/>
  <c r="K240" i="20"/>
  <c r="J484" i="23"/>
  <c r="K484" i="23" s="1"/>
  <c r="K484" i="20"/>
  <c r="J370" i="23"/>
  <c r="K370" i="23" s="1"/>
  <c r="K370" i="20"/>
  <c r="P477" i="23"/>
  <c r="T477" i="23" s="1"/>
  <c r="T477" i="20"/>
  <c r="J196" i="23"/>
  <c r="K196" i="23" s="1"/>
  <c r="K196" i="20"/>
  <c r="J164" i="23"/>
  <c r="K164" i="23" s="1"/>
  <c r="K164" i="20"/>
  <c r="T358" i="20"/>
  <c r="P358" i="23"/>
  <c r="T358" i="23" s="1"/>
  <c r="O482" i="15"/>
  <c r="O481" i="15" s="1"/>
  <c r="O483" i="16"/>
  <c r="R483" i="15"/>
  <c r="R482" i="15" s="1"/>
  <c r="R481" i="15" s="1"/>
  <c r="J302" i="23"/>
  <c r="K302" i="23" s="1"/>
  <c r="K302" i="20"/>
  <c r="R225" i="13"/>
  <c r="J142" i="23"/>
  <c r="K142" i="23" s="1"/>
  <c r="K142" i="20"/>
  <c r="O56" i="14"/>
  <c r="R56" i="13"/>
  <c r="I117" i="15"/>
  <c r="J117" i="14"/>
  <c r="J413" i="20"/>
  <c r="J409" i="16"/>
  <c r="R33" i="13"/>
  <c r="O33" i="14"/>
  <c r="P290" i="20"/>
  <c r="R287" i="16"/>
  <c r="J402" i="20"/>
  <c r="J399" i="16"/>
  <c r="J384" i="20"/>
  <c r="J381" i="16"/>
  <c r="J482" i="20"/>
  <c r="J475" i="16"/>
  <c r="T465" i="20"/>
  <c r="P465" i="23"/>
  <c r="T465" i="23" s="1"/>
  <c r="R40" i="13"/>
  <c r="O40" i="14"/>
  <c r="J418" i="20"/>
  <c r="J414" i="16"/>
  <c r="R75" i="16"/>
  <c r="P76" i="20"/>
  <c r="J205" i="23"/>
  <c r="K205" i="23" s="1"/>
  <c r="K205" i="20"/>
  <c r="J179" i="23"/>
  <c r="K179" i="23" s="1"/>
  <c r="K179" i="20"/>
  <c r="J474" i="20"/>
  <c r="J470" i="16"/>
  <c r="J217" i="23"/>
  <c r="K217" i="23" s="1"/>
  <c r="K217" i="20"/>
  <c r="J276" i="20"/>
  <c r="J273" i="16"/>
  <c r="J475" i="20"/>
  <c r="J471" i="16"/>
  <c r="P587" i="20"/>
  <c r="R580" i="16"/>
  <c r="J524" i="20"/>
  <c r="J517" i="16"/>
  <c r="R213" i="16"/>
  <c r="P216" i="20"/>
  <c r="J466" i="23"/>
  <c r="K466" i="23" s="1"/>
  <c r="K466" i="20"/>
  <c r="J490" i="20"/>
  <c r="J483" i="16"/>
  <c r="O155" i="13"/>
  <c r="J181" i="23"/>
  <c r="K181" i="23" s="1"/>
  <c r="K181" i="20"/>
  <c r="J305" i="23"/>
  <c r="K305" i="23" s="1"/>
  <c r="K305" i="20"/>
  <c r="J530" i="23"/>
  <c r="K530" i="23" s="1"/>
  <c r="K530" i="20"/>
  <c r="P79" i="20"/>
  <c r="R78" i="16"/>
  <c r="J129" i="23"/>
  <c r="K129" i="23" s="1"/>
  <c r="K129" i="20"/>
  <c r="J213" i="23"/>
  <c r="K213" i="23" s="1"/>
  <c r="K213" i="20"/>
  <c r="J250" i="23"/>
  <c r="K250" i="23" s="1"/>
  <c r="K250" i="20"/>
  <c r="T126" i="20"/>
  <c r="P126" i="23"/>
  <c r="T126" i="23" s="1"/>
  <c r="J390" i="20"/>
  <c r="J387" i="16"/>
  <c r="J259" i="23"/>
  <c r="K259" i="23" s="1"/>
  <c r="K259" i="20"/>
  <c r="T462" i="20"/>
  <c r="P462" i="23"/>
  <c r="T462" i="23" s="1"/>
  <c r="O86" i="16"/>
  <c r="R86" i="15"/>
  <c r="J367" i="23"/>
  <c r="K367" i="23" s="1"/>
  <c r="K367" i="20"/>
  <c r="J558" i="23"/>
  <c r="K558" i="23" s="1"/>
  <c r="K558" i="20"/>
  <c r="J108" i="23"/>
  <c r="K108" i="23" s="1"/>
  <c r="K108" i="20"/>
  <c r="J227" i="23"/>
  <c r="K227" i="23" s="1"/>
  <c r="K227" i="20"/>
  <c r="J228" i="23"/>
  <c r="K228" i="23" s="1"/>
  <c r="K228" i="20"/>
  <c r="J360" i="20"/>
  <c r="J357" i="16"/>
  <c r="J358" i="20"/>
  <c r="J355" i="16"/>
  <c r="J382" i="20"/>
  <c r="J379" i="16"/>
  <c r="J207" i="23"/>
  <c r="K207" i="23" s="1"/>
  <c r="K207" i="20"/>
  <c r="J576" i="23"/>
  <c r="K576" i="23" s="1"/>
  <c r="K576" i="20"/>
  <c r="T106" i="20"/>
  <c r="P106" i="23"/>
  <c r="T106" i="23" s="1"/>
  <c r="R70" i="13"/>
  <c r="O70" i="14"/>
  <c r="J44" i="23"/>
  <c r="K44" i="23" s="1"/>
  <c r="K44" i="20"/>
  <c r="P244" i="23"/>
  <c r="P243" i="20"/>
  <c r="T244" i="20"/>
  <c r="O481" i="14"/>
  <c r="O225" i="13"/>
  <c r="J541" i="20"/>
  <c r="J534" i="16"/>
  <c r="P393" i="20"/>
  <c r="R390" i="16"/>
  <c r="R117" i="14"/>
  <c r="O117" i="15"/>
  <c r="J155" i="23"/>
  <c r="K155" i="23" s="1"/>
  <c r="K155" i="20"/>
  <c r="O592" i="9" l="1"/>
  <c r="J360" i="23"/>
  <c r="K360" i="23" s="1"/>
  <c r="K360" i="20"/>
  <c r="P30" i="23"/>
  <c r="P29" i="20"/>
  <c r="T30" i="20"/>
  <c r="T29" i="20" s="1"/>
  <c r="P370" i="20"/>
  <c r="R367" i="16"/>
  <c r="I72" i="16"/>
  <c r="J72" i="15"/>
  <c r="J461" i="23"/>
  <c r="K461" i="23" s="1"/>
  <c r="K461" i="20"/>
  <c r="T216" i="20"/>
  <c r="P216" i="23"/>
  <c r="T216" i="23" s="1"/>
  <c r="P490" i="20"/>
  <c r="O482" i="16"/>
  <c r="R483" i="16"/>
  <c r="R482" i="16" s="1"/>
  <c r="O206" i="16"/>
  <c r="O205" i="15"/>
  <c r="R206" i="15"/>
  <c r="R205" i="15" s="1"/>
  <c r="R160" i="16"/>
  <c r="P163" i="20"/>
  <c r="P443" i="23"/>
  <c r="T443" i="23" s="1"/>
  <c r="T443" i="20"/>
  <c r="J406" i="23"/>
  <c r="K406" i="23" s="1"/>
  <c r="K406" i="20"/>
  <c r="J439" i="23"/>
  <c r="K439" i="23" s="1"/>
  <c r="K439" i="20"/>
  <c r="P90" i="23"/>
  <c r="T90" i="23" s="1"/>
  <c r="T90" i="20"/>
  <c r="I121" i="16"/>
  <c r="J121" i="15"/>
  <c r="R83" i="15"/>
  <c r="O83" i="16"/>
  <c r="O319" i="16"/>
  <c r="R319" i="15"/>
  <c r="R317" i="15" s="1"/>
  <c r="O317" i="15"/>
  <c r="J529" i="23"/>
  <c r="K529" i="23" s="1"/>
  <c r="K529" i="20"/>
  <c r="J87" i="20"/>
  <c r="J85" i="16"/>
  <c r="P196" i="23"/>
  <c r="T196" i="23" s="1"/>
  <c r="T196" i="20"/>
  <c r="P77" i="23"/>
  <c r="T77" i="23" s="1"/>
  <c r="T77" i="20"/>
  <c r="J531" i="23"/>
  <c r="K531" i="23" s="1"/>
  <c r="K531" i="20"/>
  <c r="J489" i="23"/>
  <c r="K489" i="23" s="1"/>
  <c r="K489" i="20"/>
  <c r="J545" i="23"/>
  <c r="K545" i="23" s="1"/>
  <c r="K545" i="20"/>
  <c r="R122" i="15"/>
  <c r="O122" i="16"/>
  <c r="I49" i="14"/>
  <c r="J49" i="13"/>
  <c r="P595" i="20"/>
  <c r="T596" i="20"/>
  <c r="T595" i="20" s="1"/>
  <c r="P596" i="23"/>
  <c r="R89" i="16"/>
  <c r="P91" i="20"/>
  <c r="O77" i="10"/>
  <c r="R77" i="9"/>
  <c r="R63" i="9" s="1"/>
  <c r="R62" i="9" s="1"/>
  <c r="R592" i="9" s="1"/>
  <c r="P22" i="9" s="1"/>
  <c r="O63" i="9"/>
  <c r="O62" i="9" s="1"/>
  <c r="T205" i="20"/>
  <c r="P205" i="23"/>
  <c r="T205" i="23" s="1"/>
  <c r="J573" i="23"/>
  <c r="K573" i="23" s="1"/>
  <c r="K573" i="20"/>
  <c r="J380" i="23"/>
  <c r="K380" i="23" s="1"/>
  <c r="K380" i="20"/>
  <c r="J312" i="23"/>
  <c r="K312" i="23" s="1"/>
  <c r="K312" i="20"/>
  <c r="J344" i="23"/>
  <c r="K344" i="23" s="1"/>
  <c r="K344" i="20"/>
  <c r="J465" i="23"/>
  <c r="K465" i="23" s="1"/>
  <c r="K465" i="20"/>
  <c r="J362" i="23"/>
  <c r="K362" i="23" s="1"/>
  <c r="K362" i="20"/>
  <c r="J426" i="23"/>
  <c r="K426" i="23" s="1"/>
  <c r="K426" i="20"/>
  <c r="I56" i="15"/>
  <c r="J56" i="14"/>
  <c r="J512" i="23"/>
  <c r="K512" i="23" s="1"/>
  <c r="K512" i="20"/>
  <c r="I51" i="15"/>
  <c r="J51" i="14"/>
  <c r="J423" i="23"/>
  <c r="K423" i="23" s="1"/>
  <c r="K423" i="20"/>
  <c r="J527" i="23"/>
  <c r="K527" i="23" s="1"/>
  <c r="K527" i="20"/>
  <c r="T79" i="20"/>
  <c r="P79" i="23"/>
  <c r="T79" i="23" s="1"/>
  <c r="R50" i="13"/>
  <c r="O50" i="14"/>
  <c r="J43" i="20"/>
  <c r="J42" i="16"/>
  <c r="O227" i="16"/>
  <c r="O226" i="15"/>
  <c r="O225" i="15" s="1"/>
  <c r="R227" i="15"/>
  <c r="R226" i="15" s="1"/>
  <c r="R225" i="15" s="1"/>
  <c r="O120" i="14"/>
  <c r="O121" i="15"/>
  <c r="R121" i="14"/>
  <c r="R120" i="14" s="1"/>
  <c r="O107" i="14"/>
  <c r="R108" i="14"/>
  <c r="R107" i="14" s="1"/>
  <c r="O108" i="15"/>
  <c r="P154" i="23"/>
  <c r="T154" i="23" s="1"/>
  <c r="T154" i="20"/>
  <c r="I58" i="14"/>
  <c r="J58" i="13"/>
  <c r="P61" i="20"/>
  <c r="R60" i="16"/>
  <c r="J509" i="23"/>
  <c r="K509" i="23" s="1"/>
  <c r="K509" i="20"/>
  <c r="J551" i="23"/>
  <c r="K551" i="23" s="1"/>
  <c r="K551" i="20"/>
  <c r="J85" i="20"/>
  <c r="J83" i="16"/>
  <c r="P165" i="23"/>
  <c r="T165" i="23" s="1"/>
  <c r="T165" i="20"/>
  <c r="P138" i="23"/>
  <c r="T138" i="23" s="1"/>
  <c r="T138" i="20"/>
  <c r="J368" i="23"/>
  <c r="K368" i="23" s="1"/>
  <c r="K368" i="20"/>
  <c r="R90" i="16"/>
  <c r="P92" i="20"/>
  <c r="J401" i="23"/>
  <c r="K401" i="23" s="1"/>
  <c r="K401" i="20"/>
  <c r="P436" i="23"/>
  <c r="T436" i="23" s="1"/>
  <c r="T436" i="20"/>
  <c r="T282" i="20"/>
  <c r="P282" i="23"/>
  <c r="T282" i="23" s="1"/>
  <c r="O179" i="15"/>
  <c r="O178" i="15" s="1"/>
  <c r="O180" i="16"/>
  <c r="R180" i="15"/>
  <c r="R179" i="15" s="1"/>
  <c r="R178" i="15" s="1"/>
  <c r="P519" i="23"/>
  <c r="T519" i="20"/>
  <c r="T515" i="20" s="1"/>
  <c r="P515" i="20"/>
  <c r="J516" i="23"/>
  <c r="K516" i="23" s="1"/>
  <c r="K516" i="20"/>
  <c r="J389" i="23"/>
  <c r="K389" i="23" s="1"/>
  <c r="K389" i="20"/>
  <c r="O58" i="14"/>
  <c r="R58" i="13"/>
  <c r="R53" i="13" s="1"/>
  <c r="R52" i="13" s="1"/>
  <c r="O53" i="13"/>
  <c r="O52" i="13" s="1"/>
  <c r="O255" i="15"/>
  <c r="O256" i="16"/>
  <c r="R256" i="15"/>
  <c r="R255" i="15" s="1"/>
  <c r="J539" i="23"/>
  <c r="K539" i="23" s="1"/>
  <c r="K539" i="20"/>
  <c r="P156" i="23"/>
  <c r="T156" i="23" s="1"/>
  <c r="T156" i="20"/>
  <c r="J455" i="23"/>
  <c r="K455" i="23" s="1"/>
  <c r="K455" i="20"/>
  <c r="J90" i="20"/>
  <c r="J88" i="16"/>
  <c r="J443" i="23"/>
  <c r="K443" i="23" s="1"/>
  <c r="K443" i="20"/>
  <c r="P32" i="20"/>
  <c r="R31" i="16"/>
  <c r="J474" i="23"/>
  <c r="K474" i="23" s="1"/>
  <c r="K474" i="20"/>
  <c r="J413" i="23"/>
  <c r="K413" i="23" s="1"/>
  <c r="K413" i="20"/>
  <c r="I40" i="15"/>
  <c r="J40" i="14"/>
  <c r="J354" i="23"/>
  <c r="K354" i="23" s="1"/>
  <c r="K354" i="20"/>
  <c r="J508" i="23"/>
  <c r="K508" i="23" s="1"/>
  <c r="K508" i="20"/>
  <c r="T591" i="20"/>
  <c r="P591" i="23"/>
  <c r="T591" i="23" s="1"/>
  <c r="R32" i="13"/>
  <c r="R30" i="13" s="1"/>
  <c r="O32" i="14"/>
  <c r="O30" i="13"/>
  <c r="J352" i="23"/>
  <c r="K352" i="23" s="1"/>
  <c r="K352" i="20"/>
  <c r="J481" i="23"/>
  <c r="K481" i="23" s="1"/>
  <c r="K481" i="20"/>
  <c r="J396" i="23"/>
  <c r="K396" i="23" s="1"/>
  <c r="K396" i="20"/>
  <c r="J469" i="23"/>
  <c r="K469" i="23" s="1"/>
  <c r="K469" i="20"/>
  <c r="J324" i="23"/>
  <c r="K324" i="23" s="1"/>
  <c r="K324" i="20"/>
  <c r="J553" i="23"/>
  <c r="K553" i="23" s="1"/>
  <c r="K553" i="20"/>
  <c r="J366" i="23"/>
  <c r="K366" i="23" s="1"/>
  <c r="K366" i="20"/>
  <c r="R118" i="15"/>
  <c r="O118" i="16"/>
  <c r="J476" i="23"/>
  <c r="K476" i="23" s="1"/>
  <c r="K476" i="20"/>
  <c r="J89" i="20"/>
  <c r="J87" i="16"/>
  <c r="I60" i="16"/>
  <c r="J60" i="15"/>
  <c r="J447" i="23"/>
  <c r="K447" i="23" s="1"/>
  <c r="K447" i="20"/>
  <c r="I39" i="15"/>
  <c r="J39" i="14"/>
  <c r="R38" i="13"/>
  <c r="O38" i="14"/>
  <c r="J487" i="23"/>
  <c r="K487" i="23" s="1"/>
  <c r="K487" i="20"/>
  <c r="T65" i="20"/>
  <c r="P65" i="23"/>
  <c r="R178" i="14"/>
  <c r="O72" i="16"/>
  <c r="R72" i="15"/>
  <c r="J304" i="23"/>
  <c r="K304" i="23" s="1"/>
  <c r="K304" i="20"/>
  <c r="J394" i="23"/>
  <c r="K394" i="23" s="1"/>
  <c r="K394" i="20"/>
  <c r="P192" i="23"/>
  <c r="T192" i="23" s="1"/>
  <c r="T192" i="20"/>
  <c r="J421" i="23"/>
  <c r="K421" i="23" s="1"/>
  <c r="K421" i="20"/>
  <c r="O156" i="15"/>
  <c r="R157" i="15"/>
  <c r="R156" i="15" s="1"/>
  <c r="O157" i="16"/>
  <c r="T393" i="20"/>
  <c r="P393" i="23"/>
  <c r="T393" i="23" s="1"/>
  <c r="J398" i="23"/>
  <c r="K398" i="23" s="1"/>
  <c r="K398" i="20"/>
  <c r="P310" i="20"/>
  <c r="T311" i="20"/>
  <c r="T310" i="20" s="1"/>
  <c r="P311" i="23"/>
  <c r="J390" i="23"/>
  <c r="K390" i="23" s="1"/>
  <c r="K390" i="20"/>
  <c r="T244" i="23"/>
  <c r="J382" i="23"/>
  <c r="K382" i="23" s="1"/>
  <c r="K382" i="20"/>
  <c r="J524" i="23"/>
  <c r="K524" i="23" s="1"/>
  <c r="K524" i="20"/>
  <c r="J482" i="23"/>
  <c r="K482" i="23" s="1"/>
  <c r="K482" i="20"/>
  <c r="I117" i="16"/>
  <c r="J117" i="15"/>
  <c r="T249" i="20"/>
  <c r="T243" i="20" s="1"/>
  <c r="P249" i="23"/>
  <c r="T249" i="23" s="1"/>
  <c r="J533" i="23"/>
  <c r="K533" i="23" s="1"/>
  <c r="K533" i="20"/>
  <c r="P152" i="20"/>
  <c r="O148" i="16"/>
  <c r="O139" i="16" s="1"/>
  <c r="R149" i="16"/>
  <c r="R148" i="16" s="1"/>
  <c r="J408" i="23"/>
  <c r="K408" i="23" s="1"/>
  <c r="K408" i="20"/>
  <c r="J296" i="23"/>
  <c r="K296" i="23" s="1"/>
  <c r="K296" i="20"/>
  <c r="J520" i="23"/>
  <c r="K520" i="23" s="1"/>
  <c r="K520" i="20"/>
  <c r="J472" i="23"/>
  <c r="K472" i="23" s="1"/>
  <c r="K472" i="20"/>
  <c r="J521" i="23"/>
  <c r="K521" i="23" s="1"/>
  <c r="K521" i="20"/>
  <c r="J537" i="23"/>
  <c r="K537" i="23" s="1"/>
  <c r="K537" i="20"/>
  <c r="J374" i="23"/>
  <c r="K374" i="23" s="1"/>
  <c r="K374" i="20"/>
  <c r="J47" i="23"/>
  <c r="K47" i="23" s="1"/>
  <c r="K47" i="20"/>
  <c r="J328" i="23"/>
  <c r="K328" i="23" s="1"/>
  <c r="K328" i="20"/>
  <c r="J48" i="23"/>
  <c r="K48" i="23" s="1"/>
  <c r="K48" i="20"/>
  <c r="T345" i="20"/>
  <c r="P345" i="23"/>
  <c r="T345" i="23" s="1"/>
  <c r="J70" i="20"/>
  <c r="J69" i="16"/>
  <c r="I36" i="15"/>
  <c r="J36" i="14"/>
  <c r="J471" i="23"/>
  <c r="K471" i="23" s="1"/>
  <c r="K471" i="20"/>
  <c r="T101" i="20"/>
  <c r="P101" i="23"/>
  <c r="T101" i="23" s="1"/>
  <c r="R184" i="16"/>
  <c r="P187" i="20"/>
  <c r="P482" i="20"/>
  <c r="R475" i="16"/>
  <c r="R474" i="16" s="1"/>
  <c r="O474" i="16"/>
  <c r="P114" i="20"/>
  <c r="R112" i="16"/>
  <c r="T45" i="23"/>
  <c r="J433" i="23"/>
  <c r="K433" i="23" s="1"/>
  <c r="K433" i="20"/>
  <c r="J350" i="23"/>
  <c r="K350" i="23" s="1"/>
  <c r="K350" i="20"/>
  <c r="J372" i="23"/>
  <c r="K372" i="23" s="1"/>
  <c r="K372" i="20"/>
  <c r="J506" i="23"/>
  <c r="K506" i="23" s="1"/>
  <c r="K506" i="20"/>
  <c r="O178" i="14"/>
  <c r="J565" i="23"/>
  <c r="K565" i="23" s="1"/>
  <c r="K565" i="20"/>
  <c r="J55" i="23"/>
  <c r="K55" i="23" s="1"/>
  <c r="K55" i="20"/>
  <c r="T19" i="7"/>
  <c r="T20" i="7" s="1"/>
  <c r="T21" i="7" s="1"/>
  <c r="P21" i="9"/>
  <c r="P336" i="23"/>
  <c r="T336" i="23" s="1"/>
  <c r="T336" i="20"/>
  <c r="J470" i="23"/>
  <c r="K470" i="23" s="1"/>
  <c r="K470" i="20"/>
  <c r="I33" i="15"/>
  <c r="J33" i="14"/>
  <c r="J451" i="23"/>
  <c r="K451" i="23" s="1"/>
  <c r="K451" i="20"/>
  <c r="J503" i="23"/>
  <c r="K503" i="23" s="1"/>
  <c r="K503" i="20"/>
  <c r="J126" i="23"/>
  <c r="K126" i="23" s="1"/>
  <c r="K126" i="20"/>
  <c r="J505" i="23"/>
  <c r="K505" i="23" s="1"/>
  <c r="K505" i="20"/>
  <c r="J483" i="23"/>
  <c r="K483" i="23" s="1"/>
  <c r="K483" i="20"/>
  <c r="J525" i="23"/>
  <c r="K525" i="23" s="1"/>
  <c r="K525" i="20"/>
  <c r="J280" i="23"/>
  <c r="K280" i="23" s="1"/>
  <c r="K280" i="20"/>
  <c r="J46" i="20"/>
  <c r="J45" i="16"/>
  <c r="E605" i="7"/>
  <c r="E606" i="7" s="1"/>
  <c r="D599" i="7"/>
  <c r="J385" i="23"/>
  <c r="K385" i="23" s="1"/>
  <c r="K385" i="20"/>
  <c r="J497" i="23"/>
  <c r="K497" i="23" s="1"/>
  <c r="K497" i="20"/>
  <c r="R86" i="16"/>
  <c r="P88" i="20"/>
  <c r="J392" i="23"/>
  <c r="K392" i="23" s="1"/>
  <c r="K392" i="20"/>
  <c r="O552" i="16"/>
  <c r="P560" i="20"/>
  <c r="R553" i="16"/>
  <c r="R552" i="16" s="1"/>
  <c r="I78" i="16"/>
  <c r="J78" i="15"/>
  <c r="J264" i="23"/>
  <c r="K264" i="23" s="1"/>
  <c r="K264" i="20"/>
  <c r="J272" i="23"/>
  <c r="K272" i="23" s="1"/>
  <c r="K272" i="20"/>
  <c r="I77" i="13"/>
  <c r="J77" i="10"/>
  <c r="R117" i="15"/>
  <c r="O117" i="16"/>
  <c r="J358" i="23"/>
  <c r="K358" i="23" s="1"/>
  <c r="K358" i="20"/>
  <c r="T587" i="20"/>
  <c r="P587" i="23"/>
  <c r="T587" i="23" s="1"/>
  <c r="J384" i="23"/>
  <c r="K384" i="23" s="1"/>
  <c r="K384" i="20"/>
  <c r="R56" i="14"/>
  <c r="O56" i="15"/>
  <c r="J300" i="23"/>
  <c r="K300" i="23" s="1"/>
  <c r="K300" i="20"/>
  <c r="P321" i="23"/>
  <c r="T321" i="20"/>
  <c r="R51" i="14"/>
  <c r="O51" i="15"/>
  <c r="J437" i="23"/>
  <c r="K437" i="23" s="1"/>
  <c r="K437" i="20"/>
  <c r="J422" i="23"/>
  <c r="K422" i="23" s="1"/>
  <c r="K422" i="20"/>
  <c r="T117" i="20"/>
  <c r="P117" i="23"/>
  <c r="T117" i="23" s="1"/>
  <c r="J511" i="23"/>
  <c r="K511" i="23" s="1"/>
  <c r="K511" i="20"/>
  <c r="J414" i="23"/>
  <c r="K414" i="23" s="1"/>
  <c r="K414" i="20"/>
  <c r="J501" i="23"/>
  <c r="K501" i="23" s="1"/>
  <c r="K501" i="20"/>
  <c r="J308" i="23"/>
  <c r="K308" i="23" s="1"/>
  <c r="K308" i="20"/>
  <c r="O105" i="16"/>
  <c r="R105" i="15"/>
  <c r="O165" i="15"/>
  <c r="R166" i="15"/>
  <c r="R165" i="15" s="1"/>
  <c r="O166" i="16"/>
  <c r="P333" i="23"/>
  <c r="T333" i="20"/>
  <c r="O520" i="16"/>
  <c r="O507" i="16" s="1"/>
  <c r="P528" i="20"/>
  <c r="R521" i="16"/>
  <c r="R520" i="16" s="1"/>
  <c r="R507" i="16" s="1"/>
  <c r="J65" i="23"/>
  <c r="K65" i="23" s="1"/>
  <c r="K65" i="20"/>
  <c r="J332" i="23"/>
  <c r="K332" i="23" s="1"/>
  <c r="K332" i="20"/>
  <c r="T305" i="20"/>
  <c r="P305" i="23"/>
  <c r="T305" i="23" s="1"/>
  <c r="T72" i="20"/>
  <c r="P72" i="23"/>
  <c r="T72" i="23" s="1"/>
  <c r="J510" i="23"/>
  <c r="K510" i="23" s="1"/>
  <c r="K510" i="20"/>
  <c r="J340" i="23"/>
  <c r="K340" i="23" s="1"/>
  <c r="K340" i="20"/>
  <c r="J535" i="23"/>
  <c r="K535" i="23" s="1"/>
  <c r="K535" i="20"/>
  <c r="J429" i="23"/>
  <c r="K429" i="23" s="1"/>
  <c r="K429" i="20"/>
  <c r="J494" i="23"/>
  <c r="K494" i="23" s="1"/>
  <c r="K494" i="20"/>
  <c r="I32" i="15"/>
  <c r="J32" i="14"/>
  <c r="P74" i="20"/>
  <c r="R73" i="16"/>
  <c r="J348" i="23"/>
  <c r="K348" i="23" s="1"/>
  <c r="K348" i="20"/>
  <c r="J320" i="23"/>
  <c r="K320" i="23" s="1"/>
  <c r="K320" i="20"/>
  <c r="R41" i="15"/>
  <c r="O41" i="16"/>
  <c r="P105" i="23"/>
  <c r="T105" i="23" s="1"/>
  <c r="T105" i="20"/>
  <c r="O185" i="26"/>
  <c r="P184" i="26"/>
  <c r="J485" i="23"/>
  <c r="K485" i="23" s="1"/>
  <c r="K485" i="20"/>
  <c r="J330" i="23"/>
  <c r="K330" i="23" s="1"/>
  <c r="K330" i="20"/>
  <c r="O554" i="16"/>
  <c r="P562" i="20"/>
  <c r="R555" i="16"/>
  <c r="R554" i="16" s="1"/>
  <c r="J495" i="23"/>
  <c r="K495" i="23" s="1"/>
  <c r="K495" i="20"/>
  <c r="O183" i="26"/>
  <c r="P182" i="26"/>
  <c r="J541" i="23"/>
  <c r="K541" i="23" s="1"/>
  <c r="K541" i="20"/>
  <c r="J404" i="23"/>
  <c r="K404" i="23" s="1"/>
  <c r="K404" i="20"/>
  <c r="O70" i="15"/>
  <c r="R70" i="14"/>
  <c r="T76" i="20"/>
  <c r="P76" i="23"/>
  <c r="T76" i="23" s="1"/>
  <c r="J342" i="23"/>
  <c r="K342" i="23" s="1"/>
  <c r="K342" i="20"/>
  <c r="J356" i="23"/>
  <c r="K356" i="23" s="1"/>
  <c r="K356" i="20"/>
  <c r="R155" i="14"/>
  <c r="T234" i="20"/>
  <c r="P234" i="23"/>
  <c r="T234" i="23" s="1"/>
  <c r="J94" i="20"/>
  <c r="J92" i="16"/>
  <c r="O223" i="16"/>
  <c r="O222" i="15"/>
  <c r="R223" i="15"/>
  <c r="R222" i="15" s="1"/>
  <c r="T300" i="23"/>
  <c r="P302" i="20"/>
  <c r="R299" i="16"/>
  <c r="R296" i="16" s="1"/>
  <c r="O296" i="16"/>
  <c r="J393" i="23"/>
  <c r="K393" i="23" s="1"/>
  <c r="K393" i="20"/>
  <c r="J376" i="23"/>
  <c r="K376" i="23" s="1"/>
  <c r="K376" i="20"/>
  <c r="J513" i="23"/>
  <c r="K513" i="23" s="1"/>
  <c r="K513" i="20"/>
  <c r="J397" i="23"/>
  <c r="K397" i="23" s="1"/>
  <c r="K397" i="20"/>
  <c r="O39" i="16"/>
  <c r="R39" i="15"/>
  <c r="J435" i="23"/>
  <c r="K435" i="23" s="1"/>
  <c r="K435" i="20"/>
  <c r="I118" i="16"/>
  <c r="J118" i="15"/>
  <c r="J268" i="23"/>
  <c r="K268" i="23" s="1"/>
  <c r="K268" i="20"/>
  <c r="P540" i="23"/>
  <c r="T540" i="23" s="1"/>
  <c r="T540" i="20"/>
  <c r="J549" i="23"/>
  <c r="K549" i="23" s="1"/>
  <c r="K549" i="20"/>
  <c r="J445" i="23"/>
  <c r="K445" i="23" s="1"/>
  <c r="K445" i="20"/>
  <c r="I50" i="14"/>
  <c r="J50" i="13"/>
  <c r="J410" i="23"/>
  <c r="K410" i="23" s="1"/>
  <c r="K410" i="20"/>
  <c r="P262" i="20"/>
  <c r="R259" i="16"/>
  <c r="J86" i="23"/>
  <c r="K86" i="23" s="1"/>
  <c r="K86" i="20"/>
  <c r="J288" i="23"/>
  <c r="K288" i="23" s="1"/>
  <c r="K288" i="20"/>
  <c r="R208" i="16"/>
  <c r="P211" i="20"/>
  <c r="J346" i="23"/>
  <c r="K346" i="23" s="1"/>
  <c r="K346" i="20"/>
  <c r="P94" i="23"/>
  <c r="T94" i="23" s="1"/>
  <c r="T94" i="20"/>
  <c r="J49" i="23"/>
  <c r="K49" i="23" s="1"/>
  <c r="K49" i="20"/>
  <c r="P75" i="20"/>
  <c r="R74" i="16"/>
  <c r="R54" i="15"/>
  <c r="O54" i="16"/>
  <c r="P253" i="23"/>
  <c r="T253" i="23" s="1"/>
  <c r="T253" i="20"/>
  <c r="J402" i="23"/>
  <c r="K402" i="23" s="1"/>
  <c r="K402" i="20"/>
  <c r="R59" i="15"/>
  <c r="O59" i="16"/>
  <c r="J457" i="23"/>
  <c r="K457" i="23" s="1"/>
  <c r="K457" i="20"/>
  <c r="J491" i="23"/>
  <c r="K491" i="23" s="1"/>
  <c r="K491" i="20"/>
  <c r="P291" i="23"/>
  <c r="T291" i="23" s="1"/>
  <c r="T291" i="20"/>
  <c r="J292" i="23"/>
  <c r="K292" i="23" s="1"/>
  <c r="K292" i="20"/>
  <c r="J493" i="23"/>
  <c r="K493" i="23" s="1"/>
  <c r="K493" i="20"/>
  <c r="J388" i="23"/>
  <c r="K388" i="23" s="1"/>
  <c r="K388" i="20"/>
  <c r="J498" i="23"/>
  <c r="K498" i="23" s="1"/>
  <c r="K498" i="20"/>
  <c r="R136" i="16"/>
  <c r="P139" i="20"/>
  <c r="J316" i="23"/>
  <c r="K316" i="23" s="1"/>
  <c r="K316" i="20"/>
  <c r="J386" i="23"/>
  <c r="K386" i="23" s="1"/>
  <c r="K386" i="20"/>
  <c r="O395" i="15"/>
  <c r="R396" i="15"/>
  <c r="R395" i="15" s="1"/>
  <c r="O396" i="16"/>
  <c r="J515" i="23"/>
  <c r="K515" i="23" s="1"/>
  <c r="K515" i="20"/>
  <c r="J475" i="23"/>
  <c r="K475" i="23" s="1"/>
  <c r="K475" i="20"/>
  <c r="J400" i="23"/>
  <c r="K400" i="23" s="1"/>
  <c r="K400" i="20"/>
  <c r="J334" i="23"/>
  <c r="K334" i="23" s="1"/>
  <c r="K334" i="20"/>
  <c r="O566" i="16"/>
  <c r="P574" i="20"/>
  <c r="R567" i="16"/>
  <c r="R566" i="16" s="1"/>
  <c r="P219" i="23"/>
  <c r="P218" i="20"/>
  <c r="T219" i="20"/>
  <c r="T218" i="20" s="1"/>
  <c r="O35" i="13"/>
  <c r="O36" i="14"/>
  <c r="R36" i="13"/>
  <c r="D756" i="23"/>
  <c r="K748" i="20"/>
  <c r="K758" i="20" s="1"/>
  <c r="D758" i="20"/>
  <c r="J543" i="23"/>
  <c r="K543" i="23" s="1"/>
  <c r="K543" i="20"/>
  <c r="J517" i="23"/>
  <c r="K517" i="23" s="1"/>
  <c r="K517" i="20"/>
  <c r="J338" i="23"/>
  <c r="K338" i="23" s="1"/>
  <c r="K338" i="20"/>
  <c r="P586" i="20"/>
  <c r="R579" i="16"/>
  <c r="R87" i="16"/>
  <c r="P89" i="20"/>
  <c r="T579" i="20"/>
  <c r="P579" i="23"/>
  <c r="T579" i="23" s="1"/>
  <c r="J431" i="23"/>
  <c r="K431" i="23" s="1"/>
  <c r="K431" i="20"/>
  <c r="J427" i="23"/>
  <c r="K427" i="23" s="1"/>
  <c r="K427" i="20"/>
  <c r="J519" i="23"/>
  <c r="K519" i="23" s="1"/>
  <c r="K519" i="20"/>
  <c r="J523" i="23"/>
  <c r="K523" i="23" s="1"/>
  <c r="K523" i="20"/>
  <c r="O132" i="16"/>
  <c r="O131" i="15"/>
  <c r="R132" i="15"/>
  <c r="R131" i="15" s="1"/>
  <c r="J336" i="23"/>
  <c r="K336" i="23" s="1"/>
  <c r="K336" i="20"/>
  <c r="I38" i="14"/>
  <c r="J38" i="13"/>
  <c r="R85" i="16"/>
  <c r="P87" i="20"/>
  <c r="P184" i="23"/>
  <c r="T184" i="23" s="1"/>
  <c r="T184" i="20"/>
  <c r="I122" i="16"/>
  <c r="J122" i="15"/>
  <c r="I96" i="16"/>
  <c r="J96" i="15"/>
  <c r="T446" i="20"/>
  <c r="P446" i="23"/>
  <c r="T446" i="23" s="1"/>
  <c r="J569" i="23"/>
  <c r="K569" i="23" s="1"/>
  <c r="K569" i="20"/>
  <c r="P463" i="23"/>
  <c r="T463" i="23" s="1"/>
  <c r="T463" i="20"/>
  <c r="J74" i="20"/>
  <c r="J73" i="16"/>
  <c r="I41" i="15"/>
  <c r="J41" i="14"/>
  <c r="J441" i="23"/>
  <c r="K441" i="23" s="1"/>
  <c r="K441" i="20"/>
  <c r="J76" i="20"/>
  <c r="J75" i="16"/>
  <c r="J449" i="23"/>
  <c r="K449" i="23" s="1"/>
  <c r="K449" i="20"/>
  <c r="J490" i="23"/>
  <c r="K490" i="23" s="1"/>
  <c r="K490" i="20"/>
  <c r="J276" i="23"/>
  <c r="K276" i="23" s="1"/>
  <c r="K276" i="20"/>
  <c r="J418" i="23"/>
  <c r="K418" i="23" s="1"/>
  <c r="K418" i="20"/>
  <c r="P290" i="23"/>
  <c r="T290" i="23" s="1"/>
  <c r="T290" i="20"/>
  <c r="J514" i="23"/>
  <c r="K514" i="23" s="1"/>
  <c r="K514" i="20"/>
  <c r="J415" i="23"/>
  <c r="K415" i="23" s="1"/>
  <c r="K415" i="20"/>
  <c r="P460" i="23"/>
  <c r="T460" i="23" s="1"/>
  <c r="T460" i="20"/>
  <c r="I108" i="16"/>
  <c r="J108" i="15"/>
  <c r="I105" i="16"/>
  <c r="J105" i="15"/>
  <c r="J434" i="23"/>
  <c r="K434" i="23" s="1"/>
  <c r="K434" i="20"/>
  <c r="P594" i="23"/>
  <c r="T594" i="23" s="1"/>
  <c r="T594" i="20"/>
  <c r="J77" i="20"/>
  <c r="J76" i="16"/>
  <c r="T583" i="20"/>
  <c r="P583" i="23"/>
  <c r="T583" i="23" s="1"/>
  <c r="J405" i="23"/>
  <c r="K405" i="23" s="1"/>
  <c r="K405" i="20"/>
  <c r="P495" i="20"/>
  <c r="O487" i="16"/>
  <c r="R488" i="16"/>
  <c r="R487" i="16" s="1"/>
  <c r="O331" i="16"/>
  <c r="R331" i="15"/>
  <c r="R329" i="15" s="1"/>
  <c r="O329" i="15"/>
  <c r="P199" i="23"/>
  <c r="T199" i="23" s="1"/>
  <c r="T199" i="20"/>
  <c r="P173" i="23"/>
  <c r="T174" i="23"/>
  <c r="T173" i="23" s="1"/>
  <c r="O80" i="16"/>
  <c r="O79" i="15"/>
  <c r="R80" i="15"/>
  <c r="R79" i="15" s="1"/>
  <c r="N94" i="14"/>
  <c r="N591" i="14" s="1"/>
  <c r="R139" i="16"/>
  <c r="J547" i="23"/>
  <c r="K547" i="23" s="1"/>
  <c r="K547" i="20"/>
  <c r="O339" i="16"/>
  <c r="R339" i="15"/>
  <c r="R337" i="15" s="1"/>
  <c r="O337" i="15"/>
  <c r="J507" i="23"/>
  <c r="K507" i="23" s="1"/>
  <c r="K507" i="20"/>
  <c r="J557" i="23"/>
  <c r="K557" i="23" s="1"/>
  <c r="K557" i="20"/>
  <c r="P447" i="23"/>
  <c r="T447" i="23" s="1"/>
  <c r="T447" i="20"/>
  <c r="T118" i="20"/>
  <c r="P118" i="23"/>
  <c r="T118" i="23" s="1"/>
  <c r="J378" i="23"/>
  <c r="K378" i="23" s="1"/>
  <c r="K378" i="20"/>
  <c r="R40" i="14"/>
  <c r="O40" i="15"/>
  <c r="R33" i="14"/>
  <c r="O33" i="15"/>
  <c r="J555" i="23"/>
  <c r="K555" i="23" s="1"/>
  <c r="K555" i="20"/>
  <c r="T227" i="20"/>
  <c r="P227" i="23"/>
  <c r="T227" i="23" s="1"/>
  <c r="J499" i="23"/>
  <c r="K499" i="23" s="1"/>
  <c r="K499" i="20"/>
  <c r="J72" i="20"/>
  <c r="J71" i="16"/>
  <c r="J502" i="23"/>
  <c r="K502" i="23" s="1"/>
  <c r="K502" i="20"/>
  <c r="R49" i="10"/>
  <c r="R43" i="10" s="1"/>
  <c r="R27" i="10" s="1"/>
  <c r="O49" i="13"/>
  <c r="O43" i="10"/>
  <c r="O27" i="10" s="1"/>
  <c r="J425" i="23"/>
  <c r="K425" i="23" s="1"/>
  <c r="K425" i="20"/>
  <c r="O175" i="16"/>
  <c r="R176" i="16"/>
  <c r="R175" i="16" s="1"/>
  <c r="P179" i="20"/>
  <c r="J411" i="23"/>
  <c r="K411" i="23" s="1"/>
  <c r="K411" i="20"/>
  <c r="J430" i="23"/>
  <c r="K430" i="23" s="1"/>
  <c r="K430" i="20"/>
  <c r="P319" i="20"/>
  <c r="O315" i="16"/>
  <c r="R316" i="16"/>
  <c r="R315" i="16" s="1"/>
  <c r="J561" i="23"/>
  <c r="K561" i="23" s="1"/>
  <c r="K561" i="20"/>
  <c r="J486" i="23"/>
  <c r="K486" i="23" s="1"/>
  <c r="K486" i="20"/>
  <c r="O407" i="16"/>
  <c r="O406" i="15"/>
  <c r="R407" i="15"/>
  <c r="R406" i="15" s="1"/>
  <c r="J91" i="20"/>
  <c r="J89" i="16"/>
  <c r="J504" i="23"/>
  <c r="K504" i="23" s="1"/>
  <c r="K504" i="20"/>
  <c r="R328" i="14"/>
  <c r="R375" i="16"/>
  <c r="P378" i="20"/>
  <c r="I59" i="16"/>
  <c r="J59" i="15"/>
  <c r="J364" i="23"/>
  <c r="K364" i="23" s="1"/>
  <c r="K364" i="20"/>
  <c r="O95" i="14"/>
  <c r="O94" i="14" s="1"/>
  <c r="R96" i="14"/>
  <c r="R95" i="14" s="1"/>
  <c r="R94" i="14" s="1"/>
  <c r="O96" i="15"/>
  <c r="I70" i="16"/>
  <c r="J70" i="15"/>
  <c r="J284" i="23"/>
  <c r="K284" i="23" s="1"/>
  <c r="K284" i="20"/>
  <c r="P143" i="20"/>
  <c r="P144" i="23"/>
  <c r="T144" i="20"/>
  <c r="T143" i="20" s="1"/>
  <c r="J453" i="23"/>
  <c r="K453" i="23" s="1"/>
  <c r="K453" i="20"/>
  <c r="J92" i="20"/>
  <c r="J90" i="16"/>
  <c r="O69" i="16"/>
  <c r="R69" i="15"/>
  <c r="J75" i="20"/>
  <c r="J74" i="16"/>
  <c r="T341" i="20"/>
  <c r="P341" i="23"/>
  <c r="J417" i="23"/>
  <c r="K417" i="23" s="1"/>
  <c r="K417" i="20"/>
  <c r="O592" i="10" l="1"/>
  <c r="T574" i="20"/>
  <c r="P573" i="20"/>
  <c r="P574" i="23"/>
  <c r="P70" i="20"/>
  <c r="R69" i="16"/>
  <c r="O95" i="15"/>
  <c r="R96" i="15"/>
  <c r="R95" i="15" s="1"/>
  <c r="O96" i="16"/>
  <c r="O255" i="16"/>
  <c r="R256" i="16"/>
  <c r="R255" i="16" s="1"/>
  <c r="P259" i="20"/>
  <c r="O120" i="15"/>
  <c r="R121" i="15"/>
  <c r="R120" i="15" s="1"/>
  <c r="O121" i="16"/>
  <c r="J73" i="20"/>
  <c r="J72" i="16"/>
  <c r="J91" i="23"/>
  <c r="K91" i="23" s="1"/>
  <c r="K91" i="20"/>
  <c r="P218" i="23"/>
  <c r="T219" i="23"/>
  <c r="T218" i="23" s="1"/>
  <c r="P60" i="20"/>
  <c r="R59" i="16"/>
  <c r="T262" i="20"/>
  <c r="P262" i="23"/>
  <c r="T262" i="23" s="1"/>
  <c r="J94" i="23"/>
  <c r="K94" i="23" s="1"/>
  <c r="K94" i="20"/>
  <c r="J70" i="23"/>
  <c r="K70" i="23" s="1"/>
  <c r="K70" i="20"/>
  <c r="O179" i="16"/>
  <c r="O178" i="16" s="1"/>
  <c r="P183" i="20"/>
  <c r="R180" i="16"/>
  <c r="R179" i="16" s="1"/>
  <c r="P61" i="23"/>
  <c r="T61" i="23" s="1"/>
  <c r="T61" i="20"/>
  <c r="I49" i="15"/>
  <c r="J49" i="14"/>
  <c r="J123" i="20"/>
  <c r="J121" i="16"/>
  <c r="J72" i="23"/>
  <c r="K72" i="23" s="1"/>
  <c r="K72" i="20"/>
  <c r="J120" i="20"/>
  <c r="J118" i="16"/>
  <c r="R40" i="15"/>
  <c r="O40" i="16"/>
  <c r="P87" i="23"/>
  <c r="T87" i="23" s="1"/>
  <c r="T87" i="20"/>
  <c r="O70" i="16"/>
  <c r="R70" i="15"/>
  <c r="I33" i="16"/>
  <c r="J33" i="15"/>
  <c r="T114" i="20"/>
  <c r="P114" i="23"/>
  <c r="T114" i="23" s="1"/>
  <c r="J92" i="23"/>
  <c r="K92" i="23" s="1"/>
  <c r="K92" i="20"/>
  <c r="J77" i="23"/>
  <c r="K77" i="23" s="1"/>
  <c r="K77" i="20"/>
  <c r="O395" i="16"/>
  <c r="P399" i="20"/>
  <c r="R396" i="16"/>
  <c r="R395" i="16" s="1"/>
  <c r="P528" i="23"/>
  <c r="P527" i="20"/>
  <c r="T528" i="20"/>
  <c r="T527" i="20" s="1"/>
  <c r="R51" i="15"/>
  <c r="O51" i="16"/>
  <c r="O38" i="15"/>
  <c r="R38" i="14"/>
  <c r="R118" i="16"/>
  <c r="P120" i="20"/>
  <c r="P124" i="20"/>
  <c r="R122" i="16"/>
  <c r="T370" i="20"/>
  <c r="P370" i="23"/>
  <c r="T370" i="23" s="1"/>
  <c r="J79" i="20"/>
  <c r="J78" i="16"/>
  <c r="P481" i="20"/>
  <c r="T482" i="20"/>
  <c r="T481" i="20" s="1"/>
  <c r="P482" i="23"/>
  <c r="I58" i="15"/>
  <c r="J58" i="14"/>
  <c r="P209" i="20"/>
  <c r="O205" i="16"/>
  <c r="R206" i="16"/>
  <c r="R205" i="16" s="1"/>
  <c r="P187" i="23"/>
  <c r="T187" i="23" s="1"/>
  <c r="T187" i="20"/>
  <c r="P152" i="23"/>
  <c r="P151" i="20"/>
  <c r="T152" i="20"/>
  <c r="T151" i="20" s="1"/>
  <c r="I40" i="16"/>
  <c r="J40" i="15"/>
  <c r="J90" i="23"/>
  <c r="K90" i="23" s="1"/>
  <c r="K90" i="20"/>
  <c r="R58" i="14"/>
  <c r="R53" i="14" s="1"/>
  <c r="R52" i="14" s="1"/>
  <c r="O58" i="15"/>
  <c r="O226" i="16"/>
  <c r="P230" i="20"/>
  <c r="R227" i="16"/>
  <c r="R226" i="16" s="1"/>
  <c r="R225" i="16" s="1"/>
  <c r="J87" i="23"/>
  <c r="K87" i="23" s="1"/>
  <c r="K87" i="20"/>
  <c r="R481" i="16"/>
  <c r="O481" i="16"/>
  <c r="P29" i="23"/>
  <c r="T30" i="23"/>
  <c r="T29" i="23" s="1"/>
  <c r="P342" i="20"/>
  <c r="R339" i="16"/>
  <c r="R337" i="16" s="1"/>
  <c r="O337" i="16"/>
  <c r="P74" i="23"/>
  <c r="T74" i="23" s="1"/>
  <c r="T74" i="20"/>
  <c r="P185" i="26"/>
  <c r="Q185" i="26" s="1"/>
  <c r="R185" i="26" s="1"/>
  <c r="S185" i="26" s="1"/>
  <c r="T185" i="26" s="1"/>
  <c r="U185" i="26" s="1"/>
  <c r="Q184" i="26"/>
  <c r="R184" i="26" s="1"/>
  <c r="S184" i="26" s="1"/>
  <c r="T184" i="26" s="1"/>
  <c r="U184" i="26" s="1"/>
  <c r="I39" i="16"/>
  <c r="J39" i="15"/>
  <c r="I51" i="16"/>
  <c r="J51" i="15"/>
  <c r="P143" i="23"/>
  <c r="T144" i="23"/>
  <c r="T143" i="23" s="1"/>
  <c r="J60" i="20"/>
  <c r="J59" i="16"/>
  <c r="T211" i="20"/>
  <c r="P211" i="23"/>
  <c r="T211" i="23" s="1"/>
  <c r="P302" i="23"/>
  <c r="T302" i="20"/>
  <c r="T299" i="20" s="1"/>
  <c r="P299" i="20"/>
  <c r="P183" i="26"/>
  <c r="Q182" i="26"/>
  <c r="I32" i="16"/>
  <c r="J32" i="15"/>
  <c r="T333" i="23"/>
  <c r="T321" i="23"/>
  <c r="T243" i="23"/>
  <c r="J43" i="23"/>
  <c r="K43" i="23" s="1"/>
  <c r="K43" i="20"/>
  <c r="O77" i="13"/>
  <c r="R77" i="10"/>
  <c r="R63" i="10" s="1"/>
  <c r="R62" i="10" s="1"/>
  <c r="R592" i="10" s="1"/>
  <c r="P22" i="10" s="1"/>
  <c r="O63" i="10"/>
  <c r="O62" i="10" s="1"/>
  <c r="P490" i="23"/>
  <c r="T490" i="20"/>
  <c r="T489" i="20" s="1"/>
  <c r="P489" i="20"/>
  <c r="E607" i="7"/>
  <c r="E608" i="7"/>
  <c r="D600" i="7" s="1"/>
  <c r="O600" i="7" s="1"/>
  <c r="T142" i="20"/>
  <c r="T89" i="20"/>
  <c r="P89" i="23"/>
  <c r="T89" i="23" s="1"/>
  <c r="P55" i="20"/>
  <c r="R54" i="16"/>
  <c r="P243" i="23"/>
  <c r="O156" i="16"/>
  <c r="P160" i="20"/>
  <c r="R157" i="16"/>
  <c r="R156" i="16" s="1"/>
  <c r="R32" i="14"/>
  <c r="R30" i="14" s="1"/>
  <c r="O32" i="15"/>
  <c r="O30" i="14"/>
  <c r="O50" i="15"/>
  <c r="R50" i="14"/>
  <c r="P91" i="23"/>
  <c r="T91" i="23" s="1"/>
  <c r="T91" i="20"/>
  <c r="T341" i="23"/>
  <c r="P334" i="20"/>
  <c r="R331" i="16"/>
  <c r="R329" i="16" s="1"/>
  <c r="O329" i="16"/>
  <c r="O328" i="16" s="1"/>
  <c r="T19" i="9"/>
  <c r="T20" i="9" s="1"/>
  <c r="T21" i="9" s="1"/>
  <c r="P21" i="10"/>
  <c r="N597" i="14"/>
  <c r="P20" i="14"/>
  <c r="P18" i="14"/>
  <c r="P19" i="14" s="1"/>
  <c r="J98" i="20"/>
  <c r="J96" i="16"/>
  <c r="K756" i="23"/>
  <c r="K766" i="23" s="1"/>
  <c r="D766" i="23"/>
  <c r="P40" i="20"/>
  <c r="R39" i="16"/>
  <c r="P169" i="20"/>
  <c r="O165" i="16"/>
  <c r="R166" i="16"/>
  <c r="R165" i="16" s="1"/>
  <c r="J46" i="23"/>
  <c r="K46" i="23" s="1"/>
  <c r="K46" i="20"/>
  <c r="R72" i="16"/>
  <c r="P73" i="20"/>
  <c r="J85" i="23"/>
  <c r="K85" i="23" s="1"/>
  <c r="K85" i="20"/>
  <c r="I41" i="16"/>
  <c r="J41" i="15"/>
  <c r="R35" i="13"/>
  <c r="I77" i="14"/>
  <c r="J77" i="13"/>
  <c r="R155" i="15"/>
  <c r="R27" i="13"/>
  <c r="O328" i="15"/>
  <c r="P178" i="20"/>
  <c r="T179" i="20"/>
  <c r="T178" i="20" s="1"/>
  <c r="P179" i="23"/>
  <c r="J76" i="23"/>
  <c r="K76" i="23" s="1"/>
  <c r="K76" i="20"/>
  <c r="O107" i="15"/>
  <c r="R108" i="15"/>
  <c r="R107" i="15" s="1"/>
  <c r="O108" i="16"/>
  <c r="P494" i="20"/>
  <c r="P495" i="23"/>
  <c r="T495" i="20"/>
  <c r="T494" i="20" s="1"/>
  <c r="J107" i="20"/>
  <c r="J105" i="16"/>
  <c r="P135" i="20"/>
  <c r="O131" i="16"/>
  <c r="R132" i="16"/>
  <c r="R131" i="16" s="1"/>
  <c r="J75" i="23"/>
  <c r="K75" i="23" s="1"/>
  <c r="K75" i="20"/>
  <c r="J124" i="20"/>
  <c r="J122" i="16"/>
  <c r="O35" i="14"/>
  <c r="R36" i="14"/>
  <c r="O36" i="15"/>
  <c r="P139" i="23"/>
  <c r="T139" i="23" s="1"/>
  <c r="T139" i="20"/>
  <c r="P42" i="20"/>
  <c r="R41" i="16"/>
  <c r="O56" i="16"/>
  <c r="R56" i="15"/>
  <c r="P88" i="23"/>
  <c r="T88" i="23" s="1"/>
  <c r="T88" i="20"/>
  <c r="O155" i="15"/>
  <c r="T65" i="23"/>
  <c r="J61" i="20"/>
  <c r="J60" i="16"/>
  <c r="P514" i="20"/>
  <c r="P92" i="23"/>
  <c r="T92" i="23" s="1"/>
  <c r="T92" i="20"/>
  <c r="I56" i="16"/>
  <c r="J56" i="15"/>
  <c r="P595" i="23"/>
  <c r="T596" i="23"/>
  <c r="T595" i="23" s="1"/>
  <c r="P322" i="20"/>
  <c r="R319" i="16"/>
  <c r="R317" i="16" s="1"/>
  <c r="O317" i="16"/>
  <c r="I38" i="15"/>
  <c r="J38" i="14"/>
  <c r="P411" i="20"/>
  <c r="O406" i="16"/>
  <c r="R407" i="16"/>
  <c r="R406" i="16" s="1"/>
  <c r="R328" i="15"/>
  <c r="I50" i="15"/>
  <c r="J50" i="14"/>
  <c r="P119" i="20"/>
  <c r="R117" i="16"/>
  <c r="P560" i="23"/>
  <c r="P559" i="20"/>
  <c r="T560" i="20"/>
  <c r="T559" i="20" s="1"/>
  <c r="T514" i="20" s="1"/>
  <c r="P142" i="20"/>
  <c r="R49" i="13"/>
  <c r="R43" i="13" s="1"/>
  <c r="O49" i="14"/>
  <c r="O43" i="13"/>
  <c r="O27" i="13" s="1"/>
  <c r="R33" i="15"/>
  <c r="O33" i="16"/>
  <c r="J110" i="20"/>
  <c r="J108" i="16"/>
  <c r="J74" i="23"/>
  <c r="K74" i="23" s="1"/>
  <c r="K74" i="20"/>
  <c r="P85" i="20"/>
  <c r="R83" i="16"/>
  <c r="T378" i="20"/>
  <c r="P378" i="23"/>
  <c r="T378" i="23" s="1"/>
  <c r="R80" i="16"/>
  <c r="R79" i="16" s="1"/>
  <c r="O79" i="16"/>
  <c r="P82" i="20"/>
  <c r="P586" i="23"/>
  <c r="T586" i="23" s="1"/>
  <c r="T586" i="20"/>
  <c r="P310" i="23"/>
  <c r="T311" i="23"/>
  <c r="T310" i="23" s="1"/>
  <c r="J71" i="20"/>
  <c r="J70" i="16"/>
  <c r="P318" i="20"/>
  <c r="P319" i="23"/>
  <c r="T319" i="20"/>
  <c r="T318" i="20" s="1"/>
  <c r="O53" i="14"/>
  <c r="O52" i="14" s="1"/>
  <c r="P75" i="23"/>
  <c r="T75" i="23" s="1"/>
  <c r="T75" i="20"/>
  <c r="O222" i="16"/>
  <c r="P226" i="20"/>
  <c r="R223" i="16"/>
  <c r="R222" i="16" s="1"/>
  <c r="T562" i="20"/>
  <c r="T561" i="20" s="1"/>
  <c r="P561" i="20"/>
  <c r="P562" i="23"/>
  <c r="R105" i="16"/>
  <c r="P107" i="20"/>
  <c r="I36" i="16"/>
  <c r="J36" i="15"/>
  <c r="J119" i="20"/>
  <c r="J117" i="16"/>
  <c r="J89" i="23"/>
  <c r="K89" i="23" s="1"/>
  <c r="K89" i="20"/>
  <c r="P32" i="23"/>
  <c r="T32" i="20"/>
  <c r="T519" i="23"/>
  <c r="T515" i="23" s="1"/>
  <c r="P515" i="23"/>
  <c r="T163" i="20"/>
  <c r="P163" i="23"/>
  <c r="T163" i="23" s="1"/>
  <c r="Q183" i="26" l="1"/>
  <c r="R182" i="26"/>
  <c r="T209" i="20"/>
  <c r="T208" i="20" s="1"/>
  <c r="P208" i="20"/>
  <c r="P209" i="23"/>
  <c r="P120" i="23"/>
  <c r="T120" i="23" s="1"/>
  <c r="T120" i="20"/>
  <c r="P41" i="20"/>
  <c r="R40" i="16"/>
  <c r="R178" i="16"/>
  <c r="R94" i="15"/>
  <c r="T85" i="20"/>
  <c r="P85" i="23"/>
  <c r="T85" i="23" s="1"/>
  <c r="P411" i="23"/>
  <c r="P410" i="20"/>
  <c r="T411" i="20"/>
  <c r="T410" i="20" s="1"/>
  <c r="T42" i="20"/>
  <c r="P42" i="23"/>
  <c r="T42" i="23" s="1"/>
  <c r="P134" i="20"/>
  <c r="T135" i="20"/>
  <c r="T134" i="20" s="1"/>
  <c r="P135" i="23"/>
  <c r="T226" i="20"/>
  <c r="T225" i="20" s="1"/>
  <c r="P225" i="20"/>
  <c r="P226" i="23"/>
  <c r="P73" i="23"/>
  <c r="T73" i="23" s="1"/>
  <c r="T73" i="20"/>
  <c r="J98" i="23"/>
  <c r="K98" i="23" s="1"/>
  <c r="K98" i="20"/>
  <c r="P55" i="23"/>
  <c r="T55" i="20"/>
  <c r="R77" i="13"/>
  <c r="R63" i="13" s="1"/>
  <c r="R62" i="13" s="1"/>
  <c r="R592" i="13" s="1"/>
  <c r="P22" i="13" s="1"/>
  <c r="O77" i="14"/>
  <c r="O63" i="13"/>
  <c r="O62" i="13" s="1"/>
  <c r="O592" i="13" s="1"/>
  <c r="J52" i="20"/>
  <c r="J51" i="16"/>
  <c r="P183" i="23"/>
  <c r="P182" i="20"/>
  <c r="P181" i="20" s="1"/>
  <c r="T183" i="20"/>
  <c r="T182" i="20" s="1"/>
  <c r="T181" i="20" s="1"/>
  <c r="O94" i="15"/>
  <c r="J120" i="23"/>
  <c r="K120" i="23" s="1"/>
  <c r="K120" i="20"/>
  <c r="J41" i="20"/>
  <c r="J40" i="16"/>
  <c r="P481" i="23"/>
  <c r="T482" i="23"/>
  <c r="T481" i="23" s="1"/>
  <c r="O38" i="16"/>
  <c r="R38" i="15"/>
  <c r="J119" i="23"/>
  <c r="K119" i="23" s="1"/>
  <c r="K119" i="20"/>
  <c r="P559" i="23"/>
  <c r="T560" i="23"/>
  <c r="T559" i="23" s="1"/>
  <c r="R35" i="14"/>
  <c r="R27" i="14" s="1"/>
  <c r="P494" i="23"/>
  <c r="T495" i="23"/>
  <c r="T494" i="23" s="1"/>
  <c r="E606" i="14"/>
  <c r="E607" i="14" s="1"/>
  <c r="D600" i="14"/>
  <c r="T302" i="23"/>
  <c r="T299" i="23" s="1"/>
  <c r="P299" i="23"/>
  <c r="P52" i="20"/>
  <c r="R51" i="16"/>
  <c r="J73" i="23"/>
  <c r="K73" i="23" s="1"/>
  <c r="K73" i="20"/>
  <c r="P70" i="23"/>
  <c r="T70" i="20"/>
  <c r="J61" i="23"/>
  <c r="K61" i="23" s="1"/>
  <c r="K61" i="20"/>
  <c r="O50" i="16"/>
  <c r="R50" i="15"/>
  <c r="T19" i="10"/>
  <c r="T20" i="10" s="1"/>
  <c r="T21" i="10" s="1"/>
  <c r="P21" i="13"/>
  <c r="T19" i="13" s="1"/>
  <c r="T20" i="13" s="1"/>
  <c r="T21" i="13" s="1"/>
  <c r="R32" i="15"/>
  <c r="R30" i="15" s="1"/>
  <c r="O32" i="16"/>
  <c r="O30" i="15"/>
  <c r="X68" i="26"/>
  <c r="X112" i="26"/>
  <c r="P123" i="20"/>
  <c r="O120" i="16"/>
  <c r="R121" i="16"/>
  <c r="R120" i="16" s="1"/>
  <c r="P573" i="23"/>
  <c r="T574" i="23"/>
  <c r="T573" i="23" s="1"/>
  <c r="I38" i="16"/>
  <c r="J38" i="15"/>
  <c r="O35" i="15"/>
  <c r="O36" i="16"/>
  <c r="R36" i="15"/>
  <c r="R35" i="15" s="1"/>
  <c r="J40" i="20"/>
  <c r="J39" i="16"/>
  <c r="P82" i="23"/>
  <c r="P81" i="20"/>
  <c r="T82" i="20"/>
  <c r="T81" i="20" s="1"/>
  <c r="I77" i="15"/>
  <c r="J77" i="14"/>
  <c r="P151" i="23"/>
  <c r="T152" i="23"/>
  <c r="T151" i="23" s="1"/>
  <c r="J107" i="23"/>
  <c r="K107" i="23" s="1"/>
  <c r="K107" i="20"/>
  <c r="P21" i="14"/>
  <c r="T107" i="20"/>
  <c r="P107" i="23"/>
  <c r="T107" i="23" s="1"/>
  <c r="R33" i="16"/>
  <c r="P34" i="20"/>
  <c r="P169" i="23"/>
  <c r="P168" i="20"/>
  <c r="T169" i="20"/>
  <c r="T168" i="20" s="1"/>
  <c r="R155" i="16"/>
  <c r="J79" i="23"/>
  <c r="K79" i="23" s="1"/>
  <c r="K79" i="20"/>
  <c r="J34" i="20"/>
  <c r="J33" i="16"/>
  <c r="J123" i="23"/>
  <c r="K123" i="23" s="1"/>
  <c r="K123" i="20"/>
  <c r="T573" i="20"/>
  <c r="T32" i="23"/>
  <c r="P322" i="23"/>
  <c r="T322" i="20"/>
  <c r="T320" i="20" s="1"/>
  <c r="P320" i="20"/>
  <c r="J37" i="20"/>
  <c r="J36" i="16"/>
  <c r="J110" i="23"/>
  <c r="K110" i="23" s="1"/>
  <c r="K110" i="20"/>
  <c r="T119" i="20"/>
  <c r="P119" i="23"/>
  <c r="T119" i="23" s="1"/>
  <c r="O107" i="16"/>
  <c r="R108" i="16"/>
  <c r="R107" i="16" s="1"/>
  <c r="P110" i="20"/>
  <c r="P318" i="23"/>
  <c r="T319" i="23"/>
  <c r="T318" i="23" s="1"/>
  <c r="J124" i="23"/>
  <c r="K124" i="23" s="1"/>
  <c r="K124" i="20"/>
  <c r="I50" i="16"/>
  <c r="J50" i="15"/>
  <c r="R328" i="16"/>
  <c r="P159" i="20"/>
  <c r="P158" i="20" s="1"/>
  <c r="T160" i="20"/>
  <c r="T159" i="20" s="1"/>
  <c r="P160" i="23"/>
  <c r="P488" i="20"/>
  <c r="J60" i="23"/>
  <c r="K60" i="23" s="1"/>
  <c r="K60" i="20"/>
  <c r="T230" i="20"/>
  <c r="T229" i="20" s="1"/>
  <c r="T228" i="20" s="1"/>
  <c r="P229" i="20"/>
  <c r="P230" i="23"/>
  <c r="P527" i="23"/>
  <c r="P514" i="23" s="1"/>
  <c r="T528" i="23"/>
  <c r="T527" i="23" s="1"/>
  <c r="P258" i="20"/>
  <c r="T259" i="20"/>
  <c r="T258" i="20" s="1"/>
  <c r="P259" i="23"/>
  <c r="T514" i="23"/>
  <c r="P561" i="23"/>
  <c r="T562" i="23"/>
  <c r="T561" i="23" s="1"/>
  <c r="P40" i="23"/>
  <c r="T40" i="23" s="1"/>
  <c r="T40" i="20"/>
  <c r="P334" i="23"/>
  <c r="T334" i="20"/>
  <c r="T332" i="20" s="1"/>
  <c r="T331" i="20" s="1"/>
  <c r="P332" i="20"/>
  <c r="O155" i="16"/>
  <c r="T488" i="20"/>
  <c r="T142" i="23"/>
  <c r="O225" i="16"/>
  <c r="P71" i="20"/>
  <c r="R70" i="16"/>
  <c r="I49" i="16"/>
  <c r="J49" i="15"/>
  <c r="J57" i="20"/>
  <c r="J56" i="16"/>
  <c r="J71" i="23"/>
  <c r="K71" i="23" s="1"/>
  <c r="K71" i="20"/>
  <c r="R49" i="14"/>
  <c r="R43" i="14" s="1"/>
  <c r="O49" i="15"/>
  <c r="O43" i="14"/>
  <c r="O27" i="14" s="1"/>
  <c r="P57" i="20"/>
  <c r="R56" i="16"/>
  <c r="J42" i="20"/>
  <c r="J41" i="16"/>
  <c r="P489" i="23"/>
  <c r="P488" i="23" s="1"/>
  <c r="T490" i="23"/>
  <c r="T489" i="23" s="1"/>
  <c r="O58" i="16"/>
  <c r="R58" i="15"/>
  <c r="R53" i="15" s="1"/>
  <c r="R52" i="15" s="1"/>
  <c r="O53" i="15"/>
  <c r="O52" i="15" s="1"/>
  <c r="P60" i="23"/>
  <c r="T60" i="23" s="1"/>
  <c r="T60" i="20"/>
  <c r="I58" i="16"/>
  <c r="J58" i="15"/>
  <c r="P142" i="23"/>
  <c r="P398" i="20"/>
  <c r="T399" i="20"/>
  <c r="T398" i="20" s="1"/>
  <c r="P399" i="23"/>
  <c r="P178" i="23"/>
  <c r="T179" i="23"/>
  <c r="T178" i="23" s="1"/>
  <c r="J33" i="20"/>
  <c r="J32" i="16"/>
  <c r="P342" i="23"/>
  <c r="T342" i="20"/>
  <c r="T340" i="20" s="1"/>
  <c r="P340" i="20"/>
  <c r="T124" i="20"/>
  <c r="P124" i="23"/>
  <c r="T124" i="23" s="1"/>
  <c r="O95" i="16"/>
  <c r="O94" i="16" s="1"/>
  <c r="R96" i="16"/>
  <c r="R95" i="16" s="1"/>
  <c r="R94" i="16" s="1"/>
  <c r="P98" i="20"/>
  <c r="J57" i="23" l="1"/>
  <c r="K57" i="23" s="1"/>
  <c r="K57" i="20"/>
  <c r="T41" i="20"/>
  <c r="P41" i="23"/>
  <c r="T41" i="23" s="1"/>
  <c r="P37" i="20"/>
  <c r="O35" i="16"/>
  <c r="R36" i="16"/>
  <c r="R35" i="16" s="1"/>
  <c r="R32" i="16"/>
  <c r="R30" i="16" s="1"/>
  <c r="P33" i="20"/>
  <c r="O30" i="16"/>
  <c r="J50" i="20"/>
  <c r="J49" i="16"/>
  <c r="R27" i="15"/>
  <c r="P59" i="20"/>
  <c r="R58" i="16"/>
  <c r="R53" i="16" s="1"/>
  <c r="R52" i="16" s="1"/>
  <c r="O53" i="16"/>
  <c r="O52" i="16" s="1"/>
  <c r="J37" i="23"/>
  <c r="K37" i="23" s="1"/>
  <c r="K37" i="20"/>
  <c r="T52" i="20"/>
  <c r="P52" i="23"/>
  <c r="T52" i="23" s="1"/>
  <c r="T55" i="23"/>
  <c r="P208" i="23"/>
  <c r="T209" i="23"/>
  <c r="T208" i="23" s="1"/>
  <c r="O27" i="15"/>
  <c r="T71" i="20"/>
  <c r="P71" i="23"/>
  <c r="T71" i="23" s="1"/>
  <c r="P109" i="20"/>
  <c r="T110" i="20"/>
  <c r="T109" i="20" s="1"/>
  <c r="P110" i="23"/>
  <c r="J39" i="20"/>
  <c r="J38" i="16"/>
  <c r="T399" i="23"/>
  <c r="T398" i="23" s="1"/>
  <c r="P398" i="23"/>
  <c r="J42" i="23"/>
  <c r="K42" i="23" s="1"/>
  <c r="K42" i="20"/>
  <c r="T322" i="23"/>
  <c r="T320" i="23" s="1"/>
  <c r="P320" i="23"/>
  <c r="J59" i="20"/>
  <c r="J58" i="16"/>
  <c r="T57" i="20"/>
  <c r="P57" i="23"/>
  <c r="T57" i="23" s="1"/>
  <c r="P159" i="23"/>
  <c r="T160" i="23"/>
  <c r="T159" i="23" s="1"/>
  <c r="T158" i="23" s="1"/>
  <c r="T169" i="23"/>
  <c r="T168" i="23" s="1"/>
  <c r="P168" i="23"/>
  <c r="P258" i="23"/>
  <c r="T259" i="23"/>
  <c r="T258" i="23" s="1"/>
  <c r="T342" i="23"/>
  <c r="T340" i="23" s="1"/>
  <c r="P340" i="23"/>
  <c r="T158" i="20"/>
  <c r="T34" i="20"/>
  <c r="P34" i="23"/>
  <c r="T34" i="23" s="1"/>
  <c r="I77" i="16"/>
  <c r="J77" i="15"/>
  <c r="P51" i="20"/>
  <c r="R50" i="16"/>
  <c r="P39" i="20"/>
  <c r="R38" i="16"/>
  <c r="P182" i="23"/>
  <c r="P181" i="23" s="1"/>
  <c r="T183" i="23"/>
  <c r="T182" i="23" s="1"/>
  <c r="T181" i="23" s="1"/>
  <c r="P410" i="23"/>
  <c r="T411" i="23"/>
  <c r="T410" i="23" s="1"/>
  <c r="R183" i="26"/>
  <c r="S182" i="26"/>
  <c r="P225" i="23"/>
  <c r="T226" i="23"/>
  <c r="T225" i="23" s="1"/>
  <c r="R49" i="15"/>
  <c r="R43" i="15" s="1"/>
  <c r="O49" i="16"/>
  <c r="O43" i="15"/>
  <c r="J33" i="23"/>
  <c r="K33" i="23" s="1"/>
  <c r="K33" i="20"/>
  <c r="P331" i="20"/>
  <c r="P81" i="23"/>
  <c r="T82" i="23"/>
  <c r="T81" i="23" s="1"/>
  <c r="T123" i="20"/>
  <c r="T122" i="20" s="1"/>
  <c r="P122" i="20"/>
  <c r="P123" i="23"/>
  <c r="E609" i="14"/>
  <c r="D601" i="14" s="1"/>
  <c r="O601" i="14" s="1"/>
  <c r="E608" i="14"/>
  <c r="J52" i="23"/>
  <c r="K52" i="23" s="1"/>
  <c r="K52" i="20"/>
  <c r="T19" i="14"/>
  <c r="T20" i="14" s="1"/>
  <c r="T21" i="14" s="1"/>
  <c r="P21" i="15"/>
  <c r="P229" i="23"/>
  <c r="P228" i="23" s="1"/>
  <c r="T230" i="23"/>
  <c r="T229" i="23" s="1"/>
  <c r="T228" i="23" s="1"/>
  <c r="J51" i="20"/>
  <c r="J50" i="16"/>
  <c r="J41" i="23"/>
  <c r="K41" i="23" s="1"/>
  <c r="K41" i="20"/>
  <c r="P97" i="20"/>
  <c r="T98" i="20"/>
  <c r="T97" i="20" s="1"/>
  <c r="P98" i="23"/>
  <c r="T488" i="23"/>
  <c r="T334" i="23"/>
  <c r="T332" i="23" s="1"/>
  <c r="P332" i="23"/>
  <c r="P331" i="23" s="1"/>
  <c r="P228" i="20"/>
  <c r="J34" i="23"/>
  <c r="K34" i="23" s="1"/>
  <c r="K34" i="20"/>
  <c r="J40" i="23"/>
  <c r="K40" i="23" s="1"/>
  <c r="K40" i="20"/>
  <c r="T70" i="23"/>
  <c r="R77" i="14"/>
  <c r="R63" i="14" s="1"/>
  <c r="R62" i="14" s="1"/>
  <c r="R591" i="14" s="1"/>
  <c r="P22" i="14" s="1"/>
  <c r="O77" i="15"/>
  <c r="O63" i="14"/>
  <c r="O62" i="14" s="1"/>
  <c r="O591" i="14" s="1"/>
  <c r="P134" i="23"/>
  <c r="T135" i="23"/>
  <c r="T134" i="23" s="1"/>
  <c r="P36" i="20" l="1"/>
  <c r="T37" i="20"/>
  <c r="P37" i="23"/>
  <c r="J51" i="23"/>
  <c r="K51" i="23" s="1"/>
  <c r="K51" i="20"/>
  <c r="T331" i="23"/>
  <c r="T19" i="15"/>
  <c r="T20" i="15" s="1"/>
  <c r="T21" i="15" s="1"/>
  <c r="P21" i="16"/>
  <c r="P59" i="23"/>
  <c r="T59" i="23" s="1"/>
  <c r="T59" i="20"/>
  <c r="T54" i="20" s="1"/>
  <c r="T53" i="20" s="1"/>
  <c r="S183" i="26"/>
  <c r="T182" i="26"/>
  <c r="R591" i="15"/>
  <c r="P22" i="15" s="1"/>
  <c r="J59" i="23"/>
  <c r="K59" i="23" s="1"/>
  <c r="K59" i="20"/>
  <c r="T96" i="20"/>
  <c r="T39" i="20"/>
  <c r="P39" i="23"/>
  <c r="T39" i="23" s="1"/>
  <c r="J50" i="23"/>
  <c r="K50" i="23" s="1"/>
  <c r="K50" i="20"/>
  <c r="P109" i="23"/>
  <c r="T110" i="23"/>
  <c r="T109" i="23" s="1"/>
  <c r="R77" i="15"/>
  <c r="R63" i="15" s="1"/>
  <c r="R62" i="15" s="1"/>
  <c r="O77" i="16"/>
  <c r="O63" i="15"/>
  <c r="O62" i="15" s="1"/>
  <c r="O591" i="15" s="1"/>
  <c r="T98" i="23"/>
  <c r="T97" i="23" s="1"/>
  <c r="P97" i="23"/>
  <c r="P96" i="20"/>
  <c r="R49" i="16"/>
  <c r="R43" i="16" s="1"/>
  <c r="R27" i="16" s="1"/>
  <c r="P50" i="20"/>
  <c r="O43" i="16"/>
  <c r="O27" i="16" s="1"/>
  <c r="T54" i="23"/>
  <c r="T53" i="23" s="1"/>
  <c r="P54" i="20"/>
  <c r="P53" i="20" s="1"/>
  <c r="T51" i="20"/>
  <c r="P51" i="23"/>
  <c r="T51" i="23" s="1"/>
  <c r="T33" i="20"/>
  <c r="T31" i="20" s="1"/>
  <c r="P33" i="23"/>
  <c r="P31" i="20"/>
  <c r="P122" i="23"/>
  <c r="T123" i="23"/>
  <c r="T122" i="23" s="1"/>
  <c r="J78" i="20"/>
  <c r="J77" i="16"/>
  <c r="P158" i="23"/>
  <c r="J39" i="23"/>
  <c r="K39" i="23" s="1"/>
  <c r="K39" i="20"/>
  <c r="T19" i="16" l="1"/>
  <c r="T20" i="16" s="1"/>
  <c r="T21" i="16" s="1"/>
  <c r="Q22" i="20"/>
  <c r="P96" i="23"/>
  <c r="T50" i="20"/>
  <c r="T44" i="20" s="1"/>
  <c r="P50" i="23"/>
  <c r="P44" i="20"/>
  <c r="P28" i="20" s="1"/>
  <c r="P54" i="23"/>
  <c r="P53" i="23" s="1"/>
  <c r="T96" i="23"/>
  <c r="T37" i="23"/>
  <c r="T36" i="23" s="1"/>
  <c r="P36" i="23"/>
  <c r="T36" i="20"/>
  <c r="T28" i="20" s="1"/>
  <c r="J78" i="23"/>
  <c r="K78" i="23" s="1"/>
  <c r="K78" i="20"/>
  <c r="P78" i="20"/>
  <c r="R77" i="16"/>
  <c r="R63" i="16" s="1"/>
  <c r="R62" i="16" s="1"/>
  <c r="R591" i="16" s="1"/>
  <c r="P22" i="16" s="1"/>
  <c r="O63" i="16"/>
  <c r="O62" i="16" s="1"/>
  <c r="O591" i="16" s="1"/>
  <c r="T33" i="23"/>
  <c r="T31" i="23" s="1"/>
  <c r="P31" i="23"/>
  <c r="T183" i="26"/>
  <c r="U182" i="26"/>
  <c r="U183" i="26" s="1"/>
  <c r="V20" i="20" l="1"/>
  <c r="W20" i="20" s="1"/>
  <c r="Q22" i="23"/>
  <c r="V20" i="23" s="1"/>
  <c r="T50" i="23"/>
  <c r="T44" i="23" s="1"/>
  <c r="T28" i="23" s="1"/>
  <c r="P44" i="23"/>
  <c r="P28" i="23" s="1"/>
  <c r="P78" i="23"/>
  <c r="T78" i="20"/>
  <c r="T64" i="20" s="1"/>
  <c r="T63" i="20" s="1"/>
  <c r="T682" i="20" s="1"/>
  <c r="Q23" i="20" s="1"/>
  <c r="P64" i="20"/>
  <c r="P63" i="20" s="1"/>
  <c r="P682" i="20" s="1"/>
  <c r="W20" i="23" l="1"/>
  <c r="X18" i="23"/>
  <c r="T78" i="23"/>
  <c r="T64" i="23" s="1"/>
  <c r="T63" i="23" s="1"/>
  <c r="T682" i="23" s="1"/>
  <c r="Q23" i="23" s="1"/>
  <c r="P64" i="23"/>
  <c r="P63" i="23" s="1"/>
  <c r="P682" i="23" s="1"/>
  <c r="W22" i="20"/>
  <c r="X22" i="20" s="1"/>
  <c r="V22" i="20" s="1"/>
  <c r="W21" i="20"/>
  <c r="X21" i="20" s="1"/>
  <c r="V21" i="20" s="1"/>
  <c r="W21" i="23" l="1"/>
  <c r="X21" i="23" s="1"/>
  <c r="V21" i="23" s="1"/>
  <c r="X19" i="23" s="1"/>
  <c r="W22" i="23"/>
  <c r="X22" i="23" s="1"/>
  <c r="V22" i="23" s="1"/>
  <c r="K30" i="23"/>
  <c r="J30" i="23"/>
  <c r="J30" i="20"/>
  <c r="K30" i="20"/>
  <c r="I29" i="16"/>
  <c r="J29" i="16"/>
</calcChain>
</file>

<file path=xl/sharedStrings.xml><?xml version="1.0" encoding="utf-8"?>
<sst xmlns="http://schemas.openxmlformats.org/spreadsheetml/2006/main" count="57329" uniqueCount="2333">
  <si>
    <t>CONSTRUÇÃO DO ANEXO CECAN EM NATAL/RN</t>
  </si>
  <si>
    <t>BOLETIM DE MEDIÇÃO Nº 01</t>
  </si>
  <si>
    <t>DADOS DO CONTRATO</t>
  </si>
  <si>
    <t>OBJETO DO CONTRATO</t>
  </si>
  <si>
    <t>CONSTRUÇÃO DO ANEXO CECAN EM NATAL/RN.</t>
  </si>
  <si>
    <t>CONTRATADA</t>
  </si>
  <si>
    <t>A.R. PROJETOS E CONSTRUÇÕES LTDA</t>
  </si>
  <si>
    <t xml:space="preserve">DATA DE ASSINATURA: </t>
  </si>
  <si>
    <t>CNPJ</t>
  </si>
  <si>
    <t>40.761.454/0001-08</t>
  </si>
  <si>
    <t>VIGÊNCIA DO CONTRATO :</t>
  </si>
  <si>
    <t>CARTA CONVITE</t>
  </si>
  <si>
    <t>0001/2024</t>
  </si>
  <si>
    <t>DATA ORDEM DE SERVIÇO</t>
  </si>
  <si>
    <t>VALOR TOTAL DO CONTRATO (R$)</t>
  </si>
  <si>
    <t>PERÍODO DE EXECUÇÃO</t>
  </si>
  <si>
    <t>600 dias</t>
  </si>
  <si>
    <t>NOME DO FISCAL DO CONTRATO</t>
  </si>
  <si>
    <t>CPF</t>
  </si>
  <si>
    <t>REGISTRO PROFISSIONAL</t>
  </si>
  <si>
    <t>NOME DO RESPONSÁVEL TÉCNICO</t>
  </si>
  <si>
    <t>Rômulo de Medeiros Cirne</t>
  </si>
  <si>
    <t>443.652.414-00</t>
  </si>
  <si>
    <t>210.407.216-6</t>
  </si>
  <si>
    <t>DADOS DA MEDIÇÃO</t>
  </si>
  <si>
    <t>ESTABELECIMENTO</t>
  </si>
  <si>
    <t>VALOR DO PEDIDO MEDIÇÃO (R$)</t>
  </si>
  <si>
    <t>Nº DA MEDIÇÃO</t>
  </si>
  <si>
    <t>MEDIÇÃO N.º 01</t>
  </si>
  <si>
    <t>VALOR DA GLOSA (R$)</t>
  </si>
  <si>
    <t>PERÍODO DA MEDIÇÃO</t>
  </si>
  <si>
    <t>01/04/2024 à 03/05/2024</t>
  </si>
  <si>
    <t>VALOR DA MEDIÇÃO  (R$)</t>
  </si>
  <si>
    <t>DATA DA SOLICITAÇÃO</t>
  </si>
  <si>
    <t>VALOR ACUMULADO DA MEDIÇÃO (R$)</t>
  </si>
  <si>
    <t>DATA DA SUPERVISÃO</t>
  </si>
  <si>
    <t>SALDO CONTRATO (R$)</t>
  </si>
  <si>
    <t>ITEM</t>
  </si>
  <si>
    <t>DISCRIMINAÇÃO</t>
  </si>
  <si>
    <t>UND</t>
  </si>
  <si>
    <t>FÍSICO</t>
  </si>
  <si>
    <t>P. Unit s/ BDI</t>
  </si>
  <si>
    <t>P. Unit c/ BDI</t>
  </si>
  <si>
    <t>TOTAIS</t>
  </si>
  <si>
    <t>BDI</t>
  </si>
  <si>
    <t>Contratado</t>
  </si>
  <si>
    <t>Executado no Período</t>
  </si>
  <si>
    <t>Aceito</t>
  </si>
  <si>
    <t>Acumulado</t>
  </si>
  <si>
    <t>Saldo</t>
  </si>
  <si>
    <t>R$</t>
  </si>
  <si>
    <t>Pedido na medição (R$)</t>
  </si>
  <si>
    <t>Medido no Período (R$)</t>
  </si>
  <si>
    <t>Medido Acumulado (R$)</t>
  </si>
  <si>
    <t>Previsto s/ BDI (R$)</t>
  </si>
  <si>
    <t>Previsto c/ BDI (R$)</t>
  </si>
  <si>
    <t>Saldo (R$)</t>
  </si>
  <si>
    <t>1.0</t>
  </si>
  <si>
    <t>SERVIÇOS GERAIS</t>
  </si>
  <si>
    <t>1.1</t>
  </si>
  <si>
    <t>MOBILIZAÇÃO E DESMOBILIZAÇÃO</t>
  </si>
  <si>
    <t>1.1.1</t>
  </si>
  <si>
    <t>MOBILIZACAO E DESMOBILIZACAO DE CANTEIRO</t>
  </si>
  <si>
    <t>un</t>
  </si>
  <si>
    <t>1.2</t>
  </si>
  <si>
    <t>DESPESA DO CANTEIRO</t>
  </si>
  <si>
    <t>1.2.1</t>
  </si>
  <si>
    <t>CONSUMO AGUA E ESGOTO OBRAS ATE 10.000m²</t>
  </si>
  <si>
    <t>mês</t>
  </si>
  <si>
    <t>1.2.2</t>
  </si>
  <si>
    <t>ADMINISTRAÇÃO LOCAL DE OBRA</t>
  </si>
  <si>
    <t>1.2.3</t>
  </si>
  <si>
    <t>Atendimento as normas da legislação de segurança e medicina do trabalho, incluindo encargos intersindicais (alimentação e vale transportes, exames médicos, epi, epc), projeto e execução das instalações provisórias de energia (exceto consumo), inclusive laudos técnicos, fretes e transportes internos, (incluindo vertical), ferramentas e equipamentos necessários, iluminação e sinalização provisórias, seguro de vida de engenharia, materiais de consumo e limpeza do canteiro, segurança, combustíveis, equipamentos de proteção coletiva (projeto de linha de vida, projeto de execução de estruturas necessárias de trabalho em fachadas, bandejas de proteção e telas, laudos de inspeção de segurança), duto coletor de entulho, controle tecnológico dos materiais e ensaios, implantação e atendimento ao PGRCC.</t>
  </si>
  <si>
    <t>1.2.4</t>
  </si>
  <si>
    <t>CONSUMO DE ENERGIA (LUZ E FORCA) EM SERVICOS DE OBRAS</t>
  </si>
  <si>
    <t>1.3</t>
  </si>
  <si>
    <t>CANTEIRO DE OBRA</t>
  </si>
  <si>
    <t>1.3.1</t>
  </si>
  <si>
    <t xml:space="preserve">Tapume com telha metálica. </t>
  </si>
  <si>
    <t>m²</t>
  </si>
  <si>
    <t>1.3.2</t>
  </si>
  <si>
    <t xml:space="preserve">Guarda-corpo fixado em fôrma de madeira com travessões em madeira pregada e fechamento em tela de polipropileno para edificações com até 6 pavimentos. </t>
  </si>
  <si>
    <t>M</t>
  </si>
  <si>
    <t>1.3.3</t>
  </si>
  <si>
    <t xml:space="preserve">Execução de escritório em canteiro de obra em chapa de madeira compensada, não incluso mobiliário e equipamentos. </t>
  </si>
  <si>
    <t>1.3.4</t>
  </si>
  <si>
    <t xml:space="preserve">Execução de almoxarifado em canteiro de obra em chapa de madeira compensada, incluso prateleiras. </t>
  </si>
  <si>
    <t>1.3.5</t>
  </si>
  <si>
    <t xml:space="preserve">Barracão aberto para apoio à produção (carpintaria, central de armação, oficina, etc.) c/ tesouras, telha 4mm, piso em concreto desempolado	</t>
  </si>
  <si>
    <t>1.3.6</t>
  </si>
  <si>
    <t xml:space="preserve">Execução de sanitário e vestiário em canteiro de obra em chapa de madeira compensada, não incluso mobiliário. </t>
  </si>
  <si>
    <t>1.3.7</t>
  </si>
  <si>
    <t xml:space="preserve">Execução de refeitório em canteiro de obra em chapa de madeira compensada, não incluso mobiliário e equipamentos. </t>
  </si>
  <si>
    <t>1.4</t>
  </si>
  <si>
    <t>MOVIMENTOS DE TERRA</t>
  </si>
  <si>
    <t>1.4.1</t>
  </si>
  <si>
    <t>Desmatamento, destocamento, limpeza de área e estocagem do material de limpeza com árvores de diâmetro até 0,15 m</t>
  </si>
  <si>
    <t>1.4.2</t>
  </si>
  <si>
    <t xml:space="preserve">Demolição de alvenaria para qualquer tipo de bloco, de forma mecanizada, sem reaproveitamento. </t>
  </si>
  <si>
    <t>m3</t>
  </si>
  <si>
    <t>1.4.3</t>
  </si>
  <si>
    <t xml:space="preserve">Demolição de forros	</t>
  </si>
  <si>
    <t>1.4.4</t>
  </si>
  <si>
    <t xml:space="preserve">Demolição de pilares e vigas em concreto armado, de forma mecanizada com martelete, sem reaproveitamento. af_09/2023	</t>
  </si>
  <si>
    <t>1.4.5</t>
  </si>
  <si>
    <t xml:space="preserve">Demolição de madeiramento em coberturas com telhas de fibro-cimento 4 a 8 mm	</t>
  </si>
  <si>
    <t>1.4.6</t>
  </si>
  <si>
    <t>Escavação, carga e transporte de material de 1ª categoria - DMT de 1.000 a 1.200 m - Escavadeira</t>
  </si>
  <si>
    <t>1.4.7</t>
  </si>
  <si>
    <t xml:space="preserve">CARGA, MANOBRA E DESCARGA DE SOLOS E MATERIAIS GRANULARES EM CAMINHÃO BASCULANTE 6 M³ - CARGA COM ESCAVADEIRA HIDRÁULICA (CAÇAMBA DE 1,20 M³ / 155 HP) E DESCARGA LIVRE (UNIDADE: M3). </t>
  </si>
  <si>
    <t>M3</t>
  </si>
  <si>
    <t>1.4.8</t>
  </si>
  <si>
    <t xml:space="preserve">TRANSPORTE COM CAMINHÃO BASCULANTE DE 10 M³, EM VIA URBANA PAVIMENTADA, DMT ATÉ 30 KM (UNIDADE: M3XKM). </t>
  </si>
  <si>
    <t>M3XKM</t>
  </si>
  <si>
    <t>2.0</t>
  </si>
  <si>
    <t xml:space="preserve">FUNDAÇÕES </t>
  </si>
  <si>
    <t>2.1</t>
  </si>
  <si>
    <t>ESTACAS</t>
  </si>
  <si>
    <t>2.1.1</t>
  </si>
  <si>
    <t xml:space="preserve">LOCACAO CONVENCIONAL DE OBRA, UTILIZANDO GABARITO DE TÁBUAS CORRIDAS PONTALETADAS A CADA 2,00M -  2 UTILIZAÇÕES. </t>
  </si>
  <si>
    <t>2.1.2</t>
  </si>
  <si>
    <t>Taxa de mobilização e desmobilização de equipamentos para execução de estaca tipo hélice contínua em solo</t>
  </si>
  <si>
    <t>2.1.3</t>
  </si>
  <si>
    <t xml:space="preserve">Execução de estaca hélice contínua monitorada Ø 400mm, concreto fck=35Mpa, inclusive aço, bombeamento e perfuratriz; exclusive mobilização e desmobilização de equipamento </t>
  </si>
  <si>
    <t>m</t>
  </si>
  <si>
    <t>2.1.4</t>
  </si>
  <si>
    <t xml:space="preserve">Carga, manobra e descarga de solos e materiais granulares em caminhão basculante 6 m³ - carga com escavadeira hidráulica (caçamba de 1,20 m³ / 155 hp) e descarga livre (unidade: m3). </t>
  </si>
  <si>
    <t>2.1.5</t>
  </si>
  <si>
    <t xml:space="preserve">Transporte com caminhão basculante de 10 m³, em via urbana pavimentada, adicional para dmt excedente a 30 km (unidade: m3xkm). </t>
  </si>
  <si>
    <t>2.1.6</t>
  </si>
  <si>
    <t xml:space="preserve">Arrasamento mecanico de estaca de concreto armado, diametros de até 40 cm. </t>
  </si>
  <si>
    <t>UN</t>
  </si>
  <si>
    <t>2.1.7</t>
  </si>
  <si>
    <t>Prova de carga estática em estaca</t>
  </si>
  <si>
    <t>2.1.8</t>
  </si>
  <si>
    <t xml:space="preserve">Ensaio - Integridade física em estaca - PIT </t>
  </si>
  <si>
    <t>3.0</t>
  </si>
  <si>
    <t xml:space="preserve">INFRAESTRUTURA </t>
  </si>
  <si>
    <t>3.1</t>
  </si>
  <si>
    <t>SAPATAS</t>
  </si>
  <si>
    <t>3.1.1</t>
  </si>
  <si>
    <t>Escavação manual de vala com profundidade menor ou igual a 1,30 m.</t>
  </si>
  <si>
    <t>3.1.2</t>
  </si>
  <si>
    <t xml:space="preserve">Escoramento de valas tipo Pontalete 
</t>
  </si>
  <si>
    <t>3.1.3</t>
  </si>
  <si>
    <t xml:space="preserve">Reaterro manual de valas com compactação mecanizada. </t>
  </si>
  <si>
    <t>3.1.4</t>
  </si>
  <si>
    <t>3.1.5</t>
  </si>
  <si>
    <t>3.1.6</t>
  </si>
  <si>
    <t xml:space="preserve">Lastro de concreto magro, aplicado em blocos de coroamento ou sapatas, espessura de 5 cm. </t>
  </si>
  <si>
    <t>3.1.7</t>
  </si>
  <si>
    <t xml:space="preserve">Armação de bloco, viga baldrame e sapata utilizando aço ca-60 de 5 mm - montagem. </t>
  </si>
  <si>
    <t>KG</t>
  </si>
  <si>
    <t>3.1.8</t>
  </si>
  <si>
    <t xml:space="preserve">Armação de bloco, viga baldrame ou sapata utilizando aço ca-50 de 6,3 mm - montagem. af_06/2017	</t>
  </si>
  <si>
    <t>3.1.9</t>
  </si>
  <si>
    <t xml:space="preserve">Armação de bloco, viga baldrame ou sapata utilizando aço ca-50 de 8 mm - montagem. </t>
  </si>
  <si>
    <t>3.1.10</t>
  </si>
  <si>
    <t xml:space="preserve">Armação de bloco, viga baldrame ou sapata utilizando aço ca-50 de 10 mm - montagem. </t>
  </si>
  <si>
    <t>3.1.11</t>
  </si>
  <si>
    <t xml:space="preserve">Armação de bloco, viga baldrame ou sapata utilizando aço ca-50 de 12,5 mm - montagem. </t>
  </si>
  <si>
    <t>3.1.12</t>
  </si>
  <si>
    <t xml:space="preserve">Armação de bloco, viga baldrame ou sapata utilizando aço ca-50 de 16 mm - montagem. </t>
  </si>
  <si>
    <t>3.1.13</t>
  </si>
  <si>
    <t xml:space="preserve">Armação de bloco, viga baldrame ou sapata utilizando aço ca-50 de 20 mm - montagem. </t>
  </si>
  <si>
    <t>3.1.14</t>
  </si>
  <si>
    <t xml:space="preserve">Fabricação, montagem e desmontagem de fôrma para bloco de coroamento, em madeira serrada, e=25 mm, 2 utilizações. </t>
  </si>
  <si>
    <t>3.1.15</t>
  </si>
  <si>
    <t xml:space="preserve">Concreto simples usinado fck=35mpa, bombeado, lançado e adensado na infraestrutura 
</t>
  </si>
  <si>
    <t>m³</t>
  </si>
  <si>
    <t>3.2</t>
  </si>
  <si>
    <t>CINTAS E VIGAS DA FUNDAÇÃO</t>
  </si>
  <si>
    <t>3.2.1</t>
  </si>
  <si>
    <t>3.2.2</t>
  </si>
  <si>
    <t>3.2.3</t>
  </si>
  <si>
    <t>3.2.4</t>
  </si>
  <si>
    <t>3.2.5</t>
  </si>
  <si>
    <t xml:space="preserve">Lastro de concreto magro, aplicado em pisos, lajes sobre solo ou radiers, espessura de 5 cm. af_07/2016 </t>
  </si>
  <si>
    <t>3.2.6</t>
  </si>
  <si>
    <t>3.2.7</t>
  </si>
  <si>
    <t xml:space="preserve">Armação de bloco, viga baldrame ou sapata utilizando aço ca-50 de 6,3 mm - montagem. </t>
  </si>
  <si>
    <t>3.2.8</t>
  </si>
  <si>
    <t>3.2.9</t>
  </si>
  <si>
    <t>3.2.10</t>
  </si>
  <si>
    <t>3.2.11</t>
  </si>
  <si>
    <t>3.2.12</t>
  </si>
  <si>
    <t xml:space="preserve">Fabricação, montagem e desmontagem de fôrma para viga baldrame, em madeira serrada, e=25 mm, 4 utilizações. </t>
  </si>
  <si>
    <t>3.2.13</t>
  </si>
  <si>
    <t xml:space="preserve">Concreto simples usinado fck=35mpa, bombeado, lançado e adensado na infraestrutura </t>
  </si>
  <si>
    <t>3.2.14</t>
  </si>
  <si>
    <t>ENSAIO DE RESISTENCIA A COMPRESSAO SIMPLES - CONCRETO</t>
  </si>
  <si>
    <t>4.0</t>
  </si>
  <si>
    <t>SUPERESTRUTURA</t>
  </si>
  <si>
    <t>4.1</t>
  </si>
  <si>
    <t>VIGAS</t>
  </si>
  <si>
    <t>4.1.1</t>
  </si>
  <si>
    <t xml:space="preserve">Fabricação, montagem e desmontagem de fôrma de viga, escoramento metálico, pé-direito duplo, em chapa de madeira resinada, 8 utilizações. </t>
  </si>
  <si>
    <t>4.1.2</t>
  </si>
  <si>
    <t xml:space="preserve">Armação de pilar ou viga de uma estrutura convencional de concreto armado em um edifício de múltiplos pavimentos utilizando aço ca-60 de 5,0 mm - montagem. </t>
  </si>
  <si>
    <t>4.1.3</t>
  </si>
  <si>
    <t xml:space="preserve">Armação de pilar ou viga de uma estrutura convencional de concreto armado em um edifício de múltiplos pavimentos utilizando aço ca-50 de 6,3 mm - montagem.  </t>
  </si>
  <si>
    <t>4.1.4</t>
  </si>
  <si>
    <t xml:space="preserve">Armação de pilar ou viga de uma estrutura convencional de concreto armado em um edifício de múltiplos pavimentos utilizando aço ca-50 de 8,0 mm - montagem. </t>
  </si>
  <si>
    <t>4.1.5</t>
  </si>
  <si>
    <t xml:space="preserve">Armação de pilar ou viga de uma estrutura convencional de concreto armado em um edifício de múltiplos pavimentos utilizando aço ca-50 de 10,0 mm - montagem. </t>
  </si>
  <si>
    <t>4.1.6</t>
  </si>
  <si>
    <t xml:space="preserve">Armação de pilar ou viga de uma estrutura convencional de concreto armado em um edifício de múltiplos pavimentos utilizando aço ca-50 de 12,5 mm - montagem. </t>
  </si>
  <si>
    <t>4.1.7</t>
  </si>
  <si>
    <t xml:space="preserve">Armação de pilar ou viga de uma estrutura convencional de concreto armado em um edifício de múltiplos pavimentos utilizando aço ca-50 de 16,0 mm - montagem. </t>
  </si>
  <si>
    <t>4.1.8</t>
  </si>
  <si>
    <t xml:space="preserve">Armação de pilar ou viga de uma estrutura convencional de concreto armado em um edifício de múltiplos pavimentos utilizando aço ca-50 de 20,0 mm - montagem. </t>
  </si>
  <si>
    <t>4.1.9</t>
  </si>
  <si>
    <t xml:space="preserve">Armação de pilar ou viga de uma estrutura convencional de concreto armado em um edifício de múltiplos pavimentos utilizando aço ca-50 de 25,0 mm - montagem. </t>
  </si>
  <si>
    <t>4.1.10</t>
  </si>
  <si>
    <t>4.1.11</t>
  </si>
  <si>
    <t xml:space="preserve">Concreto simples usinado fck=35mpa, bombeado, lançado e adensado em superestrutura </t>
  </si>
  <si>
    <t>4.2</t>
  </si>
  <si>
    <t>PILARES</t>
  </si>
  <si>
    <t>4.2.1</t>
  </si>
  <si>
    <t xml:space="preserve">Fabricação, montagem e desmontagem de fôrma de pilares retangulares e estruturas similares, pé-direito duplo, em chapa de madeira compensada plastificada, 10 utilizações. </t>
  </si>
  <si>
    <t>4.2.2</t>
  </si>
  <si>
    <t>4.2.3</t>
  </si>
  <si>
    <t>Armação de pilar ou viga de uma estrutura convencional de concreto armado em um edifício de múltiplos pavimentos utilizando aço ca-50 de 6,3 mm - montagem.</t>
  </si>
  <si>
    <t>4.2.4</t>
  </si>
  <si>
    <t>4.2.5</t>
  </si>
  <si>
    <t>4.2.6</t>
  </si>
  <si>
    <t>4.2.7</t>
  </si>
  <si>
    <t>4.2.8</t>
  </si>
  <si>
    <t>4.2.9</t>
  </si>
  <si>
    <t>4.2.10</t>
  </si>
  <si>
    <t>Cimbramento tubular metálico</t>
  </si>
  <si>
    <t>m³xmês</t>
  </si>
  <si>
    <t>4.2.11</t>
  </si>
  <si>
    <t>4.2.12</t>
  </si>
  <si>
    <t>4.3</t>
  </si>
  <si>
    <t>LAJES</t>
  </si>
  <si>
    <t>4.3.1</t>
  </si>
  <si>
    <t xml:space="preserve">FABRICAÇÃO, MONTAGEM E DESMONTAGEM DE FÔRMA DE LAJE MACIÇA, PÉ-DIREITO DUPLO, EM CHAPA DE MADEIRA COMPENSADA RESINADA, INCLUSIVE ESCORAMENTO h=3,00 à 4,50 m, 6 UTILIZAÇÕES. </t>
  </si>
  <si>
    <t>4.3.2</t>
  </si>
  <si>
    <t>FABRICAÇÃO, MONTAGEM E DESMONTAGEM DE FÔRMA DE LAJE NERVURADA COM CUBETA E ASSOALHO, PÉ-DIREITO DUPLO, EM CHAPA DE MADEIRA COMPENSADA RESINADA, INCLUSIVE ESCORAMENTO h=3,00 à 4,50 m, 06 UTILIZAÇÕES.</t>
  </si>
  <si>
    <t>4.3.3</t>
  </si>
  <si>
    <t xml:space="preserve">Armação de laje de uma estrutura convencional de concreto armado em um edifício de múltiplos pavimentos utilizando aço ca-50 de 6,3 mm - montagem. </t>
  </si>
  <si>
    <t>4.3.4</t>
  </si>
  <si>
    <t>Armação de laje de uma estrutura convencional de concreto armado em um edifício de múltiplos pavimentos utilizando aço ca-50 de 8,0 mm - montagem.</t>
  </si>
  <si>
    <t>4.3.5</t>
  </si>
  <si>
    <t xml:space="preserve">Armação de laje de uma estrutura convencional de concreto armado em um edifício de múltiplos pavimentos utilizando aço ca-50 de 10,0 mm - montagem. </t>
  </si>
  <si>
    <t>4.3.6</t>
  </si>
  <si>
    <t xml:space="preserve">Armação de laje de uma estrutura convencional de concreto armado em um edifício de múltiplos pavimentos utilizando aço ca-50 de 12,5 mm - montagem. </t>
  </si>
  <si>
    <t>4.3.7</t>
  </si>
  <si>
    <t xml:space="preserve">Armação de laje de uma estrutura convencional de concreto armado em um edifício de múltiplos pavimentos utilizando aço ca-50 de 16,0 mm - montagem. </t>
  </si>
  <si>
    <t>4.3.8</t>
  </si>
  <si>
    <t xml:space="preserve">Armação de laje de uma estrutura convencional de concreto armado em um edifício de múltiplos pavimentos utilizando aço ca-50 de 20,0 mm - montagem. </t>
  </si>
  <si>
    <t>4.3.9</t>
  </si>
  <si>
    <t>ARMAÇÃO DE LAJE DE UMA ESTRUTURA CONVENCIONAL DE CONCRETO ARMADO EM UM EDIFÍCIO DE MÚLTIPLOS PAVIMENTOS UTILIZANDO AÇO CA-50 DE 25,0 MM - MONTAGEM.</t>
  </si>
  <si>
    <t>4.3.10</t>
  </si>
  <si>
    <t>5.0</t>
  </si>
  <si>
    <t>PAREDES E PAINEIS</t>
  </si>
  <si>
    <t>5.1.1</t>
  </si>
  <si>
    <t>MURO DE ARRIMO DE ALVENARIA DE PEDRA ARGAMASSADA</t>
  </si>
  <si>
    <t>5.1.2</t>
  </si>
  <si>
    <t xml:space="preserve">FIXAÇÃO (ENCUNHAMENTO) DE ALVENARIA DE VEDAÇÃO COM TIJOLO MACIÇO. 
aplicada com bisnaga. </t>
  </si>
  <si>
    <t>5.1.3</t>
  </si>
  <si>
    <t xml:space="preserve">ALVENARIA DE EMBASAMENTO COM BLOCO ESTRUTURAL DE CONCRETO, DE 14X19X29CM E ARGAMASSA DE ASSENTAMENTO COM PREPARO EM BETONEIRA. </t>
  </si>
  <si>
    <t>5.1.4</t>
  </si>
  <si>
    <t xml:space="preserve">ALVENARIA DE VEDAÇÃO DE BLOCOS CERÂMICOS FURADOS NA HORIZONTAL DE 9X19X19CM (ESPESSURA 9CM) DE PAREDES COM ÁREA LÍQUIDA MAIOR OU IGUAL A 6M² COM VÃOS E ARGAMASSA DE ASSENTAMENTO COM PREPARO EM BETONEIRA. </t>
  </si>
  <si>
    <t>5.1.5</t>
  </si>
  <si>
    <t xml:space="preserve">ALVENARIA DE VEDAÇÃO DE BLOCOS VAZADOS DE CONCRETO DE 19X19X39CM (ESPESSURA 19CM) DE PAREDES COM ÁREA LÍQUIDA MAIOR OU IGUAL A 6M² COM VÃOS E ARGAMASSA DE ASSENTAMENTO COM PREPARO MANUAL. </t>
  </si>
  <si>
    <t>5.1.6</t>
  </si>
  <si>
    <t xml:space="preserve">PAREDE COM PLACAS DE GESSO ACARTONADO (DRYWALL), PARA USO INTERNO, COM DUAS FACES SIMPLES E ESTRUTURA METÁLICA COM GUIAS DUPLAS, COM VÃOS. </t>
  </si>
  <si>
    <t>5.1.7</t>
  </si>
  <si>
    <t xml:space="preserve">VERGA PRÉ-MOLDADA PARA JANELAS COM MAIS DE 1,5 M DE VÃO. </t>
  </si>
  <si>
    <t>6.0</t>
  </si>
  <si>
    <t>REVESTIMENTO</t>
  </si>
  <si>
    <t>6.1</t>
  </si>
  <si>
    <t xml:space="preserve">REVESTIMENTO INTERNO </t>
  </si>
  <si>
    <t>6.1.1</t>
  </si>
  <si>
    <t xml:space="preserve">CHAPISCO APLICADO EM ALVENARIAS E ESTRUTURAS DE CONCRETO INTERNAS, COM COLHER DE PEDREIRO.  ARGAMASSA TRAÇO 1:3 COM PREPARO EM BETONEIRA 400L. </t>
  </si>
  <si>
    <t>6.1.2</t>
  </si>
  <si>
    <t xml:space="preserve">Emboço, para recebimento de cerâmica, em argamassa traço 1:2:8, preparo mecânico com betoneira 400l, aplicado manualmente em faces internas de paredes, para ambiente com área  maior que 10m², espessura de 20mm, com execução de taliscas. </t>
  </si>
  <si>
    <t>6.1.3</t>
  </si>
  <si>
    <t xml:space="preserve">Massa única, para recebimento de pintura, em argamassa traço 1:2:8, preparo mecânico com betoneira 400l, aplicada manualmente em faces internas de paredes, espessura de 20mm, com execução de taliscas.
</t>
  </si>
  <si>
    <t>6.1.4</t>
  </si>
  <si>
    <t xml:space="preserve">REVESTIMENTO C/LAMINADO MELAMÍNICO 1MM COLADO </t>
  </si>
  <si>
    <t>6.1.5</t>
  </si>
  <si>
    <t>Revestimento para piso ou parede, Porcelanato Portobello Cetim Bianco 0,60 cm x 0,60 cm, aplicado com argamassa industrializada ac-iii, rejuntado, exclusive regularização de base ou emboço</t>
  </si>
  <si>
    <t>6.1.6</t>
  </si>
  <si>
    <t>REVESTIMENTO PEDRA GRANITO EM PAREDES</t>
  </si>
  <si>
    <t>6.1.7</t>
  </si>
  <si>
    <t>Revestimento para parede com barita, e= 4 cm</t>
  </si>
  <si>
    <t>6.2</t>
  </si>
  <si>
    <t>REVESTIMENTO EXTERNO</t>
  </si>
  <si>
    <t>6.2.1</t>
  </si>
  <si>
    <t xml:space="preserve">CHAPISCO APLICADO EM ALVENARIA (COM PRESENÇA DE VÃOS) E ESTRUTURAS DE CONCRETO DE FACHADA, COM COLHER DE PEDREIRO.  ARGAMASSA TRAÇO 1:3 COM PREPARO EM BETONEIRA 400L. </t>
  </si>
  <si>
    <t>6.2.2</t>
  </si>
  <si>
    <t xml:space="preserve">EMBOÇO OU MASSA ÚNICA EM ARGAMASSA TRAÇO 1:2:8, PREPARO MECÂNICO COM BETONEIRA 400 L, APLICADA MANUALMENTE EM SUPERFÍCIES EXTERNAS DA SACADA, ESPESSURA DE 25 MM, SEM USO DE TELA METÁLICA DE REFORÇO CONTRA FISSURAÇÃO. </t>
  </si>
  <si>
    <t>6.2.3</t>
  </si>
  <si>
    <t>REVESTIMENTO Surface: Fjord 7,5 cm x 7,5 cm PORTOBELLO</t>
  </si>
  <si>
    <t>6.2.4</t>
  </si>
  <si>
    <t>REVESTIMENTO All Bricks formato 7 x 26 cm, Georgian red PORTOBELLO</t>
  </si>
  <si>
    <t>6.2.5</t>
  </si>
  <si>
    <t>REVESTIMENTO Surface: off White 7,5 cm x 7,5 cm PORTOBELLO</t>
  </si>
  <si>
    <t>6.2.6</t>
  </si>
  <si>
    <t>REVESTIMENTO All Bricks formato 7 x 26 cm, Bricks gold PORTOBELLO</t>
  </si>
  <si>
    <t>7.0</t>
  </si>
  <si>
    <t>PAVIMENTAÇÃO</t>
  </si>
  <si>
    <t>7.1</t>
  </si>
  <si>
    <t>PAVIMENTAÇÃO INTERNA</t>
  </si>
  <si>
    <t>7.1.1</t>
  </si>
  <si>
    <t>CONTRAPISO EM ARGAMASSA TRAÇO 1:4 (CIMENTO E AREIA), PREPARO MECÂNICO COM BETONEIRA 400 L, APLICADO EM ÁREAS SECAS SOBRE LAJE, NÃO ADERIDO, ACABAMENTO NÃO REFORÇADO, ESPESSURA 5CM. AF_07/2021</t>
  </si>
  <si>
    <t>7.1.2</t>
  </si>
  <si>
    <t xml:space="preserve">PISO CIMENTADO OU CAMADA REGULARIZADORA, TRAÇO 1:3 (CIMENTO E AREIA), ACABAMENTO LISO, ESPESSURA 2,0 CM, PREPARO MECÂNICO DA ARGAMASSA. </t>
  </si>
  <si>
    <t>7.1.3</t>
  </si>
  <si>
    <t xml:space="preserve">Piso alta resistência ou industrial de 6cm, comum, cor cinza, juntas, sem polimento, inclusive argamassa de regularização, aplicado </t>
  </si>
  <si>
    <t>7.1.4</t>
  </si>
  <si>
    <t>7.1.5</t>
  </si>
  <si>
    <t>Revestimento para piso ou parede, Porcelanato Portobello Malibu Fog 20 cm x 20 cm, aplicado com argamassa industrializada ac-iii, rejuntado, exclusive regularização de base ou emboço</t>
  </si>
  <si>
    <t>7.1.6</t>
  </si>
  <si>
    <t xml:space="preserve">PISO EM GRANITO APLICADO EM AMBIENTES INTERNOS. </t>
  </si>
  <si>
    <t>7.1.7</t>
  </si>
  <si>
    <t xml:space="preserve">SOLEIRA EM GRANITO, LARGURA 15 CM, ESPESSURA 2,0 CM. </t>
  </si>
  <si>
    <t>7.1.8</t>
  </si>
  <si>
    <t xml:space="preserve">Peitoril granito preto 20 x 2cm	</t>
  </si>
  <si>
    <t>7.2</t>
  </si>
  <si>
    <t>PAVIMENTAÇÃO EXTERNA</t>
  </si>
  <si>
    <t>7.2.1</t>
  </si>
  <si>
    <t xml:space="preserve">Piso alta resistência ou industrial de 12 cm, comum, cor cinza, juntas, sem polimento, inclusive argamassa de regularização, aplicado </t>
  </si>
  <si>
    <t>7.2.2</t>
  </si>
  <si>
    <t xml:space="preserve">Execução de passeio em piso intertravado, com bloco retangular 20 x 10 cm, espessura 6 cm, inc colchão de areia. </t>
  </si>
  <si>
    <t>7.2.3</t>
  </si>
  <si>
    <t xml:space="preserve">PISO PODOTÁTIL, DIRECIONAL OU ALERTA, ASSENTADO SOBRE ARGAMASSA. </t>
  </si>
  <si>
    <t>7.2.4</t>
  </si>
  <si>
    <t xml:space="preserve">GUIA (MEIO-FIO) CONCRETO, MOLDADA  IN LOCO  EM TRECHO CURVO COM EXTRUSORA, 15 CM BASE X 30 CM ALTURA. </t>
  </si>
  <si>
    <t>8.0</t>
  </si>
  <si>
    <t>TETOS E FORROS</t>
  </si>
  <si>
    <t>8.1.1</t>
  </si>
  <si>
    <t>Forro em drywall com placa / chapa de gesso acartonado, standard (st), cor branca, e = 12,5 mm, 1200 x 2400 mm, para ambientes comerciais, inclusive estrutura de fixação, conforme projeto</t>
  </si>
  <si>
    <t>8.1.2</t>
  </si>
  <si>
    <t xml:space="preserve">Forro e revestimento em ACM na cor branca inclusive fixação, instalado em marquises ou laje	</t>
  </si>
  <si>
    <t>8.1.3</t>
  </si>
  <si>
    <t>Assentamento de forro de gesso acartonado removível, cor branco, placa 1243 x 618mm, gessolyne gypsum ou similar, instalado sobre perfís metálicos</t>
  </si>
  <si>
    <t>8.1.4</t>
  </si>
  <si>
    <t>Forro acústico em placas de fibra mineral dim.1200x600x16mm,  absorção sonora NRC = 0,55, reflexão luz = 0,79, marca Armstrong, ref. Clean Room, ou similar, resist. fogo: classe A, instalado sobre perfís metálicos</t>
  </si>
  <si>
    <t>9.0</t>
  </si>
  <si>
    <t>IMPERMEABILIZAÇÃO</t>
  </si>
  <si>
    <t>9.1.1</t>
  </si>
  <si>
    <t xml:space="preserve">Impermeabilização de superfície com manta asfáltica, uma camada, inclusive aplicação de primer asfáltico, e=4mm. </t>
  </si>
  <si>
    <t>9.1.2</t>
  </si>
  <si>
    <t xml:space="preserve">IMPERMEABILIZAÇÃO DE SUPERFÍCIE ENTERRADA COM EMULSÃO ASFÁLTICA, 2 DEMÃOS </t>
  </si>
  <si>
    <t>10.0</t>
  </si>
  <si>
    <t>ESQUADRIAS</t>
  </si>
  <si>
    <t>10.1</t>
  </si>
  <si>
    <t>PORTAS, JANELAS E ESTRUTURAS FIXAS</t>
  </si>
  <si>
    <t>10.1.1</t>
  </si>
  <si>
    <t>KIT DE PORTA-PRONTA DE MADEIRA (PG1 e PG1ac), 90X210CM, 1 FOLHA, TIPO GIRO, BORDA TOTAL EM ABS RESISTENTE AO IMPACTO,  REVESTIDA EM ACABAMENTO MELAMÍNICO BRANCO LAQUEADO, HPL, CAIXA DE PORTA E ALIZARES EM MADEIRA LAQUEADA DA MESMA COR, FERRAGENS EM AÇO INOX AISI 304, MAÇANETA TIPO ALAVANCA, INC. DE ACORDO COM PROJETO DE ACESSIBILIDADE,  MARCA MULTIDOOR - FORNECIMENTO E INSTALAÇÃO</t>
  </si>
  <si>
    <t>10.1.2</t>
  </si>
  <si>
    <t>KIT DE PORTA-PRONTA DE MADEIRA (PG2), 1,00X210CM, 1 FOLHA, TIPO GIRO, BORDA TOTAL EM ABS RESISTENTE AO IMPACTO,  REVESTIDA EM ACABAMENTO MELAMÍNICO BRANCO LAQUEADO, HPL, CAIXA DE PORTA E ALIZARES EM MADEIRA LAQUEADA DA MESMA COR, FERRAGENS EM AÇO INOX AISI 304, MAÇANETA TIPO ALAVANCA,  MARCA MULTIDOOR - FORNECIMENTO E INSTALAÇÃO</t>
  </si>
  <si>
    <t>10.1.3</t>
  </si>
  <si>
    <t>KIT DE PORTA-PRONTA DE MADEIRA (PG5), 1100X210CM, 1 FOLHA, TIPO GIRO, BORDA TOTAL EM ABS RESISTENTE AO IMPACTO,  REVESTIDA EM ACABAMENTO MELAMÍNICO BRANCO, HPL,  PROTEÇÃO CONTRA IMPACTO EM PVC NAS DUAS FACES ATÉ A ALTURA DE 90CM, CAIXA DE PORTA E ALIZARES EM MADEIRA LAQUEADA DA MESMA COR, FERRAGENS EM AÇO INOX AISI 304, MARCA MULTIDOOR - FORNECIMENTO E INSTALAÇÃO</t>
  </si>
  <si>
    <t>10.1.4</t>
  </si>
  <si>
    <t>PORTA LAMINADA (PG6), 1,60X2,10CM, 2 FOLHAS, COM REQUADRO EM MADEIRA MACIÇA, REVESTIDA EM LAMINADO TEXTURIZADO BRANCO, TIPO GIRO, CAIXA DE PORTA E ALIZARES EM MADEIRA MACIÇA, FERRAGENS EM AÇO INOX AISI 304 - FORNECIMENTO E INSTALAÇÃO</t>
  </si>
  <si>
    <t>10.1.5</t>
  </si>
  <si>
    <t>KIT DE PORTA-PRONTA DE MADEIRA (PG3v), 1,00X2,10CM, 1 FOLHA, TIPO GIRO, BORDA TOTAL EM ABS RESISTENTE AO IMPACTO,  REVESTIDA EM ACABAMENTO MELAMÍNICO BRANCO, HPL, PROTEÇÃO CONTRA IMPACTO EM PVC NAS DUAS FACES ATÉ A ALTURA DE 90CM, CAIXA DE PORTA E ALIZARES EM MADEIRA LAQUEADA DA MESMA COR, FERRAGENS EM AÇO INOX AISI 304, MAÇANETA TIPO ALAVANCA, COM VISOR EM VIDRO, MARCA MULTIDOOR - FORNECIMENTO E INSTALAÇÃO</t>
  </si>
  <si>
    <t>10.1.6</t>
  </si>
  <si>
    <t>KIT DE PORTA-PRONTA DE MADEIRA (PC1 e PC1ac), 1,00X2,10CM, 1 FOLHA, TIPO CORRER, BORDA TOTAL EM ABS RESISTENTE AO IMPACTO,  REVESTIDA EM ACABAMENTO MELAMÍNICO BRANCO, HPL, CAIXA DE PORTA E ALIZARES EM MADEIRA LAQUEADA DA MESMA COR, TRILHOS SUSPENSOS, FERRAGENS EM AÇO INOX AISI 304, MAÇANETA TIPO ALÇA, INC. DE ACORDO COM PROJETO DE ACESSIBILIDADE, MARCA MULTIDOOR - FORNECIMENTO E INSTALAÇÃO</t>
  </si>
  <si>
    <t>10.1.7</t>
  </si>
  <si>
    <t>Kit porta pronta (PGC1), 1,00X210CM, tipo giro, 1 folha, proteção interna em chumbo. Revestimento laminado melamínico, HPL, na cor branca, caixa de porta e alizares em aço com pintura eletrostática branca - FORNECIMENTO E INSTALAÇÃO.</t>
  </si>
  <si>
    <t>10.1.8</t>
  </si>
  <si>
    <t>PORTA DE MADEIRA (PG4v), 1,60X2,10CM, 2 FOLHA ASSIMÉTRICAS, SENDO UMA DE 90CM E OUTRA DE 70CM, TIPO GIRO, BORDA TOTAL EM ABS RESISTENTE AO IMPACTO,  REVESTIDA EM ACABAMENTO MELAMÍNICO BRANCO, HPL, PROTEÇÃO CONTRA IMPACTO EM PVC NAS DUAS FACES ATÉ A ALTURA DE 90CM, CAIXA DE PORTA E ALIZARES EM MADEIRA LAQUEADA DA MESMA COR, FERRAGENS EM AÇO INOX AISI 304, COM VISOR EM VIDRO NAS DUAS FOLHAS, MARCA MULTIDOOR - FORNECIMENTO E INSTALAÇÃO</t>
  </si>
  <si>
    <t>10.1.9</t>
  </si>
  <si>
    <t>Porta corta fogo (PCF1), 1,00 x 2,10, de abrir, 01 folha, pintura laqueada na cor branca, isolante em manta cerâmica incombustível e=5cm, dobradiças de mola fechamento automático</t>
  </si>
  <si>
    <t>10.1.10</t>
  </si>
  <si>
    <t>Porta corta fogo (PCF2), 1,50 x 2,10, de abrir, 02 folhas, assimétricas, sendo uma folha de 90cm e outra de 60cm, pintura laqueada na cor branca, isolante em manta cerâmica incombustível e=5cm, dobradiças de mola fechamento automático</t>
  </si>
  <si>
    <t>10.1.11</t>
  </si>
  <si>
    <t>Porta corta fogo (PCF3), 2,00 x 2,10, de abrir, 02 folhas,  medindo 1,00 cada, pintura laqueada na cor branca, isolante em manta cerâmica incombustível e=5cm, barra antipânico e barra magnética para fechamento automático.</t>
  </si>
  <si>
    <t>10.1.12</t>
  </si>
  <si>
    <t>Fornecimento e instalação de painel em alumínio fixa com abertura de janela, tipo maxim-ar, linha gold (PAV13, PAV16, PAV17, PAV18, PAV27, PAV28, PAV31 e PAV35), em vidro laminado 3+3 refletivo e estrutura em alumínio branco.</t>
  </si>
  <si>
    <t>10.1.13</t>
  </si>
  <si>
    <t>Fornecimento e instalação de painel em alumínio fixa, linha gold (PAV6, PAV34, PAV47, PAV48, PAV49, PAV56 e PAV60), em vidro laminado 3+3 refletivo e estrutura em alumínio branco.</t>
  </si>
  <si>
    <t>10.1.14</t>
  </si>
  <si>
    <t>Fornecimento e  instalação de estrutura em alumínio fixa com porta, tipo giro, linha gold (PAV14, PAV41, PAV42, PAV45, PAV46, PAV50, PAV52, PAV53, PAV54 e PAV55), em vidro laminado 3+3 refletivo e estrutura em alumínio branco.</t>
  </si>
  <si>
    <t>10.1.15</t>
  </si>
  <si>
    <t>Fornecimento e  instalação de estrutura em alumínio fixa com porta, tipo correr, com abertura por sensor de presença, aberturas de janelas, tipo correr, linha gold (PAV5), em vidro laminado 3+3 refletivo e estrutura em alumínio branco.</t>
  </si>
  <si>
    <t>10.1.16</t>
  </si>
  <si>
    <t>Fornecimento e  instalação de estrutura em alumínio fixa com porta, tipo giro, com mola aérea, linha gold (PAV59), em vidro laminado 3+3 refletivo e estrutura em alumínio branco.</t>
  </si>
  <si>
    <t>10.1.17</t>
  </si>
  <si>
    <t>Fornecimento e  instalação de estrutura em alumínio fixa com porta, tipo correr, linha gold (PAV3, PAV43, PAV51A, PAV51B, PAV57 e PAV58), em vidro laminado 3+3 refletivo e estrutura em alumínio branco.</t>
  </si>
  <si>
    <t>10.1.18</t>
  </si>
  <si>
    <t>Fornecimento e instalação de painel em alumínio fixa com abertura de janela, tipo correr, linha gold (PAV0, PAV00, PAV1, PAV2, PAV4, PAV7, PAV8, PAV9, PAV10, PAV11, PAV12, PAV15, PAV19, PAV20, PAV21, PAV22, PAV23, PAV24, PAV25, PAV26, PAV30, PAV32, PAV33, PAV36, PAV37, PAV38, PAV39 e PAV40), em vidro laminado 3+3 refletivo e estrutura em alumínio branco.</t>
  </si>
  <si>
    <t>10.1.19</t>
  </si>
  <si>
    <t>Fornecimento e  instalação de janela tipo ghilhotina, em alumínio branco, medindo 0,90 X 1,50m.</t>
  </si>
  <si>
    <t>und</t>
  </si>
  <si>
    <t>10.1.20</t>
  </si>
  <si>
    <t>Fornecimento e  instalação de janela tipo ghilhotina, em alumínio branco, medindo 0,40 X 1,50m.</t>
  </si>
  <si>
    <t>10.1.21</t>
  </si>
  <si>
    <t>Porta em réguas de alumínio anodizado na cor branco (PA1), medindo 1,00 X 2,10, tipo giro.</t>
  </si>
  <si>
    <t>10.1.22</t>
  </si>
  <si>
    <t>Porta para divisória sanitária (PDS1), medindo 0,80 X 1,90, em painel laminado melamínico estrutural com perfis em alumínio, inclusive ferragem completa para vão de porta</t>
  </si>
  <si>
    <t>10.1.23</t>
  </si>
  <si>
    <t>Fornecimento e  instalação de porta de enrolar (PR1) em alumínio branco, modelo em tira de meia cana e sistema de elevação manual.</t>
  </si>
  <si>
    <t>10.1.24</t>
  </si>
  <si>
    <t>Porta para shaft, tipo giro (PSH1)  em madeira dim: 1,20x2,10m, em MDF, revestida em laminado melamínico, incluso batente e ferragens - fornecimento e instalaç,ão.</t>
  </si>
  <si>
    <t>10.1.25</t>
  </si>
  <si>
    <t>Fornecimento e  instalação de janela em alumínio linha gold (J01), em vidro refletivo e estrutura em alumínio branco, medindo 0,90 X 0,90m, sendo 01 folha tipo maximar e 1 folha fixa.</t>
  </si>
  <si>
    <t>10.2</t>
  </si>
  <si>
    <t>OUTROS</t>
  </si>
  <si>
    <t>10.2.1</t>
  </si>
  <si>
    <t xml:space="preserve">Guarda-corpo com corrimão duplo em tubo de aço inox, com montantes flangeado em tubo inox com conexão curva nas extremidades, com acabamento polido, h1,10 fixado </t>
  </si>
  <si>
    <t>10.2.2</t>
  </si>
  <si>
    <t xml:space="preserve">Corrimão em aço inox polido, duplo	</t>
  </si>
  <si>
    <t>10.2.3</t>
  </si>
  <si>
    <t xml:space="preserve">Guarda-corpo em alumínio anodizado e vidro laminado, h=0,70 </t>
  </si>
  <si>
    <t>10.2.4</t>
  </si>
  <si>
    <t>Guarda-corpo em alumínio anodizado e vidro laminado, h=0,90</t>
  </si>
  <si>
    <t>10.2.5</t>
  </si>
  <si>
    <t>Escada marinheiro com guarda corpo, L=45cm, executada em barras chata galvanizada 1 1/4” x 5/16”, e guarda corpo d=65cm em barra chata galv.d=1”x1/8”, sendo degraus em barra red. d=5/8”, espaçados de 30cm, inclusive lixamento e pintura, fornec e inst</t>
  </si>
  <si>
    <t>10.2.6</t>
  </si>
  <si>
    <t>Pergolado/caramanchão em madeira</t>
  </si>
  <si>
    <t>10.2.7</t>
  </si>
  <si>
    <t>Fornecimento e  instalação de Brise metálico  Quadrobrise 32 x 32, Hunter Douglas.</t>
  </si>
  <si>
    <t>10.2.8</t>
  </si>
  <si>
    <t>ESTRUTURA DE ALUMINIO P/ MARQUISE METALICA DE COBERTURA, INCLUSO TELHA BRANCA PARA COVERTURA EXC. REVESTIMENTO EM ACM.</t>
  </si>
  <si>
    <t>10.2.9</t>
  </si>
  <si>
    <t>Fornecimento e  instalação de Brise metálico curvo/móvel termoacústico, Cortasol FINS 25, Hunter Douglas ou Quadrobrise 32x32 Hunter Douglas.</t>
  </si>
  <si>
    <t>11.0</t>
  </si>
  <si>
    <t>PINTURA</t>
  </si>
  <si>
    <t>11.1.1</t>
  </si>
  <si>
    <t>Aplicação e lixamento de massa látex em paredes, duas demãos.</t>
  </si>
  <si>
    <t>11.1.2</t>
  </si>
  <si>
    <t xml:space="preserve">APLICAÇÃO E LIXAMENTO DE MASSA LÁTEX EM TETO, DUAS DEMÃOS. </t>
  </si>
  <si>
    <t>11.1.3</t>
  </si>
  <si>
    <t>Aplicação de fundo selador acrílico em paredes, uma demão.</t>
  </si>
  <si>
    <t>11.1.4</t>
  </si>
  <si>
    <t xml:space="preserve">Aplicação de fundo selador látex pva em teto, uma demão. </t>
  </si>
  <si>
    <t>11.1.5</t>
  </si>
  <si>
    <t>Pintura acrilica semi brilho em paredes marca Sherwin Williams - duas demãos</t>
  </si>
  <si>
    <t>11.1.6</t>
  </si>
  <si>
    <t>Pintura acrilica semi brilho em paredes marca Sherwin Williams em tetos - duas demãos</t>
  </si>
  <si>
    <t>12.0</t>
  </si>
  <si>
    <t>COBERTURA</t>
  </si>
  <si>
    <t>12.1.1</t>
  </si>
  <si>
    <t>Chapim de concreto pré-moldado</t>
  </si>
  <si>
    <t>12.1.2</t>
  </si>
  <si>
    <t>Linha de vida com tubo de aço galvanizado e cabo de aço</t>
  </si>
  <si>
    <t>13.0</t>
  </si>
  <si>
    <t>INSTALAÇÕES ELÉTRICAS E DE LÓGICA</t>
  </si>
  <si>
    <t>13.1</t>
  </si>
  <si>
    <t>ELETRODUTOS, ELETROCALHAS, DUTOS E CAIXAS DE PASSAGEM</t>
  </si>
  <si>
    <t>13.1.1</t>
  </si>
  <si>
    <t xml:space="preserve">Fornecimento e instalação de eletrocalha perfurada 200 x 50 x 3000 mm	</t>
  </si>
  <si>
    <t>13.1.2</t>
  </si>
  <si>
    <t>Curva Horizontal 45 PARA ELETROCALHA 200x50 mm</t>
  </si>
  <si>
    <t>13.1.3</t>
  </si>
  <si>
    <t>Curva horizontal 90° para eletrocalha metálica, 200x50mm</t>
  </si>
  <si>
    <t>13.1.4</t>
  </si>
  <si>
    <t>Curva vertical para eletrocalha metálica, com ângulo 45° 200x50 mm</t>
  </si>
  <si>
    <t>13.1.5</t>
  </si>
  <si>
    <t xml:space="preserve">Tê horizontal 90° 200 x 50 mm com base lisa perfurada para eletrocalha metálica </t>
  </si>
  <si>
    <t>13.1.6</t>
  </si>
  <si>
    <t xml:space="preserve">Emenda interna 200 x 50 mm com base lisa perfurada para eletrocalha metálica </t>
  </si>
  <si>
    <t>13.1.7</t>
  </si>
  <si>
    <t xml:space="preserve">Duto corrugado flexível em PEAD Ø = 6", tipo Kanalex ou similar, lançado diretamente no solo, exclusive escavação e reaterro	</t>
  </si>
  <si>
    <t>13.1.8</t>
  </si>
  <si>
    <t>ELETRODUTO FLEXÍVEL CORRUGADO, PVC, DN 20 MM (1/2”), PARA CIRCUITOS TERMINAIS, INSTALADO EM PAREDE OU TETO - FORNECIMENTO E INSTALAÇÃO. Marca Tigre</t>
  </si>
  <si>
    <t>13.1.9</t>
  </si>
  <si>
    <t>ELETRODUTO FLEXÍVEL CORRUGADO, PVC, DN 25 MM (3/4”), PARA CIRCUITOS TERMINAIS, INSTALADO EM PAREDE OU TETO - FORNECIMENTO E INSTALAÇÃO. Marca Tigre</t>
  </si>
  <si>
    <t>13.1.10</t>
  </si>
  <si>
    <t>ELETRODUTO FLEXÍVEL CORRUGADO, PVC, DN 32 MM (1”), PARA CIRCUITOS TERMINAIS, INSTALADO EM PAREDE OU TETO - FORNECIMENTO E INSTALAÇÃO. Marca Tigre</t>
  </si>
  <si>
    <t>13.1.11</t>
  </si>
  <si>
    <t xml:space="preserve">CAIXA OCTOGONAL 4” X 4”, PVC, INSTALADA EM LAJE - FORNECIMENTO E INSTALAÇÃO. </t>
  </si>
  <si>
    <t>13.1.12</t>
  </si>
  <si>
    <t>CAIXA RETANGULAR 4” X 2” MÉDIA (1,30 M DO PISO), PVC, INSTALADA EM PAREDE - FORNECIMENTO E INSTALAÇÃO. Marca Tigre.</t>
  </si>
  <si>
    <t>13.1.13</t>
  </si>
  <si>
    <t>CAIXA RETANGULAR 4” X 4” MÉDIA (1,30 M DO PISO), PVC, INSTALADA EM PAREDE - FORNECIMENTO E INSTALAÇÃO.  Marca Tigre.</t>
  </si>
  <si>
    <t>13.2</t>
  </si>
  <si>
    <t xml:space="preserve">CABOS ELÉTRICOS E LÓGICA </t>
  </si>
  <si>
    <t>13.2.1</t>
  </si>
  <si>
    <t xml:space="preserve">Cabo blindado para alarme e detecção de incêncio 3 x 1,5mm2	</t>
  </si>
  <si>
    <t>13.2.2</t>
  </si>
  <si>
    <t>Cabo de cobre flexível isolado, 1,5 mm², anti-chama 450/750 v, para circuitos terminais - fornecimento e instalação. MARCA COBRECOM, PRYSMIAN, SIL, CORFIO, INDUSCABOS OU NAMBEI</t>
  </si>
  <si>
    <t>13.2.3</t>
  </si>
  <si>
    <t>CABO DE COBRE FLEXÍVEL ISOLADO, 2,5 MM², ANTI-CHAMA 450/750 V, PARA CIRCUITOS TERMINAIS - FORNECIMENTO E INSTALAÇÃO.  MARCA COBRECOM, PRYSMIAN, SIL, CORFIO, INDUSCABOS OU NAMBEI</t>
  </si>
  <si>
    <t>13.2.4</t>
  </si>
  <si>
    <t xml:space="preserve">Cabo de cobre flexível isolado, 4 mm², anti-chama 450/750 v, para circuitos terminais - fornecimento e instalação. af_03/2023	</t>
  </si>
  <si>
    <t>13.2.5</t>
  </si>
  <si>
    <t>CABO DE COBRE FLEXÍVEL ISOLADO, 6 MM², ANTI-CHAMA 450/750 V, PARA CIRCUITOS TERMINAIS - FORNECIMENTO E INSTALAÇÃO.  MARCA COBRECOM, PRYSMIAN, SIL, CORFIO, INDUSCABOS OU NAMBEI</t>
  </si>
  <si>
    <t>13.2.6</t>
  </si>
  <si>
    <t xml:space="preserve">Cabo de cobre flexível isolado, 10 mm², anti-chama 0,6/1,0 kv, para circuitos terminais - fornecimento e instalação. af_03/2023	</t>
  </si>
  <si>
    <t>13.2.7</t>
  </si>
  <si>
    <t xml:space="preserve">Cabo de cobre flexível isolado, 16 mm², anti-chama 0,6/1,0 kv, para circuitos terminais - fornecimento e instalação. af_03/2023	</t>
  </si>
  <si>
    <t>13.2.8</t>
  </si>
  <si>
    <t xml:space="preserve">Cabo de cobre flexível isolado, 25 mm², 0,6/1,0 kv, para rede aérea de distribuição de energia elétrica de baixa tensão - fornecimento e instalação. af_07/2020	</t>
  </si>
  <si>
    <t>13.2.9</t>
  </si>
  <si>
    <t>CABO DE COBRE FLEXÍVEL ISOLADO, 50 MM², ANTI-CHAMA 0,6/1,0 KV, PARA DISTRIBUIÇÃO - FORNECIMENTO E INSTALAÇÃO. MARCA COBRECOM, PRYSMIAN, SIL, CORFIO, INDUSCABOS OU NAMBEI</t>
  </si>
  <si>
    <t>13.2.10</t>
  </si>
  <si>
    <t xml:space="preserve">Cabo de cobre flexível isolado, 185 mm², anti-chama 0,6/1,0 kv, para rede enterrada de distribuição de energia elétrica - fornecimento e instalação. af_12/2021	</t>
  </si>
  <si>
    <t>13.2.11</t>
  </si>
  <si>
    <t xml:space="preserve">Cabo de cobre flexível isolado, 240 mm², anti-chama 0,6/1,0 kv, para rede enterrada de distribuição de energia elétrica - fornecimento e instalação. af_12/2021	</t>
  </si>
  <si>
    <t>13.2.12</t>
  </si>
  <si>
    <t xml:space="preserve">Cabo de cobre, flexivel, classe 4 ou 5, isolacao em pvc/a, antichama bwf-b, cobertura pvc-st1, antichama bwf-b, 1 condutor, 0,6/1 kv, secao nominal 400 mm2	</t>
  </si>
  <si>
    <t>13.2.13</t>
  </si>
  <si>
    <t>Fornecimento e lançamento de cabo utp 4 pares cat 5e Marca SohoPlus ou Legrand</t>
  </si>
  <si>
    <t>13.2.14</t>
  </si>
  <si>
    <t>Fornecimento e lançamento de cabo utp 4 pares cat 6 Marca SohoPlus ou Legrand</t>
  </si>
  <si>
    <t>13.3</t>
  </si>
  <si>
    <t>CENTRAIS ELÉTRICAS</t>
  </si>
  <si>
    <t>13.3.1</t>
  </si>
  <si>
    <t xml:space="preserve">Quadro de distribuição de energia em chapa de aço galvanizado, de sobrepor, com barramento trifásico, para 18 disjuntores 150a, exc. disjuntores - fornecimento e instalação. </t>
  </si>
  <si>
    <t>13.3.2</t>
  </si>
  <si>
    <t xml:space="preserve">Quadro de distribuição de energia em chapa de aço galvanizado, de sobrepor, com barramento trifásico, para 30 disjuntores 150a, exc. disjuntores- fornecimento e instalação. 	</t>
  </si>
  <si>
    <t>13.3.3</t>
  </si>
  <si>
    <t xml:space="preserve">Quadro de distribuição de energia em chapa de aço galvanizado, de sobrepor, com barramento bifásico, para 44 disjuntores 150a, exc. disjuntores- fornecimento e instalação. 	</t>
  </si>
  <si>
    <t>13.3.4</t>
  </si>
  <si>
    <t xml:space="preserve">Quadro de distribuição de sobrepor, em resina termoplástica, para até 24 disjuntores, com barramento, padrão DIN, exclusive disjuntores	</t>
  </si>
  <si>
    <t>13.3.5</t>
  </si>
  <si>
    <t xml:space="preserve">Quadro de distribuição de sobrepor, em resina termoplástica, para até 36 disjuntores, com barramento, padrão DIN, exclusive disjuntores	</t>
  </si>
  <si>
    <t>13.3.6</t>
  </si>
  <si>
    <t xml:space="preserve">Disjuntor termomagnético tripolar 100 A com caixa moldada 10 kA	</t>
  </si>
  <si>
    <t>13.3.7</t>
  </si>
  <si>
    <t xml:space="preserve">Disjuntor termomagnético tripolar 125 A com caixa moldada 10 kA	</t>
  </si>
  <si>
    <t>13.3.8</t>
  </si>
  <si>
    <t xml:space="preserve">Disjuntor termomagnético tripolar 200 A com caixa moldada 10 kA	</t>
  </si>
  <si>
    <t>13.3.9</t>
  </si>
  <si>
    <t xml:space="preserve">	DISPOSITIVO DPS CLASSE II, 1 POLO, TENSAO MAXIMA DE 275 V, CORRENTE MAXIMA DE *45* KA (TIPO AC). marca Schneider</t>
  </si>
  <si>
    <t>13.3.10</t>
  </si>
  <si>
    <t>DISPOSITIVO DPS CLASSE II, 1 POLO, TENSAO MAXIMA DE 385 V, CORRENTE MAXIMA DE *90* KA (TIPO AC). marca Schneider</t>
  </si>
  <si>
    <t>13.3.11</t>
  </si>
  <si>
    <t>Disjuntor bipolar DR 25 A - Dispositivo residual diferencial, tipo AC, 30MA. marca Schneider</t>
  </si>
  <si>
    <t>13.3.12</t>
  </si>
  <si>
    <t>Disjuntor bipolar DR 40 A - Dispositivo residual diferencial, tipo AC, 30MA. marca Schneider</t>
  </si>
  <si>
    <t>13.3.13</t>
  </si>
  <si>
    <t xml:space="preserve">Disjuntor bipolar DR 63 A - Dispositivo residual diferencial, tipo AC, 30MA	</t>
  </si>
  <si>
    <t>13.3.14</t>
  </si>
  <si>
    <t xml:space="preserve">Disjuntor bipolar DR 80 A - Dispositivo residual diferencial, tipo AC, 30MA	</t>
  </si>
  <si>
    <t>13.3.15</t>
  </si>
  <si>
    <t xml:space="preserve">Disjuntor bipolar DR 100 A - Dispositivo residual diferencial, tipo AC, 30MA	</t>
  </si>
  <si>
    <t>13.3.16</t>
  </si>
  <si>
    <t xml:space="preserve">Dispositivo DR tetrapolar 80 A, tipo AC, 30MA	</t>
  </si>
  <si>
    <t>13.3.17</t>
  </si>
  <si>
    <t xml:space="preserve">Dispositivo DR tetrapolar 100 A, tipo AC, 30MA	</t>
  </si>
  <si>
    <t>13.3.18</t>
  </si>
  <si>
    <t>Disjuntor tetrapolar DR 125 A - Dispositivo residual diferencial, tipo AC, 30MA. marca Schneider</t>
  </si>
  <si>
    <t>13.3.19</t>
  </si>
  <si>
    <t>Disjuntor termomagnetico monopolar 10 A, padrão DIN (linha branca) curva de disparo C, corrente de interrupção 5KA, marca Schneider</t>
  </si>
  <si>
    <t>13.3.20</t>
  </si>
  <si>
    <t>Disjuntor termomagnetico monopolar 16 A, padrão DIN (linha branca) curva de disparo C, corrente de interrupção 5KA, marca Schneider</t>
  </si>
  <si>
    <t>13.3.21</t>
  </si>
  <si>
    <t>Disjuntor termomagnetico monopolar 20 A, padrão DIN (Europeu - linha branca), curva B, corrente 5KA marca Schneider</t>
  </si>
  <si>
    <t>13.3.22</t>
  </si>
  <si>
    <t>Disjuntor termomagnetico monopolar 20 A, padrão DIN (Europeu - linha branca), curva C, corrente 5KA marca Schneider</t>
  </si>
  <si>
    <t>13.3.23</t>
  </si>
  <si>
    <t>Disjuntor termomagnético monopolar 25 A, padrão DIN (linha branca), curva de disparo C, corrente de interrupção 5KA, marca Schneider</t>
  </si>
  <si>
    <t>13.3.24</t>
  </si>
  <si>
    <t>Disjuntor termomagnético monopolar 40 A, padrão DIN (linha branca), curva de disparo C, corrente de interrupção 5KA, marca Schneider</t>
  </si>
  <si>
    <t>13.3.25</t>
  </si>
  <si>
    <t>Disjuntor termomagnético monopolar 50 A, padrão DIN (linha branca), curva de disparo C, corrente de interrupção 5KA, marca Schneider</t>
  </si>
  <si>
    <t>13.3.26</t>
  </si>
  <si>
    <t>Disjuntor termomagnético monopolar 63 A, padrão DIN (linha branca), curva de disparo C, corrente de interrupção 5KA, marca Schneider</t>
  </si>
  <si>
    <t>13.3.27</t>
  </si>
  <si>
    <t>Disjuntor termomagnético monopolar 70 A, padrão DIN (linha branca), curva de disparo C, corrente de interrupção 5KA, marca Schneider</t>
  </si>
  <si>
    <t>13.3.28</t>
  </si>
  <si>
    <t>Disjuntor termomagnético monopolar 80 A, padrão DIN (linha branca), curva de disparo C, corrente de interrupção 5KA, marca Schneider</t>
  </si>
  <si>
    <t>13.3.29</t>
  </si>
  <si>
    <t>Disjuntor termomagnético monopolar 100 A, padrão DIN (linha branca), curva de disparo C, corrente de interrupção 5KA, marca Schneider</t>
  </si>
  <si>
    <t>13.3.30</t>
  </si>
  <si>
    <t>Disjuntor termomagnetico tripolar 20 A, padrão DIN (Europeu - linha branca), curva C, corrente 5KA marca Schneider</t>
  </si>
  <si>
    <t>13.3.31</t>
  </si>
  <si>
    <t>Disjuntor termomagnetico tripolar 25 A, padrão DIN (Europeu - linha branca), curva C, corrente 5KA marca Schneider</t>
  </si>
  <si>
    <t>13.3.32</t>
  </si>
  <si>
    <t>Disjuntor termomagnetico tripolar 32 A, padrão DIN (Europeu - linha branca), curva C, corrente 5KA marca Schneider</t>
  </si>
  <si>
    <t>13.3.33</t>
  </si>
  <si>
    <t>Disjuntor termomagnetico tripolar 40 A, padrão DIN (Europeu - linha branca), curva C, corrente 5KA marca Schneider</t>
  </si>
  <si>
    <t>13.3.34</t>
  </si>
  <si>
    <t>Disjuntor termomagnetico tripolar 70 A, padrão DIN (Europeu - linha branca), curva C, corrente 5KA marca Schneider</t>
  </si>
  <si>
    <t>13.3.35</t>
  </si>
  <si>
    <t>Disjuntor termomagnetico tripolar 80 A, padrão DIN (Europeu - linha branca), curva C, corrente 5KA marca Schneider</t>
  </si>
  <si>
    <t>13.4</t>
  </si>
  <si>
    <t>LUMINÁRIAS</t>
  </si>
  <si>
    <t>13.4.1</t>
  </si>
  <si>
    <t>Luminária de emergência, de sobrepor, tipo bloco autônomo, com autonomia de 1h, modelo LLE-LLEDDF, (Rede independente - Incêndio)</t>
  </si>
  <si>
    <t>13.4.2</t>
  </si>
  <si>
    <t>Luminária Painel de LED de Embutir 24W Luz Branca 29,5x29,5cm - 4000K</t>
  </si>
  <si>
    <t>13.4.3</t>
  </si>
  <si>
    <t>Luminária Painel de LED de Embutir 24W dimerizável Luz Branca 29,5x29,5cm -4000K</t>
  </si>
  <si>
    <t>13.4.4</t>
  </si>
  <si>
    <t xml:space="preserve">Arandela de uso interno, em alumínio, com difusor em vidro fosco, branca </t>
  </si>
  <si>
    <t>13.5</t>
  </si>
  <si>
    <t>INTERRUPTORES</t>
  </si>
  <si>
    <t>13.5.1</t>
  </si>
  <si>
    <t>INTERRUPTOR SIMPLES (1 MÓDULO), 10A/250V, INCLUINDO SUPORTE E PLACA - FORNECIMENTO E INSTALAÇÃO MARCA/MODELO PIAL PLUS.</t>
  </si>
  <si>
    <t>13.5.2</t>
  </si>
  <si>
    <t>INTERRUPTOR SIMPLES (2 MÓDULOS), 10A/250V, INCLUINDO SUPORTE E PLACA - FORNECIMENTO E INSTALAÇÃO. MARCA/MODELO PIAL PLUS.</t>
  </si>
  <si>
    <t>13.5.3</t>
  </si>
  <si>
    <t>INTERRUPTOR SIMPLES (3 MÓDULOS), 10A/250V, INCLUINDO SUPORTE E PLACA - FORNECIMENTO E INSTALAÇÃO.  MARCA/MODELO PIAL PLUS.</t>
  </si>
  <si>
    <t>13.5.4</t>
  </si>
  <si>
    <t>INTERRUPTOR SIMPLES (1 MÓDULO) COM 1 TOMADA DE EMBUTIR 2P+T 10 A,  INCLUINDO SUPORTE E PLACA - FORNECIMENTO E INSTALAÇÃO. MARCA/MODELO PIAL PLUS.</t>
  </si>
  <si>
    <t>13.5.5</t>
  </si>
  <si>
    <t>INTERRUPTOR PARALELO (1 MÓDULO), 10A/250V, INCLUINDO SUPORTE E PLACA - FORNECIMENTO E INSTALAÇÃO.  MARCA/MODELO PIAL PLUS.</t>
  </si>
  <si>
    <t>13.5.6</t>
  </si>
  <si>
    <t xml:space="preserve">Interruptor simples (1 módulo) com interruptor paralelo (1 módulo), 10a/250v, com suporte e com placa - fornecimento e instalação. af_03/2023	</t>
  </si>
  <si>
    <t>13.5.7</t>
  </si>
  <si>
    <t xml:space="preserve">Interruptor simples (1 módulo) com interruptor paralelo (2 módulos), 10a/250v, incluindo suporte e placa - fornecimento e instalação. af_03/2023	</t>
  </si>
  <si>
    <t>13.5.8</t>
  </si>
  <si>
    <t xml:space="preserve">Dimmer rotativo (1 módulo), 220v/600w, incluindo suporte e placa - fornecimento e instalação. af_03/2023	</t>
  </si>
  <si>
    <t>13.5.9</t>
  </si>
  <si>
    <t xml:space="preserve">Interruptor simples (6 módulos), 10a/250v, comksuporte e com placa - fornecimento e instalação. af_03/2023	</t>
  </si>
  <si>
    <t>13.5.10</t>
  </si>
  <si>
    <t>INTERRUPTOR PARALELO (2 MÓDULOS), 10A/250V, INCLUINDO SUPORTE E PLACA - FORNECIMENTO E INSTALAÇÃO.  MARCA/MODELO PIAL PLUS.</t>
  </si>
  <si>
    <t>13.6</t>
  </si>
  <si>
    <t>TOMADAS</t>
  </si>
  <si>
    <t>13.6.1</t>
  </si>
  <si>
    <t>TOMADA DE EMBUTIR (1 MÓDULO), 2P+T 20 A, INCLUINDO SUPORTE E PLACA - FORNECIMENTO E INSTALAÇÃO.  MARCA/MODELO PIAL PLUS.</t>
  </si>
  <si>
    <t>13.6.2</t>
  </si>
  <si>
    <t>TOMADA DE EMBUTIR (2 MÓDULOS), 2P+T 10 A, INCLUINDO SUPORTE E PLACA - FORNECIMENTO E INSTALAÇÃO.  MARCA/MODELO PIAL PLUS.</t>
  </si>
  <si>
    <t>13.6.3</t>
  </si>
  <si>
    <t xml:space="preserve">Tomada baixa de embutir (3 módulos), 2p+t 10 a, incluindo suporte e placa - fornecimento e instalação. af_03/2023	</t>
  </si>
  <si>
    <t>13.6.4</t>
  </si>
  <si>
    <t>13.6.5</t>
  </si>
  <si>
    <t>Conjunto montado de 1 Placa para Saída de Fio Ø11mm, 4''x2''</t>
  </si>
  <si>
    <t>13.6.6</t>
  </si>
  <si>
    <t>Tomada dupla para lógica, TV ou Telefone RJ45, 4”x4”, embutir, completa marca/modelo Pial Plus</t>
  </si>
  <si>
    <t>13.6.7</t>
  </si>
  <si>
    <t>Tomada dupla para lógica RJ45, 4”x4”, embutir, completa marca/modelo Pial Plus</t>
  </si>
  <si>
    <t>13.7</t>
  </si>
  <si>
    <t>DIVERSOS</t>
  </si>
  <si>
    <t>13.7.1</t>
  </si>
  <si>
    <t>Bóia automática p/caixa d'agua - 15 amperes</t>
  </si>
  <si>
    <t>14.0</t>
  </si>
  <si>
    <t>SPDA</t>
  </si>
  <si>
    <t>14.1.1</t>
  </si>
  <si>
    <t>Cabo de cobre nú 50 mm² - fornecimento e assentamento (2,27m/kg)</t>
  </si>
  <si>
    <t>14.1.2</t>
  </si>
  <si>
    <t xml:space="preserve">Caixa de equipotencialização 40x40x15, com barramento para neutro - Fornecimento e Instalação	</t>
  </si>
  <si>
    <t>14.1.3</t>
  </si>
  <si>
    <t>Barra condutora chata em alumínio de 7/8´ x 1/8´, inclusive acessórios de fixação</t>
  </si>
  <si>
    <t>14.1.4</t>
  </si>
  <si>
    <t>Captor tipo terminal aéreo, h= 300 mm em alumínio</t>
  </si>
  <si>
    <t>14.1.5</t>
  </si>
  <si>
    <t xml:space="preserve">Conector split - bolt para cabo de cobre nu #50 mm2 - fornecimento e instalação	</t>
  </si>
  <si>
    <t>14.1.6</t>
  </si>
  <si>
    <t>Pára-raio tipo Franklin 350mm, latão cromado, para descida 1 cabos, c/suporte e conectores p/cabo terra, inclusive mastro aço galv 3mx1.1/2" e 3mx2" e base e sinalizador duplo</t>
  </si>
  <si>
    <t>14.1.7</t>
  </si>
  <si>
    <t>CAIXA PASSAGEM CONCR.PREMOLDADO ATERRAMENTO 40x40x50cm</t>
  </si>
  <si>
    <t>14.1.8</t>
  </si>
  <si>
    <t>Abraçadeira metálica tipo ”D” de 3/4”</t>
  </si>
  <si>
    <t>14.1.9</t>
  </si>
  <si>
    <t xml:space="preserve">Eletroduto rígido roscável, pvc, dn 32 mm (1"), para circuitos terminais, instalado em parede - fornecimento e instalação. af_03/2023	</t>
  </si>
  <si>
    <t>14.1.10</t>
  </si>
  <si>
    <t>Haste cobreada copperweld p/aterramento d=  5/8” x 2,40m</t>
  </si>
  <si>
    <t>15.0</t>
  </si>
  <si>
    <t>INSTALAÇÕES HIDRÁULICAS E SANITÁRIAS</t>
  </si>
  <si>
    <t>15.1</t>
  </si>
  <si>
    <t>TUBULAÇÃO ÁGUA FRIA</t>
  </si>
  <si>
    <t>15.1.1</t>
  </si>
  <si>
    <t xml:space="preserve">Tubo pvc rígido soldável marrom p/ água, d = 20 mm (1/2")	</t>
  </si>
  <si>
    <t>15.1.2</t>
  </si>
  <si>
    <t>Tubo pvc rígido soldável marrom p/ água, d = 25 mm (3/4") marca Tigre.</t>
  </si>
  <si>
    <t>15.1.3</t>
  </si>
  <si>
    <t>Tubo pvc rígido soldável marrom p/ água, d = 32 mm (1") marca Tigre.</t>
  </si>
  <si>
    <t>15.1.4</t>
  </si>
  <si>
    <t>Tubo pvc rígido soldável marrom p/ água, d = 40 mm (1 1/4")  marca Tigre.</t>
  </si>
  <si>
    <t>15.1.5</t>
  </si>
  <si>
    <t>Tubo pvc rígido soldável marrom p/ água, d = 50 mm (1 1/2")  marca Tigre.</t>
  </si>
  <si>
    <t>15.1.6</t>
  </si>
  <si>
    <t>Tubo pvc rígido soldável marrom p/ água, d = 60 mm (2")  marca Tigre.</t>
  </si>
  <si>
    <t>15.1.7</t>
  </si>
  <si>
    <t xml:space="preserve">Tubo pvc rígido soldável marrom p/ água, d = 75 mm (2 1/2")	</t>
  </si>
  <si>
    <t>15.2</t>
  </si>
  <si>
    <t>VÁLVULAS, ACESSÓRIOS E CONEXÕES ÁGUA FRIA</t>
  </si>
  <si>
    <t>15.2.1</t>
  </si>
  <si>
    <t>REGISTRO EM ESFERA VS COMPACTO SOLDAVEL, EM PVC,COM DIAMETRO DE 50MM.FORN ECIMENTO E COLOCACAO. marca Tigre.</t>
  </si>
  <si>
    <t>15.2.2</t>
  </si>
  <si>
    <t>REGISTRO EM ESFERA VS COMPACTO SOLDAVEL, EM PVC,COM DIAMETRO DE 60MM.FORN ECIMENTO E COLOCACAO. marca Tigre.</t>
  </si>
  <si>
    <t>15.2.3</t>
  </si>
  <si>
    <t xml:space="preserve">Registro de esfera, pvc, soldável, com volante, dn 40 mm - fornecimento e instalação. af_08/2021	</t>
  </si>
  <si>
    <t>15.2.4</t>
  </si>
  <si>
    <t>REGISTRO EM ESFERA VS SOLDAVEL, EM PVC,COM DIAMETRO DE 25MM.FORN ECIMENTO E COLOCACAO. marca Tigre.</t>
  </si>
  <si>
    <t>15.2.5</t>
  </si>
  <si>
    <t>Registro de gaveta bruto, latão, roscável, 3/4", com acabamento e canopla cromados - fornecimento e instalação. Marca Deca</t>
  </si>
  <si>
    <t>15.2.6</t>
  </si>
  <si>
    <t xml:space="preserve">Registro gaveta c/ canopla cromada, d=65mm (2 1/2") - Deca </t>
  </si>
  <si>
    <t>15.2.7</t>
  </si>
  <si>
    <t>VÁLVULA DE RETENÇÃO, DE BRONZE, PÉ COM CRIVOS, ROSCÁVEL, 2” - FORNECIMENTO E INSTALAÇÃO.. Marca Deca</t>
  </si>
  <si>
    <t>15.2.8</t>
  </si>
  <si>
    <t xml:space="preserve">Válvula de retenção horizontal, de bronze, roscável, 1 1/2" - fornecimento e instalação. af_08/2021	</t>
  </si>
  <si>
    <t>15.2.9</t>
  </si>
  <si>
    <t xml:space="preserve">Válvula de retenção horizontal, de bronze, roscável, 1 1/4" - fornecimento e instalação. af_08/2021	</t>
  </si>
  <si>
    <t>15.2.10</t>
  </si>
  <si>
    <t xml:space="preserve">Válvula de retenção horizontal, de bronze, roscável, 2 1/2" - fornecimento e instalação. af_08/2021	</t>
  </si>
  <si>
    <t>15.2.11</t>
  </si>
  <si>
    <t xml:space="preserve">Adaptador com flange e anel de vedação, pvc, soldável, dn 20 mm x 1/2 , instalado em reservação de água de edificação que possua reservatório de fibra/fibrocimento fornecimento e instalação. af_06/2016	</t>
  </si>
  <si>
    <t>15.2.12</t>
  </si>
  <si>
    <t xml:space="preserve">Adaptador com flange e anel de vedação, pvc, soldável, dn 25 mm x 3/4 , instalado em reservação de água de edificação que possua reservatório de fibra/fibrocimento fornecimento e instalação. af_06/2016	</t>
  </si>
  <si>
    <t>15.2.13</t>
  </si>
  <si>
    <t xml:space="preserve">Adaptador com flange e anel de vedação, pvc, soldável, dn 40 mm x 1 1/4 , instalado em reservação de água de edificação que possua reservatório de fibra/fibrocimento fornecimento e instalação. af_06/2016	</t>
  </si>
  <si>
    <t>15.2.14</t>
  </si>
  <si>
    <t xml:space="preserve">Adaptador com flange e anel de vedação, pvc, soldável, dn 60 mm x 2 , instalado em reservação de água de edificação que possua reservatório de fibra/fibrocimento fornecimento e instalação. af_06/2016	</t>
  </si>
  <si>
    <t>15.2.15</t>
  </si>
  <si>
    <t>Adaptador curto com bolsa e rosca para registro, pvc, soldável, dn 25mm x 3/4?, instalado em prumada de água - fornecimento e instalação. Marca Tigre</t>
  </si>
  <si>
    <t>15.2.16</t>
  </si>
  <si>
    <t xml:space="preserve">Bucha de redução curta de pvc rígido soldável, marrom, diâm = 25 x 20mm	</t>
  </si>
  <si>
    <t>15.2.17</t>
  </si>
  <si>
    <t>Bucha de redução curta de pvc rígido soldável, marrom, diâm = 32 x 25mm Marca Tigre</t>
  </si>
  <si>
    <t>15.2.18</t>
  </si>
  <si>
    <t>Bucha de redução curta de pvc rígido soldável, marrom, diâm = 40 x 32mm Marca Tigre</t>
  </si>
  <si>
    <t>15.2.19</t>
  </si>
  <si>
    <t>Bucha de redução curta de pvc rígido soldável, marrom, diâm = 60 x 50mm Marca Tigre</t>
  </si>
  <si>
    <t>15.2.20</t>
  </si>
  <si>
    <t xml:space="preserve">Bucha de redução curta de pvc rígido soldável, marrom, diâm = 75 x 60mm Rev. 01 - 10/2022	</t>
  </si>
  <si>
    <t>15.2.21</t>
  </si>
  <si>
    <t xml:space="preserve">Bucha de redução curta de pvc rígido soldável, marrom, diâm = 50 x 40mm	</t>
  </si>
  <si>
    <t>15.2.22</t>
  </si>
  <si>
    <t xml:space="preserve">Bucha de redução longa de pvc rígido soldável, marrom, diâm = 40 x 25mm	</t>
  </si>
  <si>
    <t>15.2.23</t>
  </si>
  <si>
    <t>Bucha de redução longa de pvc rígido soldável, marrom, diâm = 50 x 25mm</t>
  </si>
  <si>
    <t>15.2.24</t>
  </si>
  <si>
    <t xml:space="preserve">CURVA DE TRANSPOSIÇÃO, CPVC, SOLDÁVEL, DN 25MM, INSTALADO EM RAMAL DE DISTRIBUIÇÃO DE ÁGUA   FORNECIMENTO E INSTALAÇÃO. </t>
  </si>
  <si>
    <t>15.2.25</t>
  </si>
  <si>
    <t>Joelho 45 graus, pvc, soldável, dn 25mm, instalado em prumada de água - fornecimento e instalação. Marca Tigre</t>
  </si>
  <si>
    <t>15.2.26</t>
  </si>
  <si>
    <t>Joelho 45 graus, pvc, soldável, dn 32mm, instalado em prumada de água - fornecimento e instalação. Marca Tigre</t>
  </si>
  <si>
    <t>15.2.27</t>
  </si>
  <si>
    <t>Joelho 45 graus, pvc, soldável, dn 40mm, instalado em prumada de água - fornecimento e instalação. Marca Tigre</t>
  </si>
  <si>
    <t>15.2.28</t>
  </si>
  <si>
    <t>JOELHO 45 GRAUS, PVC, SOLDÁVEL, DN 60MM, INSTALADO EM PRUMADA DE ÁGUA - FORNECIMENTO E INSTALAÇÃO. AF_06/2022</t>
  </si>
  <si>
    <t>15.2.29</t>
  </si>
  <si>
    <t xml:space="preserve">Joelho 45 graus, pvc, soldável, dn 75mm, instalado em prumada de água - fornecimento e instalação. af_06/2022	</t>
  </si>
  <si>
    <t>15.2.30</t>
  </si>
  <si>
    <t>JOELHO 90 GRAUS COM BUCHA DE LATÃO, PVC, SOLDÁVEL, DN 25MM, X 3/4 INSTALADO EM RAMAL OU SUB-RAMAL DE ÁGUA - FORNECIMENTO E INSTALAÇÃO. Marca Tigre</t>
  </si>
  <si>
    <t>15.2.31</t>
  </si>
  <si>
    <t xml:space="preserve">Joelho 90º pvc rígido soldável c/bucha de latão, d= 20mm x 1/2"	</t>
  </si>
  <si>
    <t>15.2.32</t>
  </si>
  <si>
    <t xml:space="preserve">Joelho 90º red. pvc rígido soldável c/bucha de latão, diâm= 25mmx1/2"	</t>
  </si>
  <si>
    <t>15.2.33</t>
  </si>
  <si>
    <t xml:space="preserve">Joelho 90 graus, pvc, soldável, dn 20mm, instalado em ramal ou sub-ramal de água - fornecimento e instalação. af_06/2022	</t>
  </si>
  <si>
    <t>15.2.34</t>
  </si>
  <si>
    <t>Joelho 90 graus, pvc, soldável, dn 25mm, instalado em prumada de água - fornecimento e instalação. Marca Tigre</t>
  </si>
  <si>
    <t>15.2.35</t>
  </si>
  <si>
    <t>Joelho 90 graus, pvc, soldável, dn 32mm, instalado em prumada de água - fornecimento e instalação. Marca Tigre</t>
  </si>
  <si>
    <t>15.2.36</t>
  </si>
  <si>
    <t>Joelho 90 graus, pvc, soldável, dn 40mm, instalado em prumada de água - fornecimento e instalação. Marca Tigre</t>
  </si>
  <si>
    <t>15.2.37</t>
  </si>
  <si>
    <t>Joelho 90 graus, pvc, soldável, dn 50mm, instalado em prumada de água - fornecimento e instalação. Marca Tigre</t>
  </si>
  <si>
    <t>15.2.38</t>
  </si>
  <si>
    <t>Joelho 90 graus, pvc, soldável, dn 60mm, instalado em prumada de água - fornecimento e instalação. Marca Tigre</t>
  </si>
  <si>
    <t>15.2.39</t>
  </si>
  <si>
    <t xml:space="preserve">Joelho 90 graus, pvc, soldável, dn 75 mm instalado em reservação de água de edificação que possua reservatório de fibra/fibrocimento fornecimento e instalação. af_06/2016	</t>
  </si>
  <si>
    <t>15.2.40</t>
  </si>
  <si>
    <t xml:space="preserve">Luva de pvc rígido soldável, marrom, diâm = 25mm	</t>
  </si>
  <si>
    <t>15.2.41</t>
  </si>
  <si>
    <t xml:space="preserve">Luva de pvc rígido soldável, marrom, diâm = 40mm	</t>
  </si>
  <si>
    <t>15.2.42</t>
  </si>
  <si>
    <t xml:space="preserve">Luva de pvc rígido soldável, marrom, diâm = 50mm	</t>
  </si>
  <si>
    <t>15.2.43</t>
  </si>
  <si>
    <t xml:space="preserve">Luva de pvc rígido soldável, marrom, diâm = 60mm	</t>
  </si>
  <si>
    <t>15.2.44</t>
  </si>
  <si>
    <t xml:space="preserve">Luva de pvc rígido soldável, marrom, diâm = 75mm	</t>
  </si>
  <si>
    <t>15.2.45</t>
  </si>
  <si>
    <t xml:space="preserve">Tê de redução 90º de pvc rígido soldável, marrom diâm = 25 x 20mm	</t>
  </si>
  <si>
    <t>15.2.46</t>
  </si>
  <si>
    <t>Tê de redução, pvc, soldável, dn 32mm x 25mm, instalado em prumada de água - fornecimento e instalação. Marca Tigre</t>
  </si>
  <si>
    <t>15.2.47</t>
  </si>
  <si>
    <t>Tê de redução 90º de pvc rígido soldável, marrom  diâm = 40 x 25mm Marca Tigre</t>
  </si>
  <si>
    <t>15.2.48</t>
  </si>
  <si>
    <t xml:space="preserve">Tê de redução 90º de pvc rígido soldável, marrom diâm = 50 x 25mm	</t>
  </si>
  <si>
    <t>15.2.49</t>
  </si>
  <si>
    <t>Tê de redução, pvc, soldável, dn 50mm x 40mm, instalado em prumada de água - fornecimento e instalação. Marca Tigre</t>
  </si>
  <si>
    <t>15.2.50</t>
  </si>
  <si>
    <t>TE DE REDUCAO 90 PVC SOLDAVEL 60 x 50mm Marca Tigre</t>
  </si>
  <si>
    <t>15.2.51</t>
  </si>
  <si>
    <t xml:space="preserve">Tê com bucha de latão na bolsa central, pvc, soldável, dn 25mm x 1/2 , instalado em ramal ou sub-ramal de água - fornecimento e instalação. af_06/2022	</t>
  </si>
  <si>
    <t>15.2.52</t>
  </si>
  <si>
    <t>Te, pvc, soldável, dn 25mm, instalado em prumada de água - fornecimento e instalação. Marca Tigre</t>
  </si>
  <si>
    <t>15.2.53</t>
  </si>
  <si>
    <t>Tê 90º de pvc rígido soldável, marrom  diâm = 40mm Marca Tigre</t>
  </si>
  <si>
    <t>15.2.54</t>
  </si>
  <si>
    <t>Te, pvc, soldável, dn 50mm, instalado em prumada de água - fornecimento e instalação. Marca Tigre</t>
  </si>
  <si>
    <t>15.2.55</t>
  </si>
  <si>
    <t>Te, pvc, soldável, dn 60mm, instalado em prumada de água - fornecimento e instalação. Marca Tigre</t>
  </si>
  <si>
    <t>15.2.56</t>
  </si>
  <si>
    <t xml:space="preserve">Tê, pvc, soldável, dn 75 mm instalado em reservação de água de edificação que possua reservatório de fibra/fibrocimento fornecimento e instalação. af_06/2016	</t>
  </si>
  <si>
    <t>15.2.57</t>
  </si>
  <si>
    <t xml:space="preserve">UNIÃO, PVC, SOLDÁVEL, DN 60MM, INSTALADO EM PRUMADA DE ÁGUA - FORNECIMENTO E INSTALAÇÃO. </t>
  </si>
  <si>
    <t>15.3</t>
  </si>
  <si>
    <t>TUBULAÇÃO ESGOTO, ÁGUAS PLUVIAIS E DRENAGEM DE AR CONDICIONADO</t>
  </si>
  <si>
    <t>15.3.1</t>
  </si>
  <si>
    <t>Tubo pvc, serie normal, esgoto predial, dn 40 mm, fornecido e instalado em ramal de descarga ou ramal de esgoto sanitário. Marca Tigre</t>
  </si>
  <si>
    <t>15.3.2</t>
  </si>
  <si>
    <t>15.3.3</t>
  </si>
  <si>
    <t>15.3.4</t>
  </si>
  <si>
    <t>15.3.5</t>
  </si>
  <si>
    <t>Tubo pvc, serie normal, esgoto predial, dn 50 mm, fornecido e instalado em ramal de descarga ou ramal de esgoto sanitário. Marca Tigre</t>
  </si>
  <si>
    <t>15.3.6</t>
  </si>
  <si>
    <t>Tubo pvc, serie normal, esgoto predial, dn 75 mm, fornecido e instalado em ramal de descarga ou ramal de esgoto sanitário. Marca Tigre</t>
  </si>
  <si>
    <t>15.3.7</t>
  </si>
  <si>
    <t>Tubo pvc, serie normal, esgoto predial, dn 100 mm, fornecido e instalado em ramal de descarga ou ramal de esgoto sanitário. Marca Tigre</t>
  </si>
  <si>
    <t>15.3.8</t>
  </si>
  <si>
    <t>Tubo pvc rígido soldável ponta e bolsa p/ esgoto predial, d = 300 mm Marca Tigre</t>
  </si>
  <si>
    <t>15.3.9</t>
  </si>
  <si>
    <t>15.3.10</t>
  </si>
  <si>
    <t>Tubo pvc rígido soldável ponta e bolsa p/ esgoto predial, d = 150 mm Marca Tigre</t>
  </si>
  <si>
    <t>15.4</t>
  </si>
  <si>
    <t>VÁLVULAS, ACESSÓRIOS E CONEXÕES ESGOTO, ÁGUAS PLUVIAIS E DRENAGEM DE AR CONDICIONADO</t>
  </si>
  <si>
    <t>15.4.1</t>
  </si>
  <si>
    <t>LUVA SIMPLES, PVC, SERIE NORMAL, ESGOTO PREDIAL, DN 100 MM, FORNECIDO E INSTALADO EM RAMAL DE DESCARGA OU RAMAL DE ESGOTO SANITÁRIO. Marca Tigre</t>
  </si>
  <si>
    <t>15.4.2</t>
  </si>
  <si>
    <t>LUVA SIMPLES, PVC, SERIE NORMAL, ESGOTO PREDIAL, DN 75 MM, FORNECIDO E INSTALADO EM RAMAL DE DESCARGA OU RAMAL DE ESGOTO SANITÁRIO. Marca Tigre</t>
  </si>
  <si>
    <t>15.4.3</t>
  </si>
  <si>
    <t xml:space="preserve">Luva simples, pvc, série normal, esgoto predial, dn 150 mm, junta elástica, fornecido e instalado em subcoletor aéreo de esgoto sanitário. </t>
  </si>
  <si>
    <t>15.4.4</t>
  </si>
  <si>
    <t xml:space="preserve">Luva simples, pvc, série normal, esgoto predial, dn 200 mm, junta elástica, fornecido e instalado em subcoletor aéreo de esgoto sanitário. </t>
  </si>
  <si>
    <t>15.4.5</t>
  </si>
  <si>
    <t xml:space="preserve">Luva simples, pvc, série normal, esgoto predial, dn 300 mm, junta elástica, fornecido e instalado em subcoletor aéreo de esgoto sanitário. </t>
  </si>
  <si>
    <t>15.4.6</t>
  </si>
  <si>
    <t>LUVA SIMPLES, PVC, SERIE NORMAL, ESGOTO PREDIAL, DN 50 MM, FORNECIDO E INSTALADO EM RAMAL DE DESCARGA OU RAMAL DE ESGOTO SANITÁRIO. Marca Tigre</t>
  </si>
  <si>
    <t>15.4.7</t>
  </si>
  <si>
    <t xml:space="preserve">Cap, pvc, serie normal, água esgoto ou pluvial, dn 150 mm, junta elástica, fornecido e instalado em ramal de encaminhamento. af_06/2022	</t>
  </si>
  <si>
    <t>15.4.8</t>
  </si>
  <si>
    <t>JOELHO 45 GRAUS, PVC, SERIE NORMAL, ESGOTO PREDIAL, DN 40 MM, FORNECIDO E INSTALADO EM RAMAL DE DESCARGA OU RAMAL DE ESGOTO SANITÁRIO. Marca Tigre</t>
  </si>
  <si>
    <t>15.4.9</t>
  </si>
  <si>
    <t>JOELHO 45 GRAUS, PVC, SERIE NORMAL, ESGOTO PREDIAL, DN 50 MM, FORNECIDO E INSTALADO EM RAMAL DE DESCARGA OU RAMAL DE ESGOTO SANITÁRIO. Marca Tigre</t>
  </si>
  <si>
    <t>15.4.10</t>
  </si>
  <si>
    <t>JOELHO 45 GRAUS, PVC, SERIE NORMAL, ESGOTO PREDIAL, DN 75 MM, FORNECIDO E INSTALADO EM RAMAL DE DESCARGA OU RAMAL DE ESGOTO SANITÁRIO. Marca Tigre</t>
  </si>
  <si>
    <t>15.4.11</t>
  </si>
  <si>
    <t>JOELHO 45 GRAUS, PVC, SERIE NORMAL, ESGOTO PREDIAL, DN 100 MM, FORNECIDO E INSTALADO EM RAMAL DE DESCARGA OU RAMAL DE ESGOTO SANITÁRIO. Marca Tigre</t>
  </si>
  <si>
    <t>15.4.12</t>
  </si>
  <si>
    <t xml:space="preserve">Joelho 45 graus, pvc, serie NORMAL, água pluvial, dn 150 mm, junta elástica, fornecido e instalado em ramal de encaminhamento. af_06/2022	</t>
  </si>
  <si>
    <t>15.4.13</t>
  </si>
  <si>
    <t xml:space="preserve">Joelho 45 graus, pvc, serie NORMAL, água pluvial, dn 200 mm, junta elástica, fornecido e instalado em ramal de encaminhamento. af_06/2022	</t>
  </si>
  <si>
    <t>15.4.14</t>
  </si>
  <si>
    <t xml:space="preserve">Joelho 45 graus, pvc, serie NORMAL, água pluvial, dn 300 mm, junta elástica, fornecido e instalado em ramal de encaminhamento. af_06/2022	</t>
  </si>
  <si>
    <t>15.4.15</t>
  </si>
  <si>
    <t>JOELHO 90 GRAUS, PVC, SERIE NORMAL, ESGOTO PREDIAL, DN 40 MM, COM ANEL, FORNECIDO E INSTALADO EM RAMAL DE DESCARGA OU RAMAL DE ESGOTO SANITÁRIO. Marca Tigre</t>
  </si>
  <si>
    <t>15.4.16</t>
  </si>
  <si>
    <t xml:space="preserve">Joelho 90 graus, pvc, serie normal, esgoto predial, dn 50 mm, junta elástica, fornecido e instalado em ramal de descarga ou ramal de esgoto sanitário. af_08/2022	</t>
  </si>
  <si>
    <t>15.4.17</t>
  </si>
  <si>
    <t>15.4.18</t>
  </si>
  <si>
    <t>JOELHO 90 GRAUS, PVC, SERIE NORMAL, ESGOTO PREDIAL, DN 75 MM, FORNECIDO E INSTALADO EM RAMAL DE DESCARGA OU RAMAL DE ESGOTO SANITÁRIO. Marca Tigre</t>
  </si>
  <si>
    <t>15.4.19</t>
  </si>
  <si>
    <t>JOELHO 90 GRAUS, PVC, SERIE NORMAL, ESGOTO PREDIAL, DN 100 MM, FORNECIDO E INSTALADO EM RAMAL DE DESCARGA OU RAMAL DE ESGOTO SANITÁRIO. Marca Tigre</t>
  </si>
  <si>
    <t>15.4.20</t>
  </si>
  <si>
    <t xml:space="preserve">Joelho 90 graus, pvc, serie normal, esgoto predial, dn 150 mm, junta elástica, fornecido e instalado em subcoletor aéreo de esgoto sanitário. af_08/2022	</t>
  </si>
  <si>
    <t>15.4.21</t>
  </si>
  <si>
    <t xml:space="preserve">Joelho 90 graus, pvc, serie normal, esgoto predial, dn 200 mm, junta elástica, fornecido e instalado em subcoletor aéreo de esgoto sanitário. af_08/2022	</t>
  </si>
  <si>
    <t>15.4.22</t>
  </si>
  <si>
    <t>JUNÇÃO SIMPLES, PVC, SERIE NORMAL, ESGOTO PREDIAL, DN 40 MM, FORNECIDO E INSTALADO EM RAMAL DE DESCARGA OU RAMAL DE ESGOTO SANITÁRIO. Marca Tigre</t>
  </si>
  <si>
    <t>15.4.23</t>
  </si>
  <si>
    <t>JUNÇÃO SIMPLES, PVC, SERIE NORMAL, ESGOTO PREDIAL, DN 50 X 50 MM, FORNECIDO E INSTALADO EM RAMAL DE DESCARGA OU RAMAL DE ESGOTO SANITÁRIO. Marca Tigre</t>
  </si>
  <si>
    <t>15.4.24</t>
  </si>
  <si>
    <t>JUNÇÃO SIMPLES, PVC, SERIE NORMAL, ESGOTO PREDIAL, DN 75 X 75 MM, FORNECIDO E INSTALADO EM RAMAL DE DESCARGA OU RAMAL DE ESGOTO SANITÁRIO. Marca Tigre</t>
  </si>
  <si>
    <t>15.4.25</t>
  </si>
  <si>
    <t>JUNÇÃO SIMPLES, PVC, SERIE NORMAL, ESGOTO PREDIAL, DN 100 X 100 MM, FORNECIDO E INSTALADO EM RAMAL DE DESCARGA OU RAMAL DE ESGOTO SANITÁRIO. Marca Tigre</t>
  </si>
  <si>
    <t>15.4.26</t>
  </si>
  <si>
    <t>Junção simples em pvc rígido c/ anéis, para esgoto primário, diâm = 75 x 50mm Marca Tigre</t>
  </si>
  <si>
    <t>15.4.27</t>
  </si>
  <si>
    <t>Junção simples em pvc rígido c/ anéis, para esgoto primário, diâm =100 x 50mm Marca Tigre</t>
  </si>
  <si>
    <t>15.4.28</t>
  </si>
  <si>
    <t>Junção simples em pvc rígido c/ anéis, para esgoto primário, diâm = 100 x 75mm Marca Tigre</t>
  </si>
  <si>
    <t>15.4.29</t>
  </si>
  <si>
    <t xml:space="preserve">Junção simples em pvc rígido c/ anéis, para esgoto primário, diâm = 150 x 150mm	</t>
  </si>
  <si>
    <t>15.4.30</t>
  </si>
  <si>
    <t xml:space="preserve">Junção simples, pvc, serie r, água pluvial, dn 150 x 100 mm, junta elástica, fornecido e instalado em ramal de encaminhamento. af_06/2022	</t>
  </si>
  <si>
    <t>15.4.31</t>
  </si>
  <si>
    <t>Redução excentrica em pvc rígido soldável, para esgoto primário, diâm =   75 x 50mm Marca Tigre</t>
  </si>
  <si>
    <t>15.4.32</t>
  </si>
  <si>
    <t>Redução excentrica em pvc rígido soldável, para esgoto primário, diâm = 100 x 50mm Marca Tigre</t>
  </si>
  <si>
    <t>15.4.33</t>
  </si>
  <si>
    <t xml:space="preserve">Redução excentrica em pvc rígido soldável, para esgoto primário, diâm = 100 x 75mm	</t>
  </si>
  <si>
    <t>15.4.34</t>
  </si>
  <si>
    <t>Redução excêntrica, pvc, serie normal, esgoto, dn 150 x 100 mm, soldável, fornecido e instalado .</t>
  </si>
  <si>
    <t>15.4.35</t>
  </si>
  <si>
    <t>Redução excentrica em pvc rígido soldável, para esgoto primário, diâm = 100 x 75mm Marca Tigre</t>
  </si>
  <si>
    <t>15.4.36</t>
  </si>
  <si>
    <t xml:space="preserve">Bucha Redução excentrica em pvc rígido soldável, para esgoto, d=150x100mm	</t>
  </si>
  <si>
    <t>15.4.37</t>
  </si>
  <si>
    <t xml:space="preserve">Bucha Redução excentrica em pvc rígido soldável, para esgoto, d=200x150mm	</t>
  </si>
  <si>
    <t>15.4.38</t>
  </si>
  <si>
    <t>Bucha de redução longa em pvc rígido, para esgoto secundário, diâm = 50 x 40mm. Marca Tigre</t>
  </si>
  <si>
    <t>15.4.39</t>
  </si>
  <si>
    <t xml:space="preserve">Bucha de redução, longa, pvc, soldável, dn 32 x 20 mm, instalado em ramal ou sub-ramal de água - fornecimento e instalação. af_06/2022	</t>
  </si>
  <si>
    <t>15.4.40</t>
  </si>
  <si>
    <t>15.4.41</t>
  </si>
  <si>
    <t>Terminal de ventilação em pvc rígido soldável, para esgoto primário, diâm = 75mm Marca Tigre</t>
  </si>
  <si>
    <t>15.4.42</t>
  </si>
  <si>
    <t>Terminal de ventilação em pvc rígido soldável, para esgoto primário, diâm = 100mm Marca Tigre</t>
  </si>
  <si>
    <t>15.4.43</t>
  </si>
  <si>
    <t>TE, PVC, SERIE NORMAL, ESGOTO PREDIAL, DN 40 X 40 MM, FORNECIDO E INSTALADO EM RAMAL DE DESCARGA OU RAMAL DE ESGOTO SANITÁRIO. Marca Tigre</t>
  </si>
  <si>
    <t>15.4.44</t>
  </si>
  <si>
    <t>15.4.45</t>
  </si>
  <si>
    <t>15.4.46</t>
  </si>
  <si>
    <t>15.4.47</t>
  </si>
  <si>
    <t>15.4.48</t>
  </si>
  <si>
    <t>15.4.49</t>
  </si>
  <si>
    <t>TE, PVC, SERIE NORMAL, ESGOTO PREDIAL, DN 50 X 50 MM, JUNTA ELÁSTICA, FORNECIDO E INSTALADO EM RAMAL DE DESCARGA OU RAMAL DE ESGOTO SANITÁRIO. Marca Tigre</t>
  </si>
  <si>
    <t>15.4.50</t>
  </si>
  <si>
    <t>TE, PVC, SERIE NORMAL, ESGOTO PREDIAL, DN 100 X 100 MM, JUNTA ELÁSTICA, FORNECIDO E INSTALADO EM PRUMADA DE ESGOTO SANITÁRIO OU VENTILAÇÃO.  Marca Tigre</t>
  </si>
  <si>
    <t>15.4.51</t>
  </si>
  <si>
    <t xml:space="preserve">Tê sanitário em pvc rígido soldavel, para esgoto, diâm =150mm	</t>
  </si>
  <si>
    <t>15.4.52</t>
  </si>
  <si>
    <t xml:space="preserve">Te, pvc, série normal, esgoto predial, dn 75 x 50 mm, junta elástica, fornecido e instalado em prumada de esgoto sanitário ou ventilação. 	</t>
  </si>
  <si>
    <t>15.4.53</t>
  </si>
  <si>
    <t xml:space="preserve">Te, pvc, série normal, esgoto predial, dn 100 x 50 mm, junta elástica, fornecido e instalado em prumada de esgoto sanitário ou ventilação. af_08/2022	</t>
  </si>
  <si>
    <t>15.4.54</t>
  </si>
  <si>
    <t xml:space="preserve">Te, pvc, série normal, esgoto predial, dn 100 x 75 mm, junta elástica, fornecido e instalado em ramal de descarga ou ramal de esgoto sanitário. af_08/2022	</t>
  </si>
  <si>
    <t>15.4.55</t>
  </si>
  <si>
    <t xml:space="preserve">Tê, pvc, serie normal, esgoto, dn 150 x 100 mm, soldável, fornecido e instalado	</t>
  </si>
  <si>
    <t>15.4.56</t>
  </si>
  <si>
    <t>TE, PVC, SERIE NORMAL, ESGOTO PREDIAL, DN 75 X 75 MM, JUNTA ELÁSTICA, FORNECIDO E INSTALADO EM RAMAL DE DESCARGA OU RAMAL DE ESGOTO SANITÁRIO. Marca Tigre</t>
  </si>
  <si>
    <t>15.4.57</t>
  </si>
  <si>
    <t xml:space="preserve">Curva curta 90 graus, pvc, serie normal, esgoto predial, dn 40 mm, junta soldável, fornecido e instalado em ramal de descarga ou ramal de esgoto sanitário. af_08/2022	</t>
  </si>
  <si>
    <t>15.4.58</t>
  </si>
  <si>
    <t xml:space="preserve">Curva 90 graus, pvc, soldável, dn 25mm, instalado em ramal de distribuição de água - fornecimento e instalação. af_06/2022	</t>
  </si>
  <si>
    <t>15.4.59</t>
  </si>
  <si>
    <t>15.4.60</t>
  </si>
  <si>
    <t>15.4.61</t>
  </si>
  <si>
    <t>15.4.62</t>
  </si>
  <si>
    <t>15.4.63</t>
  </si>
  <si>
    <t xml:space="preserve">Joelho 45 graus, ppr, dn 25 mm, classe pn 25, instalado em prumada de água fornecimento e instalação . af_08/2022	</t>
  </si>
  <si>
    <t>15.4.64</t>
  </si>
  <si>
    <t xml:space="preserve">Joelho 90 graus, ppr, dn 25 mm, classe pn 25, instalado em prumada de água fornecimento e instalação . af_08/2022	</t>
  </si>
  <si>
    <t>15.4.65</t>
  </si>
  <si>
    <t>15.4.66</t>
  </si>
  <si>
    <t xml:space="preserve">Joelho 45 graus, pvc, soldável, dn 20mm, instalado em ramal ou sub-ramal de água - fornecimento e instalação. af_06/2022	</t>
  </si>
  <si>
    <t>15.4.67</t>
  </si>
  <si>
    <t>15.5</t>
  </si>
  <si>
    <t>ACESSORIOS E CAIXAS ESGOTO E ÁGUAS PLUVIAIS</t>
  </si>
  <si>
    <t>15.5.1</t>
  </si>
  <si>
    <t>CAIXA SIFONADA GIRAFACIL COM GRELHA BRANCA PVC 100x140x50mm Marca Tigre</t>
  </si>
  <si>
    <t>15.5.2</t>
  </si>
  <si>
    <t>Caixa sifonada em pvc, 150 x 150 x 50 mm, com tampa cega, acabamento branco. Marca Tigre</t>
  </si>
  <si>
    <t>15.5.3</t>
  </si>
  <si>
    <t>Ralo sifonado, pvc, dn 100 x 40 mm, junta soldável, fornecido e instalado em ramal de descarga ou em ramal de esgoto sanitário. Marca Tigre</t>
  </si>
  <si>
    <t>15.5.4</t>
  </si>
  <si>
    <t xml:space="preserve">Caixa d´água em poliéster reforçado com fibra de vidro, 2000 litros - fornecimento e instalação. af_06/2021	</t>
  </si>
  <si>
    <t>15.5.5</t>
  </si>
  <si>
    <t xml:space="preserve">Caixa d´água em poliéster reforçado com fibra de vidro, 15000 litros - fornecimento e instalação. af_06/2021	</t>
  </si>
  <si>
    <t>15.5.6</t>
  </si>
  <si>
    <t>Estação Elevatória de esgoto 3500 - 220 V, bomba de 2 CV, vazão até 35m3/h</t>
  </si>
  <si>
    <t>16.0</t>
  </si>
  <si>
    <t>GASES MEDICINAIS</t>
  </si>
  <si>
    <t>16.1</t>
  </si>
  <si>
    <t>TUBULAÇÃO GASES MEDICINAIS</t>
  </si>
  <si>
    <t>16.1.1</t>
  </si>
  <si>
    <t xml:space="preserve">TUBO EM COBRE RÍGIDO, DN 15 MM, CLASSE A, SEM ISOLAMENTO, INSTALADO EM RAMAL E SUB-RAMAL DE GÁS MEDICINAL - FORNECIMENTO E INSTALAÇÃO. </t>
  </si>
  <si>
    <t>16.1.2</t>
  </si>
  <si>
    <t xml:space="preserve">TUBO EM COBRE RÍGIDO, DN 22 MM, CLASSE A, SEM ISOLAMENTO, INSTALADO EM RAMAL E SUB-RAMAL DE GÁS MEDICINAL - FORNECIMENTO E INSTALAÇÃO. </t>
  </si>
  <si>
    <t>16.1.3</t>
  </si>
  <si>
    <t>TUBO EM COBRE RÍGIDO, DN 28 MM, CLASSE A, SEM ISOLAMENTO, INSTALADO EM RAMAL E SUB-RAMAL DE GÁS MEDICINAL - FORNECIMENTO E INSTALAÇÃO</t>
  </si>
  <si>
    <t>16.1.4</t>
  </si>
  <si>
    <t>Tubo em cobre rígido, dn 54 mm, CLASSE A, SEM ISOLAMENTO, INSTALADO EM RAMAL E SUB-RAMAL DE GÁS MEDICINAL - FORNECIMENTO E INSTALAÇÃO</t>
  </si>
  <si>
    <t>16.2</t>
  </si>
  <si>
    <t>VÁLVULAS E ACESSÓRIOS GASES MEDICINAIS</t>
  </si>
  <si>
    <t>16.2.1</t>
  </si>
  <si>
    <t xml:space="preserve">COTOVELO EM COBRE, DN 15 MM, 90 GRAUS, SEM ANEL DE SOLDA, INSTALADO EM RAMAL E SUB-RAMAL  FORNECIMENTO E INSTALAÇÃO. </t>
  </si>
  <si>
    <t>16.2.2</t>
  </si>
  <si>
    <t xml:space="preserve">COTOVELO EM COBRE, DN 22 MM, 90 GRAUS, SEM ANEL DE SOLDA, INSTALADO EM RAMAL E SUB-RAMAL  FORNECIMENTO E INSTALAÇÃO. </t>
  </si>
  <si>
    <t>16.2.3</t>
  </si>
  <si>
    <t xml:space="preserve">COTOVELO EM COBRE, DN 28 MM, 90 GRAUS, SEM ANEL DE SOLDA, INSTALADO EM RAMAL E SUB-RAMAL  FORNECIMENTO E INSTALAÇÃO. </t>
  </si>
  <si>
    <t>16.2.4</t>
  </si>
  <si>
    <t xml:space="preserve">COTOVELO EM COBRE, DN 54 MM, 90 GRAUS, SEM ANEL DE SOLDA, INSTALADO EM RAMAL E SUB-RAMAL  FORNECIMENTO E INSTALAÇÃO. </t>
  </si>
  <si>
    <t>16.2.5</t>
  </si>
  <si>
    <t xml:space="preserve">Cotovelo em bronze/latão, dn 15 mm x 1/2?, 90 graus, sem anel de solda, bolsa x rosca f, instalado em ramal e sub-ramal de gás medicinal - fornecimento e instalação. af_04/2022	</t>
  </si>
  <si>
    <t>16.2.6</t>
  </si>
  <si>
    <t xml:space="preserve">BUCHA DE REDUÇÃO EM COBRE, DN 22 MM X 15 MM, SEM ANEL DE SOLDA, PONTA X BOLSA, INSTALADO EM RAMAL E SUB-RAMAL  FORNECIMENTO E INSTALAÇÃO. </t>
  </si>
  <si>
    <t>16.2.7</t>
  </si>
  <si>
    <t xml:space="preserve">BUCHA DE REDUÇÃO EM COBRE, DN 28 MM X 22 MM, SEM ANEL DE SOLDA, INSTALADO EM RAMAL E SUB-RAMAL  FORNECIMENTO E INSTALAÇÃO. </t>
  </si>
  <si>
    <t>16.2.8</t>
  </si>
  <si>
    <t>Bucha de redução de cobre, juntas soldadas, diâm = 54mm x 28mm</t>
  </si>
  <si>
    <t>16.2.9</t>
  </si>
  <si>
    <t xml:space="preserve">Tê em cobre, dn 15 mm, sem anel de solda, instalado em ramal e sub-ramal de gás medicinal - fornecimento e instalação. af_04/2022	</t>
  </si>
  <si>
    <t>16.2.10</t>
  </si>
  <si>
    <t xml:space="preserve">Tê em cobre, dn 22 mm, sem anel de solda, instalado em ramal e sub-ramal de gás medicinal - fornecimento e instalação. af_04/2022	</t>
  </si>
  <si>
    <t>16.2.11</t>
  </si>
  <si>
    <t xml:space="preserve">Tê em cobre, dn 28 mm, sem anel de solda, instalado em ramal e sub-ramal de gás medicinal - fornecimento e instalação. af_04/2022	</t>
  </si>
  <si>
    <t>16.2.12</t>
  </si>
  <si>
    <t>TE COBRE REDUCAO CENTRAL 611-RC SEM ANEL 22mm x 15mm - Fornecimento e instalação</t>
  </si>
  <si>
    <t>16.2.13</t>
  </si>
  <si>
    <t>Valvula de esfera em bronze d =  1/2” - Fornecimento e instalação</t>
  </si>
  <si>
    <t>16.2.14</t>
  </si>
  <si>
    <t>Valvula de esfera em bronze d =  3/4” - Fornecimento e instalação</t>
  </si>
  <si>
    <t>16.2.15</t>
  </si>
  <si>
    <t>Válvula de esfera bruta, bronze, roscável, 2'' - fornecimento e instalação. af_08/2021	
acionamento com alavanca, dn=1/2'</t>
  </si>
  <si>
    <t>16.2.16</t>
  </si>
  <si>
    <t>Painel de alarme de oxigênio - Fornecimento e instalação</t>
  </si>
  <si>
    <t>16.2.17</t>
  </si>
  <si>
    <t>Painel de alarme de ar comprimido - Fornecimento e instalação</t>
  </si>
  <si>
    <t>16.2.18</t>
  </si>
  <si>
    <t>Painel de alarme com pressostato para ar vácuo - Fornecimento e instalação</t>
  </si>
  <si>
    <t>16.2.19</t>
  </si>
  <si>
    <t>Caixa de seccionamento para gases medicinais 300x300x100mm - 15x15mm - Fornecimento e instalação</t>
  </si>
  <si>
    <t>17.0</t>
  </si>
  <si>
    <t>INSTALAÇÕES DE COMBATE A INCÊNDIO</t>
  </si>
  <si>
    <t>17.1</t>
  </si>
  <si>
    <t>TUBULAÇÃO COMBATE A INCÊNCDIO</t>
  </si>
  <si>
    <t>17.1.1</t>
  </si>
  <si>
    <t xml:space="preserve">Eletroduto em ferro galvanizado pesado sem costura 1" x 3m	</t>
  </si>
  <si>
    <t>17.1.2</t>
  </si>
  <si>
    <t xml:space="preserve">Condulete de alumínio, tipo x, para eletroduto de aço galvanizado dn 25 mm (1''), aparente - fornecimento e instalação. af_10/2022	</t>
  </si>
  <si>
    <t>17.1.3</t>
  </si>
  <si>
    <t xml:space="preserve">Box curvo em alumínio de 1"	</t>
  </si>
  <si>
    <t>17.1.4</t>
  </si>
  <si>
    <t xml:space="preserve">Tubo de aço galvanizado com costura, classe média, conexão rosqueada, dn 25 (1"), instalado em rede de alimentação para sprinkler - fornecimento e instalação. af_10/2020	</t>
  </si>
  <si>
    <t>17.1.5</t>
  </si>
  <si>
    <t xml:space="preserve">Tubo de aço galvanizado com costura, classe média, conexão rosqueada, dn 50 (2"), instalado em rede de alimentação para sprinkler - fornecimento e instalação. af_10/2020	</t>
  </si>
  <si>
    <t>17.1.6</t>
  </si>
  <si>
    <t xml:space="preserve">Tubo de aço galvanizado com costura, classe média, conexão rosqueada, dn 80 (3"), instalado em rede de alimentação para sprinkler - fornecimento e instalação. af_10/2020	</t>
  </si>
  <si>
    <t>17.1.7</t>
  </si>
  <si>
    <t xml:space="preserve">Tubo de aço galvanizado com costura, classe média, conexão rosqueada, 4", instalado em rede de alimentação para sprinkler - fornecimento e instalação. af_10/2020	</t>
  </si>
  <si>
    <t>17.1.8</t>
  </si>
  <si>
    <t xml:space="preserve">Tubo de aço galvanizado com costura, classe média, conexão rosqueada, dn 65 (2 1/2"), instalado em rede de alimentação para sprinkler - fornecimento e instalação. af_10/2020	</t>
  </si>
  <si>
    <t>17.1.9</t>
  </si>
  <si>
    <t xml:space="preserve">Tubo de aço galvanizado com costura, classe média, conexão rosqueada, dn 32 (1 1/4"), instalado em rede de alimentação para sprinkler - fornecimento e instalação. af_10/2020	</t>
  </si>
  <si>
    <t>17.1.10</t>
  </si>
  <si>
    <t xml:space="preserve">Tubo de aço galvanizado com costura, classe média, conexão rosqueada, dn 40 (1 1/2"), instalado em rede de alimentação para sprinkler - fornecimento e instalação. af_10/2020	</t>
  </si>
  <si>
    <t>17.1.11</t>
  </si>
  <si>
    <t>TUBO DE AÇO GALVANIZADO COM COSTURA, CLASSE MÉDIA, DN 65 (2 1/2”), CONEXÃO ROSQUEADA, INSTALADO EM REDE DE ALIMENTAÇÃO PARA HIDRANTE - FORNECIMENTO E INSTALAÇÃO.</t>
  </si>
  <si>
    <t>17.2</t>
  </si>
  <si>
    <t>VÁLVULAS E ACESSÓRIOS - COMBATE A INCÊNDIO</t>
  </si>
  <si>
    <t>17.2.1</t>
  </si>
  <si>
    <t xml:space="preserve">UNIÃO, EM FERRO GALVANIZADO, DN 65 (2 1/2”), CONEXÃO ROSQUEADA, INSTALADO EM REDE DE ALIMENTAÇÃO PARA HIDRANTE - FORNECIMENTO E INSTALAÇÃO. </t>
  </si>
  <si>
    <t>17.2.2</t>
  </si>
  <si>
    <t xml:space="preserve">Luva de redução, em ferro galvanizado, 3/4" X 1/2", conexão rosqueada, instalado em rede de alimentação para sprinkler - fornecimento e instalação. af_10/2020	</t>
  </si>
  <si>
    <t>17.2.3</t>
  </si>
  <si>
    <t xml:space="preserve">Luva de redução, em ferro galvanizado, 3" x 2 1/2", conexão rosqueada, instalado em rede de alimentação para sprinkler - fornecimento e instalação. af_10/2020	</t>
  </si>
  <si>
    <t>17.2.4</t>
  </si>
  <si>
    <t xml:space="preserve">Luva de redução, em ferro galvanizado, dn 65 x 50 mm (2 1/2" x 2"), conexão rosqueada, instalado em rede de alimentação para sprinkler - fornecimento e instalação. af_10/2020	</t>
  </si>
  <si>
    <t>17.2.5</t>
  </si>
  <si>
    <t xml:space="preserve">Luva de redução, em ferro galvanizado, 2" x 1/4", conexão rosqueada, instalado em rede de alimentação para sprinkler - fornecimento e instalação. af_10/2020	</t>
  </si>
  <si>
    <t>17.2.6</t>
  </si>
  <si>
    <t xml:space="preserve">Luva de redução, em ferro galvanizado, 1 1/4" x 1/2", conexão rosqueada, instalado em rede de alimentação para sprinkler - fornecimento e instalação. af_10/2020	</t>
  </si>
  <si>
    <t>17.2.7</t>
  </si>
  <si>
    <t xml:space="preserve">Luva de redução, em ferro galvanizado, 1 1/2" x 1", conexão rosqueada, instalado em rede de alimentação para sprinkler - fornecimento e instalação. af_10/2020	</t>
  </si>
  <si>
    <t>17.2.8</t>
  </si>
  <si>
    <t xml:space="preserve">Niple, em ferro galvanizado, conexão rosqueada, dn 65 (2 1/2"), instalado em rede de alimentação para sprinkler - fornecimento e instalação. af_10/2020	</t>
  </si>
  <si>
    <t>17.2.9</t>
  </si>
  <si>
    <t xml:space="preserve">Niple, em ferro galvanizado, conexão rosqueada, dn 80 (3"), instalado em rede de alimentação para sprinkler - fornecimento e instalação. af_10/2020	</t>
  </si>
  <si>
    <t>17.2.10</t>
  </si>
  <si>
    <t xml:space="preserve">Niple, em ferro galvanizado, conexão rosqueada, 4", instalado em rede de alimentação para sprinkler - fornecimento e instalação. af_10/2020	</t>
  </si>
  <si>
    <t>17.2.11</t>
  </si>
  <si>
    <t xml:space="preserve">Sprinkler tipo pendente, 68 °c, união por rosca dn 15 (1/2") - fornecimento e instalação. af_10/2020	</t>
  </si>
  <si>
    <t>17.2.12</t>
  </si>
  <si>
    <t xml:space="preserve">Tê de redução, em ferro galvanizado, 2" x 1", conexão rosqueada, instalado em rede de alimentação para sprinkler - fornecimento e instalação. af_10/2020	</t>
  </si>
  <si>
    <t>17.2.13</t>
  </si>
  <si>
    <t xml:space="preserve">Tê de redução, em ferro galvanizado, 4" x 3", conexão rosqueada, instalado em rede de alimentação para sprinkler - fornecimento e instalação. af_10/2020	</t>
  </si>
  <si>
    <t>17.2.14</t>
  </si>
  <si>
    <t xml:space="preserve">Tê, em ferro galvanizado, conexão rosqueada, dn 25 (1"), instalado em rede de alimentação para sprinkler - fornecimento e instalação. af_10/2020	</t>
  </si>
  <si>
    <t>17.2.15</t>
  </si>
  <si>
    <t xml:space="preserve">Cruzeta, em ferro galvanizado, conexão rosqueada, dn 50 (2"), instalado em rede de alimentação para sprinkler - fornecimento e instalação. af_10/2020	</t>
  </si>
  <si>
    <t>17.2.16</t>
  </si>
  <si>
    <t xml:space="preserve">Fornecimento e assentamento de bucha de redução de ferro galvanizado de 3" x 2 1/2"	</t>
  </si>
  <si>
    <t>17.2.17</t>
  </si>
  <si>
    <t xml:space="preserve">Fornecimento e assentamento de bucha de redução de ferro galvanizado de 2" x 1 1/4"	</t>
  </si>
  <si>
    <t>17.2.18</t>
  </si>
  <si>
    <t xml:space="preserve">Fornecimento e assentamento de bucha de redução de ferro galvanizado de 2 1/2" X 2"	</t>
  </si>
  <si>
    <t>17.2.19</t>
  </si>
  <si>
    <t xml:space="preserve">NIPLE, EM FERRO GALVANIZADO, DN 65 (2 1/2”), CONEXÃO ROSQUEADA, INSTALADO EM REDE DE ALIMENTAÇÃO PARA HIDRANTE - FORNECIMENTO E INSTALAÇÃO. </t>
  </si>
  <si>
    <t>17.2.20</t>
  </si>
  <si>
    <t xml:space="preserve">Cotovelo 90 graus, em ferro galvanizado, conexão rosqueada, dn 65 (2 1/2?),  fornecimento e instalação. </t>
  </si>
  <si>
    <t>17.2.21</t>
  </si>
  <si>
    <t xml:space="preserve">Cotovelo 45 graus, em ferro galvanizado, conexão rosqueada, dn 65 (2 1/2?),  fornecimento e instalação. </t>
  </si>
  <si>
    <t>17.2.22</t>
  </si>
  <si>
    <t xml:space="preserve">luva, em ferro galvanizado, conexão rosqueada, dn 65 (2 1/2?),  fornecimento e instalação. </t>
  </si>
  <si>
    <t>17.2.23</t>
  </si>
  <si>
    <t xml:space="preserve">TÊ, EM FERRO GALVANIZADO, CONEXÃO ROSQUEADA, DN 65 (2 1/2”), INSTALADO EM REDE DE ALIMENTAÇÃO PARA HIDRANTE - FORNECIMENTO E INSTALAÇÃO. </t>
  </si>
  <si>
    <t>17.2.24</t>
  </si>
  <si>
    <t>REGISTRO/VALVULA GLOBO ANGULAR 45 GRAUS EM LATAO PARA HIDRANTES OU REDE DE ALIMENTAÇÃO PARA SPRINKLER DE INCÊNDIO PREDIAL DN 2.1/2, COM VOLANTE, CLASSE DE PRESSAO DE ATE 200 PSI - FORNECIMENTO E INSTALACAO</t>
  </si>
  <si>
    <t>17.2.25</t>
  </si>
  <si>
    <t>REGISTRO/VALVULA GLOBO ANGULAR 45 GRAUS EM LATAO PARA HIDRANTES OU REDE DE ALIMENTAÇÃO PARA SPRINKLER DE INCÊNDIO PREDIAL DN 4", COM VOLANTE - FORNECIMENTO E INSTALACAO</t>
  </si>
  <si>
    <t>17.2.26</t>
  </si>
  <si>
    <t xml:space="preserve">Válvula de esfera em latão ø 4" - fornecimento e instalação	</t>
  </si>
  <si>
    <t>17.2.27</t>
  </si>
  <si>
    <t xml:space="preserve">Válvula de esfera em bronze ø 2 1/2" - fornecimento e instalação	</t>
  </si>
  <si>
    <t>17.2.28</t>
  </si>
  <si>
    <t xml:space="preserve">Valvula de esfera em bronze d = 1 1/2" (fornecimento)	</t>
  </si>
  <si>
    <t>17.2.29</t>
  </si>
  <si>
    <t>Hidrante de recalque incluindo caixa em alvenaria de tijolos maciços esp. = 0,12m,  dim. int. =  0.40 x 0.60 x 0.35m, com tampa em ferro fundido 0,40 x 0,60 e fundo com brita</t>
  </si>
  <si>
    <t>17.2.30</t>
  </si>
  <si>
    <t>Abrigo para hidrante interno, inclusive caixa embutir chapa ferro n.º 14, dimensões 0.90 x 0.60 x 0.17 m, registro tipo globo 2 1/2”, adaptador storz, com 02 mangueiras (15m) com esguicho e conexões</t>
  </si>
  <si>
    <t>17.2.31</t>
  </si>
  <si>
    <t>Placa de sinalizacao, fotoluminescente, em pvc , com logotipo "saída, hidrantes, alarme, extintores, PCP, indicação do pavimento"</t>
  </si>
  <si>
    <t>17.3</t>
  </si>
  <si>
    <t>EXTINTORES</t>
  </si>
  <si>
    <t>17.3.1</t>
  </si>
  <si>
    <t xml:space="preserve">Extintor de pó químico ABC, capacidade 6 kg, alcance médio do jato 5m , tempo de descarga 12s, NBR9443, 9444, 10721	</t>
  </si>
  <si>
    <t>17.4</t>
  </si>
  <si>
    <t>EQUIPAMENTOS</t>
  </si>
  <si>
    <t>17.4.1</t>
  </si>
  <si>
    <t>Conjunto Motobomba P/ incêndio 7,5 CV - 3,0/ 220/380 v. Modelo BPI - 44 mca, Trifásica Schneider</t>
  </si>
  <si>
    <t>17.4.2</t>
  </si>
  <si>
    <t xml:space="preserve">Quadro de comando para 2 bombas de incendio, sendo de 2 de até 10 cv ,trifásica, 380V com chave seletora, acionamento manual / automático, quadro 1,50x1,00x0,30m, barramento de cobre - Fornecimento	</t>
  </si>
  <si>
    <t>17.4.3</t>
  </si>
  <si>
    <t>Conjunto moto-bomba Schneider BC-22 R, motor 5 cv, trifásico 220/380V, sucção 1 1/4”, recalque 1”, vazão 13,5 m³/h, 40 mca</t>
  </si>
  <si>
    <t>17.4.4</t>
  </si>
  <si>
    <t xml:space="preserve">Central de alarme endereçável de incendio com sistema p/ até 250 dispositivos, c/ bateria de 12V e 7Amperes, 2 laços	</t>
  </si>
  <si>
    <t>17.4.5</t>
  </si>
  <si>
    <t xml:space="preserve">Acionador manual (botoeira) "aperte aqui", p/instal. incendio - endereçável	</t>
  </si>
  <si>
    <t>17.4.6</t>
  </si>
  <si>
    <t xml:space="preserve">Acionador manual (botoeira) "aperte aqui", p/instal. incendio - a prova do tempo	</t>
  </si>
  <si>
    <t>17.4.7</t>
  </si>
  <si>
    <t xml:space="preserve">Sirene aúdiovisual endereçavel, 120db, para alarme de incêndio	</t>
  </si>
  <si>
    <t>17.4.8</t>
  </si>
  <si>
    <t>Sirene aúdiovisual a prova do tempo, 120db, para alarme de incêndio</t>
  </si>
  <si>
    <t>17.4.9</t>
  </si>
  <si>
    <t xml:space="preserve">Painel repetidor de incêndio - Fornecimento	</t>
  </si>
  <si>
    <t>17.4.10</t>
  </si>
  <si>
    <t xml:space="preserve">Detector de fumaça óptico endereçável, modelo VRE-F, marca VERIN ou similar	</t>
  </si>
  <si>
    <t>17.4.11</t>
  </si>
  <si>
    <t xml:space="preserve">Detector de temperatura termovelocímetrico endereçável, modelo VRE-T, marca VERIN ou similar	</t>
  </si>
  <si>
    <t>18.0</t>
  </si>
  <si>
    <t>LOUÇAS, METAIS E ACESSÓRIOS</t>
  </si>
  <si>
    <t>18.1.1</t>
  </si>
  <si>
    <t>Bacia sanitaria IZY ABNT Conforto Deca P.115.17 c/caixa de descarga acoplada ABNT Izy Conforto Deca CDC.00F.17, DECA, inclusive assento, conj. de fixação, anel de vedação e engate plástico - Fornecimento e instalação</t>
  </si>
  <si>
    <t>18.1.2</t>
  </si>
  <si>
    <t>Kit Bacia sanitária Convencional Deca Monte Carlo c/caixa de descarga acoplada, DUAL, DECA, inclusive assento, conj. de fixação DECA SP13, anel de vedação e engate plástico - Fornecimento e instalação</t>
  </si>
  <si>
    <t>18.1.3</t>
  </si>
  <si>
    <t xml:space="preserve">Mictório de louça (deca ref m714 - s/ sifão integrado), engate cromado (deca ref c4606180) e registro de pressão (deca linha c40 ref1416) </t>
  </si>
  <si>
    <t>18.1.4</t>
  </si>
  <si>
    <t>Ducha higiênica cromada DECA - FORNECIMENTO E INSTALAÇÃO</t>
  </si>
  <si>
    <t>18.1.5</t>
  </si>
  <si>
    <t>Torneira cromada para jardim, DECA 1153C39, 1/2” ou similar</t>
  </si>
  <si>
    <t>18.1.6</t>
  </si>
  <si>
    <t>Cuba de Embutir Cerâmica Redonda L41.17 14,5x36x36 cm Branca Deca, INCLUSO VÁLVULA EM METAL CROMADO - FORNECIMENTO E INSTALAÇÃO</t>
  </si>
  <si>
    <t>18.1.7</t>
  </si>
  <si>
    <t>Lavatório de louça Deca Lavatório Vogue Plus Branco - L.51.17 branca suspensa com coluna</t>
  </si>
  <si>
    <t>18.1.8</t>
  </si>
  <si>
    <t>Sumidouro pre-moldado de concreto conforme projeto de drenagem</t>
  </si>
  <si>
    <t>18.1.9</t>
  </si>
  <si>
    <t>Torneira Deca para Lavatório de Mesa Fechamento Automático Decamatic Eco 1173. C. CONF Cromado, incluindo rabicho flexível em inox. - fornecimento e instalação</t>
  </si>
  <si>
    <t>18.1.10</t>
  </si>
  <si>
    <t>Barra de Apoio Reta 80 cm Polido - Deca REF. 2310.I.080.POL - fornecimento e instalação</t>
  </si>
  <si>
    <t>18.1.11</t>
  </si>
  <si>
    <t>Barra de Apoio Reta 70 cm Polido - Deca REF. 2310.I.070.POL - fornecimento e instalação</t>
  </si>
  <si>
    <t>18.1.12</t>
  </si>
  <si>
    <t>Barra de Apoio Reta 40 cm Polido - Deca REF. 2310.I.040.POL - fornecimento e instalação</t>
  </si>
  <si>
    <t>18.1.13</t>
  </si>
  <si>
    <t>CABIDE FLEX CROMADO 2060.C.FLX DECA</t>
  </si>
  <si>
    <t>18.1.14</t>
  </si>
  <si>
    <t>BANCADA COMPLETA COM DE NANOGLASS PARA LAVATÓRIO, COM FUROS, SEM CUBA - FORNECIMENTO E INSTALAÇÃO</t>
  </si>
  <si>
    <t>18.1.15</t>
  </si>
  <si>
    <t>BANCADA COMPLETA  EM GRANITO PRETO, COM FUROS, SEM CUBA - FORNECIMENTO E INSTALAÇÃO</t>
  </si>
  <si>
    <t>18.1.16</t>
  </si>
  <si>
    <t>Cuba de aço inox 304, 25 cm de profundidade, inclusive acessórios</t>
  </si>
  <si>
    <t>18.1.17</t>
  </si>
  <si>
    <t>Torneira de Mesa Metal para Lavatório Bica Alta Cromado - Deca 1196.C.LNK, incluindo rabicho flexível em inox. - fornecimento e instalação</t>
  </si>
  <si>
    <t>18.1.18</t>
  </si>
  <si>
    <t>Lavatório Hospitalar coletivo aço inox AISI 304  chapa 0,6mm, tipo calha, med . 1000x600x350mm C/ acabamento escovado, incluso torneira com acionamento pelo cotovelo - Fornecimento e instalação</t>
  </si>
  <si>
    <t>18.1.19</t>
  </si>
  <si>
    <t>Tanque em aço inox, incluso torneira cromada e sifão PVC</t>
  </si>
  <si>
    <t>18.1.20</t>
  </si>
  <si>
    <t>Kit de alarme sem fio para WC PNE, composto por botoeira e sirene audiovisual - fornecimento e instalação</t>
  </si>
  <si>
    <t>18.1.21</t>
  </si>
  <si>
    <t>Cuba para Expurgo em inox 60X60, com saída 100mm, inclusive tampa, válvula de descarga e acessórios</t>
  </si>
  <si>
    <t>19.0</t>
  </si>
  <si>
    <t>SERVIÇOS FINAIS</t>
  </si>
  <si>
    <t>19.1.1</t>
  </si>
  <si>
    <t>Elaboração de Manual de manutenção e conservação da obra</t>
  </si>
  <si>
    <t>19.1.2</t>
  </si>
  <si>
    <t>Limpeza final da obra</t>
  </si>
  <si>
    <t>TOTAL GERAL</t>
  </si>
  <si>
    <t>DESCONTO DA MEDIÇÃO PARA MATERIAL COMPRADO(ADIANTADO) PELA LIGA: 65% MATERIAL - ITENS</t>
  </si>
  <si>
    <t>DESCONTO DA MEDIÇÃO PARA MATERIAL COMPRADO (ADIANTADO) PELA LIGA: 25% MATERIAL - ITENS</t>
  </si>
  <si>
    <t>DESCONTO DA MEDIÇÃO PARA MATERIAL COMPRADO (ADIANTADO) PELA LIGA: 65% MATERIAL - ITENS</t>
  </si>
  <si>
    <t>VALOR LÍQUIDO A MEDIR (NOTA FISCAL)</t>
  </si>
  <si>
    <t xml:space="preserve"> </t>
  </si>
  <si>
    <t xml:space="preserve">DESCONTOS </t>
  </si>
  <si>
    <t>(preencher %)</t>
  </si>
  <si>
    <t>VALOR (R$)</t>
  </si>
  <si>
    <t>OUTROS DESCONTOS (R$)</t>
  </si>
  <si>
    <t>LÍQUIDO À RECEBER (R$):</t>
  </si>
  <si>
    <t>INSS:</t>
  </si>
  <si>
    <t>11% DE 35%</t>
  </si>
  <si>
    <t>Outros:</t>
  </si>
  <si>
    <t>Desconto 1:</t>
  </si>
  <si>
    <t xml:space="preserve">ISS: </t>
  </si>
  <si>
    <t>5% DE 70,00%</t>
  </si>
  <si>
    <t>Caução:</t>
  </si>
  <si>
    <t>Desconto 2:</t>
  </si>
  <si>
    <t>PIS/COFINS/CSLL:</t>
  </si>
  <si>
    <t>IRRF:</t>
  </si>
  <si>
    <t>Desconto 3:</t>
  </si>
  <si>
    <t>I S S</t>
  </si>
  <si>
    <t xml:space="preserve">VALOR  DA FATURA </t>
  </si>
  <si>
    <t>VALOR TOTAL DA NF´S</t>
  </si>
  <si>
    <t>LISTAGENS DA NOTAS FISCAIS APROVADAS NA PREFEITURA DE NATAL/RN</t>
  </si>
  <si>
    <t>BASE DE CÁLCULO PARA ISS</t>
  </si>
  <si>
    <t>PERCENTUAL DA BASE DE CÁLCULO</t>
  </si>
  <si>
    <t>VALOR DO ISS</t>
  </si>
  <si>
    <t>MATERIAL COMPRADO PELA LIGA</t>
  </si>
  <si>
    <t>VALOR QUITADO DA COMPRA DA LIGA</t>
  </si>
  <si>
    <t>NFE ARCELORMITTAL Nº 95448</t>
  </si>
  <si>
    <t>AÇO</t>
  </si>
  <si>
    <t>MEDIÇÃO 01</t>
  </si>
  <si>
    <t>NFE ARCELORMITTAL Nº 95614</t>
  </si>
  <si>
    <t>BOLETIM DE MEDIÇÃO Nº 02</t>
  </si>
  <si>
    <t>MEDIÇÃO N.º 02</t>
  </si>
  <si>
    <t>04/05/2024 à 03/06/2024</t>
  </si>
  <si>
    <t>Execução de refeitório em canteiro de obra em chapa de madeira compensada, não incluso mobiliário e equipamentos.</t>
  </si>
  <si>
    <t>DESCONTO DA MEDIÇÃO PARA MATERIAL COMPRADO(ADIANTADO) PELA LIGA: 50% MATERIAL - ESTACA HÉLICE CONTÍNUA, FUNDASOLOS, CONCRETO</t>
  </si>
  <si>
    <t>DESCONTO DA MEDIÇÃO PARA MATERIAL COMPRADO (ADIANTADO) PELA LIGA: MATERIAL</t>
  </si>
  <si>
    <t>5% DE 70,0%</t>
  </si>
  <si>
    <t>MEDIÇÃO 02</t>
  </si>
  <si>
    <t>NFE ARCELORMITTAL Nº 96172</t>
  </si>
  <si>
    <t>MEDIÇÃO 03</t>
  </si>
  <si>
    <t>Nota Débito FUNDASOLOS Nº 310</t>
  </si>
  <si>
    <t>ESTACA</t>
  </si>
  <si>
    <t>NFS-e  FUNDASOLOS Nº 321</t>
  </si>
  <si>
    <t>NFS-e CIMENTO APODI Nº 3980</t>
  </si>
  <si>
    <t>NFE ARCELORMITTAL Nº 97157</t>
  </si>
  <si>
    <t>MEMÓRIA DE CALCULO DE MEDIÇÃO Nº 01</t>
  </si>
  <si>
    <t>1.2.2 ADMINISTRAÇÃO LOCAL DE OBRA</t>
  </si>
  <si>
    <t>LOCAL</t>
  </si>
  <si>
    <t>COMP.</t>
  </si>
  <si>
    <t xml:space="preserve">LARG. </t>
  </si>
  <si>
    <t>ALT.</t>
  </si>
  <si>
    <t>REPET.</t>
  </si>
  <si>
    <t>CAMPO LIVRE</t>
  </si>
  <si>
    <t>DESC.</t>
  </si>
  <si>
    <t>TOTAL PARCIAL</t>
  </si>
  <si>
    <t>OBSERVAÇÕES</t>
  </si>
  <si>
    <t>ADM</t>
  </si>
  <si>
    <t>Medição 01</t>
  </si>
  <si>
    <t>Mês</t>
  </si>
  <si>
    <t>TOTAL</t>
  </si>
  <si>
    <t>QUANT. PLAN.</t>
  </si>
  <si>
    <t>MEDIÇÕES ANTERIORES</t>
  </si>
  <si>
    <t>QUANTIDADE A SER READEQUADA</t>
  </si>
  <si>
    <t>1.2.3 Atendimento as normas da legislação de segurança e medicina do trabalho, incluindo encargos intersindicais (alimentação e vale transportes, exames médicos, epi, epc), projeto e execução das instalações provisórias de energia (exceto consumo), inclusive laudos técnicos, fretes e transportes internos, (incluindo vertical), ferramentas e equipamentos necessários, iluminação e sinalização provisórias, seguro de vida de engenharia, materiais de consumo e limpeza do canteiro, segurança, combustíveis, equipamentos de proteção coletiva (projeto de linha de vida, projeto de execução de estruturas necessárias de trabalho em fachadas, bandejas de proteção e telas, laudos de inspeção de segurança), duto coletor de entulho, controle tecnológico dos materiais e ensaios, implantação e atendimento ao PGRCC.</t>
  </si>
  <si>
    <t>Vb</t>
  </si>
  <si>
    <t xml:space="preserve">1.3.1 Tapume com telha metálica. </t>
  </si>
  <si>
    <t>CANTEIRO DE OBRAS</t>
  </si>
  <si>
    <t xml:space="preserve">1.3.3 Execução de escritório em canteiro de obra em chapa de madeira compensada, não incluso mobiliário e equipamentos. </t>
  </si>
  <si>
    <t xml:space="preserve">1.3.4 Execução de almoxarifado em canteiro de obra em chapa de madeira compensada, incluso prateleiras. </t>
  </si>
  <si>
    <t xml:space="preserve">1.3.5 Barracão aberto para apoio à produção (carpintaria, central de armação, oficina, etc.) c/ tesouras, telha 4mm, piso em concreto desempolado </t>
  </si>
  <si>
    <t xml:space="preserve">1.3.6 Execução de sanitário e vestiário em canteiro de obra em chapa de madeira compensada, não incluso mobiliário. </t>
  </si>
  <si>
    <t xml:space="preserve">1.3.7 Execução de refeitório em canteiro de obra em chapa de madeira compensada, não incluso mobiliário e equipamentos. </t>
  </si>
  <si>
    <t>1.4.6 Escavação, carga e transporte de material de 1ª categoria - DMT de 1.000 a 1.200 m - Escavadeira</t>
  </si>
  <si>
    <t>ÁREA DE CONSTRUÇÃO</t>
  </si>
  <si>
    <t xml:space="preserve">1.4.7 CARGA, MANOBRA E DESCARGA DE SOLOS E MATERIAIS GRANULARES EM CAMINHÃO BASCULANTE 6 M³ - CARGA COM ESCAVADEIRA HIDRÁULICA (CAÇAMBA DE 1,20 M³ / 155 HP) E DESCARGA LIVRE (UNIDADE: M3). </t>
  </si>
  <si>
    <t xml:space="preserve">1.4.8 TRANSPORTE COM CAMINHÃO BASCULANTE DE 10 M³, EM VIA URBANA PAVIMENTADA, DMT ATÉ 30 KM (UNIDADE: M3XKM). </t>
  </si>
  <si>
    <t>BOTAFORA, MOVIMENTAÇÃO</t>
  </si>
  <si>
    <t>MEMÓRIA DE CALCULO DE MEDIÇÃO Nº 02</t>
  </si>
  <si>
    <t>Medição 02</t>
  </si>
  <si>
    <t>2.1.3 Execução de estaca hélice contínua monitorada Ø 400mm, concreto fck=35Mpa, inclusive aço, bombeamento e perfuratriz; exclusive mobilização e desmobilização de equipamento</t>
  </si>
  <si>
    <t xml:space="preserve">2.1.4 Carga, manobra e descarga de solos e materiais granulares em caminhão basculante 6 m³ - carga com escavadeira hidráulica (caçamba de 1,20 m³ / 155 hp) e descarga livre (unidade: m3). </t>
  </si>
  <si>
    <t xml:space="preserve">2.1.5 Transporte com caminhão basculante de 10 m³, em via urbana pavimentada, adicional para dmt excedente a 30 km (unidade: m3xkm). </t>
  </si>
  <si>
    <t xml:space="preserve">2.1.6 Arrasamento mecanico de estaca de concreto armado, diametros de até 40 cm. </t>
  </si>
  <si>
    <t>2.1.7 Prova de carga estática em estaca</t>
  </si>
  <si>
    <t>PROVA DE CARGA</t>
  </si>
  <si>
    <t>BOLETIM DE MEDIÇÃO Nº 03</t>
  </si>
  <si>
    <t>MEDIÇÃO N.º 03</t>
  </si>
  <si>
    <t>04/06/2024 à 03/07/2024</t>
  </si>
  <si>
    <t>MEDIÇÃO 04</t>
  </si>
  <si>
    <t>NFS-e CIMENTO APODI Nº 4006</t>
  </si>
  <si>
    <t>NFE ARCELORMITTAL Nº 97355</t>
  </si>
  <si>
    <t>Nota Débito FUNDASOLOS Nº 312</t>
  </si>
  <si>
    <t>NFS-e  FUNDASOLOS Nº 323</t>
  </si>
  <si>
    <t>DESCRIÇÃO DESCONTO</t>
  </si>
  <si>
    <t>VALOR ACUM. DESC.</t>
  </si>
  <si>
    <t>MATERIAL</t>
  </si>
  <si>
    <t>VALOR COMPRA</t>
  </si>
  <si>
    <t>REST. A DESC.</t>
  </si>
  <si>
    <t>ESTACA HELICE CONT. (CONC., AÇO, FUNDASOLOS)</t>
  </si>
  <si>
    <t>Estaca</t>
  </si>
  <si>
    <t>COMPRA AÇO ARCELORMITTAL E GERDAU</t>
  </si>
  <si>
    <t>Aço</t>
  </si>
  <si>
    <t>Revest.</t>
  </si>
  <si>
    <t>Cobertura</t>
  </si>
  <si>
    <t>Sprinkler</t>
  </si>
  <si>
    <t>Elétrica</t>
  </si>
  <si>
    <t>Esq. Aluminio</t>
  </si>
  <si>
    <t>Drywall</t>
  </si>
  <si>
    <t>MEMÓRIA DE CALCULO DE MEDIÇÃO Nº 03</t>
  </si>
  <si>
    <t>Medição 03</t>
  </si>
  <si>
    <t xml:space="preserve">3.1.7 Armação de bloco, viga baldrame e sapata utilizando aço ca-60 de 5 mm - montagem. </t>
  </si>
  <si>
    <t>01/FUND</t>
  </si>
  <si>
    <t>kg</t>
  </si>
  <si>
    <t>02/FUND</t>
  </si>
  <si>
    <t xml:space="preserve">3.1.8 Armação de bloco, viga baldrame ou sapata utilizando aço ca-50 de 6,3 mm - montagem. af_06/2017 </t>
  </si>
  <si>
    <t xml:space="preserve">3.1.9 Armação de bloco, viga baldrame ou sapata utilizando aço ca-50 de 8 mm - montagem. </t>
  </si>
  <si>
    <t xml:space="preserve">3.1.10 Armação de bloco, viga baldrame ou sapata utilizando aço ca-50 de 10 mm - montagem. </t>
  </si>
  <si>
    <t xml:space="preserve">3.1.11 Armação de bloco, viga baldrame ou sapata utilizando aço ca-50 de 12,5 mm - montagem. </t>
  </si>
  <si>
    <t xml:space="preserve">3.1.12 Armação de bloco, viga baldrame ou sapata utilizando aço ca-50 de 16 mm - montagem. </t>
  </si>
  <si>
    <t xml:space="preserve">3.1.13 Armação de bloco, viga baldrame ou sapata utilizando aço ca-50 de 20 mm - montagem. </t>
  </si>
  <si>
    <t>aço 20.0mm</t>
  </si>
  <si>
    <t>aço 25.0mm</t>
  </si>
  <si>
    <t xml:space="preserve">3.1.15 Concreto simples usinado fck=35mpa, bombeado, lançado e adensado na infraestrutura </t>
  </si>
  <si>
    <t>B-01</t>
  </si>
  <si>
    <t>B-02</t>
  </si>
  <si>
    <t>B-03</t>
  </si>
  <si>
    <t>B-04</t>
  </si>
  <si>
    <t>B-05</t>
  </si>
  <si>
    <t>B-06</t>
  </si>
  <si>
    <t>B-07</t>
  </si>
  <si>
    <t>B-08</t>
  </si>
  <si>
    <t>B-09</t>
  </si>
  <si>
    <t>B-10</t>
  </si>
  <si>
    <t>B-11</t>
  </si>
  <si>
    <t>B-17</t>
  </si>
  <si>
    <t>B-21</t>
  </si>
  <si>
    <t>B-26/27</t>
  </si>
  <si>
    <t>B-23</t>
  </si>
  <si>
    <t xml:space="preserve">3.2.6 Armação de bloco, viga baldrame e sapata utilizando aço ca-60 de 5 mm - montagem. </t>
  </si>
  <si>
    <t>01/VIG</t>
  </si>
  <si>
    <t>02/VIG</t>
  </si>
  <si>
    <t xml:space="preserve">3.2.7 Armação de bloco, viga baldrame ou sapata utilizando aço ca-50 de 6,3 mm - montagem. </t>
  </si>
  <si>
    <t xml:space="preserve">3.2.8 Armação de bloco, viga baldrame ou sapata utilizando aço ca-50 de 8 mm - montagem. </t>
  </si>
  <si>
    <t xml:space="preserve">3.2.9 Armação de bloco, viga baldrame ou sapata utilizando aço ca-50 de 10 mm - montagem. </t>
  </si>
  <si>
    <t xml:space="preserve">3.2.10 Armação de bloco, viga baldrame ou sapata utilizando aço ca-50 de 12,5 mm - montagem. </t>
  </si>
  <si>
    <t xml:space="preserve">3.2.11 Armação de bloco, viga baldrame ou sapata utilizando aço ca-50 de 16 mm - montagem. </t>
  </si>
  <si>
    <t xml:space="preserve">3.2.13 Concreto simples usinado fck=35mpa, bombeado, lançado e adensado na infraestrutura </t>
  </si>
  <si>
    <t>F21</t>
  </si>
  <si>
    <t>F23</t>
  </si>
  <si>
    <t>F25</t>
  </si>
  <si>
    <t>F1</t>
  </si>
  <si>
    <t>F2</t>
  </si>
  <si>
    <t>F18</t>
  </si>
  <si>
    <t>F19</t>
  </si>
  <si>
    <t>BOLETIM DE MEDIÇÃO Nº 04</t>
  </si>
  <si>
    <t>MEDIÇÃO N.º 04</t>
  </si>
  <si>
    <t>04/07/2024 à 03/08/2024</t>
  </si>
  <si>
    <t>DESCONTO DA MEDIÇÃO PARA MATERIAL COMPRADO (ADIANTADO) PELA LIGA: 35% MATERIAL AÇO - ITENS 3.1.7 a 3.1.13; 3.2.6 a 3.2.11; 4.1.2 a 4.1.9; 4.2.2 a 4.2.9</t>
  </si>
  <si>
    <t>DESCONTO DA MEDIÇÃO PARA MATERIAL COMPRADO (ADIANTADO) PELA LIGA: MATERIAL CONCRETO</t>
  </si>
  <si>
    <t>NFE GERDAU Nº 70601</t>
  </si>
  <si>
    <t>NFE GERDAU Nº 70618</t>
  </si>
  <si>
    <t>NFS-e CIMENTO APODI Nº 4093</t>
  </si>
  <si>
    <t>CONCRETO</t>
  </si>
  <si>
    <t>NFE GERDAU Nº 70708</t>
  </si>
  <si>
    <t>NFE GERDAU Nº 70778</t>
  </si>
  <si>
    <t>NFE GERDAU Nº 70790</t>
  </si>
  <si>
    <t>NFE GERDAU Nº 70833</t>
  </si>
  <si>
    <t>COMPRA AÇO</t>
  </si>
  <si>
    <t>COMPRA CONCRETO APODI</t>
  </si>
  <si>
    <t>Concreto</t>
  </si>
  <si>
    <t>MEMÓRIA DE CALCULO DE MEDIÇÃO Nº 04</t>
  </si>
  <si>
    <t>Medição 04</t>
  </si>
  <si>
    <t xml:space="preserve">3.1.6 Lastro de concreto magro, aplicado em blocos de coroamento ou sapatas, espessura de 5 cm. </t>
  </si>
  <si>
    <t>M2</t>
  </si>
  <si>
    <t>B-12</t>
  </si>
  <si>
    <t>B-13</t>
  </si>
  <si>
    <t>B-14</t>
  </si>
  <si>
    <t>B-15</t>
  </si>
  <si>
    <t>B-16</t>
  </si>
  <si>
    <t>B-18</t>
  </si>
  <si>
    <t>B-19</t>
  </si>
  <si>
    <t>B-20</t>
  </si>
  <si>
    <t>B-22/23</t>
  </si>
  <si>
    <t>B-24/25</t>
  </si>
  <si>
    <t>B-28/29</t>
  </si>
  <si>
    <t>B-30</t>
  </si>
  <si>
    <t>B-35</t>
  </si>
  <si>
    <t>B-36</t>
  </si>
  <si>
    <t>B-37</t>
  </si>
  <si>
    <t>B-38</t>
  </si>
  <si>
    <t>B-39</t>
  </si>
  <si>
    <t>B-40</t>
  </si>
  <si>
    <t>B-41</t>
  </si>
  <si>
    <t>B-42</t>
  </si>
  <si>
    <t>B-43</t>
  </si>
  <si>
    <t>B-46</t>
  </si>
  <si>
    <t>B-47</t>
  </si>
  <si>
    <t>B-48</t>
  </si>
  <si>
    <t>B-49</t>
  </si>
  <si>
    <t>B-50</t>
  </si>
  <si>
    <t>B-51</t>
  </si>
  <si>
    <t>B-52</t>
  </si>
  <si>
    <t>B-53</t>
  </si>
  <si>
    <t xml:space="preserve">ADITIVO </t>
  </si>
  <si>
    <t>excedente item 3.2.7</t>
  </si>
  <si>
    <t>03/VIG</t>
  </si>
  <si>
    <t>F3</t>
  </si>
  <si>
    <t>F24</t>
  </si>
  <si>
    <t>F4</t>
  </si>
  <si>
    <t>F5</t>
  </si>
  <si>
    <t>F6</t>
  </si>
  <si>
    <t>F7</t>
  </si>
  <si>
    <t>F20</t>
  </si>
  <si>
    <t>F12</t>
  </si>
  <si>
    <t>F26</t>
  </si>
  <si>
    <t>F22</t>
  </si>
  <si>
    <t>F8</t>
  </si>
  <si>
    <t>F9</t>
  </si>
  <si>
    <t>F10</t>
  </si>
  <si>
    <t>F11</t>
  </si>
  <si>
    <t>KG/M</t>
  </si>
  <si>
    <t>DESP.</t>
  </si>
  <si>
    <t>%</t>
  </si>
  <si>
    <t>DESCONTO</t>
  </si>
  <si>
    <t>04/VIG</t>
  </si>
  <si>
    <t>01/PIL</t>
  </si>
  <si>
    <t>LARG.</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</si>
  <si>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</si>
  <si>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</si>
  <si>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</si>
  <si>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</si>
  <si>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</si>
  <si>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</si>
  <si>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</si>
  <si>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</si>
  <si>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</si>
  <si>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</si>
  <si>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</si>
  <si>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</si>
  <si>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</si>
  <si>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</si>
  <si>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</si>
  <si>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</si>
  <si>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</si>
  <si>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</si>
  <si>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</si>
  <si>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</si>
  <si>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</si>
  <si>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</si>
  <si>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</si>
  <si>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</si>
  <si>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</si>
  <si>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</si>
  <si>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</si>
  <si>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</si>
  <si>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</si>
  <si>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</si>
  <si>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</si>
  <si>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</si>
  <si>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</si>
  <si>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</si>
  <si>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</si>
  <si>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</si>
  <si>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</si>
  <si>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</si>
  <si>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BOLETIM DE MEDIÇÃO Nº 05</t>
  </si>
  <si>
    <t>MEDIÇÃO N.º 05</t>
  </si>
  <si>
    <t>04/08/2024 à 03/09/2024</t>
  </si>
  <si>
    <t>DESCONTO DA MEDIÇÃO PARA MATERIAL COMPRADO (ADIANTADO) PELA LIGA: 35% MATERIAL AÇO - ITENS 3.1.7 a 3.1.13; 3.2.6 a 3.2.11; 4.1.2 a 4.1.9; 4.2.2 a 4.2.9; 4.3.3 a 4.3.9</t>
  </si>
  <si>
    <t>MEDIÇÃO 05</t>
  </si>
  <si>
    <t>BOLETIM DE MEDIÇÃO Nº 06</t>
  </si>
  <si>
    <t>MEDIÇÃO N.º 06</t>
  </si>
  <si>
    <t>04/09/2024 à 03/10/2024</t>
  </si>
  <si>
    <t>MEDIÇÃO 06</t>
  </si>
  <si>
    <t>NFE GERDAU Nº 71244</t>
  </si>
  <si>
    <t>NFe CIMENTO APODI Nº 4171</t>
  </si>
  <si>
    <t>NFe CIMENTO APODI Nº 4190</t>
  </si>
  <si>
    <t>NFE ARCELORMITTAL Nº 100583</t>
  </si>
  <si>
    <t>MEMÓRIA DE CALCULO DE MEDIÇÃO Nº 05</t>
  </si>
  <si>
    <t>Medição 05</t>
  </si>
  <si>
    <t>B-44</t>
  </si>
  <si>
    <t>B-45</t>
  </si>
  <si>
    <t>B-31</t>
  </si>
  <si>
    <t>B-32</t>
  </si>
  <si>
    <t>B-33</t>
  </si>
  <si>
    <t>B-34</t>
  </si>
  <si>
    <t>excedente item 3.1.8</t>
  </si>
  <si>
    <t>F13</t>
  </si>
  <si>
    <t>F14</t>
  </si>
  <si>
    <t>F15</t>
  </si>
  <si>
    <t>F16</t>
  </si>
  <si>
    <t>F17</t>
  </si>
  <si>
    <t>ESCADA 1</t>
  </si>
  <si>
    <t>REPET</t>
  </si>
  <si>
    <t>V101</t>
  </si>
  <si>
    <t>V102</t>
  </si>
  <si>
    <t>V103</t>
  </si>
  <si>
    <t>V104</t>
  </si>
  <si>
    <t>V105</t>
  </si>
  <si>
    <t>V106</t>
  </si>
  <si>
    <t>V107</t>
  </si>
  <si>
    <t>V108</t>
  </si>
  <si>
    <t>V109</t>
  </si>
  <si>
    <t>V110</t>
  </si>
  <si>
    <t>V111</t>
  </si>
  <si>
    <t>V131</t>
  </si>
  <si>
    <t>V132</t>
  </si>
  <si>
    <t>V135</t>
  </si>
  <si>
    <t>V138</t>
  </si>
  <si>
    <t>V139</t>
  </si>
  <si>
    <t>V143</t>
  </si>
  <si>
    <t>V144</t>
  </si>
  <si>
    <t>V149</t>
  </si>
  <si>
    <t>05/VIG</t>
  </si>
  <si>
    <t>06/VIG</t>
  </si>
  <si>
    <t>EXCEDENTE ITEM 3.2.8</t>
  </si>
  <si>
    <t>EXCEDENTE ITEM 3.1.11</t>
  </si>
  <si>
    <t>EXCEDENTE ITEM 3.2.10</t>
  </si>
  <si>
    <t>02/PIL</t>
  </si>
  <si>
    <t>P39</t>
  </si>
  <si>
    <t>P40</t>
  </si>
  <si>
    <t>P41</t>
  </si>
  <si>
    <t>P42</t>
  </si>
  <si>
    <t>P43</t>
  </si>
  <si>
    <t>P44</t>
  </si>
  <si>
    <t>P45</t>
  </si>
  <si>
    <t>P46</t>
  </si>
  <si>
    <t>P47</t>
  </si>
  <si>
    <t>P48</t>
  </si>
  <si>
    <t>P49</t>
  </si>
  <si>
    <t>P50</t>
  </si>
  <si>
    <t>P51</t>
  </si>
  <si>
    <t>P52</t>
  </si>
  <si>
    <t>P53</t>
  </si>
  <si>
    <t>L101</t>
  </si>
  <si>
    <t>L104</t>
  </si>
  <si>
    <t>L110</t>
  </si>
  <si>
    <t>L112</t>
  </si>
  <si>
    <t>L114</t>
  </si>
  <si>
    <t>L102</t>
  </si>
  <si>
    <t>L103</t>
  </si>
  <si>
    <t>L105</t>
  </si>
  <si>
    <t>L106</t>
  </si>
  <si>
    <t>L107</t>
  </si>
  <si>
    <t>L108</t>
  </si>
  <si>
    <t>L109</t>
  </si>
  <si>
    <t>L111</t>
  </si>
  <si>
    <t>L113</t>
  </si>
  <si>
    <t>PRANCHA 01/LAJ</t>
  </si>
  <si>
    <t>6.3MM</t>
  </si>
  <si>
    <t>PRANCHA 02/LAJ</t>
  </si>
  <si>
    <t>PRANCHA 08/LAJ</t>
  </si>
  <si>
    <t>PRANCHA 09/LAJ</t>
  </si>
  <si>
    <t>5.0MM</t>
  </si>
  <si>
    <t>EXCEDENTE ITEM 3.2.7</t>
  </si>
  <si>
    <t>excedente item 4.3.4</t>
  </si>
  <si>
    <t>laje h30 cubeta h25</t>
  </si>
  <si>
    <t>laje h25 cubeta h20</t>
  </si>
  <si>
    <t>MEMÓRIA DE CALCULO DE MEDIÇÃO Nº 06</t>
  </si>
  <si>
    <t>Medição 06</t>
  </si>
  <si>
    <t>RETIRADA DE ENTULHO E ATERRO</t>
  </si>
  <si>
    <t>C3</t>
  </si>
  <si>
    <t>MEDIR ITEM 4.1.11</t>
  </si>
  <si>
    <t>C4</t>
  </si>
  <si>
    <t>C6</t>
  </si>
  <si>
    <t>C1</t>
  </si>
  <si>
    <t>C2</t>
  </si>
  <si>
    <t>C7</t>
  </si>
  <si>
    <t>C8</t>
  </si>
  <si>
    <t>V201</t>
  </si>
  <si>
    <t>V202</t>
  </si>
  <si>
    <t>V203</t>
  </si>
  <si>
    <t>V204</t>
  </si>
  <si>
    <t>V205</t>
  </si>
  <si>
    <t>V206</t>
  </si>
  <si>
    <t>V207</t>
  </si>
  <si>
    <t>V209</t>
  </si>
  <si>
    <t>V210</t>
  </si>
  <si>
    <t>V211</t>
  </si>
  <si>
    <t>V224</t>
  </si>
  <si>
    <t>V225</t>
  </si>
  <si>
    <t>V229</t>
  </si>
  <si>
    <t>V230</t>
  </si>
  <si>
    <t>V231</t>
  </si>
  <si>
    <t>V232</t>
  </si>
  <si>
    <t>V234</t>
  </si>
  <si>
    <t>V235</t>
  </si>
  <si>
    <t>V242</t>
  </si>
  <si>
    <t>V244</t>
  </si>
  <si>
    <t>V245</t>
  </si>
  <si>
    <t>07/VIG</t>
  </si>
  <si>
    <t>08/VIG</t>
  </si>
  <si>
    <t>EXCEDENTE ITEM 3.2.14</t>
  </si>
  <si>
    <t>03/PIL</t>
  </si>
  <si>
    <t>LANCE TÉRREO</t>
  </si>
  <si>
    <t>1º PAVIMENTO</t>
  </si>
  <si>
    <t>2º PAVIMENTO</t>
  </si>
  <si>
    <t>L202</t>
  </si>
  <si>
    <t>L203</t>
  </si>
  <si>
    <t>L204</t>
  </si>
  <si>
    <t>L210</t>
  </si>
  <si>
    <t>L211</t>
  </si>
  <si>
    <t>L214</t>
  </si>
  <si>
    <t>L201</t>
  </si>
  <si>
    <t>L205</t>
  </si>
  <si>
    <t>L206</t>
  </si>
  <si>
    <t>L207</t>
  </si>
  <si>
    <t>L208</t>
  </si>
  <si>
    <t>L209</t>
  </si>
  <si>
    <t>L213</t>
  </si>
  <si>
    <t>PRANCHA 03/LAJ</t>
  </si>
  <si>
    <t>PRANCHA 10/LAJ</t>
  </si>
  <si>
    <t>DESC. CUBETAS E ANUL.</t>
  </si>
  <si>
    <t>MUDANÇA DE TUBULAÇÃO P53</t>
  </si>
  <si>
    <t>BOLETIM DE MEDIÇÃO Nº 07</t>
  </si>
  <si>
    <t>MEDIÇÃO N.º 07</t>
  </si>
  <si>
    <t>04/10/2024 à 03/11/2024</t>
  </si>
  <si>
    <t>MEDIÇÃO 07</t>
  </si>
  <si>
    <t>NFe CIMENTO APODI Nº 4199</t>
  </si>
  <si>
    <t>Nfe ARCELORMITTAL Nº 101225</t>
  </si>
  <si>
    <t>Nfe ARCELORMITTAL Nº 101405</t>
  </si>
  <si>
    <t>NFL UNIMETAIS Nº 020235</t>
  </si>
  <si>
    <t>Escoram.</t>
  </si>
  <si>
    <t>NFL UNIMETAIS Nº 020234</t>
  </si>
  <si>
    <t>Nfe ARCELORMITTAL Nº 101809</t>
  </si>
  <si>
    <t>ESCORAMENTO UNIMETAIS</t>
  </si>
  <si>
    <t>BOLETIM DE MEDIÇÃO Nº 08</t>
  </si>
  <si>
    <t>MEDIÇÃO N.º 08</t>
  </si>
  <si>
    <t>04/11/2024 à 03/12/2024</t>
  </si>
  <si>
    <t>DESCONTO DA MEDIÇÃO PARA MATERIAL COMPRADO (ADIANTADO) PELA LIGA: MATERIAL ESCORAMENTO</t>
  </si>
  <si>
    <t>MEDIÇÃO 08</t>
  </si>
  <si>
    <t>BOLETIM DE MEDIÇÃO Nº 09</t>
  </si>
  <si>
    <t>MEDIÇÃO N.º 09</t>
  </si>
  <si>
    <t>04/12/2024 à 03/01/2025</t>
  </si>
  <si>
    <t>MEDIÇÃO 09</t>
  </si>
  <si>
    <t>NFL UNIMETAIS Nº 021152</t>
  </si>
  <si>
    <t>Nfe ARCELORMITTAL Nº 102637</t>
  </si>
  <si>
    <t>Nfe ARCELORMITTAL Nº 102638</t>
  </si>
  <si>
    <t>Nfe ARCELORMITTAL Nº 102639</t>
  </si>
  <si>
    <t>Nfe ARCELORMITTAL Nº 102642</t>
  </si>
  <si>
    <t>BOLETIM DE MEDIÇÃO Nº 10</t>
  </si>
  <si>
    <t>MEDIÇÃO N.º 10</t>
  </si>
  <si>
    <t>04/01/2025 à 03/02/2025</t>
  </si>
  <si>
    <t>MEDIÇÃO 10</t>
  </si>
  <si>
    <t>Nfe ARCELORMITTAL Nº 103404</t>
  </si>
  <si>
    <t>NFe CIMENTO APODI Nº 4312</t>
  </si>
  <si>
    <t>Nfe ARCELORMITTAL Nº 103964</t>
  </si>
  <si>
    <t>NFE GERDAU Nº 73500</t>
  </si>
  <si>
    <t>MEMÓRIA DE CALCULO DE MEDIÇÃO Nº 09</t>
  </si>
  <si>
    <t>Medição 07</t>
  </si>
  <si>
    <t>Medição 08</t>
  </si>
  <si>
    <t>Medição 09</t>
  </si>
  <si>
    <t>V112</t>
  </si>
  <si>
    <t>V113</t>
  </si>
  <si>
    <t>V114</t>
  </si>
  <si>
    <t>V115</t>
  </si>
  <si>
    <t>V116</t>
  </si>
  <si>
    <t>V117</t>
  </si>
  <si>
    <t>V119</t>
  </si>
  <si>
    <t>V120</t>
  </si>
  <si>
    <t>V121</t>
  </si>
  <si>
    <t>V122</t>
  </si>
  <si>
    <t>V123</t>
  </si>
  <si>
    <t>V124</t>
  </si>
  <si>
    <t>V125</t>
  </si>
  <si>
    <t>V126</t>
  </si>
  <si>
    <t>V127</t>
  </si>
  <si>
    <t>V128</t>
  </si>
  <si>
    <t>V129</t>
  </si>
  <si>
    <t>V130</t>
  </si>
  <si>
    <t>V133</t>
  </si>
  <si>
    <t>V134</t>
  </si>
  <si>
    <t>V136</t>
  </si>
  <si>
    <t>V137</t>
  </si>
  <si>
    <t>V140</t>
  </si>
  <si>
    <t>V142</t>
  </si>
  <si>
    <t>V145</t>
  </si>
  <si>
    <t>V146</t>
  </si>
  <si>
    <t>V147</t>
  </si>
  <si>
    <t>V148</t>
  </si>
  <si>
    <t>09/VIG</t>
  </si>
  <si>
    <t>10/VIG</t>
  </si>
  <si>
    <t>11/VIG</t>
  </si>
  <si>
    <t>12/VIG</t>
  </si>
  <si>
    <t>13/VIG</t>
  </si>
  <si>
    <t>14/VIG</t>
  </si>
  <si>
    <t>V301</t>
  </si>
  <si>
    <t>V304</t>
  </si>
  <si>
    <t>V306</t>
  </si>
  <si>
    <t>V309</t>
  </si>
  <si>
    <t>V310</t>
  </si>
  <si>
    <t>V312</t>
  </si>
  <si>
    <t>V326</t>
  </si>
  <si>
    <t>V333</t>
  </si>
  <si>
    <t>V335</t>
  </si>
  <si>
    <t>V341</t>
  </si>
  <si>
    <t>V212</t>
  </si>
  <si>
    <t>V213</t>
  </si>
  <si>
    <t>V214</t>
  </si>
  <si>
    <t>V215</t>
  </si>
  <si>
    <t>V216</t>
  </si>
  <si>
    <t>V217</t>
  </si>
  <si>
    <t>V218</t>
  </si>
  <si>
    <t>V219</t>
  </si>
  <si>
    <t>V220</t>
  </si>
  <si>
    <t>V221</t>
  </si>
  <si>
    <t>V222</t>
  </si>
  <si>
    <t>V223</t>
  </si>
  <si>
    <t>V226</t>
  </si>
  <si>
    <t>V227</t>
  </si>
  <si>
    <t>V228</t>
  </si>
  <si>
    <t>V233</t>
  </si>
  <si>
    <t>V236</t>
  </si>
  <si>
    <t>V237</t>
  </si>
  <si>
    <t>V238</t>
  </si>
  <si>
    <t>V239</t>
  </si>
  <si>
    <t>V240</t>
  </si>
  <si>
    <t>V241</t>
  </si>
  <si>
    <t>V243</t>
  </si>
  <si>
    <t>04/PIL</t>
  </si>
  <si>
    <t>2ª ETAPA 1º PAVIMENTO</t>
  </si>
  <si>
    <t>1ª ETAPA 3º PAVIMENTO</t>
  </si>
  <si>
    <t>1ª ETAPA 4º PAVIMENTO</t>
  </si>
  <si>
    <t>2ª ETAPA 2º PAVIMENTO</t>
  </si>
  <si>
    <t>PRANCHA 04/LAJ</t>
  </si>
  <si>
    <t>EXCEDENTE TELA LAJE Q196</t>
  </si>
  <si>
    <t>L115</t>
  </si>
  <si>
    <t>L116</t>
  </si>
  <si>
    <t>L117</t>
  </si>
  <si>
    <t>L118</t>
  </si>
  <si>
    <t>L119</t>
  </si>
  <si>
    <t>L120</t>
  </si>
  <si>
    <t>L122</t>
  </si>
  <si>
    <t>L123</t>
  </si>
  <si>
    <t>L124</t>
  </si>
  <si>
    <t>L125</t>
  </si>
  <si>
    <t>L126</t>
  </si>
  <si>
    <t>L127</t>
  </si>
  <si>
    <t>L128</t>
  </si>
  <si>
    <t>L129</t>
  </si>
  <si>
    <t>L130</t>
  </si>
  <si>
    <t>L215</t>
  </si>
  <si>
    <t>L216</t>
  </si>
  <si>
    <t>L217</t>
  </si>
  <si>
    <t>L218</t>
  </si>
  <si>
    <t>L219</t>
  </si>
  <si>
    <t>L220</t>
  </si>
  <si>
    <t>L221</t>
  </si>
  <si>
    <t>L222</t>
  </si>
  <si>
    <t>L223</t>
  </si>
  <si>
    <t>L224</t>
  </si>
  <si>
    <t>L302</t>
  </si>
  <si>
    <t>1ª ETAPA 2º PAVIMENTO</t>
  </si>
  <si>
    <t>L303</t>
  </si>
  <si>
    <t>L304</t>
  </si>
  <si>
    <t>L305</t>
  </si>
  <si>
    <t>L307</t>
  </si>
  <si>
    <t>L309</t>
  </si>
  <si>
    <t>L310</t>
  </si>
  <si>
    <t>L311</t>
  </si>
  <si>
    <t>TERREO PROX. DOCAS, ALMOX.</t>
  </si>
  <si>
    <t>semi-enterrado</t>
  </si>
  <si>
    <t>SALA DE AULA</t>
  </si>
  <si>
    <t>ULTRASSOM</t>
  </si>
  <si>
    <t>WC ac 1 e 2</t>
  </si>
  <si>
    <t>ULTRASSOM 2</t>
  </si>
  <si>
    <t>ULTRASSOM 3</t>
  </si>
  <si>
    <t>WC ac 3 e 4</t>
  </si>
  <si>
    <t>ULTRASSOM 4</t>
  </si>
  <si>
    <t>ALMOXARIFADO</t>
  </si>
  <si>
    <t>ALVENARIA FUND.</t>
  </si>
  <si>
    <t>MEMÓRIA DE CALCULO DE MEDIÇÃO Nº 08</t>
  </si>
  <si>
    <t>MEMÓRIA DE CALCULO DE MEDIÇÃO Nº 07</t>
  </si>
  <si>
    <t>BOLETIM DE MEDIÇÃO Nº 11</t>
  </si>
  <si>
    <t>VALOR TOTAL DA READ. 01 (R$)</t>
  </si>
  <si>
    <t>ADITIVO DE PERÍODO</t>
  </si>
  <si>
    <t>0 dias</t>
  </si>
  <si>
    <t>MEDIÇÃO N.º 11</t>
  </si>
  <si>
    <t>04/02/2025 à 03/03/2025</t>
  </si>
  <si>
    <t>Read. 01</t>
  </si>
  <si>
    <t>Readequado c/ BDI (R$)</t>
  </si>
  <si>
    <t>3.1.16</t>
  </si>
  <si>
    <t>ESCORAMENTO DE VALAS H=3,00m COM MADEIRA DE LEI-REAPR.20X</t>
  </si>
  <si>
    <t>4.3.11</t>
  </si>
  <si>
    <t>ARMAÇÃO PARA EXECUÇÃO DE RADIER, PISO DE CONCRETO OU LAJE SOBRE SOLO, COM USO DE TELA Q-196. AF_09/2021</t>
  </si>
  <si>
    <t>15.3.11</t>
  </si>
  <si>
    <t>TUBO DE PEAD CORRUGADO DE DUPLA PAREDE PARA REDE COLETORA DE ESGOTO, DN 300 MM, JUNTA ELÁSTICA INTEGRADA - FORNECIMENTO E ASSENTAMENTO. AF_01/2021</t>
  </si>
  <si>
    <t>15.4.68</t>
  </si>
  <si>
    <t>Fornecimento e instalação tubo esponjoso d=1.1/8" p/ dreno de ar condicionado</t>
  </si>
  <si>
    <t>15.4.69</t>
  </si>
  <si>
    <t>Fornecimento e instalação tubo esponjoso d=3/4" p/ dreno de ar condicionado</t>
  </si>
  <si>
    <t>15.4.70</t>
  </si>
  <si>
    <t>FURO EM LAJE DE CONCRETO DIAMETRO ATÉ 150MM, LAJE DE 20CM  DE ALTURA, INCLUSIVE LOCAÇÃO DE PERFURATRIZ</t>
  </si>
  <si>
    <t>20.0</t>
  </si>
  <si>
    <t>CASA DE RESÍDUOS SÓLIDOS</t>
  </si>
  <si>
    <t>20.1</t>
  </si>
  <si>
    <t>SERVIÇOS INICIAIS</t>
  </si>
  <si>
    <t>20.1.2</t>
  </si>
  <si>
    <t>LIMPEZA MANUAL DE VEGETAÇÃO EM TERRENO COM ENXADA. AF_03/2024</t>
  </si>
  <si>
    <t>20.1.3</t>
  </si>
  <si>
    <t>DEMOLIÇÃO DE ALVENARIA DE BLOCO FURADO, DE FORMA MANUAL, SEM REAPROVEITAMENTO. AF_09/2023</t>
  </si>
  <si>
    <t>20.1.4</t>
  </si>
  <si>
    <t>Demolição de concreto com martelete e compressor</t>
  </si>
  <si>
    <t>20.1.5</t>
  </si>
  <si>
    <t>20.1.6</t>
  </si>
  <si>
    <t>20.2</t>
  </si>
  <si>
    <t>SERVIÇOS DE MOBILIZA DE TERRA</t>
  </si>
  <si>
    <t>20.2.1</t>
  </si>
  <si>
    <t>ESCAVAÇÃO MANUAL PARA BLOCO DE COROAMENTO OU SAPATA (INCLUINDO ESCAVAÇÃO PARA COLOCAÇÃO DE FÔRMAS). AF_01/2024</t>
  </si>
  <si>
    <t>20.2.2</t>
  </si>
  <si>
    <t>CARGA E DESCARGA MECANICA DE SOLO UTILIZANDO CAMINHAO BASCULANTE 6,0M3/16T E PA CARREGADEIRA SOBRE PNEUS 128 HP, CAPACIDADE DA CAÇAMBA 1,7 A 2,8 M3, PESO OPERACIONAL 11632 KG</t>
  </si>
  <si>
    <t>20.2.3</t>
  </si>
  <si>
    <t>COMPACTAÇÃO MECÂNICA DE SOLO PARA EXECUÇÃO DE RADIER, PISO DE CONCRETO OU LAJE SOBRE SOLO, COM COMPACTADOR DE SOLOS TIPO PLACA VIBRATÓRIA. AF_09/2021</t>
  </si>
  <si>
    <t>20.3</t>
  </si>
  <si>
    <t>FUNDAÇÃO E ESTRUTUTRA</t>
  </si>
  <si>
    <t>20.3.1</t>
  </si>
  <si>
    <t>CONCRETO MAGRO PARA LASTRO, TRAÇO 1:4,5:4,5 (EM MASSA SECA DE CIMENTO/ AREIA MÉDIA/ BRITA 1) - PREPARO MECÂNICO COM BETONEIRA 400 L. AF_05/2021</t>
  </si>
  <si>
    <t>20.3.2</t>
  </si>
  <si>
    <t>CONCRETO FCK = 30MPA, TRAÇO 1:2,1:2,5 (EM MASSA SECA DE CIMENTO/ AREIA MÉDIA/ BRITA 1) - PREPARO MECÂNICO COM BETONEIRA 400 L. AF_05/2021</t>
  </si>
  <si>
    <t>20.3.3</t>
  </si>
  <si>
    <t>ARMAÇÃO DE PILAR OU VIGA DE ESTRUTURA CONVENCIONAL DE CONCRETO ARMADO UTILIZANDO AÇO CA-60 DE 5.0 MM - MONTAGEM. AF_06/2022</t>
  </si>
  <si>
    <t>20.3.4</t>
  </si>
  <si>
    <t>ARMAÇÃO DE PILAR OU VIGA DE ESTRUTURA CONVENCIONAL DE CONCRETO ARMADO UTILIZANDO AÇO CA-50 DE 6,3 MM - MONTAGEM. AF_06/2022</t>
  </si>
  <si>
    <t>20.3.5</t>
  </si>
  <si>
    <t>ARMAÇÃO DE PILAR OU VIGA DE ESTRUTURA CONVENCIONAL DE CONCRETO ARMADO UTILIZANDO AÇO CA-50 DE 8,0 MM - MONTAGEM. AF_06/2022</t>
  </si>
  <si>
    <t>20.3.6</t>
  </si>
  <si>
    <t>ARMAÇÃO DE PILAR OU VIGA DE ESTRUTURA CONVENCIONAL DE CONCRETO ARMADO UTILIZANDO AÇO CA-50 DE 10,0 MM - MONTAGEM. AF_06/2022</t>
  </si>
  <si>
    <t>20.3.7</t>
  </si>
  <si>
    <t>ARMAÇÃO DE PILAR OU VIGA DE ESTRUTURA CONVENCIONAL DE CONCRETO ARMADO UTILIZANDO AÇO CA-50 DE 12,5 MM - MONTAGEM. AF_06/2022</t>
  </si>
  <si>
    <t>20.3.8</t>
  </si>
  <si>
    <t>FABRICAÇÃO DE FÔRMA PARA LAJES, EM CHAPA DE MADEIRA COMPENSADA PLASTIFICADA, E = 18 MM. AF_09/2020</t>
  </si>
  <si>
    <t>20.3.9</t>
  </si>
  <si>
    <t>20.3.10</t>
  </si>
  <si>
    <t>20.3.11</t>
  </si>
  <si>
    <t>Laje pré-fabricada treliçada para piso ou cobertura, intereixo 38cm, h=12cm, el. enchimento em EPS h=8cm, inclusive escoramento em madeira e capeamento 4cm.</t>
  </si>
  <si>
    <t>20.4</t>
  </si>
  <si>
    <t>SERVIÇOS DE ALVENARIA</t>
  </si>
  <si>
    <t>20.4.1</t>
  </si>
  <si>
    <t>ALVENARIA DE VEDAÇÃO DE BLOCOS CERÂMICOS FURADOS NA HORIZONTAL DE 9X19X19 CM (ESPESSURA 9 CM) E ARGAMASSA DE ASSENTAMENTO COM PREPARO EM BETONEIRA. AF_12/2021</t>
  </si>
  <si>
    <t>20.4.2</t>
  </si>
  <si>
    <t>ALVENARIA DE VEDAÇÃO COM ELEMENTO VAZADO DE CONCRETO (COBOGÓ) DE 7X50X50CM E ARGAMASSA DE ASSENTAMENTO COM PREPARO EM BETONEIRA. AF_05/2020</t>
  </si>
  <si>
    <t>20.4.3</t>
  </si>
  <si>
    <t>20.5</t>
  </si>
  <si>
    <t>INSTALAÇÕES SANITÁRIAS</t>
  </si>
  <si>
    <t>20.5.1</t>
  </si>
  <si>
    <t>Ponto de esgoto com tubo de pvc rígido soldável de  Ø 40 mm (lavatórios, mictórios, ralos sifonados, etc...)</t>
  </si>
  <si>
    <t>20.5.2</t>
  </si>
  <si>
    <t>Ponto de esgoto com tubo de pvc rígido soldável de  Ø 50 mm (pias de cozinha,máquinas de lavar, etc...)</t>
  </si>
  <si>
    <t>20.5.3</t>
  </si>
  <si>
    <t>CAIXA SIFONADA, PVC, DN 100 X 100 X 50 MM, JUNTA ELÁSTICA, FORNECIDA E INSTALADA EM RAMAL DE DESCARGA OU EM RAMAL DE ESGOTO SANITÁRIO. AF_08/2022</t>
  </si>
  <si>
    <t>20.5.4</t>
  </si>
  <si>
    <t>Torneira cromada para tanque/jardim, 1/2", ref.1153 C39, DECA ou similar</t>
  </si>
  <si>
    <t>20.5.5</t>
  </si>
  <si>
    <t>LAVATÓRIO LOUÇA BRANCA COM COLUNA, 45 X 55CM OU EQUIVALENTE, PADRÃO MÉDIO - FORNECIMENTO E INSTALAÇÃO. AF_01/2020</t>
  </si>
  <si>
    <t>20.5.6</t>
  </si>
  <si>
    <t>20.6</t>
  </si>
  <si>
    <t>INSTALAÇÕES ELÉTRICAS E ILUMINAÇÃO</t>
  </si>
  <si>
    <t>20.6.1</t>
  </si>
  <si>
    <t>20.6.2</t>
  </si>
  <si>
    <t>20.6.3</t>
  </si>
  <si>
    <t>CABO ELETRÔNICO CATEGORIA 5E, INSTALADO EM EDIFICAÇÃO RESIDENCIAL - FORNECIMENTO E INSTALAÇÃO. AF_11/2019</t>
  </si>
  <si>
    <t>20.6.4</t>
  </si>
  <si>
    <t>20.6.5</t>
  </si>
  <si>
    <t>Refletor Slim  LED 100W de potência, branco Frio, 6500k, Autovolt, marca G-light ou similar</t>
  </si>
  <si>
    <t>20.6.6</t>
  </si>
  <si>
    <t>Quadro de distribuição de sobrepor, em resina termoplástica, para até 08 disjuntores, com barramento, padrão DIN, exclusive disjuntores</t>
  </si>
  <si>
    <t>20.6.7</t>
  </si>
  <si>
    <t>*Caixa de passagem cp2-080 (60x60x80cm)</t>
  </si>
  <si>
    <t>20.6.8</t>
  </si>
  <si>
    <t>CABO DE COBRE FLEXÍVEL ISOLADO, 6 MM², ANTI-CHAMA 0,6/1,0 KV, PARA CIRCUITOS TERMINAIS - FORNECIMENTO E INSTALAÇÃO. AF_03/2023</t>
  </si>
  <si>
    <t>20.6.9</t>
  </si>
  <si>
    <t>LUMINÁRIA ARANDELA TIPO TARTARUGA, DE SOBREPOR, COM 1 LÂMPADA LED DE 6 W, SEM REATOR - FORNECIMENTO E INSTALAÇÃO. AF_09/2024</t>
  </si>
  <si>
    <t>20.6.10</t>
  </si>
  <si>
    <t>20.6.11</t>
  </si>
  <si>
    <t>RELÉ FOTOELÉTRICO PARA COMANDO DE ILUMINAÇÃO EXTERNA 1000 W - FORNECIMENTO E INSTALAÇÃO. AF_08/2020</t>
  </si>
  <si>
    <t>20.6.12</t>
  </si>
  <si>
    <t>20.6.13</t>
  </si>
  <si>
    <t>20.6.14</t>
  </si>
  <si>
    <t>20.6.15</t>
  </si>
  <si>
    <t>20.6.16</t>
  </si>
  <si>
    <t>Disjuntor termomagnetico monopolar 32 A, padrão DIN curva de disparo B, corrente de interrupção 5KA, marca Schneider</t>
  </si>
  <si>
    <t>20.6.17</t>
  </si>
  <si>
    <t>20.6.18</t>
  </si>
  <si>
    <t>20.6.19</t>
  </si>
  <si>
    <t>20.6.20</t>
  </si>
  <si>
    <t>20.6.21</t>
  </si>
  <si>
    <t>20.7</t>
  </si>
  <si>
    <t>20.7.1</t>
  </si>
  <si>
    <t>CHAPISCO APLICADO EM ALVENARIAS E ESTRUTURAS DE CONCRETO INTERNAS, COM COLHER DE PEDREIRO.  ARGAMASSA TRAÇO 1:3 COM PREPARO EM BETONEIRA 400L. AF_10/2022</t>
  </si>
  <si>
    <t>20.7.2</t>
  </si>
  <si>
    <t>20.7.3</t>
  </si>
  <si>
    <t>20.7.4</t>
  </si>
  <si>
    <t>EMBOÇO OU MASSA ÚNICA EM ARGAMASSA TRAÇO 1:2:8, PREPARO MECÂNICO COM BETONEIRA 400 L, APLICADA MANUALMENTE NAS PAREDES INTERNAS DA SACADA, ESPESSURA DE 25 MM, SEM USO DE TELA METÁLICA DE REFORÇO CONTRA FISSURAÇÃO. AF_08/2022</t>
  </si>
  <si>
    <t>20.7.5</t>
  </si>
  <si>
    <t>REVESTIMENTO CERÂMICO PARA PAREDES INTERNAS COM PLACAS TIPO ESMALTADA DE DIMENSÕES 60X60 CM APLICADAS NA ALTURA INTEIRA DAS PAREDES. AF_02/2023_PE</t>
  </si>
  <si>
    <t>20.7.6</t>
  </si>
  <si>
    <t>20.7.7</t>
  </si>
  <si>
    <t>20.7.8</t>
  </si>
  <si>
    <t>REVESTIMENTO CERÂMICO PARA PISO COM PLACAS TIPO ESMALTADA DE DIMENSÕES 60X60 CM APLICADA EM AMBIENTES DE ÁREA ENTRE 5 M2 E 10 M2. AF_02/2023_PE</t>
  </si>
  <si>
    <t>20.7.9</t>
  </si>
  <si>
    <t>20.7.10</t>
  </si>
  <si>
    <t>20.7.11</t>
  </si>
  <si>
    <t>20.7.12</t>
  </si>
  <si>
    <t>20.7.13</t>
  </si>
  <si>
    <t>TEXTURA ACRÍLICA 1 DEMÃO EM PAREDES EXTERNAS, INCLUSO MONTAGEM DE ANDAIMES ATÉ 9,00mt DE ALTURA - MATERIAL E MDO</t>
  </si>
  <si>
    <t>20.8</t>
  </si>
  <si>
    <t>Esquadrias</t>
  </si>
  <si>
    <t>20.8.1</t>
  </si>
  <si>
    <t>Kit porta pronta (P16), 1,00X210CM, tipo giro, 1 folha, em réguas de alumínio anodizado na cor branca - FORNECIMENTO E INSTALAÇÃO.</t>
  </si>
  <si>
    <t>20.9</t>
  </si>
  <si>
    <t>FORRO</t>
  </si>
  <si>
    <t>20.9.1</t>
  </si>
  <si>
    <t>20.9.3</t>
  </si>
  <si>
    <t>ALÇAPÃO EM FORRO DRYWALL, ABERTURA 60X60cm - MATERIAL E MOB</t>
  </si>
  <si>
    <t>20.10</t>
  </si>
  <si>
    <t>20.10.1</t>
  </si>
  <si>
    <t xml:space="preserve">FABRICAÇÃO E INSTALAÇÃO DE PONTALETES DE MADEIRA NÃO APARELHADA PARA TELHADOS COM ATÉ 2 ÁGUAS E COM TELHA ONDULADA DE FIBROCIMENTO, ALUMÍNIO OU PLÁSTICA EM EDIFÍCIO INSTITUCIONAL TÉRREO, INCLUSO TRANSPORTE VERTICAL. </t>
  </si>
  <si>
    <t>20.10.2</t>
  </si>
  <si>
    <t>TELHAMENTO COM TELHA ONDULADA DE FIBROCIMENTO E = 6 MM, COM RECOBRIMENTO LATERAL DE 1 1/4 DE ONDA PARA TELHADO COM INCLINAÇÃO MÁXIMA DE 10°, COM ATÉ 2 ÁGUAS, INCLUSO IÇAMENTO. AF_07/2019</t>
  </si>
  <si>
    <t>20.10.3</t>
  </si>
  <si>
    <t xml:space="preserve">CUMEEIRA PARA TELHA DE FIBROCIMENTO ESTRUTURAL E = 6 MM, INCLUSO ACESSÓRIOS DE FIXAÇÃO E IÇAMENTO. </t>
  </si>
  <si>
    <t>20.10.4</t>
  </si>
  <si>
    <t>CALHA DE CONCRETO 70X20cm COM IMPERMEABILIZACAO</t>
  </si>
  <si>
    <t>20.10.5</t>
  </si>
  <si>
    <t>Rufo de concreto armado fck=20mpa l=30cm e h=5cm</t>
  </si>
  <si>
    <t>20.10.6</t>
  </si>
  <si>
    <t>20.11</t>
  </si>
  <si>
    <t>SERVIÇOS EXTRAS</t>
  </si>
  <si>
    <t>20.11.1</t>
  </si>
  <si>
    <t>MEDIÇÃO 11</t>
  </si>
  <si>
    <t>MEDIÇÃO 12</t>
  </si>
  <si>
    <t>MEDIÇÃO 13</t>
  </si>
  <si>
    <t>MEMÓRIA DE CALCULO DE MEDIÇÃO Nº 10</t>
  </si>
  <si>
    <t>Medição 10</t>
  </si>
  <si>
    <t>15/VIG</t>
  </si>
  <si>
    <t>desconto excedente a medir na read</t>
  </si>
  <si>
    <t>V313</t>
  </si>
  <si>
    <t>V315</t>
  </si>
  <si>
    <t>V316</t>
  </si>
  <si>
    <t>V317</t>
  </si>
  <si>
    <t>V319</t>
  </si>
  <si>
    <t>V320</t>
  </si>
  <si>
    <t>V321</t>
  </si>
  <si>
    <t>V322</t>
  </si>
  <si>
    <t>V323</t>
  </si>
  <si>
    <t>V325</t>
  </si>
  <si>
    <t>V328</t>
  </si>
  <si>
    <t>V329</t>
  </si>
  <si>
    <t>V330</t>
  </si>
  <si>
    <t>V331</t>
  </si>
  <si>
    <t>V332</t>
  </si>
  <si>
    <t>V334</t>
  </si>
  <si>
    <t>V336</t>
  </si>
  <si>
    <t>V337</t>
  </si>
  <si>
    <t>V338</t>
  </si>
  <si>
    <t>V339</t>
  </si>
  <si>
    <t>V340</t>
  </si>
  <si>
    <t>2ª ETAPA 3º PAVIMENTO</t>
  </si>
  <si>
    <t>L312</t>
  </si>
  <si>
    <t>L313</t>
  </si>
  <si>
    <t>L315</t>
  </si>
  <si>
    <t>L316</t>
  </si>
  <si>
    <t>L317</t>
  </si>
  <si>
    <t>L318</t>
  </si>
  <si>
    <t>L319</t>
  </si>
  <si>
    <t>L320</t>
  </si>
  <si>
    <t>L321</t>
  </si>
  <si>
    <t>SEMIATERRADO</t>
  </si>
  <si>
    <t>MEMÓRIA DE CALCULO DE MEDIÇÃO Nº 11</t>
  </si>
  <si>
    <t>Medição 11</t>
  </si>
  <si>
    <t>TÉRREO</t>
  </si>
  <si>
    <t>Med. Ant.</t>
  </si>
  <si>
    <t>1º PAV</t>
  </si>
  <si>
    <t>2º PAV</t>
  </si>
  <si>
    <t>3º PAV</t>
  </si>
  <si>
    <t>4º PAV</t>
  </si>
  <si>
    <t>RESERV.</t>
  </si>
  <si>
    <t>AÇO 16,0MM</t>
  </si>
  <si>
    <t>AÇO 20,0MM</t>
  </si>
  <si>
    <t>AÇO 25,0MM</t>
  </si>
  <si>
    <t>16/VIG</t>
  </si>
  <si>
    <t>17/VIG</t>
  </si>
  <si>
    <t>Medição Ant.</t>
  </si>
  <si>
    <t>2ª etapa 3º pavimento</t>
  </si>
  <si>
    <t>V401</t>
  </si>
  <si>
    <t>1ª etapa 4º pavimento</t>
  </si>
  <si>
    <t>V404</t>
  </si>
  <si>
    <t>V406</t>
  </si>
  <si>
    <t>V409</t>
  </si>
  <si>
    <t>V410</t>
  </si>
  <si>
    <t>V412</t>
  </si>
  <si>
    <t>V427</t>
  </si>
  <si>
    <t>V433</t>
  </si>
  <si>
    <t>V435</t>
  </si>
  <si>
    <t>V441</t>
  </si>
  <si>
    <t>2ª ETAPA 4º PAVIMENTO</t>
  </si>
  <si>
    <t>01/LAJ</t>
  </si>
  <si>
    <t>AÇO 5,0mm</t>
  </si>
  <si>
    <t>02/LAJ</t>
  </si>
  <si>
    <t>03/LAJ</t>
  </si>
  <si>
    <t>04/LAJ</t>
  </si>
  <si>
    <t>05/LAJ</t>
  </si>
  <si>
    <t>06/LAJ</t>
  </si>
  <si>
    <t>07/LAJ</t>
  </si>
  <si>
    <t>08/LAJ</t>
  </si>
  <si>
    <t>09/LAJ</t>
  </si>
  <si>
    <t>10/LAJ</t>
  </si>
  <si>
    <t>11/LAJ</t>
  </si>
  <si>
    <t>12/LAJ</t>
  </si>
  <si>
    <t>13/LAJ</t>
  </si>
  <si>
    <t>14/LAJ</t>
  </si>
  <si>
    <t>AÇO 6,3mm</t>
  </si>
  <si>
    <t>L402</t>
  </si>
  <si>
    <t>L403</t>
  </si>
  <si>
    <t>L404</t>
  </si>
  <si>
    <t>L405</t>
  </si>
  <si>
    <t>L407</t>
  </si>
  <si>
    <t>L409</t>
  </si>
  <si>
    <t>L410</t>
  </si>
  <si>
    <t>L411</t>
  </si>
  <si>
    <t>L412</t>
  </si>
  <si>
    <t>3º PAVIMENTO</t>
  </si>
  <si>
    <t>4º PAVIMENTO</t>
  </si>
  <si>
    <t>ALVENARIA TÉRREO</t>
  </si>
  <si>
    <t>1º PAVIMENTO/2º PAVIMENTO</t>
  </si>
  <si>
    <t>PERCUSO ATÉ SUMIDOURO</t>
  </si>
  <si>
    <t>BOLETIM DE MEDIÇÃO Nº 12</t>
  </si>
  <si>
    <t>MEDIÇÃO N.º 12</t>
  </si>
  <si>
    <t>04/03/2025 à 03/04/2025</t>
  </si>
  <si>
    <t>NFe CIMENTO APODI Nº 4335</t>
  </si>
  <si>
    <t>NFE GERDAU Nº 73737</t>
  </si>
  <si>
    <t>NFE GSM Nº 44332</t>
  </si>
  <si>
    <t>NFL UNIMETAIS Nº 022649</t>
  </si>
  <si>
    <t>NFL UNIMETAIS Nº 022650</t>
  </si>
  <si>
    <t>14/03/2025</t>
  </si>
  <si>
    <t>MEMÓRIA DE CALCULO DE MEDIÇÃO Nº 12</t>
  </si>
  <si>
    <t>Medição 12</t>
  </si>
  <si>
    <t>18/VIG</t>
  </si>
  <si>
    <t>19/VIG</t>
  </si>
  <si>
    <t>20/VIG</t>
  </si>
  <si>
    <t>21/VIG</t>
  </si>
  <si>
    <t>V413</t>
  </si>
  <si>
    <t>2ª etapa 4º pavimento</t>
  </si>
  <si>
    <t>V415</t>
  </si>
  <si>
    <t>V416</t>
  </si>
  <si>
    <t>V417</t>
  </si>
  <si>
    <t>V419</t>
  </si>
  <si>
    <t>V420</t>
  </si>
  <si>
    <t>V421</t>
  </si>
  <si>
    <t>V422</t>
  </si>
  <si>
    <t>V423</t>
  </si>
  <si>
    <t>V425</t>
  </si>
  <si>
    <t>V428</t>
  </si>
  <si>
    <t>V429</t>
  </si>
  <si>
    <t>V430</t>
  </si>
  <si>
    <t>V431</t>
  </si>
  <si>
    <t>V432</t>
  </si>
  <si>
    <t>V434</t>
  </si>
  <si>
    <t>V436</t>
  </si>
  <si>
    <t>V437</t>
  </si>
  <si>
    <t>V438</t>
  </si>
  <si>
    <t>V439</t>
  </si>
  <si>
    <t>V440</t>
  </si>
  <si>
    <t>LAJE TÉCNICA</t>
  </si>
  <si>
    <t>P54</t>
  </si>
  <si>
    <t>L414</t>
  </si>
  <si>
    <t>L415</t>
  </si>
  <si>
    <t>L416</t>
  </si>
  <si>
    <t>L417</t>
  </si>
  <si>
    <t>L418</t>
  </si>
  <si>
    <t>L419</t>
  </si>
  <si>
    <t>L420</t>
  </si>
  <si>
    <t>L421</t>
  </si>
  <si>
    <t>SEMIENTERRADO/2º PAVIMENTO</t>
  </si>
  <si>
    <t>VERGAS/CONTRA VERGAS</t>
  </si>
  <si>
    <t>PORTAS E JANELAS</t>
  </si>
  <si>
    <t>IMPERMEABILIZAÇAO FUND.</t>
  </si>
  <si>
    <t>TERREO</t>
  </si>
  <si>
    <t>SEMIENTERRADO</t>
  </si>
  <si>
    <t>COTAÇÃO</t>
  </si>
  <si>
    <t xml:space="preserve"> QUANTIDADE </t>
  </si>
  <si>
    <t>Mobilização e desmobilização de canteiro</t>
  </si>
  <si>
    <t>Consumo água e esgoto obras ate 10.000m²</t>
  </si>
  <si>
    <t>Administração local de obra</t>
  </si>
  <si>
    <t>Consumo de energia (luz e forca) em serviços de obras</t>
  </si>
  <si>
    <t xml:space="preserve">Carga, manobra e descarga de solos e materiais granulares em caminhão basculante 6 m³ - carga com escavadeira hidráulica (caçamba de 1,20 m³ / 155 hp) e descarga livre (unidade: m³). </t>
  </si>
  <si>
    <t xml:space="preserve">Transporte com caminhão basculante de 10 m³, em via urbana pavimentada, dmt até 30 km (unidade: m3xkm). </t>
  </si>
  <si>
    <t>m³ x km</t>
  </si>
  <si>
    <t>Escoramento de valas h=3,00m com madeira de lei-reapr.20x</t>
  </si>
  <si>
    <t xml:space="preserve">Fabricação, montagem e desmontagem de fôrma para viga baldrame, em madeira serrada, e=25 mm,    4 utilizações. </t>
  </si>
  <si>
    <t>Ensaio de resistência a compressao simples - concreto</t>
  </si>
  <si>
    <t>Ensaio de resistência a compressão simples - concreto</t>
  </si>
  <si>
    <t xml:space="preserve">Fabricação, montagem e desmontagem de fôrma de laje maciça, pé-direito duplo, em chapa de madeira compensada resinada, inclusive escoramento h=3,00 à 4,50 m, 6 utilizações. </t>
  </si>
  <si>
    <t>Fabricação, montagem e desmontagem de fôrma de laje nervurada com cubeta e assoalho, pé-direito duplo, em chapa de madeira compensada resinada, inclusive escoramento h=3,00 à 4,50 m, 06 utilizações.</t>
  </si>
  <si>
    <t>Armação de laje de uma estrutura convencional de concreto armado em um edifício de múltiplos pavimentos utilizando aço ca-50 de 25,0 mm - montagem.</t>
  </si>
  <si>
    <t>Armação para execução de radier, piso de concreto ou laje sobre solo, com uso de tela q-196. Af_09/2021</t>
  </si>
  <si>
    <t>Muro de arrimo de alvenaria de pedra argamassada</t>
  </si>
  <si>
    <t xml:space="preserve">Fixação (encunhamento) DE ALVENARIA DE VEDAÇÃO COM TIJOLO MACIÇO. 
Aplicada com bisnaga. </t>
  </si>
  <si>
    <t xml:space="preserve">Alvenaria de embasamento com bloco estrutural de concreto, de 14x19x29cm e argamassa de assentamento com preparo em betoneira. </t>
  </si>
  <si>
    <t xml:space="preserve">Alvenaria de vedação de blocos cerâmicos furados na horizontal de 9x19x19cm (espessura 9cm) de paredes com área líquida maior ou igual a 6m² com vãos e argamassa de assentamento com preparo em betoneira. </t>
  </si>
  <si>
    <t xml:space="preserve">Alvenaria de vedação de blocos vazados de concreto de 19x19x39cm (espessura 19cm) de paredes com área líquida maior ou igual a 6m² com vãos e argamassa de assentamento com preparo manual. </t>
  </si>
  <si>
    <t xml:space="preserve">Parede com placas de gesso acartonado (drywall), para uso interno, com duas faces simples e estrutura metálica com guias duplas, com vãos. </t>
  </si>
  <si>
    <t xml:space="preserve">Verga pré-moldada para janelas com mais de 1,5 m de vão. </t>
  </si>
  <si>
    <t xml:space="preserve">Chapisco aplicado em alvenarias e estruturas de concreto internas, com colher de pedreiro.  Argamassa traço 1:3 com preparo em betoneira 400l. </t>
  </si>
  <si>
    <t xml:space="preserve">Revestimento c/laminado melamínico 1mm colado </t>
  </si>
  <si>
    <t>Revestimento pedra granito em paredes</t>
  </si>
  <si>
    <t xml:space="preserve">Chapisco aplicado em alvenaria (com presença de vãos) e estruturas de concreto de fachada, com colher de pedreiro.  Argamassa traço 1:3 com preparo em betoneira 400l. </t>
  </si>
  <si>
    <t xml:space="preserve">Emboço ou massa única em argamassa traço 1:2:8, preparo mecânico com betoneira 400 l, aplicada manualmente em superfícies externas da sacada, espessura de 25 mm, sem uso de tela metálica de reforço contra fissuração. </t>
  </si>
  <si>
    <t>Revestimento surface: fjord 7,5 cm x 7,5 cm portobello</t>
  </si>
  <si>
    <t>Revestimento all bricks formato 7 x 26 cm, georgian red portobello</t>
  </si>
  <si>
    <t>Revestimento surface: off white 7,5 cm x 7,5 cm portobello</t>
  </si>
  <si>
    <t>Revestimento all bricks formato 7 x 26 cm, bricks gold portobello</t>
  </si>
  <si>
    <t>Contrapiso em argamassa traço 1:4 (cimento e areia), preparo mecânico com betoneira 400 l, aplicado em áreas secas sobre laje, não aderido, acabamento não reforçado, espessura 5cm. Af_07/2021</t>
  </si>
  <si>
    <t xml:space="preserve">Piso cimentado ou camada regularizadora, traço 1:3 (cimento e areia), acabamento liso, espessura 2,0 cm, preparo mecânico da argamassa. </t>
  </si>
  <si>
    <t xml:space="preserve">Piso em granito aplicado em ambientes internos. </t>
  </si>
  <si>
    <t xml:space="preserve">Soleira em granito, largura 15 cm, espessura 2,0 cm. </t>
  </si>
  <si>
    <t xml:space="preserve">Piso podotátil, direcional ou alerta, assentado sobre argamassa. </t>
  </si>
  <si>
    <t xml:space="preserve">Guia (meio-fio) concreto, moldada  in loco  em trecho curvo com extrusora, 15 cm base x 30 cm altura. </t>
  </si>
  <si>
    <t xml:space="preserve">Impermeabilização de superfície enterrada com emulsão asfáltica, 2 demãos </t>
  </si>
  <si>
    <t>Kit de porta-pronta de madeira (pg1 e pg1ac), 90x210cm, 1 folha, tipo giro, borda total em abs resistente ao impacto,  revestida em acabamento melamínico branco laqueado, hpl, caixa de porta e alizares em madeira laqueada da mesma cor, ferragens em aço inox aisi 304, maçaneta tipo alavanca, inc. De acordo com projeto de acessibilidade,  marca multidoor - fornecimento e instalação</t>
  </si>
  <si>
    <t>Kit de porta-pronta de madeira (pg2), 1,00x210cm, 1 folha, tipo giro, borda total em abs resistente ao impacto,  revestida em acabamento melamínico branco laqueado, hpl, caixa de porta e alizares em madeira laqueada da mesma cor, ferragens em aço inox aisi 304, maçaneta tipo alavanca,  marca multidoor - fornecimento e instalação</t>
  </si>
  <si>
    <t>Kit de porta-pronta de madeira (pg5), 1100x210cm, 1 folha, tipo giro, borda total em abs resistente ao impacto,  revestida em acabamento melamínico branco, hpl,  proteção contra impacto em pvc nas duas faces até a altura de 90cm, caixa de porta e alizares em madeira laqueada da mesma cor, ferragens em aço inox aisi 304, marca multidoor - fornecimento e instalação</t>
  </si>
  <si>
    <t>Porta laminada (pg6), 1,60x2,10cm, 2 folhas, com requadro em madeira maciça, revestida em laminado texturizado branco, tipo giro, caixa de porta e alizares em madeira maciça, ferragens em aço inox aisi 304 - fornecimento e instalação</t>
  </si>
  <si>
    <t>Kit de porta-pronta de madeira (pg3v), 1,00x2,10cm, 1 folha, tipo giro, borda total em abs resistente ao impacto,  revestida em acabamento melamínico branco, hpl, proteção contra impacto em pvc nas duas faces até a altura de 90cm, caixa de porta e alizares em madeira laqueada da mesma cor, ferragens em aço inox aisi 304, maçaneta tipo alavanca, com visor em vidro, marca multidoor - fornecimento e instalação</t>
  </si>
  <si>
    <t>Kit de porta-pronta de madeira (pc1 e pc1ac), 1,00x2,10cm, 1 folha, tipo correr, borda total em abs resistente ao impacto,  revestida em acabamento melamínico branco, hpl, caixa de porta e alizares em madeira laqueada da mesma cor, trilhos suspensos, ferragens em aço inox aisi 304, maçaneta tipo alça, inc. De acordo com projeto de acessibilidade, marca multidoor - fornecimento e instalação</t>
  </si>
  <si>
    <t>Porta de madeira (pg4v), 1,60x2,10cm, 2 folha assimétricas, sendo uma de 90cm e outra de 70cm, tipo giro, borda total em abs resistente ao impacto,  revestida em acabamento melamínico branco, hpl, proteção contra impacto em pvc nas duas faces até a altura de 90cm, caixa de porta e alizares em madeira laqueada da mesma cor, ferragens em aço inox aisi 304, com visor em vidro nas duas folhas, marca multidoor - fornecimento e instalação</t>
  </si>
  <si>
    <t>Estrutura de aluminio p/ marquise metalica de cobertura, incluso telha branca para covertura exc. Revestimento em acm.</t>
  </si>
  <si>
    <t xml:space="preserve">Aplicação e lixamento de massa látex em teto, duas demãos. </t>
  </si>
  <si>
    <t>Eletroduto flexível corrugado, pvc, dn 20 mm (1/2”), para circuitos terminais, instalado em parede ou teto - fornecimento e instalação. Marca tigre</t>
  </si>
  <si>
    <t>Eletroduto flexível corrugado, pvc, dn 25 mm (3/4”), para circuitos terminais, instalado em parede ou teto - fornecimento e instalação. Marca tigre</t>
  </si>
  <si>
    <t>Eletroduto flexível corrugado, pvc, dn 32 mm (1”), para circuitos terminais, instalado em parede ou teto - fornecimento e instalação. Marca tigre</t>
  </si>
  <si>
    <t xml:space="preserve">Caixa octogonal 4” x 4”, pvc, instalada em laje - fornecimento e instalação. </t>
  </si>
  <si>
    <t>Caixa retangular 4” x 2” média (1,30 m do piso), pvc, instalada em parede - fornecimento e instalação. Marca tigre.</t>
  </si>
  <si>
    <t>Caixa retangular 4” x 4” média (1,30 m do piso), pvc, instalada em parede - fornecimento e instalação.  Marca tigre.</t>
  </si>
  <si>
    <t>Cabo de cobre flexível isolado, 2,5 mm², anti-chama 450/750 v, para circuitos terminais - fornecimento e instalação.  Marca cobrecom, prysmian, sil, corfio, induscabos ou nambei</t>
  </si>
  <si>
    <t>Cabo de cobre flexível isolado, 6 mm², anti-chama 450/750 v, para circuitos terminais - fornecimento e instalação.  Marca cobrecom, prysmian, sil, corfio, induscabos ou nambei</t>
  </si>
  <si>
    <t>Cabo de cobre flexível isolado, 50 mm², anti-chama 0,6/1,0 kv, para distribuição - fornecimento e instalação. Marca cobrecom, prysmian, sil, corfio, induscabos ou nambei</t>
  </si>
  <si>
    <t xml:space="preserve">	dispositivo dps classe ii, 1 polo, tensao maxima de 275 v, corrente maxima de *45* ka (tipo ac). marca schneider</t>
  </si>
  <si>
    <t>Dispositivo dps classe ii, 1 polo, tensao maxima de 385 v, corrente maxima de *90* ka (tipo ac). marca schneider</t>
  </si>
  <si>
    <t>Interruptor paralelo (2 módulos), 10a/250v, incluindo suporte e placa - fornecimento e instalação.  Marca/modelo pial plus.</t>
  </si>
  <si>
    <t>Tomada de embutir (1 módulo), 2p+t 20 a, incluindo suporte e placa - fornecimento e instalação.  Marca/modelo pial plus.</t>
  </si>
  <si>
    <t>Tomada de embutir (2 módulos), 2p+t 10 a, incluindo suporte e placa - fornecimento e instalação.  Marca/modelo pial plus.</t>
  </si>
  <si>
    <t>Caixa passagem concr.premoldado aterramento 40x40x50cm</t>
  </si>
  <si>
    <t>Registro em esfera vs compacto soldavel, em pvc,com diametro de 50mm.forn ecimento e colocacao. marca tigre.</t>
  </si>
  <si>
    <t>Registro em esfera vs compacto soldavel, em pvc,com diametro de 60mm.forn ecimento e colocacao. marca tigre.</t>
  </si>
  <si>
    <t>Registro em esfera vs soldavel, em pvc,com diametro de 25mm.forn ecimento e colocacao. marca tigre.</t>
  </si>
  <si>
    <t>Válvula de retenção, de bronze, pé com crivos, roscável, 2” - fornecimento e instalação.. Marca deca</t>
  </si>
  <si>
    <t xml:space="preserve">Curva de transposição, cpvc, soldável, dn 25mm, instalado em ramal de distribuição de água   fornecimento e instalação. </t>
  </si>
  <si>
    <t>Joelho 90 graus com bucha de latão, pvc, soldável, dn 25mm, x 3/4 instalado em ramal ou sub-ramal de água - fornecimento e instalação. Marca tigre</t>
  </si>
  <si>
    <t xml:space="preserve">União, pvc, soldável, dn 60mm, instalado em prumada de água - fornecimento e instalação. </t>
  </si>
  <si>
    <t>Tubo de pead corrugado de dupla parede para rede coletora de esgoto, dn 300 mm, junta elástica integrada - fornecimento e assentamento. Af_01/2021</t>
  </si>
  <si>
    <t>Luva simples, pvc, serie normal, esgoto predial, dn 100 mm, fornecido e instalado em ramal de descarga ou ramal de esgoto sanitário. Marca tigre</t>
  </si>
  <si>
    <t>Luva simples, pvc, serie normal, esgoto predial, dn 75 mm, fornecido e instalado em ramal de descarga ou ramal de esgoto sanitário. Marca tigre</t>
  </si>
  <si>
    <t>Luva simples, pvc, serie normal, esgoto predial, dn 50 mm, fornecido e instalado em ramal de descarga ou ramal de esgoto sanitário. Marca tigre</t>
  </si>
  <si>
    <t>Joelho 45 graus, pvc, serie normal, esgoto predial, dn 40 mm, fornecido e instalado em ramal de descarga ou ramal de esgoto sanitário. Marca tigre</t>
  </si>
  <si>
    <t>Joelho 45 graus, pvc, serie normal, esgoto predial, dn 50 mm, fornecido e instalado em ramal de descarga ou ramal de esgoto sanitário. Marca tigre</t>
  </si>
  <si>
    <t>Joelho 45 graus, pvc, serie normal, esgoto predial, dn 75 mm, fornecido e instalado em ramal de descarga ou ramal de esgoto sanitário. Marca tigre</t>
  </si>
  <si>
    <t>Joelho 45 graus, pvc, serie normal, esgoto predial, dn 100 mm, fornecido e instalado em ramal de descarga ou ramal de esgoto sanitário. Marca tigre</t>
  </si>
  <si>
    <t>Joelho 90 graus, pvc, serie normal, esgoto predial, dn 40 mm, com anel, fornecido e instalado em ramal de descarga ou ramal de esgoto sanitário. Marca tigre</t>
  </si>
  <si>
    <t>Joelho 90 graus, pvc, serie normal, esgoto predial, dn 75 mm, fornecido e instalado em ramal de descarga ou ramal de esgoto sanitário. Marca tigre</t>
  </si>
  <si>
    <t>Joelho 90 graus, pvc, serie normal, esgoto predial, dn 100 mm, fornecido e instalado em ramal de descarga ou ramal de esgoto sanitário. Marca tigre</t>
  </si>
  <si>
    <t>Junção simples, pvc, serie normal, esgoto predial, dn 40 mm, fornecido e instalado em ramal de descarga ou ramal de esgoto sanitário. Marca tigre</t>
  </si>
  <si>
    <t>Junção simples, pvc, serie normal, esgoto predial, dn 50 x 50 mm, fornecido e instalado em ramal de descarga ou ramal de esgoto sanitário. Marca tigre</t>
  </si>
  <si>
    <t>Junção simples, pvc, serie normal, esgoto predial, dn 75 x 75 mm, fornecido e instalado em ramal de descarga ou ramal de esgoto sanitário. Marca tigre</t>
  </si>
  <si>
    <t>Junção simples, pvc, serie normal, esgoto predial, dn 100 x 100 mm, fornecido e instalado em ramal de descarga ou ramal de esgoto sanitário. Marca tigre</t>
  </si>
  <si>
    <t>Te, pvc, serie normal, esgoto predial, dn 40 x 40 mm, fornecido e instalado em ramal de descarga ou ramal de esgoto sanitário. Marca tigre</t>
  </si>
  <si>
    <t>Te, pvc, serie normal, esgoto predial, dn 50 x 50 mm, junta elástica, fornecido e instalado em ramal de descarga ou ramal de esgoto sanitário. Marca tigre</t>
  </si>
  <si>
    <t>Te, pvc, serie normal, esgoto predial, dn 100 x 100 mm, junta elástica, fornecido e instalado em prumada de esgoto sanitário ou ventilação.  Marca tigre</t>
  </si>
  <si>
    <t>Te, pvc, serie normal, esgoto predial, dn 75 x 75 mm, junta elástica, fornecido e instalado em ramal de descarga ou ramal de esgoto sanitário. Marca tigre</t>
  </si>
  <si>
    <t>Furo em laje de concreto diametro até 150mm, laje de 20cm  de altura, inclusive locação de perfuratriz</t>
  </si>
  <si>
    <t>ACESSÓRIOS E CAIXAS ESGOTO E ÁGUAS PLUVIAIS</t>
  </si>
  <si>
    <t>Caixa sifonada girafacil com grelha branca pvc 100x140x50mm marca tigre</t>
  </si>
  <si>
    <t xml:space="preserve">Tubo em cobre rígido, dn 15 mm, classe a, sem isolamento, instalado em ramal e sub-ramal de gás medicinal - fornecimento e instalação. </t>
  </si>
  <si>
    <t xml:space="preserve">Tubo em cobre rígido, dn 22 mm, classe a, sem isolamento, instalado em ramal e sub-ramal de gás medicinal - fornecimento e instalação. </t>
  </si>
  <si>
    <t>Tubo em cobre rígido, dn 28 mm, classe a, sem isolamento, instalado em ramal e sub-ramal de gás medicinal - fornecimento e instalação</t>
  </si>
  <si>
    <t xml:space="preserve">Cotovelo em cobre, dn 15 mm, 90 graus, sem anel de solda, instalado em ramal e sub-ramal  fornecimento e instalação. </t>
  </si>
  <si>
    <t xml:space="preserve">Cotovelo em cobre, dn 22 mm, 90 graus, sem anel de solda, instalado em ramal e sub-ramal  fornecimento e instalação. </t>
  </si>
  <si>
    <t xml:space="preserve">Cotovelo em cobre, dn 28 mm, 90 graus, sem anel de solda, instalado em ramal e sub-ramal  fornecimento e instalação. </t>
  </si>
  <si>
    <t xml:space="preserve">Cotovelo em cobre, dn 54 mm, 90 graus, sem anel de solda, instalado em ramal e sub-ramal  fornecimento e instalação. </t>
  </si>
  <si>
    <t xml:space="preserve">Bucha de redução em cobre, dn 22 mm x 15 mm, sem anel de solda, ponta x bolsa, instalado em ramal e sub-ramal  fornecimento e instalação. </t>
  </si>
  <si>
    <t xml:space="preserve">Bucha de redução em cobre, dn 28 mm x 22 mm, sem anel de solda, instalado em ramal e sub-ramal  fornecimento e instalação. </t>
  </si>
  <si>
    <t>Te cobre reducao central 611-rc sem anel 22mm x 15mm - fornecimento e instalação</t>
  </si>
  <si>
    <t xml:space="preserve">União, em ferro galvanizado, dn 65 (2 1/2”), conexão rosqueada, instalado em rede de alimentação para hidrante - fornecimento e instalação. </t>
  </si>
  <si>
    <t xml:space="preserve">Cotovelo 90 graus, em ferro galvanizado, conexão rosqueada, dn 65 (2 1/2?),  Fornecimento e instalação. </t>
  </si>
  <si>
    <t xml:space="preserve">Tê, em ferro galvanizado, conexão rosqueada, dn 65 (2 1/2”), instalado em rede de alimentação para hidrante - fornecimento e instalação. </t>
  </si>
  <si>
    <t>Registro/valvula globo angular 45 graus em latao para hidrantes ou rede de alimentação para sprinkler de incêndio predial dn 2.1/2, com volante, classe de pressao de ate 200 psi - fornecimento e instalacao</t>
  </si>
  <si>
    <t>Registro/valvula globo angular 45 graus em latao para hidrantes ou rede de alimentação para sprinkler de incêndio predial dn 4", com volante - fornecimento e instalacao</t>
  </si>
  <si>
    <t>UNIDADE DE DIAGNÓSTICO E ENSINO DO SERIDÓ</t>
  </si>
  <si>
    <t>OBRA:</t>
  </si>
  <si>
    <t>CONTRATADA:</t>
  </si>
  <si>
    <t>CARTA CONVITE
0003/2022</t>
  </si>
  <si>
    <t>LOCAL: CURRAIS NOVOS/RN</t>
  </si>
  <si>
    <t>CONSTRUÇÃO DA UNIDADE DE DIAGNÓSTICO E ENSINO DO SERIDÓ EM CURRAIS NOVOS/RN.</t>
  </si>
  <si>
    <t>A. R. PROJETOS &amp; CONSTRUÇÕES LTDA - CNPJ: 40.761.454/0001-08 - Insc. Estadual: 20.037.076-6
Av. Prudente de Morais, 1624, Tirol, Natal/RN</t>
  </si>
  <si>
    <t>CRONOGRAMA FISICO-FINANCEIRO EXECUTADO/PREVISTO</t>
  </si>
  <si>
    <t>ETAPA</t>
  </si>
  <si>
    <t>SERVIÇOS</t>
  </si>
  <si>
    <t>VALOR C/ BDI</t>
  </si>
  <si>
    <t>PERIODOS</t>
  </si>
  <si>
    <t>VALOR</t>
  </si>
  <si>
    <t>PERC.</t>
  </si>
  <si>
    <t>30 Dias</t>
  </si>
  <si>
    <t>60 Dias</t>
  </si>
  <si>
    <t>90Dias</t>
  </si>
  <si>
    <t>120 Dias</t>
  </si>
  <si>
    <t>150 Dias</t>
  </si>
  <si>
    <t>180 Dias</t>
  </si>
  <si>
    <t>210 Dias</t>
  </si>
  <si>
    <t>240 Dias</t>
  </si>
  <si>
    <t>270 Dias</t>
  </si>
  <si>
    <t>300 Dias</t>
  </si>
  <si>
    <t>330 Dias</t>
  </si>
  <si>
    <t>360 Dias</t>
  </si>
  <si>
    <t>390 Dias</t>
  </si>
  <si>
    <t>420 Dias</t>
  </si>
  <si>
    <t>450 Dias</t>
  </si>
  <si>
    <t>480 Dias</t>
  </si>
  <si>
    <t>MURO</t>
  </si>
  <si>
    <t>CINTAS</t>
  </si>
  <si>
    <t>REVESTIMENTO INTERNO</t>
  </si>
  <si>
    <t>8.1</t>
  </si>
  <si>
    <t>9.1</t>
  </si>
  <si>
    <t>11.1</t>
  </si>
  <si>
    <t>12.1</t>
  </si>
  <si>
    <t>CABOS ELÉTRICOS E LÓGICA</t>
  </si>
  <si>
    <t>ATERRAMENTO E SPDA</t>
  </si>
  <si>
    <t>14.1</t>
  </si>
  <si>
    <t>14.2</t>
  </si>
  <si>
    <t>14.3</t>
  </si>
  <si>
    <t>TUBULAÇÃO ESGOTO E ÁGUAS PLUVIAIS</t>
  </si>
  <si>
    <t>14.4</t>
  </si>
  <si>
    <t>VÁLVULAS, ACESSÓRIOS E CONEXÕES ESGOTO E ÁGUAS PLUVIAIS</t>
  </si>
  <si>
    <t>14.5</t>
  </si>
  <si>
    <t>16.3</t>
  </si>
  <si>
    <t>16.4</t>
  </si>
  <si>
    <t>18.1</t>
  </si>
  <si>
    <t>TOTAIS MENSAIS (R$) ►</t>
  </si>
  <si>
    <t>TOTAIS EXECUTADOS (R$) ►</t>
  </si>
  <si>
    <t>TOTAIS EXECUTADOS ACUMULADOS (R$) ►</t>
  </si>
  <si>
    <t>TOTAIS ACUMULADOS (R$) ►</t>
  </si>
  <si>
    <t>PREÇO TOTAL COM BDI (R$)</t>
  </si>
  <si>
    <t>VALOR UNITÁRIO</t>
  </si>
  <si>
    <t>vb</t>
  </si>
  <si>
    <t>NOTAS:</t>
  </si>
  <si>
    <t>2 - O piso manta vinílica e o piso carpete, NÃO fazem parte do escopo desta cotação, serão executadas pela CONTRATANTE;</t>
  </si>
  <si>
    <t>PROJETOS COMPLEMENTARES</t>
  </si>
  <si>
    <t>Projeto Luminotécnico</t>
  </si>
  <si>
    <t>Projeto Estrutural e Fundação</t>
  </si>
  <si>
    <t>Projeto  de Contenções</t>
  </si>
  <si>
    <t>Projeto Elétrico da Edificação</t>
  </si>
  <si>
    <t>Projeto de Combate a incendio</t>
  </si>
  <si>
    <t>Projeto de Sistema de alarme de incendio</t>
  </si>
  <si>
    <t>Projeto de Climatização</t>
  </si>
  <si>
    <t>1.3.8</t>
  </si>
  <si>
    <t>Projeto de Cabeamento estruturado - TI</t>
  </si>
  <si>
    <t>1.3.9</t>
  </si>
  <si>
    <t>Projeto CFTV</t>
  </si>
  <si>
    <t>1.3.10</t>
  </si>
  <si>
    <t>Projeto de Gases Medicinais</t>
  </si>
  <si>
    <t>1.3.11</t>
  </si>
  <si>
    <t>Projeto Hidrosanitário</t>
  </si>
  <si>
    <t>1.3.12</t>
  </si>
  <si>
    <t>Projeto de Drenagem pluvial</t>
  </si>
  <si>
    <t>1.3.13</t>
  </si>
  <si>
    <t>Projeto de SPDA - proteçã ocontra descarga elétrica</t>
  </si>
  <si>
    <t>1.3.14</t>
  </si>
  <si>
    <t xml:space="preserve">Projeto de Acessibilidade </t>
  </si>
  <si>
    <t>1.3.15</t>
  </si>
  <si>
    <t>Projeto de Paisagismo/reflorestamento</t>
  </si>
  <si>
    <t>1.5</t>
  </si>
  <si>
    <t>1.5.6</t>
  </si>
  <si>
    <t>1.5.7</t>
  </si>
  <si>
    <t>1.5.8</t>
  </si>
  <si>
    <t xml:space="preserve">Execução de passeio em piso intertravado, com bloco retangular 20 x 10 cm, espessura 8 cm, inc colchão de areia. </t>
  </si>
  <si>
    <t>7.2.5</t>
  </si>
  <si>
    <t>19.1.3</t>
  </si>
  <si>
    <t>REDE DE SPRINKLERS</t>
  </si>
  <si>
    <t>TÊ, EM FERRO GALVANIZADO, CONEXÃO ROSQUEADA, DN 32 (1 1/4"), INSTALADO EM REDE DE ALIMENTAÇÃO PARA SPRINKLER - FORNECIMENTO E INSTALAÇÃO. AF_10/2020</t>
  </si>
  <si>
    <t>CRUZETA FERRO GALVANIZADO 1.1/4""</t>
  </si>
  <si>
    <t>JOELHO 90 GRAUS, EM FERRO GALVANIZADO, CONEXÃO ROSQUEADA, DN 32 (1 1/4"), INSTALADO EM REDE DE ALIMENTAÇÃO PARA SPRINKLER - FORNECIMENTO E INSTALAÇÃO. AF_10/2020</t>
  </si>
  <si>
    <t>Fornecimento e assentamento de te de redução de ferro galvanizado de 2 1/2" x 2"</t>
  </si>
  <si>
    <t>Fornecimento e assentamento de bucha de redução de ferro galvanizado de 2" x 1 1/4"</t>
  </si>
  <si>
    <t>Luva redução ferro galvanizado d = 75mm (2 1/2") x 42mm (1 1/4")</t>
  </si>
  <si>
    <t>TUBO DE AÇO GALVANIZADO COM COSTURA, CLASSE MÉDIA, CONEXÃO ROSQUEADA, DN 32 (1 1/4"),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</si>
  <si>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</si>
  <si>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</si>
  <si>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JOELHO 90 GRAUS, EM FERRO GALVANIZADO, CONEXÃO ROSQUEADA, DN 40 (1 1/2"), INSTALADO EM REDE DE ALIMENTAÇÃO PARA SPRINKLER - FORNECIMENTO E INSTALAÇÃO. AF_10/2020</t>
  </si>
  <si>
    <t>TE 90 FERRO GALVANIZADO DIAM. 2.1/2""</t>
  </si>
  <si>
    <t>TE 90 FERRO GALVANIZADO DIAM. 3""</t>
  </si>
  <si>
    <t>Fornecimento e assentamento de bucha de redução de ferro galvanizado de 3" x 1 1/2"</t>
  </si>
  <si>
    <t>Fornecimento e assentamento de bucha de redução de ferro galvanizado de 1 1/2" x 1 1/4"</t>
  </si>
  <si>
    <t>Luva redução ferro galvanizado d = 88 mm (3") x 48 mm (1 1/2")</t>
  </si>
  <si>
    <t>NIPLE DUPLO REDUÇÃO AÇO GALV. D=32X15mm (1 1/4"X1/2")  À  50X40mm (2"X1 1/2")</t>
  </si>
  <si>
    <t>JOELHO 90 GRAUS, EM FERRO GALVANIZADO, CONEXÃO ROSQUEADA, DN 80 (3"), INSTALADO EM REDE DE ALIMENTAÇÃO PARA SPRINKLER - FORNECIMENTO E INSTALAÇÃO. AF_10/2020</t>
  </si>
  <si>
    <t>LUVA DE REDUÇÃO, EM FERRO GALVANIZADO, 3" X 2 1/2", CONEXÃO ROSQUEADA, INSTALADO EM REDE DE ALIMENTAÇÃO PARA HIDRANTE - FORNECIMENTO E INSTALAÇÃO. AF_10/2020</t>
  </si>
  <si>
    <t>LUVA DE REDUÇÃO, EM FERRO GALVANIZADO, 1 1/4" X 1/2", CONEXÃO ROSQUEADA, INSTALADO EM REDE DE ALIMENTAÇÃO PARA SPRINKLER - FORNECIMENTO E INSTALAÇÃO. AF_10/2020</t>
  </si>
  <si>
    <t>CHAVE DE FLUXO TIPO PALHETA 1"" SERIE 100</t>
  </si>
  <si>
    <t>REGISTRO GAVETA 3""</t>
  </si>
  <si>
    <t>SPRINKLER-VALVULA RETENCAO ROSCA BRONZE 3""</t>
  </si>
  <si>
    <t>UNIÃO, EM FERRO GALVANIZADO, CONEXÃO ROSQUEADA, DN 80 (3"), INSTALADO EM REDE DE ALIMENTAÇÃO PARA SPRINKLER - FORNECIMENTO E INSTALAÇÃO. AF_10/2020</t>
  </si>
  <si>
    <t>REGISTRO DE GAVETA COM CANOPLA Ø 32MM (1.1/4") - FORNECIMENTO E INSTALAÇÃO</t>
  </si>
  <si>
    <t>Adaptador de pvc rígido soldável c/ flanges livres p/ caixa de água diâm = 85mm x 3"</t>
  </si>
  <si>
    <t>ESCAVAÇÃO MANUAL DE VALA COM PROFUNDIDADE MENOR OU IGUAL A 1,30 M. AF_02/2021</t>
  </si>
  <si>
    <t>REATERRO MANUAL DE VALAS COM COMPACTAÇÃO MECANIZADA. AF_04/2016</t>
  </si>
  <si>
    <t>FIXAÇÃO DE TUBOS HORIZONTAIS DE PVC, CPVC OU COBRE DIÂMETROS MAIORES QUE 75 MM COM ABRAÇADEIRA METÁLICA RÍGIDA TIPO D 3" ,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</si>
  <si>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</si>
  <si>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MENORES OU IGUAIS A 40 MM COM ABRAÇADEIRA METÁLICA FLEXÍVEL 18 MM, FIXADA DIRETAMENTE NA LAJE. AF_05/2015</t>
  </si>
  <si>
    <t>PINTURA COM TINTA ACRÍLICA DE FUNDO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</si>
  <si>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</si>
  <si>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Quadro de comando para 2 bombas de 7,5 cv, trifásica, 220 volts, com chave seletora, acionamento manual/automático, relé de sobrecarga e contatora</t>
  </si>
  <si>
    <t>Proteção anticorrosiva, com fita adesiva, para ramais sob a terra, com DN acima de 2´ até 3´</t>
  </si>
  <si>
    <t>Hidrante de recalque incluindo caixa em alvenaria de tijolos maciços esp. = 0,12m, dim. int. = 0.40 x 0.60 x 0.35m, com tampa em ferro fundido 0,40 x 0,60 e fundo com brita</t>
  </si>
  <si>
    <t>CONEXÃO SETORIAL DE DRENO, ENSAIO E ALARME 3", CONFORME PROJETO</t>
  </si>
  <si>
    <t>VÁLVULA DE GOVERNO COMPLETA EM fº.fº. flangeada 3" (Completa) - Fornecimento e Instalação</t>
  </si>
  <si>
    <t>FITA ADESIVA ANTICORROSIVA PARA TUBOS DE INCÊNDIO - FORNECIMENTO E APLICAÇÃO</t>
  </si>
  <si>
    <t xml:space="preserve">Sprinkler tipo pendente, 68 °c, união por rosca dn 15 (1/2") - fornecimento e instalação. </t>
  </si>
  <si>
    <t>17.3.2</t>
  </si>
  <si>
    <t>17.3.3</t>
  </si>
  <si>
    <t>17.3.4</t>
  </si>
  <si>
    <t>17.3.5</t>
  </si>
  <si>
    <t>17.3.6</t>
  </si>
  <si>
    <t>17.3.7</t>
  </si>
  <si>
    <t>17.3.8</t>
  </si>
  <si>
    <t>17.3.9</t>
  </si>
  <si>
    <t>17.3.10</t>
  </si>
  <si>
    <t>17.3.11</t>
  </si>
  <si>
    <t>17.3.12</t>
  </si>
  <si>
    <t>17.3.13</t>
  </si>
  <si>
    <t>17.3.14</t>
  </si>
  <si>
    <t>17.3.15</t>
  </si>
  <si>
    <t>17.3.16</t>
  </si>
  <si>
    <t>17.3.17</t>
  </si>
  <si>
    <t>17.3.18</t>
  </si>
  <si>
    <t>17.3.19</t>
  </si>
  <si>
    <t>17.3.20</t>
  </si>
  <si>
    <t>17.3.21</t>
  </si>
  <si>
    <t>17.3.22</t>
  </si>
  <si>
    <t>17.3.23</t>
  </si>
  <si>
    <t>17.3.24</t>
  </si>
  <si>
    <t>17.3.25</t>
  </si>
  <si>
    <t>17.3.26</t>
  </si>
  <si>
    <t>17.3.27</t>
  </si>
  <si>
    <t>17.3.28</t>
  </si>
  <si>
    <t>17.3.29</t>
  </si>
  <si>
    <t>17.3.30</t>
  </si>
  <si>
    <t>17.3.31</t>
  </si>
  <si>
    <t>17.3.32</t>
  </si>
  <si>
    <t>17.3.33</t>
  </si>
  <si>
    <t>17.3.34</t>
  </si>
  <si>
    <t>17.3.35</t>
  </si>
  <si>
    <t>17.3.36</t>
  </si>
  <si>
    <t>17.3.37</t>
  </si>
  <si>
    <t>17.3.38</t>
  </si>
  <si>
    <t>17.3.39</t>
  </si>
  <si>
    <t>17.3.40</t>
  </si>
  <si>
    <t>18.4</t>
  </si>
  <si>
    <t>18.4.1</t>
  </si>
  <si>
    <t>18.4.2</t>
  </si>
  <si>
    <t>18.4.3</t>
  </si>
  <si>
    <t>18.4.4</t>
  </si>
  <si>
    <t>18.4.5</t>
  </si>
  <si>
    <t>18.4.6</t>
  </si>
  <si>
    <t>18.4.7</t>
  </si>
  <si>
    <t>18.4.8</t>
  </si>
  <si>
    <t>18.4.9</t>
  </si>
  <si>
    <t>18.4.10</t>
  </si>
  <si>
    <t>18.4.11</t>
  </si>
  <si>
    <t>1 - No projeto arquitetônico existe uma alvenaria da fachada em elemento vazado (cobogó) e o detalhe em perfis de alumínio serão executadas diretamente pela CONTRATANTE, fazendo parte da execução pela CONTRATADA, apenas a estrutura em concreto armado na qual, o projeto estrutural do detalhe deverá ser entregue pela CONTRATADA;</t>
  </si>
  <si>
    <t>3 - NÃO é obrigatório a medição ou execução de 100% do quantitativo de cada item pela CONTRATANTE;</t>
  </si>
  <si>
    <t>4 - CLIMATIZAÇÃO, EXAUSTÃO, E ELEVADOR  NÃO fazem parte do escopo desta cotação.</t>
  </si>
  <si>
    <t>CONSTRUÇÃO DA SALA DE HEMODINÂMICA E LEITOS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</si>
</sst>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quot;R$&quot;\ * #,##0.00_-;\-&quot;R$&quot;\ * #,##0.00_-;_-&quot;R$&quot;\ * &quot;-&quot;??_-;_-@_-"/>
    <numFmt numFmtId="43" formatCode="_-* #,##0.00_-;\-* #,##0.00_-;_-* &quot;-&quot;??_-;_-@_-"/>
    <numFmt numFmtId="164" formatCode="_(&quot;R$ &quot;* #,##0.00_);_(&quot;R$ &quot;* \(#,##0.00\);_(&quot;R$ &quot;* \-??_);_(@_)"/>
    <numFmt numFmtId="165" formatCode="_-&quot;R$ &quot;* #,##0.00_-;&quot;-R$ &quot;* #,##0.00_-;_-&quot;R$ &quot;* \-??_-;_-@_-"/>
    <numFmt numFmtId="166" formatCode="&quot; R$ &quot;* #,##0.00\ ;&quot;-R$ &quot;* #,##0.00\ ;&quot; R$ &quot;* \-#\ ;@\ "/>
    <numFmt numFmtId="167" formatCode="_(* #,##0.00_);_(* \(#,##0.00\);_(* \-??_);_(@_)"/>
    <numFmt numFmtId="168" formatCode="#,##0.00_);[Red]\(#,##0.00\)"/>
    <numFmt numFmtId="169" formatCode="_-* #,##0.00_-;\-* #,##0.00_-;_-* \-??_-;_-@_-"/>
    <numFmt numFmtId="170" formatCode="_-* #,##0.000_-;\-* #,##0.000_-;_-* \-??_-;_-@_-"/>
    <numFmt numFmtId="171" formatCode="d/m/yyyy"/>
    <numFmt numFmtId="172" formatCode="_-* #,##0.000_-;\-* #,##0.000_-;_-* \-???_-;_-@_-"/>
    <numFmt numFmtId="173" formatCode="_(* #,##0.00000_);_(* \(#,##0.00000\);_(* \-??_);_(@_)"/>
    <numFmt numFmtId="174" formatCode="_-* #,##0.00_-;\-* #,##0.00_-;_-* \-???_-;_-@_-"/>
    <numFmt numFmtId="175" formatCode="_(* #,##0.0000_);_(* \(#,##0.0000\);_(* \-??_);_(@_)"/>
    <numFmt numFmtId="176" formatCode="_-* #,##0.00000_-;\-* #,##0.00000_-;_-* \-????_-;_-@_-"/>
    <numFmt numFmtId="177" formatCode="0.0000"/>
    <numFmt numFmtId="178" formatCode="&quot;R$ &quot;#,##0.00;[Red]&quot;-R$ &quot;#,##0.00"/>
    <numFmt numFmtId="179" formatCode="&quot;R$ &quot;#,##0.00"/>
    <numFmt numFmtId="180" formatCode="_(* #,##0.000_);_(* \(#,##0.000\);_(* \-??_);_(@_)"/>
    <numFmt numFmtId="181" formatCode="_-* #,##0.0000_-;\-* #,##0.0000_-;_-* \-????_-;_-@_-"/>
    <numFmt numFmtId="182" formatCode="mmmm/yyyy"/>
    <numFmt numFmtId="183" formatCode="0.0%"/>
    <numFmt numFmtId="184" formatCode="0.0000%"/>
    <numFmt numFmtId="185" formatCode="#,##0.00_ ;\-#,##0.00\ "/>
    <numFmt numFmtId="186" formatCode="_(&quot;R$ &quot;* #,##0.00_);_(&quot;R$ &quot;* \(#,##0.00\);_(&quot;R$ &quot;* &quot;-&quot;??_);_(@_)"/>
  </numFmts>
  <fonts count="65">
    <font>
      <sz val="11"/>
      <color theme="1"/>
      <name val="Calibri"/>
      <family val="2"/>
      <charset val="1"/>
    </font>
    <font>
      <sz val="11"/>
      <color theme="1"/>
      <name val="Calibri"/>
      <family val="2"/>
      <scheme val="minor"/>
    </font>
    <font>
      <sz val="10"/>
      <name val="Arial"/>
      <family val="2"/>
      <charset val="1"/>
    </font>
    <font>
      <sz val="11"/>
      <color rgb="FF000000"/>
      <name val="Calibri"/>
      <family val="2"/>
      <charset val="1"/>
    </font>
    <font>
      <sz val="10"/>
      <color rgb="FF000000"/>
      <name val="Times New Roman"/>
      <family val="1"/>
      <charset val="1"/>
    </font>
    <font>
      <sz val="11"/>
      <name val="Calibri"/>
      <family val="2"/>
      <charset val="1"/>
    </font>
    <font>
      <sz val="10"/>
      <name val="Calibri"/>
      <family val="2"/>
      <charset val="1"/>
    </font>
    <font>
      <b/>
      <sz val="20"/>
      <name val="Arial"/>
      <family val="2"/>
      <charset val="1"/>
    </font>
    <font>
      <b/>
      <sz val="11"/>
      <name val="Calibri"/>
      <family val="2"/>
      <charset val="1"/>
    </font>
    <font>
      <b/>
      <i/>
      <sz val="20"/>
      <name val="Arial Narrow"/>
      <family val="2"/>
      <charset val="1"/>
    </font>
    <font>
      <b/>
      <i/>
      <sz val="18"/>
      <name val="Arial Narrow"/>
      <family val="2"/>
      <charset val="1"/>
    </font>
    <font>
      <b/>
      <sz val="18"/>
      <name val="Arial"/>
      <family val="2"/>
      <charset val="1"/>
    </font>
    <font>
      <b/>
      <sz val="16"/>
      <name val="Arial"/>
      <family val="2"/>
      <charset val="1"/>
    </font>
    <font>
      <sz val="14"/>
      <name val="Calibri"/>
      <family val="2"/>
      <charset val="1"/>
    </font>
    <font>
      <b/>
      <sz val="14"/>
      <name val="Arial"/>
      <family val="2"/>
      <charset val="1"/>
    </font>
    <font>
      <b/>
      <sz val="14"/>
      <name val="Calibri"/>
      <family val="2"/>
      <charset val="1"/>
    </font>
    <font>
      <sz val="14"/>
      <color rgb="FFFF0000"/>
      <name val="Arial"/>
      <family val="2"/>
      <charset val="1"/>
    </font>
    <font>
      <sz val="14"/>
      <name val="Arial"/>
      <family val="2"/>
      <charset val="1"/>
    </font>
    <font>
      <b/>
      <sz val="14"/>
      <color rgb="FFFF0000"/>
      <name val="Arial"/>
      <family val="2"/>
      <charset val="1"/>
    </font>
    <font>
      <b/>
      <sz val="16"/>
      <color rgb="FFFF0000"/>
      <name val="Arial"/>
      <family val="2"/>
      <charset val="1"/>
    </font>
    <font>
      <sz val="16"/>
      <name val="Arial"/>
      <family val="2"/>
      <charset val="1"/>
    </font>
    <font>
      <sz val="16"/>
      <color rgb="FFFF0000"/>
      <name val="Arial"/>
      <family val="2"/>
      <charset val="1"/>
    </font>
    <font>
      <b/>
      <sz val="9"/>
      <name val="Arial"/>
      <family val="2"/>
      <charset val="1"/>
    </font>
    <font>
      <sz val="9"/>
      <name val="Arial"/>
      <family val="2"/>
      <charset val="1"/>
    </font>
    <font>
      <b/>
      <sz val="10"/>
      <name val="Arial"/>
      <family val="2"/>
      <charset val="1"/>
    </font>
    <font>
      <b/>
      <sz val="9"/>
      <color theme="1"/>
      <name val="Arial"/>
      <family val="2"/>
      <charset val="1"/>
    </font>
    <font>
      <sz val="9"/>
      <color theme="1"/>
      <name val="Arial"/>
      <family val="2"/>
      <charset val="1"/>
    </font>
    <font>
      <sz val="11"/>
      <name val="Arial"/>
      <family val="2"/>
      <charset val="1"/>
    </font>
    <font>
      <b/>
      <sz val="12"/>
      <name val="Arial"/>
      <family val="2"/>
      <charset val="1"/>
    </font>
    <font>
      <b/>
      <sz val="12"/>
      <color rgb="FFFF0000"/>
      <name val="Arial"/>
      <family val="2"/>
      <charset val="1"/>
    </font>
    <font>
      <b/>
      <sz val="8"/>
      <color rgb="FF000000"/>
      <name val="Arial"/>
      <family val="2"/>
      <charset val="1"/>
    </font>
    <font>
      <b/>
      <sz val="9"/>
      <color rgb="FF000000"/>
      <name val="Arial"/>
      <family val="2"/>
      <charset val="1"/>
    </font>
    <font>
      <b/>
      <sz val="9"/>
      <color rgb="FFFFFFFF"/>
      <name val="Arial"/>
      <family val="2"/>
      <charset val="1"/>
    </font>
    <font>
      <sz val="9"/>
      <color rgb="FF000000"/>
      <name val="Arial"/>
      <family val="2"/>
      <charset val="1"/>
    </font>
    <font>
      <b/>
      <sz val="14"/>
      <color rgb="FFFFFFFF"/>
      <name val="Arial"/>
      <family val="2"/>
      <charset val="1"/>
    </font>
    <font>
      <b/>
      <sz val="7.5"/>
      <color rgb="FF000000"/>
      <name val="Arial"/>
      <family val="2"/>
      <charset val="1"/>
    </font>
    <font>
      <b/>
      <sz val="11"/>
      <name val="Arial"/>
      <family val="2"/>
      <charset val="1"/>
    </font>
    <font>
      <b/>
      <sz val="11"/>
      <color rgb="FFFF0000"/>
      <name val="Arial"/>
      <family val="2"/>
      <charset val="1"/>
    </font>
    <font>
      <sz val="11"/>
      <color rgb="FFFF0000"/>
      <name val="Arial"/>
      <family val="2"/>
      <charset val="1"/>
    </font>
    <font>
      <b/>
      <sz val="22"/>
      <name val="Arial Narrow"/>
      <family val="2"/>
      <charset val="1"/>
    </font>
    <font>
      <b/>
      <sz val="11"/>
      <color theme="1"/>
      <name val="Calibri"/>
      <family val="2"/>
      <charset val="1"/>
    </font>
    <font>
      <sz val="11"/>
      <color rgb="FFFF0000"/>
      <name val="Calibri"/>
      <family val="2"/>
      <charset val="1"/>
    </font>
    <font>
      <b/>
      <sz val="11"/>
      <color rgb="FF000000"/>
      <name val="Calibri"/>
      <family val="2"/>
      <charset val="1"/>
    </font>
    <font>
      <sz val="9"/>
      <color rgb="FFC00000"/>
      <name val="Arial"/>
      <family val="2"/>
      <charset val="1"/>
    </font>
    <font>
      <b/>
      <sz val="24"/>
      <name val="Calibri"/>
      <family val="2"/>
      <charset val="1"/>
    </font>
    <font>
      <sz val="8"/>
      <name val="Helvetica Condensed"/>
      <family val="2"/>
      <charset val="1"/>
    </font>
    <font>
      <b/>
      <sz val="14"/>
      <name val="Arial Narrow"/>
      <family val="2"/>
      <charset val="1"/>
    </font>
    <font>
      <sz val="10"/>
      <name val="Helvetica Condensed"/>
      <family val="2"/>
      <charset val="1"/>
    </font>
    <font>
      <sz val="10"/>
      <name val="Arial Narrow"/>
      <family val="2"/>
      <charset val="1"/>
    </font>
    <font>
      <b/>
      <sz val="12"/>
      <name val="Helvetica Condensed"/>
      <family val="2"/>
      <charset val="1"/>
    </font>
    <font>
      <b/>
      <sz val="10"/>
      <name val="Helvetica Condensed"/>
      <family val="2"/>
      <charset val="1"/>
    </font>
    <font>
      <b/>
      <sz val="10"/>
      <name val="Arial Narrow"/>
      <family val="2"/>
      <charset val="1"/>
    </font>
    <font>
      <b/>
      <sz val="12"/>
      <name val="Arial Narrow"/>
      <family val="2"/>
      <charset val="1"/>
    </font>
    <font>
      <b/>
      <sz val="18"/>
      <name val="Arial Narrow"/>
      <family val="2"/>
      <charset val="1"/>
    </font>
    <font>
      <sz val="11"/>
      <color theme="1"/>
      <name val="Calibri"/>
      <family val="2"/>
      <charset val="1"/>
    </font>
    <font>
      <sz val="10"/>
      <name val="Arial"/>
      <family val="2"/>
    </font>
    <font>
      <sz val="9"/>
      <name val="Arial"/>
      <family val="2"/>
    </font>
    <font>
      <b/>
      <sz val="9"/>
      <name val="Arial"/>
      <family val="2"/>
    </font>
    <font>
      <sz val="11"/>
      <color indexed="8"/>
      <name val="Calibri"/>
      <family val="2"/>
    </font>
    <font>
      <sz val="10"/>
      <color rgb="FF000000"/>
      <name val="Times New Roman"/>
      <family val="1"/>
    </font>
    <font>
      <sz val="9"/>
      <color rgb="FFC00000"/>
      <name val="Arial"/>
      <family val="2"/>
    </font>
    <font>
      <b/>
      <sz val="9"/>
      <color theme="1"/>
      <name val="Arial"/>
      <family val="2"/>
    </font>
    <font>
      <sz val="9"/>
      <color theme="1"/>
      <name val="Arial"/>
      <family val="2"/>
    </font>
    <font>
      <sz val="9"/>
      <color rgb="FF000000"/>
      <name val="Arial"/>
      <family val="2"/>
    </font>
    <font>
      <sz val="8"/>
      <name val="Calibri"/>
      <family val="2"/>
      <charset val="1"/>
    </font>
  </fonts>
  <fills count="20">
    <fill>
      <patternFill patternType="none"/>
    </fill>
    <fill>
      <patternFill patternType="gray125"/>
    </fill>
    <fill>
      <patternFill patternType="solid">
        <fgColor theme="9" tint="0.59987182226020086"/>
        <bgColor rgb="FFFDEADA"/>
      </patternFill>
    </fill>
    <fill>
      <patternFill patternType="solid">
        <fgColor theme="0"/>
        <bgColor rgb="FFFDEADA"/>
      </patternFill>
    </fill>
    <fill>
      <patternFill patternType="solid">
        <fgColor rgb="FFFFFF00"/>
        <bgColor rgb="FFFFFF00"/>
      </patternFill>
    </fill>
    <fill>
      <patternFill patternType="solid">
        <fgColor theme="9" tint="-0.249977111117893"/>
        <bgColor rgb="FFFF9900"/>
      </patternFill>
    </fill>
    <fill>
      <patternFill patternType="solid">
        <fgColor theme="0" tint="-0.249977111117893"/>
        <bgColor rgb="FFD8D8D8"/>
      </patternFill>
    </fill>
    <fill>
      <patternFill patternType="solid">
        <fgColor theme="0" tint="-0.34998626667073579"/>
        <bgColor rgb="FFBFBFBF"/>
      </patternFill>
    </fill>
    <fill>
      <patternFill patternType="solid">
        <fgColor rgb="FF00B050"/>
        <bgColor rgb="FF008080"/>
      </patternFill>
    </fill>
    <fill>
      <patternFill patternType="solid">
        <fgColor theme="0" tint="-0.14999847407452621"/>
        <bgColor rgb="FFD8D8D8"/>
      </patternFill>
    </fill>
    <fill>
      <patternFill patternType="solid">
        <fgColor rgb="FFFF0000"/>
        <bgColor rgb="FFC00000"/>
      </patternFill>
    </fill>
    <fill>
      <patternFill patternType="solid">
        <fgColor rgb="FFD8D8D8"/>
        <bgColor rgb="FFD9D9D9"/>
      </patternFill>
    </fill>
    <fill>
      <patternFill patternType="solid">
        <fgColor rgb="FF00B0F0"/>
        <bgColor rgb="FF33CCCC"/>
      </patternFill>
    </fill>
    <fill>
      <patternFill patternType="solid">
        <fgColor theme="9" tint="0.79989013336588644"/>
        <bgColor rgb="FFFCD5B5"/>
      </patternFill>
    </fill>
    <fill>
      <patternFill patternType="solid">
        <fgColor theme="0" tint="-0.14999847407452621"/>
        <bgColor rgb="FFFDEADA"/>
      </patternFill>
    </fill>
    <fill>
      <patternFill patternType="solid">
        <fgColor theme="0"/>
        <bgColor indexed="64"/>
      </patternFill>
    </fill>
    <fill>
      <patternFill patternType="solid">
        <fgColor theme="0"/>
        <bgColor indexed="26"/>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59999389629810485"/>
        <bgColor rgb="FFFDEADA"/>
      </patternFill>
    </fill>
  </fills>
  <borders count="62">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style="medium">
        <color auto="1"/>
      </right>
      <top style="thin">
        <color auto="1"/>
      </top>
      <bottom/>
      <diagonal/>
    </border>
    <border>
      <left/>
      <right/>
      <top style="thin">
        <color auto="1"/>
      </top>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medium">
        <color auto="1"/>
      </left>
      <right/>
      <top style="thin">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top style="medium">
        <color auto="1"/>
      </top>
      <bottom/>
      <diagonal/>
    </border>
    <border>
      <left style="thin">
        <color auto="1"/>
      </left>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49">
    <xf numFmtId="0" fontId="0" fillId="0" borderId="0"/>
    <xf numFmtId="167" fontId="54" fillId="0" borderId="0" applyBorder="0" applyProtection="0"/>
    <xf numFmtId="164" fontId="54" fillId="0" borderId="0" applyBorder="0" applyProtection="0"/>
    <xf numFmtId="9" fontId="54" fillId="0" borderId="0" applyBorder="0" applyProtection="0"/>
    <xf numFmtId="0" fontId="2" fillId="0" borderId="0"/>
    <xf numFmtId="0" fontId="3" fillId="0" borderId="0"/>
    <xf numFmtId="164" fontId="54" fillId="0" borderId="0" applyBorder="0" applyProtection="0"/>
    <xf numFmtId="164" fontId="54" fillId="0" borderId="0" applyBorder="0" applyProtection="0"/>
    <xf numFmtId="165" fontId="54" fillId="0" borderId="0" applyBorder="0" applyProtection="0"/>
    <xf numFmtId="166" fontId="3" fillId="0" borderId="0" applyBorder="0" applyProtection="0"/>
    <xf numFmtId="0" fontId="2" fillId="0" borderId="0"/>
    <xf numFmtId="0" fontId="2" fillId="0" borderId="0"/>
    <xf numFmtId="0" fontId="2" fillId="0" borderId="0"/>
    <xf numFmtId="0" fontId="4" fillId="0" borderId="0"/>
    <xf numFmtId="0" fontId="2" fillId="0" borderId="0">
      <alignment vertical="center"/>
    </xf>
    <xf numFmtId="0" fontId="2" fillId="0" borderId="0"/>
    <xf numFmtId="0" fontId="2" fillId="0" borderId="0"/>
    <xf numFmtId="9" fontId="2" fillId="0" borderId="0" applyBorder="0" applyProtection="0"/>
    <xf numFmtId="9" fontId="54" fillId="0" borderId="0" applyBorder="0" applyProtection="0"/>
    <xf numFmtId="167" fontId="54" fillId="0" borderId="0" applyBorder="0" applyProtection="0"/>
    <xf numFmtId="168" fontId="54" fillId="0" borderId="0" applyBorder="0" applyProtection="0"/>
    <xf numFmtId="169" fontId="54" fillId="0" borderId="0" applyBorder="0" applyProtection="0"/>
    <xf numFmtId="169" fontId="54" fillId="0" borderId="0" applyBorder="0" applyProtection="0"/>
    <xf numFmtId="167" fontId="54" fillId="0" borderId="0" applyBorder="0" applyProtection="0"/>
    <xf numFmtId="167" fontId="54" fillId="0" borderId="0" applyBorder="0" applyProtection="0"/>
    <xf numFmtId="169" fontId="54" fillId="0" borderId="0" applyBorder="0" applyProtection="0"/>
    <xf numFmtId="0" fontId="1" fillId="0" borderId="0"/>
    <xf numFmtId="186" fontId="58" fillId="0" borderId="0" applyFont="0" applyFill="0" applyBorder="0" applyAlignment="0" applyProtection="0"/>
    <xf numFmtId="0" fontId="55" fillId="0" borderId="0"/>
    <xf numFmtId="0" fontId="55" fillId="0" borderId="0"/>
    <xf numFmtId="43" fontId="58" fillId="0" borderId="0" applyFont="0" applyFill="0" applyBorder="0" applyAlignment="0" applyProtection="0"/>
    <xf numFmtId="43" fontId="55" fillId="0" borderId="0" applyFont="0" applyFill="0" applyBorder="0" applyAlignment="0" applyProtection="0"/>
    <xf numFmtId="0" fontId="59" fillId="0" borderId="0"/>
    <xf numFmtId="9" fontId="55" fillId="0" borderId="0" applyFont="0" applyFill="0" applyBorder="0" applyAlignment="0" applyProtection="0"/>
    <xf numFmtId="43" fontId="59" fillId="0" borderId="0" applyFont="0" applyFill="0" applyBorder="0" applyAlignment="0" applyProtection="0"/>
    <xf numFmtId="186" fontId="58" fillId="0" borderId="0" applyFont="0" applyFill="0" applyBorder="0" applyAlignment="0" applyProtection="0"/>
    <xf numFmtId="43" fontId="58" fillId="0" borderId="0" applyFont="0" applyFill="0" applyBorder="0" applyAlignment="0" applyProtection="0"/>
    <xf numFmtId="186" fontId="58"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9" fontId="1" fillId="0" borderId="0" applyFont="0" applyFill="0" applyBorder="0" applyAlignment="0" applyProtection="0"/>
    <xf numFmtId="0" fontId="55" fillId="0" borderId="0"/>
    <xf numFmtId="0" fontId="55" fillId="0" borderId="0"/>
    <xf numFmtId="0" fontId="55" fillId="0" borderId="0"/>
    <xf numFmtId="44" fontId="1" fillId="0" borderId="0" applyFont="0" applyFill="0" applyBorder="0" applyAlignment="0" applyProtection="0"/>
    <xf numFmtId="43" fontId="1" fillId="0" borderId="0" applyFont="0" applyFill="0" applyBorder="0" applyAlignment="0" applyProtection="0"/>
    <xf numFmtId="0" fontId="58" fillId="0" borderId="0"/>
    <xf numFmtId="9" fontId="55" fillId="0" borderId="0" applyFill="0" applyBorder="0" applyAlignment="0" applyProtection="0"/>
    <xf numFmtId="166" fontId="58" fillId="0" borderId="0" applyFill="0" applyBorder="0" applyProtection="0"/>
  </cellStyleXfs>
  <cellXfs count="622">
    <xf numFmtId="0" fontId="0" fillId="0" borderId="0" xfId="0"/>
    <xf numFmtId="170" fontId="14" fillId="2" borderId="8" xfId="20" applyNumberFormat="1" applyFont="1" applyFill="1" applyBorder="1" applyAlignment="1" applyProtection="1">
      <alignment horizontal="left" vertical="center" wrapText="1"/>
    </xf>
    <xf numFmtId="0" fontId="5" fillId="0" borderId="0" xfId="0" applyFont="1"/>
    <xf numFmtId="0" fontId="5" fillId="0" borderId="0" xfId="0" applyFont="1" applyAlignment="1">
      <alignment horizontal="center" vertical="center"/>
    </xf>
    <xf numFmtId="167" fontId="5" fillId="0" borderId="0" xfId="1" applyFont="1" applyBorder="1" applyAlignment="1" applyProtection="1">
      <alignment vertic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horizontal="center"/>
    </xf>
    <xf numFmtId="167" fontId="5" fillId="0" borderId="0" xfId="0" applyNumberFormat="1" applyFont="1"/>
    <xf numFmtId="167" fontId="8" fillId="0" borderId="0" xfId="1" applyFont="1" applyBorder="1" applyAlignment="1" applyProtection="1">
      <alignment horizontal="center"/>
    </xf>
    <xf numFmtId="0" fontId="13" fillId="0" borderId="0" xfId="0" applyFont="1"/>
    <xf numFmtId="164" fontId="15" fillId="0" borderId="0" xfId="2" applyFont="1" applyBorder="1" applyAlignment="1" applyProtection="1">
      <alignment horizontal="center"/>
    </xf>
    <xf numFmtId="170" fontId="16" fillId="2" borderId="8" xfId="20" applyNumberFormat="1" applyFont="1" applyFill="1" applyBorder="1" applyAlignment="1" applyProtection="1">
      <alignment horizontal="center" vertical="center"/>
    </xf>
    <xf numFmtId="170" fontId="17" fillId="2" borderId="12" xfId="20" applyNumberFormat="1" applyFont="1" applyFill="1" applyBorder="1" applyAlignment="1" applyProtection="1">
      <alignment horizontal="center" vertical="center"/>
    </xf>
    <xf numFmtId="170" fontId="18" fillId="2" borderId="12" xfId="20" applyNumberFormat="1" applyFont="1" applyFill="1" applyBorder="1" applyAlignment="1" applyProtection="1">
      <alignment horizontal="center" vertical="center"/>
    </xf>
    <xf numFmtId="172" fontId="13" fillId="0" borderId="0" xfId="0" applyNumberFormat="1" applyFont="1"/>
    <xf numFmtId="170" fontId="18" fillId="2" borderId="9" xfId="2" applyNumberFormat="1" applyFont="1" applyFill="1" applyBorder="1" applyAlignment="1" applyProtection="1">
      <alignment horizontal="center" vertical="center"/>
    </xf>
    <xf numFmtId="170" fontId="14" fillId="2" borderId="17" xfId="20" applyNumberFormat="1" applyFont="1" applyFill="1" applyBorder="1" applyAlignment="1" applyProtection="1">
      <alignment horizontal="center" vertical="center"/>
    </xf>
    <xf numFmtId="170" fontId="17" fillId="2" borderId="17" xfId="20" applyNumberFormat="1" applyFont="1" applyFill="1" applyBorder="1" applyAlignment="1" applyProtection="1">
      <alignment horizontal="center" vertical="center"/>
    </xf>
    <xf numFmtId="170" fontId="14" fillId="2" borderId="17" xfId="20" applyNumberFormat="1" applyFont="1" applyFill="1" applyBorder="1" applyAlignment="1" applyProtection="1">
      <alignment horizontal="left" vertical="center" wrapText="1"/>
    </xf>
    <xf numFmtId="170" fontId="17" fillId="2" borderId="21" xfId="20" applyNumberFormat="1" applyFont="1" applyFill="1" applyBorder="1" applyAlignment="1" applyProtection="1">
      <alignment horizontal="center" vertical="center"/>
    </xf>
    <xf numFmtId="170" fontId="14" fillId="2" borderId="22" xfId="20" applyNumberFormat="1" applyFont="1" applyFill="1" applyBorder="1" applyAlignment="1" applyProtection="1">
      <alignment horizontal="center" vertical="center"/>
    </xf>
    <xf numFmtId="170" fontId="14" fillId="2" borderId="20" xfId="20" applyNumberFormat="1" applyFont="1" applyFill="1" applyBorder="1" applyAlignment="1" applyProtection="1">
      <alignment horizontal="left" vertical="center" wrapText="1"/>
    </xf>
    <xf numFmtId="165" fontId="13" fillId="0" borderId="0" xfId="1" applyNumberFormat="1" applyFont="1" applyBorder="1" applyProtection="1"/>
    <xf numFmtId="167" fontId="13" fillId="0" borderId="0" xfId="1" applyFont="1" applyBorder="1" applyProtection="1"/>
    <xf numFmtId="173" fontId="13" fillId="0" borderId="0" xfId="1" applyNumberFormat="1" applyFont="1" applyBorder="1" applyProtection="1"/>
    <xf numFmtId="174" fontId="13" fillId="0" borderId="0" xfId="0" applyNumberFormat="1" applyFont="1"/>
    <xf numFmtId="167" fontId="13" fillId="0" borderId="0" xfId="1" applyFont="1" applyBorder="1" applyAlignment="1" applyProtection="1">
      <alignment vertical="center"/>
    </xf>
    <xf numFmtId="169" fontId="13" fillId="0" borderId="0" xfId="0" applyNumberFormat="1" applyFont="1"/>
    <xf numFmtId="170" fontId="21" fillId="2" borderId="12" xfId="20" applyNumberFormat="1" applyFont="1" applyFill="1" applyBorder="1" applyAlignment="1" applyProtection="1">
      <alignment horizontal="center" vertical="center"/>
    </xf>
    <xf numFmtId="169" fontId="13" fillId="0" borderId="0" xfId="0" applyNumberFormat="1" applyFont="1" applyAlignment="1">
      <alignment horizontal="center"/>
    </xf>
    <xf numFmtId="165" fontId="13" fillId="0" borderId="0" xfId="0" applyNumberFormat="1" applyFont="1"/>
    <xf numFmtId="175" fontId="13" fillId="0" borderId="0" xfId="1" applyNumberFormat="1" applyFont="1" applyBorder="1" applyProtection="1"/>
    <xf numFmtId="176" fontId="13" fillId="0" borderId="0" xfId="0" applyNumberFormat="1" applyFont="1"/>
    <xf numFmtId="0" fontId="2" fillId="0" borderId="0" xfId="0" applyFont="1"/>
    <xf numFmtId="170" fontId="21" fillId="2" borderId="12" xfId="14" applyNumberFormat="1" applyFont="1" applyFill="1" applyBorder="1" applyAlignment="1">
      <alignment horizontal="center" vertical="center"/>
    </xf>
    <xf numFmtId="0" fontId="13" fillId="0" borderId="0" xfId="0" applyFont="1" applyAlignment="1">
      <alignment horizontal="center"/>
    </xf>
    <xf numFmtId="177" fontId="13" fillId="0" borderId="0" xfId="0" applyNumberFormat="1" applyFont="1"/>
    <xf numFmtId="170" fontId="22" fillId="0" borderId="24" xfId="16" applyNumberFormat="1" applyFont="1" applyBorder="1" applyAlignment="1">
      <alignment horizontal="center" vertical="top"/>
    </xf>
    <xf numFmtId="170" fontId="23" fillId="0" borderId="25" xfId="16" applyNumberFormat="1" applyFont="1" applyBorder="1" applyAlignment="1">
      <alignment horizontal="left" vertical="top"/>
    </xf>
    <xf numFmtId="170" fontId="23" fillId="0" borderId="25" xfId="16" applyNumberFormat="1" applyFont="1" applyBorder="1" applyAlignment="1">
      <alignment horizontal="center" vertical="center"/>
    </xf>
    <xf numFmtId="170" fontId="22" fillId="0" borderId="26" xfId="1" applyNumberFormat="1" applyFont="1" applyBorder="1" applyAlignment="1" applyProtection="1">
      <alignment horizontal="center" vertical="top"/>
    </xf>
    <xf numFmtId="170" fontId="23" fillId="0" borderId="27" xfId="1" applyNumberFormat="1" applyFont="1" applyBorder="1" applyAlignment="1" applyProtection="1">
      <alignment horizontal="left" vertical="top"/>
    </xf>
    <xf numFmtId="170" fontId="23" fillId="0" borderId="25" xfId="1" applyNumberFormat="1" applyFont="1" applyBorder="1" applyAlignment="1" applyProtection="1">
      <alignment horizontal="left" vertical="top"/>
    </xf>
    <xf numFmtId="170" fontId="2" fillId="0" borderId="25" xfId="16" applyNumberFormat="1" applyBorder="1" applyAlignment="1">
      <alignment horizontal="left" vertical="top"/>
    </xf>
    <xf numFmtId="170" fontId="23" fillId="0" borderId="28" xfId="16" applyNumberFormat="1" applyFont="1" applyBorder="1" applyAlignment="1">
      <alignment horizontal="left" vertical="top"/>
    </xf>
    <xf numFmtId="170" fontId="24" fillId="0" borderId="6" xfId="11" applyNumberFormat="1" applyFont="1" applyBorder="1" applyAlignment="1">
      <alignment horizontal="center" vertical="center"/>
    </xf>
    <xf numFmtId="170" fontId="24" fillId="0" borderId="8" xfId="11" applyNumberFormat="1" applyFont="1" applyBorder="1" applyAlignment="1">
      <alignment horizontal="center" vertical="center"/>
    </xf>
    <xf numFmtId="170" fontId="24" fillId="0" borderId="8" xfId="11" applyNumberFormat="1" applyFont="1" applyBorder="1" applyAlignment="1">
      <alignment horizontal="center" vertical="center" wrapText="1"/>
    </xf>
    <xf numFmtId="0" fontId="24" fillId="0" borderId="8" xfId="0" applyFont="1" applyBorder="1" applyAlignment="1">
      <alignment horizontal="center" vertical="center"/>
    </xf>
    <xf numFmtId="167" fontId="5" fillId="0" borderId="0" xfId="1" applyFont="1" applyBorder="1" applyProtection="1"/>
    <xf numFmtId="10" fontId="5" fillId="0" borderId="0" xfId="3" applyNumberFormat="1" applyFont="1" applyBorder="1" applyProtection="1"/>
    <xf numFmtId="170" fontId="24" fillId="3" borderId="8" xfId="1" applyNumberFormat="1" applyFont="1" applyFill="1" applyBorder="1" applyAlignment="1" applyProtection="1">
      <alignment horizontal="center" vertical="center"/>
    </xf>
    <xf numFmtId="170" fontId="24" fillId="3" borderId="8" xfId="1" applyNumberFormat="1" applyFont="1" applyFill="1" applyBorder="1" applyAlignment="1" applyProtection="1">
      <alignment horizontal="center" vertical="center" wrapText="1"/>
    </xf>
    <xf numFmtId="170" fontId="24" fillId="0" borderId="8" xfId="1" applyNumberFormat="1" applyFont="1" applyBorder="1" applyAlignment="1" applyProtection="1">
      <alignment horizontal="center" vertical="center"/>
    </xf>
    <xf numFmtId="170" fontId="24" fillId="0" borderId="8" xfId="1" applyNumberFormat="1" applyFont="1" applyBorder="1" applyAlignment="1" applyProtection="1">
      <alignment horizontal="center" vertical="center" wrapText="1"/>
    </xf>
    <xf numFmtId="170" fontId="24" fillId="4" borderId="8" xfId="1" applyNumberFormat="1" applyFont="1" applyFill="1" applyBorder="1" applyAlignment="1" applyProtection="1">
      <alignment horizontal="center" vertical="center" wrapText="1"/>
    </xf>
    <xf numFmtId="170" fontId="24" fillId="0" borderId="9" xfId="11" applyNumberFormat="1" applyFont="1" applyBorder="1" applyAlignment="1">
      <alignment horizontal="center" vertical="center" wrapText="1"/>
    </xf>
    <xf numFmtId="170" fontId="24" fillId="0" borderId="29" xfId="11" applyNumberFormat="1" applyFont="1" applyBorder="1" applyAlignment="1">
      <alignment horizontal="center" vertical="center"/>
    </xf>
    <xf numFmtId="10" fontId="24" fillId="0" borderId="8" xfId="0" applyNumberFormat="1" applyFont="1" applyBorder="1" applyAlignment="1">
      <alignment horizontal="center" vertical="center"/>
    </xf>
    <xf numFmtId="4" fontId="22" fillId="5" borderId="8" xfId="10" applyNumberFormat="1" applyFont="1" applyFill="1" applyBorder="1" applyAlignment="1">
      <alignment horizontal="center" vertical="center"/>
    </xf>
    <xf numFmtId="4" fontId="22" fillId="5" borderId="8" xfId="10" applyNumberFormat="1" applyFont="1" applyFill="1" applyBorder="1" applyAlignment="1">
      <alignment horizontal="justify" vertical="center" wrapText="1"/>
    </xf>
    <xf numFmtId="4" fontId="22" fillId="5" borderId="8" xfId="15" applyNumberFormat="1" applyFont="1" applyFill="1" applyBorder="1" applyAlignment="1">
      <alignment horizontal="right" vertical="center"/>
    </xf>
    <xf numFmtId="167" fontId="22" fillId="5" borderId="8" xfId="1" applyFont="1" applyFill="1" applyBorder="1" applyAlignment="1" applyProtection="1">
      <alignment horizontal="right" vertical="center"/>
    </xf>
    <xf numFmtId="167" fontId="25" fillId="5" borderId="8" xfId="1" applyFont="1" applyFill="1" applyBorder="1" applyAlignment="1" applyProtection="1">
      <alignment horizontal="right" vertical="center"/>
      <protection locked="0"/>
    </xf>
    <xf numFmtId="178" fontId="2" fillId="0" borderId="0" xfId="0" applyNumberFormat="1" applyFont="1"/>
    <xf numFmtId="4" fontId="22" fillId="2" borderId="8" xfId="10" applyNumberFormat="1" applyFont="1" applyFill="1" applyBorder="1" applyAlignment="1">
      <alignment horizontal="center" vertical="center"/>
    </xf>
    <xf numFmtId="4" fontId="22" fillId="2" borderId="8" xfId="10" applyNumberFormat="1" applyFont="1" applyFill="1" applyBorder="1" applyAlignment="1">
      <alignment horizontal="justify" vertical="center" wrapText="1"/>
    </xf>
    <xf numFmtId="0" fontId="23" fillId="2" borderId="8" xfId="0" applyFont="1" applyFill="1" applyBorder="1" applyAlignment="1">
      <alignment horizontal="center" vertical="center"/>
    </xf>
    <xf numFmtId="4" fontId="23" fillId="2" borderId="8" xfId="0" applyNumberFormat="1" applyFont="1" applyFill="1" applyBorder="1" applyAlignment="1">
      <alignment horizontal="center" vertical="center" shrinkToFit="1"/>
    </xf>
    <xf numFmtId="167" fontId="23" fillId="2" borderId="8" xfId="1" applyFont="1" applyFill="1" applyBorder="1" applyAlignment="1" applyProtection="1">
      <alignment horizontal="center" vertical="center" shrinkToFit="1"/>
    </xf>
    <xf numFmtId="167" fontId="23" fillId="2" borderId="8" xfId="1" applyFont="1" applyFill="1" applyBorder="1" applyAlignment="1" applyProtection="1">
      <alignment horizontal="right" vertical="center"/>
    </xf>
    <xf numFmtId="167" fontId="26" fillId="2" borderId="8" xfId="1" applyFont="1" applyFill="1" applyBorder="1" applyAlignment="1" applyProtection="1">
      <alignment horizontal="right" vertical="center"/>
      <protection locked="0"/>
    </xf>
    <xf numFmtId="167" fontId="22" fillId="2" borderId="8" xfId="1" applyFont="1" applyFill="1" applyBorder="1" applyAlignment="1" applyProtection="1">
      <alignment horizontal="right" vertical="center"/>
    </xf>
    <xf numFmtId="170" fontId="2" fillId="0" borderId="0" xfId="0" applyNumberFormat="1" applyFont="1"/>
    <xf numFmtId="4" fontId="23" fillId="0" borderId="8" xfId="10" applyNumberFormat="1" applyFont="1" applyBorder="1" applyAlignment="1">
      <alignment horizontal="center" vertical="center"/>
    </xf>
    <xf numFmtId="0" fontId="23" fillId="0" borderId="8" xfId="0" applyFont="1" applyBorder="1" applyAlignment="1">
      <alignment horizontal="justify" wrapText="1"/>
    </xf>
    <xf numFmtId="0" fontId="23" fillId="0" borderId="8" xfId="0" applyFont="1" applyBorder="1" applyAlignment="1">
      <alignment horizontal="center" vertical="center" wrapText="1"/>
    </xf>
    <xf numFmtId="2" fontId="23" fillId="0" borderId="8" xfId="0" applyNumberFormat="1" applyFont="1" applyBorder="1" applyAlignment="1">
      <alignment horizontal="center" vertical="center" shrinkToFit="1"/>
    </xf>
    <xf numFmtId="167" fontId="23" fillId="0" borderId="8" xfId="1" applyFont="1" applyBorder="1" applyAlignment="1" applyProtection="1">
      <alignment horizontal="center" vertical="center" shrinkToFit="1"/>
    </xf>
    <xf numFmtId="167" fontId="23" fillId="3" borderId="8" xfId="1" applyFont="1" applyFill="1" applyBorder="1" applyAlignment="1" applyProtection="1">
      <alignment horizontal="right" vertical="center"/>
    </xf>
    <xf numFmtId="167" fontId="26" fillId="0" borderId="8" xfId="1" applyFont="1" applyBorder="1" applyAlignment="1" applyProtection="1">
      <alignment horizontal="right" vertical="center"/>
      <protection locked="0"/>
    </xf>
    <xf numFmtId="167" fontId="23" fillId="0" borderId="8" xfId="1" applyFont="1" applyBorder="1" applyAlignment="1" applyProtection="1">
      <alignment horizontal="right" vertical="center"/>
    </xf>
    <xf numFmtId="169" fontId="2" fillId="0" borderId="0" xfId="0" applyNumberFormat="1" applyFont="1"/>
    <xf numFmtId="167" fontId="23" fillId="3" borderId="8" xfId="1" applyFont="1" applyFill="1" applyBorder="1" applyAlignment="1" applyProtection="1">
      <alignment horizontal="right" vertical="center" shrinkToFit="1"/>
    </xf>
    <xf numFmtId="4" fontId="23" fillId="0" borderId="8" xfId="15" applyNumberFormat="1" applyFont="1" applyBorder="1" applyAlignment="1">
      <alignment horizontal="justify" wrapText="1"/>
    </xf>
    <xf numFmtId="175" fontId="23" fillId="0" borderId="8" xfId="1" applyNumberFormat="1" applyFont="1" applyBorder="1" applyAlignment="1" applyProtection="1">
      <alignment horizontal="center" vertical="center" shrinkToFit="1"/>
    </xf>
    <xf numFmtId="4" fontId="23" fillId="3" borderId="8" xfId="10" applyNumberFormat="1" applyFont="1" applyFill="1" applyBorder="1" applyAlignment="1">
      <alignment horizontal="center" vertical="center"/>
    </xf>
    <xf numFmtId="0" fontId="23" fillId="3" borderId="8" xfId="0" applyFont="1" applyFill="1" applyBorder="1" applyAlignment="1">
      <alignment horizontal="justify" wrapText="1"/>
    </xf>
    <xf numFmtId="0" fontId="23" fillId="3" borderId="8" xfId="0" applyFont="1" applyFill="1" applyBorder="1" applyAlignment="1">
      <alignment horizontal="center" vertical="center" wrapText="1"/>
    </xf>
    <xf numFmtId="4" fontId="23" fillId="3" borderId="8" xfId="0" applyNumberFormat="1" applyFont="1" applyFill="1" applyBorder="1" applyAlignment="1">
      <alignment horizontal="center" vertical="center" shrinkToFit="1"/>
    </xf>
    <xf numFmtId="167" fontId="23" fillId="3" borderId="8" xfId="1" applyFont="1" applyFill="1" applyBorder="1" applyAlignment="1" applyProtection="1">
      <alignment horizontal="center" vertical="center" shrinkToFit="1"/>
    </xf>
    <xf numFmtId="2" fontId="23" fillId="3" borderId="8" xfId="0" applyNumberFormat="1" applyFont="1" applyFill="1" applyBorder="1" applyAlignment="1">
      <alignment horizontal="center" vertical="center" shrinkToFit="1"/>
    </xf>
    <xf numFmtId="4" fontId="23" fillId="0" borderId="8" xfId="0" applyNumberFormat="1" applyFont="1" applyBorder="1" applyAlignment="1">
      <alignment horizontal="center" vertical="center" shrinkToFit="1"/>
    </xf>
    <xf numFmtId="167" fontId="23" fillId="3" borderId="9" xfId="1" applyFont="1" applyFill="1" applyBorder="1" applyAlignment="1" applyProtection="1">
      <alignment horizontal="right" vertical="center"/>
    </xf>
    <xf numFmtId="167" fontId="23" fillId="3" borderId="26" xfId="1" applyFont="1" applyFill="1" applyBorder="1" applyAlignment="1" applyProtection="1">
      <alignment horizontal="right" vertical="center"/>
    </xf>
    <xf numFmtId="165" fontId="2" fillId="0" borderId="0" xfId="0" applyNumberFormat="1" applyFont="1"/>
    <xf numFmtId="0" fontId="14" fillId="0" borderId="0" xfId="0" applyFont="1"/>
    <xf numFmtId="0" fontId="23" fillId="3" borderId="8" xfId="0" applyFont="1" applyFill="1" applyBorder="1" applyAlignment="1" applyProtection="1">
      <alignment horizontal="justify" wrapText="1"/>
      <protection locked="0"/>
    </xf>
    <xf numFmtId="0" fontId="23" fillId="3" borderId="8" xfId="0" applyFont="1" applyFill="1" applyBorder="1" applyAlignment="1" applyProtection="1">
      <alignment horizontal="center" vertical="center" wrapText="1"/>
      <protection locked="0"/>
    </xf>
    <xf numFmtId="4" fontId="23" fillId="3" borderId="8" xfId="0" applyNumberFormat="1" applyFont="1" applyFill="1" applyBorder="1" applyAlignment="1" applyProtection="1">
      <alignment horizontal="center" vertical="center" shrinkToFit="1"/>
      <protection hidden="1"/>
    </xf>
    <xf numFmtId="167" fontId="23" fillId="3" borderId="8" xfId="1" applyFont="1" applyFill="1" applyBorder="1" applyAlignment="1" applyProtection="1">
      <alignment horizontal="center" vertical="center" shrinkToFit="1"/>
      <protection hidden="1"/>
    </xf>
    <xf numFmtId="167" fontId="23" fillId="3" borderId="8" xfId="1" applyFont="1" applyFill="1" applyBorder="1" applyAlignment="1" applyProtection="1">
      <alignment horizontal="right" vertical="center"/>
      <protection locked="0"/>
    </xf>
    <xf numFmtId="4" fontId="23" fillId="3" borderId="8" xfId="0" applyNumberFormat="1" applyFont="1" applyFill="1" applyBorder="1" applyAlignment="1">
      <alignment horizontal="right" vertical="center" shrinkToFit="1"/>
    </xf>
    <xf numFmtId="2" fontId="23" fillId="3" borderId="8" xfId="1" applyNumberFormat="1" applyFont="1" applyFill="1" applyBorder="1" applyAlignment="1" applyProtection="1">
      <alignment horizontal="right" vertical="center"/>
    </xf>
    <xf numFmtId="167" fontId="23" fillId="3" borderId="13" xfId="1" applyFont="1" applyFill="1" applyBorder="1" applyAlignment="1" applyProtection="1">
      <alignment horizontal="right" vertical="center" shrinkToFit="1"/>
    </xf>
    <xf numFmtId="2" fontId="23" fillId="3" borderId="8" xfId="0" applyNumberFormat="1" applyFont="1" applyFill="1" applyBorder="1" applyAlignment="1">
      <alignment horizontal="right" vertical="center" shrinkToFit="1"/>
    </xf>
    <xf numFmtId="0" fontId="24" fillId="0" borderId="0" xfId="0" applyFont="1"/>
    <xf numFmtId="4" fontId="23" fillId="0" borderId="8" xfId="0" applyNumberFormat="1" applyFont="1" applyBorder="1" applyAlignment="1">
      <alignment vertical="center"/>
    </xf>
    <xf numFmtId="167" fontId="23" fillId="0" borderId="8" xfId="1" applyFont="1" applyBorder="1" applyAlignment="1" applyProtection="1">
      <alignment vertical="center"/>
    </xf>
    <xf numFmtId="4" fontId="23" fillId="3" borderId="8" xfId="0" applyNumberFormat="1" applyFont="1" applyFill="1" applyBorder="1" applyAlignment="1">
      <alignment vertical="center" shrinkToFit="1"/>
    </xf>
    <xf numFmtId="167" fontId="23" fillId="3" borderId="8" xfId="1" applyFont="1" applyFill="1" applyBorder="1" applyAlignment="1" applyProtection="1">
      <alignment vertical="center" shrinkToFit="1"/>
    </xf>
    <xf numFmtId="4" fontId="23" fillId="0" borderId="8" xfId="0" applyNumberFormat="1" applyFont="1" applyBorder="1" applyAlignment="1">
      <alignment vertical="center" shrinkToFit="1"/>
    </xf>
    <xf numFmtId="167" fontId="23" fillId="0" borderId="8" xfId="1" applyFont="1" applyBorder="1" applyAlignment="1" applyProtection="1">
      <alignment vertical="center" shrinkToFit="1"/>
    </xf>
    <xf numFmtId="4" fontId="23" fillId="0" borderId="8" xfId="0" applyNumberFormat="1" applyFont="1" applyBorder="1" applyAlignment="1">
      <alignment horizontal="right" vertical="center"/>
    </xf>
    <xf numFmtId="0" fontId="22" fillId="2" borderId="8" xfId="0" applyFont="1" applyFill="1" applyBorder="1" applyAlignment="1">
      <alignment horizontal="justify" wrapText="1"/>
    </xf>
    <xf numFmtId="0" fontId="22" fillId="2" borderId="8" xfId="0" applyFont="1" applyFill="1" applyBorder="1" applyAlignment="1">
      <alignment horizontal="center" vertical="center"/>
    </xf>
    <xf numFmtId="4" fontId="22" fillId="2" borderId="8" xfId="0" applyNumberFormat="1" applyFont="1" applyFill="1" applyBorder="1" applyAlignment="1">
      <alignment horizontal="center" vertical="center" shrinkToFit="1"/>
    </xf>
    <xf numFmtId="167" fontId="22" fillId="2" borderId="8" xfId="1" applyFont="1" applyFill="1" applyBorder="1" applyAlignment="1" applyProtection="1">
      <alignment horizontal="center" vertical="center" shrinkToFit="1"/>
    </xf>
    <xf numFmtId="167" fontId="22" fillId="2" borderId="8" xfId="1" applyFont="1" applyFill="1" applyBorder="1" applyAlignment="1" applyProtection="1">
      <alignment horizontal="right" vertical="center" shrinkToFit="1"/>
    </xf>
    <xf numFmtId="167" fontId="26" fillId="2" borderId="9" xfId="1" applyFont="1" applyFill="1" applyBorder="1" applyAlignment="1" applyProtection="1">
      <alignment horizontal="right" vertical="center"/>
      <protection locked="0"/>
    </xf>
    <xf numFmtId="0" fontId="23" fillId="0" borderId="8" xfId="0" applyFont="1" applyBorder="1" applyAlignment="1">
      <alignment horizontal="right" vertical="center" wrapText="1"/>
    </xf>
    <xf numFmtId="0" fontId="27" fillId="0" borderId="0" xfId="0" applyFont="1"/>
    <xf numFmtId="167" fontId="23" fillId="3" borderId="20" xfId="1" applyFont="1" applyFill="1" applyBorder="1" applyAlignment="1" applyProtection="1">
      <alignment horizontal="right" vertical="center" shrinkToFit="1"/>
    </xf>
    <xf numFmtId="167" fontId="23" fillId="3" borderId="20" xfId="1" applyFont="1" applyFill="1" applyBorder="1" applyAlignment="1" applyProtection="1">
      <alignment horizontal="right" vertical="center"/>
    </xf>
    <xf numFmtId="4" fontId="26" fillId="0" borderId="30" xfId="10" applyNumberFormat="1"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167" fontId="26" fillId="0" borderId="0" xfId="1" applyFont="1" applyBorder="1" applyAlignment="1" applyProtection="1">
      <alignment horizontal="center" vertical="center" shrinkToFit="1"/>
      <protection hidden="1"/>
    </xf>
    <xf numFmtId="167" fontId="26" fillId="0" borderId="30" xfId="1" applyFont="1" applyBorder="1" applyAlignment="1" applyProtection="1">
      <alignment horizontal="right" vertical="center"/>
      <protection locked="0"/>
    </xf>
    <xf numFmtId="167" fontId="26" fillId="3" borderId="30" xfId="1" applyFont="1" applyFill="1" applyBorder="1" applyAlignment="1" applyProtection="1">
      <alignment horizontal="right" vertical="center"/>
      <protection locked="0"/>
    </xf>
    <xf numFmtId="169" fontId="28" fillId="6" borderId="20" xfId="0" applyNumberFormat="1" applyFont="1" applyFill="1" applyBorder="1" applyAlignment="1">
      <alignment horizontal="center" vertical="center"/>
    </xf>
    <xf numFmtId="165" fontId="28" fillId="6" borderId="20" xfId="0" applyNumberFormat="1" applyFont="1" applyFill="1" applyBorder="1" applyAlignment="1">
      <alignment horizontal="center" vertical="center"/>
    </xf>
    <xf numFmtId="169" fontId="29" fillId="6" borderId="20" xfId="0" applyNumberFormat="1" applyFont="1" applyFill="1" applyBorder="1" applyAlignment="1">
      <alignment horizontal="center" vertical="center"/>
    </xf>
    <xf numFmtId="169" fontId="28" fillId="6" borderId="31" xfId="0" applyNumberFormat="1" applyFont="1" applyFill="1" applyBorder="1" applyAlignment="1">
      <alignment horizontal="center" vertical="center"/>
    </xf>
    <xf numFmtId="0" fontId="27" fillId="0" borderId="0" xfId="0" applyFont="1" applyAlignment="1">
      <alignment horizontal="center" vertical="center"/>
    </xf>
    <xf numFmtId="167" fontId="27" fillId="0" borderId="0" xfId="1" applyFont="1" applyBorder="1" applyAlignment="1" applyProtection="1">
      <alignment vertical="center"/>
    </xf>
    <xf numFmtId="0" fontId="27" fillId="0" borderId="0" xfId="0" applyFont="1" applyAlignment="1">
      <alignment vertical="center"/>
    </xf>
    <xf numFmtId="169" fontId="27" fillId="0" borderId="0" xfId="0" applyNumberFormat="1" applyFont="1" applyAlignment="1">
      <alignment vertical="center"/>
    </xf>
    <xf numFmtId="0" fontId="2" fillId="0" borderId="0" xfId="0" applyFont="1" applyAlignment="1">
      <alignment vertical="center"/>
    </xf>
    <xf numFmtId="0" fontId="30" fillId="7" borderId="16" xfId="0" applyFont="1" applyFill="1" applyBorder="1" applyAlignment="1">
      <alignment horizontal="center" vertical="center"/>
    </xf>
    <xf numFmtId="0" fontId="31" fillId="7" borderId="17" xfId="0" applyFont="1" applyFill="1" applyBorder="1" applyAlignment="1">
      <alignment horizontal="center" vertical="center"/>
    </xf>
    <xf numFmtId="0" fontId="31" fillId="7" borderId="17" xfId="0" applyFont="1" applyFill="1" applyBorder="1" applyAlignment="1">
      <alignment vertical="center"/>
    </xf>
    <xf numFmtId="169" fontId="31" fillId="7" borderId="17" xfId="25" applyFont="1" applyFill="1" applyBorder="1" applyAlignment="1" applyProtection="1">
      <alignment horizontal="center" vertical="center"/>
    </xf>
    <xf numFmtId="167" fontId="27" fillId="0" borderId="17" xfId="1" applyFont="1" applyBorder="1" applyAlignment="1" applyProtection="1">
      <alignment vertical="center"/>
    </xf>
    <xf numFmtId="0" fontId="27" fillId="0" borderId="17" xfId="0" applyFont="1" applyBorder="1" applyAlignment="1">
      <alignment vertical="center"/>
    </xf>
    <xf numFmtId="0" fontId="27" fillId="7" borderId="17" xfId="0" applyFont="1" applyFill="1" applyBorder="1" applyAlignment="1">
      <alignment vertical="center"/>
    </xf>
    <xf numFmtId="0" fontId="30" fillId="9" borderId="6" xfId="0" applyFont="1" applyFill="1" applyBorder="1" applyAlignment="1">
      <alignment horizontal="right" vertical="center"/>
    </xf>
    <xf numFmtId="10" fontId="33" fillId="3" borderId="8" xfId="0" applyNumberFormat="1" applyFont="1" applyFill="1" applyBorder="1" applyAlignment="1">
      <alignment horizontal="center" vertical="center"/>
    </xf>
    <xf numFmtId="0" fontId="31" fillId="9" borderId="8" xfId="0" applyFont="1" applyFill="1" applyBorder="1" applyAlignment="1">
      <alignment horizontal="right" vertical="center"/>
    </xf>
    <xf numFmtId="169" fontId="33" fillId="3" borderId="8" xfId="25" applyFont="1" applyFill="1" applyBorder="1" applyAlignment="1" applyProtection="1">
      <alignment horizontal="center" vertical="center"/>
    </xf>
    <xf numFmtId="167" fontId="27" fillId="0" borderId="8" xfId="1" applyFont="1" applyBorder="1" applyAlignment="1" applyProtection="1">
      <alignment vertical="center"/>
    </xf>
    <xf numFmtId="0" fontId="27" fillId="0" borderId="8" xfId="0" applyFont="1" applyBorder="1" applyAlignment="1">
      <alignment vertical="center"/>
    </xf>
    <xf numFmtId="0" fontId="35" fillId="9" borderId="19" xfId="0" applyFont="1" applyFill="1" applyBorder="1" applyAlignment="1">
      <alignment horizontal="right" vertical="center" wrapText="1"/>
    </xf>
    <xf numFmtId="10" fontId="33" fillId="3" borderId="20" xfId="0" applyNumberFormat="1" applyFont="1" applyFill="1" applyBorder="1" applyAlignment="1">
      <alignment horizontal="center" vertical="center"/>
    </xf>
    <xf numFmtId="0" fontId="31" fillId="9" borderId="20" xfId="0" applyFont="1" applyFill="1" applyBorder="1" applyAlignment="1">
      <alignment horizontal="right" vertical="center"/>
    </xf>
    <xf numFmtId="169" fontId="33" fillId="3" borderId="20" xfId="25" applyFont="1" applyFill="1" applyBorder="1" applyAlignment="1" applyProtection="1">
      <alignment horizontal="center" vertical="center"/>
    </xf>
    <xf numFmtId="167" fontId="27" fillId="0" borderId="20" xfId="1" applyFont="1" applyBorder="1" applyAlignment="1" applyProtection="1">
      <alignment vertical="center"/>
    </xf>
    <xf numFmtId="2" fontId="33" fillId="3" borderId="20" xfId="0" applyNumberFormat="1" applyFont="1" applyFill="1" applyBorder="1" applyAlignment="1">
      <alignment horizontal="center" vertical="center"/>
    </xf>
    <xf numFmtId="0" fontId="27" fillId="0" borderId="20" xfId="0" applyFont="1" applyBorder="1" applyAlignment="1">
      <alignment vertical="center"/>
    </xf>
    <xf numFmtId="165" fontId="24" fillId="0" borderId="18" xfId="1" applyNumberFormat="1" applyFont="1" applyBorder="1" applyAlignment="1" applyProtection="1">
      <alignment horizontal="right" vertical="center"/>
    </xf>
    <xf numFmtId="165" fontId="24" fillId="10" borderId="7" xfId="1" applyNumberFormat="1" applyFont="1" applyFill="1" applyBorder="1" applyAlignment="1" applyProtection="1">
      <alignment horizontal="right" vertical="center"/>
    </xf>
    <xf numFmtId="165" fontId="24" fillId="0" borderId="7" xfId="1" applyNumberFormat="1" applyFont="1" applyBorder="1" applyAlignment="1" applyProtection="1">
      <alignment horizontal="right" vertical="center"/>
    </xf>
    <xf numFmtId="10" fontId="24" fillId="0" borderId="7" xfId="1" applyNumberFormat="1" applyFont="1" applyBorder="1" applyAlignment="1" applyProtection="1">
      <alignment horizontal="right" vertical="center"/>
    </xf>
    <xf numFmtId="165" fontId="24" fillId="0" borderId="23" xfId="1" applyNumberFormat="1" applyFont="1" applyBorder="1" applyAlignment="1" applyProtection="1">
      <alignment horizontal="right" vertical="center"/>
    </xf>
    <xf numFmtId="171" fontId="37" fillId="0" borderId="17" xfId="1" applyNumberFormat="1" applyFont="1" applyBorder="1" applyAlignment="1" applyProtection="1">
      <alignment horizontal="center" vertical="center"/>
    </xf>
    <xf numFmtId="167" fontId="37" fillId="0" borderId="17" xfId="1" applyFont="1" applyBorder="1" applyAlignment="1" applyProtection="1">
      <alignment horizontal="center" vertical="center"/>
    </xf>
    <xf numFmtId="167" fontId="37" fillId="0" borderId="18" xfId="1" applyFont="1" applyBorder="1" applyAlignment="1" applyProtection="1">
      <alignment horizontal="center" vertical="center"/>
    </xf>
    <xf numFmtId="171" fontId="37" fillId="0" borderId="34" xfId="1" applyNumberFormat="1" applyFont="1" applyBorder="1" applyAlignment="1" applyProtection="1">
      <alignment horizontal="center" vertical="center"/>
    </xf>
    <xf numFmtId="167" fontId="37" fillId="0" borderId="34" xfId="1" applyFont="1" applyBorder="1" applyAlignment="1" applyProtection="1">
      <alignment horizontal="center" vertical="center"/>
    </xf>
    <xf numFmtId="165" fontId="37" fillId="0" borderId="35" xfId="1" applyNumberFormat="1" applyFont="1" applyBorder="1" applyAlignment="1" applyProtection="1">
      <alignment horizontal="center" vertical="center"/>
    </xf>
    <xf numFmtId="167" fontId="37" fillId="0" borderId="8" xfId="1" applyFont="1" applyBorder="1" applyAlignment="1" applyProtection="1">
      <alignment horizontal="center" vertical="center"/>
    </xf>
    <xf numFmtId="167" fontId="37" fillId="0" borderId="7" xfId="1" applyFont="1" applyBorder="1" applyAlignment="1" applyProtection="1">
      <alignment horizontal="right" vertical="center"/>
    </xf>
    <xf numFmtId="171" fontId="37" fillId="0" borderId="8" xfId="1" applyNumberFormat="1" applyFont="1" applyBorder="1" applyAlignment="1" applyProtection="1">
      <alignment horizontal="center" vertical="center"/>
    </xf>
    <xf numFmtId="165" fontId="37" fillId="0" borderId="7" xfId="1" applyNumberFormat="1" applyFont="1" applyBorder="1" applyAlignment="1" applyProtection="1">
      <alignment horizontal="right" vertical="center"/>
    </xf>
    <xf numFmtId="171" fontId="37" fillId="0" borderId="20" xfId="0" applyNumberFormat="1" applyFont="1" applyBorder="1" applyAlignment="1">
      <alignment horizontal="center" vertical="center"/>
    </xf>
    <xf numFmtId="0" fontId="37" fillId="0" borderId="20" xfId="0" applyFont="1" applyBorder="1" applyAlignment="1">
      <alignment horizontal="center" vertical="center"/>
    </xf>
    <xf numFmtId="167" fontId="37" fillId="0" borderId="23" xfId="1" applyFont="1" applyBorder="1" applyAlignment="1" applyProtection="1">
      <alignment horizontal="right" vertical="center"/>
    </xf>
    <xf numFmtId="165" fontId="37" fillId="0" borderId="23" xfId="1" applyNumberFormat="1" applyFont="1" applyBorder="1" applyAlignment="1" applyProtection="1">
      <alignment horizontal="right" vertical="center"/>
    </xf>
    <xf numFmtId="0" fontId="38" fillId="0" borderId="0" xfId="0" applyFont="1"/>
    <xf numFmtId="0" fontId="38" fillId="0" borderId="0" xfId="0" applyFont="1" applyAlignment="1">
      <alignment horizontal="center" vertical="center"/>
    </xf>
    <xf numFmtId="167" fontId="37" fillId="0" borderId="36" xfId="1" applyFont="1" applyBorder="1" applyAlignment="1" applyProtection="1">
      <alignment vertical="center"/>
    </xf>
    <xf numFmtId="165" fontId="37" fillId="0" borderId="36" xfId="1" applyNumberFormat="1" applyFont="1" applyBorder="1" applyAlignment="1" applyProtection="1">
      <alignment vertical="center"/>
    </xf>
    <xf numFmtId="169" fontId="5" fillId="0" borderId="0" xfId="0" applyNumberFormat="1" applyFont="1" applyAlignment="1">
      <alignment vertical="center"/>
    </xf>
    <xf numFmtId="0" fontId="23" fillId="0" borderId="8" xfId="0" applyFont="1" applyBorder="1" applyAlignment="1">
      <alignment horizontal="justify" vertical="top" wrapText="1"/>
    </xf>
    <xf numFmtId="167" fontId="2" fillId="0" borderId="0" xfId="1" applyFont="1" applyBorder="1" applyProtection="1"/>
    <xf numFmtId="170" fontId="10" fillId="0" borderId="0" xfId="20" applyNumberFormat="1" applyFont="1" applyBorder="1" applyAlignment="1" applyProtection="1">
      <alignment horizontal="center" vertical="center"/>
    </xf>
    <xf numFmtId="0" fontId="40" fillId="11" borderId="8" xfId="0" applyFont="1" applyFill="1" applyBorder="1" applyAlignment="1">
      <alignment horizontal="center" vertical="center"/>
    </xf>
    <xf numFmtId="0" fontId="3" fillId="0" borderId="27" xfId="0" applyFont="1" applyBorder="1" applyAlignment="1">
      <alignment horizontal="left" vertical="center"/>
    </xf>
    <xf numFmtId="0" fontId="0" fillId="3" borderId="8" xfId="0" applyFill="1" applyBorder="1" applyAlignment="1">
      <alignment horizontal="center" vertical="center"/>
    </xf>
    <xf numFmtId="0" fontId="3" fillId="0" borderId="37" xfId="0" applyFont="1" applyBorder="1" applyAlignment="1">
      <alignment horizontal="center" vertical="center"/>
    </xf>
    <xf numFmtId="167" fontId="54" fillId="0" borderId="37" xfId="1" applyBorder="1" applyAlignment="1" applyProtection="1">
      <alignment horizontal="right" vertical="center"/>
    </xf>
    <xf numFmtId="167" fontId="54" fillId="0" borderId="37" xfId="1" applyBorder="1" applyAlignment="1" applyProtection="1">
      <alignment vertical="center"/>
    </xf>
    <xf numFmtId="175" fontId="54" fillId="0" borderId="37" xfId="1" applyNumberFormat="1" applyBorder="1" applyAlignment="1" applyProtection="1">
      <alignment horizontal="right" vertical="center"/>
    </xf>
    <xf numFmtId="175" fontId="41" fillId="0" borderId="8" xfId="1" applyNumberFormat="1" applyFont="1" applyBorder="1" applyAlignment="1" applyProtection="1">
      <alignment vertical="center"/>
    </xf>
    <xf numFmtId="175" fontId="54" fillId="0" borderId="25" xfId="1" applyNumberFormat="1" applyBorder="1" applyAlignment="1" applyProtection="1">
      <alignment horizontal="right" vertical="center"/>
    </xf>
    <xf numFmtId="167" fontId="0" fillId="0" borderId="8" xfId="0" applyNumberFormat="1" applyBorder="1" applyAlignment="1">
      <alignment vertical="center"/>
    </xf>
    <xf numFmtId="0" fontId="0" fillId="0" borderId="11" xfId="0" applyBorder="1" applyAlignment="1">
      <alignment vertical="center"/>
    </xf>
    <xf numFmtId="0" fontId="0" fillId="0" borderId="13" xfId="0" applyBorder="1" applyAlignment="1">
      <alignment horizontal="center" vertical="center"/>
    </xf>
    <xf numFmtId="167" fontId="54" fillId="0" borderId="8" xfId="1" applyBorder="1" applyAlignment="1" applyProtection="1">
      <alignment horizontal="center" vertical="center"/>
    </xf>
    <xf numFmtId="175" fontId="54" fillId="0" borderId="8" xfId="1" applyNumberFormat="1" applyBorder="1" applyAlignment="1" applyProtection="1">
      <alignment horizontal="center" vertical="center"/>
    </xf>
    <xf numFmtId="175" fontId="41" fillId="0" borderId="8" xfId="1" applyNumberFormat="1" applyFont="1" applyBorder="1" applyAlignment="1" applyProtection="1">
      <alignment horizontal="center" vertical="center"/>
    </xf>
    <xf numFmtId="0" fontId="0" fillId="3" borderId="38" xfId="0" applyFill="1" applyBorder="1" applyAlignment="1">
      <alignment vertical="center"/>
    </xf>
    <xf numFmtId="0" fontId="0" fillId="3" borderId="30" xfId="0" applyFill="1" applyBorder="1" applyAlignment="1">
      <alignment vertical="center"/>
    </xf>
    <xf numFmtId="0" fontId="0" fillId="3" borderId="0" xfId="0" applyFill="1" applyAlignment="1">
      <alignment vertical="center"/>
    </xf>
    <xf numFmtId="0" fontId="0" fillId="0" borderId="8" xfId="0" applyBorder="1" applyAlignment="1">
      <alignment horizontal="center" vertical="center"/>
    </xf>
    <xf numFmtId="175" fontId="54" fillId="0" borderId="8" xfId="1" applyNumberFormat="1" applyBorder="1" applyAlignment="1" applyProtection="1">
      <alignment horizontal="right" vertical="center"/>
    </xf>
    <xf numFmtId="0" fontId="0" fillId="3" borderId="39" xfId="0" applyFill="1" applyBorder="1" applyAlignment="1">
      <alignment vertical="center"/>
    </xf>
    <xf numFmtId="0" fontId="0" fillId="3" borderId="40" xfId="0" applyFill="1" applyBorder="1" applyAlignment="1">
      <alignment vertical="center"/>
    </xf>
    <xf numFmtId="0" fontId="0" fillId="3" borderId="37" xfId="0" applyFill="1" applyBorder="1" applyAlignment="1">
      <alignment vertical="center"/>
    </xf>
    <xf numFmtId="0" fontId="0" fillId="0" borderId="26" xfId="0" applyBorder="1" applyAlignment="1">
      <alignment horizontal="center" vertical="center"/>
    </xf>
    <xf numFmtId="175" fontId="3" fillId="0" borderId="37" xfId="1" applyNumberFormat="1" applyFont="1" applyBorder="1" applyAlignment="1" applyProtection="1">
      <alignment horizontal="right" vertical="center"/>
    </xf>
    <xf numFmtId="175" fontId="42" fillId="0" borderId="37" xfId="1" applyNumberFormat="1" applyFont="1" applyBorder="1" applyAlignment="1" applyProtection="1">
      <alignment horizontal="right" vertical="center"/>
    </xf>
    <xf numFmtId="0" fontId="0" fillId="3" borderId="27" xfId="0" applyFill="1" applyBorder="1" applyAlignment="1">
      <alignment vertical="center"/>
    </xf>
    <xf numFmtId="0" fontId="0" fillId="3" borderId="25" xfId="0" applyFill="1" applyBorder="1" applyAlignment="1">
      <alignment vertical="center"/>
    </xf>
    <xf numFmtId="175" fontId="40" fillId="0" borderId="8" xfId="1" applyNumberFormat="1" applyFont="1" applyBorder="1" applyAlignment="1" applyProtection="1">
      <alignment horizontal="right" vertical="center"/>
    </xf>
    <xf numFmtId="167" fontId="41" fillId="0" borderId="8" xfId="1" applyFont="1" applyBorder="1" applyAlignment="1" applyProtection="1">
      <alignment vertical="center"/>
    </xf>
    <xf numFmtId="167" fontId="54" fillId="0" borderId="25" xfId="1" applyBorder="1" applyAlignment="1" applyProtection="1">
      <alignment horizontal="right" vertical="center"/>
    </xf>
    <xf numFmtId="167" fontId="54" fillId="0" borderId="8" xfId="1" applyBorder="1" applyAlignment="1" applyProtection="1">
      <alignment vertical="center"/>
    </xf>
    <xf numFmtId="167" fontId="41" fillId="0" borderId="8" xfId="1" applyFont="1" applyBorder="1" applyAlignment="1" applyProtection="1">
      <alignment horizontal="center" vertical="center"/>
    </xf>
    <xf numFmtId="167" fontId="54" fillId="0" borderId="8" xfId="1" applyBorder="1" applyAlignment="1" applyProtection="1">
      <alignment horizontal="right" vertical="center"/>
    </xf>
    <xf numFmtId="167" fontId="3" fillId="0" borderId="37" xfId="1" applyFont="1" applyBorder="1" applyAlignment="1" applyProtection="1">
      <alignment horizontal="right" vertical="center"/>
    </xf>
    <xf numFmtId="167" fontId="42" fillId="0" borderId="37" xfId="1" applyFont="1" applyBorder="1" applyAlignment="1" applyProtection="1">
      <alignment horizontal="right" vertical="center"/>
    </xf>
    <xf numFmtId="167" fontId="40" fillId="0" borderId="8" xfId="1" applyFont="1" applyBorder="1" applyAlignment="1" applyProtection="1">
      <alignment horizontal="right" vertical="center"/>
    </xf>
    <xf numFmtId="169" fontId="0" fillId="0" borderId="0" xfId="0" applyNumberFormat="1"/>
    <xf numFmtId="167" fontId="37" fillId="0" borderId="35" xfId="1" applyFont="1" applyBorder="1" applyAlignment="1" applyProtection="1">
      <alignment horizontal="center" vertical="center"/>
    </xf>
    <xf numFmtId="0" fontId="8" fillId="0" borderId="41" xfId="0" applyFont="1" applyBorder="1" applyAlignment="1">
      <alignment horizontal="center" vertical="center"/>
    </xf>
    <xf numFmtId="167" fontId="8" fillId="0" borderId="42" xfId="1" applyFont="1" applyBorder="1" applyAlignment="1" applyProtection="1">
      <alignment horizontal="center" vertical="center"/>
    </xf>
    <xf numFmtId="167" fontId="8" fillId="0" borderId="42" xfId="1" applyFont="1" applyBorder="1" applyAlignment="1" applyProtection="1">
      <alignment horizontal="center" vertical="center" wrapText="1"/>
    </xf>
    <xf numFmtId="167" fontId="8" fillId="0" borderId="43" xfId="1" applyFont="1" applyBorder="1" applyAlignment="1" applyProtection="1">
      <alignment horizontal="center" vertical="center" wrapText="1"/>
    </xf>
    <xf numFmtId="0" fontId="5" fillId="0" borderId="24" xfId="0" applyFont="1" applyBorder="1"/>
    <xf numFmtId="167" fontId="5" fillId="0" borderId="26" xfId="1" applyFont="1" applyBorder="1" applyAlignment="1" applyProtection="1">
      <alignment horizontal="center" vertical="center"/>
    </xf>
    <xf numFmtId="167" fontId="5" fillId="0" borderId="37" xfId="1" applyFont="1" applyBorder="1" applyAlignment="1" applyProtection="1">
      <alignment vertical="center"/>
    </xf>
    <xf numFmtId="167" fontId="5" fillId="0" borderId="44" xfId="1" applyFont="1" applyBorder="1" applyAlignment="1" applyProtection="1">
      <alignment vertical="center"/>
    </xf>
    <xf numFmtId="0" fontId="5" fillId="0" borderId="6" xfId="0" applyFont="1" applyBorder="1"/>
    <xf numFmtId="167" fontId="5" fillId="0" borderId="13" xfId="1" applyFont="1" applyBorder="1" applyAlignment="1" applyProtection="1">
      <alignment vertical="center"/>
    </xf>
    <xf numFmtId="167" fontId="5" fillId="0" borderId="7" xfId="1" applyFont="1" applyBorder="1" applyAlignment="1" applyProtection="1">
      <alignment vertical="center"/>
    </xf>
    <xf numFmtId="167" fontId="5" fillId="0" borderId="45" xfId="1" applyFont="1" applyBorder="1" applyAlignment="1" applyProtection="1">
      <alignment vertical="center"/>
    </xf>
    <xf numFmtId="167" fontId="5" fillId="0" borderId="29" xfId="1" applyFont="1" applyBorder="1" applyAlignment="1" applyProtection="1">
      <alignment vertical="center"/>
    </xf>
    <xf numFmtId="0" fontId="5" fillId="0" borderId="19" xfId="0" applyFont="1" applyBorder="1"/>
    <xf numFmtId="167" fontId="5" fillId="0" borderId="22" xfId="1" applyFont="1" applyBorder="1" applyAlignment="1" applyProtection="1">
      <alignment vertical="center"/>
    </xf>
    <xf numFmtId="167" fontId="5" fillId="0" borderId="23" xfId="1" applyFont="1" applyBorder="1" applyAlignment="1" applyProtection="1">
      <alignment vertical="center"/>
    </xf>
    <xf numFmtId="167" fontId="5" fillId="0" borderId="26" xfId="1" applyFont="1" applyBorder="1" applyAlignment="1" applyProtection="1">
      <alignment vertical="center"/>
    </xf>
    <xf numFmtId="180" fontId="54" fillId="0" borderId="37" xfId="1" applyNumberFormat="1" applyBorder="1" applyAlignment="1" applyProtection="1">
      <alignment vertical="center"/>
    </xf>
    <xf numFmtId="180" fontId="54" fillId="0" borderId="8" xfId="1" applyNumberFormat="1" applyBorder="1" applyAlignment="1" applyProtection="1">
      <alignment horizontal="center" vertical="center"/>
    </xf>
    <xf numFmtId="167" fontId="54" fillId="0" borderId="8" xfId="1" applyBorder="1" applyAlignment="1" applyProtection="1">
      <alignment vertical="center" wrapText="1"/>
    </xf>
    <xf numFmtId="169" fontId="0" fillId="3" borderId="39" xfId="0" applyNumberFormat="1" applyFill="1" applyBorder="1" applyAlignment="1">
      <alignment vertical="center"/>
    </xf>
    <xf numFmtId="0" fontId="40" fillId="9" borderId="11" xfId="0" applyFont="1" applyFill="1" applyBorder="1" applyAlignment="1">
      <alignment horizontal="center" vertical="center"/>
    </xf>
    <xf numFmtId="0" fontId="40" fillId="9" borderId="8" xfId="0" applyFont="1" applyFill="1" applyBorder="1" applyAlignment="1">
      <alignment horizontal="center"/>
    </xf>
    <xf numFmtId="0" fontId="3" fillId="0" borderId="8" xfId="0" applyFont="1" applyBorder="1" applyAlignment="1">
      <alignment horizontal="left" vertical="center"/>
    </xf>
    <xf numFmtId="0" fontId="3" fillId="0" borderId="8" xfId="0" applyFont="1" applyBorder="1" applyAlignment="1">
      <alignment horizontal="center" vertical="center"/>
    </xf>
    <xf numFmtId="169" fontId="54" fillId="0" borderId="8" xfId="25" applyBorder="1" applyAlignment="1" applyProtection="1">
      <alignment horizontal="center" vertical="center"/>
    </xf>
    <xf numFmtId="170" fontId="54" fillId="0" borderId="8" xfId="25" applyNumberFormat="1" applyBorder="1" applyAlignment="1" applyProtection="1">
      <alignment horizontal="center" vertical="center"/>
    </xf>
    <xf numFmtId="169" fontId="41" fillId="0" borderId="8" xfId="25" applyFont="1" applyBorder="1" applyAlignment="1" applyProtection="1">
      <alignment horizontal="center" vertical="center"/>
    </xf>
    <xf numFmtId="169" fontId="54" fillId="0" borderId="8" xfId="25" applyBorder="1" applyAlignment="1" applyProtection="1">
      <alignment horizontal="right" vertical="center"/>
    </xf>
    <xf numFmtId="0" fontId="0" fillId="0" borderId="8" xfId="0" applyBorder="1" applyAlignment="1">
      <alignment horizontal="left" vertical="center"/>
    </xf>
    <xf numFmtId="0" fontId="0" fillId="0" borderId="26" xfId="0" applyBorder="1" applyAlignment="1">
      <alignment vertical="center"/>
    </xf>
    <xf numFmtId="169" fontId="54" fillId="0" borderId="26" xfId="25" applyBorder="1" applyAlignment="1" applyProtection="1">
      <alignment horizontal="center" vertical="center"/>
    </xf>
    <xf numFmtId="170" fontId="54" fillId="0" borderId="26" xfId="25" applyNumberFormat="1" applyBorder="1" applyAlignment="1" applyProtection="1">
      <alignment horizontal="center" vertical="center"/>
    </xf>
    <xf numFmtId="169" fontId="41" fillId="0" borderId="26" xfId="25" applyFont="1" applyBorder="1" applyAlignment="1" applyProtection="1">
      <alignment horizontal="center" vertical="center"/>
    </xf>
    <xf numFmtId="169" fontId="54" fillId="0" borderId="25" xfId="25" applyBorder="1" applyAlignment="1" applyProtection="1">
      <alignment horizontal="right" vertical="center"/>
    </xf>
    <xf numFmtId="167" fontId="54" fillId="0" borderId="26" xfId="1" applyBorder="1" applyAlignment="1" applyProtection="1">
      <alignment horizontal="center" vertical="center"/>
    </xf>
    <xf numFmtId="167" fontId="54" fillId="0" borderId="26" xfId="1" applyBorder="1" applyAlignment="1" applyProtection="1">
      <alignment horizontal="right" vertical="center"/>
    </xf>
    <xf numFmtId="0" fontId="3" fillId="0" borderId="26" xfId="0" applyFont="1" applyBorder="1" applyAlignment="1">
      <alignment horizontal="left" vertical="center"/>
    </xf>
    <xf numFmtId="0" fontId="3" fillId="0" borderId="26" xfId="0" applyFont="1" applyBorder="1" applyAlignment="1">
      <alignment horizontal="center" vertical="center"/>
    </xf>
    <xf numFmtId="169" fontId="54" fillId="0" borderId="0" xfId="25" applyBorder="1" applyAlignment="1" applyProtection="1">
      <alignment horizontal="right" vertical="center"/>
    </xf>
    <xf numFmtId="0" fontId="0" fillId="0" borderId="26" xfId="0" applyBorder="1" applyAlignment="1">
      <alignment horizontal="left" vertical="center"/>
    </xf>
    <xf numFmtId="0" fontId="0" fillId="0" borderId="8" xfId="0" applyBorder="1" applyAlignment="1">
      <alignment vertical="center"/>
    </xf>
    <xf numFmtId="0" fontId="0" fillId="12" borderId="0" xfId="0" applyFill="1"/>
    <xf numFmtId="167" fontId="37" fillId="0" borderId="9" xfId="1" applyFont="1" applyBorder="1" applyAlignment="1" applyProtection="1">
      <alignment horizontal="center" vertical="center"/>
    </xf>
    <xf numFmtId="167" fontId="37" fillId="0" borderId="29" xfId="1" applyFont="1" applyBorder="1" applyAlignment="1" applyProtection="1">
      <alignment horizontal="right" vertical="center"/>
    </xf>
    <xf numFmtId="171" fontId="37" fillId="0" borderId="9" xfId="1" applyNumberFormat="1" applyFont="1" applyBorder="1" applyAlignment="1" applyProtection="1">
      <alignment horizontal="center" vertical="center"/>
    </xf>
    <xf numFmtId="170" fontId="28" fillId="6" borderId="46" xfId="0" applyNumberFormat="1" applyFont="1" applyFill="1" applyBorder="1" applyAlignment="1">
      <alignment horizontal="center" vertical="center"/>
    </xf>
    <xf numFmtId="170" fontId="28" fillId="6" borderId="21" xfId="0" applyNumberFormat="1" applyFont="1" applyFill="1" applyBorder="1" applyAlignment="1">
      <alignment horizontal="center" vertical="center"/>
    </xf>
    <xf numFmtId="170" fontId="28" fillId="6" borderId="22" xfId="0" applyNumberFormat="1" applyFont="1" applyFill="1" applyBorder="1" applyAlignment="1">
      <alignment horizontal="center" vertical="center"/>
    </xf>
    <xf numFmtId="167" fontId="41" fillId="0" borderId="26" xfId="1" applyFont="1" applyBorder="1" applyAlignment="1" applyProtection="1">
      <alignment horizontal="center" vertical="center"/>
    </xf>
    <xf numFmtId="170" fontId="18" fillId="2" borderId="15" xfId="2" applyNumberFormat="1" applyFont="1" applyFill="1" applyBorder="1" applyAlignment="1" applyProtection="1">
      <alignment horizontal="center" vertical="center"/>
    </xf>
    <xf numFmtId="170" fontId="17" fillId="2" borderId="26" xfId="20" applyNumberFormat="1" applyFont="1" applyFill="1" applyBorder="1" applyAlignment="1" applyProtection="1">
      <alignment horizontal="center" vertical="center"/>
    </xf>
    <xf numFmtId="165" fontId="13" fillId="0" borderId="0" xfId="1" applyNumberFormat="1" applyFont="1" applyBorder="1" applyAlignment="1" applyProtection="1">
      <alignment vertical="center"/>
    </xf>
    <xf numFmtId="174" fontId="13" fillId="0" borderId="0" xfId="0" applyNumberFormat="1" applyFont="1" applyAlignment="1">
      <alignment vertical="center"/>
    </xf>
    <xf numFmtId="175" fontId="13" fillId="0" borderId="0" xfId="1" applyNumberFormat="1" applyFont="1" applyBorder="1" applyAlignment="1" applyProtection="1">
      <alignment vertical="center"/>
    </xf>
    <xf numFmtId="181" fontId="13" fillId="0" borderId="0" xfId="0" applyNumberFormat="1" applyFont="1"/>
    <xf numFmtId="176" fontId="13" fillId="0" borderId="0" xfId="1" applyNumberFormat="1" applyFont="1" applyBorder="1" applyAlignment="1" applyProtection="1">
      <alignment vertical="center"/>
    </xf>
    <xf numFmtId="170" fontId="22" fillId="0" borderId="27" xfId="1" applyNumberFormat="1" applyFont="1" applyBorder="1" applyAlignment="1" applyProtection="1">
      <alignment horizontal="center" vertical="top"/>
    </xf>
    <xf numFmtId="4" fontId="22" fillId="5" borderId="8" xfId="15" applyNumberFormat="1" applyFont="1" applyFill="1" applyBorder="1" applyAlignment="1">
      <alignment horizontal="center" vertical="center"/>
    </xf>
    <xf numFmtId="4" fontId="43" fillId="3" borderId="8" xfId="10" applyNumberFormat="1" applyFont="1" applyFill="1" applyBorder="1" applyAlignment="1">
      <alignment horizontal="center" vertical="center"/>
    </xf>
    <xf numFmtId="0" fontId="43" fillId="3" borderId="8" xfId="0" applyFont="1" applyFill="1" applyBorder="1" applyAlignment="1">
      <alignment horizontal="justify" wrapText="1"/>
    </xf>
    <xf numFmtId="0" fontId="43" fillId="3" borderId="8" xfId="0" applyFont="1" applyFill="1" applyBorder="1" applyAlignment="1">
      <alignment horizontal="center" vertical="center" wrapText="1"/>
    </xf>
    <xf numFmtId="4" fontId="43" fillId="3" borderId="8" xfId="0" applyNumberFormat="1" applyFont="1" applyFill="1" applyBorder="1" applyAlignment="1">
      <alignment horizontal="center" vertical="center" shrinkToFit="1"/>
    </xf>
    <xf numFmtId="167" fontId="43" fillId="3" borderId="8" xfId="1" applyFont="1" applyFill="1" applyBorder="1" applyAlignment="1" applyProtection="1">
      <alignment horizontal="center" vertical="center" shrinkToFit="1"/>
    </xf>
    <xf numFmtId="167" fontId="43" fillId="0" borderId="8" xfId="1" applyFont="1" applyBorder="1" applyAlignment="1" applyProtection="1">
      <alignment horizontal="center" vertical="center" shrinkToFit="1"/>
    </xf>
    <xf numFmtId="167" fontId="43" fillId="3" borderId="27" xfId="1" applyFont="1" applyFill="1" applyBorder="1" applyAlignment="1" applyProtection="1">
      <alignment horizontal="right" vertical="center"/>
    </xf>
    <xf numFmtId="167" fontId="43" fillId="0" borderId="8" xfId="1" applyFont="1" applyBorder="1" applyAlignment="1" applyProtection="1">
      <alignment horizontal="right" vertical="center"/>
      <protection locked="0"/>
    </xf>
    <xf numFmtId="167" fontId="43" fillId="0" borderId="8" xfId="1" applyFont="1" applyBorder="1" applyAlignment="1" applyProtection="1">
      <alignment horizontal="right" vertical="center"/>
    </xf>
    <xf numFmtId="167" fontId="43" fillId="3" borderId="26" xfId="1" applyFont="1" applyFill="1" applyBorder="1" applyAlignment="1" applyProtection="1">
      <alignment horizontal="right" vertical="center"/>
    </xf>
    <xf numFmtId="167" fontId="43" fillId="3" borderId="8" xfId="1" applyFont="1" applyFill="1" applyBorder="1" applyAlignment="1" applyProtection="1">
      <alignment horizontal="right" vertical="center"/>
    </xf>
    <xf numFmtId="2" fontId="23" fillId="3" borderId="8" xfId="1" applyNumberFormat="1" applyFont="1" applyFill="1" applyBorder="1" applyAlignment="1" applyProtection="1">
      <alignment horizontal="center" vertical="center"/>
    </xf>
    <xf numFmtId="4" fontId="23" fillId="0" borderId="8" xfId="0" applyNumberFormat="1" applyFont="1" applyBorder="1" applyAlignment="1">
      <alignment horizontal="center" vertical="center"/>
    </xf>
    <xf numFmtId="4" fontId="43" fillId="0" borderId="8" xfId="10" applyNumberFormat="1" applyFont="1" applyBorder="1" applyAlignment="1">
      <alignment horizontal="center" vertical="center"/>
    </xf>
    <xf numFmtId="0" fontId="43" fillId="0" borderId="8" xfId="0" applyFont="1" applyBorder="1" applyAlignment="1">
      <alignment horizontal="justify" wrapText="1"/>
    </xf>
    <xf numFmtId="0" fontId="43" fillId="0" borderId="8" xfId="0" applyFont="1" applyBorder="1" applyAlignment="1">
      <alignment horizontal="center" vertical="center" wrapText="1"/>
    </xf>
    <xf numFmtId="4" fontId="43" fillId="0" borderId="8" xfId="0" applyNumberFormat="1" applyFont="1" applyBorder="1" applyAlignment="1">
      <alignment horizontal="right" vertical="center"/>
    </xf>
    <xf numFmtId="4" fontId="43" fillId="0" borderId="8" xfId="0" applyNumberFormat="1" applyFont="1" applyBorder="1" applyAlignment="1">
      <alignment horizontal="center" vertical="center"/>
    </xf>
    <xf numFmtId="4" fontId="23" fillId="0" borderId="9" xfId="0" applyNumberFormat="1" applyFont="1" applyBorder="1" applyAlignment="1">
      <alignment horizontal="center" vertical="center" shrinkToFit="1"/>
    </xf>
    <xf numFmtId="167" fontId="23" fillId="0" borderId="9" xfId="1" applyFont="1" applyBorder="1" applyAlignment="1" applyProtection="1">
      <alignment horizontal="center" vertical="center" shrinkToFit="1"/>
    </xf>
    <xf numFmtId="167" fontId="23" fillId="3" borderId="9" xfId="1" applyFont="1" applyFill="1" applyBorder="1" applyAlignment="1" applyProtection="1">
      <alignment horizontal="right" vertical="center" shrinkToFit="1"/>
    </xf>
    <xf numFmtId="167" fontId="26" fillId="0" borderId="9" xfId="1" applyFont="1" applyBorder="1" applyAlignment="1" applyProtection="1">
      <alignment horizontal="right" vertical="center"/>
      <protection locked="0"/>
    </xf>
    <xf numFmtId="167" fontId="23" fillId="0" borderId="9" xfId="1" applyFont="1" applyBorder="1" applyAlignment="1" applyProtection="1">
      <alignment horizontal="right" vertical="center"/>
    </xf>
    <xf numFmtId="167" fontId="23" fillId="2" borderId="8" xfId="1" applyFont="1" applyFill="1" applyBorder="1" applyAlignment="1" applyProtection="1">
      <alignment horizontal="right" vertical="center" shrinkToFit="1"/>
    </xf>
    <xf numFmtId="0" fontId="43" fillId="0" borderId="8" xfId="0" applyFont="1" applyBorder="1" applyAlignment="1">
      <alignment horizontal="center" wrapText="1"/>
    </xf>
    <xf numFmtId="0" fontId="43" fillId="0" borderId="8" xfId="0" applyFont="1" applyBorder="1" applyAlignment="1">
      <alignment horizontal="justify" vertical="center" wrapText="1"/>
    </xf>
    <xf numFmtId="169" fontId="28" fillId="6" borderId="47" xfId="0" applyNumberFormat="1" applyFont="1" applyFill="1" applyBorder="1" applyAlignment="1">
      <alignment horizontal="center" vertical="center"/>
    </xf>
    <xf numFmtId="165" fontId="28" fillId="6" borderId="47" xfId="0" applyNumberFormat="1" applyFont="1" applyFill="1" applyBorder="1" applyAlignment="1">
      <alignment horizontal="center" vertical="center"/>
    </xf>
    <xf numFmtId="165" fontId="28" fillId="6" borderId="21" xfId="0" applyNumberFormat="1" applyFont="1" applyFill="1" applyBorder="1" applyAlignment="1">
      <alignment horizontal="center" vertical="center"/>
    </xf>
    <xf numFmtId="0" fontId="32" fillId="8" borderId="0" xfId="0" applyFont="1" applyFill="1" applyAlignment="1">
      <alignment horizontal="center" vertical="center"/>
    </xf>
    <xf numFmtId="4" fontId="34" fillId="8" borderId="0" xfId="0" applyNumberFormat="1" applyFont="1" applyFill="1" applyAlignment="1">
      <alignment horizontal="center" vertical="center"/>
    </xf>
    <xf numFmtId="0" fontId="27" fillId="0" borderId="48" xfId="0" applyFont="1" applyBorder="1"/>
    <xf numFmtId="167" fontId="37" fillId="0" borderId="49" xfId="1" applyFont="1" applyBorder="1" applyAlignment="1" applyProtection="1">
      <alignment horizontal="center" vertical="center"/>
    </xf>
    <xf numFmtId="167" fontId="37" fillId="0" borderId="11" xfId="1" applyFont="1" applyBorder="1" applyAlignment="1" applyProtection="1">
      <alignment horizontal="center" vertical="center"/>
    </xf>
    <xf numFmtId="167" fontId="37" fillId="0" borderId="38" xfId="1" applyFont="1" applyBorder="1" applyAlignment="1" applyProtection="1">
      <alignment horizontal="center" vertical="center"/>
    </xf>
    <xf numFmtId="0" fontId="37" fillId="0" borderId="50" xfId="0" applyFont="1" applyBorder="1" applyAlignment="1">
      <alignment horizontal="center" vertical="center"/>
    </xf>
    <xf numFmtId="0" fontId="0" fillId="4" borderId="8" xfId="0" applyFill="1" applyBorder="1" applyAlignment="1">
      <alignment horizontal="center" vertical="center"/>
    </xf>
    <xf numFmtId="167" fontId="40" fillId="9" borderId="8" xfId="0" applyNumberFormat="1" applyFont="1" applyFill="1" applyBorder="1" applyAlignment="1">
      <alignment vertical="center"/>
    </xf>
    <xf numFmtId="0" fontId="5" fillId="0" borderId="26" xfId="0" applyFont="1" applyBorder="1" applyAlignment="1">
      <alignment vertical="center"/>
    </xf>
    <xf numFmtId="0" fontId="5" fillId="0" borderId="8" xfId="0" applyFont="1" applyBorder="1" applyAlignment="1">
      <alignment horizontal="center" vertical="center"/>
    </xf>
    <xf numFmtId="169" fontId="5" fillId="0" borderId="26" xfId="25" applyFont="1" applyBorder="1" applyAlignment="1" applyProtection="1">
      <alignment horizontal="center" vertical="center"/>
    </xf>
    <xf numFmtId="169" fontId="5" fillId="0" borderId="25" xfId="25" applyFont="1" applyBorder="1" applyAlignment="1" applyProtection="1">
      <alignment horizontal="right" vertical="center"/>
    </xf>
    <xf numFmtId="0" fontId="5" fillId="0" borderId="26" xfId="0" applyFont="1" applyBorder="1" applyAlignment="1">
      <alignment horizontal="left" vertical="center"/>
    </xf>
    <xf numFmtId="0" fontId="41" fillId="0" borderId="26" xfId="0" applyFont="1" applyBorder="1" applyAlignment="1">
      <alignment vertical="center"/>
    </xf>
    <xf numFmtId="0" fontId="41" fillId="0" borderId="8" xfId="0" applyFont="1" applyBorder="1" applyAlignment="1">
      <alignment horizontal="center" vertical="center"/>
    </xf>
    <xf numFmtId="169" fontId="41" fillId="0" borderId="25" xfId="25" applyFont="1" applyBorder="1" applyAlignment="1" applyProtection="1">
      <alignment horizontal="right" vertical="center"/>
    </xf>
    <xf numFmtId="0" fontId="41" fillId="0" borderId="26" xfId="0" applyFont="1" applyBorder="1" applyAlignment="1">
      <alignment horizontal="left" vertical="center"/>
    </xf>
    <xf numFmtId="0" fontId="40" fillId="11" borderId="11" xfId="0" applyFont="1" applyFill="1" applyBorder="1" applyAlignment="1">
      <alignment vertical="center" wrapText="1"/>
    </xf>
    <xf numFmtId="0" fontId="40" fillId="11" borderId="26" xfId="0" applyFont="1" applyFill="1" applyBorder="1" applyAlignment="1">
      <alignment horizontal="center" vertical="center"/>
    </xf>
    <xf numFmtId="170" fontId="41" fillId="0" borderId="8" xfId="25" applyNumberFormat="1" applyFont="1" applyBorder="1" applyAlignment="1" applyProtection="1">
      <alignment horizontal="center" vertical="center"/>
    </xf>
    <xf numFmtId="169" fontId="41" fillId="0" borderId="8" xfId="25" applyFont="1" applyBorder="1" applyAlignment="1" applyProtection="1">
      <alignment horizontal="right" vertical="center"/>
    </xf>
    <xf numFmtId="0" fontId="41" fillId="0" borderId="8" xfId="0" applyFont="1" applyBorder="1" applyAlignment="1">
      <alignment horizontal="left" vertical="center"/>
    </xf>
    <xf numFmtId="0" fontId="41" fillId="0" borderId="26" xfId="0" applyFont="1" applyBorder="1" applyAlignment="1">
      <alignment horizontal="center" vertical="center"/>
    </xf>
    <xf numFmtId="170" fontId="41" fillId="0" borderId="26" xfId="25" applyNumberFormat="1" applyFont="1" applyBorder="1" applyAlignment="1" applyProtection="1">
      <alignment horizontal="center" vertical="center"/>
    </xf>
    <xf numFmtId="0" fontId="5" fillId="0" borderId="26" xfId="0" applyFont="1" applyBorder="1" applyAlignment="1">
      <alignment horizontal="center" vertical="center"/>
    </xf>
    <xf numFmtId="170" fontId="5" fillId="0" borderId="26" xfId="25" applyNumberFormat="1" applyFont="1" applyBorder="1" applyAlignment="1" applyProtection="1">
      <alignment horizontal="center" vertical="center"/>
    </xf>
    <xf numFmtId="169" fontId="5" fillId="0" borderId="8" xfId="25" applyFont="1" applyBorder="1" applyAlignment="1" applyProtection="1">
      <alignment horizontal="right" vertical="center"/>
    </xf>
    <xf numFmtId="169" fontId="5" fillId="0" borderId="8" xfId="25" applyFont="1" applyBorder="1" applyAlignment="1" applyProtection="1">
      <alignment horizontal="center" vertical="center"/>
    </xf>
    <xf numFmtId="170" fontId="5" fillId="0" borderId="8" xfId="25" applyNumberFormat="1" applyFont="1" applyBorder="1" applyAlignment="1" applyProtection="1">
      <alignment horizontal="center" vertical="center"/>
    </xf>
    <xf numFmtId="0" fontId="5" fillId="0" borderId="8" xfId="0" applyFont="1" applyBorder="1" applyAlignment="1">
      <alignment horizontal="left" vertical="center"/>
    </xf>
    <xf numFmtId="0" fontId="37" fillId="0" borderId="51" xfId="0" applyFont="1" applyBorder="1" applyAlignment="1">
      <alignment horizontal="center" vertical="center"/>
    </xf>
    <xf numFmtId="0" fontId="37" fillId="0" borderId="45" xfId="0" applyFont="1" applyBorder="1" applyAlignment="1">
      <alignment horizontal="center" vertical="center"/>
    </xf>
    <xf numFmtId="170" fontId="24" fillId="0" borderId="9" xfId="11" applyNumberFormat="1" applyFont="1" applyBorder="1" applyAlignment="1">
      <alignment horizontal="center" vertical="center"/>
    </xf>
    <xf numFmtId="0" fontId="5" fillId="3" borderId="0" xfId="0" applyFont="1" applyFill="1"/>
    <xf numFmtId="0" fontId="45" fillId="3" borderId="52" xfId="4" applyFont="1" applyFill="1" applyBorder="1" applyAlignment="1">
      <alignment horizontal="center" vertical="center"/>
    </xf>
    <xf numFmtId="0" fontId="24" fillId="3" borderId="53" xfId="4" applyFont="1" applyFill="1" applyBorder="1" applyAlignment="1">
      <alignment horizontal="center"/>
    </xf>
    <xf numFmtId="0" fontId="46" fillId="3" borderId="54" xfId="4" applyFont="1" applyFill="1" applyBorder="1" applyAlignment="1">
      <alignment vertical="center"/>
    </xf>
    <xf numFmtId="0" fontId="46" fillId="3" borderId="55" xfId="4" applyFont="1" applyFill="1" applyBorder="1" applyAlignment="1">
      <alignment vertical="center"/>
    </xf>
    <xf numFmtId="0" fontId="24" fillId="3" borderId="53" xfId="4" applyFont="1" applyFill="1" applyBorder="1" applyAlignment="1">
      <alignment horizontal="left"/>
    </xf>
    <xf numFmtId="0" fontId="28" fillId="3" borderId="54" xfId="4" applyFont="1" applyFill="1" applyBorder="1" applyAlignment="1">
      <alignment vertical="center"/>
    </xf>
    <xf numFmtId="0" fontId="28" fillId="3" borderId="55" xfId="4" applyFont="1" applyFill="1" applyBorder="1" applyAlignment="1">
      <alignment vertical="center"/>
    </xf>
    <xf numFmtId="0" fontId="47" fillId="3" borderId="0" xfId="4" applyFont="1" applyFill="1" applyAlignment="1">
      <alignment horizontal="center" vertical="center"/>
    </xf>
    <xf numFmtId="0" fontId="45" fillId="3" borderId="0" xfId="4" applyFont="1" applyFill="1" applyAlignment="1">
      <alignment horizontal="center" vertical="center"/>
    </xf>
    <xf numFmtId="0" fontId="48" fillId="3" borderId="56" xfId="4" applyFont="1" applyFill="1" applyBorder="1" applyAlignment="1">
      <alignment horizontal="center" vertical="center"/>
    </xf>
    <xf numFmtId="0" fontId="49" fillId="3" borderId="52" xfId="4" applyFont="1" applyFill="1" applyBorder="1" applyAlignment="1">
      <alignment vertical="center"/>
    </xf>
    <xf numFmtId="0" fontId="50" fillId="3" borderId="0" xfId="4" applyFont="1" applyFill="1" applyAlignment="1">
      <alignment vertical="center"/>
    </xf>
    <xf numFmtId="0" fontId="49" fillId="3" borderId="0" xfId="4" applyFont="1" applyFill="1" applyAlignment="1">
      <alignment vertical="center"/>
    </xf>
    <xf numFmtId="0" fontId="51" fillId="3" borderId="56" xfId="4" applyFont="1" applyFill="1" applyBorder="1" applyAlignment="1">
      <alignment vertical="center"/>
    </xf>
    <xf numFmtId="0" fontId="27" fillId="3" borderId="0" xfId="4" applyFont="1" applyFill="1" applyAlignment="1">
      <alignment horizontal="center" vertical="center"/>
    </xf>
    <xf numFmtId="0" fontId="27" fillId="3" borderId="0" xfId="4" applyFont="1" applyFill="1" applyAlignment="1">
      <alignment horizontal="left" vertical="top"/>
    </xf>
    <xf numFmtId="182" fontId="27" fillId="3" borderId="0" xfId="4" applyNumberFormat="1" applyFont="1" applyFill="1" applyAlignment="1">
      <alignment horizontal="center"/>
    </xf>
    <xf numFmtId="182" fontId="27" fillId="3" borderId="0" xfId="4" applyNumberFormat="1" applyFont="1" applyFill="1" applyAlignment="1">
      <alignment horizontal="center" vertical="center"/>
    </xf>
    <xf numFmtId="165" fontId="48" fillId="3" borderId="0" xfId="8" applyFont="1" applyFill="1" applyBorder="1" applyAlignment="1" applyProtection="1">
      <alignment vertical="center"/>
    </xf>
    <xf numFmtId="165" fontId="52" fillId="3" borderId="0" xfId="8" applyFont="1" applyFill="1" applyBorder="1" applyAlignment="1" applyProtection="1">
      <alignment vertical="center"/>
    </xf>
    <xf numFmtId="0" fontId="51" fillId="3" borderId="0" xfId="4" applyFont="1" applyFill="1" applyAlignment="1">
      <alignment vertical="center"/>
    </xf>
    <xf numFmtId="0" fontId="47" fillId="3" borderId="52" xfId="0" applyFont="1" applyFill="1" applyBorder="1" applyAlignment="1">
      <alignment vertical="center"/>
    </xf>
    <xf numFmtId="0" fontId="47" fillId="3" borderId="0" xfId="0" applyFont="1" applyFill="1" applyAlignment="1">
      <alignment vertical="center"/>
    </xf>
    <xf numFmtId="0" fontId="8" fillId="9" borderId="18"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7" xfId="0" applyFont="1" applyFill="1" applyBorder="1" applyAlignment="1">
      <alignment horizontal="center" vertical="center"/>
    </xf>
    <xf numFmtId="183" fontId="0" fillId="0" borderId="0" xfId="0" applyNumberFormat="1"/>
    <xf numFmtId="183" fontId="5" fillId="0" borderId="8" xfId="3" applyNumberFormat="1" applyFont="1" applyBorder="1" applyAlignment="1" applyProtection="1">
      <alignment horizontal="center"/>
    </xf>
    <xf numFmtId="10" fontId="5" fillId="0" borderId="7" xfId="3" applyNumberFormat="1" applyFont="1" applyBorder="1" applyAlignment="1" applyProtection="1">
      <alignment horizontal="center"/>
    </xf>
    <xf numFmtId="184" fontId="0" fillId="0" borderId="0" xfId="0" applyNumberFormat="1"/>
    <xf numFmtId="4" fontId="0" fillId="0" borderId="0" xfId="0" applyNumberFormat="1"/>
    <xf numFmtId="183" fontId="8" fillId="13" borderId="8" xfId="3" applyNumberFormat="1" applyFont="1" applyFill="1" applyBorder="1" applyAlignment="1" applyProtection="1">
      <alignment horizontal="center"/>
    </xf>
    <xf numFmtId="10" fontId="5" fillId="13" borderId="7" xfId="3" applyNumberFormat="1" applyFont="1" applyFill="1" applyBorder="1" applyAlignment="1" applyProtection="1">
      <alignment horizontal="center"/>
    </xf>
    <xf numFmtId="167" fontId="8" fillId="13" borderId="8" xfId="1" applyFont="1" applyFill="1" applyBorder="1" applyAlignment="1" applyProtection="1">
      <alignment horizontal="center"/>
    </xf>
    <xf numFmtId="169" fontId="5" fillId="0" borderId="8" xfId="25" applyFont="1" applyBorder="1" applyProtection="1"/>
    <xf numFmtId="169" fontId="5" fillId="0" borderId="7" xfId="25" applyFont="1" applyBorder="1" applyProtection="1"/>
    <xf numFmtId="185" fontId="54" fillId="0" borderId="0" xfId="25" applyNumberFormat="1" applyBorder="1" applyProtection="1"/>
    <xf numFmtId="167" fontId="5" fillId="0" borderId="8" xfId="1" applyFont="1" applyBorder="1" applyProtection="1"/>
    <xf numFmtId="0" fontId="5" fillId="0" borderId="52" xfId="0" applyFont="1" applyBorder="1"/>
    <xf numFmtId="0" fontId="5" fillId="0" borderId="56" xfId="0" applyFont="1" applyBorder="1"/>
    <xf numFmtId="169" fontId="5" fillId="0" borderId="56" xfId="0" applyNumberFormat="1" applyFont="1" applyBorder="1"/>
    <xf numFmtId="183" fontId="5" fillId="0" borderId="8" xfId="3" applyNumberFormat="1" applyFont="1" applyBorder="1" applyAlignment="1" applyProtection="1">
      <alignment horizontal="center" vertical="center"/>
    </xf>
    <xf numFmtId="0" fontId="5" fillId="13" borderId="8" xfId="0" applyFont="1" applyFill="1" applyBorder="1" applyAlignment="1">
      <alignment horizontal="left" vertical="center"/>
    </xf>
    <xf numFmtId="167" fontId="5" fillId="13" borderId="8" xfId="1" applyFont="1" applyFill="1" applyBorder="1" applyAlignment="1" applyProtection="1">
      <alignment horizontal="center" vertical="center"/>
    </xf>
    <xf numFmtId="167" fontId="8" fillId="4" borderId="8" xfId="1" applyFont="1" applyFill="1" applyBorder="1" applyAlignment="1" applyProtection="1">
      <alignment horizontal="center" vertical="center"/>
    </xf>
    <xf numFmtId="183" fontId="5" fillId="13" borderId="8" xfId="3" applyNumberFormat="1" applyFont="1" applyFill="1" applyBorder="1" applyAlignment="1" applyProtection="1">
      <alignment horizontal="center" vertical="center"/>
    </xf>
    <xf numFmtId="183" fontId="5" fillId="4" borderId="8" xfId="3" applyNumberFormat="1" applyFont="1" applyFill="1" applyBorder="1" applyAlignment="1" applyProtection="1">
      <alignment horizontal="center" vertical="center"/>
    </xf>
    <xf numFmtId="0" fontId="5" fillId="0" borderId="57" xfId="0" applyFont="1" applyBorder="1"/>
    <xf numFmtId="183" fontId="5" fillId="0" borderId="20" xfId="3" applyNumberFormat="1" applyFont="1" applyBorder="1" applyAlignment="1" applyProtection="1">
      <alignment horizontal="center" vertical="center"/>
    </xf>
    <xf numFmtId="0" fontId="5" fillId="0" borderId="58" xfId="0" applyFont="1" applyBorder="1"/>
    <xf numFmtId="165" fontId="28" fillId="9" borderId="47" xfId="0" applyNumberFormat="1" applyFont="1" applyFill="1" applyBorder="1" applyAlignment="1">
      <alignment horizontal="left" vertical="center"/>
    </xf>
    <xf numFmtId="2" fontId="56" fillId="0" borderId="59" xfId="26" applyNumberFormat="1" applyFont="1" applyBorder="1" applyAlignment="1">
      <alignment horizontal="center" vertical="center" shrinkToFit="1"/>
    </xf>
    <xf numFmtId="4" fontId="56" fillId="15" borderId="59" xfId="26" applyNumberFormat="1" applyFont="1" applyFill="1" applyBorder="1" applyAlignment="1">
      <alignment horizontal="center" vertical="center" shrinkToFit="1"/>
    </xf>
    <xf numFmtId="2" fontId="56" fillId="15" borderId="59" xfId="26" applyNumberFormat="1" applyFont="1" applyFill="1" applyBorder="1" applyAlignment="1">
      <alignment horizontal="center" vertical="center" shrinkToFit="1"/>
    </xf>
    <xf numFmtId="4" fontId="56" fillId="0" borderId="59" xfId="26" applyNumberFormat="1" applyFont="1" applyBorder="1" applyAlignment="1">
      <alignment horizontal="center" vertical="center" shrinkToFit="1"/>
    </xf>
    <xf numFmtId="4" fontId="56" fillId="15" borderId="59" xfId="26" applyNumberFormat="1" applyFont="1" applyFill="1" applyBorder="1" applyAlignment="1" applyProtection="1">
      <alignment horizontal="center" vertical="center" shrinkToFit="1"/>
      <protection hidden="1"/>
    </xf>
    <xf numFmtId="4" fontId="56" fillId="0" borderId="9" xfId="26" applyNumberFormat="1" applyFont="1" applyBorder="1" applyAlignment="1">
      <alignment horizontal="center" vertical="center" shrinkToFit="1"/>
    </xf>
    <xf numFmtId="4" fontId="60" fillId="15" borderId="59" xfId="26" applyNumberFormat="1" applyFont="1" applyFill="1" applyBorder="1" applyAlignment="1">
      <alignment horizontal="center" vertical="center" shrinkToFit="1"/>
    </xf>
    <xf numFmtId="4" fontId="60" fillId="0" borderId="59" xfId="26" applyNumberFormat="1" applyFont="1" applyBorder="1" applyAlignment="1">
      <alignment horizontal="center" vertical="center"/>
    </xf>
    <xf numFmtId="2" fontId="56" fillId="16" borderId="59" xfId="30" applyNumberFormat="1" applyFont="1" applyFill="1" applyBorder="1" applyAlignment="1" applyProtection="1">
      <alignment horizontal="center" vertical="center"/>
    </xf>
    <xf numFmtId="4" fontId="56" fillId="0" borderId="59" xfId="26" applyNumberFormat="1" applyFont="1" applyBorder="1" applyAlignment="1">
      <alignment horizontal="center" vertical="center"/>
    </xf>
    <xf numFmtId="4" fontId="62" fillId="0" borderId="52" xfId="10" applyNumberFormat="1" applyFont="1" applyBorder="1" applyAlignment="1">
      <alignment vertical="center" wrapText="1"/>
    </xf>
    <xf numFmtId="4" fontId="61" fillId="0" borderId="52" xfId="10" applyNumberFormat="1" applyFont="1" applyBorder="1" applyAlignment="1">
      <alignment vertical="center"/>
    </xf>
    <xf numFmtId="4" fontId="61" fillId="0" borderId="0" xfId="10" applyNumberFormat="1" applyFont="1" applyAlignment="1">
      <alignment vertical="center"/>
    </xf>
    <xf numFmtId="4" fontId="62" fillId="0" borderId="0" xfId="10" applyNumberFormat="1" applyFont="1" applyAlignment="1">
      <alignment vertical="center" wrapText="1"/>
    </xf>
    <xf numFmtId="167" fontId="23" fillId="0" borderId="59" xfId="1" applyFont="1" applyBorder="1" applyAlignment="1" applyProtection="1">
      <alignment horizontal="center" vertical="center" shrinkToFit="1"/>
    </xf>
    <xf numFmtId="167" fontId="23" fillId="0" borderId="59" xfId="1" applyFont="1" applyBorder="1" applyAlignment="1" applyProtection="1">
      <alignment horizontal="center" vertical="center"/>
    </xf>
    <xf numFmtId="167" fontId="23" fillId="0" borderId="59" xfId="1" applyFont="1" applyBorder="1" applyAlignment="1" applyProtection="1">
      <alignment horizontal="right" vertical="center"/>
    </xf>
    <xf numFmtId="4" fontId="22" fillId="2" borderId="9" xfId="10" applyNumberFormat="1" applyFont="1" applyFill="1" applyBorder="1" applyAlignment="1">
      <alignment horizontal="justify" vertical="center" wrapText="1"/>
    </xf>
    <xf numFmtId="0" fontId="23" fillId="2" borderId="9" xfId="0" applyFont="1" applyFill="1" applyBorder="1" applyAlignment="1">
      <alignment horizontal="center" vertical="center"/>
    </xf>
    <xf numFmtId="167" fontId="23" fillId="2" borderId="59" xfId="1" applyFont="1" applyFill="1" applyBorder="1" applyAlignment="1" applyProtection="1">
      <alignment horizontal="center" vertical="center" shrinkToFit="1"/>
    </xf>
    <xf numFmtId="0" fontId="63" fillId="15" borderId="59" xfId="0" applyFont="1" applyFill="1" applyBorder="1" applyAlignment="1">
      <alignment horizontal="justify" vertical="center" wrapText="1"/>
    </xf>
    <xf numFmtId="0" fontId="23" fillId="3" borderId="59" xfId="0" applyFont="1" applyFill="1" applyBorder="1" applyAlignment="1">
      <alignment horizontal="center" vertical="center" wrapText="1"/>
    </xf>
    <xf numFmtId="167" fontId="23" fillId="0" borderId="59" xfId="1" applyFont="1" applyBorder="1" applyAlignment="1" applyProtection="1">
      <alignment vertical="center" shrinkToFit="1"/>
    </xf>
    <xf numFmtId="167" fontId="23" fillId="0" borderId="59" xfId="1" applyFont="1" applyBorder="1" applyAlignment="1" applyProtection="1">
      <alignment vertical="center"/>
    </xf>
    <xf numFmtId="167" fontId="22" fillId="2" borderId="0" xfId="1" applyFont="1" applyFill="1" applyBorder="1" applyAlignment="1" applyProtection="1">
      <alignment horizontal="right" vertical="center"/>
    </xf>
    <xf numFmtId="167" fontId="23" fillId="0" borderId="0" xfId="1" applyFont="1" applyBorder="1" applyAlignment="1" applyProtection="1">
      <alignment horizontal="right" vertical="center"/>
    </xf>
    <xf numFmtId="167" fontId="23" fillId="3" borderId="59" xfId="1" applyFont="1" applyFill="1" applyBorder="1" applyAlignment="1" applyProtection="1">
      <alignment horizontal="right" vertical="center"/>
    </xf>
    <xf numFmtId="170" fontId="24" fillId="0" borderId="7" xfId="11" applyNumberFormat="1" applyFont="1" applyBorder="1" applyAlignment="1">
      <alignment horizontal="center" vertical="center" wrapText="1"/>
    </xf>
    <xf numFmtId="167" fontId="22" fillId="2" borderId="59" xfId="1" applyFont="1" applyFill="1" applyBorder="1" applyAlignment="1" applyProtection="1">
      <alignment horizontal="center" vertical="center"/>
    </xf>
    <xf numFmtId="0" fontId="62" fillId="0" borderId="59" xfId="0" applyFont="1" applyBorder="1" applyAlignment="1" applyProtection="1">
      <alignment horizontal="left" vertical="center" wrapText="1"/>
      <protection locked="0"/>
    </xf>
    <xf numFmtId="0" fontId="62" fillId="0" borderId="59" xfId="0" applyFont="1" applyBorder="1" applyAlignment="1" applyProtection="1">
      <alignment horizontal="center" vertical="center" wrapText="1"/>
      <protection locked="0"/>
    </xf>
    <xf numFmtId="4" fontId="22" fillId="2" borderId="11" xfId="10" applyNumberFormat="1" applyFont="1" applyFill="1" applyBorder="1" applyAlignment="1">
      <alignment horizontal="justify" vertical="center" wrapText="1"/>
    </xf>
    <xf numFmtId="0" fontId="23" fillId="0" borderId="11" xfId="0" applyFont="1" applyBorder="1" applyAlignment="1">
      <alignment horizontal="justify" wrapText="1"/>
    </xf>
    <xf numFmtId="4" fontId="22" fillId="5" borderId="11" xfId="10" applyNumberFormat="1" applyFont="1" applyFill="1" applyBorder="1" applyAlignment="1">
      <alignment horizontal="justify" vertical="center" wrapText="1"/>
    </xf>
    <xf numFmtId="0" fontId="57" fillId="17" borderId="59" xfId="0" applyFont="1" applyFill="1" applyBorder="1" applyAlignment="1" applyProtection="1">
      <alignment horizontal="left" vertical="center" wrapText="1"/>
      <protection locked="0"/>
    </xf>
    <xf numFmtId="0" fontId="23" fillId="17" borderId="59" xfId="0" applyFont="1" applyFill="1" applyBorder="1" applyAlignment="1">
      <alignment horizontal="center" vertical="center" wrapText="1"/>
    </xf>
    <xf numFmtId="167" fontId="23" fillId="17" borderId="59" xfId="1" applyFont="1" applyFill="1" applyBorder="1" applyAlignment="1" applyProtection="1">
      <alignment horizontal="center" vertical="center" shrinkToFit="1"/>
    </xf>
    <xf numFmtId="2" fontId="56" fillId="17" borderId="59" xfId="26" applyNumberFormat="1" applyFont="1" applyFill="1" applyBorder="1" applyAlignment="1">
      <alignment horizontal="center" vertical="center" shrinkToFit="1"/>
    </xf>
    <xf numFmtId="167" fontId="23" fillId="17" borderId="59" xfId="1" applyFont="1" applyFill="1" applyBorder="1" applyAlignment="1" applyProtection="1">
      <alignment horizontal="center" vertical="center"/>
    </xf>
    <xf numFmtId="167" fontId="23" fillId="19" borderId="59" xfId="1" applyFont="1" applyFill="1" applyBorder="1" applyAlignment="1" applyProtection="1">
      <alignment horizontal="right" vertical="center"/>
    </xf>
    <xf numFmtId="167" fontId="23" fillId="17" borderId="59" xfId="1" applyFont="1" applyFill="1" applyBorder="1" applyAlignment="1" applyProtection="1">
      <alignment horizontal="right" vertical="center"/>
    </xf>
    <xf numFmtId="4" fontId="62" fillId="0" borderId="59" xfId="1" applyNumberFormat="1" applyFont="1" applyBorder="1" applyAlignment="1" applyProtection="1">
      <alignment horizontal="center" vertical="center" shrinkToFit="1"/>
      <protection hidden="1"/>
    </xf>
    <xf numFmtId="170" fontId="22" fillId="0" borderId="16" xfId="16" applyNumberFormat="1" applyFont="1" applyBorder="1" applyAlignment="1">
      <alignment horizontal="center" vertical="top"/>
    </xf>
    <xf numFmtId="170" fontId="23" fillId="0" borderId="60" xfId="16" applyNumberFormat="1" applyFont="1" applyBorder="1" applyAlignment="1">
      <alignment horizontal="left" vertical="top"/>
    </xf>
    <xf numFmtId="170" fontId="23" fillId="0" borderId="60" xfId="1" applyNumberFormat="1" applyFont="1" applyBorder="1" applyAlignment="1" applyProtection="1">
      <alignment horizontal="left" vertical="top"/>
    </xf>
    <xf numFmtId="170" fontId="2" fillId="0" borderId="60" xfId="16" applyNumberFormat="1" applyBorder="1" applyAlignment="1">
      <alignment horizontal="left" vertical="top"/>
    </xf>
    <xf numFmtId="170" fontId="2" fillId="0" borderId="61" xfId="16" applyNumberFormat="1" applyBorder="1" applyAlignment="1">
      <alignment horizontal="left" vertical="top"/>
    </xf>
    <xf numFmtId="170" fontId="24" fillId="0" borderId="59" xfId="11" applyNumberFormat="1" applyFont="1" applyBorder="1" applyAlignment="1">
      <alignment horizontal="center" vertical="center"/>
    </xf>
    <xf numFmtId="170" fontId="24" fillId="0" borderId="59" xfId="1" applyNumberFormat="1" applyFont="1" applyBorder="1" applyAlignment="1" applyProtection="1">
      <alignment horizontal="center" vertical="center"/>
    </xf>
    <xf numFmtId="170" fontId="24" fillId="0" borderId="59" xfId="1" applyNumberFormat="1" applyFont="1" applyBorder="1" applyAlignment="1" applyProtection="1">
      <alignment horizontal="center" vertical="center" wrapText="1"/>
    </xf>
    <xf numFmtId="4" fontId="22" fillId="5" borderId="6" xfId="10" applyNumberFormat="1" applyFont="1" applyFill="1" applyBorder="1" applyAlignment="1">
      <alignment horizontal="center" vertical="center"/>
    </xf>
    <xf numFmtId="4" fontId="22" fillId="5" borderId="59" xfId="10" applyNumberFormat="1" applyFont="1" applyFill="1" applyBorder="1" applyAlignment="1">
      <alignment horizontal="justify" vertical="center" wrapText="1"/>
    </xf>
    <xf numFmtId="4" fontId="22" fillId="5" borderId="59" xfId="10" applyNumberFormat="1" applyFont="1" applyFill="1" applyBorder="1" applyAlignment="1">
      <alignment horizontal="center" vertical="center"/>
    </xf>
    <xf numFmtId="167" fontId="22" fillId="5" borderId="59" xfId="1" applyFont="1" applyFill="1" applyBorder="1" applyAlignment="1" applyProtection="1">
      <alignment horizontal="right" vertical="center"/>
    </xf>
    <xf numFmtId="167" fontId="22" fillId="5" borderId="59" xfId="1" applyFont="1" applyFill="1" applyBorder="1" applyAlignment="1" applyProtection="1">
      <alignment horizontal="center" vertical="center"/>
    </xf>
    <xf numFmtId="167" fontId="22" fillId="5" borderId="7" xfId="1" applyFont="1" applyFill="1" applyBorder="1" applyAlignment="1" applyProtection="1">
      <alignment horizontal="right" vertical="center"/>
    </xf>
    <xf numFmtId="4" fontId="22" fillId="2" borderId="6" xfId="10" applyNumberFormat="1" applyFont="1" applyFill="1" applyBorder="1" applyAlignment="1">
      <alignment horizontal="center" vertical="center"/>
    </xf>
    <xf numFmtId="4" fontId="22" fillId="2" borderId="59" xfId="10" applyNumberFormat="1" applyFont="1" applyFill="1" applyBorder="1" applyAlignment="1">
      <alignment horizontal="justify" vertical="center" wrapText="1"/>
    </xf>
    <xf numFmtId="0" fontId="23" fillId="2" borderId="59" xfId="0" applyFont="1" applyFill="1" applyBorder="1" applyAlignment="1">
      <alignment horizontal="center" vertical="center"/>
    </xf>
    <xf numFmtId="167" fontId="22" fillId="2" borderId="59" xfId="1" applyFont="1" applyFill="1" applyBorder="1" applyAlignment="1" applyProtection="1">
      <alignment horizontal="right" vertical="center"/>
    </xf>
    <xf numFmtId="167" fontId="22" fillId="2" borderId="7" xfId="1" applyFont="1" applyFill="1" applyBorder="1" applyAlignment="1" applyProtection="1">
      <alignment horizontal="right" vertical="center"/>
    </xf>
    <xf numFmtId="4" fontId="23" fillId="0" borderId="6" xfId="10" applyNumberFormat="1" applyFont="1" applyBorder="1" applyAlignment="1">
      <alignment horizontal="center" vertical="center"/>
    </xf>
    <xf numFmtId="0" fontId="23" fillId="0" borderId="59" xfId="0" applyFont="1" applyBorder="1" applyAlignment="1">
      <alignment horizontal="justify" wrapText="1"/>
    </xf>
    <xf numFmtId="0" fontId="23" fillId="0" borderId="59" xfId="0" applyFont="1" applyBorder="1" applyAlignment="1">
      <alignment horizontal="center" vertical="center" wrapText="1"/>
    </xf>
    <xf numFmtId="167" fontId="23" fillId="0" borderId="7" xfId="1" applyFont="1" applyBorder="1" applyAlignment="1" applyProtection="1">
      <alignment horizontal="right" vertical="center"/>
    </xf>
    <xf numFmtId="4" fontId="56" fillId="17" borderId="59" xfId="26" applyNumberFormat="1" applyFont="1" applyFill="1" applyBorder="1" applyAlignment="1">
      <alignment horizontal="center" vertical="center" shrinkToFit="1"/>
    </xf>
    <xf numFmtId="4" fontId="22" fillId="2" borderId="14" xfId="10" applyNumberFormat="1" applyFont="1" applyFill="1" applyBorder="1" applyAlignment="1">
      <alignment horizontal="center" vertical="center"/>
    </xf>
    <xf numFmtId="167" fontId="23" fillId="0" borderId="7" xfId="1" applyFont="1" applyBorder="1" applyAlignment="1" applyProtection="1">
      <alignment vertical="center"/>
    </xf>
    <xf numFmtId="4" fontId="23" fillId="3" borderId="6" xfId="10" applyNumberFormat="1" applyFont="1" applyFill="1" applyBorder="1" applyAlignment="1">
      <alignment horizontal="center" vertical="center"/>
    </xf>
    <xf numFmtId="167" fontId="23" fillId="3" borderId="59" xfId="1" applyFont="1" applyFill="1" applyBorder="1" applyAlignment="1" applyProtection="1">
      <alignment horizontal="center" vertical="center" shrinkToFit="1"/>
    </xf>
    <xf numFmtId="4" fontId="57" fillId="18" borderId="59" xfId="43" applyNumberFormat="1" applyFont="1" applyFill="1" applyBorder="1" applyAlignment="1">
      <alignment horizontal="center" vertical="center"/>
    </xf>
    <xf numFmtId="4" fontId="33" fillId="3" borderId="6" xfId="10" applyNumberFormat="1" applyFont="1" applyFill="1" applyBorder="1" applyAlignment="1">
      <alignment horizontal="center" vertical="center"/>
    </xf>
    <xf numFmtId="167" fontId="43" fillId="3" borderId="59" xfId="1" applyFont="1" applyFill="1" applyBorder="1" applyAlignment="1" applyProtection="1">
      <alignment horizontal="center" vertical="center" shrinkToFit="1"/>
    </xf>
    <xf numFmtId="167" fontId="43" fillId="0" borderId="59" xfId="1" applyFont="1" applyBorder="1" applyAlignment="1" applyProtection="1">
      <alignment horizontal="right" vertical="center"/>
    </xf>
    <xf numFmtId="4" fontId="43" fillId="3" borderId="6" xfId="10" applyNumberFormat="1" applyFont="1" applyFill="1" applyBorder="1" applyAlignment="1">
      <alignment horizontal="center" vertical="center"/>
    </xf>
    <xf numFmtId="167" fontId="43" fillId="3" borderId="59" xfId="1" applyFont="1" applyFill="1" applyBorder="1" applyAlignment="1" applyProtection="1">
      <alignment horizontal="right" vertical="center"/>
    </xf>
    <xf numFmtId="0" fontId="23" fillId="3" borderId="59" xfId="0" applyFont="1" applyFill="1" applyBorder="1" applyAlignment="1" applyProtection="1">
      <alignment horizontal="center" vertical="center" wrapText="1"/>
      <protection locked="0"/>
    </xf>
    <xf numFmtId="167" fontId="23" fillId="3" borderId="59" xfId="1" applyFont="1" applyFill="1" applyBorder="1" applyAlignment="1" applyProtection="1">
      <alignment horizontal="center" vertical="center" shrinkToFit="1"/>
      <protection hidden="1"/>
    </xf>
    <xf numFmtId="167" fontId="23" fillId="5" borderId="59" xfId="1" applyFont="1" applyFill="1" applyBorder="1" applyAlignment="1" applyProtection="1">
      <alignment horizontal="center" vertical="center"/>
    </xf>
    <xf numFmtId="167" fontId="23" fillId="5" borderId="7" xfId="1" applyFont="1" applyFill="1" applyBorder="1" applyAlignment="1" applyProtection="1">
      <alignment horizontal="right" vertical="center"/>
    </xf>
    <xf numFmtId="167" fontId="23" fillId="3" borderId="59" xfId="1" applyFont="1" applyFill="1" applyBorder="1" applyAlignment="1" applyProtection="1">
      <alignment horizontal="right" vertical="center" shrinkToFit="1"/>
    </xf>
    <xf numFmtId="167" fontId="23" fillId="3" borderId="59" xfId="1" applyFont="1" applyFill="1" applyBorder="1" applyAlignment="1" applyProtection="1">
      <alignment vertical="center" shrinkToFit="1"/>
    </xf>
    <xf numFmtId="4" fontId="43" fillId="0" borderId="6" xfId="10" applyNumberFormat="1" applyFont="1" applyBorder="1" applyAlignment="1">
      <alignment horizontal="center" vertical="center"/>
    </xf>
    <xf numFmtId="0" fontId="22" fillId="2" borderId="59" xfId="0" applyFont="1" applyFill="1" applyBorder="1" applyAlignment="1">
      <alignment horizontal="center" vertical="center"/>
    </xf>
    <xf numFmtId="167" fontId="22" fillId="2" borderId="59" xfId="1" applyFont="1" applyFill="1" applyBorder="1" applyAlignment="1" applyProtection="1">
      <alignment horizontal="center" vertical="center" shrinkToFit="1"/>
    </xf>
    <xf numFmtId="4" fontId="57" fillId="17" borderId="59" xfId="26" applyNumberFormat="1" applyFont="1" applyFill="1" applyBorder="1" applyAlignment="1">
      <alignment horizontal="center" vertical="center" shrinkToFit="1"/>
    </xf>
    <xf numFmtId="4" fontId="22" fillId="19" borderId="59" xfId="10" applyNumberFormat="1" applyFont="1" applyFill="1" applyBorder="1" applyAlignment="1">
      <alignment horizontal="justify" vertical="center" wrapText="1"/>
    </xf>
    <xf numFmtId="4" fontId="57" fillId="17" borderId="6" xfId="10" applyNumberFormat="1" applyFont="1" applyFill="1" applyBorder="1" applyAlignment="1">
      <alignment horizontal="center" vertical="center"/>
    </xf>
    <xf numFmtId="167" fontId="23" fillId="17" borderId="7" xfId="1" applyFont="1" applyFill="1" applyBorder="1" applyAlignment="1" applyProtection="1">
      <alignment horizontal="right" vertical="center"/>
    </xf>
    <xf numFmtId="0" fontId="23" fillId="0" borderId="59" xfId="0" applyFont="1" applyBorder="1" applyAlignment="1">
      <alignment horizontal="justify"/>
    </xf>
    <xf numFmtId="165" fontId="28" fillId="9" borderId="23" xfId="0" applyNumberFormat="1" applyFont="1" applyFill="1" applyBorder="1" applyAlignment="1">
      <alignment horizontal="left" vertical="center"/>
    </xf>
    <xf numFmtId="170" fontId="7" fillId="2" borderId="1" xfId="0" applyNumberFormat="1" applyFont="1" applyFill="1" applyBorder="1" applyAlignment="1">
      <alignment horizontal="center" vertical="center"/>
    </xf>
    <xf numFmtId="170" fontId="7" fillId="2" borderId="2" xfId="20" applyNumberFormat="1" applyFont="1" applyFill="1" applyBorder="1" applyAlignment="1" applyProtection="1">
      <alignment horizontal="center" vertical="center" wrapText="1"/>
    </xf>
    <xf numFmtId="170" fontId="9" fillId="2" borderId="3" xfId="20" applyNumberFormat="1" applyFont="1" applyFill="1" applyBorder="1" applyAlignment="1" applyProtection="1">
      <alignment horizontal="center" vertical="center"/>
    </xf>
    <xf numFmtId="170" fontId="10" fillId="0" borderId="4" xfId="20" applyNumberFormat="1" applyFont="1" applyBorder="1" applyAlignment="1" applyProtection="1">
      <alignment horizontal="center" vertical="center"/>
    </xf>
    <xf numFmtId="170" fontId="11" fillId="2" borderId="5" xfId="14" applyNumberFormat="1" applyFont="1" applyFill="1" applyBorder="1" applyAlignment="1">
      <alignment horizontal="center" vertical="center"/>
    </xf>
    <xf numFmtId="170" fontId="11" fillId="0" borderId="5" xfId="14" applyNumberFormat="1" applyFont="1" applyBorder="1" applyAlignment="1">
      <alignment horizontal="center" vertical="center"/>
    </xf>
    <xf numFmtId="170" fontId="12" fillId="2" borderId="4" xfId="14" applyNumberFormat="1" applyFont="1" applyFill="1" applyBorder="1" applyAlignment="1">
      <alignment horizontal="center" vertical="center"/>
    </xf>
    <xf numFmtId="170" fontId="14" fillId="2" borderId="6" xfId="14" applyNumberFormat="1" applyFont="1" applyFill="1" applyBorder="1" applyAlignment="1">
      <alignment horizontal="left" vertical="center"/>
    </xf>
    <xf numFmtId="170" fontId="14" fillId="2" borderId="7" xfId="20" applyNumberFormat="1" applyFont="1" applyFill="1" applyBorder="1" applyAlignment="1" applyProtection="1">
      <alignment horizontal="center" vertical="center" wrapText="1"/>
    </xf>
    <xf numFmtId="170" fontId="14" fillId="2" borderId="8" xfId="20" applyNumberFormat="1" applyFont="1" applyFill="1" applyBorder="1" applyAlignment="1" applyProtection="1">
      <alignment horizontal="center" vertical="center" wrapText="1"/>
    </xf>
    <xf numFmtId="170" fontId="14" fillId="2" borderId="8" xfId="20" applyNumberFormat="1" applyFont="1" applyFill="1" applyBorder="1" applyAlignment="1" applyProtection="1">
      <alignment horizontal="left" vertical="center" wrapText="1"/>
    </xf>
    <xf numFmtId="171" fontId="17" fillId="2" borderId="7" xfId="1" applyNumberFormat="1" applyFont="1" applyFill="1" applyBorder="1" applyAlignment="1" applyProtection="1">
      <alignment horizontal="center" vertical="center"/>
    </xf>
    <xf numFmtId="170" fontId="17" fillId="2" borderId="9" xfId="20" applyNumberFormat="1" applyFont="1" applyFill="1" applyBorder="1" applyAlignment="1" applyProtection="1">
      <alignment horizontal="center" vertical="center" wrapText="1"/>
    </xf>
    <xf numFmtId="170" fontId="14" fillId="2" borderId="10" xfId="14" applyNumberFormat="1" applyFont="1" applyFill="1" applyBorder="1" applyAlignment="1">
      <alignment horizontal="left" vertical="center"/>
    </xf>
    <xf numFmtId="170" fontId="17" fillId="2" borderId="11" xfId="20" applyNumberFormat="1" applyFont="1" applyFill="1" applyBorder="1" applyAlignment="1" applyProtection="1">
      <alignment horizontal="center" vertical="center" wrapText="1"/>
    </xf>
    <xf numFmtId="170" fontId="14" fillId="2" borderId="13" xfId="20" applyNumberFormat="1" applyFont="1" applyFill="1" applyBorder="1" applyAlignment="1" applyProtection="1">
      <alignment horizontal="center" vertical="center"/>
    </xf>
    <xf numFmtId="0" fontId="17" fillId="2" borderId="8" xfId="20" applyNumberFormat="1" applyFont="1" applyFill="1" applyBorder="1" applyAlignment="1" applyProtection="1">
      <alignment horizontal="center" vertical="center"/>
    </xf>
    <xf numFmtId="170" fontId="14" fillId="2" borderId="14" xfId="20" applyNumberFormat="1" applyFont="1" applyFill="1" applyBorder="1" applyAlignment="1" applyProtection="1">
      <alignment horizontal="left" vertical="center" wrapText="1"/>
    </xf>
    <xf numFmtId="165" fontId="14" fillId="2" borderId="15" xfId="2" applyNumberFormat="1" applyFont="1" applyFill="1" applyBorder="1" applyAlignment="1" applyProtection="1">
      <alignment horizontal="center" vertical="center"/>
    </xf>
    <xf numFmtId="170" fontId="14" fillId="2" borderId="9" xfId="20" applyNumberFormat="1" applyFont="1" applyFill="1" applyBorder="1" applyAlignment="1" applyProtection="1">
      <alignment horizontal="left" vertical="center" wrapText="1"/>
    </xf>
    <xf numFmtId="170" fontId="17" fillId="2" borderId="7" xfId="1" applyNumberFormat="1" applyFont="1" applyFill="1" applyBorder="1" applyAlignment="1" applyProtection="1">
      <alignment horizontal="center" vertical="center" wrapText="1"/>
    </xf>
    <xf numFmtId="170" fontId="14" fillId="2" borderId="16" xfId="20" applyNumberFormat="1" applyFont="1" applyFill="1" applyBorder="1" applyAlignment="1" applyProtection="1">
      <alignment horizontal="left" vertical="center" wrapText="1"/>
    </xf>
    <xf numFmtId="170" fontId="14" fillId="2" borderId="17" xfId="20" applyNumberFormat="1" applyFont="1" applyFill="1" applyBorder="1" applyAlignment="1" applyProtection="1">
      <alignment horizontal="center" vertical="center"/>
    </xf>
    <xf numFmtId="170" fontId="14" fillId="2" borderId="17" xfId="20" applyNumberFormat="1" applyFont="1" applyFill="1" applyBorder="1" applyAlignment="1" applyProtection="1">
      <alignment horizontal="center" vertical="center" wrapText="1"/>
    </xf>
    <xf numFmtId="170" fontId="17" fillId="2" borderId="17" xfId="20" applyNumberFormat="1" applyFont="1" applyFill="1" applyBorder="1" applyAlignment="1" applyProtection="1">
      <alignment horizontal="center" vertical="center"/>
    </xf>
    <xf numFmtId="170" fontId="17" fillId="2" borderId="18" xfId="1" applyNumberFormat="1" applyFont="1" applyFill="1" applyBorder="1" applyAlignment="1" applyProtection="1">
      <alignment horizontal="center" vertical="center"/>
    </xf>
    <xf numFmtId="170" fontId="14" fillId="2" borderId="19" xfId="20" applyNumberFormat="1" applyFont="1" applyFill="1" applyBorder="1" applyAlignment="1" applyProtection="1">
      <alignment horizontal="left" vertical="center" wrapText="1"/>
    </xf>
    <xf numFmtId="170" fontId="14" fillId="2" borderId="20" xfId="20" applyNumberFormat="1" applyFont="1" applyFill="1" applyBorder="1" applyAlignment="1" applyProtection="1">
      <alignment horizontal="center" vertical="center" wrapText="1"/>
    </xf>
    <xf numFmtId="170" fontId="17" fillId="2" borderId="20" xfId="20" applyNumberFormat="1" applyFont="1" applyFill="1" applyBorder="1" applyAlignment="1" applyProtection="1">
      <alignment horizontal="center" vertical="center" wrapText="1"/>
    </xf>
    <xf numFmtId="170" fontId="17" fillId="2" borderId="23" xfId="1" applyNumberFormat="1" applyFont="1" applyFill="1" applyBorder="1" applyAlignment="1" applyProtection="1">
      <alignment horizontal="center" vertical="center" wrapText="1"/>
    </xf>
    <xf numFmtId="170" fontId="19" fillId="0" borderId="3" xfId="20" applyNumberFormat="1" applyFont="1" applyBorder="1" applyAlignment="1" applyProtection="1">
      <alignment horizontal="center" vertical="center"/>
    </xf>
    <xf numFmtId="170" fontId="14" fillId="2" borderId="10" xfId="14" applyNumberFormat="1" applyFont="1" applyFill="1" applyBorder="1" applyAlignment="1">
      <alignment horizontal="center" vertical="center"/>
    </xf>
    <xf numFmtId="170" fontId="20" fillId="2" borderId="11" xfId="20" applyNumberFormat="1" applyFont="1" applyFill="1" applyBorder="1" applyAlignment="1" applyProtection="1">
      <alignment horizontal="center" vertical="center" wrapText="1"/>
    </xf>
    <xf numFmtId="169" fontId="12" fillId="2" borderId="7" xfId="1" applyNumberFormat="1" applyFont="1" applyFill="1" applyBorder="1" applyAlignment="1" applyProtection="1">
      <alignment horizontal="center" vertical="center"/>
    </xf>
    <xf numFmtId="170" fontId="12" fillId="2" borderId="11" xfId="20" applyNumberFormat="1" applyFont="1" applyFill="1" applyBorder="1" applyAlignment="1" applyProtection="1">
      <alignment horizontal="center" vertical="center" wrapText="1"/>
    </xf>
    <xf numFmtId="170" fontId="14" fillId="2" borderId="6" xfId="14" applyNumberFormat="1" applyFont="1" applyFill="1" applyBorder="1" applyAlignment="1">
      <alignment horizontal="center" vertical="center"/>
    </xf>
    <xf numFmtId="171" fontId="20" fillId="2" borderId="11" xfId="14" applyNumberFormat="1" applyFont="1" applyFill="1" applyBorder="1" applyAlignment="1">
      <alignment horizontal="center" vertical="center"/>
    </xf>
    <xf numFmtId="170" fontId="12" fillId="0" borderId="4" xfId="14" applyNumberFormat="1" applyFont="1" applyBorder="1" applyAlignment="1">
      <alignment horizontal="center" vertical="center"/>
    </xf>
    <xf numFmtId="170" fontId="24" fillId="0" borderId="6" xfId="11" applyNumberFormat="1" applyFont="1" applyBorder="1" applyAlignment="1">
      <alignment horizontal="center" vertical="center"/>
    </xf>
    <xf numFmtId="170" fontId="24" fillId="0" borderId="8" xfId="11" applyNumberFormat="1" applyFont="1" applyBorder="1" applyAlignment="1">
      <alignment horizontal="center" vertical="center"/>
    </xf>
    <xf numFmtId="170" fontId="24" fillId="0" borderId="8" xfId="11" applyNumberFormat="1" applyFont="1" applyBorder="1" applyAlignment="1">
      <alignment horizontal="center" vertical="center" wrapText="1"/>
    </xf>
    <xf numFmtId="170" fontId="24" fillId="0" borderId="7" xfId="11" applyNumberFormat="1" applyFont="1" applyBorder="1" applyAlignment="1">
      <alignment horizontal="center" vertical="center" wrapText="1"/>
    </xf>
    <xf numFmtId="170" fontId="28" fillId="6" borderId="19" xfId="0" applyNumberFormat="1" applyFont="1" applyFill="1" applyBorder="1" applyAlignment="1">
      <alignment horizontal="center" vertical="center" wrapText="1"/>
    </xf>
    <xf numFmtId="0" fontId="31" fillId="7" borderId="17" xfId="0" applyFont="1" applyFill="1" applyBorder="1" applyAlignment="1">
      <alignment horizontal="center" vertical="center"/>
    </xf>
    <xf numFmtId="0" fontId="32" fillId="8" borderId="18" xfId="0" applyFont="1" applyFill="1" applyBorder="1" applyAlignment="1">
      <alignment horizontal="center" vertical="center" wrapText="1"/>
    </xf>
    <xf numFmtId="179" fontId="33" fillId="3" borderId="8" xfId="25" applyNumberFormat="1" applyFont="1" applyFill="1" applyBorder="1" applyAlignment="1" applyProtection="1">
      <alignment horizontal="right" vertical="center"/>
    </xf>
    <xf numFmtId="2" fontId="33" fillId="3" borderId="8" xfId="0" applyNumberFormat="1" applyFont="1" applyFill="1" applyBorder="1" applyAlignment="1">
      <alignment horizontal="center" vertical="center"/>
    </xf>
    <xf numFmtId="4" fontId="34" fillId="8" borderId="23" xfId="0" applyNumberFormat="1" applyFont="1" applyFill="1" applyBorder="1" applyAlignment="1">
      <alignment horizontal="center" vertical="center"/>
    </xf>
    <xf numFmtId="169" fontId="2" fillId="0" borderId="20" xfId="25" applyFont="1" applyBorder="1" applyAlignment="1" applyProtection="1">
      <alignment horizontal="right" vertical="center"/>
    </xf>
    <xf numFmtId="2" fontId="33" fillId="3" borderId="20" xfId="0" applyNumberFormat="1" applyFont="1" applyFill="1" applyBorder="1" applyAlignment="1">
      <alignment horizontal="center" vertical="center"/>
    </xf>
    <xf numFmtId="0" fontId="11" fillId="0" borderId="32" xfId="0" applyFont="1" applyBorder="1" applyAlignment="1">
      <alignment horizontal="center" vertical="center"/>
    </xf>
    <xf numFmtId="0" fontId="36" fillId="0" borderId="16" xfId="0" applyFont="1" applyBorder="1" applyAlignment="1">
      <alignment horizontal="center" vertical="center"/>
    </xf>
    <xf numFmtId="0" fontId="36" fillId="0" borderId="6" xfId="0" applyFont="1" applyBorder="1" applyAlignment="1">
      <alignment horizontal="center" vertical="center"/>
    </xf>
    <xf numFmtId="167" fontId="27" fillId="0" borderId="32" xfId="1" applyFont="1" applyBorder="1" applyAlignment="1" applyProtection="1">
      <alignment horizontal="center" vertical="center"/>
    </xf>
    <xf numFmtId="0" fontId="36" fillId="0" borderId="19" xfId="0" applyFont="1" applyBorder="1" applyAlignment="1">
      <alignment horizontal="center" vertical="center"/>
    </xf>
    <xf numFmtId="0" fontId="37" fillId="0" borderId="1" xfId="0" applyFont="1" applyBorder="1" applyAlignment="1">
      <alignment horizontal="center" vertical="center"/>
    </xf>
    <xf numFmtId="0" fontId="37" fillId="0" borderId="16" xfId="0" applyFont="1" applyBorder="1" applyAlignment="1">
      <alignment horizontal="center" vertical="center"/>
    </xf>
    <xf numFmtId="0" fontId="37" fillId="0" borderId="33" xfId="0" applyFont="1" applyBorder="1" applyAlignment="1">
      <alignment horizontal="center" vertical="center"/>
    </xf>
    <xf numFmtId="0" fontId="37" fillId="0" borderId="6" xfId="0" applyFont="1" applyBorder="1" applyAlignment="1">
      <alignment horizontal="center" vertical="center"/>
    </xf>
    <xf numFmtId="0" fontId="37" fillId="0" borderId="19" xfId="0" applyFont="1" applyBorder="1" applyAlignment="1">
      <alignment horizontal="center" vertical="center"/>
    </xf>
    <xf numFmtId="170" fontId="7" fillId="2" borderId="9" xfId="0" applyNumberFormat="1" applyFont="1" applyFill="1" applyBorder="1" applyAlignment="1">
      <alignment horizontal="center" vertical="center"/>
    </xf>
    <xf numFmtId="170" fontId="39" fillId="2" borderId="15" xfId="20" applyNumberFormat="1" applyFont="1" applyFill="1" applyBorder="1" applyAlignment="1" applyProtection="1">
      <alignment horizontal="center" vertical="center" wrapText="1"/>
    </xf>
    <xf numFmtId="170" fontId="10" fillId="2" borderId="26" xfId="20" applyNumberFormat="1" applyFont="1" applyFill="1" applyBorder="1" applyAlignment="1" applyProtection="1">
      <alignment horizontal="center" vertical="center"/>
    </xf>
    <xf numFmtId="170" fontId="11" fillId="2" borderId="8" xfId="14" applyNumberFormat="1" applyFont="1" applyFill="1" applyBorder="1" applyAlignment="1">
      <alignment horizontal="center" vertical="center"/>
    </xf>
    <xf numFmtId="0" fontId="40" fillId="11" borderId="8" xfId="0" applyFont="1" applyFill="1" applyBorder="1" applyAlignment="1">
      <alignment horizontal="center" vertical="center" wrapText="1"/>
    </xf>
    <xf numFmtId="0" fontId="0" fillId="0" borderId="8" xfId="0" applyBorder="1" applyAlignment="1">
      <alignment horizontal="center" vertical="center"/>
    </xf>
    <xf numFmtId="0" fontId="0" fillId="0" borderId="26" xfId="0" applyBorder="1" applyAlignment="1">
      <alignment horizontal="center" vertical="center"/>
    </xf>
    <xf numFmtId="0" fontId="40" fillId="0" borderId="8" xfId="0" applyFont="1" applyBorder="1" applyAlignment="1">
      <alignment vertical="center"/>
    </xf>
    <xf numFmtId="0" fontId="42" fillId="0" borderId="26" xfId="0" applyFont="1" applyBorder="1" applyAlignment="1">
      <alignment vertical="center"/>
    </xf>
    <xf numFmtId="0" fontId="8" fillId="0" borderId="42" xfId="0" applyFont="1" applyBorder="1" applyAlignment="1">
      <alignment horizontal="center" vertical="center"/>
    </xf>
    <xf numFmtId="167" fontId="5" fillId="0" borderId="8" xfId="1" applyFont="1" applyBorder="1" applyAlignment="1" applyProtection="1">
      <alignment horizontal="center" vertical="center"/>
    </xf>
    <xf numFmtId="167" fontId="5" fillId="0" borderId="20" xfId="1" applyFont="1" applyBorder="1" applyAlignment="1" applyProtection="1">
      <alignment horizontal="center" vertical="center"/>
    </xf>
    <xf numFmtId="167" fontId="5" fillId="0" borderId="17" xfId="1" applyFont="1" applyBorder="1" applyAlignment="1" applyProtection="1">
      <alignment horizontal="center" vertical="center"/>
    </xf>
    <xf numFmtId="167" fontId="5" fillId="0" borderId="26" xfId="1" applyFont="1" applyBorder="1" applyAlignment="1" applyProtection="1">
      <alignment horizontal="center" vertical="center"/>
    </xf>
    <xf numFmtId="0" fontId="40" fillId="9" borderId="13" xfId="0" applyFont="1" applyFill="1" applyBorder="1" applyAlignment="1">
      <alignment horizontal="left" vertical="center"/>
    </xf>
    <xf numFmtId="0" fontId="42" fillId="0" borderId="8" xfId="0" applyFont="1" applyBorder="1" applyAlignment="1">
      <alignment vertical="center"/>
    </xf>
    <xf numFmtId="165" fontId="14" fillId="2" borderId="8" xfId="2" applyNumberFormat="1" applyFont="1" applyFill="1" applyBorder="1" applyAlignment="1" applyProtection="1">
      <alignment horizontal="center" vertical="center"/>
    </xf>
    <xf numFmtId="170" fontId="14" fillId="2" borderId="26" xfId="20" applyNumberFormat="1" applyFont="1" applyFill="1" applyBorder="1" applyAlignment="1" applyProtection="1">
      <alignment horizontal="center" vertical="center"/>
    </xf>
    <xf numFmtId="170" fontId="14" fillId="2" borderId="26" xfId="20" applyNumberFormat="1" applyFont="1" applyFill="1" applyBorder="1" applyAlignment="1" applyProtection="1">
      <alignment horizontal="center" vertical="center" wrapText="1"/>
    </xf>
    <xf numFmtId="179" fontId="33" fillId="3" borderId="8" xfId="25" applyNumberFormat="1" applyFont="1" applyFill="1" applyBorder="1" applyAlignment="1" applyProtection="1">
      <alignment horizontal="center" vertical="center"/>
    </xf>
    <xf numFmtId="169" fontId="2" fillId="0" borderId="20" xfId="25" applyFont="1" applyBorder="1" applyAlignment="1" applyProtection="1">
      <alignment horizontal="center" vertical="center"/>
    </xf>
    <xf numFmtId="0" fontId="40" fillId="9" borderId="12" xfId="0" applyFont="1" applyFill="1" applyBorder="1" applyAlignment="1">
      <alignment horizontal="left" vertical="center"/>
    </xf>
    <xf numFmtId="0" fontId="40" fillId="9" borderId="13" xfId="0" applyFont="1" applyFill="1" applyBorder="1" applyAlignment="1">
      <alignment horizontal="left" vertical="center" wrapText="1"/>
    </xf>
    <xf numFmtId="169" fontId="5" fillId="0" borderId="26" xfId="1" applyNumberFormat="1" applyFont="1" applyBorder="1" applyAlignment="1" applyProtection="1">
      <alignment horizontal="center" vertical="center"/>
    </xf>
    <xf numFmtId="170" fontId="12" fillId="0" borderId="5" xfId="14" applyNumberFormat="1" applyFont="1" applyBorder="1" applyAlignment="1">
      <alignment horizontal="center" vertical="center"/>
    </xf>
    <xf numFmtId="170" fontId="7" fillId="14" borderId="1" xfId="0" applyNumberFormat="1" applyFont="1" applyFill="1" applyBorder="1" applyAlignment="1">
      <alignment horizontal="center" vertical="center"/>
    </xf>
    <xf numFmtId="170" fontId="12" fillId="14" borderId="2" xfId="20" applyNumberFormat="1" applyFont="1" applyFill="1" applyBorder="1" applyAlignment="1" applyProtection="1">
      <alignment horizontal="center" vertical="center" wrapText="1"/>
    </xf>
    <xf numFmtId="170" fontId="9" fillId="14" borderId="3" xfId="20" applyNumberFormat="1" applyFont="1" applyFill="1" applyBorder="1" applyAlignment="1" applyProtection="1">
      <alignment horizontal="center" vertical="center"/>
    </xf>
    <xf numFmtId="170" fontId="11" fillId="14" borderId="5" xfId="14" applyNumberFormat="1" applyFont="1" applyFill="1" applyBorder="1" applyAlignment="1">
      <alignment horizontal="center" vertical="center"/>
    </xf>
    <xf numFmtId="4" fontId="62" fillId="0" borderId="52" xfId="10" applyNumberFormat="1" applyFont="1" applyBorder="1" applyAlignment="1">
      <alignment horizontal="left" vertical="justify" wrapText="1"/>
    </xf>
    <xf numFmtId="4" fontId="62" fillId="0" borderId="0" xfId="10" applyNumberFormat="1" applyFont="1" applyAlignment="1">
      <alignment horizontal="left" vertical="justify" wrapText="1"/>
    </xf>
    <xf numFmtId="4" fontId="62" fillId="0" borderId="56" xfId="10" applyNumberFormat="1" applyFont="1" applyBorder="1" applyAlignment="1">
      <alignment horizontal="left" vertical="justify" wrapText="1"/>
    </xf>
    <xf numFmtId="4" fontId="62" fillId="0" borderId="57" xfId="10" applyNumberFormat="1" applyFont="1" applyBorder="1" applyAlignment="1">
      <alignment horizontal="left" vertical="justify" wrapText="1"/>
    </xf>
    <xf numFmtId="4" fontId="62" fillId="0" borderId="48" xfId="10" applyNumberFormat="1" applyFont="1" applyBorder="1" applyAlignment="1">
      <alignment horizontal="left" vertical="justify" wrapText="1"/>
    </xf>
    <xf numFmtId="4" fontId="62" fillId="0" borderId="58" xfId="10" applyNumberFormat="1" applyFont="1" applyBorder="1" applyAlignment="1">
      <alignment horizontal="left" vertical="justify" wrapText="1"/>
    </xf>
    <xf numFmtId="4" fontId="62" fillId="0" borderId="52" xfId="10" applyNumberFormat="1" applyFont="1" applyBorder="1" applyAlignment="1">
      <alignment horizontal="left" vertical="center" wrapText="1"/>
    </xf>
    <xf numFmtId="4" fontId="62" fillId="0" borderId="0" xfId="10" applyNumberFormat="1" applyFont="1" applyAlignment="1">
      <alignment horizontal="left" vertical="center" wrapText="1"/>
    </xf>
    <xf numFmtId="4" fontId="62" fillId="0" borderId="56" xfId="10" applyNumberFormat="1" applyFont="1" applyBorder="1" applyAlignment="1">
      <alignment horizontal="left" vertical="center" wrapText="1"/>
    </xf>
    <xf numFmtId="170" fontId="28" fillId="9" borderId="19" xfId="0" applyNumberFormat="1" applyFont="1" applyFill="1" applyBorder="1" applyAlignment="1">
      <alignment horizontal="center" vertical="center" wrapText="1"/>
    </xf>
    <xf numFmtId="167" fontId="23" fillId="2" borderId="59" xfId="1" applyFont="1" applyFill="1" applyBorder="1" applyAlignment="1" applyProtection="1">
      <alignment horizontal="center" vertical="center" shrinkToFit="1"/>
    </xf>
    <xf numFmtId="167" fontId="22" fillId="2" borderId="59" xfId="1" applyFont="1" applyFill="1" applyBorder="1" applyAlignment="1" applyProtection="1">
      <alignment horizontal="center" vertical="center"/>
    </xf>
    <xf numFmtId="167" fontId="22" fillId="2" borderId="7" xfId="1" applyFont="1" applyFill="1" applyBorder="1" applyAlignment="1" applyProtection="1">
      <alignment horizontal="center" vertical="center"/>
    </xf>
    <xf numFmtId="4" fontId="61" fillId="0" borderId="53" xfId="10" applyNumberFormat="1" applyFont="1" applyBorder="1" applyAlignment="1">
      <alignment horizontal="left" vertical="justify"/>
    </xf>
    <xf numFmtId="4" fontId="61" fillId="0" borderId="54" xfId="10" applyNumberFormat="1" applyFont="1" applyBorder="1" applyAlignment="1">
      <alignment horizontal="left" vertical="justify"/>
    </xf>
    <xf numFmtId="4" fontId="61" fillId="0" borderId="55" xfId="10" applyNumberFormat="1" applyFont="1" applyBorder="1" applyAlignment="1">
      <alignment horizontal="left" vertical="justify"/>
    </xf>
    <xf numFmtId="167" fontId="23" fillId="0" borderId="0" xfId="1" applyFont="1" applyBorder="1" applyAlignment="1" applyProtection="1">
      <alignment horizontal="right" vertical="center"/>
    </xf>
    <xf numFmtId="167" fontId="22" fillId="2" borderId="0" xfId="1" applyFont="1" applyFill="1" applyBorder="1" applyAlignment="1" applyProtection="1">
      <alignment horizontal="right" vertical="center"/>
    </xf>
    <xf numFmtId="0" fontId="44" fillId="0" borderId="8" xfId="0" applyFont="1" applyBorder="1" applyAlignment="1">
      <alignment horizontal="center" vertical="center"/>
    </xf>
    <xf numFmtId="0" fontId="28" fillId="3" borderId="32" xfId="4" applyFont="1" applyFill="1" applyBorder="1" applyAlignment="1">
      <alignment horizontal="center" vertical="center" wrapText="1"/>
    </xf>
    <xf numFmtId="0" fontId="28" fillId="3" borderId="32" xfId="4" applyFont="1" applyFill="1" applyBorder="1" applyAlignment="1">
      <alignment horizontal="center" vertical="center"/>
    </xf>
    <xf numFmtId="0" fontId="14" fillId="3" borderId="36" xfId="4" applyFont="1" applyFill="1" applyBorder="1" applyAlignment="1">
      <alignment horizontal="center" vertical="top" wrapText="1"/>
    </xf>
    <xf numFmtId="0" fontId="14" fillId="3" borderId="36" xfId="4" applyFont="1" applyFill="1" applyBorder="1" applyAlignment="1">
      <alignment horizontal="left" vertical="center" wrapText="1"/>
    </xf>
    <xf numFmtId="0" fontId="53" fillId="3" borderId="32" xfId="4" applyFont="1" applyFill="1" applyBorder="1" applyAlignment="1">
      <alignment horizontal="center" vertical="center"/>
    </xf>
    <xf numFmtId="0" fontId="8" fillId="9" borderId="16" xfId="0" applyFont="1" applyFill="1" applyBorder="1" applyAlignment="1">
      <alignment horizontal="center" vertical="center"/>
    </xf>
    <xf numFmtId="0" fontId="8" fillId="9" borderId="17" xfId="0" applyFont="1" applyFill="1" applyBorder="1" applyAlignment="1">
      <alignment horizontal="center" vertical="center"/>
    </xf>
    <xf numFmtId="0" fontId="8" fillId="9" borderId="17" xfId="0" applyFont="1" applyFill="1" applyBorder="1" applyAlignment="1">
      <alignment horizontal="center"/>
    </xf>
    <xf numFmtId="0" fontId="8" fillId="9" borderId="8" xfId="0" applyFont="1" applyFill="1" applyBorder="1" applyAlignment="1">
      <alignment horizontal="center" vertical="center"/>
    </xf>
    <xf numFmtId="0" fontId="8" fillId="3" borderId="6" xfId="0" applyFont="1" applyFill="1" applyBorder="1" applyAlignment="1">
      <alignment horizontal="center" vertical="center"/>
    </xf>
    <xf numFmtId="4" fontId="8" fillId="3" borderId="8" xfId="0" applyNumberFormat="1" applyFont="1" applyFill="1" applyBorder="1" applyAlignment="1">
      <alignment horizontal="left" vertical="center" wrapText="1"/>
    </xf>
    <xf numFmtId="167" fontId="5" fillId="3" borderId="8" xfId="1" applyFont="1" applyFill="1" applyBorder="1" applyAlignment="1" applyProtection="1">
      <alignment horizontal="center" vertical="center"/>
    </xf>
    <xf numFmtId="183" fontId="5" fillId="3" borderId="8" xfId="3" applyNumberFormat="1" applyFont="1" applyFill="1" applyBorder="1" applyAlignment="1" applyProtection="1">
      <alignment horizontal="center" vertical="center"/>
    </xf>
    <xf numFmtId="0" fontId="8" fillId="3" borderId="8" xfId="0" applyFont="1" applyFill="1" applyBorder="1" applyAlignment="1">
      <alignment horizontal="left" vertical="center" wrapText="1"/>
    </xf>
    <xf numFmtId="0" fontId="8" fillId="0" borderId="8" xfId="0" applyFont="1" applyBorder="1" applyAlignment="1">
      <alignment horizontal="left" vertical="center"/>
    </xf>
    <xf numFmtId="167" fontId="8" fillId="0" borderId="8" xfId="1" applyFont="1" applyBorder="1" applyAlignment="1" applyProtection="1">
      <alignment horizontal="left" vertical="center"/>
    </xf>
    <xf numFmtId="0" fontId="5" fillId="0" borderId="8" xfId="0" applyFont="1" applyBorder="1" applyAlignment="1">
      <alignment horizontal="left" vertical="center"/>
    </xf>
    <xf numFmtId="0" fontId="8" fillId="13" borderId="8" xfId="0" applyFont="1" applyFill="1" applyBorder="1" applyAlignment="1">
      <alignment horizontal="left" vertical="center"/>
    </xf>
    <xf numFmtId="167" fontId="8" fillId="13" borderId="8" xfId="1" applyFont="1" applyFill="1" applyBorder="1" applyAlignment="1" applyProtection="1">
      <alignment horizontal="left" vertical="center"/>
    </xf>
    <xf numFmtId="0" fontId="8" fillId="0" borderId="20" xfId="0" applyFont="1" applyBorder="1" applyAlignment="1">
      <alignment horizontal="left" vertical="center"/>
    </xf>
    <xf numFmtId="167" fontId="8" fillId="0" borderId="20" xfId="1" applyFont="1" applyBorder="1" applyAlignment="1" applyProtection="1">
      <alignment horizontal="left" vertical="center"/>
    </xf>
    <xf numFmtId="0" fontId="5" fillId="0" borderId="20" xfId="0" applyFont="1" applyBorder="1" applyAlignment="1">
      <alignment horizontal="left" vertical="center"/>
    </xf>
    <xf numFmtId="4" fontId="23" fillId="15" borderId="59" xfId="1" applyNumberFormat="1" applyFont="1" applyFill="1" applyBorder="1" applyAlignment="1" applyProtection="1">
      <alignment horizontal="center" vertical="center" shrinkToFit="1"/>
    </xf>
  </cellXfs>
  <cellStyles count="49">
    <cellStyle name="0,0_x000d__x000a_NA_x000d__x000a_" xfId="4" xr:uid="{00000000-0005-0000-0000-000006000000}"/>
    <cellStyle name="0,0_x000d__x000a_NA_x000d__x000a_ 2" xfId="5" xr:uid="{00000000-0005-0000-0000-000007000000}"/>
    <cellStyle name="0,0_x000d__x000a_NA_x000d__x000a_ 2 2" xfId="46" xr:uid="{16D67AA4-D3E0-4BAB-9983-A2429AEEDAFA}"/>
    <cellStyle name="0,0_x000d__x000a_NA_x000d__x000a_ 3" xfId="41" xr:uid="{66EEF51D-17E8-40ED-8DC3-380383E8C6F9}"/>
    <cellStyle name="Moeda" xfId="2" builtinId="4"/>
    <cellStyle name="Moeda 2" xfId="6" xr:uid="{00000000-0005-0000-0000-000008000000}"/>
    <cellStyle name="Moeda 2 2" xfId="35" xr:uid="{AB333EDD-E70D-4ED6-9DC5-640A6989D1CD}"/>
    <cellStyle name="Moeda 3" xfId="7" xr:uid="{00000000-0005-0000-0000-000009000000}"/>
    <cellStyle name="Moeda 3 2" xfId="37" xr:uid="{BDFCC82E-1CB4-4F1F-B8E7-1122ED64107B}"/>
    <cellStyle name="Moeda 4" xfId="8" xr:uid="{00000000-0005-0000-0000-00000A000000}"/>
    <cellStyle name="Moeda 4 2" xfId="44" xr:uid="{73AEB494-5526-4987-9088-3EE243754D33}"/>
    <cellStyle name="Moeda 5" xfId="9" xr:uid="{00000000-0005-0000-0000-00000B000000}"/>
    <cellStyle name="Moeda 5 2" xfId="48" xr:uid="{E2EF54CE-D783-4F88-AE6E-D5031CB1BE44}"/>
    <cellStyle name="Moeda 6" xfId="27" xr:uid="{A0244F2E-9184-4B62-8B4B-4EC2281698F9}"/>
    <cellStyle name="Normal" xfId="0" builtinId="0"/>
    <cellStyle name="Normal 101" xfId="10" xr:uid="{00000000-0005-0000-0000-00000C000000}"/>
    <cellStyle name="Normal 101 2" xfId="42" xr:uid="{B02617AE-482C-4851-8617-349ADB158B92}"/>
    <cellStyle name="Normal 2" xfId="11" xr:uid="{00000000-0005-0000-0000-00000D000000}"/>
    <cellStyle name="Normal 2 2" xfId="12" xr:uid="{00000000-0005-0000-0000-00000E000000}"/>
    <cellStyle name="Normal 2 2 2" xfId="29" xr:uid="{90C2B11F-E3A1-4166-985A-3E4E598EC741}"/>
    <cellStyle name="Normal 2 3" xfId="28" xr:uid="{56B689C4-36EF-4D1D-8F52-40BC849127A6}"/>
    <cellStyle name="Normal 3" xfId="13" xr:uid="{00000000-0005-0000-0000-00000F000000}"/>
    <cellStyle name="Normal 3 2" xfId="32" xr:uid="{962C159A-3745-4CF7-B68F-45C33ADED109}"/>
    <cellStyle name="Normal 4" xfId="26" xr:uid="{FD2DFB48-6857-4BA5-9A52-910A4E7FC91D}"/>
    <cellStyle name="Normal_LOTE 02" xfId="14" xr:uid="{00000000-0005-0000-0000-000010000000}"/>
    <cellStyle name="Normal_Pesquisa no referencial 10 de maio de 2013" xfId="15" xr:uid="{00000000-0005-0000-0000-000011000000}"/>
    <cellStyle name="Normal_Pesquisa no referencial 10 de maio de 2013 2" xfId="43" xr:uid="{E52B2CB2-9A7C-46AB-80F3-C85D96A25112}"/>
    <cellStyle name="Normal_Plan1 (2)" xfId="16" xr:uid="{00000000-0005-0000-0000-000012000000}"/>
    <cellStyle name="Porcentagem" xfId="3" builtinId="5"/>
    <cellStyle name="Porcentagem 2" xfId="17" xr:uid="{00000000-0005-0000-0000-000013000000}"/>
    <cellStyle name="Porcentagem 2 2" xfId="18" xr:uid="{00000000-0005-0000-0000-000014000000}"/>
    <cellStyle name="Porcentagem 2 2 2" xfId="33" xr:uid="{F1CBEB14-3857-48A1-B64E-C4D24F597BF5}"/>
    <cellStyle name="Porcentagem 2 3" xfId="47" xr:uid="{002D4711-B652-4918-9E89-4A529D4595E3}"/>
    <cellStyle name="Porcentagem 3" xfId="40" xr:uid="{79199969-ABEC-4697-80EF-82C9163740F7}"/>
    <cellStyle name="Separador de milhares 2" xfId="19" xr:uid="{00000000-0005-0000-0000-000015000000}"/>
    <cellStyle name="Separador de milhares 2 2" xfId="31" xr:uid="{21F6020F-BB12-40FB-8558-6FC7CDEE3C0F}"/>
    <cellStyle name="Separador de milhares_LOTE 02" xfId="20" xr:uid="{00000000-0005-0000-0000-000016000000}"/>
    <cellStyle name="Vírgula" xfId="1" builtinId="3"/>
    <cellStyle name="Vírgula 2" xfId="21" xr:uid="{00000000-0005-0000-0000-000017000000}"/>
    <cellStyle name="Vírgula 2 2" xfId="22" xr:uid="{00000000-0005-0000-0000-000018000000}"/>
    <cellStyle name="Vírgula 2 2 2" xfId="39" xr:uid="{1562F19E-8A30-4DAE-B359-EDE3E2D94E27}"/>
    <cellStyle name="Vírgula 2 3" xfId="34" xr:uid="{09DD4D86-F40D-4450-B6F6-A9934B2553FF}"/>
    <cellStyle name="Vírgula 3" xfId="23" xr:uid="{00000000-0005-0000-0000-000019000000}"/>
    <cellStyle name="Vírgula 3 2" xfId="36" xr:uid="{31C663C1-AB1B-47AD-B87F-558E45E3650B}"/>
    <cellStyle name="Vírgula 4" xfId="24" xr:uid="{00000000-0005-0000-0000-00001A000000}"/>
    <cellStyle name="Vírgula 4 2" xfId="38" xr:uid="{93686A65-9F7F-4A01-AF34-B29DC292AAE3}"/>
    <cellStyle name="Vírgula 5" xfId="25" xr:uid="{00000000-0005-0000-0000-00001B000000}"/>
    <cellStyle name="Vírgula 5 2" xfId="45" xr:uid="{3A387089-0394-4863-BFD4-0ACADC8BC0F2}"/>
    <cellStyle name="Vírgula 6" xfId="30" xr:uid="{16667888-6DDE-4874-ACE6-2BB23968BDEE}"/>
  </cellStyles>
  <dxfs count="14">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BFBFBF"/>
      <rgbColor rgb="FF808080"/>
      <rgbColor rgb="FF9999FF"/>
      <rgbColor rgb="FF993366"/>
      <rgbColor rgb="FFFDEADA"/>
      <rgbColor rgb="FFCCFFFF"/>
      <rgbColor rgb="FF660066"/>
      <rgbColor rgb="FFFF8080"/>
      <rgbColor rgb="FF0066CC"/>
      <rgbColor rgb="FFD8D8D8"/>
      <rgbColor rgb="FF000080"/>
      <rgbColor rgb="FFFF00FF"/>
      <rgbColor rgb="FFFFFF00"/>
      <rgbColor rgb="FF00FFFF"/>
      <rgbColor rgb="FF800080"/>
      <rgbColor rgb="FF800000"/>
      <rgbColor rgb="FF008080"/>
      <rgbColor rgb="FF0000FF"/>
      <rgbColor rgb="FF00B0F0"/>
      <rgbColor rgb="FFCCFFFF"/>
      <rgbColor rgb="FFD9D9D9"/>
      <rgbColor rgb="FFFFFF99"/>
      <rgbColor rgb="FF99CCFF"/>
      <rgbColor rgb="FFFF99CC"/>
      <rgbColor rgb="FFCC99FF"/>
      <rgbColor rgb="FFFCD5B5"/>
      <rgbColor rgb="FF3366FF"/>
      <rgbColor rgb="FF33CCCC"/>
      <rgbColor rgb="FF99CC00"/>
      <rgbColor rgb="FFFFCC00"/>
      <rgbColor rgb="FFFF9900"/>
      <rgbColor rgb="FFE46C0A"/>
      <rgbColor rgb="FF666699"/>
      <rgbColor rgb="FFA6A6A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71280</xdr:colOff>
      <xdr:row>1</xdr:row>
      <xdr:rowOff>95400</xdr:rowOff>
    </xdr:from>
    <xdr:to>
      <xdr:col>2</xdr:col>
      <xdr:colOff>1940040</xdr:colOff>
      <xdr:row>3</xdr:row>
      <xdr:rowOff>307800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70120" y="171720"/>
          <a:ext cx="1868760" cy="9550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71280</xdr:colOff>
      <xdr:row>1</xdr:row>
      <xdr:rowOff>95400</xdr:rowOff>
    </xdr:from>
    <xdr:to>
      <xdr:col>2</xdr:col>
      <xdr:colOff>1940040</xdr:colOff>
      <xdr:row>3</xdr:row>
      <xdr:rowOff>307800</xdr:rowOff>
    </xdr:to>
    <xdr:pic>
      <xdr:nvPicPr>
        <xdr:cNvPr id="2" name="image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870120" y="171720"/>
          <a:ext cx="1868760" cy="9550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226080</xdr:colOff>
      <xdr:row>1</xdr:row>
      <xdr:rowOff>107280</xdr:rowOff>
    </xdr:from>
    <xdr:to>
      <xdr:col>1</xdr:col>
      <xdr:colOff>1952280</xdr:colOff>
      <xdr:row>3</xdr:row>
      <xdr:rowOff>246600</xdr:rowOff>
    </xdr:to>
    <xdr:pic>
      <xdr:nvPicPr>
        <xdr:cNvPr id="2" name="image1.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398160" y="183600"/>
          <a:ext cx="1726200" cy="8820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226080</xdr:colOff>
      <xdr:row>1</xdr:row>
      <xdr:rowOff>107280</xdr:rowOff>
    </xdr:from>
    <xdr:to>
      <xdr:col>1</xdr:col>
      <xdr:colOff>1952280</xdr:colOff>
      <xdr:row>3</xdr:row>
      <xdr:rowOff>246600</xdr:rowOff>
    </xdr:to>
    <xdr:pic>
      <xdr:nvPicPr>
        <xdr:cNvPr id="3" name="image1.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stretch/>
      </xdr:blipFill>
      <xdr:spPr>
        <a:xfrm>
          <a:off x="398160" y="183600"/>
          <a:ext cx="1726200" cy="88200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71280</xdr:colOff>
      <xdr:row>1</xdr:row>
      <xdr:rowOff>95400</xdr:rowOff>
    </xdr:from>
    <xdr:to>
      <xdr:col>2</xdr:col>
      <xdr:colOff>1940040</xdr:colOff>
      <xdr:row>3</xdr:row>
      <xdr:rowOff>307800</xdr:rowOff>
    </xdr:to>
    <xdr:pic>
      <xdr:nvPicPr>
        <xdr:cNvPr id="4" name="image1.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tretch/>
      </xdr:blipFill>
      <xdr:spPr>
        <a:xfrm>
          <a:off x="870120" y="171720"/>
          <a:ext cx="1868760" cy="95508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226080</xdr:colOff>
      <xdr:row>1</xdr:row>
      <xdr:rowOff>107280</xdr:rowOff>
    </xdr:from>
    <xdr:to>
      <xdr:col>1</xdr:col>
      <xdr:colOff>1952280</xdr:colOff>
      <xdr:row>3</xdr:row>
      <xdr:rowOff>246600</xdr:rowOff>
    </xdr:to>
    <xdr:pic>
      <xdr:nvPicPr>
        <xdr:cNvPr id="5" name="image1.pn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a:stretch/>
      </xdr:blipFill>
      <xdr:spPr>
        <a:xfrm>
          <a:off x="398160" y="183600"/>
          <a:ext cx="1726200" cy="88200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71280</xdr:colOff>
      <xdr:row>1</xdr:row>
      <xdr:rowOff>95400</xdr:rowOff>
    </xdr:from>
    <xdr:to>
      <xdr:col>2</xdr:col>
      <xdr:colOff>1940040</xdr:colOff>
      <xdr:row>3</xdr:row>
      <xdr:rowOff>307800</xdr:rowOff>
    </xdr:to>
    <xdr:pic>
      <xdr:nvPicPr>
        <xdr:cNvPr id="6" name="image1.png">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a:stretch/>
      </xdr:blipFill>
      <xdr:spPr>
        <a:xfrm>
          <a:off x="870120" y="171720"/>
          <a:ext cx="1868760" cy="95508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226080</xdr:colOff>
      <xdr:row>1</xdr:row>
      <xdr:rowOff>107280</xdr:rowOff>
    </xdr:from>
    <xdr:to>
      <xdr:col>1</xdr:col>
      <xdr:colOff>1952280</xdr:colOff>
      <xdr:row>3</xdr:row>
      <xdr:rowOff>246600</xdr:rowOff>
    </xdr:to>
    <xdr:pic>
      <xdr:nvPicPr>
        <xdr:cNvPr id="7" name="image1.png">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1"/>
        <a:stretch/>
      </xdr:blipFill>
      <xdr:spPr>
        <a:xfrm>
          <a:off x="398160" y="183600"/>
          <a:ext cx="1726200" cy="88200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71280</xdr:colOff>
      <xdr:row>1</xdr:row>
      <xdr:rowOff>95400</xdr:rowOff>
    </xdr:from>
    <xdr:to>
      <xdr:col>2</xdr:col>
      <xdr:colOff>1940040</xdr:colOff>
      <xdr:row>3</xdr:row>
      <xdr:rowOff>307800</xdr:rowOff>
    </xdr:to>
    <xdr:pic>
      <xdr:nvPicPr>
        <xdr:cNvPr id="8" name="image1.png">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1"/>
        <a:stretch/>
      </xdr:blipFill>
      <xdr:spPr>
        <a:xfrm>
          <a:off x="870120" y="171720"/>
          <a:ext cx="1868760" cy="95508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71280</xdr:colOff>
      <xdr:row>1</xdr:row>
      <xdr:rowOff>95400</xdr:rowOff>
    </xdr:from>
    <xdr:to>
      <xdr:col>2</xdr:col>
      <xdr:colOff>1940040</xdr:colOff>
      <xdr:row>3</xdr:row>
      <xdr:rowOff>307800</xdr:rowOff>
    </xdr:to>
    <xdr:pic>
      <xdr:nvPicPr>
        <xdr:cNvPr id="9" name="image1.png">
          <a:extLst>
            <a:ext uri="{FF2B5EF4-FFF2-40B4-BE49-F238E27FC236}">
              <a16:creationId xmlns:a16="http://schemas.microsoft.com/office/drawing/2014/main" id="{00000000-0008-0000-0900-000009000000}"/>
            </a:ext>
          </a:extLst>
        </xdr:cNvPr>
        <xdr:cNvPicPr/>
      </xdr:nvPicPr>
      <xdr:blipFill>
        <a:blip xmlns:r="http://schemas.openxmlformats.org/officeDocument/2006/relationships" r:embed="rId1"/>
        <a:stretch/>
      </xdr:blipFill>
      <xdr:spPr>
        <a:xfrm>
          <a:off x="870120" y="171720"/>
          <a:ext cx="1868760" cy="95508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226080</xdr:colOff>
      <xdr:row>1</xdr:row>
      <xdr:rowOff>107280</xdr:rowOff>
    </xdr:from>
    <xdr:to>
      <xdr:col>1</xdr:col>
      <xdr:colOff>1952280</xdr:colOff>
      <xdr:row>3</xdr:row>
      <xdr:rowOff>246600</xdr:rowOff>
    </xdr:to>
    <xdr:pic>
      <xdr:nvPicPr>
        <xdr:cNvPr id="10" name="image1.png">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1"/>
        <a:stretch/>
      </xdr:blipFill>
      <xdr:spPr>
        <a:xfrm>
          <a:off x="398160" y="183600"/>
          <a:ext cx="1726200" cy="88200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226080</xdr:colOff>
      <xdr:row>1</xdr:row>
      <xdr:rowOff>107280</xdr:rowOff>
    </xdr:from>
    <xdr:to>
      <xdr:col>1</xdr:col>
      <xdr:colOff>1952280</xdr:colOff>
      <xdr:row>3</xdr:row>
      <xdr:rowOff>246600</xdr:rowOff>
    </xdr:to>
    <xdr:pic>
      <xdr:nvPicPr>
        <xdr:cNvPr id="11" name="image1.png">
          <a:extLst>
            <a:ext uri="{FF2B5EF4-FFF2-40B4-BE49-F238E27FC236}">
              <a16:creationId xmlns:a16="http://schemas.microsoft.com/office/drawing/2014/main" id="{00000000-0008-0000-0B00-00000B000000}"/>
            </a:ext>
          </a:extLst>
        </xdr:cNvPr>
        <xdr:cNvPicPr/>
      </xdr:nvPicPr>
      <xdr:blipFill>
        <a:blip xmlns:r="http://schemas.openxmlformats.org/officeDocument/2006/relationships" r:embed="rId1"/>
        <a:stretch/>
      </xdr:blipFill>
      <xdr:spPr>
        <a:xfrm>
          <a:off x="398160" y="183600"/>
          <a:ext cx="1726200" cy="88200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71280</xdr:colOff>
      <xdr:row>1</xdr:row>
      <xdr:rowOff>95400</xdr:rowOff>
    </xdr:from>
    <xdr:to>
      <xdr:col>2</xdr:col>
      <xdr:colOff>1940040</xdr:colOff>
      <xdr:row>3</xdr:row>
      <xdr:rowOff>307800</xdr:rowOff>
    </xdr:to>
    <xdr:pic>
      <xdr:nvPicPr>
        <xdr:cNvPr id="12" name="image1.png">
          <a:extLst>
            <a:ext uri="{FF2B5EF4-FFF2-40B4-BE49-F238E27FC236}">
              <a16:creationId xmlns:a16="http://schemas.microsoft.com/office/drawing/2014/main" id="{00000000-0008-0000-0C00-00000C000000}"/>
            </a:ext>
          </a:extLst>
        </xdr:cNvPr>
        <xdr:cNvPicPr/>
      </xdr:nvPicPr>
      <xdr:blipFill>
        <a:blip xmlns:r="http://schemas.openxmlformats.org/officeDocument/2006/relationships" r:embed="rId1"/>
        <a:stretch/>
      </xdr:blipFill>
      <xdr:spPr>
        <a:xfrm>
          <a:off x="870120" y="171720"/>
          <a:ext cx="1868760" cy="955080"/>
        </a:xfrm>
        <a:prstGeom prst="rect">
          <a:avLst/>
        </a:prstGeom>
        <a:ln w="0">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71280</xdr:colOff>
      <xdr:row>1</xdr:row>
      <xdr:rowOff>95400</xdr:rowOff>
    </xdr:from>
    <xdr:to>
      <xdr:col>2</xdr:col>
      <xdr:colOff>1940040</xdr:colOff>
      <xdr:row>3</xdr:row>
      <xdr:rowOff>307800</xdr:rowOff>
    </xdr:to>
    <xdr:pic>
      <xdr:nvPicPr>
        <xdr:cNvPr id="13" name="image1.png">
          <a:extLst>
            <a:ext uri="{FF2B5EF4-FFF2-40B4-BE49-F238E27FC236}">
              <a16:creationId xmlns:a16="http://schemas.microsoft.com/office/drawing/2014/main" id="{00000000-0008-0000-0D00-00000D000000}"/>
            </a:ext>
          </a:extLst>
        </xdr:cNvPr>
        <xdr:cNvPicPr/>
      </xdr:nvPicPr>
      <xdr:blipFill>
        <a:blip xmlns:r="http://schemas.openxmlformats.org/officeDocument/2006/relationships" r:embed="rId1"/>
        <a:stretch/>
      </xdr:blipFill>
      <xdr:spPr>
        <a:xfrm>
          <a:off x="870120" y="171720"/>
          <a:ext cx="1868760" cy="955080"/>
        </a:xfrm>
        <a:prstGeom prst="rect">
          <a:avLst/>
        </a:prstGeom>
        <a:ln w="0">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71280</xdr:colOff>
      <xdr:row>1</xdr:row>
      <xdr:rowOff>95400</xdr:rowOff>
    </xdr:from>
    <xdr:to>
      <xdr:col>2</xdr:col>
      <xdr:colOff>1940040</xdr:colOff>
      <xdr:row>3</xdr:row>
      <xdr:rowOff>307800</xdr:rowOff>
    </xdr:to>
    <xdr:pic>
      <xdr:nvPicPr>
        <xdr:cNvPr id="14" name="image1.png">
          <a:extLst>
            <a:ext uri="{FF2B5EF4-FFF2-40B4-BE49-F238E27FC236}">
              <a16:creationId xmlns:a16="http://schemas.microsoft.com/office/drawing/2014/main" id="{00000000-0008-0000-0E00-00000E000000}"/>
            </a:ext>
          </a:extLst>
        </xdr:cNvPr>
        <xdr:cNvPicPr/>
      </xdr:nvPicPr>
      <xdr:blipFill>
        <a:blip xmlns:r="http://schemas.openxmlformats.org/officeDocument/2006/relationships" r:embed="rId1"/>
        <a:stretch/>
      </xdr:blipFill>
      <xdr:spPr>
        <a:xfrm>
          <a:off x="870120" y="171720"/>
          <a:ext cx="1868760" cy="955080"/>
        </a:xfrm>
        <a:prstGeom prst="rect">
          <a:avLst/>
        </a:prstGeom>
        <a:ln w="0">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71280</xdr:colOff>
      <xdr:row>1</xdr:row>
      <xdr:rowOff>95400</xdr:rowOff>
    </xdr:from>
    <xdr:to>
      <xdr:col>2</xdr:col>
      <xdr:colOff>1940040</xdr:colOff>
      <xdr:row>3</xdr:row>
      <xdr:rowOff>307800</xdr:rowOff>
    </xdr:to>
    <xdr:pic>
      <xdr:nvPicPr>
        <xdr:cNvPr id="15" name="image1.png">
          <a:extLst>
            <a:ext uri="{FF2B5EF4-FFF2-40B4-BE49-F238E27FC236}">
              <a16:creationId xmlns:a16="http://schemas.microsoft.com/office/drawing/2014/main" id="{00000000-0008-0000-0F00-00000F000000}"/>
            </a:ext>
          </a:extLst>
        </xdr:cNvPr>
        <xdr:cNvPicPr/>
      </xdr:nvPicPr>
      <xdr:blipFill>
        <a:blip xmlns:r="http://schemas.openxmlformats.org/officeDocument/2006/relationships" r:embed="rId1"/>
        <a:stretch/>
      </xdr:blipFill>
      <xdr:spPr>
        <a:xfrm>
          <a:off x="870120" y="171720"/>
          <a:ext cx="1868760" cy="955080"/>
        </a:xfrm>
        <a:prstGeom prst="rect">
          <a:avLst/>
        </a:prstGeom>
        <a:ln w="0">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226080</xdr:colOff>
      <xdr:row>1</xdr:row>
      <xdr:rowOff>107280</xdr:rowOff>
    </xdr:from>
    <xdr:to>
      <xdr:col>1</xdr:col>
      <xdr:colOff>1952280</xdr:colOff>
      <xdr:row>3</xdr:row>
      <xdr:rowOff>246600</xdr:rowOff>
    </xdr:to>
    <xdr:pic>
      <xdr:nvPicPr>
        <xdr:cNvPr id="16" name="image1.png">
          <a:extLst>
            <a:ext uri="{FF2B5EF4-FFF2-40B4-BE49-F238E27FC236}">
              <a16:creationId xmlns:a16="http://schemas.microsoft.com/office/drawing/2014/main" id="{00000000-0008-0000-1000-000010000000}"/>
            </a:ext>
          </a:extLst>
        </xdr:cNvPr>
        <xdr:cNvPicPr/>
      </xdr:nvPicPr>
      <xdr:blipFill>
        <a:blip xmlns:r="http://schemas.openxmlformats.org/officeDocument/2006/relationships" r:embed="rId1"/>
        <a:stretch/>
      </xdr:blipFill>
      <xdr:spPr>
        <a:xfrm>
          <a:off x="398160" y="183600"/>
          <a:ext cx="1726200" cy="882000"/>
        </a:xfrm>
        <a:prstGeom prst="rect">
          <a:avLst/>
        </a:prstGeom>
        <a:ln w="0">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226080</xdr:colOff>
      <xdr:row>1</xdr:row>
      <xdr:rowOff>107280</xdr:rowOff>
    </xdr:from>
    <xdr:to>
      <xdr:col>1</xdr:col>
      <xdr:colOff>1952280</xdr:colOff>
      <xdr:row>3</xdr:row>
      <xdr:rowOff>246600</xdr:rowOff>
    </xdr:to>
    <xdr:pic>
      <xdr:nvPicPr>
        <xdr:cNvPr id="17" name="image1.png">
          <a:extLst>
            <a:ext uri="{FF2B5EF4-FFF2-40B4-BE49-F238E27FC236}">
              <a16:creationId xmlns:a16="http://schemas.microsoft.com/office/drawing/2014/main" id="{00000000-0008-0000-1100-000011000000}"/>
            </a:ext>
          </a:extLst>
        </xdr:cNvPr>
        <xdr:cNvPicPr/>
      </xdr:nvPicPr>
      <xdr:blipFill>
        <a:blip xmlns:r="http://schemas.openxmlformats.org/officeDocument/2006/relationships" r:embed="rId1"/>
        <a:stretch/>
      </xdr:blipFill>
      <xdr:spPr>
        <a:xfrm>
          <a:off x="398160" y="183600"/>
          <a:ext cx="1726200" cy="882000"/>
        </a:xfrm>
        <a:prstGeom prst="rect">
          <a:avLst/>
        </a:prstGeom>
        <a:ln w="0">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226080</xdr:colOff>
      <xdr:row>1</xdr:row>
      <xdr:rowOff>107280</xdr:rowOff>
    </xdr:from>
    <xdr:to>
      <xdr:col>1</xdr:col>
      <xdr:colOff>1952280</xdr:colOff>
      <xdr:row>3</xdr:row>
      <xdr:rowOff>246600</xdr:rowOff>
    </xdr:to>
    <xdr:pic>
      <xdr:nvPicPr>
        <xdr:cNvPr id="18" name="image1.png">
          <a:extLst>
            <a:ext uri="{FF2B5EF4-FFF2-40B4-BE49-F238E27FC236}">
              <a16:creationId xmlns:a16="http://schemas.microsoft.com/office/drawing/2014/main" id="{00000000-0008-0000-1200-000012000000}"/>
            </a:ext>
          </a:extLst>
        </xdr:cNvPr>
        <xdr:cNvPicPr/>
      </xdr:nvPicPr>
      <xdr:blipFill>
        <a:blip xmlns:r="http://schemas.openxmlformats.org/officeDocument/2006/relationships" r:embed="rId1"/>
        <a:stretch/>
      </xdr:blipFill>
      <xdr:spPr>
        <a:xfrm>
          <a:off x="398160" y="183600"/>
          <a:ext cx="1726200" cy="882000"/>
        </a:xfrm>
        <a:prstGeom prst="rect">
          <a:avLst/>
        </a:prstGeom>
        <a:ln w="0">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71280</xdr:colOff>
      <xdr:row>1</xdr:row>
      <xdr:rowOff>95400</xdr:rowOff>
    </xdr:from>
    <xdr:to>
      <xdr:col>2</xdr:col>
      <xdr:colOff>1940040</xdr:colOff>
      <xdr:row>3</xdr:row>
      <xdr:rowOff>307800</xdr:rowOff>
    </xdr:to>
    <xdr:pic>
      <xdr:nvPicPr>
        <xdr:cNvPr id="19" name="image1.png">
          <a:extLst>
            <a:ext uri="{FF2B5EF4-FFF2-40B4-BE49-F238E27FC236}">
              <a16:creationId xmlns:a16="http://schemas.microsoft.com/office/drawing/2014/main" id="{00000000-0008-0000-1300-000013000000}"/>
            </a:ext>
          </a:extLst>
        </xdr:cNvPr>
        <xdr:cNvPicPr/>
      </xdr:nvPicPr>
      <xdr:blipFill>
        <a:blip xmlns:r="http://schemas.openxmlformats.org/officeDocument/2006/relationships" r:embed="rId1"/>
        <a:stretch/>
      </xdr:blipFill>
      <xdr:spPr>
        <a:xfrm>
          <a:off x="870120" y="171720"/>
          <a:ext cx="1868760" cy="955080"/>
        </a:xfrm>
        <a:prstGeom prst="rect">
          <a:avLst/>
        </a:prstGeom>
        <a:ln w="0">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226080</xdr:colOff>
      <xdr:row>1</xdr:row>
      <xdr:rowOff>107280</xdr:rowOff>
    </xdr:from>
    <xdr:to>
      <xdr:col>1</xdr:col>
      <xdr:colOff>1952280</xdr:colOff>
      <xdr:row>3</xdr:row>
      <xdr:rowOff>246600</xdr:rowOff>
    </xdr:to>
    <xdr:pic>
      <xdr:nvPicPr>
        <xdr:cNvPr id="20" name="image1.png">
          <a:extLst>
            <a:ext uri="{FF2B5EF4-FFF2-40B4-BE49-F238E27FC236}">
              <a16:creationId xmlns:a16="http://schemas.microsoft.com/office/drawing/2014/main" id="{00000000-0008-0000-1400-000014000000}"/>
            </a:ext>
          </a:extLst>
        </xdr:cNvPr>
        <xdr:cNvPicPr/>
      </xdr:nvPicPr>
      <xdr:blipFill>
        <a:blip xmlns:r="http://schemas.openxmlformats.org/officeDocument/2006/relationships" r:embed="rId1"/>
        <a:stretch/>
      </xdr:blipFill>
      <xdr:spPr>
        <a:xfrm>
          <a:off x="398160" y="183600"/>
          <a:ext cx="1726200" cy="882000"/>
        </a:xfrm>
        <a:prstGeom prst="rect">
          <a:avLst/>
        </a:prstGeom>
        <a:ln w="0">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226080</xdr:colOff>
      <xdr:row>1</xdr:row>
      <xdr:rowOff>107280</xdr:rowOff>
    </xdr:from>
    <xdr:to>
      <xdr:col>1</xdr:col>
      <xdr:colOff>1952280</xdr:colOff>
      <xdr:row>3</xdr:row>
      <xdr:rowOff>246600</xdr:rowOff>
    </xdr:to>
    <xdr:pic>
      <xdr:nvPicPr>
        <xdr:cNvPr id="21" name="image1.png">
          <a:extLst>
            <a:ext uri="{FF2B5EF4-FFF2-40B4-BE49-F238E27FC236}">
              <a16:creationId xmlns:a16="http://schemas.microsoft.com/office/drawing/2014/main" id="{00000000-0008-0000-1500-000015000000}"/>
            </a:ext>
          </a:extLst>
        </xdr:cNvPr>
        <xdr:cNvPicPr/>
      </xdr:nvPicPr>
      <xdr:blipFill>
        <a:blip xmlns:r="http://schemas.openxmlformats.org/officeDocument/2006/relationships" r:embed="rId1"/>
        <a:stretch/>
      </xdr:blipFill>
      <xdr:spPr>
        <a:xfrm>
          <a:off x="398160" y="183600"/>
          <a:ext cx="1726200" cy="882000"/>
        </a:xfrm>
        <a:prstGeom prst="rect">
          <a:avLst/>
        </a:prstGeom>
        <a:ln w="0">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71280</xdr:colOff>
      <xdr:row>1</xdr:row>
      <xdr:rowOff>95400</xdr:rowOff>
    </xdr:from>
    <xdr:to>
      <xdr:col>2</xdr:col>
      <xdr:colOff>1940040</xdr:colOff>
      <xdr:row>3</xdr:row>
      <xdr:rowOff>307800</xdr:rowOff>
    </xdr:to>
    <xdr:pic>
      <xdr:nvPicPr>
        <xdr:cNvPr id="22" name="image1.png">
          <a:extLst>
            <a:ext uri="{FF2B5EF4-FFF2-40B4-BE49-F238E27FC236}">
              <a16:creationId xmlns:a16="http://schemas.microsoft.com/office/drawing/2014/main" id="{00000000-0008-0000-1600-000016000000}"/>
            </a:ext>
          </a:extLst>
        </xdr:cNvPr>
        <xdr:cNvPicPr/>
      </xdr:nvPicPr>
      <xdr:blipFill>
        <a:blip xmlns:r="http://schemas.openxmlformats.org/officeDocument/2006/relationships" r:embed="rId1"/>
        <a:stretch/>
      </xdr:blipFill>
      <xdr:spPr>
        <a:xfrm>
          <a:off x="870120" y="171720"/>
          <a:ext cx="1868760" cy="955080"/>
        </a:xfrm>
        <a:prstGeom prst="rect">
          <a:avLst/>
        </a:prstGeom>
        <a:ln w="0">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226080</xdr:colOff>
      <xdr:row>1</xdr:row>
      <xdr:rowOff>107280</xdr:rowOff>
    </xdr:from>
    <xdr:to>
      <xdr:col>1</xdr:col>
      <xdr:colOff>1952280</xdr:colOff>
      <xdr:row>3</xdr:row>
      <xdr:rowOff>246600</xdr:rowOff>
    </xdr:to>
    <xdr:pic>
      <xdr:nvPicPr>
        <xdr:cNvPr id="23" name="image1.png">
          <a:extLst>
            <a:ext uri="{FF2B5EF4-FFF2-40B4-BE49-F238E27FC236}">
              <a16:creationId xmlns:a16="http://schemas.microsoft.com/office/drawing/2014/main" id="{00000000-0008-0000-1700-000017000000}"/>
            </a:ext>
          </a:extLst>
        </xdr:cNvPr>
        <xdr:cNvPicPr/>
      </xdr:nvPicPr>
      <xdr:blipFill>
        <a:blip xmlns:r="http://schemas.openxmlformats.org/officeDocument/2006/relationships" r:embed="rId1"/>
        <a:stretch/>
      </xdr:blipFill>
      <xdr:spPr>
        <a:xfrm>
          <a:off x="398160" y="183600"/>
          <a:ext cx="1726200" cy="882000"/>
        </a:xfrm>
        <a:prstGeom prst="rect">
          <a:avLst/>
        </a:prstGeom>
        <a:ln w="0">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71280</xdr:colOff>
      <xdr:row>1</xdr:row>
      <xdr:rowOff>41612</xdr:rowOff>
    </xdr:from>
    <xdr:to>
      <xdr:col>2</xdr:col>
      <xdr:colOff>1160111</xdr:colOff>
      <xdr:row>3</xdr:row>
      <xdr:rowOff>254012</xdr:rowOff>
    </xdr:to>
    <xdr:pic>
      <xdr:nvPicPr>
        <xdr:cNvPr id="24" name="image1.png">
          <a:extLst>
            <a:ext uri="{FF2B5EF4-FFF2-40B4-BE49-F238E27FC236}">
              <a16:creationId xmlns:a16="http://schemas.microsoft.com/office/drawing/2014/main" id="{00000000-0008-0000-1800-000018000000}"/>
            </a:ext>
          </a:extLst>
        </xdr:cNvPr>
        <xdr:cNvPicPr/>
      </xdr:nvPicPr>
      <xdr:blipFill>
        <a:blip xmlns:r="http://schemas.openxmlformats.org/officeDocument/2006/relationships" r:embed="rId1"/>
        <a:stretch/>
      </xdr:blipFill>
      <xdr:spPr>
        <a:xfrm>
          <a:off x="71280" y="122294"/>
          <a:ext cx="1868760" cy="947506"/>
        </a:xfrm>
        <a:prstGeom prst="rect">
          <a:avLst/>
        </a:prstGeom>
        <a:ln w="0">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500040</xdr:colOff>
      <xdr:row>2</xdr:row>
      <xdr:rowOff>71280</xdr:rowOff>
    </xdr:from>
    <xdr:to>
      <xdr:col>2</xdr:col>
      <xdr:colOff>2368800</xdr:colOff>
      <xdr:row>2</xdr:row>
      <xdr:rowOff>1026360</xdr:rowOff>
    </xdr:to>
    <xdr:pic>
      <xdr:nvPicPr>
        <xdr:cNvPr id="25" name="image1.png">
          <a:extLst>
            <a:ext uri="{FF2B5EF4-FFF2-40B4-BE49-F238E27FC236}">
              <a16:creationId xmlns:a16="http://schemas.microsoft.com/office/drawing/2014/main" id="{00000000-0008-0000-1900-000019000000}"/>
            </a:ext>
          </a:extLst>
        </xdr:cNvPr>
        <xdr:cNvPicPr/>
      </xdr:nvPicPr>
      <xdr:blipFill>
        <a:blip xmlns:r="http://schemas.openxmlformats.org/officeDocument/2006/relationships" r:embed="rId1"/>
        <a:stretch/>
      </xdr:blipFill>
      <xdr:spPr>
        <a:xfrm>
          <a:off x="1595520" y="433080"/>
          <a:ext cx="1868760" cy="95508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22"/>
  <sheetViews>
    <sheetView view="pageBreakPreview" topLeftCell="B592" zoomScale="75" zoomScaleNormal="70" zoomScalePageLayoutView="75" workbookViewId="0">
      <selection activeCell="D601" sqref="D601"/>
    </sheetView>
  </sheetViews>
  <sheetFormatPr defaultColWidth="9.109375" defaultRowHeight="14.4"/>
  <cols>
    <col min="1" max="1" width="3.6640625" style="2" hidden="1" customWidth="1"/>
    <col min="2" max="2" width="11.33203125" style="2" customWidth="1"/>
    <col min="3" max="3" width="50" style="2" customWidth="1"/>
    <col min="4" max="4" width="5.88671875" style="3" customWidth="1"/>
    <col min="5" max="5" width="15.33203125" style="4" customWidth="1"/>
    <col min="6" max="7" width="15.88671875" style="4" customWidth="1"/>
    <col min="8" max="8" width="4.44140625" style="4" hidden="1" customWidth="1"/>
    <col min="9" max="9" width="13" style="4" customWidth="1"/>
    <col min="10" max="10" width="10.109375" style="5" customWidth="1"/>
    <col min="11" max="11" width="17" style="5" hidden="1" customWidth="1"/>
    <col min="12" max="12" width="15.88671875" style="5" customWidth="1"/>
    <col min="13" max="13" width="25.33203125" style="5" hidden="1" customWidth="1"/>
    <col min="14" max="15" width="23.5546875" style="5" customWidth="1"/>
    <col min="16" max="16" width="23.5546875" style="6" hidden="1" customWidth="1"/>
    <col min="17" max="17" width="23.5546875" style="6" customWidth="1"/>
    <col min="18" max="18" width="23.5546875" style="5" customWidth="1"/>
    <col min="19" max="19" width="3" style="2" customWidth="1"/>
    <col min="20" max="20" width="23.33203125" style="2" customWidth="1"/>
    <col min="21" max="21" width="22.6640625" style="2" customWidth="1"/>
    <col min="22" max="22" width="21.44140625" style="2" customWidth="1"/>
    <col min="23" max="23" width="17.109375" style="2" customWidth="1"/>
    <col min="24" max="16384" width="9.109375" style="2"/>
  </cols>
  <sheetData>
    <row r="1" spans="2:23" ht="6" customHeight="1"/>
    <row r="2" spans="2:23" ht="29.25" customHeight="1">
      <c r="B2" s="491"/>
      <c r="C2" s="491"/>
      <c r="D2" s="491"/>
      <c r="E2" s="491"/>
      <c r="F2" s="491"/>
      <c r="G2" s="491"/>
      <c r="H2" s="491"/>
      <c r="I2" s="491"/>
      <c r="J2" s="491"/>
      <c r="K2" s="491"/>
      <c r="L2" s="491"/>
      <c r="M2" s="491"/>
      <c r="N2" s="491"/>
      <c r="O2" s="491"/>
      <c r="P2" s="491"/>
      <c r="Q2" s="491"/>
      <c r="R2" s="491"/>
      <c r="S2" s="7"/>
    </row>
    <row r="3" spans="2:23" ht="29.25" customHeight="1">
      <c r="B3" s="492" t="s">
        <v>0</v>
      </c>
      <c r="C3" s="492"/>
      <c r="D3" s="492"/>
      <c r="E3" s="492"/>
      <c r="F3" s="492"/>
      <c r="G3" s="492"/>
      <c r="H3" s="492"/>
      <c r="I3" s="492"/>
      <c r="J3" s="492"/>
      <c r="K3" s="492"/>
      <c r="L3" s="492"/>
      <c r="M3" s="492"/>
      <c r="N3" s="492"/>
      <c r="O3" s="492"/>
      <c r="P3" s="492"/>
      <c r="Q3" s="492"/>
      <c r="R3" s="492"/>
      <c r="S3" s="7"/>
      <c r="W3" s="8"/>
    </row>
    <row r="4" spans="2:23" ht="29.25" customHeight="1">
      <c r="B4" s="493"/>
      <c r="C4" s="493"/>
      <c r="D4" s="493"/>
      <c r="E4" s="493"/>
      <c r="F4" s="493"/>
      <c r="G4" s="493"/>
      <c r="H4" s="493"/>
      <c r="I4" s="493"/>
      <c r="J4" s="493"/>
      <c r="K4" s="493"/>
      <c r="L4" s="493"/>
      <c r="M4" s="493"/>
      <c r="N4" s="493"/>
      <c r="O4" s="493"/>
      <c r="P4" s="493"/>
      <c r="Q4" s="493"/>
      <c r="R4" s="493"/>
      <c r="S4" s="9"/>
      <c r="T4" s="2">
        <v>12630000</v>
      </c>
    </row>
    <row r="5" spans="2:23" ht="8.25" customHeight="1">
      <c r="B5" s="494"/>
      <c r="C5" s="494"/>
      <c r="D5" s="494"/>
      <c r="E5" s="494"/>
      <c r="F5" s="494"/>
      <c r="G5" s="494"/>
      <c r="H5" s="494"/>
      <c r="I5" s="494"/>
      <c r="J5" s="494"/>
      <c r="K5" s="494"/>
      <c r="L5" s="494"/>
      <c r="M5" s="494"/>
      <c r="N5" s="494"/>
      <c r="O5" s="494"/>
      <c r="P5" s="494"/>
      <c r="Q5" s="494"/>
      <c r="R5" s="494"/>
      <c r="S5" s="9"/>
    </row>
    <row r="6" spans="2:23" ht="38.25" customHeight="1">
      <c r="B6" s="495" t="s">
        <v>1</v>
      </c>
      <c r="C6" s="495"/>
      <c r="D6" s="495"/>
      <c r="E6" s="495"/>
      <c r="F6" s="495"/>
      <c r="G6" s="495"/>
      <c r="H6" s="495"/>
      <c r="I6" s="495"/>
      <c r="J6" s="495"/>
      <c r="K6" s="495"/>
      <c r="L6" s="495"/>
      <c r="M6" s="495"/>
      <c r="N6" s="495"/>
      <c r="O6" s="495"/>
      <c r="P6" s="495"/>
      <c r="Q6" s="495"/>
      <c r="R6" s="495"/>
      <c r="S6" s="7"/>
    </row>
    <row r="7" spans="2:23" ht="8.25" customHeight="1">
      <c r="B7" s="496"/>
      <c r="C7" s="496"/>
      <c r="D7" s="496"/>
      <c r="E7" s="496"/>
      <c r="F7" s="496"/>
      <c r="G7" s="496"/>
      <c r="H7" s="496"/>
      <c r="I7" s="496"/>
      <c r="J7" s="496"/>
      <c r="K7" s="496"/>
      <c r="L7" s="496"/>
      <c r="M7" s="496"/>
      <c r="N7" s="496"/>
      <c r="O7" s="496"/>
      <c r="P7" s="496"/>
      <c r="Q7" s="496"/>
      <c r="R7" s="496"/>
      <c r="S7" s="7"/>
    </row>
    <row r="8" spans="2:23" ht="25.5" customHeight="1">
      <c r="B8" s="497" t="s">
        <v>2</v>
      </c>
      <c r="C8" s="497"/>
      <c r="D8" s="497"/>
      <c r="E8" s="497"/>
      <c r="F8" s="497"/>
      <c r="G8" s="497"/>
      <c r="H8" s="497"/>
      <c r="I8" s="497"/>
      <c r="J8" s="497"/>
      <c r="K8" s="497"/>
      <c r="L8" s="497"/>
      <c r="M8" s="497"/>
      <c r="N8" s="497"/>
      <c r="O8" s="497"/>
      <c r="P8" s="497"/>
      <c r="Q8" s="497"/>
      <c r="R8" s="497"/>
      <c r="S8" s="7"/>
      <c r="T8" s="2">
        <f>480/30</f>
        <v>16</v>
      </c>
    </row>
    <row r="9" spans="2:23" s="10" customFormat="1" ht="31.5" customHeight="1">
      <c r="B9" s="498" t="s">
        <v>3</v>
      </c>
      <c r="C9" s="498"/>
      <c r="D9" s="499" t="s">
        <v>4</v>
      </c>
      <c r="E9" s="499"/>
      <c r="F9" s="499"/>
      <c r="G9" s="499"/>
      <c r="H9" s="499"/>
      <c r="I9" s="499"/>
      <c r="J9" s="499"/>
      <c r="K9" s="499"/>
      <c r="L9" s="499"/>
      <c r="M9" s="499"/>
      <c r="N9" s="499"/>
      <c r="O9" s="499"/>
      <c r="P9" s="499"/>
      <c r="Q9" s="499"/>
      <c r="R9" s="499"/>
      <c r="S9" s="11"/>
    </row>
    <row r="10" spans="2:23" s="10" customFormat="1" ht="31.5" customHeight="1">
      <c r="B10" s="498" t="s">
        <v>5</v>
      </c>
      <c r="C10" s="498"/>
      <c r="D10" s="500" t="s">
        <v>6</v>
      </c>
      <c r="E10" s="500"/>
      <c r="F10" s="500"/>
      <c r="G10" s="500"/>
      <c r="H10" s="500"/>
      <c r="I10" s="500"/>
      <c r="J10" s="500"/>
      <c r="K10" s="12"/>
      <c r="L10" s="501" t="s">
        <v>7</v>
      </c>
      <c r="M10" s="501"/>
      <c r="N10" s="501"/>
      <c r="O10" s="501"/>
      <c r="P10" s="502">
        <v>45383</v>
      </c>
      <c r="Q10" s="502"/>
      <c r="R10" s="502"/>
      <c r="S10" s="11"/>
    </row>
    <row r="11" spans="2:23" s="10" customFormat="1" ht="31.5" customHeight="1">
      <c r="B11" s="498" t="s">
        <v>8</v>
      </c>
      <c r="C11" s="498"/>
      <c r="D11" s="503" t="s">
        <v>9</v>
      </c>
      <c r="E11" s="503"/>
      <c r="F11" s="503"/>
      <c r="G11" s="503"/>
      <c r="H11" s="503"/>
      <c r="I11" s="503"/>
      <c r="J11" s="503"/>
      <c r="K11" s="12"/>
      <c r="L11" s="501" t="s">
        <v>10</v>
      </c>
      <c r="M11" s="501"/>
      <c r="N11" s="501"/>
      <c r="O11" s="501"/>
      <c r="P11" s="502">
        <f>P10+600</f>
        <v>45983</v>
      </c>
      <c r="Q11" s="502"/>
      <c r="R11" s="502"/>
      <c r="S11" s="11"/>
    </row>
    <row r="12" spans="2:23" s="10" customFormat="1" ht="36.75" customHeight="1">
      <c r="B12" s="504" t="s">
        <v>11</v>
      </c>
      <c r="C12" s="504"/>
      <c r="D12" s="505" t="s">
        <v>12</v>
      </c>
      <c r="E12" s="505"/>
      <c r="F12" s="505"/>
      <c r="G12" s="505"/>
      <c r="H12" s="13"/>
      <c r="I12" s="506"/>
      <c r="J12" s="506"/>
      <c r="K12" s="14"/>
      <c r="L12" s="507"/>
      <c r="M12" s="507"/>
      <c r="N12" s="507"/>
      <c r="O12" s="1" t="s">
        <v>13</v>
      </c>
      <c r="P12" s="502">
        <v>45383</v>
      </c>
      <c r="Q12" s="502"/>
      <c r="R12" s="502"/>
      <c r="S12" s="11"/>
      <c r="T12" s="15"/>
    </row>
    <row r="13" spans="2:23" s="10" customFormat="1" ht="31.5" customHeight="1">
      <c r="B13" s="508" t="s">
        <v>14</v>
      </c>
      <c r="C13" s="508"/>
      <c r="D13" s="509">
        <f>Q592</f>
        <v>26279999.999999993</v>
      </c>
      <c r="E13" s="509"/>
      <c r="F13" s="509"/>
      <c r="G13" s="509"/>
      <c r="H13" s="509"/>
      <c r="I13" s="509"/>
      <c r="J13" s="509"/>
      <c r="K13" s="16"/>
      <c r="L13" s="510" t="s">
        <v>15</v>
      </c>
      <c r="M13" s="510"/>
      <c r="N13" s="510"/>
      <c r="O13" s="510"/>
      <c r="P13" s="511" t="s">
        <v>16</v>
      </c>
      <c r="Q13" s="511"/>
      <c r="R13" s="511"/>
      <c r="S13" s="11"/>
    </row>
    <row r="14" spans="2:23" s="10" customFormat="1" ht="31.5" customHeight="1">
      <c r="B14" s="512" t="s">
        <v>17</v>
      </c>
      <c r="C14" s="512"/>
      <c r="D14" s="513"/>
      <c r="E14" s="513"/>
      <c r="F14" s="513"/>
      <c r="G14" s="513"/>
      <c r="H14" s="18"/>
      <c r="I14" s="514" t="s">
        <v>18</v>
      </c>
      <c r="J14" s="514"/>
      <c r="K14" s="17"/>
      <c r="L14" s="515"/>
      <c r="M14" s="515"/>
      <c r="N14" s="515"/>
      <c r="O14" s="19" t="s">
        <v>19</v>
      </c>
      <c r="P14" s="516"/>
      <c r="Q14" s="516"/>
      <c r="R14" s="516"/>
      <c r="S14" s="11"/>
      <c r="T14" s="15"/>
    </row>
    <row r="15" spans="2:23" s="10" customFormat="1" ht="31.5" customHeight="1">
      <c r="B15" s="517" t="s">
        <v>20</v>
      </c>
      <c r="C15" s="517"/>
      <c r="D15" s="518" t="s">
        <v>21</v>
      </c>
      <c r="E15" s="518"/>
      <c r="F15" s="518"/>
      <c r="G15" s="518"/>
      <c r="H15" s="20"/>
      <c r="I15" s="518" t="s">
        <v>18</v>
      </c>
      <c r="J15" s="518"/>
      <c r="K15" s="21"/>
      <c r="L15" s="519" t="s">
        <v>22</v>
      </c>
      <c r="M15" s="519"/>
      <c r="N15" s="519"/>
      <c r="O15" s="22" t="s">
        <v>19</v>
      </c>
      <c r="P15" s="520" t="s">
        <v>23</v>
      </c>
      <c r="Q15" s="520"/>
      <c r="R15" s="520"/>
      <c r="S15" s="11"/>
      <c r="T15" s="23">
        <f>D13</f>
        <v>26279999.999999993</v>
      </c>
      <c r="U15" s="24"/>
    </row>
    <row r="16" spans="2:23" s="10" customFormat="1" ht="6" customHeight="1">
      <c r="B16" s="521"/>
      <c r="C16" s="521"/>
      <c r="D16" s="521"/>
      <c r="E16" s="521"/>
      <c r="F16" s="521"/>
      <c r="G16" s="521"/>
      <c r="H16" s="521"/>
      <c r="I16" s="521"/>
      <c r="J16" s="521"/>
      <c r="K16" s="521"/>
      <c r="L16" s="521"/>
      <c r="M16" s="521"/>
      <c r="N16" s="521"/>
      <c r="O16" s="521"/>
      <c r="P16" s="521"/>
      <c r="Q16" s="521"/>
      <c r="R16" s="521"/>
      <c r="S16" s="11"/>
      <c r="T16" s="23"/>
      <c r="U16" s="25"/>
    </row>
    <row r="17" spans="1:23" s="10" customFormat="1" ht="27.75" customHeight="1">
      <c r="B17" s="497" t="s">
        <v>24</v>
      </c>
      <c r="C17" s="497"/>
      <c r="D17" s="497"/>
      <c r="E17" s="497"/>
      <c r="F17" s="497"/>
      <c r="G17" s="497"/>
      <c r="H17" s="497"/>
      <c r="I17" s="497"/>
      <c r="J17" s="497"/>
      <c r="K17" s="497"/>
      <c r="L17" s="497"/>
      <c r="M17" s="497"/>
      <c r="N17" s="497"/>
      <c r="O17" s="497"/>
      <c r="P17" s="497"/>
      <c r="Q17" s="497"/>
      <c r="R17" s="497"/>
      <c r="S17" s="11"/>
      <c r="T17" s="26"/>
      <c r="U17" s="27"/>
      <c r="W17" s="28"/>
    </row>
    <row r="18" spans="1:23" ht="43.5" customHeight="1">
      <c r="A18" s="10"/>
      <c r="B18" s="522" t="s">
        <v>25</v>
      </c>
      <c r="C18" s="522"/>
      <c r="D18" s="523" t="s">
        <v>4</v>
      </c>
      <c r="E18" s="523"/>
      <c r="F18" s="523"/>
      <c r="G18" s="523"/>
      <c r="H18" s="523"/>
      <c r="I18" s="523"/>
      <c r="J18" s="523"/>
      <c r="K18" s="29"/>
      <c r="L18" s="501" t="s">
        <v>26</v>
      </c>
      <c r="M18" s="501"/>
      <c r="N18" s="501"/>
      <c r="O18" s="501"/>
      <c r="P18" s="524">
        <f>N592</f>
        <v>379602.03</v>
      </c>
      <c r="Q18" s="524"/>
      <c r="R18" s="524"/>
      <c r="S18" s="30"/>
      <c r="T18" s="23">
        <f>T15-Q33</f>
        <v>25272436.019999992</v>
      </c>
      <c r="U18" s="31"/>
      <c r="V18" s="10"/>
      <c r="W18" s="28"/>
    </row>
    <row r="19" spans="1:23" ht="31.5" customHeight="1">
      <c r="A19" s="10"/>
      <c r="B19" s="522" t="s">
        <v>27</v>
      </c>
      <c r="C19" s="522"/>
      <c r="D19" s="525" t="s">
        <v>28</v>
      </c>
      <c r="E19" s="525"/>
      <c r="F19" s="525"/>
      <c r="G19" s="525"/>
      <c r="H19" s="525"/>
      <c r="I19" s="525"/>
      <c r="J19" s="525"/>
      <c r="K19" s="29"/>
      <c r="L19" s="501" t="s">
        <v>29</v>
      </c>
      <c r="M19" s="501"/>
      <c r="N19" s="501"/>
      <c r="O19" s="501"/>
      <c r="P19" s="524">
        <f>P18-P20</f>
        <v>0</v>
      </c>
      <c r="Q19" s="524"/>
      <c r="R19" s="524"/>
      <c r="S19" s="30"/>
      <c r="T19" s="23">
        <f>P21-O33</f>
        <v>358846.22000000003</v>
      </c>
      <c r="U19" s="10"/>
      <c r="V19" s="10"/>
      <c r="W19" s="10"/>
    </row>
    <row r="20" spans="1:23" s="34" customFormat="1" ht="31.5" customHeight="1">
      <c r="A20" s="10"/>
      <c r="B20" s="526" t="s">
        <v>30</v>
      </c>
      <c r="C20" s="526"/>
      <c r="D20" s="523" t="s">
        <v>31</v>
      </c>
      <c r="E20" s="523"/>
      <c r="F20" s="523"/>
      <c r="G20" s="523"/>
      <c r="H20" s="523"/>
      <c r="I20" s="523"/>
      <c r="J20" s="523"/>
      <c r="K20" s="29"/>
      <c r="L20" s="501" t="s">
        <v>32</v>
      </c>
      <c r="M20" s="501"/>
      <c r="N20" s="501"/>
      <c r="O20" s="501"/>
      <c r="P20" s="524">
        <f>N592</f>
        <v>379602.03</v>
      </c>
      <c r="Q20" s="524"/>
      <c r="R20" s="524"/>
      <c r="S20" s="30"/>
      <c r="T20" s="32">
        <f>T19/T18</f>
        <v>1.4199114787194152E-2</v>
      </c>
      <c r="U20" s="24">
        <v>739429.5</v>
      </c>
      <c r="V20" s="10"/>
      <c r="W20" s="33"/>
    </row>
    <row r="21" spans="1:23" s="34" customFormat="1" ht="31.5" customHeight="1">
      <c r="A21" s="10"/>
      <c r="B21" s="526" t="s">
        <v>33</v>
      </c>
      <c r="C21" s="526"/>
      <c r="D21" s="527">
        <v>45407</v>
      </c>
      <c r="E21" s="527"/>
      <c r="F21" s="527"/>
      <c r="G21" s="527"/>
      <c r="H21" s="527"/>
      <c r="I21" s="527"/>
      <c r="J21" s="527"/>
      <c r="K21" s="35"/>
      <c r="L21" s="501" t="s">
        <v>34</v>
      </c>
      <c r="M21" s="501"/>
      <c r="N21" s="501"/>
      <c r="O21" s="501"/>
      <c r="P21" s="524">
        <f>P20</f>
        <v>379602.03</v>
      </c>
      <c r="Q21" s="524"/>
      <c r="R21" s="524"/>
      <c r="S21" s="36"/>
      <c r="T21" s="32">
        <f>T20-I33</f>
        <v>-6.4008852128058479E-3</v>
      </c>
      <c r="U21" s="32"/>
      <c r="V21" s="10"/>
      <c r="W21" s="10"/>
    </row>
    <row r="22" spans="1:23" s="34" customFormat="1" ht="31.5" customHeight="1">
      <c r="A22" s="10"/>
      <c r="B22" s="526" t="s">
        <v>35</v>
      </c>
      <c r="C22" s="526"/>
      <c r="D22" s="527">
        <v>45411</v>
      </c>
      <c r="E22" s="527"/>
      <c r="F22" s="527"/>
      <c r="G22" s="527"/>
      <c r="H22" s="527"/>
      <c r="I22" s="527"/>
      <c r="J22" s="527"/>
      <c r="K22" s="35"/>
      <c r="L22" s="501" t="s">
        <v>36</v>
      </c>
      <c r="M22" s="501"/>
      <c r="N22" s="501"/>
      <c r="O22" s="501"/>
      <c r="P22" s="524">
        <f>R592</f>
        <v>25900397.969999995</v>
      </c>
      <c r="Q22" s="524"/>
      <c r="R22" s="524"/>
      <c r="S22" s="36"/>
      <c r="T22" s="31"/>
      <c r="U22" s="37"/>
      <c r="V22" s="10"/>
      <c r="W22" s="10"/>
    </row>
    <row r="23" spans="1:23" s="34" customFormat="1" ht="9" customHeight="1">
      <c r="A23" s="10"/>
      <c r="B23" s="528"/>
      <c r="C23" s="528"/>
      <c r="D23" s="528"/>
      <c r="E23" s="528"/>
      <c r="F23" s="528"/>
      <c r="G23" s="528"/>
      <c r="H23" s="528"/>
      <c r="I23" s="528"/>
      <c r="J23" s="528"/>
      <c r="K23" s="528"/>
      <c r="L23" s="528"/>
      <c r="M23" s="528"/>
      <c r="N23" s="528"/>
      <c r="O23" s="528"/>
      <c r="P23" s="528"/>
      <c r="Q23" s="528"/>
      <c r="R23" s="528"/>
      <c r="S23" s="10"/>
      <c r="T23" s="10"/>
      <c r="U23" s="10"/>
      <c r="V23" s="10"/>
      <c r="W23" s="10"/>
    </row>
    <row r="24" spans="1:23" s="34" customFormat="1" ht="2.25" customHeight="1">
      <c r="A24" s="2"/>
      <c r="B24" s="38"/>
      <c r="C24" s="39"/>
      <c r="D24" s="40"/>
      <c r="E24" s="41"/>
      <c r="F24" s="42"/>
      <c r="G24" s="43"/>
      <c r="H24" s="43"/>
      <c r="I24" s="43"/>
      <c r="J24" s="39"/>
      <c r="K24" s="39"/>
      <c r="L24" s="39"/>
      <c r="M24" s="39"/>
      <c r="N24" s="39"/>
      <c r="O24" s="39"/>
      <c r="P24" s="44"/>
      <c r="Q24" s="44"/>
      <c r="R24" s="45"/>
      <c r="S24" s="2"/>
      <c r="T24" s="2"/>
      <c r="U24" s="2"/>
      <c r="V24" s="2"/>
      <c r="W24" s="2"/>
    </row>
    <row r="25" spans="1:23" s="34" customFormat="1" ht="18" customHeight="1">
      <c r="A25" s="2"/>
      <c r="B25" s="529" t="s">
        <v>37</v>
      </c>
      <c r="C25" s="530" t="s">
        <v>38</v>
      </c>
      <c r="D25" s="530" t="s">
        <v>39</v>
      </c>
      <c r="E25" s="531" t="s">
        <v>40</v>
      </c>
      <c r="F25" s="531"/>
      <c r="G25" s="531"/>
      <c r="H25" s="531"/>
      <c r="I25" s="531"/>
      <c r="J25" s="531"/>
      <c r="K25" s="48" t="s">
        <v>41</v>
      </c>
      <c r="L25" s="48" t="s">
        <v>42</v>
      </c>
      <c r="M25" s="48"/>
      <c r="N25" s="532" t="s">
        <v>43</v>
      </c>
      <c r="O25" s="532"/>
      <c r="P25" s="532"/>
      <c r="Q25" s="532"/>
      <c r="R25" s="532"/>
      <c r="S25" s="2"/>
      <c r="T25" s="49" t="s">
        <v>44</v>
      </c>
      <c r="U25" s="50">
        <v>20732092.140000001</v>
      </c>
      <c r="V25" s="51">
        <v>0.26760000016091001</v>
      </c>
      <c r="W25" s="2"/>
    </row>
    <row r="26" spans="1:23" s="34" customFormat="1" ht="43.5" customHeight="1">
      <c r="A26" s="2"/>
      <c r="B26" s="529"/>
      <c r="C26" s="530"/>
      <c r="D26" s="530"/>
      <c r="E26" s="52" t="s">
        <v>45</v>
      </c>
      <c r="F26" s="53" t="s">
        <v>46</v>
      </c>
      <c r="G26" s="53" t="s">
        <v>47</v>
      </c>
      <c r="H26" s="54"/>
      <c r="I26" s="55" t="s">
        <v>48</v>
      </c>
      <c r="J26" s="55" t="s">
        <v>49</v>
      </c>
      <c r="K26" s="56" t="s">
        <v>50</v>
      </c>
      <c r="L26" s="47" t="s">
        <v>50</v>
      </c>
      <c r="M26" s="48" t="s">
        <v>51</v>
      </c>
      <c r="N26" s="57" t="s">
        <v>52</v>
      </c>
      <c r="O26" s="57" t="s">
        <v>53</v>
      </c>
      <c r="P26" s="57" t="s">
        <v>54</v>
      </c>
      <c r="Q26" s="57" t="s">
        <v>55</v>
      </c>
      <c r="R26" s="58" t="s">
        <v>56</v>
      </c>
      <c r="S26" s="2"/>
      <c r="T26" s="59">
        <v>0.26760011</v>
      </c>
      <c r="U26" s="50">
        <v>5547907.8600000003</v>
      </c>
      <c r="V26" s="50">
        <v>26280000</v>
      </c>
      <c r="W26" s="2"/>
    </row>
    <row r="27" spans="1:23" s="34" customFormat="1" ht="13.2">
      <c r="B27" s="60" t="s">
        <v>57</v>
      </c>
      <c r="C27" s="61" t="s">
        <v>58</v>
      </c>
      <c r="D27" s="60"/>
      <c r="E27" s="62"/>
      <c r="F27" s="63"/>
      <c r="G27" s="63"/>
      <c r="H27" s="63"/>
      <c r="I27" s="63"/>
      <c r="J27" s="63"/>
      <c r="K27" s="63"/>
      <c r="L27" s="64"/>
      <c r="M27" s="63">
        <f t="shared" ref="M27:R27" si="0">M28+M30+M35+M43</f>
        <v>360882.75</v>
      </c>
      <c r="N27" s="63">
        <f t="shared" si="0"/>
        <v>360882.75</v>
      </c>
      <c r="O27" s="63">
        <f t="shared" si="0"/>
        <v>360882.75</v>
      </c>
      <c r="P27" s="63">
        <f t="shared" si="0"/>
        <v>2403883</v>
      </c>
      <c r="Q27" s="63">
        <f t="shared" si="0"/>
        <v>3047162.2499999991</v>
      </c>
      <c r="R27" s="63">
        <f t="shared" si="0"/>
        <v>2686279.4999999995</v>
      </c>
      <c r="U27" s="65"/>
    </row>
    <row r="28" spans="1:23" s="34" customFormat="1" ht="13.2">
      <c r="B28" s="66" t="s">
        <v>59</v>
      </c>
      <c r="C28" s="67" t="s">
        <v>60</v>
      </c>
      <c r="D28" s="68"/>
      <c r="E28" s="69"/>
      <c r="F28" s="70"/>
      <c r="G28" s="70"/>
      <c r="H28" s="70"/>
      <c r="I28" s="70"/>
      <c r="J28" s="70"/>
      <c r="K28" s="71"/>
      <c r="L28" s="72"/>
      <c r="M28" s="73">
        <f t="shared" ref="M28:R28" si="1">SUM(M29)</f>
        <v>41273.050000000003</v>
      </c>
      <c r="N28" s="73">
        <f t="shared" si="1"/>
        <v>41273.050000000003</v>
      </c>
      <c r="O28" s="73">
        <f t="shared" si="1"/>
        <v>41273.050000000003</v>
      </c>
      <c r="P28" s="73">
        <f t="shared" si="1"/>
        <v>32560</v>
      </c>
      <c r="Q28" s="73">
        <f t="shared" si="1"/>
        <v>41273.050000000003</v>
      </c>
      <c r="R28" s="73">
        <f t="shared" si="1"/>
        <v>0</v>
      </c>
      <c r="T28" s="74"/>
    </row>
    <row r="29" spans="1:23" s="34" customFormat="1" ht="13.2">
      <c r="B29" s="75" t="s">
        <v>61</v>
      </c>
      <c r="C29" s="76" t="s">
        <v>62</v>
      </c>
      <c r="D29" s="77" t="s">
        <v>63</v>
      </c>
      <c r="E29" s="78">
        <v>1</v>
      </c>
      <c r="F29" s="79">
        <v>1</v>
      </c>
      <c r="G29" s="79">
        <f>F29</f>
        <v>1</v>
      </c>
      <c r="H29" s="79"/>
      <c r="I29" s="79">
        <f>SUM(G29:H29)</f>
        <v>1</v>
      </c>
      <c r="J29" s="79">
        <f>E29-I29</f>
        <v>0</v>
      </c>
      <c r="K29" s="80">
        <v>32560</v>
      </c>
      <c r="L29" s="81">
        <f t="shared" ref="L29:L92" si="2">K29*(1+$T$26)</f>
        <v>41273.059581599999</v>
      </c>
      <c r="M29" s="82">
        <f>TRUNC(F29*L29,2)</f>
        <v>41273.050000000003</v>
      </c>
      <c r="N29" s="82">
        <f>TRUNC(G29*L29,2)</f>
        <v>41273.050000000003</v>
      </c>
      <c r="O29" s="82">
        <f>N29</f>
        <v>41273.050000000003</v>
      </c>
      <c r="P29" s="82">
        <f>E29*K29</f>
        <v>32560</v>
      </c>
      <c r="Q29" s="82">
        <f>TRUNC(E29*L29,2)</f>
        <v>41273.050000000003</v>
      </c>
      <c r="R29" s="82">
        <f>Q29-O29</f>
        <v>0</v>
      </c>
      <c r="T29" s="74"/>
    </row>
    <row r="30" spans="1:23" s="34" customFormat="1" ht="13.2">
      <c r="B30" s="66" t="s">
        <v>64</v>
      </c>
      <c r="C30" s="67" t="s">
        <v>65</v>
      </c>
      <c r="D30" s="68"/>
      <c r="E30" s="69"/>
      <c r="F30" s="70"/>
      <c r="G30" s="70"/>
      <c r="H30" s="70"/>
      <c r="I30" s="70"/>
      <c r="J30" s="70"/>
      <c r="K30" s="71"/>
      <c r="L30" s="71">
        <f t="shared" si="2"/>
        <v>0</v>
      </c>
      <c r="M30" s="73">
        <f t="shared" ref="M30:R30" si="3">SUM(M31:M34)</f>
        <v>47651.91</v>
      </c>
      <c r="N30" s="73">
        <f t="shared" si="3"/>
        <v>47651.91</v>
      </c>
      <c r="O30" s="73">
        <f t="shared" si="3"/>
        <v>47651.91</v>
      </c>
      <c r="P30" s="73">
        <f t="shared" si="3"/>
        <v>1872865.9</v>
      </c>
      <c r="Q30" s="73">
        <f t="shared" si="3"/>
        <v>2374044.9999999995</v>
      </c>
      <c r="R30" s="73">
        <f t="shared" si="3"/>
        <v>2326393.0899999994</v>
      </c>
      <c r="T30" s="83"/>
    </row>
    <row r="31" spans="1:23" s="34" customFormat="1" ht="13.2">
      <c r="B31" s="75" t="s">
        <v>66</v>
      </c>
      <c r="C31" s="76" t="s">
        <v>67</v>
      </c>
      <c r="D31" s="77" t="s">
        <v>68</v>
      </c>
      <c r="E31" s="78">
        <v>20</v>
      </c>
      <c r="F31" s="79"/>
      <c r="G31" s="79"/>
      <c r="H31" s="79"/>
      <c r="I31" s="79">
        <f t="shared" ref="I31:I94" si="4">SUM(G31:H31)</f>
        <v>0</v>
      </c>
      <c r="J31" s="79">
        <f t="shared" ref="J31:J94" si="5">E31-I31</f>
        <v>20</v>
      </c>
      <c r="K31" s="84">
        <v>1200</v>
      </c>
      <c r="L31" s="81">
        <f t="shared" si="2"/>
        <v>1521.120132</v>
      </c>
      <c r="M31" s="82">
        <f>TRUNC(F31*L31,2)</f>
        <v>0</v>
      </c>
      <c r="N31" s="82">
        <f>TRUNC(G31*L31,2)</f>
        <v>0</v>
      </c>
      <c r="O31" s="82">
        <f>N31</f>
        <v>0</v>
      </c>
      <c r="P31" s="82">
        <f>E31*K31</f>
        <v>24000</v>
      </c>
      <c r="Q31" s="82">
        <f>TRUNC(E31*L31,2)</f>
        <v>30422.400000000001</v>
      </c>
      <c r="R31" s="82">
        <f>Q31-O31</f>
        <v>30422.400000000001</v>
      </c>
    </row>
    <row r="32" spans="1:23" s="34" customFormat="1" ht="13.2">
      <c r="B32" s="75" t="s">
        <v>69</v>
      </c>
      <c r="C32" s="85" t="s">
        <v>70</v>
      </c>
      <c r="D32" s="77" t="s">
        <v>68</v>
      </c>
      <c r="E32" s="78">
        <v>20</v>
      </c>
      <c r="F32" s="86">
        <f>'M.C. MED. 01'!K15</f>
        <v>0.41200000000000003</v>
      </c>
      <c r="G32" s="86">
        <f>F32</f>
        <v>0.41200000000000003</v>
      </c>
      <c r="H32" s="79"/>
      <c r="I32" s="79">
        <f t="shared" si="4"/>
        <v>0.41200000000000003</v>
      </c>
      <c r="J32" s="79">
        <f t="shared" si="5"/>
        <v>19.588000000000001</v>
      </c>
      <c r="K32" s="84">
        <v>51500.32</v>
      </c>
      <c r="L32" s="81">
        <f t="shared" si="2"/>
        <v>65281.811297035201</v>
      </c>
      <c r="M32" s="82">
        <f>TRUNC(F32*L32,2)</f>
        <v>26896.1</v>
      </c>
      <c r="N32" s="82">
        <f>TRUNC(G32*L32,2)</f>
        <v>26896.1</v>
      </c>
      <c r="O32" s="82">
        <f>N32</f>
        <v>26896.1</v>
      </c>
      <c r="P32" s="82">
        <f>E32*K32</f>
        <v>1030006.4</v>
      </c>
      <c r="Q32" s="82">
        <f>TRUNC(E32*L32,2)</f>
        <v>1305636.22</v>
      </c>
      <c r="R32" s="82">
        <f>Q32-O32</f>
        <v>1278740.1199999999</v>
      </c>
    </row>
    <row r="33" spans="1:21" s="34" customFormat="1" ht="148.80000000000001">
      <c r="B33" s="75" t="s">
        <v>71</v>
      </c>
      <c r="C33" s="85" t="s">
        <v>72</v>
      </c>
      <c r="D33" s="77" t="s">
        <v>39</v>
      </c>
      <c r="E33" s="78">
        <v>1</v>
      </c>
      <c r="F33" s="86">
        <f>'M.C. MED. 01'!K25</f>
        <v>2.06E-2</v>
      </c>
      <c r="G33" s="86">
        <f>F33</f>
        <v>2.06E-2</v>
      </c>
      <c r="H33" s="79"/>
      <c r="I33" s="79">
        <f t="shared" si="4"/>
        <v>2.06E-2</v>
      </c>
      <c r="J33" s="79">
        <f t="shared" si="5"/>
        <v>0.97940000000000005</v>
      </c>
      <c r="K33" s="84">
        <v>794859.5</v>
      </c>
      <c r="L33" s="81">
        <f t="shared" si="2"/>
        <v>1007563.9896345451</v>
      </c>
      <c r="M33" s="82">
        <f>TRUNC(F33*L33,2)</f>
        <v>20755.810000000001</v>
      </c>
      <c r="N33" s="82">
        <f>TRUNC(G33*L33,2)</f>
        <v>20755.810000000001</v>
      </c>
      <c r="O33" s="82">
        <f>N33</f>
        <v>20755.810000000001</v>
      </c>
      <c r="P33" s="82">
        <f>E33*K33</f>
        <v>794859.5</v>
      </c>
      <c r="Q33" s="82">
        <f>TRUNC(E33*L33,2)</f>
        <v>1007563.98</v>
      </c>
      <c r="R33" s="82">
        <f>Q33-O33</f>
        <v>986808.16999999993</v>
      </c>
    </row>
    <row r="34" spans="1:21" s="34" customFormat="1" ht="23.4">
      <c r="B34" s="75" t="s">
        <v>73</v>
      </c>
      <c r="C34" s="76" t="s">
        <v>74</v>
      </c>
      <c r="D34" s="77" t="s">
        <v>68</v>
      </c>
      <c r="E34" s="78">
        <v>20</v>
      </c>
      <c r="F34" s="79">
        <v>0</v>
      </c>
      <c r="G34" s="79">
        <f>F34</f>
        <v>0</v>
      </c>
      <c r="H34" s="79"/>
      <c r="I34" s="79">
        <f t="shared" si="4"/>
        <v>0</v>
      </c>
      <c r="J34" s="79">
        <f t="shared" si="5"/>
        <v>20</v>
      </c>
      <c r="K34" s="84">
        <v>1200</v>
      </c>
      <c r="L34" s="81">
        <f t="shared" si="2"/>
        <v>1521.120132</v>
      </c>
      <c r="M34" s="82">
        <f>TRUNC(F34*L34,2)</f>
        <v>0</v>
      </c>
      <c r="N34" s="82">
        <f>TRUNC(G34*L34,2)</f>
        <v>0</v>
      </c>
      <c r="O34" s="82">
        <f>N34</f>
        <v>0</v>
      </c>
      <c r="P34" s="82">
        <f>E34*K34</f>
        <v>24000</v>
      </c>
      <c r="Q34" s="82">
        <f>TRUNC(E34*L34,2)</f>
        <v>30422.400000000001</v>
      </c>
      <c r="R34" s="82">
        <f>Q34-O34</f>
        <v>30422.400000000001</v>
      </c>
    </row>
    <row r="35" spans="1:21" s="34" customFormat="1" ht="13.2">
      <c r="B35" s="66" t="s">
        <v>75</v>
      </c>
      <c r="C35" s="67" t="s">
        <v>76</v>
      </c>
      <c r="D35" s="68"/>
      <c r="E35" s="69"/>
      <c r="F35" s="70"/>
      <c r="G35" s="70"/>
      <c r="H35" s="70"/>
      <c r="I35" s="70">
        <f t="shared" si="4"/>
        <v>0</v>
      </c>
      <c r="J35" s="70">
        <f t="shared" si="5"/>
        <v>0</v>
      </c>
      <c r="K35" s="71"/>
      <c r="L35" s="71">
        <f t="shared" si="2"/>
        <v>0</v>
      </c>
      <c r="M35" s="73">
        <f t="shared" ref="M35:R35" si="6">SUM(M36:M42)</f>
        <v>216125.8</v>
      </c>
      <c r="N35" s="73">
        <f t="shared" si="6"/>
        <v>216125.8</v>
      </c>
      <c r="O35" s="73">
        <f t="shared" si="6"/>
        <v>216125.8</v>
      </c>
      <c r="P35" s="73">
        <f t="shared" si="6"/>
        <v>278420</v>
      </c>
      <c r="Q35" s="73">
        <f t="shared" si="6"/>
        <v>352925.19</v>
      </c>
      <c r="R35" s="73">
        <f t="shared" si="6"/>
        <v>136799.39000000001</v>
      </c>
    </row>
    <row r="36" spans="1:21" s="34" customFormat="1" ht="13.2">
      <c r="B36" s="87" t="s">
        <v>77</v>
      </c>
      <c r="C36" s="88" t="s">
        <v>78</v>
      </c>
      <c r="D36" s="89" t="s">
        <v>79</v>
      </c>
      <c r="E36" s="90">
        <v>128</v>
      </c>
      <c r="F36" s="91">
        <f>'M.C. MED. 01'!K35</f>
        <v>128</v>
      </c>
      <c r="G36" s="91">
        <f>F36</f>
        <v>128</v>
      </c>
      <c r="H36" s="91"/>
      <c r="I36" s="91">
        <f t="shared" si="4"/>
        <v>128</v>
      </c>
      <c r="J36" s="91">
        <f t="shared" si="5"/>
        <v>0</v>
      </c>
      <c r="K36" s="80">
        <v>125</v>
      </c>
      <c r="L36" s="81">
        <f t="shared" si="2"/>
        <v>158.45001375000001</v>
      </c>
      <c r="M36" s="82">
        <f t="shared" ref="M36:M42" si="7">TRUNC(F36*L36,2)</f>
        <v>20281.599999999999</v>
      </c>
      <c r="N36" s="82">
        <f t="shared" ref="N36:N42" si="8">TRUNC(G36*L36,2)</f>
        <v>20281.599999999999</v>
      </c>
      <c r="O36" s="82">
        <f t="shared" ref="O36:O42" si="9">N36</f>
        <v>20281.599999999999</v>
      </c>
      <c r="P36" s="82">
        <f t="shared" ref="P36:P42" si="10">E36*K36</f>
        <v>16000</v>
      </c>
      <c r="Q36" s="82">
        <f t="shared" ref="Q36:Q42" si="11">TRUNC(E36*L36,2)</f>
        <v>20281.599999999999</v>
      </c>
      <c r="R36" s="82">
        <f t="shared" ref="R36:R42" si="12">Q36-O36</f>
        <v>0</v>
      </c>
    </row>
    <row r="37" spans="1:21" s="34" customFormat="1" ht="34.799999999999997">
      <c r="B37" s="87" t="s">
        <v>80</v>
      </c>
      <c r="C37" s="88" t="s">
        <v>81</v>
      </c>
      <c r="D37" s="89" t="s">
        <v>82</v>
      </c>
      <c r="E37" s="92">
        <v>156</v>
      </c>
      <c r="F37" s="91"/>
      <c r="G37" s="91"/>
      <c r="H37" s="91"/>
      <c r="I37" s="91">
        <f t="shared" si="4"/>
        <v>0</v>
      </c>
      <c r="J37" s="91">
        <f t="shared" si="5"/>
        <v>156</v>
      </c>
      <c r="K37" s="80">
        <v>70</v>
      </c>
      <c r="L37" s="81">
        <f t="shared" si="2"/>
        <v>88.732007699999997</v>
      </c>
      <c r="M37" s="82">
        <f t="shared" si="7"/>
        <v>0</v>
      </c>
      <c r="N37" s="82">
        <f t="shared" si="8"/>
        <v>0</v>
      </c>
      <c r="O37" s="82">
        <f t="shared" si="9"/>
        <v>0</v>
      </c>
      <c r="P37" s="82">
        <f t="shared" si="10"/>
        <v>10920</v>
      </c>
      <c r="Q37" s="82">
        <f t="shared" si="11"/>
        <v>13842.19</v>
      </c>
      <c r="R37" s="82">
        <f t="shared" si="12"/>
        <v>13842.19</v>
      </c>
    </row>
    <row r="38" spans="1:21" s="34" customFormat="1" ht="23.4">
      <c r="B38" s="87" t="s">
        <v>83</v>
      </c>
      <c r="C38" s="88" t="s">
        <v>84</v>
      </c>
      <c r="D38" s="89" t="s">
        <v>79</v>
      </c>
      <c r="E38" s="92">
        <v>40</v>
      </c>
      <c r="F38" s="91">
        <f>'M.C. MED. 01'!K45</f>
        <v>30</v>
      </c>
      <c r="G38" s="91">
        <f>F38</f>
        <v>30</v>
      </c>
      <c r="H38" s="91"/>
      <c r="I38" s="91">
        <f t="shared" si="4"/>
        <v>30</v>
      </c>
      <c r="J38" s="91">
        <f t="shared" si="5"/>
        <v>10</v>
      </c>
      <c r="K38" s="80">
        <v>1150</v>
      </c>
      <c r="L38" s="81">
        <f t="shared" si="2"/>
        <v>1457.7401265000001</v>
      </c>
      <c r="M38" s="82">
        <f t="shared" si="7"/>
        <v>43732.2</v>
      </c>
      <c r="N38" s="82">
        <f t="shared" si="8"/>
        <v>43732.2</v>
      </c>
      <c r="O38" s="82">
        <f t="shared" si="9"/>
        <v>43732.2</v>
      </c>
      <c r="P38" s="82">
        <f t="shared" si="10"/>
        <v>46000</v>
      </c>
      <c r="Q38" s="82">
        <f t="shared" si="11"/>
        <v>58309.599999999999</v>
      </c>
      <c r="R38" s="82">
        <f t="shared" si="12"/>
        <v>14577.400000000001</v>
      </c>
    </row>
    <row r="39" spans="1:21" s="34" customFormat="1" ht="23.4">
      <c r="B39" s="87" t="s">
        <v>85</v>
      </c>
      <c r="C39" s="88" t="s">
        <v>86</v>
      </c>
      <c r="D39" s="89" t="s">
        <v>79</v>
      </c>
      <c r="E39" s="92">
        <v>68</v>
      </c>
      <c r="F39" s="91">
        <f>'M.C. MED. 01'!K55</f>
        <v>48</v>
      </c>
      <c r="G39" s="91">
        <f>F39</f>
        <v>48</v>
      </c>
      <c r="H39" s="91"/>
      <c r="I39" s="91">
        <f t="shared" si="4"/>
        <v>48</v>
      </c>
      <c r="J39" s="91">
        <f t="shared" si="5"/>
        <v>20</v>
      </c>
      <c r="K39" s="80">
        <v>1000</v>
      </c>
      <c r="L39" s="81">
        <f t="shared" si="2"/>
        <v>1267.6001100000001</v>
      </c>
      <c r="M39" s="82">
        <f t="shared" si="7"/>
        <v>60844.800000000003</v>
      </c>
      <c r="N39" s="82">
        <f t="shared" si="8"/>
        <v>60844.800000000003</v>
      </c>
      <c r="O39" s="82">
        <f t="shared" si="9"/>
        <v>60844.800000000003</v>
      </c>
      <c r="P39" s="82">
        <f t="shared" si="10"/>
        <v>68000</v>
      </c>
      <c r="Q39" s="82">
        <f t="shared" si="11"/>
        <v>86196.800000000003</v>
      </c>
      <c r="R39" s="82">
        <f t="shared" si="12"/>
        <v>25352</v>
      </c>
    </row>
    <row r="40" spans="1:21" s="34" customFormat="1" ht="34.799999999999997">
      <c r="B40" s="87" t="s">
        <v>87</v>
      </c>
      <c r="C40" s="88" t="s">
        <v>88</v>
      </c>
      <c r="D40" s="89" t="s">
        <v>79</v>
      </c>
      <c r="E40" s="92">
        <v>60</v>
      </c>
      <c r="F40" s="91">
        <f>'M.C. MED. 01'!K65</f>
        <v>60</v>
      </c>
      <c r="G40" s="91">
        <f>F40</f>
        <v>60</v>
      </c>
      <c r="H40" s="91"/>
      <c r="I40" s="91">
        <f t="shared" si="4"/>
        <v>60</v>
      </c>
      <c r="J40" s="91">
        <f t="shared" si="5"/>
        <v>0</v>
      </c>
      <c r="K40" s="80">
        <v>600</v>
      </c>
      <c r="L40" s="81">
        <f t="shared" si="2"/>
        <v>760.56006600000001</v>
      </c>
      <c r="M40" s="82">
        <f t="shared" si="7"/>
        <v>45633.599999999999</v>
      </c>
      <c r="N40" s="82">
        <f t="shared" si="8"/>
        <v>45633.599999999999</v>
      </c>
      <c r="O40" s="82">
        <f t="shared" si="9"/>
        <v>45633.599999999999</v>
      </c>
      <c r="P40" s="82">
        <f t="shared" si="10"/>
        <v>36000</v>
      </c>
      <c r="Q40" s="82">
        <f t="shared" si="11"/>
        <v>45633.599999999999</v>
      </c>
      <c r="R40" s="82">
        <f t="shared" si="12"/>
        <v>0</v>
      </c>
      <c r="T40" s="83"/>
      <c r="U40" s="83"/>
    </row>
    <row r="41" spans="1:21" s="34" customFormat="1" ht="23.4">
      <c r="B41" s="87" t="s">
        <v>89</v>
      </c>
      <c r="C41" s="76" t="s">
        <v>90</v>
      </c>
      <c r="D41" s="77" t="s">
        <v>79</v>
      </c>
      <c r="E41" s="78">
        <v>60</v>
      </c>
      <c r="F41" s="79">
        <f>'M.C. MED. 01'!K75</f>
        <v>20</v>
      </c>
      <c r="G41" s="91">
        <f>F41</f>
        <v>20</v>
      </c>
      <c r="H41" s="79"/>
      <c r="I41" s="79">
        <f t="shared" si="4"/>
        <v>20</v>
      </c>
      <c r="J41" s="79">
        <f t="shared" si="5"/>
        <v>40</v>
      </c>
      <c r="K41" s="80">
        <v>1150</v>
      </c>
      <c r="L41" s="81">
        <f t="shared" si="2"/>
        <v>1457.7401265000001</v>
      </c>
      <c r="M41" s="82">
        <f t="shared" si="7"/>
        <v>29154.799999999999</v>
      </c>
      <c r="N41" s="82">
        <f t="shared" si="8"/>
        <v>29154.799999999999</v>
      </c>
      <c r="O41" s="82">
        <f t="shared" si="9"/>
        <v>29154.799999999999</v>
      </c>
      <c r="P41" s="82">
        <f t="shared" si="10"/>
        <v>69000</v>
      </c>
      <c r="Q41" s="82">
        <f t="shared" si="11"/>
        <v>87464.4</v>
      </c>
      <c r="R41" s="82">
        <f t="shared" si="12"/>
        <v>58309.599999999991</v>
      </c>
    </row>
    <row r="42" spans="1:21" s="34" customFormat="1" ht="23.4">
      <c r="B42" s="87" t="s">
        <v>91</v>
      </c>
      <c r="C42" s="76" t="s">
        <v>92</v>
      </c>
      <c r="D42" s="77" t="s">
        <v>79</v>
      </c>
      <c r="E42" s="78">
        <v>50</v>
      </c>
      <c r="F42" s="79">
        <f>'M.C. MED. 01'!K85</f>
        <v>20</v>
      </c>
      <c r="G42" s="91">
        <f>F42</f>
        <v>20</v>
      </c>
      <c r="H42" s="79"/>
      <c r="I42" s="79">
        <f t="shared" si="4"/>
        <v>20</v>
      </c>
      <c r="J42" s="79">
        <f t="shared" si="5"/>
        <v>30</v>
      </c>
      <c r="K42" s="80">
        <v>650</v>
      </c>
      <c r="L42" s="81">
        <f t="shared" si="2"/>
        <v>823.94007150000004</v>
      </c>
      <c r="M42" s="82">
        <f t="shared" si="7"/>
        <v>16478.8</v>
      </c>
      <c r="N42" s="82">
        <f t="shared" si="8"/>
        <v>16478.8</v>
      </c>
      <c r="O42" s="82">
        <f t="shared" si="9"/>
        <v>16478.8</v>
      </c>
      <c r="P42" s="82">
        <f t="shared" si="10"/>
        <v>32500</v>
      </c>
      <c r="Q42" s="82">
        <f t="shared" si="11"/>
        <v>41197</v>
      </c>
      <c r="R42" s="82">
        <f t="shared" si="12"/>
        <v>24718.2</v>
      </c>
    </row>
    <row r="43" spans="1:21" s="34" customFormat="1" ht="13.2">
      <c r="B43" s="66" t="s">
        <v>93</v>
      </c>
      <c r="C43" s="67" t="s">
        <v>94</v>
      </c>
      <c r="D43" s="68"/>
      <c r="E43" s="69"/>
      <c r="F43" s="70"/>
      <c r="G43" s="70"/>
      <c r="H43" s="70"/>
      <c r="I43" s="70">
        <f t="shared" si="4"/>
        <v>0</v>
      </c>
      <c r="J43" s="70">
        <f t="shared" si="5"/>
        <v>0</v>
      </c>
      <c r="K43" s="71"/>
      <c r="L43" s="71">
        <f t="shared" si="2"/>
        <v>0</v>
      </c>
      <c r="M43" s="73">
        <f t="shared" ref="M43:R43" si="13">SUM(M44:M51)</f>
        <v>55831.99</v>
      </c>
      <c r="N43" s="73">
        <f t="shared" si="13"/>
        <v>55831.99</v>
      </c>
      <c r="O43" s="73">
        <f t="shared" si="13"/>
        <v>55831.99</v>
      </c>
      <c r="P43" s="73">
        <f t="shared" si="13"/>
        <v>220037.1</v>
      </c>
      <c r="Q43" s="73">
        <f t="shared" si="13"/>
        <v>278919.01</v>
      </c>
      <c r="R43" s="73">
        <f t="shared" si="13"/>
        <v>223087.02</v>
      </c>
    </row>
    <row r="44" spans="1:21" s="34" customFormat="1" ht="23.4">
      <c r="A44" s="83"/>
      <c r="B44" s="87" t="s">
        <v>95</v>
      </c>
      <c r="C44" s="76" t="s">
        <v>96</v>
      </c>
      <c r="D44" s="77" t="s">
        <v>79</v>
      </c>
      <c r="E44" s="93">
        <v>2573.3000000000002</v>
      </c>
      <c r="F44" s="79">
        <v>2573.3000000000002</v>
      </c>
      <c r="G44" s="79">
        <f t="shared" ref="G44:G51" si="14">F44</f>
        <v>2573.3000000000002</v>
      </c>
      <c r="H44" s="79"/>
      <c r="I44" s="79">
        <f t="shared" si="4"/>
        <v>2573.3000000000002</v>
      </c>
      <c r="J44" s="79">
        <f t="shared" si="5"/>
        <v>0</v>
      </c>
      <c r="K44" s="80">
        <v>2</v>
      </c>
      <c r="L44" s="81">
        <f t="shared" si="2"/>
        <v>2.5352002200000001</v>
      </c>
      <c r="M44" s="82">
        <f t="shared" ref="M44:M51" si="15">TRUNC(F44*L44,2)</f>
        <v>6523.83</v>
      </c>
      <c r="N44" s="82">
        <f t="shared" ref="N44:N51" si="16">TRUNC(G44*L44,2)</f>
        <v>6523.83</v>
      </c>
      <c r="O44" s="82">
        <f t="shared" ref="O44:O51" si="17">N44</f>
        <v>6523.83</v>
      </c>
      <c r="P44" s="82">
        <f t="shared" ref="P44:P51" si="18">E44*K44</f>
        <v>5146.6000000000004</v>
      </c>
      <c r="Q44" s="82">
        <f t="shared" ref="Q44:Q51" si="19">TRUNC(E44*L44,2)</f>
        <v>6523.83</v>
      </c>
      <c r="R44" s="82">
        <f t="shared" ref="R44:R51" si="20">Q44-O44</f>
        <v>0</v>
      </c>
    </row>
    <row r="45" spans="1:21" s="34" customFormat="1" ht="23.4">
      <c r="B45" s="87" t="s">
        <v>97</v>
      </c>
      <c r="C45" s="88" t="s">
        <v>98</v>
      </c>
      <c r="D45" s="89" t="s">
        <v>99</v>
      </c>
      <c r="E45" s="90">
        <v>5.9</v>
      </c>
      <c r="F45" s="91">
        <v>5.9</v>
      </c>
      <c r="G45" s="91">
        <f t="shared" si="14"/>
        <v>5.9</v>
      </c>
      <c r="H45" s="91"/>
      <c r="I45" s="91">
        <f t="shared" si="4"/>
        <v>5.9</v>
      </c>
      <c r="J45" s="91">
        <f t="shared" si="5"/>
        <v>0</v>
      </c>
      <c r="K45" s="80">
        <v>55</v>
      </c>
      <c r="L45" s="81">
        <f t="shared" si="2"/>
        <v>69.71800605</v>
      </c>
      <c r="M45" s="82">
        <f t="shared" si="15"/>
        <v>411.33</v>
      </c>
      <c r="N45" s="82">
        <f t="shared" si="16"/>
        <v>411.33</v>
      </c>
      <c r="O45" s="82">
        <f t="shared" si="17"/>
        <v>411.33</v>
      </c>
      <c r="P45" s="82">
        <f t="shared" si="18"/>
        <v>324.5</v>
      </c>
      <c r="Q45" s="82">
        <f t="shared" si="19"/>
        <v>411.33</v>
      </c>
      <c r="R45" s="82">
        <f t="shared" si="20"/>
        <v>0</v>
      </c>
    </row>
    <row r="46" spans="1:21" s="34" customFormat="1" ht="13.2">
      <c r="B46" s="87" t="s">
        <v>100</v>
      </c>
      <c r="C46" s="88" t="s">
        <v>101</v>
      </c>
      <c r="D46" s="89" t="s">
        <v>79</v>
      </c>
      <c r="E46" s="90">
        <v>88</v>
      </c>
      <c r="F46" s="91">
        <v>88</v>
      </c>
      <c r="G46" s="91">
        <f t="shared" si="14"/>
        <v>88</v>
      </c>
      <c r="H46" s="91"/>
      <c r="I46" s="91">
        <f t="shared" si="4"/>
        <v>88</v>
      </c>
      <c r="J46" s="91">
        <f t="shared" si="5"/>
        <v>0</v>
      </c>
      <c r="K46" s="80">
        <v>10</v>
      </c>
      <c r="L46" s="81">
        <f t="shared" si="2"/>
        <v>12.676001100000001</v>
      </c>
      <c r="M46" s="82">
        <f t="shared" si="15"/>
        <v>1115.48</v>
      </c>
      <c r="N46" s="82">
        <f t="shared" si="16"/>
        <v>1115.48</v>
      </c>
      <c r="O46" s="82">
        <f t="shared" si="17"/>
        <v>1115.48</v>
      </c>
      <c r="P46" s="82">
        <f t="shared" si="18"/>
        <v>880</v>
      </c>
      <c r="Q46" s="82">
        <f t="shared" si="19"/>
        <v>1115.48</v>
      </c>
      <c r="R46" s="82">
        <f t="shared" si="20"/>
        <v>0</v>
      </c>
    </row>
    <row r="47" spans="1:21" s="34" customFormat="1" ht="23.4">
      <c r="B47" s="87" t="s">
        <v>102</v>
      </c>
      <c r="C47" s="88" t="s">
        <v>103</v>
      </c>
      <c r="D47" s="89" t="s">
        <v>99</v>
      </c>
      <c r="E47" s="90">
        <v>6.8</v>
      </c>
      <c r="F47" s="91">
        <v>6.8</v>
      </c>
      <c r="G47" s="91">
        <f t="shared" si="14"/>
        <v>6.8</v>
      </c>
      <c r="H47" s="91"/>
      <c r="I47" s="91">
        <f t="shared" si="4"/>
        <v>6.8</v>
      </c>
      <c r="J47" s="91">
        <f t="shared" si="5"/>
        <v>0</v>
      </c>
      <c r="K47" s="80">
        <v>220</v>
      </c>
      <c r="L47" s="81">
        <f t="shared" si="2"/>
        <v>278.8720242</v>
      </c>
      <c r="M47" s="82">
        <f t="shared" si="15"/>
        <v>1896.32</v>
      </c>
      <c r="N47" s="82">
        <f t="shared" si="16"/>
        <v>1896.32</v>
      </c>
      <c r="O47" s="82">
        <f t="shared" si="17"/>
        <v>1896.32</v>
      </c>
      <c r="P47" s="82">
        <f t="shared" si="18"/>
        <v>1496</v>
      </c>
      <c r="Q47" s="82">
        <f t="shared" si="19"/>
        <v>1896.32</v>
      </c>
      <c r="R47" s="82">
        <f t="shared" si="20"/>
        <v>0</v>
      </c>
    </row>
    <row r="48" spans="1:21" s="34" customFormat="1" ht="23.4">
      <c r="B48" s="87" t="s">
        <v>104</v>
      </c>
      <c r="C48" s="88" t="s">
        <v>105</v>
      </c>
      <c r="D48" s="89" t="s">
        <v>79</v>
      </c>
      <c r="E48" s="90">
        <v>88</v>
      </c>
      <c r="F48" s="91">
        <v>88</v>
      </c>
      <c r="G48" s="91">
        <f t="shared" si="14"/>
        <v>88</v>
      </c>
      <c r="H48" s="91"/>
      <c r="I48" s="91">
        <f t="shared" si="4"/>
        <v>88</v>
      </c>
      <c r="J48" s="91">
        <f t="shared" si="5"/>
        <v>0</v>
      </c>
      <c r="K48" s="80">
        <v>15</v>
      </c>
      <c r="L48" s="81">
        <f t="shared" si="2"/>
        <v>19.014001650000001</v>
      </c>
      <c r="M48" s="82">
        <f t="shared" si="15"/>
        <v>1673.23</v>
      </c>
      <c r="N48" s="82">
        <f t="shared" si="16"/>
        <v>1673.23</v>
      </c>
      <c r="O48" s="82">
        <f t="shared" si="17"/>
        <v>1673.23</v>
      </c>
      <c r="P48" s="80">
        <f t="shared" si="18"/>
        <v>1320</v>
      </c>
      <c r="Q48" s="82">
        <f t="shared" si="19"/>
        <v>1673.23</v>
      </c>
      <c r="R48" s="82">
        <f t="shared" si="20"/>
        <v>0</v>
      </c>
    </row>
    <row r="49" spans="2:20" s="34" customFormat="1" ht="23.4">
      <c r="B49" s="87" t="s">
        <v>106</v>
      </c>
      <c r="C49" s="88" t="s">
        <v>107</v>
      </c>
      <c r="D49" s="89" t="s">
        <v>99</v>
      </c>
      <c r="E49" s="90">
        <v>4350</v>
      </c>
      <c r="F49" s="91">
        <f>'M.C. MED. 01'!K105</f>
        <v>1212.6524999999999</v>
      </c>
      <c r="G49" s="91">
        <f t="shared" si="14"/>
        <v>1212.6524999999999</v>
      </c>
      <c r="H49" s="91"/>
      <c r="I49" s="91">
        <f t="shared" si="4"/>
        <v>1212.6524999999999</v>
      </c>
      <c r="J49" s="91">
        <f t="shared" si="5"/>
        <v>3137.3474999999999</v>
      </c>
      <c r="K49" s="80">
        <v>10</v>
      </c>
      <c r="L49" s="81">
        <f t="shared" si="2"/>
        <v>12.676001100000001</v>
      </c>
      <c r="M49" s="82">
        <f t="shared" si="15"/>
        <v>15371.58</v>
      </c>
      <c r="N49" s="82">
        <f t="shared" si="16"/>
        <v>15371.58</v>
      </c>
      <c r="O49" s="82">
        <f t="shared" si="17"/>
        <v>15371.58</v>
      </c>
      <c r="P49" s="80">
        <f t="shared" si="18"/>
        <v>43500</v>
      </c>
      <c r="Q49" s="82">
        <f t="shared" si="19"/>
        <v>55140.6</v>
      </c>
      <c r="R49" s="82">
        <f t="shared" si="20"/>
        <v>39769.019999999997</v>
      </c>
    </row>
    <row r="50" spans="2:20" s="34" customFormat="1" ht="46.2">
      <c r="B50" s="87" t="s">
        <v>108</v>
      </c>
      <c r="C50" s="88" t="s">
        <v>109</v>
      </c>
      <c r="D50" s="89" t="s">
        <v>110</v>
      </c>
      <c r="E50" s="90">
        <v>3985</v>
      </c>
      <c r="F50" s="91">
        <f>'M.C. MED. 01'!K105</f>
        <v>1212.6524999999999</v>
      </c>
      <c r="G50" s="91">
        <f t="shared" si="14"/>
        <v>1212.6524999999999</v>
      </c>
      <c r="H50" s="91"/>
      <c r="I50" s="91">
        <f t="shared" si="4"/>
        <v>1212.6524999999999</v>
      </c>
      <c r="J50" s="91">
        <f t="shared" si="5"/>
        <v>2772.3474999999999</v>
      </c>
      <c r="K50" s="80">
        <v>12</v>
      </c>
      <c r="L50" s="81">
        <f t="shared" si="2"/>
        <v>15.211201320000001</v>
      </c>
      <c r="M50" s="82">
        <f t="shared" si="15"/>
        <v>18445.900000000001</v>
      </c>
      <c r="N50" s="82">
        <f t="shared" si="16"/>
        <v>18445.900000000001</v>
      </c>
      <c r="O50" s="82">
        <f t="shared" si="17"/>
        <v>18445.900000000001</v>
      </c>
      <c r="P50" s="80">
        <f t="shared" si="18"/>
        <v>47820</v>
      </c>
      <c r="Q50" s="82">
        <f t="shared" si="19"/>
        <v>60616.63</v>
      </c>
      <c r="R50" s="82">
        <f t="shared" si="20"/>
        <v>42170.729999999996</v>
      </c>
      <c r="T50" s="83"/>
    </row>
    <row r="51" spans="2:20" s="34" customFormat="1" ht="34.799999999999997">
      <c r="B51" s="87" t="s">
        <v>111</v>
      </c>
      <c r="C51" s="88" t="s">
        <v>112</v>
      </c>
      <c r="D51" s="89" t="s">
        <v>113</v>
      </c>
      <c r="E51" s="90">
        <f>E50*30</f>
        <v>119550</v>
      </c>
      <c r="F51" s="91">
        <f>'M.C. MED. 01'!K115</f>
        <v>8200</v>
      </c>
      <c r="G51" s="91">
        <f t="shared" si="14"/>
        <v>8200</v>
      </c>
      <c r="H51" s="91"/>
      <c r="I51" s="91">
        <f t="shared" si="4"/>
        <v>8200</v>
      </c>
      <c r="J51" s="91">
        <f t="shared" si="5"/>
        <v>111350</v>
      </c>
      <c r="K51" s="80">
        <v>1</v>
      </c>
      <c r="L51" s="81">
        <f t="shared" si="2"/>
        <v>1.2676001100000001</v>
      </c>
      <c r="M51" s="82">
        <f t="shared" si="15"/>
        <v>10394.32</v>
      </c>
      <c r="N51" s="82">
        <f t="shared" si="16"/>
        <v>10394.32</v>
      </c>
      <c r="O51" s="82">
        <f t="shared" si="17"/>
        <v>10394.32</v>
      </c>
      <c r="P51" s="80">
        <f t="shared" si="18"/>
        <v>119550</v>
      </c>
      <c r="Q51" s="82">
        <f t="shared" si="19"/>
        <v>151541.59</v>
      </c>
      <c r="R51" s="82">
        <f t="shared" si="20"/>
        <v>141147.26999999999</v>
      </c>
    </row>
    <row r="52" spans="2:20" s="34" customFormat="1" ht="13.2">
      <c r="B52" s="60" t="s">
        <v>114</v>
      </c>
      <c r="C52" s="61" t="s">
        <v>115</v>
      </c>
      <c r="D52" s="60"/>
      <c r="E52" s="62"/>
      <c r="F52" s="63"/>
      <c r="G52" s="63"/>
      <c r="H52" s="63"/>
      <c r="I52" s="63">
        <f t="shared" si="4"/>
        <v>0</v>
      </c>
      <c r="J52" s="63">
        <f t="shared" si="5"/>
        <v>0</v>
      </c>
      <c r="K52" s="63"/>
      <c r="L52" s="63">
        <f t="shared" si="2"/>
        <v>0</v>
      </c>
      <c r="M52" s="63">
        <f t="shared" ref="M52:R52" si="21">M53</f>
        <v>18719.28</v>
      </c>
      <c r="N52" s="63">
        <f t="shared" si="21"/>
        <v>18719.28</v>
      </c>
      <c r="O52" s="63">
        <f t="shared" si="21"/>
        <v>18719.28</v>
      </c>
      <c r="P52" s="63">
        <f t="shared" si="21"/>
        <v>823958.14</v>
      </c>
      <c r="Q52" s="63">
        <f t="shared" si="21"/>
        <v>1044449.3999999999</v>
      </c>
      <c r="R52" s="63">
        <f t="shared" si="21"/>
        <v>1025730.1199999999</v>
      </c>
    </row>
    <row r="53" spans="2:20" s="34" customFormat="1" ht="13.2">
      <c r="B53" s="66" t="s">
        <v>116</v>
      </c>
      <c r="C53" s="67" t="s">
        <v>117</v>
      </c>
      <c r="D53" s="68"/>
      <c r="E53" s="69"/>
      <c r="F53" s="70"/>
      <c r="G53" s="70"/>
      <c r="H53" s="70"/>
      <c r="I53" s="70">
        <f t="shared" si="4"/>
        <v>0</v>
      </c>
      <c r="J53" s="70">
        <f t="shared" si="5"/>
        <v>0</v>
      </c>
      <c r="K53" s="71"/>
      <c r="L53" s="71">
        <f t="shared" si="2"/>
        <v>0</v>
      </c>
      <c r="M53" s="73">
        <f t="shared" ref="M53:R53" si="22">SUM(M54:M61)</f>
        <v>18719.28</v>
      </c>
      <c r="N53" s="73">
        <f t="shared" si="22"/>
        <v>18719.28</v>
      </c>
      <c r="O53" s="73">
        <f t="shared" si="22"/>
        <v>18719.28</v>
      </c>
      <c r="P53" s="73">
        <f t="shared" si="22"/>
        <v>823958.14</v>
      </c>
      <c r="Q53" s="73">
        <f t="shared" si="22"/>
        <v>1044449.3999999999</v>
      </c>
      <c r="R53" s="73">
        <f t="shared" si="22"/>
        <v>1025730.1199999999</v>
      </c>
    </row>
    <row r="54" spans="2:20" s="34" customFormat="1" ht="34.799999999999997">
      <c r="B54" s="87" t="s">
        <v>118</v>
      </c>
      <c r="C54" s="88" t="s">
        <v>119</v>
      </c>
      <c r="D54" s="89" t="s">
        <v>82</v>
      </c>
      <c r="E54" s="92">
        <v>196.9</v>
      </c>
      <c r="F54" s="91">
        <v>196.9</v>
      </c>
      <c r="G54" s="91">
        <f>F54</f>
        <v>196.9</v>
      </c>
      <c r="H54" s="91"/>
      <c r="I54" s="91">
        <f t="shared" si="4"/>
        <v>196.9</v>
      </c>
      <c r="J54" s="91">
        <f t="shared" si="5"/>
        <v>0</v>
      </c>
      <c r="K54" s="80">
        <v>75</v>
      </c>
      <c r="L54" s="81">
        <f t="shared" si="2"/>
        <v>95.070008250000001</v>
      </c>
      <c r="M54" s="82">
        <f t="shared" ref="M54:M61" si="23">TRUNC(F54*L54,2)</f>
        <v>18719.28</v>
      </c>
      <c r="N54" s="82">
        <f t="shared" ref="N54:N61" si="24">TRUNC(G54*L54,2)</f>
        <v>18719.28</v>
      </c>
      <c r="O54" s="82">
        <f t="shared" ref="O54:O61" si="25">N54</f>
        <v>18719.28</v>
      </c>
      <c r="P54" s="80">
        <f t="shared" ref="P54:P61" si="26">E54*K54</f>
        <v>14767.5</v>
      </c>
      <c r="Q54" s="82">
        <f t="shared" ref="Q54:Q61" si="27">TRUNC(E54*L54,2)</f>
        <v>18719.28</v>
      </c>
      <c r="R54" s="82">
        <f t="shared" ref="R54:R61" si="28">Q54-O54</f>
        <v>0</v>
      </c>
    </row>
    <row r="55" spans="2:20" s="34" customFormat="1" ht="23.4">
      <c r="B55" s="87" t="s">
        <v>120</v>
      </c>
      <c r="C55" s="88" t="s">
        <v>121</v>
      </c>
      <c r="D55" s="89" t="s">
        <v>63</v>
      </c>
      <c r="E55" s="92">
        <v>1</v>
      </c>
      <c r="F55" s="91"/>
      <c r="G55" s="91"/>
      <c r="H55" s="91"/>
      <c r="I55" s="91">
        <f t="shared" si="4"/>
        <v>0</v>
      </c>
      <c r="J55" s="91">
        <f t="shared" si="5"/>
        <v>1</v>
      </c>
      <c r="K55" s="80">
        <v>11000</v>
      </c>
      <c r="L55" s="81">
        <f t="shared" si="2"/>
        <v>13943.601210000001</v>
      </c>
      <c r="M55" s="82">
        <f t="shared" si="23"/>
        <v>0</v>
      </c>
      <c r="N55" s="82">
        <f t="shared" si="24"/>
        <v>0</v>
      </c>
      <c r="O55" s="82">
        <f t="shared" si="25"/>
        <v>0</v>
      </c>
      <c r="P55" s="80">
        <f t="shared" si="26"/>
        <v>11000</v>
      </c>
      <c r="Q55" s="82">
        <f t="shared" si="27"/>
        <v>13943.6</v>
      </c>
      <c r="R55" s="82">
        <f t="shared" si="28"/>
        <v>13943.6</v>
      </c>
    </row>
    <row r="56" spans="2:20" s="34" customFormat="1" ht="34.799999999999997">
      <c r="B56" s="87" t="s">
        <v>122</v>
      </c>
      <c r="C56" s="88" t="s">
        <v>123</v>
      </c>
      <c r="D56" s="89" t="s">
        <v>124</v>
      </c>
      <c r="E56" s="90">
        <v>1837</v>
      </c>
      <c r="F56" s="91"/>
      <c r="G56" s="91"/>
      <c r="H56" s="91"/>
      <c r="I56" s="91">
        <f t="shared" si="4"/>
        <v>0</v>
      </c>
      <c r="J56" s="91">
        <f t="shared" si="5"/>
        <v>1837</v>
      </c>
      <c r="K56" s="80">
        <v>405</v>
      </c>
      <c r="L56" s="81">
        <f t="shared" si="2"/>
        <v>513.37804455000003</v>
      </c>
      <c r="M56" s="82">
        <f t="shared" si="23"/>
        <v>0</v>
      </c>
      <c r="N56" s="82">
        <f t="shared" si="24"/>
        <v>0</v>
      </c>
      <c r="O56" s="82">
        <f t="shared" si="25"/>
        <v>0</v>
      </c>
      <c r="P56" s="80">
        <f t="shared" si="26"/>
        <v>743985</v>
      </c>
      <c r="Q56" s="82">
        <f t="shared" si="27"/>
        <v>943075.46</v>
      </c>
      <c r="R56" s="82">
        <f t="shared" si="28"/>
        <v>943075.46</v>
      </c>
    </row>
    <row r="57" spans="2:20" s="34" customFormat="1" ht="34.799999999999997">
      <c r="B57" s="87" t="s">
        <v>125</v>
      </c>
      <c r="C57" s="88" t="s">
        <v>126</v>
      </c>
      <c r="D57" s="89" t="s">
        <v>110</v>
      </c>
      <c r="E57" s="90">
        <v>293.92</v>
      </c>
      <c r="F57" s="91"/>
      <c r="G57" s="91"/>
      <c r="H57" s="91"/>
      <c r="I57" s="91">
        <f t="shared" si="4"/>
        <v>0</v>
      </c>
      <c r="J57" s="91">
        <f t="shared" si="5"/>
        <v>293.92</v>
      </c>
      <c r="K57" s="80">
        <v>12</v>
      </c>
      <c r="L57" s="81">
        <f t="shared" si="2"/>
        <v>15.211201320000001</v>
      </c>
      <c r="M57" s="82">
        <f t="shared" si="23"/>
        <v>0</v>
      </c>
      <c r="N57" s="82">
        <f t="shared" si="24"/>
        <v>0</v>
      </c>
      <c r="O57" s="82">
        <f t="shared" si="25"/>
        <v>0</v>
      </c>
      <c r="P57" s="80">
        <f t="shared" si="26"/>
        <v>3527.04</v>
      </c>
      <c r="Q57" s="82">
        <f t="shared" si="27"/>
        <v>4470.87</v>
      </c>
      <c r="R57" s="82">
        <f t="shared" si="28"/>
        <v>4470.87</v>
      </c>
    </row>
    <row r="58" spans="2:20" s="34" customFormat="1" ht="34.799999999999997">
      <c r="B58" s="87" t="s">
        <v>127</v>
      </c>
      <c r="C58" s="88" t="s">
        <v>128</v>
      </c>
      <c r="D58" s="89" t="s">
        <v>113</v>
      </c>
      <c r="E58" s="90">
        <f>E57*30</f>
        <v>8817.6</v>
      </c>
      <c r="F58" s="91"/>
      <c r="G58" s="91"/>
      <c r="H58" s="91"/>
      <c r="I58" s="91">
        <f t="shared" si="4"/>
        <v>0</v>
      </c>
      <c r="J58" s="91">
        <f t="shared" si="5"/>
        <v>8817.6</v>
      </c>
      <c r="K58" s="80">
        <v>1</v>
      </c>
      <c r="L58" s="81">
        <f t="shared" si="2"/>
        <v>1.2676001100000001</v>
      </c>
      <c r="M58" s="82">
        <f t="shared" si="23"/>
        <v>0</v>
      </c>
      <c r="N58" s="82">
        <f t="shared" si="24"/>
        <v>0</v>
      </c>
      <c r="O58" s="82">
        <f t="shared" si="25"/>
        <v>0</v>
      </c>
      <c r="P58" s="80">
        <f t="shared" si="26"/>
        <v>8817.6</v>
      </c>
      <c r="Q58" s="82">
        <f t="shared" si="27"/>
        <v>11177.19</v>
      </c>
      <c r="R58" s="82">
        <f t="shared" si="28"/>
        <v>11177.19</v>
      </c>
    </row>
    <row r="59" spans="2:20" s="34" customFormat="1" ht="23.4">
      <c r="B59" s="87" t="s">
        <v>129</v>
      </c>
      <c r="C59" s="88" t="s">
        <v>130</v>
      </c>
      <c r="D59" s="89" t="s">
        <v>131</v>
      </c>
      <c r="E59" s="92">
        <v>167</v>
      </c>
      <c r="F59" s="91"/>
      <c r="G59" s="91"/>
      <c r="H59" s="91"/>
      <c r="I59" s="91">
        <f t="shared" si="4"/>
        <v>0</v>
      </c>
      <c r="J59" s="91">
        <f t="shared" si="5"/>
        <v>167</v>
      </c>
      <c r="K59" s="80">
        <v>23</v>
      </c>
      <c r="L59" s="81">
        <f t="shared" si="2"/>
        <v>29.154802530000001</v>
      </c>
      <c r="M59" s="82">
        <f t="shared" si="23"/>
        <v>0</v>
      </c>
      <c r="N59" s="82">
        <f t="shared" si="24"/>
        <v>0</v>
      </c>
      <c r="O59" s="82">
        <f t="shared" si="25"/>
        <v>0</v>
      </c>
      <c r="P59" s="80">
        <f t="shared" si="26"/>
        <v>3841</v>
      </c>
      <c r="Q59" s="82">
        <f t="shared" si="27"/>
        <v>4868.8500000000004</v>
      </c>
      <c r="R59" s="82">
        <f t="shared" si="28"/>
        <v>4868.8500000000004</v>
      </c>
    </row>
    <row r="60" spans="2:20" s="34" customFormat="1" ht="13.2">
      <c r="B60" s="87" t="s">
        <v>132</v>
      </c>
      <c r="C60" s="88" t="s">
        <v>133</v>
      </c>
      <c r="D60" s="89" t="s">
        <v>63</v>
      </c>
      <c r="E60" s="92">
        <v>2</v>
      </c>
      <c r="F60" s="91"/>
      <c r="G60" s="91"/>
      <c r="H60" s="91"/>
      <c r="I60" s="91">
        <f t="shared" si="4"/>
        <v>0</v>
      </c>
      <c r="J60" s="91">
        <f t="shared" si="5"/>
        <v>2</v>
      </c>
      <c r="K60" s="80">
        <v>14000</v>
      </c>
      <c r="L60" s="81">
        <f t="shared" si="2"/>
        <v>17746.401540000003</v>
      </c>
      <c r="M60" s="82">
        <f t="shared" si="23"/>
        <v>0</v>
      </c>
      <c r="N60" s="82">
        <f t="shared" si="24"/>
        <v>0</v>
      </c>
      <c r="O60" s="82">
        <f t="shared" si="25"/>
        <v>0</v>
      </c>
      <c r="P60" s="80">
        <f t="shared" si="26"/>
        <v>28000</v>
      </c>
      <c r="Q60" s="82">
        <f t="shared" si="27"/>
        <v>35492.800000000003</v>
      </c>
      <c r="R60" s="82">
        <f t="shared" si="28"/>
        <v>35492.800000000003</v>
      </c>
    </row>
    <row r="61" spans="2:20" s="34" customFormat="1" ht="13.2">
      <c r="B61" s="87" t="s">
        <v>134</v>
      </c>
      <c r="C61" s="88" t="s">
        <v>135</v>
      </c>
      <c r="D61" s="89" t="s">
        <v>63</v>
      </c>
      <c r="E61" s="92">
        <v>167</v>
      </c>
      <c r="F61" s="91"/>
      <c r="G61" s="91"/>
      <c r="H61" s="91"/>
      <c r="I61" s="91">
        <f t="shared" si="4"/>
        <v>0</v>
      </c>
      <c r="J61" s="91">
        <f t="shared" si="5"/>
        <v>167</v>
      </c>
      <c r="K61" s="80">
        <v>60</v>
      </c>
      <c r="L61" s="81">
        <f t="shared" si="2"/>
        <v>76.056006600000003</v>
      </c>
      <c r="M61" s="82">
        <f t="shared" si="23"/>
        <v>0</v>
      </c>
      <c r="N61" s="82">
        <f t="shared" si="24"/>
        <v>0</v>
      </c>
      <c r="O61" s="82">
        <f t="shared" si="25"/>
        <v>0</v>
      </c>
      <c r="P61" s="80">
        <f t="shared" si="26"/>
        <v>10020</v>
      </c>
      <c r="Q61" s="82">
        <f t="shared" si="27"/>
        <v>12701.35</v>
      </c>
      <c r="R61" s="82">
        <f t="shared" si="28"/>
        <v>12701.35</v>
      </c>
    </row>
    <row r="62" spans="2:20" s="34" customFormat="1" ht="15.75" customHeight="1">
      <c r="B62" s="60" t="s">
        <v>136</v>
      </c>
      <c r="C62" s="61" t="s">
        <v>137</v>
      </c>
      <c r="D62" s="60"/>
      <c r="E62" s="62"/>
      <c r="F62" s="63"/>
      <c r="G62" s="63"/>
      <c r="H62" s="63"/>
      <c r="I62" s="63">
        <f t="shared" si="4"/>
        <v>0</v>
      </c>
      <c r="J62" s="63">
        <f t="shared" si="5"/>
        <v>0</v>
      </c>
      <c r="K62" s="63"/>
      <c r="L62" s="63">
        <f t="shared" si="2"/>
        <v>0</v>
      </c>
      <c r="M62" s="63">
        <f t="shared" ref="M62:R62" si="29">SUM(M63,M79)</f>
        <v>0</v>
      </c>
      <c r="N62" s="63">
        <f t="shared" si="29"/>
        <v>0</v>
      </c>
      <c r="O62" s="63">
        <f t="shared" si="29"/>
        <v>0</v>
      </c>
      <c r="P62" s="63">
        <f t="shared" si="29"/>
        <v>621941.5</v>
      </c>
      <c r="Q62" s="63">
        <f t="shared" si="29"/>
        <v>788372.97</v>
      </c>
      <c r="R62" s="63">
        <f t="shared" si="29"/>
        <v>788372.97</v>
      </c>
    </row>
    <row r="63" spans="2:20" s="34" customFormat="1" ht="13.2">
      <c r="B63" s="66" t="s">
        <v>138</v>
      </c>
      <c r="C63" s="67" t="s">
        <v>139</v>
      </c>
      <c r="D63" s="68"/>
      <c r="E63" s="69"/>
      <c r="F63" s="70"/>
      <c r="G63" s="70"/>
      <c r="H63" s="70"/>
      <c r="I63" s="70">
        <f t="shared" si="4"/>
        <v>0</v>
      </c>
      <c r="J63" s="70">
        <f t="shared" si="5"/>
        <v>0</v>
      </c>
      <c r="K63" s="71"/>
      <c r="L63" s="71">
        <f t="shared" si="2"/>
        <v>0</v>
      </c>
      <c r="M63" s="73">
        <f t="shared" ref="M63:R63" si="30">SUM(M64:M78)</f>
        <v>0</v>
      </c>
      <c r="N63" s="73">
        <f t="shared" si="30"/>
        <v>0</v>
      </c>
      <c r="O63" s="73">
        <f t="shared" si="30"/>
        <v>0</v>
      </c>
      <c r="P63" s="73">
        <f t="shared" si="30"/>
        <v>471600.95</v>
      </c>
      <c r="Q63" s="73">
        <f t="shared" si="30"/>
        <v>597801.35</v>
      </c>
      <c r="R63" s="73">
        <f t="shared" si="30"/>
        <v>597801.35</v>
      </c>
    </row>
    <row r="64" spans="2:20" s="34" customFormat="1" ht="23.4">
      <c r="B64" s="87" t="s">
        <v>140</v>
      </c>
      <c r="C64" s="88" t="s">
        <v>141</v>
      </c>
      <c r="D64" s="89" t="s">
        <v>110</v>
      </c>
      <c r="E64" s="90">
        <v>259.39</v>
      </c>
      <c r="F64" s="91"/>
      <c r="G64" s="91"/>
      <c r="H64" s="91"/>
      <c r="I64" s="91">
        <f t="shared" si="4"/>
        <v>0</v>
      </c>
      <c r="J64" s="91">
        <f t="shared" si="5"/>
        <v>259.39</v>
      </c>
      <c r="K64" s="80">
        <v>80</v>
      </c>
      <c r="L64" s="81">
        <f t="shared" si="2"/>
        <v>101.4080088</v>
      </c>
      <c r="M64" s="82">
        <f t="shared" ref="M64:M78" si="31">TRUNC(F64*L64,2)</f>
        <v>0</v>
      </c>
      <c r="N64" s="82">
        <f t="shared" ref="N64:N78" si="32">TRUNC(G64*L64,2)</f>
        <v>0</v>
      </c>
      <c r="O64" s="82">
        <f t="shared" ref="O64:O78" si="33">N64</f>
        <v>0</v>
      </c>
      <c r="P64" s="80">
        <f t="shared" ref="P64:P78" si="34">E64*K64</f>
        <v>20751.199999999997</v>
      </c>
      <c r="Q64" s="82">
        <f t="shared" ref="Q64:Q78" si="35">TRUNC(E64*L64,2)</f>
        <v>26304.22</v>
      </c>
      <c r="R64" s="82">
        <f t="shared" ref="R64:R78" si="36">Q64-O64</f>
        <v>26304.22</v>
      </c>
    </row>
    <row r="65" spans="2:20" s="34" customFormat="1" ht="23.4">
      <c r="B65" s="87" t="s">
        <v>142</v>
      </c>
      <c r="C65" s="88" t="s">
        <v>143</v>
      </c>
      <c r="D65" s="89" t="s">
        <v>79</v>
      </c>
      <c r="E65" s="92">
        <v>72.260000000000005</v>
      </c>
      <c r="F65" s="91"/>
      <c r="G65" s="91"/>
      <c r="H65" s="91"/>
      <c r="I65" s="91">
        <f t="shared" si="4"/>
        <v>0</v>
      </c>
      <c r="J65" s="91">
        <f t="shared" si="5"/>
        <v>72.260000000000005</v>
      </c>
      <c r="K65" s="80">
        <v>30</v>
      </c>
      <c r="L65" s="81">
        <f t="shared" si="2"/>
        <v>38.028003300000002</v>
      </c>
      <c r="M65" s="82">
        <f t="shared" si="31"/>
        <v>0</v>
      </c>
      <c r="N65" s="82">
        <f t="shared" si="32"/>
        <v>0</v>
      </c>
      <c r="O65" s="82">
        <f t="shared" si="33"/>
        <v>0</v>
      </c>
      <c r="P65" s="80">
        <f t="shared" si="34"/>
        <v>2167.8000000000002</v>
      </c>
      <c r="Q65" s="82">
        <f t="shared" si="35"/>
        <v>2747.9</v>
      </c>
      <c r="R65" s="82">
        <f t="shared" si="36"/>
        <v>2747.9</v>
      </c>
    </row>
    <row r="66" spans="2:20" s="34" customFormat="1" ht="13.2">
      <c r="B66" s="87" t="s">
        <v>144</v>
      </c>
      <c r="C66" s="88" t="s">
        <v>145</v>
      </c>
      <c r="D66" s="89" t="s">
        <v>110</v>
      </c>
      <c r="E66" s="92">
        <v>217.8</v>
      </c>
      <c r="F66" s="91"/>
      <c r="G66" s="91"/>
      <c r="H66" s="91"/>
      <c r="I66" s="91">
        <f t="shared" si="4"/>
        <v>0</v>
      </c>
      <c r="J66" s="91">
        <f t="shared" si="5"/>
        <v>217.8</v>
      </c>
      <c r="K66" s="80">
        <v>25</v>
      </c>
      <c r="L66" s="81">
        <f t="shared" si="2"/>
        <v>31.690002750000001</v>
      </c>
      <c r="M66" s="82">
        <f t="shared" si="31"/>
        <v>0</v>
      </c>
      <c r="N66" s="82">
        <f t="shared" si="32"/>
        <v>0</v>
      </c>
      <c r="O66" s="82">
        <f t="shared" si="33"/>
        <v>0</v>
      </c>
      <c r="P66" s="80">
        <f t="shared" si="34"/>
        <v>5445</v>
      </c>
      <c r="Q66" s="82">
        <f t="shared" si="35"/>
        <v>6902.08</v>
      </c>
      <c r="R66" s="82">
        <f t="shared" si="36"/>
        <v>6902.08</v>
      </c>
    </row>
    <row r="67" spans="2:20" s="34" customFormat="1" ht="34.799999999999997">
      <c r="B67" s="87" t="s">
        <v>146</v>
      </c>
      <c r="C67" s="88" t="s">
        <v>126</v>
      </c>
      <c r="D67" s="89" t="s">
        <v>110</v>
      </c>
      <c r="E67" s="90">
        <v>140.80000000000001</v>
      </c>
      <c r="F67" s="91"/>
      <c r="G67" s="91"/>
      <c r="H67" s="91"/>
      <c r="I67" s="91">
        <f t="shared" si="4"/>
        <v>0</v>
      </c>
      <c r="J67" s="91">
        <f t="shared" si="5"/>
        <v>140.80000000000001</v>
      </c>
      <c r="K67" s="80">
        <v>12</v>
      </c>
      <c r="L67" s="81">
        <f t="shared" si="2"/>
        <v>15.211201320000001</v>
      </c>
      <c r="M67" s="82">
        <f t="shared" si="31"/>
        <v>0</v>
      </c>
      <c r="N67" s="82">
        <f t="shared" si="32"/>
        <v>0</v>
      </c>
      <c r="O67" s="82">
        <f t="shared" si="33"/>
        <v>0</v>
      </c>
      <c r="P67" s="80">
        <f t="shared" si="34"/>
        <v>1689.6000000000001</v>
      </c>
      <c r="Q67" s="82">
        <f t="shared" si="35"/>
        <v>2141.73</v>
      </c>
      <c r="R67" s="82">
        <f t="shared" si="36"/>
        <v>2141.73</v>
      </c>
    </row>
    <row r="68" spans="2:20" s="34" customFormat="1" ht="34.799999999999997">
      <c r="B68" s="87" t="s">
        <v>147</v>
      </c>
      <c r="C68" s="88" t="s">
        <v>128</v>
      </c>
      <c r="D68" s="89" t="s">
        <v>113</v>
      </c>
      <c r="E68" s="90">
        <f>E64*30</f>
        <v>7781.7</v>
      </c>
      <c r="F68" s="91"/>
      <c r="G68" s="91"/>
      <c r="H68" s="91"/>
      <c r="I68" s="91">
        <f t="shared" si="4"/>
        <v>0</v>
      </c>
      <c r="J68" s="91">
        <f t="shared" si="5"/>
        <v>7781.7</v>
      </c>
      <c r="K68" s="80">
        <v>1</v>
      </c>
      <c r="L68" s="81">
        <f t="shared" si="2"/>
        <v>1.2676001100000001</v>
      </c>
      <c r="M68" s="82">
        <f t="shared" si="31"/>
        <v>0</v>
      </c>
      <c r="N68" s="82">
        <f t="shared" si="32"/>
        <v>0</v>
      </c>
      <c r="O68" s="82">
        <f t="shared" si="33"/>
        <v>0</v>
      </c>
      <c r="P68" s="80">
        <f t="shared" si="34"/>
        <v>7781.7</v>
      </c>
      <c r="Q68" s="82">
        <f t="shared" si="35"/>
        <v>9864.08</v>
      </c>
      <c r="R68" s="82">
        <f t="shared" si="36"/>
        <v>9864.08</v>
      </c>
      <c r="T68" s="83">
        <f>N68+N69+N103+N104+N106+N107+N108</f>
        <v>0</v>
      </c>
    </row>
    <row r="69" spans="2:20" s="34" customFormat="1" ht="23.4">
      <c r="B69" s="87" t="s">
        <v>148</v>
      </c>
      <c r="C69" s="88" t="s">
        <v>149</v>
      </c>
      <c r="D69" s="89" t="s">
        <v>79</v>
      </c>
      <c r="E69" s="90">
        <v>233.48</v>
      </c>
      <c r="F69" s="91"/>
      <c r="G69" s="91"/>
      <c r="H69" s="91"/>
      <c r="I69" s="91">
        <f t="shared" si="4"/>
        <v>0</v>
      </c>
      <c r="J69" s="91">
        <f t="shared" si="5"/>
        <v>233.48</v>
      </c>
      <c r="K69" s="80">
        <v>35</v>
      </c>
      <c r="L69" s="81">
        <f t="shared" si="2"/>
        <v>44.366003849999998</v>
      </c>
      <c r="M69" s="82">
        <f t="shared" si="31"/>
        <v>0</v>
      </c>
      <c r="N69" s="82">
        <f t="shared" si="32"/>
        <v>0</v>
      </c>
      <c r="O69" s="82">
        <f t="shared" si="33"/>
        <v>0</v>
      </c>
      <c r="P69" s="80">
        <f t="shared" si="34"/>
        <v>8171.7999999999993</v>
      </c>
      <c r="Q69" s="82">
        <f t="shared" si="35"/>
        <v>10358.57</v>
      </c>
      <c r="R69" s="82">
        <f t="shared" si="36"/>
        <v>10358.57</v>
      </c>
    </row>
    <row r="70" spans="2:20" s="34" customFormat="1" ht="23.4">
      <c r="B70" s="87" t="s">
        <v>150</v>
      </c>
      <c r="C70" s="88" t="s">
        <v>151</v>
      </c>
      <c r="D70" s="89" t="s">
        <v>152</v>
      </c>
      <c r="E70" s="90">
        <v>190.3</v>
      </c>
      <c r="F70" s="91"/>
      <c r="G70" s="91"/>
      <c r="H70" s="91"/>
      <c r="I70" s="91">
        <f t="shared" si="4"/>
        <v>0</v>
      </c>
      <c r="J70" s="91">
        <f t="shared" si="5"/>
        <v>190.3</v>
      </c>
      <c r="K70" s="80">
        <v>20</v>
      </c>
      <c r="L70" s="81">
        <f t="shared" si="2"/>
        <v>25.352002200000001</v>
      </c>
      <c r="M70" s="82">
        <f t="shared" si="31"/>
        <v>0</v>
      </c>
      <c r="N70" s="82">
        <f t="shared" si="32"/>
        <v>0</v>
      </c>
      <c r="O70" s="82">
        <f t="shared" si="33"/>
        <v>0</v>
      </c>
      <c r="P70" s="80">
        <f t="shared" si="34"/>
        <v>3806</v>
      </c>
      <c r="Q70" s="82">
        <f t="shared" si="35"/>
        <v>4824.4799999999996</v>
      </c>
      <c r="R70" s="82">
        <f t="shared" si="36"/>
        <v>4824.4799999999996</v>
      </c>
    </row>
    <row r="71" spans="2:20" s="34" customFormat="1" ht="23.4">
      <c r="B71" s="87" t="s">
        <v>153</v>
      </c>
      <c r="C71" s="88" t="s">
        <v>154</v>
      </c>
      <c r="D71" s="89" t="s">
        <v>152</v>
      </c>
      <c r="E71" s="90">
        <v>77</v>
      </c>
      <c r="F71" s="91"/>
      <c r="G71" s="91"/>
      <c r="H71" s="91"/>
      <c r="I71" s="91">
        <f t="shared" si="4"/>
        <v>0</v>
      </c>
      <c r="J71" s="91">
        <f t="shared" si="5"/>
        <v>77</v>
      </c>
      <c r="K71" s="80">
        <v>19</v>
      </c>
      <c r="L71" s="81">
        <f t="shared" si="2"/>
        <v>24.084402090000001</v>
      </c>
      <c r="M71" s="82">
        <f t="shared" si="31"/>
        <v>0</v>
      </c>
      <c r="N71" s="82">
        <f t="shared" si="32"/>
        <v>0</v>
      </c>
      <c r="O71" s="82">
        <f t="shared" si="33"/>
        <v>0</v>
      </c>
      <c r="P71" s="80">
        <f t="shared" si="34"/>
        <v>1463</v>
      </c>
      <c r="Q71" s="82">
        <f t="shared" si="35"/>
        <v>1854.49</v>
      </c>
      <c r="R71" s="82">
        <f t="shared" si="36"/>
        <v>1854.49</v>
      </c>
    </row>
    <row r="72" spans="2:20" s="34" customFormat="1" ht="23.4">
      <c r="B72" s="87" t="s">
        <v>155</v>
      </c>
      <c r="C72" s="88" t="s">
        <v>156</v>
      </c>
      <c r="D72" s="89" t="s">
        <v>152</v>
      </c>
      <c r="E72" s="90">
        <v>566.5</v>
      </c>
      <c r="F72" s="91"/>
      <c r="G72" s="91"/>
      <c r="H72" s="91"/>
      <c r="I72" s="91">
        <f t="shared" si="4"/>
        <v>0</v>
      </c>
      <c r="J72" s="91">
        <f t="shared" si="5"/>
        <v>566.5</v>
      </c>
      <c r="K72" s="80">
        <v>17.5</v>
      </c>
      <c r="L72" s="81">
        <f t="shared" si="2"/>
        <v>22.183001924999999</v>
      </c>
      <c r="M72" s="82">
        <f t="shared" si="31"/>
        <v>0</v>
      </c>
      <c r="N72" s="82">
        <f t="shared" si="32"/>
        <v>0</v>
      </c>
      <c r="O72" s="82">
        <f t="shared" si="33"/>
        <v>0</v>
      </c>
      <c r="P72" s="80">
        <f t="shared" si="34"/>
        <v>9913.75</v>
      </c>
      <c r="Q72" s="82">
        <f t="shared" si="35"/>
        <v>12566.67</v>
      </c>
      <c r="R72" s="82">
        <f t="shared" si="36"/>
        <v>12566.67</v>
      </c>
    </row>
    <row r="73" spans="2:20" s="34" customFormat="1" ht="23.4">
      <c r="B73" s="87" t="s">
        <v>157</v>
      </c>
      <c r="C73" s="88" t="s">
        <v>158</v>
      </c>
      <c r="D73" s="89" t="s">
        <v>152</v>
      </c>
      <c r="E73" s="90">
        <v>1663.2</v>
      </c>
      <c r="F73" s="91"/>
      <c r="G73" s="91"/>
      <c r="H73" s="91"/>
      <c r="I73" s="91">
        <f t="shared" si="4"/>
        <v>0</v>
      </c>
      <c r="J73" s="91">
        <f t="shared" si="5"/>
        <v>1663.2</v>
      </c>
      <c r="K73" s="80">
        <v>16</v>
      </c>
      <c r="L73" s="81">
        <f t="shared" si="2"/>
        <v>20.281601760000001</v>
      </c>
      <c r="M73" s="82">
        <f t="shared" si="31"/>
        <v>0</v>
      </c>
      <c r="N73" s="82">
        <f t="shared" si="32"/>
        <v>0</v>
      </c>
      <c r="O73" s="82">
        <f t="shared" si="33"/>
        <v>0</v>
      </c>
      <c r="P73" s="80">
        <f t="shared" si="34"/>
        <v>26611.200000000001</v>
      </c>
      <c r="Q73" s="82">
        <f t="shared" si="35"/>
        <v>33732.36</v>
      </c>
      <c r="R73" s="82">
        <f t="shared" si="36"/>
        <v>33732.36</v>
      </c>
    </row>
    <row r="74" spans="2:20" s="34" customFormat="1" ht="23.4">
      <c r="B74" s="87" t="s">
        <v>159</v>
      </c>
      <c r="C74" s="88" t="s">
        <v>160</v>
      </c>
      <c r="D74" s="89" t="s">
        <v>152</v>
      </c>
      <c r="E74" s="90">
        <v>4944.5</v>
      </c>
      <c r="F74" s="91"/>
      <c r="G74" s="91"/>
      <c r="H74" s="91"/>
      <c r="I74" s="91">
        <f t="shared" si="4"/>
        <v>0</v>
      </c>
      <c r="J74" s="91">
        <f t="shared" si="5"/>
        <v>4944.5</v>
      </c>
      <c r="K74" s="80">
        <v>14.5</v>
      </c>
      <c r="L74" s="81">
        <f t="shared" si="2"/>
        <v>18.380201595000003</v>
      </c>
      <c r="M74" s="82">
        <f t="shared" si="31"/>
        <v>0</v>
      </c>
      <c r="N74" s="82">
        <f t="shared" si="32"/>
        <v>0</v>
      </c>
      <c r="O74" s="82">
        <f t="shared" si="33"/>
        <v>0</v>
      </c>
      <c r="P74" s="80">
        <f t="shared" si="34"/>
        <v>71695.25</v>
      </c>
      <c r="Q74" s="82">
        <f t="shared" si="35"/>
        <v>90880.9</v>
      </c>
      <c r="R74" s="82">
        <f t="shared" si="36"/>
        <v>90880.9</v>
      </c>
    </row>
    <row r="75" spans="2:20" s="34" customFormat="1" ht="23.4">
      <c r="B75" s="87" t="s">
        <v>161</v>
      </c>
      <c r="C75" s="88" t="s">
        <v>162</v>
      </c>
      <c r="D75" s="89" t="s">
        <v>152</v>
      </c>
      <c r="E75" s="90">
        <v>115.5</v>
      </c>
      <c r="F75" s="91"/>
      <c r="G75" s="91"/>
      <c r="H75" s="91"/>
      <c r="I75" s="91">
        <f t="shared" si="4"/>
        <v>0</v>
      </c>
      <c r="J75" s="91">
        <f t="shared" si="5"/>
        <v>115.5</v>
      </c>
      <c r="K75" s="94">
        <v>14.5</v>
      </c>
      <c r="L75" s="81">
        <f t="shared" si="2"/>
        <v>18.380201595000003</v>
      </c>
      <c r="M75" s="82">
        <f t="shared" si="31"/>
        <v>0</v>
      </c>
      <c r="N75" s="82">
        <f t="shared" si="32"/>
        <v>0</v>
      </c>
      <c r="O75" s="82">
        <f t="shared" si="33"/>
        <v>0</v>
      </c>
      <c r="P75" s="94">
        <f t="shared" si="34"/>
        <v>1674.75</v>
      </c>
      <c r="Q75" s="82">
        <f t="shared" si="35"/>
        <v>2122.91</v>
      </c>
      <c r="R75" s="82">
        <f t="shared" si="36"/>
        <v>2122.91</v>
      </c>
    </row>
    <row r="76" spans="2:20" s="34" customFormat="1" ht="23.4">
      <c r="B76" s="87" t="s">
        <v>163</v>
      </c>
      <c r="C76" s="88" t="s">
        <v>164</v>
      </c>
      <c r="D76" s="89" t="s">
        <v>152</v>
      </c>
      <c r="E76" s="90">
        <v>7195.1</v>
      </c>
      <c r="F76" s="91"/>
      <c r="G76" s="91"/>
      <c r="H76" s="91"/>
      <c r="I76" s="91">
        <f t="shared" si="4"/>
        <v>0</v>
      </c>
      <c r="J76" s="91">
        <f t="shared" si="5"/>
        <v>7195.1</v>
      </c>
      <c r="K76" s="80">
        <v>14</v>
      </c>
      <c r="L76" s="81">
        <f t="shared" si="2"/>
        <v>17.746401540000001</v>
      </c>
      <c r="M76" s="82">
        <f t="shared" si="31"/>
        <v>0</v>
      </c>
      <c r="N76" s="82">
        <f t="shared" si="32"/>
        <v>0</v>
      </c>
      <c r="O76" s="82">
        <f t="shared" si="33"/>
        <v>0</v>
      </c>
      <c r="P76" s="80">
        <f t="shared" si="34"/>
        <v>100731.40000000001</v>
      </c>
      <c r="Q76" s="82">
        <f t="shared" si="35"/>
        <v>127687.13</v>
      </c>
      <c r="R76" s="82">
        <f t="shared" si="36"/>
        <v>127687.13</v>
      </c>
    </row>
    <row r="77" spans="2:20" s="34" customFormat="1" ht="23.4">
      <c r="B77" s="87" t="s">
        <v>165</v>
      </c>
      <c r="C77" s="88" t="s">
        <v>166</v>
      </c>
      <c r="D77" s="89" t="s">
        <v>79</v>
      </c>
      <c r="E77" s="90">
        <v>415.8</v>
      </c>
      <c r="F77" s="91"/>
      <c r="G77" s="91"/>
      <c r="H77" s="91"/>
      <c r="I77" s="91">
        <f t="shared" si="4"/>
        <v>0</v>
      </c>
      <c r="J77" s="91">
        <f t="shared" si="5"/>
        <v>415.8</v>
      </c>
      <c r="K77" s="80">
        <v>120</v>
      </c>
      <c r="L77" s="81">
        <f t="shared" si="2"/>
        <v>152.11201320000001</v>
      </c>
      <c r="M77" s="82">
        <f t="shared" si="31"/>
        <v>0</v>
      </c>
      <c r="N77" s="82">
        <f t="shared" si="32"/>
        <v>0</v>
      </c>
      <c r="O77" s="82">
        <f t="shared" si="33"/>
        <v>0</v>
      </c>
      <c r="P77" s="80">
        <f t="shared" si="34"/>
        <v>49896</v>
      </c>
      <c r="Q77" s="82">
        <f t="shared" si="35"/>
        <v>63248.17</v>
      </c>
      <c r="R77" s="82">
        <f t="shared" si="36"/>
        <v>63248.17</v>
      </c>
    </row>
    <row r="78" spans="2:20" s="34" customFormat="1" ht="34.799999999999997">
      <c r="B78" s="87" t="s">
        <v>167</v>
      </c>
      <c r="C78" s="88" t="s">
        <v>168</v>
      </c>
      <c r="D78" s="89" t="s">
        <v>169</v>
      </c>
      <c r="E78" s="92">
        <v>213.07</v>
      </c>
      <c r="F78" s="91"/>
      <c r="G78" s="91"/>
      <c r="H78" s="91"/>
      <c r="I78" s="91">
        <f t="shared" si="4"/>
        <v>0</v>
      </c>
      <c r="J78" s="91">
        <f t="shared" si="5"/>
        <v>213.07</v>
      </c>
      <c r="K78" s="95">
        <v>750</v>
      </c>
      <c r="L78" s="81">
        <f t="shared" si="2"/>
        <v>950.70008250000001</v>
      </c>
      <c r="M78" s="82">
        <f t="shared" si="31"/>
        <v>0</v>
      </c>
      <c r="N78" s="82">
        <f t="shared" si="32"/>
        <v>0</v>
      </c>
      <c r="O78" s="82">
        <f t="shared" si="33"/>
        <v>0</v>
      </c>
      <c r="P78" s="95">
        <f t="shared" si="34"/>
        <v>159802.5</v>
      </c>
      <c r="Q78" s="82">
        <f t="shared" si="35"/>
        <v>202565.66</v>
      </c>
      <c r="R78" s="82">
        <f t="shared" si="36"/>
        <v>202565.66</v>
      </c>
    </row>
    <row r="79" spans="2:20" s="34" customFormat="1" ht="13.2">
      <c r="B79" s="66" t="s">
        <v>170</v>
      </c>
      <c r="C79" s="67" t="s">
        <v>171</v>
      </c>
      <c r="D79" s="68"/>
      <c r="E79" s="69"/>
      <c r="F79" s="70"/>
      <c r="G79" s="70"/>
      <c r="H79" s="70"/>
      <c r="I79" s="70">
        <f t="shared" si="4"/>
        <v>0</v>
      </c>
      <c r="J79" s="70">
        <f t="shared" si="5"/>
        <v>0</v>
      </c>
      <c r="K79" s="71"/>
      <c r="L79" s="71">
        <f t="shared" si="2"/>
        <v>0</v>
      </c>
      <c r="M79" s="73">
        <f t="shared" ref="M79:R79" si="37">SUM(M80:M93)</f>
        <v>0</v>
      </c>
      <c r="N79" s="73">
        <f t="shared" si="37"/>
        <v>0</v>
      </c>
      <c r="O79" s="73">
        <f t="shared" si="37"/>
        <v>0</v>
      </c>
      <c r="P79" s="73">
        <f t="shared" si="37"/>
        <v>150340.54999999999</v>
      </c>
      <c r="Q79" s="73">
        <f t="shared" si="37"/>
        <v>190571.62</v>
      </c>
      <c r="R79" s="73">
        <f t="shared" si="37"/>
        <v>190571.62</v>
      </c>
    </row>
    <row r="80" spans="2:20" s="34" customFormat="1" ht="23.4">
      <c r="B80" s="87" t="s">
        <v>172</v>
      </c>
      <c r="C80" s="88" t="s">
        <v>141</v>
      </c>
      <c r="D80" s="89" t="s">
        <v>110</v>
      </c>
      <c r="E80" s="90">
        <v>268.39999999999998</v>
      </c>
      <c r="F80" s="91"/>
      <c r="G80" s="91"/>
      <c r="H80" s="91"/>
      <c r="I80" s="91">
        <f t="shared" si="4"/>
        <v>0</v>
      </c>
      <c r="J80" s="91">
        <f t="shared" si="5"/>
        <v>268.39999999999998</v>
      </c>
      <c r="K80" s="80">
        <v>80</v>
      </c>
      <c r="L80" s="81">
        <f t="shared" si="2"/>
        <v>101.4080088</v>
      </c>
      <c r="M80" s="82">
        <f t="shared" ref="M80:M93" si="38">TRUNC(F80*L80,2)</f>
        <v>0</v>
      </c>
      <c r="N80" s="82">
        <f t="shared" ref="N80:N93" si="39">TRUNC(G80*L80,2)</f>
        <v>0</v>
      </c>
      <c r="O80" s="82">
        <f t="shared" ref="O80:O93" si="40">N80</f>
        <v>0</v>
      </c>
      <c r="P80" s="80">
        <f t="shared" ref="P80:P93" si="41">E80*K80</f>
        <v>21472</v>
      </c>
      <c r="Q80" s="82">
        <f t="shared" ref="Q80:Q93" si="42">TRUNC(E80*L80,2)</f>
        <v>27217.9</v>
      </c>
      <c r="R80" s="82">
        <f t="shared" ref="R80:R93" si="43">Q80-O80</f>
        <v>27217.9</v>
      </c>
    </row>
    <row r="81" spans="2:20" s="34" customFormat="1" ht="13.2">
      <c r="B81" s="87" t="s">
        <v>173</v>
      </c>
      <c r="C81" s="88" t="s">
        <v>145</v>
      </c>
      <c r="D81" s="89" t="s">
        <v>110</v>
      </c>
      <c r="E81" s="92">
        <v>111.1</v>
      </c>
      <c r="F81" s="91"/>
      <c r="G81" s="91"/>
      <c r="H81" s="91"/>
      <c r="I81" s="91">
        <f t="shared" si="4"/>
        <v>0</v>
      </c>
      <c r="J81" s="91">
        <f t="shared" si="5"/>
        <v>111.1</v>
      </c>
      <c r="K81" s="80">
        <v>25</v>
      </c>
      <c r="L81" s="81">
        <f t="shared" si="2"/>
        <v>31.690002750000001</v>
      </c>
      <c r="M81" s="82">
        <f t="shared" si="38"/>
        <v>0</v>
      </c>
      <c r="N81" s="82">
        <f t="shared" si="39"/>
        <v>0</v>
      </c>
      <c r="O81" s="82">
        <f t="shared" si="40"/>
        <v>0</v>
      </c>
      <c r="P81" s="80">
        <f t="shared" si="41"/>
        <v>2777.5</v>
      </c>
      <c r="Q81" s="82">
        <f t="shared" si="42"/>
        <v>3520.75</v>
      </c>
      <c r="R81" s="82">
        <f t="shared" si="43"/>
        <v>3520.75</v>
      </c>
    </row>
    <row r="82" spans="2:20" s="34" customFormat="1" ht="34.799999999999997">
      <c r="B82" s="87" t="s">
        <v>174</v>
      </c>
      <c r="C82" s="88" t="s">
        <v>126</v>
      </c>
      <c r="D82" s="89" t="s">
        <v>110</v>
      </c>
      <c r="E82" s="92">
        <v>268.39999999999998</v>
      </c>
      <c r="F82" s="91"/>
      <c r="G82" s="91"/>
      <c r="H82" s="91"/>
      <c r="I82" s="91">
        <f t="shared" si="4"/>
        <v>0</v>
      </c>
      <c r="J82" s="91">
        <f t="shared" si="5"/>
        <v>268.39999999999998</v>
      </c>
      <c r="K82" s="80">
        <v>10</v>
      </c>
      <c r="L82" s="81">
        <f t="shared" si="2"/>
        <v>12.676001100000001</v>
      </c>
      <c r="M82" s="82">
        <f t="shared" si="38"/>
        <v>0</v>
      </c>
      <c r="N82" s="82">
        <f t="shared" si="39"/>
        <v>0</v>
      </c>
      <c r="O82" s="82">
        <f t="shared" si="40"/>
        <v>0</v>
      </c>
      <c r="P82" s="80">
        <f t="shared" si="41"/>
        <v>2684</v>
      </c>
      <c r="Q82" s="82">
        <f t="shared" si="42"/>
        <v>3402.23</v>
      </c>
      <c r="R82" s="82">
        <f t="shared" si="43"/>
        <v>3402.23</v>
      </c>
    </row>
    <row r="83" spans="2:20" s="34" customFormat="1" ht="34.799999999999997">
      <c r="B83" s="87" t="s">
        <v>175</v>
      </c>
      <c r="C83" s="88" t="s">
        <v>128</v>
      </c>
      <c r="D83" s="89" t="s">
        <v>113</v>
      </c>
      <c r="E83" s="90">
        <f>E82*30</f>
        <v>8051.9999999999991</v>
      </c>
      <c r="F83" s="91"/>
      <c r="G83" s="91"/>
      <c r="H83" s="91"/>
      <c r="I83" s="91">
        <f t="shared" si="4"/>
        <v>0</v>
      </c>
      <c r="J83" s="91">
        <f t="shared" si="5"/>
        <v>8051.9999999999991</v>
      </c>
      <c r="K83" s="80">
        <v>3</v>
      </c>
      <c r="L83" s="81">
        <f t="shared" si="2"/>
        <v>3.8028003300000002</v>
      </c>
      <c r="M83" s="82">
        <f t="shared" si="38"/>
        <v>0</v>
      </c>
      <c r="N83" s="82">
        <f t="shared" si="39"/>
        <v>0</v>
      </c>
      <c r="O83" s="82">
        <f t="shared" si="40"/>
        <v>0</v>
      </c>
      <c r="P83" s="80">
        <f t="shared" si="41"/>
        <v>24155.999999999996</v>
      </c>
      <c r="Q83" s="82">
        <f t="shared" si="42"/>
        <v>30620.14</v>
      </c>
      <c r="R83" s="82">
        <f t="shared" si="43"/>
        <v>30620.14</v>
      </c>
    </row>
    <row r="84" spans="2:20" s="34" customFormat="1" ht="23.4">
      <c r="B84" s="87" t="s">
        <v>176</v>
      </c>
      <c r="C84" s="88" t="s">
        <v>177</v>
      </c>
      <c r="D84" s="89" t="s">
        <v>79</v>
      </c>
      <c r="E84" s="90">
        <v>243.1</v>
      </c>
      <c r="F84" s="91"/>
      <c r="G84" s="91"/>
      <c r="H84" s="91"/>
      <c r="I84" s="91">
        <f t="shared" si="4"/>
        <v>0</v>
      </c>
      <c r="J84" s="91">
        <f t="shared" si="5"/>
        <v>243.1</v>
      </c>
      <c r="K84" s="80">
        <v>35</v>
      </c>
      <c r="L84" s="81">
        <f t="shared" si="2"/>
        <v>44.366003849999998</v>
      </c>
      <c r="M84" s="82">
        <f t="shared" si="38"/>
        <v>0</v>
      </c>
      <c r="N84" s="82">
        <f t="shared" si="39"/>
        <v>0</v>
      </c>
      <c r="O84" s="82">
        <f t="shared" si="40"/>
        <v>0</v>
      </c>
      <c r="P84" s="80">
        <f t="shared" si="41"/>
        <v>8508.5</v>
      </c>
      <c r="Q84" s="82">
        <f t="shared" si="42"/>
        <v>10785.37</v>
      </c>
      <c r="R84" s="82">
        <f t="shared" si="43"/>
        <v>10785.37</v>
      </c>
    </row>
    <row r="85" spans="2:20" s="34" customFormat="1" ht="23.4">
      <c r="B85" s="87" t="s">
        <v>178</v>
      </c>
      <c r="C85" s="88" t="s">
        <v>151</v>
      </c>
      <c r="D85" s="89" t="s">
        <v>152</v>
      </c>
      <c r="E85" s="90">
        <v>185.9</v>
      </c>
      <c r="F85" s="91"/>
      <c r="G85" s="91"/>
      <c r="H85" s="91"/>
      <c r="I85" s="91">
        <f t="shared" si="4"/>
        <v>0</v>
      </c>
      <c r="J85" s="91">
        <f t="shared" si="5"/>
        <v>185.9</v>
      </c>
      <c r="K85" s="80">
        <v>20</v>
      </c>
      <c r="L85" s="81">
        <f t="shared" si="2"/>
        <v>25.352002200000001</v>
      </c>
      <c r="M85" s="82">
        <f t="shared" si="38"/>
        <v>0</v>
      </c>
      <c r="N85" s="82">
        <f t="shared" si="39"/>
        <v>0</v>
      </c>
      <c r="O85" s="82">
        <f t="shared" si="40"/>
        <v>0</v>
      </c>
      <c r="P85" s="80">
        <f t="shared" si="41"/>
        <v>3718</v>
      </c>
      <c r="Q85" s="82">
        <f t="shared" si="42"/>
        <v>4712.93</v>
      </c>
      <c r="R85" s="82">
        <f t="shared" si="43"/>
        <v>4712.93</v>
      </c>
    </row>
    <row r="86" spans="2:20" s="34" customFormat="1" ht="23.4">
      <c r="B86" s="87" t="s">
        <v>179</v>
      </c>
      <c r="C86" s="88" t="s">
        <v>180</v>
      </c>
      <c r="D86" s="89" t="s">
        <v>152</v>
      </c>
      <c r="E86" s="90">
        <v>199.1</v>
      </c>
      <c r="F86" s="91"/>
      <c r="G86" s="91"/>
      <c r="H86" s="91"/>
      <c r="I86" s="91">
        <f t="shared" si="4"/>
        <v>0</v>
      </c>
      <c r="J86" s="91">
        <f t="shared" si="5"/>
        <v>199.1</v>
      </c>
      <c r="K86" s="80">
        <v>19</v>
      </c>
      <c r="L86" s="81">
        <f t="shared" si="2"/>
        <v>24.084402090000001</v>
      </c>
      <c r="M86" s="82">
        <f t="shared" si="38"/>
        <v>0</v>
      </c>
      <c r="N86" s="82">
        <f t="shared" si="39"/>
        <v>0</v>
      </c>
      <c r="O86" s="82">
        <f t="shared" si="40"/>
        <v>0</v>
      </c>
      <c r="P86" s="80">
        <f t="shared" si="41"/>
        <v>3782.9</v>
      </c>
      <c r="Q86" s="82">
        <f t="shared" si="42"/>
        <v>4795.2</v>
      </c>
      <c r="R86" s="82">
        <f t="shared" si="43"/>
        <v>4795.2</v>
      </c>
    </row>
    <row r="87" spans="2:20" s="34" customFormat="1" ht="23.4">
      <c r="B87" s="87" t="s">
        <v>181</v>
      </c>
      <c r="C87" s="88" t="s">
        <v>156</v>
      </c>
      <c r="D87" s="89" t="s">
        <v>152</v>
      </c>
      <c r="E87" s="90">
        <v>378.4</v>
      </c>
      <c r="F87" s="91"/>
      <c r="G87" s="91"/>
      <c r="H87" s="91"/>
      <c r="I87" s="91">
        <f t="shared" si="4"/>
        <v>0</v>
      </c>
      <c r="J87" s="91">
        <f t="shared" si="5"/>
        <v>378.4</v>
      </c>
      <c r="K87" s="80">
        <v>17.5</v>
      </c>
      <c r="L87" s="81">
        <f t="shared" si="2"/>
        <v>22.183001924999999</v>
      </c>
      <c r="M87" s="82">
        <f t="shared" si="38"/>
        <v>0</v>
      </c>
      <c r="N87" s="82">
        <f t="shared" si="39"/>
        <v>0</v>
      </c>
      <c r="O87" s="82">
        <f t="shared" si="40"/>
        <v>0</v>
      </c>
      <c r="P87" s="80">
        <f t="shared" si="41"/>
        <v>6622</v>
      </c>
      <c r="Q87" s="82">
        <f t="shared" si="42"/>
        <v>8394.0400000000009</v>
      </c>
      <c r="R87" s="82">
        <f t="shared" si="43"/>
        <v>8394.0400000000009</v>
      </c>
    </row>
    <row r="88" spans="2:20" s="34" customFormat="1" ht="23.4">
      <c r="B88" s="87" t="s">
        <v>182</v>
      </c>
      <c r="C88" s="88" t="s">
        <v>158</v>
      </c>
      <c r="D88" s="89" t="s">
        <v>152</v>
      </c>
      <c r="E88" s="90">
        <v>445.5</v>
      </c>
      <c r="F88" s="91"/>
      <c r="G88" s="91"/>
      <c r="H88" s="91"/>
      <c r="I88" s="91">
        <f t="shared" si="4"/>
        <v>0</v>
      </c>
      <c r="J88" s="91">
        <f t="shared" si="5"/>
        <v>445.5</v>
      </c>
      <c r="K88" s="80">
        <v>16</v>
      </c>
      <c r="L88" s="81">
        <f t="shared" si="2"/>
        <v>20.281601760000001</v>
      </c>
      <c r="M88" s="82">
        <f t="shared" si="38"/>
        <v>0</v>
      </c>
      <c r="N88" s="82">
        <f t="shared" si="39"/>
        <v>0</v>
      </c>
      <c r="O88" s="82">
        <f t="shared" si="40"/>
        <v>0</v>
      </c>
      <c r="P88" s="80">
        <f t="shared" si="41"/>
        <v>7128</v>
      </c>
      <c r="Q88" s="82">
        <f t="shared" si="42"/>
        <v>9035.4500000000007</v>
      </c>
      <c r="R88" s="82">
        <f t="shared" si="43"/>
        <v>9035.4500000000007</v>
      </c>
    </row>
    <row r="89" spans="2:20" s="34" customFormat="1" ht="23.4">
      <c r="B89" s="87" t="s">
        <v>183</v>
      </c>
      <c r="C89" s="88" t="s">
        <v>160</v>
      </c>
      <c r="D89" s="89" t="s">
        <v>152</v>
      </c>
      <c r="E89" s="90">
        <v>177.1</v>
      </c>
      <c r="F89" s="91"/>
      <c r="G89" s="91"/>
      <c r="H89" s="91"/>
      <c r="I89" s="91">
        <f t="shared" si="4"/>
        <v>0</v>
      </c>
      <c r="J89" s="91">
        <f t="shared" si="5"/>
        <v>177.1</v>
      </c>
      <c r="K89" s="80">
        <v>14.5</v>
      </c>
      <c r="L89" s="81">
        <f t="shared" si="2"/>
        <v>18.380201595000003</v>
      </c>
      <c r="M89" s="82">
        <f t="shared" si="38"/>
        <v>0</v>
      </c>
      <c r="N89" s="82">
        <f t="shared" si="39"/>
        <v>0</v>
      </c>
      <c r="O89" s="82">
        <f t="shared" si="40"/>
        <v>0</v>
      </c>
      <c r="P89" s="80">
        <f t="shared" si="41"/>
        <v>2567.9499999999998</v>
      </c>
      <c r="Q89" s="82">
        <f t="shared" si="42"/>
        <v>3255.13</v>
      </c>
      <c r="R89" s="82">
        <f t="shared" si="43"/>
        <v>3255.13</v>
      </c>
    </row>
    <row r="90" spans="2:20" s="34" customFormat="1" ht="23.4">
      <c r="B90" s="87" t="s">
        <v>184</v>
      </c>
      <c r="C90" s="88" t="s">
        <v>162</v>
      </c>
      <c r="D90" s="89" t="s">
        <v>152</v>
      </c>
      <c r="E90" s="90">
        <v>61.6</v>
      </c>
      <c r="F90" s="91"/>
      <c r="G90" s="91"/>
      <c r="H90" s="91"/>
      <c r="I90" s="91">
        <f t="shared" si="4"/>
        <v>0</v>
      </c>
      <c r="J90" s="91">
        <f t="shared" si="5"/>
        <v>61.6</v>
      </c>
      <c r="K90" s="94">
        <v>14.5</v>
      </c>
      <c r="L90" s="81">
        <f t="shared" si="2"/>
        <v>18.380201595000003</v>
      </c>
      <c r="M90" s="82">
        <f t="shared" si="38"/>
        <v>0</v>
      </c>
      <c r="N90" s="82">
        <f t="shared" si="39"/>
        <v>0</v>
      </c>
      <c r="O90" s="82">
        <f t="shared" si="40"/>
        <v>0</v>
      </c>
      <c r="P90" s="80">
        <f t="shared" si="41"/>
        <v>893.2</v>
      </c>
      <c r="Q90" s="82">
        <f t="shared" si="42"/>
        <v>1132.22</v>
      </c>
      <c r="R90" s="82">
        <f t="shared" si="43"/>
        <v>1132.22</v>
      </c>
    </row>
    <row r="91" spans="2:20" s="34" customFormat="1" ht="23.4">
      <c r="B91" s="87" t="s">
        <v>185</v>
      </c>
      <c r="C91" s="88" t="s">
        <v>186</v>
      </c>
      <c r="D91" s="89" t="s">
        <v>79</v>
      </c>
      <c r="E91" s="90">
        <v>299.2</v>
      </c>
      <c r="F91" s="91"/>
      <c r="G91" s="91"/>
      <c r="H91" s="91"/>
      <c r="I91" s="91">
        <f t="shared" si="4"/>
        <v>0</v>
      </c>
      <c r="J91" s="91">
        <f t="shared" si="5"/>
        <v>299.2</v>
      </c>
      <c r="K91" s="80">
        <v>140</v>
      </c>
      <c r="L91" s="81">
        <f t="shared" si="2"/>
        <v>177.46401539999999</v>
      </c>
      <c r="M91" s="82">
        <f t="shared" si="38"/>
        <v>0</v>
      </c>
      <c r="N91" s="82">
        <f t="shared" si="39"/>
        <v>0</v>
      </c>
      <c r="O91" s="82">
        <f t="shared" si="40"/>
        <v>0</v>
      </c>
      <c r="P91" s="80">
        <f t="shared" si="41"/>
        <v>41888</v>
      </c>
      <c r="Q91" s="82">
        <f t="shared" si="42"/>
        <v>53097.23</v>
      </c>
      <c r="R91" s="82">
        <f t="shared" si="43"/>
        <v>53097.23</v>
      </c>
    </row>
    <row r="92" spans="2:20" s="34" customFormat="1" ht="23.4">
      <c r="B92" s="87" t="s">
        <v>187</v>
      </c>
      <c r="C92" s="88" t="s">
        <v>188</v>
      </c>
      <c r="D92" s="89" t="s">
        <v>169</v>
      </c>
      <c r="E92" s="92">
        <v>22.99</v>
      </c>
      <c r="F92" s="91"/>
      <c r="G92" s="91"/>
      <c r="H92" s="91"/>
      <c r="I92" s="91">
        <f t="shared" si="4"/>
        <v>0</v>
      </c>
      <c r="J92" s="91">
        <f t="shared" si="5"/>
        <v>22.99</v>
      </c>
      <c r="K92" s="95">
        <v>750</v>
      </c>
      <c r="L92" s="81">
        <f t="shared" si="2"/>
        <v>950.70008250000001</v>
      </c>
      <c r="M92" s="82">
        <f t="shared" si="38"/>
        <v>0</v>
      </c>
      <c r="N92" s="82">
        <f t="shared" si="39"/>
        <v>0</v>
      </c>
      <c r="O92" s="82">
        <f t="shared" si="40"/>
        <v>0</v>
      </c>
      <c r="P92" s="80">
        <f t="shared" si="41"/>
        <v>17242.5</v>
      </c>
      <c r="Q92" s="82">
        <f t="shared" si="42"/>
        <v>21856.59</v>
      </c>
      <c r="R92" s="82">
        <f t="shared" si="43"/>
        <v>21856.59</v>
      </c>
      <c r="T92" s="83"/>
    </row>
    <row r="93" spans="2:20" s="34" customFormat="1" ht="23.4">
      <c r="B93" s="87" t="s">
        <v>189</v>
      </c>
      <c r="C93" s="88" t="s">
        <v>190</v>
      </c>
      <c r="D93" s="89" t="s">
        <v>63</v>
      </c>
      <c r="E93" s="92">
        <v>230</v>
      </c>
      <c r="F93" s="91"/>
      <c r="G93" s="91"/>
      <c r="H93" s="91"/>
      <c r="I93" s="91">
        <f t="shared" si="4"/>
        <v>0</v>
      </c>
      <c r="J93" s="91">
        <f t="shared" si="5"/>
        <v>230</v>
      </c>
      <c r="K93" s="80">
        <v>30</v>
      </c>
      <c r="L93" s="81">
        <f t="shared" ref="L93:L156" si="44">K93*(1+$T$26)</f>
        <v>38.028003300000002</v>
      </c>
      <c r="M93" s="82">
        <f t="shared" si="38"/>
        <v>0</v>
      </c>
      <c r="N93" s="82">
        <f t="shared" si="39"/>
        <v>0</v>
      </c>
      <c r="O93" s="82">
        <f t="shared" si="40"/>
        <v>0</v>
      </c>
      <c r="P93" s="80">
        <f t="shared" si="41"/>
        <v>6900</v>
      </c>
      <c r="Q93" s="82">
        <f t="shared" si="42"/>
        <v>8746.44</v>
      </c>
      <c r="R93" s="82">
        <f t="shared" si="43"/>
        <v>8746.44</v>
      </c>
    </row>
    <row r="94" spans="2:20" s="34" customFormat="1" ht="13.2">
      <c r="B94" s="60" t="s">
        <v>191</v>
      </c>
      <c r="C94" s="61" t="s">
        <v>192</v>
      </c>
      <c r="D94" s="60"/>
      <c r="E94" s="62"/>
      <c r="F94" s="63"/>
      <c r="G94" s="63"/>
      <c r="H94" s="63"/>
      <c r="I94" s="63">
        <f t="shared" si="4"/>
        <v>0</v>
      </c>
      <c r="J94" s="63">
        <f t="shared" si="5"/>
        <v>0</v>
      </c>
      <c r="K94" s="63"/>
      <c r="L94" s="63">
        <f t="shared" si="44"/>
        <v>0</v>
      </c>
      <c r="M94" s="63">
        <f t="shared" ref="M94:R94" si="45">SUM(M95,M107,M120)</f>
        <v>0</v>
      </c>
      <c r="N94" s="63">
        <f t="shared" si="45"/>
        <v>0</v>
      </c>
      <c r="O94" s="63">
        <f t="shared" si="45"/>
        <v>0</v>
      </c>
      <c r="P94" s="63">
        <f t="shared" si="45"/>
        <v>4541959.5</v>
      </c>
      <c r="Q94" s="63">
        <f t="shared" si="45"/>
        <v>5757388.21</v>
      </c>
      <c r="R94" s="63">
        <f t="shared" si="45"/>
        <v>5757388.21</v>
      </c>
    </row>
    <row r="95" spans="2:20" s="34" customFormat="1" ht="13.2">
      <c r="B95" s="66" t="s">
        <v>193</v>
      </c>
      <c r="C95" s="67" t="s">
        <v>194</v>
      </c>
      <c r="D95" s="68"/>
      <c r="E95" s="69"/>
      <c r="F95" s="70"/>
      <c r="G95" s="70"/>
      <c r="H95" s="70"/>
      <c r="I95" s="70">
        <f t="shared" ref="I95:I158" si="46">SUM(G95:H95)</f>
        <v>0</v>
      </c>
      <c r="J95" s="70">
        <f t="shared" ref="J95:J158" si="47">E95-I95</f>
        <v>0</v>
      </c>
      <c r="K95" s="71"/>
      <c r="L95" s="71">
        <f t="shared" si="44"/>
        <v>0</v>
      </c>
      <c r="M95" s="73">
        <f t="shared" ref="M95:R95" si="48">SUM(M96:M106)</f>
        <v>0</v>
      </c>
      <c r="N95" s="73">
        <f t="shared" si="48"/>
        <v>0</v>
      </c>
      <c r="O95" s="73">
        <f t="shared" si="48"/>
        <v>0</v>
      </c>
      <c r="P95" s="73">
        <f t="shared" si="48"/>
        <v>1372038.75</v>
      </c>
      <c r="Q95" s="73">
        <f t="shared" si="48"/>
        <v>1739196.42</v>
      </c>
      <c r="R95" s="73">
        <f t="shared" si="48"/>
        <v>1739196.42</v>
      </c>
    </row>
    <row r="96" spans="2:20" s="34" customFormat="1" ht="34.799999999999997">
      <c r="B96" s="87" t="s">
        <v>195</v>
      </c>
      <c r="C96" s="88" t="s">
        <v>196</v>
      </c>
      <c r="D96" s="89" t="s">
        <v>79</v>
      </c>
      <c r="E96" s="92">
        <v>3575</v>
      </c>
      <c r="F96" s="91"/>
      <c r="G96" s="91"/>
      <c r="H96" s="91"/>
      <c r="I96" s="91">
        <f t="shared" si="46"/>
        <v>0</v>
      </c>
      <c r="J96" s="91">
        <f t="shared" si="47"/>
        <v>3575</v>
      </c>
      <c r="K96" s="80">
        <v>130</v>
      </c>
      <c r="L96" s="81">
        <f t="shared" si="44"/>
        <v>164.78801430000001</v>
      </c>
      <c r="M96" s="82">
        <f t="shared" ref="M96:M106" si="49">TRUNC(F96*L96,2)</f>
        <v>0</v>
      </c>
      <c r="N96" s="82">
        <f t="shared" ref="N96:N106" si="50">TRUNC(G96*L96,2)</f>
        <v>0</v>
      </c>
      <c r="O96" s="82">
        <f t="shared" ref="O96:O106" si="51">N96</f>
        <v>0</v>
      </c>
      <c r="P96" s="80">
        <f t="shared" ref="P96:P106" si="52">E96*K96</f>
        <v>464750</v>
      </c>
      <c r="Q96" s="82">
        <f t="shared" ref="Q96:Q106" si="53">TRUNC(E96*L96,2)</f>
        <v>589117.15</v>
      </c>
      <c r="R96" s="82">
        <f t="shared" ref="R96:R106" si="54">Q96-O96</f>
        <v>589117.15</v>
      </c>
    </row>
    <row r="97" spans="2:20" s="34" customFormat="1" ht="34.799999999999997">
      <c r="B97" s="87" t="s">
        <v>197</v>
      </c>
      <c r="C97" s="88" t="s">
        <v>198</v>
      </c>
      <c r="D97" s="89" t="s">
        <v>152</v>
      </c>
      <c r="E97" s="90">
        <v>2130.6999999999998</v>
      </c>
      <c r="F97" s="91"/>
      <c r="G97" s="91"/>
      <c r="H97" s="91"/>
      <c r="I97" s="91">
        <f t="shared" si="46"/>
        <v>0</v>
      </c>
      <c r="J97" s="91">
        <f t="shared" si="47"/>
        <v>2130.6999999999998</v>
      </c>
      <c r="K97" s="80">
        <v>20</v>
      </c>
      <c r="L97" s="81">
        <f t="shared" si="44"/>
        <v>25.352002200000001</v>
      </c>
      <c r="M97" s="82">
        <f t="shared" si="49"/>
        <v>0</v>
      </c>
      <c r="N97" s="82">
        <f t="shared" si="50"/>
        <v>0</v>
      </c>
      <c r="O97" s="82">
        <f t="shared" si="51"/>
        <v>0</v>
      </c>
      <c r="P97" s="80">
        <f t="shared" si="52"/>
        <v>42614</v>
      </c>
      <c r="Q97" s="82">
        <f t="shared" si="53"/>
        <v>54017.51</v>
      </c>
      <c r="R97" s="82">
        <f t="shared" si="54"/>
        <v>54017.51</v>
      </c>
    </row>
    <row r="98" spans="2:20" s="34" customFormat="1" ht="34.799999999999997">
      <c r="B98" s="87" t="s">
        <v>199</v>
      </c>
      <c r="C98" s="88" t="s">
        <v>200</v>
      </c>
      <c r="D98" s="89" t="s">
        <v>152</v>
      </c>
      <c r="E98" s="90">
        <v>3031.6</v>
      </c>
      <c r="F98" s="91"/>
      <c r="G98" s="91"/>
      <c r="H98" s="91"/>
      <c r="I98" s="91">
        <f t="shared" si="46"/>
        <v>0</v>
      </c>
      <c r="J98" s="91">
        <f t="shared" si="47"/>
        <v>3031.6</v>
      </c>
      <c r="K98" s="80">
        <v>19</v>
      </c>
      <c r="L98" s="81">
        <f t="shared" si="44"/>
        <v>24.084402090000001</v>
      </c>
      <c r="M98" s="82">
        <f t="shared" si="49"/>
        <v>0</v>
      </c>
      <c r="N98" s="82">
        <f t="shared" si="50"/>
        <v>0</v>
      </c>
      <c r="O98" s="82">
        <f t="shared" si="51"/>
        <v>0</v>
      </c>
      <c r="P98" s="80">
        <f t="shared" si="52"/>
        <v>57600.4</v>
      </c>
      <c r="Q98" s="82">
        <f t="shared" si="53"/>
        <v>73014.27</v>
      </c>
      <c r="R98" s="82">
        <f t="shared" si="54"/>
        <v>73014.27</v>
      </c>
    </row>
    <row r="99" spans="2:20" s="34" customFormat="1" ht="34.799999999999997">
      <c r="B99" s="87" t="s">
        <v>201</v>
      </c>
      <c r="C99" s="88" t="s">
        <v>202</v>
      </c>
      <c r="D99" s="89" t="s">
        <v>152</v>
      </c>
      <c r="E99" s="90">
        <v>5608.9</v>
      </c>
      <c r="F99" s="91"/>
      <c r="G99" s="91"/>
      <c r="H99" s="91"/>
      <c r="I99" s="91">
        <f t="shared" si="46"/>
        <v>0</v>
      </c>
      <c r="J99" s="91">
        <f t="shared" si="47"/>
        <v>5608.9</v>
      </c>
      <c r="K99" s="80">
        <v>17.5</v>
      </c>
      <c r="L99" s="81">
        <f t="shared" si="44"/>
        <v>22.183001924999999</v>
      </c>
      <c r="M99" s="82">
        <f t="shared" si="49"/>
        <v>0</v>
      </c>
      <c r="N99" s="82">
        <f t="shared" si="50"/>
        <v>0</v>
      </c>
      <c r="O99" s="82">
        <f t="shared" si="51"/>
        <v>0</v>
      </c>
      <c r="P99" s="80">
        <f t="shared" si="52"/>
        <v>98155.75</v>
      </c>
      <c r="Q99" s="82">
        <f t="shared" si="53"/>
        <v>124422.23</v>
      </c>
      <c r="R99" s="82">
        <f t="shared" si="54"/>
        <v>124422.23</v>
      </c>
    </row>
    <row r="100" spans="2:20" s="34" customFormat="1" ht="34.799999999999997">
      <c r="B100" s="87" t="s">
        <v>203</v>
      </c>
      <c r="C100" s="88" t="s">
        <v>204</v>
      </c>
      <c r="D100" s="89" t="s">
        <v>152</v>
      </c>
      <c r="E100" s="90">
        <v>4215.2</v>
      </c>
      <c r="F100" s="91"/>
      <c r="G100" s="91"/>
      <c r="H100" s="91"/>
      <c r="I100" s="91">
        <f t="shared" si="46"/>
        <v>0</v>
      </c>
      <c r="J100" s="91">
        <f t="shared" si="47"/>
        <v>4215.2</v>
      </c>
      <c r="K100" s="80">
        <v>16</v>
      </c>
      <c r="L100" s="81">
        <f t="shared" si="44"/>
        <v>20.281601760000001</v>
      </c>
      <c r="M100" s="82">
        <f t="shared" si="49"/>
        <v>0</v>
      </c>
      <c r="N100" s="82">
        <f t="shared" si="50"/>
        <v>0</v>
      </c>
      <c r="O100" s="82">
        <f t="shared" si="51"/>
        <v>0</v>
      </c>
      <c r="P100" s="80">
        <f t="shared" si="52"/>
        <v>67443.199999999997</v>
      </c>
      <c r="Q100" s="82">
        <f t="shared" si="53"/>
        <v>85491</v>
      </c>
      <c r="R100" s="82">
        <f t="shared" si="54"/>
        <v>85491</v>
      </c>
    </row>
    <row r="101" spans="2:20" s="34" customFormat="1" ht="34.799999999999997">
      <c r="B101" s="87" t="s">
        <v>205</v>
      </c>
      <c r="C101" s="88" t="s">
        <v>206</v>
      </c>
      <c r="D101" s="89" t="s">
        <v>152</v>
      </c>
      <c r="E101" s="90">
        <v>3267</v>
      </c>
      <c r="F101" s="91"/>
      <c r="G101" s="91"/>
      <c r="H101" s="91"/>
      <c r="I101" s="91">
        <f t="shared" si="46"/>
        <v>0</v>
      </c>
      <c r="J101" s="91">
        <f t="shared" si="47"/>
        <v>3267</v>
      </c>
      <c r="K101" s="80">
        <v>14.5</v>
      </c>
      <c r="L101" s="81">
        <f t="shared" si="44"/>
        <v>18.380201595000003</v>
      </c>
      <c r="M101" s="82">
        <f t="shared" si="49"/>
        <v>0</v>
      </c>
      <c r="N101" s="82">
        <f t="shared" si="50"/>
        <v>0</v>
      </c>
      <c r="O101" s="82">
        <f t="shared" si="51"/>
        <v>0</v>
      </c>
      <c r="P101" s="80">
        <f t="shared" si="52"/>
        <v>47371.5</v>
      </c>
      <c r="Q101" s="82">
        <f t="shared" si="53"/>
        <v>60048.11</v>
      </c>
      <c r="R101" s="82">
        <f t="shared" si="54"/>
        <v>60048.11</v>
      </c>
      <c r="T101" s="96"/>
    </row>
    <row r="102" spans="2:20" s="34" customFormat="1" ht="34.799999999999997">
      <c r="B102" s="87" t="s">
        <v>207</v>
      </c>
      <c r="C102" s="88" t="s">
        <v>208</v>
      </c>
      <c r="D102" s="89" t="s">
        <v>152</v>
      </c>
      <c r="E102" s="90">
        <v>8421.6</v>
      </c>
      <c r="F102" s="91"/>
      <c r="G102" s="91"/>
      <c r="H102" s="91"/>
      <c r="I102" s="91">
        <f t="shared" si="46"/>
        <v>0</v>
      </c>
      <c r="J102" s="91">
        <f t="shared" si="47"/>
        <v>8421.6</v>
      </c>
      <c r="K102" s="94">
        <v>14.5</v>
      </c>
      <c r="L102" s="81">
        <f t="shared" si="44"/>
        <v>18.380201595000003</v>
      </c>
      <c r="M102" s="82">
        <f t="shared" si="49"/>
        <v>0</v>
      </c>
      <c r="N102" s="82">
        <f t="shared" si="50"/>
        <v>0</v>
      </c>
      <c r="O102" s="82">
        <f t="shared" si="51"/>
        <v>0</v>
      </c>
      <c r="P102" s="80">
        <f t="shared" si="52"/>
        <v>122113.20000000001</v>
      </c>
      <c r="Q102" s="82">
        <f t="shared" si="53"/>
        <v>154790.70000000001</v>
      </c>
      <c r="R102" s="82">
        <f t="shared" si="54"/>
        <v>154790.70000000001</v>
      </c>
      <c r="T102" s="96"/>
    </row>
    <row r="103" spans="2:20" s="34" customFormat="1" ht="34.799999999999997">
      <c r="B103" s="87" t="s">
        <v>209</v>
      </c>
      <c r="C103" s="88" t="s">
        <v>210</v>
      </c>
      <c r="D103" s="89" t="s">
        <v>152</v>
      </c>
      <c r="E103" s="92">
        <v>7144.5</v>
      </c>
      <c r="F103" s="91"/>
      <c r="G103" s="91"/>
      <c r="H103" s="91"/>
      <c r="I103" s="91">
        <f t="shared" si="46"/>
        <v>0</v>
      </c>
      <c r="J103" s="91">
        <f t="shared" si="47"/>
        <v>7144.5</v>
      </c>
      <c r="K103" s="80">
        <v>14</v>
      </c>
      <c r="L103" s="81">
        <f t="shared" si="44"/>
        <v>17.746401540000001</v>
      </c>
      <c r="M103" s="82">
        <f t="shared" si="49"/>
        <v>0</v>
      </c>
      <c r="N103" s="82">
        <f t="shared" si="50"/>
        <v>0</v>
      </c>
      <c r="O103" s="82">
        <f t="shared" si="51"/>
        <v>0</v>
      </c>
      <c r="P103" s="80">
        <f t="shared" si="52"/>
        <v>100023</v>
      </c>
      <c r="Q103" s="82">
        <f t="shared" si="53"/>
        <v>126789.16</v>
      </c>
      <c r="R103" s="82">
        <f t="shared" si="54"/>
        <v>126789.16</v>
      </c>
      <c r="T103" s="96"/>
    </row>
    <row r="104" spans="2:20" s="34" customFormat="1" ht="34.799999999999997">
      <c r="B104" s="87" t="s">
        <v>211</v>
      </c>
      <c r="C104" s="88" t="s">
        <v>212</v>
      </c>
      <c r="D104" s="89" t="s">
        <v>152</v>
      </c>
      <c r="E104" s="92">
        <v>6531.8</v>
      </c>
      <c r="F104" s="91"/>
      <c r="G104" s="91"/>
      <c r="H104" s="91"/>
      <c r="I104" s="91">
        <f t="shared" si="46"/>
        <v>0</v>
      </c>
      <c r="J104" s="91">
        <f t="shared" si="47"/>
        <v>6531.8</v>
      </c>
      <c r="K104" s="95">
        <v>14</v>
      </c>
      <c r="L104" s="81">
        <f t="shared" si="44"/>
        <v>17.746401540000001</v>
      </c>
      <c r="M104" s="82">
        <f t="shared" si="49"/>
        <v>0</v>
      </c>
      <c r="N104" s="82">
        <f t="shared" si="50"/>
        <v>0</v>
      </c>
      <c r="O104" s="82">
        <f t="shared" si="51"/>
        <v>0</v>
      </c>
      <c r="P104" s="80">
        <f t="shared" si="52"/>
        <v>91445.2</v>
      </c>
      <c r="Q104" s="82">
        <f t="shared" si="53"/>
        <v>115915.94</v>
      </c>
      <c r="R104" s="82">
        <f t="shared" si="54"/>
        <v>115915.94</v>
      </c>
      <c r="T104" s="96"/>
    </row>
    <row r="105" spans="2:20" s="34" customFormat="1" ht="23.4">
      <c r="B105" s="87" t="s">
        <v>213</v>
      </c>
      <c r="C105" s="88" t="s">
        <v>190</v>
      </c>
      <c r="D105" s="89" t="s">
        <v>63</v>
      </c>
      <c r="E105" s="92">
        <v>240</v>
      </c>
      <c r="F105" s="91"/>
      <c r="G105" s="91"/>
      <c r="H105" s="91"/>
      <c r="I105" s="91">
        <f t="shared" si="46"/>
        <v>0</v>
      </c>
      <c r="J105" s="91">
        <f t="shared" si="47"/>
        <v>240</v>
      </c>
      <c r="K105" s="80">
        <v>30</v>
      </c>
      <c r="L105" s="81">
        <f t="shared" si="44"/>
        <v>38.028003300000002</v>
      </c>
      <c r="M105" s="82">
        <f t="shared" si="49"/>
        <v>0</v>
      </c>
      <c r="N105" s="82">
        <f t="shared" si="50"/>
        <v>0</v>
      </c>
      <c r="O105" s="82">
        <f t="shared" si="51"/>
        <v>0</v>
      </c>
      <c r="P105" s="80">
        <f t="shared" si="52"/>
        <v>7200</v>
      </c>
      <c r="Q105" s="82">
        <f t="shared" si="53"/>
        <v>9126.7199999999993</v>
      </c>
      <c r="R105" s="82">
        <f t="shared" si="54"/>
        <v>9126.7199999999993</v>
      </c>
      <c r="T105" s="96"/>
    </row>
    <row r="106" spans="2:20" s="34" customFormat="1" ht="23.4">
      <c r="B106" s="87" t="s">
        <v>214</v>
      </c>
      <c r="C106" s="88" t="s">
        <v>215</v>
      </c>
      <c r="D106" s="89" t="s">
        <v>169</v>
      </c>
      <c r="E106" s="92">
        <v>364.43</v>
      </c>
      <c r="F106" s="91"/>
      <c r="G106" s="91"/>
      <c r="H106" s="91"/>
      <c r="I106" s="91">
        <f t="shared" si="46"/>
        <v>0</v>
      </c>
      <c r="J106" s="91">
        <f t="shared" si="47"/>
        <v>364.43</v>
      </c>
      <c r="K106" s="95">
        <v>750</v>
      </c>
      <c r="L106" s="81">
        <f t="shared" si="44"/>
        <v>950.70008250000001</v>
      </c>
      <c r="M106" s="82">
        <f t="shared" si="49"/>
        <v>0</v>
      </c>
      <c r="N106" s="82">
        <f t="shared" si="50"/>
        <v>0</v>
      </c>
      <c r="O106" s="82">
        <f t="shared" si="51"/>
        <v>0</v>
      </c>
      <c r="P106" s="80">
        <f t="shared" si="52"/>
        <v>273322.5</v>
      </c>
      <c r="Q106" s="82">
        <f t="shared" si="53"/>
        <v>346463.63</v>
      </c>
      <c r="R106" s="82">
        <f t="shared" si="54"/>
        <v>346463.63</v>
      </c>
      <c r="T106" s="96"/>
    </row>
    <row r="107" spans="2:20" s="34" customFormat="1" ht="13.2">
      <c r="B107" s="66" t="s">
        <v>216</v>
      </c>
      <c r="C107" s="67" t="s">
        <v>217</v>
      </c>
      <c r="D107" s="68"/>
      <c r="E107" s="69"/>
      <c r="F107" s="70"/>
      <c r="G107" s="70"/>
      <c r="H107" s="70"/>
      <c r="I107" s="70">
        <f t="shared" si="46"/>
        <v>0</v>
      </c>
      <c r="J107" s="70">
        <f t="shared" si="47"/>
        <v>0</v>
      </c>
      <c r="K107" s="71"/>
      <c r="L107" s="71">
        <f t="shared" si="44"/>
        <v>0</v>
      </c>
      <c r="M107" s="73">
        <f t="shared" ref="M107:R107" si="55">SUM(M108:M119)</f>
        <v>0</v>
      </c>
      <c r="N107" s="73">
        <f t="shared" si="55"/>
        <v>0</v>
      </c>
      <c r="O107" s="73">
        <f t="shared" si="55"/>
        <v>0</v>
      </c>
      <c r="P107" s="73">
        <f t="shared" si="55"/>
        <v>951249.7</v>
      </c>
      <c r="Q107" s="73">
        <f t="shared" si="55"/>
        <v>1205804.17</v>
      </c>
      <c r="R107" s="73">
        <f t="shared" si="55"/>
        <v>1205804.17</v>
      </c>
      <c r="T107" s="96"/>
    </row>
    <row r="108" spans="2:20" s="34" customFormat="1" ht="34.799999999999997">
      <c r="B108" s="87" t="s">
        <v>218</v>
      </c>
      <c r="C108" s="88" t="s">
        <v>219</v>
      </c>
      <c r="D108" s="89" t="s">
        <v>79</v>
      </c>
      <c r="E108" s="92">
        <v>2299</v>
      </c>
      <c r="F108" s="91"/>
      <c r="G108" s="91"/>
      <c r="H108" s="91"/>
      <c r="I108" s="91">
        <f t="shared" si="46"/>
        <v>0</v>
      </c>
      <c r="J108" s="91">
        <f t="shared" si="47"/>
        <v>2299</v>
      </c>
      <c r="K108" s="80">
        <v>60</v>
      </c>
      <c r="L108" s="81">
        <f t="shared" si="44"/>
        <v>76.056006600000003</v>
      </c>
      <c r="M108" s="82">
        <f t="shared" ref="M108:M119" si="56">TRUNC(F108*L108,2)</f>
        <v>0</v>
      </c>
      <c r="N108" s="82">
        <f t="shared" ref="N108:N119" si="57">TRUNC(G108*L108,2)</f>
        <v>0</v>
      </c>
      <c r="O108" s="82">
        <f t="shared" ref="O108:O119" si="58">N108</f>
        <v>0</v>
      </c>
      <c r="P108" s="80">
        <f t="shared" ref="P108:P119" si="59">E108*K108</f>
        <v>137940</v>
      </c>
      <c r="Q108" s="82">
        <f t="shared" ref="Q108:Q119" si="60">TRUNC(E108*L108,2)</f>
        <v>174852.75</v>
      </c>
      <c r="R108" s="82">
        <f t="shared" ref="R108:R119" si="61">Q108-O108</f>
        <v>174852.75</v>
      </c>
      <c r="T108" s="96"/>
    </row>
    <row r="109" spans="2:20" s="34" customFormat="1" ht="34.799999999999997">
      <c r="B109" s="87" t="s">
        <v>220</v>
      </c>
      <c r="C109" s="88" t="s">
        <v>198</v>
      </c>
      <c r="D109" s="89" t="s">
        <v>152</v>
      </c>
      <c r="E109" s="90">
        <v>347.6</v>
      </c>
      <c r="F109" s="91"/>
      <c r="G109" s="91"/>
      <c r="H109" s="91"/>
      <c r="I109" s="91">
        <f t="shared" si="46"/>
        <v>0</v>
      </c>
      <c r="J109" s="91">
        <f t="shared" si="47"/>
        <v>347.6</v>
      </c>
      <c r="K109" s="80">
        <v>20</v>
      </c>
      <c r="L109" s="81">
        <f t="shared" si="44"/>
        <v>25.352002200000001</v>
      </c>
      <c r="M109" s="82">
        <f t="shared" si="56"/>
        <v>0</v>
      </c>
      <c r="N109" s="82">
        <f t="shared" si="57"/>
        <v>0</v>
      </c>
      <c r="O109" s="82">
        <f t="shared" si="58"/>
        <v>0</v>
      </c>
      <c r="P109" s="80">
        <f t="shared" si="59"/>
        <v>6952</v>
      </c>
      <c r="Q109" s="82">
        <f t="shared" si="60"/>
        <v>8812.35</v>
      </c>
      <c r="R109" s="82">
        <f t="shared" si="61"/>
        <v>8812.35</v>
      </c>
      <c r="T109" s="96"/>
    </row>
    <row r="110" spans="2:20" s="34" customFormat="1" ht="34.799999999999997">
      <c r="B110" s="87" t="s">
        <v>221</v>
      </c>
      <c r="C110" s="88" t="s">
        <v>222</v>
      </c>
      <c r="D110" s="89" t="s">
        <v>152</v>
      </c>
      <c r="E110" s="90">
        <v>3626.7</v>
      </c>
      <c r="F110" s="91"/>
      <c r="G110" s="91"/>
      <c r="H110" s="91"/>
      <c r="I110" s="91">
        <f t="shared" si="46"/>
        <v>0</v>
      </c>
      <c r="J110" s="91">
        <f t="shared" si="47"/>
        <v>3626.7</v>
      </c>
      <c r="K110" s="80">
        <v>19</v>
      </c>
      <c r="L110" s="81">
        <f t="shared" si="44"/>
        <v>24.084402090000001</v>
      </c>
      <c r="M110" s="82">
        <f t="shared" si="56"/>
        <v>0</v>
      </c>
      <c r="N110" s="82">
        <f t="shared" si="57"/>
        <v>0</v>
      </c>
      <c r="O110" s="82">
        <f t="shared" si="58"/>
        <v>0</v>
      </c>
      <c r="P110" s="80">
        <f t="shared" si="59"/>
        <v>68907.3</v>
      </c>
      <c r="Q110" s="82">
        <f t="shared" si="60"/>
        <v>87346.9</v>
      </c>
      <c r="R110" s="82">
        <f t="shared" si="61"/>
        <v>87346.9</v>
      </c>
      <c r="T110" s="96"/>
    </row>
    <row r="111" spans="2:20" s="34" customFormat="1" ht="34.799999999999997">
      <c r="B111" s="87" t="s">
        <v>223</v>
      </c>
      <c r="C111" s="88" t="s">
        <v>202</v>
      </c>
      <c r="D111" s="89" t="s">
        <v>152</v>
      </c>
      <c r="E111" s="90">
        <v>1762.2</v>
      </c>
      <c r="F111" s="91"/>
      <c r="G111" s="91"/>
      <c r="H111" s="91"/>
      <c r="I111" s="91">
        <f t="shared" si="46"/>
        <v>0</v>
      </c>
      <c r="J111" s="91">
        <f t="shared" si="47"/>
        <v>1762.2</v>
      </c>
      <c r="K111" s="80">
        <v>17.5</v>
      </c>
      <c r="L111" s="81">
        <f t="shared" si="44"/>
        <v>22.183001924999999</v>
      </c>
      <c r="M111" s="82">
        <f t="shared" si="56"/>
        <v>0</v>
      </c>
      <c r="N111" s="82">
        <f t="shared" si="57"/>
        <v>0</v>
      </c>
      <c r="O111" s="82">
        <f t="shared" si="58"/>
        <v>0</v>
      </c>
      <c r="P111" s="80">
        <f t="shared" si="59"/>
        <v>30838.5</v>
      </c>
      <c r="Q111" s="82">
        <f t="shared" si="60"/>
        <v>39090.879999999997</v>
      </c>
      <c r="R111" s="82">
        <f t="shared" si="61"/>
        <v>39090.879999999997</v>
      </c>
    </row>
    <row r="112" spans="2:20" s="34" customFormat="1" ht="34.799999999999997">
      <c r="B112" s="87" t="s">
        <v>224</v>
      </c>
      <c r="C112" s="88" t="s">
        <v>204</v>
      </c>
      <c r="D112" s="89" t="s">
        <v>152</v>
      </c>
      <c r="E112" s="90">
        <v>542.29999999999995</v>
      </c>
      <c r="F112" s="91"/>
      <c r="G112" s="91"/>
      <c r="H112" s="91"/>
      <c r="I112" s="91">
        <f t="shared" si="46"/>
        <v>0</v>
      </c>
      <c r="J112" s="91">
        <f t="shared" si="47"/>
        <v>542.29999999999995</v>
      </c>
      <c r="K112" s="80">
        <v>16</v>
      </c>
      <c r="L112" s="81">
        <f t="shared" si="44"/>
        <v>20.281601760000001</v>
      </c>
      <c r="M112" s="82">
        <f t="shared" si="56"/>
        <v>0</v>
      </c>
      <c r="N112" s="82">
        <f t="shared" si="57"/>
        <v>0</v>
      </c>
      <c r="O112" s="82">
        <f t="shared" si="58"/>
        <v>0</v>
      </c>
      <c r="P112" s="80">
        <f t="shared" si="59"/>
        <v>8676.7999999999993</v>
      </c>
      <c r="Q112" s="82">
        <f t="shared" si="60"/>
        <v>10998.71</v>
      </c>
      <c r="R112" s="82">
        <f t="shared" si="61"/>
        <v>10998.71</v>
      </c>
      <c r="T112" s="83"/>
    </row>
    <row r="113" spans="2:20" s="34" customFormat="1" ht="34.799999999999997">
      <c r="B113" s="87" t="s">
        <v>225</v>
      </c>
      <c r="C113" s="88" t="s">
        <v>206</v>
      </c>
      <c r="D113" s="89" t="s">
        <v>152</v>
      </c>
      <c r="E113" s="90">
        <v>3532.1</v>
      </c>
      <c r="F113" s="91"/>
      <c r="G113" s="91"/>
      <c r="H113" s="91"/>
      <c r="I113" s="91">
        <f t="shared" si="46"/>
        <v>0</v>
      </c>
      <c r="J113" s="91">
        <f t="shared" si="47"/>
        <v>3532.1</v>
      </c>
      <c r="K113" s="80">
        <v>14.5</v>
      </c>
      <c r="L113" s="81">
        <f t="shared" si="44"/>
        <v>18.380201595000003</v>
      </c>
      <c r="M113" s="82">
        <f t="shared" si="56"/>
        <v>0</v>
      </c>
      <c r="N113" s="82">
        <f t="shared" si="57"/>
        <v>0</v>
      </c>
      <c r="O113" s="82">
        <f t="shared" si="58"/>
        <v>0</v>
      </c>
      <c r="P113" s="80">
        <f t="shared" si="59"/>
        <v>51215.45</v>
      </c>
      <c r="Q113" s="82">
        <f t="shared" si="60"/>
        <v>64920.71</v>
      </c>
      <c r="R113" s="82">
        <f t="shared" si="61"/>
        <v>64920.71</v>
      </c>
      <c r="T113" s="83"/>
    </row>
    <row r="114" spans="2:20" s="34" customFormat="1" ht="34.799999999999997">
      <c r="B114" s="87" t="s">
        <v>226</v>
      </c>
      <c r="C114" s="88" t="s">
        <v>208</v>
      </c>
      <c r="D114" s="89" t="s">
        <v>152</v>
      </c>
      <c r="E114" s="90">
        <v>7313.9</v>
      </c>
      <c r="F114" s="91"/>
      <c r="G114" s="91"/>
      <c r="H114" s="91"/>
      <c r="I114" s="91">
        <f t="shared" si="46"/>
        <v>0</v>
      </c>
      <c r="J114" s="91">
        <f t="shared" si="47"/>
        <v>7313.9</v>
      </c>
      <c r="K114" s="94">
        <v>14.5</v>
      </c>
      <c r="L114" s="81">
        <f t="shared" si="44"/>
        <v>18.380201595000003</v>
      </c>
      <c r="M114" s="82">
        <f t="shared" si="56"/>
        <v>0</v>
      </c>
      <c r="N114" s="82">
        <f t="shared" si="57"/>
        <v>0</v>
      </c>
      <c r="O114" s="82">
        <f t="shared" si="58"/>
        <v>0</v>
      </c>
      <c r="P114" s="80">
        <f t="shared" si="59"/>
        <v>106051.54999999999</v>
      </c>
      <c r="Q114" s="82">
        <f t="shared" si="60"/>
        <v>134430.95000000001</v>
      </c>
      <c r="R114" s="82">
        <f t="shared" si="61"/>
        <v>134430.95000000001</v>
      </c>
      <c r="T114" s="83"/>
    </row>
    <row r="115" spans="2:20" s="34" customFormat="1" ht="34.799999999999997">
      <c r="B115" s="87" t="s">
        <v>227</v>
      </c>
      <c r="C115" s="88" t="s">
        <v>210</v>
      </c>
      <c r="D115" s="89" t="s">
        <v>152</v>
      </c>
      <c r="E115" s="92">
        <v>4513.3</v>
      </c>
      <c r="F115" s="91"/>
      <c r="G115" s="91"/>
      <c r="H115" s="91"/>
      <c r="I115" s="91">
        <f t="shared" si="46"/>
        <v>0</v>
      </c>
      <c r="J115" s="91">
        <f t="shared" si="47"/>
        <v>4513.3</v>
      </c>
      <c r="K115" s="80">
        <v>14</v>
      </c>
      <c r="L115" s="81">
        <f t="shared" si="44"/>
        <v>17.746401540000001</v>
      </c>
      <c r="M115" s="82">
        <f t="shared" si="56"/>
        <v>0</v>
      </c>
      <c r="N115" s="82">
        <f t="shared" si="57"/>
        <v>0</v>
      </c>
      <c r="O115" s="82">
        <f t="shared" si="58"/>
        <v>0</v>
      </c>
      <c r="P115" s="80">
        <f t="shared" si="59"/>
        <v>63186.200000000004</v>
      </c>
      <c r="Q115" s="82">
        <f t="shared" si="60"/>
        <v>80094.83</v>
      </c>
      <c r="R115" s="82">
        <f t="shared" si="61"/>
        <v>80094.83</v>
      </c>
      <c r="T115" s="83"/>
    </row>
    <row r="116" spans="2:20" s="34" customFormat="1" ht="34.799999999999997">
      <c r="B116" s="87" t="s">
        <v>228</v>
      </c>
      <c r="C116" s="88" t="s">
        <v>212</v>
      </c>
      <c r="D116" s="89" t="s">
        <v>152</v>
      </c>
      <c r="E116" s="92">
        <v>14626.7</v>
      </c>
      <c r="F116" s="91"/>
      <c r="G116" s="91"/>
      <c r="H116" s="91"/>
      <c r="I116" s="91">
        <f t="shared" si="46"/>
        <v>0</v>
      </c>
      <c r="J116" s="91">
        <f t="shared" si="47"/>
        <v>14626.7</v>
      </c>
      <c r="K116" s="95">
        <v>14</v>
      </c>
      <c r="L116" s="81">
        <f t="shared" si="44"/>
        <v>17.746401540000001</v>
      </c>
      <c r="M116" s="82">
        <f t="shared" si="56"/>
        <v>0</v>
      </c>
      <c r="N116" s="82">
        <f t="shared" si="57"/>
        <v>0</v>
      </c>
      <c r="O116" s="82">
        <f t="shared" si="58"/>
        <v>0</v>
      </c>
      <c r="P116" s="80">
        <f t="shared" si="59"/>
        <v>204773.80000000002</v>
      </c>
      <c r="Q116" s="82">
        <f t="shared" si="60"/>
        <v>259571.29</v>
      </c>
      <c r="R116" s="82">
        <f t="shared" si="61"/>
        <v>259571.29</v>
      </c>
      <c r="T116" s="83"/>
    </row>
    <row r="117" spans="2:20" s="34" customFormat="1" ht="22.8">
      <c r="B117" s="87" t="s">
        <v>229</v>
      </c>
      <c r="C117" s="88" t="s">
        <v>230</v>
      </c>
      <c r="D117" s="89" t="s">
        <v>231</v>
      </c>
      <c r="E117" s="92">
        <v>3177.02</v>
      </c>
      <c r="F117" s="91"/>
      <c r="G117" s="91"/>
      <c r="H117" s="91"/>
      <c r="I117" s="91">
        <f t="shared" si="46"/>
        <v>0</v>
      </c>
      <c r="J117" s="91">
        <f t="shared" si="47"/>
        <v>3177.02</v>
      </c>
      <c r="K117" s="80">
        <v>30</v>
      </c>
      <c r="L117" s="81">
        <f t="shared" si="44"/>
        <v>38.028003300000002</v>
      </c>
      <c r="M117" s="82">
        <f t="shared" si="56"/>
        <v>0</v>
      </c>
      <c r="N117" s="82">
        <f t="shared" si="57"/>
        <v>0</v>
      </c>
      <c r="O117" s="82">
        <f t="shared" si="58"/>
        <v>0</v>
      </c>
      <c r="P117" s="80">
        <f t="shared" si="59"/>
        <v>95310.6</v>
      </c>
      <c r="Q117" s="82">
        <f t="shared" si="60"/>
        <v>120815.72</v>
      </c>
      <c r="R117" s="82">
        <f t="shared" si="61"/>
        <v>120815.72</v>
      </c>
      <c r="T117" s="83"/>
    </row>
    <row r="118" spans="2:20" s="34" customFormat="1" ht="23.4">
      <c r="B118" s="87" t="s">
        <v>232</v>
      </c>
      <c r="C118" s="88" t="s">
        <v>190</v>
      </c>
      <c r="D118" s="89" t="s">
        <v>63</v>
      </c>
      <c r="E118" s="92">
        <v>240</v>
      </c>
      <c r="F118" s="91"/>
      <c r="G118" s="91"/>
      <c r="H118" s="91"/>
      <c r="I118" s="91">
        <f t="shared" si="46"/>
        <v>0</v>
      </c>
      <c r="J118" s="91">
        <f t="shared" si="47"/>
        <v>240</v>
      </c>
      <c r="K118" s="80">
        <v>30</v>
      </c>
      <c r="L118" s="81">
        <f t="shared" si="44"/>
        <v>38.028003300000002</v>
      </c>
      <c r="M118" s="82">
        <f t="shared" si="56"/>
        <v>0</v>
      </c>
      <c r="N118" s="82">
        <f t="shared" si="57"/>
        <v>0</v>
      </c>
      <c r="O118" s="82">
        <f t="shared" si="58"/>
        <v>0</v>
      </c>
      <c r="P118" s="80">
        <f t="shared" si="59"/>
        <v>7200</v>
      </c>
      <c r="Q118" s="82">
        <f t="shared" si="60"/>
        <v>9126.7199999999993</v>
      </c>
      <c r="R118" s="82">
        <f t="shared" si="61"/>
        <v>9126.7199999999993</v>
      </c>
      <c r="T118" s="83"/>
    </row>
    <row r="119" spans="2:20" s="34" customFormat="1" ht="23.4">
      <c r="B119" s="87" t="s">
        <v>233</v>
      </c>
      <c r="C119" s="88" t="s">
        <v>215</v>
      </c>
      <c r="D119" s="89" t="s">
        <v>169</v>
      </c>
      <c r="E119" s="92">
        <v>226.93</v>
      </c>
      <c r="F119" s="91"/>
      <c r="G119" s="91"/>
      <c r="H119" s="91"/>
      <c r="I119" s="91">
        <f t="shared" si="46"/>
        <v>0</v>
      </c>
      <c r="J119" s="91">
        <f t="shared" si="47"/>
        <v>226.93</v>
      </c>
      <c r="K119" s="95">
        <v>750</v>
      </c>
      <c r="L119" s="81">
        <f t="shared" si="44"/>
        <v>950.70008250000001</v>
      </c>
      <c r="M119" s="82">
        <f t="shared" si="56"/>
        <v>0</v>
      </c>
      <c r="N119" s="82">
        <f t="shared" si="57"/>
        <v>0</v>
      </c>
      <c r="O119" s="82">
        <f t="shared" si="58"/>
        <v>0</v>
      </c>
      <c r="P119" s="80">
        <f t="shared" si="59"/>
        <v>170197.5</v>
      </c>
      <c r="Q119" s="82">
        <f t="shared" si="60"/>
        <v>215742.36</v>
      </c>
      <c r="R119" s="82">
        <f t="shared" si="61"/>
        <v>215742.36</v>
      </c>
      <c r="T119" s="83"/>
    </row>
    <row r="120" spans="2:20" s="34" customFormat="1" ht="13.2">
      <c r="B120" s="66" t="s">
        <v>234</v>
      </c>
      <c r="C120" s="67" t="s">
        <v>235</v>
      </c>
      <c r="D120" s="68"/>
      <c r="E120" s="69"/>
      <c r="F120" s="70"/>
      <c r="G120" s="70"/>
      <c r="H120" s="70"/>
      <c r="I120" s="70">
        <f t="shared" si="46"/>
        <v>0</v>
      </c>
      <c r="J120" s="70">
        <f t="shared" si="47"/>
        <v>0</v>
      </c>
      <c r="K120" s="71"/>
      <c r="L120" s="71">
        <f t="shared" si="44"/>
        <v>0</v>
      </c>
      <c r="M120" s="73">
        <f t="shared" ref="M120:R120" si="62">SUM(M121:M130)</f>
        <v>0</v>
      </c>
      <c r="N120" s="73">
        <f t="shared" si="62"/>
        <v>0</v>
      </c>
      <c r="O120" s="73">
        <f t="shared" si="62"/>
        <v>0</v>
      </c>
      <c r="P120" s="73">
        <f t="shared" si="62"/>
        <v>2218671.0499999998</v>
      </c>
      <c r="Q120" s="73">
        <f t="shared" si="62"/>
        <v>2812387.62</v>
      </c>
      <c r="R120" s="73">
        <f t="shared" si="62"/>
        <v>2812387.62</v>
      </c>
      <c r="T120" s="83"/>
    </row>
    <row r="121" spans="2:20" s="34" customFormat="1" ht="46.2">
      <c r="B121" s="87" t="s">
        <v>236</v>
      </c>
      <c r="C121" s="88" t="s">
        <v>237</v>
      </c>
      <c r="D121" s="89" t="s">
        <v>79</v>
      </c>
      <c r="E121" s="92">
        <v>770.47</v>
      </c>
      <c r="F121" s="91"/>
      <c r="G121" s="91"/>
      <c r="H121" s="91"/>
      <c r="I121" s="91">
        <f t="shared" si="46"/>
        <v>0</v>
      </c>
      <c r="J121" s="91">
        <f t="shared" si="47"/>
        <v>770.47</v>
      </c>
      <c r="K121" s="80">
        <v>130</v>
      </c>
      <c r="L121" s="81">
        <f t="shared" si="44"/>
        <v>164.78801430000001</v>
      </c>
      <c r="M121" s="82">
        <f t="shared" ref="M121:M130" si="63">TRUNC(F121*L121,2)</f>
        <v>0</v>
      </c>
      <c r="N121" s="82">
        <f t="shared" ref="N121:N130" si="64">TRUNC(G121*L121,2)</f>
        <v>0</v>
      </c>
      <c r="O121" s="82">
        <f t="shared" ref="O121:O130" si="65">N121</f>
        <v>0</v>
      </c>
      <c r="P121" s="80">
        <f t="shared" ref="P121:P130" si="66">E121*K121</f>
        <v>100161.1</v>
      </c>
      <c r="Q121" s="82">
        <f t="shared" ref="Q121:Q130" si="67">TRUNC(E121*L121,2)</f>
        <v>126964.22</v>
      </c>
      <c r="R121" s="82">
        <f t="shared" ref="R121:R130" si="68">Q121-O121</f>
        <v>126964.22</v>
      </c>
      <c r="T121" s="83"/>
    </row>
    <row r="122" spans="2:20" s="34" customFormat="1" ht="46.2">
      <c r="B122" s="87" t="s">
        <v>238</v>
      </c>
      <c r="C122" s="88" t="s">
        <v>239</v>
      </c>
      <c r="D122" s="89" t="s">
        <v>79</v>
      </c>
      <c r="E122" s="92">
        <v>7163.62</v>
      </c>
      <c r="F122" s="91"/>
      <c r="G122" s="91"/>
      <c r="H122" s="91"/>
      <c r="I122" s="91">
        <f t="shared" si="46"/>
        <v>0</v>
      </c>
      <c r="J122" s="91">
        <f t="shared" si="47"/>
        <v>7163.62</v>
      </c>
      <c r="K122" s="80">
        <v>130</v>
      </c>
      <c r="L122" s="81">
        <f t="shared" si="44"/>
        <v>164.78801430000001</v>
      </c>
      <c r="M122" s="82">
        <f t="shared" si="63"/>
        <v>0</v>
      </c>
      <c r="N122" s="82">
        <f t="shared" si="64"/>
        <v>0</v>
      </c>
      <c r="O122" s="82">
        <f t="shared" si="65"/>
        <v>0</v>
      </c>
      <c r="P122" s="80">
        <f t="shared" si="66"/>
        <v>931270.6</v>
      </c>
      <c r="Q122" s="82">
        <f t="shared" si="67"/>
        <v>1180478.71</v>
      </c>
      <c r="R122" s="82">
        <f t="shared" si="68"/>
        <v>1180478.71</v>
      </c>
      <c r="T122" s="83"/>
    </row>
    <row r="123" spans="2:20" s="34" customFormat="1" ht="34.799999999999997">
      <c r="B123" s="87" t="s">
        <v>240</v>
      </c>
      <c r="C123" s="88" t="s">
        <v>241</v>
      </c>
      <c r="D123" s="89" t="s">
        <v>152</v>
      </c>
      <c r="E123" s="92">
        <v>2362.8000000000002</v>
      </c>
      <c r="F123" s="91"/>
      <c r="G123" s="91"/>
      <c r="H123" s="91"/>
      <c r="I123" s="91">
        <f t="shared" si="46"/>
        <v>0</v>
      </c>
      <c r="J123" s="91">
        <f t="shared" si="47"/>
        <v>2362.8000000000002</v>
      </c>
      <c r="K123" s="80">
        <v>19</v>
      </c>
      <c r="L123" s="81">
        <f t="shared" si="44"/>
        <v>24.084402090000001</v>
      </c>
      <c r="M123" s="82">
        <f t="shared" si="63"/>
        <v>0</v>
      </c>
      <c r="N123" s="82">
        <f t="shared" si="64"/>
        <v>0</v>
      </c>
      <c r="O123" s="82">
        <f t="shared" si="65"/>
        <v>0</v>
      </c>
      <c r="P123" s="80">
        <f t="shared" si="66"/>
        <v>44893.200000000004</v>
      </c>
      <c r="Q123" s="82">
        <f t="shared" si="67"/>
        <v>56906.62</v>
      </c>
      <c r="R123" s="82">
        <f t="shared" si="68"/>
        <v>56906.62</v>
      </c>
      <c r="T123" s="83"/>
    </row>
    <row r="124" spans="2:20" s="34" customFormat="1" ht="34.799999999999997">
      <c r="B124" s="87" t="s">
        <v>242</v>
      </c>
      <c r="C124" s="88" t="s">
        <v>243</v>
      </c>
      <c r="D124" s="89" t="s">
        <v>152</v>
      </c>
      <c r="E124" s="90">
        <v>602.79999999999995</v>
      </c>
      <c r="F124" s="91"/>
      <c r="G124" s="91"/>
      <c r="H124" s="91"/>
      <c r="I124" s="91">
        <f t="shared" si="46"/>
        <v>0</v>
      </c>
      <c r="J124" s="91">
        <f t="shared" si="47"/>
        <v>602.79999999999995</v>
      </c>
      <c r="K124" s="80">
        <v>17.5</v>
      </c>
      <c r="L124" s="81">
        <f t="shared" si="44"/>
        <v>22.183001924999999</v>
      </c>
      <c r="M124" s="82">
        <f t="shared" si="63"/>
        <v>0</v>
      </c>
      <c r="N124" s="82">
        <f t="shared" si="64"/>
        <v>0</v>
      </c>
      <c r="O124" s="82">
        <f t="shared" si="65"/>
        <v>0</v>
      </c>
      <c r="P124" s="80">
        <f t="shared" si="66"/>
        <v>10549</v>
      </c>
      <c r="Q124" s="82">
        <f t="shared" si="67"/>
        <v>13371.91</v>
      </c>
      <c r="R124" s="82">
        <f t="shared" si="68"/>
        <v>13371.91</v>
      </c>
      <c r="T124" s="83"/>
    </row>
    <row r="125" spans="2:20" s="34" customFormat="1" ht="34.799999999999997">
      <c r="B125" s="87" t="s">
        <v>244</v>
      </c>
      <c r="C125" s="88" t="s">
        <v>245</v>
      </c>
      <c r="D125" s="89" t="s">
        <v>152</v>
      </c>
      <c r="E125" s="90">
        <v>3562.9</v>
      </c>
      <c r="F125" s="91"/>
      <c r="G125" s="91"/>
      <c r="H125" s="91"/>
      <c r="I125" s="91">
        <f t="shared" si="46"/>
        <v>0</v>
      </c>
      <c r="J125" s="91">
        <f t="shared" si="47"/>
        <v>3562.9</v>
      </c>
      <c r="K125" s="80">
        <v>16</v>
      </c>
      <c r="L125" s="81">
        <f t="shared" si="44"/>
        <v>20.281601760000001</v>
      </c>
      <c r="M125" s="82">
        <f t="shared" si="63"/>
        <v>0</v>
      </c>
      <c r="N125" s="82">
        <f t="shared" si="64"/>
        <v>0</v>
      </c>
      <c r="O125" s="82">
        <f t="shared" si="65"/>
        <v>0</v>
      </c>
      <c r="P125" s="80">
        <f t="shared" si="66"/>
        <v>57006.400000000001</v>
      </c>
      <c r="Q125" s="82">
        <f t="shared" si="67"/>
        <v>72261.31</v>
      </c>
      <c r="R125" s="82">
        <f t="shared" si="68"/>
        <v>72261.31</v>
      </c>
    </row>
    <row r="126" spans="2:20" s="34" customFormat="1" ht="34.799999999999997">
      <c r="B126" s="87" t="s">
        <v>246</v>
      </c>
      <c r="C126" s="88" t="s">
        <v>247</v>
      </c>
      <c r="D126" s="89" t="s">
        <v>152</v>
      </c>
      <c r="E126" s="90">
        <v>8278.6</v>
      </c>
      <c r="F126" s="91"/>
      <c r="G126" s="91"/>
      <c r="H126" s="91"/>
      <c r="I126" s="91">
        <f t="shared" si="46"/>
        <v>0</v>
      </c>
      <c r="J126" s="91">
        <f t="shared" si="47"/>
        <v>8278.6</v>
      </c>
      <c r="K126" s="80">
        <v>14.5</v>
      </c>
      <c r="L126" s="81">
        <f t="shared" si="44"/>
        <v>18.380201595000003</v>
      </c>
      <c r="M126" s="82">
        <f t="shared" si="63"/>
        <v>0</v>
      </c>
      <c r="N126" s="82">
        <f t="shared" si="64"/>
        <v>0</v>
      </c>
      <c r="O126" s="82">
        <f t="shared" si="65"/>
        <v>0</v>
      </c>
      <c r="P126" s="80">
        <f t="shared" si="66"/>
        <v>120039.70000000001</v>
      </c>
      <c r="Q126" s="82">
        <f t="shared" si="67"/>
        <v>152162.32999999999</v>
      </c>
      <c r="R126" s="82">
        <f t="shared" si="68"/>
        <v>152162.32999999999</v>
      </c>
    </row>
    <row r="127" spans="2:20" s="34" customFormat="1" ht="34.799999999999997">
      <c r="B127" s="87" t="s">
        <v>248</v>
      </c>
      <c r="C127" s="88" t="s">
        <v>249</v>
      </c>
      <c r="D127" s="89" t="s">
        <v>152</v>
      </c>
      <c r="E127" s="90">
        <v>8114.7</v>
      </c>
      <c r="F127" s="91"/>
      <c r="G127" s="91"/>
      <c r="H127" s="91"/>
      <c r="I127" s="91">
        <f t="shared" si="46"/>
        <v>0</v>
      </c>
      <c r="J127" s="91">
        <f t="shared" si="47"/>
        <v>8114.7</v>
      </c>
      <c r="K127" s="94">
        <v>14.5</v>
      </c>
      <c r="L127" s="81">
        <f t="shared" si="44"/>
        <v>18.380201595000003</v>
      </c>
      <c r="M127" s="82">
        <f t="shared" si="63"/>
        <v>0</v>
      </c>
      <c r="N127" s="82">
        <f t="shared" si="64"/>
        <v>0</v>
      </c>
      <c r="O127" s="82">
        <f t="shared" si="65"/>
        <v>0</v>
      </c>
      <c r="P127" s="80">
        <f t="shared" si="66"/>
        <v>117663.15</v>
      </c>
      <c r="Q127" s="82">
        <f t="shared" si="67"/>
        <v>149149.82</v>
      </c>
      <c r="R127" s="82">
        <f t="shared" si="68"/>
        <v>149149.82</v>
      </c>
    </row>
    <row r="128" spans="2:20" s="34" customFormat="1" ht="34.799999999999997">
      <c r="B128" s="87" t="s">
        <v>250</v>
      </c>
      <c r="C128" s="88" t="s">
        <v>251</v>
      </c>
      <c r="D128" s="89" t="s">
        <v>152</v>
      </c>
      <c r="E128" s="90">
        <v>11554.4</v>
      </c>
      <c r="F128" s="91"/>
      <c r="G128" s="91"/>
      <c r="H128" s="91"/>
      <c r="I128" s="91">
        <f t="shared" si="46"/>
        <v>0</v>
      </c>
      <c r="J128" s="91">
        <f t="shared" si="47"/>
        <v>11554.4</v>
      </c>
      <c r="K128" s="80">
        <v>14</v>
      </c>
      <c r="L128" s="81">
        <f t="shared" si="44"/>
        <v>17.746401540000001</v>
      </c>
      <c r="M128" s="82">
        <f t="shared" si="63"/>
        <v>0</v>
      </c>
      <c r="N128" s="82">
        <f t="shared" si="64"/>
        <v>0</v>
      </c>
      <c r="O128" s="82">
        <f t="shared" si="65"/>
        <v>0</v>
      </c>
      <c r="P128" s="80">
        <f t="shared" si="66"/>
        <v>161761.60000000001</v>
      </c>
      <c r="Q128" s="82">
        <f t="shared" si="67"/>
        <v>205049.02</v>
      </c>
      <c r="R128" s="82">
        <f t="shared" si="68"/>
        <v>205049.02</v>
      </c>
    </row>
    <row r="129" spans="2:21" s="34" customFormat="1" ht="46.2">
      <c r="B129" s="87" t="s">
        <v>252</v>
      </c>
      <c r="C129" s="88" t="s">
        <v>253</v>
      </c>
      <c r="D129" s="89" t="s">
        <v>152</v>
      </c>
      <c r="E129" s="90">
        <v>5166.7</v>
      </c>
      <c r="F129" s="91"/>
      <c r="G129" s="91"/>
      <c r="H129" s="91"/>
      <c r="I129" s="91">
        <f t="shared" si="46"/>
        <v>0</v>
      </c>
      <c r="J129" s="91">
        <f t="shared" si="47"/>
        <v>5166.7</v>
      </c>
      <c r="K129" s="80">
        <v>14</v>
      </c>
      <c r="L129" s="81">
        <f t="shared" si="44"/>
        <v>17.746401540000001</v>
      </c>
      <c r="M129" s="82">
        <f t="shared" si="63"/>
        <v>0</v>
      </c>
      <c r="N129" s="82">
        <f t="shared" si="64"/>
        <v>0</v>
      </c>
      <c r="O129" s="82">
        <f t="shared" si="65"/>
        <v>0</v>
      </c>
      <c r="P129" s="80">
        <f t="shared" si="66"/>
        <v>72333.8</v>
      </c>
      <c r="Q129" s="82">
        <f t="shared" si="67"/>
        <v>91690.33</v>
      </c>
      <c r="R129" s="82">
        <f t="shared" si="68"/>
        <v>91690.33</v>
      </c>
    </row>
    <row r="130" spans="2:21" s="34" customFormat="1" ht="23.4">
      <c r="B130" s="87" t="s">
        <v>254</v>
      </c>
      <c r="C130" s="88" t="s">
        <v>215</v>
      </c>
      <c r="D130" s="89" t="s">
        <v>169</v>
      </c>
      <c r="E130" s="92">
        <v>803.99</v>
      </c>
      <c r="F130" s="91"/>
      <c r="G130" s="91"/>
      <c r="H130" s="91"/>
      <c r="I130" s="91">
        <f t="shared" si="46"/>
        <v>0</v>
      </c>
      <c r="J130" s="91">
        <f t="shared" si="47"/>
        <v>803.99</v>
      </c>
      <c r="K130" s="95">
        <v>750</v>
      </c>
      <c r="L130" s="81">
        <f t="shared" si="44"/>
        <v>950.70008250000001</v>
      </c>
      <c r="M130" s="82">
        <f t="shared" si="63"/>
        <v>0</v>
      </c>
      <c r="N130" s="82">
        <f t="shared" si="64"/>
        <v>0</v>
      </c>
      <c r="O130" s="82">
        <f t="shared" si="65"/>
        <v>0</v>
      </c>
      <c r="P130" s="80">
        <f t="shared" si="66"/>
        <v>602992.5</v>
      </c>
      <c r="Q130" s="82">
        <f t="shared" si="67"/>
        <v>764353.35</v>
      </c>
      <c r="R130" s="82">
        <f t="shared" si="68"/>
        <v>764353.35</v>
      </c>
      <c r="T130" s="83"/>
      <c r="U130" s="83"/>
    </row>
    <row r="131" spans="2:21" s="34" customFormat="1" ht="17.399999999999999">
      <c r="B131" s="60" t="s">
        <v>255</v>
      </c>
      <c r="C131" s="61" t="s">
        <v>256</v>
      </c>
      <c r="D131" s="60"/>
      <c r="E131" s="62"/>
      <c r="F131" s="63"/>
      <c r="G131" s="63"/>
      <c r="H131" s="63"/>
      <c r="I131" s="63">
        <f t="shared" si="46"/>
        <v>0</v>
      </c>
      <c r="J131" s="63">
        <f t="shared" si="47"/>
        <v>0</v>
      </c>
      <c r="K131" s="63"/>
      <c r="L131" s="63">
        <f t="shared" si="44"/>
        <v>0</v>
      </c>
      <c r="M131" s="63">
        <f t="shared" ref="M131:R131" si="69">SUM(M132:M138)</f>
        <v>0</v>
      </c>
      <c r="N131" s="63">
        <f t="shared" si="69"/>
        <v>0</v>
      </c>
      <c r="O131" s="63">
        <f t="shared" si="69"/>
        <v>0</v>
      </c>
      <c r="P131" s="63">
        <f t="shared" si="69"/>
        <v>1701680.9500000002</v>
      </c>
      <c r="Q131" s="63">
        <f t="shared" si="69"/>
        <v>2157050.9299999997</v>
      </c>
      <c r="R131" s="63">
        <f t="shared" si="69"/>
        <v>2157050.9299999997</v>
      </c>
      <c r="T131" s="97"/>
    </row>
    <row r="132" spans="2:21" s="34" customFormat="1" ht="13.2">
      <c r="B132" s="87" t="s">
        <v>257</v>
      </c>
      <c r="C132" s="98" t="s">
        <v>258</v>
      </c>
      <c r="D132" s="99" t="s">
        <v>169</v>
      </c>
      <c r="E132" s="100">
        <v>261.60000000000002</v>
      </c>
      <c r="F132" s="101"/>
      <c r="G132" s="101"/>
      <c r="H132" s="101"/>
      <c r="I132" s="101">
        <f t="shared" si="46"/>
        <v>0</v>
      </c>
      <c r="J132" s="101">
        <f t="shared" si="47"/>
        <v>261.60000000000002</v>
      </c>
      <c r="K132" s="102">
        <v>620</v>
      </c>
      <c r="L132" s="81">
        <f t="shared" si="44"/>
        <v>785.91206820000002</v>
      </c>
      <c r="M132" s="82">
        <f t="shared" ref="M132:M138" si="70">TRUNC(F132*L132,2)</f>
        <v>0</v>
      </c>
      <c r="N132" s="82">
        <f t="shared" ref="N132:N138" si="71">TRUNC(G132*L132,2)</f>
        <v>0</v>
      </c>
      <c r="O132" s="82">
        <f t="shared" ref="O132:O138" si="72">N132</f>
        <v>0</v>
      </c>
      <c r="P132" s="80">
        <f t="shared" ref="P132:P138" si="73">E132*K132</f>
        <v>162192</v>
      </c>
      <c r="Q132" s="82">
        <f t="shared" ref="Q132:Q138" si="74">TRUNC(E132*L132,2)</f>
        <v>205594.59</v>
      </c>
      <c r="R132" s="82">
        <f t="shared" ref="R132:R138" si="75">Q132-O132</f>
        <v>205594.59</v>
      </c>
    </row>
    <row r="133" spans="2:21" s="34" customFormat="1" ht="34.799999999999997">
      <c r="B133" s="87" t="s">
        <v>259</v>
      </c>
      <c r="C133" s="88" t="s">
        <v>260</v>
      </c>
      <c r="D133" s="89" t="s">
        <v>82</v>
      </c>
      <c r="E133" s="90">
        <v>3852</v>
      </c>
      <c r="F133" s="91"/>
      <c r="G133" s="91"/>
      <c r="H133" s="91"/>
      <c r="I133" s="91">
        <f t="shared" si="46"/>
        <v>0</v>
      </c>
      <c r="J133" s="91">
        <f t="shared" si="47"/>
        <v>3852</v>
      </c>
      <c r="K133" s="84">
        <v>20</v>
      </c>
      <c r="L133" s="81">
        <f t="shared" si="44"/>
        <v>25.352002200000001</v>
      </c>
      <c r="M133" s="82">
        <f t="shared" si="70"/>
        <v>0</v>
      </c>
      <c r="N133" s="82">
        <f t="shared" si="71"/>
        <v>0</v>
      </c>
      <c r="O133" s="82">
        <f t="shared" si="72"/>
        <v>0</v>
      </c>
      <c r="P133" s="80">
        <f t="shared" si="73"/>
        <v>77040</v>
      </c>
      <c r="Q133" s="82">
        <f t="shared" si="74"/>
        <v>97655.91</v>
      </c>
      <c r="R133" s="82">
        <f t="shared" si="75"/>
        <v>97655.91</v>
      </c>
    </row>
    <row r="134" spans="2:21" s="34" customFormat="1" ht="34.799999999999997">
      <c r="B134" s="87" t="s">
        <v>261</v>
      </c>
      <c r="C134" s="88" t="s">
        <v>262</v>
      </c>
      <c r="D134" s="89" t="s">
        <v>110</v>
      </c>
      <c r="E134" s="92">
        <v>112</v>
      </c>
      <c r="F134" s="91"/>
      <c r="G134" s="91"/>
      <c r="H134" s="91"/>
      <c r="I134" s="91">
        <f t="shared" si="46"/>
        <v>0</v>
      </c>
      <c r="J134" s="91">
        <f t="shared" si="47"/>
        <v>112</v>
      </c>
      <c r="K134" s="84">
        <v>650</v>
      </c>
      <c r="L134" s="81">
        <f t="shared" si="44"/>
        <v>823.94007150000004</v>
      </c>
      <c r="M134" s="82">
        <f t="shared" si="70"/>
        <v>0</v>
      </c>
      <c r="N134" s="82">
        <f t="shared" si="71"/>
        <v>0</v>
      </c>
      <c r="O134" s="82">
        <f t="shared" si="72"/>
        <v>0</v>
      </c>
      <c r="P134" s="80">
        <f t="shared" si="73"/>
        <v>72800</v>
      </c>
      <c r="Q134" s="82">
        <f t="shared" si="74"/>
        <v>92281.279999999999</v>
      </c>
      <c r="R134" s="82">
        <f t="shared" si="75"/>
        <v>92281.279999999999</v>
      </c>
    </row>
    <row r="135" spans="2:21" s="34" customFormat="1" ht="57.6">
      <c r="B135" s="87" t="s">
        <v>263</v>
      </c>
      <c r="C135" s="88" t="s">
        <v>264</v>
      </c>
      <c r="D135" s="89" t="s">
        <v>79</v>
      </c>
      <c r="E135" s="90">
        <v>15102.2</v>
      </c>
      <c r="F135" s="91"/>
      <c r="G135" s="91"/>
      <c r="H135" s="91"/>
      <c r="I135" s="91">
        <f t="shared" si="46"/>
        <v>0</v>
      </c>
      <c r="J135" s="91">
        <f t="shared" si="47"/>
        <v>15102.2</v>
      </c>
      <c r="K135" s="84">
        <v>79.5</v>
      </c>
      <c r="L135" s="81">
        <f t="shared" si="44"/>
        <v>100.77420874500001</v>
      </c>
      <c r="M135" s="82">
        <f t="shared" si="70"/>
        <v>0</v>
      </c>
      <c r="N135" s="82">
        <f t="shared" si="71"/>
        <v>0</v>
      </c>
      <c r="O135" s="82">
        <f t="shared" si="72"/>
        <v>0</v>
      </c>
      <c r="P135" s="80">
        <f t="shared" si="73"/>
        <v>1200624.9000000001</v>
      </c>
      <c r="Q135" s="82">
        <f t="shared" si="74"/>
        <v>1521912.25</v>
      </c>
      <c r="R135" s="82">
        <f t="shared" si="75"/>
        <v>1521912.25</v>
      </c>
    </row>
    <row r="136" spans="2:21" s="34" customFormat="1" ht="57.6">
      <c r="B136" s="87" t="s">
        <v>265</v>
      </c>
      <c r="C136" s="88" t="s">
        <v>266</v>
      </c>
      <c r="D136" s="89" t="s">
        <v>79</v>
      </c>
      <c r="E136" s="90">
        <v>772</v>
      </c>
      <c r="F136" s="91"/>
      <c r="G136" s="91"/>
      <c r="H136" s="91"/>
      <c r="I136" s="91">
        <f t="shared" si="46"/>
        <v>0</v>
      </c>
      <c r="J136" s="91">
        <f t="shared" si="47"/>
        <v>772</v>
      </c>
      <c r="K136" s="84">
        <v>150</v>
      </c>
      <c r="L136" s="81">
        <f t="shared" si="44"/>
        <v>190.1400165</v>
      </c>
      <c r="M136" s="82">
        <f t="shared" si="70"/>
        <v>0</v>
      </c>
      <c r="N136" s="82">
        <f t="shared" si="71"/>
        <v>0</v>
      </c>
      <c r="O136" s="82">
        <f t="shared" si="72"/>
        <v>0</v>
      </c>
      <c r="P136" s="80">
        <f t="shared" si="73"/>
        <v>115800</v>
      </c>
      <c r="Q136" s="82">
        <f t="shared" si="74"/>
        <v>146788.09</v>
      </c>
      <c r="R136" s="82">
        <f t="shared" si="75"/>
        <v>146788.09</v>
      </c>
    </row>
    <row r="137" spans="2:21" s="34" customFormat="1" ht="46.2">
      <c r="B137" s="87" t="s">
        <v>267</v>
      </c>
      <c r="C137" s="88" t="s">
        <v>268</v>
      </c>
      <c r="D137" s="89" t="s">
        <v>79</v>
      </c>
      <c r="E137" s="90">
        <v>210.05</v>
      </c>
      <c r="F137" s="91"/>
      <c r="G137" s="91"/>
      <c r="H137" s="91"/>
      <c r="I137" s="91">
        <f t="shared" si="46"/>
        <v>0</v>
      </c>
      <c r="J137" s="91">
        <f t="shared" si="47"/>
        <v>210.05</v>
      </c>
      <c r="K137" s="84">
        <v>165</v>
      </c>
      <c r="L137" s="81">
        <f t="shared" si="44"/>
        <v>209.15401815000001</v>
      </c>
      <c r="M137" s="82">
        <f t="shared" si="70"/>
        <v>0</v>
      </c>
      <c r="N137" s="82">
        <f t="shared" si="71"/>
        <v>0</v>
      </c>
      <c r="O137" s="82">
        <f t="shared" si="72"/>
        <v>0</v>
      </c>
      <c r="P137" s="80">
        <f t="shared" si="73"/>
        <v>34658.25</v>
      </c>
      <c r="Q137" s="82">
        <f t="shared" si="74"/>
        <v>43932.800000000003</v>
      </c>
      <c r="R137" s="82">
        <f t="shared" si="75"/>
        <v>43932.800000000003</v>
      </c>
    </row>
    <row r="138" spans="2:21" s="34" customFormat="1" ht="23.4">
      <c r="B138" s="87" t="s">
        <v>269</v>
      </c>
      <c r="C138" s="88" t="s">
        <v>270</v>
      </c>
      <c r="D138" s="89" t="s">
        <v>124</v>
      </c>
      <c r="E138" s="90">
        <v>550.94000000000005</v>
      </c>
      <c r="F138" s="91"/>
      <c r="G138" s="91"/>
      <c r="H138" s="91"/>
      <c r="I138" s="91">
        <f t="shared" si="46"/>
        <v>0</v>
      </c>
      <c r="J138" s="91">
        <f t="shared" si="47"/>
        <v>550.94000000000005</v>
      </c>
      <c r="K138" s="84">
        <v>70</v>
      </c>
      <c r="L138" s="81">
        <f t="shared" si="44"/>
        <v>88.732007699999997</v>
      </c>
      <c r="M138" s="82">
        <f t="shared" si="70"/>
        <v>0</v>
      </c>
      <c r="N138" s="82">
        <f t="shared" si="71"/>
        <v>0</v>
      </c>
      <c r="O138" s="82">
        <f t="shared" si="72"/>
        <v>0</v>
      </c>
      <c r="P138" s="80">
        <f t="shared" si="73"/>
        <v>38565.800000000003</v>
      </c>
      <c r="Q138" s="82">
        <f t="shared" si="74"/>
        <v>48886.01</v>
      </c>
      <c r="R138" s="82">
        <f t="shared" si="75"/>
        <v>48886.01</v>
      </c>
    </row>
    <row r="139" spans="2:21" s="34" customFormat="1" ht="13.2">
      <c r="B139" s="60" t="s">
        <v>271</v>
      </c>
      <c r="C139" s="61" t="s">
        <v>272</v>
      </c>
      <c r="D139" s="60"/>
      <c r="E139" s="62"/>
      <c r="F139" s="63"/>
      <c r="G139" s="63"/>
      <c r="H139" s="63"/>
      <c r="I139" s="63">
        <f t="shared" si="46"/>
        <v>0</v>
      </c>
      <c r="J139" s="63">
        <f t="shared" si="47"/>
        <v>0</v>
      </c>
      <c r="K139" s="63"/>
      <c r="L139" s="63">
        <f t="shared" si="44"/>
        <v>0</v>
      </c>
      <c r="M139" s="63">
        <f t="shared" ref="M139:R139" si="76">SUM(M140,M148)</f>
        <v>0</v>
      </c>
      <c r="N139" s="63">
        <f t="shared" si="76"/>
        <v>0</v>
      </c>
      <c r="O139" s="63">
        <f t="shared" si="76"/>
        <v>0</v>
      </c>
      <c r="P139" s="63">
        <f t="shared" si="76"/>
        <v>2433803.8377</v>
      </c>
      <c r="Q139" s="63">
        <f t="shared" si="76"/>
        <v>3085089.94</v>
      </c>
      <c r="R139" s="63">
        <f t="shared" si="76"/>
        <v>3085089.94</v>
      </c>
    </row>
    <row r="140" spans="2:21" s="34" customFormat="1" ht="13.2">
      <c r="B140" s="66" t="s">
        <v>273</v>
      </c>
      <c r="C140" s="67" t="s">
        <v>274</v>
      </c>
      <c r="D140" s="68"/>
      <c r="E140" s="69"/>
      <c r="F140" s="70"/>
      <c r="G140" s="70"/>
      <c r="H140" s="70"/>
      <c r="I140" s="70">
        <f t="shared" si="46"/>
        <v>0</v>
      </c>
      <c r="J140" s="70">
        <f t="shared" si="47"/>
        <v>0</v>
      </c>
      <c r="K140" s="71"/>
      <c r="L140" s="71">
        <f t="shared" si="44"/>
        <v>0</v>
      </c>
      <c r="M140" s="73">
        <f t="shared" ref="M140:R140" si="77">SUM(M141:M147)</f>
        <v>0</v>
      </c>
      <c r="N140" s="73">
        <f t="shared" si="77"/>
        <v>0</v>
      </c>
      <c r="O140" s="73">
        <f t="shared" si="77"/>
        <v>0</v>
      </c>
      <c r="P140" s="73">
        <f t="shared" si="77"/>
        <v>1345103.6276999998</v>
      </c>
      <c r="Q140" s="73">
        <f t="shared" si="77"/>
        <v>1705053.47</v>
      </c>
      <c r="R140" s="73">
        <f t="shared" si="77"/>
        <v>1705053.47</v>
      </c>
    </row>
    <row r="141" spans="2:21" s="34" customFormat="1" ht="46.2">
      <c r="B141" s="87" t="s">
        <v>275</v>
      </c>
      <c r="C141" s="88" t="s">
        <v>276</v>
      </c>
      <c r="D141" s="89" t="s">
        <v>79</v>
      </c>
      <c r="E141" s="90">
        <f>E135*2-E149</f>
        <v>26012.79</v>
      </c>
      <c r="F141" s="91"/>
      <c r="G141" s="91"/>
      <c r="H141" s="91"/>
      <c r="I141" s="91">
        <f t="shared" si="46"/>
        <v>0</v>
      </c>
      <c r="J141" s="91">
        <f t="shared" si="47"/>
        <v>26012.79</v>
      </c>
      <c r="K141" s="84">
        <v>4.5</v>
      </c>
      <c r="L141" s="81">
        <f t="shared" si="44"/>
        <v>5.7042004950000003</v>
      </c>
      <c r="M141" s="82">
        <f t="shared" ref="M141:M147" si="78">TRUNC(F141*L141,2)</f>
        <v>0</v>
      </c>
      <c r="N141" s="82">
        <f t="shared" ref="N141:N147" si="79">TRUNC(G141*L141,2)</f>
        <v>0</v>
      </c>
      <c r="O141" s="82">
        <f t="shared" ref="O141:O147" si="80">N141</f>
        <v>0</v>
      </c>
      <c r="P141" s="80">
        <f t="shared" ref="P141:P147" si="81">E141*K141</f>
        <v>117057.55500000001</v>
      </c>
      <c r="Q141" s="82">
        <f t="shared" ref="Q141:Q147" si="82">TRUNC(E141*L141,2)</f>
        <v>148382.16</v>
      </c>
      <c r="R141" s="82">
        <f t="shared" ref="R141:R147" si="83">Q141-O141</f>
        <v>148382.16</v>
      </c>
    </row>
    <row r="142" spans="2:21" s="34" customFormat="1" ht="57.6">
      <c r="B142" s="87" t="s">
        <v>277</v>
      </c>
      <c r="C142" s="88" t="s">
        <v>278</v>
      </c>
      <c r="D142" s="89" t="s">
        <v>79</v>
      </c>
      <c r="E142" s="90">
        <f>E145+E146</f>
        <v>462.83</v>
      </c>
      <c r="F142" s="91"/>
      <c r="G142" s="91"/>
      <c r="H142" s="91"/>
      <c r="I142" s="91">
        <f t="shared" si="46"/>
        <v>0</v>
      </c>
      <c r="J142" s="91">
        <f t="shared" si="47"/>
        <v>462.83</v>
      </c>
      <c r="K142" s="84">
        <v>30</v>
      </c>
      <c r="L142" s="81">
        <f t="shared" si="44"/>
        <v>38.028003300000002</v>
      </c>
      <c r="M142" s="82">
        <f t="shared" si="78"/>
        <v>0</v>
      </c>
      <c r="N142" s="82">
        <f t="shared" si="79"/>
        <v>0</v>
      </c>
      <c r="O142" s="82">
        <f t="shared" si="80"/>
        <v>0</v>
      </c>
      <c r="P142" s="80">
        <f t="shared" si="81"/>
        <v>13884.9</v>
      </c>
      <c r="Q142" s="82">
        <f t="shared" si="82"/>
        <v>17600.5</v>
      </c>
      <c r="R142" s="82">
        <f t="shared" si="83"/>
        <v>17600.5</v>
      </c>
    </row>
    <row r="143" spans="2:21" s="34" customFormat="1" ht="57.6">
      <c r="B143" s="87" t="s">
        <v>279</v>
      </c>
      <c r="C143" s="88" t="s">
        <v>280</v>
      </c>
      <c r="D143" s="89" t="s">
        <v>79</v>
      </c>
      <c r="E143" s="90">
        <f>E141-E142-E147</f>
        <v>25418.329999999998</v>
      </c>
      <c r="F143" s="91"/>
      <c r="G143" s="91"/>
      <c r="H143" s="91"/>
      <c r="I143" s="91">
        <f t="shared" si="46"/>
        <v>0</v>
      </c>
      <c r="J143" s="91">
        <f t="shared" si="47"/>
        <v>25418.329999999998</v>
      </c>
      <c r="K143" s="84">
        <v>33.65</v>
      </c>
      <c r="L143" s="81">
        <f t="shared" si="44"/>
        <v>42.654743701500003</v>
      </c>
      <c r="M143" s="82">
        <f t="shared" si="78"/>
        <v>0</v>
      </c>
      <c r="N143" s="82">
        <f t="shared" si="79"/>
        <v>0</v>
      </c>
      <c r="O143" s="82">
        <f t="shared" si="80"/>
        <v>0</v>
      </c>
      <c r="P143" s="80">
        <f t="shared" si="81"/>
        <v>855326.80449999985</v>
      </c>
      <c r="Q143" s="82">
        <f t="shared" si="82"/>
        <v>1084212.3500000001</v>
      </c>
      <c r="R143" s="82">
        <f t="shared" si="83"/>
        <v>1084212.3500000001</v>
      </c>
    </row>
    <row r="144" spans="2:21" s="34" customFormat="1" ht="13.2">
      <c r="B144" s="87" t="s">
        <v>281</v>
      </c>
      <c r="C144" s="88" t="s">
        <v>282</v>
      </c>
      <c r="D144" s="89" t="s">
        <v>79</v>
      </c>
      <c r="E144" s="90">
        <v>1328.83</v>
      </c>
      <c r="F144" s="91"/>
      <c r="G144" s="91"/>
      <c r="H144" s="91"/>
      <c r="I144" s="91">
        <f t="shared" si="46"/>
        <v>0</v>
      </c>
      <c r="J144" s="91">
        <f t="shared" si="47"/>
        <v>1328.83</v>
      </c>
      <c r="K144" s="84">
        <v>162.54</v>
      </c>
      <c r="L144" s="81">
        <f t="shared" si="44"/>
        <v>206.0357218794</v>
      </c>
      <c r="M144" s="82">
        <f t="shared" si="78"/>
        <v>0</v>
      </c>
      <c r="N144" s="82">
        <f t="shared" si="79"/>
        <v>0</v>
      </c>
      <c r="O144" s="82">
        <f t="shared" si="80"/>
        <v>0</v>
      </c>
      <c r="P144" s="80">
        <f t="shared" si="81"/>
        <v>215988.02819999997</v>
      </c>
      <c r="Q144" s="82">
        <f t="shared" si="82"/>
        <v>273786.44</v>
      </c>
      <c r="R144" s="82">
        <f t="shared" si="83"/>
        <v>273786.44</v>
      </c>
    </row>
    <row r="145" spans="2:18" s="34" customFormat="1" ht="46.2">
      <c r="B145" s="87" t="s">
        <v>283</v>
      </c>
      <c r="C145" s="88" t="s">
        <v>284</v>
      </c>
      <c r="D145" s="89" t="s">
        <v>79</v>
      </c>
      <c r="E145" s="92">
        <v>392.83</v>
      </c>
      <c r="F145" s="91"/>
      <c r="G145" s="91"/>
      <c r="H145" s="91"/>
      <c r="I145" s="91">
        <f t="shared" si="46"/>
        <v>0</v>
      </c>
      <c r="J145" s="91">
        <f t="shared" si="47"/>
        <v>392.83</v>
      </c>
      <c r="K145" s="84">
        <v>148</v>
      </c>
      <c r="L145" s="81">
        <f t="shared" si="44"/>
        <v>187.60481628000002</v>
      </c>
      <c r="M145" s="82">
        <f t="shared" si="78"/>
        <v>0</v>
      </c>
      <c r="N145" s="82">
        <f t="shared" si="79"/>
        <v>0</v>
      </c>
      <c r="O145" s="82">
        <f t="shared" si="80"/>
        <v>0</v>
      </c>
      <c r="P145" s="80">
        <f t="shared" si="81"/>
        <v>58138.84</v>
      </c>
      <c r="Q145" s="82">
        <f t="shared" si="82"/>
        <v>73696.789999999994</v>
      </c>
      <c r="R145" s="82">
        <f t="shared" si="83"/>
        <v>73696.789999999994</v>
      </c>
    </row>
    <row r="146" spans="2:18" s="34" customFormat="1" ht="13.2">
      <c r="B146" s="87" t="s">
        <v>285</v>
      </c>
      <c r="C146" s="88" t="s">
        <v>286</v>
      </c>
      <c r="D146" s="89" t="s">
        <v>79</v>
      </c>
      <c r="E146" s="92">
        <v>70</v>
      </c>
      <c r="F146" s="91"/>
      <c r="G146" s="91"/>
      <c r="H146" s="91"/>
      <c r="I146" s="91">
        <f t="shared" si="46"/>
        <v>0</v>
      </c>
      <c r="J146" s="91">
        <f t="shared" si="47"/>
        <v>70</v>
      </c>
      <c r="K146" s="84">
        <v>740</v>
      </c>
      <c r="L146" s="81">
        <f t="shared" si="44"/>
        <v>938.0240814</v>
      </c>
      <c r="M146" s="82">
        <f t="shared" si="78"/>
        <v>0</v>
      </c>
      <c r="N146" s="82">
        <f t="shared" si="79"/>
        <v>0</v>
      </c>
      <c r="O146" s="82">
        <f t="shared" si="80"/>
        <v>0</v>
      </c>
      <c r="P146" s="80">
        <f t="shared" si="81"/>
        <v>51800</v>
      </c>
      <c r="Q146" s="82">
        <f t="shared" si="82"/>
        <v>65661.679999999993</v>
      </c>
      <c r="R146" s="82">
        <f t="shared" si="83"/>
        <v>65661.679999999993</v>
      </c>
    </row>
    <row r="147" spans="2:18" s="34" customFormat="1" ht="13.2">
      <c r="B147" s="87" t="s">
        <v>287</v>
      </c>
      <c r="C147" s="88" t="s">
        <v>288</v>
      </c>
      <c r="D147" s="89" t="s">
        <v>79</v>
      </c>
      <c r="E147" s="90">
        <v>131.63</v>
      </c>
      <c r="F147" s="91"/>
      <c r="G147" s="91"/>
      <c r="H147" s="91"/>
      <c r="I147" s="91">
        <f t="shared" si="46"/>
        <v>0</v>
      </c>
      <c r="J147" s="91">
        <f t="shared" si="47"/>
        <v>131.63</v>
      </c>
      <c r="K147" s="80">
        <v>250</v>
      </c>
      <c r="L147" s="81">
        <f t="shared" si="44"/>
        <v>316.90002750000002</v>
      </c>
      <c r="M147" s="82">
        <f t="shared" si="78"/>
        <v>0</v>
      </c>
      <c r="N147" s="82">
        <f t="shared" si="79"/>
        <v>0</v>
      </c>
      <c r="O147" s="82">
        <f t="shared" si="80"/>
        <v>0</v>
      </c>
      <c r="P147" s="80">
        <f t="shared" si="81"/>
        <v>32907.5</v>
      </c>
      <c r="Q147" s="82">
        <f t="shared" si="82"/>
        <v>41713.550000000003</v>
      </c>
      <c r="R147" s="82">
        <f t="shared" si="83"/>
        <v>41713.550000000003</v>
      </c>
    </row>
    <row r="148" spans="2:18" s="34" customFormat="1" ht="13.2">
      <c r="B148" s="66" t="s">
        <v>289</v>
      </c>
      <c r="C148" s="67" t="s">
        <v>290</v>
      </c>
      <c r="D148" s="68"/>
      <c r="E148" s="69"/>
      <c r="F148" s="70"/>
      <c r="G148" s="70"/>
      <c r="H148" s="70"/>
      <c r="I148" s="70">
        <f t="shared" si="46"/>
        <v>0</v>
      </c>
      <c r="J148" s="70">
        <f t="shared" si="47"/>
        <v>0</v>
      </c>
      <c r="K148" s="71"/>
      <c r="L148" s="71">
        <f t="shared" si="44"/>
        <v>0</v>
      </c>
      <c r="M148" s="73">
        <f t="shared" ref="M148:R148" si="84">SUM(M149:M154)</f>
        <v>0</v>
      </c>
      <c r="N148" s="73">
        <f t="shared" si="84"/>
        <v>0</v>
      </c>
      <c r="O148" s="73">
        <f t="shared" si="84"/>
        <v>0</v>
      </c>
      <c r="P148" s="73">
        <f t="shared" si="84"/>
        <v>1088700.21</v>
      </c>
      <c r="Q148" s="73">
        <f t="shared" si="84"/>
        <v>1380036.47</v>
      </c>
      <c r="R148" s="73">
        <f t="shared" si="84"/>
        <v>1380036.47</v>
      </c>
    </row>
    <row r="149" spans="2:18" s="34" customFormat="1" ht="46.2">
      <c r="B149" s="87" t="s">
        <v>291</v>
      </c>
      <c r="C149" s="88" t="s">
        <v>292</v>
      </c>
      <c r="D149" s="89" t="s">
        <v>79</v>
      </c>
      <c r="E149" s="90">
        <f>E151+E152+E153+E154</f>
        <v>4191.6100000000006</v>
      </c>
      <c r="F149" s="91"/>
      <c r="G149" s="91"/>
      <c r="H149" s="91"/>
      <c r="I149" s="91">
        <f t="shared" si="46"/>
        <v>0</v>
      </c>
      <c r="J149" s="91">
        <f t="shared" si="47"/>
        <v>4191.6100000000006</v>
      </c>
      <c r="K149" s="84">
        <v>12</v>
      </c>
      <c r="L149" s="81">
        <f t="shared" si="44"/>
        <v>15.211201320000001</v>
      </c>
      <c r="M149" s="82">
        <f t="shared" ref="M149:M154" si="85">TRUNC(F149*L149,2)</f>
        <v>0</v>
      </c>
      <c r="N149" s="82">
        <f t="shared" ref="N149:N154" si="86">TRUNC(G149*L149,2)</f>
        <v>0</v>
      </c>
      <c r="O149" s="82">
        <f t="shared" ref="O149:O154" si="87">N149</f>
        <v>0</v>
      </c>
      <c r="P149" s="80">
        <f t="shared" ref="P149:P154" si="88">E149*K149</f>
        <v>50299.320000000007</v>
      </c>
      <c r="Q149" s="82">
        <f t="shared" ref="Q149:Q154" si="89">TRUNC(E149*L149,2)</f>
        <v>63759.42</v>
      </c>
      <c r="R149" s="82">
        <f t="shared" ref="R149:R154" si="90">Q149-O149</f>
        <v>63759.42</v>
      </c>
    </row>
    <row r="150" spans="2:18" s="34" customFormat="1" ht="57.6">
      <c r="B150" s="87" t="s">
        <v>293</v>
      </c>
      <c r="C150" s="88" t="s">
        <v>294</v>
      </c>
      <c r="D150" s="89" t="s">
        <v>79</v>
      </c>
      <c r="E150" s="90">
        <f>E149</f>
        <v>4191.6100000000006</v>
      </c>
      <c r="F150" s="91"/>
      <c r="G150" s="91"/>
      <c r="H150" s="91"/>
      <c r="I150" s="91">
        <f t="shared" si="46"/>
        <v>0</v>
      </c>
      <c r="J150" s="91">
        <f t="shared" si="47"/>
        <v>4191.6100000000006</v>
      </c>
      <c r="K150" s="84">
        <v>62</v>
      </c>
      <c r="L150" s="81">
        <f t="shared" si="44"/>
        <v>78.591206819999996</v>
      </c>
      <c r="M150" s="82">
        <f t="shared" si="85"/>
        <v>0</v>
      </c>
      <c r="N150" s="82">
        <f t="shared" si="86"/>
        <v>0</v>
      </c>
      <c r="O150" s="82">
        <f t="shared" si="87"/>
        <v>0</v>
      </c>
      <c r="P150" s="80">
        <f t="shared" si="88"/>
        <v>259879.82000000004</v>
      </c>
      <c r="Q150" s="82">
        <f t="shared" si="89"/>
        <v>329423.68</v>
      </c>
      <c r="R150" s="82">
        <f t="shared" si="90"/>
        <v>329423.68</v>
      </c>
    </row>
    <row r="151" spans="2:18" s="34" customFormat="1" ht="13.2">
      <c r="B151" s="87" t="s">
        <v>295</v>
      </c>
      <c r="C151" s="88" t="s">
        <v>296</v>
      </c>
      <c r="D151" s="89" t="s">
        <v>79</v>
      </c>
      <c r="E151" s="90">
        <v>120.2</v>
      </c>
      <c r="F151" s="91"/>
      <c r="G151" s="91"/>
      <c r="H151" s="91"/>
      <c r="I151" s="91">
        <f t="shared" si="46"/>
        <v>0</v>
      </c>
      <c r="J151" s="91">
        <f t="shared" si="47"/>
        <v>120.2</v>
      </c>
      <c r="K151" s="84">
        <v>178</v>
      </c>
      <c r="L151" s="81">
        <f t="shared" si="44"/>
        <v>225.63281958000002</v>
      </c>
      <c r="M151" s="82">
        <f t="shared" si="85"/>
        <v>0</v>
      </c>
      <c r="N151" s="82">
        <f t="shared" si="86"/>
        <v>0</v>
      </c>
      <c r="O151" s="82">
        <f t="shared" si="87"/>
        <v>0</v>
      </c>
      <c r="P151" s="80">
        <f t="shared" si="88"/>
        <v>21395.600000000002</v>
      </c>
      <c r="Q151" s="82">
        <f t="shared" si="89"/>
        <v>27121.06</v>
      </c>
      <c r="R151" s="82">
        <f t="shared" si="90"/>
        <v>27121.06</v>
      </c>
    </row>
    <row r="152" spans="2:18" s="34" customFormat="1" ht="23.4">
      <c r="B152" s="87" t="s">
        <v>297</v>
      </c>
      <c r="C152" s="88" t="s">
        <v>298</v>
      </c>
      <c r="D152" s="89" t="s">
        <v>79</v>
      </c>
      <c r="E152" s="90">
        <v>52.6</v>
      </c>
      <c r="F152" s="91"/>
      <c r="G152" s="91"/>
      <c r="H152" s="91"/>
      <c r="I152" s="91">
        <f t="shared" si="46"/>
        <v>0</v>
      </c>
      <c r="J152" s="91">
        <f t="shared" si="47"/>
        <v>52.6</v>
      </c>
      <c r="K152" s="84">
        <v>182</v>
      </c>
      <c r="L152" s="81">
        <f t="shared" si="44"/>
        <v>230.70322002</v>
      </c>
      <c r="M152" s="82">
        <f t="shared" si="85"/>
        <v>0</v>
      </c>
      <c r="N152" s="82">
        <f t="shared" si="86"/>
        <v>0</v>
      </c>
      <c r="O152" s="82">
        <f t="shared" si="87"/>
        <v>0</v>
      </c>
      <c r="P152" s="80">
        <f t="shared" si="88"/>
        <v>9573.2000000000007</v>
      </c>
      <c r="Q152" s="82">
        <f t="shared" si="89"/>
        <v>12134.98</v>
      </c>
      <c r="R152" s="82">
        <f t="shared" si="90"/>
        <v>12134.98</v>
      </c>
    </row>
    <row r="153" spans="2:18" s="34" customFormat="1" ht="23.4">
      <c r="B153" s="87" t="s">
        <v>299</v>
      </c>
      <c r="C153" s="88" t="s">
        <v>300</v>
      </c>
      <c r="D153" s="89" t="s">
        <v>79</v>
      </c>
      <c r="E153" s="90">
        <v>2811.38</v>
      </c>
      <c r="F153" s="91"/>
      <c r="G153" s="91"/>
      <c r="H153" s="91"/>
      <c r="I153" s="91">
        <f t="shared" si="46"/>
        <v>0</v>
      </c>
      <c r="J153" s="91">
        <f t="shared" si="47"/>
        <v>2811.38</v>
      </c>
      <c r="K153" s="84">
        <v>177</v>
      </c>
      <c r="L153" s="81">
        <f t="shared" si="44"/>
        <v>224.36521947</v>
      </c>
      <c r="M153" s="82">
        <f t="shared" si="85"/>
        <v>0</v>
      </c>
      <c r="N153" s="82">
        <f t="shared" si="86"/>
        <v>0</v>
      </c>
      <c r="O153" s="82">
        <f t="shared" si="87"/>
        <v>0</v>
      </c>
      <c r="P153" s="80">
        <f t="shared" si="88"/>
        <v>497614.26</v>
      </c>
      <c r="Q153" s="82">
        <f t="shared" si="89"/>
        <v>630775.89</v>
      </c>
      <c r="R153" s="82">
        <f t="shared" si="90"/>
        <v>630775.89</v>
      </c>
    </row>
    <row r="154" spans="2:18" s="34" customFormat="1" ht="23.4">
      <c r="B154" s="87" t="s">
        <v>301</v>
      </c>
      <c r="C154" s="88" t="s">
        <v>302</v>
      </c>
      <c r="D154" s="89" t="s">
        <v>79</v>
      </c>
      <c r="E154" s="90">
        <v>1207.43</v>
      </c>
      <c r="F154" s="91"/>
      <c r="G154" s="91"/>
      <c r="H154" s="91"/>
      <c r="I154" s="91">
        <f t="shared" si="46"/>
        <v>0</v>
      </c>
      <c r="J154" s="91">
        <f t="shared" si="47"/>
        <v>1207.43</v>
      </c>
      <c r="K154" s="84">
        <v>207</v>
      </c>
      <c r="L154" s="81">
        <f t="shared" si="44"/>
        <v>262.39322277000002</v>
      </c>
      <c r="M154" s="82">
        <f t="shared" si="85"/>
        <v>0</v>
      </c>
      <c r="N154" s="82">
        <f t="shared" si="86"/>
        <v>0</v>
      </c>
      <c r="O154" s="82">
        <f t="shared" si="87"/>
        <v>0</v>
      </c>
      <c r="P154" s="80">
        <f t="shared" si="88"/>
        <v>249938.01</v>
      </c>
      <c r="Q154" s="82">
        <f t="shared" si="89"/>
        <v>316821.44</v>
      </c>
      <c r="R154" s="82">
        <f t="shared" si="90"/>
        <v>316821.44</v>
      </c>
    </row>
    <row r="155" spans="2:18" s="34" customFormat="1" ht="13.2">
      <c r="B155" s="60" t="s">
        <v>303</v>
      </c>
      <c r="C155" s="61" t="s">
        <v>304</v>
      </c>
      <c r="D155" s="60"/>
      <c r="E155" s="62"/>
      <c r="F155" s="63"/>
      <c r="G155" s="63"/>
      <c r="H155" s="63"/>
      <c r="I155" s="63">
        <f t="shared" si="46"/>
        <v>0</v>
      </c>
      <c r="J155" s="63">
        <f t="shared" si="47"/>
        <v>0</v>
      </c>
      <c r="K155" s="63"/>
      <c r="L155" s="63">
        <f t="shared" si="44"/>
        <v>0</v>
      </c>
      <c r="M155" s="63">
        <f t="shared" ref="M155:R155" si="91">SUM(M156,M165)</f>
        <v>0</v>
      </c>
      <c r="N155" s="63">
        <f t="shared" si="91"/>
        <v>0</v>
      </c>
      <c r="O155" s="63">
        <f t="shared" si="91"/>
        <v>0</v>
      </c>
      <c r="P155" s="63">
        <f t="shared" si="91"/>
        <v>800757.83000000007</v>
      </c>
      <c r="Q155" s="63">
        <f t="shared" si="91"/>
        <v>1015040.66</v>
      </c>
      <c r="R155" s="63">
        <f t="shared" si="91"/>
        <v>1015040.66</v>
      </c>
    </row>
    <row r="156" spans="2:18" s="34" customFormat="1" ht="13.2">
      <c r="B156" s="66" t="s">
        <v>305</v>
      </c>
      <c r="C156" s="67" t="s">
        <v>306</v>
      </c>
      <c r="D156" s="68"/>
      <c r="E156" s="69"/>
      <c r="F156" s="70"/>
      <c r="G156" s="70"/>
      <c r="H156" s="70"/>
      <c r="I156" s="70">
        <f t="shared" si="46"/>
        <v>0</v>
      </c>
      <c r="J156" s="70">
        <f t="shared" si="47"/>
        <v>0</v>
      </c>
      <c r="K156" s="71"/>
      <c r="L156" s="71">
        <f t="shared" si="44"/>
        <v>0</v>
      </c>
      <c r="M156" s="73">
        <f t="shared" ref="M156:R156" si="92">SUM(M157:M164)</f>
        <v>0</v>
      </c>
      <c r="N156" s="73">
        <f t="shared" si="92"/>
        <v>0</v>
      </c>
      <c r="O156" s="73">
        <f t="shared" si="92"/>
        <v>0</v>
      </c>
      <c r="P156" s="73">
        <f t="shared" si="92"/>
        <v>737633.33000000007</v>
      </c>
      <c r="Q156" s="73">
        <f t="shared" si="92"/>
        <v>935024.05</v>
      </c>
      <c r="R156" s="73">
        <f t="shared" si="92"/>
        <v>935024.05</v>
      </c>
    </row>
    <row r="157" spans="2:18" s="34" customFormat="1" ht="57.6">
      <c r="B157" s="87" t="s">
        <v>307</v>
      </c>
      <c r="C157" s="88" t="s">
        <v>308</v>
      </c>
      <c r="D157" s="89" t="s">
        <v>79</v>
      </c>
      <c r="E157" s="103">
        <v>7166.75</v>
      </c>
      <c r="F157" s="84"/>
      <c r="G157" s="84"/>
      <c r="H157" s="84"/>
      <c r="I157" s="84">
        <f t="shared" si="46"/>
        <v>0</v>
      </c>
      <c r="J157" s="84">
        <f t="shared" si="47"/>
        <v>7166.75</v>
      </c>
      <c r="K157" s="84">
        <v>42.2</v>
      </c>
      <c r="L157" s="81">
        <f t="shared" ref="L157:L220" si="93">K157*(1+$T$26)</f>
        <v>53.492724642000006</v>
      </c>
      <c r="M157" s="82">
        <f t="shared" ref="M157:M164" si="94">TRUNC(F157*L157,2)</f>
        <v>0</v>
      </c>
      <c r="N157" s="82">
        <f t="shared" ref="N157:N164" si="95">TRUNC(G157*L157,2)</f>
        <v>0</v>
      </c>
      <c r="O157" s="82">
        <f t="shared" ref="O157:O164" si="96">N157</f>
        <v>0</v>
      </c>
      <c r="P157" s="80">
        <f t="shared" ref="P157:P164" si="97">E157*K157</f>
        <v>302436.85000000003</v>
      </c>
      <c r="Q157" s="82">
        <f t="shared" ref="Q157:Q164" si="98">TRUNC(E157*L157,2)</f>
        <v>383368.98</v>
      </c>
      <c r="R157" s="82">
        <f t="shared" ref="R157:R164" si="99">Q157-O157</f>
        <v>383368.98</v>
      </c>
    </row>
    <row r="158" spans="2:18" s="34" customFormat="1" ht="34.799999999999997">
      <c r="B158" s="87" t="s">
        <v>309</v>
      </c>
      <c r="C158" s="88" t="s">
        <v>310</v>
      </c>
      <c r="D158" s="89" t="s">
        <v>79</v>
      </c>
      <c r="E158" s="104">
        <v>520.1</v>
      </c>
      <c r="F158" s="80"/>
      <c r="G158" s="80"/>
      <c r="H158" s="80"/>
      <c r="I158" s="80">
        <f t="shared" si="46"/>
        <v>0</v>
      </c>
      <c r="J158" s="80">
        <f t="shared" si="47"/>
        <v>520.1</v>
      </c>
      <c r="K158" s="105">
        <v>35.200000000000003</v>
      </c>
      <c r="L158" s="81">
        <f t="shared" si="93"/>
        <v>44.619523872000009</v>
      </c>
      <c r="M158" s="82">
        <f t="shared" si="94"/>
        <v>0</v>
      </c>
      <c r="N158" s="82">
        <f t="shared" si="95"/>
        <v>0</v>
      </c>
      <c r="O158" s="82">
        <f t="shared" si="96"/>
        <v>0</v>
      </c>
      <c r="P158" s="80">
        <f t="shared" si="97"/>
        <v>18307.520000000004</v>
      </c>
      <c r="Q158" s="82">
        <f t="shared" si="98"/>
        <v>23206.61</v>
      </c>
      <c r="R158" s="82">
        <f t="shared" si="99"/>
        <v>23206.61</v>
      </c>
    </row>
    <row r="159" spans="2:18" s="34" customFormat="1" ht="34.799999999999997">
      <c r="B159" s="87" t="s">
        <v>311</v>
      </c>
      <c r="C159" s="88" t="s">
        <v>312</v>
      </c>
      <c r="D159" s="89" t="s">
        <v>79</v>
      </c>
      <c r="E159" s="103">
        <v>1225.0999999999999</v>
      </c>
      <c r="F159" s="84"/>
      <c r="G159" s="84"/>
      <c r="H159" s="84"/>
      <c r="I159" s="84">
        <f t="shared" ref="I159:I222" si="100">SUM(G159:H159)</f>
        <v>0</v>
      </c>
      <c r="J159" s="84">
        <f t="shared" ref="J159:J222" si="101">E159-I159</f>
        <v>1225.0999999999999</v>
      </c>
      <c r="K159" s="105">
        <v>60</v>
      </c>
      <c r="L159" s="81">
        <f t="shared" si="93"/>
        <v>76.056006600000003</v>
      </c>
      <c r="M159" s="82">
        <f t="shared" si="94"/>
        <v>0</v>
      </c>
      <c r="N159" s="82">
        <f t="shared" si="95"/>
        <v>0</v>
      </c>
      <c r="O159" s="82">
        <f t="shared" si="96"/>
        <v>0</v>
      </c>
      <c r="P159" s="80">
        <f t="shared" si="97"/>
        <v>73506</v>
      </c>
      <c r="Q159" s="82">
        <f t="shared" si="98"/>
        <v>93176.21</v>
      </c>
      <c r="R159" s="82">
        <f t="shared" si="99"/>
        <v>93176.21</v>
      </c>
    </row>
    <row r="160" spans="2:18" s="34" customFormat="1" ht="46.2">
      <c r="B160" s="87" t="s">
        <v>313</v>
      </c>
      <c r="C160" s="88" t="s">
        <v>284</v>
      </c>
      <c r="D160" s="89" t="s">
        <v>79</v>
      </c>
      <c r="E160" s="106">
        <v>937</v>
      </c>
      <c r="F160" s="84"/>
      <c r="G160" s="84"/>
      <c r="H160" s="84"/>
      <c r="I160" s="84">
        <f t="shared" si="100"/>
        <v>0</v>
      </c>
      <c r="J160" s="84">
        <f t="shared" si="101"/>
        <v>937</v>
      </c>
      <c r="K160" s="105">
        <v>158</v>
      </c>
      <c r="L160" s="81">
        <f t="shared" si="93"/>
        <v>200.28081738</v>
      </c>
      <c r="M160" s="82">
        <f t="shared" si="94"/>
        <v>0</v>
      </c>
      <c r="N160" s="82">
        <f t="shared" si="95"/>
        <v>0</v>
      </c>
      <c r="O160" s="82">
        <f t="shared" si="96"/>
        <v>0</v>
      </c>
      <c r="P160" s="80">
        <f t="shared" si="97"/>
        <v>148046</v>
      </c>
      <c r="Q160" s="82">
        <f t="shared" si="98"/>
        <v>187663.12</v>
      </c>
      <c r="R160" s="82">
        <f t="shared" si="99"/>
        <v>187663.12</v>
      </c>
    </row>
    <row r="161" spans="2:18" s="34" customFormat="1" ht="34.799999999999997">
      <c r="B161" s="87" t="s">
        <v>314</v>
      </c>
      <c r="C161" s="88" t="s">
        <v>315</v>
      </c>
      <c r="D161" s="89" t="s">
        <v>79</v>
      </c>
      <c r="E161" s="106">
        <v>720.69</v>
      </c>
      <c r="F161" s="84"/>
      <c r="G161" s="84"/>
      <c r="H161" s="84"/>
      <c r="I161" s="84">
        <f t="shared" si="100"/>
        <v>0</v>
      </c>
      <c r="J161" s="84">
        <f t="shared" si="101"/>
        <v>720.69</v>
      </c>
      <c r="K161" s="84">
        <v>185</v>
      </c>
      <c r="L161" s="81">
        <f t="shared" si="93"/>
        <v>234.50602035</v>
      </c>
      <c r="M161" s="82">
        <f t="shared" si="94"/>
        <v>0</v>
      </c>
      <c r="N161" s="82">
        <f t="shared" si="95"/>
        <v>0</v>
      </c>
      <c r="O161" s="82">
        <f t="shared" si="96"/>
        <v>0</v>
      </c>
      <c r="P161" s="80">
        <f t="shared" si="97"/>
        <v>133327.65000000002</v>
      </c>
      <c r="Q161" s="82">
        <f t="shared" si="98"/>
        <v>169006.14</v>
      </c>
      <c r="R161" s="82">
        <f t="shared" si="99"/>
        <v>169006.14</v>
      </c>
    </row>
    <row r="162" spans="2:18" s="34" customFormat="1" ht="13.2">
      <c r="B162" s="87" t="s">
        <v>316</v>
      </c>
      <c r="C162" s="88" t="s">
        <v>317</v>
      </c>
      <c r="D162" s="89" t="s">
        <v>79</v>
      </c>
      <c r="E162" s="103">
        <v>50.69</v>
      </c>
      <c r="F162" s="84"/>
      <c r="G162" s="84"/>
      <c r="H162" s="84"/>
      <c r="I162" s="84">
        <f t="shared" si="100"/>
        <v>0</v>
      </c>
      <c r="J162" s="84">
        <f t="shared" si="101"/>
        <v>50.69</v>
      </c>
      <c r="K162" s="84">
        <v>765</v>
      </c>
      <c r="L162" s="81">
        <f t="shared" si="93"/>
        <v>969.71408415000008</v>
      </c>
      <c r="M162" s="82">
        <f t="shared" si="94"/>
        <v>0</v>
      </c>
      <c r="N162" s="82">
        <f t="shared" si="95"/>
        <v>0</v>
      </c>
      <c r="O162" s="82">
        <f t="shared" si="96"/>
        <v>0</v>
      </c>
      <c r="P162" s="80">
        <f t="shared" si="97"/>
        <v>38777.85</v>
      </c>
      <c r="Q162" s="82">
        <f t="shared" si="98"/>
        <v>49154.8</v>
      </c>
      <c r="R162" s="82">
        <f t="shared" si="99"/>
        <v>49154.8</v>
      </c>
    </row>
    <row r="163" spans="2:18" s="34" customFormat="1" ht="23.4">
      <c r="B163" s="87" t="s">
        <v>318</v>
      </c>
      <c r="C163" s="88" t="s">
        <v>319</v>
      </c>
      <c r="D163" s="89" t="s">
        <v>124</v>
      </c>
      <c r="E163" s="106">
        <v>36</v>
      </c>
      <c r="F163" s="84"/>
      <c r="G163" s="84"/>
      <c r="H163" s="84"/>
      <c r="I163" s="84">
        <f t="shared" si="100"/>
        <v>0</v>
      </c>
      <c r="J163" s="84">
        <f t="shared" si="101"/>
        <v>36</v>
      </c>
      <c r="K163" s="84">
        <v>134</v>
      </c>
      <c r="L163" s="81">
        <f t="shared" si="93"/>
        <v>169.85841474</v>
      </c>
      <c r="M163" s="82">
        <f t="shared" si="94"/>
        <v>0</v>
      </c>
      <c r="N163" s="82">
        <f t="shared" si="95"/>
        <v>0</v>
      </c>
      <c r="O163" s="82">
        <f t="shared" si="96"/>
        <v>0</v>
      </c>
      <c r="P163" s="80">
        <f t="shared" si="97"/>
        <v>4824</v>
      </c>
      <c r="Q163" s="82">
        <f t="shared" si="98"/>
        <v>6114.9</v>
      </c>
      <c r="R163" s="82">
        <f t="shared" si="99"/>
        <v>6114.9</v>
      </c>
    </row>
    <row r="164" spans="2:18" s="34" customFormat="1" ht="13.2">
      <c r="B164" s="87" t="s">
        <v>320</v>
      </c>
      <c r="C164" s="88" t="s">
        <v>321</v>
      </c>
      <c r="D164" s="89" t="s">
        <v>124</v>
      </c>
      <c r="E164" s="106">
        <v>123.54</v>
      </c>
      <c r="F164" s="84"/>
      <c r="G164" s="84"/>
      <c r="H164" s="84"/>
      <c r="I164" s="84">
        <f t="shared" si="100"/>
        <v>0</v>
      </c>
      <c r="J164" s="84">
        <f t="shared" si="101"/>
        <v>123.54</v>
      </c>
      <c r="K164" s="84">
        <v>149</v>
      </c>
      <c r="L164" s="81">
        <f t="shared" si="93"/>
        <v>188.87241639000001</v>
      </c>
      <c r="M164" s="82">
        <f t="shared" si="94"/>
        <v>0</v>
      </c>
      <c r="N164" s="82">
        <f t="shared" si="95"/>
        <v>0</v>
      </c>
      <c r="O164" s="82">
        <f t="shared" si="96"/>
        <v>0</v>
      </c>
      <c r="P164" s="80">
        <f t="shared" si="97"/>
        <v>18407.46</v>
      </c>
      <c r="Q164" s="82">
        <f t="shared" si="98"/>
        <v>23333.29</v>
      </c>
      <c r="R164" s="82">
        <f t="shared" si="99"/>
        <v>23333.29</v>
      </c>
    </row>
    <row r="165" spans="2:18" s="34" customFormat="1" ht="13.2">
      <c r="B165" s="66" t="s">
        <v>322</v>
      </c>
      <c r="C165" s="67" t="s">
        <v>323</v>
      </c>
      <c r="D165" s="68"/>
      <c r="E165" s="69"/>
      <c r="F165" s="70"/>
      <c r="G165" s="70"/>
      <c r="H165" s="70"/>
      <c r="I165" s="70">
        <f t="shared" si="100"/>
        <v>0</v>
      </c>
      <c r="J165" s="70">
        <f t="shared" si="101"/>
        <v>0</v>
      </c>
      <c r="K165" s="71"/>
      <c r="L165" s="71">
        <f t="shared" si="93"/>
        <v>0</v>
      </c>
      <c r="M165" s="73">
        <f t="shared" ref="M165:R165" si="102">SUM(M166:M169)</f>
        <v>0</v>
      </c>
      <c r="N165" s="73">
        <f t="shared" si="102"/>
        <v>0</v>
      </c>
      <c r="O165" s="73">
        <f t="shared" si="102"/>
        <v>0</v>
      </c>
      <c r="P165" s="73">
        <f t="shared" si="102"/>
        <v>63124.5</v>
      </c>
      <c r="Q165" s="73">
        <f t="shared" si="102"/>
        <v>80016.61</v>
      </c>
      <c r="R165" s="73">
        <f t="shared" si="102"/>
        <v>80016.61</v>
      </c>
    </row>
    <row r="166" spans="2:18" s="34" customFormat="1" ht="34.799999999999997">
      <c r="B166" s="87" t="s">
        <v>324</v>
      </c>
      <c r="C166" s="88" t="s">
        <v>325</v>
      </c>
      <c r="D166" s="89" t="s">
        <v>79</v>
      </c>
      <c r="E166" s="90">
        <v>290.89999999999998</v>
      </c>
      <c r="F166" s="91"/>
      <c r="G166" s="91"/>
      <c r="H166" s="91"/>
      <c r="I166" s="91">
        <f t="shared" si="100"/>
        <v>0</v>
      </c>
      <c r="J166" s="91">
        <f t="shared" si="101"/>
        <v>290.89999999999998</v>
      </c>
      <c r="K166" s="84">
        <v>105</v>
      </c>
      <c r="L166" s="81">
        <f t="shared" si="93"/>
        <v>133.09801155</v>
      </c>
      <c r="M166" s="82">
        <f>TRUNC(F166*L166,2)</f>
        <v>0</v>
      </c>
      <c r="N166" s="82">
        <f>TRUNC(G166*L166,2)</f>
        <v>0</v>
      </c>
      <c r="O166" s="82">
        <f>N166</f>
        <v>0</v>
      </c>
      <c r="P166" s="80">
        <f>E166*K166</f>
        <v>30544.499999999996</v>
      </c>
      <c r="Q166" s="82">
        <f>TRUNC(E166*L166,2)</f>
        <v>38718.21</v>
      </c>
      <c r="R166" s="82">
        <f>Q166-O166</f>
        <v>38718.21</v>
      </c>
    </row>
    <row r="167" spans="2:18" s="34" customFormat="1" ht="23.4">
      <c r="B167" s="87" t="s">
        <v>326</v>
      </c>
      <c r="C167" s="88" t="s">
        <v>327</v>
      </c>
      <c r="D167" s="89" t="s">
        <v>79</v>
      </c>
      <c r="E167" s="90">
        <v>230</v>
      </c>
      <c r="F167" s="91"/>
      <c r="G167" s="91"/>
      <c r="H167" s="91"/>
      <c r="I167" s="91">
        <f t="shared" si="100"/>
        <v>0</v>
      </c>
      <c r="J167" s="91">
        <f t="shared" si="101"/>
        <v>230</v>
      </c>
      <c r="K167" s="84">
        <v>90</v>
      </c>
      <c r="L167" s="81">
        <f t="shared" si="93"/>
        <v>114.08400990000001</v>
      </c>
      <c r="M167" s="82">
        <f>TRUNC(F167*L167,2)</f>
        <v>0</v>
      </c>
      <c r="N167" s="82">
        <f>TRUNC(G167*L167,2)</f>
        <v>0</v>
      </c>
      <c r="O167" s="82">
        <f>N167</f>
        <v>0</v>
      </c>
      <c r="P167" s="80">
        <f>E167*K167</f>
        <v>20700</v>
      </c>
      <c r="Q167" s="82">
        <f>TRUNC(E167*L167,2)</f>
        <v>26239.32</v>
      </c>
      <c r="R167" s="82">
        <f>Q167-O167</f>
        <v>26239.32</v>
      </c>
    </row>
    <row r="168" spans="2:18" s="34" customFormat="1" ht="23.4">
      <c r="B168" s="87" t="s">
        <v>328</v>
      </c>
      <c r="C168" s="88" t="s">
        <v>329</v>
      </c>
      <c r="D168" s="89" t="s">
        <v>82</v>
      </c>
      <c r="E168" s="90">
        <v>72</v>
      </c>
      <c r="F168" s="91"/>
      <c r="G168" s="91"/>
      <c r="H168" s="91"/>
      <c r="I168" s="91">
        <f t="shared" si="100"/>
        <v>0</v>
      </c>
      <c r="J168" s="91">
        <f t="shared" si="101"/>
        <v>72</v>
      </c>
      <c r="K168" s="84">
        <v>120</v>
      </c>
      <c r="L168" s="81">
        <f t="shared" si="93"/>
        <v>152.11201320000001</v>
      </c>
      <c r="M168" s="82">
        <f>TRUNC(F168*L168,2)</f>
        <v>0</v>
      </c>
      <c r="N168" s="82">
        <f>TRUNC(G168*L168,2)</f>
        <v>0</v>
      </c>
      <c r="O168" s="82">
        <f>N168</f>
        <v>0</v>
      </c>
      <c r="P168" s="80">
        <f>E168*K168</f>
        <v>8640</v>
      </c>
      <c r="Q168" s="82">
        <f>TRUNC(E168*L168,2)</f>
        <v>10952.06</v>
      </c>
      <c r="R168" s="82">
        <f>Q168-O168</f>
        <v>10952.06</v>
      </c>
    </row>
    <row r="169" spans="2:18" s="34" customFormat="1" ht="34.799999999999997">
      <c r="B169" s="87" t="s">
        <v>330</v>
      </c>
      <c r="C169" s="88" t="s">
        <v>331</v>
      </c>
      <c r="D169" s="89" t="s">
        <v>82</v>
      </c>
      <c r="E169" s="90">
        <v>72</v>
      </c>
      <c r="F169" s="91"/>
      <c r="G169" s="91"/>
      <c r="H169" s="91"/>
      <c r="I169" s="91">
        <f t="shared" si="100"/>
        <v>0</v>
      </c>
      <c r="J169" s="91">
        <f t="shared" si="101"/>
        <v>72</v>
      </c>
      <c r="K169" s="84">
        <v>45</v>
      </c>
      <c r="L169" s="81">
        <f t="shared" si="93"/>
        <v>57.042004950000006</v>
      </c>
      <c r="M169" s="82">
        <f>TRUNC(F169*L169,2)</f>
        <v>0</v>
      </c>
      <c r="N169" s="82">
        <f>TRUNC(G169*L169,2)</f>
        <v>0</v>
      </c>
      <c r="O169" s="82">
        <f>N169</f>
        <v>0</v>
      </c>
      <c r="P169" s="80">
        <f>E169*K169</f>
        <v>3240</v>
      </c>
      <c r="Q169" s="82">
        <f>TRUNC(E169*L169,2)</f>
        <v>4107.0200000000004</v>
      </c>
      <c r="R169" s="82">
        <f>Q169-O169</f>
        <v>4107.0200000000004</v>
      </c>
    </row>
    <row r="170" spans="2:18" s="34" customFormat="1" ht="13.2">
      <c r="B170" s="60" t="s">
        <v>332</v>
      </c>
      <c r="C170" s="61" t="s">
        <v>333</v>
      </c>
      <c r="D170" s="60"/>
      <c r="E170" s="62"/>
      <c r="F170" s="63"/>
      <c r="G170" s="63"/>
      <c r="H170" s="63"/>
      <c r="I170" s="63">
        <f t="shared" si="100"/>
        <v>0</v>
      </c>
      <c r="J170" s="63">
        <f t="shared" si="101"/>
        <v>0</v>
      </c>
      <c r="K170" s="63"/>
      <c r="L170" s="63">
        <f t="shared" si="93"/>
        <v>0</v>
      </c>
      <c r="M170" s="63">
        <f t="shared" ref="M170:R170" si="103">SUM(M171:M174)</f>
        <v>0</v>
      </c>
      <c r="N170" s="63">
        <f t="shared" si="103"/>
        <v>0</v>
      </c>
      <c r="O170" s="63">
        <f t="shared" si="103"/>
        <v>0</v>
      </c>
      <c r="P170" s="63">
        <f t="shared" si="103"/>
        <v>584904.20000000007</v>
      </c>
      <c r="Q170" s="63">
        <f t="shared" si="103"/>
        <v>741424.62000000011</v>
      </c>
      <c r="R170" s="63">
        <f t="shared" si="103"/>
        <v>741424.62000000011</v>
      </c>
    </row>
    <row r="171" spans="2:18" s="34" customFormat="1" ht="46.2">
      <c r="B171" s="87" t="s">
        <v>334</v>
      </c>
      <c r="C171" s="88" t="s">
        <v>335</v>
      </c>
      <c r="D171" s="89" t="s">
        <v>79</v>
      </c>
      <c r="E171" s="90">
        <v>3789.02</v>
      </c>
      <c r="F171" s="91"/>
      <c r="G171" s="91"/>
      <c r="H171" s="91"/>
      <c r="I171" s="91">
        <f t="shared" si="100"/>
        <v>0</v>
      </c>
      <c r="J171" s="91">
        <f t="shared" si="101"/>
        <v>3789.02</v>
      </c>
      <c r="K171" s="84">
        <v>70</v>
      </c>
      <c r="L171" s="81">
        <f t="shared" si="93"/>
        <v>88.732007699999997</v>
      </c>
      <c r="M171" s="82">
        <f>TRUNC(F171*L171,2)</f>
        <v>0</v>
      </c>
      <c r="N171" s="82">
        <f>TRUNC(G171*L171,2)</f>
        <v>0</v>
      </c>
      <c r="O171" s="82">
        <f>N171</f>
        <v>0</v>
      </c>
      <c r="P171" s="80">
        <f>E171*K171</f>
        <v>265231.40000000002</v>
      </c>
      <c r="Q171" s="82">
        <f>TRUNC(E171*L171,2)</f>
        <v>336207.35</v>
      </c>
      <c r="R171" s="82">
        <f>Q171-O171</f>
        <v>336207.35</v>
      </c>
    </row>
    <row r="172" spans="2:18" s="34" customFormat="1" ht="23.4">
      <c r="B172" s="87" t="s">
        <v>336</v>
      </c>
      <c r="C172" s="88" t="s">
        <v>337</v>
      </c>
      <c r="D172" s="89" t="s">
        <v>79</v>
      </c>
      <c r="E172" s="90">
        <v>184.68</v>
      </c>
      <c r="F172" s="91"/>
      <c r="G172" s="91"/>
      <c r="H172" s="91"/>
      <c r="I172" s="91">
        <f t="shared" si="100"/>
        <v>0</v>
      </c>
      <c r="J172" s="91">
        <f t="shared" si="101"/>
        <v>184.68</v>
      </c>
      <c r="K172" s="84">
        <v>735</v>
      </c>
      <c r="L172" s="81">
        <f t="shared" si="93"/>
        <v>931.68608085000005</v>
      </c>
      <c r="M172" s="82">
        <f>TRUNC(F172*L172,2)</f>
        <v>0</v>
      </c>
      <c r="N172" s="82">
        <f>TRUNC(G172*L172,2)</f>
        <v>0</v>
      </c>
      <c r="O172" s="82">
        <f>N172</f>
        <v>0</v>
      </c>
      <c r="P172" s="80">
        <f>E172*K172</f>
        <v>135739.80000000002</v>
      </c>
      <c r="Q172" s="82">
        <f>TRUNC(E172*L172,2)</f>
        <v>172063.78</v>
      </c>
      <c r="R172" s="82">
        <f>Q172-O172</f>
        <v>172063.78</v>
      </c>
    </row>
    <row r="173" spans="2:18" s="34" customFormat="1" ht="34.799999999999997">
      <c r="B173" s="87" t="s">
        <v>338</v>
      </c>
      <c r="C173" s="88" t="s">
        <v>339</v>
      </c>
      <c r="D173" s="89" t="s">
        <v>79</v>
      </c>
      <c r="E173" s="90">
        <v>798.6</v>
      </c>
      <c r="F173" s="91"/>
      <c r="G173" s="91"/>
      <c r="H173" s="91"/>
      <c r="I173" s="91">
        <f t="shared" si="100"/>
        <v>0</v>
      </c>
      <c r="J173" s="91">
        <f t="shared" si="101"/>
        <v>798.6</v>
      </c>
      <c r="K173" s="84">
        <v>125</v>
      </c>
      <c r="L173" s="81">
        <f t="shared" si="93"/>
        <v>158.45001375000001</v>
      </c>
      <c r="M173" s="82">
        <f>TRUNC(F173*L173,2)</f>
        <v>0</v>
      </c>
      <c r="N173" s="82">
        <f>TRUNC(G173*L173,2)</f>
        <v>0</v>
      </c>
      <c r="O173" s="82">
        <f>N173</f>
        <v>0</v>
      </c>
      <c r="P173" s="80">
        <f>E173*K173</f>
        <v>99825</v>
      </c>
      <c r="Q173" s="82">
        <f>TRUNC(E173*L173,2)</f>
        <v>126538.18</v>
      </c>
      <c r="R173" s="82">
        <f>Q173-O173</f>
        <v>126538.18</v>
      </c>
    </row>
    <row r="174" spans="2:18" s="34" customFormat="1" ht="46.2">
      <c r="B174" s="87" t="s">
        <v>340</v>
      </c>
      <c r="C174" s="88" t="s">
        <v>341</v>
      </c>
      <c r="D174" s="89" t="s">
        <v>79</v>
      </c>
      <c r="E174" s="90">
        <v>489</v>
      </c>
      <c r="F174" s="91"/>
      <c r="G174" s="91"/>
      <c r="H174" s="91"/>
      <c r="I174" s="91">
        <f t="shared" si="100"/>
        <v>0</v>
      </c>
      <c r="J174" s="91">
        <f t="shared" si="101"/>
        <v>489</v>
      </c>
      <c r="K174" s="84">
        <v>172</v>
      </c>
      <c r="L174" s="81">
        <f t="shared" si="93"/>
        <v>218.02721892</v>
      </c>
      <c r="M174" s="82">
        <f>TRUNC(F174*L174,2)</f>
        <v>0</v>
      </c>
      <c r="N174" s="82">
        <f>TRUNC(G174*L174,2)</f>
        <v>0</v>
      </c>
      <c r="O174" s="82">
        <f>N174</f>
        <v>0</v>
      </c>
      <c r="P174" s="80">
        <f>E174*K174</f>
        <v>84108</v>
      </c>
      <c r="Q174" s="82">
        <f>TRUNC(E174*L174,2)</f>
        <v>106615.31</v>
      </c>
      <c r="R174" s="82">
        <f>Q174-O174</f>
        <v>106615.31</v>
      </c>
    </row>
    <row r="175" spans="2:18" s="34" customFormat="1" ht="13.2">
      <c r="B175" s="60" t="s">
        <v>342</v>
      </c>
      <c r="C175" s="61" t="s">
        <v>343</v>
      </c>
      <c r="D175" s="60"/>
      <c r="E175" s="62"/>
      <c r="F175" s="63"/>
      <c r="G175" s="63"/>
      <c r="H175" s="63"/>
      <c r="I175" s="63">
        <f t="shared" si="100"/>
        <v>0</v>
      </c>
      <c r="J175" s="63">
        <f t="shared" si="101"/>
        <v>0</v>
      </c>
      <c r="K175" s="63"/>
      <c r="L175" s="63">
        <f t="shared" si="93"/>
        <v>0</v>
      </c>
      <c r="M175" s="63">
        <f t="shared" ref="M175:R175" si="104">SUM(M176:M177)</f>
        <v>0</v>
      </c>
      <c r="N175" s="63">
        <f t="shared" si="104"/>
        <v>0</v>
      </c>
      <c r="O175" s="63">
        <f t="shared" si="104"/>
        <v>0</v>
      </c>
      <c r="P175" s="63">
        <f t="shared" si="104"/>
        <v>260085</v>
      </c>
      <c r="Q175" s="63">
        <f t="shared" si="104"/>
        <v>329683.77</v>
      </c>
      <c r="R175" s="63">
        <f t="shared" si="104"/>
        <v>329683.77</v>
      </c>
    </row>
    <row r="176" spans="2:18" s="34" customFormat="1" ht="23.4">
      <c r="B176" s="87" t="s">
        <v>344</v>
      </c>
      <c r="C176" s="88" t="s">
        <v>345</v>
      </c>
      <c r="D176" s="89" t="s">
        <v>79</v>
      </c>
      <c r="E176" s="90">
        <v>1785</v>
      </c>
      <c r="F176" s="91"/>
      <c r="G176" s="91"/>
      <c r="H176" s="91"/>
      <c r="I176" s="91">
        <f t="shared" si="100"/>
        <v>0</v>
      </c>
      <c r="J176" s="91">
        <f t="shared" si="101"/>
        <v>1785</v>
      </c>
      <c r="K176" s="84">
        <v>125</v>
      </c>
      <c r="L176" s="81">
        <f t="shared" si="93"/>
        <v>158.45001375000001</v>
      </c>
      <c r="M176" s="82">
        <f>TRUNC(F176*L176,2)</f>
        <v>0</v>
      </c>
      <c r="N176" s="82">
        <f>TRUNC(G176*L176,2)</f>
        <v>0</v>
      </c>
      <c r="O176" s="82">
        <f>N176</f>
        <v>0</v>
      </c>
      <c r="P176" s="80">
        <f>E176*K176</f>
        <v>223125</v>
      </c>
      <c r="Q176" s="82">
        <f>TRUNC(E176*L176,2)</f>
        <v>282833.27</v>
      </c>
      <c r="R176" s="82">
        <f>Q176-O176</f>
        <v>282833.27</v>
      </c>
    </row>
    <row r="177" spans="2:18" s="34" customFormat="1" ht="23.4">
      <c r="B177" s="75" t="s">
        <v>346</v>
      </c>
      <c r="C177" s="76" t="s">
        <v>347</v>
      </c>
      <c r="D177" s="77" t="s">
        <v>79</v>
      </c>
      <c r="E177" s="93">
        <v>880</v>
      </c>
      <c r="F177" s="79"/>
      <c r="G177" s="79"/>
      <c r="H177" s="79"/>
      <c r="I177" s="79">
        <f t="shared" si="100"/>
        <v>0</v>
      </c>
      <c r="J177" s="79">
        <f t="shared" si="101"/>
        <v>880</v>
      </c>
      <c r="K177" s="84">
        <v>42</v>
      </c>
      <c r="L177" s="81">
        <f t="shared" si="93"/>
        <v>53.239204620000002</v>
      </c>
      <c r="M177" s="82">
        <f>TRUNC(F177*L177,2)</f>
        <v>0</v>
      </c>
      <c r="N177" s="82">
        <f>TRUNC(G177*L177,2)</f>
        <v>0</v>
      </c>
      <c r="O177" s="82">
        <f>N177</f>
        <v>0</v>
      </c>
      <c r="P177" s="80">
        <f>E177*K177</f>
        <v>36960</v>
      </c>
      <c r="Q177" s="82">
        <f>TRUNC(E177*L177,2)</f>
        <v>46850.5</v>
      </c>
      <c r="R177" s="82">
        <f>Q177-O177</f>
        <v>46850.5</v>
      </c>
    </row>
    <row r="178" spans="2:18" s="34" customFormat="1" ht="13.2">
      <c r="B178" s="60" t="s">
        <v>348</v>
      </c>
      <c r="C178" s="61" t="s">
        <v>349</v>
      </c>
      <c r="D178" s="60"/>
      <c r="E178" s="62"/>
      <c r="F178" s="63"/>
      <c r="G178" s="63"/>
      <c r="H178" s="63"/>
      <c r="I178" s="63">
        <f t="shared" si="100"/>
        <v>0</v>
      </c>
      <c r="J178" s="63">
        <f t="shared" si="101"/>
        <v>0</v>
      </c>
      <c r="K178" s="63"/>
      <c r="L178" s="63">
        <f t="shared" si="93"/>
        <v>0</v>
      </c>
      <c r="M178" s="63">
        <f t="shared" ref="M178:R178" si="105">SUM(M179,M205)</f>
        <v>0</v>
      </c>
      <c r="N178" s="63">
        <f t="shared" si="105"/>
        <v>0</v>
      </c>
      <c r="O178" s="63">
        <f t="shared" si="105"/>
        <v>0</v>
      </c>
      <c r="P178" s="63">
        <f t="shared" si="105"/>
        <v>3144051.95</v>
      </c>
      <c r="Q178" s="63">
        <f t="shared" si="105"/>
        <v>3985400.4499999997</v>
      </c>
      <c r="R178" s="63">
        <f t="shared" si="105"/>
        <v>3985400.4499999997</v>
      </c>
    </row>
    <row r="179" spans="2:18" s="34" customFormat="1" ht="13.2">
      <c r="B179" s="66" t="s">
        <v>350</v>
      </c>
      <c r="C179" s="67" t="s">
        <v>351</v>
      </c>
      <c r="D179" s="68"/>
      <c r="E179" s="69"/>
      <c r="F179" s="70"/>
      <c r="G179" s="70"/>
      <c r="H179" s="70"/>
      <c r="I179" s="70">
        <f t="shared" si="100"/>
        <v>0</v>
      </c>
      <c r="J179" s="70">
        <f t="shared" si="101"/>
        <v>0</v>
      </c>
      <c r="K179" s="71"/>
      <c r="L179" s="71">
        <f t="shared" si="93"/>
        <v>0</v>
      </c>
      <c r="M179" s="73">
        <f t="shared" ref="M179:R179" si="106">SUM(M180:M204)</f>
        <v>0</v>
      </c>
      <c r="N179" s="73">
        <f t="shared" si="106"/>
        <v>0</v>
      </c>
      <c r="O179" s="73">
        <f t="shared" si="106"/>
        <v>0</v>
      </c>
      <c r="P179" s="73">
        <f t="shared" si="106"/>
        <v>2156515.4</v>
      </c>
      <c r="Q179" s="73">
        <f t="shared" si="106"/>
        <v>2733599.05</v>
      </c>
      <c r="R179" s="73">
        <f t="shared" si="106"/>
        <v>2733599.05</v>
      </c>
    </row>
    <row r="180" spans="2:18" s="34" customFormat="1" ht="103.2">
      <c r="B180" s="75" t="s">
        <v>352</v>
      </c>
      <c r="C180" s="88" t="s">
        <v>353</v>
      </c>
      <c r="D180" s="89" t="s">
        <v>63</v>
      </c>
      <c r="E180" s="92">
        <v>56</v>
      </c>
      <c r="F180" s="91"/>
      <c r="G180" s="91"/>
      <c r="H180" s="91"/>
      <c r="I180" s="91">
        <f t="shared" si="100"/>
        <v>0</v>
      </c>
      <c r="J180" s="91">
        <f t="shared" si="101"/>
        <v>56</v>
      </c>
      <c r="K180" s="84">
        <v>3125</v>
      </c>
      <c r="L180" s="81">
        <f t="shared" si="93"/>
        <v>3961.25034375</v>
      </c>
      <c r="M180" s="82">
        <f t="shared" ref="M180:M204" si="107">TRUNC(F180*L180,2)</f>
        <v>0</v>
      </c>
      <c r="N180" s="82">
        <f t="shared" ref="N180:N204" si="108">TRUNC(G180*L180,2)</f>
        <v>0</v>
      </c>
      <c r="O180" s="82">
        <f t="shared" ref="O180:O204" si="109">N180</f>
        <v>0</v>
      </c>
      <c r="P180" s="80">
        <f t="shared" ref="P180:P204" si="110">E180*K180</f>
        <v>175000</v>
      </c>
      <c r="Q180" s="82">
        <f t="shared" ref="Q180:Q204" si="111">TRUNC(E180*L180,2)</f>
        <v>221830.01</v>
      </c>
      <c r="R180" s="82">
        <f t="shared" ref="R180:R204" si="112">Q180-O180</f>
        <v>221830.01</v>
      </c>
    </row>
    <row r="181" spans="2:18" s="34" customFormat="1" ht="80.400000000000006">
      <c r="B181" s="75" t="s">
        <v>354</v>
      </c>
      <c r="C181" s="88" t="s">
        <v>355</v>
      </c>
      <c r="D181" s="89" t="s">
        <v>63</v>
      </c>
      <c r="E181" s="92">
        <v>51</v>
      </c>
      <c r="F181" s="91"/>
      <c r="G181" s="91"/>
      <c r="H181" s="91"/>
      <c r="I181" s="91">
        <f t="shared" si="100"/>
        <v>0</v>
      </c>
      <c r="J181" s="91">
        <f t="shared" si="101"/>
        <v>51</v>
      </c>
      <c r="K181" s="84">
        <v>3580</v>
      </c>
      <c r="L181" s="81">
        <f t="shared" si="93"/>
        <v>4538.0083937999998</v>
      </c>
      <c r="M181" s="82">
        <f t="shared" si="107"/>
        <v>0</v>
      </c>
      <c r="N181" s="82">
        <f t="shared" si="108"/>
        <v>0</v>
      </c>
      <c r="O181" s="82">
        <f t="shared" si="109"/>
        <v>0</v>
      </c>
      <c r="P181" s="80">
        <f t="shared" si="110"/>
        <v>182580</v>
      </c>
      <c r="Q181" s="82">
        <f t="shared" si="111"/>
        <v>231438.42</v>
      </c>
      <c r="R181" s="82">
        <f t="shared" si="112"/>
        <v>231438.42</v>
      </c>
    </row>
    <row r="182" spans="2:18" s="34" customFormat="1" ht="91.8">
      <c r="B182" s="75" t="s">
        <v>356</v>
      </c>
      <c r="C182" s="88" t="s">
        <v>357</v>
      </c>
      <c r="D182" s="89" t="s">
        <v>63</v>
      </c>
      <c r="E182" s="92">
        <v>11</v>
      </c>
      <c r="F182" s="91"/>
      <c r="G182" s="91"/>
      <c r="H182" s="91"/>
      <c r="I182" s="91">
        <f t="shared" si="100"/>
        <v>0</v>
      </c>
      <c r="J182" s="91">
        <f t="shared" si="101"/>
        <v>11</v>
      </c>
      <c r="K182" s="84">
        <v>3995</v>
      </c>
      <c r="L182" s="81">
        <f t="shared" si="93"/>
        <v>5064.0624394500001</v>
      </c>
      <c r="M182" s="82">
        <f t="shared" si="107"/>
        <v>0</v>
      </c>
      <c r="N182" s="82">
        <f t="shared" si="108"/>
        <v>0</v>
      </c>
      <c r="O182" s="82">
        <f t="shared" si="109"/>
        <v>0</v>
      </c>
      <c r="P182" s="80">
        <f t="shared" si="110"/>
        <v>43945</v>
      </c>
      <c r="Q182" s="82">
        <f t="shared" si="111"/>
        <v>55704.68</v>
      </c>
      <c r="R182" s="82">
        <f t="shared" si="112"/>
        <v>55704.68</v>
      </c>
    </row>
    <row r="183" spans="2:18" s="34" customFormat="1" ht="57.6">
      <c r="B183" s="75" t="s">
        <v>358</v>
      </c>
      <c r="C183" s="88" t="s">
        <v>359</v>
      </c>
      <c r="D183" s="89" t="s">
        <v>63</v>
      </c>
      <c r="E183" s="92">
        <v>2</v>
      </c>
      <c r="F183" s="91"/>
      <c r="G183" s="91"/>
      <c r="H183" s="91"/>
      <c r="I183" s="91">
        <f t="shared" si="100"/>
        <v>0</v>
      </c>
      <c r="J183" s="91">
        <f t="shared" si="101"/>
        <v>2</v>
      </c>
      <c r="K183" s="84">
        <v>4100</v>
      </c>
      <c r="L183" s="81">
        <f t="shared" si="93"/>
        <v>5197.1604510000006</v>
      </c>
      <c r="M183" s="82">
        <f t="shared" si="107"/>
        <v>0</v>
      </c>
      <c r="N183" s="82">
        <f t="shared" si="108"/>
        <v>0</v>
      </c>
      <c r="O183" s="82">
        <f t="shared" si="109"/>
        <v>0</v>
      </c>
      <c r="P183" s="80">
        <f t="shared" si="110"/>
        <v>8200</v>
      </c>
      <c r="Q183" s="82">
        <f t="shared" si="111"/>
        <v>10394.32</v>
      </c>
      <c r="R183" s="82">
        <f t="shared" si="112"/>
        <v>10394.32</v>
      </c>
    </row>
    <row r="184" spans="2:18" s="34" customFormat="1" ht="103.2">
      <c r="B184" s="75" t="s">
        <v>360</v>
      </c>
      <c r="C184" s="88" t="s">
        <v>361</v>
      </c>
      <c r="D184" s="89" t="s">
        <v>63</v>
      </c>
      <c r="E184" s="92">
        <v>24</v>
      </c>
      <c r="F184" s="91"/>
      <c r="G184" s="91"/>
      <c r="H184" s="91"/>
      <c r="I184" s="91">
        <f t="shared" si="100"/>
        <v>0</v>
      </c>
      <c r="J184" s="91">
        <f t="shared" si="101"/>
        <v>24</v>
      </c>
      <c r="K184" s="84">
        <v>4425</v>
      </c>
      <c r="L184" s="81">
        <f t="shared" si="93"/>
        <v>5609.1304867500003</v>
      </c>
      <c r="M184" s="82">
        <f t="shared" si="107"/>
        <v>0</v>
      </c>
      <c r="N184" s="82">
        <f t="shared" si="108"/>
        <v>0</v>
      </c>
      <c r="O184" s="82">
        <f t="shared" si="109"/>
        <v>0</v>
      </c>
      <c r="P184" s="80">
        <f t="shared" si="110"/>
        <v>106200</v>
      </c>
      <c r="Q184" s="82">
        <f t="shared" si="111"/>
        <v>134619.13</v>
      </c>
      <c r="R184" s="82">
        <f t="shared" si="112"/>
        <v>134619.13</v>
      </c>
    </row>
    <row r="185" spans="2:18" s="34" customFormat="1" ht="103.2">
      <c r="B185" s="75" t="s">
        <v>362</v>
      </c>
      <c r="C185" s="88" t="s">
        <v>363</v>
      </c>
      <c r="D185" s="89" t="s">
        <v>63</v>
      </c>
      <c r="E185" s="92">
        <v>8</v>
      </c>
      <c r="F185" s="91"/>
      <c r="G185" s="91"/>
      <c r="H185" s="91"/>
      <c r="I185" s="91">
        <f t="shared" si="100"/>
        <v>0</v>
      </c>
      <c r="J185" s="91">
        <f t="shared" si="101"/>
        <v>8</v>
      </c>
      <c r="K185" s="84">
        <v>4495</v>
      </c>
      <c r="L185" s="81">
        <f t="shared" si="93"/>
        <v>5697.8624944500007</v>
      </c>
      <c r="M185" s="82">
        <f t="shared" si="107"/>
        <v>0</v>
      </c>
      <c r="N185" s="82">
        <f t="shared" si="108"/>
        <v>0</v>
      </c>
      <c r="O185" s="82">
        <f t="shared" si="109"/>
        <v>0</v>
      </c>
      <c r="P185" s="80">
        <f t="shared" si="110"/>
        <v>35960</v>
      </c>
      <c r="Q185" s="82">
        <f t="shared" si="111"/>
        <v>45582.89</v>
      </c>
      <c r="R185" s="82">
        <f t="shared" si="112"/>
        <v>45582.89</v>
      </c>
    </row>
    <row r="186" spans="2:18" s="34" customFormat="1" ht="46.2">
      <c r="B186" s="75" t="s">
        <v>364</v>
      </c>
      <c r="C186" s="88" t="s">
        <v>365</v>
      </c>
      <c r="D186" s="89" t="s">
        <v>63</v>
      </c>
      <c r="E186" s="92">
        <v>3</v>
      </c>
      <c r="F186" s="91"/>
      <c r="G186" s="91"/>
      <c r="H186" s="91"/>
      <c r="I186" s="91">
        <f t="shared" si="100"/>
        <v>0</v>
      </c>
      <c r="J186" s="91">
        <f t="shared" si="101"/>
        <v>3</v>
      </c>
      <c r="K186" s="84">
        <v>8550</v>
      </c>
      <c r="L186" s="81">
        <f t="shared" si="93"/>
        <v>10837.9809405</v>
      </c>
      <c r="M186" s="82">
        <f t="shared" si="107"/>
        <v>0</v>
      </c>
      <c r="N186" s="82">
        <f t="shared" si="108"/>
        <v>0</v>
      </c>
      <c r="O186" s="82">
        <f t="shared" si="109"/>
        <v>0</v>
      </c>
      <c r="P186" s="80">
        <f t="shared" si="110"/>
        <v>25650</v>
      </c>
      <c r="Q186" s="82">
        <f t="shared" si="111"/>
        <v>32513.94</v>
      </c>
      <c r="R186" s="82">
        <f t="shared" si="112"/>
        <v>32513.94</v>
      </c>
    </row>
    <row r="187" spans="2:18" s="34" customFormat="1" ht="114.6">
      <c r="B187" s="75" t="s">
        <v>366</v>
      </c>
      <c r="C187" s="88" t="s">
        <v>367</v>
      </c>
      <c r="D187" s="89" t="s">
        <v>63</v>
      </c>
      <c r="E187" s="92">
        <v>2</v>
      </c>
      <c r="F187" s="91"/>
      <c r="G187" s="91"/>
      <c r="H187" s="91"/>
      <c r="I187" s="91">
        <f t="shared" si="100"/>
        <v>0</v>
      </c>
      <c r="J187" s="91">
        <f t="shared" si="101"/>
        <v>2</v>
      </c>
      <c r="K187" s="84">
        <v>6750</v>
      </c>
      <c r="L187" s="81">
        <f t="shared" si="93"/>
        <v>8556.3007424999996</v>
      </c>
      <c r="M187" s="82">
        <f t="shared" si="107"/>
        <v>0</v>
      </c>
      <c r="N187" s="82">
        <f t="shared" si="108"/>
        <v>0</v>
      </c>
      <c r="O187" s="82">
        <f t="shared" si="109"/>
        <v>0</v>
      </c>
      <c r="P187" s="80">
        <f t="shared" si="110"/>
        <v>13500</v>
      </c>
      <c r="Q187" s="82">
        <f t="shared" si="111"/>
        <v>17112.599999999999</v>
      </c>
      <c r="R187" s="82">
        <f t="shared" si="112"/>
        <v>17112.599999999999</v>
      </c>
    </row>
    <row r="188" spans="2:18" s="34" customFormat="1" ht="46.2">
      <c r="B188" s="75" t="s">
        <v>368</v>
      </c>
      <c r="C188" s="88" t="s">
        <v>369</v>
      </c>
      <c r="D188" s="89" t="s">
        <v>63</v>
      </c>
      <c r="E188" s="92">
        <v>18</v>
      </c>
      <c r="F188" s="91"/>
      <c r="G188" s="91"/>
      <c r="H188" s="91"/>
      <c r="I188" s="91">
        <f t="shared" si="100"/>
        <v>0</v>
      </c>
      <c r="J188" s="91">
        <f t="shared" si="101"/>
        <v>18</v>
      </c>
      <c r="K188" s="84">
        <v>2490</v>
      </c>
      <c r="L188" s="81">
        <f t="shared" si="93"/>
        <v>3156.3242739000002</v>
      </c>
      <c r="M188" s="82">
        <f t="shared" si="107"/>
        <v>0</v>
      </c>
      <c r="N188" s="82">
        <f t="shared" si="108"/>
        <v>0</v>
      </c>
      <c r="O188" s="82">
        <f t="shared" si="109"/>
        <v>0</v>
      </c>
      <c r="P188" s="80">
        <f t="shared" si="110"/>
        <v>44820</v>
      </c>
      <c r="Q188" s="82">
        <f t="shared" si="111"/>
        <v>56813.83</v>
      </c>
      <c r="R188" s="82">
        <f t="shared" si="112"/>
        <v>56813.83</v>
      </c>
    </row>
    <row r="189" spans="2:18" s="34" customFormat="1" ht="57.6">
      <c r="B189" s="75" t="s">
        <v>370</v>
      </c>
      <c r="C189" s="88" t="s">
        <v>371</v>
      </c>
      <c r="D189" s="89" t="s">
        <v>63</v>
      </c>
      <c r="E189" s="92">
        <v>1</v>
      </c>
      <c r="F189" s="91"/>
      <c r="G189" s="91"/>
      <c r="H189" s="91"/>
      <c r="I189" s="91">
        <f t="shared" si="100"/>
        <v>0</v>
      </c>
      <c r="J189" s="91">
        <f t="shared" si="101"/>
        <v>1</v>
      </c>
      <c r="K189" s="84">
        <v>5950</v>
      </c>
      <c r="L189" s="81">
        <f t="shared" si="93"/>
        <v>7542.2206544999999</v>
      </c>
      <c r="M189" s="82">
        <f t="shared" si="107"/>
        <v>0</v>
      </c>
      <c r="N189" s="82">
        <f t="shared" si="108"/>
        <v>0</v>
      </c>
      <c r="O189" s="82">
        <f t="shared" si="109"/>
        <v>0</v>
      </c>
      <c r="P189" s="80">
        <f t="shared" si="110"/>
        <v>5950</v>
      </c>
      <c r="Q189" s="82">
        <f t="shared" si="111"/>
        <v>7542.22</v>
      </c>
      <c r="R189" s="82">
        <f t="shared" si="112"/>
        <v>7542.22</v>
      </c>
    </row>
    <row r="190" spans="2:18" s="34" customFormat="1" ht="46.2">
      <c r="B190" s="75" t="s">
        <v>372</v>
      </c>
      <c r="C190" s="88" t="s">
        <v>373</v>
      </c>
      <c r="D190" s="89" t="s">
        <v>63</v>
      </c>
      <c r="E190" s="92">
        <v>1</v>
      </c>
      <c r="F190" s="91"/>
      <c r="G190" s="91"/>
      <c r="H190" s="91"/>
      <c r="I190" s="91">
        <f t="shared" si="100"/>
        <v>0</v>
      </c>
      <c r="J190" s="91">
        <f t="shared" si="101"/>
        <v>1</v>
      </c>
      <c r="K190" s="84">
        <v>5950</v>
      </c>
      <c r="L190" s="81">
        <f t="shared" si="93"/>
        <v>7542.2206544999999</v>
      </c>
      <c r="M190" s="82">
        <f t="shared" si="107"/>
        <v>0</v>
      </c>
      <c r="N190" s="82">
        <f t="shared" si="108"/>
        <v>0</v>
      </c>
      <c r="O190" s="82">
        <f t="shared" si="109"/>
        <v>0</v>
      </c>
      <c r="P190" s="80">
        <f t="shared" si="110"/>
        <v>5950</v>
      </c>
      <c r="Q190" s="82">
        <f t="shared" si="111"/>
        <v>7542.22</v>
      </c>
      <c r="R190" s="82">
        <f t="shared" si="112"/>
        <v>7542.22</v>
      </c>
    </row>
    <row r="191" spans="2:18" s="34" customFormat="1" ht="46.2">
      <c r="B191" s="75" t="s">
        <v>374</v>
      </c>
      <c r="C191" s="88" t="s">
        <v>375</v>
      </c>
      <c r="D191" s="89" t="s">
        <v>79</v>
      </c>
      <c r="E191" s="92">
        <v>184.04</v>
      </c>
      <c r="F191" s="91"/>
      <c r="G191" s="91"/>
      <c r="H191" s="91"/>
      <c r="I191" s="91">
        <f t="shared" si="100"/>
        <v>0</v>
      </c>
      <c r="J191" s="91">
        <f t="shared" si="101"/>
        <v>184.04</v>
      </c>
      <c r="K191" s="84">
        <v>1265</v>
      </c>
      <c r="L191" s="81">
        <f t="shared" si="93"/>
        <v>1603.5141391500001</v>
      </c>
      <c r="M191" s="82">
        <f t="shared" si="107"/>
        <v>0</v>
      </c>
      <c r="N191" s="82">
        <f t="shared" si="108"/>
        <v>0</v>
      </c>
      <c r="O191" s="82">
        <f t="shared" si="109"/>
        <v>0</v>
      </c>
      <c r="P191" s="80">
        <f t="shared" si="110"/>
        <v>232810.59999999998</v>
      </c>
      <c r="Q191" s="82">
        <f t="shared" si="111"/>
        <v>295110.74</v>
      </c>
      <c r="R191" s="82">
        <f t="shared" si="112"/>
        <v>295110.74</v>
      </c>
    </row>
    <row r="192" spans="2:18" s="34" customFormat="1" ht="34.799999999999997">
      <c r="B192" s="75" t="s">
        <v>376</v>
      </c>
      <c r="C192" s="88" t="s">
        <v>377</v>
      </c>
      <c r="D192" s="89" t="s">
        <v>79</v>
      </c>
      <c r="E192" s="92">
        <v>53.96</v>
      </c>
      <c r="F192" s="91"/>
      <c r="G192" s="91"/>
      <c r="H192" s="91"/>
      <c r="I192" s="91">
        <f t="shared" si="100"/>
        <v>0</v>
      </c>
      <c r="J192" s="91">
        <f t="shared" si="101"/>
        <v>53.96</v>
      </c>
      <c r="K192" s="84">
        <v>1080</v>
      </c>
      <c r="L192" s="81">
        <f t="shared" si="93"/>
        <v>1369.0081188000001</v>
      </c>
      <c r="M192" s="82">
        <f t="shared" si="107"/>
        <v>0</v>
      </c>
      <c r="N192" s="82">
        <f t="shared" si="108"/>
        <v>0</v>
      </c>
      <c r="O192" s="82">
        <f t="shared" si="109"/>
        <v>0</v>
      </c>
      <c r="P192" s="80">
        <f t="shared" si="110"/>
        <v>58276.800000000003</v>
      </c>
      <c r="Q192" s="82">
        <f t="shared" si="111"/>
        <v>73871.67</v>
      </c>
      <c r="R192" s="82">
        <f t="shared" si="112"/>
        <v>73871.67</v>
      </c>
    </row>
    <row r="193" spans="2:18" s="34" customFormat="1" ht="46.2">
      <c r="B193" s="75" t="s">
        <v>378</v>
      </c>
      <c r="C193" s="88" t="s">
        <v>379</v>
      </c>
      <c r="D193" s="89" t="s">
        <v>79</v>
      </c>
      <c r="E193" s="92">
        <v>130.29</v>
      </c>
      <c r="F193" s="91"/>
      <c r="G193" s="91"/>
      <c r="H193" s="91"/>
      <c r="I193" s="91">
        <f t="shared" si="100"/>
        <v>0</v>
      </c>
      <c r="J193" s="91">
        <f t="shared" si="101"/>
        <v>130.29</v>
      </c>
      <c r="K193" s="84">
        <v>1220</v>
      </c>
      <c r="L193" s="81">
        <f t="shared" si="93"/>
        <v>1546.4721342</v>
      </c>
      <c r="M193" s="82">
        <f t="shared" si="107"/>
        <v>0</v>
      </c>
      <c r="N193" s="82">
        <f t="shared" si="108"/>
        <v>0</v>
      </c>
      <c r="O193" s="82">
        <f t="shared" si="109"/>
        <v>0</v>
      </c>
      <c r="P193" s="80">
        <f t="shared" si="110"/>
        <v>158953.79999999999</v>
      </c>
      <c r="Q193" s="82">
        <f t="shared" si="111"/>
        <v>201489.85</v>
      </c>
      <c r="R193" s="82">
        <f t="shared" si="112"/>
        <v>201489.85</v>
      </c>
    </row>
    <row r="194" spans="2:18" s="34" customFormat="1" ht="46.2">
      <c r="B194" s="75" t="s">
        <v>380</v>
      </c>
      <c r="C194" s="88" t="s">
        <v>381</v>
      </c>
      <c r="D194" s="89" t="s">
        <v>79</v>
      </c>
      <c r="E194" s="92">
        <v>27.88</v>
      </c>
      <c r="F194" s="91"/>
      <c r="G194" s="91"/>
      <c r="H194" s="91"/>
      <c r="I194" s="91">
        <f t="shared" si="100"/>
        <v>0</v>
      </c>
      <c r="J194" s="91">
        <f t="shared" si="101"/>
        <v>27.88</v>
      </c>
      <c r="K194" s="84">
        <v>2180</v>
      </c>
      <c r="L194" s="81">
        <f t="shared" si="93"/>
        <v>2763.3682398000001</v>
      </c>
      <c r="M194" s="82">
        <f t="shared" si="107"/>
        <v>0</v>
      </c>
      <c r="N194" s="82">
        <f t="shared" si="108"/>
        <v>0</v>
      </c>
      <c r="O194" s="82">
        <f t="shared" si="109"/>
        <v>0</v>
      </c>
      <c r="P194" s="80">
        <f t="shared" si="110"/>
        <v>60778.400000000001</v>
      </c>
      <c r="Q194" s="82">
        <f t="shared" si="111"/>
        <v>77042.7</v>
      </c>
      <c r="R194" s="82">
        <f t="shared" si="112"/>
        <v>77042.7</v>
      </c>
    </row>
    <row r="195" spans="2:18" s="34" customFormat="1" ht="34.799999999999997">
      <c r="B195" s="75" t="s">
        <v>382</v>
      </c>
      <c r="C195" s="88" t="s">
        <v>383</v>
      </c>
      <c r="D195" s="89" t="s">
        <v>79</v>
      </c>
      <c r="E195" s="92">
        <v>24.23</v>
      </c>
      <c r="F195" s="91"/>
      <c r="G195" s="91"/>
      <c r="H195" s="91"/>
      <c r="I195" s="91">
        <f t="shared" si="100"/>
        <v>0</v>
      </c>
      <c r="J195" s="91">
        <f t="shared" si="101"/>
        <v>24.23</v>
      </c>
      <c r="K195" s="84">
        <v>1170</v>
      </c>
      <c r="L195" s="81">
        <f t="shared" si="93"/>
        <v>1483.0921287000001</v>
      </c>
      <c r="M195" s="82">
        <f t="shared" si="107"/>
        <v>0</v>
      </c>
      <c r="N195" s="82">
        <f t="shared" si="108"/>
        <v>0</v>
      </c>
      <c r="O195" s="82">
        <f t="shared" si="109"/>
        <v>0</v>
      </c>
      <c r="P195" s="80">
        <f t="shared" si="110"/>
        <v>28349.100000000002</v>
      </c>
      <c r="Q195" s="82">
        <f t="shared" si="111"/>
        <v>35935.32</v>
      </c>
      <c r="R195" s="82">
        <f t="shared" si="112"/>
        <v>35935.32</v>
      </c>
    </row>
    <row r="196" spans="2:18" s="34" customFormat="1" ht="46.2">
      <c r="B196" s="75" t="s">
        <v>384</v>
      </c>
      <c r="C196" s="88" t="s">
        <v>385</v>
      </c>
      <c r="D196" s="89" t="s">
        <v>79</v>
      </c>
      <c r="E196" s="92">
        <v>93.13</v>
      </c>
      <c r="F196" s="91"/>
      <c r="G196" s="91"/>
      <c r="H196" s="91"/>
      <c r="I196" s="91">
        <f t="shared" si="100"/>
        <v>0</v>
      </c>
      <c r="J196" s="91">
        <f t="shared" si="101"/>
        <v>93.13</v>
      </c>
      <c r="K196" s="84">
        <v>1190</v>
      </c>
      <c r="L196" s="81">
        <f t="shared" si="93"/>
        <v>1508.4441309000001</v>
      </c>
      <c r="M196" s="82">
        <f t="shared" si="107"/>
        <v>0</v>
      </c>
      <c r="N196" s="82">
        <f t="shared" si="108"/>
        <v>0</v>
      </c>
      <c r="O196" s="82">
        <f t="shared" si="109"/>
        <v>0</v>
      </c>
      <c r="P196" s="80">
        <f t="shared" si="110"/>
        <v>110824.7</v>
      </c>
      <c r="Q196" s="82">
        <f t="shared" si="111"/>
        <v>140481.4</v>
      </c>
      <c r="R196" s="82">
        <f t="shared" si="112"/>
        <v>140481.4</v>
      </c>
    </row>
    <row r="197" spans="2:18" s="34" customFormat="1" ht="69">
      <c r="B197" s="75" t="s">
        <v>386</v>
      </c>
      <c r="C197" s="88" t="s">
        <v>387</v>
      </c>
      <c r="D197" s="89" t="s">
        <v>79</v>
      </c>
      <c r="E197" s="92">
        <v>570.20000000000005</v>
      </c>
      <c r="F197" s="91"/>
      <c r="G197" s="91"/>
      <c r="H197" s="91"/>
      <c r="I197" s="91">
        <f t="shared" si="100"/>
        <v>0</v>
      </c>
      <c r="J197" s="91">
        <f t="shared" si="101"/>
        <v>570.20000000000005</v>
      </c>
      <c r="K197" s="84">
        <v>1190</v>
      </c>
      <c r="L197" s="81">
        <f t="shared" si="93"/>
        <v>1508.4441309000001</v>
      </c>
      <c r="M197" s="82">
        <f t="shared" si="107"/>
        <v>0</v>
      </c>
      <c r="N197" s="82">
        <f t="shared" si="108"/>
        <v>0</v>
      </c>
      <c r="O197" s="82">
        <f t="shared" si="109"/>
        <v>0</v>
      </c>
      <c r="P197" s="80">
        <f t="shared" si="110"/>
        <v>678538</v>
      </c>
      <c r="Q197" s="82">
        <f t="shared" si="111"/>
        <v>860114.84</v>
      </c>
      <c r="R197" s="82">
        <f t="shared" si="112"/>
        <v>860114.84</v>
      </c>
    </row>
    <row r="198" spans="2:18" s="34" customFormat="1" ht="23.4">
      <c r="B198" s="75" t="s">
        <v>388</v>
      </c>
      <c r="C198" s="88" t="s">
        <v>389</v>
      </c>
      <c r="D198" s="89" t="s">
        <v>390</v>
      </c>
      <c r="E198" s="92">
        <v>4</v>
      </c>
      <c r="F198" s="91"/>
      <c r="G198" s="91"/>
      <c r="H198" s="91"/>
      <c r="I198" s="91">
        <f t="shared" si="100"/>
        <v>0</v>
      </c>
      <c r="J198" s="91">
        <f t="shared" si="101"/>
        <v>4</v>
      </c>
      <c r="K198" s="84">
        <v>1780</v>
      </c>
      <c r="L198" s="81">
        <f t="shared" si="93"/>
        <v>2256.3281958000002</v>
      </c>
      <c r="M198" s="82">
        <f t="shared" si="107"/>
        <v>0</v>
      </c>
      <c r="N198" s="82">
        <f t="shared" si="108"/>
        <v>0</v>
      </c>
      <c r="O198" s="82">
        <f t="shared" si="109"/>
        <v>0</v>
      </c>
      <c r="P198" s="80">
        <f t="shared" si="110"/>
        <v>7120</v>
      </c>
      <c r="Q198" s="82">
        <f t="shared" si="111"/>
        <v>9025.31</v>
      </c>
      <c r="R198" s="82">
        <f t="shared" si="112"/>
        <v>9025.31</v>
      </c>
    </row>
    <row r="199" spans="2:18" s="34" customFormat="1" ht="23.4">
      <c r="B199" s="75" t="s">
        <v>391</v>
      </c>
      <c r="C199" s="88" t="s">
        <v>392</v>
      </c>
      <c r="D199" s="89" t="s">
        <v>390</v>
      </c>
      <c r="E199" s="92">
        <v>1</v>
      </c>
      <c r="F199" s="91"/>
      <c r="G199" s="91"/>
      <c r="H199" s="91"/>
      <c r="I199" s="91">
        <f t="shared" si="100"/>
        <v>0</v>
      </c>
      <c r="J199" s="91">
        <f t="shared" si="101"/>
        <v>1</v>
      </c>
      <c r="K199" s="84">
        <v>840</v>
      </c>
      <c r="L199" s="81">
        <f t="shared" si="93"/>
        <v>1064.7840924</v>
      </c>
      <c r="M199" s="82">
        <f t="shared" si="107"/>
        <v>0</v>
      </c>
      <c r="N199" s="82">
        <f t="shared" si="108"/>
        <v>0</v>
      </c>
      <c r="O199" s="82">
        <f t="shared" si="109"/>
        <v>0</v>
      </c>
      <c r="P199" s="80">
        <f t="shared" si="110"/>
        <v>840</v>
      </c>
      <c r="Q199" s="82">
        <f t="shared" si="111"/>
        <v>1064.78</v>
      </c>
      <c r="R199" s="82">
        <f t="shared" si="112"/>
        <v>1064.78</v>
      </c>
    </row>
    <row r="200" spans="2:18" s="34" customFormat="1" ht="23.4">
      <c r="B200" s="75" t="s">
        <v>393</v>
      </c>
      <c r="C200" s="88" t="s">
        <v>394</v>
      </c>
      <c r="D200" s="89" t="s">
        <v>390</v>
      </c>
      <c r="E200" s="92">
        <v>6</v>
      </c>
      <c r="F200" s="91"/>
      <c r="G200" s="91"/>
      <c r="H200" s="91"/>
      <c r="I200" s="91">
        <f t="shared" si="100"/>
        <v>0</v>
      </c>
      <c r="J200" s="91">
        <f t="shared" si="101"/>
        <v>6</v>
      </c>
      <c r="K200" s="84">
        <v>2190</v>
      </c>
      <c r="L200" s="81">
        <f t="shared" si="93"/>
        <v>2776.0442409000002</v>
      </c>
      <c r="M200" s="82">
        <f t="shared" si="107"/>
        <v>0</v>
      </c>
      <c r="N200" s="82">
        <f t="shared" si="108"/>
        <v>0</v>
      </c>
      <c r="O200" s="82">
        <f t="shared" si="109"/>
        <v>0</v>
      </c>
      <c r="P200" s="80">
        <f t="shared" si="110"/>
        <v>13140</v>
      </c>
      <c r="Q200" s="82">
        <f t="shared" si="111"/>
        <v>16656.259999999998</v>
      </c>
      <c r="R200" s="82">
        <f t="shared" si="112"/>
        <v>16656.259999999998</v>
      </c>
    </row>
    <row r="201" spans="2:18" s="34" customFormat="1" ht="34.799999999999997">
      <c r="B201" s="75" t="s">
        <v>395</v>
      </c>
      <c r="C201" s="88" t="s">
        <v>396</v>
      </c>
      <c r="D201" s="89" t="s">
        <v>390</v>
      </c>
      <c r="E201" s="92">
        <v>24</v>
      </c>
      <c r="F201" s="91"/>
      <c r="G201" s="91"/>
      <c r="H201" s="91"/>
      <c r="I201" s="91">
        <f t="shared" si="100"/>
        <v>0</v>
      </c>
      <c r="J201" s="91">
        <f t="shared" si="101"/>
        <v>24</v>
      </c>
      <c r="K201" s="84">
        <v>1950</v>
      </c>
      <c r="L201" s="81">
        <f t="shared" si="93"/>
        <v>2471.8202145</v>
      </c>
      <c r="M201" s="82">
        <f t="shared" si="107"/>
        <v>0</v>
      </c>
      <c r="N201" s="82">
        <f t="shared" si="108"/>
        <v>0</v>
      </c>
      <c r="O201" s="82">
        <f t="shared" si="109"/>
        <v>0</v>
      </c>
      <c r="P201" s="80">
        <f t="shared" si="110"/>
        <v>46800</v>
      </c>
      <c r="Q201" s="82">
        <f t="shared" si="111"/>
        <v>59323.68</v>
      </c>
      <c r="R201" s="82">
        <f t="shared" si="112"/>
        <v>59323.68</v>
      </c>
    </row>
    <row r="202" spans="2:18" s="34" customFormat="1" ht="34.799999999999997">
      <c r="B202" s="75" t="s">
        <v>397</v>
      </c>
      <c r="C202" s="88" t="s">
        <v>398</v>
      </c>
      <c r="D202" s="89" t="s">
        <v>79</v>
      </c>
      <c r="E202" s="92">
        <v>17.82</v>
      </c>
      <c r="F202" s="91"/>
      <c r="G202" s="91"/>
      <c r="H202" s="91"/>
      <c r="I202" s="91">
        <f t="shared" si="100"/>
        <v>0</v>
      </c>
      <c r="J202" s="91">
        <f t="shared" si="101"/>
        <v>17.82</v>
      </c>
      <c r="K202" s="84">
        <v>950</v>
      </c>
      <c r="L202" s="81">
        <f t="shared" si="93"/>
        <v>1204.2201045000002</v>
      </c>
      <c r="M202" s="82">
        <f t="shared" si="107"/>
        <v>0</v>
      </c>
      <c r="N202" s="82">
        <f t="shared" si="108"/>
        <v>0</v>
      </c>
      <c r="O202" s="82">
        <f t="shared" si="109"/>
        <v>0</v>
      </c>
      <c r="P202" s="80">
        <f t="shared" si="110"/>
        <v>16929</v>
      </c>
      <c r="Q202" s="82">
        <f t="shared" si="111"/>
        <v>21459.200000000001</v>
      </c>
      <c r="R202" s="82">
        <f t="shared" si="112"/>
        <v>21459.200000000001</v>
      </c>
    </row>
    <row r="203" spans="2:18" s="34" customFormat="1" ht="34.799999999999997">
      <c r="B203" s="75" t="s">
        <v>399</v>
      </c>
      <c r="C203" s="88" t="s">
        <v>400</v>
      </c>
      <c r="D203" s="89" t="s">
        <v>63</v>
      </c>
      <c r="E203" s="92">
        <v>18</v>
      </c>
      <c r="F203" s="91"/>
      <c r="G203" s="91"/>
      <c r="H203" s="91"/>
      <c r="I203" s="91">
        <f t="shared" si="100"/>
        <v>0</v>
      </c>
      <c r="J203" s="91">
        <f t="shared" si="101"/>
        <v>18</v>
      </c>
      <c r="K203" s="84">
        <v>2480</v>
      </c>
      <c r="L203" s="81">
        <f t="shared" si="93"/>
        <v>3143.6482728000001</v>
      </c>
      <c r="M203" s="82">
        <f t="shared" si="107"/>
        <v>0</v>
      </c>
      <c r="N203" s="82">
        <f t="shared" si="108"/>
        <v>0</v>
      </c>
      <c r="O203" s="82">
        <f t="shared" si="109"/>
        <v>0</v>
      </c>
      <c r="P203" s="80">
        <f t="shared" si="110"/>
        <v>44640</v>
      </c>
      <c r="Q203" s="82">
        <f t="shared" si="111"/>
        <v>56585.66</v>
      </c>
      <c r="R203" s="82">
        <f t="shared" si="112"/>
        <v>56585.66</v>
      </c>
    </row>
    <row r="204" spans="2:18" s="34" customFormat="1" ht="34.799999999999997">
      <c r="B204" s="75" t="s">
        <v>401</v>
      </c>
      <c r="C204" s="88" t="s">
        <v>402</v>
      </c>
      <c r="D204" s="89" t="s">
        <v>63</v>
      </c>
      <c r="E204" s="92">
        <v>47</v>
      </c>
      <c r="F204" s="91"/>
      <c r="G204" s="91"/>
      <c r="H204" s="91"/>
      <c r="I204" s="91">
        <f t="shared" si="100"/>
        <v>0</v>
      </c>
      <c r="J204" s="91">
        <f t="shared" si="101"/>
        <v>47</v>
      </c>
      <c r="K204" s="84">
        <v>1080</v>
      </c>
      <c r="L204" s="81">
        <f t="shared" si="93"/>
        <v>1369.0081188000001</v>
      </c>
      <c r="M204" s="82">
        <f t="shared" si="107"/>
        <v>0</v>
      </c>
      <c r="N204" s="82">
        <f t="shared" si="108"/>
        <v>0</v>
      </c>
      <c r="O204" s="82">
        <f t="shared" si="109"/>
        <v>0</v>
      </c>
      <c r="P204" s="80">
        <f t="shared" si="110"/>
        <v>50760</v>
      </c>
      <c r="Q204" s="82">
        <f t="shared" si="111"/>
        <v>64343.38</v>
      </c>
      <c r="R204" s="82">
        <f t="shared" si="112"/>
        <v>64343.38</v>
      </c>
    </row>
    <row r="205" spans="2:18" s="34" customFormat="1" ht="13.2">
      <c r="B205" s="66" t="s">
        <v>403</v>
      </c>
      <c r="C205" s="67" t="s">
        <v>404</v>
      </c>
      <c r="D205" s="68"/>
      <c r="E205" s="69"/>
      <c r="F205" s="70"/>
      <c r="G205" s="70"/>
      <c r="H205" s="70"/>
      <c r="I205" s="70">
        <f t="shared" si="100"/>
        <v>0</v>
      </c>
      <c r="J205" s="70">
        <f t="shared" si="101"/>
        <v>0</v>
      </c>
      <c r="K205" s="71"/>
      <c r="L205" s="71">
        <f t="shared" si="93"/>
        <v>0</v>
      </c>
      <c r="M205" s="73">
        <f t="shared" ref="M205:R205" si="113">SUM(M206:M214)</f>
        <v>0</v>
      </c>
      <c r="N205" s="73">
        <f t="shared" si="113"/>
        <v>0</v>
      </c>
      <c r="O205" s="73">
        <f t="shared" si="113"/>
        <v>0</v>
      </c>
      <c r="P205" s="73">
        <f t="shared" si="113"/>
        <v>987536.55</v>
      </c>
      <c r="Q205" s="73">
        <f t="shared" si="113"/>
        <v>1251801.3999999999</v>
      </c>
      <c r="R205" s="73">
        <f t="shared" si="113"/>
        <v>1251801.3999999999</v>
      </c>
    </row>
    <row r="206" spans="2:18" s="34" customFormat="1" ht="34.799999999999997">
      <c r="B206" s="87" t="s">
        <v>405</v>
      </c>
      <c r="C206" s="88" t="s">
        <v>406</v>
      </c>
      <c r="D206" s="89" t="s">
        <v>124</v>
      </c>
      <c r="E206" s="92">
        <v>158.59</v>
      </c>
      <c r="F206" s="91"/>
      <c r="G206" s="91"/>
      <c r="H206" s="91"/>
      <c r="I206" s="91">
        <f t="shared" si="100"/>
        <v>0</v>
      </c>
      <c r="J206" s="91">
        <f t="shared" si="101"/>
        <v>158.59</v>
      </c>
      <c r="K206" s="84">
        <v>415</v>
      </c>
      <c r="L206" s="81">
        <f t="shared" si="93"/>
        <v>526.05404565000003</v>
      </c>
      <c r="M206" s="82">
        <f t="shared" ref="M206:M214" si="114">TRUNC(F206*L206,2)</f>
        <v>0</v>
      </c>
      <c r="N206" s="82">
        <f t="shared" ref="N206:N214" si="115">TRUNC(G206*L206,2)</f>
        <v>0</v>
      </c>
      <c r="O206" s="82">
        <f t="shared" ref="O206:O214" si="116">N206</f>
        <v>0</v>
      </c>
      <c r="P206" s="80">
        <f t="shared" ref="P206:P214" si="117">E206*K206</f>
        <v>65814.850000000006</v>
      </c>
      <c r="Q206" s="82">
        <f t="shared" ref="Q206:Q214" si="118">TRUNC(E206*L206,2)</f>
        <v>83426.91</v>
      </c>
      <c r="R206" s="82">
        <f t="shared" ref="R206:R214" si="119">Q206-O206</f>
        <v>83426.91</v>
      </c>
    </row>
    <row r="207" spans="2:18" s="34" customFormat="1" ht="13.2">
      <c r="B207" s="87" t="s">
        <v>407</v>
      </c>
      <c r="C207" s="88" t="s">
        <v>408</v>
      </c>
      <c r="D207" s="89" t="s">
        <v>124</v>
      </c>
      <c r="E207" s="92">
        <v>198.52</v>
      </c>
      <c r="F207" s="91"/>
      <c r="G207" s="91"/>
      <c r="H207" s="91"/>
      <c r="I207" s="91">
        <f t="shared" si="100"/>
        <v>0</v>
      </c>
      <c r="J207" s="91">
        <f t="shared" si="101"/>
        <v>198.52</v>
      </c>
      <c r="K207" s="84">
        <v>455</v>
      </c>
      <c r="L207" s="81">
        <f t="shared" si="93"/>
        <v>576.75805005000007</v>
      </c>
      <c r="M207" s="82">
        <f t="shared" si="114"/>
        <v>0</v>
      </c>
      <c r="N207" s="82">
        <f t="shared" si="115"/>
        <v>0</v>
      </c>
      <c r="O207" s="82">
        <f t="shared" si="116"/>
        <v>0</v>
      </c>
      <c r="P207" s="80">
        <f t="shared" si="117"/>
        <v>90326.6</v>
      </c>
      <c r="Q207" s="82">
        <f t="shared" si="118"/>
        <v>114498</v>
      </c>
      <c r="R207" s="82">
        <f t="shared" si="119"/>
        <v>114498</v>
      </c>
    </row>
    <row r="208" spans="2:18" s="34" customFormat="1" ht="13.2">
      <c r="B208" s="87" t="s">
        <v>409</v>
      </c>
      <c r="C208" s="88" t="s">
        <v>410</v>
      </c>
      <c r="D208" s="89" t="s">
        <v>124</v>
      </c>
      <c r="E208" s="92">
        <v>129.65</v>
      </c>
      <c r="F208" s="91"/>
      <c r="G208" s="91"/>
      <c r="H208" s="91"/>
      <c r="I208" s="91">
        <f t="shared" si="100"/>
        <v>0</v>
      </c>
      <c r="J208" s="91">
        <f t="shared" si="101"/>
        <v>129.65</v>
      </c>
      <c r="K208" s="84">
        <v>745</v>
      </c>
      <c r="L208" s="81">
        <f t="shared" si="93"/>
        <v>944.36208195000006</v>
      </c>
      <c r="M208" s="82">
        <f t="shared" si="114"/>
        <v>0</v>
      </c>
      <c r="N208" s="82">
        <f t="shared" si="115"/>
        <v>0</v>
      </c>
      <c r="O208" s="82">
        <f t="shared" si="116"/>
        <v>0</v>
      </c>
      <c r="P208" s="80">
        <f t="shared" si="117"/>
        <v>96589.25</v>
      </c>
      <c r="Q208" s="82">
        <f t="shared" si="118"/>
        <v>122436.54</v>
      </c>
      <c r="R208" s="82">
        <f t="shared" si="119"/>
        <v>122436.54</v>
      </c>
    </row>
    <row r="209" spans="1:23" s="34" customFormat="1" ht="13.2">
      <c r="B209" s="87" t="s">
        <v>411</v>
      </c>
      <c r="C209" s="88" t="s">
        <v>412</v>
      </c>
      <c r="D209" s="89" t="s">
        <v>124</v>
      </c>
      <c r="E209" s="92">
        <v>98.74</v>
      </c>
      <c r="F209" s="91"/>
      <c r="G209" s="91"/>
      <c r="H209" s="91"/>
      <c r="I209" s="91">
        <f t="shared" si="100"/>
        <v>0</v>
      </c>
      <c r="J209" s="91">
        <f t="shared" si="101"/>
        <v>98.74</v>
      </c>
      <c r="K209" s="84">
        <v>855</v>
      </c>
      <c r="L209" s="81">
        <f t="shared" si="93"/>
        <v>1083.7980940500001</v>
      </c>
      <c r="M209" s="82">
        <f t="shared" si="114"/>
        <v>0</v>
      </c>
      <c r="N209" s="82">
        <f t="shared" si="115"/>
        <v>0</v>
      </c>
      <c r="O209" s="82">
        <f t="shared" si="116"/>
        <v>0</v>
      </c>
      <c r="P209" s="80">
        <f t="shared" si="117"/>
        <v>84422.7</v>
      </c>
      <c r="Q209" s="82">
        <f t="shared" si="118"/>
        <v>107014.22</v>
      </c>
      <c r="R209" s="82">
        <f t="shared" si="119"/>
        <v>107014.22</v>
      </c>
    </row>
    <row r="210" spans="1:23" s="34" customFormat="1" ht="57.6">
      <c r="B210" s="87" t="s">
        <v>413</v>
      </c>
      <c r="C210" s="88" t="s">
        <v>414</v>
      </c>
      <c r="D210" s="89" t="s">
        <v>82</v>
      </c>
      <c r="E210" s="92">
        <v>12</v>
      </c>
      <c r="F210" s="91"/>
      <c r="G210" s="91"/>
      <c r="H210" s="91"/>
      <c r="I210" s="91">
        <f t="shared" si="100"/>
        <v>0</v>
      </c>
      <c r="J210" s="91">
        <f t="shared" si="101"/>
        <v>12</v>
      </c>
      <c r="K210" s="84">
        <v>1650</v>
      </c>
      <c r="L210" s="81">
        <f t="shared" si="93"/>
        <v>2091.5401815</v>
      </c>
      <c r="M210" s="82">
        <f t="shared" si="114"/>
        <v>0</v>
      </c>
      <c r="N210" s="82">
        <f t="shared" si="115"/>
        <v>0</v>
      </c>
      <c r="O210" s="82">
        <f t="shared" si="116"/>
        <v>0</v>
      </c>
      <c r="P210" s="80">
        <f t="shared" si="117"/>
        <v>19800</v>
      </c>
      <c r="Q210" s="82">
        <f t="shared" si="118"/>
        <v>25098.48</v>
      </c>
      <c r="R210" s="82">
        <f t="shared" si="119"/>
        <v>25098.48</v>
      </c>
    </row>
    <row r="211" spans="1:23" s="34" customFormat="1" ht="13.2">
      <c r="B211" s="87" t="s">
        <v>415</v>
      </c>
      <c r="C211" s="88" t="s">
        <v>416</v>
      </c>
      <c r="D211" s="89" t="s">
        <v>79</v>
      </c>
      <c r="E211" s="92">
        <v>72.650000000000006</v>
      </c>
      <c r="F211" s="91"/>
      <c r="G211" s="91"/>
      <c r="H211" s="91"/>
      <c r="I211" s="91">
        <f t="shared" si="100"/>
        <v>0</v>
      </c>
      <c r="J211" s="91">
        <f t="shared" si="101"/>
        <v>72.650000000000006</v>
      </c>
      <c r="K211" s="84">
        <v>485</v>
      </c>
      <c r="L211" s="81">
        <f t="shared" si="93"/>
        <v>614.78605334999997</v>
      </c>
      <c r="M211" s="82">
        <f t="shared" si="114"/>
        <v>0</v>
      </c>
      <c r="N211" s="82">
        <f t="shared" si="115"/>
        <v>0</v>
      </c>
      <c r="O211" s="82">
        <f t="shared" si="116"/>
        <v>0</v>
      </c>
      <c r="P211" s="80">
        <f t="shared" si="117"/>
        <v>35235.25</v>
      </c>
      <c r="Q211" s="82">
        <f t="shared" si="118"/>
        <v>44664.2</v>
      </c>
      <c r="R211" s="82">
        <f t="shared" si="119"/>
        <v>44664.2</v>
      </c>
    </row>
    <row r="212" spans="1:23" s="34" customFormat="1" ht="23.4">
      <c r="B212" s="87" t="s">
        <v>417</v>
      </c>
      <c r="C212" s="88" t="s">
        <v>418</v>
      </c>
      <c r="D212" s="89" t="s">
        <v>79</v>
      </c>
      <c r="E212" s="92">
        <v>51.22</v>
      </c>
      <c r="F212" s="91"/>
      <c r="G212" s="91"/>
      <c r="H212" s="91"/>
      <c r="I212" s="91">
        <f t="shared" si="100"/>
        <v>0</v>
      </c>
      <c r="J212" s="91">
        <f t="shared" si="101"/>
        <v>51.22</v>
      </c>
      <c r="K212" s="84">
        <v>1350</v>
      </c>
      <c r="L212" s="81">
        <f t="shared" si="93"/>
        <v>1711.2601485</v>
      </c>
      <c r="M212" s="82">
        <f t="shared" si="114"/>
        <v>0</v>
      </c>
      <c r="N212" s="82">
        <f t="shared" si="115"/>
        <v>0</v>
      </c>
      <c r="O212" s="82">
        <f t="shared" si="116"/>
        <v>0</v>
      </c>
      <c r="P212" s="80">
        <f t="shared" si="117"/>
        <v>69147</v>
      </c>
      <c r="Q212" s="82">
        <f t="shared" si="118"/>
        <v>87650.74</v>
      </c>
      <c r="R212" s="82">
        <f t="shared" si="119"/>
        <v>87650.74</v>
      </c>
    </row>
    <row r="213" spans="1:23" s="34" customFormat="1" ht="34.799999999999997">
      <c r="B213" s="87" t="s">
        <v>419</v>
      </c>
      <c r="C213" s="88" t="s">
        <v>420</v>
      </c>
      <c r="D213" s="89" t="s">
        <v>79</v>
      </c>
      <c r="E213" s="92">
        <v>98</v>
      </c>
      <c r="F213" s="91"/>
      <c r="G213" s="91"/>
      <c r="H213" s="91"/>
      <c r="I213" s="91">
        <f t="shared" si="100"/>
        <v>0</v>
      </c>
      <c r="J213" s="91">
        <f t="shared" si="101"/>
        <v>98</v>
      </c>
      <c r="K213" s="84">
        <v>498</v>
      </c>
      <c r="L213" s="81">
        <f t="shared" si="93"/>
        <v>631.26485478000006</v>
      </c>
      <c r="M213" s="82">
        <f t="shared" si="114"/>
        <v>0</v>
      </c>
      <c r="N213" s="82">
        <f t="shared" si="115"/>
        <v>0</v>
      </c>
      <c r="O213" s="82">
        <f t="shared" si="116"/>
        <v>0</v>
      </c>
      <c r="P213" s="80">
        <f t="shared" si="117"/>
        <v>48804</v>
      </c>
      <c r="Q213" s="82">
        <f t="shared" si="118"/>
        <v>61863.95</v>
      </c>
      <c r="R213" s="82">
        <f t="shared" si="119"/>
        <v>61863.95</v>
      </c>
    </row>
    <row r="214" spans="1:23" s="107" customFormat="1" ht="34.799999999999997">
      <c r="A214" s="34"/>
      <c r="B214" s="87" t="s">
        <v>421</v>
      </c>
      <c r="C214" s="88" t="s">
        <v>422</v>
      </c>
      <c r="D214" s="89" t="s">
        <v>79</v>
      </c>
      <c r="E214" s="92">
        <v>342.22</v>
      </c>
      <c r="F214" s="91"/>
      <c r="G214" s="91"/>
      <c r="H214" s="91"/>
      <c r="I214" s="91">
        <f t="shared" si="100"/>
        <v>0</v>
      </c>
      <c r="J214" s="91">
        <f t="shared" si="101"/>
        <v>342.22</v>
      </c>
      <c r="K214" s="84">
        <v>1395</v>
      </c>
      <c r="L214" s="81">
        <f t="shared" si="93"/>
        <v>1768.3021534500001</v>
      </c>
      <c r="M214" s="82">
        <f t="shared" si="114"/>
        <v>0</v>
      </c>
      <c r="N214" s="82">
        <f t="shared" si="115"/>
        <v>0</v>
      </c>
      <c r="O214" s="82">
        <f t="shared" si="116"/>
        <v>0</v>
      </c>
      <c r="P214" s="80">
        <f t="shared" si="117"/>
        <v>477396.9</v>
      </c>
      <c r="Q214" s="82">
        <f t="shared" si="118"/>
        <v>605148.36</v>
      </c>
      <c r="R214" s="82">
        <f t="shared" si="119"/>
        <v>605148.36</v>
      </c>
      <c r="S214" s="34"/>
      <c r="T214" s="34"/>
      <c r="U214" s="34"/>
      <c r="V214" s="34"/>
      <c r="W214" s="34"/>
    </row>
    <row r="215" spans="1:23" s="34" customFormat="1" ht="13.2">
      <c r="B215" s="60" t="s">
        <v>423</v>
      </c>
      <c r="C215" s="61" t="s">
        <v>424</v>
      </c>
      <c r="D215" s="60"/>
      <c r="E215" s="62"/>
      <c r="F215" s="63"/>
      <c r="G215" s="63"/>
      <c r="H215" s="63"/>
      <c r="I215" s="63">
        <f t="shared" si="100"/>
        <v>0</v>
      </c>
      <c r="J215" s="63">
        <f t="shared" si="101"/>
        <v>0</v>
      </c>
      <c r="K215" s="63"/>
      <c r="L215" s="63">
        <f t="shared" si="93"/>
        <v>0</v>
      </c>
      <c r="M215" s="63">
        <f t="shared" ref="M215:R215" si="120">SUM(M216:M221)</f>
        <v>0</v>
      </c>
      <c r="N215" s="63">
        <f t="shared" si="120"/>
        <v>0</v>
      </c>
      <c r="O215" s="63">
        <f t="shared" si="120"/>
        <v>0</v>
      </c>
      <c r="P215" s="63">
        <f t="shared" si="120"/>
        <v>1326910.8099999998</v>
      </c>
      <c r="Q215" s="63">
        <f t="shared" si="120"/>
        <v>1681992.2700000003</v>
      </c>
      <c r="R215" s="63">
        <f t="shared" si="120"/>
        <v>1681992.2700000003</v>
      </c>
    </row>
    <row r="216" spans="1:23" s="34" customFormat="1" ht="13.2">
      <c r="B216" s="87" t="s">
        <v>425</v>
      </c>
      <c r="C216" s="88" t="s">
        <v>426</v>
      </c>
      <c r="D216" s="89" t="s">
        <v>79</v>
      </c>
      <c r="E216" s="90">
        <f>E143+E147</f>
        <v>25549.96</v>
      </c>
      <c r="F216" s="91"/>
      <c r="G216" s="91"/>
      <c r="H216" s="91"/>
      <c r="I216" s="91">
        <f t="shared" si="100"/>
        <v>0</v>
      </c>
      <c r="J216" s="91">
        <f t="shared" si="101"/>
        <v>25549.96</v>
      </c>
      <c r="K216" s="84">
        <v>16</v>
      </c>
      <c r="L216" s="81">
        <f t="shared" si="93"/>
        <v>20.281601760000001</v>
      </c>
      <c r="M216" s="82">
        <f t="shared" ref="M216:M221" si="121">TRUNC(F216*L216,2)</f>
        <v>0</v>
      </c>
      <c r="N216" s="82">
        <f t="shared" ref="N216:N221" si="122">TRUNC(G216*L216,2)</f>
        <v>0</v>
      </c>
      <c r="O216" s="82">
        <f t="shared" ref="O216:O221" si="123">N216</f>
        <v>0</v>
      </c>
      <c r="P216" s="80">
        <f t="shared" ref="P216:P221" si="124">E216*K216</f>
        <v>408799.36</v>
      </c>
      <c r="Q216" s="82">
        <f t="shared" ref="Q216:Q221" si="125">TRUNC(E216*L216,2)</f>
        <v>518194.11</v>
      </c>
      <c r="R216" s="82">
        <f t="shared" ref="R216:R221" si="126">Q216-O216</f>
        <v>518194.11</v>
      </c>
    </row>
    <row r="217" spans="1:23" s="34" customFormat="1" ht="23.4">
      <c r="B217" s="87" t="s">
        <v>427</v>
      </c>
      <c r="C217" s="88" t="s">
        <v>428</v>
      </c>
      <c r="D217" s="89" t="s">
        <v>79</v>
      </c>
      <c r="E217" s="90">
        <f>E171</f>
        <v>3789.02</v>
      </c>
      <c r="F217" s="91"/>
      <c r="G217" s="91"/>
      <c r="H217" s="91"/>
      <c r="I217" s="91">
        <f t="shared" si="100"/>
        <v>0</v>
      </c>
      <c r="J217" s="91">
        <f t="shared" si="101"/>
        <v>3789.02</v>
      </c>
      <c r="K217" s="84">
        <v>25</v>
      </c>
      <c r="L217" s="81">
        <f t="shared" si="93"/>
        <v>31.690002750000001</v>
      </c>
      <c r="M217" s="82">
        <f t="shared" si="121"/>
        <v>0</v>
      </c>
      <c r="N217" s="82">
        <f t="shared" si="122"/>
        <v>0</v>
      </c>
      <c r="O217" s="82">
        <f t="shared" si="123"/>
        <v>0</v>
      </c>
      <c r="P217" s="80">
        <f t="shared" si="124"/>
        <v>94725.5</v>
      </c>
      <c r="Q217" s="82">
        <f t="shared" si="125"/>
        <v>120074.05</v>
      </c>
      <c r="R217" s="82">
        <f t="shared" si="126"/>
        <v>120074.05</v>
      </c>
    </row>
    <row r="218" spans="1:23" s="34" customFormat="1" ht="13.2">
      <c r="B218" s="87" t="s">
        <v>429</v>
      </c>
      <c r="C218" s="88" t="s">
        <v>430</v>
      </c>
      <c r="D218" s="89" t="s">
        <v>79</v>
      </c>
      <c r="E218" s="90">
        <f>E216</f>
        <v>25549.96</v>
      </c>
      <c r="F218" s="91"/>
      <c r="G218" s="91"/>
      <c r="H218" s="91"/>
      <c r="I218" s="91">
        <f t="shared" si="100"/>
        <v>0</v>
      </c>
      <c r="J218" s="91">
        <f t="shared" si="101"/>
        <v>25549.96</v>
      </c>
      <c r="K218" s="84">
        <v>4.5</v>
      </c>
      <c r="L218" s="81">
        <f t="shared" si="93"/>
        <v>5.7042004950000003</v>
      </c>
      <c r="M218" s="82">
        <f t="shared" si="121"/>
        <v>0</v>
      </c>
      <c r="N218" s="82">
        <f t="shared" si="122"/>
        <v>0</v>
      </c>
      <c r="O218" s="82">
        <f t="shared" si="123"/>
        <v>0</v>
      </c>
      <c r="P218" s="80">
        <f t="shared" si="124"/>
        <v>114974.81999999999</v>
      </c>
      <c r="Q218" s="82">
        <f t="shared" si="125"/>
        <v>145742.09</v>
      </c>
      <c r="R218" s="82">
        <f t="shared" si="126"/>
        <v>145742.09</v>
      </c>
    </row>
    <row r="219" spans="1:23" s="34" customFormat="1" ht="13.2">
      <c r="B219" s="87" t="s">
        <v>431</v>
      </c>
      <c r="C219" s="88" t="s">
        <v>432</v>
      </c>
      <c r="D219" s="89" t="s">
        <v>79</v>
      </c>
      <c r="E219" s="90">
        <f>E217</f>
        <v>3789.02</v>
      </c>
      <c r="F219" s="91"/>
      <c r="G219" s="91"/>
      <c r="H219" s="91"/>
      <c r="I219" s="91">
        <f t="shared" si="100"/>
        <v>0</v>
      </c>
      <c r="J219" s="91">
        <f t="shared" si="101"/>
        <v>3789.02</v>
      </c>
      <c r="K219" s="84">
        <v>5</v>
      </c>
      <c r="L219" s="81">
        <f t="shared" si="93"/>
        <v>6.3380005500000003</v>
      </c>
      <c r="M219" s="82">
        <f t="shared" si="121"/>
        <v>0</v>
      </c>
      <c r="N219" s="82">
        <f t="shared" si="122"/>
        <v>0</v>
      </c>
      <c r="O219" s="82">
        <f t="shared" si="123"/>
        <v>0</v>
      </c>
      <c r="P219" s="80">
        <f t="shared" si="124"/>
        <v>18945.099999999999</v>
      </c>
      <c r="Q219" s="82">
        <f t="shared" si="125"/>
        <v>24014.81</v>
      </c>
      <c r="R219" s="82">
        <f t="shared" si="126"/>
        <v>24014.81</v>
      </c>
    </row>
    <row r="220" spans="1:23" s="34" customFormat="1" ht="23.4">
      <c r="B220" s="87" t="s">
        <v>433</v>
      </c>
      <c r="C220" s="88" t="s">
        <v>434</v>
      </c>
      <c r="D220" s="89" t="s">
        <v>79</v>
      </c>
      <c r="E220" s="90">
        <f>E216</f>
        <v>25549.96</v>
      </c>
      <c r="F220" s="91"/>
      <c r="G220" s="91"/>
      <c r="H220" s="91"/>
      <c r="I220" s="91">
        <f t="shared" si="100"/>
        <v>0</v>
      </c>
      <c r="J220" s="91">
        <f t="shared" si="101"/>
        <v>25549.96</v>
      </c>
      <c r="K220" s="84">
        <v>23.5</v>
      </c>
      <c r="L220" s="81">
        <f t="shared" si="93"/>
        <v>29.788602585</v>
      </c>
      <c r="M220" s="82">
        <f t="shared" si="121"/>
        <v>0</v>
      </c>
      <c r="N220" s="82">
        <f t="shared" si="122"/>
        <v>0</v>
      </c>
      <c r="O220" s="82">
        <f t="shared" si="123"/>
        <v>0</v>
      </c>
      <c r="P220" s="80">
        <f t="shared" si="124"/>
        <v>600424.05999999994</v>
      </c>
      <c r="Q220" s="82">
        <f t="shared" si="125"/>
        <v>761097.6</v>
      </c>
      <c r="R220" s="82">
        <f t="shared" si="126"/>
        <v>761097.6</v>
      </c>
    </row>
    <row r="221" spans="1:23" s="34" customFormat="1" ht="23.4">
      <c r="B221" s="87" t="s">
        <v>435</v>
      </c>
      <c r="C221" s="88" t="s">
        <v>436</v>
      </c>
      <c r="D221" s="89" t="s">
        <v>79</v>
      </c>
      <c r="E221" s="90">
        <f>E219</f>
        <v>3789.02</v>
      </c>
      <c r="F221" s="91"/>
      <c r="G221" s="91"/>
      <c r="H221" s="91"/>
      <c r="I221" s="91">
        <f t="shared" si="100"/>
        <v>0</v>
      </c>
      <c r="J221" s="91">
        <f t="shared" si="101"/>
        <v>3789.02</v>
      </c>
      <c r="K221" s="84">
        <v>23.5</v>
      </c>
      <c r="L221" s="81">
        <f t="shared" ref="L221:L284" si="127">K221*(1+$T$26)</f>
        <v>29.788602585</v>
      </c>
      <c r="M221" s="82">
        <f t="shared" si="121"/>
        <v>0</v>
      </c>
      <c r="N221" s="82">
        <f t="shared" si="122"/>
        <v>0</v>
      </c>
      <c r="O221" s="82">
        <f t="shared" si="123"/>
        <v>0</v>
      </c>
      <c r="P221" s="80">
        <f t="shared" si="124"/>
        <v>89041.97</v>
      </c>
      <c r="Q221" s="82">
        <f t="shared" si="125"/>
        <v>112869.61</v>
      </c>
      <c r="R221" s="82">
        <f t="shared" si="126"/>
        <v>112869.61</v>
      </c>
    </row>
    <row r="222" spans="1:23" s="34" customFormat="1" ht="13.2">
      <c r="A222" s="107"/>
      <c r="B222" s="60" t="s">
        <v>437</v>
      </c>
      <c r="C222" s="61" t="s">
        <v>438</v>
      </c>
      <c r="D222" s="60"/>
      <c r="E222" s="62"/>
      <c r="F222" s="63"/>
      <c r="G222" s="63"/>
      <c r="H222" s="63"/>
      <c r="I222" s="63">
        <f t="shared" si="100"/>
        <v>0</v>
      </c>
      <c r="J222" s="63">
        <f t="shared" si="101"/>
        <v>0</v>
      </c>
      <c r="K222" s="63"/>
      <c r="L222" s="63">
        <f t="shared" si="127"/>
        <v>0</v>
      </c>
      <c r="M222" s="63">
        <f t="shared" ref="M222:R222" si="128">SUM(M223:M224)</f>
        <v>0</v>
      </c>
      <c r="N222" s="63">
        <f t="shared" si="128"/>
        <v>0</v>
      </c>
      <c r="O222" s="63">
        <f t="shared" si="128"/>
        <v>0</v>
      </c>
      <c r="P222" s="63">
        <f t="shared" si="128"/>
        <v>13739.5</v>
      </c>
      <c r="Q222" s="63">
        <f t="shared" si="128"/>
        <v>17416.18</v>
      </c>
      <c r="R222" s="63">
        <f t="shared" si="128"/>
        <v>17416.18</v>
      </c>
      <c r="S222" s="107"/>
      <c r="T222" s="107"/>
      <c r="U222" s="107"/>
      <c r="V222" s="107"/>
      <c r="W222" s="107"/>
    </row>
    <row r="223" spans="1:23" s="34" customFormat="1" ht="13.2">
      <c r="B223" s="87" t="s">
        <v>439</v>
      </c>
      <c r="C223" s="88" t="s">
        <v>440</v>
      </c>
      <c r="D223" s="89" t="s">
        <v>124</v>
      </c>
      <c r="E223" s="90">
        <v>199.3</v>
      </c>
      <c r="F223" s="91"/>
      <c r="G223" s="91"/>
      <c r="H223" s="91"/>
      <c r="I223" s="91">
        <f t="shared" ref="I223:I286" si="129">SUM(G223:H223)</f>
        <v>0</v>
      </c>
      <c r="J223" s="91">
        <f t="shared" ref="J223:J286" si="130">E223-I223</f>
        <v>199.3</v>
      </c>
      <c r="K223" s="84">
        <v>25</v>
      </c>
      <c r="L223" s="81">
        <f t="shared" si="127"/>
        <v>31.690002750000001</v>
      </c>
      <c r="M223" s="82">
        <f>TRUNC(F223*L223,2)</f>
        <v>0</v>
      </c>
      <c r="N223" s="82">
        <f>TRUNC(G223*L223,2)</f>
        <v>0</v>
      </c>
      <c r="O223" s="82">
        <f>N223</f>
        <v>0</v>
      </c>
      <c r="P223" s="80">
        <f>E223*K223</f>
        <v>4982.5</v>
      </c>
      <c r="Q223" s="82">
        <f>TRUNC(E223*L223,2)</f>
        <v>6315.81</v>
      </c>
      <c r="R223" s="82">
        <f>Q223-O223</f>
        <v>6315.81</v>
      </c>
    </row>
    <row r="224" spans="1:23" s="34" customFormat="1" ht="13.2">
      <c r="B224" s="87" t="s">
        <v>441</v>
      </c>
      <c r="C224" s="88" t="s">
        <v>442</v>
      </c>
      <c r="D224" s="89" t="s">
        <v>124</v>
      </c>
      <c r="E224" s="92">
        <v>250.2</v>
      </c>
      <c r="F224" s="91"/>
      <c r="G224" s="91"/>
      <c r="H224" s="91"/>
      <c r="I224" s="91">
        <f t="shared" si="129"/>
        <v>0</v>
      </c>
      <c r="J224" s="91">
        <f t="shared" si="130"/>
        <v>250.2</v>
      </c>
      <c r="K224" s="84">
        <v>35</v>
      </c>
      <c r="L224" s="81">
        <f t="shared" si="127"/>
        <v>44.366003849999998</v>
      </c>
      <c r="M224" s="82">
        <f>TRUNC(F224*L224,2)</f>
        <v>0</v>
      </c>
      <c r="N224" s="82">
        <f>TRUNC(G224*L224,2)</f>
        <v>0</v>
      </c>
      <c r="O224" s="82">
        <f>N224</f>
        <v>0</v>
      </c>
      <c r="P224" s="80">
        <f>E224*K224</f>
        <v>8757</v>
      </c>
      <c r="Q224" s="82">
        <f>TRUNC(E224*L224,2)</f>
        <v>11100.37</v>
      </c>
      <c r="R224" s="82">
        <f>Q224-O224</f>
        <v>11100.37</v>
      </c>
    </row>
    <row r="225" spans="2:20" s="34" customFormat="1" ht="13.2">
      <c r="B225" s="60" t="s">
        <v>443</v>
      </c>
      <c r="C225" s="61" t="s">
        <v>444</v>
      </c>
      <c r="D225" s="60"/>
      <c r="E225" s="62"/>
      <c r="F225" s="63"/>
      <c r="G225" s="63"/>
      <c r="H225" s="63"/>
      <c r="I225" s="63">
        <f t="shared" si="129"/>
        <v>0</v>
      </c>
      <c r="J225" s="63">
        <f t="shared" si="130"/>
        <v>0</v>
      </c>
      <c r="K225" s="63"/>
      <c r="L225" s="63">
        <f t="shared" si="127"/>
        <v>0</v>
      </c>
      <c r="M225" s="63">
        <f t="shared" ref="M225:R225" si="131">SUM(M226,M240,M255,M291,M296,M307,M315)</f>
        <v>0</v>
      </c>
      <c r="N225" s="63">
        <f t="shared" si="131"/>
        <v>0</v>
      </c>
      <c r="O225" s="63">
        <f t="shared" si="131"/>
        <v>0</v>
      </c>
      <c r="P225" s="63">
        <f t="shared" si="131"/>
        <v>679789.94300000009</v>
      </c>
      <c r="Q225" s="63">
        <f t="shared" si="131"/>
        <v>861701.45999999985</v>
      </c>
      <c r="R225" s="63">
        <f t="shared" si="131"/>
        <v>861701.45999999985</v>
      </c>
    </row>
    <row r="226" spans="2:20" s="34" customFormat="1" ht="24">
      <c r="B226" s="66" t="s">
        <v>445</v>
      </c>
      <c r="C226" s="67" t="s">
        <v>446</v>
      </c>
      <c r="D226" s="68"/>
      <c r="E226" s="69"/>
      <c r="F226" s="70"/>
      <c r="G226" s="70"/>
      <c r="H226" s="70"/>
      <c r="I226" s="70">
        <f t="shared" si="129"/>
        <v>0</v>
      </c>
      <c r="J226" s="70">
        <f t="shared" si="130"/>
        <v>0</v>
      </c>
      <c r="K226" s="71"/>
      <c r="L226" s="71">
        <f t="shared" si="127"/>
        <v>0</v>
      </c>
      <c r="M226" s="73">
        <f t="shared" ref="M226:R226" si="132">SUM(M227:M239)</f>
        <v>0</v>
      </c>
      <c r="N226" s="73">
        <f t="shared" si="132"/>
        <v>0</v>
      </c>
      <c r="O226" s="73">
        <f t="shared" si="132"/>
        <v>0</v>
      </c>
      <c r="P226" s="73">
        <f t="shared" si="132"/>
        <v>135121.34</v>
      </c>
      <c r="Q226" s="73">
        <f t="shared" si="132"/>
        <v>171279.75999999998</v>
      </c>
      <c r="R226" s="73">
        <f t="shared" si="132"/>
        <v>171279.75999999998</v>
      </c>
    </row>
    <row r="227" spans="2:20" s="34" customFormat="1" ht="23.4">
      <c r="B227" s="87" t="s">
        <v>447</v>
      </c>
      <c r="C227" s="88" t="s">
        <v>448</v>
      </c>
      <c r="D227" s="89" t="s">
        <v>82</v>
      </c>
      <c r="E227" s="90">
        <v>787.32</v>
      </c>
      <c r="F227" s="91"/>
      <c r="G227" s="91"/>
      <c r="H227" s="91"/>
      <c r="I227" s="91">
        <f t="shared" si="129"/>
        <v>0</v>
      </c>
      <c r="J227" s="91">
        <f t="shared" si="130"/>
        <v>787.32</v>
      </c>
      <c r="K227" s="80">
        <v>70</v>
      </c>
      <c r="L227" s="81">
        <f t="shared" si="127"/>
        <v>88.732007699999997</v>
      </c>
      <c r="M227" s="82">
        <f t="shared" ref="M227:M239" si="133">TRUNC(F227*L227,2)</f>
        <v>0</v>
      </c>
      <c r="N227" s="82">
        <f t="shared" ref="N227:N239" si="134">TRUNC(G227*L227,2)</f>
        <v>0</v>
      </c>
      <c r="O227" s="82">
        <f t="shared" ref="O227:O239" si="135">N227</f>
        <v>0</v>
      </c>
      <c r="P227" s="80">
        <f t="shared" ref="P227:P239" si="136">E227*K227</f>
        <v>55112.4</v>
      </c>
      <c r="Q227" s="82">
        <f t="shared" ref="Q227:Q239" si="137">TRUNC(E227*L227,2)</f>
        <v>69860.479999999996</v>
      </c>
      <c r="R227" s="82">
        <f t="shared" ref="R227:R239" si="138">Q227-O227</f>
        <v>69860.479999999996</v>
      </c>
    </row>
    <row r="228" spans="2:20" s="34" customFormat="1" ht="13.2">
      <c r="B228" s="87" t="s">
        <v>449</v>
      </c>
      <c r="C228" s="88" t="s">
        <v>450</v>
      </c>
      <c r="D228" s="89" t="s">
        <v>39</v>
      </c>
      <c r="E228" s="90">
        <v>30</v>
      </c>
      <c r="F228" s="91"/>
      <c r="G228" s="91"/>
      <c r="H228" s="91"/>
      <c r="I228" s="91">
        <f t="shared" si="129"/>
        <v>0</v>
      </c>
      <c r="J228" s="91">
        <f t="shared" si="130"/>
        <v>30</v>
      </c>
      <c r="K228" s="80">
        <v>49.5</v>
      </c>
      <c r="L228" s="81">
        <f t="shared" si="127"/>
        <v>62.746205445000001</v>
      </c>
      <c r="M228" s="82">
        <f t="shared" si="133"/>
        <v>0</v>
      </c>
      <c r="N228" s="82">
        <f t="shared" si="134"/>
        <v>0</v>
      </c>
      <c r="O228" s="82">
        <f t="shared" si="135"/>
        <v>0</v>
      </c>
      <c r="P228" s="80">
        <f t="shared" si="136"/>
        <v>1485</v>
      </c>
      <c r="Q228" s="82">
        <f t="shared" si="137"/>
        <v>1882.38</v>
      </c>
      <c r="R228" s="82">
        <f t="shared" si="138"/>
        <v>1882.38</v>
      </c>
    </row>
    <row r="229" spans="2:20" s="34" customFormat="1" ht="13.2">
      <c r="B229" s="87" t="s">
        <v>451</v>
      </c>
      <c r="C229" s="88" t="s">
        <v>452</v>
      </c>
      <c r="D229" s="89" t="s">
        <v>39</v>
      </c>
      <c r="E229" s="90">
        <v>38</v>
      </c>
      <c r="F229" s="91"/>
      <c r="G229" s="91"/>
      <c r="H229" s="91"/>
      <c r="I229" s="91">
        <f t="shared" si="129"/>
        <v>0</v>
      </c>
      <c r="J229" s="91">
        <f t="shared" si="130"/>
        <v>38</v>
      </c>
      <c r="K229" s="80">
        <v>43.8</v>
      </c>
      <c r="L229" s="81">
        <f t="shared" si="127"/>
        <v>55.520884817999999</v>
      </c>
      <c r="M229" s="82">
        <f t="shared" si="133"/>
        <v>0</v>
      </c>
      <c r="N229" s="82">
        <f t="shared" si="134"/>
        <v>0</v>
      </c>
      <c r="O229" s="82">
        <f t="shared" si="135"/>
        <v>0</v>
      </c>
      <c r="P229" s="80">
        <f t="shared" si="136"/>
        <v>1664.3999999999999</v>
      </c>
      <c r="Q229" s="82">
        <f t="shared" si="137"/>
        <v>2109.79</v>
      </c>
      <c r="R229" s="82">
        <f t="shared" si="138"/>
        <v>2109.79</v>
      </c>
    </row>
    <row r="230" spans="2:20" s="34" customFormat="1" ht="23.4">
      <c r="B230" s="87" t="s">
        <v>453</v>
      </c>
      <c r="C230" s="88" t="s">
        <v>454</v>
      </c>
      <c r="D230" s="89" t="s">
        <v>39</v>
      </c>
      <c r="E230" s="90">
        <v>24</v>
      </c>
      <c r="F230" s="91"/>
      <c r="G230" s="91"/>
      <c r="H230" s="91"/>
      <c r="I230" s="91">
        <f t="shared" si="129"/>
        <v>0</v>
      </c>
      <c r="J230" s="91">
        <f t="shared" si="130"/>
        <v>24</v>
      </c>
      <c r="K230" s="80">
        <v>40</v>
      </c>
      <c r="L230" s="81">
        <f t="shared" si="127"/>
        <v>50.704004400000002</v>
      </c>
      <c r="M230" s="82">
        <f t="shared" si="133"/>
        <v>0</v>
      </c>
      <c r="N230" s="82">
        <f t="shared" si="134"/>
        <v>0</v>
      </c>
      <c r="O230" s="82">
        <f t="shared" si="135"/>
        <v>0</v>
      </c>
      <c r="P230" s="80">
        <f t="shared" si="136"/>
        <v>960</v>
      </c>
      <c r="Q230" s="82">
        <f t="shared" si="137"/>
        <v>1216.8900000000001</v>
      </c>
      <c r="R230" s="82">
        <f t="shared" si="138"/>
        <v>1216.8900000000001</v>
      </c>
    </row>
    <row r="231" spans="2:20" s="34" customFormat="1" ht="23.4">
      <c r="B231" s="87" t="s">
        <v>455</v>
      </c>
      <c r="C231" s="88" t="s">
        <v>456</v>
      </c>
      <c r="D231" s="89" t="s">
        <v>39</v>
      </c>
      <c r="E231" s="90">
        <v>30</v>
      </c>
      <c r="F231" s="91"/>
      <c r="G231" s="91"/>
      <c r="H231" s="91"/>
      <c r="I231" s="91">
        <f t="shared" si="129"/>
        <v>0</v>
      </c>
      <c r="J231" s="91">
        <f t="shared" si="130"/>
        <v>30</v>
      </c>
      <c r="K231" s="80">
        <v>50</v>
      </c>
      <c r="L231" s="81">
        <f t="shared" si="127"/>
        <v>63.380005500000003</v>
      </c>
      <c r="M231" s="82">
        <f t="shared" si="133"/>
        <v>0</v>
      </c>
      <c r="N231" s="82">
        <f t="shared" si="134"/>
        <v>0</v>
      </c>
      <c r="O231" s="82">
        <f t="shared" si="135"/>
        <v>0</v>
      </c>
      <c r="P231" s="80">
        <f t="shared" si="136"/>
        <v>1500</v>
      </c>
      <c r="Q231" s="82">
        <f t="shared" si="137"/>
        <v>1901.4</v>
      </c>
      <c r="R231" s="82">
        <f t="shared" si="138"/>
        <v>1901.4</v>
      </c>
    </row>
    <row r="232" spans="2:20" s="34" customFormat="1" ht="23.4">
      <c r="B232" s="87" t="s">
        <v>457</v>
      </c>
      <c r="C232" s="88" t="s">
        <v>458</v>
      </c>
      <c r="D232" s="89" t="s">
        <v>39</v>
      </c>
      <c r="E232" s="90">
        <v>400</v>
      </c>
      <c r="F232" s="91"/>
      <c r="G232" s="91"/>
      <c r="H232" s="91"/>
      <c r="I232" s="91">
        <f t="shared" si="129"/>
        <v>0</v>
      </c>
      <c r="J232" s="91">
        <f t="shared" si="130"/>
        <v>400</v>
      </c>
      <c r="K232" s="80">
        <v>9.7100000000000009</v>
      </c>
      <c r="L232" s="81">
        <f t="shared" si="127"/>
        <v>12.308397068100001</v>
      </c>
      <c r="M232" s="82">
        <f t="shared" si="133"/>
        <v>0</v>
      </c>
      <c r="N232" s="82">
        <f t="shared" si="134"/>
        <v>0</v>
      </c>
      <c r="O232" s="82">
        <f t="shared" si="135"/>
        <v>0</v>
      </c>
      <c r="P232" s="80">
        <f t="shared" si="136"/>
        <v>3884.0000000000005</v>
      </c>
      <c r="Q232" s="82">
        <f t="shared" si="137"/>
        <v>4923.3500000000004</v>
      </c>
      <c r="R232" s="82">
        <f t="shared" si="138"/>
        <v>4923.3500000000004</v>
      </c>
    </row>
    <row r="233" spans="2:20" s="34" customFormat="1" ht="23.4">
      <c r="B233" s="87" t="s">
        <v>459</v>
      </c>
      <c r="C233" s="88" t="s">
        <v>460</v>
      </c>
      <c r="D233" s="89" t="s">
        <v>82</v>
      </c>
      <c r="E233" s="90">
        <v>53.61</v>
      </c>
      <c r="F233" s="91"/>
      <c r="G233" s="91"/>
      <c r="H233" s="91"/>
      <c r="I233" s="91">
        <f t="shared" si="129"/>
        <v>0</v>
      </c>
      <c r="J233" s="91">
        <f t="shared" si="130"/>
        <v>53.61</v>
      </c>
      <c r="K233" s="80">
        <v>95</v>
      </c>
      <c r="L233" s="81">
        <f t="shared" si="127"/>
        <v>120.42201045</v>
      </c>
      <c r="M233" s="82">
        <f t="shared" si="133"/>
        <v>0</v>
      </c>
      <c r="N233" s="82">
        <f t="shared" si="134"/>
        <v>0</v>
      </c>
      <c r="O233" s="82">
        <f t="shared" si="135"/>
        <v>0</v>
      </c>
      <c r="P233" s="80">
        <f t="shared" si="136"/>
        <v>5092.95</v>
      </c>
      <c r="Q233" s="82">
        <f t="shared" si="137"/>
        <v>6455.82</v>
      </c>
      <c r="R233" s="82">
        <f t="shared" si="138"/>
        <v>6455.82</v>
      </c>
    </row>
    <row r="234" spans="2:20" s="34" customFormat="1" ht="34.799999999999997">
      <c r="B234" s="87" t="s">
        <v>461</v>
      </c>
      <c r="C234" s="88" t="s">
        <v>462</v>
      </c>
      <c r="D234" s="89" t="s">
        <v>82</v>
      </c>
      <c r="E234" s="90">
        <v>91.42</v>
      </c>
      <c r="F234" s="91"/>
      <c r="G234" s="91"/>
      <c r="H234" s="91"/>
      <c r="I234" s="91">
        <f t="shared" si="129"/>
        <v>0</v>
      </c>
      <c r="J234" s="91">
        <f t="shared" si="130"/>
        <v>91.42</v>
      </c>
      <c r="K234" s="80">
        <v>15</v>
      </c>
      <c r="L234" s="81">
        <f t="shared" si="127"/>
        <v>19.014001650000001</v>
      </c>
      <c r="M234" s="82">
        <f t="shared" si="133"/>
        <v>0</v>
      </c>
      <c r="N234" s="82">
        <f t="shared" si="134"/>
        <v>0</v>
      </c>
      <c r="O234" s="82">
        <f t="shared" si="135"/>
        <v>0</v>
      </c>
      <c r="P234" s="80">
        <f t="shared" si="136"/>
        <v>1371.3</v>
      </c>
      <c r="Q234" s="82">
        <f t="shared" si="137"/>
        <v>1738.26</v>
      </c>
      <c r="R234" s="82">
        <f t="shared" si="138"/>
        <v>1738.26</v>
      </c>
    </row>
    <row r="235" spans="2:20" s="34" customFormat="1" ht="34.799999999999997">
      <c r="B235" s="87" t="s">
        <v>463</v>
      </c>
      <c r="C235" s="88" t="s">
        <v>464</v>
      </c>
      <c r="D235" s="89" t="s">
        <v>82</v>
      </c>
      <c r="E235" s="90">
        <v>8549.7900000000009</v>
      </c>
      <c r="F235" s="91"/>
      <c r="G235" s="91"/>
      <c r="H235" s="91"/>
      <c r="I235" s="91">
        <f t="shared" si="129"/>
        <v>0</v>
      </c>
      <c r="J235" s="91">
        <f t="shared" si="130"/>
        <v>8549.7900000000009</v>
      </c>
      <c r="K235" s="80">
        <v>6</v>
      </c>
      <c r="L235" s="81">
        <f t="shared" si="127"/>
        <v>7.6056006600000003</v>
      </c>
      <c r="M235" s="82">
        <f t="shared" si="133"/>
        <v>0</v>
      </c>
      <c r="N235" s="82">
        <f t="shared" si="134"/>
        <v>0</v>
      </c>
      <c r="O235" s="82">
        <f t="shared" si="135"/>
        <v>0</v>
      </c>
      <c r="P235" s="80">
        <f t="shared" si="136"/>
        <v>51298.740000000005</v>
      </c>
      <c r="Q235" s="82">
        <f t="shared" si="137"/>
        <v>65026.28</v>
      </c>
      <c r="R235" s="82">
        <f t="shared" si="138"/>
        <v>65026.28</v>
      </c>
    </row>
    <row r="236" spans="2:20" s="34" customFormat="1" ht="34.799999999999997">
      <c r="B236" s="87" t="s">
        <v>465</v>
      </c>
      <c r="C236" s="88" t="s">
        <v>466</v>
      </c>
      <c r="D236" s="89" t="s">
        <v>82</v>
      </c>
      <c r="E236" s="90">
        <v>98.51</v>
      </c>
      <c r="F236" s="91"/>
      <c r="G236" s="91"/>
      <c r="H236" s="91"/>
      <c r="I236" s="91">
        <f t="shared" si="129"/>
        <v>0</v>
      </c>
      <c r="J236" s="91">
        <f t="shared" si="130"/>
        <v>98.51</v>
      </c>
      <c r="K236" s="80">
        <v>20</v>
      </c>
      <c r="L236" s="81">
        <f t="shared" si="127"/>
        <v>25.352002200000001</v>
      </c>
      <c r="M236" s="82">
        <f t="shared" si="133"/>
        <v>0</v>
      </c>
      <c r="N236" s="82">
        <f t="shared" si="134"/>
        <v>0</v>
      </c>
      <c r="O236" s="82">
        <f t="shared" si="135"/>
        <v>0</v>
      </c>
      <c r="P236" s="80">
        <f t="shared" si="136"/>
        <v>1970.2</v>
      </c>
      <c r="Q236" s="82">
        <f t="shared" si="137"/>
        <v>2497.42</v>
      </c>
      <c r="R236" s="82">
        <f t="shared" si="138"/>
        <v>2497.42</v>
      </c>
      <c r="T236" s="83"/>
    </row>
    <row r="237" spans="2:20" s="34" customFormat="1" ht="23.4">
      <c r="B237" s="87" t="s">
        <v>467</v>
      </c>
      <c r="C237" s="88" t="s">
        <v>468</v>
      </c>
      <c r="D237" s="89" t="s">
        <v>39</v>
      </c>
      <c r="E237" s="90">
        <v>836</v>
      </c>
      <c r="F237" s="91"/>
      <c r="G237" s="91"/>
      <c r="H237" s="91"/>
      <c r="I237" s="91">
        <f t="shared" si="129"/>
        <v>0</v>
      </c>
      <c r="J237" s="91">
        <f t="shared" si="130"/>
        <v>836</v>
      </c>
      <c r="K237" s="80">
        <v>8</v>
      </c>
      <c r="L237" s="81">
        <f t="shared" si="127"/>
        <v>10.14080088</v>
      </c>
      <c r="M237" s="82">
        <f t="shared" si="133"/>
        <v>0</v>
      </c>
      <c r="N237" s="82">
        <f t="shared" si="134"/>
        <v>0</v>
      </c>
      <c r="O237" s="82">
        <f t="shared" si="135"/>
        <v>0</v>
      </c>
      <c r="P237" s="80">
        <f t="shared" si="136"/>
        <v>6688</v>
      </c>
      <c r="Q237" s="82">
        <f t="shared" si="137"/>
        <v>8477.7000000000007</v>
      </c>
      <c r="R237" s="82">
        <f t="shared" si="138"/>
        <v>8477.7000000000007</v>
      </c>
      <c r="T237" s="83"/>
    </row>
    <row r="238" spans="2:20" s="34" customFormat="1" ht="34.799999999999997">
      <c r="B238" s="87" t="s">
        <v>469</v>
      </c>
      <c r="C238" s="88" t="s">
        <v>470</v>
      </c>
      <c r="D238" s="89" t="s">
        <v>39</v>
      </c>
      <c r="E238" s="90">
        <v>1359</v>
      </c>
      <c r="F238" s="91"/>
      <c r="G238" s="91"/>
      <c r="H238" s="91"/>
      <c r="I238" s="91">
        <f t="shared" si="129"/>
        <v>0</v>
      </c>
      <c r="J238" s="91">
        <f t="shared" si="130"/>
        <v>1359</v>
      </c>
      <c r="K238" s="80">
        <v>3</v>
      </c>
      <c r="L238" s="81">
        <f t="shared" si="127"/>
        <v>3.8028003300000002</v>
      </c>
      <c r="M238" s="82">
        <f t="shared" si="133"/>
        <v>0</v>
      </c>
      <c r="N238" s="82">
        <f t="shared" si="134"/>
        <v>0</v>
      </c>
      <c r="O238" s="82">
        <f t="shared" si="135"/>
        <v>0</v>
      </c>
      <c r="P238" s="80">
        <f t="shared" si="136"/>
        <v>4077</v>
      </c>
      <c r="Q238" s="82">
        <f t="shared" si="137"/>
        <v>5168</v>
      </c>
      <c r="R238" s="82">
        <f t="shared" si="138"/>
        <v>5168</v>
      </c>
      <c r="T238" s="83"/>
    </row>
    <row r="239" spans="2:20" s="34" customFormat="1" ht="34.799999999999997">
      <c r="B239" s="87" t="s">
        <v>471</v>
      </c>
      <c r="C239" s="88" t="s">
        <v>472</v>
      </c>
      <c r="D239" s="89" t="s">
        <v>39</v>
      </c>
      <c r="E239" s="90">
        <v>5</v>
      </c>
      <c r="F239" s="91"/>
      <c r="G239" s="91"/>
      <c r="H239" s="91"/>
      <c r="I239" s="91">
        <f t="shared" si="129"/>
        <v>0</v>
      </c>
      <c r="J239" s="91">
        <f t="shared" si="130"/>
        <v>5</v>
      </c>
      <c r="K239" s="80">
        <v>3.47</v>
      </c>
      <c r="L239" s="81">
        <f t="shared" si="127"/>
        <v>4.3985723817000002</v>
      </c>
      <c r="M239" s="82">
        <f t="shared" si="133"/>
        <v>0</v>
      </c>
      <c r="N239" s="82">
        <f t="shared" si="134"/>
        <v>0</v>
      </c>
      <c r="O239" s="82">
        <f t="shared" si="135"/>
        <v>0</v>
      </c>
      <c r="P239" s="80">
        <f t="shared" si="136"/>
        <v>17.350000000000001</v>
      </c>
      <c r="Q239" s="82">
        <f t="shared" si="137"/>
        <v>21.99</v>
      </c>
      <c r="R239" s="82">
        <f t="shared" si="138"/>
        <v>21.99</v>
      </c>
      <c r="T239" s="83"/>
    </row>
    <row r="240" spans="2:20" s="34" customFormat="1" ht="13.2">
      <c r="B240" s="66" t="s">
        <v>473</v>
      </c>
      <c r="C240" s="67" t="s">
        <v>474</v>
      </c>
      <c r="D240" s="68"/>
      <c r="E240" s="69"/>
      <c r="F240" s="70"/>
      <c r="G240" s="70"/>
      <c r="H240" s="70"/>
      <c r="I240" s="70">
        <f t="shared" si="129"/>
        <v>0</v>
      </c>
      <c r="J240" s="70">
        <f t="shared" si="130"/>
        <v>0</v>
      </c>
      <c r="K240" s="71"/>
      <c r="L240" s="71">
        <f t="shared" si="127"/>
        <v>0</v>
      </c>
      <c r="M240" s="73">
        <f t="shared" ref="M240:R240" si="139">SUM(M241:M254)</f>
        <v>0</v>
      </c>
      <c r="N240" s="73">
        <f t="shared" si="139"/>
        <v>0</v>
      </c>
      <c r="O240" s="73">
        <f t="shared" si="139"/>
        <v>0</v>
      </c>
      <c r="P240" s="73">
        <f t="shared" si="139"/>
        <v>310727.75299999997</v>
      </c>
      <c r="Q240" s="73">
        <f t="shared" si="139"/>
        <v>393878.46999999991</v>
      </c>
      <c r="R240" s="73">
        <f t="shared" si="139"/>
        <v>393878.46999999991</v>
      </c>
      <c r="T240" s="83"/>
    </row>
    <row r="241" spans="2:20" s="34" customFormat="1" ht="13.2">
      <c r="B241" s="87" t="s">
        <v>475</v>
      </c>
      <c r="C241" s="88" t="s">
        <v>476</v>
      </c>
      <c r="D241" s="89" t="s">
        <v>82</v>
      </c>
      <c r="E241" s="90">
        <v>1000</v>
      </c>
      <c r="F241" s="91"/>
      <c r="G241" s="91"/>
      <c r="H241" s="91"/>
      <c r="I241" s="91">
        <f t="shared" si="129"/>
        <v>0</v>
      </c>
      <c r="J241" s="91">
        <f t="shared" si="130"/>
        <v>1000</v>
      </c>
      <c r="K241" s="80">
        <v>15</v>
      </c>
      <c r="L241" s="81">
        <f t="shared" si="127"/>
        <v>19.014001650000001</v>
      </c>
      <c r="M241" s="82">
        <f t="shared" ref="M241:M254" si="140">TRUNC(F241*L241,2)</f>
        <v>0</v>
      </c>
      <c r="N241" s="82">
        <f t="shared" ref="N241:N254" si="141">TRUNC(G241*L241,2)</f>
        <v>0</v>
      </c>
      <c r="O241" s="82">
        <f t="shared" ref="O241:O254" si="142">N241</f>
        <v>0</v>
      </c>
      <c r="P241" s="80">
        <f t="shared" ref="P241:P254" si="143">E241*K241</f>
        <v>15000</v>
      </c>
      <c r="Q241" s="82">
        <f t="shared" ref="Q241:Q254" si="144">TRUNC(E241*L241,2)</f>
        <v>19014</v>
      </c>
      <c r="R241" s="82">
        <f t="shared" ref="R241:R254" si="145">Q241-O241</f>
        <v>19014</v>
      </c>
      <c r="T241" s="83"/>
    </row>
    <row r="242" spans="2:20" s="34" customFormat="1" ht="46.2">
      <c r="B242" s="87" t="s">
        <v>477</v>
      </c>
      <c r="C242" s="88" t="s">
        <v>478</v>
      </c>
      <c r="D242" s="89" t="s">
        <v>124</v>
      </c>
      <c r="E242" s="90">
        <v>9216.66</v>
      </c>
      <c r="F242" s="91"/>
      <c r="G242" s="91"/>
      <c r="H242" s="91"/>
      <c r="I242" s="91">
        <f t="shared" si="129"/>
        <v>0</v>
      </c>
      <c r="J242" s="91">
        <f t="shared" si="130"/>
        <v>9216.66</v>
      </c>
      <c r="K242" s="80">
        <v>3.5</v>
      </c>
      <c r="L242" s="81">
        <f t="shared" si="127"/>
        <v>4.4366003850000002</v>
      </c>
      <c r="M242" s="82">
        <f t="shared" si="140"/>
        <v>0</v>
      </c>
      <c r="N242" s="82">
        <f t="shared" si="141"/>
        <v>0</v>
      </c>
      <c r="O242" s="82">
        <f t="shared" si="142"/>
        <v>0</v>
      </c>
      <c r="P242" s="80">
        <f t="shared" si="143"/>
        <v>32258.309999999998</v>
      </c>
      <c r="Q242" s="82">
        <f t="shared" si="144"/>
        <v>40890.629999999997</v>
      </c>
      <c r="R242" s="82">
        <f t="shared" si="145"/>
        <v>40890.629999999997</v>
      </c>
    </row>
    <row r="243" spans="2:20" s="34" customFormat="1" ht="46.2">
      <c r="B243" s="87" t="s">
        <v>479</v>
      </c>
      <c r="C243" s="88" t="s">
        <v>480</v>
      </c>
      <c r="D243" s="89" t="s">
        <v>82</v>
      </c>
      <c r="E243" s="90">
        <v>16088.53</v>
      </c>
      <c r="F243" s="91"/>
      <c r="G243" s="91"/>
      <c r="H243" s="91"/>
      <c r="I243" s="91">
        <f t="shared" si="129"/>
        <v>0</v>
      </c>
      <c r="J243" s="91">
        <f t="shared" si="130"/>
        <v>16088.53</v>
      </c>
      <c r="K243" s="80">
        <v>4.5</v>
      </c>
      <c r="L243" s="81">
        <f t="shared" si="127"/>
        <v>5.7042004950000003</v>
      </c>
      <c r="M243" s="82">
        <f t="shared" si="140"/>
        <v>0</v>
      </c>
      <c r="N243" s="82">
        <f t="shared" si="141"/>
        <v>0</v>
      </c>
      <c r="O243" s="82">
        <f t="shared" si="142"/>
        <v>0</v>
      </c>
      <c r="P243" s="80">
        <f t="shared" si="143"/>
        <v>72398.385000000009</v>
      </c>
      <c r="Q243" s="82">
        <f t="shared" si="144"/>
        <v>91772.2</v>
      </c>
      <c r="R243" s="82">
        <f t="shared" si="145"/>
        <v>91772.2</v>
      </c>
    </row>
    <row r="244" spans="2:20" s="34" customFormat="1" ht="23.4">
      <c r="B244" s="87" t="s">
        <v>481</v>
      </c>
      <c r="C244" s="88" t="s">
        <v>482</v>
      </c>
      <c r="D244" s="89" t="s">
        <v>82</v>
      </c>
      <c r="E244" s="90">
        <v>1366.87</v>
      </c>
      <c r="F244" s="91"/>
      <c r="G244" s="91"/>
      <c r="H244" s="91"/>
      <c r="I244" s="91">
        <f t="shared" si="129"/>
        <v>0</v>
      </c>
      <c r="J244" s="91">
        <f t="shared" si="130"/>
        <v>1366.87</v>
      </c>
      <c r="K244" s="80">
        <v>7</v>
      </c>
      <c r="L244" s="81">
        <f t="shared" si="127"/>
        <v>8.8732007700000004</v>
      </c>
      <c r="M244" s="82">
        <f t="shared" si="140"/>
        <v>0</v>
      </c>
      <c r="N244" s="82">
        <f t="shared" si="141"/>
        <v>0</v>
      </c>
      <c r="O244" s="82">
        <f t="shared" si="142"/>
        <v>0</v>
      </c>
      <c r="P244" s="80">
        <f t="shared" si="143"/>
        <v>9568.09</v>
      </c>
      <c r="Q244" s="82">
        <f t="shared" si="144"/>
        <v>12128.51</v>
      </c>
      <c r="R244" s="82">
        <f t="shared" si="145"/>
        <v>12128.51</v>
      </c>
    </row>
    <row r="245" spans="2:20" s="34" customFormat="1" ht="46.2">
      <c r="B245" s="87" t="s">
        <v>483</v>
      </c>
      <c r="C245" s="88" t="s">
        <v>484</v>
      </c>
      <c r="D245" s="89" t="s">
        <v>82</v>
      </c>
      <c r="E245" s="90">
        <v>337.73</v>
      </c>
      <c r="F245" s="91"/>
      <c r="G245" s="91"/>
      <c r="H245" s="91"/>
      <c r="I245" s="91">
        <f t="shared" si="129"/>
        <v>0</v>
      </c>
      <c r="J245" s="91">
        <f t="shared" si="130"/>
        <v>337.73</v>
      </c>
      <c r="K245" s="80">
        <v>10</v>
      </c>
      <c r="L245" s="81">
        <f t="shared" si="127"/>
        <v>12.676001100000001</v>
      </c>
      <c r="M245" s="82">
        <f t="shared" si="140"/>
        <v>0</v>
      </c>
      <c r="N245" s="82">
        <f t="shared" si="141"/>
        <v>0</v>
      </c>
      <c r="O245" s="82">
        <f t="shared" si="142"/>
        <v>0</v>
      </c>
      <c r="P245" s="80">
        <f t="shared" si="143"/>
        <v>3377.3</v>
      </c>
      <c r="Q245" s="82">
        <f t="shared" si="144"/>
        <v>4281.0600000000004</v>
      </c>
      <c r="R245" s="82">
        <f t="shared" si="145"/>
        <v>4281.0600000000004</v>
      </c>
    </row>
    <row r="246" spans="2:20" s="34" customFormat="1" ht="23.4">
      <c r="B246" s="87" t="s">
        <v>485</v>
      </c>
      <c r="C246" s="88" t="s">
        <v>486</v>
      </c>
      <c r="D246" s="89" t="s">
        <v>82</v>
      </c>
      <c r="E246" s="90">
        <v>584.41</v>
      </c>
      <c r="F246" s="91"/>
      <c r="G246" s="91"/>
      <c r="H246" s="91"/>
      <c r="I246" s="91">
        <f t="shared" si="129"/>
        <v>0</v>
      </c>
      <c r="J246" s="91">
        <f t="shared" si="130"/>
        <v>584.41</v>
      </c>
      <c r="K246" s="80">
        <v>11</v>
      </c>
      <c r="L246" s="81">
        <f t="shared" si="127"/>
        <v>13.943601210000001</v>
      </c>
      <c r="M246" s="82">
        <f t="shared" si="140"/>
        <v>0</v>
      </c>
      <c r="N246" s="82">
        <f t="shared" si="141"/>
        <v>0</v>
      </c>
      <c r="O246" s="82">
        <f t="shared" si="142"/>
        <v>0</v>
      </c>
      <c r="P246" s="80">
        <f t="shared" si="143"/>
        <v>6428.5099999999993</v>
      </c>
      <c r="Q246" s="82">
        <f t="shared" si="144"/>
        <v>8148.77</v>
      </c>
      <c r="R246" s="82">
        <f t="shared" si="145"/>
        <v>8148.77</v>
      </c>
    </row>
    <row r="247" spans="2:20" s="34" customFormat="1" ht="23.4">
      <c r="B247" s="87" t="s">
        <v>487</v>
      </c>
      <c r="C247" s="88" t="s">
        <v>488</v>
      </c>
      <c r="D247" s="89" t="s">
        <v>82</v>
      </c>
      <c r="E247" s="90">
        <v>746.42</v>
      </c>
      <c r="F247" s="91"/>
      <c r="G247" s="91"/>
      <c r="H247" s="91"/>
      <c r="I247" s="91">
        <f t="shared" si="129"/>
        <v>0</v>
      </c>
      <c r="J247" s="91">
        <f t="shared" si="130"/>
        <v>746.42</v>
      </c>
      <c r="K247" s="80">
        <v>18</v>
      </c>
      <c r="L247" s="81">
        <f t="shared" si="127"/>
        <v>22.816801980000001</v>
      </c>
      <c r="M247" s="82">
        <f t="shared" si="140"/>
        <v>0</v>
      </c>
      <c r="N247" s="82">
        <f t="shared" si="141"/>
        <v>0</v>
      </c>
      <c r="O247" s="82">
        <f t="shared" si="142"/>
        <v>0</v>
      </c>
      <c r="P247" s="80">
        <f t="shared" si="143"/>
        <v>13435.56</v>
      </c>
      <c r="Q247" s="82">
        <f t="shared" si="144"/>
        <v>17030.91</v>
      </c>
      <c r="R247" s="82">
        <f t="shared" si="145"/>
        <v>17030.91</v>
      </c>
    </row>
    <row r="248" spans="2:20" s="34" customFormat="1" ht="34.799999999999997">
      <c r="B248" s="87" t="s">
        <v>489</v>
      </c>
      <c r="C248" s="88" t="s">
        <v>490</v>
      </c>
      <c r="D248" s="89" t="s">
        <v>82</v>
      </c>
      <c r="E248" s="90">
        <v>396.45</v>
      </c>
      <c r="F248" s="91"/>
      <c r="G248" s="91"/>
      <c r="H248" s="91"/>
      <c r="I248" s="91">
        <f t="shared" si="129"/>
        <v>0</v>
      </c>
      <c r="J248" s="91">
        <f t="shared" si="130"/>
        <v>396.45</v>
      </c>
      <c r="K248" s="80">
        <v>25</v>
      </c>
      <c r="L248" s="81">
        <f t="shared" si="127"/>
        <v>31.690002750000001</v>
      </c>
      <c r="M248" s="82">
        <f t="shared" si="140"/>
        <v>0</v>
      </c>
      <c r="N248" s="82">
        <f t="shared" si="141"/>
        <v>0</v>
      </c>
      <c r="O248" s="82">
        <f t="shared" si="142"/>
        <v>0</v>
      </c>
      <c r="P248" s="80">
        <f t="shared" si="143"/>
        <v>9911.25</v>
      </c>
      <c r="Q248" s="82">
        <f t="shared" si="144"/>
        <v>12563.5</v>
      </c>
      <c r="R248" s="82">
        <f t="shared" si="145"/>
        <v>12563.5</v>
      </c>
    </row>
    <row r="249" spans="2:20" s="34" customFormat="1" ht="46.2">
      <c r="B249" s="87" t="s">
        <v>491</v>
      </c>
      <c r="C249" s="88" t="s">
        <v>492</v>
      </c>
      <c r="D249" s="89" t="s">
        <v>82</v>
      </c>
      <c r="E249" s="90">
        <v>326.43</v>
      </c>
      <c r="F249" s="91"/>
      <c r="G249" s="91"/>
      <c r="H249" s="91"/>
      <c r="I249" s="91">
        <f t="shared" si="129"/>
        <v>0</v>
      </c>
      <c r="J249" s="91">
        <f t="shared" si="130"/>
        <v>326.43</v>
      </c>
      <c r="K249" s="80">
        <v>40</v>
      </c>
      <c r="L249" s="81">
        <f t="shared" si="127"/>
        <v>50.704004400000002</v>
      </c>
      <c r="M249" s="82">
        <f t="shared" si="140"/>
        <v>0</v>
      </c>
      <c r="N249" s="82">
        <f t="shared" si="141"/>
        <v>0</v>
      </c>
      <c r="O249" s="82">
        <f t="shared" si="142"/>
        <v>0</v>
      </c>
      <c r="P249" s="80">
        <f t="shared" si="143"/>
        <v>13057.2</v>
      </c>
      <c r="Q249" s="82">
        <f t="shared" si="144"/>
        <v>16551.3</v>
      </c>
      <c r="R249" s="82">
        <f t="shared" si="145"/>
        <v>16551.3</v>
      </c>
    </row>
    <row r="250" spans="2:20" s="34" customFormat="1" ht="34.799999999999997">
      <c r="B250" s="87" t="s">
        <v>493</v>
      </c>
      <c r="C250" s="88" t="s">
        <v>494</v>
      </c>
      <c r="D250" s="89" t="s">
        <v>82</v>
      </c>
      <c r="E250" s="90">
        <v>49.87</v>
      </c>
      <c r="F250" s="91"/>
      <c r="G250" s="91"/>
      <c r="H250" s="91"/>
      <c r="I250" s="91">
        <f t="shared" si="129"/>
        <v>0</v>
      </c>
      <c r="J250" s="91">
        <f t="shared" si="130"/>
        <v>49.87</v>
      </c>
      <c r="K250" s="80">
        <v>125</v>
      </c>
      <c r="L250" s="81">
        <f t="shared" si="127"/>
        <v>158.45001375000001</v>
      </c>
      <c r="M250" s="82">
        <f t="shared" si="140"/>
        <v>0</v>
      </c>
      <c r="N250" s="82">
        <f t="shared" si="141"/>
        <v>0</v>
      </c>
      <c r="O250" s="82">
        <f t="shared" si="142"/>
        <v>0</v>
      </c>
      <c r="P250" s="80">
        <f t="shared" si="143"/>
        <v>6233.75</v>
      </c>
      <c r="Q250" s="82">
        <f t="shared" si="144"/>
        <v>7901.9</v>
      </c>
      <c r="R250" s="82">
        <f t="shared" si="145"/>
        <v>7901.9</v>
      </c>
    </row>
    <row r="251" spans="2:20" s="34" customFormat="1" ht="34.799999999999997">
      <c r="B251" s="87" t="s">
        <v>495</v>
      </c>
      <c r="C251" s="88" t="s">
        <v>496</v>
      </c>
      <c r="D251" s="89" t="s">
        <v>82</v>
      </c>
      <c r="E251" s="90">
        <v>49.87</v>
      </c>
      <c r="F251" s="91"/>
      <c r="G251" s="91"/>
      <c r="H251" s="91"/>
      <c r="I251" s="91">
        <f t="shared" si="129"/>
        <v>0</v>
      </c>
      <c r="J251" s="91">
        <f t="shared" si="130"/>
        <v>49.87</v>
      </c>
      <c r="K251" s="80">
        <v>170</v>
      </c>
      <c r="L251" s="81">
        <f t="shared" si="127"/>
        <v>215.49201870000002</v>
      </c>
      <c r="M251" s="82">
        <f t="shared" si="140"/>
        <v>0</v>
      </c>
      <c r="N251" s="82">
        <f t="shared" si="141"/>
        <v>0</v>
      </c>
      <c r="O251" s="82">
        <f t="shared" si="142"/>
        <v>0</v>
      </c>
      <c r="P251" s="80">
        <f t="shared" si="143"/>
        <v>8477.9</v>
      </c>
      <c r="Q251" s="82">
        <f t="shared" si="144"/>
        <v>10746.58</v>
      </c>
      <c r="R251" s="82">
        <f t="shared" si="145"/>
        <v>10746.58</v>
      </c>
    </row>
    <row r="252" spans="2:20" s="34" customFormat="1" ht="34.799999999999997">
      <c r="B252" s="87" t="s">
        <v>497</v>
      </c>
      <c r="C252" s="88" t="s">
        <v>498</v>
      </c>
      <c r="D252" s="89" t="s">
        <v>82</v>
      </c>
      <c r="E252" s="90">
        <v>149.6</v>
      </c>
      <c r="F252" s="91"/>
      <c r="G252" s="91"/>
      <c r="H252" s="91"/>
      <c r="I252" s="91">
        <f t="shared" si="129"/>
        <v>0</v>
      </c>
      <c r="J252" s="91">
        <f t="shared" si="130"/>
        <v>149.6</v>
      </c>
      <c r="K252" s="80">
        <v>290</v>
      </c>
      <c r="L252" s="81">
        <f t="shared" si="127"/>
        <v>367.6040319</v>
      </c>
      <c r="M252" s="82">
        <f t="shared" si="140"/>
        <v>0</v>
      </c>
      <c r="N252" s="82">
        <f t="shared" si="141"/>
        <v>0</v>
      </c>
      <c r="O252" s="82">
        <f t="shared" si="142"/>
        <v>0</v>
      </c>
      <c r="P252" s="80">
        <f t="shared" si="143"/>
        <v>43384</v>
      </c>
      <c r="Q252" s="82">
        <f t="shared" si="144"/>
        <v>54993.56</v>
      </c>
      <c r="R252" s="82">
        <f t="shared" si="145"/>
        <v>54993.56</v>
      </c>
    </row>
    <row r="253" spans="2:20" s="34" customFormat="1" ht="23.4">
      <c r="B253" s="87" t="s">
        <v>499</v>
      </c>
      <c r="C253" s="88" t="s">
        <v>500</v>
      </c>
      <c r="D253" s="89" t="s">
        <v>82</v>
      </c>
      <c r="E253" s="90">
        <v>4482.08</v>
      </c>
      <c r="F253" s="91"/>
      <c r="G253" s="91"/>
      <c r="H253" s="91"/>
      <c r="I253" s="91">
        <f t="shared" si="129"/>
        <v>0</v>
      </c>
      <c r="J253" s="91">
        <f t="shared" si="130"/>
        <v>4482.08</v>
      </c>
      <c r="K253" s="80">
        <v>9</v>
      </c>
      <c r="L253" s="81">
        <f t="shared" si="127"/>
        <v>11.408400990000001</v>
      </c>
      <c r="M253" s="82">
        <f t="shared" si="140"/>
        <v>0</v>
      </c>
      <c r="N253" s="82">
        <f t="shared" si="141"/>
        <v>0</v>
      </c>
      <c r="O253" s="82">
        <f t="shared" si="142"/>
        <v>0</v>
      </c>
      <c r="P253" s="80">
        <f t="shared" si="143"/>
        <v>40338.720000000001</v>
      </c>
      <c r="Q253" s="82">
        <f t="shared" si="144"/>
        <v>51133.36</v>
      </c>
      <c r="R253" s="82">
        <f t="shared" si="145"/>
        <v>51133.36</v>
      </c>
    </row>
    <row r="254" spans="2:20" s="34" customFormat="1" ht="23.4">
      <c r="B254" s="87" t="s">
        <v>501</v>
      </c>
      <c r="C254" s="88" t="s">
        <v>502</v>
      </c>
      <c r="D254" s="89" t="s">
        <v>82</v>
      </c>
      <c r="E254" s="90">
        <v>3350.7979999999998</v>
      </c>
      <c r="F254" s="91"/>
      <c r="G254" s="91"/>
      <c r="H254" s="91"/>
      <c r="I254" s="91">
        <f t="shared" si="129"/>
        <v>0</v>
      </c>
      <c r="J254" s="91">
        <f t="shared" si="130"/>
        <v>3350.7979999999998</v>
      </c>
      <c r="K254" s="80">
        <v>11</v>
      </c>
      <c r="L254" s="81">
        <f t="shared" si="127"/>
        <v>13.943601210000001</v>
      </c>
      <c r="M254" s="82">
        <f t="shared" si="140"/>
        <v>0</v>
      </c>
      <c r="N254" s="82">
        <f t="shared" si="141"/>
        <v>0</v>
      </c>
      <c r="O254" s="82">
        <f t="shared" si="142"/>
        <v>0</v>
      </c>
      <c r="P254" s="80">
        <f t="shared" si="143"/>
        <v>36858.777999999998</v>
      </c>
      <c r="Q254" s="82">
        <f t="shared" si="144"/>
        <v>46722.19</v>
      </c>
      <c r="R254" s="82">
        <f t="shared" si="145"/>
        <v>46722.19</v>
      </c>
    </row>
    <row r="255" spans="2:20" s="34" customFormat="1" ht="13.2">
      <c r="B255" s="66" t="s">
        <v>503</v>
      </c>
      <c r="C255" s="67" t="s">
        <v>504</v>
      </c>
      <c r="D255" s="68"/>
      <c r="E255" s="69"/>
      <c r="F255" s="70"/>
      <c r="G255" s="70"/>
      <c r="H255" s="70"/>
      <c r="I255" s="70">
        <f t="shared" si="129"/>
        <v>0</v>
      </c>
      <c r="J255" s="70">
        <f t="shared" si="130"/>
        <v>0</v>
      </c>
      <c r="K255" s="71"/>
      <c r="L255" s="71">
        <f t="shared" si="127"/>
        <v>0</v>
      </c>
      <c r="M255" s="73">
        <f t="shared" ref="M255:R255" si="146">SUM(M256:M290)</f>
        <v>0</v>
      </c>
      <c r="N255" s="73">
        <f t="shared" si="146"/>
        <v>0</v>
      </c>
      <c r="O255" s="73">
        <f t="shared" si="146"/>
        <v>0</v>
      </c>
      <c r="P255" s="73">
        <f t="shared" si="146"/>
        <v>65111</v>
      </c>
      <c r="Q255" s="73">
        <f t="shared" si="146"/>
        <v>82534.59</v>
      </c>
      <c r="R255" s="73">
        <f t="shared" si="146"/>
        <v>82534.59</v>
      </c>
    </row>
    <row r="256" spans="2:20" s="34" customFormat="1" ht="34.799999999999997">
      <c r="B256" s="87" t="s">
        <v>505</v>
      </c>
      <c r="C256" s="88" t="s">
        <v>506</v>
      </c>
      <c r="D256" s="89" t="s">
        <v>131</v>
      </c>
      <c r="E256" s="90">
        <v>3</v>
      </c>
      <c r="F256" s="91"/>
      <c r="G256" s="91"/>
      <c r="H256" s="91"/>
      <c r="I256" s="91">
        <f t="shared" si="129"/>
        <v>0</v>
      </c>
      <c r="J256" s="91">
        <f t="shared" si="130"/>
        <v>3</v>
      </c>
      <c r="K256" s="80">
        <v>1080</v>
      </c>
      <c r="L256" s="81">
        <f t="shared" si="127"/>
        <v>1369.0081188000001</v>
      </c>
      <c r="M256" s="82">
        <f t="shared" ref="M256:M290" si="147">TRUNC(F256*L256,2)</f>
        <v>0</v>
      </c>
      <c r="N256" s="82">
        <f t="shared" ref="N256:N290" si="148">TRUNC(G256*L256,2)</f>
        <v>0</v>
      </c>
      <c r="O256" s="82">
        <f t="shared" ref="O256:O290" si="149">N256</f>
        <v>0</v>
      </c>
      <c r="P256" s="80">
        <f t="shared" ref="P256:P290" si="150">E256*K256</f>
        <v>3240</v>
      </c>
      <c r="Q256" s="82">
        <f t="shared" ref="Q256:Q290" si="151">TRUNC(E256*L256,2)</f>
        <v>4107.0200000000004</v>
      </c>
      <c r="R256" s="82">
        <f t="shared" ref="R256:R290" si="152">Q256-O256</f>
        <v>4107.0200000000004</v>
      </c>
    </row>
    <row r="257" spans="2:18" s="34" customFormat="1" ht="34.799999999999997">
      <c r="B257" s="87" t="s">
        <v>507</v>
      </c>
      <c r="C257" s="88" t="s">
        <v>508</v>
      </c>
      <c r="D257" s="89" t="s">
        <v>131</v>
      </c>
      <c r="E257" s="90">
        <v>1</v>
      </c>
      <c r="F257" s="91"/>
      <c r="G257" s="91"/>
      <c r="H257" s="91"/>
      <c r="I257" s="91">
        <f t="shared" si="129"/>
        <v>0</v>
      </c>
      <c r="J257" s="91">
        <f t="shared" si="130"/>
        <v>1</v>
      </c>
      <c r="K257" s="80">
        <v>1200</v>
      </c>
      <c r="L257" s="81">
        <f t="shared" si="127"/>
        <v>1521.120132</v>
      </c>
      <c r="M257" s="82">
        <f t="shared" si="147"/>
        <v>0</v>
      </c>
      <c r="N257" s="82">
        <f t="shared" si="148"/>
        <v>0</v>
      </c>
      <c r="O257" s="82">
        <f t="shared" si="149"/>
        <v>0</v>
      </c>
      <c r="P257" s="80">
        <f t="shared" si="150"/>
        <v>1200</v>
      </c>
      <c r="Q257" s="82">
        <f t="shared" si="151"/>
        <v>1521.12</v>
      </c>
      <c r="R257" s="82">
        <f t="shared" si="152"/>
        <v>1521.12</v>
      </c>
    </row>
    <row r="258" spans="2:18" s="34" customFormat="1" ht="34.799999999999997">
      <c r="B258" s="87" t="s">
        <v>509</v>
      </c>
      <c r="C258" s="88" t="s">
        <v>510</v>
      </c>
      <c r="D258" s="89" t="s">
        <v>131</v>
      </c>
      <c r="E258" s="90">
        <v>4</v>
      </c>
      <c r="F258" s="91"/>
      <c r="G258" s="91"/>
      <c r="H258" s="91"/>
      <c r="I258" s="91">
        <f t="shared" si="129"/>
        <v>0</v>
      </c>
      <c r="J258" s="91">
        <f t="shared" si="130"/>
        <v>4</v>
      </c>
      <c r="K258" s="80">
        <v>1890</v>
      </c>
      <c r="L258" s="81">
        <f t="shared" si="127"/>
        <v>2395.7642079000002</v>
      </c>
      <c r="M258" s="82">
        <f t="shared" si="147"/>
        <v>0</v>
      </c>
      <c r="N258" s="82">
        <f t="shared" si="148"/>
        <v>0</v>
      </c>
      <c r="O258" s="82">
        <f t="shared" si="149"/>
        <v>0</v>
      </c>
      <c r="P258" s="80">
        <f t="shared" si="150"/>
        <v>7560</v>
      </c>
      <c r="Q258" s="82">
        <f t="shared" si="151"/>
        <v>9583.0499999999993</v>
      </c>
      <c r="R258" s="82">
        <f t="shared" si="152"/>
        <v>9583.0499999999993</v>
      </c>
    </row>
    <row r="259" spans="2:18" s="34" customFormat="1" ht="34.799999999999997">
      <c r="B259" s="87" t="s">
        <v>511</v>
      </c>
      <c r="C259" s="88" t="s">
        <v>512</v>
      </c>
      <c r="D259" s="89" t="s">
        <v>131</v>
      </c>
      <c r="E259" s="90">
        <v>19</v>
      </c>
      <c r="F259" s="91"/>
      <c r="G259" s="91"/>
      <c r="H259" s="91"/>
      <c r="I259" s="91">
        <f t="shared" si="129"/>
        <v>0</v>
      </c>
      <c r="J259" s="91">
        <f t="shared" si="130"/>
        <v>19</v>
      </c>
      <c r="K259" s="80">
        <v>1000</v>
      </c>
      <c r="L259" s="81">
        <f t="shared" si="127"/>
        <v>1267.6001100000001</v>
      </c>
      <c r="M259" s="82">
        <f t="shared" si="147"/>
        <v>0</v>
      </c>
      <c r="N259" s="82">
        <f t="shared" si="148"/>
        <v>0</v>
      </c>
      <c r="O259" s="82">
        <f t="shared" si="149"/>
        <v>0</v>
      </c>
      <c r="P259" s="80">
        <f t="shared" si="150"/>
        <v>19000</v>
      </c>
      <c r="Q259" s="82">
        <f t="shared" si="151"/>
        <v>24084.400000000001</v>
      </c>
      <c r="R259" s="82">
        <f t="shared" si="152"/>
        <v>24084.400000000001</v>
      </c>
    </row>
    <row r="260" spans="2:18" s="34" customFormat="1" ht="34.799999999999997">
      <c r="B260" s="87" t="s">
        <v>513</v>
      </c>
      <c r="C260" s="88" t="s">
        <v>514</v>
      </c>
      <c r="D260" s="89" t="s">
        <v>131</v>
      </c>
      <c r="E260" s="90">
        <v>2</v>
      </c>
      <c r="F260" s="91"/>
      <c r="G260" s="91"/>
      <c r="H260" s="91"/>
      <c r="I260" s="91">
        <f t="shared" si="129"/>
        <v>0</v>
      </c>
      <c r="J260" s="91">
        <f t="shared" si="130"/>
        <v>2</v>
      </c>
      <c r="K260" s="80">
        <v>1400</v>
      </c>
      <c r="L260" s="81">
        <f t="shared" si="127"/>
        <v>1774.6401540000002</v>
      </c>
      <c r="M260" s="82">
        <f t="shared" si="147"/>
        <v>0</v>
      </c>
      <c r="N260" s="82">
        <f t="shared" si="148"/>
        <v>0</v>
      </c>
      <c r="O260" s="82">
        <f t="shared" si="149"/>
        <v>0</v>
      </c>
      <c r="P260" s="80">
        <f t="shared" si="150"/>
        <v>2800</v>
      </c>
      <c r="Q260" s="82">
        <f t="shared" si="151"/>
        <v>3549.28</v>
      </c>
      <c r="R260" s="82">
        <f t="shared" si="152"/>
        <v>3549.28</v>
      </c>
    </row>
    <row r="261" spans="2:18" s="34" customFormat="1" ht="13.2">
      <c r="B261" s="87" t="s">
        <v>515</v>
      </c>
      <c r="C261" s="88" t="s">
        <v>516</v>
      </c>
      <c r="D261" s="89" t="s">
        <v>131</v>
      </c>
      <c r="E261" s="90">
        <v>2</v>
      </c>
      <c r="F261" s="91"/>
      <c r="G261" s="91"/>
      <c r="H261" s="91"/>
      <c r="I261" s="91">
        <f t="shared" si="129"/>
        <v>0</v>
      </c>
      <c r="J261" s="91">
        <f t="shared" si="130"/>
        <v>2</v>
      </c>
      <c r="K261" s="80">
        <v>800</v>
      </c>
      <c r="L261" s="81">
        <f t="shared" si="127"/>
        <v>1014.080088</v>
      </c>
      <c r="M261" s="82">
        <f t="shared" si="147"/>
        <v>0</v>
      </c>
      <c r="N261" s="82">
        <f t="shared" si="148"/>
        <v>0</v>
      </c>
      <c r="O261" s="82">
        <f t="shared" si="149"/>
        <v>0</v>
      </c>
      <c r="P261" s="80">
        <f t="shared" si="150"/>
        <v>1600</v>
      </c>
      <c r="Q261" s="82">
        <f t="shared" si="151"/>
        <v>2028.16</v>
      </c>
      <c r="R261" s="82">
        <f t="shared" si="152"/>
        <v>2028.16</v>
      </c>
    </row>
    <row r="262" spans="2:18" s="34" customFormat="1" ht="13.2">
      <c r="B262" s="87" t="s">
        <v>517</v>
      </c>
      <c r="C262" s="88" t="s">
        <v>518</v>
      </c>
      <c r="D262" s="89" t="s">
        <v>131</v>
      </c>
      <c r="E262" s="90">
        <v>1</v>
      </c>
      <c r="F262" s="91"/>
      <c r="G262" s="91"/>
      <c r="H262" s="91"/>
      <c r="I262" s="91">
        <f t="shared" si="129"/>
        <v>0</v>
      </c>
      <c r="J262" s="91">
        <f t="shared" si="130"/>
        <v>1</v>
      </c>
      <c r="K262" s="80">
        <v>1200</v>
      </c>
      <c r="L262" s="81">
        <f t="shared" si="127"/>
        <v>1521.120132</v>
      </c>
      <c r="M262" s="82">
        <f t="shared" si="147"/>
        <v>0</v>
      </c>
      <c r="N262" s="82">
        <f t="shared" si="148"/>
        <v>0</v>
      </c>
      <c r="O262" s="82">
        <f t="shared" si="149"/>
        <v>0</v>
      </c>
      <c r="P262" s="80">
        <f t="shared" si="150"/>
        <v>1200</v>
      </c>
      <c r="Q262" s="82">
        <f t="shared" si="151"/>
        <v>1521.12</v>
      </c>
      <c r="R262" s="82">
        <f t="shared" si="152"/>
        <v>1521.12</v>
      </c>
    </row>
    <row r="263" spans="2:18" s="34" customFormat="1" ht="13.2">
      <c r="B263" s="87" t="s">
        <v>519</v>
      </c>
      <c r="C263" s="88" t="s">
        <v>520</v>
      </c>
      <c r="D263" s="89" t="s">
        <v>131</v>
      </c>
      <c r="E263" s="90">
        <v>2</v>
      </c>
      <c r="F263" s="91"/>
      <c r="G263" s="91"/>
      <c r="H263" s="91"/>
      <c r="I263" s="91">
        <f t="shared" si="129"/>
        <v>0</v>
      </c>
      <c r="J263" s="91">
        <f t="shared" si="130"/>
        <v>2</v>
      </c>
      <c r="K263" s="80">
        <v>2100</v>
      </c>
      <c r="L263" s="81">
        <f t="shared" si="127"/>
        <v>2661.960231</v>
      </c>
      <c r="M263" s="82">
        <f t="shared" si="147"/>
        <v>0</v>
      </c>
      <c r="N263" s="82">
        <f t="shared" si="148"/>
        <v>0</v>
      </c>
      <c r="O263" s="82">
        <f t="shared" si="149"/>
        <v>0</v>
      </c>
      <c r="P263" s="80">
        <f t="shared" si="150"/>
        <v>4200</v>
      </c>
      <c r="Q263" s="82">
        <f t="shared" si="151"/>
        <v>5323.92</v>
      </c>
      <c r="R263" s="82">
        <f t="shared" si="152"/>
        <v>5323.92</v>
      </c>
    </row>
    <row r="264" spans="2:18" s="34" customFormat="1" ht="34.799999999999997">
      <c r="B264" s="87" t="s">
        <v>521</v>
      </c>
      <c r="C264" s="88" t="s">
        <v>522</v>
      </c>
      <c r="D264" s="89" t="s">
        <v>131</v>
      </c>
      <c r="E264" s="90">
        <v>16</v>
      </c>
      <c r="F264" s="91"/>
      <c r="G264" s="91"/>
      <c r="H264" s="91"/>
      <c r="I264" s="91">
        <f t="shared" si="129"/>
        <v>0</v>
      </c>
      <c r="J264" s="91">
        <f t="shared" si="130"/>
        <v>16</v>
      </c>
      <c r="K264" s="80">
        <v>180</v>
      </c>
      <c r="L264" s="81">
        <f t="shared" si="127"/>
        <v>228.16801980000002</v>
      </c>
      <c r="M264" s="82">
        <f t="shared" si="147"/>
        <v>0</v>
      </c>
      <c r="N264" s="82">
        <f t="shared" si="148"/>
        <v>0</v>
      </c>
      <c r="O264" s="82">
        <f t="shared" si="149"/>
        <v>0</v>
      </c>
      <c r="P264" s="80">
        <f t="shared" si="150"/>
        <v>2880</v>
      </c>
      <c r="Q264" s="82">
        <f t="shared" si="151"/>
        <v>3650.68</v>
      </c>
      <c r="R264" s="82">
        <f t="shared" si="152"/>
        <v>3650.68</v>
      </c>
    </row>
    <row r="265" spans="2:18" s="34" customFormat="1" ht="34.799999999999997">
      <c r="B265" s="87" t="s">
        <v>523</v>
      </c>
      <c r="C265" s="88" t="s">
        <v>524</v>
      </c>
      <c r="D265" s="89" t="s">
        <v>131</v>
      </c>
      <c r="E265" s="90">
        <v>8</v>
      </c>
      <c r="F265" s="91"/>
      <c r="G265" s="91"/>
      <c r="H265" s="91"/>
      <c r="I265" s="91">
        <f t="shared" si="129"/>
        <v>0</v>
      </c>
      <c r="J265" s="91">
        <f t="shared" si="130"/>
        <v>8</v>
      </c>
      <c r="K265" s="80">
        <v>260</v>
      </c>
      <c r="L265" s="81">
        <f t="shared" si="127"/>
        <v>329.57602860000003</v>
      </c>
      <c r="M265" s="82">
        <f t="shared" si="147"/>
        <v>0</v>
      </c>
      <c r="N265" s="82">
        <f t="shared" si="148"/>
        <v>0</v>
      </c>
      <c r="O265" s="82">
        <f t="shared" si="149"/>
        <v>0</v>
      </c>
      <c r="P265" s="80">
        <f t="shared" si="150"/>
        <v>2080</v>
      </c>
      <c r="Q265" s="82">
        <f t="shared" si="151"/>
        <v>2636.6</v>
      </c>
      <c r="R265" s="82">
        <f t="shared" si="152"/>
        <v>2636.6</v>
      </c>
    </row>
    <row r="266" spans="2:18" s="34" customFormat="1" ht="23.4">
      <c r="B266" s="87" t="s">
        <v>525</v>
      </c>
      <c r="C266" s="88" t="s">
        <v>526</v>
      </c>
      <c r="D266" s="89" t="s">
        <v>131</v>
      </c>
      <c r="E266" s="90">
        <v>1</v>
      </c>
      <c r="F266" s="91"/>
      <c r="G266" s="91"/>
      <c r="H266" s="91"/>
      <c r="I266" s="91">
        <f t="shared" si="129"/>
        <v>0</v>
      </c>
      <c r="J266" s="91">
        <f t="shared" si="130"/>
        <v>1</v>
      </c>
      <c r="K266" s="80">
        <v>180</v>
      </c>
      <c r="L266" s="81">
        <f t="shared" si="127"/>
        <v>228.16801980000002</v>
      </c>
      <c r="M266" s="82">
        <f t="shared" si="147"/>
        <v>0</v>
      </c>
      <c r="N266" s="82">
        <f t="shared" si="148"/>
        <v>0</v>
      </c>
      <c r="O266" s="82">
        <f t="shared" si="149"/>
        <v>0</v>
      </c>
      <c r="P266" s="80">
        <f t="shared" si="150"/>
        <v>180</v>
      </c>
      <c r="Q266" s="82">
        <f t="shared" si="151"/>
        <v>228.16</v>
      </c>
      <c r="R266" s="82">
        <f t="shared" si="152"/>
        <v>228.16</v>
      </c>
    </row>
    <row r="267" spans="2:18" s="34" customFormat="1" ht="23.4">
      <c r="B267" s="87" t="s">
        <v>527</v>
      </c>
      <c r="C267" s="88" t="s">
        <v>528</v>
      </c>
      <c r="D267" s="89" t="s">
        <v>131</v>
      </c>
      <c r="E267" s="90">
        <v>4</v>
      </c>
      <c r="F267" s="91"/>
      <c r="G267" s="91"/>
      <c r="H267" s="91"/>
      <c r="I267" s="91">
        <f t="shared" si="129"/>
        <v>0</v>
      </c>
      <c r="J267" s="91">
        <f t="shared" si="130"/>
        <v>4</v>
      </c>
      <c r="K267" s="80">
        <v>180</v>
      </c>
      <c r="L267" s="81">
        <f t="shared" si="127"/>
        <v>228.16801980000002</v>
      </c>
      <c r="M267" s="82">
        <f t="shared" si="147"/>
        <v>0</v>
      </c>
      <c r="N267" s="82">
        <f t="shared" si="148"/>
        <v>0</v>
      </c>
      <c r="O267" s="82">
        <f t="shared" si="149"/>
        <v>0</v>
      </c>
      <c r="P267" s="80">
        <f t="shared" si="150"/>
        <v>720</v>
      </c>
      <c r="Q267" s="82">
        <f t="shared" si="151"/>
        <v>912.67</v>
      </c>
      <c r="R267" s="82">
        <f t="shared" si="152"/>
        <v>912.67</v>
      </c>
    </row>
    <row r="268" spans="2:18" s="34" customFormat="1" ht="23.4">
      <c r="B268" s="87" t="s">
        <v>529</v>
      </c>
      <c r="C268" s="88" t="s">
        <v>530</v>
      </c>
      <c r="D268" s="89" t="s">
        <v>131</v>
      </c>
      <c r="E268" s="90">
        <v>11</v>
      </c>
      <c r="F268" s="91"/>
      <c r="G268" s="91"/>
      <c r="H268" s="91"/>
      <c r="I268" s="91">
        <f t="shared" si="129"/>
        <v>0</v>
      </c>
      <c r="J268" s="91">
        <f t="shared" si="130"/>
        <v>11</v>
      </c>
      <c r="K268" s="80">
        <v>280</v>
      </c>
      <c r="L268" s="81">
        <f t="shared" si="127"/>
        <v>354.92803079999999</v>
      </c>
      <c r="M268" s="82">
        <f t="shared" si="147"/>
        <v>0</v>
      </c>
      <c r="N268" s="82">
        <f t="shared" si="148"/>
        <v>0</v>
      </c>
      <c r="O268" s="82">
        <f t="shared" si="149"/>
        <v>0</v>
      </c>
      <c r="P268" s="80">
        <f t="shared" si="150"/>
        <v>3080</v>
      </c>
      <c r="Q268" s="82">
        <f t="shared" si="151"/>
        <v>3904.2</v>
      </c>
      <c r="R268" s="82">
        <f t="shared" si="152"/>
        <v>3904.2</v>
      </c>
    </row>
    <row r="269" spans="2:18" s="34" customFormat="1" ht="23.4">
      <c r="B269" s="87" t="s">
        <v>531</v>
      </c>
      <c r="C269" s="88" t="s">
        <v>532</v>
      </c>
      <c r="D269" s="89" t="s">
        <v>131</v>
      </c>
      <c r="E269" s="90">
        <v>4</v>
      </c>
      <c r="F269" s="91"/>
      <c r="G269" s="91"/>
      <c r="H269" s="91"/>
      <c r="I269" s="91">
        <f t="shared" si="129"/>
        <v>0</v>
      </c>
      <c r="J269" s="91">
        <f t="shared" si="130"/>
        <v>4</v>
      </c>
      <c r="K269" s="80">
        <v>380</v>
      </c>
      <c r="L269" s="81">
        <f t="shared" si="127"/>
        <v>481.68804180000001</v>
      </c>
      <c r="M269" s="82">
        <f t="shared" si="147"/>
        <v>0</v>
      </c>
      <c r="N269" s="82">
        <f t="shared" si="148"/>
        <v>0</v>
      </c>
      <c r="O269" s="82">
        <f t="shared" si="149"/>
        <v>0</v>
      </c>
      <c r="P269" s="80">
        <f t="shared" si="150"/>
        <v>1520</v>
      </c>
      <c r="Q269" s="82">
        <f t="shared" si="151"/>
        <v>1926.75</v>
      </c>
      <c r="R269" s="82">
        <f t="shared" si="152"/>
        <v>1926.75</v>
      </c>
    </row>
    <row r="270" spans="2:18" s="34" customFormat="1" ht="23.4">
      <c r="B270" s="87" t="s">
        <v>533</v>
      </c>
      <c r="C270" s="88" t="s">
        <v>534</v>
      </c>
      <c r="D270" s="89" t="s">
        <v>131</v>
      </c>
      <c r="E270" s="90">
        <v>1</v>
      </c>
      <c r="F270" s="91"/>
      <c r="G270" s="91"/>
      <c r="H270" s="91"/>
      <c r="I270" s="91">
        <f t="shared" si="129"/>
        <v>0</v>
      </c>
      <c r="J270" s="91">
        <f t="shared" si="130"/>
        <v>1</v>
      </c>
      <c r="K270" s="80">
        <v>600</v>
      </c>
      <c r="L270" s="81">
        <f t="shared" si="127"/>
        <v>760.56006600000001</v>
      </c>
      <c r="M270" s="82">
        <f t="shared" si="147"/>
        <v>0</v>
      </c>
      <c r="N270" s="82">
        <f t="shared" si="148"/>
        <v>0</v>
      </c>
      <c r="O270" s="82">
        <f t="shared" si="149"/>
        <v>0</v>
      </c>
      <c r="P270" s="80">
        <f t="shared" si="150"/>
        <v>600</v>
      </c>
      <c r="Q270" s="82">
        <f t="shared" si="151"/>
        <v>760.56</v>
      </c>
      <c r="R270" s="82">
        <f t="shared" si="152"/>
        <v>760.56</v>
      </c>
    </row>
    <row r="271" spans="2:18" s="34" customFormat="1" ht="13.2">
      <c r="B271" s="87" t="s">
        <v>535</v>
      </c>
      <c r="C271" s="88" t="s">
        <v>536</v>
      </c>
      <c r="D271" s="89" t="s">
        <v>131</v>
      </c>
      <c r="E271" s="90">
        <v>1</v>
      </c>
      <c r="F271" s="91"/>
      <c r="G271" s="91"/>
      <c r="H271" s="91"/>
      <c r="I271" s="91">
        <f t="shared" si="129"/>
        <v>0</v>
      </c>
      <c r="J271" s="91">
        <f t="shared" si="130"/>
        <v>1</v>
      </c>
      <c r="K271" s="80">
        <v>350</v>
      </c>
      <c r="L271" s="81">
        <f t="shared" si="127"/>
        <v>443.66003850000004</v>
      </c>
      <c r="M271" s="82">
        <f t="shared" si="147"/>
        <v>0</v>
      </c>
      <c r="N271" s="82">
        <f t="shared" si="148"/>
        <v>0</v>
      </c>
      <c r="O271" s="82">
        <f t="shared" si="149"/>
        <v>0</v>
      </c>
      <c r="P271" s="80">
        <f t="shared" si="150"/>
        <v>350</v>
      </c>
      <c r="Q271" s="82">
        <f t="shared" si="151"/>
        <v>443.66</v>
      </c>
      <c r="R271" s="82">
        <f t="shared" si="152"/>
        <v>443.66</v>
      </c>
    </row>
    <row r="272" spans="2:18" s="34" customFormat="1" ht="13.2">
      <c r="B272" s="87" t="s">
        <v>537</v>
      </c>
      <c r="C272" s="88" t="s">
        <v>538</v>
      </c>
      <c r="D272" s="89" t="s">
        <v>131</v>
      </c>
      <c r="E272" s="90">
        <v>6</v>
      </c>
      <c r="F272" s="91"/>
      <c r="G272" s="91"/>
      <c r="H272" s="91"/>
      <c r="I272" s="91">
        <f t="shared" si="129"/>
        <v>0</v>
      </c>
      <c r="J272" s="91">
        <f t="shared" si="130"/>
        <v>6</v>
      </c>
      <c r="K272" s="80">
        <v>450</v>
      </c>
      <c r="L272" s="81">
        <f t="shared" si="127"/>
        <v>570.4200495</v>
      </c>
      <c r="M272" s="82">
        <f t="shared" si="147"/>
        <v>0</v>
      </c>
      <c r="N272" s="82">
        <f t="shared" si="148"/>
        <v>0</v>
      </c>
      <c r="O272" s="82">
        <f t="shared" si="149"/>
        <v>0</v>
      </c>
      <c r="P272" s="80">
        <f t="shared" si="150"/>
        <v>2700</v>
      </c>
      <c r="Q272" s="82">
        <f t="shared" si="151"/>
        <v>3422.52</v>
      </c>
      <c r="R272" s="82">
        <f t="shared" si="152"/>
        <v>3422.52</v>
      </c>
    </row>
    <row r="273" spans="2:18" s="34" customFormat="1" ht="23.4">
      <c r="B273" s="87" t="s">
        <v>539</v>
      </c>
      <c r="C273" s="88" t="s">
        <v>540</v>
      </c>
      <c r="D273" s="89" t="s">
        <v>131</v>
      </c>
      <c r="E273" s="90">
        <v>1</v>
      </c>
      <c r="F273" s="91"/>
      <c r="G273" s="91"/>
      <c r="H273" s="91"/>
      <c r="I273" s="91">
        <f t="shared" si="129"/>
        <v>0</v>
      </c>
      <c r="J273" s="91">
        <f t="shared" si="130"/>
        <v>1</v>
      </c>
      <c r="K273" s="80">
        <v>750</v>
      </c>
      <c r="L273" s="81">
        <f t="shared" si="127"/>
        <v>950.70008250000001</v>
      </c>
      <c r="M273" s="82">
        <f t="shared" si="147"/>
        <v>0</v>
      </c>
      <c r="N273" s="82">
        <f t="shared" si="148"/>
        <v>0</v>
      </c>
      <c r="O273" s="82">
        <f t="shared" si="149"/>
        <v>0</v>
      </c>
      <c r="P273" s="80">
        <f t="shared" si="150"/>
        <v>750</v>
      </c>
      <c r="Q273" s="82">
        <f t="shared" si="151"/>
        <v>950.7</v>
      </c>
      <c r="R273" s="82">
        <f t="shared" si="152"/>
        <v>950.7</v>
      </c>
    </row>
    <row r="274" spans="2:18" s="34" customFormat="1" ht="34.799999999999997">
      <c r="B274" s="87" t="s">
        <v>541</v>
      </c>
      <c r="C274" s="88" t="s">
        <v>542</v>
      </c>
      <c r="D274" s="89" t="s">
        <v>131</v>
      </c>
      <c r="E274" s="90">
        <v>7</v>
      </c>
      <c r="F274" s="91"/>
      <c r="G274" s="91"/>
      <c r="H274" s="91"/>
      <c r="I274" s="91">
        <f t="shared" si="129"/>
        <v>0</v>
      </c>
      <c r="J274" s="91">
        <f t="shared" si="130"/>
        <v>7</v>
      </c>
      <c r="K274" s="80">
        <v>20</v>
      </c>
      <c r="L274" s="81">
        <f t="shared" si="127"/>
        <v>25.352002200000001</v>
      </c>
      <c r="M274" s="82">
        <f t="shared" si="147"/>
        <v>0</v>
      </c>
      <c r="N274" s="82">
        <f t="shared" si="148"/>
        <v>0</v>
      </c>
      <c r="O274" s="82">
        <f t="shared" si="149"/>
        <v>0</v>
      </c>
      <c r="P274" s="80">
        <f t="shared" si="150"/>
        <v>140</v>
      </c>
      <c r="Q274" s="82">
        <f t="shared" si="151"/>
        <v>177.46</v>
      </c>
      <c r="R274" s="82">
        <f t="shared" si="152"/>
        <v>177.46</v>
      </c>
    </row>
    <row r="275" spans="2:18" s="34" customFormat="1" ht="34.799999999999997">
      <c r="B275" s="87" t="s">
        <v>543</v>
      </c>
      <c r="C275" s="88" t="s">
        <v>544</v>
      </c>
      <c r="D275" s="89" t="s">
        <v>131</v>
      </c>
      <c r="E275" s="90">
        <v>17</v>
      </c>
      <c r="F275" s="91"/>
      <c r="G275" s="91"/>
      <c r="H275" s="91"/>
      <c r="I275" s="91">
        <f t="shared" si="129"/>
        <v>0</v>
      </c>
      <c r="J275" s="91">
        <f t="shared" si="130"/>
        <v>17</v>
      </c>
      <c r="K275" s="80">
        <v>20</v>
      </c>
      <c r="L275" s="81">
        <f t="shared" si="127"/>
        <v>25.352002200000001</v>
      </c>
      <c r="M275" s="82">
        <f t="shared" si="147"/>
        <v>0</v>
      </c>
      <c r="N275" s="82">
        <f t="shared" si="148"/>
        <v>0</v>
      </c>
      <c r="O275" s="82">
        <f t="shared" si="149"/>
        <v>0</v>
      </c>
      <c r="P275" s="80">
        <f t="shared" si="150"/>
        <v>340</v>
      </c>
      <c r="Q275" s="82">
        <f t="shared" si="151"/>
        <v>430.98</v>
      </c>
      <c r="R275" s="82">
        <f t="shared" si="152"/>
        <v>430.98</v>
      </c>
    </row>
    <row r="276" spans="2:18" s="34" customFormat="1" ht="23.4">
      <c r="B276" s="87" t="s">
        <v>545</v>
      </c>
      <c r="C276" s="88" t="s">
        <v>546</v>
      </c>
      <c r="D276" s="89" t="s">
        <v>131</v>
      </c>
      <c r="E276" s="90">
        <v>71</v>
      </c>
      <c r="F276" s="91"/>
      <c r="G276" s="91"/>
      <c r="H276" s="91"/>
      <c r="I276" s="91">
        <f t="shared" si="129"/>
        <v>0</v>
      </c>
      <c r="J276" s="91">
        <f t="shared" si="130"/>
        <v>71</v>
      </c>
      <c r="K276" s="80">
        <v>20</v>
      </c>
      <c r="L276" s="81">
        <f t="shared" si="127"/>
        <v>25.352002200000001</v>
      </c>
      <c r="M276" s="82">
        <f t="shared" si="147"/>
        <v>0</v>
      </c>
      <c r="N276" s="82">
        <f t="shared" si="148"/>
        <v>0</v>
      </c>
      <c r="O276" s="82">
        <f t="shared" si="149"/>
        <v>0</v>
      </c>
      <c r="P276" s="80">
        <f t="shared" si="150"/>
        <v>1420</v>
      </c>
      <c r="Q276" s="82">
        <f t="shared" si="151"/>
        <v>1799.99</v>
      </c>
      <c r="R276" s="82">
        <f t="shared" si="152"/>
        <v>1799.99</v>
      </c>
    </row>
    <row r="277" spans="2:18" s="34" customFormat="1" ht="23.4">
      <c r="B277" s="87" t="s">
        <v>547</v>
      </c>
      <c r="C277" s="88" t="s">
        <v>548</v>
      </c>
      <c r="D277" s="89" t="s">
        <v>131</v>
      </c>
      <c r="E277" s="90">
        <v>179</v>
      </c>
      <c r="F277" s="91"/>
      <c r="G277" s="91"/>
      <c r="H277" s="91"/>
      <c r="I277" s="91">
        <f t="shared" si="129"/>
        <v>0</v>
      </c>
      <c r="J277" s="91">
        <f t="shared" si="130"/>
        <v>179</v>
      </c>
      <c r="K277" s="80">
        <v>20</v>
      </c>
      <c r="L277" s="81">
        <f t="shared" si="127"/>
        <v>25.352002200000001</v>
      </c>
      <c r="M277" s="82">
        <f t="shared" si="147"/>
        <v>0</v>
      </c>
      <c r="N277" s="82">
        <f t="shared" si="148"/>
        <v>0</v>
      </c>
      <c r="O277" s="82">
        <f t="shared" si="149"/>
        <v>0</v>
      </c>
      <c r="P277" s="80">
        <f t="shared" si="150"/>
        <v>3580</v>
      </c>
      <c r="Q277" s="82">
        <f t="shared" si="151"/>
        <v>4538</v>
      </c>
      <c r="R277" s="82">
        <f t="shared" si="152"/>
        <v>4538</v>
      </c>
    </row>
    <row r="278" spans="2:18" s="34" customFormat="1" ht="34.799999999999997">
      <c r="B278" s="87" t="s">
        <v>549</v>
      </c>
      <c r="C278" s="88" t="s">
        <v>550</v>
      </c>
      <c r="D278" s="89" t="s">
        <v>131</v>
      </c>
      <c r="E278" s="90">
        <v>1</v>
      </c>
      <c r="F278" s="91"/>
      <c r="G278" s="91"/>
      <c r="H278" s="91"/>
      <c r="I278" s="91">
        <f t="shared" si="129"/>
        <v>0</v>
      </c>
      <c r="J278" s="91">
        <f t="shared" si="130"/>
        <v>1</v>
      </c>
      <c r="K278" s="80">
        <v>25</v>
      </c>
      <c r="L278" s="81">
        <f t="shared" si="127"/>
        <v>31.690002750000001</v>
      </c>
      <c r="M278" s="82">
        <f t="shared" si="147"/>
        <v>0</v>
      </c>
      <c r="N278" s="82">
        <f t="shared" si="148"/>
        <v>0</v>
      </c>
      <c r="O278" s="82">
        <f t="shared" si="149"/>
        <v>0</v>
      </c>
      <c r="P278" s="80">
        <f t="shared" si="150"/>
        <v>25</v>
      </c>
      <c r="Q278" s="82">
        <f t="shared" si="151"/>
        <v>31.69</v>
      </c>
      <c r="R278" s="82">
        <f t="shared" si="152"/>
        <v>31.69</v>
      </c>
    </row>
    <row r="279" spans="2:18" s="34" customFormat="1" ht="34.799999999999997">
      <c r="B279" s="87" t="s">
        <v>551</v>
      </c>
      <c r="C279" s="88" t="s">
        <v>552</v>
      </c>
      <c r="D279" s="89" t="s">
        <v>131</v>
      </c>
      <c r="E279" s="90">
        <v>8</v>
      </c>
      <c r="F279" s="91"/>
      <c r="G279" s="91"/>
      <c r="H279" s="91"/>
      <c r="I279" s="91">
        <f t="shared" si="129"/>
        <v>0</v>
      </c>
      <c r="J279" s="91">
        <f t="shared" si="130"/>
        <v>8</v>
      </c>
      <c r="K279" s="80">
        <v>25</v>
      </c>
      <c r="L279" s="81">
        <f t="shared" si="127"/>
        <v>31.690002750000001</v>
      </c>
      <c r="M279" s="82">
        <f t="shared" si="147"/>
        <v>0</v>
      </c>
      <c r="N279" s="82">
        <f t="shared" si="148"/>
        <v>0</v>
      </c>
      <c r="O279" s="82">
        <f t="shared" si="149"/>
        <v>0</v>
      </c>
      <c r="P279" s="80">
        <f t="shared" si="150"/>
        <v>200</v>
      </c>
      <c r="Q279" s="82">
        <f t="shared" si="151"/>
        <v>253.52</v>
      </c>
      <c r="R279" s="82">
        <f t="shared" si="152"/>
        <v>253.52</v>
      </c>
    </row>
    <row r="280" spans="2:18" s="34" customFormat="1" ht="34.799999999999997">
      <c r="B280" s="87" t="s">
        <v>553</v>
      </c>
      <c r="C280" s="88" t="s">
        <v>554</v>
      </c>
      <c r="D280" s="89" t="s">
        <v>131</v>
      </c>
      <c r="E280" s="90">
        <v>14</v>
      </c>
      <c r="F280" s="91"/>
      <c r="G280" s="91"/>
      <c r="H280" s="91"/>
      <c r="I280" s="91">
        <f t="shared" si="129"/>
        <v>0</v>
      </c>
      <c r="J280" s="91">
        <f t="shared" si="130"/>
        <v>14</v>
      </c>
      <c r="K280" s="80">
        <v>25</v>
      </c>
      <c r="L280" s="81">
        <f t="shared" si="127"/>
        <v>31.690002750000001</v>
      </c>
      <c r="M280" s="82">
        <f t="shared" si="147"/>
        <v>0</v>
      </c>
      <c r="N280" s="82">
        <f t="shared" si="148"/>
        <v>0</v>
      </c>
      <c r="O280" s="82">
        <f t="shared" si="149"/>
        <v>0</v>
      </c>
      <c r="P280" s="80">
        <f t="shared" si="150"/>
        <v>350</v>
      </c>
      <c r="Q280" s="82">
        <f t="shared" si="151"/>
        <v>443.66</v>
      </c>
      <c r="R280" s="82">
        <f t="shared" si="152"/>
        <v>443.66</v>
      </c>
    </row>
    <row r="281" spans="2:18" s="34" customFormat="1" ht="34.799999999999997">
      <c r="B281" s="87" t="s">
        <v>555</v>
      </c>
      <c r="C281" s="88" t="s">
        <v>556</v>
      </c>
      <c r="D281" s="89" t="s">
        <v>131</v>
      </c>
      <c r="E281" s="90">
        <v>5</v>
      </c>
      <c r="F281" s="91"/>
      <c r="G281" s="91"/>
      <c r="H281" s="91"/>
      <c r="I281" s="91">
        <f t="shared" si="129"/>
        <v>0</v>
      </c>
      <c r="J281" s="91">
        <f t="shared" si="130"/>
        <v>5</v>
      </c>
      <c r="K281" s="80">
        <v>30</v>
      </c>
      <c r="L281" s="81">
        <f t="shared" si="127"/>
        <v>38.028003300000002</v>
      </c>
      <c r="M281" s="82">
        <f t="shared" si="147"/>
        <v>0</v>
      </c>
      <c r="N281" s="82">
        <f t="shared" si="148"/>
        <v>0</v>
      </c>
      <c r="O281" s="82">
        <f t="shared" si="149"/>
        <v>0</v>
      </c>
      <c r="P281" s="80">
        <f t="shared" si="150"/>
        <v>150</v>
      </c>
      <c r="Q281" s="82">
        <f t="shared" si="151"/>
        <v>190.14</v>
      </c>
      <c r="R281" s="82">
        <f t="shared" si="152"/>
        <v>190.14</v>
      </c>
    </row>
    <row r="282" spans="2:18" s="34" customFormat="1" ht="34.799999999999997">
      <c r="B282" s="87" t="s">
        <v>557</v>
      </c>
      <c r="C282" s="88" t="s">
        <v>558</v>
      </c>
      <c r="D282" s="89" t="s">
        <v>131</v>
      </c>
      <c r="E282" s="90">
        <v>4</v>
      </c>
      <c r="F282" s="91"/>
      <c r="G282" s="91"/>
      <c r="H282" s="91"/>
      <c r="I282" s="91">
        <f t="shared" si="129"/>
        <v>0</v>
      </c>
      <c r="J282" s="91">
        <f t="shared" si="130"/>
        <v>4</v>
      </c>
      <c r="K282" s="80">
        <v>40</v>
      </c>
      <c r="L282" s="81">
        <f t="shared" si="127"/>
        <v>50.704004400000002</v>
      </c>
      <c r="M282" s="82">
        <f t="shared" si="147"/>
        <v>0</v>
      </c>
      <c r="N282" s="82">
        <f t="shared" si="148"/>
        <v>0</v>
      </c>
      <c r="O282" s="82">
        <f t="shared" si="149"/>
        <v>0</v>
      </c>
      <c r="P282" s="80">
        <f t="shared" si="150"/>
        <v>160</v>
      </c>
      <c r="Q282" s="82">
        <f t="shared" si="151"/>
        <v>202.81</v>
      </c>
      <c r="R282" s="82">
        <f t="shared" si="152"/>
        <v>202.81</v>
      </c>
    </row>
    <row r="283" spans="2:18" s="34" customFormat="1" ht="34.799999999999997">
      <c r="B283" s="87" t="s">
        <v>559</v>
      </c>
      <c r="C283" s="88" t="s">
        <v>560</v>
      </c>
      <c r="D283" s="89" t="s">
        <v>131</v>
      </c>
      <c r="E283" s="90">
        <v>4</v>
      </c>
      <c r="F283" s="91"/>
      <c r="G283" s="91"/>
      <c r="H283" s="91"/>
      <c r="I283" s="91">
        <f t="shared" si="129"/>
        <v>0</v>
      </c>
      <c r="J283" s="91">
        <f t="shared" si="130"/>
        <v>4</v>
      </c>
      <c r="K283" s="80">
        <v>50</v>
      </c>
      <c r="L283" s="81">
        <f t="shared" si="127"/>
        <v>63.380005500000003</v>
      </c>
      <c r="M283" s="82">
        <f t="shared" si="147"/>
        <v>0</v>
      </c>
      <c r="N283" s="82">
        <f t="shared" si="148"/>
        <v>0</v>
      </c>
      <c r="O283" s="82">
        <f t="shared" si="149"/>
        <v>0</v>
      </c>
      <c r="P283" s="80">
        <f t="shared" si="150"/>
        <v>200</v>
      </c>
      <c r="Q283" s="82">
        <f t="shared" si="151"/>
        <v>253.52</v>
      </c>
      <c r="R283" s="82">
        <f t="shared" si="152"/>
        <v>253.52</v>
      </c>
    </row>
    <row r="284" spans="2:18" s="34" customFormat="1" ht="34.799999999999997">
      <c r="B284" s="87" t="s">
        <v>561</v>
      </c>
      <c r="C284" s="88" t="s">
        <v>562</v>
      </c>
      <c r="D284" s="89" t="s">
        <v>131</v>
      </c>
      <c r="E284" s="90">
        <v>1</v>
      </c>
      <c r="F284" s="91"/>
      <c r="G284" s="91"/>
      <c r="H284" s="91"/>
      <c r="I284" s="91">
        <f t="shared" si="129"/>
        <v>0</v>
      </c>
      <c r="J284" s="91">
        <f t="shared" si="130"/>
        <v>1</v>
      </c>
      <c r="K284" s="80">
        <v>80</v>
      </c>
      <c r="L284" s="81">
        <f t="shared" si="127"/>
        <v>101.4080088</v>
      </c>
      <c r="M284" s="82">
        <f t="shared" si="147"/>
        <v>0</v>
      </c>
      <c r="N284" s="82">
        <f t="shared" si="148"/>
        <v>0</v>
      </c>
      <c r="O284" s="82">
        <f t="shared" si="149"/>
        <v>0</v>
      </c>
      <c r="P284" s="80">
        <f t="shared" si="150"/>
        <v>80</v>
      </c>
      <c r="Q284" s="82">
        <f t="shared" si="151"/>
        <v>101.4</v>
      </c>
      <c r="R284" s="82">
        <f t="shared" si="152"/>
        <v>101.4</v>
      </c>
    </row>
    <row r="285" spans="2:18" s="34" customFormat="1" ht="23.4">
      <c r="B285" s="87" t="s">
        <v>563</v>
      </c>
      <c r="C285" s="88" t="s">
        <v>564</v>
      </c>
      <c r="D285" s="89" t="s">
        <v>131</v>
      </c>
      <c r="E285" s="90">
        <v>9</v>
      </c>
      <c r="F285" s="91"/>
      <c r="G285" s="91"/>
      <c r="H285" s="91"/>
      <c r="I285" s="91">
        <f t="shared" si="129"/>
        <v>0</v>
      </c>
      <c r="J285" s="91">
        <f t="shared" si="130"/>
        <v>9</v>
      </c>
      <c r="K285" s="80">
        <v>89</v>
      </c>
      <c r="L285" s="81">
        <f t="shared" ref="L285:L348" si="153">K285*(1+$T$26)</f>
        <v>112.81640979000001</v>
      </c>
      <c r="M285" s="82">
        <f t="shared" si="147"/>
        <v>0</v>
      </c>
      <c r="N285" s="82">
        <f t="shared" si="148"/>
        <v>0</v>
      </c>
      <c r="O285" s="82">
        <f t="shared" si="149"/>
        <v>0</v>
      </c>
      <c r="P285" s="80">
        <f t="shared" si="150"/>
        <v>801</v>
      </c>
      <c r="Q285" s="82">
        <f t="shared" si="151"/>
        <v>1015.34</v>
      </c>
      <c r="R285" s="82">
        <f t="shared" si="152"/>
        <v>1015.34</v>
      </c>
    </row>
    <row r="286" spans="2:18" s="34" customFormat="1" ht="23.4">
      <c r="B286" s="87" t="s">
        <v>565</v>
      </c>
      <c r="C286" s="88" t="s">
        <v>566</v>
      </c>
      <c r="D286" s="89" t="s">
        <v>131</v>
      </c>
      <c r="E286" s="90">
        <v>4</v>
      </c>
      <c r="F286" s="91"/>
      <c r="G286" s="91"/>
      <c r="H286" s="91"/>
      <c r="I286" s="91">
        <f t="shared" si="129"/>
        <v>0</v>
      </c>
      <c r="J286" s="91">
        <f t="shared" si="130"/>
        <v>4</v>
      </c>
      <c r="K286" s="80">
        <v>89</v>
      </c>
      <c r="L286" s="81">
        <f t="shared" si="153"/>
        <v>112.81640979000001</v>
      </c>
      <c r="M286" s="82">
        <f t="shared" si="147"/>
        <v>0</v>
      </c>
      <c r="N286" s="82">
        <f t="shared" si="148"/>
        <v>0</v>
      </c>
      <c r="O286" s="82">
        <f t="shared" si="149"/>
        <v>0</v>
      </c>
      <c r="P286" s="80">
        <f t="shared" si="150"/>
        <v>356</v>
      </c>
      <c r="Q286" s="82">
        <f t="shared" si="151"/>
        <v>451.26</v>
      </c>
      <c r="R286" s="82">
        <f t="shared" si="152"/>
        <v>451.26</v>
      </c>
    </row>
    <row r="287" spans="2:18" s="34" customFormat="1" ht="23.4">
      <c r="B287" s="87" t="s">
        <v>567</v>
      </c>
      <c r="C287" s="88" t="s">
        <v>568</v>
      </c>
      <c r="D287" s="89" t="s">
        <v>131</v>
      </c>
      <c r="E287" s="90">
        <v>12</v>
      </c>
      <c r="F287" s="91"/>
      <c r="G287" s="91"/>
      <c r="H287" s="91"/>
      <c r="I287" s="91">
        <f t="shared" ref="I287:I350" si="154">SUM(G287:H287)</f>
        <v>0</v>
      </c>
      <c r="J287" s="91">
        <f t="shared" ref="J287:J350" si="155">E287-I287</f>
        <v>12</v>
      </c>
      <c r="K287" s="80">
        <v>89</v>
      </c>
      <c r="L287" s="81">
        <f t="shared" si="153"/>
        <v>112.81640979000001</v>
      </c>
      <c r="M287" s="82">
        <f t="shared" si="147"/>
        <v>0</v>
      </c>
      <c r="N287" s="82">
        <f t="shared" si="148"/>
        <v>0</v>
      </c>
      <c r="O287" s="82">
        <f t="shared" si="149"/>
        <v>0</v>
      </c>
      <c r="P287" s="80">
        <f t="shared" si="150"/>
        <v>1068</v>
      </c>
      <c r="Q287" s="82">
        <f t="shared" si="151"/>
        <v>1353.79</v>
      </c>
      <c r="R287" s="82">
        <f t="shared" si="152"/>
        <v>1353.79</v>
      </c>
    </row>
    <row r="288" spans="2:18" s="34" customFormat="1" ht="23.4">
      <c r="B288" s="87" t="s">
        <v>569</v>
      </c>
      <c r="C288" s="88" t="s">
        <v>570</v>
      </c>
      <c r="D288" s="89" t="s">
        <v>131</v>
      </c>
      <c r="E288" s="90">
        <v>4</v>
      </c>
      <c r="F288" s="91"/>
      <c r="G288" s="91"/>
      <c r="H288" s="91"/>
      <c r="I288" s="91">
        <f t="shared" si="154"/>
        <v>0</v>
      </c>
      <c r="J288" s="91">
        <f t="shared" si="155"/>
        <v>4</v>
      </c>
      <c r="K288" s="80">
        <v>89</v>
      </c>
      <c r="L288" s="81">
        <f t="shared" si="153"/>
        <v>112.81640979000001</v>
      </c>
      <c r="M288" s="82">
        <f t="shared" si="147"/>
        <v>0</v>
      </c>
      <c r="N288" s="82">
        <f t="shared" si="148"/>
        <v>0</v>
      </c>
      <c r="O288" s="82">
        <f t="shared" si="149"/>
        <v>0</v>
      </c>
      <c r="P288" s="80">
        <f t="shared" si="150"/>
        <v>356</v>
      </c>
      <c r="Q288" s="82">
        <f t="shared" si="151"/>
        <v>451.26</v>
      </c>
      <c r="R288" s="82">
        <f t="shared" si="152"/>
        <v>451.26</v>
      </c>
    </row>
    <row r="289" spans="2:18" s="34" customFormat="1" ht="23.4">
      <c r="B289" s="87" t="s">
        <v>571</v>
      </c>
      <c r="C289" s="88" t="s">
        <v>572</v>
      </c>
      <c r="D289" s="89" t="s">
        <v>131</v>
      </c>
      <c r="E289" s="90">
        <v>1</v>
      </c>
      <c r="F289" s="91"/>
      <c r="G289" s="91"/>
      <c r="H289" s="91"/>
      <c r="I289" s="91">
        <f t="shared" si="154"/>
        <v>0</v>
      </c>
      <c r="J289" s="91">
        <f t="shared" si="155"/>
        <v>1</v>
      </c>
      <c r="K289" s="80">
        <v>110</v>
      </c>
      <c r="L289" s="81">
        <f t="shared" si="153"/>
        <v>139.4360121</v>
      </c>
      <c r="M289" s="82">
        <f t="shared" si="147"/>
        <v>0</v>
      </c>
      <c r="N289" s="82">
        <f t="shared" si="148"/>
        <v>0</v>
      </c>
      <c r="O289" s="82">
        <f t="shared" si="149"/>
        <v>0</v>
      </c>
      <c r="P289" s="80">
        <f t="shared" si="150"/>
        <v>110</v>
      </c>
      <c r="Q289" s="82">
        <f t="shared" si="151"/>
        <v>139.43</v>
      </c>
      <c r="R289" s="82">
        <f t="shared" si="152"/>
        <v>139.43</v>
      </c>
    </row>
    <row r="290" spans="2:18" s="34" customFormat="1" ht="23.4">
      <c r="B290" s="87" t="s">
        <v>573</v>
      </c>
      <c r="C290" s="88" t="s">
        <v>574</v>
      </c>
      <c r="D290" s="89" t="s">
        <v>131</v>
      </c>
      <c r="E290" s="90">
        <v>1</v>
      </c>
      <c r="F290" s="91"/>
      <c r="G290" s="91"/>
      <c r="H290" s="91"/>
      <c r="I290" s="91">
        <f t="shared" si="154"/>
        <v>0</v>
      </c>
      <c r="J290" s="91">
        <f t="shared" si="155"/>
        <v>1</v>
      </c>
      <c r="K290" s="80">
        <v>115</v>
      </c>
      <c r="L290" s="81">
        <f t="shared" si="153"/>
        <v>145.77401265</v>
      </c>
      <c r="M290" s="82">
        <f t="shared" si="147"/>
        <v>0</v>
      </c>
      <c r="N290" s="82">
        <f t="shared" si="148"/>
        <v>0</v>
      </c>
      <c r="O290" s="82">
        <f t="shared" si="149"/>
        <v>0</v>
      </c>
      <c r="P290" s="80">
        <f t="shared" si="150"/>
        <v>115</v>
      </c>
      <c r="Q290" s="82">
        <f t="shared" si="151"/>
        <v>145.77000000000001</v>
      </c>
      <c r="R290" s="82">
        <f t="shared" si="152"/>
        <v>145.77000000000001</v>
      </c>
    </row>
    <row r="291" spans="2:18" s="34" customFormat="1" ht="13.2">
      <c r="B291" s="66" t="s">
        <v>575</v>
      </c>
      <c r="C291" s="67" t="s">
        <v>576</v>
      </c>
      <c r="D291" s="68"/>
      <c r="E291" s="69"/>
      <c r="F291" s="70"/>
      <c r="G291" s="70"/>
      <c r="H291" s="70"/>
      <c r="I291" s="70">
        <f t="shared" si="154"/>
        <v>0</v>
      </c>
      <c r="J291" s="70">
        <f t="shared" si="155"/>
        <v>0</v>
      </c>
      <c r="K291" s="71"/>
      <c r="L291" s="71">
        <f t="shared" si="153"/>
        <v>0</v>
      </c>
      <c r="M291" s="73">
        <f t="shared" ref="M291:R291" si="156">SUM(M292:M295)</f>
        <v>0</v>
      </c>
      <c r="N291" s="73">
        <f t="shared" si="156"/>
        <v>0</v>
      </c>
      <c r="O291" s="73">
        <f t="shared" si="156"/>
        <v>0</v>
      </c>
      <c r="P291" s="73">
        <f t="shared" si="156"/>
        <v>100820.55</v>
      </c>
      <c r="Q291" s="73">
        <f t="shared" si="156"/>
        <v>127800.12</v>
      </c>
      <c r="R291" s="73">
        <f t="shared" si="156"/>
        <v>127800.12</v>
      </c>
    </row>
    <row r="292" spans="2:18" s="34" customFormat="1" ht="34.799999999999997">
      <c r="B292" s="87" t="s">
        <v>577</v>
      </c>
      <c r="C292" s="88" t="s">
        <v>578</v>
      </c>
      <c r="D292" s="89" t="s">
        <v>131</v>
      </c>
      <c r="E292" s="90">
        <v>55</v>
      </c>
      <c r="F292" s="91"/>
      <c r="G292" s="91"/>
      <c r="H292" s="91"/>
      <c r="I292" s="91">
        <f t="shared" si="154"/>
        <v>0</v>
      </c>
      <c r="J292" s="91">
        <f t="shared" si="155"/>
        <v>55</v>
      </c>
      <c r="K292" s="80">
        <v>164.81</v>
      </c>
      <c r="L292" s="81">
        <f t="shared" si="153"/>
        <v>208.91317412910001</v>
      </c>
      <c r="M292" s="82">
        <f>TRUNC(F292*L292,2)</f>
        <v>0</v>
      </c>
      <c r="N292" s="82">
        <f>TRUNC(G292*L292,2)</f>
        <v>0</v>
      </c>
      <c r="O292" s="82">
        <f>N292</f>
        <v>0</v>
      </c>
      <c r="P292" s="80">
        <f>E292*K292</f>
        <v>9064.5499999999993</v>
      </c>
      <c r="Q292" s="82">
        <f>TRUNC(E292*L292,2)</f>
        <v>11490.22</v>
      </c>
      <c r="R292" s="82">
        <f>Q292-O292</f>
        <v>11490.22</v>
      </c>
    </row>
    <row r="293" spans="2:18" s="34" customFormat="1" ht="23.4">
      <c r="B293" s="87" t="s">
        <v>579</v>
      </c>
      <c r="C293" s="88" t="s">
        <v>580</v>
      </c>
      <c r="D293" s="89" t="s">
        <v>131</v>
      </c>
      <c r="E293" s="90">
        <v>887</v>
      </c>
      <c r="F293" s="91"/>
      <c r="G293" s="91"/>
      <c r="H293" s="91"/>
      <c r="I293" s="91">
        <f t="shared" si="154"/>
        <v>0</v>
      </c>
      <c r="J293" s="91">
        <f t="shared" si="155"/>
        <v>887</v>
      </c>
      <c r="K293" s="80">
        <v>98</v>
      </c>
      <c r="L293" s="81">
        <f t="shared" si="153"/>
        <v>124.22481078000001</v>
      </c>
      <c r="M293" s="82">
        <f>TRUNC(F293*L293,2)</f>
        <v>0</v>
      </c>
      <c r="N293" s="82">
        <f>TRUNC(G293*L293,2)</f>
        <v>0</v>
      </c>
      <c r="O293" s="82">
        <f>N293</f>
        <v>0</v>
      </c>
      <c r="P293" s="80">
        <f>E293*K293</f>
        <v>86926</v>
      </c>
      <c r="Q293" s="82">
        <f>TRUNC(E293*L293,2)</f>
        <v>110187.4</v>
      </c>
      <c r="R293" s="82">
        <f>Q293-O293</f>
        <v>110187.4</v>
      </c>
    </row>
    <row r="294" spans="2:18" s="34" customFormat="1" ht="23.4">
      <c r="B294" s="87" t="s">
        <v>581</v>
      </c>
      <c r="C294" s="88" t="s">
        <v>582</v>
      </c>
      <c r="D294" s="89" t="s">
        <v>131</v>
      </c>
      <c r="E294" s="90">
        <v>15</v>
      </c>
      <c r="F294" s="91"/>
      <c r="G294" s="91"/>
      <c r="H294" s="91"/>
      <c r="I294" s="91">
        <f t="shared" si="154"/>
        <v>0</v>
      </c>
      <c r="J294" s="91">
        <f t="shared" si="155"/>
        <v>15</v>
      </c>
      <c r="K294" s="80">
        <v>130</v>
      </c>
      <c r="L294" s="81">
        <f t="shared" si="153"/>
        <v>164.78801430000001</v>
      </c>
      <c r="M294" s="82">
        <f>TRUNC(F294*L294,2)</f>
        <v>0</v>
      </c>
      <c r="N294" s="82">
        <f>TRUNC(G294*L294,2)</f>
        <v>0</v>
      </c>
      <c r="O294" s="82">
        <f>N294</f>
        <v>0</v>
      </c>
      <c r="P294" s="80">
        <f>E294*K294</f>
        <v>1950</v>
      </c>
      <c r="Q294" s="82">
        <f>TRUNC(E294*L294,2)</f>
        <v>2471.8200000000002</v>
      </c>
      <c r="R294" s="82">
        <f>Q294-O294</f>
        <v>2471.8200000000002</v>
      </c>
    </row>
    <row r="295" spans="2:18" s="34" customFormat="1" ht="23.4">
      <c r="B295" s="87" t="s">
        <v>583</v>
      </c>
      <c r="C295" s="88" t="s">
        <v>584</v>
      </c>
      <c r="D295" s="89" t="s">
        <v>131</v>
      </c>
      <c r="E295" s="90">
        <v>32</v>
      </c>
      <c r="F295" s="91"/>
      <c r="G295" s="91"/>
      <c r="H295" s="91"/>
      <c r="I295" s="91">
        <f t="shared" si="154"/>
        <v>0</v>
      </c>
      <c r="J295" s="91">
        <f t="shared" si="155"/>
        <v>32</v>
      </c>
      <c r="K295" s="80">
        <v>90</v>
      </c>
      <c r="L295" s="81">
        <f t="shared" si="153"/>
        <v>114.08400990000001</v>
      </c>
      <c r="M295" s="82">
        <f>TRUNC(F295*L295,2)</f>
        <v>0</v>
      </c>
      <c r="N295" s="82">
        <f>TRUNC(G295*L295,2)</f>
        <v>0</v>
      </c>
      <c r="O295" s="82">
        <f>N295</f>
        <v>0</v>
      </c>
      <c r="P295" s="80">
        <f>E295*K295</f>
        <v>2880</v>
      </c>
      <c r="Q295" s="82">
        <f>TRUNC(E295*L295,2)</f>
        <v>3650.68</v>
      </c>
      <c r="R295" s="82">
        <f>Q295-O295</f>
        <v>3650.68</v>
      </c>
    </row>
    <row r="296" spans="2:18" s="34" customFormat="1" ht="13.2">
      <c r="B296" s="66" t="s">
        <v>585</v>
      </c>
      <c r="C296" s="67" t="s">
        <v>586</v>
      </c>
      <c r="D296" s="68"/>
      <c r="E296" s="69"/>
      <c r="F296" s="70"/>
      <c r="G296" s="70"/>
      <c r="H296" s="70"/>
      <c r="I296" s="70">
        <f t="shared" si="154"/>
        <v>0</v>
      </c>
      <c r="J296" s="70">
        <f t="shared" si="155"/>
        <v>0</v>
      </c>
      <c r="K296" s="71"/>
      <c r="L296" s="71">
        <f t="shared" si="153"/>
        <v>0</v>
      </c>
      <c r="M296" s="73">
        <f t="shared" ref="M296:R296" si="157">SUM(M297:M306)</f>
        <v>0</v>
      </c>
      <c r="N296" s="73">
        <f t="shared" si="157"/>
        <v>0</v>
      </c>
      <c r="O296" s="73">
        <f t="shared" si="157"/>
        <v>0</v>
      </c>
      <c r="P296" s="73">
        <f t="shared" si="157"/>
        <v>16787.3</v>
      </c>
      <c r="Q296" s="73">
        <f t="shared" si="157"/>
        <v>21279.56</v>
      </c>
      <c r="R296" s="73">
        <f t="shared" si="157"/>
        <v>21279.56</v>
      </c>
    </row>
    <row r="297" spans="2:18" s="34" customFormat="1" ht="34.799999999999997">
      <c r="B297" s="87" t="s">
        <v>587</v>
      </c>
      <c r="C297" s="88" t="s">
        <v>588</v>
      </c>
      <c r="D297" s="89" t="s">
        <v>131</v>
      </c>
      <c r="E297" s="90">
        <v>79</v>
      </c>
      <c r="F297" s="91"/>
      <c r="G297" s="91"/>
      <c r="H297" s="91"/>
      <c r="I297" s="91">
        <f t="shared" si="154"/>
        <v>0</v>
      </c>
      <c r="J297" s="91">
        <f t="shared" si="155"/>
        <v>79</v>
      </c>
      <c r="K297" s="80">
        <v>32</v>
      </c>
      <c r="L297" s="81">
        <f t="shared" si="153"/>
        <v>40.563203520000002</v>
      </c>
      <c r="M297" s="82">
        <f t="shared" ref="M297:M306" si="158">TRUNC(F297*L297,2)</f>
        <v>0</v>
      </c>
      <c r="N297" s="82">
        <f t="shared" ref="N297:N306" si="159">TRUNC(G297*L297,2)</f>
        <v>0</v>
      </c>
      <c r="O297" s="82">
        <f t="shared" ref="O297:O306" si="160">N297</f>
        <v>0</v>
      </c>
      <c r="P297" s="80">
        <f t="shared" ref="P297:P306" si="161">E297*K297</f>
        <v>2528</v>
      </c>
      <c r="Q297" s="82">
        <f t="shared" ref="Q297:Q306" si="162">TRUNC(E297*L297,2)</f>
        <v>3204.49</v>
      </c>
      <c r="R297" s="82">
        <f t="shared" ref="R297:R306" si="163">Q297-O297</f>
        <v>3204.49</v>
      </c>
    </row>
    <row r="298" spans="2:18" s="34" customFormat="1" ht="34.799999999999997">
      <c r="B298" s="87" t="s">
        <v>589</v>
      </c>
      <c r="C298" s="88" t="s">
        <v>590</v>
      </c>
      <c r="D298" s="89" t="s">
        <v>131</v>
      </c>
      <c r="E298" s="90">
        <v>73</v>
      </c>
      <c r="F298" s="91"/>
      <c r="G298" s="91"/>
      <c r="H298" s="91"/>
      <c r="I298" s="91">
        <f t="shared" si="154"/>
        <v>0</v>
      </c>
      <c r="J298" s="91">
        <f t="shared" si="155"/>
        <v>73</v>
      </c>
      <c r="K298" s="80">
        <v>38</v>
      </c>
      <c r="L298" s="81">
        <f t="shared" si="153"/>
        <v>48.168804180000002</v>
      </c>
      <c r="M298" s="82">
        <f t="shared" si="158"/>
        <v>0</v>
      </c>
      <c r="N298" s="82">
        <f t="shared" si="159"/>
        <v>0</v>
      </c>
      <c r="O298" s="82">
        <f t="shared" si="160"/>
        <v>0</v>
      </c>
      <c r="P298" s="80">
        <f t="shared" si="161"/>
        <v>2774</v>
      </c>
      <c r="Q298" s="82">
        <f t="shared" si="162"/>
        <v>3516.32</v>
      </c>
      <c r="R298" s="82">
        <f t="shared" si="163"/>
        <v>3516.32</v>
      </c>
    </row>
    <row r="299" spans="2:18" s="34" customFormat="1" ht="34.799999999999997">
      <c r="B299" s="87" t="s">
        <v>591</v>
      </c>
      <c r="C299" s="88" t="s">
        <v>592</v>
      </c>
      <c r="D299" s="89" t="s">
        <v>131</v>
      </c>
      <c r="E299" s="90">
        <v>34</v>
      </c>
      <c r="F299" s="91"/>
      <c r="G299" s="91"/>
      <c r="H299" s="91"/>
      <c r="I299" s="91">
        <f t="shared" si="154"/>
        <v>0</v>
      </c>
      <c r="J299" s="91">
        <f t="shared" si="155"/>
        <v>34</v>
      </c>
      <c r="K299" s="80">
        <v>58.95</v>
      </c>
      <c r="L299" s="81">
        <f t="shared" si="153"/>
        <v>74.725026484500006</v>
      </c>
      <c r="M299" s="82">
        <f t="shared" si="158"/>
        <v>0</v>
      </c>
      <c r="N299" s="82">
        <f t="shared" si="159"/>
        <v>0</v>
      </c>
      <c r="O299" s="82">
        <f t="shared" si="160"/>
        <v>0</v>
      </c>
      <c r="P299" s="80">
        <f t="shared" si="161"/>
        <v>2004.3000000000002</v>
      </c>
      <c r="Q299" s="82">
        <f t="shared" si="162"/>
        <v>2540.65</v>
      </c>
      <c r="R299" s="82">
        <f t="shared" si="163"/>
        <v>2540.65</v>
      </c>
    </row>
    <row r="300" spans="2:18" s="34" customFormat="1" ht="46.2">
      <c r="B300" s="87" t="s">
        <v>593</v>
      </c>
      <c r="C300" s="88" t="s">
        <v>594</v>
      </c>
      <c r="D300" s="89" t="s">
        <v>131</v>
      </c>
      <c r="E300" s="90">
        <v>55</v>
      </c>
      <c r="F300" s="91"/>
      <c r="G300" s="91"/>
      <c r="H300" s="91"/>
      <c r="I300" s="91">
        <f t="shared" si="154"/>
        <v>0</v>
      </c>
      <c r="J300" s="91">
        <f t="shared" si="155"/>
        <v>55</v>
      </c>
      <c r="K300" s="80">
        <v>50</v>
      </c>
      <c r="L300" s="81">
        <f t="shared" si="153"/>
        <v>63.380005500000003</v>
      </c>
      <c r="M300" s="82">
        <f t="shared" si="158"/>
        <v>0</v>
      </c>
      <c r="N300" s="82">
        <f t="shared" si="159"/>
        <v>0</v>
      </c>
      <c r="O300" s="82">
        <f t="shared" si="160"/>
        <v>0</v>
      </c>
      <c r="P300" s="80">
        <f t="shared" si="161"/>
        <v>2750</v>
      </c>
      <c r="Q300" s="82">
        <f t="shared" si="162"/>
        <v>3485.9</v>
      </c>
      <c r="R300" s="82">
        <f t="shared" si="163"/>
        <v>3485.9</v>
      </c>
    </row>
    <row r="301" spans="2:18" s="34" customFormat="1" ht="34.799999999999997">
      <c r="B301" s="87" t="s">
        <v>595</v>
      </c>
      <c r="C301" s="88" t="s">
        <v>596</v>
      </c>
      <c r="D301" s="89" t="s">
        <v>131</v>
      </c>
      <c r="E301" s="90">
        <v>41</v>
      </c>
      <c r="F301" s="91"/>
      <c r="G301" s="91"/>
      <c r="H301" s="91"/>
      <c r="I301" s="91">
        <f t="shared" si="154"/>
        <v>0</v>
      </c>
      <c r="J301" s="91">
        <f t="shared" si="155"/>
        <v>41</v>
      </c>
      <c r="K301" s="80">
        <v>52</v>
      </c>
      <c r="L301" s="81">
        <f t="shared" si="153"/>
        <v>65.915205720000003</v>
      </c>
      <c r="M301" s="82">
        <f t="shared" si="158"/>
        <v>0</v>
      </c>
      <c r="N301" s="82">
        <f t="shared" si="159"/>
        <v>0</v>
      </c>
      <c r="O301" s="82">
        <f t="shared" si="160"/>
        <v>0</v>
      </c>
      <c r="P301" s="80">
        <f t="shared" si="161"/>
        <v>2132</v>
      </c>
      <c r="Q301" s="82">
        <f t="shared" si="162"/>
        <v>2702.52</v>
      </c>
      <c r="R301" s="82">
        <f t="shared" si="163"/>
        <v>2702.52</v>
      </c>
    </row>
    <row r="302" spans="2:18" s="34" customFormat="1" ht="34.799999999999997">
      <c r="B302" s="87" t="s">
        <v>597</v>
      </c>
      <c r="C302" s="88" t="s">
        <v>598</v>
      </c>
      <c r="D302" s="89" t="s">
        <v>131</v>
      </c>
      <c r="E302" s="90">
        <v>3</v>
      </c>
      <c r="F302" s="91"/>
      <c r="G302" s="91"/>
      <c r="H302" s="91"/>
      <c r="I302" s="91">
        <f t="shared" si="154"/>
        <v>0</v>
      </c>
      <c r="J302" s="91">
        <f t="shared" si="155"/>
        <v>3</v>
      </c>
      <c r="K302" s="80">
        <v>51</v>
      </c>
      <c r="L302" s="81">
        <f t="shared" si="153"/>
        <v>64.647605609999999</v>
      </c>
      <c r="M302" s="82">
        <f t="shared" si="158"/>
        <v>0</v>
      </c>
      <c r="N302" s="82">
        <f t="shared" si="159"/>
        <v>0</v>
      </c>
      <c r="O302" s="82">
        <f t="shared" si="160"/>
        <v>0</v>
      </c>
      <c r="P302" s="80">
        <f t="shared" si="161"/>
        <v>153</v>
      </c>
      <c r="Q302" s="82">
        <f t="shared" si="162"/>
        <v>193.94</v>
      </c>
      <c r="R302" s="82">
        <f t="shared" si="163"/>
        <v>193.94</v>
      </c>
    </row>
    <row r="303" spans="2:18" s="34" customFormat="1" ht="34.799999999999997">
      <c r="B303" s="87" t="s">
        <v>599</v>
      </c>
      <c r="C303" s="88" t="s">
        <v>600</v>
      </c>
      <c r="D303" s="89" t="s">
        <v>131</v>
      </c>
      <c r="E303" s="90">
        <v>1</v>
      </c>
      <c r="F303" s="91"/>
      <c r="G303" s="91"/>
      <c r="H303" s="91"/>
      <c r="I303" s="91">
        <f t="shared" si="154"/>
        <v>0</v>
      </c>
      <c r="J303" s="91">
        <f t="shared" si="155"/>
        <v>1</v>
      </c>
      <c r="K303" s="80">
        <v>60</v>
      </c>
      <c r="L303" s="81">
        <f t="shared" si="153"/>
        <v>76.056006600000003</v>
      </c>
      <c r="M303" s="82">
        <f t="shared" si="158"/>
        <v>0</v>
      </c>
      <c r="N303" s="82">
        <f t="shared" si="159"/>
        <v>0</v>
      </c>
      <c r="O303" s="82">
        <f t="shared" si="160"/>
        <v>0</v>
      </c>
      <c r="P303" s="80">
        <f t="shared" si="161"/>
        <v>60</v>
      </c>
      <c r="Q303" s="82">
        <f t="shared" si="162"/>
        <v>76.05</v>
      </c>
      <c r="R303" s="82">
        <f t="shared" si="163"/>
        <v>76.05</v>
      </c>
    </row>
    <row r="304" spans="2:18" s="34" customFormat="1" ht="23.4">
      <c r="B304" s="87" t="s">
        <v>601</v>
      </c>
      <c r="C304" s="88" t="s">
        <v>602</v>
      </c>
      <c r="D304" s="89" t="s">
        <v>131</v>
      </c>
      <c r="E304" s="90">
        <v>15</v>
      </c>
      <c r="F304" s="91"/>
      <c r="G304" s="91"/>
      <c r="H304" s="91"/>
      <c r="I304" s="91">
        <f t="shared" si="154"/>
        <v>0</v>
      </c>
      <c r="J304" s="91">
        <f t="shared" si="155"/>
        <v>15</v>
      </c>
      <c r="K304" s="80">
        <v>230</v>
      </c>
      <c r="L304" s="81">
        <f t="shared" si="153"/>
        <v>291.54802530000001</v>
      </c>
      <c r="M304" s="82">
        <f t="shared" si="158"/>
        <v>0</v>
      </c>
      <c r="N304" s="82">
        <f t="shared" si="159"/>
        <v>0</v>
      </c>
      <c r="O304" s="82">
        <f t="shared" si="160"/>
        <v>0</v>
      </c>
      <c r="P304" s="80">
        <f t="shared" si="161"/>
        <v>3450</v>
      </c>
      <c r="Q304" s="82">
        <f t="shared" si="162"/>
        <v>4373.22</v>
      </c>
      <c r="R304" s="82">
        <f t="shared" si="163"/>
        <v>4373.22</v>
      </c>
    </row>
    <row r="305" spans="2:18" s="34" customFormat="1" ht="23.4">
      <c r="B305" s="87" t="s">
        <v>603</v>
      </c>
      <c r="C305" s="88" t="s">
        <v>604</v>
      </c>
      <c r="D305" s="89" t="s">
        <v>131</v>
      </c>
      <c r="E305" s="90">
        <v>5</v>
      </c>
      <c r="F305" s="91"/>
      <c r="G305" s="91"/>
      <c r="H305" s="91"/>
      <c r="I305" s="91">
        <f t="shared" si="154"/>
        <v>0</v>
      </c>
      <c r="J305" s="91">
        <f t="shared" si="155"/>
        <v>5</v>
      </c>
      <c r="K305" s="80">
        <v>140</v>
      </c>
      <c r="L305" s="81">
        <f t="shared" si="153"/>
        <v>177.46401539999999</v>
      </c>
      <c r="M305" s="82">
        <f t="shared" si="158"/>
        <v>0</v>
      </c>
      <c r="N305" s="82">
        <f t="shared" si="159"/>
        <v>0</v>
      </c>
      <c r="O305" s="82">
        <f t="shared" si="160"/>
        <v>0</v>
      </c>
      <c r="P305" s="80">
        <f t="shared" si="161"/>
        <v>700</v>
      </c>
      <c r="Q305" s="82">
        <f t="shared" si="162"/>
        <v>887.32</v>
      </c>
      <c r="R305" s="82">
        <f t="shared" si="163"/>
        <v>887.32</v>
      </c>
    </row>
    <row r="306" spans="2:18" s="34" customFormat="1" ht="34.799999999999997">
      <c r="B306" s="87" t="s">
        <v>605</v>
      </c>
      <c r="C306" s="88" t="s">
        <v>606</v>
      </c>
      <c r="D306" s="89" t="s">
        <v>131</v>
      </c>
      <c r="E306" s="90">
        <v>4</v>
      </c>
      <c r="F306" s="91"/>
      <c r="G306" s="91"/>
      <c r="H306" s="91"/>
      <c r="I306" s="91">
        <f t="shared" si="154"/>
        <v>0</v>
      </c>
      <c r="J306" s="91">
        <f t="shared" si="155"/>
        <v>4</v>
      </c>
      <c r="K306" s="80">
        <v>59</v>
      </c>
      <c r="L306" s="81">
        <f t="shared" si="153"/>
        <v>74.78840649</v>
      </c>
      <c r="M306" s="82">
        <f t="shared" si="158"/>
        <v>0</v>
      </c>
      <c r="N306" s="82">
        <f t="shared" si="159"/>
        <v>0</v>
      </c>
      <c r="O306" s="82">
        <f t="shared" si="160"/>
        <v>0</v>
      </c>
      <c r="P306" s="80">
        <f t="shared" si="161"/>
        <v>236</v>
      </c>
      <c r="Q306" s="82">
        <f t="shared" si="162"/>
        <v>299.14999999999998</v>
      </c>
      <c r="R306" s="82">
        <f t="shared" si="163"/>
        <v>299.14999999999998</v>
      </c>
    </row>
    <row r="307" spans="2:18" s="34" customFormat="1" ht="13.2">
      <c r="B307" s="66" t="s">
        <v>607</v>
      </c>
      <c r="C307" s="67" t="s">
        <v>608</v>
      </c>
      <c r="D307" s="68"/>
      <c r="E307" s="69"/>
      <c r="F307" s="70"/>
      <c r="G307" s="70"/>
      <c r="H307" s="70"/>
      <c r="I307" s="70">
        <f t="shared" si="154"/>
        <v>0</v>
      </c>
      <c r="J307" s="70">
        <f t="shared" si="155"/>
        <v>0</v>
      </c>
      <c r="K307" s="71"/>
      <c r="L307" s="71">
        <f t="shared" si="153"/>
        <v>0</v>
      </c>
      <c r="M307" s="73">
        <f t="shared" ref="M307:R307" si="164">SUM(M308:M314)</f>
        <v>0</v>
      </c>
      <c r="N307" s="73">
        <f t="shared" si="164"/>
        <v>0</v>
      </c>
      <c r="O307" s="73">
        <f t="shared" si="164"/>
        <v>0</v>
      </c>
      <c r="P307" s="73">
        <f t="shared" si="164"/>
        <v>50562</v>
      </c>
      <c r="Q307" s="73">
        <f t="shared" si="164"/>
        <v>64092.350000000006</v>
      </c>
      <c r="R307" s="73">
        <f t="shared" si="164"/>
        <v>64092.350000000006</v>
      </c>
    </row>
    <row r="308" spans="2:18" s="34" customFormat="1" ht="34.799999999999997">
      <c r="B308" s="87" t="s">
        <v>609</v>
      </c>
      <c r="C308" s="88" t="s">
        <v>610</v>
      </c>
      <c r="D308" s="89" t="s">
        <v>131</v>
      </c>
      <c r="E308" s="90">
        <v>202</v>
      </c>
      <c r="F308" s="91"/>
      <c r="G308" s="91"/>
      <c r="H308" s="91"/>
      <c r="I308" s="91">
        <f t="shared" si="154"/>
        <v>0</v>
      </c>
      <c r="J308" s="91">
        <f t="shared" si="155"/>
        <v>202</v>
      </c>
      <c r="K308" s="80">
        <v>38</v>
      </c>
      <c r="L308" s="81">
        <f t="shared" si="153"/>
        <v>48.168804180000002</v>
      </c>
      <c r="M308" s="82">
        <f t="shared" ref="M308:M314" si="165">TRUNC(F308*L308,2)</f>
        <v>0</v>
      </c>
      <c r="N308" s="82">
        <f t="shared" ref="N308:N314" si="166">TRUNC(G308*L308,2)</f>
        <v>0</v>
      </c>
      <c r="O308" s="82">
        <f t="shared" ref="O308:O314" si="167">N308</f>
        <v>0</v>
      </c>
      <c r="P308" s="80">
        <f t="shared" ref="P308:P314" si="168">E308*K308</f>
        <v>7676</v>
      </c>
      <c r="Q308" s="82">
        <f t="shared" ref="Q308:Q314" si="169">TRUNC(E308*L308,2)</f>
        <v>9730.09</v>
      </c>
      <c r="R308" s="82">
        <f t="shared" ref="R308:R314" si="170">Q308-O308</f>
        <v>9730.09</v>
      </c>
    </row>
    <row r="309" spans="2:18" s="34" customFormat="1" ht="34.799999999999997">
      <c r="B309" s="87" t="s">
        <v>611</v>
      </c>
      <c r="C309" s="88" t="s">
        <v>612</v>
      </c>
      <c r="D309" s="89" t="s">
        <v>131</v>
      </c>
      <c r="E309" s="90">
        <v>508</v>
      </c>
      <c r="F309" s="91"/>
      <c r="G309" s="91"/>
      <c r="H309" s="91"/>
      <c r="I309" s="91">
        <f t="shared" si="154"/>
        <v>0</v>
      </c>
      <c r="J309" s="91">
        <f t="shared" si="155"/>
        <v>508</v>
      </c>
      <c r="K309" s="80">
        <v>40</v>
      </c>
      <c r="L309" s="81">
        <f t="shared" si="153"/>
        <v>50.704004400000002</v>
      </c>
      <c r="M309" s="82">
        <f t="shared" si="165"/>
        <v>0</v>
      </c>
      <c r="N309" s="82">
        <f t="shared" si="166"/>
        <v>0</v>
      </c>
      <c r="O309" s="82">
        <f t="shared" si="167"/>
        <v>0</v>
      </c>
      <c r="P309" s="80">
        <f t="shared" si="168"/>
        <v>20320</v>
      </c>
      <c r="Q309" s="82">
        <f t="shared" si="169"/>
        <v>25757.63</v>
      </c>
      <c r="R309" s="82">
        <f t="shared" si="170"/>
        <v>25757.63</v>
      </c>
    </row>
    <row r="310" spans="2:18" s="34" customFormat="1" ht="23.4">
      <c r="B310" s="87" t="s">
        <v>613</v>
      </c>
      <c r="C310" s="88" t="s">
        <v>614</v>
      </c>
      <c r="D310" s="89" t="s">
        <v>131</v>
      </c>
      <c r="E310" s="90">
        <v>52</v>
      </c>
      <c r="F310" s="91"/>
      <c r="G310" s="91"/>
      <c r="H310" s="91"/>
      <c r="I310" s="91">
        <f t="shared" si="154"/>
        <v>0</v>
      </c>
      <c r="J310" s="91">
        <f t="shared" si="155"/>
        <v>52</v>
      </c>
      <c r="K310" s="80">
        <v>65</v>
      </c>
      <c r="L310" s="81">
        <f t="shared" si="153"/>
        <v>82.394007150000007</v>
      </c>
      <c r="M310" s="82">
        <f t="shared" si="165"/>
        <v>0</v>
      </c>
      <c r="N310" s="82">
        <f t="shared" si="166"/>
        <v>0</v>
      </c>
      <c r="O310" s="82">
        <f t="shared" si="167"/>
        <v>0</v>
      </c>
      <c r="P310" s="80">
        <f t="shared" si="168"/>
        <v>3380</v>
      </c>
      <c r="Q310" s="82">
        <f t="shared" si="169"/>
        <v>4284.4799999999996</v>
      </c>
      <c r="R310" s="82">
        <f t="shared" si="170"/>
        <v>4284.4799999999996</v>
      </c>
    </row>
    <row r="311" spans="2:18" s="34" customFormat="1" ht="34.799999999999997">
      <c r="B311" s="87" t="s">
        <v>615</v>
      </c>
      <c r="C311" s="88" t="s">
        <v>610</v>
      </c>
      <c r="D311" s="89" t="s">
        <v>131</v>
      </c>
      <c r="E311" s="90">
        <v>2</v>
      </c>
      <c r="F311" s="91"/>
      <c r="G311" s="91"/>
      <c r="H311" s="91"/>
      <c r="I311" s="91">
        <f t="shared" si="154"/>
        <v>0</v>
      </c>
      <c r="J311" s="91">
        <f t="shared" si="155"/>
        <v>2</v>
      </c>
      <c r="K311" s="80">
        <v>38</v>
      </c>
      <c r="L311" s="81">
        <f t="shared" si="153"/>
        <v>48.168804180000002</v>
      </c>
      <c r="M311" s="82">
        <f t="shared" si="165"/>
        <v>0</v>
      </c>
      <c r="N311" s="82">
        <f t="shared" si="166"/>
        <v>0</v>
      </c>
      <c r="O311" s="82">
        <f t="shared" si="167"/>
        <v>0</v>
      </c>
      <c r="P311" s="80">
        <f t="shared" si="168"/>
        <v>76</v>
      </c>
      <c r="Q311" s="82">
        <f t="shared" si="169"/>
        <v>96.33</v>
      </c>
      <c r="R311" s="82">
        <f t="shared" si="170"/>
        <v>96.33</v>
      </c>
    </row>
    <row r="312" spans="2:18" s="34" customFormat="1" ht="13.2">
      <c r="B312" s="87" t="s">
        <v>616</v>
      </c>
      <c r="C312" s="88" t="s">
        <v>617</v>
      </c>
      <c r="D312" s="89" t="s">
        <v>131</v>
      </c>
      <c r="E312" s="90">
        <v>201</v>
      </c>
      <c r="F312" s="91"/>
      <c r="G312" s="91"/>
      <c r="H312" s="91"/>
      <c r="I312" s="91">
        <f t="shared" si="154"/>
        <v>0</v>
      </c>
      <c r="J312" s="91">
        <f t="shared" si="155"/>
        <v>201</v>
      </c>
      <c r="K312" s="80">
        <v>30</v>
      </c>
      <c r="L312" s="81">
        <f t="shared" si="153"/>
        <v>38.028003300000002</v>
      </c>
      <c r="M312" s="82">
        <f t="shared" si="165"/>
        <v>0</v>
      </c>
      <c r="N312" s="82">
        <f t="shared" si="166"/>
        <v>0</v>
      </c>
      <c r="O312" s="82">
        <f t="shared" si="167"/>
        <v>0</v>
      </c>
      <c r="P312" s="80">
        <f t="shared" si="168"/>
        <v>6030</v>
      </c>
      <c r="Q312" s="82">
        <f t="shared" si="169"/>
        <v>7643.62</v>
      </c>
      <c r="R312" s="82">
        <f t="shared" si="170"/>
        <v>7643.62</v>
      </c>
    </row>
    <row r="313" spans="2:18" s="34" customFormat="1" ht="23.4">
      <c r="B313" s="87" t="s">
        <v>618</v>
      </c>
      <c r="C313" s="88" t="s">
        <v>619</v>
      </c>
      <c r="D313" s="89" t="s">
        <v>131</v>
      </c>
      <c r="E313" s="90">
        <v>12</v>
      </c>
      <c r="F313" s="91"/>
      <c r="G313" s="91"/>
      <c r="H313" s="91"/>
      <c r="I313" s="91">
        <f t="shared" si="154"/>
        <v>0</v>
      </c>
      <c r="J313" s="91">
        <f t="shared" si="155"/>
        <v>12</v>
      </c>
      <c r="K313" s="80">
        <v>40</v>
      </c>
      <c r="L313" s="81">
        <f t="shared" si="153"/>
        <v>50.704004400000002</v>
      </c>
      <c r="M313" s="82">
        <f t="shared" si="165"/>
        <v>0</v>
      </c>
      <c r="N313" s="82">
        <f t="shared" si="166"/>
        <v>0</v>
      </c>
      <c r="O313" s="82">
        <f t="shared" si="167"/>
        <v>0</v>
      </c>
      <c r="P313" s="80">
        <f t="shared" si="168"/>
        <v>480</v>
      </c>
      <c r="Q313" s="82">
        <f t="shared" si="169"/>
        <v>608.44000000000005</v>
      </c>
      <c r="R313" s="82">
        <f t="shared" si="170"/>
        <v>608.44000000000005</v>
      </c>
    </row>
    <row r="314" spans="2:18" s="34" customFormat="1" ht="23.4">
      <c r="B314" s="87" t="s">
        <v>620</v>
      </c>
      <c r="C314" s="88" t="s">
        <v>621</v>
      </c>
      <c r="D314" s="89" t="s">
        <v>131</v>
      </c>
      <c r="E314" s="90">
        <v>180</v>
      </c>
      <c r="F314" s="91"/>
      <c r="G314" s="91"/>
      <c r="H314" s="91"/>
      <c r="I314" s="91">
        <f t="shared" si="154"/>
        <v>0</v>
      </c>
      <c r="J314" s="91">
        <f t="shared" si="155"/>
        <v>180</v>
      </c>
      <c r="K314" s="80">
        <v>70</v>
      </c>
      <c r="L314" s="81">
        <f t="shared" si="153"/>
        <v>88.732007699999997</v>
      </c>
      <c r="M314" s="82">
        <f t="shared" si="165"/>
        <v>0</v>
      </c>
      <c r="N314" s="82">
        <f t="shared" si="166"/>
        <v>0</v>
      </c>
      <c r="O314" s="82">
        <f t="shared" si="167"/>
        <v>0</v>
      </c>
      <c r="P314" s="80">
        <f t="shared" si="168"/>
        <v>12600</v>
      </c>
      <c r="Q314" s="82">
        <f t="shared" si="169"/>
        <v>15971.76</v>
      </c>
      <c r="R314" s="82">
        <f t="shared" si="170"/>
        <v>15971.76</v>
      </c>
    </row>
    <row r="315" spans="2:18" s="34" customFormat="1" ht="26.25" customHeight="1">
      <c r="B315" s="66" t="s">
        <v>622</v>
      </c>
      <c r="C315" s="67" t="s">
        <v>623</v>
      </c>
      <c r="D315" s="68"/>
      <c r="E315" s="69"/>
      <c r="F315" s="70"/>
      <c r="G315" s="70"/>
      <c r="H315" s="70"/>
      <c r="I315" s="70">
        <f t="shared" si="154"/>
        <v>0</v>
      </c>
      <c r="J315" s="70">
        <f t="shared" si="155"/>
        <v>0</v>
      </c>
      <c r="K315" s="71"/>
      <c r="L315" s="71">
        <f t="shared" si="153"/>
        <v>0</v>
      </c>
      <c r="M315" s="73">
        <f t="shared" ref="M315:R315" si="171">SUM(M316)</f>
        <v>0</v>
      </c>
      <c r="N315" s="73">
        <f t="shared" si="171"/>
        <v>0</v>
      </c>
      <c r="O315" s="73">
        <f t="shared" si="171"/>
        <v>0</v>
      </c>
      <c r="P315" s="73">
        <f t="shared" si="171"/>
        <v>660</v>
      </c>
      <c r="Q315" s="73">
        <f t="shared" si="171"/>
        <v>836.61</v>
      </c>
      <c r="R315" s="73">
        <f t="shared" si="171"/>
        <v>836.61</v>
      </c>
    </row>
    <row r="316" spans="2:18" s="34" customFormat="1" ht="13.2">
      <c r="B316" s="75" t="s">
        <v>624</v>
      </c>
      <c r="C316" s="76" t="s">
        <v>625</v>
      </c>
      <c r="D316" s="77" t="s">
        <v>131</v>
      </c>
      <c r="E316" s="78">
        <v>3</v>
      </c>
      <c r="F316" s="79"/>
      <c r="G316" s="79"/>
      <c r="H316" s="79"/>
      <c r="I316" s="79">
        <f t="shared" si="154"/>
        <v>0</v>
      </c>
      <c r="J316" s="79">
        <f t="shared" si="155"/>
        <v>3</v>
      </c>
      <c r="K316" s="84">
        <v>220</v>
      </c>
      <c r="L316" s="81">
        <f t="shared" si="153"/>
        <v>278.8720242</v>
      </c>
      <c r="M316" s="82">
        <f>TRUNC(F316*L316,2)</f>
        <v>0</v>
      </c>
      <c r="N316" s="82">
        <f>TRUNC(G316*L316,2)</f>
        <v>0</v>
      </c>
      <c r="O316" s="82">
        <f>N316</f>
        <v>0</v>
      </c>
      <c r="P316" s="80">
        <f>E316*K316</f>
        <v>660</v>
      </c>
      <c r="Q316" s="82">
        <f>TRUNC(E316*L316,2)</f>
        <v>836.61</v>
      </c>
      <c r="R316" s="82">
        <f>Q316-O316</f>
        <v>836.61</v>
      </c>
    </row>
    <row r="317" spans="2:18" s="34" customFormat="1" ht="13.2">
      <c r="B317" s="60" t="s">
        <v>626</v>
      </c>
      <c r="C317" s="61" t="s">
        <v>627</v>
      </c>
      <c r="D317" s="60"/>
      <c r="E317" s="62"/>
      <c r="F317" s="63"/>
      <c r="G317" s="63"/>
      <c r="H317" s="63"/>
      <c r="I317" s="63">
        <f t="shared" si="154"/>
        <v>0</v>
      </c>
      <c r="J317" s="63">
        <f t="shared" si="155"/>
        <v>0</v>
      </c>
      <c r="K317" s="63"/>
      <c r="L317" s="63">
        <f t="shared" si="153"/>
        <v>0</v>
      </c>
      <c r="M317" s="63">
        <f t="shared" ref="M317:R317" si="172">SUM(M318:M327)</f>
        <v>0</v>
      </c>
      <c r="N317" s="63">
        <f t="shared" si="172"/>
        <v>0</v>
      </c>
      <c r="O317" s="63">
        <f t="shared" si="172"/>
        <v>0</v>
      </c>
      <c r="P317" s="63">
        <f t="shared" si="172"/>
        <v>37271.68</v>
      </c>
      <c r="Q317" s="63">
        <f t="shared" si="172"/>
        <v>47245.569999999992</v>
      </c>
      <c r="R317" s="63">
        <f t="shared" si="172"/>
        <v>47245.569999999992</v>
      </c>
    </row>
    <row r="318" spans="2:18" s="34" customFormat="1" ht="23.4">
      <c r="B318" s="75" t="s">
        <v>628</v>
      </c>
      <c r="C318" s="76" t="s">
        <v>629</v>
      </c>
      <c r="D318" s="77" t="s">
        <v>82</v>
      </c>
      <c r="E318" s="93">
        <v>170</v>
      </c>
      <c r="F318" s="79"/>
      <c r="G318" s="79"/>
      <c r="H318" s="79"/>
      <c r="I318" s="79">
        <f t="shared" si="154"/>
        <v>0</v>
      </c>
      <c r="J318" s="79">
        <f t="shared" si="155"/>
        <v>170</v>
      </c>
      <c r="K318" s="80">
        <v>100</v>
      </c>
      <c r="L318" s="81">
        <f t="shared" si="153"/>
        <v>126.76001100000001</v>
      </c>
      <c r="M318" s="82">
        <f t="shared" ref="M318:M327" si="173">TRUNC(F318*L318,2)</f>
        <v>0</v>
      </c>
      <c r="N318" s="82">
        <f t="shared" ref="N318:N327" si="174">TRUNC(G318*L318,2)</f>
        <v>0</v>
      </c>
      <c r="O318" s="82">
        <f t="shared" ref="O318:O327" si="175">N318</f>
        <v>0</v>
      </c>
      <c r="P318" s="80">
        <f t="shared" ref="P318:P327" si="176">E318*K318</f>
        <v>17000</v>
      </c>
      <c r="Q318" s="82">
        <f t="shared" ref="Q318:Q327" si="177">TRUNC(E318*L318,2)</f>
        <v>21549.200000000001</v>
      </c>
      <c r="R318" s="82">
        <f t="shared" ref="R318:R327" si="178">Q318-O318</f>
        <v>21549.200000000001</v>
      </c>
    </row>
    <row r="319" spans="2:18" s="34" customFormat="1" ht="23.4">
      <c r="B319" s="75" t="s">
        <v>630</v>
      </c>
      <c r="C319" s="76" t="s">
        <v>631</v>
      </c>
      <c r="D319" s="77" t="s">
        <v>131</v>
      </c>
      <c r="E319" s="93">
        <v>1</v>
      </c>
      <c r="F319" s="79"/>
      <c r="G319" s="79"/>
      <c r="H319" s="79"/>
      <c r="I319" s="79">
        <f t="shared" si="154"/>
        <v>0</v>
      </c>
      <c r="J319" s="79">
        <f t="shared" si="155"/>
        <v>1</v>
      </c>
      <c r="K319" s="80">
        <v>1300</v>
      </c>
      <c r="L319" s="81">
        <f t="shared" si="153"/>
        <v>1647.8801430000001</v>
      </c>
      <c r="M319" s="82">
        <f t="shared" si="173"/>
        <v>0</v>
      </c>
      <c r="N319" s="82">
        <f t="shared" si="174"/>
        <v>0</v>
      </c>
      <c r="O319" s="82">
        <f t="shared" si="175"/>
        <v>0</v>
      </c>
      <c r="P319" s="80">
        <f t="shared" si="176"/>
        <v>1300</v>
      </c>
      <c r="Q319" s="82">
        <f t="shared" si="177"/>
        <v>1647.88</v>
      </c>
      <c r="R319" s="82">
        <f t="shared" si="178"/>
        <v>1647.88</v>
      </c>
    </row>
    <row r="320" spans="2:18" s="34" customFormat="1" ht="23.4">
      <c r="B320" s="75" t="s">
        <v>632</v>
      </c>
      <c r="C320" s="76" t="s">
        <v>633</v>
      </c>
      <c r="D320" s="77" t="s">
        <v>82</v>
      </c>
      <c r="E320" s="93">
        <v>250</v>
      </c>
      <c r="F320" s="79"/>
      <c r="G320" s="79"/>
      <c r="H320" s="79"/>
      <c r="I320" s="79">
        <f t="shared" si="154"/>
        <v>0</v>
      </c>
      <c r="J320" s="79">
        <f t="shared" si="155"/>
        <v>250</v>
      </c>
      <c r="K320" s="80">
        <v>38</v>
      </c>
      <c r="L320" s="81">
        <f t="shared" si="153"/>
        <v>48.168804180000002</v>
      </c>
      <c r="M320" s="82">
        <f t="shared" si="173"/>
        <v>0</v>
      </c>
      <c r="N320" s="82">
        <f t="shared" si="174"/>
        <v>0</v>
      </c>
      <c r="O320" s="82">
        <f t="shared" si="175"/>
        <v>0</v>
      </c>
      <c r="P320" s="80">
        <f t="shared" si="176"/>
        <v>9500</v>
      </c>
      <c r="Q320" s="82">
        <f t="shared" si="177"/>
        <v>12042.2</v>
      </c>
      <c r="R320" s="82">
        <f t="shared" si="178"/>
        <v>12042.2</v>
      </c>
    </row>
    <row r="321" spans="2:18" s="34" customFormat="1" ht="13.2">
      <c r="B321" s="75" t="s">
        <v>634</v>
      </c>
      <c r="C321" s="76" t="s">
        <v>635</v>
      </c>
      <c r="D321" s="77" t="s">
        <v>39</v>
      </c>
      <c r="E321" s="78">
        <v>20</v>
      </c>
      <c r="F321" s="79"/>
      <c r="G321" s="79"/>
      <c r="H321" s="79"/>
      <c r="I321" s="79">
        <f t="shared" si="154"/>
        <v>0</v>
      </c>
      <c r="J321" s="79">
        <f t="shared" si="155"/>
        <v>20</v>
      </c>
      <c r="K321" s="84">
        <v>42</v>
      </c>
      <c r="L321" s="81">
        <f t="shared" si="153"/>
        <v>53.239204620000002</v>
      </c>
      <c r="M321" s="82">
        <f t="shared" si="173"/>
        <v>0</v>
      </c>
      <c r="N321" s="82">
        <f t="shared" si="174"/>
        <v>0</v>
      </c>
      <c r="O321" s="82">
        <f t="shared" si="175"/>
        <v>0</v>
      </c>
      <c r="P321" s="80">
        <f t="shared" si="176"/>
        <v>840</v>
      </c>
      <c r="Q321" s="82">
        <f t="shared" si="177"/>
        <v>1064.78</v>
      </c>
      <c r="R321" s="82">
        <f t="shared" si="178"/>
        <v>1064.78</v>
      </c>
    </row>
    <row r="322" spans="2:18" s="34" customFormat="1" ht="23.4">
      <c r="B322" s="75" t="s">
        <v>636</v>
      </c>
      <c r="C322" s="76" t="s">
        <v>637</v>
      </c>
      <c r="D322" s="77" t="s">
        <v>39</v>
      </c>
      <c r="E322" s="78">
        <v>30</v>
      </c>
      <c r="F322" s="79"/>
      <c r="G322" s="79"/>
      <c r="H322" s="79"/>
      <c r="I322" s="79">
        <f t="shared" si="154"/>
        <v>0</v>
      </c>
      <c r="J322" s="79">
        <f t="shared" si="155"/>
        <v>30</v>
      </c>
      <c r="K322" s="84">
        <v>25</v>
      </c>
      <c r="L322" s="81">
        <f t="shared" si="153"/>
        <v>31.690002750000001</v>
      </c>
      <c r="M322" s="82">
        <f t="shared" si="173"/>
        <v>0</v>
      </c>
      <c r="N322" s="82">
        <f t="shared" si="174"/>
        <v>0</v>
      </c>
      <c r="O322" s="82">
        <f t="shared" si="175"/>
        <v>0</v>
      </c>
      <c r="P322" s="80">
        <f t="shared" si="176"/>
        <v>750</v>
      </c>
      <c r="Q322" s="82">
        <f t="shared" si="177"/>
        <v>950.7</v>
      </c>
      <c r="R322" s="82">
        <f t="shared" si="178"/>
        <v>950.7</v>
      </c>
    </row>
    <row r="323" spans="2:18" s="34" customFormat="1" ht="34.799999999999997">
      <c r="B323" s="75" t="s">
        <v>638</v>
      </c>
      <c r="C323" s="76" t="s">
        <v>639</v>
      </c>
      <c r="D323" s="77" t="s">
        <v>39</v>
      </c>
      <c r="E323" s="78">
        <v>2</v>
      </c>
      <c r="F323" s="79"/>
      <c r="G323" s="79"/>
      <c r="H323" s="79"/>
      <c r="I323" s="79">
        <f t="shared" si="154"/>
        <v>0</v>
      </c>
      <c r="J323" s="79">
        <f t="shared" si="155"/>
        <v>2</v>
      </c>
      <c r="K323" s="84">
        <v>1800</v>
      </c>
      <c r="L323" s="81">
        <f t="shared" si="153"/>
        <v>2281.680198</v>
      </c>
      <c r="M323" s="82">
        <f t="shared" si="173"/>
        <v>0</v>
      </c>
      <c r="N323" s="82">
        <f t="shared" si="174"/>
        <v>0</v>
      </c>
      <c r="O323" s="82">
        <f t="shared" si="175"/>
        <v>0</v>
      </c>
      <c r="P323" s="80">
        <f t="shared" si="176"/>
        <v>3600</v>
      </c>
      <c r="Q323" s="82">
        <f t="shared" si="177"/>
        <v>4563.3599999999997</v>
      </c>
      <c r="R323" s="82">
        <f t="shared" si="178"/>
        <v>4563.3599999999997</v>
      </c>
    </row>
    <row r="324" spans="2:18" s="34" customFormat="1" ht="23.4">
      <c r="B324" s="75" t="s">
        <v>640</v>
      </c>
      <c r="C324" s="76" t="s">
        <v>641</v>
      </c>
      <c r="D324" s="77" t="s">
        <v>39</v>
      </c>
      <c r="E324" s="78">
        <v>17</v>
      </c>
      <c r="F324" s="79"/>
      <c r="G324" s="79"/>
      <c r="H324" s="79"/>
      <c r="I324" s="79">
        <f t="shared" si="154"/>
        <v>0</v>
      </c>
      <c r="J324" s="79">
        <f t="shared" si="155"/>
        <v>17</v>
      </c>
      <c r="K324" s="84">
        <v>160</v>
      </c>
      <c r="L324" s="81">
        <f t="shared" si="153"/>
        <v>202.81601760000001</v>
      </c>
      <c r="M324" s="82">
        <f t="shared" si="173"/>
        <v>0</v>
      </c>
      <c r="N324" s="82">
        <f t="shared" si="174"/>
        <v>0</v>
      </c>
      <c r="O324" s="82">
        <f t="shared" si="175"/>
        <v>0</v>
      </c>
      <c r="P324" s="80">
        <f t="shared" si="176"/>
        <v>2720</v>
      </c>
      <c r="Q324" s="82">
        <f t="shared" si="177"/>
        <v>3447.87</v>
      </c>
      <c r="R324" s="82">
        <f t="shared" si="178"/>
        <v>3447.87</v>
      </c>
    </row>
    <row r="325" spans="2:18" s="34" customFormat="1" ht="13.2">
      <c r="B325" s="75" t="s">
        <v>642</v>
      </c>
      <c r="C325" s="76" t="s">
        <v>643</v>
      </c>
      <c r="D325" s="77" t="s">
        <v>39</v>
      </c>
      <c r="E325" s="78">
        <v>100</v>
      </c>
      <c r="F325" s="79"/>
      <c r="G325" s="79"/>
      <c r="H325" s="79"/>
      <c r="I325" s="79">
        <f t="shared" si="154"/>
        <v>0</v>
      </c>
      <c r="J325" s="79">
        <f t="shared" si="155"/>
        <v>100</v>
      </c>
      <c r="K325" s="84">
        <v>5.27</v>
      </c>
      <c r="L325" s="81">
        <f t="shared" si="153"/>
        <v>6.6802525796999994</v>
      </c>
      <c r="M325" s="82">
        <f t="shared" si="173"/>
        <v>0</v>
      </c>
      <c r="N325" s="82">
        <f t="shared" si="174"/>
        <v>0</v>
      </c>
      <c r="O325" s="82">
        <f t="shared" si="175"/>
        <v>0</v>
      </c>
      <c r="P325" s="80">
        <f t="shared" si="176"/>
        <v>527</v>
      </c>
      <c r="Q325" s="82">
        <f t="shared" si="177"/>
        <v>668.02</v>
      </c>
      <c r="R325" s="82">
        <f t="shared" si="178"/>
        <v>668.02</v>
      </c>
    </row>
    <row r="326" spans="2:18" s="34" customFormat="1" ht="23.25" customHeight="1">
      <c r="B326" s="75" t="s">
        <v>644</v>
      </c>
      <c r="C326" s="76" t="s">
        <v>645</v>
      </c>
      <c r="D326" s="77" t="s">
        <v>124</v>
      </c>
      <c r="E326" s="78">
        <v>12</v>
      </c>
      <c r="F326" s="79"/>
      <c r="G326" s="79"/>
      <c r="H326" s="79"/>
      <c r="I326" s="79">
        <f t="shared" si="154"/>
        <v>0</v>
      </c>
      <c r="J326" s="79">
        <f t="shared" si="155"/>
        <v>12</v>
      </c>
      <c r="K326" s="84">
        <v>15.39</v>
      </c>
      <c r="L326" s="81">
        <f t="shared" si="153"/>
        <v>19.5083656929</v>
      </c>
      <c r="M326" s="82">
        <f t="shared" si="173"/>
        <v>0</v>
      </c>
      <c r="N326" s="82">
        <f t="shared" si="174"/>
        <v>0</v>
      </c>
      <c r="O326" s="82">
        <f t="shared" si="175"/>
        <v>0</v>
      </c>
      <c r="P326" s="80">
        <f t="shared" si="176"/>
        <v>184.68</v>
      </c>
      <c r="Q326" s="82">
        <f t="shared" si="177"/>
        <v>234.1</v>
      </c>
      <c r="R326" s="82">
        <f t="shared" si="178"/>
        <v>234.1</v>
      </c>
    </row>
    <row r="327" spans="2:18" s="34" customFormat="1" ht="13.2">
      <c r="B327" s="75" t="s">
        <v>646</v>
      </c>
      <c r="C327" s="76" t="s">
        <v>647</v>
      </c>
      <c r="D327" s="77" t="s">
        <v>39</v>
      </c>
      <c r="E327" s="78">
        <v>17</v>
      </c>
      <c r="F327" s="79"/>
      <c r="G327" s="79"/>
      <c r="H327" s="79"/>
      <c r="I327" s="79">
        <f t="shared" si="154"/>
        <v>0</v>
      </c>
      <c r="J327" s="79">
        <f t="shared" si="155"/>
        <v>17</v>
      </c>
      <c r="K327" s="84">
        <v>50</v>
      </c>
      <c r="L327" s="81">
        <f t="shared" si="153"/>
        <v>63.380005500000003</v>
      </c>
      <c r="M327" s="82">
        <f t="shared" si="173"/>
        <v>0</v>
      </c>
      <c r="N327" s="82">
        <f t="shared" si="174"/>
        <v>0</v>
      </c>
      <c r="O327" s="82">
        <f t="shared" si="175"/>
        <v>0</v>
      </c>
      <c r="P327" s="80">
        <f t="shared" si="176"/>
        <v>850</v>
      </c>
      <c r="Q327" s="82">
        <f t="shared" si="177"/>
        <v>1077.46</v>
      </c>
      <c r="R327" s="82">
        <f t="shared" si="178"/>
        <v>1077.46</v>
      </c>
    </row>
    <row r="328" spans="2:18" s="34" customFormat="1" ht="13.2">
      <c r="B328" s="60" t="s">
        <v>648</v>
      </c>
      <c r="C328" s="61" t="s">
        <v>649</v>
      </c>
      <c r="D328" s="60"/>
      <c r="E328" s="62"/>
      <c r="F328" s="63"/>
      <c r="G328" s="63"/>
      <c r="H328" s="63"/>
      <c r="I328" s="63">
        <f t="shared" si="154"/>
        <v>0</v>
      </c>
      <c r="J328" s="63">
        <f t="shared" si="155"/>
        <v>0</v>
      </c>
      <c r="K328" s="63"/>
      <c r="L328" s="63">
        <f t="shared" si="153"/>
        <v>0</v>
      </c>
      <c r="M328" s="63">
        <f t="shared" ref="M328:R328" si="179">SUM(M329,M337,M395,M406,M474)</f>
        <v>0</v>
      </c>
      <c r="N328" s="63">
        <f t="shared" si="179"/>
        <v>0</v>
      </c>
      <c r="O328" s="63">
        <f t="shared" si="179"/>
        <v>0</v>
      </c>
      <c r="P328" s="63">
        <f t="shared" si="179"/>
        <v>482517.43010000006</v>
      </c>
      <c r="Q328" s="63">
        <f t="shared" si="179"/>
        <v>611638.38000000012</v>
      </c>
      <c r="R328" s="63">
        <f t="shared" si="179"/>
        <v>611638.38000000012</v>
      </c>
    </row>
    <row r="329" spans="2:18" s="34" customFormat="1" ht="13.2">
      <c r="B329" s="66" t="s">
        <v>650</v>
      </c>
      <c r="C329" s="67" t="s">
        <v>651</v>
      </c>
      <c r="D329" s="68"/>
      <c r="E329" s="69"/>
      <c r="F329" s="70"/>
      <c r="G329" s="70"/>
      <c r="H329" s="70"/>
      <c r="I329" s="70">
        <f t="shared" si="154"/>
        <v>0</v>
      </c>
      <c r="J329" s="70">
        <f t="shared" si="155"/>
        <v>0</v>
      </c>
      <c r="K329" s="71"/>
      <c r="L329" s="71">
        <f t="shared" si="153"/>
        <v>0</v>
      </c>
      <c r="M329" s="73">
        <f t="shared" ref="M329:R329" si="180">SUM(M330:M336)</f>
        <v>0</v>
      </c>
      <c r="N329" s="73">
        <f t="shared" si="180"/>
        <v>0</v>
      </c>
      <c r="O329" s="73">
        <f t="shared" si="180"/>
        <v>0</v>
      </c>
      <c r="P329" s="73">
        <f t="shared" si="180"/>
        <v>39545.715000000004</v>
      </c>
      <c r="Q329" s="73">
        <f t="shared" si="180"/>
        <v>50128.12</v>
      </c>
      <c r="R329" s="73">
        <f t="shared" si="180"/>
        <v>50128.12</v>
      </c>
    </row>
    <row r="330" spans="2:18" s="34" customFormat="1" ht="13.2">
      <c r="B330" s="75" t="s">
        <v>652</v>
      </c>
      <c r="C330" s="76" t="s">
        <v>653</v>
      </c>
      <c r="D330" s="77" t="s">
        <v>82</v>
      </c>
      <c r="E330" s="90">
        <v>9.3800000000000008</v>
      </c>
      <c r="F330" s="91"/>
      <c r="G330" s="91"/>
      <c r="H330" s="91"/>
      <c r="I330" s="91">
        <f t="shared" si="154"/>
        <v>0</v>
      </c>
      <c r="J330" s="91">
        <f t="shared" si="155"/>
        <v>9.3800000000000008</v>
      </c>
      <c r="K330" s="80">
        <v>6.5</v>
      </c>
      <c r="L330" s="81">
        <f t="shared" si="153"/>
        <v>8.2394007150000004</v>
      </c>
      <c r="M330" s="82">
        <f t="shared" ref="M330:M336" si="181">TRUNC(F330*L330,2)</f>
        <v>0</v>
      </c>
      <c r="N330" s="82">
        <f t="shared" ref="N330:N336" si="182">TRUNC(G330*L330,2)</f>
        <v>0</v>
      </c>
      <c r="O330" s="82">
        <f t="shared" ref="O330:O336" si="183">N330</f>
        <v>0</v>
      </c>
      <c r="P330" s="80">
        <f t="shared" ref="P330:P336" si="184">E330*K330</f>
        <v>60.970000000000006</v>
      </c>
      <c r="Q330" s="82">
        <f t="shared" ref="Q330:Q336" si="185">TRUNC(E330*L330,2)</f>
        <v>77.28</v>
      </c>
      <c r="R330" s="82">
        <f t="shared" ref="R330:R336" si="186">Q330-O330</f>
        <v>77.28</v>
      </c>
    </row>
    <row r="331" spans="2:18" s="34" customFormat="1" ht="23.4">
      <c r="B331" s="75" t="s">
        <v>654</v>
      </c>
      <c r="C331" s="76" t="s">
        <v>655</v>
      </c>
      <c r="D331" s="77" t="s">
        <v>82</v>
      </c>
      <c r="E331" s="90">
        <v>1074.94</v>
      </c>
      <c r="F331" s="91"/>
      <c r="G331" s="91"/>
      <c r="H331" s="91"/>
      <c r="I331" s="91">
        <f t="shared" si="154"/>
        <v>0</v>
      </c>
      <c r="J331" s="91">
        <f t="shared" si="155"/>
        <v>1074.94</v>
      </c>
      <c r="K331" s="80">
        <v>8</v>
      </c>
      <c r="L331" s="81">
        <f t="shared" si="153"/>
        <v>10.14080088</v>
      </c>
      <c r="M331" s="82">
        <f t="shared" si="181"/>
        <v>0</v>
      </c>
      <c r="N331" s="82">
        <f t="shared" si="182"/>
        <v>0</v>
      </c>
      <c r="O331" s="82">
        <f t="shared" si="183"/>
        <v>0</v>
      </c>
      <c r="P331" s="80">
        <f t="shared" si="184"/>
        <v>8599.52</v>
      </c>
      <c r="Q331" s="82">
        <f t="shared" si="185"/>
        <v>10900.75</v>
      </c>
      <c r="R331" s="82">
        <f t="shared" si="186"/>
        <v>10900.75</v>
      </c>
    </row>
    <row r="332" spans="2:18" s="34" customFormat="1" ht="23.4">
      <c r="B332" s="75" t="s">
        <v>656</v>
      </c>
      <c r="C332" s="76" t="s">
        <v>657</v>
      </c>
      <c r="D332" s="77" t="s">
        <v>82</v>
      </c>
      <c r="E332" s="93">
        <v>17.41</v>
      </c>
      <c r="F332" s="79"/>
      <c r="G332" s="79"/>
      <c r="H332" s="79"/>
      <c r="I332" s="79">
        <f t="shared" si="154"/>
        <v>0</v>
      </c>
      <c r="J332" s="79">
        <f t="shared" si="155"/>
        <v>17.41</v>
      </c>
      <c r="K332" s="80">
        <v>17.5</v>
      </c>
      <c r="L332" s="81">
        <f t="shared" si="153"/>
        <v>22.183001924999999</v>
      </c>
      <c r="M332" s="82">
        <f t="shared" si="181"/>
        <v>0</v>
      </c>
      <c r="N332" s="82">
        <f t="shared" si="182"/>
        <v>0</v>
      </c>
      <c r="O332" s="82">
        <f t="shared" si="183"/>
        <v>0</v>
      </c>
      <c r="P332" s="80">
        <f t="shared" si="184"/>
        <v>304.67500000000001</v>
      </c>
      <c r="Q332" s="82">
        <f t="shared" si="185"/>
        <v>386.2</v>
      </c>
      <c r="R332" s="82">
        <f t="shared" si="186"/>
        <v>386.2</v>
      </c>
    </row>
    <row r="333" spans="2:18" s="34" customFormat="1" ht="23.4">
      <c r="B333" s="75" t="s">
        <v>658</v>
      </c>
      <c r="C333" s="76" t="s">
        <v>659</v>
      </c>
      <c r="D333" s="77" t="s">
        <v>82</v>
      </c>
      <c r="E333" s="93">
        <v>471.41</v>
      </c>
      <c r="F333" s="79"/>
      <c r="G333" s="79"/>
      <c r="H333" s="79"/>
      <c r="I333" s="79">
        <f t="shared" si="154"/>
        <v>0</v>
      </c>
      <c r="J333" s="79">
        <f t="shared" si="155"/>
        <v>471.41</v>
      </c>
      <c r="K333" s="80">
        <v>23.5</v>
      </c>
      <c r="L333" s="81">
        <f t="shared" si="153"/>
        <v>29.788602585</v>
      </c>
      <c r="M333" s="82">
        <f t="shared" si="181"/>
        <v>0</v>
      </c>
      <c r="N333" s="82">
        <f t="shared" si="182"/>
        <v>0</v>
      </c>
      <c r="O333" s="82">
        <f t="shared" si="183"/>
        <v>0</v>
      </c>
      <c r="P333" s="80">
        <f t="shared" si="184"/>
        <v>11078.135</v>
      </c>
      <c r="Q333" s="82">
        <f t="shared" si="185"/>
        <v>14042.64</v>
      </c>
      <c r="R333" s="82">
        <f t="shared" si="186"/>
        <v>14042.64</v>
      </c>
    </row>
    <row r="334" spans="2:18" s="34" customFormat="1" ht="23.4">
      <c r="B334" s="75" t="s">
        <v>660</v>
      </c>
      <c r="C334" s="76" t="s">
        <v>661</v>
      </c>
      <c r="D334" s="77" t="s">
        <v>82</v>
      </c>
      <c r="E334" s="93">
        <v>25.81</v>
      </c>
      <c r="F334" s="79"/>
      <c r="G334" s="79"/>
      <c r="H334" s="79"/>
      <c r="I334" s="79">
        <f t="shared" si="154"/>
        <v>0</v>
      </c>
      <c r="J334" s="79">
        <f t="shared" si="155"/>
        <v>25.81</v>
      </c>
      <c r="K334" s="80">
        <v>27.5</v>
      </c>
      <c r="L334" s="81">
        <f t="shared" si="153"/>
        <v>34.859003025</v>
      </c>
      <c r="M334" s="82">
        <f t="shared" si="181"/>
        <v>0</v>
      </c>
      <c r="N334" s="82">
        <f t="shared" si="182"/>
        <v>0</v>
      </c>
      <c r="O334" s="82">
        <f t="shared" si="183"/>
        <v>0</v>
      </c>
      <c r="P334" s="80">
        <f t="shared" si="184"/>
        <v>709.77499999999998</v>
      </c>
      <c r="Q334" s="82">
        <f t="shared" si="185"/>
        <v>899.71</v>
      </c>
      <c r="R334" s="82">
        <f t="shared" si="186"/>
        <v>899.71</v>
      </c>
    </row>
    <row r="335" spans="2:18" s="34" customFormat="1" ht="23.4">
      <c r="B335" s="75" t="s">
        <v>662</v>
      </c>
      <c r="C335" s="76" t="s">
        <v>663</v>
      </c>
      <c r="D335" s="77" t="s">
        <v>124</v>
      </c>
      <c r="E335" s="93">
        <v>165.66</v>
      </c>
      <c r="F335" s="79"/>
      <c r="G335" s="79"/>
      <c r="H335" s="79"/>
      <c r="I335" s="79">
        <f t="shared" si="154"/>
        <v>0</v>
      </c>
      <c r="J335" s="79">
        <f t="shared" si="155"/>
        <v>165.66</v>
      </c>
      <c r="K335" s="80">
        <v>41</v>
      </c>
      <c r="L335" s="81">
        <f t="shared" si="153"/>
        <v>51.971604510000006</v>
      </c>
      <c r="M335" s="82">
        <f t="shared" si="181"/>
        <v>0</v>
      </c>
      <c r="N335" s="82">
        <f t="shared" si="182"/>
        <v>0</v>
      </c>
      <c r="O335" s="82">
        <f t="shared" si="183"/>
        <v>0</v>
      </c>
      <c r="P335" s="80">
        <f t="shared" si="184"/>
        <v>6792.0599999999995</v>
      </c>
      <c r="Q335" s="82">
        <f t="shared" si="185"/>
        <v>8609.61</v>
      </c>
      <c r="R335" s="82">
        <f t="shared" si="186"/>
        <v>8609.61</v>
      </c>
    </row>
    <row r="336" spans="2:18" s="34" customFormat="1" ht="13.2">
      <c r="B336" s="75" t="s">
        <v>664</v>
      </c>
      <c r="C336" s="76" t="s">
        <v>665</v>
      </c>
      <c r="D336" s="77" t="s">
        <v>124</v>
      </c>
      <c r="E336" s="93">
        <v>162.16999999999999</v>
      </c>
      <c r="F336" s="79"/>
      <c r="G336" s="79"/>
      <c r="H336" s="79"/>
      <c r="I336" s="79">
        <f t="shared" si="154"/>
        <v>0</v>
      </c>
      <c r="J336" s="79">
        <f t="shared" si="155"/>
        <v>162.16999999999999</v>
      </c>
      <c r="K336" s="80">
        <v>74</v>
      </c>
      <c r="L336" s="81">
        <f t="shared" si="153"/>
        <v>93.802408140000011</v>
      </c>
      <c r="M336" s="82">
        <f t="shared" si="181"/>
        <v>0</v>
      </c>
      <c r="N336" s="82">
        <f t="shared" si="182"/>
        <v>0</v>
      </c>
      <c r="O336" s="82">
        <f t="shared" si="183"/>
        <v>0</v>
      </c>
      <c r="P336" s="80">
        <f t="shared" si="184"/>
        <v>12000.58</v>
      </c>
      <c r="Q336" s="82">
        <f t="shared" si="185"/>
        <v>15211.93</v>
      </c>
      <c r="R336" s="82">
        <f t="shared" si="186"/>
        <v>15211.93</v>
      </c>
    </row>
    <row r="337" spans="2:18" s="34" customFormat="1" ht="13.2">
      <c r="B337" s="66" t="s">
        <v>666</v>
      </c>
      <c r="C337" s="67" t="s">
        <v>667</v>
      </c>
      <c r="D337" s="68"/>
      <c r="E337" s="69"/>
      <c r="F337" s="70"/>
      <c r="G337" s="70"/>
      <c r="H337" s="70"/>
      <c r="I337" s="70">
        <f t="shared" si="154"/>
        <v>0</v>
      </c>
      <c r="J337" s="70">
        <f t="shared" si="155"/>
        <v>0</v>
      </c>
      <c r="K337" s="71"/>
      <c r="L337" s="71">
        <f t="shared" si="153"/>
        <v>0</v>
      </c>
      <c r="M337" s="73">
        <f t="shared" ref="M337:R337" si="187">SUM(M338:M394)</f>
        <v>0</v>
      </c>
      <c r="N337" s="73">
        <f t="shared" si="187"/>
        <v>0</v>
      </c>
      <c r="O337" s="73">
        <f t="shared" si="187"/>
        <v>0</v>
      </c>
      <c r="P337" s="73">
        <f t="shared" si="187"/>
        <v>49585.86</v>
      </c>
      <c r="Q337" s="73">
        <f t="shared" si="187"/>
        <v>62854.749999999985</v>
      </c>
      <c r="R337" s="73">
        <f t="shared" si="187"/>
        <v>62854.749999999985</v>
      </c>
    </row>
    <row r="338" spans="2:18" s="34" customFormat="1" ht="34.799999999999997">
      <c r="B338" s="75" t="s">
        <v>668</v>
      </c>
      <c r="C338" s="76" t="s">
        <v>669</v>
      </c>
      <c r="D338" s="77" t="s">
        <v>131</v>
      </c>
      <c r="E338" s="93">
        <v>2</v>
      </c>
      <c r="F338" s="79"/>
      <c r="G338" s="79"/>
      <c r="H338" s="79"/>
      <c r="I338" s="79">
        <f t="shared" si="154"/>
        <v>0</v>
      </c>
      <c r="J338" s="79">
        <f t="shared" si="155"/>
        <v>2</v>
      </c>
      <c r="K338" s="80">
        <v>119</v>
      </c>
      <c r="L338" s="81">
        <f t="shared" si="153"/>
        <v>150.84441309000002</v>
      </c>
      <c r="M338" s="82">
        <f t="shared" ref="M338:M369" si="188">TRUNC(F338*L338,2)</f>
        <v>0</v>
      </c>
      <c r="N338" s="82">
        <f t="shared" ref="N338:N369" si="189">TRUNC(G338*L338,2)</f>
        <v>0</v>
      </c>
      <c r="O338" s="82">
        <f t="shared" ref="O338:O369" si="190">N338</f>
        <v>0</v>
      </c>
      <c r="P338" s="80">
        <f t="shared" ref="P338:P369" si="191">E338*K338</f>
        <v>238</v>
      </c>
      <c r="Q338" s="82">
        <f t="shared" ref="Q338:Q369" si="192">TRUNC(E338*L338,2)</f>
        <v>301.68</v>
      </c>
      <c r="R338" s="82">
        <f t="shared" ref="R338:R369" si="193">Q338-O338</f>
        <v>301.68</v>
      </c>
    </row>
    <row r="339" spans="2:18" s="34" customFormat="1" ht="34.799999999999997">
      <c r="B339" s="75" t="s">
        <v>670</v>
      </c>
      <c r="C339" s="76" t="s">
        <v>671</v>
      </c>
      <c r="D339" s="77" t="s">
        <v>131</v>
      </c>
      <c r="E339" s="93">
        <v>12</v>
      </c>
      <c r="F339" s="79"/>
      <c r="G339" s="79"/>
      <c r="H339" s="79"/>
      <c r="I339" s="79">
        <f t="shared" si="154"/>
        <v>0</v>
      </c>
      <c r="J339" s="79">
        <f t="shared" si="155"/>
        <v>12</v>
      </c>
      <c r="K339" s="80">
        <v>215</v>
      </c>
      <c r="L339" s="81">
        <f t="shared" si="153"/>
        <v>272.53402364999999</v>
      </c>
      <c r="M339" s="82">
        <f t="shared" si="188"/>
        <v>0</v>
      </c>
      <c r="N339" s="82">
        <f t="shared" si="189"/>
        <v>0</v>
      </c>
      <c r="O339" s="82">
        <f t="shared" si="190"/>
        <v>0</v>
      </c>
      <c r="P339" s="80">
        <f t="shared" si="191"/>
        <v>2580</v>
      </c>
      <c r="Q339" s="82">
        <f t="shared" si="192"/>
        <v>3270.4</v>
      </c>
      <c r="R339" s="82">
        <f t="shared" si="193"/>
        <v>3270.4</v>
      </c>
    </row>
    <row r="340" spans="2:18" s="34" customFormat="1" ht="23.4">
      <c r="B340" s="75" t="s">
        <v>672</v>
      </c>
      <c r="C340" s="76" t="s">
        <v>673</v>
      </c>
      <c r="D340" s="77" t="s">
        <v>131</v>
      </c>
      <c r="E340" s="93">
        <v>15</v>
      </c>
      <c r="F340" s="79"/>
      <c r="G340" s="79"/>
      <c r="H340" s="79"/>
      <c r="I340" s="79">
        <f t="shared" si="154"/>
        <v>0</v>
      </c>
      <c r="J340" s="79">
        <f t="shared" si="155"/>
        <v>15</v>
      </c>
      <c r="K340" s="80">
        <v>98</v>
      </c>
      <c r="L340" s="81">
        <f t="shared" si="153"/>
        <v>124.22481078000001</v>
      </c>
      <c r="M340" s="82">
        <f t="shared" si="188"/>
        <v>0</v>
      </c>
      <c r="N340" s="82">
        <f t="shared" si="189"/>
        <v>0</v>
      </c>
      <c r="O340" s="82">
        <f t="shared" si="190"/>
        <v>0</v>
      </c>
      <c r="P340" s="80">
        <f t="shared" si="191"/>
        <v>1470</v>
      </c>
      <c r="Q340" s="82">
        <f t="shared" si="192"/>
        <v>1863.37</v>
      </c>
      <c r="R340" s="82">
        <f t="shared" si="193"/>
        <v>1863.37</v>
      </c>
    </row>
    <row r="341" spans="2:18" s="34" customFormat="1" ht="34.799999999999997">
      <c r="B341" s="75" t="s">
        <v>674</v>
      </c>
      <c r="C341" s="76" t="s">
        <v>675</v>
      </c>
      <c r="D341" s="77" t="s">
        <v>131</v>
      </c>
      <c r="E341" s="93">
        <v>5</v>
      </c>
      <c r="F341" s="79"/>
      <c r="G341" s="79"/>
      <c r="H341" s="79"/>
      <c r="I341" s="79">
        <f t="shared" si="154"/>
        <v>0</v>
      </c>
      <c r="J341" s="79">
        <f t="shared" si="155"/>
        <v>5</v>
      </c>
      <c r="K341" s="80">
        <v>52</v>
      </c>
      <c r="L341" s="81">
        <f t="shared" si="153"/>
        <v>65.915205720000003</v>
      </c>
      <c r="M341" s="82">
        <f t="shared" si="188"/>
        <v>0</v>
      </c>
      <c r="N341" s="82">
        <f t="shared" si="189"/>
        <v>0</v>
      </c>
      <c r="O341" s="82">
        <f t="shared" si="190"/>
        <v>0</v>
      </c>
      <c r="P341" s="80">
        <f t="shared" si="191"/>
        <v>260</v>
      </c>
      <c r="Q341" s="82">
        <f t="shared" si="192"/>
        <v>329.57</v>
      </c>
      <c r="R341" s="82">
        <f t="shared" si="193"/>
        <v>329.57</v>
      </c>
    </row>
    <row r="342" spans="2:18" s="34" customFormat="1" ht="23.4">
      <c r="B342" s="75" t="s">
        <v>676</v>
      </c>
      <c r="C342" s="76" t="s">
        <v>677</v>
      </c>
      <c r="D342" s="77" t="s">
        <v>131</v>
      </c>
      <c r="E342" s="93">
        <v>160</v>
      </c>
      <c r="F342" s="79"/>
      <c r="G342" s="79"/>
      <c r="H342" s="79"/>
      <c r="I342" s="79">
        <f t="shared" si="154"/>
        <v>0</v>
      </c>
      <c r="J342" s="79">
        <f t="shared" si="155"/>
        <v>160</v>
      </c>
      <c r="K342" s="80">
        <v>105.95</v>
      </c>
      <c r="L342" s="81">
        <f t="shared" si="153"/>
        <v>134.30223165450002</v>
      </c>
      <c r="M342" s="82">
        <f t="shared" si="188"/>
        <v>0</v>
      </c>
      <c r="N342" s="82">
        <f t="shared" si="189"/>
        <v>0</v>
      </c>
      <c r="O342" s="82">
        <f t="shared" si="190"/>
        <v>0</v>
      </c>
      <c r="P342" s="80">
        <f t="shared" si="191"/>
        <v>16952</v>
      </c>
      <c r="Q342" s="82">
        <f t="shared" si="192"/>
        <v>21488.35</v>
      </c>
      <c r="R342" s="82">
        <f t="shared" si="193"/>
        <v>21488.35</v>
      </c>
    </row>
    <row r="343" spans="2:18" s="34" customFormat="1" ht="13.2">
      <c r="B343" s="75" t="s">
        <v>678</v>
      </c>
      <c r="C343" s="76" t="s">
        <v>679</v>
      </c>
      <c r="D343" s="77" t="s">
        <v>131</v>
      </c>
      <c r="E343" s="93">
        <v>11</v>
      </c>
      <c r="F343" s="79"/>
      <c r="G343" s="79"/>
      <c r="H343" s="79"/>
      <c r="I343" s="79">
        <f t="shared" si="154"/>
        <v>0</v>
      </c>
      <c r="J343" s="79">
        <f t="shared" si="155"/>
        <v>11</v>
      </c>
      <c r="K343" s="80">
        <v>485</v>
      </c>
      <c r="L343" s="81">
        <f t="shared" si="153"/>
        <v>614.78605334999997</v>
      </c>
      <c r="M343" s="82">
        <f t="shared" si="188"/>
        <v>0</v>
      </c>
      <c r="N343" s="82">
        <f t="shared" si="189"/>
        <v>0</v>
      </c>
      <c r="O343" s="82">
        <f t="shared" si="190"/>
        <v>0</v>
      </c>
      <c r="P343" s="80">
        <f t="shared" si="191"/>
        <v>5335</v>
      </c>
      <c r="Q343" s="82">
        <f t="shared" si="192"/>
        <v>6762.64</v>
      </c>
      <c r="R343" s="82">
        <f t="shared" si="193"/>
        <v>6762.64</v>
      </c>
    </row>
    <row r="344" spans="2:18" s="34" customFormat="1" ht="34.799999999999997">
      <c r="B344" s="75" t="s">
        <v>680</v>
      </c>
      <c r="C344" s="88" t="s">
        <v>681</v>
      </c>
      <c r="D344" s="89" t="s">
        <v>131</v>
      </c>
      <c r="E344" s="90">
        <v>3</v>
      </c>
      <c r="F344" s="91"/>
      <c r="G344" s="91"/>
      <c r="H344" s="91"/>
      <c r="I344" s="91">
        <f t="shared" si="154"/>
        <v>0</v>
      </c>
      <c r="J344" s="91">
        <f t="shared" si="155"/>
        <v>3</v>
      </c>
      <c r="K344" s="80">
        <v>165</v>
      </c>
      <c r="L344" s="81">
        <f t="shared" si="153"/>
        <v>209.15401815000001</v>
      </c>
      <c r="M344" s="82">
        <f t="shared" si="188"/>
        <v>0</v>
      </c>
      <c r="N344" s="82">
        <f t="shared" si="189"/>
        <v>0</v>
      </c>
      <c r="O344" s="82">
        <f t="shared" si="190"/>
        <v>0</v>
      </c>
      <c r="P344" s="80">
        <f t="shared" si="191"/>
        <v>495</v>
      </c>
      <c r="Q344" s="82">
        <f t="shared" si="192"/>
        <v>627.46</v>
      </c>
      <c r="R344" s="82">
        <f t="shared" si="193"/>
        <v>627.46</v>
      </c>
    </row>
    <row r="345" spans="2:18" s="34" customFormat="1" ht="23.4">
      <c r="B345" s="75" t="s">
        <v>682</v>
      </c>
      <c r="C345" s="88" t="s">
        <v>683</v>
      </c>
      <c r="D345" s="89" t="s">
        <v>131</v>
      </c>
      <c r="E345" s="90">
        <v>1</v>
      </c>
      <c r="F345" s="91"/>
      <c r="G345" s="91"/>
      <c r="H345" s="91"/>
      <c r="I345" s="91">
        <f t="shared" si="154"/>
        <v>0</v>
      </c>
      <c r="J345" s="91">
        <f t="shared" si="155"/>
        <v>1</v>
      </c>
      <c r="K345" s="80">
        <v>169</v>
      </c>
      <c r="L345" s="81">
        <f t="shared" si="153"/>
        <v>214.22441859</v>
      </c>
      <c r="M345" s="82">
        <f t="shared" si="188"/>
        <v>0</v>
      </c>
      <c r="N345" s="82">
        <f t="shared" si="189"/>
        <v>0</v>
      </c>
      <c r="O345" s="82">
        <f t="shared" si="190"/>
        <v>0</v>
      </c>
      <c r="P345" s="80">
        <f t="shared" si="191"/>
        <v>169</v>
      </c>
      <c r="Q345" s="82">
        <f t="shared" si="192"/>
        <v>214.22</v>
      </c>
      <c r="R345" s="82">
        <f t="shared" si="193"/>
        <v>214.22</v>
      </c>
    </row>
    <row r="346" spans="2:18" s="34" customFormat="1" ht="23.4">
      <c r="B346" s="75" t="s">
        <v>684</v>
      </c>
      <c r="C346" s="88" t="s">
        <v>685</v>
      </c>
      <c r="D346" s="89" t="s">
        <v>131</v>
      </c>
      <c r="E346" s="90">
        <v>1</v>
      </c>
      <c r="F346" s="91"/>
      <c r="G346" s="91"/>
      <c r="H346" s="91"/>
      <c r="I346" s="91">
        <f t="shared" si="154"/>
        <v>0</v>
      </c>
      <c r="J346" s="91">
        <f t="shared" si="155"/>
        <v>1</v>
      </c>
      <c r="K346" s="80">
        <v>99</v>
      </c>
      <c r="L346" s="81">
        <f t="shared" si="153"/>
        <v>125.49241089</v>
      </c>
      <c r="M346" s="82">
        <f t="shared" si="188"/>
        <v>0</v>
      </c>
      <c r="N346" s="82">
        <f t="shared" si="189"/>
        <v>0</v>
      </c>
      <c r="O346" s="82">
        <f t="shared" si="190"/>
        <v>0</v>
      </c>
      <c r="P346" s="80">
        <f t="shared" si="191"/>
        <v>99</v>
      </c>
      <c r="Q346" s="82">
        <f t="shared" si="192"/>
        <v>125.49</v>
      </c>
      <c r="R346" s="82">
        <f t="shared" si="193"/>
        <v>125.49</v>
      </c>
    </row>
    <row r="347" spans="2:18" s="34" customFormat="1" ht="23.4">
      <c r="B347" s="75" t="s">
        <v>686</v>
      </c>
      <c r="C347" s="88" t="s">
        <v>687</v>
      </c>
      <c r="D347" s="89" t="s">
        <v>131</v>
      </c>
      <c r="E347" s="90">
        <v>1</v>
      </c>
      <c r="F347" s="91"/>
      <c r="G347" s="91"/>
      <c r="H347" s="91"/>
      <c r="I347" s="91">
        <f t="shared" si="154"/>
        <v>0</v>
      </c>
      <c r="J347" s="91">
        <f t="shared" si="155"/>
        <v>1</v>
      </c>
      <c r="K347" s="80">
        <v>265</v>
      </c>
      <c r="L347" s="81">
        <f t="shared" si="153"/>
        <v>335.91402915000003</v>
      </c>
      <c r="M347" s="82">
        <f t="shared" si="188"/>
        <v>0</v>
      </c>
      <c r="N347" s="82">
        <f t="shared" si="189"/>
        <v>0</v>
      </c>
      <c r="O347" s="82">
        <f t="shared" si="190"/>
        <v>0</v>
      </c>
      <c r="P347" s="80">
        <f t="shared" si="191"/>
        <v>265</v>
      </c>
      <c r="Q347" s="82">
        <f t="shared" si="192"/>
        <v>335.91</v>
      </c>
      <c r="R347" s="82">
        <f t="shared" si="193"/>
        <v>335.91</v>
      </c>
    </row>
    <row r="348" spans="2:18" s="34" customFormat="1" ht="46.2">
      <c r="B348" s="75" t="s">
        <v>688</v>
      </c>
      <c r="C348" s="88" t="s">
        <v>689</v>
      </c>
      <c r="D348" s="89" t="s">
        <v>131</v>
      </c>
      <c r="E348" s="90">
        <v>16</v>
      </c>
      <c r="F348" s="91"/>
      <c r="G348" s="91"/>
      <c r="H348" s="91"/>
      <c r="I348" s="91">
        <f t="shared" si="154"/>
        <v>0</v>
      </c>
      <c r="J348" s="91">
        <f t="shared" si="155"/>
        <v>16</v>
      </c>
      <c r="K348" s="80">
        <v>9.8000000000000007</v>
      </c>
      <c r="L348" s="81">
        <f t="shared" si="153"/>
        <v>12.422481078000002</v>
      </c>
      <c r="M348" s="82">
        <f t="shared" si="188"/>
        <v>0</v>
      </c>
      <c r="N348" s="82">
        <f t="shared" si="189"/>
        <v>0</v>
      </c>
      <c r="O348" s="82">
        <f t="shared" si="190"/>
        <v>0</v>
      </c>
      <c r="P348" s="80">
        <f t="shared" si="191"/>
        <v>156.80000000000001</v>
      </c>
      <c r="Q348" s="82">
        <f t="shared" si="192"/>
        <v>198.75</v>
      </c>
      <c r="R348" s="82">
        <f t="shared" si="193"/>
        <v>198.75</v>
      </c>
    </row>
    <row r="349" spans="2:18" s="34" customFormat="1" ht="46.2">
      <c r="B349" s="75" t="s">
        <v>690</v>
      </c>
      <c r="C349" s="88" t="s">
        <v>691</v>
      </c>
      <c r="D349" s="89" t="s">
        <v>131</v>
      </c>
      <c r="E349" s="90">
        <v>4</v>
      </c>
      <c r="F349" s="91"/>
      <c r="G349" s="91"/>
      <c r="H349" s="91"/>
      <c r="I349" s="91">
        <f t="shared" si="154"/>
        <v>0</v>
      </c>
      <c r="J349" s="91">
        <f t="shared" si="155"/>
        <v>4</v>
      </c>
      <c r="K349" s="80">
        <v>12.5</v>
      </c>
      <c r="L349" s="81">
        <f t="shared" ref="L349:L412" si="194">K349*(1+$T$26)</f>
        <v>15.845001375000001</v>
      </c>
      <c r="M349" s="82">
        <f t="shared" si="188"/>
        <v>0</v>
      </c>
      <c r="N349" s="82">
        <f t="shared" si="189"/>
        <v>0</v>
      </c>
      <c r="O349" s="82">
        <f t="shared" si="190"/>
        <v>0</v>
      </c>
      <c r="P349" s="80">
        <f t="shared" si="191"/>
        <v>50</v>
      </c>
      <c r="Q349" s="82">
        <f t="shared" si="192"/>
        <v>63.38</v>
      </c>
      <c r="R349" s="82">
        <f t="shared" si="193"/>
        <v>63.38</v>
      </c>
    </row>
    <row r="350" spans="2:18" s="34" customFormat="1" ht="46.2">
      <c r="B350" s="75" t="s">
        <v>692</v>
      </c>
      <c r="C350" s="88" t="s">
        <v>693</v>
      </c>
      <c r="D350" s="89" t="s">
        <v>131</v>
      </c>
      <c r="E350" s="90">
        <v>2</v>
      </c>
      <c r="F350" s="91"/>
      <c r="G350" s="91"/>
      <c r="H350" s="91"/>
      <c r="I350" s="91">
        <f t="shared" si="154"/>
        <v>0</v>
      </c>
      <c r="J350" s="91">
        <f t="shared" si="155"/>
        <v>2</v>
      </c>
      <c r="K350" s="80">
        <v>28</v>
      </c>
      <c r="L350" s="81">
        <f t="shared" si="194"/>
        <v>35.492803080000002</v>
      </c>
      <c r="M350" s="82">
        <f t="shared" si="188"/>
        <v>0</v>
      </c>
      <c r="N350" s="82">
        <f t="shared" si="189"/>
        <v>0</v>
      </c>
      <c r="O350" s="82">
        <f t="shared" si="190"/>
        <v>0</v>
      </c>
      <c r="P350" s="80">
        <f t="shared" si="191"/>
        <v>56</v>
      </c>
      <c r="Q350" s="82">
        <f t="shared" si="192"/>
        <v>70.98</v>
      </c>
      <c r="R350" s="82">
        <f t="shared" si="193"/>
        <v>70.98</v>
      </c>
    </row>
    <row r="351" spans="2:18" s="34" customFormat="1" ht="46.2">
      <c r="B351" s="75" t="s">
        <v>694</v>
      </c>
      <c r="C351" s="88" t="s">
        <v>695</v>
      </c>
      <c r="D351" s="89" t="s">
        <v>131</v>
      </c>
      <c r="E351" s="90">
        <v>30</v>
      </c>
      <c r="F351" s="91"/>
      <c r="G351" s="91"/>
      <c r="H351" s="91"/>
      <c r="I351" s="91">
        <f t="shared" ref="I351:I414" si="195">SUM(G351:H351)</f>
        <v>0</v>
      </c>
      <c r="J351" s="91">
        <f t="shared" ref="J351:J414" si="196">E351-I351</f>
        <v>30</v>
      </c>
      <c r="K351" s="80">
        <v>38</v>
      </c>
      <c r="L351" s="81">
        <f t="shared" si="194"/>
        <v>48.168804180000002</v>
      </c>
      <c r="M351" s="82">
        <f t="shared" si="188"/>
        <v>0</v>
      </c>
      <c r="N351" s="82">
        <f t="shared" si="189"/>
        <v>0</v>
      </c>
      <c r="O351" s="82">
        <f t="shared" si="190"/>
        <v>0</v>
      </c>
      <c r="P351" s="80">
        <f t="shared" si="191"/>
        <v>1140</v>
      </c>
      <c r="Q351" s="82">
        <f t="shared" si="192"/>
        <v>1445.06</v>
      </c>
      <c r="R351" s="82">
        <f t="shared" si="193"/>
        <v>1445.06</v>
      </c>
    </row>
    <row r="352" spans="2:18" s="34" customFormat="1" ht="34.799999999999997">
      <c r="B352" s="75" t="s">
        <v>696</v>
      </c>
      <c r="C352" s="88" t="s">
        <v>697</v>
      </c>
      <c r="D352" s="89" t="s">
        <v>131</v>
      </c>
      <c r="E352" s="90">
        <v>320</v>
      </c>
      <c r="F352" s="91"/>
      <c r="G352" s="91"/>
      <c r="H352" s="91"/>
      <c r="I352" s="91">
        <f t="shared" si="195"/>
        <v>0</v>
      </c>
      <c r="J352" s="91">
        <f t="shared" si="196"/>
        <v>320</v>
      </c>
      <c r="K352" s="80">
        <v>5.33</v>
      </c>
      <c r="L352" s="81">
        <f t="shared" si="194"/>
        <v>6.7563085863000003</v>
      </c>
      <c r="M352" s="82">
        <f t="shared" si="188"/>
        <v>0</v>
      </c>
      <c r="N352" s="82">
        <f t="shared" si="189"/>
        <v>0</v>
      </c>
      <c r="O352" s="82">
        <f t="shared" si="190"/>
        <v>0</v>
      </c>
      <c r="P352" s="80">
        <f t="shared" si="191"/>
        <v>1705.6</v>
      </c>
      <c r="Q352" s="82">
        <f t="shared" si="192"/>
        <v>2162.0100000000002</v>
      </c>
      <c r="R352" s="82">
        <f t="shared" si="193"/>
        <v>2162.0100000000002</v>
      </c>
    </row>
    <row r="353" spans="2:18" s="34" customFormat="1" ht="23.4">
      <c r="B353" s="75" t="s">
        <v>698</v>
      </c>
      <c r="C353" s="88" t="s">
        <v>699</v>
      </c>
      <c r="D353" s="89" t="s">
        <v>131</v>
      </c>
      <c r="E353" s="90">
        <v>12</v>
      </c>
      <c r="F353" s="91"/>
      <c r="G353" s="91"/>
      <c r="H353" s="91"/>
      <c r="I353" s="91">
        <f t="shared" si="195"/>
        <v>0</v>
      </c>
      <c r="J353" s="91">
        <f t="shared" si="196"/>
        <v>12</v>
      </c>
      <c r="K353" s="80">
        <v>4.92</v>
      </c>
      <c r="L353" s="81">
        <f t="shared" si="194"/>
        <v>6.2365925412000003</v>
      </c>
      <c r="M353" s="82">
        <f t="shared" si="188"/>
        <v>0</v>
      </c>
      <c r="N353" s="82">
        <f t="shared" si="189"/>
        <v>0</v>
      </c>
      <c r="O353" s="82">
        <f t="shared" si="190"/>
        <v>0</v>
      </c>
      <c r="P353" s="80">
        <f t="shared" si="191"/>
        <v>59.04</v>
      </c>
      <c r="Q353" s="82">
        <f t="shared" si="192"/>
        <v>74.83</v>
      </c>
      <c r="R353" s="82">
        <f t="shared" si="193"/>
        <v>74.83</v>
      </c>
    </row>
    <row r="354" spans="2:18" s="34" customFormat="1" ht="23.4">
      <c r="B354" s="75" t="s">
        <v>700</v>
      </c>
      <c r="C354" s="88" t="s">
        <v>701</v>
      </c>
      <c r="D354" s="89" t="s">
        <v>131</v>
      </c>
      <c r="E354" s="90">
        <v>1</v>
      </c>
      <c r="F354" s="91"/>
      <c r="G354" s="91"/>
      <c r="H354" s="91"/>
      <c r="I354" s="91">
        <f t="shared" si="195"/>
        <v>0</v>
      </c>
      <c r="J354" s="91">
        <f t="shared" si="196"/>
        <v>1</v>
      </c>
      <c r="K354" s="80">
        <v>5.49</v>
      </c>
      <c r="L354" s="81">
        <f t="shared" si="194"/>
        <v>6.9591246039000003</v>
      </c>
      <c r="M354" s="82">
        <f t="shared" si="188"/>
        <v>0</v>
      </c>
      <c r="N354" s="82">
        <f t="shared" si="189"/>
        <v>0</v>
      </c>
      <c r="O354" s="82">
        <f t="shared" si="190"/>
        <v>0</v>
      </c>
      <c r="P354" s="80">
        <f t="shared" si="191"/>
        <v>5.49</v>
      </c>
      <c r="Q354" s="82">
        <f t="shared" si="192"/>
        <v>6.95</v>
      </c>
      <c r="R354" s="82">
        <f t="shared" si="193"/>
        <v>6.95</v>
      </c>
    </row>
    <row r="355" spans="2:18" s="34" customFormat="1" ht="23.4">
      <c r="B355" s="75" t="s">
        <v>702</v>
      </c>
      <c r="C355" s="88" t="s">
        <v>703</v>
      </c>
      <c r="D355" s="89" t="s">
        <v>131</v>
      </c>
      <c r="E355" s="90">
        <v>1</v>
      </c>
      <c r="F355" s="91"/>
      <c r="G355" s="91"/>
      <c r="H355" s="91"/>
      <c r="I355" s="91">
        <f t="shared" si="195"/>
        <v>0</v>
      </c>
      <c r="J355" s="91">
        <f t="shared" si="196"/>
        <v>1</v>
      </c>
      <c r="K355" s="80">
        <v>8.5</v>
      </c>
      <c r="L355" s="81">
        <f t="shared" si="194"/>
        <v>10.774600935</v>
      </c>
      <c r="M355" s="82">
        <f t="shared" si="188"/>
        <v>0</v>
      </c>
      <c r="N355" s="82">
        <f t="shared" si="189"/>
        <v>0</v>
      </c>
      <c r="O355" s="82">
        <f t="shared" si="190"/>
        <v>0</v>
      </c>
      <c r="P355" s="80">
        <f t="shared" si="191"/>
        <v>8.5</v>
      </c>
      <c r="Q355" s="82">
        <f t="shared" si="192"/>
        <v>10.77</v>
      </c>
      <c r="R355" s="82">
        <f t="shared" si="193"/>
        <v>10.77</v>
      </c>
    </row>
    <row r="356" spans="2:18" s="34" customFormat="1" ht="23.4">
      <c r="B356" s="75" t="s">
        <v>704</v>
      </c>
      <c r="C356" s="88" t="s">
        <v>705</v>
      </c>
      <c r="D356" s="89" t="s">
        <v>131</v>
      </c>
      <c r="E356" s="90">
        <v>1</v>
      </c>
      <c r="F356" s="91"/>
      <c r="G356" s="91"/>
      <c r="H356" s="91"/>
      <c r="I356" s="91">
        <f t="shared" si="195"/>
        <v>0</v>
      </c>
      <c r="J356" s="91">
        <f t="shared" si="196"/>
        <v>1</v>
      </c>
      <c r="K356" s="80">
        <v>14.47</v>
      </c>
      <c r="L356" s="81">
        <f t="shared" si="194"/>
        <v>18.3421735917</v>
      </c>
      <c r="M356" s="82">
        <f t="shared" si="188"/>
        <v>0</v>
      </c>
      <c r="N356" s="82">
        <f t="shared" si="189"/>
        <v>0</v>
      </c>
      <c r="O356" s="82">
        <f t="shared" si="190"/>
        <v>0</v>
      </c>
      <c r="P356" s="80">
        <f t="shared" si="191"/>
        <v>14.47</v>
      </c>
      <c r="Q356" s="82">
        <f t="shared" si="192"/>
        <v>18.34</v>
      </c>
      <c r="R356" s="82">
        <f t="shared" si="193"/>
        <v>18.34</v>
      </c>
    </row>
    <row r="357" spans="2:18" s="34" customFormat="1" ht="23.4">
      <c r="B357" s="75" t="s">
        <v>706</v>
      </c>
      <c r="C357" s="88" t="s">
        <v>707</v>
      </c>
      <c r="D357" s="89" t="s">
        <v>131</v>
      </c>
      <c r="E357" s="90">
        <v>4</v>
      </c>
      <c r="F357" s="91"/>
      <c r="G357" s="91"/>
      <c r="H357" s="91"/>
      <c r="I357" s="91">
        <f t="shared" si="195"/>
        <v>0</v>
      </c>
      <c r="J357" s="91">
        <f t="shared" si="196"/>
        <v>4</v>
      </c>
      <c r="K357" s="80">
        <v>31.9</v>
      </c>
      <c r="L357" s="81">
        <f t="shared" si="194"/>
        <v>40.436443509</v>
      </c>
      <c r="M357" s="82">
        <f t="shared" si="188"/>
        <v>0</v>
      </c>
      <c r="N357" s="82">
        <f t="shared" si="189"/>
        <v>0</v>
      </c>
      <c r="O357" s="82">
        <f t="shared" si="190"/>
        <v>0</v>
      </c>
      <c r="P357" s="80">
        <f t="shared" si="191"/>
        <v>127.6</v>
      </c>
      <c r="Q357" s="82">
        <f t="shared" si="192"/>
        <v>161.74</v>
      </c>
      <c r="R357" s="82">
        <f t="shared" si="193"/>
        <v>161.74</v>
      </c>
    </row>
    <row r="358" spans="2:18" s="34" customFormat="1" ht="23.4">
      <c r="B358" s="75" t="s">
        <v>708</v>
      </c>
      <c r="C358" s="88" t="s">
        <v>709</v>
      </c>
      <c r="D358" s="89" t="s">
        <v>131</v>
      </c>
      <c r="E358" s="90">
        <v>1</v>
      </c>
      <c r="F358" s="91"/>
      <c r="G358" s="91"/>
      <c r="H358" s="91"/>
      <c r="I358" s="91">
        <f t="shared" si="195"/>
        <v>0</v>
      </c>
      <c r="J358" s="91">
        <f t="shared" si="196"/>
        <v>1</v>
      </c>
      <c r="K358" s="80">
        <v>11.22</v>
      </c>
      <c r="L358" s="81">
        <f t="shared" si="194"/>
        <v>14.222473234200001</v>
      </c>
      <c r="M358" s="82">
        <f t="shared" si="188"/>
        <v>0</v>
      </c>
      <c r="N358" s="82">
        <f t="shared" si="189"/>
        <v>0</v>
      </c>
      <c r="O358" s="82">
        <f t="shared" si="190"/>
        <v>0</v>
      </c>
      <c r="P358" s="80">
        <f t="shared" si="191"/>
        <v>11.22</v>
      </c>
      <c r="Q358" s="82">
        <f t="shared" si="192"/>
        <v>14.22</v>
      </c>
      <c r="R358" s="82">
        <f t="shared" si="193"/>
        <v>14.22</v>
      </c>
    </row>
    <row r="359" spans="2:18" s="34" customFormat="1" ht="23.4">
      <c r="B359" s="75" t="s">
        <v>710</v>
      </c>
      <c r="C359" s="88" t="s">
        <v>711</v>
      </c>
      <c r="D359" s="89" t="s">
        <v>131</v>
      </c>
      <c r="E359" s="90">
        <v>57</v>
      </c>
      <c r="F359" s="91"/>
      <c r="G359" s="91"/>
      <c r="H359" s="91"/>
      <c r="I359" s="91">
        <f t="shared" si="195"/>
        <v>0</v>
      </c>
      <c r="J359" s="91">
        <f t="shared" si="196"/>
        <v>57</v>
      </c>
      <c r="K359" s="80">
        <v>14.54</v>
      </c>
      <c r="L359" s="81">
        <f t="shared" si="194"/>
        <v>18.430905599399999</v>
      </c>
      <c r="M359" s="82">
        <f t="shared" si="188"/>
        <v>0</v>
      </c>
      <c r="N359" s="82">
        <f t="shared" si="189"/>
        <v>0</v>
      </c>
      <c r="O359" s="82">
        <f t="shared" si="190"/>
        <v>0</v>
      </c>
      <c r="P359" s="80">
        <f t="shared" si="191"/>
        <v>828.78</v>
      </c>
      <c r="Q359" s="82">
        <f t="shared" si="192"/>
        <v>1050.56</v>
      </c>
      <c r="R359" s="82">
        <f t="shared" si="193"/>
        <v>1050.56</v>
      </c>
    </row>
    <row r="360" spans="2:18" s="34" customFormat="1" ht="23.4">
      <c r="B360" s="75" t="s">
        <v>712</v>
      </c>
      <c r="C360" s="88" t="s">
        <v>713</v>
      </c>
      <c r="D360" s="89" t="s">
        <v>131</v>
      </c>
      <c r="E360" s="90">
        <v>1</v>
      </c>
      <c r="F360" s="91"/>
      <c r="G360" s="91"/>
      <c r="H360" s="91"/>
      <c r="I360" s="91">
        <f t="shared" si="195"/>
        <v>0</v>
      </c>
      <c r="J360" s="91">
        <f t="shared" si="196"/>
        <v>1</v>
      </c>
      <c r="K360" s="80">
        <v>16.8</v>
      </c>
      <c r="L360" s="81">
        <f t="shared" si="194"/>
        <v>21.295681848000001</v>
      </c>
      <c r="M360" s="82">
        <f t="shared" si="188"/>
        <v>0</v>
      </c>
      <c r="N360" s="82">
        <f t="shared" si="189"/>
        <v>0</v>
      </c>
      <c r="O360" s="82">
        <f t="shared" si="190"/>
        <v>0</v>
      </c>
      <c r="P360" s="80">
        <f t="shared" si="191"/>
        <v>16.8</v>
      </c>
      <c r="Q360" s="82">
        <f t="shared" si="192"/>
        <v>21.29</v>
      </c>
      <c r="R360" s="82">
        <f t="shared" si="193"/>
        <v>21.29</v>
      </c>
    </row>
    <row r="361" spans="2:18" s="34" customFormat="1" ht="34.799999999999997">
      <c r="B361" s="75" t="s">
        <v>714</v>
      </c>
      <c r="C361" s="88" t="s">
        <v>715</v>
      </c>
      <c r="D361" s="89" t="s">
        <v>131</v>
      </c>
      <c r="E361" s="90">
        <v>1</v>
      </c>
      <c r="F361" s="91"/>
      <c r="G361" s="91"/>
      <c r="H361" s="91"/>
      <c r="I361" s="91">
        <f t="shared" si="195"/>
        <v>0</v>
      </c>
      <c r="J361" s="91">
        <f t="shared" si="196"/>
        <v>1</v>
      </c>
      <c r="K361" s="80">
        <v>25</v>
      </c>
      <c r="L361" s="81">
        <f t="shared" si="194"/>
        <v>31.690002750000001</v>
      </c>
      <c r="M361" s="82">
        <f t="shared" si="188"/>
        <v>0</v>
      </c>
      <c r="N361" s="82">
        <f t="shared" si="189"/>
        <v>0</v>
      </c>
      <c r="O361" s="82">
        <f t="shared" si="190"/>
        <v>0</v>
      </c>
      <c r="P361" s="80">
        <f t="shared" si="191"/>
        <v>25</v>
      </c>
      <c r="Q361" s="82">
        <f t="shared" si="192"/>
        <v>31.69</v>
      </c>
      <c r="R361" s="82">
        <f t="shared" si="193"/>
        <v>31.69</v>
      </c>
    </row>
    <row r="362" spans="2:18" s="34" customFormat="1" ht="23.4">
      <c r="B362" s="75" t="s">
        <v>716</v>
      </c>
      <c r="C362" s="88" t="s">
        <v>717</v>
      </c>
      <c r="D362" s="89" t="s">
        <v>131</v>
      </c>
      <c r="E362" s="90">
        <v>24</v>
      </c>
      <c r="F362" s="91"/>
      <c r="G362" s="91"/>
      <c r="H362" s="91"/>
      <c r="I362" s="91">
        <f t="shared" si="195"/>
        <v>0</v>
      </c>
      <c r="J362" s="91">
        <f t="shared" si="196"/>
        <v>24</v>
      </c>
      <c r="K362" s="80">
        <v>5.37</v>
      </c>
      <c r="L362" s="81">
        <f t="shared" si="194"/>
        <v>6.8070125907000003</v>
      </c>
      <c r="M362" s="82">
        <f t="shared" si="188"/>
        <v>0</v>
      </c>
      <c r="N362" s="82">
        <f t="shared" si="189"/>
        <v>0</v>
      </c>
      <c r="O362" s="82">
        <f t="shared" si="190"/>
        <v>0</v>
      </c>
      <c r="P362" s="80">
        <f t="shared" si="191"/>
        <v>128.88</v>
      </c>
      <c r="Q362" s="82">
        <f t="shared" si="192"/>
        <v>163.36000000000001</v>
      </c>
      <c r="R362" s="82">
        <f t="shared" si="193"/>
        <v>163.36000000000001</v>
      </c>
    </row>
    <row r="363" spans="2:18" s="34" customFormat="1" ht="23.4">
      <c r="B363" s="75" t="s">
        <v>718</v>
      </c>
      <c r="C363" s="88" t="s">
        <v>719</v>
      </c>
      <c r="D363" s="89" t="s">
        <v>131</v>
      </c>
      <c r="E363" s="90">
        <v>2</v>
      </c>
      <c r="F363" s="91"/>
      <c r="G363" s="91"/>
      <c r="H363" s="91"/>
      <c r="I363" s="91">
        <f t="shared" si="195"/>
        <v>0</v>
      </c>
      <c r="J363" s="91">
        <f t="shared" si="196"/>
        <v>2</v>
      </c>
      <c r="K363" s="80">
        <v>8.76</v>
      </c>
      <c r="L363" s="81">
        <f t="shared" si="194"/>
        <v>11.104176963600001</v>
      </c>
      <c r="M363" s="82">
        <f t="shared" si="188"/>
        <v>0</v>
      </c>
      <c r="N363" s="82">
        <f t="shared" si="189"/>
        <v>0</v>
      </c>
      <c r="O363" s="82">
        <f t="shared" si="190"/>
        <v>0</v>
      </c>
      <c r="P363" s="80">
        <f t="shared" si="191"/>
        <v>17.52</v>
      </c>
      <c r="Q363" s="82">
        <f t="shared" si="192"/>
        <v>22.2</v>
      </c>
      <c r="R363" s="82">
        <f t="shared" si="193"/>
        <v>22.2</v>
      </c>
    </row>
    <row r="364" spans="2:18" s="34" customFormat="1" ht="23.4">
      <c r="B364" s="75" t="s">
        <v>720</v>
      </c>
      <c r="C364" s="88" t="s">
        <v>721</v>
      </c>
      <c r="D364" s="89" t="s">
        <v>131</v>
      </c>
      <c r="E364" s="90">
        <v>4</v>
      </c>
      <c r="F364" s="91"/>
      <c r="G364" s="91"/>
      <c r="H364" s="91"/>
      <c r="I364" s="91">
        <f t="shared" si="195"/>
        <v>0</v>
      </c>
      <c r="J364" s="91">
        <f t="shared" si="196"/>
        <v>4</v>
      </c>
      <c r="K364" s="80">
        <v>11.55</v>
      </c>
      <c r="L364" s="81">
        <f t="shared" si="194"/>
        <v>14.640781270500002</v>
      </c>
      <c r="M364" s="82">
        <f t="shared" si="188"/>
        <v>0</v>
      </c>
      <c r="N364" s="82">
        <f t="shared" si="189"/>
        <v>0</v>
      </c>
      <c r="O364" s="82">
        <f t="shared" si="190"/>
        <v>0</v>
      </c>
      <c r="P364" s="80">
        <f t="shared" si="191"/>
        <v>46.2</v>
      </c>
      <c r="Q364" s="82">
        <f t="shared" si="192"/>
        <v>58.56</v>
      </c>
      <c r="R364" s="82">
        <f t="shared" si="193"/>
        <v>58.56</v>
      </c>
    </row>
    <row r="365" spans="2:18" s="34" customFormat="1" ht="34.799999999999997">
      <c r="B365" s="75" t="s">
        <v>722</v>
      </c>
      <c r="C365" s="88" t="s">
        <v>723</v>
      </c>
      <c r="D365" s="89" t="s">
        <v>131</v>
      </c>
      <c r="E365" s="90">
        <v>2</v>
      </c>
      <c r="F365" s="91"/>
      <c r="G365" s="91"/>
      <c r="H365" s="91"/>
      <c r="I365" s="91">
        <f t="shared" si="195"/>
        <v>0</v>
      </c>
      <c r="J365" s="91">
        <f t="shared" si="196"/>
        <v>2</v>
      </c>
      <c r="K365" s="80">
        <v>34.32</v>
      </c>
      <c r="L365" s="81">
        <f t="shared" si="194"/>
        <v>43.504035775200002</v>
      </c>
      <c r="M365" s="82">
        <f t="shared" si="188"/>
        <v>0</v>
      </c>
      <c r="N365" s="82">
        <f t="shared" si="189"/>
        <v>0</v>
      </c>
      <c r="O365" s="82">
        <f t="shared" si="190"/>
        <v>0</v>
      </c>
      <c r="P365" s="80">
        <f t="shared" si="191"/>
        <v>68.64</v>
      </c>
      <c r="Q365" s="82">
        <f t="shared" si="192"/>
        <v>87</v>
      </c>
      <c r="R365" s="82">
        <f t="shared" si="193"/>
        <v>87</v>
      </c>
    </row>
    <row r="366" spans="2:18" s="34" customFormat="1" ht="23.4">
      <c r="B366" s="75" t="s">
        <v>724</v>
      </c>
      <c r="C366" s="88" t="s">
        <v>725</v>
      </c>
      <c r="D366" s="89" t="s">
        <v>131</v>
      </c>
      <c r="E366" s="90">
        <v>3</v>
      </c>
      <c r="F366" s="91"/>
      <c r="G366" s="91"/>
      <c r="H366" s="91"/>
      <c r="I366" s="91">
        <f t="shared" si="195"/>
        <v>0</v>
      </c>
      <c r="J366" s="91">
        <f t="shared" si="196"/>
        <v>3</v>
      </c>
      <c r="K366" s="80">
        <v>71.75</v>
      </c>
      <c r="L366" s="81">
        <f t="shared" si="194"/>
        <v>90.950307892500007</v>
      </c>
      <c r="M366" s="82">
        <f t="shared" si="188"/>
        <v>0</v>
      </c>
      <c r="N366" s="82">
        <f t="shared" si="189"/>
        <v>0</v>
      </c>
      <c r="O366" s="82">
        <f t="shared" si="190"/>
        <v>0</v>
      </c>
      <c r="P366" s="80">
        <f t="shared" si="191"/>
        <v>215.25</v>
      </c>
      <c r="Q366" s="82">
        <f t="shared" si="192"/>
        <v>272.85000000000002</v>
      </c>
      <c r="R366" s="82">
        <f t="shared" si="193"/>
        <v>272.85000000000002</v>
      </c>
    </row>
    <row r="367" spans="2:18" s="34" customFormat="1" ht="34.799999999999997">
      <c r="B367" s="75" t="s">
        <v>726</v>
      </c>
      <c r="C367" s="88" t="s">
        <v>727</v>
      </c>
      <c r="D367" s="89" t="s">
        <v>131</v>
      </c>
      <c r="E367" s="90">
        <v>1</v>
      </c>
      <c r="F367" s="91"/>
      <c r="G367" s="91"/>
      <c r="H367" s="91"/>
      <c r="I367" s="91">
        <f t="shared" si="195"/>
        <v>0</v>
      </c>
      <c r="J367" s="91">
        <f t="shared" si="196"/>
        <v>1</v>
      </c>
      <c r="K367" s="80">
        <v>14.38</v>
      </c>
      <c r="L367" s="81">
        <f t="shared" si="194"/>
        <v>18.228089581800003</v>
      </c>
      <c r="M367" s="82">
        <f t="shared" si="188"/>
        <v>0</v>
      </c>
      <c r="N367" s="82">
        <f t="shared" si="189"/>
        <v>0</v>
      </c>
      <c r="O367" s="82">
        <f t="shared" si="190"/>
        <v>0</v>
      </c>
      <c r="P367" s="80">
        <f t="shared" si="191"/>
        <v>14.38</v>
      </c>
      <c r="Q367" s="82">
        <f t="shared" si="192"/>
        <v>18.22</v>
      </c>
      <c r="R367" s="82">
        <f t="shared" si="193"/>
        <v>18.22</v>
      </c>
    </row>
    <row r="368" spans="2:18" s="34" customFormat="1" ht="13.2">
      <c r="B368" s="75" t="s">
        <v>728</v>
      </c>
      <c r="C368" s="88" t="s">
        <v>729</v>
      </c>
      <c r="D368" s="89" t="s">
        <v>131</v>
      </c>
      <c r="E368" s="90">
        <v>22</v>
      </c>
      <c r="F368" s="91"/>
      <c r="G368" s="91"/>
      <c r="H368" s="91"/>
      <c r="I368" s="91">
        <f t="shared" si="195"/>
        <v>0</v>
      </c>
      <c r="J368" s="91">
        <f t="shared" si="196"/>
        <v>22</v>
      </c>
      <c r="K368" s="80">
        <v>14.99</v>
      </c>
      <c r="L368" s="81">
        <f t="shared" si="194"/>
        <v>19.0013256489</v>
      </c>
      <c r="M368" s="82">
        <f t="shared" si="188"/>
        <v>0</v>
      </c>
      <c r="N368" s="82">
        <f t="shared" si="189"/>
        <v>0</v>
      </c>
      <c r="O368" s="82">
        <f t="shared" si="190"/>
        <v>0</v>
      </c>
      <c r="P368" s="80">
        <f t="shared" si="191"/>
        <v>329.78000000000003</v>
      </c>
      <c r="Q368" s="82">
        <f t="shared" si="192"/>
        <v>418.02</v>
      </c>
      <c r="R368" s="82">
        <f t="shared" si="193"/>
        <v>418.02</v>
      </c>
    </row>
    <row r="369" spans="2:18" s="34" customFormat="1" ht="23.4">
      <c r="B369" s="75" t="s">
        <v>730</v>
      </c>
      <c r="C369" s="88" t="s">
        <v>731</v>
      </c>
      <c r="D369" s="89" t="s">
        <v>131</v>
      </c>
      <c r="E369" s="90">
        <v>289</v>
      </c>
      <c r="F369" s="91"/>
      <c r="G369" s="91"/>
      <c r="H369" s="91"/>
      <c r="I369" s="91">
        <f t="shared" si="195"/>
        <v>0</v>
      </c>
      <c r="J369" s="91">
        <f t="shared" si="196"/>
        <v>289</v>
      </c>
      <c r="K369" s="80">
        <v>13.04</v>
      </c>
      <c r="L369" s="81">
        <f t="shared" si="194"/>
        <v>16.529505434400001</v>
      </c>
      <c r="M369" s="82">
        <f t="shared" si="188"/>
        <v>0</v>
      </c>
      <c r="N369" s="82">
        <f t="shared" si="189"/>
        <v>0</v>
      </c>
      <c r="O369" s="82">
        <f t="shared" si="190"/>
        <v>0</v>
      </c>
      <c r="P369" s="80">
        <f t="shared" si="191"/>
        <v>3768.56</v>
      </c>
      <c r="Q369" s="82">
        <f t="shared" si="192"/>
        <v>4777.0200000000004</v>
      </c>
      <c r="R369" s="82">
        <f t="shared" si="193"/>
        <v>4777.0200000000004</v>
      </c>
    </row>
    <row r="370" spans="2:18" s="34" customFormat="1" ht="23.4">
      <c r="B370" s="75" t="s">
        <v>732</v>
      </c>
      <c r="C370" s="88" t="s">
        <v>733</v>
      </c>
      <c r="D370" s="89" t="s">
        <v>131</v>
      </c>
      <c r="E370" s="90">
        <v>7</v>
      </c>
      <c r="F370" s="91"/>
      <c r="G370" s="91"/>
      <c r="H370" s="91"/>
      <c r="I370" s="91">
        <f t="shared" si="195"/>
        <v>0</v>
      </c>
      <c r="J370" s="91">
        <f t="shared" si="196"/>
        <v>7</v>
      </c>
      <c r="K370" s="80">
        <v>3.95</v>
      </c>
      <c r="L370" s="81">
        <f t="shared" si="194"/>
        <v>5.0070204345000002</v>
      </c>
      <c r="M370" s="82">
        <f t="shared" ref="M370:M394" si="197">TRUNC(F370*L370,2)</f>
        <v>0</v>
      </c>
      <c r="N370" s="82">
        <f t="shared" ref="N370:N394" si="198">TRUNC(G370*L370,2)</f>
        <v>0</v>
      </c>
      <c r="O370" s="82">
        <f t="shared" ref="O370:O394" si="199">N370</f>
        <v>0</v>
      </c>
      <c r="P370" s="80">
        <f t="shared" ref="P370:P394" si="200">E370*K370</f>
        <v>27.650000000000002</v>
      </c>
      <c r="Q370" s="82">
        <f t="shared" ref="Q370:Q394" si="201">TRUNC(E370*L370,2)</f>
        <v>35.04</v>
      </c>
      <c r="R370" s="82">
        <f t="shared" ref="R370:R394" si="202">Q370-O370</f>
        <v>35.04</v>
      </c>
    </row>
    <row r="371" spans="2:18" s="34" customFormat="1" ht="23.4">
      <c r="B371" s="75" t="s">
        <v>734</v>
      </c>
      <c r="C371" s="88" t="s">
        <v>735</v>
      </c>
      <c r="D371" s="89" t="s">
        <v>131</v>
      </c>
      <c r="E371" s="90">
        <v>270</v>
      </c>
      <c r="F371" s="91"/>
      <c r="G371" s="91"/>
      <c r="H371" s="91"/>
      <c r="I371" s="91">
        <f t="shared" si="195"/>
        <v>0</v>
      </c>
      <c r="J371" s="91">
        <f t="shared" si="196"/>
        <v>270</v>
      </c>
      <c r="K371" s="80">
        <v>4.67</v>
      </c>
      <c r="L371" s="81">
        <f t="shared" si="194"/>
        <v>5.9196925137000003</v>
      </c>
      <c r="M371" s="82">
        <f t="shared" si="197"/>
        <v>0</v>
      </c>
      <c r="N371" s="82">
        <f t="shared" si="198"/>
        <v>0</v>
      </c>
      <c r="O371" s="82">
        <f t="shared" si="199"/>
        <v>0</v>
      </c>
      <c r="P371" s="80">
        <f t="shared" si="200"/>
        <v>1260.9000000000001</v>
      </c>
      <c r="Q371" s="82">
        <f t="shared" si="201"/>
        <v>1598.31</v>
      </c>
      <c r="R371" s="82">
        <f t="shared" si="202"/>
        <v>1598.31</v>
      </c>
    </row>
    <row r="372" spans="2:18" s="34" customFormat="1" ht="23.4">
      <c r="B372" s="75" t="s">
        <v>736</v>
      </c>
      <c r="C372" s="88" t="s">
        <v>737</v>
      </c>
      <c r="D372" s="89" t="s">
        <v>131</v>
      </c>
      <c r="E372" s="90">
        <v>3</v>
      </c>
      <c r="F372" s="91"/>
      <c r="G372" s="91"/>
      <c r="H372" s="91"/>
      <c r="I372" s="91">
        <f t="shared" si="195"/>
        <v>0</v>
      </c>
      <c r="J372" s="91">
        <f t="shared" si="196"/>
        <v>3</v>
      </c>
      <c r="K372" s="80">
        <v>7.2</v>
      </c>
      <c r="L372" s="81">
        <f t="shared" si="194"/>
        <v>9.1267207920000004</v>
      </c>
      <c r="M372" s="82">
        <f t="shared" si="197"/>
        <v>0</v>
      </c>
      <c r="N372" s="82">
        <f t="shared" si="198"/>
        <v>0</v>
      </c>
      <c r="O372" s="82">
        <f t="shared" si="199"/>
        <v>0</v>
      </c>
      <c r="P372" s="80">
        <f t="shared" si="200"/>
        <v>21.6</v>
      </c>
      <c r="Q372" s="82">
        <f t="shared" si="201"/>
        <v>27.38</v>
      </c>
      <c r="R372" s="82">
        <f t="shared" si="202"/>
        <v>27.38</v>
      </c>
    </row>
    <row r="373" spans="2:18" s="34" customFormat="1" ht="23.4">
      <c r="B373" s="75" t="s">
        <v>738</v>
      </c>
      <c r="C373" s="76" t="s">
        <v>739</v>
      </c>
      <c r="D373" s="77" t="s">
        <v>131</v>
      </c>
      <c r="E373" s="93">
        <v>128</v>
      </c>
      <c r="F373" s="79"/>
      <c r="G373" s="79"/>
      <c r="H373" s="79"/>
      <c r="I373" s="79">
        <f t="shared" si="195"/>
        <v>0</v>
      </c>
      <c r="J373" s="79">
        <f t="shared" si="196"/>
        <v>128</v>
      </c>
      <c r="K373" s="80">
        <v>11.5</v>
      </c>
      <c r="L373" s="81">
        <f t="shared" si="194"/>
        <v>14.577401265000001</v>
      </c>
      <c r="M373" s="82">
        <f t="shared" si="197"/>
        <v>0</v>
      </c>
      <c r="N373" s="82">
        <f t="shared" si="198"/>
        <v>0</v>
      </c>
      <c r="O373" s="82">
        <f t="shared" si="199"/>
        <v>0</v>
      </c>
      <c r="P373" s="80">
        <f t="shared" si="200"/>
        <v>1472</v>
      </c>
      <c r="Q373" s="82">
        <f t="shared" si="201"/>
        <v>1865.9</v>
      </c>
      <c r="R373" s="82">
        <f t="shared" si="202"/>
        <v>1865.9</v>
      </c>
    </row>
    <row r="374" spans="2:18" s="34" customFormat="1" ht="23.4">
      <c r="B374" s="75" t="s">
        <v>740</v>
      </c>
      <c r="C374" s="76" t="s">
        <v>741</v>
      </c>
      <c r="D374" s="77" t="s">
        <v>131</v>
      </c>
      <c r="E374" s="93">
        <v>4</v>
      </c>
      <c r="F374" s="79"/>
      <c r="G374" s="79"/>
      <c r="H374" s="79"/>
      <c r="I374" s="79">
        <f t="shared" si="195"/>
        <v>0</v>
      </c>
      <c r="J374" s="79">
        <f t="shared" si="196"/>
        <v>4</v>
      </c>
      <c r="K374" s="80">
        <v>12.42</v>
      </c>
      <c r="L374" s="81">
        <f t="shared" si="194"/>
        <v>15.743593366200001</v>
      </c>
      <c r="M374" s="82">
        <f t="shared" si="197"/>
        <v>0</v>
      </c>
      <c r="N374" s="82">
        <f t="shared" si="198"/>
        <v>0</v>
      </c>
      <c r="O374" s="82">
        <f t="shared" si="199"/>
        <v>0</v>
      </c>
      <c r="P374" s="80">
        <f t="shared" si="200"/>
        <v>49.68</v>
      </c>
      <c r="Q374" s="82">
        <f t="shared" si="201"/>
        <v>62.97</v>
      </c>
      <c r="R374" s="82">
        <f t="shared" si="202"/>
        <v>62.97</v>
      </c>
    </row>
    <row r="375" spans="2:18" s="34" customFormat="1" ht="23.4">
      <c r="B375" s="75" t="s">
        <v>742</v>
      </c>
      <c r="C375" s="76" t="s">
        <v>743</v>
      </c>
      <c r="D375" s="77" t="s">
        <v>131</v>
      </c>
      <c r="E375" s="93">
        <v>31</v>
      </c>
      <c r="F375" s="79"/>
      <c r="G375" s="79"/>
      <c r="H375" s="79"/>
      <c r="I375" s="79">
        <f t="shared" si="195"/>
        <v>0</v>
      </c>
      <c r="J375" s="79">
        <f t="shared" si="196"/>
        <v>31</v>
      </c>
      <c r="K375" s="80">
        <v>35.909999999999997</v>
      </c>
      <c r="L375" s="81">
        <f t="shared" si="194"/>
        <v>45.519519950099998</v>
      </c>
      <c r="M375" s="82">
        <f t="shared" si="197"/>
        <v>0</v>
      </c>
      <c r="N375" s="82">
        <f t="shared" si="198"/>
        <v>0</v>
      </c>
      <c r="O375" s="82">
        <f t="shared" si="199"/>
        <v>0</v>
      </c>
      <c r="P375" s="80">
        <f t="shared" si="200"/>
        <v>1113.2099999999998</v>
      </c>
      <c r="Q375" s="82">
        <f t="shared" si="201"/>
        <v>1411.1</v>
      </c>
      <c r="R375" s="82">
        <f t="shared" si="202"/>
        <v>1411.1</v>
      </c>
    </row>
    <row r="376" spans="2:18" s="34" customFormat="1" ht="34.799999999999997">
      <c r="B376" s="75" t="s">
        <v>744</v>
      </c>
      <c r="C376" s="76" t="s">
        <v>745</v>
      </c>
      <c r="D376" s="77" t="s">
        <v>131</v>
      </c>
      <c r="E376" s="93">
        <v>20</v>
      </c>
      <c r="F376" s="79"/>
      <c r="G376" s="79"/>
      <c r="H376" s="79"/>
      <c r="I376" s="79">
        <f t="shared" si="195"/>
        <v>0</v>
      </c>
      <c r="J376" s="79">
        <f t="shared" si="196"/>
        <v>20</v>
      </c>
      <c r="K376" s="80">
        <v>90</v>
      </c>
      <c r="L376" s="81">
        <f t="shared" si="194"/>
        <v>114.08400990000001</v>
      </c>
      <c r="M376" s="82">
        <f t="shared" si="197"/>
        <v>0</v>
      </c>
      <c r="N376" s="82">
        <f t="shared" si="198"/>
        <v>0</v>
      </c>
      <c r="O376" s="82">
        <f t="shared" si="199"/>
        <v>0</v>
      </c>
      <c r="P376" s="80">
        <f t="shared" si="200"/>
        <v>1800</v>
      </c>
      <c r="Q376" s="82">
        <f t="shared" si="201"/>
        <v>2281.6799999999998</v>
      </c>
      <c r="R376" s="82">
        <f t="shared" si="202"/>
        <v>2281.6799999999998</v>
      </c>
    </row>
    <row r="377" spans="2:18" s="34" customFormat="1" ht="13.2">
      <c r="B377" s="75" t="s">
        <v>746</v>
      </c>
      <c r="C377" s="76" t="s">
        <v>747</v>
      </c>
      <c r="D377" s="77" t="s">
        <v>131</v>
      </c>
      <c r="E377" s="93">
        <v>20</v>
      </c>
      <c r="F377" s="79"/>
      <c r="G377" s="79"/>
      <c r="H377" s="79"/>
      <c r="I377" s="79">
        <f t="shared" si="195"/>
        <v>0</v>
      </c>
      <c r="J377" s="79">
        <f t="shared" si="196"/>
        <v>20</v>
      </c>
      <c r="K377" s="80">
        <v>5.14</v>
      </c>
      <c r="L377" s="81">
        <f t="shared" si="194"/>
        <v>6.5154645654000003</v>
      </c>
      <c r="M377" s="82">
        <f t="shared" si="197"/>
        <v>0</v>
      </c>
      <c r="N377" s="82">
        <f t="shared" si="198"/>
        <v>0</v>
      </c>
      <c r="O377" s="82">
        <f t="shared" si="199"/>
        <v>0</v>
      </c>
      <c r="P377" s="80">
        <f t="shared" si="200"/>
        <v>102.8</v>
      </c>
      <c r="Q377" s="82">
        <f t="shared" si="201"/>
        <v>130.30000000000001</v>
      </c>
      <c r="R377" s="82">
        <f t="shared" si="202"/>
        <v>130.30000000000001</v>
      </c>
    </row>
    <row r="378" spans="2:18" s="34" customFormat="1" ht="13.2">
      <c r="B378" s="75" t="s">
        <v>748</v>
      </c>
      <c r="C378" s="76" t="s">
        <v>749</v>
      </c>
      <c r="D378" s="77" t="s">
        <v>131</v>
      </c>
      <c r="E378" s="93">
        <v>17</v>
      </c>
      <c r="F378" s="79"/>
      <c r="G378" s="79"/>
      <c r="H378" s="79"/>
      <c r="I378" s="79">
        <f t="shared" si="195"/>
        <v>0</v>
      </c>
      <c r="J378" s="79">
        <f t="shared" si="196"/>
        <v>17</v>
      </c>
      <c r="K378" s="80">
        <v>11.25</v>
      </c>
      <c r="L378" s="81">
        <f t="shared" si="194"/>
        <v>14.260501237500002</v>
      </c>
      <c r="M378" s="82">
        <f t="shared" si="197"/>
        <v>0</v>
      </c>
      <c r="N378" s="82">
        <f t="shared" si="198"/>
        <v>0</v>
      </c>
      <c r="O378" s="82">
        <f t="shared" si="199"/>
        <v>0</v>
      </c>
      <c r="P378" s="80">
        <f t="shared" si="200"/>
        <v>191.25</v>
      </c>
      <c r="Q378" s="82">
        <f t="shared" si="201"/>
        <v>242.42</v>
      </c>
      <c r="R378" s="82">
        <f t="shared" si="202"/>
        <v>242.42</v>
      </c>
    </row>
    <row r="379" spans="2:18" s="34" customFormat="1" ht="13.2">
      <c r="B379" s="75" t="s">
        <v>750</v>
      </c>
      <c r="C379" s="76" t="s">
        <v>751</v>
      </c>
      <c r="D379" s="77" t="s">
        <v>131</v>
      </c>
      <c r="E379" s="93">
        <v>1</v>
      </c>
      <c r="F379" s="79"/>
      <c r="G379" s="79"/>
      <c r="H379" s="79"/>
      <c r="I379" s="79">
        <f t="shared" si="195"/>
        <v>0</v>
      </c>
      <c r="J379" s="79">
        <f t="shared" si="196"/>
        <v>1</v>
      </c>
      <c r="K379" s="80">
        <v>12.27</v>
      </c>
      <c r="L379" s="81">
        <f t="shared" si="194"/>
        <v>15.5534533497</v>
      </c>
      <c r="M379" s="82">
        <f t="shared" si="197"/>
        <v>0</v>
      </c>
      <c r="N379" s="82">
        <f t="shared" si="198"/>
        <v>0</v>
      </c>
      <c r="O379" s="82">
        <f t="shared" si="199"/>
        <v>0</v>
      </c>
      <c r="P379" s="80">
        <f t="shared" si="200"/>
        <v>12.27</v>
      </c>
      <c r="Q379" s="82">
        <f t="shared" si="201"/>
        <v>15.55</v>
      </c>
      <c r="R379" s="82">
        <f t="shared" si="202"/>
        <v>15.55</v>
      </c>
    </row>
    <row r="380" spans="2:18" s="34" customFormat="1" ht="13.2">
      <c r="B380" s="75" t="s">
        <v>752</v>
      </c>
      <c r="C380" s="76" t="s">
        <v>753</v>
      </c>
      <c r="D380" s="77" t="s">
        <v>131</v>
      </c>
      <c r="E380" s="93">
        <v>12</v>
      </c>
      <c r="F380" s="79"/>
      <c r="G380" s="79"/>
      <c r="H380" s="79"/>
      <c r="I380" s="79">
        <f t="shared" si="195"/>
        <v>0</v>
      </c>
      <c r="J380" s="79">
        <f t="shared" si="196"/>
        <v>12</v>
      </c>
      <c r="K380" s="80">
        <v>22.03</v>
      </c>
      <c r="L380" s="81">
        <f t="shared" si="194"/>
        <v>27.925230423300004</v>
      </c>
      <c r="M380" s="82">
        <f t="shared" si="197"/>
        <v>0</v>
      </c>
      <c r="N380" s="82">
        <f t="shared" si="198"/>
        <v>0</v>
      </c>
      <c r="O380" s="82">
        <f t="shared" si="199"/>
        <v>0</v>
      </c>
      <c r="P380" s="80">
        <f t="shared" si="200"/>
        <v>264.36</v>
      </c>
      <c r="Q380" s="82">
        <f t="shared" si="201"/>
        <v>335.1</v>
      </c>
      <c r="R380" s="82">
        <f t="shared" si="202"/>
        <v>335.1</v>
      </c>
    </row>
    <row r="381" spans="2:18" s="34" customFormat="1" ht="13.2">
      <c r="B381" s="75" t="s">
        <v>754</v>
      </c>
      <c r="C381" s="76" t="s">
        <v>755</v>
      </c>
      <c r="D381" s="77" t="s">
        <v>131</v>
      </c>
      <c r="E381" s="93">
        <v>16</v>
      </c>
      <c r="F381" s="79"/>
      <c r="G381" s="79"/>
      <c r="H381" s="79"/>
      <c r="I381" s="79">
        <f t="shared" si="195"/>
        <v>0</v>
      </c>
      <c r="J381" s="79">
        <f t="shared" si="196"/>
        <v>16</v>
      </c>
      <c r="K381" s="80">
        <v>32.380000000000003</v>
      </c>
      <c r="L381" s="81">
        <f t="shared" si="194"/>
        <v>41.044891561800007</v>
      </c>
      <c r="M381" s="82">
        <f t="shared" si="197"/>
        <v>0</v>
      </c>
      <c r="N381" s="82">
        <f t="shared" si="198"/>
        <v>0</v>
      </c>
      <c r="O381" s="82">
        <f t="shared" si="199"/>
        <v>0</v>
      </c>
      <c r="P381" s="80">
        <f t="shared" si="200"/>
        <v>518.08000000000004</v>
      </c>
      <c r="Q381" s="82">
        <f t="shared" si="201"/>
        <v>656.71</v>
      </c>
      <c r="R381" s="82">
        <f t="shared" si="202"/>
        <v>656.71</v>
      </c>
    </row>
    <row r="382" spans="2:18" s="34" customFormat="1" ht="23.4">
      <c r="B382" s="75" t="s">
        <v>756</v>
      </c>
      <c r="C382" s="76" t="s">
        <v>757</v>
      </c>
      <c r="D382" s="77" t="s">
        <v>131</v>
      </c>
      <c r="E382" s="93">
        <v>16</v>
      </c>
      <c r="F382" s="79"/>
      <c r="G382" s="79"/>
      <c r="H382" s="79"/>
      <c r="I382" s="79">
        <f t="shared" si="195"/>
        <v>0</v>
      </c>
      <c r="J382" s="79">
        <f t="shared" si="196"/>
        <v>16</v>
      </c>
      <c r="K382" s="80">
        <v>12.35</v>
      </c>
      <c r="L382" s="81">
        <f t="shared" si="194"/>
        <v>15.6548613585</v>
      </c>
      <c r="M382" s="82">
        <f t="shared" si="197"/>
        <v>0</v>
      </c>
      <c r="N382" s="82">
        <f t="shared" si="198"/>
        <v>0</v>
      </c>
      <c r="O382" s="82">
        <f t="shared" si="199"/>
        <v>0</v>
      </c>
      <c r="P382" s="80">
        <f t="shared" si="200"/>
        <v>197.6</v>
      </c>
      <c r="Q382" s="82">
        <f t="shared" si="201"/>
        <v>250.47</v>
      </c>
      <c r="R382" s="82">
        <f t="shared" si="202"/>
        <v>250.47</v>
      </c>
    </row>
    <row r="383" spans="2:18" s="34" customFormat="1" ht="23.4">
      <c r="B383" s="75" t="s">
        <v>758</v>
      </c>
      <c r="C383" s="76" t="s">
        <v>759</v>
      </c>
      <c r="D383" s="77" t="s">
        <v>131</v>
      </c>
      <c r="E383" s="93">
        <v>3</v>
      </c>
      <c r="F383" s="79"/>
      <c r="G383" s="79"/>
      <c r="H383" s="79"/>
      <c r="I383" s="79">
        <f t="shared" si="195"/>
        <v>0</v>
      </c>
      <c r="J383" s="79">
        <f t="shared" si="196"/>
        <v>3</v>
      </c>
      <c r="K383" s="80">
        <v>12.27</v>
      </c>
      <c r="L383" s="81">
        <f t="shared" si="194"/>
        <v>15.5534533497</v>
      </c>
      <c r="M383" s="82">
        <f t="shared" si="197"/>
        <v>0</v>
      </c>
      <c r="N383" s="82">
        <f t="shared" si="198"/>
        <v>0</v>
      </c>
      <c r="O383" s="82">
        <f t="shared" si="199"/>
        <v>0</v>
      </c>
      <c r="P383" s="80">
        <f t="shared" si="200"/>
        <v>36.81</v>
      </c>
      <c r="Q383" s="82">
        <f t="shared" si="201"/>
        <v>46.66</v>
      </c>
      <c r="R383" s="82">
        <f t="shared" si="202"/>
        <v>46.66</v>
      </c>
    </row>
    <row r="384" spans="2:18" s="34" customFormat="1" ht="23.4">
      <c r="B384" s="75" t="s">
        <v>760</v>
      </c>
      <c r="C384" s="76" t="s">
        <v>761</v>
      </c>
      <c r="D384" s="77" t="s">
        <v>131</v>
      </c>
      <c r="E384" s="93">
        <v>34</v>
      </c>
      <c r="F384" s="79"/>
      <c r="G384" s="79"/>
      <c r="H384" s="79"/>
      <c r="I384" s="79">
        <f t="shared" si="195"/>
        <v>0</v>
      </c>
      <c r="J384" s="79">
        <f t="shared" si="196"/>
        <v>34</v>
      </c>
      <c r="K384" s="80">
        <v>18.5</v>
      </c>
      <c r="L384" s="81">
        <f t="shared" si="194"/>
        <v>23.450602035000003</v>
      </c>
      <c r="M384" s="82">
        <f t="shared" si="197"/>
        <v>0</v>
      </c>
      <c r="N384" s="82">
        <f t="shared" si="198"/>
        <v>0</v>
      </c>
      <c r="O384" s="82">
        <f t="shared" si="199"/>
        <v>0</v>
      </c>
      <c r="P384" s="80">
        <f t="shared" si="200"/>
        <v>629</v>
      </c>
      <c r="Q384" s="82">
        <f t="shared" si="201"/>
        <v>797.32</v>
      </c>
      <c r="R384" s="82">
        <f t="shared" si="202"/>
        <v>797.32</v>
      </c>
    </row>
    <row r="385" spans="2:18" s="34" customFormat="1" ht="23.4">
      <c r="B385" s="75" t="s">
        <v>762</v>
      </c>
      <c r="C385" s="76" t="s">
        <v>763</v>
      </c>
      <c r="D385" s="77" t="s">
        <v>131</v>
      </c>
      <c r="E385" s="93">
        <v>2</v>
      </c>
      <c r="F385" s="79"/>
      <c r="G385" s="79"/>
      <c r="H385" s="79"/>
      <c r="I385" s="79">
        <f t="shared" si="195"/>
        <v>0</v>
      </c>
      <c r="J385" s="79">
        <f t="shared" si="196"/>
        <v>2</v>
      </c>
      <c r="K385" s="80">
        <v>24.61</v>
      </c>
      <c r="L385" s="81">
        <f t="shared" si="194"/>
        <v>31.195638707100002</v>
      </c>
      <c r="M385" s="82">
        <f t="shared" si="197"/>
        <v>0</v>
      </c>
      <c r="N385" s="82">
        <f t="shared" si="198"/>
        <v>0</v>
      </c>
      <c r="O385" s="82">
        <f t="shared" si="199"/>
        <v>0</v>
      </c>
      <c r="P385" s="80">
        <f t="shared" si="200"/>
        <v>49.22</v>
      </c>
      <c r="Q385" s="82">
        <f t="shared" si="201"/>
        <v>62.39</v>
      </c>
      <c r="R385" s="82">
        <f t="shared" si="202"/>
        <v>62.39</v>
      </c>
    </row>
    <row r="386" spans="2:18" s="34" customFormat="1" ht="23.4">
      <c r="B386" s="75" t="s">
        <v>764</v>
      </c>
      <c r="C386" s="76" t="s">
        <v>765</v>
      </c>
      <c r="D386" s="77" t="s">
        <v>131</v>
      </c>
      <c r="E386" s="93">
        <v>9</v>
      </c>
      <c r="F386" s="79"/>
      <c r="G386" s="79"/>
      <c r="H386" s="79"/>
      <c r="I386" s="79">
        <f t="shared" si="195"/>
        <v>0</v>
      </c>
      <c r="J386" s="79">
        <f t="shared" si="196"/>
        <v>9</v>
      </c>
      <c r="K386" s="80">
        <v>26.08</v>
      </c>
      <c r="L386" s="81">
        <f t="shared" si="194"/>
        <v>33.059010868800002</v>
      </c>
      <c r="M386" s="82">
        <f t="shared" si="197"/>
        <v>0</v>
      </c>
      <c r="N386" s="82">
        <f t="shared" si="198"/>
        <v>0</v>
      </c>
      <c r="O386" s="82">
        <f t="shared" si="199"/>
        <v>0</v>
      </c>
      <c r="P386" s="80">
        <f t="shared" si="200"/>
        <v>234.71999999999997</v>
      </c>
      <c r="Q386" s="82">
        <f t="shared" si="201"/>
        <v>297.52999999999997</v>
      </c>
      <c r="R386" s="82">
        <f t="shared" si="202"/>
        <v>297.52999999999997</v>
      </c>
    </row>
    <row r="387" spans="2:18" s="34" customFormat="1" ht="13.2">
      <c r="B387" s="75" t="s">
        <v>766</v>
      </c>
      <c r="C387" s="88" t="s">
        <v>767</v>
      </c>
      <c r="D387" s="89" t="s">
        <v>131</v>
      </c>
      <c r="E387" s="90">
        <v>1</v>
      </c>
      <c r="F387" s="91"/>
      <c r="G387" s="91"/>
      <c r="H387" s="91"/>
      <c r="I387" s="91">
        <f t="shared" si="195"/>
        <v>0</v>
      </c>
      <c r="J387" s="91">
        <f t="shared" si="196"/>
        <v>1</v>
      </c>
      <c r="K387" s="80">
        <v>40</v>
      </c>
      <c r="L387" s="81">
        <f t="shared" si="194"/>
        <v>50.704004400000002</v>
      </c>
      <c r="M387" s="82">
        <f t="shared" si="197"/>
        <v>0</v>
      </c>
      <c r="N387" s="82">
        <f t="shared" si="198"/>
        <v>0</v>
      </c>
      <c r="O387" s="82">
        <f t="shared" si="199"/>
        <v>0</v>
      </c>
      <c r="P387" s="80">
        <f t="shared" si="200"/>
        <v>40</v>
      </c>
      <c r="Q387" s="82">
        <f t="shared" si="201"/>
        <v>50.7</v>
      </c>
      <c r="R387" s="82">
        <f t="shared" si="202"/>
        <v>50.7</v>
      </c>
    </row>
    <row r="388" spans="2:18" s="34" customFormat="1" ht="34.799999999999997">
      <c r="B388" s="75" t="s">
        <v>768</v>
      </c>
      <c r="C388" s="88" t="s">
        <v>769</v>
      </c>
      <c r="D388" s="89" t="s">
        <v>131</v>
      </c>
      <c r="E388" s="90">
        <v>29</v>
      </c>
      <c r="F388" s="91"/>
      <c r="G388" s="91"/>
      <c r="H388" s="91"/>
      <c r="I388" s="91">
        <f t="shared" si="195"/>
        <v>0</v>
      </c>
      <c r="J388" s="91">
        <f t="shared" si="196"/>
        <v>29</v>
      </c>
      <c r="K388" s="80">
        <v>17.22</v>
      </c>
      <c r="L388" s="81">
        <f t="shared" si="194"/>
        <v>21.828073894199999</v>
      </c>
      <c r="M388" s="82">
        <f t="shared" si="197"/>
        <v>0</v>
      </c>
      <c r="N388" s="82">
        <f t="shared" si="198"/>
        <v>0</v>
      </c>
      <c r="O388" s="82">
        <f t="shared" si="199"/>
        <v>0</v>
      </c>
      <c r="P388" s="80">
        <f t="shared" si="200"/>
        <v>499.38</v>
      </c>
      <c r="Q388" s="82">
        <f t="shared" si="201"/>
        <v>633.01</v>
      </c>
      <c r="R388" s="82">
        <f t="shared" si="202"/>
        <v>633.01</v>
      </c>
    </row>
    <row r="389" spans="2:18" s="34" customFormat="1" ht="23.4">
      <c r="B389" s="75" t="s">
        <v>770</v>
      </c>
      <c r="C389" s="76" t="s">
        <v>771</v>
      </c>
      <c r="D389" s="77" t="s">
        <v>131</v>
      </c>
      <c r="E389" s="93">
        <v>207</v>
      </c>
      <c r="F389" s="79"/>
      <c r="G389" s="79"/>
      <c r="H389" s="79"/>
      <c r="I389" s="79">
        <f t="shared" si="195"/>
        <v>0</v>
      </c>
      <c r="J389" s="79">
        <f t="shared" si="196"/>
        <v>207</v>
      </c>
      <c r="K389" s="80">
        <v>6.59</v>
      </c>
      <c r="L389" s="81">
        <f t="shared" si="194"/>
        <v>8.3534847248999995</v>
      </c>
      <c r="M389" s="82">
        <f t="shared" si="197"/>
        <v>0</v>
      </c>
      <c r="N389" s="82">
        <f t="shared" si="198"/>
        <v>0</v>
      </c>
      <c r="O389" s="82">
        <f t="shared" si="199"/>
        <v>0</v>
      </c>
      <c r="P389" s="80">
        <f t="shared" si="200"/>
        <v>1364.1299999999999</v>
      </c>
      <c r="Q389" s="82">
        <f t="shared" si="201"/>
        <v>1729.17</v>
      </c>
      <c r="R389" s="82">
        <f t="shared" si="202"/>
        <v>1729.17</v>
      </c>
    </row>
    <row r="390" spans="2:18" s="34" customFormat="1" ht="13.2">
      <c r="B390" s="75" t="s">
        <v>772</v>
      </c>
      <c r="C390" s="76" t="s">
        <v>773</v>
      </c>
      <c r="D390" s="77" t="s">
        <v>131</v>
      </c>
      <c r="E390" s="93">
        <v>50</v>
      </c>
      <c r="F390" s="79"/>
      <c r="G390" s="79"/>
      <c r="H390" s="79"/>
      <c r="I390" s="79">
        <f t="shared" si="195"/>
        <v>0</v>
      </c>
      <c r="J390" s="79">
        <f t="shared" si="196"/>
        <v>50</v>
      </c>
      <c r="K390" s="80">
        <v>22.07</v>
      </c>
      <c r="L390" s="81">
        <f t="shared" si="194"/>
        <v>27.9759344277</v>
      </c>
      <c r="M390" s="82">
        <f t="shared" si="197"/>
        <v>0</v>
      </c>
      <c r="N390" s="82">
        <f t="shared" si="198"/>
        <v>0</v>
      </c>
      <c r="O390" s="82">
        <f t="shared" si="199"/>
        <v>0</v>
      </c>
      <c r="P390" s="80">
        <f t="shared" si="200"/>
        <v>1103.5</v>
      </c>
      <c r="Q390" s="82">
        <f t="shared" si="201"/>
        <v>1398.79</v>
      </c>
      <c r="R390" s="82">
        <f t="shared" si="202"/>
        <v>1398.79</v>
      </c>
    </row>
    <row r="391" spans="2:18" s="34" customFormat="1" ht="23.4">
      <c r="B391" s="75" t="s">
        <v>774</v>
      </c>
      <c r="C391" s="76" t="s">
        <v>775</v>
      </c>
      <c r="D391" s="77" t="s">
        <v>131</v>
      </c>
      <c r="E391" s="93">
        <v>1</v>
      </c>
      <c r="F391" s="79"/>
      <c r="G391" s="79"/>
      <c r="H391" s="79"/>
      <c r="I391" s="79">
        <f t="shared" si="195"/>
        <v>0</v>
      </c>
      <c r="J391" s="79">
        <f t="shared" si="196"/>
        <v>1</v>
      </c>
      <c r="K391" s="80">
        <v>19.649999999999999</v>
      </c>
      <c r="L391" s="81">
        <f t="shared" si="194"/>
        <v>24.908342161499998</v>
      </c>
      <c r="M391" s="82">
        <f t="shared" si="197"/>
        <v>0</v>
      </c>
      <c r="N391" s="82">
        <f t="shared" si="198"/>
        <v>0</v>
      </c>
      <c r="O391" s="82">
        <f t="shared" si="199"/>
        <v>0</v>
      </c>
      <c r="P391" s="80">
        <f t="shared" si="200"/>
        <v>19.649999999999999</v>
      </c>
      <c r="Q391" s="82">
        <f t="shared" si="201"/>
        <v>24.9</v>
      </c>
      <c r="R391" s="82">
        <f t="shared" si="202"/>
        <v>24.9</v>
      </c>
    </row>
    <row r="392" spans="2:18" s="34" customFormat="1" ht="23.4">
      <c r="B392" s="75" t="s">
        <v>776</v>
      </c>
      <c r="C392" s="76" t="s">
        <v>777</v>
      </c>
      <c r="D392" s="77" t="s">
        <v>131</v>
      </c>
      <c r="E392" s="93">
        <v>19</v>
      </c>
      <c r="F392" s="79"/>
      <c r="G392" s="79"/>
      <c r="H392" s="79"/>
      <c r="I392" s="79">
        <f t="shared" si="195"/>
        <v>0</v>
      </c>
      <c r="J392" s="79">
        <f t="shared" si="196"/>
        <v>19</v>
      </c>
      <c r="K392" s="80">
        <v>41.43</v>
      </c>
      <c r="L392" s="81">
        <f t="shared" si="194"/>
        <v>52.516672557300005</v>
      </c>
      <c r="M392" s="82">
        <f t="shared" si="197"/>
        <v>0</v>
      </c>
      <c r="N392" s="82">
        <f t="shared" si="198"/>
        <v>0</v>
      </c>
      <c r="O392" s="82">
        <f t="shared" si="199"/>
        <v>0</v>
      </c>
      <c r="P392" s="80">
        <f t="shared" si="200"/>
        <v>787.17</v>
      </c>
      <c r="Q392" s="82">
        <f t="shared" si="201"/>
        <v>997.81</v>
      </c>
      <c r="R392" s="82">
        <f t="shared" si="202"/>
        <v>997.81</v>
      </c>
    </row>
    <row r="393" spans="2:18" s="34" customFormat="1" ht="34.799999999999997">
      <c r="B393" s="75" t="s">
        <v>778</v>
      </c>
      <c r="C393" s="76" t="s">
        <v>779</v>
      </c>
      <c r="D393" s="77" t="s">
        <v>131</v>
      </c>
      <c r="E393" s="93">
        <v>12</v>
      </c>
      <c r="F393" s="79"/>
      <c r="G393" s="79"/>
      <c r="H393" s="79"/>
      <c r="I393" s="79">
        <f t="shared" si="195"/>
        <v>0</v>
      </c>
      <c r="J393" s="79">
        <f t="shared" si="196"/>
        <v>12</v>
      </c>
      <c r="K393" s="80">
        <v>76.31</v>
      </c>
      <c r="L393" s="81">
        <f t="shared" si="194"/>
        <v>96.730564394100014</v>
      </c>
      <c r="M393" s="82">
        <f t="shared" si="197"/>
        <v>0</v>
      </c>
      <c r="N393" s="82">
        <f t="shared" si="198"/>
        <v>0</v>
      </c>
      <c r="O393" s="82">
        <f t="shared" si="199"/>
        <v>0</v>
      </c>
      <c r="P393" s="80">
        <f t="shared" si="200"/>
        <v>915.72</v>
      </c>
      <c r="Q393" s="82">
        <f t="shared" si="201"/>
        <v>1160.76</v>
      </c>
      <c r="R393" s="82">
        <f t="shared" si="202"/>
        <v>1160.76</v>
      </c>
    </row>
    <row r="394" spans="2:18" s="34" customFormat="1" ht="23.4">
      <c r="B394" s="75" t="s">
        <v>780</v>
      </c>
      <c r="C394" s="76" t="s">
        <v>781</v>
      </c>
      <c r="D394" s="77" t="s">
        <v>131</v>
      </c>
      <c r="E394" s="93">
        <v>3</v>
      </c>
      <c r="F394" s="79"/>
      <c r="G394" s="79"/>
      <c r="H394" s="79"/>
      <c r="I394" s="79">
        <f t="shared" si="195"/>
        <v>0</v>
      </c>
      <c r="J394" s="79">
        <f t="shared" si="196"/>
        <v>3</v>
      </c>
      <c r="K394" s="80">
        <v>72.55</v>
      </c>
      <c r="L394" s="81">
        <f t="shared" si="194"/>
        <v>91.964387980500007</v>
      </c>
      <c r="M394" s="82">
        <f t="shared" si="197"/>
        <v>0</v>
      </c>
      <c r="N394" s="82">
        <f t="shared" si="198"/>
        <v>0</v>
      </c>
      <c r="O394" s="82">
        <f t="shared" si="199"/>
        <v>0</v>
      </c>
      <c r="P394" s="80">
        <f t="shared" si="200"/>
        <v>217.64999999999998</v>
      </c>
      <c r="Q394" s="82">
        <f t="shared" si="201"/>
        <v>275.89</v>
      </c>
      <c r="R394" s="82">
        <f t="shared" si="202"/>
        <v>275.89</v>
      </c>
    </row>
    <row r="395" spans="2:18" s="34" customFormat="1" ht="24">
      <c r="B395" s="66" t="s">
        <v>782</v>
      </c>
      <c r="C395" s="67" t="s">
        <v>783</v>
      </c>
      <c r="D395" s="68"/>
      <c r="E395" s="69"/>
      <c r="F395" s="70"/>
      <c r="G395" s="70"/>
      <c r="H395" s="70"/>
      <c r="I395" s="70">
        <f t="shared" si="195"/>
        <v>0</v>
      </c>
      <c r="J395" s="70">
        <f t="shared" si="196"/>
        <v>0</v>
      </c>
      <c r="K395" s="71"/>
      <c r="L395" s="71">
        <f t="shared" si="194"/>
        <v>0</v>
      </c>
      <c r="M395" s="73">
        <f t="shared" ref="M395:R395" si="203">SUM(M396:M405)</f>
        <v>0</v>
      </c>
      <c r="N395" s="73">
        <f t="shared" si="203"/>
        <v>0</v>
      </c>
      <c r="O395" s="73">
        <f t="shared" si="203"/>
        <v>0</v>
      </c>
      <c r="P395" s="73">
        <f t="shared" si="203"/>
        <v>131062.87509999999</v>
      </c>
      <c r="Q395" s="73">
        <f t="shared" si="203"/>
        <v>166135.25</v>
      </c>
      <c r="R395" s="73">
        <f t="shared" si="203"/>
        <v>166135.25</v>
      </c>
    </row>
    <row r="396" spans="2:18" s="34" customFormat="1" ht="34.799999999999997">
      <c r="B396" s="75" t="s">
        <v>784</v>
      </c>
      <c r="C396" s="76" t="s">
        <v>785</v>
      </c>
      <c r="D396" s="77" t="s">
        <v>82</v>
      </c>
      <c r="E396" s="108">
        <v>867.48</v>
      </c>
      <c r="F396" s="109"/>
      <c r="G396" s="109"/>
      <c r="H396" s="109"/>
      <c r="I396" s="109">
        <f t="shared" si="195"/>
        <v>0</v>
      </c>
      <c r="J396" s="109">
        <f t="shared" si="196"/>
        <v>867.48</v>
      </c>
      <c r="K396" s="80">
        <v>24.65</v>
      </c>
      <c r="L396" s="81">
        <f t="shared" si="194"/>
        <v>31.246342711499999</v>
      </c>
      <c r="M396" s="82">
        <f t="shared" ref="M396:M405" si="204">TRUNC(F396*L396,2)</f>
        <v>0</v>
      </c>
      <c r="N396" s="82">
        <f t="shared" ref="N396:N405" si="205">TRUNC(G396*L396,2)</f>
        <v>0</v>
      </c>
      <c r="O396" s="82">
        <f t="shared" ref="O396:O405" si="206">N396</f>
        <v>0</v>
      </c>
      <c r="P396" s="80">
        <f t="shared" ref="P396:P405" si="207">E396*K396</f>
        <v>21383.381999999998</v>
      </c>
      <c r="Q396" s="82">
        <f t="shared" ref="Q396:Q405" si="208">TRUNC(E396*L396,2)</f>
        <v>27105.57</v>
      </c>
      <c r="R396" s="82">
        <f t="shared" ref="R396:R405" si="209">Q396-O396</f>
        <v>27105.57</v>
      </c>
    </row>
    <row r="397" spans="2:18" s="34" customFormat="1" ht="13.2">
      <c r="B397" s="75" t="s">
        <v>786</v>
      </c>
      <c r="C397" s="76" t="s">
        <v>653</v>
      </c>
      <c r="D397" s="77" t="s">
        <v>82</v>
      </c>
      <c r="E397" s="110">
        <v>18.04</v>
      </c>
      <c r="F397" s="111"/>
      <c r="G397" s="111"/>
      <c r="H397" s="111"/>
      <c r="I397" s="111">
        <f t="shared" si="195"/>
        <v>0</v>
      </c>
      <c r="J397" s="111">
        <f t="shared" si="196"/>
        <v>18.04</v>
      </c>
      <c r="K397" s="80">
        <v>6.5</v>
      </c>
      <c r="L397" s="81">
        <f t="shared" si="194"/>
        <v>8.2394007150000004</v>
      </c>
      <c r="M397" s="82">
        <f t="shared" si="204"/>
        <v>0</v>
      </c>
      <c r="N397" s="82">
        <f t="shared" si="205"/>
        <v>0</v>
      </c>
      <c r="O397" s="82">
        <f t="shared" si="206"/>
        <v>0</v>
      </c>
      <c r="P397" s="80">
        <f t="shared" si="207"/>
        <v>117.25999999999999</v>
      </c>
      <c r="Q397" s="82">
        <f t="shared" si="208"/>
        <v>148.63</v>
      </c>
      <c r="R397" s="82">
        <f t="shared" si="209"/>
        <v>148.63</v>
      </c>
    </row>
    <row r="398" spans="2:18" s="34" customFormat="1" ht="23.4">
      <c r="B398" s="75" t="s">
        <v>787</v>
      </c>
      <c r="C398" s="76" t="s">
        <v>655</v>
      </c>
      <c r="D398" s="77" t="s">
        <v>82</v>
      </c>
      <c r="E398" s="110">
        <v>739.18</v>
      </c>
      <c r="F398" s="111"/>
      <c r="G398" s="111"/>
      <c r="H398" s="111"/>
      <c r="I398" s="111">
        <f t="shared" si="195"/>
        <v>0</v>
      </c>
      <c r="J398" s="111">
        <f t="shared" si="196"/>
        <v>739.18</v>
      </c>
      <c r="K398" s="80">
        <v>8</v>
      </c>
      <c r="L398" s="81">
        <f t="shared" si="194"/>
        <v>10.14080088</v>
      </c>
      <c r="M398" s="82">
        <f t="shared" si="204"/>
        <v>0</v>
      </c>
      <c r="N398" s="82">
        <f t="shared" si="205"/>
        <v>0</v>
      </c>
      <c r="O398" s="82">
        <f t="shared" si="206"/>
        <v>0</v>
      </c>
      <c r="P398" s="80">
        <f t="shared" si="207"/>
        <v>5913.44</v>
      </c>
      <c r="Q398" s="82">
        <f t="shared" si="208"/>
        <v>7495.87</v>
      </c>
      <c r="R398" s="82">
        <f t="shared" si="209"/>
        <v>7495.87</v>
      </c>
    </row>
    <row r="399" spans="2:18" s="34" customFormat="1" ht="23.4">
      <c r="B399" s="75" t="s">
        <v>788</v>
      </c>
      <c r="C399" s="76" t="s">
        <v>659</v>
      </c>
      <c r="D399" s="77" t="s">
        <v>82</v>
      </c>
      <c r="E399" s="112">
        <v>19.510000000000002</v>
      </c>
      <c r="F399" s="113"/>
      <c r="G399" s="113"/>
      <c r="H399" s="113"/>
      <c r="I399" s="113">
        <f t="shared" si="195"/>
        <v>0</v>
      </c>
      <c r="J399" s="113">
        <f t="shared" si="196"/>
        <v>19.510000000000002</v>
      </c>
      <c r="K399" s="80">
        <v>23.5</v>
      </c>
      <c r="L399" s="81">
        <f t="shared" si="194"/>
        <v>29.788602585</v>
      </c>
      <c r="M399" s="82">
        <f t="shared" si="204"/>
        <v>0</v>
      </c>
      <c r="N399" s="82">
        <f t="shared" si="205"/>
        <v>0</v>
      </c>
      <c r="O399" s="82">
        <f t="shared" si="206"/>
        <v>0</v>
      </c>
      <c r="P399" s="80">
        <f t="shared" si="207"/>
        <v>458.48500000000001</v>
      </c>
      <c r="Q399" s="82">
        <f t="shared" si="208"/>
        <v>581.16999999999996</v>
      </c>
      <c r="R399" s="82">
        <f t="shared" si="209"/>
        <v>581.16999999999996</v>
      </c>
    </row>
    <row r="400" spans="2:18" s="34" customFormat="1" ht="34.799999999999997">
      <c r="B400" s="75" t="s">
        <v>789</v>
      </c>
      <c r="C400" s="76" t="s">
        <v>790</v>
      </c>
      <c r="D400" s="77" t="s">
        <v>82</v>
      </c>
      <c r="E400" s="108">
        <v>609.66</v>
      </c>
      <c r="F400" s="109"/>
      <c r="G400" s="109"/>
      <c r="H400" s="109"/>
      <c r="I400" s="109">
        <f t="shared" si="195"/>
        <v>0</v>
      </c>
      <c r="J400" s="109">
        <f t="shared" si="196"/>
        <v>609.66</v>
      </c>
      <c r="K400" s="80">
        <v>27.5</v>
      </c>
      <c r="L400" s="81">
        <f t="shared" si="194"/>
        <v>34.859003025</v>
      </c>
      <c r="M400" s="82">
        <f t="shared" si="204"/>
        <v>0</v>
      </c>
      <c r="N400" s="82">
        <f t="shared" si="205"/>
        <v>0</v>
      </c>
      <c r="O400" s="82">
        <f t="shared" si="206"/>
        <v>0</v>
      </c>
      <c r="P400" s="80">
        <f t="shared" si="207"/>
        <v>16765.649999999998</v>
      </c>
      <c r="Q400" s="82">
        <f t="shared" si="208"/>
        <v>21252.13</v>
      </c>
      <c r="R400" s="82">
        <f t="shared" si="209"/>
        <v>21252.13</v>
      </c>
    </row>
    <row r="401" spans="2:18" s="34" customFormat="1" ht="34.799999999999997">
      <c r="B401" s="75" t="s">
        <v>791</v>
      </c>
      <c r="C401" s="76" t="s">
        <v>792</v>
      </c>
      <c r="D401" s="77" t="s">
        <v>82</v>
      </c>
      <c r="E401" s="114">
        <v>307.39999999999998</v>
      </c>
      <c r="F401" s="82"/>
      <c r="G401" s="82"/>
      <c r="H401" s="82"/>
      <c r="I401" s="82">
        <f t="shared" si="195"/>
        <v>0</v>
      </c>
      <c r="J401" s="82">
        <f t="shared" si="196"/>
        <v>307.39999999999998</v>
      </c>
      <c r="K401" s="80">
        <v>74</v>
      </c>
      <c r="L401" s="81">
        <f t="shared" si="194"/>
        <v>93.802408140000011</v>
      </c>
      <c r="M401" s="82">
        <f t="shared" si="204"/>
        <v>0</v>
      </c>
      <c r="N401" s="82">
        <f t="shared" si="205"/>
        <v>0</v>
      </c>
      <c r="O401" s="82">
        <f t="shared" si="206"/>
        <v>0</v>
      </c>
      <c r="P401" s="80">
        <f t="shared" si="207"/>
        <v>22747.599999999999</v>
      </c>
      <c r="Q401" s="82">
        <f t="shared" si="208"/>
        <v>28834.86</v>
      </c>
      <c r="R401" s="82">
        <f t="shared" si="209"/>
        <v>28834.86</v>
      </c>
    </row>
    <row r="402" spans="2:18" s="34" customFormat="1" ht="34.799999999999997">
      <c r="B402" s="75" t="s">
        <v>793</v>
      </c>
      <c r="C402" s="76" t="s">
        <v>794</v>
      </c>
      <c r="D402" s="77" t="s">
        <v>82</v>
      </c>
      <c r="E402" s="114">
        <v>340.33</v>
      </c>
      <c r="F402" s="82"/>
      <c r="G402" s="82"/>
      <c r="H402" s="82"/>
      <c r="I402" s="82">
        <f t="shared" si="195"/>
        <v>0</v>
      </c>
      <c r="J402" s="82">
        <f t="shared" si="196"/>
        <v>340.33</v>
      </c>
      <c r="K402" s="80">
        <v>34.57</v>
      </c>
      <c r="L402" s="81">
        <f t="shared" si="194"/>
        <v>43.820935802699999</v>
      </c>
      <c r="M402" s="82">
        <f t="shared" si="204"/>
        <v>0</v>
      </c>
      <c r="N402" s="82">
        <f t="shared" si="205"/>
        <v>0</v>
      </c>
      <c r="O402" s="82">
        <f t="shared" si="206"/>
        <v>0</v>
      </c>
      <c r="P402" s="80">
        <f t="shared" si="207"/>
        <v>11765.2081</v>
      </c>
      <c r="Q402" s="82">
        <f t="shared" si="208"/>
        <v>14913.57</v>
      </c>
      <c r="R402" s="82">
        <f t="shared" si="209"/>
        <v>14913.57</v>
      </c>
    </row>
    <row r="403" spans="2:18" s="34" customFormat="1" ht="23.4">
      <c r="B403" s="75" t="s">
        <v>795</v>
      </c>
      <c r="C403" s="76" t="s">
        <v>796</v>
      </c>
      <c r="D403" s="77" t="s">
        <v>82</v>
      </c>
      <c r="E403" s="114">
        <v>52.07</v>
      </c>
      <c r="F403" s="82"/>
      <c r="G403" s="82"/>
      <c r="H403" s="82"/>
      <c r="I403" s="82">
        <f t="shared" si="195"/>
        <v>0</v>
      </c>
      <c r="J403" s="82">
        <f t="shared" si="196"/>
        <v>52.07</v>
      </c>
      <c r="K403" s="80">
        <v>165</v>
      </c>
      <c r="L403" s="81">
        <f t="shared" si="194"/>
        <v>209.15401815000001</v>
      </c>
      <c r="M403" s="82">
        <f t="shared" si="204"/>
        <v>0</v>
      </c>
      <c r="N403" s="82">
        <f t="shared" si="205"/>
        <v>0</v>
      </c>
      <c r="O403" s="82">
        <f t="shared" si="206"/>
        <v>0</v>
      </c>
      <c r="P403" s="80">
        <f t="shared" si="207"/>
        <v>8591.5499999999993</v>
      </c>
      <c r="Q403" s="82">
        <f t="shared" si="208"/>
        <v>10890.64</v>
      </c>
      <c r="R403" s="82">
        <f t="shared" si="209"/>
        <v>10890.64</v>
      </c>
    </row>
    <row r="404" spans="2:18" s="34" customFormat="1" ht="23.4">
      <c r="B404" s="75" t="s">
        <v>797</v>
      </c>
      <c r="C404" s="76" t="s">
        <v>796</v>
      </c>
      <c r="D404" s="77" t="s">
        <v>82</v>
      </c>
      <c r="E404" s="114">
        <v>3.02</v>
      </c>
      <c r="F404" s="82"/>
      <c r="G404" s="82"/>
      <c r="H404" s="82"/>
      <c r="I404" s="82">
        <f t="shared" si="195"/>
        <v>0</v>
      </c>
      <c r="J404" s="82">
        <f t="shared" si="196"/>
        <v>3.02</v>
      </c>
      <c r="K404" s="80">
        <v>165</v>
      </c>
      <c r="L404" s="81">
        <f t="shared" si="194"/>
        <v>209.15401815000001</v>
      </c>
      <c r="M404" s="82">
        <f t="shared" si="204"/>
        <v>0</v>
      </c>
      <c r="N404" s="82">
        <f t="shared" si="205"/>
        <v>0</v>
      </c>
      <c r="O404" s="82">
        <f t="shared" si="206"/>
        <v>0</v>
      </c>
      <c r="P404" s="80">
        <f t="shared" si="207"/>
        <v>498.3</v>
      </c>
      <c r="Q404" s="82">
        <f t="shared" si="208"/>
        <v>631.64</v>
      </c>
      <c r="R404" s="82">
        <f t="shared" si="209"/>
        <v>631.64</v>
      </c>
    </row>
    <row r="405" spans="2:18" s="34" customFormat="1" ht="23.4">
      <c r="B405" s="75" t="s">
        <v>798</v>
      </c>
      <c r="C405" s="76" t="s">
        <v>799</v>
      </c>
      <c r="D405" s="77" t="s">
        <v>82</v>
      </c>
      <c r="E405" s="114">
        <v>658.8</v>
      </c>
      <c r="F405" s="82"/>
      <c r="G405" s="82"/>
      <c r="H405" s="82"/>
      <c r="I405" s="82">
        <f t="shared" si="195"/>
        <v>0</v>
      </c>
      <c r="J405" s="82">
        <f t="shared" si="196"/>
        <v>658.8</v>
      </c>
      <c r="K405" s="80">
        <v>65</v>
      </c>
      <c r="L405" s="81">
        <f t="shared" si="194"/>
        <v>82.394007150000007</v>
      </c>
      <c r="M405" s="82">
        <f t="shared" si="204"/>
        <v>0</v>
      </c>
      <c r="N405" s="82">
        <f t="shared" si="205"/>
        <v>0</v>
      </c>
      <c r="O405" s="82">
        <f t="shared" si="206"/>
        <v>0</v>
      </c>
      <c r="P405" s="80">
        <f t="shared" si="207"/>
        <v>42822</v>
      </c>
      <c r="Q405" s="82">
        <f t="shared" si="208"/>
        <v>54281.17</v>
      </c>
      <c r="R405" s="82">
        <f t="shared" si="209"/>
        <v>54281.17</v>
      </c>
    </row>
    <row r="406" spans="2:18" s="34" customFormat="1" ht="24">
      <c r="B406" s="66" t="s">
        <v>800</v>
      </c>
      <c r="C406" s="115" t="s">
        <v>801</v>
      </c>
      <c r="D406" s="116"/>
      <c r="E406" s="117"/>
      <c r="F406" s="118"/>
      <c r="G406" s="118"/>
      <c r="H406" s="118"/>
      <c r="I406" s="118">
        <f t="shared" si="195"/>
        <v>0</v>
      </c>
      <c r="J406" s="118">
        <f t="shared" si="196"/>
        <v>0</v>
      </c>
      <c r="K406" s="119"/>
      <c r="L406" s="119">
        <f t="shared" si="194"/>
        <v>0</v>
      </c>
      <c r="M406" s="73">
        <f t="shared" ref="M406:R406" si="210">SUM(M407:M473)</f>
        <v>0</v>
      </c>
      <c r="N406" s="73">
        <f t="shared" si="210"/>
        <v>0</v>
      </c>
      <c r="O406" s="73">
        <f t="shared" si="210"/>
        <v>0</v>
      </c>
      <c r="P406" s="73">
        <f t="shared" si="210"/>
        <v>84729.980000000025</v>
      </c>
      <c r="Q406" s="73">
        <f t="shared" si="210"/>
        <v>107403.37000000007</v>
      </c>
      <c r="R406" s="73">
        <f t="shared" si="210"/>
        <v>107403.37000000007</v>
      </c>
    </row>
    <row r="407" spans="2:18" s="34" customFormat="1" ht="34.799999999999997">
      <c r="B407" s="75" t="s">
        <v>802</v>
      </c>
      <c r="C407" s="76" t="s">
        <v>803</v>
      </c>
      <c r="D407" s="77" t="s">
        <v>131</v>
      </c>
      <c r="E407" s="93">
        <v>209</v>
      </c>
      <c r="F407" s="79"/>
      <c r="G407" s="79"/>
      <c r="H407" s="79"/>
      <c r="I407" s="79">
        <f t="shared" si="195"/>
        <v>0</v>
      </c>
      <c r="J407" s="79">
        <f t="shared" si="196"/>
        <v>209</v>
      </c>
      <c r="K407" s="80">
        <v>15.61</v>
      </c>
      <c r="L407" s="81">
        <f t="shared" si="194"/>
        <v>19.787237717100002</v>
      </c>
      <c r="M407" s="82">
        <f t="shared" ref="M407:M438" si="211">TRUNC(F407*L407,2)</f>
        <v>0</v>
      </c>
      <c r="N407" s="82">
        <f t="shared" ref="N407:N438" si="212">TRUNC(G407*L407,2)</f>
        <v>0</v>
      </c>
      <c r="O407" s="82">
        <f t="shared" ref="O407:O438" si="213">N407</f>
        <v>0</v>
      </c>
      <c r="P407" s="80">
        <f t="shared" ref="P407:P438" si="214">E407*K407</f>
        <v>3262.49</v>
      </c>
      <c r="Q407" s="82">
        <f t="shared" ref="Q407:Q438" si="215">TRUNC(E407*L407,2)</f>
        <v>4135.53</v>
      </c>
      <c r="R407" s="82">
        <f t="shared" ref="R407:R438" si="216">Q407-O407</f>
        <v>4135.53</v>
      </c>
    </row>
    <row r="408" spans="2:18" s="34" customFormat="1" ht="34.799999999999997">
      <c r="B408" s="75" t="s">
        <v>804</v>
      </c>
      <c r="C408" s="76" t="s">
        <v>805</v>
      </c>
      <c r="D408" s="77" t="s">
        <v>131</v>
      </c>
      <c r="E408" s="93">
        <v>127</v>
      </c>
      <c r="F408" s="79"/>
      <c r="G408" s="79"/>
      <c r="H408" s="79"/>
      <c r="I408" s="79">
        <f t="shared" si="195"/>
        <v>0</v>
      </c>
      <c r="J408" s="79">
        <f t="shared" si="196"/>
        <v>127</v>
      </c>
      <c r="K408" s="80">
        <v>13.73</v>
      </c>
      <c r="L408" s="81">
        <f t="shared" si="194"/>
        <v>17.404149510300002</v>
      </c>
      <c r="M408" s="82">
        <f t="shared" si="211"/>
        <v>0</v>
      </c>
      <c r="N408" s="82">
        <f t="shared" si="212"/>
        <v>0</v>
      </c>
      <c r="O408" s="82">
        <f t="shared" si="213"/>
        <v>0</v>
      </c>
      <c r="P408" s="80">
        <f t="shared" si="214"/>
        <v>1743.71</v>
      </c>
      <c r="Q408" s="82">
        <f t="shared" si="215"/>
        <v>2210.3200000000002</v>
      </c>
      <c r="R408" s="82">
        <f t="shared" si="216"/>
        <v>2210.3200000000002</v>
      </c>
    </row>
    <row r="409" spans="2:18" s="34" customFormat="1" ht="34.799999999999997">
      <c r="B409" s="75" t="s">
        <v>806</v>
      </c>
      <c r="C409" s="76" t="s">
        <v>807</v>
      </c>
      <c r="D409" s="77" t="s">
        <v>131</v>
      </c>
      <c r="E409" s="93">
        <v>286</v>
      </c>
      <c r="F409" s="79"/>
      <c r="G409" s="79"/>
      <c r="H409" s="79"/>
      <c r="I409" s="79">
        <f t="shared" si="195"/>
        <v>0</v>
      </c>
      <c r="J409" s="79">
        <f t="shared" si="196"/>
        <v>286</v>
      </c>
      <c r="K409" s="80">
        <v>46.17</v>
      </c>
      <c r="L409" s="81">
        <f t="shared" si="194"/>
        <v>58.525097078700007</v>
      </c>
      <c r="M409" s="82">
        <f t="shared" si="211"/>
        <v>0</v>
      </c>
      <c r="N409" s="82">
        <f t="shared" si="212"/>
        <v>0</v>
      </c>
      <c r="O409" s="82">
        <f t="shared" si="213"/>
        <v>0</v>
      </c>
      <c r="P409" s="80">
        <f t="shared" si="214"/>
        <v>13204.62</v>
      </c>
      <c r="Q409" s="82">
        <f t="shared" si="215"/>
        <v>16738.169999999998</v>
      </c>
      <c r="R409" s="82">
        <f t="shared" si="216"/>
        <v>16738.169999999998</v>
      </c>
    </row>
    <row r="410" spans="2:18" s="34" customFormat="1" ht="34.799999999999997">
      <c r="B410" s="75" t="s">
        <v>808</v>
      </c>
      <c r="C410" s="76" t="s">
        <v>809</v>
      </c>
      <c r="D410" s="77" t="s">
        <v>131</v>
      </c>
      <c r="E410" s="93">
        <v>2</v>
      </c>
      <c r="F410" s="79"/>
      <c r="G410" s="79"/>
      <c r="H410" s="79"/>
      <c r="I410" s="79">
        <f t="shared" si="195"/>
        <v>0</v>
      </c>
      <c r="J410" s="79">
        <f t="shared" si="196"/>
        <v>2</v>
      </c>
      <c r="K410" s="80">
        <v>95</v>
      </c>
      <c r="L410" s="81">
        <f t="shared" si="194"/>
        <v>120.42201045</v>
      </c>
      <c r="M410" s="82">
        <f t="shared" si="211"/>
        <v>0</v>
      </c>
      <c r="N410" s="82">
        <f t="shared" si="212"/>
        <v>0</v>
      </c>
      <c r="O410" s="82">
        <f t="shared" si="213"/>
        <v>0</v>
      </c>
      <c r="P410" s="80">
        <f t="shared" si="214"/>
        <v>190</v>
      </c>
      <c r="Q410" s="82">
        <f t="shared" si="215"/>
        <v>240.84</v>
      </c>
      <c r="R410" s="82">
        <f t="shared" si="216"/>
        <v>240.84</v>
      </c>
    </row>
    <row r="411" spans="2:18" s="34" customFormat="1" ht="34.799999999999997">
      <c r="B411" s="75" t="s">
        <v>810</v>
      </c>
      <c r="C411" s="76" t="s">
        <v>811</v>
      </c>
      <c r="D411" s="77" t="s">
        <v>131</v>
      </c>
      <c r="E411" s="93">
        <v>4</v>
      </c>
      <c r="F411" s="79"/>
      <c r="G411" s="79"/>
      <c r="H411" s="79"/>
      <c r="I411" s="79">
        <f t="shared" si="195"/>
        <v>0</v>
      </c>
      <c r="J411" s="79">
        <f t="shared" si="196"/>
        <v>4</v>
      </c>
      <c r="K411" s="80">
        <v>240</v>
      </c>
      <c r="L411" s="81">
        <f t="shared" si="194"/>
        <v>304.22402640000001</v>
      </c>
      <c r="M411" s="82">
        <f t="shared" si="211"/>
        <v>0</v>
      </c>
      <c r="N411" s="82">
        <f t="shared" si="212"/>
        <v>0</v>
      </c>
      <c r="O411" s="82">
        <f t="shared" si="213"/>
        <v>0</v>
      </c>
      <c r="P411" s="80">
        <f t="shared" si="214"/>
        <v>960</v>
      </c>
      <c r="Q411" s="82">
        <f t="shared" si="215"/>
        <v>1216.8900000000001</v>
      </c>
      <c r="R411" s="82">
        <f t="shared" si="216"/>
        <v>1216.8900000000001</v>
      </c>
    </row>
    <row r="412" spans="2:18" s="34" customFormat="1" ht="34.799999999999997">
      <c r="B412" s="75" t="s">
        <v>812</v>
      </c>
      <c r="C412" s="76" t="s">
        <v>813</v>
      </c>
      <c r="D412" s="77" t="s">
        <v>131</v>
      </c>
      <c r="E412" s="93">
        <v>412</v>
      </c>
      <c r="F412" s="79"/>
      <c r="G412" s="79"/>
      <c r="H412" s="79"/>
      <c r="I412" s="79">
        <f t="shared" si="195"/>
        <v>0</v>
      </c>
      <c r="J412" s="79">
        <f t="shared" si="196"/>
        <v>412</v>
      </c>
      <c r="K412" s="80">
        <v>8.31</v>
      </c>
      <c r="L412" s="81">
        <f t="shared" si="194"/>
        <v>10.533756914100001</v>
      </c>
      <c r="M412" s="82">
        <f t="shared" si="211"/>
        <v>0</v>
      </c>
      <c r="N412" s="82">
        <f t="shared" si="212"/>
        <v>0</v>
      </c>
      <c r="O412" s="82">
        <f t="shared" si="213"/>
        <v>0</v>
      </c>
      <c r="P412" s="80">
        <f t="shared" si="214"/>
        <v>3423.7200000000003</v>
      </c>
      <c r="Q412" s="82">
        <f t="shared" si="215"/>
        <v>4339.8999999999996</v>
      </c>
      <c r="R412" s="82">
        <f t="shared" si="216"/>
        <v>4339.8999999999996</v>
      </c>
    </row>
    <row r="413" spans="2:18" s="34" customFormat="1" ht="34.799999999999997">
      <c r="B413" s="75" t="s">
        <v>814</v>
      </c>
      <c r="C413" s="76" t="s">
        <v>815</v>
      </c>
      <c r="D413" s="77" t="s">
        <v>131</v>
      </c>
      <c r="E413" s="93">
        <v>2</v>
      </c>
      <c r="F413" s="79"/>
      <c r="G413" s="79"/>
      <c r="H413" s="79"/>
      <c r="I413" s="79">
        <f t="shared" si="195"/>
        <v>0</v>
      </c>
      <c r="J413" s="79">
        <f t="shared" si="196"/>
        <v>2</v>
      </c>
      <c r="K413" s="80">
        <v>29</v>
      </c>
      <c r="L413" s="81">
        <f t="shared" ref="L413:L476" si="217">K413*(1+$T$26)</f>
        <v>36.760403190000005</v>
      </c>
      <c r="M413" s="82">
        <f t="shared" si="211"/>
        <v>0</v>
      </c>
      <c r="N413" s="82">
        <f t="shared" si="212"/>
        <v>0</v>
      </c>
      <c r="O413" s="82">
        <f t="shared" si="213"/>
        <v>0</v>
      </c>
      <c r="P413" s="80">
        <f t="shared" si="214"/>
        <v>58</v>
      </c>
      <c r="Q413" s="82">
        <f t="shared" si="215"/>
        <v>73.52</v>
      </c>
      <c r="R413" s="82">
        <f t="shared" si="216"/>
        <v>73.52</v>
      </c>
    </row>
    <row r="414" spans="2:18" s="34" customFormat="1" ht="46.2">
      <c r="B414" s="75" t="s">
        <v>816</v>
      </c>
      <c r="C414" s="76" t="s">
        <v>817</v>
      </c>
      <c r="D414" s="77" t="s">
        <v>131</v>
      </c>
      <c r="E414" s="93">
        <v>115</v>
      </c>
      <c r="F414" s="79"/>
      <c r="G414" s="79"/>
      <c r="H414" s="79"/>
      <c r="I414" s="79">
        <f t="shared" si="195"/>
        <v>0</v>
      </c>
      <c r="J414" s="79">
        <f t="shared" si="196"/>
        <v>115</v>
      </c>
      <c r="K414" s="80">
        <v>9.2899999999999991</v>
      </c>
      <c r="L414" s="81">
        <f t="shared" si="217"/>
        <v>11.7760050219</v>
      </c>
      <c r="M414" s="82">
        <f t="shared" si="211"/>
        <v>0</v>
      </c>
      <c r="N414" s="82">
        <f t="shared" si="212"/>
        <v>0</v>
      </c>
      <c r="O414" s="82">
        <f t="shared" si="213"/>
        <v>0</v>
      </c>
      <c r="P414" s="80">
        <f t="shared" si="214"/>
        <v>1068.3499999999999</v>
      </c>
      <c r="Q414" s="82">
        <f t="shared" si="215"/>
        <v>1354.24</v>
      </c>
      <c r="R414" s="82">
        <f t="shared" si="216"/>
        <v>1354.24</v>
      </c>
    </row>
    <row r="415" spans="2:18" s="34" customFormat="1" ht="46.2">
      <c r="B415" s="75" t="s">
        <v>818</v>
      </c>
      <c r="C415" s="76" t="s">
        <v>819</v>
      </c>
      <c r="D415" s="77" t="s">
        <v>131</v>
      </c>
      <c r="E415" s="93">
        <v>158</v>
      </c>
      <c r="F415" s="79"/>
      <c r="G415" s="79"/>
      <c r="H415" s="79"/>
      <c r="I415" s="79">
        <f t="shared" ref="I415:I478" si="218">SUM(G415:H415)</f>
        <v>0</v>
      </c>
      <c r="J415" s="79">
        <f t="shared" ref="J415:J478" si="219">E415-I415</f>
        <v>158</v>
      </c>
      <c r="K415" s="80">
        <v>14.75</v>
      </c>
      <c r="L415" s="81">
        <f t="shared" si="217"/>
        <v>18.6971016225</v>
      </c>
      <c r="M415" s="82">
        <f t="shared" si="211"/>
        <v>0</v>
      </c>
      <c r="N415" s="82">
        <f t="shared" si="212"/>
        <v>0</v>
      </c>
      <c r="O415" s="82">
        <f t="shared" si="213"/>
        <v>0</v>
      </c>
      <c r="P415" s="80">
        <f t="shared" si="214"/>
        <v>2330.5</v>
      </c>
      <c r="Q415" s="82">
        <f t="shared" si="215"/>
        <v>2954.14</v>
      </c>
      <c r="R415" s="82">
        <f t="shared" si="216"/>
        <v>2954.14</v>
      </c>
    </row>
    <row r="416" spans="2:18" s="34" customFormat="1" ht="46.2">
      <c r="B416" s="75" t="s">
        <v>820</v>
      </c>
      <c r="C416" s="76" t="s">
        <v>821</v>
      </c>
      <c r="D416" s="77" t="s">
        <v>131</v>
      </c>
      <c r="E416" s="93">
        <v>28</v>
      </c>
      <c r="F416" s="79"/>
      <c r="G416" s="79"/>
      <c r="H416" s="79"/>
      <c r="I416" s="79">
        <f t="shared" si="218"/>
        <v>0</v>
      </c>
      <c r="J416" s="79">
        <f t="shared" si="219"/>
        <v>28</v>
      </c>
      <c r="K416" s="80">
        <v>29.5</v>
      </c>
      <c r="L416" s="81">
        <f t="shared" si="217"/>
        <v>37.394203245</v>
      </c>
      <c r="M416" s="82">
        <f t="shared" si="211"/>
        <v>0</v>
      </c>
      <c r="N416" s="82">
        <f t="shared" si="212"/>
        <v>0</v>
      </c>
      <c r="O416" s="82">
        <f t="shared" si="213"/>
        <v>0</v>
      </c>
      <c r="P416" s="80">
        <f t="shared" si="214"/>
        <v>826</v>
      </c>
      <c r="Q416" s="82">
        <f t="shared" si="215"/>
        <v>1047.03</v>
      </c>
      <c r="R416" s="82">
        <f t="shared" si="216"/>
        <v>1047.03</v>
      </c>
    </row>
    <row r="417" spans="2:18" s="34" customFormat="1" ht="22.5" customHeight="1">
      <c r="B417" s="75" t="s">
        <v>822</v>
      </c>
      <c r="C417" s="76" t="s">
        <v>823</v>
      </c>
      <c r="D417" s="77" t="s">
        <v>131</v>
      </c>
      <c r="E417" s="93">
        <v>37</v>
      </c>
      <c r="F417" s="79"/>
      <c r="G417" s="79"/>
      <c r="H417" s="79"/>
      <c r="I417" s="79">
        <f t="shared" si="218"/>
        <v>0</v>
      </c>
      <c r="J417" s="79">
        <f t="shared" si="219"/>
        <v>37</v>
      </c>
      <c r="K417" s="80">
        <v>34.119999999999997</v>
      </c>
      <c r="L417" s="81">
        <f t="shared" si="217"/>
        <v>43.250515753199998</v>
      </c>
      <c r="M417" s="82">
        <f t="shared" si="211"/>
        <v>0</v>
      </c>
      <c r="N417" s="82">
        <f t="shared" si="212"/>
        <v>0</v>
      </c>
      <c r="O417" s="82">
        <f t="shared" si="213"/>
        <v>0</v>
      </c>
      <c r="P417" s="80">
        <f t="shared" si="214"/>
        <v>1262.4399999999998</v>
      </c>
      <c r="Q417" s="82">
        <f t="shared" si="215"/>
        <v>1600.26</v>
      </c>
      <c r="R417" s="82">
        <f t="shared" si="216"/>
        <v>1600.26</v>
      </c>
    </row>
    <row r="418" spans="2:18" s="34" customFormat="1" ht="34.799999999999997">
      <c r="B418" s="75" t="s">
        <v>824</v>
      </c>
      <c r="C418" s="76" t="s">
        <v>825</v>
      </c>
      <c r="D418" s="77" t="s">
        <v>131</v>
      </c>
      <c r="E418" s="93">
        <v>77</v>
      </c>
      <c r="F418" s="79"/>
      <c r="G418" s="79"/>
      <c r="H418" s="79"/>
      <c r="I418" s="79">
        <f t="shared" si="218"/>
        <v>0</v>
      </c>
      <c r="J418" s="79">
        <f t="shared" si="219"/>
        <v>77</v>
      </c>
      <c r="K418" s="80">
        <v>42</v>
      </c>
      <c r="L418" s="81">
        <f t="shared" si="217"/>
        <v>53.239204620000002</v>
      </c>
      <c r="M418" s="82">
        <f t="shared" si="211"/>
        <v>0</v>
      </c>
      <c r="N418" s="82">
        <f t="shared" si="212"/>
        <v>0</v>
      </c>
      <c r="O418" s="82">
        <f t="shared" si="213"/>
        <v>0</v>
      </c>
      <c r="P418" s="80">
        <f t="shared" si="214"/>
        <v>3234</v>
      </c>
      <c r="Q418" s="82">
        <f t="shared" si="215"/>
        <v>4099.41</v>
      </c>
      <c r="R418" s="82">
        <f t="shared" si="216"/>
        <v>4099.41</v>
      </c>
    </row>
    <row r="419" spans="2:18" s="34" customFormat="1" ht="34.799999999999997">
      <c r="B419" s="75" t="s">
        <v>826</v>
      </c>
      <c r="C419" s="76" t="s">
        <v>827</v>
      </c>
      <c r="D419" s="77" t="s">
        <v>131</v>
      </c>
      <c r="E419" s="93">
        <v>1</v>
      </c>
      <c r="F419" s="79"/>
      <c r="G419" s="79"/>
      <c r="H419" s="79"/>
      <c r="I419" s="79">
        <f t="shared" si="218"/>
        <v>0</v>
      </c>
      <c r="J419" s="79">
        <f t="shared" si="219"/>
        <v>1</v>
      </c>
      <c r="K419" s="80">
        <v>88</v>
      </c>
      <c r="L419" s="81">
        <f t="shared" si="217"/>
        <v>111.54880968000001</v>
      </c>
      <c r="M419" s="82">
        <f t="shared" si="211"/>
        <v>0</v>
      </c>
      <c r="N419" s="82">
        <f t="shared" si="212"/>
        <v>0</v>
      </c>
      <c r="O419" s="82">
        <f t="shared" si="213"/>
        <v>0</v>
      </c>
      <c r="P419" s="80">
        <f t="shared" si="214"/>
        <v>88</v>
      </c>
      <c r="Q419" s="82">
        <f t="shared" si="215"/>
        <v>111.54</v>
      </c>
      <c r="R419" s="82">
        <f t="shared" si="216"/>
        <v>111.54</v>
      </c>
    </row>
    <row r="420" spans="2:18" s="34" customFormat="1" ht="34.799999999999997">
      <c r="B420" s="75" t="s">
        <v>828</v>
      </c>
      <c r="C420" s="76" t="s">
        <v>829</v>
      </c>
      <c r="D420" s="77" t="s">
        <v>131</v>
      </c>
      <c r="E420" s="93">
        <v>4</v>
      </c>
      <c r="F420" s="79"/>
      <c r="G420" s="79"/>
      <c r="H420" s="79"/>
      <c r="I420" s="79">
        <f t="shared" si="218"/>
        <v>0</v>
      </c>
      <c r="J420" s="79">
        <f t="shared" si="219"/>
        <v>4</v>
      </c>
      <c r="K420" s="80">
        <v>235</v>
      </c>
      <c r="L420" s="81">
        <f t="shared" si="217"/>
        <v>297.88602585000001</v>
      </c>
      <c r="M420" s="82">
        <f t="shared" si="211"/>
        <v>0</v>
      </c>
      <c r="N420" s="82">
        <f t="shared" si="212"/>
        <v>0</v>
      </c>
      <c r="O420" s="82">
        <f t="shared" si="213"/>
        <v>0</v>
      </c>
      <c r="P420" s="80">
        <f t="shared" si="214"/>
        <v>940</v>
      </c>
      <c r="Q420" s="82">
        <f t="shared" si="215"/>
        <v>1191.54</v>
      </c>
      <c r="R420" s="82">
        <f t="shared" si="216"/>
        <v>1191.54</v>
      </c>
    </row>
    <row r="421" spans="2:18" s="34" customFormat="1" ht="46.2">
      <c r="B421" s="75" t="s">
        <v>830</v>
      </c>
      <c r="C421" s="76" t="s">
        <v>831</v>
      </c>
      <c r="D421" s="77" t="s">
        <v>131</v>
      </c>
      <c r="E421" s="93">
        <v>326</v>
      </c>
      <c r="F421" s="79"/>
      <c r="G421" s="79"/>
      <c r="H421" s="79"/>
      <c r="I421" s="79">
        <f t="shared" si="218"/>
        <v>0</v>
      </c>
      <c r="J421" s="79">
        <f t="shared" si="219"/>
        <v>326</v>
      </c>
      <c r="K421" s="80">
        <v>9.08</v>
      </c>
      <c r="L421" s="81">
        <f t="shared" si="217"/>
        <v>11.509808998800001</v>
      </c>
      <c r="M421" s="82">
        <f t="shared" si="211"/>
        <v>0</v>
      </c>
      <c r="N421" s="82">
        <f t="shared" si="212"/>
        <v>0</v>
      </c>
      <c r="O421" s="82">
        <f t="shared" si="213"/>
        <v>0</v>
      </c>
      <c r="P421" s="80">
        <f t="shared" si="214"/>
        <v>2960.08</v>
      </c>
      <c r="Q421" s="82">
        <f t="shared" si="215"/>
        <v>3752.19</v>
      </c>
      <c r="R421" s="82">
        <f t="shared" si="216"/>
        <v>3752.19</v>
      </c>
    </row>
    <row r="422" spans="2:18" s="34" customFormat="1" ht="34.799999999999997">
      <c r="B422" s="75" t="s">
        <v>832</v>
      </c>
      <c r="C422" s="76" t="s">
        <v>833</v>
      </c>
      <c r="D422" s="77" t="s">
        <v>131</v>
      </c>
      <c r="E422" s="93">
        <v>166</v>
      </c>
      <c r="F422" s="79"/>
      <c r="G422" s="79"/>
      <c r="H422" s="79"/>
      <c r="I422" s="79">
        <f t="shared" si="218"/>
        <v>0</v>
      </c>
      <c r="J422" s="79">
        <f t="shared" si="219"/>
        <v>166</v>
      </c>
      <c r="K422" s="80">
        <v>9.4600000000000009</v>
      </c>
      <c r="L422" s="81">
        <f t="shared" si="217"/>
        <v>11.991497040600002</v>
      </c>
      <c r="M422" s="82">
        <f t="shared" si="211"/>
        <v>0</v>
      </c>
      <c r="N422" s="82">
        <f t="shared" si="212"/>
        <v>0</v>
      </c>
      <c r="O422" s="82">
        <f t="shared" si="213"/>
        <v>0</v>
      </c>
      <c r="P422" s="80">
        <f t="shared" si="214"/>
        <v>1570.3600000000001</v>
      </c>
      <c r="Q422" s="82">
        <f t="shared" si="215"/>
        <v>1990.58</v>
      </c>
      <c r="R422" s="82">
        <f t="shared" si="216"/>
        <v>1990.58</v>
      </c>
    </row>
    <row r="423" spans="2:18" s="34" customFormat="1" ht="13.2">
      <c r="B423" s="75" t="s">
        <v>834</v>
      </c>
      <c r="C423" s="76" t="s">
        <v>747</v>
      </c>
      <c r="D423" s="77" t="s">
        <v>131</v>
      </c>
      <c r="E423" s="93">
        <v>96</v>
      </c>
      <c r="F423" s="79"/>
      <c r="G423" s="79"/>
      <c r="H423" s="79"/>
      <c r="I423" s="79">
        <f t="shared" si="218"/>
        <v>0</v>
      </c>
      <c r="J423" s="79">
        <f t="shared" si="219"/>
        <v>96</v>
      </c>
      <c r="K423" s="80">
        <v>5.14</v>
      </c>
      <c r="L423" s="81">
        <f t="shared" si="217"/>
        <v>6.5154645654000003</v>
      </c>
      <c r="M423" s="82">
        <f t="shared" si="211"/>
        <v>0</v>
      </c>
      <c r="N423" s="82">
        <f t="shared" si="212"/>
        <v>0</v>
      </c>
      <c r="O423" s="82">
        <f t="shared" si="213"/>
        <v>0</v>
      </c>
      <c r="P423" s="80">
        <f t="shared" si="214"/>
        <v>493.43999999999994</v>
      </c>
      <c r="Q423" s="82">
        <f t="shared" si="215"/>
        <v>625.48</v>
      </c>
      <c r="R423" s="82">
        <f t="shared" si="216"/>
        <v>625.48</v>
      </c>
    </row>
    <row r="424" spans="2:18" s="34" customFormat="1" ht="46.2">
      <c r="B424" s="75" t="s">
        <v>835</v>
      </c>
      <c r="C424" s="76" t="s">
        <v>836</v>
      </c>
      <c r="D424" s="77" t="s">
        <v>131</v>
      </c>
      <c r="E424" s="93">
        <v>26</v>
      </c>
      <c r="F424" s="79"/>
      <c r="G424" s="79"/>
      <c r="H424" s="79"/>
      <c r="I424" s="79">
        <f t="shared" si="218"/>
        <v>0</v>
      </c>
      <c r="J424" s="79">
        <f t="shared" si="219"/>
        <v>26</v>
      </c>
      <c r="K424" s="80">
        <v>21.35</v>
      </c>
      <c r="L424" s="81">
        <f t="shared" si="217"/>
        <v>27.063262348500004</v>
      </c>
      <c r="M424" s="82">
        <f t="shared" si="211"/>
        <v>0</v>
      </c>
      <c r="N424" s="82">
        <f t="shared" si="212"/>
        <v>0</v>
      </c>
      <c r="O424" s="82">
        <f t="shared" si="213"/>
        <v>0</v>
      </c>
      <c r="P424" s="80">
        <f t="shared" si="214"/>
        <v>555.1</v>
      </c>
      <c r="Q424" s="82">
        <f t="shared" si="215"/>
        <v>703.64</v>
      </c>
      <c r="R424" s="82">
        <f t="shared" si="216"/>
        <v>703.64</v>
      </c>
    </row>
    <row r="425" spans="2:18" s="34" customFormat="1" ht="46.2">
      <c r="B425" s="75" t="s">
        <v>837</v>
      </c>
      <c r="C425" s="76" t="s">
        <v>838</v>
      </c>
      <c r="D425" s="77" t="s">
        <v>131</v>
      </c>
      <c r="E425" s="93">
        <v>86</v>
      </c>
      <c r="F425" s="79"/>
      <c r="G425" s="79"/>
      <c r="H425" s="79"/>
      <c r="I425" s="79">
        <f t="shared" si="218"/>
        <v>0</v>
      </c>
      <c r="J425" s="79">
        <f t="shared" si="219"/>
        <v>86</v>
      </c>
      <c r="K425" s="80">
        <v>25.91</v>
      </c>
      <c r="L425" s="81">
        <f t="shared" si="217"/>
        <v>32.843518850100004</v>
      </c>
      <c r="M425" s="82">
        <f t="shared" si="211"/>
        <v>0</v>
      </c>
      <c r="N425" s="82">
        <f t="shared" si="212"/>
        <v>0</v>
      </c>
      <c r="O425" s="82">
        <f t="shared" si="213"/>
        <v>0</v>
      </c>
      <c r="P425" s="80">
        <f t="shared" si="214"/>
        <v>2228.2600000000002</v>
      </c>
      <c r="Q425" s="82">
        <f t="shared" si="215"/>
        <v>2824.54</v>
      </c>
      <c r="R425" s="82">
        <f t="shared" si="216"/>
        <v>2824.54</v>
      </c>
    </row>
    <row r="426" spans="2:18" s="34" customFormat="1" ht="34.799999999999997">
      <c r="B426" s="75" t="s">
        <v>839</v>
      </c>
      <c r="C426" s="76" t="s">
        <v>840</v>
      </c>
      <c r="D426" s="77" t="s">
        <v>131</v>
      </c>
      <c r="E426" s="93">
        <v>19</v>
      </c>
      <c r="F426" s="79"/>
      <c r="G426" s="79"/>
      <c r="H426" s="79"/>
      <c r="I426" s="79">
        <f t="shared" si="218"/>
        <v>0</v>
      </c>
      <c r="J426" s="79">
        <f t="shared" si="219"/>
        <v>19</v>
      </c>
      <c r="K426" s="80">
        <v>100.92</v>
      </c>
      <c r="L426" s="81">
        <f t="shared" si="217"/>
        <v>127.9262031012</v>
      </c>
      <c r="M426" s="82">
        <f t="shared" si="211"/>
        <v>0</v>
      </c>
      <c r="N426" s="82">
        <f t="shared" si="212"/>
        <v>0</v>
      </c>
      <c r="O426" s="82">
        <f t="shared" si="213"/>
        <v>0</v>
      </c>
      <c r="P426" s="80">
        <f t="shared" si="214"/>
        <v>1917.48</v>
      </c>
      <c r="Q426" s="82">
        <f t="shared" si="215"/>
        <v>2430.59</v>
      </c>
      <c r="R426" s="82">
        <f t="shared" si="216"/>
        <v>2430.59</v>
      </c>
    </row>
    <row r="427" spans="2:18" s="34" customFormat="1" ht="34.799999999999997">
      <c r="B427" s="75" t="s">
        <v>841</v>
      </c>
      <c r="C427" s="76" t="s">
        <v>842</v>
      </c>
      <c r="D427" s="77" t="s">
        <v>131</v>
      </c>
      <c r="E427" s="93">
        <v>1</v>
      </c>
      <c r="F427" s="79"/>
      <c r="G427" s="79"/>
      <c r="H427" s="79"/>
      <c r="I427" s="79">
        <f t="shared" si="218"/>
        <v>0</v>
      </c>
      <c r="J427" s="79">
        <f t="shared" si="219"/>
        <v>1</v>
      </c>
      <c r="K427" s="80">
        <v>135</v>
      </c>
      <c r="L427" s="81">
        <f t="shared" si="217"/>
        <v>171.12601485000002</v>
      </c>
      <c r="M427" s="82">
        <f t="shared" si="211"/>
        <v>0</v>
      </c>
      <c r="N427" s="82">
        <f t="shared" si="212"/>
        <v>0</v>
      </c>
      <c r="O427" s="82">
        <f t="shared" si="213"/>
        <v>0</v>
      </c>
      <c r="P427" s="80">
        <f t="shared" si="214"/>
        <v>135</v>
      </c>
      <c r="Q427" s="82">
        <f t="shared" si="215"/>
        <v>171.12</v>
      </c>
      <c r="R427" s="82">
        <f t="shared" si="216"/>
        <v>171.12</v>
      </c>
    </row>
    <row r="428" spans="2:18" s="34" customFormat="1" ht="34.799999999999997">
      <c r="B428" s="75" t="s">
        <v>843</v>
      </c>
      <c r="C428" s="76" t="s">
        <v>844</v>
      </c>
      <c r="D428" s="77" t="s">
        <v>131</v>
      </c>
      <c r="E428" s="93">
        <v>38</v>
      </c>
      <c r="F428" s="79"/>
      <c r="G428" s="79"/>
      <c r="H428" s="79"/>
      <c r="I428" s="79">
        <f t="shared" si="218"/>
        <v>0</v>
      </c>
      <c r="J428" s="79">
        <f t="shared" si="219"/>
        <v>38</v>
      </c>
      <c r="K428" s="80">
        <v>9.08</v>
      </c>
      <c r="L428" s="81">
        <f t="shared" si="217"/>
        <v>11.509808998800001</v>
      </c>
      <c r="M428" s="82">
        <f t="shared" si="211"/>
        <v>0</v>
      </c>
      <c r="N428" s="82">
        <f t="shared" si="212"/>
        <v>0</v>
      </c>
      <c r="O428" s="82">
        <f t="shared" si="213"/>
        <v>0</v>
      </c>
      <c r="P428" s="80">
        <f t="shared" si="214"/>
        <v>345.04</v>
      </c>
      <c r="Q428" s="82">
        <f t="shared" si="215"/>
        <v>437.37</v>
      </c>
      <c r="R428" s="82">
        <f t="shared" si="216"/>
        <v>437.37</v>
      </c>
    </row>
    <row r="429" spans="2:18" s="34" customFormat="1" ht="34.799999999999997">
      <c r="B429" s="75" t="s">
        <v>845</v>
      </c>
      <c r="C429" s="76" t="s">
        <v>846</v>
      </c>
      <c r="D429" s="77" t="s">
        <v>131</v>
      </c>
      <c r="E429" s="93">
        <v>38</v>
      </c>
      <c r="F429" s="79"/>
      <c r="G429" s="79"/>
      <c r="H429" s="79"/>
      <c r="I429" s="79">
        <f t="shared" si="218"/>
        <v>0</v>
      </c>
      <c r="J429" s="79">
        <f t="shared" si="219"/>
        <v>38</v>
      </c>
      <c r="K429" s="80">
        <v>25.03</v>
      </c>
      <c r="L429" s="81">
        <f t="shared" si="217"/>
        <v>31.728030753300004</v>
      </c>
      <c r="M429" s="82">
        <f t="shared" si="211"/>
        <v>0</v>
      </c>
      <c r="N429" s="82">
        <f t="shared" si="212"/>
        <v>0</v>
      </c>
      <c r="O429" s="82">
        <f t="shared" si="213"/>
        <v>0</v>
      </c>
      <c r="P429" s="80">
        <f t="shared" si="214"/>
        <v>951.1400000000001</v>
      </c>
      <c r="Q429" s="82">
        <f t="shared" si="215"/>
        <v>1205.6600000000001</v>
      </c>
      <c r="R429" s="82">
        <f t="shared" si="216"/>
        <v>1205.6600000000001</v>
      </c>
    </row>
    <row r="430" spans="2:18" s="34" customFormat="1" ht="34.799999999999997">
      <c r="B430" s="75" t="s">
        <v>847</v>
      </c>
      <c r="C430" s="76" t="s">
        <v>848</v>
      </c>
      <c r="D430" s="77" t="s">
        <v>131</v>
      </c>
      <c r="E430" s="93">
        <v>9</v>
      </c>
      <c r="F430" s="79"/>
      <c r="G430" s="79"/>
      <c r="H430" s="79"/>
      <c r="I430" s="79">
        <f t="shared" si="218"/>
        <v>0</v>
      </c>
      <c r="J430" s="79">
        <f t="shared" si="219"/>
        <v>9</v>
      </c>
      <c r="K430" s="80">
        <v>38.549999999999997</v>
      </c>
      <c r="L430" s="81">
        <f t="shared" si="217"/>
        <v>48.865984240499998</v>
      </c>
      <c r="M430" s="82">
        <f t="shared" si="211"/>
        <v>0</v>
      </c>
      <c r="N430" s="82">
        <f t="shared" si="212"/>
        <v>0</v>
      </c>
      <c r="O430" s="82">
        <f t="shared" si="213"/>
        <v>0</v>
      </c>
      <c r="P430" s="80">
        <f t="shared" si="214"/>
        <v>346.95</v>
      </c>
      <c r="Q430" s="82">
        <f t="shared" si="215"/>
        <v>439.79</v>
      </c>
      <c r="R430" s="82">
        <f t="shared" si="216"/>
        <v>439.79</v>
      </c>
    </row>
    <row r="431" spans="2:18" s="34" customFormat="1" ht="34.799999999999997">
      <c r="B431" s="75" t="s">
        <v>849</v>
      </c>
      <c r="C431" s="76" t="s">
        <v>850</v>
      </c>
      <c r="D431" s="77" t="s">
        <v>131</v>
      </c>
      <c r="E431" s="93">
        <v>24</v>
      </c>
      <c r="F431" s="79"/>
      <c r="G431" s="79"/>
      <c r="H431" s="79"/>
      <c r="I431" s="79">
        <f t="shared" si="218"/>
        <v>0</v>
      </c>
      <c r="J431" s="79">
        <f t="shared" si="219"/>
        <v>24</v>
      </c>
      <c r="K431" s="80">
        <v>48.29</v>
      </c>
      <c r="L431" s="81">
        <f t="shared" si="217"/>
        <v>61.212409311900004</v>
      </c>
      <c r="M431" s="82">
        <f t="shared" si="211"/>
        <v>0</v>
      </c>
      <c r="N431" s="82">
        <f t="shared" si="212"/>
        <v>0</v>
      </c>
      <c r="O431" s="82">
        <f t="shared" si="213"/>
        <v>0</v>
      </c>
      <c r="P431" s="80">
        <f t="shared" si="214"/>
        <v>1158.96</v>
      </c>
      <c r="Q431" s="82">
        <f t="shared" si="215"/>
        <v>1469.09</v>
      </c>
      <c r="R431" s="82">
        <f t="shared" si="216"/>
        <v>1469.09</v>
      </c>
    </row>
    <row r="432" spans="2:18" s="34" customFormat="1" ht="23.4">
      <c r="B432" s="75" t="s">
        <v>851</v>
      </c>
      <c r="C432" s="76" t="s">
        <v>852</v>
      </c>
      <c r="D432" s="77" t="s">
        <v>131</v>
      </c>
      <c r="E432" s="93">
        <v>64</v>
      </c>
      <c r="F432" s="79"/>
      <c r="G432" s="79"/>
      <c r="H432" s="79"/>
      <c r="I432" s="79">
        <f t="shared" si="218"/>
        <v>0</v>
      </c>
      <c r="J432" s="79">
        <f t="shared" si="219"/>
        <v>64</v>
      </c>
      <c r="K432" s="80">
        <v>28.98</v>
      </c>
      <c r="L432" s="81">
        <f t="shared" si="217"/>
        <v>36.735051187800003</v>
      </c>
      <c r="M432" s="82">
        <f t="shared" si="211"/>
        <v>0</v>
      </c>
      <c r="N432" s="82">
        <f t="shared" si="212"/>
        <v>0</v>
      </c>
      <c r="O432" s="82">
        <f t="shared" si="213"/>
        <v>0</v>
      </c>
      <c r="P432" s="80">
        <f t="shared" si="214"/>
        <v>1854.72</v>
      </c>
      <c r="Q432" s="82">
        <f t="shared" si="215"/>
        <v>2351.04</v>
      </c>
      <c r="R432" s="82">
        <f t="shared" si="216"/>
        <v>2351.04</v>
      </c>
    </row>
    <row r="433" spans="2:18" s="34" customFormat="1" ht="23.4">
      <c r="B433" s="75" t="s">
        <v>853</v>
      </c>
      <c r="C433" s="76" t="s">
        <v>854</v>
      </c>
      <c r="D433" s="77" t="s">
        <v>131</v>
      </c>
      <c r="E433" s="93">
        <v>69</v>
      </c>
      <c r="F433" s="79"/>
      <c r="G433" s="79"/>
      <c r="H433" s="79"/>
      <c r="I433" s="79">
        <f t="shared" si="218"/>
        <v>0</v>
      </c>
      <c r="J433" s="79">
        <f t="shared" si="219"/>
        <v>69</v>
      </c>
      <c r="K433" s="80">
        <v>44.64</v>
      </c>
      <c r="L433" s="81">
        <f t="shared" si="217"/>
        <v>56.585668910400003</v>
      </c>
      <c r="M433" s="82">
        <f t="shared" si="211"/>
        <v>0</v>
      </c>
      <c r="N433" s="82">
        <f t="shared" si="212"/>
        <v>0</v>
      </c>
      <c r="O433" s="82">
        <f t="shared" si="213"/>
        <v>0</v>
      </c>
      <c r="P433" s="80">
        <f t="shared" si="214"/>
        <v>3080.16</v>
      </c>
      <c r="Q433" s="82">
        <f t="shared" si="215"/>
        <v>3904.41</v>
      </c>
      <c r="R433" s="82">
        <f t="shared" si="216"/>
        <v>3904.41</v>
      </c>
    </row>
    <row r="434" spans="2:18" s="34" customFormat="1" ht="23.4">
      <c r="B434" s="75" t="s">
        <v>855</v>
      </c>
      <c r="C434" s="76" t="s">
        <v>856</v>
      </c>
      <c r="D434" s="77" t="s">
        <v>131</v>
      </c>
      <c r="E434" s="93">
        <v>1</v>
      </c>
      <c r="F434" s="79"/>
      <c r="G434" s="79"/>
      <c r="H434" s="79"/>
      <c r="I434" s="79">
        <f t="shared" si="218"/>
        <v>0</v>
      </c>
      <c r="J434" s="79">
        <f t="shared" si="219"/>
        <v>1</v>
      </c>
      <c r="K434" s="80">
        <v>51.15</v>
      </c>
      <c r="L434" s="81">
        <f t="shared" si="217"/>
        <v>64.837745626499995</v>
      </c>
      <c r="M434" s="82">
        <f t="shared" si="211"/>
        <v>0</v>
      </c>
      <c r="N434" s="82">
        <f t="shared" si="212"/>
        <v>0</v>
      </c>
      <c r="O434" s="82">
        <f t="shared" si="213"/>
        <v>0</v>
      </c>
      <c r="P434" s="80">
        <f t="shared" si="214"/>
        <v>51.15</v>
      </c>
      <c r="Q434" s="82">
        <f t="shared" si="215"/>
        <v>64.83</v>
      </c>
      <c r="R434" s="82">
        <f t="shared" si="216"/>
        <v>64.83</v>
      </c>
    </row>
    <row r="435" spans="2:18" s="34" customFormat="1" ht="23.4">
      <c r="B435" s="75" t="s">
        <v>857</v>
      </c>
      <c r="C435" s="76" t="s">
        <v>858</v>
      </c>
      <c r="D435" s="77" t="s">
        <v>131</v>
      </c>
      <c r="E435" s="93">
        <v>52</v>
      </c>
      <c r="F435" s="79"/>
      <c r="G435" s="79"/>
      <c r="H435" s="79"/>
      <c r="I435" s="79">
        <f t="shared" si="218"/>
        <v>0</v>
      </c>
      <c r="J435" s="79">
        <f t="shared" si="219"/>
        <v>52</v>
      </c>
      <c r="K435" s="80">
        <v>140</v>
      </c>
      <c r="L435" s="81">
        <f t="shared" si="217"/>
        <v>177.46401539999999</v>
      </c>
      <c r="M435" s="82">
        <f t="shared" si="211"/>
        <v>0</v>
      </c>
      <c r="N435" s="82">
        <f t="shared" si="212"/>
        <v>0</v>
      </c>
      <c r="O435" s="82">
        <f t="shared" si="213"/>
        <v>0</v>
      </c>
      <c r="P435" s="80">
        <f t="shared" si="214"/>
        <v>7280</v>
      </c>
      <c r="Q435" s="82">
        <f t="shared" si="215"/>
        <v>9228.1200000000008</v>
      </c>
      <c r="R435" s="82">
        <f t="shared" si="216"/>
        <v>9228.1200000000008</v>
      </c>
    </row>
    <row r="436" spans="2:18" s="34" customFormat="1" ht="34.799999999999997">
      <c r="B436" s="75" t="s">
        <v>859</v>
      </c>
      <c r="C436" s="76" t="s">
        <v>860</v>
      </c>
      <c r="D436" s="77" t="s">
        <v>131</v>
      </c>
      <c r="E436" s="93">
        <v>68</v>
      </c>
      <c r="F436" s="79"/>
      <c r="G436" s="79"/>
      <c r="H436" s="79"/>
      <c r="I436" s="79">
        <f t="shared" si="218"/>
        <v>0</v>
      </c>
      <c r="J436" s="79">
        <f t="shared" si="219"/>
        <v>68</v>
      </c>
      <c r="K436" s="80">
        <v>80</v>
      </c>
      <c r="L436" s="81">
        <f t="shared" si="217"/>
        <v>101.4080088</v>
      </c>
      <c r="M436" s="82">
        <f t="shared" si="211"/>
        <v>0</v>
      </c>
      <c r="N436" s="82">
        <f t="shared" si="212"/>
        <v>0</v>
      </c>
      <c r="O436" s="82">
        <f t="shared" si="213"/>
        <v>0</v>
      </c>
      <c r="P436" s="80">
        <f t="shared" si="214"/>
        <v>5440</v>
      </c>
      <c r="Q436" s="82">
        <f t="shared" si="215"/>
        <v>6895.74</v>
      </c>
      <c r="R436" s="82">
        <f t="shared" si="216"/>
        <v>6895.74</v>
      </c>
    </row>
    <row r="437" spans="2:18" s="34" customFormat="1" ht="23.4">
      <c r="B437" s="75" t="s">
        <v>861</v>
      </c>
      <c r="C437" s="76" t="s">
        <v>862</v>
      </c>
      <c r="D437" s="77" t="s">
        <v>131</v>
      </c>
      <c r="E437" s="93">
        <v>10</v>
      </c>
      <c r="F437" s="79"/>
      <c r="G437" s="79"/>
      <c r="H437" s="79"/>
      <c r="I437" s="79">
        <f t="shared" si="218"/>
        <v>0</v>
      </c>
      <c r="J437" s="79">
        <f t="shared" si="219"/>
        <v>10</v>
      </c>
      <c r="K437" s="80">
        <v>18.14</v>
      </c>
      <c r="L437" s="81">
        <f t="shared" si="217"/>
        <v>22.994265995400003</v>
      </c>
      <c r="M437" s="82">
        <f t="shared" si="211"/>
        <v>0</v>
      </c>
      <c r="N437" s="82">
        <f t="shared" si="212"/>
        <v>0</v>
      </c>
      <c r="O437" s="82">
        <f t="shared" si="213"/>
        <v>0</v>
      </c>
      <c r="P437" s="80">
        <f t="shared" si="214"/>
        <v>181.4</v>
      </c>
      <c r="Q437" s="82">
        <f t="shared" si="215"/>
        <v>229.94</v>
      </c>
      <c r="R437" s="82">
        <f t="shared" si="216"/>
        <v>229.94</v>
      </c>
    </row>
    <row r="438" spans="2:18" s="34" customFormat="1" ht="23.4">
      <c r="B438" s="75" t="s">
        <v>863</v>
      </c>
      <c r="C438" s="76" t="s">
        <v>864</v>
      </c>
      <c r="D438" s="77" t="s">
        <v>131</v>
      </c>
      <c r="E438" s="93">
        <v>54</v>
      </c>
      <c r="F438" s="79"/>
      <c r="G438" s="79"/>
      <c r="H438" s="79"/>
      <c r="I438" s="79">
        <f t="shared" si="218"/>
        <v>0</v>
      </c>
      <c r="J438" s="79">
        <f t="shared" si="219"/>
        <v>54</v>
      </c>
      <c r="K438" s="80">
        <v>21.55</v>
      </c>
      <c r="L438" s="81">
        <f t="shared" si="217"/>
        <v>27.316782370500004</v>
      </c>
      <c r="M438" s="82">
        <f t="shared" si="211"/>
        <v>0</v>
      </c>
      <c r="N438" s="82">
        <f t="shared" si="212"/>
        <v>0</v>
      </c>
      <c r="O438" s="82">
        <f t="shared" si="213"/>
        <v>0</v>
      </c>
      <c r="P438" s="80">
        <f t="shared" si="214"/>
        <v>1163.7</v>
      </c>
      <c r="Q438" s="82">
        <f t="shared" si="215"/>
        <v>1475.1</v>
      </c>
      <c r="R438" s="82">
        <f t="shared" si="216"/>
        <v>1475.1</v>
      </c>
    </row>
    <row r="439" spans="2:18" s="34" customFormat="1" ht="23.4">
      <c r="B439" s="75" t="s">
        <v>865</v>
      </c>
      <c r="C439" s="76" t="s">
        <v>866</v>
      </c>
      <c r="D439" s="77" t="s">
        <v>131</v>
      </c>
      <c r="E439" s="93">
        <v>7</v>
      </c>
      <c r="F439" s="79"/>
      <c r="G439" s="79"/>
      <c r="H439" s="79"/>
      <c r="I439" s="79">
        <f t="shared" si="218"/>
        <v>0</v>
      </c>
      <c r="J439" s="79">
        <f t="shared" si="219"/>
        <v>7</v>
      </c>
      <c r="K439" s="80">
        <v>22.95</v>
      </c>
      <c r="L439" s="81">
        <f t="shared" si="217"/>
        <v>29.0914225245</v>
      </c>
      <c r="M439" s="82">
        <f t="shared" ref="M439:M470" si="220">TRUNC(F439*L439,2)</f>
        <v>0</v>
      </c>
      <c r="N439" s="82">
        <f t="shared" ref="N439:N473" si="221">TRUNC(G439*L439,2)</f>
        <v>0</v>
      </c>
      <c r="O439" s="82">
        <f t="shared" ref="O439:O470" si="222">N439</f>
        <v>0</v>
      </c>
      <c r="P439" s="80">
        <f t="shared" ref="P439:P464" si="223">E439*K439</f>
        <v>160.65</v>
      </c>
      <c r="Q439" s="82">
        <f t="shared" ref="Q439:Q473" si="224">TRUNC(E439*L439,2)</f>
        <v>203.63</v>
      </c>
      <c r="R439" s="82">
        <f t="shared" ref="R439:R470" si="225">Q439-O439</f>
        <v>203.63</v>
      </c>
    </row>
    <row r="440" spans="2:18" s="34" customFormat="1" ht="23.4">
      <c r="B440" s="75" t="s">
        <v>867</v>
      </c>
      <c r="C440" s="76" t="s">
        <v>868</v>
      </c>
      <c r="D440" s="77" t="s">
        <v>131</v>
      </c>
      <c r="E440" s="93">
        <v>48</v>
      </c>
      <c r="F440" s="79"/>
      <c r="G440" s="79"/>
      <c r="H440" s="79"/>
      <c r="I440" s="79">
        <f t="shared" si="218"/>
        <v>0</v>
      </c>
      <c r="J440" s="79">
        <f t="shared" si="219"/>
        <v>48</v>
      </c>
      <c r="K440" s="80">
        <v>49</v>
      </c>
      <c r="L440" s="81">
        <f t="shared" si="217"/>
        <v>62.112405390000006</v>
      </c>
      <c r="M440" s="82">
        <f t="shared" si="220"/>
        <v>0</v>
      </c>
      <c r="N440" s="82">
        <f t="shared" si="221"/>
        <v>0</v>
      </c>
      <c r="O440" s="82">
        <f t="shared" si="222"/>
        <v>0</v>
      </c>
      <c r="P440" s="80">
        <f t="shared" si="223"/>
        <v>2352</v>
      </c>
      <c r="Q440" s="82">
        <f t="shared" si="224"/>
        <v>2981.39</v>
      </c>
      <c r="R440" s="82">
        <f t="shared" si="225"/>
        <v>2981.39</v>
      </c>
    </row>
    <row r="441" spans="2:18" s="34" customFormat="1" ht="23.4">
      <c r="B441" s="75" t="s">
        <v>869</v>
      </c>
      <c r="C441" s="76" t="s">
        <v>870</v>
      </c>
      <c r="D441" s="77" t="s">
        <v>131</v>
      </c>
      <c r="E441" s="93">
        <v>1</v>
      </c>
      <c r="F441" s="79"/>
      <c r="G441" s="79"/>
      <c r="H441" s="79"/>
      <c r="I441" s="79">
        <f t="shared" si="218"/>
        <v>0</v>
      </c>
      <c r="J441" s="79">
        <f t="shared" si="219"/>
        <v>1</v>
      </c>
      <c r="K441" s="80">
        <v>37.4</v>
      </c>
      <c r="L441" s="81">
        <f t="shared" si="217"/>
        <v>47.408244113999999</v>
      </c>
      <c r="M441" s="82">
        <f t="shared" si="220"/>
        <v>0</v>
      </c>
      <c r="N441" s="82">
        <f t="shared" si="221"/>
        <v>0</v>
      </c>
      <c r="O441" s="82">
        <f t="shared" si="222"/>
        <v>0</v>
      </c>
      <c r="P441" s="80">
        <f t="shared" si="223"/>
        <v>37.4</v>
      </c>
      <c r="Q441" s="82">
        <f t="shared" si="224"/>
        <v>47.4</v>
      </c>
      <c r="R441" s="82">
        <f t="shared" si="225"/>
        <v>47.4</v>
      </c>
    </row>
    <row r="442" spans="2:18" s="34" customFormat="1" ht="23.4">
      <c r="B442" s="75" t="s">
        <v>871</v>
      </c>
      <c r="C442" s="76" t="s">
        <v>872</v>
      </c>
      <c r="D442" s="77" t="s">
        <v>131</v>
      </c>
      <c r="E442" s="93">
        <v>2</v>
      </c>
      <c r="F442" s="79"/>
      <c r="G442" s="79"/>
      <c r="H442" s="79"/>
      <c r="I442" s="79">
        <f t="shared" si="218"/>
        <v>0</v>
      </c>
      <c r="J442" s="79">
        <f t="shared" si="219"/>
        <v>2</v>
      </c>
      <c r="K442" s="80">
        <v>78.239999999999995</v>
      </c>
      <c r="L442" s="81">
        <f t="shared" si="217"/>
        <v>99.177032606400005</v>
      </c>
      <c r="M442" s="82">
        <f t="shared" si="220"/>
        <v>0</v>
      </c>
      <c r="N442" s="82">
        <f t="shared" si="221"/>
        <v>0</v>
      </c>
      <c r="O442" s="82">
        <f t="shared" si="222"/>
        <v>0</v>
      </c>
      <c r="P442" s="80">
        <f t="shared" si="223"/>
        <v>156.47999999999999</v>
      </c>
      <c r="Q442" s="82">
        <f t="shared" si="224"/>
        <v>198.35</v>
      </c>
      <c r="R442" s="82">
        <f t="shared" si="225"/>
        <v>198.35</v>
      </c>
    </row>
    <row r="443" spans="2:18" s="34" customFormat="1" ht="23.4">
      <c r="B443" s="75" t="s">
        <v>873</v>
      </c>
      <c r="C443" s="76" t="s">
        <v>874</v>
      </c>
      <c r="D443" s="77" t="s">
        <v>131</v>
      </c>
      <c r="E443" s="93">
        <v>1</v>
      </c>
      <c r="F443" s="79"/>
      <c r="G443" s="79"/>
      <c r="H443" s="79"/>
      <c r="I443" s="79">
        <f t="shared" si="218"/>
        <v>0</v>
      </c>
      <c r="J443" s="79">
        <f t="shared" si="219"/>
        <v>1</v>
      </c>
      <c r="K443" s="80">
        <v>155</v>
      </c>
      <c r="L443" s="81">
        <f t="shared" si="217"/>
        <v>196.47801705000001</v>
      </c>
      <c r="M443" s="82">
        <f t="shared" si="220"/>
        <v>0</v>
      </c>
      <c r="N443" s="82">
        <f t="shared" si="221"/>
        <v>0</v>
      </c>
      <c r="O443" s="82">
        <f t="shared" si="222"/>
        <v>0</v>
      </c>
      <c r="P443" s="80">
        <f t="shared" si="223"/>
        <v>155</v>
      </c>
      <c r="Q443" s="82">
        <f t="shared" si="224"/>
        <v>196.47</v>
      </c>
      <c r="R443" s="82">
        <f t="shared" si="225"/>
        <v>196.47</v>
      </c>
    </row>
    <row r="444" spans="2:18" s="34" customFormat="1" ht="23.4">
      <c r="B444" s="75" t="s">
        <v>875</v>
      </c>
      <c r="C444" s="76" t="s">
        <v>876</v>
      </c>
      <c r="D444" s="77" t="s">
        <v>131</v>
      </c>
      <c r="E444" s="93">
        <v>17</v>
      </c>
      <c r="F444" s="79"/>
      <c r="G444" s="79"/>
      <c r="H444" s="79"/>
      <c r="I444" s="79">
        <f t="shared" si="218"/>
        <v>0</v>
      </c>
      <c r="J444" s="79">
        <f t="shared" si="219"/>
        <v>17</v>
      </c>
      <c r="K444" s="80">
        <v>8.85</v>
      </c>
      <c r="L444" s="81">
        <f t="shared" si="217"/>
        <v>11.2182609735</v>
      </c>
      <c r="M444" s="82">
        <f t="shared" si="220"/>
        <v>0</v>
      </c>
      <c r="N444" s="82">
        <f t="shared" si="221"/>
        <v>0</v>
      </c>
      <c r="O444" s="82">
        <f t="shared" si="222"/>
        <v>0</v>
      </c>
      <c r="P444" s="80">
        <f t="shared" si="223"/>
        <v>150.44999999999999</v>
      </c>
      <c r="Q444" s="82">
        <f t="shared" si="224"/>
        <v>190.71</v>
      </c>
      <c r="R444" s="82">
        <f t="shared" si="225"/>
        <v>190.71</v>
      </c>
    </row>
    <row r="445" spans="2:18" s="34" customFormat="1" ht="34.799999999999997">
      <c r="B445" s="75" t="s">
        <v>877</v>
      </c>
      <c r="C445" s="76" t="s">
        <v>878</v>
      </c>
      <c r="D445" s="77" t="s">
        <v>131</v>
      </c>
      <c r="E445" s="93">
        <v>3</v>
      </c>
      <c r="F445" s="79"/>
      <c r="G445" s="79"/>
      <c r="H445" s="79"/>
      <c r="I445" s="79">
        <f t="shared" si="218"/>
        <v>0</v>
      </c>
      <c r="J445" s="79">
        <f t="shared" si="219"/>
        <v>3</v>
      </c>
      <c r="K445" s="80">
        <v>7.63</v>
      </c>
      <c r="L445" s="81">
        <f t="shared" si="217"/>
        <v>9.6717888392999996</v>
      </c>
      <c r="M445" s="82">
        <f t="shared" si="220"/>
        <v>0</v>
      </c>
      <c r="N445" s="82">
        <f t="shared" si="221"/>
        <v>0</v>
      </c>
      <c r="O445" s="82">
        <f t="shared" si="222"/>
        <v>0</v>
      </c>
      <c r="P445" s="80">
        <f t="shared" si="223"/>
        <v>22.89</v>
      </c>
      <c r="Q445" s="82">
        <f t="shared" si="224"/>
        <v>29.01</v>
      </c>
      <c r="R445" s="82">
        <f t="shared" si="225"/>
        <v>29.01</v>
      </c>
    </row>
    <row r="446" spans="2:18" s="34" customFormat="1" ht="23.4">
      <c r="B446" s="75" t="s">
        <v>879</v>
      </c>
      <c r="C446" s="88" t="s">
        <v>711</v>
      </c>
      <c r="D446" s="89" t="s">
        <v>131</v>
      </c>
      <c r="E446" s="90">
        <v>82</v>
      </c>
      <c r="F446" s="91"/>
      <c r="G446" s="91"/>
      <c r="H446" s="91"/>
      <c r="I446" s="91">
        <f t="shared" si="218"/>
        <v>0</v>
      </c>
      <c r="J446" s="91">
        <f t="shared" si="219"/>
        <v>82</v>
      </c>
      <c r="K446" s="80">
        <v>14.54</v>
      </c>
      <c r="L446" s="81">
        <f t="shared" si="217"/>
        <v>18.430905599399999</v>
      </c>
      <c r="M446" s="82">
        <f t="shared" si="220"/>
        <v>0</v>
      </c>
      <c r="N446" s="82">
        <f t="shared" si="221"/>
        <v>0</v>
      </c>
      <c r="O446" s="82">
        <f t="shared" si="222"/>
        <v>0</v>
      </c>
      <c r="P446" s="80">
        <f t="shared" si="223"/>
        <v>1192.28</v>
      </c>
      <c r="Q446" s="82">
        <f t="shared" si="224"/>
        <v>1511.33</v>
      </c>
      <c r="R446" s="82">
        <f t="shared" si="225"/>
        <v>1511.33</v>
      </c>
    </row>
    <row r="447" spans="2:18" s="34" customFormat="1" ht="23.4">
      <c r="B447" s="75" t="s">
        <v>880</v>
      </c>
      <c r="C447" s="76" t="s">
        <v>881</v>
      </c>
      <c r="D447" s="77" t="s">
        <v>131</v>
      </c>
      <c r="E447" s="93">
        <v>5</v>
      </c>
      <c r="F447" s="79"/>
      <c r="G447" s="79"/>
      <c r="H447" s="79"/>
      <c r="I447" s="79">
        <f t="shared" si="218"/>
        <v>0</v>
      </c>
      <c r="J447" s="79">
        <f t="shared" si="219"/>
        <v>5</v>
      </c>
      <c r="K447" s="80">
        <v>19.91</v>
      </c>
      <c r="L447" s="81">
        <f t="shared" si="217"/>
        <v>25.2379181901</v>
      </c>
      <c r="M447" s="82">
        <f t="shared" si="220"/>
        <v>0</v>
      </c>
      <c r="N447" s="82">
        <f t="shared" si="221"/>
        <v>0</v>
      </c>
      <c r="O447" s="82">
        <f t="shared" si="222"/>
        <v>0</v>
      </c>
      <c r="P447" s="80">
        <f t="shared" si="223"/>
        <v>99.55</v>
      </c>
      <c r="Q447" s="82">
        <f t="shared" si="224"/>
        <v>126.18</v>
      </c>
      <c r="R447" s="82">
        <f t="shared" si="225"/>
        <v>126.18</v>
      </c>
    </row>
    <row r="448" spans="2:18" s="34" customFormat="1" ht="23.4">
      <c r="B448" s="75" t="s">
        <v>882</v>
      </c>
      <c r="C448" s="76" t="s">
        <v>883</v>
      </c>
      <c r="D448" s="77" t="s">
        <v>131</v>
      </c>
      <c r="E448" s="93">
        <v>1</v>
      </c>
      <c r="F448" s="79"/>
      <c r="G448" s="79"/>
      <c r="H448" s="79"/>
      <c r="I448" s="79">
        <f t="shared" si="218"/>
        <v>0</v>
      </c>
      <c r="J448" s="79">
        <f t="shared" si="219"/>
        <v>1</v>
      </c>
      <c r="K448" s="80">
        <v>25.24</v>
      </c>
      <c r="L448" s="81">
        <f t="shared" si="217"/>
        <v>31.994226776399998</v>
      </c>
      <c r="M448" s="82">
        <f t="shared" si="220"/>
        <v>0</v>
      </c>
      <c r="N448" s="82">
        <f t="shared" si="221"/>
        <v>0</v>
      </c>
      <c r="O448" s="82">
        <f t="shared" si="222"/>
        <v>0</v>
      </c>
      <c r="P448" s="80">
        <f t="shared" si="223"/>
        <v>25.24</v>
      </c>
      <c r="Q448" s="82">
        <f t="shared" si="224"/>
        <v>31.99</v>
      </c>
      <c r="R448" s="82">
        <f t="shared" si="225"/>
        <v>31.99</v>
      </c>
    </row>
    <row r="449" spans="2:18" s="34" customFormat="1" ht="34.799999999999997">
      <c r="B449" s="75" t="s">
        <v>884</v>
      </c>
      <c r="C449" s="76" t="s">
        <v>885</v>
      </c>
      <c r="D449" s="77" t="s">
        <v>131</v>
      </c>
      <c r="E449" s="93">
        <v>79</v>
      </c>
      <c r="F449" s="79"/>
      <c r="G449" s="79"/>
      <c r="H449" s="79"/>
      <c r="I449" s="79">
        <f t="shared" si="218"/>
        <v>0</v>
      </c>
      <c r="J449" s="79">
        <f t="shared" si="219"/>
        <v>79</v>
      </c>
      <c r="K449" s="80">
        <v>13.15</v>
      </c>
      <c r="L449" s="81">
        <f t="shared" si="217"/>
        <v>16.6689414465</v>
      </c>
      <c r="M449" s="82">
        <f t="shared" si="220"/>
        <v>0</v>
      </c>
      <c r="N449" s="82">
        <f t="shared" si="221"/>
        <v>0</v>
      </c>
      <c r="O449" s="82">
        <f t="shared" si="222"/>
        <v>0</v>
      </c>
      <c r="P449" s="80">
        <f t="shared" si="223"/>
        <v>1038.8500000000001</v>
      </c>
      <c r="Q449" s="82">
        <f t="shared" si="224"/>
        <v>1316.84</v>
      </c>
      <c r="R449" s="82">
        <f t="shared" si="225"/>
        <v>1316.84</v>
      </c>
    </row>
    <row r="450" spans="2:18" s="34" customFormat="1" ht="23.4">
      <c r="B450" s="75" t="s">
        <v>886</v>
      </c>
      <c r="C450" s="76" t="s">
        <v>757</v>
      </c>
      <c r="D450" s="77" t="s">
        <v>131</v>
      </c>
      <c r="E450" s="93">
        <v>1</v>
      </c>
      <c r="F450" s="79"/>
      <c r="G450" s="79"/>
      <c r="H450" s="79"/>
      <c r="I450" s="79">
        <f t="shared" si="218"/>
        <v>0</v>
      </c>
      <c r="J450" s="79">
        <f t="shared" si="219"/>
        <v>1</v>
      </c>
      <c r="K450" s="80">
        <v>12.35</v>
      </c>
      <c r="L450" s="81">
        <f t="shared" si="217"/>
        <v>15.6548613585</v>
      </c>
      <c r="M450" s="82">
        <f t="shared" si="220"/>
        <v>0</v>
      </c>
      <c r="N450" s="82">
        <f t="shared" si="221"/>
        <v>0</v>
      </c>
      <c r="O450" s="82">
        <f t="shared" si="222"/>
        <v>0</v>
      </c>
      <c r="P450" s="80">
        <f t="shared" si="223"/>
        <v>12.35</v>
      </c>
      <c r="Q450" s="82">
        <f t="shared" si="224"/>
        <v>15.65</v>
      </c>
      <c r="R450" s="82">
        <f t="shared" si="225"/>
        <v>15.65</v>
      </c>
    </row>
    <row r="451" spans="2:18" s="34" customFormat="1" ht="23.4">
      <c r="B451" s="75" t="s">
        <v>887</v>
      </c>
      <c r="C451" s="76" t="s">
        <v>761</v>
      </c>
      <c r="D451" s="77" t="s">
        <v>131</v>
      </c>
      <c r="E451" s="93">
        <v>3</v>
      </c>
      <c r="F451" s="79"/>
      <c r="G451" s="79"/>
      <c r="H451" s="79"/>
      <c r="I451" s="79">
        <f t="shared" si="218"/>
        <v>0</v>
      </c>
      <c r="J451" s="79">
        <f t="shared" si="219"/>
        <v>3</v>
      </c>
      <c r="K451" s="80">
        <v>18.5</v>
      </c>
      <c r="L451" s="81">
        <f t="shared" si="217"/>
        <v>23.450602035000003</v>
      </c>
      <c r="M451" s="82">
        <f t="shared" si="220"/>
        <v>0</v>
      </c>
      <c r="N451" s="82">
        <f t="shared" si="221"/>
        <v>0</v>
      </c>
      <c r="O451" s="82">
        <f t="shared" si="222"/>
        <v>0</v>
      </c>
      <c r="P451" s="80">
        <f t="shared" si="223"/>
        <v>55.5</v>
      </c>
      <c r="Q451" s="82">
        <f t="shared" si="224"/>
        <v>70.349999999999994</v>
      </c>
      <c r="R451" s="82">
        <f t="shared" si="225"/>
        <v>70.349999999999994</v>
      </c>
    </row>
    <row r="452" spans="2:18" s="34" customFormat="1" ht="23.4">
      <c r="B452" s="75" t="s">
        <v>888</v>
      </c>
      <c r="C452" s="76" t="s">
        <v>771</v>
      </c>
      <c r="D452" s="77" t="s">
        <v>131</v>
      </c>
      <c r="E452" s="93">
        <v>77</v>
      </c>
      <c r="F452" s="79"/>
      <c r="G452" s="79"/>
      <c r="H452" s="79"/>
      <c r="I452" s="79">
        <f t="shared" si="218"/>
        <v>0</v>
      </c>
      <c r="J452" s="79">
        <f t="shared" si="219"/>
        <v>77</v>
      </c>
      <c r="K452" s="80">
        <v>6.59</v>
      </c>
      <c r="L452" s="81">
        <f t="shared" si="217"/>
        <v>8.3534847248999995</v>
      </c>
      <c r="M452" s="82">
        <f t="shared" si="220"/>
        <v>0</v>
      </c>
      <c r="N452" s="82">
        <f t="shared" si="221"/>
        <v>0</v>
      </c>
      <c r="O452" s="82">
        <f t="shared" si="222"/>
        <v>0</v>
      </c>
      <c r="P452" s="80">
        <f t="shared" si="223"/>
        <v>507.43</v>
      </c>
      <c r="Q452" s="82">
        <f t="shared" si="224"/>
        <v>643.21</v>
      </c>
      <c r="R452" s="82">
        <f t="shared" si="225"/>
        <v>643.21</v>
      </c>
    </row>
    <row r="453" spans="2:18" s="34" customFormat="1" ht="13.2">
      <c r="B453" s="75" t="s">
        <v>889</v>
      </c>
      <c r="C453" s="76" t="s">
        <v>773</v>
      </c>
      <c r="D453" s="77" t="s">
        <v>131</v>
      </c>
      <c r="E453" s="93">
        <v>3</v>
      </c>
      <c r="F453" s="79"/>
      <c r="G453" s="79"/>
      <c r="H453" s="79"/>
      <c r="I453" s="79">
        <f t="shared" si="218"/>
        <v>0</v>
      </c>
      <c r="J453" s="79">
        <f t="shared" si="219"/>
        <v>3</v>
      </c>
      <c r="K453" s="80">
        <v>22.07</v>
      </c>
      <c r="L453" s="81">
        <f t="shared" si="217"/>
        <v>27.9759344277</v>
      </c>
      <c r="M453" s="82">
        <f t="shared" si="220"/>
        <v>0</v>
      </c>
      <c r="N453" s="82">
        <f t="shared" si="221"/>
        <v>0</v>
      </c>
      <c r="O453" s="82">
        <f t="shared" si="222"/>
        <v>0</v>
      </c>
      <c r="P453" s="80">
        <f t="shared" si="223"/>
        <v>66.210000000000008</v>
      </c>
      <c r="Q453" s="82">
        <f t="shared" si="224"/>
        <v>83.92</v>
      </c>
      <c r="R453" s="82">
        <f t="shared" si="225"/>
        <v>83.92</v>
      </c>
    </row>
    <row r="454" spans="2:18" s="34" customFormat="1" ht="23.4">
      <c r="B454" s="75" t="s">
        <v>890</v>
      </c>
      <c r="C454" s="88" t="s">
        <v>711</v>
      </c>
      <c r="D454" s="89" t="s">
        <v>131</v>
      </c>
      <c r="E454" s="90">
        <v>14</v>
      </c>
      <c r="F454" s="91"/>
      <c r="G454" s="91"/>
      <c r="H454" s="91"/>
      <c r="I454" s="91">
        <f t="shared" si="218"/>
        <v>0</v>
      </c>
      <c r="J454" s="91">
        <f t="shared" si="219"/>
        <v>14</v>
      </c>
      <c r="K454" s="80">
        <v>14.54</v>
      </c>
      <c r="L454" s="81">
        <f t="shared" si="217"/>
        <v>18.430905599399999</v>
      </c>
      <c r="M454" s="82">
        <f t="shared" si="220"/>
        <v>0</v>
      </c>
      <c r="N454" s="82">
        <f t="shared" si="221"/>
        <v>0</v>
      </c>
      <c r="O454" s="82">
        <f t="shared" si="222"/>
        <v>0</v>
      </c>
      <c r="P454" s="80">
        <f t="shared" si="223"/>
        <v>203.56</v>
      </c>
      <c r="Q454" s="82">
        <f t="shared" si="224"/>
        <v>258.02999999999997</v>
      </c>
      <c r="R454" s="82">
        <f t="shared" si="225"/>
        <v>258.02999999999997</v>
      </c>
    </row>
    <row r="455" spans="2:18" s="34" customFormat="1" ht="34.799999999999997">
      <c r="B455" s="75" t="s">
        <v>891</v>
      </c>
      <c r="C455" s="76" t="s">
        <v>892</v>
      </c>
      <c r="D455" s="77" t="s">
        <v>131</v>
      </c>
      <c r="E455" s="93">
        <v>91</v>
      </c>
      <c r="F455" s="79"/>
      <c r="G455" s="79"/>
      <c r="H455" s="79"/>
      <c r="I455" s="79">
        <f t="shared" si="218"/>
        <v>0</v>
      </c>
      <c r="J455" s="79">
        <f t="shared" si="219"/>
        <v>91</v>
      </c>
      <c r="K455" s="80">
        <v>22.83</v>
      </c>
      <c r="L455" s="81">
        <f t="shared" si="217"/>
        <v>28.9393105113</v>
      </c>
      <c r="M455" s="82">
        <f t="shared" si="220"/>
        <v>0</v>
      </c>
      <c r="N455" s="82">
        <f t="shared" si="221"/>
        <v>0</v>
      </c>
      <c r="O455" s="82">
        <f t="shared" si="222"/>
        <v>0</v>
      </c>
      <c r="P455" s="80">
        <f t="shared" si="223"/>
        <v>2077.5299999999997</v>
      </c>
      <c r="Q455" s="82">
        <f t="shared" si="224"/>
        <v>2633.47</v>
      </c>
      <c r="R455" s="82">
        <f t="shared" si="225"/>
        <v>2633.47</v>
      </c>
    </row>
    <row r="456" spans="2:18" s="34" customFormat="1" ht="46.2">
      <c r="B456" s="75" t="s">
        <v>893</v>
      </c>
      <c r="C456" s="76" t="s">
        <v>894</v>
      </c>
      <c r="D456" s="77" t="s">
        <v>131</v>
      </c>
      <c r="E456" s="93">
        <v>26</v>
      </c>
      <c r="F456" s="79"/>
      <c r="G456" s="79"/>
      <c r="H456" s="79"/>
      <c r="I456" s="79">
        <f t="shared" si="218"/>
        <v>0</v>
      </c>
      <c r="J456" s="79">
        <f t="shared" si="219"/>
        <v>26</v>
      </c>
      <c r="K456" s="80">
        <v>42.22</v>
      </c>
      <c r="L456" s="81">
        <f t="shared" si="217"/>
        <v>53.518076644200001</v>
      </c>
      <c r="M456" s="82">
        <f t="shared" si="220"/>
        <v>0</v>
      </c>
      <c r="N456" s="82">
        <f t="shared" si="221"/>
        <v>0</v>
      </c>
      <c r="O456" s="82">
        <f t="shared" si="222"/>
        <v>0</v>
      </c>
      <c r="P456" s="80">
        <f t="shared" si="223"/>
        <v>1097.72</v>
      </c>
      <c r="Q456" s="82">
        <f t="shared" si="224"/>
        <v>1391.46</v>
      </c>
      <c r="R456" s="82">
        <f t="shared" si="225"/>
        <v>1391.46</v>
      </c>
    </row>
    <row r="457" spans="2:18" s="34" customFormat="1" ht="13.2">
      <c r="B457" s="75" t="s">
        <v>895</v>
      </c>
      <c r="C457" s="76" t="s">
        <v>896</v>
      </c>
      <c r="D457" s="77" t="s">
        <v>131</v>
      </c>
      <c r="E457" s="93">
        <v>46</v>
      </c>
      <c r="F457" s="79"/>
      <c r="G457" s="79"/>
      <c r="H457" s="79"/>
      <c r="I457" s="79">
        <f t="shared" si="218"/>
        <v>0</v>
      </c>
      <c r="J457" s="79">
        <f t="shared" si="219"/>
        <v>46</v>
      </c>
      <c r="K457" s="80">
        <v>110</v>
      </c>
      <c r="L457" s="81">
        <f t="shared" si="217"/>
        <v>139.4360121</v>
      </c>
      <c r="M457" s="82">
        <f t="shared" si="220"/>
        <v>0</v>
      </c>
      <c r="N457" s="82">
        <f t="shared" si="221"/>
        <v>0</v>
      </c>
      <c r="O457" s="82">
        <f t="shared" si="222"/>
        <v>0</v>
      </c>
      <c r="P457" s="80">
        <f t="shared" si="223"/>
        <v>5060</v>
      </c>
      <c r="Q457" s="82">
        <f t="shared" si="224"/>
        <v>6414.05</v>
      </c>
      <c r="R457" s="82">
        <f t="shared" si="225"/>
        <v>6414.05</v>
      </c>
    </row>
    <row r="458" spans="2:18" s="34" customFormat="1" ht="34.799999999999997">
      <c r="B458" s="75" t="s">
        <v>897</v>
      </c>
      <c r="C458" s="76" t="s">
        <v>898</v>
      </c>
      <c r="D458" s="77" t="s">
        <v>131</v>
      </c>
      <c r="E458" s="93">
        <v>11</v>
      </c>
      <c r="F458" s="79"/>
      <c r="G458" s="79"/>
      <c r="H458" s="79"/>
      <c r="I458" s="79">
        <f t="shared" si="218"/>
        <v>0</v>
      </c>
      <c r="J458" s="79">
        <f t="shared" si="219"/>
        <v>11</v>
      </c>
      <c r="K458" s="80">
        <v>35.5</v>
      </c>
      <c r="L458" s="81">
        <f t="shared" si="217"/>
        <v>44.999803905</v>
      </c>
      <c r="M458" s="82">
        <f t="shared" si="220"/>
        <v>0</v>
      </c>
      <c r="N458" s="82">
        <f t="shared" si="221"/>
        <v>0</v>
      </c>
      <c r="O458" s="82">
        <f t="shared" si="222"/>
        <v>0</v>
      </c>
      <c r="P458" s="80">
        <f t="shared" si="223"/>
        <v>390.5</v>
      </c>
      <c r="Q458" s="82">
        <f t="shared" si="224"/>
        <v>494.99</v>
      </c>
      <c r="R458" s="82">
        <f t="shared" si="225"/>
        <v>494.99</v>
      </c>
    </row>
    <row r="459" spans="2:18" s="34" customFormat="1" ht="34.799999999999997">
      <c r="B459" s="75" t="s">
        <v>899</v>
      </c>
      <c r="C459" s="76" t="s">
        <v>900</v>
      </c>
      <c r="D459" s="77" t="s">
        <v>131</v>
      </c>
      <c r="E459" s="93">
        <v>12</v>
      </c>
      <c r="F459" s="79"/>
      <c r="G459" s="79"/>
      <c r="H459" s="79"/>
      <c r="I459" s="79">
        <f t="shared" si="218"/>
        <v>0</v>
      </c>
      <c r="J459" s="79">
        <f t="shared" si="219"/>
        <v>12</v>
      </c>
      <c r="K459" s="80">
        <v>37.299999999999997</v>
      </c>
      <c r="L459" s="81">
        <f t="shared" si="217"/>
        <v>47.281484102999997</v>
      </c>
      <c r="M459" s="82">
        <f t="shared" si="220"/>
        <v>0</v>
      </c>
      <c r="N459" s="82">
        <f t="shared" si="221"/>
        <v>0</v>
      </c>
      <c r="O459" s="82">
        <f t="shared" si="222"/>
        <v>0</v>
      </c>
      <c r="P459" s="80">
        <f t="shared" si="223"/>
        <v>447.59999999999997</v>
      </c>
      <c r="Q459" s="82">
        <f t="shared" si="224"/>
        <v>567.37</v>
      </c>
      <c r="R459" s="82">
        <f t="shared" si="225"/>
        <v>567.37</v>
      </c>
    </row>
    <row r="460" spans="2:18" s="34" customFormat="1" ht="34.799999999999997">
      <c r="B460" s="75" t="s">
        <v>901</v>
      </c>
      <c r="C460" s="76" t="s">
        <v>902</v>
      </c>
      <c r="D460" s="77" t="s">
        <v>131</v>
      </c>
      <c r="E460" s="93">
        <v>2</v>
      </c>
      <c r="F460" s="79"/>
      <c r="G460" s="79"/>
      <c r="H460" s="79"/>
      <c r="I460" s="79">
        <f t="shared" si="218"/>
        <v>0</v>
      </c>
      <c r="J460" s="79">
        <f t="shared" si="219"/>
        <v>2</v>
      </c>
      <c r="K460" s="80">
        <v>42.5</v>
      </c>
      <c r="L460" s="81">
        <f t="shared" si="217"/>
        <v>53.873004675000004</v>
      </c>
      <c r="M460" s="82">
        <f t="shared" si="220"/>
        <v>0</v>
      </c>
      <c r="N460" s="82">
        <f t="shared" si="221"/>
        <v>0</v>
      </c>
      <c r="O460" s="82">
        <f t="shared" si="222"/>
        <v>0</v>
      </c>
      <c r="P460" s="80">
        <f t="shared" si="223"/>
        <v>85</v>
      </c>
      <c r="Q460" s="82">
        <f t="shared" si="224"/>
        <v>107.74</v>
      </c>
      <c r="R460" s="82">
        <f t="shared" si="225"/>
        <v>107.74</v>
      </c>
    </row>
    <row r="461" spans="2:18" s="34" customFormat="1" ht="23.4">
      <c r="B461" s="75" t="s">
        <v>903</v>
      </c>
      <c r="C461" s="76" t="s">
        <v>904</v>
      </c>
      <c r="D461" s="77" t="s">
        <v>131</v>
      </c>
      <c r="E461" s="93">
        <v>6</v>
      </c>
      <c r="F461" s="79"/>
      <c r="G461" s="79"/>
      <c r="H461" s="79"/>
      <c r="I461" s="79">
        <f t="shared" si="218"/>
        <v>0</v>
      </c>
      <c r="J461" s="79">
        <f t="shared" si="219"/>
        <v>6</v>
      </c>
      <c r="K461" s="80">
        <v>68</v>
      </c>
      <c r="L461" s="81">
        <f t="shared" si="217"/>
        <v>86.196807480000004</v>
      </c>
      <c r="M461" s="82">
        <f t="shared" si="220"/>
        <v>0</v>
      </c>
      <c r="N461" s="82">
        <f t="shared" si="221"/>
        <v>0</v>
      </c>
      <c r="O461" s="82">
        <f t="shared" si="222"/>
        <v>0</v>
      </c>
      <c r="P461" s="80">
        <f t="shared" si="223"/>
        <v>408</v>
      </c>
      <c r="Q461" s="82">
        <f t="shared" si="224"/>
        <v>517.17999999999995</v>
      </c>
      <c r="R461" s="82">
        <f t="shared" si="225"/>
        <v>517.17999999999995</v>
      </c>
    </row>
    <row r="462" spans="2:18" s="34" customFormat="1" ht="34.799999999999997">
      <c r="B462" s="75" t="s">
        <v>905</v>
      </c>
      <c r="C462" s="76" t="s">
        <v>906</v>
      </c>
      <c r="D462" s="77" t="s">
        <v>131</v>
      </c>
      <c r="E462" s="93">
        <v>3</v>
      </c>
      <c r="F462" s="79"/>
      <c r="G462" s="79"/>
      <c r="H462" s="79"/>
      <c r="I462" s="79">
        <f t="shared" si="218"/>
        <v>0</v>
      </c>
      <c r="J462" s="79">
        <f t="shared" si="219"/>
        <v>3</v>
      </c>
      <c r="K462" s="80">
        <v>36.61</v>
      </c>
      <c r="L462" s="81">
        <f t="shared" si="217"/>
        <v>46.406840027100003</v>
      </c>
      <c r="M462" s="82">
        <f t="shared" si="220"/>
        <v>0</v>
      </c>
      <c r="N462" s="82">
        <f t="shared" si="221"/>
        <v>0</v>
      </c>
      <c r="O462" s="82">
        <f t="shared" si="222"/>
        <v>0</v>
      </c>
      <c r="P462" s="80">
        <f t="shared" si="223"/>
        <v>109.83</v>
      </c>
      <c r="Q462" s="82">
        <f t="shared" si="224"/>
        <v>139.22</v>
      </c>
      <c r="R462" s="82">
        <f t="shared" si="225"/>
        <v>139.22</v>
      </c>
    </row>
    <row r="463" spans="2:18" s="34" customFormat="1" ht="34.799999999999997">
      <c r="B463" s="75" t="s">
        <v>907</v>
      </c>
      <c r="C463" s="76" t="s">
        <v>908</v>
      </c>
      <c r="D463" s="77" t="s">
        <v>131</v>
      </c>
      <c r="E463" s="93">
        <v>3</v>
      </c>
      <c r="F463" s="79"/>
      <c r="G463" s="79"/>
      <c r="H463" s="79"/>
      <c r="I463" s="79">
        <f t="shared" si="218"/>
        <v>0</v>
      </c>
      <c r="J463" s="79">
        <f t="shared" si="219"/>
        <v>3</v>
      </c>
      <c r="K463" s="82">
        <v>11.81</v>
      </c>
      <c r="L463" s="81">
        <f t="shared" si="217"/>
        <v>14.970357299100002</v>
      </c>
      <c r="M463" s="82">
        <f t="shared" si="220"/>
        <v>0</v>
      </c>
      <c r="N463" s="82">
        <f t="shared" si="221"/>
        <v>0</v>
      </c>
      <c r="O463" s="82">
        <f t="shared" si="222"/>
        <v>0</v>
      </c>
      <c r="P463" s="82">
        <f t="shared" si="223"/>
        <v>35.43</v>
      </c>
      <c r="Q463" s="82">
        <f t="shared" si="224"/>
        <v>44.91</v>
      </c>
      <c r="R463" s="82">
        <f t="shared" si="225"/>
        <v>44.91</v>
      </c>
    </row>
    <row r="464" spans="2:18" s="34" customFormat="1" ht="23.4">
      <c r="B464" s="75" t="s">
        <v>909</v>
      </c>
      <c r="C464" s="76" t="s">
        <v>910</v>
      </c>
      <c r="D464" s="77" t="s">
        <v>131</v>
      </c>
      <c r="E464" s="93">
        <v>72</v>
      </c>
      <c r="F464" s="79"/>
      <c r="G464" s="79"/>
      <c r="H464" s="79"/>
      <c r="I464" s="79">
        <f t="shared" si="218"/>
        <v>0</v>
      </c>
      <c r="J464" s="79">
        <f t="shared" si="219"/>
        <v>72</v>
      </c>
      <c r="K464" s="82">
        <v>13</v>
      </c>
      <c r="L464" s="81">
        <f t="shared" si="217"/>
        <v>16.478801430000001</v>
      </c>
      <c r="M464" s="82">
        <f t="shared" si="220"/>
        <v>0</v>
      </c>
      <c r="N464" s="82">
        <f t="shared" si="221"/>
        <v>0</v>
      </c>
      <c r="O464" s="82">
        <f t="shared" si="222"/>
        <v>0</v>
      </c>
      <c r="P464" s="82">
        <f t="shared" si="223"/>
        <v>936</v>
      </c>
      <c r="Q464" s="82">
        <f t="shared" si="224"/>
        <v>1186.47</v>
      </c>
      <c r="R464" s="82">
        <f t="shared" si="225"/>
        <v>1186.47</v>
      </c>
    </row>
    <row r="465" spans="2:18" s="34" customFormat="1" ht="13.2">
      <c r="B465" s="75" t="s">
        <v>911</v>
      </c>
      <c r="C465" s="76"/>
      <c r="D465" s="77"/>
      <c r="E465" s="93"/>
      <c r="F465" s="79"/>
      <c r="G465" s="79"/>
      <c r="H465" s="79"/>
      <c r="I465" s="79">
        <f t="shared" si="218"/>
        <v>0</v>
      </c>
      <c r="J465" s="79">
        <f t="shared" si="219"/>
        <v>0</v>
      </c>
      <c r="K465" s="82"/>
      <c r="L465" s="81">
        <f t="shared" si="217"/>
        <v>0</v>
      </c>
      <c r="M465" s="82">
        <f t="shared" si="220"/>
        <v>0</v>
      </c>
      <c r="N465" s="82">
        <f t="shared" si="221"/>
        <v>0</v>
      </c>
      <c r="O465" s="82">
        <f t="shared" si="222"/>
        <v>0</v>
      </c>
      <c r="P465" s="82"/>
      <c r="Q465" s="82">
        <f t="shared" si="224"/>
        <v>0</v>
      </c>
      <c r="R465" s="82">
        <f t="shared" si="225"/>
        <v>0</v>
      </c>
    </row>
    <row r="466" spans="2:18" s="34" customFormat="1" ht="23.4">
      <c r="B466" s="75" t="s">
        <v>912</v>
      </c>
      <c r="C466" s="76" t="s">
        <v>733</v>
      </c>
      <c r="D466" s="77" t="s">
        <v>131</v>
      </c>
      <c r="E466" s="93">
        <v>8</v>
      </c>
      <c r="F466" s="79"/>
      <c r="G466" s="79"/>
      <c r="H466" s="79"/>
      <c r="I466" s="79">
        <f t="shared" si="218"/>
        <v>0</v>
      </c>
      <c r="J466" s="79">
        <f t="shared" si="219"/>
        <v>8</v>
      </c>
      <c r="K466" s="82">
        <v>3.95</v>
      </c>
      <c r="L466" s="81">
        <f t="shared" si="217"/>
        <v>5.0070204345000002</v>
      </c>
      <c r="M466" s="82">
        <f t="shared" si="220"/>
        <v>0</v>
      </c>
      <c r="N466" s="82">
        <f t="shared" si="221"/>
        <v>0</v>
      </c>
      <c r="O466" s="82">
        <f t="shared" si="222"/>
        <v>0</v>
      </c>
      <c r="P466" s="82">
        <f t="shared" ref="P466:P473" si="226">E466*K466</f>
        <v>31.6</v>
      </c>
      <c r="Q466" s="82">
        <f t="shared" si="224"/>
        <v>40.049999999999997</v>
      </c>
      <c r="R466" s="82">
        <f t="shared" si="225"/>
        <v>40.049999999999997</v>
      </c>
    </row>
    <row r="467" spans="2:18" s="34" customFormat="1" ht="23.4">
      <c r="B467" s="75" t="s">
        <v>913</v>
      </c>
      <c r="C467" s="88" t="s">
        <v>735</v>
      </c>
      <c r="D467" s="89" t="s">
        <v>131</v>
      </c>
      <c r="E467" s="90">
        <v>238</v>
      </c>
      <c r="F467" s="91"/>
      <c r="G467" s="91"/>
      <c r="H467" s="91"/>
      <c r="I467" s="91">
        <f t="shared" si="218"/>
        <v>0</v>
      </c>
      <c r="J467" s="91">
        <f t="shared" si="219"/>
        <v>238</v>
      </c>
      <c r="K467" s="80">
        <v>4.67</v>
      </c>
      <c r="L467" s="81">
        <f t="shared" si="217"/>
        <v>5.9196925137000003</v>
      </c>
      <c r="M467" s="82">
        <f t="shared" si="220"/>
        <v>0</v>
      </c>
      <c r="N467" s="82">
        <f t="shared" si="221"/>
        <v>0</v>
      </c>
      <c r="O467" s="82">
        <f t="shared" si="222"/>
        <v>0</v>
      </c>
      <c r="P467" s="80">
        <f t="shared" si="226"/>
        <v>1111.46</v>
      </c>
      <c r="Q467" s="82">
        <f t="shared" si="224"/>
        <v>1408.88</v>
      </c>
      <c r="R467" s="82">
        <f t="shared" si="225"/>
        <v>1408.88</v>
      </c>
    </row>
    <row r="468" spans="2:18" s="34" customFormat="1" ht="23.4">
      <c r="B468" s="75" t="s">
        <v>914</v>
      </c>
      <c r="C468" s="76" t="s">
        <v>739</v>
      </c>
      <c r="D468" s="77" t="s">
        <v>131</v>
      </c>
      <c r="E468" s="93">
        <v>30</v>
      </c>
      <c r="F468" s="79"/>
      <c r="G468" s="79"/>
      <c r="H468" s="79"/>
      <c r="I468" s="79">
        <f t="shared" si="218"/>
        <v>0</v>
      </c>
      <c r="J468" s="79">
        <f t="shared" si="219"/>
        <v>30</v>
      </c>
      <c r="K468" s="80">
        <v>11.5</v>
      </c>
      <c r="L468" s="81">
        <f t="shared" si="217"/>
        <v>14.577401265000001</v>
      </c>
      <c r="M468" s="82">
        <f t="shared" si="220"/>
        <v>0</v>
      </c>
      <c r="N468" s="82">
        <f t="shared" si="221"/>
        <v>0</v>
      </c>
      <c r="O468" s="82">
        <f t="shared" si="222"/>
        <v>0</v>
      </c>
      <c r="P468" s="80">
        <f t="shared" si="226"/>
        <v>345</v>
      </c>
      <c r="Q468" s="82">
        <f t="shared" si="224"/>
        <v>437.32</v>
      </c>
      <c r="R468" s="82">
        <f t="shared" si="225"/>
        <v>437.32</v>
      </c>
    </row>
    <row r="469" spans="2:18" s="34" customFormat="1" ht="23.4">
      <c r="B469" s="75" t="s">
        <v>915</v>
      </c>
      <c r="C469" s="76" t="s">
        <v>916</v>
      </c>
      <c r="D469" s="77" t="s">
        <v>131</v>
      </c>
      <c r="E469" s="93">
        <v>1</v>
      </c>
      <c r="F469" s="79"/>
      <c r="G469" s="79"/>
      <c r="H469" s="79"/>
      <c r="I469" s="79">
        <f t="shared" si="218"/>
        <v>0</v>
      </c>
      <c r="J469" s="79">
        <f t="shared" si="219"/>
        <v>1</v>
      </c>
      <c r="K469" s="80">
        <v>10.5</v>
      </c>
      <c r="L469" s="81">
        <f t="shared" si="217"/>
        <v>13.309801155000001</v>
      </c>
      <c r="M469" s="82">
        <f t="shared" si="220"/>
        <v>0</v>
      </c>
      <c r="N469" s="82">
        <f t="shared" si="221"/>
        <v>0</v>
      </c>
      <c r="O469" s="82">
        <f t="shared" si="222"/>
        <v>0</v>
      </c>
      <c r="P469" s="80">
        <f t="shared" si="226"/>
        <v>10.5</v>
      </c>
      <c r="Q469" s="82">
        <f t="shared" si="224"/>
        <v>13.3</v>
      </c>
      <c r="R469" s="82">
        <f t="shared" si="225"/>
        <v>13.3</v>
      </c>
    </row>
    <row r="470" spans="2:18" s="34" customFormat="1" ht="23.4">
      <c r="B470" s="75" t="s">
        <v>917</v>
      </c>
      <c r="C470" s="76" t="s">
        <v>918</v>
      </c>
      <c r="D470" s="77" t="s">
        <v>131</v>
      </c>
      <c r="E470" s="93">
        <v>1</v>
      </c>
      <c r="F470" s="79"/>
      <c r="G470" s="79"/>
      <c r="H470" s="79"/>
      <c r="I470" s="79">
        <f t="shared" si="218"/>
        <v>0</v>
      </c>
      <c r="J470" s="79">
        <f t="shared" si="219"/>
        <v>1</v>
      </c>
      <c r="K470" s="80">
        <v>10.14</v>
      </c>
      <c r="L470" s="81">
        <f t="shared" si="217"/>
        <v>12.853465115400001</v>
      </c>
      <c r="M470" s="82">
        <f t="shared" si="220"/>
        <v>0</v>
      </c>
      <c r="N470" s="82">
        <f t="shared" si="221"/>
        <v>0</v>
      </c>
      <c r="O470" s="82">
        <f t="shared" si="222"/>
        <v>0</v>
      </c>
      <c r="P470" s="80">
        <f t="shared" si="226"/>
        <v>10.14</v>
      </c>
      <c r="Q470" s="82">
        <f t="shared" si="224"/>
        <v>12.85</v>
      </c>
      <c r="R470" s="82">
        <f t="shared" si="225"/>
        <v>12.85</v>
      </c>
    </row>
    <row r="471" spans="2:18" s="34" customFormat="1" ht="23.4">
      <c r="B471" s="75" t="s">
        <v>919</v>
      </c>
      <c r="C471" s="88" t="s">
        <v>717</v>
      </c>
      <c r="D471" s="89" t="s">
        <v>131</v>
      </c>
      <c r="E471" s="90">
        <v>238</v>
      </c>
      <c r="F471" s="91"/>
      <c r="G471" s="91"/>
      <c r="H471" s="91"/>
      <c r="I471" s="91">
        <f t="shared" si="218"/>
        <v>0</v>
      </c>
      <c r="J471" s="91">
        <f t="shared" si="219"/>
        <v>238</v>
      </c>
      <c r="K471" s="80">
        <v>8</v>
      </c>
      <c r="L471" s="81">
        <f t="shared" si="217"/>
        <v>10.14080088</v>
      </c>
      <c r="M471" s="82">
        <f t="shared" ref="M471:M473" si="227">TRUNC(F471*L471,2)</f>
        <v>0</v>
      </c>
      <c r="N471" s="82">
        <f t="shared" si="221"/>
        <v>0</v>
      </c>
      <c r="O471" s="82">
        <f t="shared" ref="O471:O473" si="228">N471</f>
        <v>0</v>
      </c>
      <c r="P471" s="80">
        <f t="shared" si="226"/>
        <v>1904</v>
      </c>
      <c r="Q471" s="82">
        <f t="shared" si="224"/>
        <v>2413.5100000000002</v>
      </c>
      <c r="R471" s="82">
        <f t="shared" ref="R471:R473" si="229">Q471-O471</f>
        <v>2413.5100000000002</v>
      </c>
    </row>
    <row r="472" spans="2:18" s="34" customFormat="1" ht="23.4">
      <c r="B472" s="75" t="s">
        <v>920</v>
      </c>
      <c r="C472" s="88" t="s">
        <v>921</v>
      </c>
      <c r="D472" s="89" t="s">
        <v>131</v>
      </c>
      <c r="E472" s="90">
        <v>6</v>
      </c>
      <c r="F472" s="91"/>
      <c r="G472" s="91"/>
      <c r="H472" s="91"/>
      <c r="I472" s="91">
        <f t="shared" si="218"/>
        <v>0</v>
      </c>
      <c r="J472" s="91">
        <f t="shared" si="219"/>
        <v>6</v>
      </c>
      <c r="K472" s="80">
        <v>7.51</v>
      </c>
      <c r="L472" s="81">
        <f t="shared" si="217"/>
        <v>9.5196768260999995</v>
      </c>
      <c r="M472" s="82">
        <f t="shared" si="227"/>
        <v>0</v>
      </c>
      <c r="N472" s="82">
        <f t="shared" si="221"/>
        <v>0</v>
      </c>
      <c r="O472" s="82">
        <f t="shared" si="228"/>
        <v>0</v>
      </c>
      <c r="P472" s="80">
        <f t="shared" si="226"/>
        <v>45.06</v>
      </c>
      <c r="Q472" s="82">
        <f t="shared" si="224"/>
        <v>57.11</v>
      </c>
      <c r="R472" s="82">
        <f t="shared" si="229"/>
        <v>57.11</v>
      </c>
    </row>
    <row r="473" spans="2:18" s="34" customFormat="1" ht="23.4">
      <c r="B473" s="87" t="s">
        <v>922</v>
      </c>
      <c r="C473" s="88" t="s">
        <v>721</v>
      </c>
      <c r="D473" s="89" t="s">
        <v>131</v>
      </c>
      <c r="E473" s="90">
        <v>8</v>
      </c>
      <c r="F473" s="91"/>
      <c r="G473" s="91"/>
      <c r="H473" s="91"/>
      <c r="I473" s="91">
        <f t="shared" si="218"/>
        <v>0</v>
      </c>
      <c r="J473" s="91">
        <f t="shared" si="219"/>
        <v>8</v>
      </c>
      <c r="K473" s="80">
        <v>10.5</v>
      </c>
      <c r="L473" s="81">
        <f t="shared" si="217"/>
        <v>13.309801155000001</v>
      </c>
      <c r="M473" s="82">
        <f t="shared" si="227"/>
        <v>0</v>
      </c>
      <c r="N473" s="82">
        <f t="shared" si="221"/>
        <v>0</v>
      </c>
      <c r="O473" s="82">
        <f t="shared" si="228"/>
        <v>0</v>
      </c>
      <c r="P473" s="80">
        <f t="shared" si="226"/>
        <v>84</v>
      </c>
      <c r="Q473" s="82">
        <f t="shared" si="224"/>
        <v>106.47</v>
      </c>
      <c r="R473" s="82">
        <f t="shared" si="229"/>
        <v>106.47</v>
      </c>
    </row>
    <row r="474" spans="2:18" s="34" customFormat="1" ht="13.2">
      <c r="B474" s="66" t="s">
        <v>923</v>
      </c>
      <c r="C474" s="67" t="s">
        <v>924</v>
      </c>
      <c r="D474" s="68"/>
      <c r="E474" s="69"/>
      <c r="F474" s="70"/>
      <c r="G474" s="70"/>
      <c r="H474" s="70"/>
      <c r="I474" s="70">
        <f t="shared" si="218"/>
        <v>0</v>
      </c>
      <c r="J474" s="70">
        <f t="shared" si="219"/>
        <v>0</v>
      </c>
      <c r="K474" s="71"/>
      <c r="L474" s="71">
        <f t="shared" si="217"/>
        <v>0</v>
      </c>
      <c r="M474" s="73">
        <f t="shared" ref="M474:R474" si="230">SUM(M475:M480)</f>
        <v>0</v>
      </c>
      <c r="N474" s="73">
        <f t="shared" si="230"/>
        <v>0</v>
      </c>
      <c r="O474" s="73">
        <f t="shared" si="230"/>
        <v>0</v>
      </c>
      <c r="P474" s="73">
        <f t="shared" si="230"/>
        <v>177593</v>
      </c>
      <c r="Q474" s="73">
        <f t="shared" si="230"/>
        <v>225116.89</v>
      </c>
      <c r="R474" s="73">
        <f t="shared" si="230"/>
        <v>225116.89</v>
      </c>
    </row>
    <row r="475" spans="2:18" s="34" customFormat="1" ht="23.4">
      <c r="B475" s="87" t="s">
        <v>925</v>
      </c>
      <c r="C475" s="88" t="s">
        <v>926</v>
      </c>
      <c r="D475" s="89" t="s">
        <v>131</v>
      </c>
      <c r="E475" s="90">
        <v>1</v>
      </c>
      <c r="F475" s="91"/>
      <c r="G475" s="91"/>
      <c r="H475" s="91"/>
      <c r="I475" s="91">
        <f t="shared" si="218"/>
        <v>0</v>
      </c>
      <c r="J475" s="91">
        <f t="shared" si="219"/>
        <v>1</v>
      </c>
      <c r="K475" s="80">
        <v>40</v>
      </c>
      <c r="L475" s="81">
        <f t="shared" si="217"/>
        <v>50.704004400000002</v>
      </c>
      <c r="M475" s="82">
        <f t="shared" ref="M475:M480" si="231">TRUNC(F475*L475,2)</f>
        <v>0</v>
      </c>
      <c r="N475" s="82">
        <f t="shared" ref="N475:N480" si="232">TRUNC(G475*L475,2)</f>
        <v>0</v>
      </c>
      <c r="O475" s="82">
        <f t="shared" ref="O475:O480" si="233">N475</f>
        <v>0</v>
      </c>
      <c r="P475" s="80">
        <f t="shared" ref="P475:P480" si="234">E475*K475</f>
        <v>40</v>
      </c>
      <c r="Q475" s="82">
        <f t="shared" ref="Q475:Q480" si="235">TRUNC(E475*L475,2)</f>
        <v>50.7</v>
      </c>
      <c r="R475" s="82">
        <f t="shared" ref="R475:R480" si="236">Q475-O475</f>
        <v>50.7</v>
      </c>
    </row>
    <row r="476" spans="2:18" s="34" customFormat="1" ht="23.4">
      <c r="B476" s="87" t="s">
        <v>927</v>
      </c>
      <c r="C476" s="88" t="s">
        <v>928</v>
      </c>
      <c r="D476" s="89" t="s">
        <v>131</v>
      </c>
      <c r="E476" s="90">
        <v>69</v>
      </c>
      <c r="F476" s="91"/>
      <c r="G476" s="91"/>
      <c r="H476" s="91"/>
      <c r="I476" s="91">
        <f t="shared" si="218"/>
        <v>0</v>
      </c>
      <c r="J476" s="91">
        <f t="shared" si="219"/>
        <v>69</v>
      </c>
      <c r="K476" s="80">
        <v>62</v>
      </c>
      <c r="L476" s="81">
        <f t="shared" si="217"/>
        <v>78.591206819999996</v>
      </c>
      <c r="M476" s="82">
        <f t="shared" si="231"/>
        <v>0</v>
      </c>
      <c r="N476" s="82">
        <f t="shared" si="232"/>
        <v>0</v>
      </c>
      <c r="O476" s="82">
        <f t="shared" si="233"/>
        <v>0</v>
      </c>
      <c r="P476" s="80">
        <f t="shared" si="234"/>
        <v>4278</v>
      </c>
      <c r="Q476" s="82">
        <f t="shared" si="235"/>
        <v>5422.79</v>
      </c>
      <c r="R476" s="82">
        <f t="shared" si="236"/>
        <v>5422.79</v>
      </c>
    </row>
    <row r="477" spans="2:18" s="34" customFormat="1" ht="34.799999999999997">
      <c r="B477" s="87" t="s">
        <v>929</v>
      </c>
      <c r="C477" s="88" t="s">
        <v>930</v>
      </c>
      <c r="D477" s="89" t="s">
        <v>131</v>
      </c>
      <c r="E477" s="90">
        <v>3</v>
      </c>
      <c r="F477" s="91"/>
      <c r="G477" s="91"/>
      <c r="H477" s="91"/>
      <c r="I477" s="91">
        <f t="shared" si="218"/>
        <v>0</v>
      </c>
      <c r="J477" s="91">
        <f t="shared" si="219"/>
        <v>3</v>
      </c>
      <c r="K477" s="80">
        <v>25</v>
      </c>
      <c r="L477" s="81">
        <f t="shared" ref="L477:L540" si="237">K477*(1+$T$26)</f>
        <v>31.690002750000001</v>
      </c>
      <c r="M477" s="82">
        <f t="shared" si="231"/>
        <v>0</v>
      </c>
      <c r="N477" s="82">
        <f t="shared" si="232"/>
        <v>0</v>
      </c>
      <c r="O477" s="82">
        <f t="shared" si="233"/>
        <v>0</v>
      </c>
      <c r="P477" s="80">
        <f t="shared" si="234"/>
        <v>75</v>
      </c>
      <c r="Q477" s="82">
        <f t="shared" si="235"/>
        <v>95.07</v>
      </c>
      <c r="R477" s="82">
        <f t="shared" si="236"/>
        <v>95.07</v>
      </c>
    </row>
    <row r="478" spans="2:18" s="34" customFormat="1" ht="23.4">
      <c r="B478" s="87" t="s">
        <v>931</v>
      </c>
      <c r="C478" s="88" t="s">
        <v>932</v>
      </c>
      <c r="D478" s="89" t="s">
        <v>131</v>
      </c>
      <c r="E478" s="90">
        <v>2</v>
      </c>
      <c r="F478" s="91"/>
      <c r="G478" s="91"/>
      <c r="H478" s="91"/>
      <c r="I478" s="91">
        <f t="shared" si="218"/>
        <v>0</v>
      </c>
      <c r="J478" s="91">
        <f t="shared" si="219"/>
        <v>2</v>
      </c>
      <c r="K478" s="80">
        <v>2100</v>
      </c>
      <c r="L478" s="81">
        <f t="shared" si="237"/>
        <v>2661.960231</v>
      </c>
      <c r="M478" s="82">
        <f t="shared" si="231"/>
        <v>0</v>
      </c>
      <c r="N478" s="82">
        <f t="shared" si="232"/>
        <v>0</v>
      </c>
      <c r="O478" s="82">
        <f t="shared" si="233"/>
        <v>0</v>
      </c>
      <c r="P478" s="80">
        <f t="shared" si="234"/>
        <v>4200</v>
      </c>
      <c r="Q478" s="82">
        <f t="shared" si="235"/>
        <v>5323.92</v>
      </c>
      <c r="R478" s="82">
        <f t="shared" si="236"/>
        <v>5323.92</v>
      </c>
    </row>
    <row r="479" spans="2:18" s="34" customFormat="1" ht="23.4">
      <c r="B479" s="87" t="s">
        <v>933</v>
      </c>
      <c r="C479" s="88" t="s">
        <v>934</v>
      </c>
      <c r="D479" s="89" t="s">
        <v>131</v>
      </c>
      <c r="E479" s="90">
        <v>6</v>
      </c>
      <c r="F479" s="91"/>
      <c r="G479" s="91"/>
      <c r="H479" s="91"/>
      <c r="I479" s="91">
        <f t="shared" ref="I479:I542" si="238">SUM(G479:H479)</f>
        <v>0</v>
      </c>
      <c r="J479" s="91">
        <f t="shared" ref="J479:J542" si="239">E479-I479</f>
        <v>6</v>
      </c>
      <c r="K479" s="80">
        <v>9000</v>
      </c>
      <c r="L479" s="81">
        <f t="shared" si="237"/>
        <v>11408.40099</v>
      </c>
      <c r="M479" s="82">
        <f t="shared" si="231"/>
        <v>0</v>
      </c>
      <c r="N479" s="82">
        <f t="shared" si="232"/>
        <v>0</v>
      </c>
      <c r="O479" s="82">
        <f t="shared" si="233"/>
        <v>0</v>
      </c>
      <c r="P479" s="80">
        <f t="shared" si="234"/>
        <v>54000</v>
      </c>
      <c r="Q479" s="82">
        <f t="shared" si="235"/>
        <v>68450.399999999994</v>
      </c>
      <c r="R479" s="82">
        <f t="shared" si="236"/>
        <v>68450.399999999994</v>
      </c>
    </row>
    <row r="480" spans="2:18" s="34" customFormat="1" ht="23.4">
      <c r="B480" s="87" t="s">
        <v>935</v>
      </c>
      <c r="C480" s="88" t="s">
        <v>936</v>
      </c>
      <c r="D480" s="89" t="s">
        <v>131</v>
      </c>
      <c r="E480" s="90">
        <v>1</v>
      </c>
      <c r="F480" s="91"/>
      <c r="G480" s="91"/>
      <c r="H480" s="91"/>
      <c r="I480" s="91">
        <f t="shared" si="238"/>
        <v>0</v>
      </c>
      <c r="J480" s="91">
        <f t="shared" si="239"/>
        <v>1</v>
      </c>
      <c r="K480" s="80">
        <v>115000</v>
      </c>
      <c r="L480" s="81">
        <f t="shared" si="237"/>
        <v>145774.01265000002</v>
      </c>
      <c r="M480" s="82">
        <f t="shared" si="231"/>
        <v>0</v>
      </c>
      <c r="N480" s="82">
        <f t="shared" si="232"/>
        <v>0</v>
      </c>
      <c r="O480" s="82">
        <f t="shared" si="233"/>
        <v>0</v>
      </c>
      <c r="P480" s="80">
        <f t="shared" si="234"/>
        <v>115000</v>
      </c>
      <c r="Q480" s="82">
        <f t="shared" si="235"/>
        <v>145774.01</v>
      </c>
      <c r="R480" s="82">
        <f t="shared" si="236"/>
        <v>145774.01</v>
      </c>
    </row>
    <row r="481" spans="2:18" s="34" customFormat="1" ht="13.2">
      <c r="B481" s="60" t="s">
        <v>937</v>
      </c>
      <c r="C481" s="61" t="s">
        <v>938</v>
      </c>
      <c r="D481" s="60"/>
      <c r="E481" s="62"/>
      <c r="F481" s="63"/>
      <c r="G481" s="63"/>
      <c r="H481" s="63"/>
      <c r="I481" s="63">
        <f t="shared" si="238"/>
        <v>0</v>
      </c>
      <c r="J481" s="63">
        <f t="shared" si="239"/>
        <v>0</v>
      </c>
      <c r="K481" s="63"/>
      <c r="L481" s="63">
        <f t="shared" si="237"/>
        <v>0</v>
      </c>
      <c r="M481" s="63">
        <f t="shared" ref="M481:R481" si="240">SUM(M482,M487)</f>
        <v>0</v>
      </c>
      <c r="N481" s="63">
        <f t="shared" si="240"/>
        <v>0</v>
      </c>
      <c r="O481" s="63">
        <f t="shared" si="240"/>
        <v>0</v>
      </c>
      <c r="P481" s="63">
        <f t="shared" si="240"/>
        <v>198555.35149999999</v>
      </c>
      <c r="Q481" s="63">
        <f t="shared" si="240"/>
        <v>251688.67</v>
      </c>
      <c r="R481" s="63">
        <f t="shared" si="240"/>
        <v>251688.67</v>
      </c>
    </row>
    <row r="482" spans="2:18" s="34" customFormat="1" ht="13.2">
      <c r="B482" s="66" t="s">
        <v>939</v>
      </c>
      <c r="C482" s="67" t="s">
        <v>940</v>
      </c>
      <c r="D482" s="68"/>
      <c r="E482" s="69"/>
      <c r="F482" s="70"/>
      <c r="G482" s="70"/>
      <c r="H482" s="70"/>
      <c r="I482" s="70">
        <f t="shared" si="238"/>
        <v>0</v>
      </c>
      <c r="J482" s="70">
        <f t="shared" si="239"/>
        <v>0</v>
      </c>
      <c r="K482" s="71"/>
      <c r="L482" s="71">
        <f t="shared" si="237"/>
        <v>0</v>
      </c>
      <c r="M482" s="73">
        <f t="shared" ref="M482:R482" si="241">SUM(M483:M486)</f>
        <v>0</v>
      </c>
      <c r="N482" s="73">
        <f t="shared" si="241"/>
        <v>0</v>
      </c>
      <c r="O482" s="73">
        <f t="shared" si="241"/>
        <v>0</v>
      </c>
      <c r="P482" s="73">
        <f t="shared" si="241"/>
        <v>157288.71</v>
      </c>
      <c r="Q482" s="73">
        <f t="shared" si="241"/>
        <v>199379.17</v>
      </c>
      <c r="R482" s="73">
        <f t="shared" si="241"/>
        <v>199379.17</v>
      </c>
    </row>
    <row r="483" spans="2:18" s="34" customFormat="1" ht="34.799999999999997">
      <c r="B483" s="75" t="s">
        <v>941</v>
      </c>
      <c r="C483" s="76" t="s">
        <v>942</v>
      </c>
      <c r="D483" s="77" t="s">
        <v>82</v>
      </c>
      <c r="E483" s="93">
        <v>546.20000000000005</v>
      </c>
      <c r="F483" s="79"/>
      <c r="G483" s="79"/>
      <c r="H483" s="79"/>
      <c r="I483" s="79">
        <f t="shared" si="238"/>
        <v>0</v>
      </c>
      <c r="J483" s="79">
        <f t="shared" si="239"/>
        <v>546.20000000000005</v>
      </c>
      <c r="K483" s="84">
        <v>71.55</v>
      </c>
      <c r="L483" s="81">
        <f t="shared" si="237"/>
        <v>90.696787870500003</v>
      </c>
      <c r="M483" s="82">
        <f>TRUNC(F483*L483,2)</f>
        <v>0</v>
      </c>
      <c r="N483" s="82">
        <f>TRUNC(G483*L483,2)</f>
        <v>0</v>
      </c>
      <c r="O483" s="82">
        <f>N483</f>
        <v>0</v>
      </c>
      <c r="P483" s="80">
        <f>E483*K483</f>
        <v>39080.61</v>
      </c>
      <c r="Q483" s="82">
        <f>TRUNC(E483*L483,2)</f>
        <v>49538.58</v>
      </c>
      <c r="R483" s="82">
        <f>Q483-O483</f>
        <v>49538.58</v>
      </c>
    </row>
    <row r="484" spans="2:18" s="34" customFormat="1" ht="34.799999999999997">
      <c r="B484" s="75" t="s">
        <v>943</v>
      </c>
      <c r="C484" s="76" t="s">
        <v>944</v>
      </c>
      <c r="D484" s="77" t="s">
        <v>124</v>
      </c>
      <c r="E484" s="93">
        <v>314</v>
      </c>
      <c r="F484" s="79"/>
      <c r="G484" s="79"/>
      <c r="H484" s="79"/>
      <c r="I484" s="79">
        <f t="shared" si="238"/>
        <v>0</v>
      </c>
      <c r="J484" s="79">
        <f t="shared" si="239"/>
        <v>314</v>
      </c>
      <c r="K484" s="84">
        <v>120.15</v>
      </c>
      <c r="L484" s="81">
        <f t="shared" si="237"/>
        <v>152.30215321650002</v>
      </c>
      <c r="M484" s="82">
        <f>TRUNC(F484*L484,2)</f>
        <v>0</v>
      </c>
      <c r="N484" s="82">
        <f>TRUNC(G484*L484,2)</f>
        <v>0</v>
      </c>
      <c r="O484" s="82">
        <f>N484</f>
        <v>0</v>
      </c>
      <c r="P484" s="80">
        <f>E484*K484</f>
        <v>37727.1</v>
      </c>
      <c r="Q484" s="82">
        <f>TRUNC(E484*L484,2)</f>
        <v>47822.87</v>
      </c>
      <c r="R484" s="82">
        <f>Q484-O484</f>
        <v>47822.87</v>
      </c>
    </row>
    <row r="485" spans="2:18" s="34" customFormat="1" ht="34.799999999999997">
      <c r="B485" s="75" t="s">
        <v>945</v>
      </c>
      <c r="C485" s="76" t="s">
        <v>946</v>
      </c>
      <c r="D485" s="77" t="s">
        <v>82</v>
      </c>
      <c r="E485" s="78">
        <v>36.700000000000003</v>
      </c>
      <c r="F485" s="79"/>
      <c r="G485" s="79"/>
      <c r="H485" s="79"/>
      <c r="I485" s="79">
        <f t="shared" si="238"/>
        <v>0</v>
      </c>
      <c r="J485" s="79">
        <f t="shared" si="239"/>
        <v>36.700000000000003</v>
      </c>
      <c r="K485" s="84">
        <v>149.85</v>
      </c>
      <c r="L485" s="81">
        <f t="shared" si="237"/>
        <v>189.94987648349999</v>
      </c>
      <c r="M485" s="82">
        <f>TRUNC(F485*L485,2)</f>
        <v>0</v>
      </c>
      <c r="N485" s="82">
        <f>TRUNC(G485*L485,2)</f>
        <v>0</v>
      </c>
      <c r="O485" s="82">
        <f>N485</f>
        <v>0</v>
      </c>
      <c r="P485" s="80">
        <f>E485*K485</f>
        <v>5499.4949999999999</v>
      </c>
      <c r="Q485" s="82">
        <f>TRUNC(E485*L485,2)</f>
        <v>6971.16</v>
      </c>
      <c r="R485" s="82">
        <f>Q485-O485</f>
        <v>6971.16</v>
      </c>
    </row>
    <row r="486" spans="2:18" s="34" customFormat="1" ht="34.799999999999997">
      <c r="B486" s="75" t="s">
        <v>947</v>
      </c>
      <c r="C486" s="76" t="s">
        <v>948</v>
      </c>
      <c r="D486" s="77" t="s">
        <v>82</v>
      </c>
      <c r="E486" s="93">
        <v>180.5</v>
      </c>
      <c r="F486" s="79"/>
      <c r="G486" s="79"/>
      <c r="H486" s="79"/>
      <c r="I486" s="79">
        <f t="shared" si="238"/>
        <v>0</v>
      </c>
      <c r="J486" s="79">
        <f t="shared" si="239"/>
        <v>180.5</v>
      </c>
      <c r="K486" s="84">
        <v>415.41</v>
      </c>
      <c r="L486" s="81">
        <f t="shared" si="237"/>
        <v>526.57376169510007</v>
      </c>
      <c r="M486" s="82">
        <f>TRUNC(F486*L486,2)</f>
        <v>0</v>
      </c>
      <c r="N486" s="82">
        <f>TRUNC(G486*L486,2)</f>
        <v>0</v>
      </c>
      <c r="O486" s="82">
        <f>N486</f>
        <v>0</v>
      </c>
      <c r="P486" s="80">
        <f>E486*K486</f>
        <v>74981.505000000005</v>
      </c>
      <c r="Q486" s="82">
        <f>TRUNC(E486*L486,2)</f>
        <v>95046.56</v>
      </c>
      <c r="R486" s="82">
        <f>Q486-O486</f>
        <v>95046.56</v>
      </c>
    </row>
    <row r="487" spans="2:18" s="34" customFormat="1" ht="13.2">
      <c r="B487" s="66" t="s">
        <v>949</v>
      </c>
      <c r="C487" s="67" t="s">
        <v>950</v>
      </c>
      <c r="D487" s="68"/>
      <c r="E487" s="69"/>
      <c r="F487" s="70"/>
      <c r="G487" s="70"/>
      <c r="H487" s="70"/>
      <c r="I487" s="70">
        <f t="shared" si="238"/>
        <v>0</v>
      </c>
      <c r="J487" s="70">
        <f t="shared" si="239"/>
        <v>0</v>
      </c>
      <c r="K487" s="71"/>
      <c r="L487" s="71">
        <f t="shared" si="237"/>
        <v>0</v>
      </c>
      <c r="M487" s="73">
        <f t="shared" ref="M487:R487" si="242">SUM(M488:M506)</f>
        <v>0</v>
      </c>
      <c r="N487" s="73">
        <f t="shared" si="242"/>
        <v>0</v>
      </c>
      <c r="O487" s="73">
        <f t="shared" si="242"/>
        <v>0</v>
      </c>
      <c r="P487" s="73">
        <f t="shared" si="242"/>
        <v>41266.641499999998</v>
      </c>
      <c r="Q487" s="73">
        <f t="shared" si="242"/>
        <v>52309.5</v>
      </c>
      <c r="R487" s="73">
        <f t="shared" si="242"/>
        <v>52309.5</v>
      </c>
    </row>
    <row r="488" spans="2:18" s="34" customFormat="1" ht="34.799999999999997">
      <c r="B488" s="75" t="s">
        <v>951</v>
      </c>
      <c r="C488" s="76" t="s">
        <v>952</v>
      </c>
      <c r="D488" s="77" t="s">
        <v>131</v>
      </c>
      <c r="E488" s="78">
        <v>362</v>
      </c>
      <c r="F488" s="79"/>
      <c r="G488" s="79"/>
      <c r="H488" s="79"/>
      <c r="I488" s="79">
        <f t="shared" si="238"/>
        <v>0</v>
      </c>
      <c r="J488" s="79">
        <f t="shared" si="239"/>
        <v>362</v>
      </c>
      <c r="K488" s="84">
        <v>5.6295000000000002</v>
      </c>
      <c r="L488" s="81">
        <f t="shared" si="237"/>
        <v>7.1359548192450006</v>
      </c>
      <c r="M488" s="82">
        <f t="shared" ref="M488:M506" si="243">TRUNC(F488*L488,2)</f>
        <v>0</v>
      </c>
      <c r="N488" s="82">
        <f t="shared" ref="N488:N506" si="244">TRUNC(G488*L488,2)</f>
        <v>0</v>
      </c>
      <c r="O488" s="82">
        <f t="shared" ref="O488:O506" si="245">N488</f>
        <v>0</v>
      </c>
      <c r="P488" s="80">
        <f t="shared" ref="P488:P506" si="246">E488*K488</f>
        <v>2037.8790000000001</v>
      </c>
      <c r="Q488" s="82">
        <f t="shared" ref="Q488:Q506" si="247">TRUNC(E488*L488,2)</f>
        <v>2583.21</v>
      </c>
      <c r="R488" s="82">
        <f t="shared" ref="R488:R506" si="248">Q488-O488</f>
        <v>2583.21</v>
      </c>
    </row>
    <row r="489" spans="2:18" s="34" customFormat="1" ht="34.799999999999997">
      <c r="B489" s="75" t="s">
        <v>953</v>
      </c>
      <c r="C489" s="76" t="s">
        <v>954</v>
      </c>
      <c r="D489" s="77" t="s">
        <v>131</v>
      </c>
      <c r="E489" s="78">
        <v>41</v>
      </c>
      <c r="F489" s="79"/>
      <c r="G489" s="79"/>
      <c r="H489" s="79"/>
      <c r="I489" s="79">
        <f t="shared" si="238"/>
        <v>0</v>
      </c>
      <c r="J489" s="79">
        <f t="shared" si="239"/>
        <v>41</v>
      </c>
      <c r="K489" s="84">
        <v>12.771000000000001</v>
      </c>
      <c r="L489" s="81">
        <f t="shared" si="237"/>
        <v>16.188521004810003</v>
      </c>
      <c r="M489" s="82">
        <f t="shared" si="243"/>
        <v>0</v>
      </c>
      <c r="N489" s="82">
        <f t="shared" si="244"/>
        <v>0</v>
      </c>
      <c r="O489" s="82">
        <f t="shared" si="245"/>
        <v>0</v>
      </c>
      <c r="P489" s="80">
        <f t="shared" si="246"/>
        <v>523.61099999999999</v>
      </c>
      <c r="Q489" s="82">
        <f t="shared" si="247"/>
        <v>663.72</v>
      </c>
      <c r="R489" s="82">
        <f t="shared" si="248"/>
        <v>663.72</v>
      </c>
    </row>
    <row r="490" spans="2:18" s="34" customFormat="1" ht="34.799999999999997">
      <c r="B490" s="75" t="s">
        <v>955</v>
      </c>
      <c r="C490" s="76" t="s">
        <v>956</v>
      </c>
      <c r="D490" s="77" t="s">
        <v>131</v>
      </c>
      <c r="E490" s="78">
        <v>4</v>
      </c>
      <c r="F490" s="79"/>
      <c r="G490" s="79"/>
      <c r="H490" s="79"/>
      <c r="I490" s="79">
        <f t="shared" si="238"/>
        <v>0</v>
      </c>
      <c r="J490" s="79">
        <f t="shared" si="239"/>
        <v>4</v>
      </c>
      <c r="K490" s="84">
        <v>20.358000000000001</v>
      </c>
      <c r="L490" s="81">
        <f t="shared" si="237"/>
        <v>25.805803039380002</v>
      </c>
      <c r="M490" s="82">
        <f t="shared" si="243"/>
        <v>0</v>
      </c>
      <c r="N490" s="82">
        <f t="shared" si="244"/>
        <v>0</v>
      </c>
      <c r="O490" s="82">
        <f t="shared" si="245"/>
        <v>0</v>
      </c>
      <c r="P490" s="80">
        <f t="shared" si="246"/>
        <v>81.432000000000002</v>
      </c>
      <c r="Q490" s="82">
        <f t="shared" si="247"/>
        <v>103.22</v>
      </c>
      <c r="R490" s="82">
        <f t="shared" si="248"/>
        <v>103.22</v>
      </c>
    </row>
    <row r="491" spans="2:18" s="34" customFormat="1" ht="34.799999999999997">
      <c r="B491" s="75" t="s">
        <v>957</v>
      </c>
      <c r="C491" s="76" t="s">
        <v>958</v>
      </c>
      <c r="D491" s="77" t="s">
        <v>131</v>
      </c>
      <c r="E491" s="78">
        <v>12</v>
      </c>
      <c r="F491" s="79"/>
      <c r="G491" s="79"/>
      <c r="H491" s="79"/>
      <c r="I491" s="79">
        <f t="shared" si="238"/>
        <v>0</v>
      </c>
      <c r="J491" s="79">
        <f t="shared" si="239"/>
        <v>12</v>
      </c>
      <c r="K491" s="84">
        <v>68.418000000000006</v>
      </c>
      <c r="L491" s="81">
        <f t="shared" si="237"/>
        <v>86.726664325980011</v>
      </c>
      <c r="M491" s="82">
        <f t="shared" si="243"/>
        <v>0</v>
      </c>
      <c r="N491" s="82">
        <f t="shared" si="244"/>
        <v>0</v>
      </c>
      <c r="O491" s="82">
        <f t="shared" si="245"/>
        <v>0</v>
      </c>
      <c r="P491" s="80">
        <f t="shared" si="246"/>
        <v>821.01600000000008</v>
      </c>
      <c r="Q491" s="82">
        <f t="shared" si="247"/>
        <v>1040.71</v>
      </c>
      <c r="R491" s="82">
        <f t="shared" si="248"/>
        <v>1040.71</v>
      </c>
    </row>
    <row r="492" spans="2:18" s="34" customFormat="1" ht="34.799999999999997">
      <c r="B492" s="75" t="s">
        <v>959</v>
      </c>
      <c r="C492" s="76" t="s">
        <v>960</v>
      </c>
      <c r="D492" s="77" t="s">
        <v>131</v>
      </c>
      <c r="E492" s="78">
        <v>106</v>
      </c>
      <c r="F492" s="79"/>
      <c r="G492" s="79"/>
      <c r="H492" s="79"/>
      <c r="I492" s="79">
        <f t="shared" si="238"/>
        <v>0</v>
      </c>
      <c r="J492" s="79">
        <f t="shared" si="239"/>
        <v>106</v>
      </c>
      <c r="K492" s="84">
        <v>20.52</v>
      </c>
      <c r="L492" s="81">
        <f t="shared" si="237"/>
        <v>26.011154257200001</v>
      </c>
      <c r="M492" s="82">
        <f t="shared" si="243"/>
        <v>0</v>
      </c>
      <c r="N492" s="82">
        <f t="shared" si="244"/>
        <v>0</v>
      </c>
      <c r="O492" s="82">
        <f t="shared" si="245"/>
        <v>0</v>
      </c>
      <c r="P492" s="80">
        <f t="shared" si="246"/>
        <v>2175.12</v>
      </c>
      <c r="Q492" s="82">
        <f t="shared" si="247"/>
        <v>2757.18</v>
      </c>
      <c r="R492" s="82">
        <f t="shared" si="248"/>
        <v>2757.18</v>
      </c>
    </row>
    <row r="493" spans="2:18" s="34" customFormat="1" ht="34.799999999999997">
      <c r="B493" s="75" t="s">
        <v>961</v>
      </c>
      <c r="C493" s="76" t="s">
        <v>962</v>
      </c>
      <c r="D493" s="77" t="s">
        <v>131</v>
      </c>
      <c r="E493" s="78">
        <v>14</v>
      </c>
      <c r="F493" s="79"/>
      <c r="G493" s="79"/>
      <c r="H493" s="79"/>
      <c r="I493" s="79">
        <f t="shared" si="238"/>
        <v>0</v>
      </c>
      <c r="J493" s="79">
        <f t="shared" si="239"/>
        <v>14</v>
      </c>
      <c r="K493" s="84">
        <v>11.4885</v>
      </c>
      <c r="L493" s="81">
        <f t="shared" si="237"/>
        <v>14.562823863735002</v>
      </c>
      <c r="M493" s="82">
        <f t="shared" si="243"/>
        <v>0</v>
      </c>
      <c r="N493" s="82">
        <f t="shared" si="244"/>
        <v>0</v>
      </c>
      <c r="O493" s="82">
        <f t="shared" si="245"/>
        <v>0</v>
      </c>
      <c r="P493" s="80">
        <f t="shared" si="246"/>
        <v>160.839</v>
      </c>
      <c r="Q493" s="82">
        <f t="shared" si="247"/>
        <v>203.87</v>
      </c>
      <c r="R493" s="82">
        <f t="shared" si="248"/>
        <v>203.87</v>
      </c>
    </row>
    <row r="494" spans="2:18" s="34" customFormat="1" ht="34.799999999999997">
      <c r="B494" s="75" t="s">
        <v>963</v>
      </c>
      <c r="C494" s="76" t="s">
        <v>964</v>
      </c>
      <c r="D494" s="77" t="s">
        <v>131</v>
      </c>
      <c r="E494" s="78">
        <v>6</v>
      </c>
      <c r="F494" s="79"/>
      <c r="G494" s="79"/>
      <c r="H494" s="79"/>
      <c r="I494" s="79">
        <f t="shared" si="238"/>
        <v>0</v>
      </c>
      <c r="J494" s="79">
        <f t="shared" si="239"/>
        <v>6</v>
      </c>
      <c r="K494" s="84">
        <v>13.432499999999999</v>
      </c>
      <c r="L494" s="81">
        <f t="shared" si="237"/>
        <v>17.027038477575001</v>
      </c>
      <c r="M494" s="82">
        <f t="shared" si="243"/>
        <v>0</v>
      </c>
      <c r="N494" s="82">
        <f t="shared" si="244"/>
        <v>0</v>
      </c>
      <c r="O494" s="82">
        <f t="shared" si="245"/>
        <v>0</v>
      </c>
      <c r="P494" s="80">
        <f t="shared" si="246"/>
        <v>80.594999999999999</v>
      </c>
      <c r="Q494" s="82">
        <f t="shared" si="247"/>
        <v>102.16</v>
      </c>
      <c r="R494" s="82">
        <f t="shared" si="248"/>
        <v>102.16</v>
      </c>
    </row>
    <row r="495" spans="2:18" s="34" customFormat="1" ht="23.4">
      <c r="B495" s="75" t="s">
        <v>965</v>
      </c>
      <c r="C495" s="76" t="s">
        <v>966</v>
      </c>
      <c r="D495" s="77" t="s">
        <v>131</v>
      </c>
      <c r="E495" s="78">
        <v>3</v>
      </c>
      <c r="F495" s="79"/>
      <c r="G495" s="79"/>
      <c r="H495" s="79"/>
      <c r="I495" s="79">
        <f t="shared" si="238"/>
        <v>0</v>
      </c>
      <c r="J495" s="79">
        <f t="shared" si="239"/>
        <v>3</v>
      </c>
      <c r="K495" s="84">
        <v>42.214500000000001</v>
      </c>
      <c r="L495" s="81">
        <f t="shared" si="237"/>
        <v>53.511104843595007</v>
      </c>
      <c r="M495" s="82">
        <f t="shared" si="243"/>
        <v>0</v>
      </c>
      <c r="N495" s="82">
        <f t="shared" si="244"/>
        <v>0</v>
      </c>
      <c r="O495" s="82">
        <f t="shared" si="245"/>
        <v>0</v>
      </c>
      <c r="P495" s="80">
        <f t="shared" si="246"/>
        <v>126.6435</v>
      </c>
      <c r="Q495" s="82">
        <f t="shared" si="247"/>
        <v>160.53</v>
      </c>
      <c r="R495" s="82">
        <f t="shared" si="248"/>
        <v>160.53</v>
      </c>
    </row>
    <row r="496" spans="2:18" s="34" customFormat="1" ht="34.799999999999997">
      <c r="B496" s="75" t="s">
        <v>967</v>
      </c>
      <c r="C496" s="76" t="s">
        <v>968</v>
      </c>
      <c r="D496" s="77" t="s">
        <v>131</v>
      </c>
      <c r="E496" s="78">
        <v>51</v>
      </c>
      <c r="F496" s="79"/>
      <c r="G496" s="79"/>
      <c r="H496" s="79"/>
      <c r="I496" s="79">
        <f t="shared" si="238"/>
        <v>0</v>
      </c>
      <c r="J496" s="79">
        <f t="shared" si="239"/>
        <v>51</v>
      </c>
      <c r="K496" s="84">
        <v>15.1335</v>
      </c>
      <c r="L496" s="81">
        <f t="shared" si="237"/>
        <v>19.183226264685</v>
      </c>
      <c r="M496" s="82">
        <f t="shared" si="243"/>
        <v>0</v>
      </c>
      <c r="N496" s="82">
        <f t="shared" si="244"/>
        <v>0</v>
      </c>
      <c r="O496" s="82">
        <f t="shared" si="245"/>
        <v>0</v>
      </c>
      <c r="P496" s="80">
        <f t="shared" si="246"/>
        <v>771.80849999999998</v>
      </c>
      <c r="Q496" s="82">
        <f t="shared" si="247"/>
        <v>978.34</v>
      </c>
      <c r="R496" s="82">
        <f t="shared" si="248"/>
        <v>978.34</v>
      </c>
    </row>
    <row r="497" spans="2:18" s="34" customFormat="1" ht="34.799999999999997">
      <c r="B497" s="75" t="s">
        <v>969</v>
      </c>
      <c r="C497" s="76" t="s">
        <v>970</v>
      </c>
      <c r="D497" s="77" t="s">
        <v>131</v>
      </c>
      <c r="E497" s="78">
        <v>8</v>
      </c>
      <c r="F497" s="79"/>
      <c r="G497" s="79"/>
      <c r="H497" s="79"/>
      <c r="I497" s="79">
        <f t="shared" si="238"/>
        <v>0</v>
      </c>
      <c r="J497" s="79">
        <f t="shared" si="239"/>
        <v>8</v>
      </c>
      <c r="K497" s="84">
        <v>23.638500000000001</v>
      </c>
      <c r="L497" s="81">
        <f t="shared" si="237"/>
        <v>29.964165200235001</v>
      </c>
      <c r="M497" s="82">
        <f t="shared" si="243"/>
        <v>0</v>
      </c>
      <c r="N497" s="82">
        <f t="shared" si="244"/>
        <v>0</v>
      </c>
      <c r="O497" s="82">
        <f t="shared" si="245"/>
        <v>0</v>
      </c>
      <c r="P497" s="80">
        <f t="shared" si="246"/>
        <v>189.108</v>
      </c>
      <c r="Q497" s="82">
        <f t="shared" si="247"/>
        <v>239.71</v>
      </c>
      <c r="R497" s="82">
        <f t="shared" si="248"/>
        <v>239.71</v>
      </c>
    </row>
    <row r="498" spans="2:18" s="34" customFormat="1" ht="34.799999999999997">
      <c r="B498" s="75" t="s">
        <v>971</v>
      </c>
      <c r="C498" s="76" t="s">
        <v>972</v>
      </c>
      <c r="D498" s="77" t="s">
        <v>131</v>
      </c>
      <c r="E498" s="78">
        <v>3</v>
      </c>
      <c r="F498" s="79"/>
      <c r="G498" s="79"/>
      <c r="H498" s="79"/>
      <c r="I498" s="79">
        <f t="shared" si="238"/>
        <v>0</v>
      </c>
      <c r="J498" s="79">
        <f t="shared" si="239"/>
        <v>3</v>
      </c>
      <c r="K498" s="84">
        <v>32.656500000000001</v>
      </c>
      <c r="L498" s="81">
        <f t="shared" si="237"/>
        <v>41.395382992215005</v>
      </c>
      <c r="M498" s="82">
        <f t="shared" si="243"/>
        <v>0</v>
      </c>
      <c r="N498" s="82">
        <f t="shared" si="244"/>
        <v>0</v>
      </c>
      <c r="O498" s="82">
        <f t="shared" si="245"/>
        <v>0</v>
      </c>
      <c r="P498" s="80">
        <f t="shared" si="246"/>
        <v>97.969500000000011</v>
      </c>
      <c r="Q498" s="82">
        <f t="shared" si="247"/>
        <v>124.18</v>
      </c>
      <c r="R498" s="82">
        <f t="shared" si="248"/>
        <v>124.18</v>
      </c>
    </row>
    <row r="499" spans="2:18" s="34" customFormat="1" ht="23.4">
      <c r="B499" s="75" t="s">
        <v>973</v>
      </c>
      <c r="C499" s="76" t="s">
        <v>974</v>
      </c>
      <c r="D499" s="77" t="s">
        <v>131</v>
      </c>
      <c r="E499" s="78">
        <v>14</v>
      </c>
      <c r="F499" s="79"/>
      <c r="G499" s="79"/>
      <c r="H499" s="79"/>
      <c r="I499" s="79">
        <f t="shared" si="238"/>
        <v>0</v>
      </c>
      <c r="J499" s="79">
        <f t="shared" si="239"/>
        <v>14</v>
      </c>
      <c r="K499" s="84">
        <v>24.003</v>
      </c>
      <c r="L499" s="81">
        <f t="shared" si="237"/>
        <v>30.426205440330001</v>
      </c>
      <c r="M499" s="82">
        <f t="shared" si="243"/>
        <v>0</v>
      </c>
      <c r="N499" s="82">
        <f t="shared" si="244"/>
        <v>0</v>
      </c>
      <c r="O499" s="82">
        <f t="shared" si="245"/>
        <v>0</v>
      </c>
      <c r="P499" s="80">
        <f t="shared" si="246"/>
        <v>336.04200000000003</v>
      </c>
      <c r="Q499" s="82">
        <f t="shared" si="247"/>
        <v>425.96</v>
      </c>
      <c r="R499" s="82">
        <f t="shared" si="248"/>
        <v>425.96</v>
      </c>
    </row>
    <row r="500" spans="2:18" s="34" customFormat="1" ht="13.2">
      <c r="B500" s="75" t="s">
        <v>975</v>
      </c>
      <c r="C500" s="76" t="s">
        <v>976</v>
      </c>
      <c r="D500" s="77" t="s">
        <v>131</v>
      </c>
      <c r="E500" s="78">
        <v>47</v>
      </c>
      <c r="F500" s="79"/>
      <c r="G500" s="79"/>
      <c r="H500" s="79"/>
      <c r="I500" s="79">
        <f t="shared" si="238"/>
        <v>0</v>
      </c>
      <c r="J500" s="79">
        <f t="shared" si="239"/>
        <v>47</v>
      </c>
      <c r="K500" s="84">
        <v>54.7425</v>
      </c>
      <c r="L500" s="81">
        <f t="shared" si="237"/>
        <v>69.391599021675006</v>
      </c>
      <c r="M500" s="82">
        <f t="shared" si="243"/>
        <v>0</v>
      </c>
      <c r="N500" s="82">
        <f t="shared" si="244"/>
        <v>0</v>
      </c>
      <c r="O500" s="82">
        <f t="shared" si="245"/>
        <v>0</v>
      </c>
      <c r="P500" s="80">
        <f t="shared" si="246"/>
        <v>2572.8975</v>
      </c>
      <c r="Q500" s="82">
        <f t="shared" si="247"/>
        <v>3261.4</v>
      </c>
      <c r="R500" s="82">
        <f t="shared" si="248"/>
        <v>3261.4</v>
      </c>
    </row>
    <row r="501" spans="2:18" s="34" customFormat="1" ht="13.2">
      <c r="B501" s="75" t="s">
        <v>977</v>
      </c>
      <c r="C501" s="76" t="s">
        <v>978</v>
      </c>
      <c r="D501" s="77" t="s">
        <v>131</v>
      </c>
      <c r="E501" s="78">
        <v>3</v>
      </c>
      <c r="F501" s="79"/>
      <c r="G501" s="79"/>
      <c r="H501" s="79"/>
      <c r="I501" s="79">
        <f t="shared" si="238"/>
        <v>0</v>
      </c>
      <c r="J501" s="79">
        <f t="shared" si="239"/>
        <v>3</v>
      </c>
      <c r="K501" s="84">
        <v>79.393500000000003</v>
      </c>
      <c r="L501" s="81">
        <f t="shared" si="237"/>
        <v>100.63920933328501</v>
      </c>
      <c r="M501" s="82">
        <f t="shared" si="243"/>
        <v>0</v>
      </c>
      <c r="N501" s="82">
        <f t="shared" si="244"/>
        <v>0</v>
      </c>
      <c r="O501" s="82">
        <f t="shared" si="245"/>
        <v>0</v>
      </c>
      <c r="P501" s="80">
        <f t="shared" si="246"/>
        <v>238.18049999999999</v>
      </c>
      <c r="Q501" s="82">
        <f t="shared" si="247"/>
        <v>301.91000000000003</v>
      </c>
      <c r="R501" s="82">
        <f t="shared" si="248"/>
        <v>301.91000000000003</v>
      </c>
    </row>
    <row r="502" spans="2:18" s="34" customFormat="1" ht="34.799999999999997">
      <c r="B502" s="75" t="s">
        <v>979</v>
      </c>
      <c r="C502" s="76" t="s">
        <v>980</v>
      </c>
      <c r="D502" s="77" t="s">
        <v>131</v>
      </c>
      <c r="E502" s="78">
        <v>3</v>
      </c>
      <c r="F502" s="79"/>
      <c r="G502" s="79"/>
      <c r="H502" s="79"/>
      <c r="I502" s="79">
        <f t="shared" si="238"/>
        <v>0</v>
      </c>
      <c r="J502" s="79">
        <f t="shared" si="239"/>
        <v>3</v>
      </c>
      <c r="K502" s="84">
        <v>634.5</v>
      </c>
      <c r="L502" s="81">
        <f t="shared" si="237"/>
        <v>804.29226979500004</v>
      </c>
      <c r="M502" s="82">
        <f t="shared" si="243"/>
        <v>0</v>
      </c>
      <c r="N502" s="82">
        <f t="shared" si="244"/>
        <v>0</v>
      </c>
      <c r="O502" s="82">
        <f t="shared" si="245"/>
        <v>0</v>
      </c>
      <c r="P502" s="80">
        <f t="shared" si="246"/>
        <v>1903.5</v>
      </c>
      <c r="Q502" s="82">
        <f t="shared" si="247"/>
        <v>2412.87</v>
      </c>
      <c r="R502" s="82">
        <f t="shared" si="248"/>
        <v>2412.87</v>
      </c>
    </row>
    <row r="503" spans="2:18" s="34" customFormat="1" ht="13.2">
      <c r="B503" s="75" t="s">
        <v>981</v>
      </c>
      <c r="C503" s="76" t="s">
        <v>982</v>
      </c>
      <c r="D503" s="77" t="s">
        <v>131</v>
      </c>
      <c r="E503" s="78">
        <v>6</v>
      </c>
      <c r="F503" s="79"/>
      <c r="G503" s="79"/>
      <c r="H503" s="79"/>
      <c r="I503" s="79">
        <f t="shared" si="238"/>
        <v>0</v>
      </c>
      <c r="J503" s="79">
        <f t="shared" si="239"/>
        <v>6</v>
      </c>
      <c r="K503" s="84">
        <v>985</v>
      </c>
      <c r="L503" s="81">
        <f t="shared" si="237"/>
        <v>1248.5861083500001</v>
      </c>
      <c r="M503" s="82">
        <f t="shared" si="243"/>
        <v>0</v>
      </c>
      <c r="N503" s="82">
        <f t="shared" si="244"/>
        <v>0</v>
      </c>
      <c r="O503" s="82">
        <f t="shared" si="245"/>
        <v>0</v>
      </c>
      <c r="P503" s="80">
        <f t="shared" si="246"/>
        <v>5910</v>
      </c>
      <c r="Q503" s="82">
        <f t="shared" si="247"/>
        <v>7491.51</v>
      </c>
      <c r="R503" s="82">
        <f t="shared" si="248"/>
        <v>7491.51</v>
      </c>
    </row>
    <row r="504" spans="2:18" s="34" customFormat="1" ht="13.2">
      <c r="B504" s="75" t="s">
        <v>983</v>
      </c>
      <c r="C504" s="76" t="s">
        <v>984</v>
      </c>
      <c r="D504" s="77" t="s">
        <v>131</v>
      </c>
      <c r="E504" s="78">
        <v>6</v>
      </c>
      <c r="F504" s="79"/>
      <c r="G504" s="79"/>
      <c r="H504" s="79"/>
      <c r="I504" s="79">
        <f t="shared" si="238"/>
        <v>0</v>
      </c>
      <c r="J504" s="79">
        <f t="shared" si="239"/>
        <v>6</v>
      </c>
      <c r="K504" s="84">
        <v>895</v>
      </c>
      <c r="L504" s="81">
        <f t="shared" si="237"/>
        <v>1134.5020984499999</v>
      </c>
      <c r="M504" s="82">
        <f t="shared" si="243"/>
        <v>0</v>
      </c>
      <c r="N504" s="82">
        <f t="shared" si="244"/>
        <v>0</v>
      </c>
      <c r="O504" s="82">
        <f t="shared" si="245"/>
        <v>0</v>
      </c>
      <c r="P504" s="80">
        <f t="shared" si="246"/>
        <v>5370</v>
      </c>
      <c r="Q504" s="82">
        <f t="shared" si="247"/>
        <v>6807.01</v>
      </c>
      <c r="R504" s="82">
        <f t="shared" si="248"/>
        <v>6807.01</v>
      </c>
    </row>
    <row r="505" spans="2:18" s="34" customFormat="1" ht="23.4">
      <c r="B505" s="75" t="s">
        <v>985</v>
      </c>
      <c r="C505" s="76" t="s">
        <v>986</v>
      </c>
      <c r="D505" s="77" t="s">
        <v>131</v>
      </c>
      <c r="E505" s="78">
        <v>6</v>
      </c>
      <c r="F505" s="79"/>
      <c r="G505" s="79"/>
      <c r="H505" s="79"/>
      <c r="I505" s="79">
        <f t="shared" si="238"/>
        <v>0</v>
      </c>
      <c r="J505" s="79">
        <f t="shared" si="239"/>
        <v>6</v>
      </c>
      <c r="K505" s="84">
        <v>895</v>
      </c>
      <c r="L505" s="81">
        <f t="shared" si="237"/>
        <v>1134.5020984499999</v>
      </c>
      <c r="M505" s="82">
        <f t="shared" si="243"/>
        <v>0</v>
      </c>
      <c r="N505" s="82">
        <f t="shared" si="244"/>
        <v>0</v>
      </c>
      <c r="O505" s="82">
        <f t="shared" si="245"/>
        <v>0</v>
      </c>
      <c r="P505" s="80">
        <f t="shared" si="246"/>
        <v>5370</v>
      </c>
      <c r="Q505" s="82">
        <f t="shared" si="247"/>
        <v>6807.01</v>
      </c>
      <c r="R505" s="82">
        <f t="shared" si="248"/>
        <v>6807.01</v>
      </c>
    </row>
    <row r="506" spans="2:18" s="34" customFormat="1" ht="23.4">
      <c r="B506" s="75" t="s">
        <v>987</v>
      </c>
      <c r="C506" s="76" t="s">
        <v>988</v>
      </c>
      <c r="D506" s="77" t="s">
        <v>131</v>
      </c>
      <c r="E506" s="78">
        <v>20</v>
      </c>
      <c r="F506" s="79"/>
      <c r="G506" s="79"/>
      <c r="H506" s="79"/>
      <c r="I506" s="79">
        <f t="shared" si="238"/>
        <v>0</v>
      </c>
      <c r="J506" s="79">
        <f t="shared" si="239"/>
        <v>20</v>
      </c>
      <c r="K506" s="84">
        <v>625</v>
      </c>
      <c r="L506" s="81">
        <f t="shared" si="237"/>
        <v>792.25006875000008</v>
      </c>
      <c r="M506" s="82">
        <f t="shared" si="243"/>
        <v>0</v>
      </c>
      <c r="N506" s="82">
        <f t="shared" si="244"/>
        <v>0</v>
      </c>
      <c r="O506" s="82">
        <f t="shared" si="245"/>
        <v>0</v>
      </c>
      <c r="P506" s="80">
        <f t="shared" si="246"/>
        <v>12500</v>
      </c>
      <c r="Q506" s="82">
        <f t="shared" si="247"/>
        <v>15845</v>
      </c>
      <c r="R506" s="82">
        <f t="shared" si="248"/>
        <v>15845</v>
      </c>
    </row>
    <row r="507" spans="2:18" s="34" customFormat="1" ht="13.2">
      <c r="B507" s="60" t="s">
        <v>989</v>
      </c>
      <c r="C507" s="61" t="s">
        <v>990</v>
      </c>
      <c r="D507" s="60"/>
      <c r="E507" s="62"/>
      <c r="F507" s="63"/>
      <c r="G507" s="63"/>
      <c r="H507" s="63"/>
      <c r="I507" s="63">
        <f t="shared" si="238"/>
        <v>0</v>
      </c>
      <c r="J507" s="63">
        <f t="shared" si="239"/>
        <v>0</v>
      </c>
      <c r="K507" s="63"/>
      <c r="L507" s="63">
        <f t="shared" si="237"/>
        <v>0</v>
      </c>
      <c r="M507" s="63">
        <f t="shared" ref="M507:R507" si="249">SUM(M508,M520,M552,M554)</f>
        <v>0</v>
      </c>
      <c r="N507" s="63">
        <f t="shared" si="249"/>
        <v>0</v>
      </c>
      <c r="O507" s="63">
        <f t="shared" si="249"/>
        <v>0</v>
      </c>
      <c r="P507" s="63">
        <f t="shared" si="249"/>
        <v>248226.55</v>
      </c>
      <c r="Q507" s="63">
        <f t="shared" si="249"/>
        <v>314651.83</v>
      </c>
      <c r="R507" s="63">
        <f t="shared" si="249"/>
        <v>314651.83</v>
      </c>
    </row>
    <row r="508" spans="2:18" s="34" customFormat="1" ht="13.2">
      <c r="B508" s="66" t="s">
        <v>991</v>
      </c>
      <c r="C508" s="67" t="s">
        <v>992</v>
      </c>
      <c r="D508" s="68"/>
      <c r="E508" s="69"/>
      <c r="F508" s="70"/>
      <c r="G508" s="70"/>
      <c r="H508" s="70"/>
      <c r="I508" s="70">
        <f t="shared" si="238"/>
        <v>0</v>
      </c>
      <c r="J508" s="70">
        <f t="shared" si="239"/>
        <v>0</v>
      </c>
      <c r="K508" s="71"/>
      <c r="L508" s="71">
        <f t="shared" si="237"/>
        <v>0</v>
      </c>
      <c r="M508" s="73">
        <f t="shared" ref="M508:R508" si="250">SUM(M509:M519)</f>
        <v>0</v>
      </c>
      <c r="N508" s="73">
        <f t="shared" si="250"/>
        <v>0</v>
      </c>
      <c r="O508" s="73">
        <f t="shared" si="250"/>
        <v>0</v>
      </c>
      <c r="P508" s="73">
        <f t="shared" si="250"/>
        <v>96780</v>
      </c>
      <c r="Q508" s="73">
        <f t="shared" si="250"/>
        <v>122678.3</v>
      </c>
      <c r="R508" s="73">
        <f t="shared" si="250"/>
        <v>122678.3</v>
      </c>
    </row>
    <row r="509" spans="2:18" s="34" customFormat="1" ht="13.2">
      <c r="B509" s="75" t="s">
        <v>993</v>
      </c>
      <c r="C509" s="76" t="s">
        <v>994</v>
      </c>
      <c r="D509" s="77" t="s">
        <v>124</v>
      </c>
      <c r="E509" s="93">
        <v>300</v>
      </c>
      <c r="F509" s="79"/>
      <c r="G509" s="79"/>
      <c r="H509" s="79"/>
      <c r="I509" s="79">
        <f t="shared" si="238"/>
        <v>0</v>
      </c>
      <c r="J509" s="79">
        <f t="shared" si="239"/>
        <v>300</v>
      </c>
      <c r="K509" s="84">
        <v>18</v>
      </c>
      <c r="L509" s="81">
        <f t="shared" si="237"/>
        <v>22.816801980000001</v>
      </c>
      <c r="M509" s="82">
        <f t="shared" ref="M509:M519" si="251">TRUNC(F509*L509,2)</f>
        <v>0</v>
      </c>
      <c r="N509" s="82">
        <f t="shared" ref="N509:N519" si="252">TRUNC(G509*L509,2)</f>
        <v>0</v>
      </c>
      <c r="O509" s="82">
        <f t="shared" ref="O509:O519" si="253">N509</f>
        <v>0</v>
      </c>
      <c r="P509" s="80">
        <f t="shared" ref="P509:P519" si="254">E509*K509</f>
        <v>5400</v>
      </c>
      <c r="Q509" s="82">
        <f t="shared" ref="Q509:Q519" si="255">TRUNC(E509*L509,2)</f>
        <v>6845.04</v>
      </c>
      <c r="R509" s="82">
        <f t="shared" ref="R509:R519" si="256">Q509-O509</f>
        <v>6845.04</v>
      </c>
    </row>
    <row r="510" spans="2:18" s="34" customFormat="1" ht="23.4">
      <c r="B510" s="75" t="s">
        <v>995</v>
      </c>
      <c r="C510" s="76" t="s">
        <v>996</v>
      </c>
      <c r="D510" s="77" t="s">
        <v>390</v>
      </c>
      <c r="E510" s="93">
        <v>60</v>
      </c>
      <c r="F510" s="79"/>
      <c r="G510" s="79"/>
      <c r="H510" s="79"/>
      <c r="I510" s="79">
        <f t="shared" si="238"/>
        <v>0</v>
      </c>
      <c r="J510" s="79">
        <f t="shared" si="239"/>
        <v>60</v>
      </c>
      <c r="K510" s="84">
        <v>39</v>
      </c>
      <c r="L510" s="81">
        <f t="shared" si="237"/>
        <v>49.436404289999999</v>
      </c>
      <c r="M510" s="82">
        <f t="shared" si="251"/>
        <v>0</v>
      </c>
      <c r="N510" s="82">
        <f t="shared" si="252"/>
        <v>0</v>
      </c>
      <c r="O510" s="82">
        <f t="shared" si="253"/>
        <v>0</v>
      </c>
      <c r="P510" s="80">
        <f t="shared" si="254"/>
        <v>2340</v>
      </c>
      <c r="Q510" s="82">
        <f t="shared" si="255"/>
        <v>2966.18</v>
      </c>
      <c r="R510" s="82">
        <f t="shared" si="256"/>
        <v>2966.18</v>
      </c>
    </row>
    <row r="511" spans="2:18" s="34" customFormat="1" ht="13.2">
      <c r="B511" s="75" t="s">
        <v>997</v>
      </c>
      <c r="C511" s="76" t="s">
        <v>998</v>
      </c>
      <c r="D511" s="77" t="s">
        <v>390</v>
      </c>
      <c r="E511" s="93">
        <v>60</v>
      </c>
      <c r="F511" s="79"/>
      <c r="G511" s="79"/>
      <c r="H511" s="79"/>
      <c r="I511" s="79">
        <f t="shared" si="238"/>
        <v>0</v>
      </c>
      <c r="J511" s="79">
        <f t="shared" si="239"/>
        <v>60</v>
      </c>
      <c r="K511" s="84">
        <v>18</v>
      </c>
      <c r="L511" s="81">
        <f t="shared" si="237"/>
        <v>22.816801980000001</v>
      </c>
      <c r="M511" s="82">
        <f t="shared" si="251"/>
        <v>0</v>
      </c>
      <c r="N511" s="82">
        <f t="shared" si="252"/>
        <v>0</v>
      </c>
      <c r="O511" s="82">
        <f t="shared" si="253"/>
        <v>0</v>
      </c>
      <c r="P511" s="80">
        <f t="shared" si="254"/>
        <v>1080</v>
      </c>
      <c r="Q511" s="82">
        <f t="shared" si="255"/>
        <v>1369</v>
      </c>
      <c r="R511" s="82">
        <f t="shared" si="256"/>
        <v>1369</v>
      </c>
    </row>
    <row r="512" spans="2:18" s="34" customFormat="1" ht="34.799999999999997">
      <c r="B512" s="75" t="s">
        <v>999</v>
      </c>
      <c r="C512" s="76" t="s">
        <v>1000</v>
      </c>
      <c r="D512" s="77" t="s">
        <v>124</v>
      </c>
      <c r="E512" s="93">
        <v>210</v>
      </c>
      <c r="F512" s="79"/>
      <c r="G512" s="79"/>
      <c r="H512" s="79"/>
      <c r="I512" s="79">
        <f t="shared" si="238"/>
        <v>0</v>
      </c>
      <c r="J512" s="79">
        <f t="shared" si="239"/>
        <v>210</v>
      </c>
      <c r="K512" s="84">
        <v>40</v>
      </c>
      <c r="L512" s="81">
        <f t="shared" si="237"/>
        <v>50.704004400000002</v>
      </c>
      <c r="M512" s="82">
        <f t="shared" si="251"/>
        <v>0</v>
      </c>
      <c r="N512" s="82">
        <f t="shared" si="252"/>
        <v>0</v>
      </c>
      <c r="O512" s="82">
        <f t="shared" si="253"/>
        <v>0</v>
      </c>
      <c r="P512" s="80">
        <f t="shared" si="254"/>
        <v>8400</v>
      </c>
      <c r="Q512" s="82">
        <f t="shared" si="255"/>
        <v>10647.84</v>
      </c>
      <c r="R512" s="82">
        <f t="shared" si="256"/>
        <v>10647.84</v>
      </c>
    </row>
    <row r="513" spans="2:18" s="34" customFormat="1" ht="34.799999999999997">
      <c r="B513" s="75" t="s">
        <v>1001</v>
      </c>
      <c r="C513" s="76" t="s">
        <v>1002</v>
      </c>
      <c r="D513" s="77" t="s">
        <v>124</v>
      </c>
      <c r="E513" s="93">
        <v>120</v>
      </c>
      <c r="F513" s="79"/>
      <c r="G513" s="79"/>
      <c r="H513" s="79"/>
      <c r="I513" s="79">
        <f t="shared" si="238"/>
        <v>0</v>
      </c>
      <c r="J513" s="79">
        <f t="shared" si="239"/>
        <v>120</v>
      </c>
      <c r="K513" s="84">
        <v>75</v>
      </c>
      <c r="L513" s="81">
        <f t="shared" si="237"/>
        <v>95.070008250000001</v>
      </c>
      <c r="M513" s="82">
        <f t="shared" si="251"/>
        <v>0</v>
      </c>
      <c r="N513" s="82">
        <f t="shared" si="252"/>
        <v>0</v>
      </c>
      <c r="O513" s="82">
        <f t="shared" si="253"/>
        <v>0</v>
      </c>
      <c r="P513" s="80">
        <f t="shared" si="254"/>
        <v>9000</v>
      </c>
      <c r="Q513" s="82">
        <f t="shared" si="255"/>
        <v>11408.4</v>
      </c>
      <c r="R513" s="82">
        <f t="shared" si="256"/>
        <v>11408.4</v>
      </c>
    </row>
    <row r="514" spans="2:18" s="34" customFormat="1" ht="34.799999999999997">
      <c r="B514" s="75" t="s">
        <v>1003</v>
      </c>
      <c r="C514" s="76" t="s">
        <v>1004</v>
      </c>
      <c r="D514" s="77" t="s">
        <v>124</v>
      </c>
      <c r="E514" s="93">
        <v>36</v>
      </c>
      <c r="F514" s="79"/>
      <c r="G514" s="79"/>
      <c r="H514" s="79"/>
      <c r="I514" s="79">
        <f t="shared" si="238"/>
        <v>0</v>
      </c>
      <c r="J514" s="79">
        <f t="shared" si="239"/>
        <v>36</v>
      </c>
      <c r="K514" s="84">
        <v>130</v>
      </c>
      <c r="L514" s="81">
        <f t="shared" si="237"/>
        <v>164.78801430000001</v>
      </c>
      <c r="M514" s="82">
        <f t="shared" si="251"/>
        <v>0</v>
      </c>
      <c r="N514" s="82">
        <f t="shared" si="252"/>
        <v>0</v>
      </c>
      <c r="O514" s="82">
        <f t="shared" si="253"/>
        <v>0</v>
      </c>
      <c r="P514" s="80">
        <f t="shared" si="254"/>
        <v>4680</v>
      </c>
      <c r="Q514" s="82">
        <f t="shared" si="255"/>
        <v>5932.36</v>
      </c>
      <c r="R514" s="82">
        <f t="shared" si="256"/>
        <v>5932.36</v>
      </c>
    </row>
    <row r="515" spans="2:18" s="34" customFormat="1" ht="34.799999999999997">
      <c r="B515" s="75" t="s">
        <v>1005</v>
      </c>
      <c r="C515" s="76" t="s">
        <v>1006</v>
      </c>
      <c r="D515" s="77" t="s">
        <v>124</v>
      </c>
      <c r="E515" s="93">
        <v>36</v>
      </c>
      <c r="F515" s="79"/>
      <c r="G515" s="79"/>
      <c r="H515" s="79"/>
      <c r="I515" s="79">
        <f t="shared" si="238"/>
        <v>0</v>
      </c>
      <c r="J515" s="79">
        <f t="shared" si="239"/>
        <v>36</v>
      </c>
      <c r="K515" s="84">
        <v>180</v>
      </c>
      <c r="L515" s="81">
        <f t="shared" si="237"/>
        <v>228.16801980000002</v>
      </c>
      <c r="M515" s="82">
        <f t="shared" si="251"/>
        <v>0</v>
      </c>
      <c r="N515" s="82">
        <f t="shared" si="252"/>
        <v>0</v>
      </c>
      <c r="O515" s="82">
        <f t="shared" si="253"/>
        <v>0</v>
      </c>
      <c r="P515" s="80">
        <f t="shared" si="254"/>
        <v>6480</v>
      </c>
      <c r="Q515" s="82">
        <f t="shared" si="255"/>
        <v>8214.0400000000009</v>
      </c>
      <c r="R515" s="82">
        <f t="shared" si="256"/>
        <v>8214.0400000000009</v>
      </c>
    </row>
    <row r="516" spans="2:18" s="34" customFormat="1" ht="34.799999999999997">
      <c r="B516" s="75" t="s">
        <v>1007</v>
      </c>
      <c r="C516" s="76" t="s">
        <v>1008</v>
      </c>
      <c r="D516" s="77" t="s">
        <v>124</v>
      </c>
      <c r="E516" s="93">
        <v>120</v>
      </c>
      <c r="F516" s="79"/>
      <c r="G516" s="79"/>
      <c r="H516" s="79"/>
      <c r="I516" s="79">
        <f t="shared" si="238"/>
        <v>0</v>
      </c>
      <c r="J516" s="79">
        <f t="shared" si="239"/>
        <v>120</v>
      </c>
      <c r="K516" s="84">
        <v>110</v>
      </c>
      <c r="L516" s="81">
        <f t="shared" si="237"/>
        <v>139.4360121</v>
      </c>
      <c r="M516" s="82">
        <f t="shared" si="251"/>
        <v>0</v>
      </c>
      <c r="N516" s="82">
        <f t="shared" si="252"/>
        <v>0</v>
      </c>
      <c r="O516" s="82">
        <f t="shared" si="253"/>
        <v>0</v>
      </c>
      <c r="P516" s="80">
        <f t="shared" si="254"/>
        <v>13200</v>
      </c>
      <c r="Q516" s="82">
        <f t="shared" si="255"/>
        <v>16732.32</v>
      </c>
      <c r="R516" s="82">
        <f t="shared" si="256"/>
        <v>16732.32</v>
      </c>
    </row>
    <row r="517" spans="2:18" s="34" customFormat="1" ht="34.799999999999997">
      <c r="B517" s="75" t="s">
        <v>1009</v>
      </c>
      <c r="C517" s="76" t="s">
        <v>1010</v>
      </c>
      <c r="D517" s="77" t="s">
        <v>124</v>
      </c>
      <c r="E517" s="93">
        <v>120</v>
      </c>
      <c r="F517" s="79"/>
      <c r="G517" s="79"/>
      <c r="H517" s="79"/>
      <c r="I517" s="79">
        <f t="shared" si="238"/>
        <v>0</v>
      </c>
      <c r="J517" s="79">
        <f t="shared" si="239"/>
        <v>120</v>
      </c>
      <c r="K517" s="84">
        <v>50</v>
      </c>
      <c r="L517" s="81">
        <f t="shared" si="237"/>
        <v>63.380005500000003</v>
      </c>
      <c r="M517" s="82">
        <f t="shared" si="251"/>
        <v>0</v>
      </c>
      <c r="N517" s="82">
        <f t="shared" si="252"/>
        <v>0</v>
      </c>
      <c r="O517" s="82">
        <f t="shared" si="253"/>
        <v>0</v>
      </c>
      <c r="P517" s="80">
        <f t="shared" si="254"/>
        <v>6000</v>
      </c>
      <c r="Q517" s="82">
        <f t="shared" si="255"/>
        <v>7605.6</v>
      </c>
      <c r="R517" s="82">
        <f t="shared" si="256"/>
        <v>7605.6</v>
      </c>
    </row>
    <row r="518" spans="2:18" s="34" customFormat="1" ht="34.799999999999997">
      <c r="B518" s="75" t="s">
        <v>1011</v>
      </c>
      <c r="C518" s="76" t="s">
        <v>1012</v>
      </c>
      <c r="D518" s="77" t="s">
        <v>124</v>
      </c>
      <c r="E518" s="93">
        <v>120</v>
      </c>
      <c r="F518" s="79"/>
      <c r="G518" s="79"/>
      <c r="H518" s="79"/>
      <c r="I518" s="79">
        <f t="shared" si="238"/>
        <v>0</v>
      </c>
      <c r="J518" s="79">
        <f t="shared" si="239"/>
        <v>120</v>
      </c>
      <c r="K518" s="84">
        <v>60</v>
      </c>
      <c r="L518" s="81">
        <f t="shared" si="237"/>
        <v>76.056006600000003</v>
      </c>
      <c r="M518" s="82">
        <f t="shared" si="251"/>
        <v>0</v>
      </c>
      <c r="N518" s="82">
        <f t="shared" si="252"/>
        <v>0</v>
      </c>
      <c r="O518" s="82">
        <f t="shared" si="253"/>
        <v>0</v>
      </c>
      <c r="P518" s="80">
        <f t="shared" si="254"/>
        <v>7200</v>
      </c>
      <c r="Q518" s="82">
        <f t="shared" si="255"/>
        <v>9126.7199999999993</v>
      </c>
      <c r="R518" s="82">
        <f t="shared" si="256"/>
        <v>9126.7199999999993</v>
      </c>
    </row>
    <row r="519" spans="2:18" s="34" customFormat="1" ht="46.2">
      <c r="B519" s="75" t="s">
        <v>1013</v>
      </c>
      <c r="C519" s="76" t="s">
        <v>1014</v>
      </c>
      <c r="D519" s="77" t="s">
        <v>124</v>
      </c>
      <c r="E519" s="78">
        <v>300</v>
      </c>
      <c r="F519" s="79"/>
      <c r="G519" s="79"/>
      <c r="H519" s="79"/>
      <c r="I519" s="79">
        <f t="shared" si="238"/>
        <v>0</v>
      </c>
      <c r="J519" s="79">
        <f t="shared" si="239"/>
        <v>300</v>
      </c>
      <c r="K519" s="84">
        <v>110</v>
      </c>
      <c r="L519" s="81">
        <f t="shared" si="237"/>
        <v>139.4360121</v>
      </c>
      <c r="M519" s="82">
        <f t="shared" si="251"/>
        <v>0</v>
      </c>
      <c r="N519" s="82">
        <f t="shared" si="252"/>
        <v>0</v>
      </c>
      <c r="O519" s="82">
        <f t="shared" si="253"/>
        <v>0</v>
      </c>
      <c r="P519" s="80">
        <f t="shared" si="254"/>
        <v>33000</v>
      </c>
      <c r="Q519" s="82">
        <f t="shared" si="255"/>
        <v>41830.800000000003</v>
      </c>
      <c r="R519" s="82">
        <f t="shared" si="256"/>
        <v>41830.800000000003</v>
      </c>
    </row>
    <row r="520" spans="2:18" s="34" customFormat="1" ht="13.2">
      <c r="B520" s="66" t="s">
        <v>1015</v>
      </c>
      <c r="C520" s="67" t="s">
        <v>1016</v>
      </c>
      <c r="D520" s="68"/>
      <c r="E520" s="69"/>
      <c r="F520" s="70"/>
      <c r="G520" s="70"/>
      <c r="H520" s="70"/>
      <c r="I520" s="70">
        <f t="shared" si="238"/>
        <v>0</v>
      </c>
      <c r="J520" s="70">
        <f t="shared" si="239"/>
        <v>0</v>
      </c>
      <c r="K520" s="71"/>
      <c r="L520" s="71">
        <f t="shared" si="237"/>
        <v>0</v>
      </c>
      <c r="M520" s="73">
        <f t="shared" ref="M520:R520" si="257">SUM(M521:M551)</f>
        <v>0</v>
      </c>
      <c r="N520" s="73">
        <f t="shared" si="257"/>
        <v>0</v>
      </c>
      <c r="O520" s="73">
        <f t="shared" si="257"/>
        <v>0</v>
      </c>
      <c r="P520" s="73">
        <f t="shared" si="257"/>
        <v>88676.55</v>
      </c>
      <c r="Q520" s="73">
        <f t="shared" si="257"/>
        <v>112406.29000000001</v>
      </c>
      <c r="R520" s="73">
        <f t="shared" si="257"/>
        <v>112406.29000000001</v>
      </c>
    </row>
    <row r="521" spans="2:18" s="34" customFormat="1" ht="34.799999999999997">
      <c r="B521" s="75" t="s">
        <v>1017</v>
      </c>
      <c r="C521" s="76" t="s">
        <v>1018</v>
      </c>
      <c r="D521" s="77" t="s">
        <v>39</v>
      </c>
      <c r="E521" s="78">
        <v>10</v>
      </c>
      <c r="F521" s="79"/>
      <c r="G521" s="79"/>
      <c r="H521" s="79"/>
      <c r="I521" s="79">
        <f t="shared" si="238"/>
        <v>0</v>
      </c>
      <c r="J521" s="79">
        <f t="shared" si="239"/>
        <v>10</v>
      </c>
      <c r="K521" s="84">
        <v>198</v>
      </c>
      <c r="L521" s="81">
        <f t="shared" si="237"/>
        <v>250.98482178</v>
      </c>
      <c r="M521" s="82">
        <f t="shared" ref="M521:M551" si="258">TRUNC(F521*L521,2)</f>
        <v>0</v>
      </c>
      <c r="N521" s="82">
        <f t="shared" ref="N521:N551" si="259">TRUNC(G521*L521,2)</f>
        <v>0</v>
      </c>
      <c r="O521" s="82">
        <f t="shared" ref="O521:O551" si="260">N521</f>
        <v>0</v>
      </c>
      <c r="P521" s="80">
        <f t="shared" ref="P521:P551" si="261">E521*K521</f>
        <v>1980</v>
      </c>
      <c r="Q521" s="82">
        <f t="shared" ref="Q521:Q551" si="262">TRUNC(E521*L521,2)</f>
        <v>2509.84</v>
      </c>
      <c r="R521" s="82">
        <f t="shared" ref="R521:R551" si="263">Q521-O521</f>
        <v>2509.84</v>
      </c>
    </row>
    <row r="522" spans="2:18" s="34" customFormat="1" ht="34.799999999999997">
      <c r="B522" s="75" t="s">
        <v>1019</v>
      </c>
      <c r="C522" s="76" t="s">
        <v>1020</v>
      </c>
      <c r="D522" s="77" t="s">
        <v>39</v>
      </c>
      <c r="E522" s="78">
        <v>173</v>
      </c>
      <c r="F522" s="79"/>
      <c r="G522" s="79"/>
      <c r="H522" s="79"/>
      <c r="I522" s="79">
        <f t="shared" si="238"/>
        <v>0</v>
      </c>
      <c r="J522" s="79">
        <f t="shared" si="239"/>
        <v>173</v>
      </c>
      <c r="K522" s="84">
        <v>18</v>
      </c>
      <c r="L522" s="81">
        <f t="shared" si="237"/>
        <v>22.816801980000001</v>
      </c>
      <c r="M522" s="82">
        <f t="shared" si="258"/>
        <v>0</v>
      </c>
      <c r="N522" s="82">
        <f t="shared" si="259"/>
        <v>0</v>
      </c>
      <c r="O522" s="82">
        <f t="shared" si="260"/>
        <v>0</v>
      </c>
      <c r="P522" s="80">
        <f t="shared" si="261"/>
        <v>3114</v>
      </c>
      <c r="Q522" s="82">
        <f t="shared" si="262"/>
        <v>3947.3</v>
      </c>
      <c r="R522" s="82">
        <f t="shared" si="263"/>
        <v>3947.3</v>
      </c>
    </row>
    <row r="523" spans="2:18" s="34" customFormat="1" ht="34.799999999999997">
      <c r="B523" s="75" t="s">
        <v>1021</v>
      </c>
      <c r="C523" s="76" t="s">
        <v>1022</v>
      </c>
      <c r="D523" s="77" t="s">
        <v>39</v>
      </c>
      <c r="E523" s="78">
        <v>7</v>
      </c>
      <c r="F523" s="79"/>
      <c r="G523" s="79"/>
      <c r="H523" s="79"/>
      <c r="I523" s="79">
        <f t="shared" si="238"/>
        <v>0</v>
      </c>
      <c r="J523" s="79">
        <f t="shared" si="239"/>
        <v>7</v>
      </c>
      <c r="K523" s="84">
        <v>69</v>
      </c>
      <c r="L523" s="81">
        <f t="shared" si="237"/>
        <v>87.464407590000008</v>
      </c>
      <c r="M523" s="82">
        <f t="shared" si="258"/>
        <v>0</v>
      </c>
      <c r="N523" s="82">
        <f t="shared" si="259"/>
        <v>0</v>
      </c>
      <c r="O523" s="82">
        <f t="shared" si="260"/>
        <v>0</v>
      </c>
      <c r="P523" s="80">
        <f t="shared" si="261"/>
        <v>483</v>
      </c>
      <c r="Q523" s="82">
        <f t="shared" si="262"/>
        <v>612.25</v>
      </c>
      <c r="R523" s="82">
        <f t="shared" si="263"/>
        <v>612.25</v>
      </c>
    </row>
    <row r="524" spans="2:18" s="34" customFormat="1" ht="34.799999999999997">
      <c r="B524" s="75" t="s">
        <v>1023</v>
      </c>
      <c r="C524" s="76" t="s">
        <v>1024</v>
      </c>
      <c r="D524" s="77" t="s">
        <v>39</v>
      </c>
      <c r="E524" s="78">
        <v>30</v>
      </c>
      <c r="F524" s="79"/>
      <c r="G524" s="79"/>
      <c r="H524" s="79"/>
      <c r="I524" s="79">
        <f t="shared" si="238"/>
        <v>0</v>
      </c>
      <c r="J524" s="79">
        <f t="shared" si="239"/>
        <v>30</v>
      </c>
      <c r="K524" s="84">
        <v>94.65</v>
      </c>
      <c r="L524" s="81">
        <f t="shared" si="237"/>
        <v>119.97835041150002</v>
      </c>
      <c r="M524" s="82">
        <f t="shared" si="258"/>
        <v>0</v>
      </c>
      <c r="N524" s="82">
        <f t="shared" si="259"/>
        <v>0</v>
      </c>
      <c r="O524" s="82">
        <f t="shared" si="260"/>
        <v>0</v>
      </c>
      <c r="P524" s="80">
        <f t="shared" si="261"/>
        <v>2839.5</v>
      </c>
      <c r="Q524" s="82">
        <f t="shared" si="262"/>
        <v>3599.35</v>
      </c>
      <c r="R524" s="82">
        <f t="shared" si="263"/>
        <v>3599.35</v>
      </c>
    </row>
    <row r="525" spans="2:18" s="34" customFormat="1" ht="34.799999999999997">
      <c r="B525" s="75" t="s">
        <v>1025</v>
      </c>
      <c r="C525" s="76" t="s">
        <v>1026</v>
      </c>
      <c r="D525" s="77" t="s">
        <v>39</v>
      </c>
      <c r="E525" s="78">
        <v>40</v>
      </c>
      <c r="F525" s="79"/>
      <c r="G525" s="79"/>
      <c r="H525" s="79"/>
      <c r="I525" s="79">
        <f t="shared" si="238"/>
        <v>0</v>
      </c>
      <c r="J525" s="79">
        <f t="shared" si="239"/>
        <v>40</v>
      </c>
      <c r="K525" s="84">
        <v>60.11</v>
      </c>
      <c r="L525" s="81">
        <f t="shared" si="237"/>
        <v>76.19544261210001</v>
      </c>
      <c r="M525" s="82">
        <f t="shared" si="258"/>
        <v>0</v>
      </c>
      <c r="N525" s="82">
        <f t="shared" si="259"/>
        <v>0</v>
      </c>
      <c r="O525" s="82">
        <f t="shared" si="260"/>
        <v>0</v>
      </c>
      <c r="P525" s="80">
        <f t="shared" si="261"/>
        <v>2404.4</v>
      </c>
      <c r="Q525" s="82">
        <f t="shared" si="262"/>
        <v>3047.81</v>
      </c>
      <c r="R525" s="82">
        <f t="shared" si="263"/>
        <v>3047.81</v>
      </c>
    </row>
    <row r="526" spans="2:18" s="34" customFormat="1" ht="34.799999999999997">
      <c r="B526" s="75" t="s">
        <v>1027</v>
      </c>
      <c r="C526" s="76" t="s">
        <v>1028</v>
      </c>
      <c r="D526" s="77" t="s">
        <v>39</v>
      </c>
      <c r="E526" s="78">
        <v>50</v>
      </c>
      <c r="F526" s="79"/>
      <c r="G526" s="79"/>
      <c r="H526" s="79"/>
      <c r="I526" s="79">
        <f t="shared" si="238"/>
        <v>0</v>
      </c>
      <c r="J526" s="79">
        <f t="shared" si="239"/>
        <v>50</v>
      </c>
      <c r="K526" s="84">
        <v>36.9</v>
      </c>
      <c r="L526" s="81">
        <f t="shared" si="237"/>
        <v>46.774444058999997</v>
      </c>
      <c r="M526" s="82">
        <f t="shared" si="258"/>
        <v>0</v>
      </c>
      <c r="N526" s="82">
        <f t="shared" si="259"/>
        <v>0</v>
      </c>
      <c r="O526" s="82">
        <f t="shared" si="260"/>
        <v>0</v>
      </c>
      <c r="P526" s="80">
        <f t="shared" si="261"/>
        <v>1845</v>
      </c>
      <c r="Q526" s="82">
        <f t="shared" si="262"/>
        <v>2338.7199999999998</v>
      </c>
      <c r="R526" s="82">
        <f t="shared" si="263"/>
        <v>2338.7199999999998</v>
      </c>
    </row>
    <row r="527" spans="2:18" s="34" customFormat="1" ht="34.799999999999997">
      <c r="B527" s="75" t="s">
        <v>1029</v>
      </c>
      <c r="C527" s="76" t="s">
        <v>1030</v>
      </c>
      <c r="D527" s="77" t="s">
        <v>39</v>
      </c>
      <c r="E527" s="78">
        <v>50</v>
      </c>
      <c r="F527" s="79"/>
      <c r="G527" s="79"/>
      <c r="H527" s="79"/>
      <c r="I527" s="79">
        <f t="shared" si="238"/>
        <v>0</v>
      </c>
      <c r="J527" s="79">
        <f t="shared" si="239"/>
        <v>50</v>
      </c>
      <c r="K527" s="84">
        <v>42.56</v>
      </c>
      <c r="L527" s="81">
        <f t="shared" si="237"/>
        <v>53.949060681600002</v>
      </c>
      <c r="M527" s="82">
        <f t="shared" si="258"/>
        <v>0</v>
      </c>
      <c r="N527" s="82">
        <f t="shared" si="259"/>
        <v>0</v>
      </c>
      <c r="O527" s="82">
        <f t="shared" si="260"/>
        <v>0</v>
      </c>
      <c r="P527" s="80">
        <f t="shared" si="261"/>
        <v>2128</v>
      </c>
      <c r="Q527" s="82">
        <f t="shared" si="262"/>
        <v>2697.45</v>
      </c>
      <c r="R527" s="82">
        <f t="shared" si="263"/>
        <v>2697.45</v>
      </c>
    </row>
    <row r="528" spans="2:18" s="34" customFormat="1" ht="34.799999999999997">
      <c r="B528" s="75" t="s">
        <v>1031</v>
      </c>
      <c r="C528" s="76" t="s">
        <v>1032</v>
      </c>
      <c r="D528" s="77" t="s">
        <v>39</v>
      </c>
      <c r="E528" s="78">
        <v>20</v>
      </c>
      <c r="F528" s="79"/>
      <c r="G528" s="79"/>
      <c r="H528" s="79"/>
      <c r="I528" s="79">
        <f t="shared" si="238"/>
        <v>0</v>
      </c>
      <c r="J528" s="79">
        <f t="shared" si="239"/>
        <v>20</v>
      </c>
      <c r="K528" s="84">
        <v>78.33</v>
      </c>
      <c r="L528" s="81">
        <f t="shared" si="237"/>
        <v>99.291116616300002</v>
      </c>
      <c r="M528" s="82">
        <f t="shared" si="258"/>
        <v>0</v>
      </c>
      <c r="N528" s="82">
        <f t="shared" si="259"/>
        <v>0</v>
      </c>
      <c r="O528" s="82">
        <f t="shared" si="260"/>
        <v>0</v>
      </c>
      <c r="P528" s="80">
        <f t="shared" si="261"/>
        <v>1566.6</v>
      </c>
      <c r="Q528" s="82">
        <f t="shared" si="262"/>
        <v>1985.82</v>
      </c>
      <c r="R528" s="82">
        <f t="shared" si="263"/>
        <v>1985.82</v>
      </c>
    </row>
    <row r="529" spans="2:18" s="34" customFormat="1" ht="34.799999999999997">
      <c r="B529" s="75" t="s">
        <v>1033</v>
      </c>
      <c r="C529" s="76" t="s">
        <v>1034</v>
      </c>
      <c r="D529" s="77" t="s">
        <v>39</v>
      </c>
      <c r="E529" s="78">
        <v>10</v>
      </c>
      <c r="F529" s="79"/>
      <c r="G529" s="79"/>
      <c r="H529" s="79"/>
      <c r="I529" s="79">
        <f t="shared" si="238"/>
        <v>0</v>
      </c>
      <c r="J529" s="79">
        <f t="shared" si="239"/>
        <v>10</v>
      </c>
      <c r="K529" s="84">
        <v>95</v>
      </c>
      <c r="L529" s="81">
        <f t="shared" si="237"/>
        <v>120.42201045</v>
      </c>
      <c r="M529" s="82">
        <f t="shared" si="258"/>
        <v>0</v>
      </c>
      <c r="N529" s="82">
        <f t="shared" si="259"/>
        <v>0</v>
      </c>
      <c r="O529" s="82">
        <f t="shared" si="260"/>
        <v>0</v>
      </c>
      <c r="P529" s="80">
        <f t="shared" si="261"/>
        <v>950</v>
      </c>
      <c r="Q529" s="82">
        <f t="shared" si="262"/>
        <v>1204.22</v>
      </c>
      <c r="R529" s="82">
        <f t="shared" si="263"/>
        <v>1204.22</v>
      </c>
    </row>
    <row r="530" spans="2:18" s="34" customFormat="1" ht="34.799999999999997">
      <c r="B530" s="75" t="s">
        <v>1035</v>
      </c>
      <c r="C530" s="76" t="s">
        <v>1036</v>
      </c>
      <c r="D530" s="77" t="s">
        <v>39</v>
      </c>
      <c r="E530" s="78">
        <v>10</v>
      </c>
      <c r="F530" s="79"/>
      <c r="G530" s="79"/>
      <c r="H530" s="79"/>
      <c r="I530" s="79">
        <f t="shared" si="238"/>
        <v>0</v>
      </c>
      <c r="J530" s="79">
        <f t="shared" si="239"/>
        <v>10</v>
      </c>
      <c r="K530" s="84">
        <v>128</v>
      </c>
      <c r="L530" s="81">
        <f t="shared" si="237"/>
        <v>162.25281408000001</v>
      </c>
      <c r="M530" s="82">
        <f t="shared" si="258"/>
        <v>0</v>
      </c>
      <c r="N530" s="82">
        <f t="shared" si="259"/>
        <v>0</v>
      </c>
      <c r="O530" s="82">
        <f t="shared" si="260"/>
        <v>0</v>
      </c>
      <c r="P530" s="80">
        <f t="shared" si="261"/>
        <v>1280</v>
      </c>
      <c r="Q530" s="82">
        <f t="shared" si="262"/>
        <v>1622.52</v>
      </c>
      <c r="R530" s="82">
        <f t="shared" si="263"/>
        <v>1622.52</v>
      </c>
    </row>
    <row r="531" spans="2:18" s="34" customFormat="1" ht="23.4">
      <c r="B531" s="75" t="s">
        <v>1037</v>
      </c>
      <c r="C531" s="76" t="s">
        <v>1038</v>
      </c>
      <c r="D531" s="77" t="s">
        <v>39</v>
      </c>
      <c r="E531" s="78">
        <v>173</v>
      </c>
      <c r="F531" s="79"/>
      <c r="G531" s="79"/>
      <c r="H531" s="79"/>
      <c r="I531" s="79">
        <f t="shared" si="238"/>
        <v>0</v>
      </c>
      <c r="J531" s="79">
        <f t="shared" si="239"/>
        <v>173</v>
      </c>
      <c r="K531" s="84">
        <v>60</v>
      </c>
      <c r="L531" s="81">
        <f t="shared" si="237"/>
        <v>76.056006600000003</v>
      </c>
      <c r="M531" s="82">
        <f t="shared" si="258"/>
        <v>0</v>
      </c>
      <c r="N531" s="82">
        <f t="shared" si="259"/>
        <v>0</v>
      </c>
      <c r="O531" s="82">
        <f t="shared" si="260"/>
        <v>0</v>
      </c>
      <c r="P531" s="80">
        <f t="shared" si="261"/>
        <v>10380</v>
      </c>
      <c r="Q531" s="82">
        <f t="shared" si="262"/>
        <v>13157.68</v>
      </c>
      <c r="R531" s="82">
        <f t="shared" si="263"/>
        <v>13157.68</v>
      </c>
    </row>
    <row r="532" spans="2:18" s="34" customFormat="1" ht="34.799999999999997">
      <c r="B532" s="75" t="s">
        <v>1039</v>
      </c>
      <c r="C532" s="76" t="s">
        <v>1040</v>
      </c>
      <c r="D532" s="77" t="s">
        <v>39</v>
      </c>
      <c r="E532" s="78">
        <v>20</v>
      </c>
      <c r="F532" s="79"/>
      <c r="G532" s="79"/>
      <c r="H532" s="79"/>
      <c r="I532" s="79">
        <f t="shared" si="238"/>
        <v>0</v>
      </c>
      <c r="J532" s="79">
        <f t="shared" si="239"/>
        <v>20</v>
      </c>
      <c r="K532" s="84">
        <v>85</v>
      </c>
      <c r="L532" s="81">
        <f t="shared" si="237"/>
        <v>107.74600935000001</v>
      </c>
      <c r="M532" s="82">
        <f t="shared" si="258"/>
        <v>0</v>
      </c>
      <c r="N532" s="82">
        <f t="shared" si="259"/>
        <v>0</v>
      </c>
      <c r="O532" s="82">
        <f t="shared" si="260"/>
        <v>0</v>
      </c>
      <c r="P532" s="80">
        <f t="shared" si="261"/>
        <v>1700</v>
      </c>
      <c r="Q532" s="82">
        <f t="shared" si="262"/>
        <v>2154.92</v>
      </c>
      <c r="R532" s="82">
        <f t="shared" si="263"/>
        <v>2154.92</v>
      </c>
    </row>
    <row r="533" spans="2:18" s="34" customFormat="1" ht="34.799999999999997">
      <c r="B533" s="75" t="s">
        <v>1041</v>
      </c>
      <c r="C533" s="76" t="s">
        <v>1042</v>
      </c>
      <c r="D533" s="77" t="s">
        <v>39</v>
      </c>
      <c r="E533" s="78">
        <v>6</v>
      </c>
      <c r="F533" s="79"/>
      <c r="G533" s="79"/>
      <c r="H533" s="79"/>
      <c r="I533" s="79">
        <f t="shared" si="238"/>
        <v>0</v>
      </c>
      <c r="J533" s="79">
        <f t="shared" si="239"/>
        <v>6</v>
      </c>
      <c r="K533" s="84">
        <v>285</v>
      </c>
      <c r="L533" s="81">
        <f t="shared" si="237"/>
        <v>361.26603134999999</v>
      </c>
      <c r="M533" s="82">
        <f t="shared" si="258"/>
        <v>0</v>
      </c>
      <c r="N533" s="82">
        <f t="shared" si="259"/>
        <v>0</v>
      </c>
      <c r="O533" s="82">
        <f t="shared" si="260"/>
        <v>0</v>
      </c>
      <c r="P533" s="80">
        <f t="shared" si="261"/>
        <v>1710</v>
      </c>
      <c r="Q533" s="82">
        <f t="shared" si="262"/>
        <v>2167.59</v>
      </c>
      <c r="R533" s="82">
        <f t="shared" si="263"/>
        <v>2167.59</v>
      </c>
    </row>
    <row r="534" spans="2:18" s="34" customFormat="1" ht="34.799999999999997">
      <c r="B534" s="75" t="s">
        <v>1043</v>
      </c>
      <c r="C534" s="76" t="s">
        <v>1044</v>
      </c>
      <c r="D534" s="77" t="s">
        <v>39</v>
      </c>
      <c r="E534" s="78">
        <v>20</v>
      </c>
      <c r="F534" s="79"/>
      <c r="G534" s="79"/>
      <c r="H534" s="79"/>
      <c r="I534" s="79">
        <f t="shared" si="238"/>
        <v>0</v>
      </c>
      <c r="J534" s="79">
        <f t="shared" si="239"/>
        <v>20</v>
      </c>
      <c r="K534" s="84">
        <v>38</v>
      </c>
      <c r="L534" s="81">
        <f t="shared" si="237"/>
        <v>48.168804180000002</v>
      </c>
      <c r="M534" s="82">
        <f t="shared" si="258"/>
        <v>0</v>
      </c>
      <c r="N534" s="82">
        <f t="shared" si="259"/>
        <v>0</v>
      </c>
      <c r="O534" s="82">
        <f t="shared" si="260"/>
        <v>0</v>
      </c>
      <c r="P534" s="80">
        <f t="shared" si="261"/>
        <v>760</v>
      </c>
      <c r="Q534" s="82">
        <f t="shared" si="262"/>
        <v>963.37</v>
      </c>
      <c r="R534" s="82">
        <f t="shared" si="263"/>
        <v>963.37</v>
      </c>
    </row>
    <row r="535" spans="2:18" s="34" customFormat="1" ht="34.799999999999997">
      <c r="B535" s="75" t="s">
        <v>1045</v>
      </c>
      <c r="C535" s="76" t="s">
        <v>1046</v>
      </c>
      <c r="D535" s="77" t="s">
        <v>39</v>
      </c>
      <c r="E535" s="78">
        <v>10</v>
      </c>
      <c r="F535" s="79"/>
      <c r="G535" s="79"/>
      <c r="H535" s="79"/>
      <c r="I535" s="79">
        <f t="shared" si="238"/>
        <v>0</v>
      </c>
      <c r="J535" s="79">
        <f t="shared" si="239"/>
        <v>10</v>
      </c>
      <c r="K535" s="84">
        <v>118</v>
      </c>
      <c r="L535" s="81">
        <f t="shared" si="237"/>
        <v>149.57681298</v>
      </c>
      <c r="M535" s="82">
        <f t="shared" si="258"/>
        <v>0</v>
      </c>
      <c r="N535" s="82">
        <f t="shared" si="259"/>
        <v>0</v>
      </c>
      <c r="O535" s="82">
        <f t="shared" si="260"/>
        <v>0</v>
      </c>
      <c r="P535" s="80">
        <f t="shared" si="261"/>
        <v>1180</v>
      </c>
      <c r="Q535" s="82">
        <f t="shared" si="262"/>
        <v>1495.76</v>
      </c>
      <c r="R535" s="82">
        <f t="shared" si="263"/>
        <v>1495.76</v>
      </c>
    </row>
    <row r="536" spans="2:18" s="34" customFormat="1" ht="23.4">
      <c r="B536" s="75" t="s">
        <v>1047</v>
      </c>
      <c r="C536" s="76" t="s">
        <v>1048</v>
      </c>
      <c r="D536" s="77" t="s">
        <v>39</v>
      </c>
      <c r="E536" s="78">
        <v>10</v>
      </c>
      <c r="F536" s="79"/>
      <c r="G536" s="79"/>
      <c r="H536" s="79"/>
      <c r="I536" s="79">
        <f t="shared" si="238"/>
        <v>0</v>
      </c>
      <c r="J536" s="79">
        <f t="shared" si="239"/>
        <v>10</v>
      </c>
      <c r="K536" s="84">
        <v>88.39</v>
      </c>
      <c r="L536" s="81">
        <f t="shared" si="237"/>
        <v>112.04317372290001</v>
      </c>
      <c r="M536" s="82">
        <f t="shared" si="258"/>
        <v>0</v>
      </c>
      <c r="N536" s="82">
        <f t="shared" si="259"/>
        <v>0</v>
      </c>
      <c r="O536" s="82">
        <f t="shared" si="260"/>
        <v>0</v>
      </c>
      <c r="P536" s="80">
        <f t="shared" si="261"/>
        <v>883.9</v>
      </c>
      <c r="Q536" s="82">
        <f t="shared" si="262"/>
        <v>1120.43</v>
      </c>
      <c r="R536" s="82">
        <f t="shared" si="263"/>
        <v>1120.43</v>
      </c>
    </row>
    <row r="537" spans="2:18" s="34" customFormat="1" ht="23.4">
      <c r="B537" s="75" t="s">
        <v>1049</v>
      </c>
      <c r="C537" s="76" t="s">
        <v>1050</v>
      </c>
      <c r="D537" s="77" t="s">
        <v>39</v>
      </c>
      <c r="E537" s="78">
        <v>20</v>
      </c>
      <c r="F537" s="79"/>
      <c r="G537" s="79"/>
      <c r="H537" s="79"/>
      <c r="I537" s="79">
        <f t="shared" si="238"/>
        <v>0</v>
      </c>
      <c r="J537" s="79">
        <f t="shared" si="239"/>
        <v>20</v>
      </c>
      <c r="K537" s="84">
        <v>45.21</v>
      </c>
      <c r="L537" s="81">
        <f t="shared" si="237"/>
        <v>57.308200973100007</v>
      </c>
      <c r="M537" s="82">
        <f t="shared" si="258"/>
        <v>0</v>
      </c>
      <c r="N537" s="82">
        <f t="shared" si="259"/>
        <v>0</v>
      </c>
      <c r="O537" s="82">
        <f t="shared" si="260"/>
        <v>0</v>
      </c>
      <c r="P537" s="80">
        <f t="shared" si="261"/>
        <v>904.2</v>
      </c>
      <c r="Q537" s="82">
        <f t="shared" si="262"/>
        <v>1146.1600000000001</v>
      </c>
      <c r="R537" s="82">
        <f t="shared" si="263"/>
        <v>1146.1600000000001</v>
      </c>
    </row>
    <row r="538" spans="2:18" s="34" customFormat="1" ht="23.4">
      <c r="B538" s="75" t="s">
        <v>1051</v>
      </c>
      <c r="C538" s="76" t="s">
        <v>1052</v>
      </c>
      <c r="D538" s="77" t="s">
        <v>39</v>
      </c>
      <c r="E538" s="78">
        <v>10</v>
      </c>
      <c r="F538" s="79"/>
      <c r="G538" s="79"/>
      <c r="H538" s="79"/>
      <c r="I538" s="79">
        <f t="shared" si="238"/>
        <v>0</v>
      </c>
      <c r="J538" s="79">
        <f t="shared" si="239"/>
        <v>10</v>
      </c>
      <c r="K538" s="84">
        <v>65.290000000000006</v>
      </c>
      <c r="L538" s="81">
        <f t="shared" si="237"/>
        <v>82.761611181900008</v>
      </c>
      <c r="M538" s="82">
        <f t="shared" si="258"/>
        <v>0</v>
      </c>
      <c r="N538" s="82">
        <f t="shared" si="259"/>
        <v>0</v>
      </c>
      <c r="O538" s="82">
        <f t="shared" si="260"/>
        <v>0</v>
      </c>
      <c r="P538" s="80">
        <f t="shared" si="261"/>
        <v>652.90000000000009</v>
      </c>
      <c r="Q538" s="82">
        <f t="shared" si="262"/>
        <v>827.61</v>
      </c>
      <c r="R538" s="82">
        <f t="shared" si="263"/>
        <v>827.61</v>
      </c>
    </row>
    <row r="539" spans="2:18" s="34" customFormat="1" ht="34.799999999999997">
      <c r="B539" s="75" t="s">
        <v>1053</v>
      </c>
      <c r="C539" s="76" t="s">
        <v>1054</v>
      </c>
      <c r="D539" s="77" t="s">
        <v>39</v>
      </c>
      <c r="E539" s="78">
        <v>30</v>
      </c>
      <c r="F539" s="79"/>
      <c r="G539" s="79"/>
      <c r="H539" s="79"/>
      <c r="I539" s="79">
        <f t="shared" si="238"/>
        <v>0</v>
      </c>
      <c r="J539" s="79">
        <f t="shared" si="239"/>
        <v>30</v>
      </c>
      <c r="K539" s="84">
        <v>80</v>
      </c>
      <c r="L539" s="81">
        <f t="shared" si="237"/>
        <v>101.4080088</v>
      </c>
      <c r="M539" s="82">
        <f t="shared" si="258"/>
        <v>0</v>
      </c>
      <c r="N539" s="82">
        <f t="shared" si="259"/>
        <v>0</v>
      </c>
      <c r="O539" s="82">
        <f t="shared" si="260"/>
        <v>0</v>
      </c>
      <c r="P539" s="80">
        <f t="shared" si="261"/>
        <v>2400</v>
      </c>
      <c r="Q539" s="82">
        <f t="shared" si="262"/>
        <v>3042.24</v>
      </c>
      <c r="R539" s="82">
        <f t="shared" si="263"/>
        <v>3042.24</v>
      </c>
    </row>
    <row r="540" spans="2:18" s="34" customFormat="1" ht="23.4">
      <c r="B540" s="75" t="s">
        <v>1055</v>
      </c>
      <c r="C540" s="76" t="s">
        <v>1056</v>
      </c>
      <c r="D540" s="77" t="s">
        <v>39</v>
      </c>
      <c r="E540" s="78">
        <v>50</v>
      </c>
      <c r="F540" s="79"/>
      <c r="G540" s="79"/>
      <c r="H540" s="79"/>
      <c r="I540" s="79">
        <f t="shared" si="238"/>
        <v>0</v>
      </c>
      <c r="J540" s="79">
        <f t="shared" si="239"/>
        <v>50</v>
      </c>
      <c r="K540" s="84">
        <v>120</v>
      </c>
      <c r="L540" s="81">
        <f t="shared" si="237"/>
        <v>152.11201320000001</v>
      </c>
      <c r="M540" s="82">
        <f t="shared" si="258"/>
        <v>0</v>
      </c>
      <c r="N540" s="82">
        <f t="shared" si="259"/>
        <v>0</v>
      </c>
      <c r="O540" s="82">
        <f t="shared" si="260"/>
        <v>0</v>
      </c>
      <c r="P540" s="80">
        <f t="shared" si="261"/>
        <v>6000</v>
      </c>
      <c r="Q540" s="82">
        <f t="shared" si="262"/>
        <v>7605.6</v>
      </c>
      <c r="R540" s="82">
        <f t="shared" si="263"/>
        <v>7605.6</v>
      </c>
    </row>
    <row r="541" spans="2:18" s="34" customFormat="1" ht="23.4">
      <c r="B541" s="75" t="s">
        <v>1057</v>
      </c>
      <c r="C541" s="76" t="s">
        <v>1058</v>
      </c>
      <c r="D541" s="77" t="s">
        <v>39</v>
      </c>
      <c r="E541" s="78">
        <v>10</v>
      </c>
      <c r="F541" s="79"/>
      <c r="G541" s="79"/>
      <c r="H541" s="79"/>
      <c r="I541" s="79">
        <f t="shared" si="238"/>
        <v>0</v>
      </c>
      <c r="J541" s="79">
        <f t="shared" si="239"/>
        <v>10</v>
      </c>
      <c r="K541" s="84">
        <v>137.9</v>
      </c>
      <c r="L541" s="81">
        <f t="shared" ref="L541:L590" si="264">K541*(1+$T$26)</f>
        <v>174.80205516900003</v>
      </c>
      <c r="M541" s="82">
        <f t="shared" si="258"/>
        <v>0</v>
      </c>
      <c r="N541" s="82">
        <f t="shared" si="259"/>
        <v>0</v>
      </c>
      <c r="O541" s="82">
        <f t="shared" si="260"/>
        <v>0</v>
      </c>
      <c r="P541" s="80">
        <f t="shared" si="261"/>
        <v>1379</v>
      </c>
      <c r="Q541" s="82">
        <f t="shared" si="262"/>
        <v>1748.02</v>
      </c>
      <c r="R541" s="82">
        <f t="shared" si="263"/>
        <v>1748.02</v>
      </c>
    </row>
    <row r="542" spans="2:18" s="34" customFormat="1" ht="23.4">
      <c r="B542" s="75" t="s">
        <v>1059</v>
      </c>
      <c r="C542" s="76" t="s">
        <v>1060</v>
      </c>
      <c r="D542" s="77" t="s">
        <v>39</v>
      </c>
      <c r="E542" s="78">
        <v>20</v>
      </c>
      <c r="F542" s="79"/>
      <c r="G542" s="79"/>
      <c r="H542" s="79"/>
      <c r="I542" s="79">
        <f t="shared" si="238"/>
        <v>0</v>
      </c>
      <c r="J542" s="79">
        <f t="shared" si="239"/>
        <v>20</v>
      </c>
      <c r="K542" s="84">
        <v>69</v>
      </c>
      <c r="L542" s="81">
        <f t="shared" si="264"/>
        <v>87.464407590000008</v>
      </c>
      <c r="M542" s="82">
        <f t="shared" si="258"/>
        <v>0</v>
      </c>
      <c r="N542" s="82">
        <f t="shared" si="259"/>
        <v>0</v>
      </c>
      <c r="O542" s="82">
        <f t="shared" si="260"/>
        <v>0</v>
      </c>
      <c r="P542" s="80">
        <f t="shared" si="261"/>
        <v>1380</v>
      </c>
      <c r="Q542" s="82">
        <f t="shared" si="262"/>
        <v>1749.28</v>
      </c>
      <c r="R542" s="82">
        <f t="shared" si="263"/>
        <v>1749.28</v>
      </c>
    </row>
    <row r="543" spans="2:18" s="34" customFormat="1" ht="34.799999999999997">
      <c r="B543" s="75" t="s">
        <v>1061</v>
      </c>
      <c r="C543" s="76" t="s">
        <v>1062</v>
      </c>
      <c r="D543" s="77" t="s">
        <v>39</v>
      </c>
      <c r="E543" s="78">
        <v>10</v>
      </c>
      <c r="F543" s="79"/>
      <c r="G543" s="79"/>
      <c r="H543" s="79"/>
      <c r="I543" s="79">
        <f t="shared" ref="I543:I590" si="265">SUM(G543:H543)</f>
        <v>0</v>
      </c>
      <c r="J543" s="79">
        <f t="shared" ref="J543:J590" si="266">E543-I543</f>
        <v>10</v>
      </c>
      <c r="K543" s="84">
        <v>180</v>
      </c>
      <c r="L543" s="81">
        <f t="shared" si="264"/>
        <v>228.16801980000002</v>
      </c>
      <c r="M543" s="82">
        <f t="shared" si="258"/>
        <v>0</v>
      </c>
      <c r="N543" s="82">
        <f t="shared" si="259"/>
        <v>0</v>
      </c>
      <c r="O543" s="82">
        <f t="shared" si="260"/>
        <v>0</v>
      </c>
      <c r="P543" s="80">
        <f t="shared" si="261"/>
        <v>1800</v>
      </c>
      <c r="Q543" s="82">
        <f t="shared" si="262"/>
        <v>2281.6799999999998</v>
      </c>
      <c r="R543" s="82">
        <f t="shared" si="263"/>
        <v>2281.6799999999998</v>
      </c>
    </row>
    <row r="544" spans="2:18" s="34" customFormat="1" ht="57.6">
      <c r="B544" s="75" t="s">
        <v>1063</v>
      </c>
      <c r="C544" s="76" t="s">
        <v>1064</v>
      </c>
      <c r="D544" s="77" t="s">
        <v>39</v>
      </c>
      <c r="E544" s="78">
        <v>1</v>
      </c>
      <c r="F544" s="79"/>
      <c r="G544" s="79"/>
      <c r="H544" s="79"/>
      <c r="I544" s="79">
        <f t="shared" si="265"/>
        <v>0</v>
      </c>
      <c r="J544" s="79">
        <f t="shared" si="266"/>
        <v>1</v>
      </c>
      <c r="K544" s="84">
        <v>320</v>
      </c>
      <c r="L544" s="81">
        <f t="shared" si="264"/>
        <v>405.63203520000002</v>
      </c>
      <c r="M544" s="82">
        <f t="shared" si="258"/>
        <v>0</v>
      </c>
      <c r="N544" s="82">
        <f t="shared" si="259"/>
        <v>0</v>
      </c>
      <c r="O544" s="82">
        <f t="shared" si="260"/>
        <v>0</v>
      </c>
      <c r="P544" s="80">
        <f t="shared" si="261"/>
        <v>320</v>
      </c>
      <c r="Q544" s="82">
        <f t="shared" si="262"/>
        <v>405.63</v>
      </c>
      <c r="R544" s="82">
        <f t="shared" si="263"/>
        <v>405.63</v>
      </c>
    </row>
    <row r="545" spans="2:18" s="34" customFormat="1" ht="46.2">
      <c r="B545" s="75" t="s">
        <v>1065</v>
      </c>
      <c r="C545" s="76" t="s">
        <v>1066</v>
      </c>
      <c r="D545" s="77" t="s">
        <v>39</v>
      </c>
      <c r="E545" s="78">
        <v>1</v>
      </c>
      <c r="F545" s="79"/>
      <c r="G545" s="79"/>
      <c r="H545" s="79"/>
      <c r="I545" s="79">
        <f t="shared" si="265"/>
        <v>0</v>
      </c>
      <c r="J545" s="79">
        <f t="shared" si="266"/>
        <v>1</v>
      </c>
      <c r="K545" s="84">
        <v>800</v>
      </c>
      <c r="L545" s="81">
        <f t="shared" si="264"/>
        <v>1014.080088</v>
      </c>
      <c r="M545" s="82">
        <f t="shared" si="258"/>
        <v>0</v>
      </c>
      <c r="N545" s="82">
        <f t="shared" si="259"/>
        <v>0</v>
      </c>
      <c r="O545" s="82">
        <f t="shared" si="260"/>
        <v>0</v>
      </c>
      <c r="P545" s="80">
        <f t="shared" si="261"/>
        <v>800</v>
      </c>
      <c r="Q545" s="82">
        <f t="shared" si="262"/>
        <v>1014.08</v>
      </c>
      <c r="R545" s="82">
        <f t="shared" si="263"/>
        <v>1014.08</v>
      </c>
    </row>
    <row r="546" spans="2:18" s="34" customFormat="1" ht="13.2">
      <c r="B546" s="75" t="s">
        <v>1067</v>
      </c>
      <c r="C546" s="76" t="s">
        <v>1068</v>
      </c>
      <c r="D546" s="77" t="s">
        <v>39</v>
      </c>
      <c r="E546" s="78">
        <v>2</v>
      </c>
      <c r="F546" s="79"/>
      <c r="G546" s="79"/>
      <c r="H546" s="79"/>
      <c r="I546" s="79">
        <f t="shared" si="265"/>
        <v>0</v>
      </c>
      <c r="J546" s="79">
        <f t="shared" si="266"/>
        <v>2</v>
      </c>
      <c r="K546" s="84">
        <v>605.34</v>
      </c>
      <c r="L546" s="81">
        <f t="shared" si="264"/>
        <v>767.32905058740005</v>
      </c>
      <c r="M546" s="82">
        <f t="shared" si="258"/>
        <v>0</v>
      </c>
      <c r="N546" s="82">
        <f t="shared" si="259"/>
        <v>0</v>
      </c>
      <c r="O546" s="82">
        <f t="shared" si="260"/>
        <v>0</v>
      </c>
      <c r="P546" s="80">
        <f t="shared" si="261"/>
        <v>1210.68</v>
      </c>
      <c r="Q546" s="82">
        <f t="shared" si="262"/>
        <v>1534.65</v>
      </c>
      <c r="R546" s="82">
        <f t="shared" si="263"/>
        <v>1534.65</v>
      </c>
    </row>
    <row r="547" spans="2:18" s="34" customFormat="1" ht="13.2">
      <c r="B547" s="75" t="s">
        <v>1069</v>
      </c>
      <c r="C547" s="76" t="s">
        <v>1070</v>
      </c>
      <c r="D547" s="77" t="s">
        <v>39</v>
      </c>
      <c r="E547" s="78">
        <v>3</v>
      </c>
      <c r="F547" s="79"/>
      <c r="G547" s="79"/>
      <c r="H547" s="79"/>
      <c r="I547" s="79">
        <f t="shared" si="265"/>
        <v>0</v>
      </c>
      <c r="J547" s="79">
        <f t="shared" si="266"/>
        <v>3</v>
      </c>
      <c r="K547" s="84">
        <v>311.79000000000002</v>
      </c>
      <c r="L547" s="81">
        <f t="shared" si="264"/>
        <v>395.22503829690004</v>
      </c>
      <c r="M547" s="82">
        <f t="shared" si="258"/>
        <v>0</v>
      </c>
      <c r="N547" s="82">
        <f t="shared" si="259"/>
        <v>0</v>
      </c>
      <c r="O547" s="82">
        <f t="shared" si="260"/>
        <v>0</v>
      </c>
      <c r="P547" s="80">
        <f t="shared" si="261"/>
        <v>935.37000000000012</v>
      </c>
      <c r="Q547" s="82">
        <f t="shared" si="262"/>
        <v>1185.67</v>
      </c>
      <c r="R547" s="82">
        <f t="shared" si="263"/>
        <v>1185.67</v>
      </c>
    </row>
    <row r="548" spans="2:18" s="34" customFormat="1" ht="13.2">
      <c r="B548" s="75" t="s">
        <v>1071</v>
      </c>
      <c r="C548" s="76" t="s">
        <v>1072</v>
      </c>
      <c r="D548" s="77" t="s">
        <v>39</v>
      </c>
      <c r="E548" s="78">
        <v>2</v>
      </c>
      <c r="F548" s="79"/>
      <c r="G548" s="79"/>
      <c r="H548" s="79"/>
      <c r="I548" s="79">
        <f t="shared" si="265"/>
        <v>0</v>
      </c>
      <c r="J548" s="79">
        <f t="shared" si="266"/>
        <v>2</v>
      </c>
      <c r="K548" s="84">
        <v>195</v>
      </c>
      <c r="L548" s="81">
        <f t="shared" si="264"/>
        <v>247.18202145000001</v>
      </c>
      <c r="M548" s="82">
        <f t="shared" si="258"/>
        <v>0</v>
      </c>
      <c r="N548" s="82">
        <f t="shared" si="259"/>
        <v>0</v>
      </c>
      <c r="O548" s="82">
        <f t="shared" si="260"/>
        <v>0</v>
      </c>
      <c r="P548" s="80">
        <f t="shared" si="261"/>
        <v>390</v>
      </c>
      <c r="Q548" s="82">
        <f t="shared" si="262"/>
        <v>494.36</v>
      </c>
      <c r="R548" s="82">
        <f t="shared" si="263"/>
        <v>494.36</v>
      </c>
    </row>
    <row r="549" spans="2:18" s="34" customFormat="1" ht="34.799999999999997">
      <c r="B549" s="75" t="s">
        <v>1073</v>
      </c>
      <c r="C549" s="76" t="s">
        <v>1074</v>
      </c>
      <c r="D549" s="77" t="s">
        <v>39</v>
      </c>
      <c r="E549" s="78">
        <v>1</v>
      </c>
      <c r="F549" s="79"/>
      <c r="G549" s="79"/>
      <c r="H549" s="79"/>
      <c r="I549" s="79">
        <f t="shared" si="265"/>
        <v>0</v>
      </c>
      <c r="J549" s="79">
        <f t="shared" si="266"/>
        <v>1</v>
      </c>
      <c r="K549" s="84">
        <v>1400</v>
      </c>
      <c r="L549" s="81">
        <f t="shared" si="264"/>
        <v>1774.6401540000002</v>
      </c>
      <c r="M549" s="82">
        <f t="shared" si="258"/>
        <v>0</v>
      </c>
      <c r="N549" s="82">
        <f t="shared" si="259"/>
        <v>0</v>
      </c>
      <c r="O549" s="82">
        <f t="shared" si="260"/>
        <v>0</v>
      </c>
      <c r="P549" s="80">
        <f t="shared" si="261"/>
        <v>1400</v>
      </c>
      <c r="Q549" s="82">
        <f t="shared" si="262"/>
        <v>1774.64</v>
      </c>
      <c r="R549" s="82">
        <f t="shared" si="263"/>
        <v>1774.64</v>
      </c>
    </row>
    <row r="550" spans="2:18" s="34" customFormat="1" ht="46.2">
      <c r="B550" s="75" t="s">
        <v>1075</v>
      </c>
      <c r="C550" s="76" t="s">
        <v>1076</v>
      </c>
      <c r="D550" s="77" t="s">
        <v>39</v>
      </c>
      <c r="E550" s="78">
        <v>16</v>
      </c>
      <c r="F550" s="79"/>
      <c r="G550" s="79"/>
      <c r="H550" s="79"/>
      <c r="I550" s="79">
        <f t="shared" si="265"/>
        <v>0</v>
      </c>
      <c r="J550" s="79">
        <f t="shared" si="266"/>
        <v>16</v>
      </c>
      <c r="K550" s="84">
        <v>1900</v>
      </c>
      <c r="L550" s="81">
        <f t="shared" si="264"/>
        <v>2408.4402090000003</v>
      </c>
      <c r="M550" s="82">
        <f t="shared" si="258"/>
        <v>0</v>
      </c>
      <c r="N550" s="82">
        <f t="shared" si="259"/>
        <v>0</v>
      </c>
      <c r="O550" s="82">
        <f t="shared" si="260"/>
        <v>0</v>
      </c>
      <c r="P550" s="80">
        <f t="shared" si="261"/>
        <v>30400</v>
      </c>
      <c r="Q550" s="82">
        <f t="shared" si="262"/>
        <v>38535.040000000001</v>
      </c>
      <c r="R550" s="82">
        <f t="shared" si="263"/>
        <v>38535.040000000001</v>
      </c>
    </row>
    <row r="551" spans="2:18" s="34" customFormat="1" ht="34.799999999999997">
      <c r="B551" s="75" t="s">
        <v>1077</v>
      </c>
      <c r="C551" s="76" t="s">
        <v>1078</v>
      </c>
      <c r="D551" s="77" t="s">
        <v>39</v>
      </c>
      <c r="E551" s="78">
        <v>140</v>
      </c>
      <c r="F551" s="79"/>
      <c r="G551" s="79"/>
      <c r="H551" s="79"/>
      <c r="I551" s="79">
        <f t="shared" si="265"/>
        <v>0</v>
      </c>
      <c r="J551" s="79">
        <f t="shared" si="266"/>
        <v>140</v>
      </c>
      <c r="K551" s="84">
        <v>25</v>
      </c>
      <c r="L551" s="81">
        <f t="shared" si="264"/>
        <v>31.690002750000001</v>
      </c>
      <c r="M551" s="82">
        <f t="shared" si="258"/>
        <v>0</v>
      </c>
      <c r="N551" s="82">
        <f t="shared" si="259"/>
        <v>0</v>
      </c>
      <c r="O551" s="82">
        <f t="shared" si="260"/>
        <v>0</v>
      </c>
      <c r="P551" s="80">
        <f t="shared" si="261"/>
        <v>3500</v>
      </c>
      <c r="Q551" s="82">
        <f t="shared" si="262"/>
        <v>4436.6000000000004</v>
      </c>
      <c r="R551" s="82">
        <f t="shared" si="263"/>
        <v>4436.6000000000004</v>
      </c>
    </row>
    <row r="552" spans="2:18" s="34" customFormat="1" ht="13.2">
      <c r="B552" s="66" t="s">
        <v>1079</v>
      </c>
      <c r="C552" s="67" t="s">
        <v>1080</v>
      </c>
      <c r="D552" s="68"/>
      <c r="E552" s="69"/>
      <c r="F552" s="70"/>
      <c r="G552" s="70"/>
      <c r="H552" s="70"/>
      <c r="I552" s="70">
        <f t="shared" si="265"/>
        <v>0</v>
      </c>
      <c r="J552" s="70">
        <f t="shared" si="266"/>
        <v>0</v>
      </c>
      <c r="K552" s="71"/>
      <c r="L552" s="71">
        <f t="shared" si="264"/>
        <v>0</v>
      </c>
      <c r="M552" s="73">
        <f t="shared" ref="M552:R552" si="267">SUM(M553:M553)</f>
        <v>0</v>
      </c>
      <c r="N552" s="73">
        <f t="shared" si="267"/>
        <v>0</v>
      </c>
      <c r="O552" s="73">
        <f t="shared" si="267"/>
        <v>0</v>
      </c>
      <c r="P552" s="73">
        <f t="shared" si="267"/>
        <v>7310</v>
      </c>
      <c r="Q552" s="73">
        <f t="shared" si="267"/>
        <v>9266.15</v>
      </c>
      <c r="R552" s="73">
        <f t="shared" si="267"/>
        <v>9266.15</v>
      </c>
    </row>
    <row r="553" spans="2:18" s="34" customFormat="1" ht="23.4">
      <c r="B553" s="75" t="s">
        <v>1081</v>
      </c>
      <c r="C553" s="76" t="s">
        <v>1082</v>
      </c>
      <c r="D553" s="77" t="s">
        <v>63</v>
      </c>
      <c r="E553" s="78">
        <v>43</v>
      </c>
      <c r="F553" s="79"/>
      <c r="G553" s="79"/>
      <c r="H553" s="79"/>
      <c r="I553" s="79">
        <f t="shared" si="265"/>
        <v>0</v>
      </c>
      <c r="J553" s="79">
        <f t="shared" si="266"/>
        <v>43</v>
      </c>
      <c r="K553" s="84">
        <v>170</v>
      </c>
      <c r="L553" s="81">
        <f t="shared" si="264"/>
        <v>215.49201870000002</v>
      </c>
      <c r="M553" s="82">
        <f>TRUNC(F553*L553,2)</f>
        <v>0</v>
      </c>
      <c r="N553" s="82">
        <f>TRUNC(G553*L553,2)</f>
        <v>0</v>
      </c>
      <c r="O553" s="82">
        <f>N553</f>
        <v>0</v>
      </c>
      <c r="P553" s="80">
        <f>E553*K553</f>
        <v>7310</v>
      </c>
      <c r="Q553" s="82">
        <f>TRUNC(E553*L553,2)</f>
        <v>9266.15</v>
      </c>
      <c r="R553" s="82">
        <f>Q553-O553</f>
        <v>9266.15</v>
      </c>
    </row>
    <row r="554" spans="2:18" s="34" customFormat="1" ht="13.2">
      <c r="B554" s="66" t="s">
        <v>1083</v>
      </c>
      <c r="C554" s="67" t="s">
        <v>1084</v>
      </c>
      <c r="D554" s="68"/>
      <c r="E554" s="69"/>
      <c r="F554" s="70"/>
      <c r="G554" s="70"/>
      <c r="H554" s="70"/>
      <c r="I554" s="70">
        <f t="shared" si="265"/>
        <v>0</v>
      </c>
      <c r="J554" s="70">
        <f t="shared" si="266"/>
        <v>0</v>
      </c>
      <c r="K554" s="71"/>
      <c r="L554" s="120">
        <f t="shared" si="264"/>
        <v>0</v>
      </c>
      <c r="M554" s="73">
        <f t="shared" ref="M554:R554" si="268">SUM(M555:M565)</f>
        <v>0</v>
      </c>
      <c r="N554" s="73">
        <f t="shared" si="268"/>
        <v>0</v>
      </c>
      <c r="O554" s="73">
        <f t="shared" si="268"/>
        <v>0</v>
      </c>
      <c r="P554" s="73">
        <f t="shared" si="268"/>
        <v>55460</v>
      </c>
      <c r="Q554" s="73">
        <f t="shared" si="268"/>
        <v>70301.090000000011</v>
      </c>
      <c r="R554" s="73">
        <f t="shared" si="268"/>
        <v>70301.090000000011</v>
      </c>
    </row>
    <row r="555" spans="2:18" s="34" customFormat="1" ht="23.4">
      <c r="B555" s="75" t="s">
        <v>1085</v>
      </c>
      <c r="C555" s="76" t="s">
        <v>1086</v>
      </c>
      <c r="D555" s="77" t="s">
        <v>131</v>
      </c>
      <c r="E555" s="78">
        <v>1</v>
      </c>
      <c r="F555" s="79"/>
      <c r="G555" s="79"/>
      <c r="H555" s="79"/>
      <c r="I555" s="79">
        <f t="shared" si="265"/>
        <v>0</v>
      </c>
      <c r="J555" s="79">
        <f t="shared" si="266"/>
        <v>1</v>
      </c>
      <c r="K555" s="84">
        <v>5800</v>
      </c>
      <c r="L555" s="81">
        <f t="shared" si="264"/>
        <v>7352.0806380000004</v>
      </c>
      <c r="M555" s="82">
        <f t="shared" ref="M555:M565" si="269">TRUNC(F555*L555,2)</f>
        <v>0</v>
      </c>
      <c r="N555" s="82">
        <f t="shared" ref="N555:N565" si="270">TRUNC(G555*L555,2)</f>
        <v>0</v>
      </c>
      <c r="O555" s="82">
        <f t="shared" ref="O555:O565" si="271">N555</f>
        <v>0</v>
      </c>
      <c r="P555" s="80">
        <f t="shared" ref="P555:P565" si="272">E555*K555</f>
        <v>5800</v>
      </c>
      <c r="Q555" s="82">
        <f t="shared" ref="Q555:Q565" si="273">TRUNC(E555*L555,2)</f>
        <v>7352.08</v>
      </c>
      <c r="R555" s="82">
        <f t="shared" ref="R555:R565" si="274">Q555-O555</f>
        <v>7352.08</v>
      </c>
    </row>
    <row r="556" spans="2:18" s="34" customFormat="1" ht="46.2">
      <c r="B556" s="75" t="s">
        <v>1087</v>
      </c>
      <c r="C556" s="76" t="s">
        <v>1088</v>
      </c>
      <c r="D556" s="77" t="s">
        <v>131</v>
      </c>
      <c r="E556" s="78">
        <v>1</v>
      </c>
      <c r="F556" s="79"/>
      <c r="G556" s="79"/>
      <c r="H556" s="79"/>
      <c r="I556" s="79">
        <f t="shared" si="265"/>
        <v>0</v>
      </c>
      <c r="J556" s="79">
        <f t="shared" si="266"/>
        <v>1</v>
      </c>
      <c r="K556" s="84">
        <v>2950</v>
      </c>
      <c r="L556" s="81">
        <f t="shared" si="264"/>
        <v>3739.4203245000003</v>
      </c>
      <c r="M556" s="82">
        <f t="shared" si="269"/>
        <v>0</v>
      </c>
      <c r="N556" s="82">
        <f t="shared" si="270"/>
        <v>0</v>
      </c>
      <c r="O556" s="82">
        <f t="shared" si="271"/>
        <v>0</v>
      </c>
      <c r="P556" s="80">
        <f t="shared" si="272"/>
        <v>2950</v>
      </c>
      <c r="Q556" s="82">
        <f t="shared" si="273"/>
        <v>3739.42</v>
      </c>
      <c r="R556" s="82">
        <f t="shared" si="274"/>
        <v>3739.42</v>
      </c>
    </row>
    <row r="557" spans="2:18" s="34" customFormat="1" ht="23.4">
      <c r="B557" s="75" t="s">
        <v>1089</v>
      </c>
      <c r="C557" s="76" t="s">
        <v>1090</v>
      </c>
      <c r="D557" s="77" t="s">
        <v>131</v>
      </c>
      <c r="E557" s="78">
        <v>1</v>
      </c>
      <c r="F557" s="79"/>
      <c r="G557" s="79"/>
      <c r="H557" s="79"/>
      <c r="I557" s="79">
        <f t="shared" si="265"/>
        <v>0</v>
      </c>
      <c r="J557" s="79">
        <f t="shared" si="266"/>
        <v>1</v>
      </c>
      <c r="K557" s="84">
        <v>5100</v>
      </c>
      <c r="L557" s="81">
        <f t="shared" si="264"/>
        <v>6464.7605610000001</v>
      </c>
      <c r="M557" s="82">
        <f t="shared" si="269"/>
        <v>0</v>
      </c>
      <c r="N557" s="82">
        <f t="shared" si="270"/>
        <v>0</v>
      </c>
      <c r="O557" s="82">
        <f t="shared" si="271"/>
        <v>0</v>
      </c>
      <c r="P557" s="80">
        <f t="shared" si="272"/>
        <v>5100</v>
      </c>
      <c r="Q557" s="82">
        <f t="shared" si="273"/>
        <v>6464.76</v>
      </c>
      <c r="R557" s="82">
        <f t="shared" si="274"/>
        <v>6464.76</v>
      </c>
    </row>
    <row r="558" spans="2:18" s="34" customFormat="1" ht="23.4">
      <c r="B558" s="75" t="s">
        <v>1091</v>
      </c>
      <c r="C558" s="76" t="s">
        <v>1092</v>
      </c>
      <c r="D558" s="77" t="s">
        <v>131</v>
      </c>
      <c r="E558" s="78">
        <v>1</v>
      </c>
      <c r="F558" s="79"/>
      <c r="G558" s="79"/>
      <c r="H558" s="79"/>
      <c r="I558" s="79">
        <f t="shared" si="265"/>
        <v>0</v>
      </c>
      <c r="J558" s="79">
        <f t="shared" si="266"/>
        <v>1</v>
      </c>
      <c r="K558" s="84">
        <v>6200</v>
      </c>
      <c r="L558" s="81">
        <f t="shared" si="264"/>
        <v>7859.1206820000007</v>
      </c>
      <c r="M558" s="82">
        <f t="shared" si="269"/>
        <v>0</v>
      </c>
      <c r="N558" s="82">
        <f t="shared" si="270"/>
        <v>0</v>
      </c>
      <c r="O558" s="82">
        <f t="shared" si="271"/>
        <v>0</v>
      </c>
      <c r="P558" s="80">
        <f t="shared" si="272"/>
        <v>6200</v>
      </c>
      <c r="Q558" s="82">
        <f t="shared" si="273"/>
        <v>7859.12</v>
      </c>
      <c r="R558" s="82">
        <f t="shared" si="274"/>
        <v>7859.12</v>
      </c>
    </row>
    <row r="559" spans="2:18" s="34" customFormat="1" ht="23.4">
      <c r="B559" s="75" t="s">
        <v>1093</v>
      </c>
      <c r="C559" s="76" t="s">
        <v>1094</v>
      </c>
      <c r="D559" s="77" t="s">
        <v>131</v>
      </c>
      <c r="E559" s="78">
        <v>15</v>
      </c>
      <c r="F559" s="79"/>
      <c r="G559" s="79"/>
      <c r="H559" s="79"/>
      <c r="I559" s="79">
        <f t="shared" si="265"/>
        <v>0</v>
      </c>
      <c r="J559" s="79">
        <f t="shared" si="266"/>
        <v>15</v>
      </c>
      <c r="K559" s="84">
        <v>250</v>
      </c>
      <c r="L559" s="81">
        <f t="shared" si="264"/>
        <v>316.90002750000002</v>
      </c>
      <c r="M559" s="82">
        <f t="shared" si="269"/>
        <v>0</v>
      </c>
      <c r="N559" s="82">
        <f t="shared" si="270"/>
        <v>0</v>
      </c>
      <c r="O559" s="82">
        <f t="shared" si="271"/>
        <v>0</v>
      </c>
      <c r="P559" s="80">
        <f t="shared" si="272"/>
        <v>3750</v>
      </c>
      <c r="Q559" s="82">
        <f t="shared" si="273"/>
        <v>4753.5</v>
      </c>
      <c r="R559" s="82">
        <f t="shared" si="274"/>
        <v>4753.5</v>
      </c>
    </row>
    <row r="560" spans="2:18" s="34" customFormat="1" ht="23.4">
      <c r="B560" s="75" t="s">
        <v>1095</v>
      </c>
      <c r="C560" s="76" t="s">
        <v>1096</v>
      </c>
      <c r="D560" s="77" t="s">
        <v>131</v>
      </c>
      <c r="E560" s="78">
        <v>1</v>
      </c>
      <c r="F560" s="79"/>
      <c r="G560" s="79"/>
      <c r="H560" s="79"/>
      <c r="I560" s="79">
        <f t="shared" si="265"/>
        <v>0</v>
      </c>
      <c r="J560" s="79">
        <f t="shared" si="266"/>
        <v>1</v>
      </c>
      <c r="K560" s="84">
        <v>350</v>
      </c>
      <c r="L560" s="81">
        <f t="shared" si="264"/>
        <v>443.66003850000004</v>
      </c>
      <c r="M560" s="82">
        <f t="shared" si="269"/>
        <v>0</v>
      </c>
      <c r="N560" s="82">
        <f t="shared" si="270"/>
        <v>0</v>
      </c>
      <c r="O560" s="82">
        <f t="shared" si="271"/>
        <v>0</v>
      </c>
      <c r="P560" s="80">
        <f t="shared" si="272"/>
        <v>350</v>
      </c>
      <c r="Q560" s="82">
        <f t="shared" si="273"/>
        <v>443.66</v>
      </c>
      <c r="R560" s="82">
        <f t="shared" si="274"/>
        <v>443.66</v>
      </c>
    </row>
    <row r="561" spans="2:18" s="34" customFormat="1" ht="13.2">
      <c r="B561" s="75" t="s">
        <v>1097</v>
      </c>
      <c r="C561" s="76" t="s">
        <v>1098</v>
      </c>
      <c r="D561" s="77" t="s">
        <v>131</v>
      </c>
      <c r="E561" s="78">
        <v>15</v>
      </c>
      <c r="F561" s="79"/>
      <c r="G561" s="79"/>
      <c r="H561" s="79"/>
      <c r="I561" s="79">
        <f t="shared" si="265"/>
        <v>0</v>
      </c>
      <c r="J561" s="79">
        <f t="shared" si="266"/>
        <v>15</v>
      </c>
      <c r="K561" s="84">
        <v>260</v>
      </c>
      <c r="L561" s="81">
        <f t="shared" si="264"/>
        <v>329.57602860000003</v>
      </c>
      <c r="M561" s="82">
        <f t="shared" si="269"/>
        <v>0</v>
      </c>
      <c r="N561" s="82">
        <f t="shared" si="270"/>
        <v>0</v>
      </c>
      <c r="O561" s="82">
        <f t="shared" si="271"/>
        <v>0</v>
      </c>
      <c r="P561" s="80">
        <f t="shared" si="272"/>
        <v>3900</v>
      </c>
      <c r="Q561" s="82">
        <f t="shared" si="273"/>
        <v>4943.6400000000003</v>
      </c>
      <c r="R561" s="82">
        <f t="shared" si="274"/>
        <v>4943.6400000000003</v>
      </c>
    </row>
    <row r="562" spans="2:18" s="34" customFormat="1" ht="23.4">
      <c r="B562" s="75" t="s">
        <v>1099</v>
      </c>
      <c r="C562" s="76" t="s">
        <v>1100</v>
      </c>
      <c r="D562" s="77" t="s">
        <v>131</v>
      </c>
      <c r="E562" s="78">
        <v>1</v>
      </c>
      <c r="F562" s="79"/>
      <c r="G562" s="79"/>
      <c r="H562" s="79"/>
      <c r="I562" s="79">
        <f t="shared" si="265"/>
        <v>0</v>
      </c>
      <c r="J562" s="79">
        <f t="shared" si="266"/>
        <v>1</v>
      </c>
      <c r="K562" s="84">
        <v>360</v>
      </c>
      <c r="L562" s="81">
        <f t="shared" si="264"/>
        <v>456.33603960000005</v>
      </c>
      <c r="M562" s="82">
        <f t="shared" si="269"/>
        <v>0</v>
      </c>
      <c r="N562" s="82">
        <f t="shared" si="270"/>
        <v>0</v>
      </c>
      <c r="O562" s="82">
        <f t="shared" si="271"/>
        <v>0</v>
      </c>
      <c r="P562" s="80">
        <f t="shared" si="272"/>
        <v>360</v>
      </c>
      <c r="Q562" s="82">
        <f t="shared" si="273"/>
        <v>456.33</v>
      </c>
      <c r="R562" s="82">
        <f t="shared" si="274"/>
        <v>456.33</v>
      </c>
    </row>
    <row r="563" spans="2:18" s="34" customFormat="1" ht="13.2">
      <c r="B563" s="75" t="s">
        <v>1101</v>
      </c>
      <c r="C563" s="76" t="s">
        <v>1102</v>
      </c>
      <c r="D563" s="77" t="s">
        <v>131</v>
      </c>
      <c r="E563" s="78">
        <v>2</v>
      </c>
      <c r="F563" s="79"/>
      <c r="G563" s="79"/>
      <c r="H563" s="79"/>
      <c r="I563" s="79">
        <f t="shared" si="265"/>
        <v>0</v>
      </c>
      <c r="J563" s="79">
        <f t="shared" si="266"/>
        <v>2</v>
      </c>
      <c r="K563" s="84">
        <v>3650</v>
      </c>
      <c r="L563" s="81">
        <f t="shared" si="264"/>
        <v>4626.7404015000002</v>
      </c>
      <c r="M563" s="82">
        <f t="shared" si="269"/>
        <v>0</v>
      </c>
      <c r="N563" s="82">
        <f t="shared" si="270"/>
        <v>0</v>
      </c>
      <c r="O563" s="82">
        <f t="shared" si="271"/>
        <v>0</v>
      </c>
      <c r="P563" s="80">
        <f t="shared" si="272"/>
        <v>7300</v>
      </c>
      <c r="Q563" s="82">
        <f t="shared" si="273"/>
        <v>9253.48</v>
      </c>
      <c r="R563" s="82">
        <f t="shared" si="274"/>
        <v>9253.48</v>
      </c>
    </row>
    <row r="564" spans="2:18" s="34" customFormat="1" ht="23.4">
      <c r="B564" s="75" t="s">
        <v>1103</v>
      </c>
      <c r="C564" s="76" t="s">
        <v>1104</v>
      </c>
      <c r="D564" s="77" t="s">
        <v>131</v>
      </c>
      <c r="E564" s="78">
        <v>60</v>
      </c>
      <c r="F564" s="79"/>
      <c r="G564" s="79"/>
      <c r="H564" s="79"/>
      <c r="I564" s="79">
        <f t="shared" si="265"/>
        <v>0</v>
      </c>
      <c r="J564" s="79">
        <f t="shared" si="266"/>
        <v>60</v>
      </c>
      <c r="K564" s="84">
        <v>280</v>
      </c>
      <c r="L564" s="81">
        <f t="shared" si="264"/>
        <v>354.92803079999999</v>
      </c>
      <c r="M564" s="82">
        <f t="shared" si="269"/>
        <v>0</v>
      </c>
      <c r="N564" s="82">
        <f t="shared" si="270"/>
        <v>0</v>
      </c>
      <c r="O564" s="82">
        <f t="shared" si="271"/>
        <v>0</v>
      </c>
      <c r="P564" s="80">
        <f t="shared" si="272"/>
        <v>16800</v>
      </c>
      <c r="Q564" s="82">
        <f t="shared" si="273"/>
        <v>21295.68</v>
      </c>
      <c r="R564" s="82">
        <f t="shared" si="274"/>
        <v>21295.68</v>
      </c>
    </row>
    <row r="565" spans="2:18" s="34" customFormat="1" ht="23.4">
      <c r="B565" s="75" t="s">
        <v>1105</v>
      </c>
      <c r="C565" s="76" t="s">
        <v>1106</v>
      </c>
      <c r="D565" s="77" t="s">
        <v>131</v>
      </c>
      <c r="E565" s="78">
        <v>10</v>
      </c>
      <c r="F565" s="79"/>
      <c r="G565" s="79"/>
      <c r="H565" s="79"/>
      <c r="I565" s="79">
        <f t="shared" si="265"/>
        <v>0</v>
      </c>
      <c r="J565" s="79">
        <f t="shared" si="266"/>
        <v>10</v>
      </c>
      <c r="K565" s="84">
        <v>295</v>
      </c>
      <c r="L565" s="81">
        <f t="shared" si="264"/>
        <v>373.94203245</v>
      </c>
      <c r="M565" s="82">
        <f t="shared" si="269"/>
        <v>0</v>
      </c>
      <c r="N565" s="82">
        <f t="shared" si="270"/>
        <v>0</v>
      </c>
      <c r="O565" s="82">
        <f t="shared" si="271"/>
        <v>0</v>
      </c>
      <c r="P565" s="80">
        <f t="shared" si="272"/>
        <v>2950</v>
      </c>
      <c r="Q565" s="82">
        <f t="shared" si="273"/>
        <v>3739.42</v>
      </c>
      <c r="R565" s="82">
        <f t="shared" si="274"/>
        <v>3739.42</v>
      </c>
    </row>
    <row r="566" spans="2:18" s="34" customFormat="1" ht="13.2">
      <c r="B566" s="60" t="s">
        <v>1107</v>
      </c>
      <c r="C566" s="61" t="s">
        <v>1108</v>
      </c>
      <c r="D566" s="60"/>
      <c r="E566" s="62"/>
      <c r="F566" s="63"/>
      <c r="G566" s="63"/>
      <c r="H566" s="63"/>
      <c r="I566" s="63">
        <f t="shared" si="265"/>
        <v>0</v>
      </c>
      <c r="J566" s="63">
        <f t="shared" si="266"/>
        <v>0</v>
      </c>
      <c r="K566" s="63"/>
      <c r="L566" s="63">
        <f t="shared" si="264"/>
        <v>0</v>
      </c>
      <c r="M566" s="63">
        <f t="shared" ref="M566:R566" si="275">SUM(M567:M587)</f>
        <v>0</v>
      </c>
      <c r="N566" s="63">
        <f t="shared" si="275"/>
        <v>0</v>
      </c>
      <c r="O566" s="63">
        <f t="shared" si="275"/>
        <v>0</v>
      </c>
      <c r="P566" s="63">
        <f t="shared" si="275"/>
        <v>397499.3</v>
      </c>
      <c r="Q566" s="63">
        <f t="shared" si="275"/>
        <v>503870.0799999999</v>
      </c>
      <c r="R566" s="63">
        <f t="shared" si="275"/>
        <v>503870.0799999999</v>
      </c>
    </row>
    <row r="567" spans="2:18" s="34" customFormat="1" ht="46.2">
      <c r="B567" s="87" t="s">
        <v>1109</v>
      </c>
      <c r="C567" s="88" t="s">
        <v>1110</v>
      </c>
      <c r="D567" s="89" t="s">
        <v>63</v>
      </c>
      <c r="E567" s="92">
        <v>33</v>
      </c>
      <c r="F567" s="91"/>
      <c r="G567" s="91"/>
      <c r="H567" s="91"/>
      <c r="I567" s="91">
        <f t="shared" si="265"/>
        <v>0</v>
      </c>
      <c r="J567" s="91">
        <f t="shared" si="266"/>
        <v>33</v>
      </c>
      <c r="K567" s="84">
        <v>540</v>
      </c>
      <c r="L567" s="81">
        <f t="shared" si="264"/>
        <v>684.50405940000007</v>
      </c>
      <c r="M567" s="82">
        <f t="shared" ref="M567:M587" si="276">TRUNC(F567*L567,2)</f>
        <v>0</v>
      </c>
      <c r="N567" s="82">
        <f t="shared" ref="N567:N587" si="277">TRUNC(G567*L567,2)</f>
        <v>0</v>
      </c>
      <c r="O567" s="82">
        <f t="shared" ref="O567:O587" si="278">N567</f>
        <v>0</v>
      </c>
      <c r="P567" s="80">
        <f t="shared" ref="P567:P587" si="279">E567*K567</f>
        <v>17820</v>
      </c>
      <c r="Q567" s="82">
        <f t="shared" ref="Q567:Q587" si="280">TRUNC(E567*L567,2)</f>
        <v>22588.63</v>
      </c>
      <c r="R567" s="82">
        <f t="shared" ref="R567:R587" si="281">Q567-O567</f>
        <v>22588.63</v>
      </c>
    </row>
    <row r="568" spans="2:18" s="34" customFormat="1" ht="46.2">
      <c r="B568" s="87" t="s">
        <v>1111</v>
      </c>
      <c r="C568" s="88" t="s">
        <v>1112</v>
      </c>
      <c r="D568" s="89" t="s">
        <v>63</v>
      </c>
      <c r="E568" s="90">
        <f>56-E567</f>
        <v>23</v>
      </c>
      <c r="F568" s="91"/>
      <c r="G568" s="91"/>
      <c r="H568" s="91"/>
      <c r="I568" s="91">
        <f t="shared" si="265"/>
        <v>0</v>
      </c>
      <c r="J568" s="91">
        <f t="shared" si="266"/>
        <v>23</v>
      </c>
      <c r="K568" s="80">
        <v>685</v>
      </c>
      <c r="L568" s="81">
        <f t="shared" si="264"/>
        <v>868.30607535000001</v>
      </c>
      <c r="M568" s="82">
        <f t="shared" si="276"/>
        <v>0</v>
      </c>
      <c r="N568" s="82">
        <f t="shared" si="277"/>
        <v>0</v>
      </c>
      <c r="O568" s="82">
        <f t="shared" si="278"/>
        <v>0</v>
      </c>
      <c r="P568" s="80">
        <f t="shared" si="279"/>
        <v>15755</v>
      </c>
      <c r="Q568" s="82">
        <f t="shared" si="280"/>
        <v>19971.03</v>
      </c>
      <c r="R568" s="82">
        <f t="shared" si="281"/>
        <v>19971.03</v>
      </c>
    </row>
    <row r="569" spans="2:18" s="34" customFormat="1" ht="34.799999999999997">
      <c r="B569" s="87" t="s">
        <v>1113</v>
      </c>
      <c r="C569" s="88" t="s">
        <v>1114</v>
      </c>
      <c r="D569" s="89" t="s">
        <v>131</v>
      </c>
      <c r="E569" s="92">
        <v>17</v>
      </c>
      <c r="F569" s="91"/>
      <c r="G569" s="91"/>
      <c r="H569" s="91"/>
      <c r="I569" s="91">
        <f t="shared" si="265"/>
        <v>0</v>
      </c>
      <c r="J569" s="91">
        <f t="shared" si="266"/>
        <v>17</v>
      </c>
      <c r="K569" s="84">
        <v>725</v>
      </c>
      <c r="L569" s="81">
        <f t="shared" si="264"/>
        <v>919.01007975000005</v>
      </c>
      <c r="M569" s="82">
        <f t="shared" si="276"/>
        <v>0</v>
      </c>
      <c r="N569" s="82">
        <f t="shared" si="277"/>
        <v>0</v>
      </c>
      <c r="O569" s="82">
        <f t="shared" si="278"/>
        <v>0</v>
      </c>
      <c r="P569" s="80">
        <f t="shared" si="279"/>
        <v>12325</v>
      </c>
      <c r="Q569" s="82">
        <f t="shared" si="280"/>
        <v>15623.17</v>
      </c>
      <c r="R569" s="82">
        <f t="shared" si="281"/>
        <v>15623.17</v>
      </c>
    </row>
    <row r="570" spans="2:18" s="34" customFormat="1" ht="23.4">
      <c r="B570" s="87" t="s">
        <v>1115</v>
      </c>
      <c r="C570" s="88" t="s">
        <v>1116</v>
      </c>
      <c r="D570" s="89" t="s">
        <v>63</v>
      </c>
      <c r="E570" s="92">
        <v>56</v>
      </c>
      <c r="F570" s="91"/>
      <c r="G570" s="91"/>
      <c r="H570" s="91"/>
      <c r="I570" s="91">
        <f t="shared" si="265"/>
        <v>0</v>
      </c>
      <c r="J570" s="91">
        <f t="shared" si="266"/>
        <v>56</v>
      </c>
      <c r="K570" s="84">
        <v>175</v>
      </c>
      <c r="L570" s="81">
        <f t="shared" si="264"/>
        <v>221.83001925000002</v>
      </c>
      <c r="M570" s="82">
        <f t="shared" si="276"/>
        <v>0</v>
      </c>
      <c r="N570" s="82">
        <f t="shared" si="277"/>
        <v>0</v>
      </c>
      <c r="O570" s="82">
        <f t="shared" si="278"/>
        <v>0</v>
      </c>
      <c r="P570" s="80">
        <f t="shared" si="279"/>
        <v>9800</v>
      </c>
      <c r="Q570" s="82">
        <f t="shared" si="280"/>
        <v>12422.48</v>
      </c>
      <c r="R570" s="82">
        <f t="shared" si="281"/>
        <v>12422.48</v>
      </c>
    </row>
    <row r="571" spans="2:18" s="34" customFormat="1" ht="13.2">
      <c r="B571" s="87" t="s">
        <v>1117</v>
      </c>
      <c r="C571" s="88" t="s">
        <v>1118</v>
      </c>
      <c r="D571" s="89" t="s">
        <v>63</v>
      </c>
      <c r="E571" s="92">
        <v>11</v>
      </c>
      <c r="F571" s="91"/>
      <c r="G571" s="91"/>
      <c r="H571" s="91"/>
      <c r="I571" s="91">
        <f t="shared" si="265"/>
        <v>0</v>
      </c>
      <c r="J571" s="91">
        <f t="shared" si="266"/>
        <v>11</v>
      </c>
      <c r="K571" s="84">
        <v>120</v>
      </c>
      <c r="L571" s="81">
        <f t="shared" si="264"/>
        <v>152.11201320000001</v>
      </c>
      <c r="M571" s="82">
        <f t="shared" si="276"/>
        <v>0</v>
      </c>
      <c r="N571" s="82">
        <f t="shared" si="277"/>
        <v>0</v>
      </c>
      <c r="O571" s="82">
        <f t="shared" si="278"/>
        <v>0</v>
      </c>
      <c r="P571" s="80">
        <f t="shared" si="279"/>
        <v>1320</v>
      </c>
      <c r="Q571" s="82">
        <f t="shared" si="280"/>
        <v>1673.23</v>
      </c>
      <c r="R571" s="82">
        <f t="shared" si="281"/>
        <v>1673.23</v>
      </c>
    </row>
    <row r="572" spans="2:18" s="34" customFormat="1" ht="34.799999999999997">
      <c r="B572" s="87" t="s">
        <v>1119</v>
      </c>
      <c r="C572" s="88" t="s">
        <v>1120</v>
      </c>
      <c r="D572" s="89" t="s">
        <v>63</v>
      </c>
      <c r="E572" s="92">
        <v>20</v>
      </c>
      <c r="F572" s="91"/>
      <c r="G572" s="91"/>
      <c r="H572" s="91"/>
      <c r="I572" s="91">
        <f t="shared" si="265"/>
        <v>0</v>
      </c>
      <c r="J572" s="91">
        <f t="shared" si="266"/>
        <v>20</v>
      </c>
      <c r="K572" s="84">
        <v>205</v>
      </c>
      <c r="L572" s="81">
        <f t="shared" si="264"/>
        <v>259.85802254999999</v>
      </c>
      <c r="M572" s="82">
        <f t="shared" si="276"/>
        <v>0</v>
      </c>
      <c r="N572" s="82">
        <f t="shared" si="277"/>
        <v>0</v>
      </c>
      <c r="O572" s="82">
        <f t="shared" si="278"/>
        <v>0</v>
      </c>
      <c r="P572" s="80">
        <f t="shared" si="279"/>
        <v>4100</v>
      </c>
      <c r="Q572" s="82">
        <f t="shared" si="280"/>
        <v>5197.16</v>
      </c>
      <c r="R572" s="82">
        <f t="shared" si="281"/>
        <v>5197.16</v>
      </c>
    </row>
    <row r="573" spans="2:18" s="34" customFormat="1" ht="23.4">
      <c r="B573" s="87" t="s">
        <v>1121</v>
      </c>
      <c r="C573" s="88" t="s">
        <v>1122</v>
      </c>
      <c r="D573" s="89" t="s">
        <v>63</v>
      </c>
      <c r="E573" s="92">
        <v>39</v>
      </c>
      <c r="F573" s="91"/>
      <c r="G573" s="91"/>
      <c r="H573" s="91"/>
      <c r="I573" s="91">
        <f t="shared" si="265"/>
        <v>0</v>
      </c>
      <c r="J573" s="91">
        <f t="shared" si="266"/>
        <v>39</v>
      </c>
      <c r="K573" s="84">
        <v>730</v>
      </c>
      <c r="L573" s="81">
        <f t="shared" si="264"/>
        <v>925.34808029999999</v>
      </c>
      <c r="M573" s="82">
        <f t="shared" si="276"/>
        <v>0</v>
      </c>
      <c r="N573" s="82">
        <f t="shared" si="277"/>
        <v>0</v>
      </c>
      <c r="O573" s="82">
        <f t="shared" si="278"/>
        <v>0</v>
      </c>
      <c r="P573" s="80">
        <f t="shared" si="279"/>
        <v>28470</v>
      </c>
      <c r="Q573" s="82">
        <f t="shared" si="280"/>
        <v>36088.57</v>
      </c>
      <c r="R573" s="82">
        <f t="shared" si="281"/>
        <v>36088.57</v>
      </c>
    </row>
    <row r="574" spans="2:18" s="34" customFormat="1" ht="23.4">
      <c r="B574" s="87" t="s">
        <v>1123</v>
      </c>
      <c r="C574" s="88" t="s">
        <v>1124</v>
      </c>
      <c r="D574" s="89" t="s">
        <v>63</v>
      </c>
      <c r="E574" s="92">
        <v>6</v>
      </c>
      <c r="F574" s="91"/>
      <c r="G574" s="91"/>
      <c r="H574" s="91"/>
      <c r="I574" s="91">
        <f t="shared" si="265"/>
        <v>0</v>
      </c>
      <c r="J574" s="91">
        <f t="shared" si="266"/>
        <v>6</v>
      </c>
      <c r="K574" s="84">
        <v>4500</v>
      </c>
      <c r="L574" s="81">
        <f t="shared" si="264"/>
        <v>5704.200495</v>
      </c>
      <c r="M574" s="82">
        <f t="shared" si="276"/>
        <v>0</v>
      </c>
      <c r="N574" s="82">
        <f t="shared" si="277"/>
        <v>0</v>
      </c>
      <c r="O574" s="82">
        <f t="shared" si="278"/>
        <v>0</v>
      </c>
      <c r="P574" s="80">
        <f t="shared" si="279"/>
        <v>27000</v>
      </c>
      <c r="Q574" s="82">
        <f t="shared" si="280"/>
        <v>34225.199999999997</v>
      </c>
      <c r="R574" s="82">
        <f t="shared" si="281"/>
        <v>34225.199999999997</v>
      </c>
    </row>
    <row r="575" spans="2:18" s="34" customFormat="1" ht="34.799999999999997">
      <c r="B575" s="87" t="s">
        <v>1125</v>
      </c>
      <c r="C575" s="88" t="s">
        <v>1126</v>
      </c>
      <c r="D575" s="89" t="s">
        <v>63</v>
      </c>
      <c r="E575" s="92">
        <v>59</v>
      </c>
      <c r="F575" s="91"/>
      <c r="G575" s="91"/>
      <c r="H575" s="91"/>
      <c r="I575" s="91">
        <f t="shared" si="265"/>
        <v>0</v>
      </c>
      <c r="J575" s="91">
        <f t="shared" si="266"/>
        <v>59</v>
      </c>
      <c r="K575" s="84">
        <v>745</v>
      </c>
      <c r="L575" s="81">
        <f t="shared" si="264"/>
        <v>944.36208195000006</v>
      </c>
      <c r="M575" s="82">
        <f t="shared" si="276"/>
        <v>0</v>
      </c>
      <c r="N575" s="82">
        <f t="shared" si="277"/>
        <v>0</v>
      </c>
      <c r="O575" s="82">
        <f t="shared" si="278"/>
        <v>0</v>
      </c>
      <c r="P575" s="80">
        <f t="shared" si="279"/>
        <v>43955</v>
      </c>
      <c r="Q575" s="82">
        <f t="shared" si="280"/>
        <v>55717.36</v>
      </c>
      <c r="R575" s="82">
        <f t="shared" si="281"/>
        <v>55717.36</v>
      </c>
    </row>
    <row r="576" spans="2:18" s="34" customFormat="1" ht="23.4">
      <c r="B576" s="87" t="s">
        <v>1127</v>
      </c>
      <c r="C576" s="88" t="s">
        <v>1128</v>
      </c>
      <c r="D576" s="89" t="s">
        <v>63</v>
      </c>
      <c r="E576" s="92">
        <v>74</v>
      </c>
      <c r="F576" s="91"/>
      <c r="G576" s="91"/>
      <c r="H576" s="91"/>
      <c r="I576" s="91">
        <f t="shared" si="265"/>
        <v>0</v>
      </c>
      <c r="J576" s="91">
        <f t="shared" si="266"/>
        <v>74</v>
      </c>
      <c r="K576" s="84">
        <v>250</v>
      </c>
      <c r="L576" s="81">
        <f t="shared" si="264"/>
        <v>316.90002750000002</v>
      </c>
      <c r="M576" s="82">
        <f t="shared" si="276"/>
        <v>0</v>
      </c>
      <c r="N576" s="82">
        <f t="shared" si="277"/>
        <v>0</v>
      </c>
      <c r="O576" s="82">
        <f t="shared" si="278"/>
        <v>0</v>
      </c>
      <c r="P576" s="80">
        <f t="shared" si="279"/>
        <v>18500</v>
      </c>
      <c r="Q576" s="82">
        <f t="shared" si="280"/>
        <v>23450.6</v>
      </c>
      <c r="R576" s="82">
        <f t="shared" si="281"/>
        <v>23450.6</v>
      </c>
    </row>
    <row r="577" spans="1:23" s="34" customFormat="1" ht="23.4">
      <c r="B577" s="87" t="s">
        <v>1129</v>
      </c>
      <c r="C577" s="88" t="s">
        <v>1130</v>
      </c>
      <c r="D577" s="89" t="s">
        <v>63</v>
      </c>
      <c r="E577" s="92">
        <v>49</v>
      </c>
      <c r="F577" s="91"/>
      <c r="G577" s="91"/>
      <c r="H577" s="91"/>
      <c r="I577" s="91">
        <f t="shared" si="265"/>
        <v>0</v>
      </c>
      <c r="J577" s="91">
        <f t="shared" si="266"/>
        <v>49</v>
      </c>
      <c r="K577" s="84">
        <v>250</v>
      </c>
      <c r="L577" s="81">
        <f t="shared" si="264"/>
        <v>316.90002750000002</v>
      </c>
      <c r="M577" s="82">
        <f t="shared" si="276"/>
        <v>0</v>
      </c>
      <c r="N577" s="82">
        <f t="shared" si="277"/>
        <v>0</v>
      </c>
      <c r="O577" s="82">
        <f t="shared" si="278"/>
        <v>0</v>
      </c>
      <c r="P577" s="80">
        <f t="shared" si="279"/>
        <v>12250</v>
      </c>
      <c r="Q577" s="82">
        <f t="shared" si="280"/>
        <v>15528.1</v>
      </c>
      <c r="R577" s="82">
        <f t="shared" si="281"/>
        <v>15528.1</v>
      </c>
    </row>
    <row r="578" spans="1:23" s="34" customFormat="1" ht="23.4">
      <c r="B578" s="87" t="s">
        <v>1131</v>
      </c>
      <c r="C578" s="88" t="s">
        <v>1132</v>
      </c>
      <c r="D578" s="89" t="s">
        <v>63</v>
      </c>
      <c r="E578" s="92">
        <v>102</v>
      </c>
      <c r="F578" s="91"/>
      <c r="G578" s="91"/>
      <c r="H578" s="91"/>
      <c r="I578" s="91">
        <f t="shared" si="265"/>
        <v>0</v>
      </c>
      <c r="J578" s="91">
        <f t="shared" si="266"/>
        <v>102</v>
      </c>
      <c r="K578" s="84">
        <v>200</v>
      </c>
      <c r="L578" s="81">
        <f t="shared" si="264"/>
        <v>253.52002200000001</v>
      </c>
      <c r="M578" s="82">
        <f t="shared" si="276"/>
        <v>0</v>
      </c>
      <c r="N578" s="82">
        <f t="shared" si="277"/>
        <v>0</v>
      </c>
      <c r="O578" s="82">
        <f t="shared" si="278"/>
        <v>0</v>
      </c>
      <c r="P578" s="80">
        <f t="shared" si="279"/>
        <v>20400</v>
      </c>
      <c r="Q578" s="82">
        <f t="shared" si="280"/>
        <v>25859.040000000001</v>
      </c>
      <c r="R578" s="82">
        <f t="shared" si="281"/>
        <v>25859.040000000001</v>
      </c>
    </row>
    <row r="579" spans="1:23" s="34" customFormat="1" ht="13.2">
      <c r="B579" s="87" t="s">
        <v>1133</v>
      </c>
      <c r="C579" s="88" t="s">
        <v>1134</v>
      </c>
      <c r="D579" s="89" t="s">
        <v>63</v>
      </c>
      <c r="E579" s="92">
        <v>135</v>
      </c>
      <c r="F579" s="91"/>
      <c r="G579" s="91"/>
      <c r="H579" s="91"/>
      <c r="I579" s="91">
        <f t="shared" si="265"/>
        <v>0</v>
      </c>
      <c r="J579" s="91">
        <f t="shared" si="266"/>
        <v>135</v>
      </c>
      <c r="K579" s="84">
        <v>85</v>
      </c>
      <c r="L579" s="81">
        <f t="shared" si="264"/>
        <v>107.74600935000001</v>
      </c>
      <c r="M579" s="82">
        <f t="shared" si="276"/>
        <v>0</v>
      </c>
      <c r="N579" s="82">
        <f t="shared" si="277"/>
        <v>0</v>
      </c>
      <c r="O579" s="82">
        <f t="shared" si="278"/>
        <v>0</v>
      </c>
      <c r="P579" s="80">
        <f t="shared" si="279"/>
        <v>11475</v>
      </c>
      <c r="Q579" s="82">
        <f t="shared" si="280"/>
        <v>14545.71</v>
      </c>
      <c r="R579" s="82">
        <f t="shared" si="281"/>
        <v>14545.71</v>
      </c>
    </row>
    <row r="580" spans="1:23" s="34" customFormat="1" ht="34.799999999999997">
      <c r="B580" s="87" t="s">
        <v>1135</v>
      </c>
      <c r="C580" s="88" t="s">
        <v>1136</v>
      </c>
      <c r="D580" s="89" t="s">
        <v>79</v>
      </c>
      <c r="E580" s="92">
        <v>43.42</v>
      </c>
      <c r="F580" s="91"/>
      <c r="G580" s="91"/>
      <c r="H580" s="91"/>
      <c r="I580" s="91">
        <f t="shared" si="265"/>
        <v>0</v>
      </c>
      <c r="J580" s="91">
        <f t="shared" si="266"/>
        <v>43.42</v>
      </c>
      <c r="K580" s="84">
        <v>2590</v>
      </c>
      <c r="L580" s="81">
        <f t="shared" si="264"/>
        <v>3283.0842849000001</v>
      </c>
      <c r="M580" s="82">
        <f t="shared" si="276"/>
        <v>0</v>
      </c>
      <c r="N580" s="82">
        <f t="shared" si="277"/>
        <v>0</v>
      </c>
      <c r="O580" s="82">
        <f t="shared" si="278"/>
        <v>0</v>
      </c>
      <c r="P580" s="80">
        <f t="shared" si="279"/>
        <v>112457.8</v>
      </c>
      <c r="Q580" s="82">
        <f t="shared" si="280"/>
        <v>142551.51</v>
      </c>
      <c r="R580" s="82">
        <f t="shared" si="281"/>
        <v>142551.51</v>
      </c>
    </row>
    <row r="581" spans="1:23" s="34" customFormat="1" ht="23.4">
      <c r="B581" s="87" t="s">
        <v>1137</v>
      </c>
      <c r="C581" s="88" t="s">
        <v>1138</v>
      </c>
      <c r="D581" s="89" t="s">
        <v>79</v>
      </c>
      <c r="E581" s="92">
        <v>8.93</v>
      </c>
      <c r="F581" s="91"/>
      <c r="G581" s="91"/>
      <c r="H581" s="91"/>
      <c r="I581" s="91">
        <f t="shared" si="265"/>
        <v>0</v>
      </c>
      <c r="J581" s="91">
        <f t="shared" si="266"/>
        <v>8.93</v>
      </c>
      <c r="K581" s="84">
        <v>950</v>
      </c>
      <c r="L581" s="81">
        <f t="shared" si="264"/>
        <v>1204.2201045000002</v>
      </c>
      <c r="M581" s="82">
        <f t="shared" si="276"/>
        <v>0</v>
      </c>
      <c r="N581" s="82">
        <f t="shared" si="277"/>
        <v>0</v>
      </c>
      <c r="O581" s="82">
        <f t="shared" si="278"/>
        <v>0</v>
      </c>
      <c r="P581" s="80">
        <f t="shared" si="279"/>
        <v>8483.5</v>
      </c>
      <c r="Q581" s="82">
        <f t="shared" si="280"/>
        <v>10753.68</v>
      </c>
      <c r="R581" s="82">
        <f t="shared" si="281"/>
        <v>10753.68</v>
      </c>
    </row>
    <row r="582" spans="1:23" s="34" customFormat="1" ht="23.4">
      <c r="B582" s="87" t="s">
        <v>1139</v>
      </c>
      <c r="C582" s="88" t="s">
        <v>1140</v>
      </c>
      <c r="D582" s="89" t="s">
        <v>63</v>
      </c>
      <c r="E582" s="92">
        <v>1</v>
      </c>
      <c r="F582" s="91"/>
      <c r="G582" s="91"/>
      <c r="H582" s="91"/>
      <c r="I582" s="91">
        <f t="shared" si="265"/>
        <v>0</v>
      </c>
      <c r="J582" s="91">
        <f t="shared" si="266"/>
        <v>1</v>
      </c>
      <c r="K582" s="84">
        <v>210</v>
      </c>
      <c r="L582" s="81">
        <f t="shared" si="264"/>
        <v>266.19602309999999</v>
      </c>
      <c r="M582" s="82">
        <f t="shared" si="276"/>
        <v>0</v>
      </c>
      <c r="N582" s="82">
        <f t="shared" si="277"/>
        <v>0</v>
      </c>
      <c r="O582" s="82">
        <f t="shared" si="278"/>
        <v>0</v>
      </c>
      <c r="P582" s="80">
        <f t="shared" si="279"/>
        <v>210</v>
      </c>
      <c r="Q582" s="82">
        <f t="shared" si="280"/>
        <v>266.19</v>
      </c>
      <c r="R582" s="82">
        <f t="shared" si="281"/>
        <v>266.19</v>
      </c>
    </row>
    <row r="583" spans="1:23" s="34" customFormat="1" ht="34.799999999999997">
      <c r="B583" s="87" t="s">
        <v>1141</v>
      </c>
      <c r="C583" s="88" t="s">
        <v>1142</v>
      </c>
      <c r="D583" s="89" t="s">
        <v>63</v>
      </c>
      <c r="E583" s="92">
        <v>22</v>
      </c>
      <c r="F583" s="91"/>
      <c r="G583" s="91"/>
      <c r="H583" s="91"/>
      <c r="I583" s="91">
        <f t="shared" si="265"/>
        <v>0</v>
      </c>
      <c r="J583" s="91">
        <f t="shared" si="266"/>
        <v>22</v>
      </c>
      <c r="K583" s="84">
        <v>490</v>
      </c>
      <c r="L583" s="81">
        <f t="shared" si="264"/>
        <v>621.12405390000004</v>
      </c>
      <c r="M583" s="82">
        <f t="shared" si="276"/>
        <v>0</v>
      </c>
      <c r="N583" s="82">
        <f t="shared" si="277"/>
        <v>0</v>
      </c>
      <c r="O583" s="82">
        <f t="shared" si="278"/>
        <v>0</v>
      </c>
      <c r="P583" s="80">
        <f t="shared" si="279"/>
        <v>10780</v>
      </c>
      <c r="Q583" s="82">
        <f t="shared" si="280"/>
        <v>13664.72</v>
      </c>
      <c r="R583" s="82">
        <f t="shared" si="281"/>
        <v>13664.72</v>
      </c>
    </row>
    <row r="584" spans="1:23" ht="46.8">
      <c r="A584" s="34"/>
      <c r="B584" s="87" t="s">
        <v>1143</v>
      </c>
      <c r="C584" s="88" t="s">
        <v>1144</v>
      </c>
      <c r="D584" s="89" t="s">
        <v>63</v>
      </c>
      <c r="E584" s="92">
        <v>3</v>
      </c>
      <c r="F584" s="91"/>
      <c r="G584" s="91"/>
      <c r="H584" s="91"/>
      <c r="I584" s="91">
        <f t="shared" si="265"/>
        <v>0</v>
      </c>
      <c r="J584" s="91">
        <f t="shared" si="266"/>
        <v>3</v>
      </c>
      <c r="K584" s="84">
        <v>2480</v>
      </c>
      <c r="L584" s="81">
        <f t="shared" si="264"/>
        <v>3143.6482728000001</v>
      </c>
      <c r="M584" s="82">
        <f t="shared" si="276"/>
        <v>0</v>
      </c>
      <c r="N584" s="82">
        <f t="shared" si="277"/>
        <v>0</v>
      </c>
      <c r="O584" s="82">
        <f t="shared" si="278"/>
        <v>0</v>
      </c>
      <c r="P584" s="80">
        <f t="shared" si="279"/>
        <v>7440</v>
      </c>
      <c r="Q584" s="82">
        <f t="shared" si="280"/>
        <v>9430.94</v>
      </c>
      <c r="R584" s="82">
        <f t="shared" si="281"/>
        <v>9430.94</v>
      </c>
      <c r="S584" s="34"/>
      <c r="T584" s="34"/>
      <c r="U584" s="34"/>
      <c r="V584" s="34"/>
      <c r="W584" s="34"/>
    </row>
    <row r="585" spans="1:23">
      <c r="A585" s="34"/>
      <c r="B585" s="87" t="s">
        <v>1145</v>
      </c>
      <c r="C585" s="88" t="s">
        <v>1146</v>
      </c>
      <c r="D585" s="89" t="s">
        <v>63</v>
      </c>
      <c r="E585" s="92">
        <v>7</v>
      </c>
      <c r="F585" s="91"/>
      <c r="G585" s="91"/>
      <c r="H585" s="91"/>
      <c r="I585" s="91">
        <f t="shared" si="265"/>
        <v>0</v>
      </c>
      <c r="J585" s="91">
        <f t="shared" si="266"/>
        <v>7</v>
      </c>
      <c r="K585" s="84">
        <v>950</v>
      </c>
      <c r="L585" s="81">
        <f t="shared" si="264"/>
        <v>1204.2201045000002</v>
      </c>
      <c r="M585" s="82">
        <f t="shared" si="276"/>
        <v>0</v>
      </c>
      <c r="N585" s="82">
        <f t="shared" si="277"/>
        <v>0</v>
      </c>
      <c r="O585" s="82">
        <f t="shared" si="278"/>
        <v>0</v>
      </c>
      <c r="P585" s="80">
        <f t="shared" si="279"/>
        <v>6650</v>
      </c>
      <c r="Q585" s="82">
        <f t="shared" si="280"/>
        <v>8429.5400000000009</v>
      </c>
      <c r="R585" s="82">
        <f t="shared" si="281"/>
        <v>8429.5400000000009</v>
      </c>
      <c r="S585" s="34"/>
      <c r="T585" s="34"/>
      <c r="U585" s="34"/>
      <c r="V585" s="34"/>
      <c r="W585" s="34"/>
    </row>
    <row r="586" spans="1:23" ht="24">
      <c r="A586" s="34"/>
      <c r="B586" s="87" t="s">
        <v>1147</v>
      </c>
      <c r="C586" s="88" t="s">
        <v>1148</v>
      </c>
      <c r="D586" s="89" t="s">
        <v>63</v>
      </c>
      <c r="E586" s="92">
        <v>43</v>
      </c>
      <c r="F586" s="91"/>
      <c r="G586" s="91"/>
      <c r="H586" s="91"/>
      <c r="I586" s="91">
        <f t="shared" si="265"/>
        <v>0</v>
      </c>
      <c r="J586" s="91">
        <f t="shared" si="266"/>
        <v>43</v>
      </c>
      <c r="K586" s="84">
        <v>300</v>
      </c>
      <c r="L586" s="81">
        <f t="shared" si="264"/>
        <v>380.280033</v>
      </c>
      <c r="M586" s="82">
        <f t="shared" si="276"/>
        <v>0</v>
      </c>
      <c r="N586" s="82">
        <f t="shared" si="277"/>
        <v>0</v>
      </c>
      <c r="O586" s="82">
        <f t="shared" si="278"/>
        <v>0</v>
      </c>
      <c r="P586" s="80">
        <f t="shared" si="279"/>
        <v>12900</v>
      </c>
      <c r="Q586" s="82">
        <f t="shared" si="280"/>
        <v>16352.04</v>
      </c>
      <c r="R586" s="82">
        <f t="shared" si="281"/>
        <v>16352.04</v>
      </c>
      <c r="S586" s="34"/>
      <c r="T586" s="34"/>
      <c r="U586" s="34"/>
      <c r="V586" s="34"/>
      <c r="W586" s="34"/>
    </row>
    <row r="587" spans="1:23" ht="24">
      <c r="A587" s="34"/>
      <c r="B587" s="87" t="s">
        <v>1149</v>
      </c>
      <c r="C587" s="88" t="s">
        <v>1150</v>
      </c>
      <c r="D587" s="89" t="s">
        <v>63</v>
      </c>
      <c r="E587" s="92">
        <v>4</v>
      </c>
      <c r="F587" s="91"/>
      <c r="G587" s="91"/>
      <c r="H587" s="91"/>
      <c r="I587" s="91">
        <f t="shared" si="265"/>
        <v>0</v>
      </c>
      <c r="J587" s="91">
        <f t="shared" si="266"/>
        <v>4</v>
      </c>
      <c r="K587" s="84">
        <v>3852</v>
      </c>
      <c r="L587" s="81">
        <f t="shared" si="264"/>
        <v>4882.7956237200005</v>
      </c>
      <c r="M587" s="82">
        <f t="shared" si="276"/>
        <v>0</v>
      </c>
      <c r="N587" s="82">
        <f t="shared" si="277"/>
        <v>0</v>
      </c>
      <c r="O587" s="82">
        <f t="shared" si="278"/>
        <v>0</v>
      </c>
      <c r="P587" s="80">
        <f t="shared" si="279"/>
        <v>15408</v>
      </c>
      <c r="Q587" s="82">
        <f t="shared" si="280"/>
        <v>19531.18</v>
      </c>
      <c r="R587" s="82">
        <f t="shared" si="281"/>
        <v>19531.18</v>
      </c>
      <c r="S587" s="34"/>
      <c r="T587" s="34"/>
      <c r="U587" s="34"/>
      <c r="V587" s="34"/>
      <c r="W587" s="34"/>
    </row>
    <row r="588" spans="1:23">
      <c r="A588" s="34"/>
      <c r="B588" s="60" t="s">
        <v>1151</v>
      </c>
      <c r="C588" s="61" t="s">
        <v>1152</v>
      </c>
      <c r="D588" s="60"/>
      <c r="E588" s="62"/>
      <c r="F588" s="63"/>
      <c r="G588" s="63"/>
      <c r="H588" s="63"/>
      <c r="I588" s="63">
        <f t="shared" si="265"/>
        <v>0</v>
      </c>
      <c r="J588" s="63">
        <f t="shared" si="266"/>
        <v>0</v>
      </c>
      <c r="K588" s="63"/>
      <c r="L588" s="63">
        <f t="shared" si="264"/>
        <v>0</v>
      </c>
      <c r="M588" s="63">
        <f t="shared" ref="M588:R588" si="282">SUM(M589:M590)</f>
        <v>0</v>
      </c>
      <c r="N588" s="63">
        <f t="shared" si="282"/>
        <v>0</v>
      </c>
      <c r="O588" s="63">
        <f t="shared" si="282"/>
        <v>0</v>
      </c>
      <c r="P588" s="63">
        <f t="shared" si="282"/>
        <v>30555.67</v>
      </c>
      <c r="Q588" s="63">
        <f t="shared" si="282"/>
        <v>38732.36</v>
      </c>
      <c r="R588" s="63">
        <f t="shared" si="282"/>
        <v>38732.36</v>
      </c>
      <c r="S588" s="34"/>
      <c r="T588" s="34"/>
      <c r="U588" s="34"/>
      <c r="V588" s="34"/>
      <c r="W588" s="34"/>
    </row>
    <row r="589" spans="1:23" s="122" customFormat="1" ht="13.8">
      <c r="A589" s="34"/>
      <c r="B589" s="75" t="s">
        <v>1153</v>
      </c>
      <c r="C589" s="76" t="s">
        <v>1154</v>
      </c>
      <c r="D589" s="121" t="s">
        <v>63</v>
      </c>
      <c r="E589" s="78">
        <v>1</v>
      </c>
      <c r="F589" s="79"/>
      <c r="G589" s="79"/>
      <c r="H589" s="79"/>
      <c r="I589" s="79">
        <f t="shared" si="265"/>
        <v>0</v>
      </c>
      <c r="J589" s="79">
        <f t="shared" si="266"/>
        <v>1</v>
      </c>
      <c r="K589" s="84">
        <v>5076.55</v>
      </c>
      <c r="L589" s="81">
        <f t="shared" si="264"/>
        <v>6435.0353384205009</v>
      </c>
      <c r="M589" s="82">
        <f>TRUNC(F589*L589,2)</f>
        <v>0</v>
      </c>
      <c r="N589" s="82">
        <f>TRUNC(G589*L589,2)</f>
        <v>0</v>
      </c>
      <c r="O589" s="82">
        <f>N589</f>
        <v>0</v>
      </c>
      <c r="P589" s="80">
        <f>E589*K589</f>
        <v>5076.55</v>
      </c>
      <c r="Q589" s="82">
        <f>TRUNC(E589*L589,2)</f>
        <v>6435.03</v>
      </c>
      <c r="R589" s="82">
        <f>Q589-O589</f>
        <v>6435.03</v>
      </c>
      <c r="S589" s="34"/>
      <c r="T589" s="34"/>
      <c r="U589" s="34"/>
      <c r="V589" s="34"/>
      <c r="W589" s="34"/>
    </row>
    <row r="590" spans="1:23" s="122" customFormat="1" ht="13.8">
      <c r="A590" s="34"/>
      <c r="B590" s="75" t="s">
        <v>1155</v>
      </c>
      <c r="C590" s="76" t="s">
        <v>1156</v>
      </c>
      <c r="D590" s="77" t="s">
        <v>79</v>
      </c>
      <c r="E590" s="93">
        <v>6369.78</v>
      </c>
      <c r="F590" s="79"/>
      <c r="G590" s="79"/>
      <c r="H590" s="79"/>
      <c r="I590" s="79">
        <f t="shared" si="265"/>
        <v>0</v>
      </c>
      <c r="J590" s="79">
        <f t="shared" si="266"/>
        <v>6369.78</v>
      </c>
      <c r="K590" s="123">
        <v>4</v>
      </c>
      <c r="L590" s="81">
        <f t="shared" si="264"/>
        <v>5.0704004400000002</v>
      </c>
      <c r="M590" s="82">
        <f>TRUNC(F590*L590,2)</f>
        <v>0</v>
      </c>
      <c r="N590" s="82">
        <f>TRUNC(G590*L590,2)</f>
        <v>0</v>
      </c>
      <c r="O590" s="82">
        <f>N590</f>
        <v>0</v>
      </c>
      <c r="P590" s="124">
        <f>E590*K590</f>
        <v>25479.119999999999</v>
      </c>
      <c r="Q590" s="82">
        <f>TRUNC(E590*L590,2)</f>
        <v>32297.33</v>
      </c>
      <c r="R590" s="82">
        <f>Q590-O590</f>
        <v>32297.33</v>
      </c>
      <c r="S590" s="34"/>
      <c r="T590" s="34">
        <f>TRUNC(J590*L590,2)</f>
        <v>32297.33</v>
      </c>
      <c r="U590" s="34"/>
      <c r="V590" s="34"/>
      <c r="W590" s="34"/>
    </row>
    <row r="591" spans="1:23" s="122" customFormat="1" ht="13.8">
      <c r="A591" s="34"/>
      <c r="B591" s="125"/>
      <c r="C591" s="126"/>
      <c r="D591" s="127"/>
      <c r="E591" s="128"/>
      <c r="F591" s="128"/>
      <c r="G591" s="128"/>
      <c r="H591" s="128"/>
      <c r="I591" s="128"/>
      <c r="J591" s="128"/>
      <c r="K591" s="129"/>
      <c r="L591" s="129"/>
      <c r="M591" s="130"/>
      <c r="N591" s="130"/>
      <c r="O591" s="130"/>
      <c r="P591" s="130"/>
      <c r="Q591" s="130"/>
      <c r="R591" s="130"/>
      <c r="S591" s="34"/>
      <c r="T591" s="34"/>
      <c r="U591" s="34"/>
      <c r="V591" s="34"/>
      <c r="W591" s="34"/>
    </row>
    <row r="592" spans="1:23" s="122" customFormat="1" ht="31.5" customHeight="1">
      <c r="A592" s="2"/>
      <c r="B592" s="533" t="s">
        <v>1157</v>
      </c>
      <c r="C592" s="533"/>
      <c r="D592" s="533"/>
      <c r="E592" s="533"/>
      <c r="F592" s="533"/>
      <c r="G592" s="533"/>
      <c r="H592" s="533"/>
      <c r="I592" s="533"/>
      <c r="J592" s="533"/>
      <c r="K592" s="533"/>
      <c r="L592" s="533"/>
      <c r="M592" s="131">
        <f>M27+M46+M58+M88+M126+M134+M148+M162+M167+M171+M216+M225+M234+M319+M432+M447+M463+M491</f>
        <v>361998.23</v>
      </c>
      <c r="N592" s="132">
        <f>SUM(N27,N52,N62,N94,N131,N139,N155,N170,N175,N178,N215,N222,N225,N317,N328,N481,N507,N566,N588)</f>
        <v>379602.03</v>
      </c>
      <c r="O592" s="132">
        <f>SUM(O27,O52,O62,O94,O131,O139,O155,O170,O175,O178,O215,O222,O225,O317,O328,O481,O507,O566,O588)</f>
        <v>379602.03</v>
      </c>
      <c r="P592" s="132">
        <f>SUM(P27,P52,P62,P94,P131,P139,P155,P170,P175,P178,P215,P222,P225,P317,P328,P481,P507,P566,P588)</f>
        <v>20732092.142300002</v>
      </c>
      <c r="Q592" s="132">
        <f>SUM(Q27,Q52,Q62,Q94,Q131,Q139,Q155,Q170,Q175,Q178,Q215,Q222,Q225,Q317,Q328,Q481,Q507,Q566,Q588)</f>
        <v>26279999.999999993</v>
      </c>
      <c r="R592" s="132">
        <f>SUM(R27,R52,R62,R94,R131,R139,R155,R170,R175,R178,R215,R222,R225,R317,R328,R481,R507,R566,R588)</f>
        <v>25900397.969999995</v>
      </c>
      <c r="S592" s="2"/>
      <c r="T592" s="2"/>
      <c r="U592" s="2"/>
      <c r="V592" s="2"/>
      <c r="W592" s="2"/>
    </row>
    <row r="593" spans="1:23" s="122" customFormat="1" ht="31.5" customHeight="1">
      <c r="A593" s="2"/>
      <c r="B593" s="533" t="s">
        <v>1158</v>
      </c>
      <c r="C593" s="533"/>
      <c r="D593" s="533"/>
      <c r="E593" s="533"/>
      <c r="F593" s="533"/>
      <c r="G593" s="533"/>
      <c r="H593" s="533"/>
      <c r="I593" s="533"/>
      <c r="J593" s="533"/>
      <c r="K593" s="533"/>
      <c r="L593" s="533"/>
      <c r="M593" s="131"/>
      <c r="N593" s="133"/>
      <c r="O593" s="131"/>
      <c r="P593" s="132"/>
      <c r="Q593" s="132"/>
      <c r="R593" s="134"/>
      <c r="S593" s="2"/>
      <c r="T593" s="2"/>
      <c r="U593" s="2"/>
      <c r="V593" s="2"/>
      <c r="W593" s="2"/>
    </row>
    <row r="594" spans="1:23" s="122" customFormat="1" ht="31.5" customHeight="1">
      <c r="A594" s="2"/>
      <c r="B594" s="533" t="s">
        <v>1159</v>
      </c>
      <c r="C594" s="533"/>
      <c r="D594" s="533"/>
      <c r="E594" s="533"/>
      <c r="F594" s="533"/>
      <c r="G594" s="533"/>
      <c r="H594" s="533"/>
      <c r="I594" s="533"/>
      <c r="J594" s="533"/>
      <c r="K594" s="533"/>
      <c r="L594" s="533"/>
      <c r="M594" s="131"/>
      <c r="N594" s="131">
        <f>SUM(N113:N116)*0.25</f>
        <v>0</v>
      </c>
      <c r="O594" s="131"/>
      <c r="P594" s="132"/>
      <c r="Q594" s="132"/>
      <c r="R594" s="134"/>
      <c r="S594" s="2"/>
      <c r="T594" s="2"/>
      <c r="U594" s="2"/>
      <c r="V594" s="2"/>
      <c r="W594" s="2"/>
    </row>
    <row r="595" spans="1:23" s="122" customFormat="1" ht="31.5" customHeight="1">
      <c r="A595" s="2"/>
      <c r="B595" s="533" t="s">
        <v>1160</v>
      </c>
      <c r="C595" s="533"/>
      <c r="D595" s="533"/>
      <c r="E595" s="533"/>
      <c r="F595" s="533"/>
      <c r="G595" s="533"/>
      <c r="H595" s="533"/>
      <c r="I595" s="533"/>
      <c r="J595" s="533"/>
      <c r="K595" s="533"/>
      <c r="L595" s="533"/>
      <c r="M595" s="131"/>
      <c r="N595" s="131">
        <f>TRUNC((N57)*0.65,2)</f>
        <v>0</v>
      </c>
      <c r="O595" s="131"/>
      <c r="P595" s="132"/>
      <c r="Q595" s="132"/>
      <c r="R595" s="134"/>
      <c r="S595" s="2"/>
      <c r="T595" s="2"/>
      <c r="U595" s="2"/>
      <c r="V595" s="2"/>
      <c r="W595" s="2"/>
    </row>
    <row r="596" spans="1:23" s="122" customFormat="1" ht="31.5" customHeight="1">
      <c r="A596" s="2"/>
      <c r="B596" s="533" t="s">
        <v>1161</v>
      </c>
      <c r="C596" s="533"/>
      <c r="D596" s="533"/>
      <c r="E596" s="533"/>
      <c r="F596" s="533"/>
      <c r="G596" s="533"/>
      <c r="H596" s="533"/>
      <c r="I596" s="533"/>
      <c r="J596" s="533"/>
      <c r="K596" s="533"/>
      <c r="L596" s="533"/>
      <c r="M596" s="131">
        <f>M28+M47+M59+M89+M127+M135+M149+M163+M168+M172+M217+M226+M235+M320+M433+M448+M464+M492</f>
        <v>43169.37</v>
      </c>
      <c r="N596" s="131">
        <f>N592-N593-N594-N595</f>
        <v>379602.03</v>
      </c>
      <c r="O596" s="131" t="s">
        <v>1162</v>
      </c>
      <c r="P596" s="132">
        <f>P28+P47+P59+P89+P127+P135+P149+P163+P168+P172+P217+P226+P235+P320+P433+P448+P464+P492</f>
        <v>1855118.2200000002</v>
      </c>
      <c r="Q596" s="132" t="s">
        <v>1162</v>
      </c>
      <c r="R596" s="134" t="s">
        <v>1162</v>
      </c>
      <c r="S596" s="2"/>
      <c r="T596" s="2"/>
      <c r="U596" s="2"/>
      <c r="V596" s="2"/>
      <c r="W596" s="2"/>
    </row>
    <row r="597" spans="1:23" s="122" customFormat="1" ht="8.25" customHeight="1">
      <c r="D597" s="135"/>
      <c r="E597" s="136"/>
      <c r="F597" s="136"/>
      <c r="G597" s="136"/>
      <c r="H597" s="136"/>
      <c r="I597" s="136"/>
      <c r="J597" s="137"/>
      <c r="K597" s="137"/>
      <c r="L597" s="137"/>
      <c r="M597" s="137"/>
      <c r="N597" s="137"/>
      <c r="O597" s="138"/>
      <c r="P597" s="139"/>
      <c r="Q597" s="139"/>
      <c r="R597" s="137"/>
    </row>
    <row r="598" spans="1:23" s="122" customFormat="1" ht="15.75" customHeight="1">
      <c r="B598" s="140" t="s">
        <v>1163</v>
      </c>
      <c r="C598" s="141" t="s">
        <v>1164</v>
      </c>
      <c r="D598" s="534" t="s">
        <v>1165</v>
      </c>
      <c r="E598" s="534"/>
      <c r="F598" s="142" t="s">
        <v>1163</v>
      </c>
      <c r="G598" s="143" t="s">
        <v>1164</v>
      </c>
      <c r="H598" s="144"/>
      <c r="I598" s="534" t="s">
        <v>1165</v>
      </c>
      <c r="J598" s="534"/>
      <c r="K598" s="145"/>
      <c r="L598" s="142" t="s">
        <v>1166</v>
      </c>
      <c r="M598" s="142"/>
      <c r="N598" s="146"/>
      <c r="O598" s="535" t="s">
        <v>1167</v>
      </c>
      <c r="P598" s="535"/>
      <c r="Q598" s="535"/>
      <c r="R598" s="137"/>
    </row>
    <row r="599" spans="1:23" s="122" customFormat="1" ht="19.5" customHeight="1">
      <c r="B599" s="147" t="s">
        <v>1168</v>
      </c>
      <c r="C599" s="148" t="s">
        <v>1169</v>
      </c>
      <c r="D599" s="536">
        <f>TRUNC(35%*11%*N596,2)</f>
        <v>14614.67</v>
      </c>
      <c r="E599" s="536"/>
      <c r="F599" s="149" t="s">
        <v>1170</v>
      </c>
      <c r="G599" s="150"/>
      <c r="H599" s="151"/>
      <c r="I599" s="537"/>
      <c r="J599" s="537"/>
      <c r="K599" s="152"/>
      <c r="L599" s="149" t="s">
        <v>1171</v>
      </c>
      <c r="M599" s="150" t="e">
        <f>#REF!</f>
        <v>#REF!</v>
      </c>
      <c r="N599" s="150"/>
      <c r="O599" s="535"/>
      <c r="P599" s="535"/>
      <c r="Q599" s="535"/>
      <c r="R599" s="137"/>
    </row>
    <row r="600" spans="1:23" s="122" customFormat="1" ht="19.5" customHeight="1">
      <c r="B600" s="147" t="s">
        <v>1172</v>
      </c>
      <c r="C600" s="148" t="s">
        <v>1173</v>
      </c>
      <c r="D600" s="536">
        <f>N596*0.05*0.7</f>
        <v>13286.07105</v>
      </c>
      <c r="E600" s="536"/>
      <c r="F600" s="149" t="s">
        <v>1174</v>
      </c>
      <c r="G600" s="150"/>
      <c r="H600" s="151"/>
      <c r="I600" s="537"/>
      <c r="J600" s="537"/>
      <c r="K600" s="152"/>
      <c r="L600" s="149" t="s">
        <v>1175</v>
      </c>
      <c r="M600" s="150" t="e">
        <f>#REF!</f>
        <v>#REF!</v>
      </c>
      <c r="N600" s="150"/>
      <c r="O600" s="538">
        <f>N596-D599-D600-D601-I599-I600-I601-N599-N600-N601</f>
        <v>351701.28895000002</v>
      </c>
      <c r="P600" s="538"/>
      <c r="Q600" s="538"/>
      <c r="R600" s="137"/>
    </row>
    <row r="601" spans="1:23" s="122" customFormat="1" ht="19.5" customHeight="1">
      <c r="B601" s="153" t="s">
        <v>1176</v>
      </c>
      <c r="C601" s="154">
        <v>0</v>
      </c>
      <c r="D601" s="539"/>
      <c r="E601" s="539"/>
      <c r="F601" s="155" t="s">
        <v>1177</v>
      </c>
      <c r="G601" s="156"/>
      <c r="H601" s="157"/>
      <c r="I601" s="540"/>
      <c r="J601" s="540"/>
      <c r="K601" s="159"/>
      <c r="L601" s="155" t="s">
        <v>1178</v>
      </c>
      <c r="M601" s="158"/>
      <c r="N601" s="158"/>
      <c r="O601" s="538"/>
      <c r="P601" s="538"/>
      <c r="Q601" s="538"/>
      <c r="R601" s="137"/>
    </row>
    <row r="602" spans="1:23">
      <c r="A602" s="122"/>
      <c r="B602" s="122"/>
      <c r="C602" s="122"/>
      <c r="D602" s="135"/>
      <c r="E602" s="136"/>
      <c r="F602" s="136"/>
      <c r="G602" s="136"/>
      <c r="H602" s="136"/>
      <c r="I602" s="136"/>
      <c r="J602" s="137"/>
      <c r="K602" s="137"/>
      <c r="L602" s="137"/>
      <c r="M602" s="137"/>
      <c r="N602" s="137"/>
      <c r="O602" s="137"/>
      <c r="P602" s="139"/>
      <c r="Q602" s="139"/>
      <c r="R602" s="137"/>
      <c r="S602" s="122"/>
      <c r="T602" s="122"/>
      <c r="U602" s="122"/>
      <c r="V602" s="122"/>
      <c r="W602" s="122"/>
    </row>
    <row r="603" spans="1:23">
      <c r="A603" s="122"/>
      <c r="B603" s="122"/>
      <c r="C603" s="122"/>
      <c r="D603" s="135"/>
      <c r="E603" s="136"/>
      <c r="F603" s="136"/>
      <c r="G603" s="136"/>
      <c r="H603" s="136"/>
      <c r="I603" s="136"/>
      <c r="J603" s="137"/>
      <c r="K603" s="137"/>
      <c r="L603" s="137"/>
      <c r="M603" s="137"/>
      <c r="N603" s="137"/>
      <c r="O603" s="137"/>
      <c r="P603" s="139"/>
      <c r="Q603" s="139"/>
      <c r="R603" s="137"/>
      <c r="S603" s="122"/>
      <c r="T603" s="122"/>
      <c r="U603" s="122"/>
      <c r="V603" s="122"/>
      <c r="W603" s="122"/>
    </row>
    <row r="604" spans="1:23" ht="27.75" customHeight="1">
      <c r="A604" s="122"/>
      <c r="B604" s="122"/>
      <c r="C604" s="541" t="s">
        <v>1179</v>
      </c>
      <c r="D604" s="541"/>
      <c r="E604" s="541"/>
      <c r="F604" s="136"/>
      <c r="G604" s="136"/>
      <c r="H604" s="136"/>
      <c r="I604" s="136"/>
      <c r="J604" s="137"/>
      <c r="K604" s="137"/>
      <c r="L604" s="137"/>
      <c r="M604" s="137"/>
      <c r="N604" s="137"/>
      <c r="O604" s="137"/>
      <c r="P604" s="139"/>
      <c r="Q604" s="139"/>
      <c r="R604" s="137"/>
      <c r="S604" s="122"/>
      <c r="T604" s="122"/>
      <c r="U604" s="122"/>
      <c r="V604" s="122"/>
      <c r="W604" s="122"/>
    </row>
    <row r="605" spans="1:23" ht="24.75" customHeight="1">
      <c r="A605" s="122"/>
      <c r="B605" s="122"/>
      <c r="C605" s="542" t="s">
        <v>1180</v>
      </c>
      <c r="D605" s="542"/>
      <c r="E605" s="160">
        <f>N596</f>
        <v>379602.03</v>
      </c>
      <c r="F605" s="136"/>
      <c r="G605" s="136"/>
      <c r="H605" s="136"/>
      <c r="I605" s="136"/>
      <c r="J605" s="137"/>
      <c r="K605" s="137"/>
      <c r="L605" s="137"/>
      <c r="M605" s="137"/>
      <c r="N605" s="137"/>
      <c r="O605" s="137"/>
      <c r="P605" s="139"/>
      <c r="Q605" s="139"/>
      <c r="R605" s="137"/>
      <c r="S605" s="122"/>
      <c r="T605" s="122"/>
      <c r="U605" s="122"/>
      <c r="V605" s="122"/>
      <c r="W605" s="122"/>
    </row>
    <row r="606" spans="1:23" ht="24.75" customHeight="1">
      <c r="A606" s="122"/>
      <c r="B606" s="122"/>
      <c r="C606" s="543" t="s">
        <v>1181</v>
      </c>
      <c r="D606" s="543"/>
      <c r="E606" s="161">
        <f>E605</f>
        <v>379602.03</v>
      </c>
      <c r="F606" s="544" t="s">
        <v>1182</v>
      </c>
      <c r="G606" s="544"/>
      <c r="H606" s="544"/>
      <c r="I606" s="544"/>
      <c r="J606" s="544"/>
      <c r="K606" s="544"/>
      <c r="L606" s="544"/>
      <c r="M606" s="544"/>
      <c r="N606" s="544"/>
      <c r="O606" s="137"/>
      <c r="P606" s="139"/>
      <c r="Q606" s="139"/>
      <c r="R606" s="137"/>
      <c r="S606" s="122"/>
      <c r="T606" s="122"/>
      <c r="U606" s="122"/>
      <c r="V606" s="122"/>
      <c r="W606" s="122"/>
    </row>
    <row r="607" spans="1:23" ht="24.75" customHeight="1">
      <c r="A607" s="122"/>
      <c r="B607" s="122"/>
      <c r="C607" s="543" t="s">
        <v>1183</v>
      </c>
      <c r="D607" s="543"/>
      <c r="E607" s="162">
        <f>E605-E606</f>
        <v>0</v>
      </c>
      <c r="F607" s="136"/>
      <c r="G607" s="136"/>
      <c r="H607" s="136"/>
      <c r="I607" s="136"/>
      <c r="J607" s="137"/>
      <c r="K607" s="137"/>
      <c r="L607" s="137"/>
      <c r="M607" s="137"/>
      <c r="N607" s="137"/>
      <c r="O607" s="137"/>
      <c r="P607" s="139"/>
      <c r="Q607" s="139"/>
      <c r="R607" s="137"/>
      <c r="S607" s="122"/>
      <c r="T607" s="122"/>
      <c r="U607" s="122"/>
      <c r="V607" s="122"/>
      <c r="W607" s="122"/>
    </row>
    <row r="608" spans="1:23" ht="24.75" customHeight="1">
      <c r="A608" s="122"/>
      <c r="B608" s="122"/>
      <c r="C608" s="543" t="s">
        <v>1184</v>
      </c>
      <c r="D608" s="543"/>
      <c r="E608" s="163">
        <f>E607/E605</f>
        <v>0</v>
      </c>
      <c r="F608" s="136"/>
      <c r="G608" s="136"/>
      <c r="H608" s="136"/>
      <c r="I608" s="136"/>
      <c r="J608" s="137"/>
      <c r="K608" s="137"/>
      <c r="L608" s="137"/>
      <c r="M608" s="137"/>
      <c r="N608" s="137"/>
      <c r="O608" s="137"/>
      <c r="P608" s="139"/>
      <c r="Q608" s="139"/>
      <c r="R608" s="137"/>
      <c r="S608" s="122"/>
      <c r="T608" s="122"/>
      <c r="U608" s="122"/>
      <c r="V608" s="122"/>
      <c r="W608" s="122"/>
    </row>
    <row r="609" spans="1:23" ht="24.75" customHeight="1">
      <c r="A609" s="122"/>
      <c r="B609" s="122"/>
      <c r="C609" s="545" t="s">
        <v>1185</v>
      </c>
      <c r="D609" s="545"/>
      <c r="E609" s="164">
        <f>TRUNC(E607*5%,2)</f>
        <v>0</v>
      </c>
      <c r="F609" s="136"/>
      <c r="G609" s="136"/>
      <c r="H609" s="136"/>
      <c r="I609" s="136"/>
      <c r="J609" s="137"/>
      <c r="K609" s="137"/>
      <c r="L609" s="137"/>
      <c r="M609" s="137"/>
      <c r="N609" s="137"/>
      <c r="O609" s="137"/>
      <c r="P609" s="139"/>
      <c r="Q609" s="139"/>
      <c r="R609" s="137"/>
      <c r="S609" s="122"/>
      <c r="T609" s="122"/>
      <c r="U609" s="122"/>
      <c r="V609" s="122"/>
      <c r="W609" s="122"/>
    </row>
    <row r="611" spans="1:23" ht="19.5" customHeight="1">
      <c r="C611" s="546" t="s">
        <v>1186</v>
      </c>
      <c r="D611" s="546"/>
      <c r="E611" s="546"/>
      <c r="F611" s="546"/>
      <c r="G611" s="546"/>
      <c r="J611" s="4"/>
      <c r="N611" s="546" t="s">
        <v>1187</v>
      </c>
      <c r="O611" s="546"/>
      <c r="P611" s="546"/>
      <c r="Q611" s="546"/>
      <c r="R611" s="546"/>
      <c r="S611" s="5"/>
    </row>
    <row r="612" spans="1:23" ht="19.5" customHeight="1">
      <c r="C612" s="547" t="s">
        <v>1188</v>
      </c>
      <c r="D612" s="547"/>
      <c r="E612" s="165">
        <v>45390</v>
      </c>
      <c r="F612" s="166" t="s">
        <v>1189</v>
      </c>
      <c r="G612" s="167">
        <v>157132.10999999999</v>
      </c>
      <c r="J612" s="4"/>
      <c r="K612" s="4"/>
      <c r="N612" s="548" t="s">
        <v>1190</v>
      </c>
      <c r="O612" s="548"/>
      <c r="P612" s="168">
        <v>44973</v>
      </c>
      <c r="Q612" s="169" t="s">
        <v>1162</v>
      </c>
      <c r="R612" s="170"/>
      <c r="S612" s="6"/>
      <c r="T612" s="5"/>
    </row>
    <row r="613" spans="1:23" ht="19.5" customHeight="1">
      <c r="C613" s="547" t="s">
        <v>1191</v>
      </c>
      <c r="D613" s="547"/>
      <c r="E613" s="165">
        <v>45390</v>
      </c>
      <c r="F613" s="171" t="s">
        <v>1189</v>
      </c>
      <c r="G613" s="172">
        <v>12663.81</v>
      </c>
      <c r="J613" s="4"/>
      <c r="K613" s="4"/>
      <c r="N613" s="549"/>
      <c r="O613" s="549"/>
      <c r="P613" s="173">
        <v>44973</v>
      </c>
      <c r="Q613" s="171" t="s">
        <v>1162</v>
      </c>
      <c r="R613" s="174"/>
      <c r="S613" s="6"/>
      <c r="T613" s="5"/>
    </row>
    <row r="614" spans="1:23" ht="19.5" customHeight="1">
      <c r="C614" s="549"/>
      <c r="D614" s="549"/>
      <c r="E614" s="173"/>
      <c r="F614" s="171"/>
      <c r="G614" s="172"/>
      <c r="J614" s="4"/>
      <c r="K614" s="4"/>
      <c r="N614" s="549"/>
      <c r="O614" s="549"/>
      <c r="P614" s="173"/>
      <c r="Q614" s="171"/>
      <c r="R614" s="174"/>
      <c r="S614" s="6"/>
      <c r="T614" s="5"/>
    </row>
    <row r="615" spans="1:23" ht="19.5" customHeight="1">
      <c r="C615" s="549"/>
      <c r="D615" s="549"/>
      <c r="E615" s="173"/>
      <c r="F615" s="171"/>
      <c r="G615" s="172"/>
      <c r="J615" s="4"/>
      <c r="K615" s="4"/>
      <c r="N615" s="549"/>
      <c r="O615" s="549"/>
      <c r="P615" s="173"/>
      <c r="Q615" s="171"/>
      <c r="R615" s="174"/>
      <c r="S615" s="6"/>
      <c r="T615" s="5"/>
    </row>
    <row r="616" spans="1:23" ht="19.5" customHeight="1">
      <c r="C616" s="549"/>
      <c r="D616" s="549"/>
      <c r="E616" s="173"/>
      <c r="F616" s="171"/>
      <c r="G616" s="172"/>
      <c r="J616" s="4"/>
      <c r="K616" s="4"/>
      <c r="N616" s="549"/>
      <c r="O616" s="549"/>
      <c r="P616" s="173"/>
      <c r="Q616" s="171"/>
      <c r="R616" s="174"/>
      <c r="S616" s="6"/>
      <c r="T616" s="5"/>
    </row>
    <row r="617" spans="1:23" ht="19.5" customHeight="1">
      <c r="C617" s="549"/>
      <c r="D617" s="549"/>
      <c r="E617" s="173"/>
      <c r="F617" s="171"/>
      <c r="G617" s="172"/>
      <c r="J617" s="4"/>
      <c r="K617" s="4"/>
      <c r="N617" s="549"/>
      <c r="O617" s="549"/>
      <c r="P617" s="173"/>
      <c r="Q617" s="171"/>
      <c r="R617" s="174"/>
      <c r="S617" s="6"/>
      <c r="T617" s="5"/>
    </row>
    <row r="618" spans="1:23" ht="19.5" customHeight="1">
      <c r="C618" s="549"/>
      <c r="D618" s="549"/>
      <c r="E618" s="173"/>
      <c r="F618" s="171"/>
      <c r="G618" s="172"/>
      <c r="J618" s="4"/>
      <c r="K618" s="4"/>
      <c r="N618" s="549"/>
      <c r="O618" s="549"/>
      <c r="P618" s="173"/>
      <c r="Q618" s="171"/>
      <c r="R618" s="174"/>
      <c r="S618" s="6"/>
      <c r="T618" s="5"/>
    </row>
    <row r="619" spans="1:23" ht="19.5" customHeight="1">
      <c r="C619" s="550"/>
      <c r="D619" s="550"/>
      <c r="E619" s="175"/>
      <c r="F619" s="176"/>
      <c r="G619" s="177"/>
      <c r="J619" s="4"/>
      <c r="K619" s="4"/>
      <c r="N619" s="550"/>
      <c r="O619" s="550"/>
      <c r="P619" s="175"/>
      <c r="Q619" s="176"/>
      <c r="R619" s="178"/>
      <c r="S619" s="6"/>
      <c r="T619" s="5"/>
    </row>
    <row r="620" spans="1:23" ht="19.5" customHeight="1">
      <c r="C620" s="179"/>
      <c r="D620" s="180"/>
      <c r="E620" s="180"/>
      <c r="F620" s="180"/>
      <c r="G620" s="181">
        <f>SUM(G612:G619)</f>
        <v>169795.91999999998</v>
      </c>
      <c r="J620" s="4"/>
      <c r="K620" s="4"/>
      <c r="N620" s="179"/>
      <c r="O620" s="180"/>
      <c r="P620" s="180"/>
      <c r="Q620" s="180"/>
      <c r="R620" s="182">
        <f>SUM(R612:R619)</f>
        <v>0</v>
      </c>
      <c r="S620" s="6"/>
      <c r="T620" s="5"/>
    </row>
    <row r="622" spans="1:23">
      <c r="R622" s="183"/>
    </row>
  </sheetData>
  <mergeCells count="104">
    <mergeCell ref="C619:D619"/>
    <mergeCell ref="N619:O619"/>
    <mergeCell ref="C614:D614"/>
    <mergeCell ref="N614:O614"/>
    <mergeCell ref="C615:D615"/>
    <mergeCell ref="N615:O615"/>
    <mergeCell ref="C616:D616"/>
    <mergeCell ref="N616:O616"/>
    <mergeCell ref="C617:D617"/>
    <mergeCell ref="N617:O617"/>
    <mergeCell ref="C618:D618"/>
    <mergeCell ref="N618:O618"/>
    <mergeCell ref="C607:D607"/>
    <mergeCell ref="C608:D608"/>
    <mergeCell ref="C609:D609"/>
    <mergeCell ref="C611:G611"/>
    <mergeCell ref="N611:R611"/>
    <mergeCell ref="C612:D612"/>
    <mergeCell ref="N612:O612"/>
    <mergeCell ref="C613:D613"/>
    <mergeCell ref="N613:O613"/>
    <mergeCell ref="D600:E600"/>
    <mergeCell ref="I600:J600"/>
    <mergeCell ref="O600:Q601"/>
    <mergeCell ref="D601:E601"/>
    <mergeCell ref="I601:J601"/>
    <mergeCell ref="C604:E604"/>
    <mergeCell ref="C605:D605"/>
    <mergeCell ref="C606:D606"/>
    <mergeCell ref="F606:N606"/>
    <mergeCell ref="B592:L592"/>
    <mergeCell ref="B593:L593"/>
    <mergeCell ref="B594:L594"/>
    <mergeCell ref="B595:L595"/>
    <mergeCell ref="B596:L596"/>
    <mergeCell ref="D598:E598"/>
    <mergeCell ref="I598:J598"/>
    <mergeCell ref="O598:Q599"/>
    <mergeCell ref="D599:E599"/>
    <mergeCell ref="I599:J599"/>
    <mergeCell ref="B22:C22"/>
    <mergeCell ref="D22:J22"/>
    <mergeCell ref="L22:O22"/>
    <mergeCell ref="P22:R22"/>
    <mergeCell ref="B23:R23"/>
    <mergeCell ref="B25:B26"/>
    <mergeCell ref="C25:C26"/>
    <mergeCell ref="D25:D26"/>
    <mergeCell ref="E25:J25"/>
    <mergeCell ref="N25:R25"/>
    <mergeCell ref="B19:C19"/>
    <mergeCell ref="D19:J19"/>
    <mergeCell ref="L19:O19"/>
    <mergeCell ref="P19:R19"/>
    <mergeCell ref="B20:C20"/>
    <mergeCell ref="D20:J20"/>
    <mergeCell ref="L20:O20"/>
    <mergeCell ref="P20:R20"/>
    <mergeCell ref="B21:C21"/>
    <mergeCell ref="D21:J21"/>
    <mergeCell ref="L21:O21"/>
    <mergeCell ref="P21:R21"/>
    <mergeCell ref="B15:C15"/>
    <mergeCell ref="D15:G15"/>
    <mergeCell ref="I15:J15"/>
    <mergeCell ref="L15:N15"/>
    <mergeCell ref="P15:R15"/>
    <mergeCell ref="B16:R16"/>
    <mergeCell ref="B17:R17"/>
    <mergeCell ref="B18:C18"/>
    <mergeCell ref="D18:J18"/>
    <mergeCell ref="L18:O18"/>
    <mergeCell ref="P18:R18"/>
    <mergeCell ref="B13:C13"/>
    <mergeCell ref="D13:J13"/>
    <mergeCell ref="L13:O13"/>
    <mergeCell ref="P13:R13"/>
    <mergeCell ref="B14:C14"/>
    <mergeCell ref="D14:G14"/>
    <mergeCell ref="I14:J14"/>
    <mergeCell ref="L14:N14"/>
    <mergeCell ref="P14:R14"/>
    <mergeCell ref="B10:C10"/>
    <mergeCell ref="D10:J10"/>
    <mergeCell ref="L10:O10"/>
    <mergeCell ref="P10:R10"/>
    <mergeCell ref="B11:C11"/>
    <mergeCell ref="D11:J11"/>
    <mergeCell ref="L11:O11"/>
    <mergeCell ref="P11:R11"/>
    <mergeCell ref="B12:C12"/>
    <mergeCell ref="D12:G12"/>
    <mergeCell ref="I12:J12"/>
    <mergeCell ref="L12:N12"/>
    <mergeCell ref="P12:R12"/>
    <mergeCell ref="B2:R2"/>
    <mergeCell ref="B3:R3"/>
    <mergeCell ref="B4:R4"/>
    <mergeCell ref="B5:R5"/>
    <mergeCell ref="B6:R6"/>
    <mergeCell ref="B7:R7"/>
    <mergeCell ref="B8:R8"/>
    <mergeCell ref="B9:C9"/>
    <mergeCell ref="D9:R9"/>
  </mergeCells>
  <conditionalFormatting sqref="R27:R590">
    <cfRule type="cellIs" dxfId="13" priority="2" operator="lessThan">
      <formula>0</formula>
    </cfRule>
  </conditionalFormatting>
  <printOptions horizontalCentered="1"/>
  <pageMargins left="0.51180555555555596" right="0.51180555555555596" top="0.78749999999999998" bottom="1.1812499999999999" header="0.511811023622047" footer="0.511811023622047"/>
  <pageSetup paperSize="9" scale="38" fitToHeight="26" orientation="portrait" horizontalDpi="300" verticalDpi="300" r:id="rId1"/>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624"/>
  <sheetViews>
    <sheetView view="pageBreakPreview" topLeftCell="B593" zoomScale="75" zoomScaleNormal="70" zoomScalePageLayoutView="75" workbookViewId="0">
      <selection activeCell="B595" sqref="B595"/>
    </sheetView>
  </sheetViews>
  <sheetFormatPr defaultColWidth="9.109375" defaultRowHeight="14.4"/>
  <cols>
    <col min="1" max="1" width="3.6640625" style="2" hidden="1" customWidth="1"/>
    <col min="2" max="2" width="11.33203125" style="2" customWidth="1"/>
    <col min="3" max="3" width="50" style="2" customWidth="1"/>
    <col min="4" max="4" width="5.88671875" style="3" customWidth="1"/>
    <col min="5" max="5" width="22.6640625" style="4" customWidth="1"/>
    <col min="6" max="7" width="15.88671875" style="4" customWidth="1"/>
    <col min="8" max="8" width="4.44140625" style="4" hidden="1" customWidth="1"/>
    <col min="9" max="9" width="13" style="4" customWidth="1"/>
    <col min="10" max="10" width="10.109375" style="5" customWidth="1"/>
    <col min="11" max="11" width="17" style="5" hidden="1" customWidth="1"/>
    <col min="12" max="12" width="15.88671875" style="5" customWidth="1"/>
    <col min="13" max="13" width="25.33203125" style="5" hidden="1" customWidth="1"/>
    <col min="14" max="15" width="23.5546875" style="5" customWidth="1"/>
    <col min="16" max="16" width="23.5546875" style="6" hidden="1" customWidth="1"/>
    <col min="17" max="17" width="23.5546875" style="6" customWidth="1"/>
    <col min="18" max="18" width="23.5546875" style="5" customWidth="1"/>
    <col min="19" max="19" width="3" style="2" customWidth="1"/>
    <col min="20" max="20" width="23.33203125" style="2" customWidth="1"/>
    <col min="21" max="21" width="22.6640625" style="2" customWidth="1"/>
    <col min="22" max="22" width="21.44140625" style="2" customWidth="1"/>
    <col min="23" max="23" width="17.109375" style="2" customWidth="1"/>
    <col min="24" max="16384" width="9.109375" style="2"/>
  </cols>
  <sheetData>
    <row r="1" spans="2:23" ht="6" customHeight="1"/>
    <row r="2" spans="2:23" ht="29.25" customHeight="1">
      <c r="B2" s="491"/>
      <c r="C2" s="491"/>
      <c r="D2" s="491"/>
      <c r="E2" s="491"/>
      <c r="F2" s="491"/>
      <c r="G2" s="491"/>
      <c r="H2" s="491"/>
      <c r="I2" s="491"/>
      <c r="J2" s="491"/>
      <c r="K2" s="491"/>
      <c r="L2" s="491"/>
      <c r="M2" s="491"/>
      <c r="N2" s="491"/>
      <c r="O2" s="491"/>
      <c r="P2" s="491"/>
      <c r="Q2" s="491"/>
      <c r="R2" s="491"/>
      <c r="S2" s="7"/>
    </row>
    <row r="3" spans="2:23" ht="29.25" customHeight="1">
      <c r="B3" s="492" t="s">
        <v>0</v>
      </c>
      <c r="C3" s="492"/>
      <c r="D3" s="492"/>
      <c r="E3" s="492"/>
      <c r="F3" s="492"/>
      <c r="G3" s="492"/>
      <c r="H3" s="492"/>
      <c r="I3" s="492"/>
      <c r="J3" s="492"/>
      <c r="K3" s="492"/>
      <c r="L3" s="492"/>
      <c r="M3" s="492"/>
      <c r="N3" s="492"/>
      <c r="O3" s="492"/>
      <c r="P3" s="492"/>
      <c r="Q3" s="492"/>
      <c r="R3" s="492"/>
      <c r="S3" s="7"/>
      <c r="W3" s="8"/>
    </row>
    <row r="4" spans="2:23" ht="29.25" customHeight="1">
      <c r="B4" s="493"/>
      <c r="C4" s="493"/>
      <c r="D4" s="493"/>
      <c r="E4" s="493"/>
      <c r="F4" s="493"/>
      <c r="G4" s="493"/>
      <c r="H4" s="493"/>
      <c r="I4" s="493"/>
      <c r="J4" s="493"/>
      <c r="K4" s="493"/>
      <c r="L4" s="493"/>
      <c r="M4" s="493"/>
      <c r="N4" s="493"/>
      <c r="O4" s="493"/>
      <c r="P4" s="493"/>
      <c r="Q4" s="493"/>
      <c r="R4" s="493"/>
      <c r="S4" s="9"/>
      <c r="T4" s="2">
        <v>12630000</v>
      </c>
    </row>
    <row r="5" spans="2:23" ht="8.25" customHeight="1">
      <c r="B5" s="494"/>
      <c r="C5" s="494"/>
      <c r="D5" s="494"/>
      <c r="E5" s="494"/>
      <c r="F5" s="494"/>
      <c r="G5" s="494"/>
      <c r="H5" s="494"/>
      <c r="I5" s="494"/>
      <c r="J5" s="494"/>
      <c r="K5" s="494"/>
      <c r="L5" s="494"/>
      <c r="M5" s="494"/>
      <c r="N5" s="494"/>
      <c r="O5" s="494"/>
      <c r="P5" s="494"/>
      <c r="Q5" s="494"/>
      <c r="R5" s="494"/>
      <c r="S5" s="9"/>
    </row>
    <row r="6" spans="2:23" ht="38.25" customHeight="1">
      <c r="B6" s="495" t="s">
        <v>1192</v>
      </c>
      <c r="C6" s="495"/>
      <c r="D6" s="495"/>
      <c r="E6" s="495"/>
      <c r="F6" s="495"/>
      <c r="G6" s="495"/>
      <c r="H6" s="495"/>
      <c r="I6" s="495"/>
      <c r="J6" s="495"/>
      <c r="K6" s="495"/>
      <c r="L6" s="495"/>
      <c r="M6" s="495"/>
      <c r="N6" s="495"/>
      <c r="O6" s="495"/>
      <c r="P6" s="495"/>
      <c r="Q6" s="495"/>
      <c r="R6" s="495"/>
      <c r="S6" s="7"/>
    </row>
    <row r="7" spans="2:23" ht="8.25" customHeight="1">
      <c r="B7" s="496"/>
      <c r="C7" s="496"/>
      <c r="D7" s="496"/>
      <c r="E7" s="496"/>
      <c r="F7" s="496"/>
      <c r="G7" s="496"/>
      <c r="H7" s="496"/>
      <c r="I7" s="496"/>
      <c r="J7" s="496"/>
      <c r="K7" s="496"/>
      <c r="L7" s="496"/>
      <c r="M7" s="496"/>
      <c r="N7" s="496"/>
      <c r="O7" s="496"/>
      <c r="P7" s="496"/>
      <c r="Q7" s="496"/>
      <c r="R7" s="496"/>
      <c r="S7" s="7"/>
    </row>
    <row r="8" spans="2:23" ht="25.5" customHeight="1">
      <c r="B8" s="497" t="s">
        <v>2</v>
      </c>
      <c r="C8" s="497"/>
      <c r="D8" s="497"/>
      <c r="E8" s="497"/>
      <c r="F8" s="497"/>
      <c r="G8" s="497"/>
      <c r="H8" s="497"/>
      <c r="I8" s="497"/>
      <c r="J8" s="497"/>
      <c r="K8" s="497"/>
      <c r="L8" s="497"/>
      <c r="M8" s="497"/>
      <c r="N8" s="497"/>
      <c r="O8" s="497"/>
      <c r="P8" s="497"/>
      <c r="Q8" s="497"/>
      <c r="R8" s="497"/>
      <c r="S8" s="7"/>
      <c r="T8" s="2">
        <f>480/30</f>
        <v>16</v>
      </c>
    </row>
    <row r="9" spans="2:23" s="10" customFormat="1" ht="31.5" customHeight="1">
      <c r="B9" s="498" t="s">
        <v>3</v>
      </c>
      <c r="C9" s="498"/>
      <c r="D9" s="499" t="s">
        <v>4</v>
      </c>
      <c r="E9" s="499"/>
      <c r="F9" s="499"/>
      <c r="G9" s="499"/>
      <c r="H9" s="499"/>
      <c r="I9" s="499"/>
      <c r="J9" s="499"/>
      <c r="K9" s="499"/>
      <c r="L9" s="499"/>
      <c r="M9" s="499"/>
      <c r="N9" s="499"/>
      <c r="O9" s="499"/>
      <c r="P9" s="499"/>
      <c r="Q9" s="499"/>
      <c r="R9" s="499"/>
      <c r="S9" s="11"/>
    </row>
    <row r="10" spans="2:23" s="10" customFormat="1" ht="31.5" customHeight="1">
      <c r="B10" s="498" t="s">
        <v>5</v>
      </c>
      <c r="C10" s="498"/>
      <c r="D10" s="500" t="s">
        <v>6</v>
      </c>
      <c r="E10" s="500"/>
      <c r="F10" s="500"/>
      <c r="G10" s="500"/>
      <c r="H10" s="500"/>
      <c r="I10" s="500"/>
      <c r="J10" s="500"/>
      <c r="K10" s="12"/>
      <c r="L10" s="501" t="s">
        <v>7</v>
      </c>
      <c r="M10" s="501"/>
      <c r="N10" s="501"/>
      <c r="O10" s="501"/>
      <c r="P10" s="502">
        <v>45383</v>
      </c>
      <c r="Q10" s="502"/>
      <c r="R10" s="502"/>
      <c r="S10" s="11"/>
    </row>
    <row r="11" spans="2:23" s="10" customFormat="1" ht="31.5" customHeight="1">
      <c r="B11" s="498" t="s">
        <v>8</v>
      </c>
      <c r="C11" s="498"/>
      <c r="D11" s="503" t="s">
        <v>9</v>
      </c>
      <c r="E11" s="503"/>
      <c r="F11" s="503"/>
      <c r="G11" s="503"/>
      <c r="H11" s="503"/>
      <c r="I11" s="503"/>
      <c r="J11" s="503"/>
      <c r="K11" s="12"/>
      <c r="L11" s="501" t="s">
        <v>10</v>
      </c>
      <c r="M11" s="501"/>
      <c r="N11" s="501"/>
      <c r="O11" s="501"/>
      <c r="P11" s="502">
        <f>P10+600</f>
        <v>45983</v>
      </c>
      <c r="Q11" s="502"/>
      <c r="R11" s="502"/>
      <c r="S11" s="11"/>
    </row>
    <row r="12" spans="2:23" s="10" customFormat="1" ht="36.75" customHeight="1">
      <c r="B12" s="504" t="s">
        <v>11</v>
      </c>
      <c r="C12" s="504"/>
      <c r="D12" s="505" t="s">
        <v>12</v>
      </c>
      <c r="E12" s="505"/>
      <c r="F12" s="505"/>
      <c r="G12" s="505"/>
      <c r="H12" s="13"/>
      <c r="I12" s="506"/>
      <c r="J12" s="506"/>
      <c r="K12" s="14"/>
      <c r="L12" s="507"/>
      <c r="M12" s="507"/>
      <c r="N12" s="507"/>
      <c r="O12" s="1" t="s">
        <v>13</v>
      </c>
      <c r="P12" s="502">
        <v>45383</v>
      </c>
      <c r="Q12" s="502"/>
      <c r="R12" s="502"/>
      <c r="S12" s="11"/>
      <c r="T12" s="15"/>
    </row>
    <row r="13" spans="2:23" s="10" customFormat="1" ht="31.5" customHeight="1">
      <c r="B13" s="508" t="s">
        <v>14</v>
      </c>
      <c r="C13" s="508"/>
      <c r="D13" s="509">
        <f>Q592</f>
        <v>26279999.999999993</v>
      </c>
      <c r="E13" s="509"/>
      <c r="F13" s="509"/>
      <c r="G13" s="509"/>
      <c r="H13" s="509"/>
      <c r="I13" s="509"/>
      <c r="J13" s="509"/>
      <c r="K13" s="16"/>
      <c r="L13" s="510" t="s">
        <v>15</v>
      </c>
      <c r="M13" s="510"/>
      <c r="N13" s="510"/>
      <c r="O13" s="510"/>
      <c r="P13" s="511" t="s">
        <v>16</v>
      </c>
      <c r="Q13" s="511"/>
      <c r="R13" s="511"/>
      <c r="S13" s="11"/>
    </row>
    <row r="14" spans="2:23" s="10" customFormat="1" ht="31.5" customHeight="1">
      <c r="B14" s="512" t="s">
        <v>17</v>
      </c>
      <c r="C14" s="512"/>
      <c r="D14" s="513"/>
      <c r="E14" s="513"/>
      <c r="F14" s="513"/>
      <c r="G14" s="513"/>
      <c r="H14" s="18"/>
      <c r="I14" s="514" t="s">
        <v>18</v>
      </c>
      <c r="J14" s="514"/>
      <c r="K14" s="17"/>
      <c r="L14" s="515"/>
      <c r="M14" s="515"/>
      <c r="N14" s="515"/>
      <c r="O14" s="19" t="s">
        <v>19</v>
      </c>
      <c r="P14" s="516"/>
      <c r="Q14" s="516"/>
      <c r="R14" s="516"/>
      <c r="S14" s="11"/>
      <c r="T14" s="15"/>
    </row>
    <row r="15" spans="2:23" s="10" customFormat="1" ht="31.5" customHeight="1">
      <c r="B15" s="517" t="s">
        <v>20</v>
      </c>
      <c r="C15" s="517"/>
      <c r="D15" s="518" t="s">
        <v>21</v>
      </c>
      <c r="E15" s="518"/>
      <c r="F15" s="518"/>
      <c r="G15" s="518"/>
      <c r="H15" s="20"/>
      <c r="I15" s="518" t="s">
        <v>18</v>
      </c>
      <c r="J15" s="518"/>
      <c r="K15" s="21"/>
      <c r="L15" s="519" t="s">
        <v>22</v>
      </c>
      <c r="M15" s="519"/>
      <c r="N15" s="519"/>
      <c r="O15" s="22" t="s">
        <v>19</v>
      </c>
      <c r="P15" s="520" t="s">
        <v>23</v>
      </c>
      <c r="Q15" s="520"/>
      <c r="R15" s="520"/>
      <c r="S15" s="11"/>
      <c r="T15" s="23">
        <f>D13</f>
        <v>26279999.999999993</v>
      </c>
      <c r="U15" s="24"/>
    </row>
    <row r="16" spans="2:23" s="10" customFormat="1" ht="6" customHeight="1">
      <c r="B16" s="521"/>
      <c r="C16" s="521"/>
      <c r="D16" s="521"/>
      <c r="E16" s="521"/>
      <c r="F16" s="521"/>
      <c r="G16" s="521"/>
      <c r="H16" s="521"/>
      <c r="I16" s="521"/>
      <c r="J16" s="521"/>
      <c r="K16" s="521"/>
      <c r="L16" s="521"/>
      <c r="M16" s="521"/>
      <c r="N16" s="521"/>
      <c r="O16" s="521"/>
      <c r="P16" s="521"/>
      <c r="Q16" s="521"/>
      <c r="R16" s="521"/>
      <c r="S16" s="11"/>
      <c r="T16" s="23"/>
      <c r="U16" s="25"/>
    </row>
    <row r="17" spans="1:23" s="10" customFormat="1" ht="27.75" customHeight="1">
      <c r="B17" s="497" t="s">
        <v>24</v>
      </c>
      <c r="C17" s="497"/>
      <c r="D17" s="497"/>
      <c r="E17" s="497"/>
      <c r="F17" s="497"/>
      <c r="G17" s="497"/>
      <c r="H17" s="497"/>
      <c r="I17" s="497"/>
      <c r="J17" s="497"/>
      <c r="K17" s="497"/>
      <c r="L17" s="497"/>
      <c r="M17" s="497"/>
      <c r="N17" s="497"/>
      <c r="O17" s="497"/>
      <c r="P17" s="497"/>
      <c r="Q17" s="497"/>
      <c r="R17" s="497"/>
      <c r="S17" s="11"/>
      <c r="T17" s="26"/>
      <c r="U17" s="27"/>
      <c r="W17" s="28"/>
    </row>
    <row r="18" spans="1:23" ht="43.5" customHeight="1">
      <c r="A18" s="10"/>
      <c r="B18" s="522" t="s">
        <v>25</v>
      </c>
      <c r="C18" s="522"/>
      <c r="D18" s="523" t="s">
        <v>4</v>
      </c>
      <c r="E18" s="523"/>
      <c r="F18" s="523"/>
      <c r="G18" s="523"/>
      <c r="H18" s="523"/>
      <c r="I18" s="523"/>
      <c r="J18" s="523"/>
      <c r="K18" s="29"/>
      <c r="L18" s="501" t="s">
        <v>26</v>
      </c>
      <c r="M18" s="501"/>
      <c r="N18" s="501"/>
      <c r="O18" s="501"/>
      <c r="P18" s="524">
        <f>N592</f>
        <v>1102157.96</v>
      </c>
      <c r="Q18" s="524"/>
      <c r="R18" s="524"/>
      <c r="S18" s="30"/>
      <c r="T18" s="23">
        <f>T15-Q33-Q32</f>
        <v>23966799.799999993</v>
      </c>
      <c r="U18" s="31"/>
      <c r="V18" s="10"/>
      <c r="W18" s="28"/>
    </row>
    <row r="19" spans="1:23" ht="31.5" customHeight="1">
      <c r="A19" s="10"/>
      <c r="B19" s="522" t="s">
        <v>27</v>
      </c>
      <c r="C19" s="522"/>
      <c r="D19" s="525" t="s">
        <v>1193</v>
      </c>
      <c r="E19" s="525"/>
      <c r="F19" s="525"/>
      <c r="G19" s="525"/>
      <c r="H19" s="525"/>
      <c r="I19" s="525"/>
      <c r="J19" s="525"/>
      <c r="K19" s="29"/>
      <c r="L19" s="501" t="s">
        <v>29</v>
      </c>
      <c r="M19" s="501"/>
      <c r="N19" s="501"/>
      <c r="O19" s="501"/>
      <c r="P19" s="524">
        <f>P18-P20</f>
        <v>0</v>
      </c>
      <c r="Q19" s="524"/>
      <c r="R19" s="524"/>
      <c r="S19" s="30"/>
      <c r="T19" s="23">
        <f>P21-O33-O32</f>
        <v>1351295.52</v>
      </c>
      <c r="U19" s="10"/>
      <c r="V19" s="10"/>
      <c r="W19" s="10"/>
    </row>
    <row r="20" spans="1:23" s="34" customFormat="1" ht="31.5" customHeight="1">
      <c r="A20" s="10"/>
      <c r="B20" s="526" t="s">
        <v>30</v>
      </c>
      <c r="C20" s="526"/>
      <c r="D20" s="523" t="s">
        <v>1194</v>
      </c>
      <c r="E20" s="523"/>
      <c r="F20" s="523"/>
      <c r="G20" s="523"/>
      <c r="H20" s="523"/>
      <c r="I20" s="523"/>
      <c r="J20" s="523"/>
      <c r="K20" s="29"/>
      <c r="L20" s="501" t="s">
        <v>32</v>
      </c>
      <c r="M20" s="501"/>
      <c r="N20" s="501"/>
      <c r="O20" s="501"/>
      <c r="P20" s="524">
        <f>N592</f>
        <v>1102157.96</v>
      </c>
      <c r="Q20" s="524"/>
      <c r="R20" s="524"/>
      <c r="S20" s="30"/>
      <c r="T20" s="32">
        <f>T19/T18</f>
        <v>5.6381975536007954E-2</v>
      </c>
      <c r="U20" s="24">
        <v>739429.5</v>
      </c>
      <c r="V20" s="10"/>
      <c r="W20" s="33"/>
    </row>
    <row r="21" spans="1:23" s="34" customFormat="1" ht="31.5" customHeight="1">
      <c r="A21" s="10"/>
      <c r="B21" s="526" t="s">
        <v>33</v>
      </c>
      <c r="C21" s="526"/>
      <c r="D21" s="527">
        <v>45441</v>
      </c>
      <c r="E21" s="527"/>
      <c r="F21" s="527"/>
      <c r="G21" s="527"/>
      <c r="H21" s="527"/>
      <c r="I21" s="527"/>
      <c r="J21" s="527"/>
      <c r="K21" s="35"/>
      <c r="L21" s="501" t="s">
        <v>34</v>
      </c>
      <c r="M21" s="501"/>
      <c r="N21" s="501"/>
      <c r="O21" s="501"/>
      <c r="P21" s="524">
        <f>P20+'BM 001'!P21:R21</f>
        <v>1481759.99</v>
      </c>
      <c r="Q21" s="524"/>
      <c r="R21" s="524"/>
      <c r="S21" s="36"/>
      <c r="T21" s="32">
        <f>T20-I33</f>
        <v>-1.8024463992044604E-5</v>
      </c>
      <c r="U21" s="32"/>
      <c r="V21" s="10"/>
      <c r="W21" s="10"/>
    </row>
    <row r="22" spans="1:23" s="34" customFormat="1" ht="31.5" customHeight="1">
      <c r="A22" s="10"/>
      <c r="B22" s="526" t="s">
        <v>35</v>
      </c>
      <c r="C22" s="526"/>
      <c r="D22" s="527">
        <v>45443</v>
      </c>
      <c r="E22" s="527"/>
      <c r="F22" s="527"/>
      <c r="G22" s="527"/>
      <c r="H22" s="527"/>
      <c r="I22" s="527"/>
      <c r="J22" s="527"/>
      <c r="K22" s="35"/>
      <c r="L22" s="501" t="s">
        <v>36</v>
      </c>
      <c r="M22" s="501"/>
      <c r="N22" s="501"/>
      <c r="O22" s="501"/>
      <c r="P22" s="524">
        <f>R592</f>
        <v>24798240.009999994</v>
      </c>
      <c r="Q22" s="524"/>
      <c r="R22" s="524"/>
      <c r="S22" s="36"/>
      <c r="T22" s="31"/>
      <c r="U22" s="37"/>
      <c r="V22" s="10"/>
      <c r="W22" s="10"/>
    </row>
    <row r="23" spans="1:23" s="34" customFormat="1" ht="9" customHeight="1">
      <c r="A23" s="10"/>
      <c r="B23" s="528"/>
      <c r="C23" s="528"/>
      <c r="D23" s="528"/>
      <c r="E23" s="528"/>
      <c r="F23" s="528"/>
      <c r="G23" s="528"/>
      <c r="H23" s="528"/>
      <c r="I23" s="528"/>
      <c r="J23" s="528"/>
      <c r="K23" s="528"/>
      <c r="L23" s="528"/>
      <c r="M23" s="528"/>
      <c r="N23" s="528"/>
      <c r="O23" s="528"/>
      <c r="P23" s="528"/>
      <c r="Q23" s="528"/>
      <c r="R23" s="528"/>
      <c r="S23" s="10"/>
      <c r="T23" s="10"/>
      <c r="U23" s="10"/>
      <c r="V23" s="10"/>
      <c r="W23" s="10"/>
    </row>
    <row r="24" spans="1:23" s="34" customFormat="1" ht="2.25" customHeight="1">
      <c r="A24" s="2"/>
      <c r="B24" s="38"/>
      <c r="C24" s="39"/>
      <c r="D24" s="40"/>
      <c r="E24" s="41"/>
      <c r="F24" s="42"/>
      <c r="G24" s="43"/>
      <c r="H24" s="43"/>
      <c r="I24" s="43"/>
      <c r="J24" s="39"/>
      <c r="K24" s="39"/>
      <c r="L24" s="39"/>
      <c r="M24" s="39"/>
      <c r="N24" s="39"/>
      <c r="O24" s="39"/>
      <c r="P24" s="44"/>
      <c r="Q24" s="44"/>
      <c r="R24" s="45"/>
      <c r="S24" s="2"/>
      <c r="T24" s="2"/>
      <c r="U24" s="2"/>
      <c r="V24" s="2"/>
      <c r="W24" s="2"/>
    </row>
    <row r="25" spans="1:23" s="34" customFormat="1" ht="18" customHeight="1">
      <c r="A25" s="2"/>
      <c r="B25" s="529" t="s">
        <v>37</v>
      </c>
      <c r="C25" s="530" t="s">
        <v>38</v>
      </c>
      <c r="D25" s="530" t="s">
        <v>39</v>
      </c>
      <c r="E25" s="531" t="s">
        <v>40</v>
      </c>
      <c r="F25" s="531"/>
      <c r="G25" s="531"/>
      <c r="H25" s="531"/>
      <c r="I25" s="531"/>
      <c r="J25" s="531"/>
      <c r="K25" s="48" t="s">
        <v>41</v>
      </c>
      <c r="L25" s="48" t="s">
        <v>42</v>
      </c>
      <c r="M25" s="48"/>
      <c r="N25" s="532" t="s">
        <v>43</v>
      </c>
      <c r="O25" s="532"/>
      <c r="P25" s="532"/>
      <c r="Q25" s="532"/>
      <c r="R25" s="532"/>
      <c r="S25" s="2"/>
      <c r="T25" s="49" t="s">
        <v>44</v>
      </c>
      <c r="U25" s="50">
        <v>20732092.140000001</v>
      </c>
      <c r="V25" s="51">
        <v>0.26760000016091001</v>
      </c>
      <c r="W25" s="2"/>
    </row>
    <row r="26" spans="1:23" s="34" customFormat="1" ht="43.5" customHeight="1">
      <c r="A26" s="2"/>
      <c r="B26" s="529"/>
      <c r="C26" s="530"/>
      <c r="D26" s="530"/>
      <c r="E26" s="52" t="s">
        <v>45</v>
      </c>
      <c r="F26" s="53" t="s">
        <v>46</v>
      </c>
      <c r="G26" s="53" t="s">
        <v>47</v>
      </c>
      <c r="H26" s="54"/>
      <c r="I26" s="55" t="s">
        <v>48</v>
      </c>
      <c r="J26" s="55" t="s">
        <v>49</v>
      </c>
      <c r="K26" s="56" t="s">
        <v>50</v>
      </c>
      <c r="L26" s="47" t="s">
        <v>50</v>
      </c>
      <c r="M26" s="48" t="s">
        <v>51</v>
      </c>
      <c r="N26" s="57" t="s">
        <v>52</v>
      </c>
      <c r="O26" s="57" t="s">
        <v>53</v>
      </c>
      <c r="P26" s="57" t="s">
        <v>54</v>
      </c>
      <c r="Q26" s="57" t="s">
        <v>55</v>
      </c>
      <c r="R26" s="58" t="s">
        <v>56</v>
      </c>
      <c r="S26" s="2"/>
      <c r="T26" s="59">
        <v>0.26760011</v>
      </c>
      <c r="U26" s="50">
        <v>5547907.8600000003</v>
      </c>
      <c r="V26" s="50">
        <v>26280000</v>
      </c>
      <c r="W26" s="2"/>
    </row>
    <row r="27" spans="1:23" s="34" customFormat="1" ht="13.2">
      <c r="B27" s="60" t="s">
        <v>57</v>
      </c>
      <c r="C27" s="61" t="s">
        <v>58</v>
      </c>
      <c r="D27" s="60"/>
      <c r="E27" s="62"/>
      <c r="F27" s="63"/>
      <c r="G27" s="63"/>
      <c r="H27" s="63"/>
      <c r="I27" s="63"/>
      <c r="J27" s="63"/>
      <c r="K27" s="63"/>
      <c r="L27" s="64"/>
      <c r="M27" s="63">
        <f t="shared" ref="M27:R27" si="0">M28+M30+M35+M43</f>
        <v>205769.76</v>
      </c>
      <c r="N27" s="63">
        <f t="shared" si="0"/>
        <v>205769.76</v>
      </c>
      <c r="O27" s="63">
        <f t="shared" si="0"/>
        <v>566652.51</v>
      </c>
      <c r="P27" s="63">
        <f t="shared" si="0"/>
        <v>2403883</v>
      </c>
      <c r="Q27" s="63">
        <f t="shared" si="0"/>
        <v>3047162.2499999991</v>
      </c>
      <c r="R27" s="63">
        <f t="shared" si="0"/>
        <v>2480509.7399999998</v>
      </c>
      <c r="U27" s="65"/>
    </row>
    <row r="28" spans="1:23" s="34" customFormat="1" ht="13.2">
      <c r="B28" s="66" t="s">
        <v>59</v>
      </c>
      <c r="C28" s="67" t="s">
        <v>60</v>
      </c>
      <c r="D28" s="68"/>
      <c r="E28" s="69"/>
      <c r="F28" s="70"/>
      <c r="G28" s="70"/>
      <c r="H28" s="70"/>
      <c r="I28" s="70"/>
      <c r="J28" s="70"/>
      <c r="K28" s="71"/>
      <c r="L28" s="72"/>
      <c r="M28" s="73">
        <f t="shared" ref="M28:R28" si="1">SUM(M29)</f>
        <v>0</v>
      </c>
      <c r="N28" s="73">
        <f t="shared" si="1"/>
        <v>0</v>
      </c>
      <c r="O28" s="73">
        <f t="shared" si="1"/>
        <v>41273.050000000003</v>
      </c>
      <c r="P28" s="73">
        <f t="shared" si="1"/>
        <v>32560</v>
      </c>
      <c r="Q28" s="73">
        <f t="shared" si="1"/>
        <v>41273.050000000003</v>
      </c>
      <c r="R28" s="73">
        <f t="shared" si="1"/>
        <v>0</v>
      </c>
      <c r="T28" s="74"/>
    </row>
    <row r="29" spans="1:23" s="34" customFormat="1" ht="13.2">
      <c r="B29" s="75" t="s">
        <v>61</v>
      </c>
      <c r="C29" s="76" t="s">
        <v>62</v>
      </c>
      <c r="D29" s="77" t="s">
        <v>63</v>
      </c>
      <c r="E29" s="78">
        <v>1</v>
      </c>
      <c r="F29" s="79"/>
      <c r="G29" s="79"/>
      <c r="H29" s="79"/>
      <c r="I29" s="79">
        <f>SUM(G29:H29)+'BM 001'!I29</f>
        <v>1</v>
      </c>
      <c r="J29" s="79">
        <f>E29-I29</f>
        <v>0</v>
      </c>
      <c r="K29" s="80">
        <v>32560</v>
      </c>
      <c r="L29" s="81">
        <f t="shared" ref="L29:L92" si="2">K29*(1+$T$26)</f>
        <v>41273.059581599999</v>
      </c>
      <c r="M29" s="82">
        <f>TRUNC(F29*L29,2)</f>
        <v>0</v>
      </c>
      <c r="N29" s="82">
        <f>TRUNC(G29*L29,2)</f>
        <v>0</v>
      </c>
      <c r="O29" s="82">
        <f>N29+'BM 001'!O29</f>
        <v>41273.050000000003</v>
      </c>
      <c r="P29" s="82">
        <f>E29*K29</f>
        <v>32560</v>
      </c>
      <c r="Q29" s="82">
        <f>TRUNC(E29*L29,2)</f>
        <v>41273.050000000003</v>
      </c>
      <c r="R29" s="82">
        <f>Q29-O29</f>
        <v>0</v>
      </c>
      <c r="T29" s="74"/>
    </row>
    <row r="30" spans="1:23" s="34" customFormat="1" ht="13.2">
      <c r="B30" s="66" t="s">
        <v>64</v>
      </c>
      <c r="C30" s="67" t="s">
        <v>65</v>
      </c>
      <c r="D30" s="68"/>
      <c r="E30" s="69"/>
      <c r="F30" s="70"/>
      <c r="G30" s="70"/>
      <c r="H30" s="70"/>
      <c r="I30" s="70">
        <f>SUM(G30:H30)+'BM 001'!I30</f>
        <v>0</v>
      </c>
      <c r="J30" s="70"/>
      <c r="K30" s="71"/>
      <c r="L30" s="71">
        <f t="shared" si="2"/>
        <v>0</v>
      </c>
      <c r="M30" s="73">
        <f t="shared" ref="M30:R30" si="3">SUM(M31:M34)</f>
        <v>82812.56</v>
      </c>
      <c r="N30" s="73">
        <f t="shared" si="3"/>
        <v>82812.56</v>
      </c>
      <c r="O30" s="73">
        <f t="shared" si="3"/>
        <v>130464.47</v>
      </c>
      <c r="P30" s="73">
        <f t="shared" si="3"/>
        <v>1872865.9</v>
      </c>
      <c r="Q30" s="73">
        <f t="shared" si="3"/>
        <v>2374044.9999999995</v>
      </c>
      <c r="R30" s="73">
        <f t="shared" si="3"/>
        <v>2243580.5299999998</v>
      </c>
      <c r="T30" s="83"/>
    </row>
    <row r="31" spans="1:23" s="34" customFormat="1" ht="13.2">
      <c r="B31" s="75" t="s">
        <v>66</v>
      </c>
      <c r="C31" s="76" t="s">
        <v>67</v>
      </c>
      <c r="D31" s="77" t="s">
        <v>68</v>
      </c>
      <c r="E31" s="78">
        <v>20</v>
      </c>
      <c r="F31" s="79"/>
      <c r="G31" s="79"/>
      <c r="H31" s="79"/>
      <c r="I31" s="79">
        <f>SUM(G31:H31)+'BM 001'!I31</f>
        <v>0</v>
      </c>
      <c r="J31" s="79">
        <f t="shared" ref="J31:J94" si="4">E31-I31</f>
        <v>20</v>
      </c>
      <c r="K31" s="84">
        <v>1200</v>
      </c>
      <c r="L31" s="81">
        <f t="shared" si="2"/>
        <v>1521.120132</v>
      </c>
      <c r="M31" s="82">
        <f>TRUNC(F31*L31,2)</f>
        <v>0</v>
      </c>
      <c r="N31" s="82">
        <f>TRUNC(G31*L31,2)</f>
        <v>0</v>
      </c>
      <c r="O31" s="82">
        <f>N31+'BM 001'!O31</f>
        <v>0</v>
      </c>
      <c r="P31" s="82">
        <f>E31*K31</f>
        <v>24000</v>
      </c>
      <c r="Q31" s="82">
        <f>TRUNC(E31*L31,2)</f>
        <v>30422.400000000001</v>
      </c>
      <c r="R31" s="82">
        <f>Q31-O31</f>
        <v>30422.400000000001</v>
      </c>
    </row>
    <row r="32" spans="1:23" s="34" customFormat="1" ht="13.2">
      <c r="B32" s="75" t="s">
        <v>69</v>
      </c>
      <c r="C32" s="85" t="s">
        <v>70</v>
      </c>
      <c r="D32" s="77" t="s">
        <v>68</v>
      </c>
      <c r="E32" s="78">
        <v>20</v>
      </c>
      <c r="F32" s="86">
        <f>'M.C. MED. 02'!K15</f>
        <v>0.71600000000000019</v>
      </c>
      <c r="G32" s="86">
        <f>F32</f>
        <v>0.71600000000000019</v>
      </c>
      <c r="H32" s="79"/>
      <c r="I32" s="86">
        <f>SUM(G32:H32)+'BM 001'!I32</f>
        <v>1.1280000000000001</v>
      </c>
      <c r="J32" s="79">
        <f t="shared" si="4"/>
        <v>18.872</v>
      </c>
      <c r="K32" s="84">
        <v>51500.32</v>
      </c>
      <c r="L32" s="81">
        <f t="shared" si="2"/>
        <v>65281.811297035201</v>
      </c>
      <c r="M32" s="82">
        <f>TRUNC(F32*L32,2)</f>
        <v>46741.77</v>
      </c>
      <c r="N32" s="82">
        <f>TRUNC(G32*L32,2)</f>
        <v>46741.77</v>
      </c>
      <c r="O32" s="82">
        <f>N32+'BM 001'!O32</f>
        <v>73637.87</v>
      </c>
      <c r="P32" s="82">
        <f>E32*K32</f>
        <v>1030006.4</v>
      </c>
      <c r="Q32" s="82">
        <f>TRUNC(E32*L32,2)</f>
        <v>1305636.22</v>
      </c>
      <c r="R32" s="82">
        <f>Q32-O32</f>
        <v>1231998.3500000001</v>
      </c>
    </row>
    <row r="33" spans="1:21" s="34" customFormat="1" ht="148.80000000000001">
      <c r="B33" s="75" t="s">
        <v>71</v>
      </c>
      <c r="C33" s="85" t="s">
        <v>72</v>
      </c>
      <c r="D33" s="77" t="s">
        <v>39</v>
      </c>
      <c r="E33" s="78">
        <v>1</v>
      </c>
      <c r="F33" s="86">
        <f>'M.C. MED. 02'!K25</f>
        <v>3.5799999999999998E-2</v>
      </c>
      <c r="G33" s="86">
        <f>F33</f>
        <v>3.5799999999999998E-2</v>
      </c>
      <c r="H33" s="79"/>
      <c r="I33" s="86">
        <f>SUM(G33:H33)+'BM 001'!I33</f>
        <v>5.6399999999999999E-2</v>
      </c>
      <c r="J33" s="79">
        <f t="shared" si="4"/>
        <v>0.94359999999999999</v>
      </c>
      <c r="K33" s="84">
        <v>794859.5</v>
      </c>
      <c r="L33" s="81">
        <f t="shared" si="2"/>
        <v>1007563.9896345451</v>
      </c>
      <c r="M33" s="82">
        <f>TRUNC(F33*L33,2)</f>
        <v>36070.79</v>
      </c>
      <c r="N33" s="82">
        <f>TRUNC(G33*L33,2)</f>
        <v>36070.79</v>
      </c>
      <c r="O33" s="82">
        <f>N33+'BM 001'!O33</f>
        <v>56826.600000000006</v>
      </c>
      <c r="P33" s="82">
        <f>E33*K33</f>
        <v>794859.5</v>
      </c>
      <c r="Q33" s="82">
        <f>TRUNC(E33*L33,2)</f>
        <v>1007563.98</v>
      </c>
      <c r="R33" s="82">
        <f>Q33-O33</f>
        <v>950737.38</v>
      </c>
    </row>
    <row r="34" spans="1:21" s="34" customFormat="1" ht="23.4">
      <c r="B34" s="75" t="s">
        <v>73</v>
      </c>
      <c r="C34" s="76" t="s">
        <v>74</v>
      </c>
      <c r="D34" s="77" t="s">
        <v>68</v>
      </c>
      <c r="E34" s="78">
        <v>20</v>
      </c>
      <c r="F34" s="79">
        <v>0</v>
      </c>
      <c r="G34" s="79">
        <f>F34</f>
        <v>0</v>
      </c>
      <c r="H34" s="79"/>
      <c r="I34" s="79">
        <f>SUM(G34:H34)+'BM 001'!I34</f>
        <v>0</v>
      </c>
      <c r="J34" s="79">
        <f t="shared" si="4"/>
        <v>20</v>
      </c>
      <c r="K34" s="84">
        <v>1200</v>
      </c>
      <c r="L34" s="81">
        <f t="shared" si="2"/>
        <v>1521.120132</v>
      </c>
      <c r="M34" s="82">
        <f>TRUNC(F34*L34,2)</f>
        <v>0</v>
      </c>
      <c r="N34" s="82">
        <f>TRUNC(G34*L34,2)</f>
        <v>0</v>
      </c>
      <c r="O34" s="82">
        <f>N34+'BM 001'!O34</f>
        <v>0</v>
      </c>
      <c r="P34" s="82">
        <f>E34*K34</f>
        <v>24000</v>
      </c>
      <c r="Q34" s="82">
        <f>TRUNC(E34*L34,2)</f>
        <v>30422.400000000001</v>
      </c>
      <c r="R34" s="82">
        <f>Q34-O34</f>
        <v>30422.400000000001</v>
      </c>
    </row>
    <row r="35" spans="1:21" s="34" customFormat="1" ht="13.2">
      <c r="B35" s="66" t="s">
        <v>75</v>
      </c>
      <c r="C35" s="67" t="s">
        <v>76</v>
      </c>
      <c r="D35" s="68"/>
      <c r="E35" s="69"/>
      <c r="F35" s="70"/>
      <c r="G35" s="70"/>
      <c r="H35" s="70"/>
      <c r="I35" s="70">
        <f>SUM(G35:H35)+'BM 001'!I35</f>
        <v>0</v>
      </c>
      <c r="J35" s="70">
        <f t="shared" si="4"/>
        <v>0</v>
      </c>
      <c r="K35" s="71"/>
      <c r="L35" s="71">
        <f t="shared" si="2"/>
        <v>0</v>
      </c>
      <c r="M35" s="73">
        <f t="shared" ref="M35:R35" si="5">SUM(M36:M42)</f>
        <v>122957.2</v>
      </c>
      <c r="N35" s="73">
        <f t="shared" si="5"/>
        <v>122957.2</v>
      </c>
      <c r="O35" s="73">
        <f t="shared" si="5"/>
        <v>339083</v>
      </c>
      <c r="P35" s="73">
        <f t="shared" si="5"/>
        <v>278420</v>
      </c>
      <c r="Q35" s="73">
        <f t="shared" si="5"/>
        <v>352925.19</v>
      </c>
      <c r="R35" s="73">
        <f t="shared" si="5"/>
        <v>13842.19</v>
      </c>
    </row>
    <row r="36" spans="1:21" s="34" customFormat="1" ht="13.2">
      <c r="B36" s="87" t="s">
        <v>77</v>
      </c>
      <c r="C36" s="88" t="s">
        <v>78</v>
      </c>
      <c r="D36" s="89" t="s">
        <v>79</v>
      </c>
      <c r="E36" s="90">
        <v>128</v>
      </c>
      <c r="F36" s="91"/>
      <c r="G36" s="91">
        <f>F36</f>
        <v>0</v>
      </c>
      <c r="H36" s="91"/>
      <c r="I36" s="79">
        <f>SUM(G36:H36)+'BM 001'!I36</f>
        <v>128</v>
      </c>
      <c r="J36" s="91">
        <f t="shared" si="4"/>
        <v>0</v>
      </c>
      <c r="K36" s="80">
        <v>125</v>
      </c>
      <c r="L36" s="81">
        <f t="shared" si="2"/>
        <v>158.45001375000001</v>
      </c>
      <c r="M36" s="82">
        <f t="shared" ref="M36:M42" si="6">TRUNC(F36*L36,2)</f>
        <v>0</v>
      </c>
      <c r="N36" s="82">
        <f t="shared" ref="N36:N42" si="7">TRUNC(G36*L36,2)</f>
        <v>0</v>
      </c>
      <c r="O36" s="82">
        <f>N36+'BM 001'!O36</f>
        <v>20281.599999999999</v>
      </c>
      <c r="P36" s="82">
        <f t="shared" ref="P36:P42" si="8">E36*K36</f>
        <v>16000</v>
      </c>
      <c r="Q36" s="82">
        <f t="shared" ref="Q36:Q42" si="9">TRUNC(E36*L36,2)</f>
        <v>20281.599999999999</v>
      </c>
      <c r="R36" s="82">
        <f t="shared" ref="R36:R42" si="10">Q36-O36</f>
        <v>0</v>
      </c>
    </row>
    <row r="37" spans="1:21" s="34" customFormat="1" ht="34.799999999999997">
      <c r="B37" s="87" t="s">
        <v>80</v>
      </c>
      <c r="C37" s="76" t="s">
        <v>81</v>
      </c>
      <c r="D37" s="77" t="s">
        <v>82</v>
      </c>
      <c r="E37" s="78">
        <v>156</v>
      </c>
      <c r="F37" s="91"/>
      <c r="G37" s="91"/>
      <c r="H37" s="91"/>
      <c r="I37" s="79">
        <f>SUM(G37:H37)+'BM 001'!I37</f>
        <v>0</v>
      </c>
      <c r="J37" s="91">
        <f t="shared" si="4"/>
        <v>156</v>
      </c>
      <c r="K37" s="80">
        <v>70</v>
      </c>
      <c r="L37" s="81">
        <f t="shared" si="2"/>
        <v>88.732007699999997</v>
      </c>
      <c r="M37" s="82">
        <f t="shared" si="6"/>
        <v>0</v>
      </c>
      <c r="N37" s="82">
        <f t="shared" si="7"/>
        <v>0</v>
      </c>
      <c r="O37" s="82">
        <f>N37+'BM 001'!O37</f>
        <v>0</v>
      </c>
      <c r="P37" s="82">
        <f t="shared" si="8"/>
        <v>10920</v>
      </c>
      <c r="Q37" s="82">
        <f t="shared" si="9"/>
        <v>13842.19</v>
      </c>
      <c r="R37" s="82">
        <f t="shared" si="10"/>
        <v>13842.19</v>
      </c>
    </row>
    <row r="38" spans="1:21" s="34" customFormat="1" ht="23.4">
      <c r="B38" s="87" t="s">
        <v>83</v>
      </c>
      <c r="C38" s="88" t="s">
        <v>84</v>
      </c>
      <c r="D38" s="89" t="s">
        <v>79</v>
      </c>
      <c r="E38" s="92">
        <v>40</v>
      </c>
      <c r="F38" s="91">
        <f>'M.C. MED. 02'!K45</f>
        <v>10</v>
      </c>
      <c r="G38" s="91">
        <f>F38</f>
        <v>10</v>
      </c>
      <c r="H38" s="91"/>
      <c r="I38" s="79">
        <f>SUM(G38:H38)+'BM 001'!I38</f>
        <v>40</v>
      </c>
      <c r="J38" s="91">
        <f t="shared" si="4"/>
        <v>0</v>
      </c>
      <c r="K38" s="80">
        <v>1150</v>
      </c>
      <c r="L38" s="81">
        <f t="shared" si="2"/>
        <v>1457.7401265000001</v>
      </c>
      <c r="M38" s="82">
        <f t="shared" si="6"/>
        <v>14577.4</v>
      </c>
      <c r="N38" s="82">
        <f t="shared" si="7"/>
        <v>14577.4</v>
      </c>
      <c r="O38" s="82">
        <f>N38+'BM 001'!O38</f>
        <v>58309.599999999999</v>
      </c>
      <c r="P38" s="82">
        <f t="shared" si="8"/>
        <v>46000</v>
      </c>
      <c r="Q38" s="82">
        <f t="shared" si="9"/>
        <v>58309.599999999999</v>
      </c>
      <c r="R38" s="82">
        <f t="shared" si="10"/>
        <v>0</v>
      </c>
    </row>
    <row r="39" spans="1:21" s="34" customFormat="1" ht="23.4">
      <c r="B39" s="87" t="s">
        <v>85</v>
      </c>
      <c r="C39" s="88" t="s">
        <v>86</v>
      </c>
      <c r="D39" s="89" t="s">
        <v>79</v>
      </c>
      <c r="E39" s="92">
        <v>68</v>
      </c>
      <c r="F39" s="91">
        <f>'M.C. MED. 02'!K55</f>
        <v>20</v>
      </c>
      <c r="G39" s="91">
        <f>F39</f>
        <v>20</v>
      </c>
      <c r="H39" s="91"/>
      <c r="I39" s="79">
        <f>SUM(G39:H39)+'BM 001'!I39</f>
        <v>68</v>
      </c>
      <c r="J39" s="91">
        <f t="shared" si="4"/>
        <v>0</v>
      </c>
      <c r="K39" s="80">
        <v>1000</v>
      </c>
      <c r="L39" s="81">
        <f t="shared" si="2"/>
        <v>1267.6001100000001</v>
      </c>
      <c r="M39" s="82">
        <f t="shared" si="6"/>
        <v>25352</v>
      </c>
      <c r="N39" s="82">
        <f t="shared" si="7"/>
        <v>25352</v>
      </c>
      <c r="O39" s="82">
        <f>N39+'BM 001'!O39</f>
        <v>86196.800000000003</v>
      </c>
      <c r="P39" s="82">
        <f t="shared" si="8"/>
        <v>68000</v>
      </c>
      <c r="Q39" s="82">
        <f t="shared" si="9"/>
        <v>86196.800000000003</v>
      </c>
      <c r="R39" s="82">
        <f t="shared" si="10"/>
        <v>0</v>
      </c>
    </row>
    <row r="40" spans="1:21" s="34" customFormat="1" ht="34.799999999999997">
      <c r="B40" s="87" t="s">
        <v>87</v>
      </c>
      <c r="C40" s="88" t="s">
        <v>88</v>
      </c>
      <c r="D40" s="89" t="s">
        <v>79</v>
      </c>
      <c r="E40" s="92">
        <v>60</v>
      </c>
      <c r="F40" s="91"/>
      <c r="G40" s="91">
        <f>F40</f>
        <v>0</v>
      </c>
      <c r="H40" s="91"/>
      <c r="I40" s="79">
        <f>SUM(G40:H40)+'BM 001'!I40</f>
        <v>60</v>
      </c>
      <c r="J40" s="91">
        <f t="shared" si="4"/>
        <v>0</v>
      </c>
      <c r="K40" s="80">
        <v>600</v>
      </c>
      <c r="L40" s="81">
        <f t="shared" si="2"/>
        <v>760.56006600000001</v>
      </c>
      <c r="M40" s="82">
        <f t="shared" si="6"/>
        <v>0</v>
      </c>
      <c r="N40" s="82">
        <f t="shared" si="7"/>
        <v>0</v>
      </c>
      <c r="O40" s="82">
        <f>N40+'BM 001'!O40</f>
        <v>45633.599999999999</v>
      </c>
      <c r="P40" s="82">
        <f t="shared" si="8"/>
        <v>36000</v>
      </c>
      <c r="Q40" s="82">
        <f t="shared" si="9"/>
        <v>45633.599999999999</v>
      </c>
      <c r="R40" s="82">
        <f t="shared" si="10"/>
        <v>0</v>
      </c>
      <c r="T40" s="83"/>
      <c r="U40" s="83"/>
    </row>
    <row r="41" spans="1:21" s="34" customFormat="1" ht="23.4">
      <c r="B41" s="87" t="s">
        <v>89</v>
      </c>
      <c r="C41" s="76" t="s">
        <v>90</v>
      </c>
      <c r="D41" s="77" t="s">
        <v>79</v>
      </c>
      <c r="E41" s="78">
        <v>60</v>
      </c>
      <c r="F41" s="79">
        <f>'M.C. MED. 02'!K75</f>
        <v>40</v>
      </c>
      <c r="G41" s="91">
        <f>F41</f>
        <v>40</v>
      </c>
      <c r="H41" s="79"/>
      <c r="I41" s="79">
        <f>SUM(G41:H41)+'BM 001'!I41</f>
        <v>60</v>
      </c>
      <c r="J41" s="79">
        <f t="shared" si="4"/>
        <v>0</v>
      </c>
      <c r="K41" s="80">
        <v>1150</v>
      </c>
      <c r="L41" s="81">
        <f t="shared" si="2"/>
        <v>1457.7401265000001</v>
      </c>
      <c r="M41" s="82">
        <f t="shared" si="6"/>
        <v>58309.599999999999</v>
      </c>
      <c r="N41" s="82">
        <f t="shared" si="7"/>
        <v>58309.599999999999</v>
      </c>
      <c r="O41" s="82">
        <f>N41+'BM 001'!O41</f>
        <v>87464.4</v>
      </c>
      <c r="P41" s="82">
        <f t="shared" si="8"/>
        <v>69000</v>
      </c>
      <c r="Q41" s="82">
        <f t="shared" si="9"/>
        <v>87464.4</v>
      </c>
      <c r="R41" s="82">
        <f t="shared" si="10"/>
        <v>0</v>
      </c>
    </row>
    <row r="42" spans="1:21" s="34" customFormat="1" ht="22.8">
      <c r="B42" s="87" t="s">
        <v>91</v>
      </c>
      <c r="C42" s="184" t="s">
        <v>1195</v>
      </c>
      <c r="D42" s="77" t="s">
        <v>79</v>
      </c>
      <c r="E42" s="78">
        <v>50</v>
      </c>
      <c r="F42" s="79">
        <f>'M.C. MED. 02'!K85</f>
        <v>30</v>
      </c>
      <c r="G42" s="91">
        <f>F42</f>
        <v>30</v>
      </c>
      <c r="H42" s="79"/>
      <c r="I42" s="79">
        <f>SUM(G42:H42)+'BM 001'!I42</f>
        <v>50</v>
      </c>
      <c r="J42" s="79">
        <f t="shared" si="4"/>
        <v>0</v>
      </c>
      <c r="K42" s="80">
        <v>650</v>
      </c>
      <c r="L42" s="81">
        <f t="shared" si="2"/>
        <v>823.94007150000004</v>
      </c>
      <c r="M42" s="82">
        <f t="shared" si="6"/>
        <v>24718.2</v>
      </c>
      <c r="N42" s="82">
        <f t="shared" si="7"/>
        <v>24718.2</v>
      </c>
      <c r="O42" s="82">
        <f>N42+'BM 001'!O42</f>
        <v>41197</v>
      </c>
      <c r="P42" s="82">
        <f t="shared" si="8"/>
        <v>32500</v>
      </c>
      <c r="Q42" s="82">
        <f t="shared" si="9"/>
        <v>41197</v>
      </c>
      <c r="R42" s="82">
        <f t="shared" si="10"/>
        <v>0</v>
      </c>
    </row>
    <row r="43" spans="1:21" s="34" customFormat="1" ht="13.2">
      <c r="B43" s="66" t="s">
        <v>93</v>
      </c>
      <c r="C43" s="67" t="s">
        <v>94</v>
      </c>
      <c r="D43" s="68"/>
      <c r="E43" s="69"/>
      <c r="F43" s="70"/>
      <c r="G43" s="70"/>
      <c r="H43" s="70"/>
      <c r="I43" s="70">
        <f>SUM(G43:H43)+'BM 001'!I43</f>
        <v>0</v>
      </c>
      <c r="J43" s="70">
        <f t="shared" si="4"/>
        <v>0</v>
      </c>
      <c r="K43" s="71"/>
      <c r="L43" s="71">
        <f t="shared" si="2"/>
        <v>0</v>
      </c>
      <c r="M43" s="73">
        <f t="shared" ref="M43:R43" si="11">SUM(M44:M51)</f>
        <v>0</v>
      </c>
      <c r="N43" s="73">
        <f t="shared" si="11"/>
        <v>0</v>
      </c>
      <c r="O43" s="73">
        <f t="shared" si="11"/>
        <v>55831.99</v>
      </c>
      <c r="P43" s="73">
        <f t="shared" si="11"/>
        <v>220037.1</v>
      </c>
      <c r="Q43" s="73">
        <f t="shared" si="11"/>
        <v>278919.01</v>
      </c>
      <c r="R43" s="73">
        <f t="shared" si="11"/>
        <v>223087.02</v>
      </c>
    </row>
    <row r="44" spans="1:21" s="34" customFormat="1" ht="23.4">
      <c r="A44" s="83"/>
      <c r="B44" s="87" t="s">
        <v>95</v>
      </c>
      <c r="C44" s="76" t="s">
        <v>96</v>
      </c>
      <c r="D44" s="77" t="s">
        <v>79</v>
      </c>
      <c r="E44" s="93">
        <v>2573.3000000000002</v>
      </c>
      <c r="F44" s="79"/>
      <c r="G44" s="79">
        <f t="shared" ref="G44:G51" si="12">F44</f>
        <v>0</v>
      </c>
      <c r="H44" s="79"/>
      <c r="I44" s="79">
        <f>SUM(G44:H44)+'BM 001'!I44</f>
        <v>2573.3000000000002</v>
      </c>
      <c r="J44" s="79">
        <f t="shared" si="4"/>
        <v>0</v>
      </c>
      <c r="K44" s="80">
        <v>2</v>
      </c>
      <c r="L44" s="81">
        <f t="shared" si="2"/>
        <v>2.5352002200000001</v>
      </c>
      <c r="M44" s="82">
        <f t="shared" ref="M44:M51" si="13">TRUNC(F44*L44,2)</f>
        <v>0</v>
      </c>
      <c r="N44" s="82">
        <f t="shared" ref="N44:N51" si="14">TRUNC(G44*L44,2)</f>
        <v>0</v>
      </c>
      <c r="O44" s="82">
        <f>N44+'BM 001'!O44</f>
        <v>6523.83</v>
      </c>
      <c r="P44" s="82">
        <f t="shared" ref="P44:P51" si="15">E44*K44</f>
        <v>5146.6000000000004</v>
      </c>
      <c r="Q44" s="82">
        <f t="shared" ref="Q44:Q51" si="16">TRUNC(E44*L44,2)</f>
        <v>6523.83</v>
      </c>
      <c r="R44" s="82">
        <f t="shared" ref="R44:R51" si="17">Q44-O44</f>
        <v>0</v>
      </c>
    </row>
    <row r="45" spans="1:21" s="34" customFormat="1" ht="23.4">
      <c r="B45" s="87" t="s">
        <v>97</v>
      </c>
      <c r="C45" s="88" t="s">
        <v>98</v>
      </c>
      <c r="D45" s="89" t="s">
        <v>99</v>
      </c>
      <c r="E45" s="90">
        <v>5.9</v>
      </c>
      <c r="F45" s="91"/>
      <c r="G45" s="91">
        <f t="shared" si="12"/>
        <v>0</v>
      </c>
      <c r="H45" s="91"/>
      <c r="I45" s="79">
        <f>SUM(G45:H45)+'BM 001'!I45</f>
        <v>5.9</v>
      </c>
      <c r="J45" s="91">
        <f t="shared" si="4"/>
        <v>0</v>
      </c>
      <c r="K45" s="80">
        <v>55</v>
      </c>
      <c r="L45" s="81">
        <f t="shared" si="2"/>
        <v>69.71800605</v>
      </c>
      <c r="M45" s="82">
        <f t="shared" si="13"/>
        <v>0</v>
      </c>
      <c r="N45" s="82">
        <f t="shared" si="14"/>
        <v>0</v>
      </c>
      <c r="O45" s="82">
        <f>N45+'BM 001'!O45</f>
        <v>411.33</v>
      </c>
      <c r="P45" s="82">
        <f t="shared" si="15"/>
        <v>324.5</v>
      </c>
      <c r="Q45" s="82">
        <f t="shared" si="16"/>
        <v>411.33</v>
      </c>
      <c r="R45" s="82">
        <f t="shared" si="17"/>
        <v>0</v>
      </c>
    </row>
    <row r="46" spans="1:21" s="34" customFormat="1" ht="13.2">
      <c r="B46" s="87" t="s">
        <v>100</v>
      </c>
      <c r="C46" s="88" t="s">
        <v>101</v>
      </c>
      <c r="D46" s="89" t="s">
        <v>79</v>
      </c>
      <c r="E46" s="90">
        <v>88</v>
      </c>
      <c r="F46" s="91"/>
      <c r="G46" s="91">
        <f t="shared" si="12"/>
        <v>0</v>
      </c>
      <c r="H46" s="91"/>
      <c r="I46" s="79">
        <f>SUM(G46:H46)+'BM 001'!I46</f>
        <v>88</v>
      </c>
      <c r="J46" s="91">
        <f t="shared" si="4"/>
        <v>0</v>
      </c>
      <c r="K46" s="80">
        <v>10</v>
      </c>
      <c r="L46" s="81">
        <f t="shared" si="2"/>
        <v>12.676001100000001</v>
      </c>
      <c r="M46" s="82">
        <f t="shared" si="13"/>
        <v>0</v>
      </c>
      <c r="N46" s="82">
        <f t="shared" si="14"/>
        <v>0</v>
      </c>
      <c r="O46" s="82">
        <f>N46+'BM 001'!O46</f>
        <v>1115.48</v>
      </c>
      <c r="P46" s="82">
        <f t="shared" si="15"/>
        <v>880</v>
      </c>
      <c r="Q46" s="82">
        <f t="shared" si="16"/>
        <v>1115.48</v>
      </c>
      <c r="R46" s="82">
        <f t="shared" si="17"/>
        <v>0</v>
      </c>
    </row>
    <row r="47" spans="1:21" s="34" customFormat="1" ht="23.4">
      <c r="B47" s="87" t="s">
        <v>102</v>
      </c>
      <c r="C47" s="88" t="s">
        <v>103</v>
      </c>
      <c r="D47" s="89" t="s">
        <v>99</v>
      </c>
      <c r="E47" s="90">
        <v>6.8</v>
      </c>
      <c r="F47" s="91"/>
      <c r="G47" s="91">
        <f t="shared" si="12"/>
        <v>0</v>
      </c>
      <c r="H47" s="91"/>
      <c r="I47" s="79">
        <f>SUM(G47:H47)+'BM 001'!I47</f>
        <v>6.8</v>
      </c>
      <c r="J47" s="91">
        <f t="shared" si="4"/>
        <v>0</v>
      </c>
      <c r="K47" s="80">
        <v>220</v>
      </c>
      <c r="L47" s="81">
        <f t="shared" si="2"/>
        <v>278.8720242</v>
      </c>
      <c r="M47" s="82">
        <f t="shared" si="13"/>
        <v>0</v>
      </c>
      <c r="N47" s="82">
        <f t="shared" si="14"/>
        <v>0</v>
      </c>
      <c r="O47" s="82">
        <f>N47+'BM 001'!O47</f>
        <v>1896.32</v>
      </c>
      <c r="P47" s="82">
        <f t="shared" si="15"/>
        <v>1496</v>
      </c>
      <c r="Q47" s="82">
        <f t="shared" si="16"/>
        <v>1896.32</v>
      </c>
      <c r="R47" s="82">
        <f t="shared" si="17"/>
        <v>0</v>
      </c>
    </row>
    <row r="48" spans="1:21" s="34" customFormat="1" ht="23.4">
      <c r="B48" s="87" t="s">
        <v>104</v>
      </c>
      <c r="C48" s="88" t="s">
        <v>105</v>
      </c>
      <c r="D48" s="89" t="s">
        <v>79</v>
      </c>
      <c r="E48" s="90">
        <v>88</v>
      </c>
      <c r="F48" s="91"/>
      <c r="G48" s="91">
        <f t="shared" si="12"/>
        <v>0</v>
      </c>
      <c r="H48" s="91"/>
      <c r="I48" s="79">
        <f>SUM(G48:H48)+'BM 001'!I48</f>
        <v>88</v>
      </c>
      <c r="J48" s="91">
        <f t="shared" si="4"/>
        <v>0</v>
      </c>
      <c r="K48" s="80">
        <v>15</v>
      </c>
      <c r="L48" s="81">
        <f t="shared" si="2"/>
        <v>19.014001650000001</v>
      </c>
      <c r="M48" s="82">
        <f t="shared" si="13"/>
        <v>0</v>
      </c>
      <c r="N48" s="82">
        <f t="shared" si="14"/>
        <v>0</v>
      </c>
      <c r="O48" s="82">
        <f>N48+'BM 001'!O48</f>
        <v>1673.23</v>
      </c>
      <c r="P48" s="80">
        <f t="shared" si="15"/>
        <v>1320</v>
      </c>
      <c r="Q48" s="82">
        <f t="shared" si="16"/>
        <v>1673.23</v>
      </c>
      <c r="R48" s="82">
        <f t="shared" si="17"/>
        <v>0</v>
      </c>
    </row>
    <row r="49" spans="2:20" s="34" customFormat="1" ht="23.4">
      <c r="B49" s="87" t="s">
        <v>106</v>
      </c>
      <c r="C49" s="88" t="s">
        <v>107</v>
      </c>
      <c r="D49" s="89" t="s">
        <v>99</v>
      </c>
      <c r="E49" s="90">
        <v>4350</v>
      </c>
      <c r="F49" s="91"/>
      <c r="G49" s="91">
        <f t="shared" si="12"/>
        <v>0</v>
      </c>
      <c r="H49" s="91"/>
      <c r="I49" s="79">
        <f>SUM(G49:H49)+'BM 001'!I49</f>
        <v>1212.6524999999999</v>
      </c>
      <c r="J49" s="91">
        <f t="shared" si="4"/>
        <v>3137.3474999999999</v>
      </c>
      <c r="K49" s="80">
        <v>10</v>
      </c>
      <c r="L49" s="81">
        <f t="shared" si="2"/>
        <v>12.676001100000001</v>
      </c>
      <c r="M49" s="82">
        <f t="shared" si="13"/>
        <v>0</v>
      </c>
      <c r="N49" s="82">
        <f t="shared" si="14"/>
        <v>0</v>
      </c>
      <c r="O49" s="82">
        <f>N49+'BM 001'!O49</f>
        <v>15371.58</v>
      </c>
      <c r="P49" s="80">
        <f t="shared" si="15"/>
        <v>43500</v>
      </c>
      <c r="Q49" s="82">
        <f t="shared" si="16"/>
        <v>55140.6</v>
      </c>
      <c r="R49" s="82">
        <f t="shared" si="17"/>
        <v>39769.019999999997</v>
      </c>
      <c r="T49" s="185">
        <v>20000</v>
      </c>
    </row>
    <row r="50" spans="2:20" s="34" customFormat="1" ht="46.2">
      <c r="B50" s="87" t="s">
        <v>108</v>
      </c>
      <c r="C50" s="88" t="s">
        <v>109</v>
      </c>
      <c r="D50" s="89" t="s">
        <v>110</v>
      </c>
      <c r="E50" s="90">
        <v>3985</v>
      </c>
      <c r="F50" s="91"/>
      <c r="G50" s="91">
        <f t="shared" si="12"/>
        <v>0</v>
      </c>
      <c r="H50" s="91"/>
      <c r="I50" s="79">
        <f>SUM(G50:H50)+'BM 001'!I50</f>
        <v>1212.6524999999999</v>
      </c>
      <c r="J50" s="91">
        <f t="shared" si="4"/>
        <v>2772.3474999999999</v>
      </c>
      <c r="K50" s="80">
        <v>12</v>
      </c>
      <c r="L50" s="81">
        <f t="shared" si="2"/>
        <v>15.211201320000001</v>
      </c>
      <c r="M50" s="82">
        <f t="shared" si="13"/>
        <v>0</v>
      </c>
      <c r="N50" s="82">
        <f t="shared" si="14"/>
        <v>0</v>
      </c>
      <c r="O50" s="82">
        <f>N50+'BM 001'!O50</f>
        <v>18445.900000000001</v>
      </c>
      <c r="P50" s="80">
        <f t="shared" si="15"/>
        <v>47820</v>
      </c>
      <c r="Q50" s="82">
        <f t="shared" si="16"/>
        <v>60616.63</v>
      </c>
      <c r="R50" s="82">
        <f t="shared" si="17"/>
        <v>42170.729999999996</v>
      </c>
      <c r="T50" s="83"/>
    </row>
    <row r="51" spans="2:20" s="34" customFormat="1" ht="34.799999999999997">
      <c r="B51" s="87" t="s">
        <v>111</v>
      </c>
      <c r="C51" s="88" t="s">
        <v>112</v>
      </c>
      <c r="D51" s="89" t="s">
        <v>113</v>
      </c>
      <c r="E51" s="90">
        <f>E50*30</f>
        <v>119550</v>
      </c>
      <c r="F51" s="91"/>
      <c r="G51" s="91">
        <f t="shared" si="12"/>
        <v>0</v>
      </c>
      <c r="H51" s="91"/>
      <c r="I51" s="79">
        <f>SUM(G51:H51)+'BM 001'!I51</f>
        <v>8200</v>
      </c>
      <c r="J51" s="91">
        <f t="shared" si="4"/>
        <v>111350</v>
      </c>
      <c r="K51" s="80">
        <v>1</v>
      </c>
      <c r="L51" s="81">
        <f t="shared" si="2"/>
        <v>1.2676001100000001</v>
      </c>
      <c r="M51" s="82">
        <f t="shared" si="13"/>
        <v>0</v>
      </c>
      <c r="N51" s="82">
        <f t="shared" si="14"/>
        <v>0</v>
      </c>
      <c r="O51" s="82">
        <f>N51+'BM 001'!O51</f>
        <v>10394.32</v>
      </c>
      <c r="P51" s="80">
        <f t="shared" si="15"/>
        <v>119550</v>
      </c>
      <c r="Q51" s="82">
        <f t="shared" si="16"/>
        <v>151541.59</v>
      </c>
      <c r="R51" s="82">
        <f t="shared" si="17"/>
        <v>141147.26999999999</v>
      </c>
    </row>
    <row r="52" spans="2:20" s="34" customFormat="1" ht="13.2">
      <c r="B52" s="60" t="s">
        <v>114</v>
      </c>
      <c r="C52" s="61" t="s">
        <v>115</v>
      </c>
      <c r="D52" s="60"/>
      <c r="E52" s="62"/>
      <c r="F52" s="63"/>
      <c r="G52" s="63"/>
      <c r="H52" s="63"/>
      <c r="I52" s="63">
        <f>SUM(G52:H52)+'BM 001'!I52</f>
        <v>0</v>
      </c>
      <c r="J52" s="63">
        <f t="shared" si="4"/>
        <v>0</v>
      </c>
      <c r="K52" s="63"/>
      <c r="L52" s="63">
        <f t="shared" si="2"/>
        <v>0</v>
      </c>
      <c r="M52" s="63">
        <f t="shared" ref="M52:R52" si="18">M53</f>
        <v>896388.19999999984</v>
      </c>
      <c r="N52" s="63">
        <f t="shared" si="18"/>
        <v>896388.19999999984</v>
      </c>
      <c r="O52" s="63">
        <f t="shared" si="18"/>
        <v>915107.47999999986</v>
      </c>
      <c r="P52" s="63">
        <f t="shared" si="18"/>
        <v>823958.14</v>
      </c>
      <c r="Q52" s="63">
        <f t="shared" si="18"/>
        <v>1044449.3999999999</v>
      </c>
      <c r="R52" s="63">
        <f t="shared" si="18"/>
        <v>129341.92000000004</v>
      </c>
    </row>
    <row r="53" spans="2:20" s="34" customFormat="1" ht="13.2">
      <c r="B53" s="66" t="s">
        <v>116</v>
      </c>
      <c r="C53" s="67" t="s">
        <v>117</v>
      </c>
      <c r="D53" s="68"/>
      <c r="E53" s="69"/>
      <c r="F53" s="70"/>
      <c r="G53" s="70"/>
      <c r="H53" s="70"/>
      <c r="I53" s="70">
        <f>SUM(G53:H53)+'BM 001'!I53</f>
        <v>0</v>
      </c>
      <c r="J53" s="70">
        <f t="shared" si="4"/>
        <v>0</v>
      </c>
      <c r="K53" s="71"/>
      <c r="L53" s="71">
        <f t="shared" si="2"/>
        <v>0</v>
      </c>
      <c r="M53" s="73">
        <f t="shared" ref="M53:R53" si="19">SUM(M54:M61)</f>
        <v>896388.19999999984</v>
      </c>
      <c r="N53" s="73">
        <f t="shared" si="19"/>
        <v>896388.19999999984</v>
      </c>
      <c r="O53" s="73">
        <f t="shared" si="19"/>
        <v>915107.47999999986</v>
      </c>
      <c r="P53" s="73">
        <f t="shared" si="19"/>
        <v>823958.14</v>
      </c>
      <c r="Q53" s="73">
        <f t="shared" si="19"/>
        <v>1044449.3999999999</v>
      </c>
      <c r="R53" s="73">
        <f t="shared" si="19"/>
        <v>129341.92000000004</v>
      </c>
    </row>
    <row r="54" spans="2:20" s="34" customFormat="1" ht="34.799999999999997">
      <c r="B54" s="87" t="s">
        <v>118</v>
      </c>
      <c r="C54" s="88" t="s">
        <v>119</v>
      </c>
      <c r="D54" s="89" t="s">
        <v>82</v>
      </c>
      <c r="E54" s="92">
        <v>196.9</v>
      </c>
      <c r="F54" s="91"/>
      <c r="G54" s="91"/>
      <c r="H54" s="91"/>
      <c r="I54" s="79">
        <f>SUM(G54:H54)+'BM 001'!I54</f>
        <v>196.9</v>
      </c>
      <c r="J54" s="91">
        <f t="shared" si="4"/>
        <v>0</v>
      </c>
      <c r="K54" s="80">
        <v>75</v>
      </c>
      <c r="L54" s="81">
        <f t="shared" si="2"/>
        <v>95.070008250000001</v>
      </c>
      <c r="M54" s="82">
        <f t="shared" ref="M54:M61" si="20">TRUNC(F54*L54,2)</f>
        <v>0</v>
      </c>
      <c r="N54" s="82">
        <f t="shared" ref="N54:N61" si="21">TRUNC(G54*L54,2)</f>
        <v>0</v>
      </c>
      <c r="O54" s="82">
        <f>N54+'BM 001'!O54</f>
        <v>18719.28</v>
      </c>
      <c r="P54" s="80">
        <f t="shared" ref="P54:P61" si="22">E54*K54</f>
        <v>14767.5</v>
      </c>
      <c r="Q54" s="82">
        <f t="shared" ref="Q54:Q61" si="23">TRUNC(E54*L54,2)</f>
        <v>18719.28</v>
      </c>
      <c r="R54" s="82">
        <f t="shared" ref="R54:R61" si="24">Q54-O54</f>
        <v>0</v>
      </c>
    </row>
    <row r="55" spans="2:20" s="34" customFormat="1" ht="23.4">
      <c r="B55" s="87" t="s">
        <v>120</v>
      </c>
      <c r="C55" s="88" t="s">
        <v>121</v>
      </c>
      <c r="D55" s="89" t="s">
        <v>63</v>
      </c>
      <c r="E55" s="92">
        <v>1</v>
      </c>
      <c r="F55" s="91">
        <v>1</v>
      </c>
      <c r="G55" s="91">
        <f t="shared" ref="G55:G60" si="25">F55</f>
        <v>1</v>
      </c>
      <c r="H55" s="91"/>
      <c r="I55" s="79">
        <f>SUM(G55:H55)+'BM 001'!I55</f>
        <v>1</v>
      </c>
      <c r="J55" s="91">
        <f t="shared" si="4"/>
        <v>0</v>
      </c>
      <c r="K55" s="80">
        <v>11000</v>
      </c>
      <c r="L55" s="81">
        <f t="shared" si="2"/>
        <v>13943.601210000001</v>
      </c>
      <c r="M55" s="82">
        <f t="shared" si="20"/>
        <v>13943.6</v>
      </c>
      <c r="N55" s="82">
        <f t="shared" si="21"/>
        <v>13943.6</v>
      </c>
      <c r="O55" s="82">
        <f>N55+'BM 001'!O55</f>
        <v>13943.6</v>
      </c>
      <c r="P55" s="80">
        <f t="shared" si="22"/>
        <v>11000</v>
      </c>
      <c r="Q55" s="82">
        <f t="shared" si="23"/>
        <v>13943.6</v>
      </c>
      <c r="R55" s="82">
        <f t="shared" si="24"/>
        <v>0</v>
      </c>
    </row>
    <row r="56" spans="2:20" s="34" customFormat="1" ht="34.799999999999997">
      <c r="B56" s="87" t="s">
        <v>122</v>
      </c>
      <c r="C56" s="88" t="s">
        <v>123</v>
      </c>
      <c r="D56" s="89" t="s">
        <v>124</v>
      </c>
      <c r="E56" s="90">
        <v>1837</v>
      </c>
      <c r="F56" s="91">
        <f>'M.C. MED. 02'!K125</f>
        <v>1653.75</v>
      </c>
      <c r="G56" s="91">
        <f t="shared" si="25"/>
        <v>1653.75</v>
      </c>
      <c r="H56" s="91"/>
      <c r="I56" s="79">
        <f>SUM(G56:H56)+'BM 001'!I56</f>
        <v>1653.75</v>
      </c>
      <c r="J56" s="91">
        <f t="shared" si="4"/>
        <v>183.25</v>
      </c>
      <c r="K56" s="80">
        <v>405</v>
      </c>
      <c r="L56" s="81">
        <f t="shared" si="2"/>
        <v>513.37804455000003</v>
      </c>
      <c r="M56" s="82">
        <f t="shared" si="20"/>
        <v>848998.94</v>
      </c>
      <c r="N56" s="82">
        <f t="shared" si="21"/>
        <v>848998.94</v>
      </c>
      <c r="O56" s="82">
        <f>N56+'BM 001'!O56</f>
        <v>848998.94</v>
      </c>
      <c r="P56" s="80">
        <f t="shared" si="22"/>
        <v>743985</v>
      </c>
      <c r="Q56" s="82">
        <f t="shared" si="23"/>
        <v>943075.46</v>
      </c>
      <c r="R56" s="82">
        <f t="shared" si="24"/>
        <v>94076.520000000019</v>
      </c>
    </row>
    <row r="57" spans="2:20" s="34" customFormat="1" ht="34.799999999999997">
      <c r="B57" s="87" t="s">
        <v>125</v>
      </c>
      <c r="C57" s="88" t="s">
        <v>126</v>
      </c>
      <c r="D57" s="89" t="s">
        <v>110</v>
      </c>
      <c r="E57" s="90">
        <v>293.92</v>
      </c>
      <c r="F57" s="91">
        <v>293.92</v>
      </c>
      <c r="G57" s="91">
        <f t="shared" si="25"/>
        <v>293.92</v>
      </c>
      <c r="H57" s="91"/>
      <c r="I57" s="79">
        <f>SUM(G57:H57)+'BM 001'!I57</f>
        <v>293.92</v>
      </c>
      <c r="J57" s="91">
        <f t="shared" si="4"/>
        <v>0</v>
      </c>
      <c r="K57" s="80">
        <v>12</v>
      </c>
      <c r="L57" s="81">
        <f t="shared" si="2"/>
        <v>15.211201320000001</v>
      </c>
      <c r="M57" s="82">
        <f t="shared" si="20"/>
        <v>4470.87</v>
      </c>
      <c r="N57" s="82">
        <f t="shared" si="21"/>
        <v>4470.87</v>
      </c>
      <c r="O57" s="82">
        <f>N57+'BM 001'!O57</f>
        <v>4470.87</v>
      </c>
      <c r="P57" s="80">
        <f t="shared" si="22"/>
        <v>3527.04</v>
      </c>
      <c r="Q57" s="82">
        <f t="shared" si="23"/>
        <v>4470.87</v>
      </c>
      <c r="R57" s="82">
        <f t="shared" si="24"/>
        <v>0</v>
      </c>
    </row>
    <row r="58" spans="2:20" s="34" customFormat="1" ht="34.799999999999997">
      <c r="B58" s="87" t="s">
        <v>127</v>
      </c>
      <c r="C58" s="88" t="s">
        <v>128</v>
      </c>
      <c r="D58" s="89" t="s">
        <v>113</v>
      </c>
      <c r="E58" s="90">
        <f>E57*30</f>
        <v>8817.6</v>
      </c>
      <c r="F58" s="91">
        <f>'M.C. MED. 02'!K145</f>
        <v>7938.0000000000009</v>
      </c>
      <c r="G58" s="91">
        <f t="shared" si="25"/>
        <v>7938.0000000000009</v>
      </c>
      <c r="H58" s="91"/>
      <c r="I58" s="79">
        <f>SUM(G58:H58)+'BM 001'!I58</f>
        <v>7938.0000000000009</v>
      </c>
      <c r="J58" s="91">
        <f t="shared" si="4"/>
        <v>879.59999999999945</v>
      </c>
      <c r="K58" s="80">
        <v>1</v>
      </c>
      <c r="L58" s="81">
        <f t="shared" si="2"/>
        <v>1.2676001100000001</v>
      </c>
      <c r="M58" s="82">
        <f t="shared" si="20"/>
        <v>10062.200000000001</v>
      </c>
      <c r="N58" s="82">
        <f t="shared" si="21"/>
        <v>10062.200000000001</v>
      </c>
      <c r="O58" s="82">
        <f>N58+'BM 001'!O58</f>
        <v>10062.200000000001</v>
      </c>
      <c r="P58" s="80">
        <f t="shared" si="22"/>
        <v>8817.6</v>
      </c>
      <c r="Q58" s="82">
        <f t="shared" si="23"/>
        <v>11177.19</v>
      </c>
      <c r="R58" s="82">
        <f t="shared" si="24"/>
        <v>1114.9899999999998</v>
      </c>
    </row>
    <row r="59" spans="2:20" s="34" customFormat="1" ht="23.4">
      <c r="B59" s="87" t="s">
        <v>129</v>
      </c>
      <c r="C59" s="88" t="s">
        <v>130</v>
      </c>
      <c r="D59" s="89" t="s">
        <v>131</v>
      </c>
      <c r="E59" s="92">
        <v>167</v>
      </c>
      <c r="F59" s="91">
        <f>'M.C. MED. 02'!K155</f>
        <v>40</v>
      </c>
      <c r="G59" s="91">
        <f t="shared" si="25"/>
        <v>40</v>
      </c>
      <c r="H59" s="91"/>
      <c r="I59" s="79">
        <f>SUM(G59:H59)+'BM 001'!I59</f>
        <v>40</v>
      </c>
      <c r="J59" s="91">
        <f t="shared" si="4"/>
        <v>127</v>
      </c>
      <c r="K59" s="80">
        <v>23</v>
      </c>
      <c r="L59" s="81">
        <f t="shared" si="2"/>
        <v>29.154802530000001</v>
      </c>
      <c r="M59" s="82">
        <f t="shared" si="20"/>
        <v>1166.19</v>
      </c>
      <c r="N59" s="82">
        <f t="shared" si="21"/>
        <v>1166.19</v>
      </c>
      <c r="O59" s="82">
        <f>N59+'BM 001'!O59</f>
        <v>1166.19</v>
      </c>
      <c r="P59" s="80">
        <f t="shared" si="22"/>
        <v>3841</v>
      </c>
      <c r="Q59" s="82">
        <f t="shared" si="23"/>
        <v>4868.8500000000004</v>
      </c>
      <c r="R59" s="82">
        <f t="shared" si="24"/>
        <v>3702.6600000000003</v>
      </c>
    </row>
    <row r="60" spans="2:20" s="34" customFormat="1" ht="13.2">
      <c r="B60" s="87" t="s">
        <v>132</v>
      </c>
      <c r="C60" s="88" t="s">
        <v>133</v>
      </c>
      <c r="D60" s="89" t="s">
        <v>63</v>
      </c>
      <c r="E60" s="92">
        <v>2</v>
      </c>
      <c r="F60" s="91">
        <f>'M.C. MED. 02'!K165</f>
        <v>1</v>
      </c>
      <c r="G60" s="91">
        <f t="shared" si="25"/>
        <v>1</v>
      </c>
      <c r="H60" s="91"/>
      <c r="I60" s="79">
        <f>SUM(G60:H60)+'BM 001'!I60</f>
        <v>1</v>
      </c>
      <c r="J60" s="91">
        <f t="shared" si="4"/>
        <v>1</v>
      </c>
      <c r="K60" s="80">
        <v>14000</v>
      </c>
      <c r="L60" s="81">
        <f t="shared" si="2"/>
        <v>17746.401540000003</v>
      </c>
      <c r="M60" s="82">
        <f t="shared" si="20"/>
        <v>17746.400000000001</v>
      </c>
      <c r="N60" s="82">
        <f t="shared" si="21"/>
        <v>17746.400000000001</v>
      </c>
      <c r="O60" s="82">
        <f>N60+'BM 001'!O60</f>
        <v>17746.400000000001</v>
      </c>
      <c r="P60" s="80">
        <f t="shared" si="22"/>
        <v>28000</v>
      </c>
      <c r="Q60" s="82">
        <f t="shared" si="23"/>
        <v>35492.800000000003</v>
      </c>
      <c r="R60" s="82">
        <f t="shared" si="24"/>
        <v>17746.400000000001</v>
      </c>
    </row>
    <row r="61" spans="2:20" s="34" customFormat="1" ht="13.2">
      <c r="B61" s="87" t="s">
        <v>134</v>
      </c>
      <c r="C61" s="88" t="s">
        <v>135</v>
      </c>
      <c r="D61" s="89" t="s">
        <v>63</v>
      </c>
      <c r="E61" s="92">
        <v>167</v>
      </c>
      <c r="F61" s="91"/>
      <c r="G61" s="91"/>
      <c r="H61" s="91"/>
      <c r="I61" s="79">
        <f>SUM(G61:H61)+'BM 001'!I61</f>
        <v>0</v>
      </c>
      <c r="J61" s="91">
        <f t="shared" si="4"/>
        <v>167</v>
      </c>
      <c r="K61" s="80">
        <v>60</v>
      </c>
      <c r="L61" s="81">
        <f t="shared" si="2"/>
        <v>76.056006600000003</v>
      </c>
      <c r="M61" s="82">
        <f t="shared" si="20"/>
        <v>0</v>
      </c>
      <c r="N61" s="82">
        <f t="shared" si="21"/>
        <v>0</v>
      </c>
      <c r="O61" s="82">
        <f>N61+'BM 001'!O61</f>
        <v>0</v>
      </c>
      <c r="P61" s="80">
        <f t="shared" si="22"/>
        <v>10020</v>
      </c>
      <c r="Q61" s="82">
        <f t="shared" si="23"/>
        <v>12701.35</v>
      </c>
      <c r="R61" s="82">
        <f t="shared" si="24"/>
        <v>12701.35</v>
      </c>
    </row>
    <row r="62" spans="2:20" s="34" customFormat="1" ht="15.75" customHeight="1">
      <c r="B62" s="60" t="s">
        <v>136</v>
      </c>
      <c r="C62" s="61" t="s">
        <v>137</v>
      </c>
      <c r="D62" s="60"/>
      <c r="E62" s="62"/>
      <c r="F62" s="63"/>
      <c r="G62" s="63"/>
      <c r="H62" s="63"/>
      <c r="I62" s="63">
        <f>SUM(G62:H62)+'BM 001'!I62</f>
        <v>0</v>
      </c>
      <c r="J62" s="63">
        <f t="shared" si="4"/>
        <v>0</v>
      </c>
      <c r="K62" s="63"/>
      <c r="L62" s="63">
        <f t="shared" si="2"/>
        <v>0</v>
      </c>
      <c r="M62" s="63">
        <f t="shared" ref="M62:R62" si="26">SUM(M63,M79)</f>
        <v>0</v>
      </c>
      <c r="N62" s="63">
        <f t="shared" si="26"/>
        <v>0</v>
      </c>
      <c r="O62" s="63">
        <f t="shared" si="26"/>
        <v>0</v>
      </c>
      <c r="P62" s="63">
        <f t="shared" si="26"/>
        <v>621941.5</v>
      </c>
      <c r="Q62" s="63">
        <f t="shared" si="26"/>
        <v>788372.97</v>
      </c>
      <c r="R62" s="63">
        <f t="shared" si="26"/>
        <v>788372.97</v>
      </c>
    </row>
    <row r="63" spans="2:20" s="34" customFormat="1" ht="13.2">
      <c r="B63" s="66" t="s">
        <v>138</v>
      </c>
      <c r="C63" s="67" t="s">
        <v>139</v>
      </c>
      <c r="D63" s="68"/>
      <c r="E63" s="69"/>
      <c r="F63" s="70"/>
      <c r="G63" s="70"/>
      <c r="H63" s="70"/>
      <c r="I63" s="70">
        <f>SUM(G63:H63)+'BM 001'!I63</f>
        <v>0</v>
      </c>
      <c r="J63" s="70">
        <f t="shared" si="4"/>
        <v>0</v>
      </c>
      <c r="K63" s="71"/>
      <c r="L63" s="71">
        <f t="shared" si="2"/>
        <v>0</v>
      </c>
      <c r="M63" s="73">
        <f t="shared" ref="M63:R63" si="27">SUM(M64:M78)</f>
        <v>0</v>
      </c>
      <c r="N63" s="73">
        <f t="shared" si="27"/>
        <v>0</v>
      </c>
      <c r="O63" s="73">
        <f t="shared" si="27"/>
        <v>0</v>
      </c>
      <c r="P63" s="73">
        <f t="shared" si="27"/>
        <v>471600.95</v>
      </c>
      <c r="Q63" s="73">
        <f t="shared" si="27"/>
        <v>597801.35</v>
      </c>
      <c r="R63" s="73">
        <f t="shared" si="27"/>
        <v>597801.35</v>
      </c>
    </row>
    <row r="64" spans="2:20" s="34" customFormat="1" ht="23.4">
      <c r="B64" s="87" t="s">
        <v>140</v>
      </c>
      <c r="C64" s="88" t="s">
        <v>141</v>
      </c>
      <c r="D64" s="89" t="s">
        <v>110</v>
      </c>
      <c r="E64" s="90">
        <v>259.39</v>
      </c>
      <c r="F64" s="91"/>
      <c r="G64" s="91"/>
      <c r="H64" s="91"/>
      <c r="I64" s="79">
        <f>SUM(G64:H64)+'BM 001'!I64</f>
        <v>0</v>
      </c>
      <c r="J64" s="91">
        <f t="shared" si="4"/>
        <v>259.39</v>
      </c>
      <c r="K64" s="80">
        <v>80</v>
      </c>
      <c r="L64" s="81">
        <f t="shared" si="2"/>
        <v>101.4080088</v>
      </c>
      <c r="M64" s="82">
        <f t="shared" ref="M64:M78" si="28">TRUNC(F64*L64,2)</f>
        <v>0</v>
      </c>
      <c r="N64" s="82">
        <f t="shared" ref="N64:N78" si="29">TRUNC(G64*L64,2)</f>
        <v>0</v>
      </c>
      <c r="O64" s="82">
        <f>N64+'BM 001'!O64</f>
        <v>0</v>
      </c>
      <c r="P64" s="80">
        <f t="shared" ref="P64:P78" si="30">E64*K64</f>
        <v>20751.199999999997</v>
      </c>
      <c r="Q64" s="82">
        <f t="shared" ref="Q64:Q78" si="31">TRUNC(E64*L64,2)</f>
        <v>26304.22</v>
      </c>
      <c r="R64" s="82">
        <f t="shared" ref="R64:R78" si="32">Q64-O64</f>
        <v>26304.22</v>
      </c>
    </row>
    <row r="65" spans="2:20" s="34" customFormat="1" ht="23.4">
      <c r="B65" s="87" t="s">
        <v>142</v>
      </c>
      <c r="C65" s="88" t="s">
        <v>143</v>
      </c>
      <c r="D65" s="89" t="s">
        <v>79</v>
      </c>
      <c r="E65" s="92">
        <v>72.260000000000005</v>
      </c>
      <c r="F65" s="91"/>
      <c r="G65" s="91"/>
      <c r="H65" s="91"/>
      <c r="I65" s="79">
        <f>SUM(G65:H65)+'BM 001'!I65</f>
        <v>0</v>
      </c>
      <c r="J65" s="91">
        <f t="shared" si="4"/>
        <v>72.260000000000005</v>
      </c>
      <c r="K65" s="80">
        <v>30</v>
      </c>
      <c r="L65" s="81">
        <f t="shared" si="2"/>
        <v>38.028003300000002</v>
      </c>
      <c r="M65" s="82">
        <f t="shared" si="28"/>
        <v>0</v>
      </c>
      <c r="N65" s="82">
        <f t="shared" si="29"/>
        <v>0</v>
      </c>
      <c r="O65" s="82">
        <f>N65+'BM 001'!O65</f>
        <v>0</v>
      </c>
      <c r="P65" s="80">
        <f t="shared" si="30"/>
        <v>2167.8000000000002</v>
      </c>
      <c r="Q65" s="82">
        <f t="shared" si="31"/>
        <v>2747.9</v>
      </c>
      <c r="R65" s="82">
        <f t="shared" si="32"/>
        <v>2747.9</v>
      </c>
    </row>
    <row r="66" spans="2:20" s="34" customFormat="1" ht="13.2">
      <c r="B66" s="87" t="s">
        <v>144</v>
      </c>
      <c r="C66" s="88" t="s">
        <v>145</v>
      </c>
      <c r="D66" s="89" t="s">
        <v>110</v>
      </c>
      <c r="E66" s="92">
        <v>217.8</v>
      </c>
      <c r="F66" s="91"/>
      <c r="G66" s="91"/>
      <c r="H66" s="91"/>
      <c r="I66" s="79">
        <f>SUM(G66:H66)+'BM 001'!I66</f>
        <v>0</v>
      </c>
      <c r="J66" s="91">
        <f t="shared" si="4"/>
        <v>217.8</v>
      </c>
      <c r="K66" s="80">
        <v>25</v>
      </c>
      <c r="L66" s="81">
        <f t="shared" si="2"/>
        <v>31.690002750000001</v>
      </c>
      <c r="M66" s="82">
        <f t="shared" si="28"/>
        <v>0</v>
      </c>
      <c r="N66" s="82">
        <f t="shared" si="29"/>
        <v>0</v>
      </c>
      <c r="O66" s="82">
        <f>N66+'BM 001'!O66</f>
        <v>0</v>
      </c>
      <c r="P66" s="80">
        <f t="shared" si="30"/>
        <v>5445</v>
      </c>
      <c r="Q66" s="82">
        <f t="shared" si="31"/>
        <v>6902.08</v>
      </c>
      <c r="R66" s="82">
        <f t="shared" si="32"/>
        <v>6902.08</v>
      </c>
    </row>
    <row r="67" spans="2:20" s="34" customFormat="1" ht="34.799999999999997">
      <c r="B67" s="87" t="s">
        <v>146</v>
      </c>
      <c r="C67" s="88" t="s">
        <v>126</v>
      </c>
      <c r="D67" s="89" t="s">
        <v>110</v>
      </c>
      <c r="E67" s="90">
        <v>140.80000000000001</v>
      </c>
      <c r="F67" s="91"/>
      <c r="G67" s="91"/>
      <c r="H67" s="91"/>
      <c r="I67" s="79">
        <f>SUM(G67:H67)+'BM 001'!I67</f>
        <v>0</v>
      </c>
      <c r="J67" s="91">
        <f t="shared" si="4"/>
        <v>140.80000000000001</v>
      </c>
      <c r="K67" s="80">
        <v>12</v>
      </c>
      <c r="L67" s="81">
        <f t="shared" si="2"/>
        <v>15.211201320000001</v>
      </c>
      <c r="M67" s="82">
        <f t="shared" si="28"/>
        <v>0</v>
      </c>
      <c r="N67" s="82">
        <f t="shared" si="29"/>
        <v>0</v>
      </c>
      <c r="O67" s="82">
        <f>N67+'BM 001'!O67</f>
        <v>0</v>
      </c>
      <c r="P67" s="80">
        <f t="shared" si="30"/>
        <v>1689.6000000000001</v>
      </c>
      <c r="Q67" s="82">
        <f t="shared" si="31"/>
        <v>2141.73</v>
      </c>
      <c r="R67" s="82">
        <f t="shared" si="32"/>
        <v>2141.73</v>
      </c>
    </row>
    <row r="68" spans="2:20" s="34" customFormat="1" ht="34.799999999999997">
      <c r="B68" s="87" t="s">
        <v>147</v>
      </c>
      <c r="C68" s="88" t="s">
        <v>128</v>
      </c>
      <c r="D68" s="89" t="s">
        <v>113</v>
      </c>
      <c r="E68" s="90">
        <f>E64*30</f>
        <v>7781.7</v>
      </c>
      <c r="F68" s="91"/>
      <c r="G68" s="91"/>
      <c r="H68" s="91"/>
      <c r="I68" s="79">
        <f>SUM(G68:H68)+'BM 001'!I68</f>
        <v>0</v>
      </c>
      <c r="J68" s="91">
        <f t="shared" si="4"/>
        <v>7781.7</v>
      </c>
      <c r="K68" s="80">
        <v>1</v>
      </c>
      <c r="L68" s="81">
        <f t="shared" si="2"/>
        <v>1.2676001100000001</v>
      </c>
      <c r="M68" s="82">
        <f t="shared" si="28"/>
        <v>0</v>
      </c>
      <c r="N68" s="82">
        <f t="shared" si="29"/>
        <v>0</v>
      </c>
      <c r="O68" s="82">
        <f>N68+'BM 001'!O68</f>
        <v>0</v>
      </c>
      <c r="P68" s="80">
        <f t="shared" si="30"/>
        <v>7781.7</v>
      </c>
      <c r="Q68" s="82">
        <f t="shared" si="31"/>
        <v>9864.08</v>
      </c>
      <c r="R68" s="82">
        <f t="shared" si="32"/>
        <v>9864.08</v>
      </c>
      <c r="T68" s="83">
        <f>N68+N69+N103+N104+N106+N107+N108</f>
        <v>0</v>
      </c>
    </row>
    <row r="69" spans="2:20" s="34" customFormat="1" ht="23.4">
      <c r="B69" s="87" t="s">
        <v>148</v>
      </c>
      <c r="C69" s="88" t="s">
        <v>149</v>
      </c>
      <c r="D69" s="89" t="s">
        <v>79</v>
      </c>
      <c r="E69" s="90">
        <v>233.48</v>
      </c>
      <c r="F69" s="91"/>
      <c r="G69" s="91"/>
      <c r="H69" s="91"/>
      <c r="I69" s="79">
        <f>SUM(G69:H69)+'BM 001'!I69</f>
        <v>0</v>
      </c>
      <c r="J69" s="91">
        <f t="shared" si="4"/>
        <v>233.48</v>
      </c>
      <c r="K69" s="80">
        <v>35</v>
      </c>
      <c r="L69" s="81">
        <f t="shared" si="2"/>
        <v>44.366003849999998</v>
      </c>
      <c r="M69" s="82">
        <f t="shared" si="28"/>
        <v>0</v>
      </c>
      <c r="N69" s="82">
        <f t="shared" si="29"/>
        <v>0</v>
      </c>
      <c r="O69" s="82">
        <f>N69+'BM 001'!O69</f>
        <v>0</v>
      </c>
      <c r="P69" s="80">
        <f t="shared" si="30"/>
        <v>8171.7999999999993</v>
      </c>
      <c r="Q69" s="82">
        <f t="shared" si="31"/>
        <v>10358.57</v>
      </c>
      <c r="R69" s="82">
        <f t="shared" si="32"/>
        <v>10358.57</v>
      </c>
    </row>
    <row r="70" spans="2:20" s="34" customFormat="1" ht="23.4">
      <c r="B70" s="87" t="s">
        <v>150</v>
      </c>
      <c r="C70" s="88" t="s">
        <v>151</v>
      </c>
      <c r="D70" s="89" t="s">
        <v>152</v>
      </c>
      <c r="E70" s="90">
        <v>190.3</v>
      </c>
      <c r="F70" s="91"/>
      <c r="G70" s="91"/>
      <c r="H70" s="91"/>
      <c r="I70" s="79">
        <f>SUM(G70:H70)+'BM 001'!I70</f>
        <v>0</v>
      </c>
      <c r="J70" s="91">
        <f t="shared" si="4"/>
        <v>190.3</v>
      </c>
      <c r="K70" s="80">
        <v>20</v>
      </c>
      <c r="L70" s="81">
        <f t="shared" si="2"/>
        <v>25.352002200000001</v>
      </c>
      <c r="M70" s="82">
        <f t="shared" si="28"/>
        <v>0</v>
      </c>
      <c r="N70" s="82">
        <f t="shared" si="29"/>
        <v>0</v>
      </c>
      <c r="O70" s="82">
        <f>N70+'BM 001'!O70</f>
        <v>0</v>
      </c>
      <c r="P70" s="80">
        <f t="shared" si="30"/>
        <v>3806</v>
      </c>
      <c r="Q70" s="82">
        <f t="shared" si="31"/>
        <v>4824.4799999999996</v>
      </c>
      <c r="R70" s="82">
        <f t="shared" si="32"/>
        <v>4824.4799999999996</v>
      </c>
    </row>
    <row r="71" spans="2:20" s="34" customFormat="1" ht="23.4">
      <c r="B71" s="87" t="s">
        <v>153</v>
      </c>
      <c r="C71" s="88" t="s">
        <v>154</v>
      </c>
      <c r="D71" s="89" t="s">
        <v>152</v>
      </c>
      <c r="E71" s="90">
        <v>77</v>
      </c>
      <c r="F71" s="91"/>
      <c r="G71" s="91"/>
      <c r="H71" s="91"/>
      <c r="I71" s="79">
        <f>SUM(G71:H71)+'BM 001'!I71</f>
        <v>0</v>
      </c>
      <c r="J71" s="91">
        <f t="shared" si="4"/>
        <v>77</v>
      </c>
      <c r="K71" s="80">
        <v>19</v>
      </c>
      <c r="L71" s="81">
        <f t="shared" si="2"/>
        <v>24.084402090000001</v>
      </c>
      <c r="M71" s="82">
        <f t="shared" si="28"/>
        <v>0</v>
      </c>
      <c r="N71" s="82">
        <f t="shared" si="29"/>
        <v>0</v>
      </c>
      <c r="O71" s="82">
        <f>N71+'BM 001'!O71</f>
        <v>0</v>
      </c>
      <c r="P71" s="80">
        <f t="shared" si="30"/>
        <v>1463</v>
      </c>
      <c r="Q71" s="82">
        <f t="shared" si="31"/>
        <v>1854.49</v>
      </c>
      <c r="R71" s="82">
        <f t="shared" si="32"/>
        <v>1854.49</v>
      </c>
    </row>
    <row r="72" spans="2:20" s="34" customFormat="1" ht="23.4">
      <c r="B72" s="87" t="s">
        <v>155</v>
      </c>
      <c r="C72" s="88" t="s">
        <v>156</v>
      </c>
      <c r="D72" s="89" t="s">
        <v>152</v>
      </c>
      <c r="E72" s="90">
        <v>566.5</v>
      </c>
      <c r="F72" s="91"/>
      <c r="G72" s="91"/>
      <c r="H72" s="91"/>
      <c r="I72" s="79">
        <f>SUM(G72:H72)+'BM 001'!I72</f>
        <v>0</v>
      </c>
      <c r="J72" s="91">
        <f t="shared" si="4"/>
        <v>566.5</v>
      </c>
      <c r="K72" s="80">
        <v>17.5</v>
      </c>
      <c r="L72" s="81">
        <f t="shared" si="2"/>
        <v>22.183001924999999</v>
      </c>
      <c r="M72" s="82">
        <f t="shared" si="28"/>
        <v>0</v>
      </c>
      <c r="N72" s="82">
        <f t="shared" si="29"/>
        <v>0</v>
      </c>
      <c r="O72" s="82">
        <f>N72+'BM 001'!O72</f>
        <v>0</v>
      </c>
      <c r="P72" s="80">
        <f t="shared" si="30"/>
        <v>9913.75</v>
      </c>
      <c r="Q72" s="82">
        <f t="shared" si="31"/>
        <v>12566.67</v>
      </c>
      <c r="R72" s="82">
        <f t="shared" si="32"/>
        <v>12566.67</v>
      </c>
    </row>
    <row r="73" spans="2:20" s="34" customFormat="1" ht="23.4">
      <c r="B73" s="87" t="s">
        <v>157</v>
      </c>
      <c r="C73" s="88" t="s">
        <v>158</v>
      </c>
      <c r="D73" s="89" t="s">
        <v>152</v>
      </c>
      <c r="E73" s="90">
        <v>1663.2</v>
      </c>
      <c r="F73" s="91"/>
      <c r="G73" s="91"/>
      <c r="H73" s="91"/>
      <c r="I73" s="79">
        <f>SUM(G73:H73)+'BM 001'!I73</f>
        <v>0</v>
      </c>
      <c r="J73" s="91">
        <f t="shared" si="4"/>
        <v>1663.2</v>
      </c>
      <c r="K73" s="80">
        <v>16</v>
      </c>
      <c r="L73" s="81">
        <f t="shared" si="2"/>
        <v>20.281601760000001</v>
      </c>
      <c r="M73" s="82">
        <f t="shared" si="28"/>
        <v>0</v>
      </c>
      <c r="N73" s="82">
        <f t="shared" si="29"/>
        <v>0</v>
      </c>
      <c r="O73" s="82">
        <f>N73+'BM 001'!O73</f>
        <v>0</v>
      </c>
      <c r="P73" s="80">
        <f t="shared" si="30"/>
        <v>26611.200000000001</v>
      </c>
      <c r="Q73" s="82">
        <f t="shared" si="31"/>
        <v>33732.36</v>
      </c>
      <c r="R73" s="82">
        <f t="shared" si="32"/>
        <v>33732.36</v>
      </c>
    </row>
    <row r="74" spans="2:20" s="34" customFormat="1" ht="23.4">
      <c r="B74" s="87" t="s">
        <v>159</v>
      </c>
      <c r="C74" s="88" t="s">
        <v>160</v>
      </c>
      <c r="D74" s="89" t="s">
        <v>152</v>
      </c>
      <c r="E74" s="90">
        <v>4944.5</v>
      </c>
      <c r="F74" s="91"/>
      <c r="G74" s="91"/>
      <c r="H74" s="91"/>
      <c r="I74" s="79">
        <f>SUM(G74:H74)+'BM 001'!I74</f>
        <v>0</v>
      </c>
      <c r="J74" s="91">
        <f t="shared" si="4"/>
        <v>4944.5</v>
      </c>
      <c r="K74" s="80">
        <v>14.5</v>
      </c>
      <c r="L74" s="81">
        <f t="shared" si="2"/>
        <v>18.380201595000003</v>
      </c>
      <c r="M74" s="82">
        <f t="shared" si="28"/>
        <v>0</v>
      </c>
      <c r="N74" s="82">
        <f t="shared" si="29"/>
        <v>0</v>
      </c>
      <c r="O74" s="82">
        <f>N74+'BM 001'!O74</f>
        <v>0</v>
      </c>
      <c r="P74" s="80">
        <f t="shared" si="30"/>
        <v>71695.25</v>
      </c>
      <c r="Q74" s="82">
        <f t="shared" si="31"/>
        <v>90880.9</v>
      </c>
      <c r="R74" s="82">
        <f t="shared" si="32"/>
        <v>90880.9</v>
      </c>
    </row>
    <row r="75" spans="2:20" s="34" customFormat="1" ht="23.4">
      <c r="B75" s="87" t="s">
        <v>161</v>
      </c>
      <c r="C75" s="88" t="s">
        <v>162</v>
      </c>
      <c r="D75" s="89" t="s">
        <v>152</v>
      </c>
      <c r="E75" s="90">
        <v>115.5</v>
      </c>
      <c r="F75" s="91"/>
      <c r="G75" s="91"/>
      <c r="H75" s="91"/>
      <c r="I75" s="79">
        <f>SUM(G75:H75)+'BM 001'!I75</f>
        <v>0</v>
      </c>
      <c r="J75" s="91">
        <f t="shared" si="4"/>
        <v>115.5</v>
      </c>
      <c r="K75" s="94">
        <v>14.5</v>
      </c>
      <c r="L75" s="81">
        <f t="shared" si="2"/>
        <v>18.380201595000003</v>
      </c>
      <c r="M75" s="82">
        <f t="shared" si="28"/>
        <v>0</v>
      </c>
      <c r="N75" s="82">
        <f t="shared" si="29"/>
        <v>0</v>
      </c>
      <c r="O75" s="82">
        <f>N75+'BM 001'!O75</f>
        <v>0</v>
      </c>
      <c r="P75" s="94">
        <f t="shared" si="30"/>
        <v>1674.75</v>
      </c>
      <c r="Q75" s="82">
        <f t="shared" si="31"/>
        <v>2122.91</v>
      </c>
      <c r="R75" s="82">
        <f t="shared" si="32"/>
        <v>2122.91</v>
      </c>
    </row>
    <row r="76" spans="2:20" s="34" customFormat="1" ht="23.4">
      <c r="B76" s="87" t="s">
        <v>163</v>
      </c>
      <c r="C76" s="88" t="s">
        <v>164</v>
      </c>
      <c r="D76" s="89" t="s">
        <v>152</v>
      </c>
      <c r="E76" s="90">
        <v>7195.1</v>
      </c>
      <c r="F76" s="91"/>
      <c r="G76" s="91"/>
      <c r="H76" s="91"/>
      <c r="I76" s="79">
        <f>SUM(G76:H76)+'BM 001'!I76</f>
        <v>0</v>
      </c>
      <c r="J76" s="91">
        <f t="shared" si="4"/>
        <v>7195.1</v>
      </c>
      <c r="K76" s="80">
        <v>14</v>
      </c>
      <c r="L76" s="81">
        <f t="shared" si="2"/>
        <v>17.746401540000001</v>
      </c>
      <c r="M76" s="82">
        <f t="shared" si="28"/>
        <v>0</v>
      </c>
      <c r="N76" s="82">
        <f t="shared" si="29"/>
        <v>0</v>
      </c>
      <c r="O76" s="82">
        <f>N76+'BM 001'!O76</f>
        <v>0</v>
      </c>
      <c r="P76" s="80">
        <f t="shared" si="30"/>
        <v>100731.40000000001</v>
      </c>
      <c r="Q76" s="82">
        <f t="shared" si="31"/>
        <v>127687.13</v>
      </c>
      <c r="R76" s="82">
        <f t="shared" si="32"/>
        <v>127687.13</v>
      </c>
    </row>
    <row r="77" spans="2:20" s="34" customFormat="1" ht="23.4">
      <c r="B77" s="87" t="s">
        <v>165</v>
      </c>
      <c r="C77" s="88" t="s">
        <v>166</v>
      </c>
      <c r="D77" s="89" t="s">
        <v>79</v>
      </c>
      <c r="E77" s="90">
        <v>415.8</v>
      </c>
      <c r="F77" s="91"/>
      <c r="G77" s="91"/>
      <c r="H77" s="91"/>
      <c r="I77" s="79">
        <f>SUM(G77:H77)+'BM 001'!I77</f>
        <v>0</v>
      </c>
      <c r="J77" s="91">
        <f t="shared" si="4"/>
        <v>415.8</v>
      </c>
      <c r="K77" s="80">
        <v>120</v>
      </c>
      <c r="L77" s="81">
        <f t="shared" si="2"/>
        <v>152.11201320000001</v>
      </c>
      <c r="M77" s="82">
        <f t="shared" si="28"/>
        <v>0</v>
      </c>
      <c r="N77" s="82">
        <f t="shared" si="29"/>
        <v>0</v>
      </c>
      <c r="O77" s="82">
        <f>N77+'BM 001'!O77</f>
        <v>0</v>
      </c>
      <c r="P77" s="80">
        <f t="shared" si="30"/>
        <v>49896</v>
      </c>
      <c r="Q77" s="82">
        <f t="shared" si="31"/>
        <v>63248.17</v>
      </c>
      <c r="R77" s="82">
        <f t="shared" si="32"/>
        <v>63248.17</v>
      </c>
    </row>
    <row r="78" spans="2:20" s="34" customFormat="1" ht="34.799999999999997">
      <c r="B78" s="87" t="s">
        <v>167</v>
      </c>
      <c r="C78" s="88" t="s">
        <v>168</v>
      </c>
      <c r="D78" s="89" t="s">
        <v>169</v>
      </c>
      <c r="E78" s="92">
        <v>213.07</v>
      </c>
      <c r="F78" s="91"/>
      <c r="G78" s="91"/>
      <c r="H78" s="91"/>
      <c r="I78" s="79">
        <f>SUM(G78:H78)+'BM 001'!I78</f>
        <v>0</v>
      </c>
      <c r="J78" s="91">
        <f t="shared" si="4"/>
        <v>213.07</v>
      </c>
      <c r="K78" s="95">
        <v>750</v>
      </c>
      <c r="L78" s="81">
        <f t="shared" si="2"/>
        <v>950.70008250000001</v>
      </c>
      <c r="M78" s="82">
        <f t="shared" si="28"/>
        <v>0</v>
      </c>
      <c r="N78" s="82">
        <f t="shared" si="29"/>
        <v>0</v>
      </c>
      <c r="O78" s="82">
        <f>N78+'BM 001'!O78</f>
        <v>0</v>
      </c>
      <c r="P78" s="95">
        <f t="shared" si="30"/>
        <v>159802.5</v>
      </c>
      <c r="Q78" s="82">
        <f t="shared" si="31"/>
        <v>202565.66</v>
      </c>
      <c r="R78" s="82">
        <f t="shared" si="32"/>
        <v>202565.66</v>
      </c>
    </row>
    <row r="79" spans="2:20" s="34" customFormat="1" ht="13.2">
      <c r="B79" s="66" t="s">
        <v>170</v>
      </c>
      <c r="C79" s="67" t="s">
        <v>171</v>
      </c>
      <c r="D79" s="68"/>
      <c r="E79" s="69"/>
      <c r="F79" s="70"/>
      <c r="G79" s="70"/>
      <c r="H79" s="70"/>
      <c r="I79" s="70">
        <f>SUM(G79:H79)+'BM 001'!I79</f>
        <v>0</v>
      </c>
      <c r="J79" s="70">
        <f t="shared" si="4"/>
        <v>0</v>
      </c>
      <c r="K79" s="71"/>
      <c r="L79" s="71">
        <f t="shared" si="2"/>
        <v>0</v>
      </c>
      <c r="M79" s="73">
        <f t="shared" ref="M79:R79" si="33">SUM(M80:M93)</f>
        <v>0</v>
      </c>
      <c r="N79" s="73">
        <f t="shared" si="33"/>
        <v>0</v>
      </c>
      <c r="O79" s="73">
        <f t="shared" si="33"/>
        <v>0</v>
      </c>
      <c r="P79" s="73">
        <f t="shared" si="33"/>
        <v>150340.54999999999</v>
      </c>
      <c r="Q79" s="73">
        <f t="shared" si="33"/>
        <v>190571.62</v>
      </c>
      <c r="R79" s="73">
        <f t="shared" si="33"/>
        <v>190571.62</v>
      </c>
    </row>
    <row r="80" spans="2:20" s="34" customFormat="1" ht="23.4">
      <c r="B80" s="87" t="s">
        <v>172</v>
      </c>
      <c r="C80" s="88" t="s">
        <v>141</v>
      </c>
      <c r="D80" s="89" t="s">
        <v>110</v>
      </c>
      <c r="E80" s="90">
        <v>268.39999999999998</v>
      </c>
      <c r="F80" s="91"/>
      <c r="G80" s="91"/>
      <c r="H80" s="91"/>
      <c r="I80" s="79">
        <f>SUM(G80:H80)+'BM 001'!I80</f>
        <v>0</v>
      </c>
      <c r="J80" s="91">
        <f t="shared" si="4"/>
        <v>268.39999999999998</v>
      </c>
      <c r="K80" s="80">
        <v>80</v>
      </c>
      <c r="L80" s="81">
        <f t="shared" si="2"/>
        <v>101.4080088</v>
      </c>
      <c r="M80" s="82">
        <f t="shared" ref="M80:M93" si="34">TRUNC(F80*L80,2)</f>
        <v>0</v>
      </c>
      <c r="N80" s="82">
        <f t="shared" ref="N80:N93" si="35">TRUNC(G80*L80,2)</f>
        <v>0</v>
      </c>
      <c r="O80" s="82">
        <f>N80+'BM 001'!O80</f>
        <v>0</v>
      </c>
      <c r="P80" s="80">
        <f t="shared" ref="P80:P93" si="36">E80*K80</f>
        <v>21472</v>
      </c>
      <c r="Q80" s="82">
        <f t="shared" ref="Q80:Q93" si="37">TRUNC(E80*L80,2)</f>
        <v>27217.9</v>
      </c>
      <c r="R80" s="82">
        <f t="shared" ref="R80:R93" si="38">Q80-O80</f>
        <v>27217.9</v>
      </c>
    </row>
    <row r="81" spans="2:20" s="34" customFormat="1" ht="13.2">
      <c r="B81" s="87" t="s">
        <v>173</v>
      </c>
      <c r="C81" s="88" t="s">
        <v>145</v>
      </c>
      <c r="D81" s="89" t="s">
        <v>110</v>
      </c>
      <c r="E81" s="92">
        <v>111.1</v>
      </c>
      <c r="F81" s="91"/>
      <c r="G81" s="91"/>
      <c r="H81" s="91"/>
      <c r="I81" s="79">
        <f>SUM(G81:H81)+'BM 001'!I81</f>
        <v>0</v>
      </c>
      <c r="J81" s="91">
        <f t="shared" si="4"/>
        <v>111.1</v>
      </c>
      <c r="K81" s="80">
        <v>25</v>
      </c>
      <c r="L81" s="81">
        <f t="shared" si="2"/>
        <v>31.690002750000001</v>
      </c>
      <c r="M81" s="82">
        <f t="shared" si="34"/>
        <v>0</v>
      </c>
      <c r="N81" s="82">
        <f t="shared" si="35"/>
        <v>0</v>
      </c>
      <c r="O81" s="82">
        <f>N81+'BM 001'!O81</f>
        <v>0</v>
      </c>
      <c r="P81" s="80">
        <f t="shared" si="36"/>
        <v>2777.5</v>
      </c>
      <c r="Q81" s="82">
        <f t="shared" si="37"/>
        <v>3520.75</v>
      </c>
      <c r="R81" s="82">
        <f t="shared" si="38"/>
        <v>3520.75</v>
      </c>
    </row>
    <row r="82" spans="2:20" s="34" customFormat="1" ht="34.799999999999997">
      <c r="B82" s="87" t="s">
        <v>174</v>
      </c>
      <c r="C82" s="88" t="s">
        <v>126</v>
      </c>
      <c r="D82" s="89" t="s">
        <v>110</v>
      </c>
      <c r="E82" s="92">
        <v>268.39999999999998</v>
      </c>
      <c r="F82" s="91"/>
      <c r="G82" s="91"/>
      <c r="H82" s="91"/>
      <c r="I82" s="79">
        <f>SUM(G82:H82)+'BM 001'!I82</f>
        <v>0</v>
      </c>
      <c r="J82" s="91">
        <f t="shared" si="4"/>
        <v>268.39999999999998</v>
      </c>
      <c r="K82" s="80">
        <v>10</v>
      </c>
      <c r="L82" s="81">
        <f t="shared" si="2"/>
        <v>12.676001100000001</v>
      </c>
      <c r="M82" s="82">
        <f t="shared" si="34"/>
        <v>0</v>
      </c>
      <c r="N82" s="82">
        <f t="shared" si="35"/>
        <v>0</v>
      </c>
      <c r="O82" s="82">
        <f>N82+'BM 001'!O82</f>
        <v>0</v>
      </c>
      <c r="P82" s="80">
        <f t="shared" si="36"/>
        <v>2684</v>
      </c>
      <c r="Q82" s="82">
        <f t="shared" si="37"/>
        <v>3402.23</v>
      </c>
      <c r="R82" s="82">
        <f t="shared" si="38"/>
        <v>3402.23</v>
      </c>
    </row>
    <row r="83" spans="2:20" s="34" customFormat="1" ht="34.799999999999997">
      <c r="B83" s="87" t="s">
        <v>175</v>
      </c>
      <c r="C83" s="88" t="s">
        <v>128</v>
      </c>
      <c r="D83" s="89" t="s">
        <v>113</v>
      </c>
      <c r="E83" s="90">
        <f>E82*30</f>
        <v>8051.9999999999991</v>
      </c>
      <c r="F83" s="91"/>
      <c r="G83" s="91"/>
      <c r="H83" s="91"/>
      <c r="I83" s="79">
        <f>SUM(G83:H83)+'BM 001'!I83</f>
        <v>0</v>
      </c>
      <c r="J83" s="91">
        <f t="shared" si="4"/>
        <v>8051.9999999999991</v>
      </c>
      <c r="K83" s="80">
        <v>3</v>
      </c>
      <c r="L83" s="81">
        <f t="shared" si="2"/>
        <v>3.8028003300000002</v>
      </c>
      <c r="M83" s="82">
        <f t="shared" si="34"/>
        <v>0</v>
      </c>
      <c r="N83" s="82">
        <f t="shared" si="35"/>
        <v>0</v>
      </c>
      <c r="O83" s="82">
        <f>N83+'BM 001'!O83</f>
        <v>0</v>
      </c>
      <c r="P83" s="80">
        <f t="shared" si="36"/>
        <v>24155.999999999996</v>
      </c>
      <c r="Q83" s="82">
        <f t="shared" si="37"/>
        <v>30620.14</v>
      </c>
      <c r="R83" s="82">
        <f t="shared" si="38"/>
        <v>30620.14</v>
      </c>
    </row>
    <row r="84" spans="2:20" s="34" customFormat="1" ht="23.4">
      <c r="B84" s="87" t="s">
        <v>176</v>
      </c>
      <c r="C84" s="88" t="s">
        <v>177</v>
      </c>
      <c r="D84" s="89" t="s">
        <v>79</v>
      </c>
      <c r="E84" s="90">
        <v>243.1</v>
      </c>
      <c r="F84" s="91"/>
      <c r="G84" s="91"/>
      <c r="H84" s="91"/>
      <c r="I84" s="79">
        <f>SUM(G84:H84)+'BM 001'!I84</f>
        <v>0</v>
      </c>
      <c r="J84" s="91">
        <f t="shared" si="4"/>
        <v>243.1</v>
      </c>
      <c r="K84" s="80">
        <v>35</v>
      </c>
      <c r="L84" s="81">
        <f t="shared" si="2"/>
        <v>44.366003849999998</v>
      </c>
      <c r="M84" s="82">
        <f t="shared" si="34"/>
        <v>0</v>
      </c>
      <c r="N84" s="82">
        <f t="shared" si="35"/>
        <v>0</v>
      </c>
      <c r="O84" s="82">
        <f>N84+'BM 001'!O84</f>
        <v>0</v>
      </c>
      <c r="P84" s="80">
        <f t="shared" si="36"/>
        <v>8508.5</v>
      </c>
      <c r="Q84" s="82">
        <f t="shared" si="37"/>
        <v>10785.37</v>
      </c>
      <c r="R84" s="82">
        <f t="shared" si="38"/>
        <v>10785.37</v>
      </c>
    </row>
    <row r="85" spans="2:20" s="34" customFormat="1" ht="23.4">
      <c r="B85" s="87" t="s">
        <v>178</v>
      </c>
      <c r="C85" s="88" t="s">
        <v>151</v>
      </c>
      <c r="D85" s="89" t="s">
        <v>152</v>
      </c>
      <c r="E85" s="90">
        <v>185.9</v>
      </c>
      <c r="F85" s="91"/>
      <c r="G85" s="91"/>
      <c r="H85" s="91"/>
      <c r="I85" s="79">
        <f>SUM(G85:H85)+'BM 001'!I85</f>
        <v>0</v>
      </c>
      <c r="J85" s="91">
        <f t="shared" si="4"/>
        <v>185.9</v>
      </c>
      <c r="K85" s="80">
        <v>20</v>
      </c>
      <c r="L85" s="81">
        <f t="shared" si="2"/>
        <v>25.352002200000001</v>
      </c>
      <c r="M85" s="82">
        <f t="shared" si="34"/>
        <v>0</v>
      </c>
      <c r="N85" s="82">
        <f t="shared" si="35"/>
        <v>0</v>
      </c>
      <c r="O85" s="82">
        <f>N85+'BM 001'!O85</f>
        <v>0</v>
      </c>
      <c r="P85" s="80">
        <f t="shared" si="36"/>
        <v>3718</v>
      </c>
      <c r="Q85" s="82">
        <f t="shared" si="37"/>
        <v>4712.93</v>
      </c>
      <c r="R85" s="82">
        <f t="shared" si="38"/>
        <v>4712.93</v>
      </c>
    </row>
    <row r="86" spans="2:20" s="34" customFormat="1" ht="23.4">
      <c r="B86" s="87" t="s">
        <v>179</v>
      </c>
      <c r="C86" s="88" t="s">
        <v>180</v>
      </c>
      <c r="D86" s="89" t="s">
        <v>152</v>
      </c>
      <c r="E86" s="90">
        <v>199.1</v>
      </c>
      <c r="F86" s="91"/>
      <c r="G86" s="91"/>
      <c r="H86" s="91"/>
      <c r="I86" s="79">
        <f>SUM(G86:H86)+'BM 001'!I86</f>
        <v>0</v>
      </c>
      <c r="J86" s="91">
        <f t="shared" si="4"/>
        <v>199.1</v>
      </c>
      <c r="K86" s="80">
        <v>19</v>
      </c>
      <c r="L86" s="81">
        <f t="shared" si="2"/>
        <v>24.084402090000001</v>
      </c>
      <c r="M86" s="82">
        <f t="shared" si="34"/>
        <v>0</v>
      </c>
      <c r="N86" s="82">
        <f t="shared" si="35"/>
        <v>0</v>
      </c>
      <c r="O86" s="82">
        <f>N86+'BM 001'!O86</f>
        <v>0</v>
      </c>
      <c r="P86" s="80">
        <f t="shared" si="36"/>
        <v>3782.9</v>
      </c>
      <c r="Q86" s="82">
        <f t="shared" si="37"/>
        <v>4795.2</v>
      </c>
      <c r="R86" s="82">
        <f t="shared" si="38"/>
        <v>4795.2</v>
      </c>
    </row>
    <row r="87" spans="2:20" s="34" customFormat="1" ht="23.4">
      <c r="B87" s="87" t="s">
        <v>181</v>
      </c>
      <c r="C87" s="88" t="s">
        <v>156</v>
      </c>
      <c r="D87" s="89" t="s">
        <v>152</v>
      </c>
      <c r="E87" s="90">
        <v>378.4</v>
      </c>
      <c r="F87" s="91"/>
      <c r="G87" s="91"/>
      <c r="H87" s="91"/>
      <c r="I87" s="79">
        <f>SUM(G87:H87)+'BM 001'!I87</f>
        <v>0</v>
      </c>
      <c r="J87" s="91">
        <f t="shared" si="4"/>
        <v>378.4</v>
      </c>
      <c r="K87" s="80">
        <v>17.5</v>
      </c>
      <c r="L87" s="81">
        <f t="shared" si="2"/>
        <v>22.183001924999999</v>
      </c>
      <c r="M87" s="82">
        <f t="shared" si="34"/>
        <v>0</v>
      </c>
      <c r="N87" s="82">
        <f t="shared" si="35"/>
        <v>0</v>
      </c>
      <c r="O87" s="82">
        <f>N87+'BM 001'!O87</f>
        <v>0</v>
      </c>
      <c r="P87" s="80">
        <f t="shared" si="36"/>
        <v>6622</v>
      </c>
      <c r="Q87" s="82">
        <f t="shared" si="37"/>
        <v>8394.0400000000009</v>
      </c>
      <c r="R87" s="82">
        <f t="shared" si="38"/>
        <v>8394.0400000000009</v>
      </c>
    </row>
    <row r="88" spans="2:20" s="34" customFormat="1" ht="23.4">
      <c r="B88" s="87" t="s">
        <v>182</v>
      </c>
      <c r="C88" s="88" t="s">
        <v>158</v>
      </c>
      <c r="D88" s="89" t="s">
        <v>152</v>
      </c>
      <c r="E88" s="90">
        <v>445.5</v>
      </c>
      <c r="F88" s="91"/>
      <c r="G88" s="91"/>
      <c r="H88" s="91"/>
      <c r="I88" s="79">
        <f>SUM(G88:H88)+'BM 001'!I88</f>
        <v>0</v>
      </c>
      <c r="J88" s="91">
        <f t="shared" si="4"/>
        <v>445.5</v>
      </c>
      <c r="K88" s="80">
        <v>16</v>
      </c>
      <c r="L88" s="81">
        <f t="shared" si="2"/>
        <v>20.281601760000001</v>
      </c>
      <c r="M88" s="82">
        <f t="shared" si="34"/>
        <v>0</v>
      </c>
      <c r="N88" s="82">
        <f t="shared" si="35"/>
        <v>0</v>
      </c>
      <c r="O88" s="82">
        <f>N88+'BM 001'!O88</f>
        <v>0</v>
      </c>
      <c r="P88" s="80">
        <f t="shared" si="36"/>
        <v>7128</v>
      </c>
      <c r="Q88" s="82">
        <f t="shared" si="37"/>
        <v>9035.4500000000007</v>
      </c>
      <c r="R88" s="82">
        <f t="shared" si="38"/>
        <v>9035.4500000000007</v>
      </c>
    </row>
    <row r="89" spans="2:20" s="34" customFormat="1" ht="23.4">
      <c r="B89" s="87" t="s">
        <v>183</v>
      </c>
      <c r="C89" s="88" t="s">
        <v>160</v>
      </c>
      <c r="D89" s="89" t="s">
        <v>152</v>
      </c>
      <c r="E89" s="90">
        <v>177.1</v>
      </c>
      <c r="F89" s="91"/>
      <c r="G89" s="91"/>
      <c r="H89" s="91"/>
      <c r="I89" s="79">
        <f>SUM(G89:H89)+'BM 001'!I89</f>
        <v>0</v>
      </c>
      <c r="J89" s="91">
        <f t="shared" si="4"/>
        <v>177.1</v>
      </c>
      <c r="K89" s="80">
        <v>14.5</v>
      </c>
      <c r="L89" s="81">
        <f t="shared" si="2"/>
        <v>18.380201595000003</v>
      </c>
      <c r="M89" s="82">
        <f t="shared" si="34"/>
        <v>0</v>
      </c>
      <c r="N89" s="82">
        <f t="shared" si="35"/>
        <v>0</v>
      </c>
      <c r="O89" s="82">
        <f>N89+'BM 001'!O89</f>
        <v>0</v>
      </c>
      <c r="P89" s="80">
        <f t="shared" si="36"/>
        <v>2567.9499999999998</v>
      </c>
      <c r="Q89" s="82">
        <f t="shared" si="37"/>
        <v>3255.13</v>
      </c>
      <c r="R89" s="82">
        <f t="shared" si="38"/>
        <v>3255.13</v>
      </c>
    </row>
    <row r="90" spans="2:20" s="34" customFormat="1" ht="23.4">
      <c r="B90" s="87" t="s">
        <v>184</v>
      </c>
      <c r="C90" s="88" t="s">
        <v>162</v>
      </c>
      <c r="D90" s="89" t="s">
        <v>152</v>
      </c>
      <c r="E90" s="90">
        <v>61.6</v>
      </c>
      <c r="F90" s="91"/>
      <c r="G90" s="91"/>
      <c r="H90" s="91"/>
      <c r="I90" s="79">
        <f>SUM(G90:H90)+'BM 001'!I90</f>
        <v>0</v>
      </c>
      <c r="J90" s="91">
        <f t="shared" si="4"/>
        <v>61.6</v>
      </c>
      <c r="K90" s="94">
        <v>14.5</v>
      </c>
      <c r="L90" s="81">
        <f t="shared" si="2"/>
        <v>18.380201595000003</v>
      </c>
      <c r="M90" s="82">
        <f t="shared" si="34"/>
        <v>0</v>
      </c>
      <c r="N90" s="82">
        <f t="shared" si="35"/>
        <v>0</v>
      </c>
      <c r="O90" s="82">
        <f>N90+'BM 001'!O90</f>
        <v>0</v>
      </c>
      <c r="P90" s="80">
        <f t="shared" si="36"/>
        <v>893.2</v>
      </c>
      <c r="Q90" s="82">
        <f t="shared" si="37"/>
        <v>1132.22</v>
      </c>
      <c r="R90" s="82">
        <f t="shared" si="38"/>
        <v>1132.22</v>
      </c>
    </row>
    <row r="91" spans="2:20" s="34" customFormat="1" ht="23.4">
      <c r="B91" s="87" t="s">
        <v>185</v>
      </c>
      <c r="C91" s="88" t="s">
        <v>186</v>
      </c>
      <c r="D91" s="89" t="s">
        <v>79</v>
      </c>
      <c r="E91" s="90">
        <v>299.2</v>
      </c>
      <c r="F91" s="91"/>
      <c r="G91" s="91"/>
      <c r="H91" s="91"/>
      <c r="I91" s="79">
        <f>SUM(G91:H91)+'BM 001'!I91</f>
        <v>0</v>
      </c>
      <c r="J91" s="91">
        <f t="shared" si="4"/>
        <v>299.2</v>
      </c>
      <c r="K91" s="80">
        <v>140</v>
      </c>
      <c r="L91" s="81">
        <f t="shared" si="2"/>
        <v>177.46401539999999</v>
      </c>
      <c r="M91" s="82">
        <f t="shared" si="34"/>
        <v>0</v>
      </c>
      <c r="N91" s="82">
        <f t="shared" si="35"/>
        <v>0</v>
      </c>
      <c r="O91" s="82">
        <f>N91+'BM 001'!O91</f>
        <v>0</v>
      </c>
      <c r="P91" s="80">
        <f t="shared" si="36"/>
        <v>41888</v>
      </c>
      <c r="Q91" s="82">
        <f t="shared" si="37"/>
        <v>53097.23</v>
      </c>
      <c r="R91" s="82">
        <f t="shared" si="38"/>
        <v>53097.23</v>
      </c>
    </row>
    <row r="92" spans="2:20" s="34" customFormat="1" ht="23.4">
      <c r="B92" s="87" t="s">
        <v>187</v>
      </c>
      <c r="C92" s="88" t="s">
        <v>188</v>
      </c>
      <c r="D92" s="89" t="s">
        <v>169</v>
      </c>
      <c r="E92" s="92">
        <v>22.99</v>
      </c>
      <c r="F92" s="91"/>
      <c r="G92" s="91"/>
      <c r="H92" s="91"/>
      <c r="I92" s="79">
        <f>SUM(G92:H92)+'BM 001'!I92</f>
        <v>0</v>
      </c>
      <c r="J92" s="91">
        <f t="shared" si="4"/>
        <v>22.99</v>
      </c>
      <c r="K92" s="95">
        <v>750</v>
      </c>
      <c r="L92" s="81">
        <f t="shared" si="2"/>
        <v>950.70008250000001</v>
      </c>
      <c r="M92" s="82">
        <f t="shared" si="34"/>
        <v>0</v>
      </c>
      <c r="N92" s="82">
        <f t="shared" si="35"/>
        <v>0</v>
      </c>
      <c r="O92" s="82">
        <f>N92+'BM 001'!O92</f>
        <v>0</v>
      </c>
      <c r="P92" s="80">
        <f t="shared" si="36"/>
        <v>17242.5</v>
      </c>
      <c r="Q92" s="82">
        <f t="shared" si="37"/>
        <v>21856.59</v>
      </c>
      <c r="R92" s="82">
        <f t="shared" si="38"/>
        <v>21856.59</v>
      </c>
      <c r="T92" s="83"/>
    </row>
    <row r="93" spans="2:20" s="34" customFormat="1" ht="23.4">
      <c r="B93" s="87" t="s">
        <v>189</v>
      </c>
      <c r="C93" s="88" t="s">
        <v>190</v>
      </c>
      <c r="D93" s="89" t="s">
        <v>63</v>
      </c>
      <c r="E93" s="92">
        <v>230</v>
      </c>
      <c r="F93" s="91"/>
      <c r="G93" s="91"/>
      <c r="H93" s="91"/>
      <c r="I93" s="79">
        <f>SUM(G93:H93)+'BM 001'!I93</f>
        <v>0</v>
      </c>
      <c r="J93" s="91">
        <f t="shared" si="4"/>
        <v>230</v>
      </c>
      <c r="K93" s="80">
        <v>30</v>
      </c>
      <c r="L93" s="81">
        <f t="shared" ref="L93:L156" si="39">K93*(1+$T$26)</f>
        <v>38.028003300000002</v>
      </c>
      <c r="M93" s="82">
        <f t="shared" si="34"/>
        <v>0</v>
      </c>
      <c r="N93" s="82">
        <f t="shared" si="35"/>
        <v>0</v>
      </c>
      <c r="O93" s="82">
        <f>N93+'BM 001'!O93</f>
        <v>0</v>
      </c>
      <c r="P93" s="80">
        <f t="shared" si="36"/>
        <v>6900</v>
      </c>
      <c r="Q93" s="82">
        <f t="shared" si="37"/>
        <v>8746.44</v>
      </c>
      <c r="R93" s="82">
        <f t="shared" si="38"/>
        <v>8746.44</v>
      </c>
    </row>
    <row r="94" spans="2:20" s="34" customFormat="1" ht="13.2">
      <c r="B94" s="60" t="s">
        <v>191</v>
      </c>
      <c r="C94" s="61" t="s">
        <v>192</v>
      </c>
      <c r="D94" s="60"/>
      <c r="E94" s="62"/>
      <c r="F94" s="63"/>
      <c r="G94" s="63"/>
      <c r="H94" s="63"/>
      <c r="I94" s="63">
        <f>SUM(G94:H94)+'BM 001'!I94</f>
        <v>0</v>
      </c>
      <c r="J94" s="63">
        <f t="shared" si="4"/>
        <v>0</v>
      </c>
      <c r="K94" s="63"/>
      <c r="L94" s="63">
        <f t="shared" si="39"/>
        <v>0</v>
      </c>
      <c r="M94" s="63">
        <f t="shared" ref="M94:R94" si="40">SUM(M95,M107,M120)</f>
        <v>0</v>
      </c>
      <c r="N94" s="63">
        <f t="shared" si="40"/>
        <v>0</v>
      </c>
      <c r="O94" s="63">
        <f t="shared" si="40"/>
        <v>0</v>
      </c>
      <c r="P94" s="63">
        <f t="shared" si="40"/>
        <v>4541959.5</v>
      </c>
      <c r="Q94" s="63">
        <f t="shared" si="40"/>
        <v>5757388.21</v>
      </c>
      <c r="R94" s="63">
        <f t="shared" si="40"/>
        <v>5757388.21</v>
      </c>
    </row>
    <row r="95" spans="2:20" s="34" customFormat="1" ht="13.2">
      <c r="B95" s="66" t="s">
        <v>193</v>
      </c>
      <c r="C95" s="67" t="s">
        <v>194</v>
      </c>
      <c r="D95" s="68"/>
      <c r="E95" s="69"/>
      <c r="F95" s="70"/>
      <c r="G95" s="70"/>
      <c r="H95" s="70"/>
      <c r="I95" s="70">
        <f>SUM(G95:H95)+'BM 001'!I95</f>
        <v>0</v>
      </c>
      <c r="J95" s="70">
        <f t="shared" ref="J95:J158" si="41">E95-I95</f>
        <v>0</v>
      </c>
      <c r="K95" s="71"/>
      <c r="L95" s="71">
        <f t="shared" si="39"/>
        <v>0</v>
      </c>
      <c r="M95" s="73">
        <f t="shared" ref="M95:R95" si="42">SUM(M96:M106)</f>
        <v>0</v>
      </c>
      <c r="N95" s="73">
        <f t="shared" si="42"/>
        <v>0</v>
      </c>
      <c r="O95" s="73">
        <f t="shared" si="42"/>
        <v>0</v>
      </c>
      <c r="P95" s="73">
        <f t="shared" si="42"/>
        <v>1372038.75</v>
      </c>
      <c r="Q95" s="73">
        <f t="shared" si="42"/>
        <v>1739196.42</v>
      </c>
      <c r="R95" s="73">
        <f t="shared" si="42"/>
        <v>1739196.42</v>
      </c>
    </row>
    <row r="96" spans="2:20" s="34" customFormat="1" ht="34.799999999999997">
      <c r="B96" s="87" t="s">
        <v>195</v>
      </c>
      <c r="C96" s="88" t="s">
        <v>196</v>
      </c>
      <c r="D96" s="89" t="s">
        <v>79</v>
      </c>
      <c r="E96" s="92">
        <v>3575</v>
      </c>
      <c r="F96" s="91"/>
      <c r="G96" s="91"/>
      <c r="H96" s="91"/>
      <c r="I96" s="79">
        <f>SUM(G96:H96)+'BM 001'!I96</f>
        <v>0</v>
      </c>
      <c r="J96" s="91">
        <f t="shared" si="41"/>
        <v>3575</v>
      </c>
      <c r="K96" s="80">
        <v>130</v>
      </c>
      <c r="L96" s="81">
        <f t="shared" si="39"/>
        <v>164.78801430000001</v>
      </c>
      <c r="M96" s="82">
        <f t="shared" ref="M96:M106" si="43">TRUNC(F96*L96,2)</f>
        <v>0</v>
      </c>
      <c r="N96" s="82">
        <f t="shared" ref="N96:N106" si="44">TRUNC(G96*L96,2)</f>
        <v>0</v>
      </c>
      <c r="O96" s="82">
        <f>N96+'BM 001'!O96</f>
        <v>0</v>
      </c>
      <c r="P96" s="80">
        <f t="shared" ref="P96:P106" si="45">E96*K96</f>
        <v>464750</v>
      </c>
      <c r="Q96" s="82">
        <f t="shared" ref="Q96:Q106" si="46">TRUNC(E96*L96,2)</f>
        <v>589117.15</v>
      </c>
      <c r="R96" s="82">
        <f t="shared" ref="R96:R106" si="47">Q96-O96</f>
        <v>589117.15</v>
      </c>
    </row>
    <row r="97" spans="2:20" s="34" customFormat="1" ht="34.799999999999997">
      <c r="B97" s="87" t="s">
        <v>197</v>
      </c>
      <c r="C97" s="88" t="s">
        <v>198</v>
      </c>
      <c r="D97" s="89" t="s">
        <v>152</v>
      </c>
      <c r="E97" s="90">
        <v>2130.6999999999998</v>
      </c>
      <c r="F97" s="91"/>
      <c r="G97" s="91"/>
      <c r="H97" s="91"/>
      <c r="I97" s="79">
        <f>SUM(G97:H97)+'BM 001'!I97</f>
        <v>0</v>
      </c>
      <c r="J97" s="91">
        <f t="shared" si="41"/>
        <v>2130.6999999999998</v>
      </c>
      <c r="K97" s="80">
        <v>20</v>
      </c>
      <c r="L97" s="81">
        <f t="shared" si="39"/>
        <v>25.352002200000001</v>
      </c>
      <c r="M97" s="82">
        <f t="shared" si="43"/>
        <v>0</v>
      </c>
      <c r="N97" s="82">
        <f t="shared" si="44"/>
        <v>0</v>
      </c>
      <c r="O97" s="82">
        <f>N97+'BM 001'!O97</f>
        <v>0</v>
      </c>
      <c r="P97" s="80">
        <f t="shared" si="45"/>
        <v>42614</v>
      </c>
      <c r="Q97" s="82">
        <f t="shared" si="46"/>
        <v>54017.51</v>
      </c>
      <c r="R97" s="82">
        <f t="shared" si="47"/>
        <v>54017.51</v>
      </c>
    </row>
    <row r="98" spans="2:20" s="34" customFormat="1" ht="34.799999999999997">
      <c r="B98" s="87" t="s">
        <v>199</v>
      </c>
      <c r="C98" s="88" t="s">
        <v>200</v>
      </c>
      <c r="D98" s="89" t="s">
        <v>152</v>
      </c>
      <c r="E98" s="90">
        <v>3031.6</v>
      </c>
      <c r="F98" s="91"/>
      <c r="G98" s="91"/>
      <c r="H98" s="91"/>
      <c r="I98" s="79">
        <f>SUM(G98:H98)+'BM 001'!I98</f>
        <v>0</v>
      </c>
      <c r="J98" s="91">
        <f t="shared" si="41"/>
        <v>3031.6</v>
      </c>
      <c r="K98" s="80">
        <v>19</v>
      </c>
      <c r="L98" s="81">
        <f t="shared" si="39"/>
        <v>24.084402090000001</v>
      </c>
      <c r="M98" s="82">
        <f t="shared" si="43"/>
        <v>0</v>
      </c>
      <c r="N98" s="82">
        <f t="shared" si="44"/>
        <v>0</v>
      </c>
      <c r="O98" s="82">
        <f>N98+'BM 001'!O98</f>
        <v>0</v>
      </c>
      <c r="P98" s="80">
        <f t="shared" si="45"/>
        <v>57600.4</v>
      </c>
      <c r="Q98" s="82">
        <f t="shared" si="46"/>
        <v>73014.27</v>
      </c>
      <c r="R98" s="82">
        <f t="shared" si="47"/>
        <v>73014.27</v>
      </c>
    </row>
    <row r="99" spans="2:20" s="34" customFormat="1" ht="34.799999999999997">
      <c r="B99" s="87" t="s">
        <v>201</v>
      </c>
      <c r="C99" s="88" t="s">
        <v>202</v>
      </c>
      <c r="D99" s="89" t="s">
        <v>152</v>
      </c>
      <c r="E99" s="90">
        <v>5608.9</v>
      </c>
      <c r="F99" s="91"/>
      <c r="G99" s="91"/>
      <c r="H99" s="91"/>
      <c r="I99" s="79">
        <f>SUM(G99:H99)+'BM 001'!I99</f>
        <v>0</v>
      </c>
      <c r="J99" s="91">
        <f t="shared" si="41"/>
        <v>5608.9</v>
      </c>
      <c r="K99" s="80">
        <v>17.5</v>
      </c>
      <c r="L99" s="81">
        <f t="shared" si="39"/>
        <v>22.183001924999999</v>
      </c>
      <c r="M99" s="82">
        <f t="shared" si="43"/>
        <v>0</v>
      </c>
      <c r="N99" s="82">
        <f t="shared" si="44"/>
        <v>0</v>
      </c>
      <c r="O99" s="82">
        <f>N99+'BM 001'!O99</f>
        <v>0</v>
      </c>
      <c r="P99" s="80">
        <f t="shared" si="45"/>
        <v>98155.75</v>
      </c>
      <c r="Q99" s="82">
        <f t="shared" si="46"/>
        <v>124422.23</v>
      </c>
      <c r="R99" s="82">
        <f t="shared" si="47"/>
        <v>124422.23</v>
      </c>
    </row>
    <row r="100" spans="2:20" s="34" customFormat="1" ht="34.799999999999997">
      <c r="B100" s="87" t="s">
        <v>203</v>
      </c>
      <c r="C100" s="88" t="s">
        <v>204</v>
      </c>
      <c r="D100" s="89" t="s">
        <v>152</v>
      </c>
      <c r="E100" s="90">
        <v>4215.2</v>
      </c>
      <c r="F100" s="91"/>
      <c r="G100" s="91"/>
      <c r="H100" s="91"/>
      <c r="I100" s="79">
        <f>SUM(G100:H100)+'BM 001'!I100</f>
        <v>0</v>
      </c>
      <c r="J100" s="91">
        <f t="shared" si="41"/>
        <v>4215.2</v>
      </c>
      <c r="K100" s="80">
        <v>16</v>
      </c>
      <c r="L100" s="81">
        <f t="shared" si="39"/>
        <v>20.281601760000001</v>
      </c>
      <c r="M100" s="82">
        <f t="shared" si="43"/>
        <v>0</v>
      </c>
      <c r="N100" s="82">
        <f t="shared" si="44"/>
        <v>0</v>
      </c>
      <c r="O100" s="82">
        <f>N100+'BM 001'!O100</f>
        <v>0</v>
      </c>
      <c r="P100" s="80">
        <f t="shared" si="45"/>
        <v>67443.199999999997</v>
      </c>
      <c r="Q100" s="82">
        <f t="shared" si="46"/>
        <v>85491</v>
      </c>
      <c r="R100" s="82">
        <f t="shared" si="47"/>
        <v>85491</v>
      </c>
    </row>
    <row r="101" spans="2:20" s="34" customFormat="1" ht="34.799999999999997">
      <c r="B101" s="87" t="s">
        <v>205</v>
      </c>
      <c r="C101" s="88" t="s">
        <v>206</v>
      </c>
      <c r="D101" s="89" t="s">
        <v>152</v>
      </c>
      <c r="E101" s="90">
        <v>3267</v>
      </c>
      <c r="F101" s="91"/>
      <c r="G101" s="91"/>
      <c r="H101" s="91"/>
      <c r="I101" s="79">
        <f>SUM(G101:H101)+'BM 001'!I101</f>
        <v>0</v>
      </c>
      <c r="J101" s="91">
        <f t="shared" si="41"/>
        <v>3267</v>
      </c>
      <c r="K101" s="80">
        <v>14.5</v>
      </c>
      <c r="L101" s="81">
        <f t="shared" si="39"/>
        <v>18.380201595000003</v>
      </c>
      <c r="M101" s="82">
        <f t="shared" si="43"/>
        <v>0</v>
      </c>
      <c r="N101" s="82">
        <f t="shared" si="44"/>
        <v>0</v>
      </c>
      <c r="O101" s="82">
        <f>N101+'BM 001'!O101</f>
        <v>0</v>
      </c>
      <c r="P101" s="80">
        <f t="shared" si="45"/>
        <v>47371.5</v>
      </c>
      <c r="Q101" s="82">
        <f t="shared" si="46"/>
        <v>60048.11</v>
      </c>
      <c r="R101" s="82">
        <f t="shared" si="47"/>
        <v>60048.11</v>
      </c>
      <c r="T101" s="96"/>
    </row>
    <row r="102" spans="2:20" s="34" customFormat="1" ht="34.799999999999997">
      <c r="B102" s="87" t="s">
        <v>207</v>
      </c>
      <c r="C102" s="88" t="s">
        <v>208</v>
      </c>
      <c r="D102" s="89" t="s">
        <v>152</v>
      </c>
      <c r="E102" s="90">
        <v>8421.6</v>
      </c>
      <c r="F102" s="91"/>
      <c r="G102" s="91"/>
      <c r="H102" s="91"/>
      <c r="I102" s="79">
        <f>SUM(G102:H102)+'BM 001'!I102</f>
        <v>0</v>
      </c>
      <c r="J102" s="91">
        <f t="shared" si="41"/>
        <v>8421.6</v>
      </c>
      <c r="K102" s="94">
        <v>14.5</v>
      </c>
      <c r="L102" s="81">
        <f t="shared" si="39"/>
        <v>18.380201595000003</v>
      </c>
      <c r="M102" s="82">
        <f t="shared" si="43"/>
        <v>0</v>
      </c>
      <c r="N102" s="82">
        <f t="shared" si="44"/>
        <v>0</v>
      </c>
      <c r="O102" s="82">
        <f>N102+'BM 001'!O102</f>
        <v>0</v>
      </c>
      <c r="P102" s="80">
        <f t="shared" si="45"/>
        <v>122113.20000000001</v>
      </c>
      <c r="Q102" s="82">
        <f t="shared" si="46"/>
        <v>154790.70000000001</v>
      </c>
      <c r="R102" s="82">
        <f t="shared" si="47"/>
        <v>154790.70000000001</v>
      </c>
      <c r="T102" s="96"/>
    </row>
    <row r="103" spans="2:20" s="34" customFormat="1" ht="34.799999999999997">
      <c r="B103" s="87" t="s">
        <v>209</v>
      </c>
      <c r="C103" s="88" t="s">
        <v>210</v>
      </c>
      <c r="D103" s="89" t="s">
        <v>152</v>
      </c>
      <c r="E103" s="92">
        <v>7144.5</v>
      </c>
      <c r="F103" s="91"/>
      <c r="G103" s="91"/>
      <c r="H103" s="91"/>
      <c r="I103" s="79">
        <f>SUM(G103:H103)+'BM 001'!I103</f>
        <v>0</v>
      </c>
      <c r="J103" s="91">
        <f t="shared" si="41"/>
        <v>7144.5</v>
      </c>
      <c r="K103" s="80">
        <v>14</v>
      </c>
      <c r="L103" s="81">
        <f t="shared" si="39"/>
        <v>17.746401540000001</v>
      </c>
      <c r="M103" s="82">
        <f t="shared" si="43"/>
        <v>0</v>
      </c>
      <c r="N103" s="82">
        <f t="shared" si="44"/>
        <v>0</v>
      </c>
      <c r="O103" s="82">
        <f>N103+'BM 001'!O103</f>
        <v>0</v>
      </c>
      <c r="P103" s="80">
        <f t="shared" si="45"/>
        <v>100023</v>
      </c>
      <c r="Q103" s="82">
        <f t="shared" si="46"/>
        <v>126789.16</v>
      </c>
      <c r="R103" s="82">
        <f t="shared" si="47"/>
        <v>126789.16</v>
      </c>
      <c r="T103" s="96"/>
    </row>
    <row r="104" spans="2:20" s="34" customFormat="1" ht="34.799999999999997">
      <c r="B104" s="87" t="s">
        <v>211</v>
      </c>
      <c r="C104" s="88" t="s">
        <v>212</v>
      </c>
      <c r="D104" s="89" t="s">
        <v>152</v>
      </c>
      <c r="E104" s="92">
        <v>6531.8</v>
      </c>
      <c r="F104" s="91"/>
      <c r="G104" s="91"/>
      <c r="H104" s="91"/>
      <c r="I104" s="79">
        <f>SUM(G104:H104)+'BM 001'!I104</f>
        <v>0</v>
      </c>
      <c r="J104" s="91">
        <f t="shared" si="41"/>
        <v>6531.8</v>
      </c>
      <c r="K104" s="95">
        <v>14</v>
      </c>
      <c r="L104" s="81">
        <f t="shared" si="39"/>
        <v>17.746401540000001</v>
      </c>
      <c r="M104" s="82">
        <f t="shared" si="43"/>
        <v>0</v>
      </c>
      <c r="N104" s="82">
        <f t="shared" si="44"/>
        <v>0</v>
      </c>
      <c r="O104" s="82">
        <f>N104+'BM 001'!O104</f>
        <v>0</v>
      </c>
      <c r="P104" s="80">
        <f t="shared" si="45"/>
        <v>91445.2</v>
      </c>
      <c r="Q104" s="82">
        <f t="shared" si="46"/>
        <v>115915.94</v>
      </c>
      <c r="R104" s="82">
        <f t="shared" si="47"/>
        <v>115915.94</v>
      </c>
      <c r="T104" s="96"/>
    </row>
    <row r="105" spans="2:20" s="34" customFormat="1" ht="23.4">
      <c r="B105" s="87" t="s">
        <v>213</v>
      </c>
      <c r="C105" s="88" t="s">
        <v>190</v>
      </c>
      <c r="D105" s="89" t="s">
        <v>63</v>
      </c>
      <c r="E105" s="92">
        <v>240</v>
      </c>
      <c r="F105" s="91"/>
      <c r="G105" s="91"/>
      <c r="H105" s="91"/>
      <c r="I105" s="79">
        <f>SUM(G105:H105)+'BM 001'!I105</f>
        <v>0</v>
      </c>
      <c r="J105" s="91">
        <f t="shared" si="41"/>
        <v>240</v>
      </c>
      <c r="K105" s="80">
        <v>30</v>
      </c>
      <c r="L105" s="81">
        <f t="shared" si="39"/>
        <v>38.028003300000002</v>
      </c>
      <c r="M105" s="82">
        <f t="shared" si="43"/>
        <v>0</v>
      </c>
      <c r="N105" s="82">
        <f t="shared" si="44"/>
        <v>0</v>
      </c>
      <c r="O105" s="82">
        <f>N105+'BM 001'!O105</f>
        <v>0</v>
      </c>
      <c r="P105" s="80">
        <f t="shared" si="45"/>
        <v>7200</v>
      </c>
      <c r="Q105" s="82">
        <f t="shared" si="46"/>
        <v>9126.7199999999993</v>
      </c>
      <c r="R105" s="82">
        <f t="shared" si="47"/>
        <v>9126.7199999999993</v>
      </c>
      <c r="T105" s="96"/>
    </row>
    <row r="106" spans="2:20" s="34" customFormat="1" ht="23.4">
      <c r="B106" s="87" t="s">
        <v>214</v>
      </c>
      <c r="C106" s="88" t="s">
        <v>215</v>
      </c>
      <c r="D106" s="89" t="s">
        <v>169</v>
      </c>
      <c r="E106" s="92">
        <v>364.43</v>
      </c>
      <c r="F106" s="91"/>
      <c r="G106" s="91"/>
      <c r="H106" s="91"/>
      <c r="I106" s="79">
        <f>SUM(G106:H106)+'BM 001'!I106</f>
        <v>0</v>
      </c>
      <c r="J106" s="91">
        <f t="shared" si="41"/>
        <v>364.43</v>
      </c>
      <c r="K106" s="95">
        <v>750</v>
      </c>
      <c r="L106" s="81">
        <f t="shared" si="39"/>
        <v>950.70008250000001</v>
      </c>
      <c r="M106" s="82">
        <f t="shared" si="43"/>
        <v>0</v>
      </c>
      <c r="N106" s="82">
        <f t="shared" si="44"/>
        <v>0</v>
      </c>
      <c r="O106" s="82">
        <f>N106+'BM 001'!O106</f>
        <v>0</v>
      </c>
      <c r="P106" s="80">
        <f t="shared" si="45"/>
        <v>273322.5</v>
      </c>
      <c r="Q106" s="82">
        <f t="shared" si="46"/>
        <v>346463.63</v>
      </c>
      <c r="R106" s="82">
        <f t="shared" si="47"/>
        <v>346463.63</v>
      </c>
      <c r="T106" s="96"/>
    </row>
    <row r="107" spans="2:20" s="34" customFormat="1" ht="13.2">
      <c r="B107" s="66" t="s">
        <v>216</v>
      </c>
      <c r="C107" s="67" t="s">
        <v>217</v>
      </c>
      <c r="D107" s="68"/>
      <c r="E107" s="69"/>
      <c r="F107" s="70"/>
      <c r="G107" s="70"/>
      <c r="H107" s="70"/>
      <c r="I107" s="70">
        <f>SUM(G107:H107)+'BM 001'!I107</f>
        <v>0</v>
      </c>
      <c r="J107" s="70">
        <f t="shared" si="41"/>
        <v>0</v>
      </c>
      <c r="K107" s="71"/>
      <c r="L107" s="71">
        <f t="shared" si="39"/>
        <v>0</v>
      </c>
      <c r="M107" s="73">
        <f t="shared" ref="M107:R107" si="48">SUM(M108:M119)</f>
        <v>0</v>
      </c>
      <c r="N107" s="73">
        <f t="shared" si="48"/>
        <v>0</v>
      </c>
      <c r="O107" s="73">
        <f t="shared" si="48"/>
        <v>0</v>
      </c>
      <c r="P107" s="73">
        <f t="shared" si="48"/>
        <v>951249.7</v>
      </c>
      <c r="Q107" s="73">
        <f t="shared" si="48"/>
        <v>1205804.17</v>
      </c>
      <c r="R107" s="73">
        <f t="shared" si="48"/>
        <v>1205804.17</v>
      </c>
      <c r="T107" s="96"/>
    </row>
    <row r="108" spans="2:20" s="34" customFormat="1" ht="34.799999999999997">
      <c r="B108" s="87" t="s">
        <v>218</v>
      </c>
      <c r="C108" s="88" t="s">
        <v>219</v>
      </c>
      <c r="D108" s="89" t="s">
        <v>79</v>
      </c>
      <c r="E108" s="92">
        <v>2299</v>
      </c>
      <c r="F108" s="91"/>
      <c r="G108" s="91"/>
      <c r="H108" s="91"/>
      <c r="I108" s="79">
        <f>SUM(G108:H108)+'BM 001'!I108</f>
        <v>0</v>
      </c>
      <c r="J108" s="91">
        <f t="shared" si="41"/>
        <v>2299</v>
      </c>
      <c r="K108" s="80">
        <v>60</v>
      </c>
      <c r="L108" s="81">
        <f t="shared" si="39"/>
        <v>76.056006600000003</v>
      </c>
      <c r="M108" s="82">
        <f t="shared" ref="M108:M119" si="49">TRUNC(F108*L108,2)</f>
        <v>0</v>
      </c>
      <c r="N108" s="82">
        <f t="shared" ref="N108:N119" si="50">TRUNC(G108*L108,2)</f>
        <v>0</v>
      </c>
      <c r="O108" s="82">
        <f>N108+'BM 001'!O108</f>
        <v>0</v>
      </c>
      <c r="P108" s="80">
        <f t="shared" ref="P108:P119" si="51">E108*K108</f>
        <v>137940</v>
      </c>
      <c r="Q108" s="82">
        <f t="shared" ref="Q108:Q119" si="52">TRUNC(E108*L108,2)</f>
        <v>174852.75</v>
      </c>
      <c r="R108" s="82">
        <f t="shared" ref="R108:R119" si="53">Q108-O108</f>
        <v>174852.75</v>
      </c>
      <c r="T108" s="96"/>
    </row>
    <row r="109" spans="2:20" s="34" customFormat="1" ht="34.799999999999997">
      <c r="B109" s="87" t="s">
        <v>220</v>
      </c>
      <c r="C109" s="88" t="s">
        <v>198</v>
      </c>
      <c r="D109" s="89" t="s">
        <v>152</v>
      </c>
      <c r="E109" s="90">
        <v>347.6</v>
      </c>
      <c r="F109" s="91"/>
      <c r="G109" s="91"/>
      <c r="H109" s="91"/>
      <c r="I109" s="79">
        <f>SUM(G109:H109)+'BM 001'!I109</f>
        <v>0</v>
      </c>
      <c r="J109" s="91">
        <f t="shared" si="41"/>
        <v>347.6</v>
      </c>
      <c r="K109" s="80">
        <v>20</v>
      </c>
      <c r="L109" s="81">
        <f t="shared" si="39"/>
        <v>25.352002200000001</v>
      </c>
      <c r="M109" s="82">
        <f t="shared" si="49"/>
        <v>0</v>
      </c>
      <c r="N109" s="82">
        <f t="shared" si="50"/>
        <v>0</v>
      </c>
      <c r="O109" s="82">
        <f>N109+'BM 001'!O109</f>
        <v>0</v>
      </c>
      <c r="P109" s="80">
        <f t="shared" si="51"/>
        <v>6952</v>
      </c>
      <c r="Q109" s="82">
        <f t="shared" si="52"/>
        <v>8812.35</v>
      </c>
      <c r="R109" s="82">
        <f t="shared" si="53"/>
        <v>8812.35</v>
      </c>
      <c r="T109" s="96"/>
    </row>
    <row r="110" spans="2:20" s="34" customFormat="1" ht="34.799999999999997">
      <c r="B110" s="87" t="s">
        <v>221</v>
      </c>
      <c r="C110" s="88" t="s">
        <v>222</v>
      </c>
      <c r="D110" s="89" t="s">
        <v>152</v>
      </c>
      <c r="E110" s="90">
        <v>3626.7</v>
      </c>
      <c r="F110" s="91"/>
      <c r="G110" s="91"/>
      <c r="H110" s="91"/>
      <c r="I110" s="79">
        <f>SUM(G110:H110)+'BM 001'!I110</f>
        <v>0</v>
      </c>
      <c r="J110" s="91">
        <f t="shared" si="41"/>
        <v>3626.7</v>
      </c>
      <c r="K110" s="80">
        <v>19</v>
      </c>
      <c r="L110" s="81">
        <f t="shared" si="39"/>
        <v>24.084402090000001</v>
      </c>
      <c r="M110" s="82">
        <f t="shared" si="49"/>
        <v>0</v>
      </c>
      <c r="N110" s="82">
        <f t="shared" si="50"/>
        <v>0</v>
      </c>
      <c r="O110" s="82">
        <f>N110+'BM 001'!O110</f>
        <v>0</v>
      </c>
      <c r="P110" s="80">
        <f t="shared" si="51"/>
        <v>68907.3</v>
      </c>
      <c r="Q110" s="82">
        <f t="shared" si="52"/>
        <v>87346.9</v>
      </c>
      <c r="R110" s="82">
        <f t="shared" si="53"/>
        <v>87346.9</v>
      </c>
      <c r="T110" s="96"/>
    </row>
    <row r="111" spans="2:20" s="34" customFormat="1" ht="34.799999999999997">
      <c r="B111" s="87" t="s">
        <v>223</v>
      </c>
      <c r="C111" s="88" t="s">
        <v>202</v>
      </c>
      <c r="D111" s="89" t="s">
        <v>152</v>
      </c>
      <c r="E111" s="90">
        <v>1762.2</v>
      </c>
      <c r="F111" s="91"/>
      <c r="G111" s="91"/>
      <c r="H111" s="91"/>
      <c r="I111" s="79">
        <f>SUM(G111:H111)+'BM 001'!I111</f>
        <v>0</v>
      </c>
      <c r="J111" s="91">
        <f t="shared" si="41"/>
        <v>1762.2</v>
      </c>
      <c r="K111" s="80">
        <v>17.5</v>
      </c>
      <c r="L111" s="81">
        <f t="shared" si="39"/>
        <v>22.183001924999999</v>
      </c>
      <c r="M111" s="82">
        <f t="shared" si="49"/>
        <v>0</v>
      </c>
      <c r="N111" s="82">
        <f t="shared" si="50"/>
        <v>0</v>
      </c>
      <c r="O111" s="82">
        <f>N111+'BM 001'!O111</f>
        <v>0</v>
      </c>
      <c r="P111" s="80">
        <f t="shared" si="51"/>
        <v>30838.5</v>
      </c>
      <c r="Q111" s="82">
        <f t="shared" si="52"/>
        <v>39090.879999999997</v>
      </c>
      <c r="R111" s="82">
        <f t="shared" si="53"/>
        <v>39090.879999999997</v>
      </c>
    </row>
    <row r="112" spans="2:20" s="34" customFormat="1" ht="34.799999999999997">
      <c r="B112" s="87" t="s">
        <v>224</v>
      </c>
      <c r="C112" s="88" t="s">
        <v>204</v>
      </c>
      <c r="D112" s="89" t="s">
        <v>152</v>
      </c>
      <c r="E112" s="90">
        <v>542.29999999999995</v>
      </c>
      <c r="F112" s="91"/>
      <c r="G112" s="91"/>
      <c r="H112" s="91"/>
      <c r="I112" s="79">
        <f>SUM(G112:H112)+'BM 001'!I112</f>
        <v>0</v>
      </c>
      <c r="J112" s="91">
        <f t="shared" si="41"/>
        <v>542.29999999999995</v>
      </c>
      <c r="K112" s="80">
        <v>16</v>
      </c>
      <c r="L112" s="81">
        <f t="shared" si="39"/>
        <v>20.281601760000001</v>
      </c>
      <c r="M112" s="82">
        <f t="shared" si="49"/>
        <v>0</v>
      </c>
      <c r="N112" s="82">
        <f t="shared" si="50"/>
        <v>0</v>
      </c>
      <c r="O112" s="82">
        <f>N112+'BM 001'!O112</f>
        <v>0</v>
      </c>
      <c r="P112" s="80">
        <f t="shared" si="51"/>
        <v>8676.7999999999993</v>
      </c>
      <c r="Q112" s="82">
        <f t="shared" si="52"/>
        <v>10998.71</v>
      </c>
      <c r="R112" s="82">
        <f t="shared" si="53"/>
        <v>10998.71</v>
      </c>
      <c r="T112" s="83"/>
    </row>
    <row r="113" spans="2:20" s="34" customFormat="1" ht="34.799999999999997">
      <c r="B113" s="87" t="s">
        <v>225</v>
      </c>
      <c r="C113" s="88" t="s">
        <v>206</v>
      </c>
      <c r="D113" s="89" t="s">
        <v>152</v>
      </c>
      <c r="E113" s="90">
        <v>3532.1</v>
      </c>
      <c r="F113" s="91"/>
      <c r="G113" s="91"/>
      <c r="H113" s="91"/>
      <c r="I113" s="79">
        <f>SUM(G113:H113)+'BM 001'!I113</f>
        <v>0</v>
      </c>
      <c r="J113" s="91">
        <f t="shared" si="41"/>
        <v>3532.1</v>
      </c>
      <c r="K113" s="80">
        <v>14.5</v>
      </c>
      <c r="L113" s="81">
        <f t="shared" si="39"/>
        <v>18.380201595000003</v>
      </c>
      <c r="M113" s="82">
        <f t="shared" si="49"/>
        <v>0</v>
      </c>
      <c r="N113" s="82">
        <f t="shared" si="50"/>
        <v>0</v>
      </c>
      <c r="O113" s="82">
        <f>N113+'BM 001'!O113</f>
        <v>0</v>
      </c>
      <c r="P113" s="80">
        <f t="shared" si="51"/>
        <v>51215.45</v>
      </c>
      <c r="Q113" s="82">
        <f t="shared" si="52"/>
        <v>64920.71</v>
      </c>
      <c r="R113" s="82">
        <f t="shared" si="53"/>
        <v>64920.71</v>
      </c>
      <c r="T113" s="83"/>
    </row>
    <row r="114" spans="2:20" s="34" customFormat="1" ht="34.799999999999997">
      <c r="B114" s="87" t="s">
        <v>226</v>
      </c>
      <c r="C114" s="88" t="s">
        <v>208</v>
      </c>
      <c r="D114" s="89" t="s">
        <v>152</v>
      </c>
      <c r="E114" s="90">
        <v>7313.9</v>
      </c>
      <c r="F114" s="91"/>
      <c r="G114" s="91"/>
      <c r="H114" s="91"/>
      <c r="I114" s="79">
        <f>SUM(G114:H114)+'BM 001'!I114</f>
        <v>0</v>
      </c>
      <c r="J114" s="91">
        <f t="shared" si="41"/>
        <v>7313.9</v>
      </c>
      <c r="K114" s="94">
        <v>14.5</v>
      </c>
      <c r="L114" s="81">
        <f t="shared" si="39"/>
        <v>18.380201595000003</v>
      </c>
      <c r="M114" s="82">
        <f t="shared" si="49"/>
        <v>0</v>
      </c>
      <c r="N114" s="82">
        <f t="shared" si="50"/>
        <v>0</v>
      </c>
      <c r="O114" s="82">
        <f>N114+'BM 001'!O114</f>
        <v>0</v>
      </c>
      <c r="P114" s="80">
        <f t="shared" si="51"/>
        <v>106051.54999999999</v>
      </c>
      <c r="Q114" s="82">
        <f t="shared" si="52"/>
        <v>134430.95000000001</v>
      </c>
      <c r="R114" s="82">
        <f t="shared" si="53"/>
        <v>134430.95000000001</v>
      </c>
      <c r="T114" s="83"/>
    </row>
    <row r="115" spans="2:20" s="34" customFormat="1" ht="34.799999999999997">
      <c r="B115" s="87" t="s">
        <v>227</v>
      </c>
      <c r="C115" s="88" t="s">
        <v>210</v>
      </c>
      <c r="D115" s="89" t="s">
        <v>152</v>
      </c>
      <c r="E115" s="92">
        <v>4513.3</v>
      </c>
      <c r="F115" s="91"/>
      <c r="G115" s="91"/>
      <c r="H115" s="91"/>
      <c r="I115" s="79">
        <f>SUM(G115:H115)+'BM 001'!I115</f>
        <v>0</v>
      </c>
      <c r="J115" s="91">
        <f t="shared" si="41"/>
        <v>4513.3</v>
      </c>
      <c r="K115" s="80">
        <v>14</v>
      </c>
      <c r="L115" s="81">
        <f t="shared" si="39"/>
        <v>17.746401540000001</v>
      </c>
      <c r="M115" s="82">
        <f t="shared" si="49"/>
        <v>0</v>
      </c>
      <c r="N115" s="82">
        <f t="shared" si="50"/>
        <v>0</v>
      </c>
      <c r="O115" s="82">
        <f>N115+'BM 001'!O115</f>
        <v>0</v>
      </c>
      <c r="P115" s="80">
        <f t="shared" si="51"/>
        <v>63186.200000000004</v>
      </c>
      <c r="Q115" s="82">
        <f t="shared" si="52"/>
        <v>80094.83</v>
      </c>
      <c r="R115" s="82">
        <f t="shared" si="53"/>
        <v>80094.83</v>
      </c>
      <c r="T115" s="83"/>
    </row>
    <row r="116" spans="2:20" s="34" customFormat="1" ht="34.799999999999997">
      <c r="B116" s="87" t="s">
        <v>228</v>
      </c>
      <c r="C116" s="88" t="s">
        <v>212</v>
      </c>
      <c r="D116" s="89" t="s">
        <v>152</v>
      </c>
      <c r="E116" s="92">
        <v>14626.7</v>
      </c>
      <c r="F116" s="91"/>
      <c r="G116" s="91"/>
      <c r="H116" s="91"/>
      <c r="I116" s="79">
        <f>SUM(G116:H116)+'BM 001'!I116</f>
        <v>0</v>
      </c>
      <c r="J116" s="91">
        <f t="shared" si="41"/>
        <v>14626.7</v>
      </c>
      <c r="K116" s="95">
        <v>14</v>
      </c>
      <c r="L116" s="81">
        <f t="shared" si="39"/>
        <v>17.746401540000001</v>
      </c>
      <c r="M116" s="82">
        <f t="shared" si="49"/>
        <v>0</v>
      </c>
      <c r="N116" s="82">
        <f t="shared" si="50"/>
        <v>0</v>
      </c>
      <c r="O116" s="82">
        <f>N116+'BM 001'!O116</f>
        <v>0</v>
      </c>
      <c r="P116" s="80">
        <f t="shared" si="51"/>
        <v>204773.80000000002</v>
      </c>
      <c r="Q116" s="82">
        <f t="shared" si="52"/>
        <v>259571.29</v>
      </c>
      <c r="R116" s="82">
        <f t="shared" si="53"/>
        <v>259571.29</v>
      </c>
      <c r="T116" s="83"/>
    </row>
    <row r="117" spans="2:20" s="34" customFormat="1" ht="22.8">
      <c r="B117" s="87" t="s">
        <v>229</v>
      </c>
      <c r="C117" s="88" t="s">
        <v>230</v>
      </c>
      <c r="D117" s="89" t="s">
        <v>231</v>
      </c>
      <c r="E117" s="92">
        <v>3177.02</v>
      </c>
      <c r="F117" s="91"/>
      <c r="G117" s="91"/>
      <c r="H117" s="91"/>
      <c r="I117" s="79">
        <f>SUM(G117:H117)+'BM 001'!I117</f>
        <v>0</v>
      </c>
      <c r="J117" s="91">
        <f t="shared" si="41"/>
        <v>3177.02</v>
      </c>
      <c r="K117" s="80">
        <v>30</v>
      </c>
      <c r="L117" s="81">
        <f t="shared" si="39"/>
        <v>38.028003300000002</v>
      </c>
      <c r="M117" s="82">
        <f t="shared" si="49"/>
        <v>0</v>
      </c>
      <c r="N117" s="82">
        <f t="shared" si="50"/>
        <v>0</v>
      </c>
      <c r="O117" s="82">
        <f>N117+'BM 001'!O117</f>
        <v>0</v>
      </c>
      <c r="P117" s="80">
        <f t="shared" si="51"/>
        <v>95310.6</v>
      </c>
      <c r="Q117" s="82">
        <f t="shared" si="52"/>
        <v>120815.72</v>
      </c>
      <c r="R117" s="82">
        <f t="shared" si="53"/>
        <v>120815.72</v>
      </c>
      <c r="T117" s="83"/>
    </row>
    <row r="118" spans="2:20" s="34" customFormat="1" ht="23.4">
      <c r="B118" s="87" t="s">
        <v>232</v>
      </c>
      <c r="C118" s="88" t="s">
        <v>190</v>
      </c>
      <c r="D118" s="89" t="s">
        <v>63</v>
      </c>
      <c r="E118" s="92">
        <v>240</v>
      </c>
      <c r="F118" s="91"/>
      <c r="G118" s="91"/>
      <c r="H118" s="91"/>
      <c r="I118" s="79">
        <f>SUM(G118:H118)+'BM 001'!I118</f>
        <v>0</v>
      </c>
      <c r="J118" s="91">
        <f t="shared" si="41"/>
        <v>240</v>
      </c>
      <c r="K118" s="80">
        <v>30</v>
      </c>
      <c r="L118" s="81">
        <f t="shared" si="39"/>
        <v>38.028003300000002</v>
      </c>
      <c r="M118" s="82">
        <f t="shared" si="49"/>
        <v>0</v>
      </c>
      <c r="N118" s="82">
        <f t="shared" si="50"/>
        <v>0</v>
      </c>
      <c r="O118" s="82">
        <f>N118+'BM 001'!O118</f>
        <v>0</v>
      </c>
      <c r="P118" s="80">
        <f t="shared" si="51"/>
        <v>7200</v>
      </c>
      <c r="Q118" s="82">
        <f t="shared" si="52"/>
        <v>9126.7199999999993</v>
      </c>
      <c r="R118" s="82">
        <f t="shared" si="53"/>
        <v>9126.7199999999993</v>
      </c>
      <c r="T118" s="83"/>
    </row>
    <row r="119" spans="2:20" s="34" customFormat="1" ht="23.4">
      <c r="B119" s="87" t="s">
        <v>233</v>
      </c>
      <c r="C119" s="88" t="s">
        <v>215</v>
      </c>
      <c r="D119" s="89" t="s">
        <v>169</v>
      </c>
      <c r="E119" s="92">
        <v>226.93</v>
      </c>
      <c r="F119" s="91"/>
      <c r="G119" s="91"/>
      <c r="H119" s="91"/>
      <c r="I119" s="79">
        <f>SUM(G119:H119)+'BM 001'!I119</f>
        <v>0</v>
      </c>
      <c r="J119" s="91">
        <f t="shared" si="41"/>
        <v>226.93</v>
      </c>
      <c r="K119" s="95">
        <v>750</v>
      </c>
      <c r="L119" s="81">
        <f t="shared" si="39"/>
        <v>950.70008250000001</v>
      </c>
      <c r="M119" s="82">
        <f t="shared" si="49"/>
        <v>0</v>
      </c>
      <c r="N119" s="82">
        <f t="shared" si="50"/>
        <v>0</v>
      </c>
      <c r="O119" s="82">
        <f>N119+'BM 001'!O119</f>
        <v>0</v>
      </c>
      <c r="P119" s="80">
        <f t="shared" si="51"/>
        <v>170197.5</v>
      </c>
      <c r="Q119" s="82">
        <f t="shared" si="52"/>
        <v>215742.36</v>
      </c>
      <c r="R119" s="82">
        <f t="shared" si="53"/>
        <v>215742.36</v>
      </c>
      <c r="T119" s="83"/>
    </row>
    <row r="120" spans="2:20" s="34" customFormat="1" ht="13.2">
      <c r="B120" s="66" t="s">
        <v>234</v>
      </c>
      <c r="C120" s="67" t="s">
        <v>235</v>
      </c>
      <c r="D120" s="68"/>
      <c r="E120" s="69"/>
      <c r="F120" s="70"/>
      <c r="G120" s="70"/>
      <c r="H120" s="70"/>
      <c r="I120" s="70">
        <f>SUM(G120:H120)+'BM 001'!I120</f>
        <v>0</v>
      </c>
      <c r="J120" s="70">
        <f t="shared" si="41"/>
        <v>0</v>
      </c>
      <c r="K120" s="71"/>
      <c r="L120" s="71">
        <f t="shared" si="39"/>
        <v>0</v>
      </c>
      <c r="M120" s="73">
        <f t="shared" ref="M120:R120" si="54">SUM(M121:M130)</f>
        <v>0</v>
      </c>
      <c r="N120" s="73">
        <f t="shared" si="54"/>
        <v>0</v>
      </c>
      <c r="O120" s="73">
        <f t="shared" si="54"/>
        <v>0</v>
      </c>
      <c r="P120" s="73">
        <f t="shared" si="54"/>
        <v>2218671.0499999998</v>
      </c>
      <c r="Q120" s="73">
        <f t="shared" si="54"/>
        <v>2812387.62</v>
      </c>
      <c r="R120" s="73">
        <f t="shared" si="54"/>
        <v>2812387.62</v>
      </c>
      <c r="T120" s="83"/>
    </row>
    <row r="121" spans="2:20" s="34" customFormat="1" ht="46.2">
      <c r="B121" s="87" t="s">
        <v>236</v>
      </c>
      <c r="C121" s="88" t="s">
        <v>237</v>
      </c>
      <c r="D121" s="89" t="s">
        <v>79</v>
      </c>
      <c r="E121" s="92">
        <v>770.47</v>
      </c>
      <c r="F121" s="91"/>
      <c r="G121" s="91"/>
      <c r="H121" s="91"/>
      <c r="I121" s="79">
        <f>SUM(G121:H121)+'BM 001'!I121</f>
        <v>0</v>
      </c>
      <c r="J121" s="91">
        <f t="shared" si="41"/>
        <v>770.47</v>
      </c>
      <c r="K121" s="80">
        <v>130</v>
      </c>
      <c r="L121" s="81">
        <f t="shared" si="39"/>
        <v>164.78801430000001</v>
      </c>
      <c r="M121" s="82">
        <f t="shared" ref="M121:M130" si="55">TRUNC(F121*L121,2)</f>
        <v>0</v>
      </c>
      <c r="N121" s="82">
        <f t="shared" ref="N121:N130" si="56">TRUNC(G121*L121,2)</f>
        <v>0</v>
      </c>
      <c r="O121" s="82">
        <f>N121+'BM 001'!O121</f>
        <v>0</v>
      </c>
      <c r="P121" s="80">
        <f t="shared" ref="P121:P130" si="57">E121*K121</f>
        <v>100161.1</v>
      </c>
      <c r="Q121" s="82">
        <f t="shared" ref="Q121:Q130" si="58">TRUNC(E121*L121,2)</f>
        <v>126964.22</v>
      </c>
      <c r="R121" s="82">
        <f t="shared" ref="R121:R130" si="59">Q121-O121</f>
        <v>126964.22</v>
      </c>
      <c r="T121" s="83"/>
    </row>
    <row r="122" spans="2:20" s="34" customFormat="1" ht="46.2">
      <c r="B122" s="87" t="s">
        <v>238</v>
      </c>
      <c r="C122" s="88" t="s">
        <v>239</v>
      </c>
      <c r="D122" s="89" t="s">
        <v>79</v>
      </c>
      <c r="E122" s="92">
        <v>7163.62</v>
      </c>
      <c r="F122" s="91"/>
      <c r="G122" s="91"/>
      <c r="H122" s="91"/>
      <c r="I122" s="79">
        <f>SUM(G122:H122)+'BM 001'!I122</f>
        <v>0</v>
      </c>
      <c r="J122" s="91">
        <f t="shared" si="41"/>
        <v>7163.62</v>
      </c>
      <c r="K122" s="80">
        <v>130</v>
      </c>
      <c r="L122" s="81">
        <f t="shared" si="39"/>
        <v>164.78801430000001</v>
      </c>
      <c r="M122" s="82">
        <f t="shared" si="55"/>
        <v>0</v>
      </c>
      <c r="N122" s="82">
        <f t="shared" si="56"/>
        <v>0</v>
      </c>
      <c r="O122" s="82">
        <f>N122+'BM 001'!O122</f>
        <v>0</v>
      </c>
      <c r="P122" s="80">
        <f t="shared" si="57"/>
        <v>931270.6</v>
      </c>
      <c r="Q122" s="82">
        <f t="shared" si="58"/>
        <v>1180478.71</v>
      </c>
      <c r="R122" s="82">
        <f t="shared" si="59"/>
        <v>1180478.71</v>
      </c>
      <c r="T122" s="83"/>
    </row>
    <row r="123" spans="2:20" s="34" customFormat="1" ht="34.799999999999997">
      <c r="B123" s="87" t="s">
        <v>240</v>
      </c>
      <c r="C123" s="88" t="s">
        <v>241</v>
      </c>
      <c r="D123" s="89" t="s">
        <v>152</v>
      </c>
      <c r="E123" s="92">
        <v>2362.8000000000002</v>
      </c>
      <c r="F123" s="91"/>
      <c r="G123" s="91"/>
      <c r="H123" s="91"/>
      <c r="I123" s="79">
        <f>SUM(G123:H123)+'BM 001'!I123</f>
        <v>0</v>
      </c>
      <c r="J123" s="91">
        <f t="shared" si="41"/>
        <v>2362.8000000000002</v>
      </c>
      <c r="K123" s="80">
        <v>19</v>
      </c>
      <c r="L123" s="81">
        <f t="shared" si="39"/>
        <v>24.084402090000001</v>
      </c>
      <c r="M123" s="82">
        <f t="shared" si="55"/>
        <v>0</v>
      </c>
      <c r="N123" s="82">
        <f t="shared" si="56"/>
        <v>0</v>
      </c>
      <c r="O123" s="82">
        <f>N123+'BM 001'!O123</f>
        <v>0</v>
      </c>
      <c r="P123" s="80">
        <f t="shared" si="57"/>
        <v>44893.200000000004</v>
      </c>
      <c r="Q123" s="82">
        <f t="shared" si="58"/>
        <v>56906.62</v>
      </c>
      <c r="R123" s="82">
        <f t="shared" si="59"/>
        <v>56906.62</v>
      </c>
      <c r="T123" s="83"/>
    </row>
    <row r="124" spans="2:20" s="34" customFormat="1" ht="34.799999999999997">
      <c r="B124" s="87" t="s">
        <v>242</v>
      </c>
      <c r="C124" s="88" t="s">
        <v>243</v>
      </c>
      <c r="D124" s="89" t="s">
        <v>152</v>
      </c>
      <c r="E124" s="90">
        <v>602.79999999999995</v>
      </c>
      <c r="F124" s="91"/>
      <c r="G124" s="91"/>
      <c r="H124" s="91"/>
      <c r="I124" s="79">
        <f>SUM(G124:H124)+'BM 001'!I124</f>
        <v>0</v>
      </c>
      <c r="J124" s="91">
        <f t="shared" si="41"/>
        <v>602.79999999999995</v>
      </c>
      <c r="K124" s="80">
        <v>17.5</v>
      </c>
      <c r="L124" s="81">
        <f t="shared" si="39"/>
        <v>22.183001924999999</v>
      </c>
      <c r="M124" s="82">
        <f t="shared" si="55"/>
        <v>0</v>
      </c>
      <c r="N124" s="82">
        <f t="shared" si="56"/>
        <v>0</v>
      </c>
      <c r="O124" s="82">
        <f>N124+'BM 001'!O124</f>
        <v>0</v>
      </c>
      <c r="P124" s="80">
        <f t="shared" si="57"/>
        <v>10549</v>
      </c>
      <c r="Q124" s="82">
        <f t="shared" si="58"/>
        <v>13371.91</v>
      </c>
      <c r="R124" s="82">
        <f t="shared" si="59"/>
        <v>13371.91</v>
      </c>
      <c r="T124" s="83"/>
    </row>
    <row r="125" spans="2:20" s="34" customFormat="1" ht="34.799999999999997">
      <c r="B125" s="87" t="s">
        <v>244</v>
      </c>
      <c r="C125" s="88" t="s">
        <v>245</v>
      </c>
      <c r="D125" s="89" t="s">
        <v>152</v>
      </c>
      <c r="E125" s="90">
        <v>3562.9</v>
      </c>
      <c r="F125" s="91"/>
      <c r="G125" s="91"/>
      <c r="H125" s="91"/>
      <c r="I125" s="79">
        <f>SUM(G125:H125)+'BM 001'!I125</f>
        <v>0</v>
      </c>
      <c r="J125" s="91">
        <f t="shared" si="41"/>
        <v>3562.9</v>
      </c>
      <c r="K125" s="80">
        <v>16</v>
      </c>
      <c r="L125" s="81">
        <f t="shared" si="39"/>
        <v>20.281601760000001</v>
      </c>
      <c r="M125" s="82">
        <f t="shared" si="55"/>
        <v>0</v>
      </c>
      <c r="N125" s="82">
        <f t="shared" si="56"/>
        <v>0</v>
      </c>
      <c r="O125" s="82">
        <f>N125+'BM 001'!O125</f>
        <v>0</v>
      </c>
      <c r="P125" s="80">
        <f t="shared" si="57"/>
        <v>57006.400000000001</v>
      </c>
      <c r="Q125" s="82">
        <f t="shared" si="58"/>
        <v>72261.31</v>
      </c>
      <c r="R125" s="82">
        <f t="shared" si="59"/>
        <v>72261.31</v>
      </c>
    </row>
    <row r="126" spans="2:20" s="34" customFormat="1" ht="34.799999999999997">
      <c r="B126" s="87" t="s">
        <v>246</v>
      </c>
      <c r="C126" s="88" t="s">
        <v>247</v>
      </c>
      <c r="D126" s="89" t="s">
        <v>152</v>
      </c>
      <c r="E126" s="90">
        <v>8278.6</v>
      </c>
      <c r="F126" s="91"/>
      <c r="G126" s="91"/>
      <c r="H126" s="91"/>
      <c r="I126" s="79">
        <f>SUM(G126:H126)+'BM 001'!I126</f>
        <v>0</v>
      </c>
      <c r="J126" s="91">
        <f t="shared" si="41"/>
        <v>8278.6</v>
      </c>
      <c r="K126" s="80">
        <v>14.5</v>
      </c>
      <c r="L126" s="81">
        <f t="shared" si="39"/>
        <v>18.380201595000003</v>
      </c>
      <c r="M126" s="82">
        <f t="shared" si="55"/>
        <v>0</v>
      </c>
      <c r="N126" s="82">
        <f t="shared" si="56"/>
        <v>0</v>
      </c>
      <c r="O126" s="82">
        <f>N126+'BM 001'!O126</f>
        <v>0</v>
      </c>
      <c r="P126" s="80">
        <f t="shared" si="57"/>
        <v>120039.70000000001</v>
      </c>
      <c r="Q126" s="82">
        <f t="shared" si="58"/>
        <v>152162.32999999999</v>
      </c>
      <c r="R126" s="82">
        <f t="shared" si="59"/>
        <v>152162.32999999999</v>
      </c>
    </row>
    <row r="127" spans="2:20" s="34" customFormat="1" ht="34.799999999999997">
      <c r="B127" s="87" t="s">
        <v>248</v>
      </c>
      <c r="C127" s="88" t="s">
        <v>249</v>
      </c>
      <c r="D127" s="89" t="s">
        <v>152</v>
      </c>
      <c r="E127" s="90">
        <v>8114.7</v>
      </c>
      <c r="F127" s="91"/>
      <c r="G127" s="91"/>
      <c r="H127" s="91"/>
      <c r="I127" s="79">
        <f>SUM(G127:H127)+'BM 001'!I127</f>
        <v>0</v>
      </c>
      <c r="J127" s="91">
        <f t="shared" si="41"/>
        <v>8114.7</v>
      </c>
      <c r="K127" s="94">
        <v>14.5</v>
      </c>
      <c r="L127" s="81">
        <f t="shared" si="39"/>
        <v>18.380201595000003</v>
      </c>
      <c r="M127" s="82">
        <f t="shared" si="55"/>
        <v>0</v>
      </c>
      <c r="N127" s="82">
        <f t="shared" si="56"/>
        <v>0</v>
      </c>
      <c r="O127" s="82">
        <f>N127+'BM 001'!O127</f>
        <v>0</v>
      </c>
      <c r="P127" s="80">
        <f t="shared" si="57"/>
        <v>117663.15</v>
      </c>
      <c r="Q127" s="82">
        <f t="shared" si="58"/>
        <v>149149.82</v>
      </c>
      <c r="R127" s="82">
        <f t="shared" si="59"/>
        <v>149149.82</v>
      </c>
    </row>
    <row r="128" spans="2:20" s="34" customFormat="1" ht="34.799999999999997">
      <c r="B128" s="87" t="s">
        <v>250</v>
      </c>
      <c r="C128" s="88" t="s">
        <v>251</v>
      </c>
      <c r="D128" s="89" t="s">
        <v>152</v>
      </c>
      <c r="E128" s="90">
        <v>11554.4</v>
      </c>
      <c r="F128" s="91"/>
      <c r="G128" s="91"/>
      <c r="H128" s="91"/>
      <c r="I128" s="79">
        <f>SUM(G128:H128)+'BM 001'!I128</f>
        <v>0</v>
      </c>
      <c r="J128" s="91">
        <f t="shared" si="41"/>
        <v>11554.4</v>
      </c>
      <c r="K128" s="80">
        <v>14</v>
      </c>
      <c r="L128" s="81">
        <f t="shared" si="39"/>
        <v>17.746401540000001</v>
      </c>
      <c r="M128" s="82">
        <f t="shared" si="55"/>
        <v>0</v>
      </c>
      <c r="N128" s="82">
        <f t="shared" si="56"/>
        <v>0</v>
      </c>
      <c r="O128" s="82">
        <f>N128+'BM 001'!O128</f>
        <v>0</v>
      </c>
      <c r="P128" s="80">
        <f t="shared" si="57"/>
        <v>161761.60000000001</v>
      </c>
      <c r="Q128" s="82">
        <f t="shared" si="58"/>
        <v>205049.02</v>
      </c>
      <c r="R128" s="82">
        <f t="shared" si="59"/>
        <v>205049.02</v>
      </c>
    </row>
    <row r="129" spans="2:21" s="34" customFormat="1" ht="46.2">
      <c r="B129" s="87" t="s">
        <v>252</v>
      </c>
      <c r="C129" s="88" t="s">
        <v>253</v>
      </c>
      <c r="D129" s="89" t="s">
        <v>152</v>
      </c>
      <c r="E129" s="90">
        <v>5166.7</v>
      </c>
      <c r="F129" s="91"/>
      <c r="G129" s="91"/>
      <c r="H129" s="91"/>
      <c r="I129" s="79">
        <f>SUM(G129:H129)+'BM 001'!I129</f>
        <v>0</v>
      </c>
      <c r="J129" s="91">
        <f t="shared" si="41"/>
        <v>5166.7</v>
      </c>
      <c r="K129" s="80">
        <v>14</v>
      </c>
      <c r="L129" s="81">
        <f t="shared" si="39"/>
        <v>17.746401540000001</v>
      </c>
      <c r="M129" s="82">
        <f t="shared" si="55"/>
        <v>0</v>
      </c>
      <c r="N129" s="82">
        <f t="shared" si="56"/>
        <v>0</v>
      </c>
      <c r="O129" s="82">
        <f>N129+'BM 001'!O129</f>
        <v>0</v>
      </c>
      <c r="P129" s="80">
        <f t="shared" si="57"/>
        <v>72333.8</v>
      </c>
      <c r="Q129" s="82">
        <f t="shared" si="58"/>
        <v>91690.33</v>
      </c>
      <c r="R129" s="82">
        <f t="shared" si="59"/>
        <v>91690.33</v>
      </c>
    </row>
    <row r="130" spans="2:21" s="34" customFormat="1" ht="23.4">
      <c r="B130" s="87" t="s">
        <v>254</v>
      </c>
      <c r="C130" s="88" t="s">
        <v>215</v>
      </c>
      <c r="D130" s="89" t="s">
        <v>169</v>
      </c>
      <c r="E130" s="92">
        <v>803.99</v>
      </c>
      <c r="F130" s="91"/>
      <c r="G130" s="91"/>
      <c r="H130" s="91"/>
      <c r="I130" s="79">
        <f>SUM(G130:H130)+'BM 001'!I130</f>
        <v>0</v>
      </c>
      <c r="J130" s="91">
        <f t="shared" si="41"/>
        <v>803.99</v>
      </c>
      <c r="K130" s="95">
        <v>750</v>
      </c>
      <c r="L130" s="81">
        <f t="shared" si="39"/>
        <v>950.70008250000001</v>
      </c>
      <c r="M130" s="82">
        <f t="shared" si="55"/>
        <v>0</v>
      </c>
      <c r="N130" s="82">
        <f t="shared" si="56"/>
        <v>0</v>
      </c>
      <c r="O130" s="82">
        <f>N130+'BM 001'!O130</f>
        <v>0</v>
      </c>
      <c r="P130" s="80">
        <f t="shared" si="57"/>
        <v>602992.5</v>
      </c>
      <c r="Q130" s="82">
        <f t="shared" si="58"/>
        <v>764353.35</v>
      </c>
      <c r="R130" s="82">
        <f t="shared" si="59"/>
        <v>764353.35</v>
      </c>
      <c r="T130" s="83"/>
      <c r="U130" s="83"/>
    </row>
    <row r="131" spans="2:21" s="34" customFormat="1" ht="17.399999999999999">
      <c r="B131" s="60" t="s">
        <v>255</v>
      </c>
      <c r="C131" s="61" t="s">
        <v>256</v>
      </c>
      <c r="D131" s="60"/>
      <c r="E131" s="62"/>
      <c r="F131" s="63"/>
      <c r="G131" s="63"/>
      <c r="H131" s="63"/>
      <c r="I131" s="63">
        <f>SUM(G131:H131)+'BM 001'!I131</f>
        <v>0</v>
      </c>
      <c r="J131" s="63">
        <f t="shared" si="41"/>
        <v>0</v>
      </c>
      <c r="K131" s="63"/>
      <c r="L131" s="63">
        <f t="shared" si="39"/>
        <v>0</v>
      </c>
      <c r="M131" s="63">
        <f t="shared" ref="M131:R131" si="60">SUM(M132:M138)</f>
        <v>0</v>
      </c>
      <c r="N131" s="63">
        <f t="shared" si="60"/>
        <v>0</v>
      </c>
      <c r="O131" s="63">
        <f t="shared" si="60"/>
        <v>0</v>
      </c>
      <c r="P131" s="63">
        <f t="shared" si="60"/>
        <v>1701680.9500000002</v>
      </c>
      <c r="Q131" s="63">
        <f t="shared" si="60"/>
        <v>2157050.9299999997</v>
      </c>
      <c r="R131" s="63">
        <f t="shared" si="60"/>
        <v>2157050.9299999997</v>
      </c>
      <c r="T131" s="97"/>
    </row>
    <row r="132" spans="2:21" s="34" customFormat="1" ht="13.2">
      <c r="B132" s="87" t="s">
        <v>257</v>
      </c>
      <c r="C132" s="98" t="s">
        <v>258</v>
      </c>
      <c r="D132" s="99" t="s">
        <v>169</v>
      </c>
      <c r="E132" s="100">
        <v>261.60000000000002</v>
      </c>
      <c r="F132" s="101"/>
      <c r="G132" s="101"/>
      <c r="H132" s="101"/>
      <c r="I132" s="79">
        <f>SUM(G132:H132)+'BM 001'!I132</f>
        <v>0</v>
      </c>
      <c r="J132" s="101">
        <f t="shared" si="41"/>
        <v>261.60000000000002</v>
      </c>
      <c r="K132" s="102">
        <v>620</v>
      </c>
      <c r="L132" s="81">
        <f t="shared" si="39"/>
        <v>785.91206820000002</v>
      </c>
      <c r="M132" s="82">
        <f t="shared" ref="M132:M138" si="61">TRUNC(F132*L132,2)</f>
        <v>0</v>
      </c>
      <c r="N132" s="82">
        <f t="shared" ref="N132:N138" si="62">TRUNC(G132*L132,2)</f>
        <v>0</v>
      </c>
      <c r="O132" s="82">
        <f>N132+'BM 001'!O132</f>
        <v>0</v>
      </c>
      <c r="P132" s="80">
        <f t="shared" ref="P132:P138" si="63">E132*K132</f>
        <v>162192</v>
      </c>
      <c r="Q132" s="82">
        <f t="shared" ref="Q132:Q138" si="64">TRUNC(E132*L132,2)</f>
        <v>205594.59</v>
      </c>
      <c r="R132" s="82">
        <f t="shared" ref="R132:R138" si="65">Q132-O132</f>
        <v>205594.59</v>
      </c>
    </row>
    <row r="133" spans="2:21" s="34" customFormat="1" ht="34.799999999999997">
      <c r="B133" s="87" t="s">
        <v>259</v>
      </c>
      <c r="C133" s="88" t="s">
        <v>260</v>
      </c>
      <c r="D133" s="89" t="s">
        <v>82</v>
      </c>
      <c r="E133" s="90">
        <v>3852</v>
      </c>
      <c r="F133" s="91"/>
      <c r="G133" s="91"/>
      <c r="H133" s="91"/>
      <c r="I133" s="79">
        <f>SUM(G133:H133)+'BM 001'!I133</f>
        <v>0</v>
      </c>
      <c r="J133" s="91">
        <f t="shared" si="41"/>
        <v>3852</v>
      </c>
      <c r="K133" s="84">
        <v>20</v>
      </c>
      <c r="L133" s="81">
        <f t="shared" si="39"/>
        <v>25.352002200000001</v>
      </c>
      <c r="M133" s="82">
        <f t="shared" si="61"/>
        <v>0</v>
      </c>
      <c r="N133" s="82">
        <f t="shared" si="62"/>
        <v>0</v>
      </c>
      <c r="O133" s="82">
        <f>N133+'BM 001'!O133</f>
        <v>0</v>
      </c>
      <c r="P133" s="80">
        <f t="shared" si="63"/>
        <v>77040</v>
      </c>
      <c r="Q133" s="82">
        <f t="shared" si="64"/>
        <v>97655.91</v>
      </c>
      <c r="R133" s="82">
        <f t="shared" si="65"/>
        <v>97655.91</v>
      </c>
    </row>
    <row r="134" spans="2:21" s="34" customFormat="1" ht="34.799999999999997">
      <c r="B134" s="87" t="s">
        <v>261</v>
      </c>
      <c r="C134" s="88" t="s">
        <v>262</v>
      </c>
      <c r="D134" s="89" t="s">
        <v>110</v>
      </c>
      <c r="E134" s="92">
        <v>112</v>
      </c>
      <c r="F134" s="91"/>
      <c r="G134" s="91"/>
      <c r="H134" s="91"/>
      <c r="I134" s="79">
        <f>SUM(G134:H134)+'BM 001'!I134</f>
        <v>0</v>
      </c>
      <c r="J134" s="91">
        <f t="shared" si="41"/>
        <v>112</v>
      </c>
      <c r="K134" s="84">
        <v>650</v>
      </c>
      <c r="L134" s="81">
        <f t="shared" si="39"/>
        <v>823.94007150000004</v>
      </c>
      <c r="M134" s="82">
        <f t="shared" si="61"/>
        <v>0</v>
      </c>
      <c r="N134" s="82">
        <f t="shared" si="62"/>
        <v>0</v>
      </c>
      <c r="O134" s="82">
        <f>N134+'BM 001'!O134</f>
        <v>0</v>
      </c>
      <c r="P134" s="80">
        <f t="shared" si="63"/>
        <v>72800</v>
      </c>
      <c r="Q134" s="82">
        <f t="shared" si="64"/>
        <v>92281.279999999999</v>
      </c>
      <c r="R134" s="82">
        <f t="shared" si="65"/>
        <v>92281.279999999999</v>
      </c>
    </row>
    <row r="135" spans="2:21" s="34" customFormat="1" ht="57.6">
      <c r="B135" s="87" t="s">
        <v>263</v>
      </c>
      <c r="C135" s="88" t="s">
        <v>264</v>
      </c>
      <c r="D135" s="89" t="s">
        <v>79</v>
      </c>
      <c r="E135" s="90">
        <v>15102.2</v>
      </c>
      <c r="F135" s="91"/>
      <c r="G135" s="91"/>
      <c r="H135" s="91"/>
      <c r="I135" s="79">
        <f>SUM(G135:H135)+'BM 001'!I135</f>
        <v>0</v>
      </c>
      <c r="J135" s="91">
        <f t="shared" si="41"/>
        <v>15102.2</v>
      </c>
      <c r="K135" s="84">
        <v>79.5</v>
      </c>
      <c r="L135" s="81">
        <f t="shared" si="39"/>
        <v>100.77420874500001</v>
      </c>
      <c r="M135" s="82">
        <f t="shared" si="61"/>
        <v>0</v>
      </c>
      <c r="N135" s="82">
        <f t="shared" si="62"/>
        <v>0</v>
      </c>
      <c r="O135" s="82">
        <f>N135+'BM 001'!O135</f>
        <v>0</v>
      </c>
      <c r="P135" s="80">
        <f t="shared" si="63"/>
        <v>1200624.9000000001</v>
      </c>
      <c r="Q135" s="82">
        <f t="shared" si="64"/>
        <v>1521912.25</v>
      </c>
      <c r="R135" s="82">
        <f t="shared" si="65"/>
        <v>1521912.25</v>
      </c>
    </row>
    <row r="136" spans="2:21" s="34" customFormat="1" ht="57.6">
      <c r="B136" s="87" t="s">
        <v>265</v>
      </c>
      <c r="C136" s="88" t="s">
        <v>266</v>
      </c>
      <c r="D136" s="89" t="s">
        <v>79</v>
      </c>
      <c r="E136" s="90">
        <v>772</v>
      </c>
      <c r="F136" s="91"/>
      <c r="G136" s="91"/>
      <c r="H136" s="91"/>
      <c r="I136" s="79">
        <f>SUM(G136:H136)+'BM 001'!I136</f>
        <v>0</v>
      </c>
      <c r="J136" s="91">
        <f t="shared" si="41"/>
        <v>772</v>
      </c>
      <c r="K136" s="84">
        <v>150</v>
      </c>
      <c r="L136" s="81">
        <f t="shared" si="39"/>
        <v>190.1400165</v>
      </c>
      <c r="M136" s="82">
        <f t="shared" si="61"/>
        <v>0</v>
      </c>
      <c r="N136" s="82">
        <f t="shared" si="62"/>
        <v>0</v>
      </c>
      <c r="O136" s="82">
        <f>N136+'BM 001'!O136</f>
        <v>0</v>
      </c>
      <c r="P136" s="80">
        <f t="shared" si="63"/>
        <v>115800</v>
      </c>
      <c r="Q136" s="82">
        <f t="shared" si="64"/>
        <v>146788.09</v>
      </c>
      <c r="R136" s="82">
        <f t="shared" si="65"/>
        <v>146788.09</v>
      </c>
    </row>
    <row r="137" spans="2:21" s="34" customFormat="1" ht="46.2">
      <c r="B137" s="87" t="s">
        <v>267</v>
      </c>
      <c r="C137" s="88" t="s">
        <v>268</v>
      </c>
      <c r="D137" s="89" t="s">
        <v>79</v>
      </c>
      <c r="E137" s="90">
        <v>210.05</v>
      </c>
      <c r="F137" s="91"/>
      <c r="G137" s="91"/>
      <c r="H137" s="91"/>
      <c r="I137" s="79">
        <f>SUM(G137:H137)+'BM 001'!I137</f>
        <v>0</v>
      </c>
      <c r="J137" s="91">
        <f t="shared" si="41"/>
        <v>210.05</v>
      </c>
      <c r="K137" s="84">
        <v>165</v>
      </c>
      <c r="L137" s="81">
        <f t="shared" si="39"/>
        <v>209.15401815000001</v>
      </c>
      <c r="M137" s="82">
        <f t="shared" si="61"/>
        <v>0</v>
      </c>
      <c r="N137" s="82">
        <f t="shared" si="62"/>
        <v>0</v>
      </c>
      <c r="O137" s="82">
        <f>N137+'BM 001'!O137</f>
        <v>0</v>
      </c>
      <c r="P137" s="80">
        <f t="shared" si="63"/>
        <v>34658.25</v>
      </c>
      <c r="Q137" s="82">
        <f t="shared" si="64"/>
        <v>43932.800000000003</v>
      </c>
      <c r="R137" s="82">
        <f t="shared" si="65"/>
        <v>43932.800000000003</v>
      </c>
    </row>
    <row r="138" spans="2:21" s="34" customFormat="1" ht="23.4">
      <c r="B138" s="87" t="s">
        <v>269</v>
      </c>
      <c r="C138" s="88" t="s">
        <v>270</v>
      </c>
      <c r="D138" s="89" t="s">
        <v>124</v>
      </c>
      <c r="E138" s="90">
        <v>550.94000000000005</v>
      </c>
      <c r="F138" s="91"/>
      <c r="G138" s="91"/>
      <c r="H138" s="91"/>
      <c r="I138" s="79">
        <f>SUM(G138:H138)+'BM 001'!I138</f>
        <v>0</v>
      </c>
      <c r="J138" s="91">
        <f t="shared" si="41"/>
        <v>550.94000000000005</v>
      </c>
      <c r="K138" s="84">
        <v>70</v>
      </c>
      <c r="L138" s="81">
        <f t="shared" si="39"/>
        <v>88.732007699999997</v>
      </c>
      <c r="M138" s="82">
        <f t="shared" si="61"/>
        <v>0</v>
      </c>
      <c r="N138" s="82">
        <f t="shared" si="62"/>
        <v>0</v>
      </c>
      <c r="O138" s="82">
        <f>N138+'BM 001'!O138</f>
        <v>0</v>
      </c>
      <c r="P138" s="80">
        <f t="shared" si="63"/>
        <v>38565.800000000003</v>
      </c>
      <c r="Q138" s="82">
        <f t="shared" si="64"/>
        <v>48886.01</v>
      </c>
      <c r="R138" s="82">
        <f t="shared" si="65"/>
        <v>48886.01</v>
      </c>
    </row>
    <row r="139" spans="2:21" s="34" customFormat="1" ht="13.2">
      <c r="B139" s="60" t="s">
        <v>271</v>
      </c>
      <c r="C139" s="61" t="s">
        <v>272</v>
      </c>
      <c r="D139" s="60"/>
      <c r="E139" s="62"/>
      <c r="F139" s="63"/>
      <c r="G139" s="63"/>
      <c r="H139" s="63"/>
      <c r="I139" s="63">
        <f>SUM(G139:H139)+'BM 001'!I139</f>
        <v>0</v>
      </c>
      <c r="J139" s="63">
        <f t="shared" si="41"/>
        <v>0</v>
      </c>
      <c r="K139" s="63"/>
      <c r="L139" s="63">
        <f t="shared" si="39"/>
        <v>0</v>
      </c>
      <c r="M139" s="63">
        <f t="shared" ref="M139:R139" si="66">SUM(M140,M148)</f>
        <v>0</v>
      </c>
      <c r="N139" s="63">
        <f t="shared" si="66"/>
        <v>0</v>
      </c>
      <c r="O139" s="63">
        <f t="shared" si="66"/>
        <v>0</v>
      </c>
      <c r="P139" s="63">
        <f t="shared" si="66"/>
        <v>2433803.8377</v>
      </c>
      <c r="Q139" s="63">
        <f t="shared" si="66"/>
        <v>3085089.94</v>
      </c>
      <c r="R139" s="63">
        <f t="shared" si="66"/>
        <v>3085089.94</v>
      </c>
    </row>
    <row r="140" spans="2:21" s="34" customFormat="1" ht="13.2">
      <c r="B140" s="66" t="s">
        <v>273</v>
      </c>
      <c r="C140" s="67" t="s">
        <v>274</v>
      </c>
      <c r="D140" s="68"/>
      <c r="E140" s="69"/>
      <c r="F140" s="70"/>
      <c r="G140" s="70"/>
      <c r="H140" s="70"/>
      <c r="I140" s="70">
        <f>SUM(G140:H140)+'BM 001'!I140</f>
        <v>0</v>
      </c>
      <c r="J140" s="70">
        <f t="shared" si="41"/>
        <v>0</v>
      </c>
      <c r="K140" s="71"/>
      <c r="L140" s="71">
        <f t="shared" si="39"/>
        <v>0</v>
      </c>
      <c r="M140" s="73">
        <f t="shared" ref="M140:R140" si="67">SUM(M141:M147)</f>
        <v>0</v>
      </c>
      <c r="N140" s="73">
        <f t="shared" si="67"/>
        <v>0</v>
      </c>
      <c r="O140" s="73">
        <f t="shared" si="67"/>
        <v>0</v>
      </c>
      <c r="P140" s="73">
        <f t="shared" si="67"/>
        <v>1345103.6276999998</v>
      </c>
      <c r="Q140" s="73">
        <f t="shared" si="67"/>
        <v>1705053.47</v>
      </c>
      <c r="R140" s="73">
        <f t="shared" si="67"/>
        <v>1705053.47</v>
      </c>
    </row>
    <row r="141" spans="2:21" s="34" customFormat="1" ht="46.2">
      <c r="B141" s="87" t="s">
        <v>275</v>
      </c>
      <c r="C141" s="88" t="s">
        <v>276</v>
      </c>
      <c r="D141" s="89" t="s">
        <v>79</v>
      </c>
      <c r="E141" s="90">
        <f>E135*2-E149</f>
        <v>26012.79</v>
      </c>
      <c r="F141" s="91"/>
      <c r="G141" s="91"/>
      <c r="H141" s="91"/>
      <c r="I141" s="79">
        <f>SUM(G141:H141)+'BM 001'!I141</f>
        <v>0</v>
      </c>
      <c r="J141" s="91">
        <f t="shared" si="41"/>
        <v>26012.79</v>
      </c>
      <c r="K141" s="84">
        <v>4.5</v>
      </c>
      <c r="L141" s="81">
        <f t="shared" si="39"/>
        <v>5.7042004950000003</v>
      </c>
      <c r="M141" s="82">
        <f t="shared" ref="M141:M147" si="68">TRUNC(F141*L141,2)</f>
        <v>0</v>
      </c>
      <c r="N141" s="82">
        <f t="shared" ref="N141:N147" si="69">TRUNC(G141*L141,2)</f>
        <v>0</v>
      </c>
      <c r="O141" s="82">
        <f>N141+'BM 001'!O141</f>
        <v>0</v>
      </c>
      <c r="P141" s="80">
        <f t="shared" ref="P141:P147" si="70">E141*K141</f>
        <v>117057.55500000001</v>
      </c>
      <c r="Q141" s="82">
        <f t="shared" ref="Q141:Q147" si="71">TRUNC(E141*L141,2)</f>
        <v>148382.16</v>
      </c>
      <c r="R141" s="82">
        <f t="shared" ref="R141:R147" si="72">Q141-O141</f>
        <v>148382.16</v>
      </c>
    </row>
    <row r="142" spans="2:21" s="34" customFormat="1" ht="57.6">
      <c r="B142" s="87" t="s">
        <v>277</v>
      </c>
      <c r="C142" s="88" t="s">
        <v>278</v>
      </c>
      <c r="D142" s="89" t="s">
        <v>79</v>
      </c>
      <c r="E142" s="90">
        <f>E145+E146</f>
        <v>462.83</v>
      </c>
      <c r="F142" s="91"/>
      <c r="G142" s="91"/>
      <c r="H142" s="91"/>
      <c r="I142" s="79">
        <f>SUM(G142:H142)+'BM 001'!I142</f>
        <v>0</v>
      </c>
      <c r="J142" s="91">
        <f t="shared" si="41"/>
        <v>462.83</v>
      </c>
      <c r="K142" s="84">
        <v>30</v>
      </c>
      <c r="L142" s="81">
        <f t="shared" si="39"/>
        <v>38.028003300000002</v>
      </c>
      <c r="M142" s="82">
        <f t="shared" si="68"/>
        <v>0</v>
      </c>
      <c r="N142" s="82">
        <f t="shared" si="69"/>
        <v>0</v>
      </c>
      <c r="O142" s="82">
        <f>N142+'BM 001'!O142</f>
        <v>0</v>
      </c>
      <c r="P142" s="80">
        <f t="shared" si="70"/>
        <v>13884.9</v>
      </c>
      <c r="Q142" s="82">
        <f t="shared" si="71"/>
        <v>17600.5</v>
      </c>
      <c r="R142" s="82">
        <f t="shared" si="72"/>
        <v>17600.5</v>
      </c>
    </row>
    <row r="143" spans="2:21" s="34" customFormat="1" ht="57.6">
      <c r="B143" s="87" t="s">
        <v>279</v>
      </c>
      <c r="C143" s="88" t="s">
        <v>280</v>
      </c>
      <c r="D143" s="89" t="s">
        <v>79</v>
      </c>
      <c r="E143" s="90">
        <f>E141-E142-E147</f>
        <v>25418.329999999998</v>
      </c>
      <c r="F143" s="91"/>
      <c r="G143" s="91"/>
      <c r="H143" s="91"/>
      <c r="I143" s="79">
        <f>SUM(G143:H143)+'BM 001'!I143</f>
        <v>0</v>
      </c>
      <c r="J143" s="91">
        <f t="shared" si="41"/>
        <v>25418.329999999998</v>
      </c>
      <c r="K143" s="84">
        <v>33.65</v>
      </c>
      <c r="L143" s="81">
        <f t="shared" si="39"/>
        <v>42.654743701500003</v>
      </c>
      <c r="M143" s="82">
        <f t="shared" si="68"/>
        <v>0</v>
      </c>
      <c r="N143" s="82">
        <f t="shared" si="69"/>
        <v>0</v>
      </c>
      <c r="O143" s="82">
        <f>N143+'BM 001'!O143</f>
        <v>0</v>
      </c>
      <c r="P143" s="80">
        <f t="shared" si="70"/>
        <v>855326.80449999985</v>
      </c>
      <c r="Q143" s="82">
        <f t="shared" si="71"/>
        <v>1084212.3500000001</v>
      </c>
      <c r="R143" s="82">
        <f t="shared" si="72"/>
        <v>1084212.3500000001</v>
      </c>
    </row>
    <row r="144" spans="2:21" s="34" customFormat="1" ht="13.2">
      <c r="B144" s="87" t="s">
        <v>281</v>
      </c>
      <c r="C144" s="88" t="s">
        <v>282</v>
      </c>
      <c r="D144" s="89" t="s">
        <v>79</v>
      </c>
      <c r="E144" s="90">
        <v>1328.83</v>
      </c>
      <c r="F144" s="91"/>
      <c r="G144" s="91"/>
      <c r="H144" s="91"/>
      <c r="I144" s="79">
        <f>SUM(G144:H144)+'BM 001'!I144</f>
        <v>0</v>
      </c>
      <c r="J144" s="91">
        <f t="shared" si="41"/>
        <v>1328.83</v>
      </c>
      <c r="K144" s="84">
        <v>162.54</v>
      </c>
      <c r="L144" s="81">
        <f t="shared" si="39"/>
        <v>206.0357218794</v>
      </c>
      <c r="M144" s="82">
        <f t="shared" si="68"/>
        <v>0</v>
      </c>
      <c r="N144" s="82">
        <f t="shared" si="69"/>
        <v>0</v>
      </c>
      <c r="O144" s="82">
        <f>N144+'BM 001'!O144</f>
        <v>0</v>
      </c>
      <c r="P144" s="80">
        <f t="shared" si="70"/>
        <v>215988.02819999997</v>
      </c>
      <c r="Q144" s="82">
        <f t="shared" si="71"/>
        <v>273786.44</v>
      </c>
      <c r="R144" s="82">
        <f t="shared" si="72"/>
        <v>273786.44</v>
      </c>
    </row>
    <row r="145" spans="2:18" s="34" customFormat="1" ht="46.2">
      <c r="B145" s="87" t="s">
        <v>283</v>
      </c>
      <c r="C145" s="88" t="s">
        <v>284</v>
      </c>
      <c r="D145" s="89" t="s">
        <v>79</v>
      </c>
      <c r="E145" s="92">
        <v>392.83</v>
      </c>
      <c r="F145" s="91"/>
      <c r="G145" s="91"/>
      <c r="H145" s="91"/>
      <c r="I145" s="79">
        <f>SUM(G145:H145)+'BM 001'!I145</f>
        <v>0</v>
      </c>
      <c r="J145" s="91">
        <f t="shared" si="41"/>
        <v>392.83</v>
      </c>
      <c r="K145" s="84">
        <v>148</v>
      </c>
      <c r="L145" s="81">
        <f t="shared" si="39"/>
        <v>187.60481628000002</v>
      </c>
      <c r="M145" s="82">
        <f t="shared" si="68"/>
        <v>0</v>
      </c>
      <c r="N145" s="82">
        <f t="shared" si="69"/>
        <v>0</v>
      </c>
      <c r="O145" s="82">
        <f>N145+'BM 001'!O145</f>
        <v>0</v>
      </c>
      <c r="P145" s="80">
        <f t="shared" si="70"/>
        <v>58138.84</v>
      </c>
      <c r="Q145" s="82">
        <f t="shared" si="71"/>
        <v>73696.789999999994</v>
      </c>
      <c r="R145" s="82">
        <f t="shared" si="72"/>
        <v>73696.789999999994</v>
      </c>
    </row>
    <row r="146" spans="2:18" s="34" customFormat="1" ht="13.2">
      <c r="B146" s="87" t="s">
        <v>285</v>
      </c>
      <c r="C146" s="88" t="s">
        <v>286</v>
      </c>
      <c r="D146" s="89" t="s">
        <v>79</v>
      </c>
      <c r="E146" s="92">
        <v>70</v>
      </c>
      <c r="F146" s="91"/>
      <c r="G146" s="91"/>
      <c r="H146" s="91"/>
      <c r="I146" s="79">
        <f>SUM(G146:H146)+'BM 001'!I146</f>
        <v>0</v>
      </c>
      <c r="J146" s="91">
        <f t="shared" si="41"/>
        <v>70</v>
      </c>
      <c r="K146" s="84">
        <v>740</v>
      </c>
      <c r="L146" s="81">
        <f t="shared" si="39"/>
        <v>938.0240814</v>
      </c>
      <c r="M146" s="82">
        <f t="shared" si="68"/>
        <v>0</v>
      </c>
      <c r="N146" s="82">
        <f t="shared" si="69"/>
        <v>0</v>
      </c>
      <c r="O146" s="82">
        <f>N146+'BM 001'!O146</f>
        <v>0</v>
      </c>
      <c r="P146" s="80">
        <f t="shared" si="70"/>
        <v>51800</v>
      </c>
      <c r="Q146" s="82">
        <f t="shared" si="71"/>
        <v>65661.679999999993</v>
      </c>
      <c r="R146" s="82">
        <f t="shared" si="72"/>
        <v>65661.679999999993</v>
      </c>
    </row>
    <row r="147" spans="2:18" s="34" customFormat="1" ht="13.2">
      <c r="B147" s="87" t="s">
        <v>287</v>
      </c>
      <c r="C147" s="88" t="s">
        <v>288</v>
      </c>
      <c r="D147" s="89" t="s">
        <v>79</v>
      </c>
      <c r="E147" s="90">
        <v>131.63</v>
      </c>
      <c r="F147" s="91"/>
      <c r="G147" s="91"/>
      <c r="H147" s="91"/>
      <c r="I147" s="79">
        <f>SUM(G147:H147)+'BM 001'!I147</f>
        <v>0</v>
      </c>
      <c r="J147" s="91">
        <f t="shared" si="41"/>
        <v>131.63</v>
      </c>
      <c r="K147" s="80">
        <v>250</v>
      </c>
      <c r="L147" s="81">
        <f t="shared" si="39"/>
        <v>316.90002750000002</v>
      </c>
      <c r="M147" s="82">
        <f t="shared" si="68"/>
        <v>0</v>
      </c>
      <c r="N147" s="82">
        <f t="shared" si="69"/>
        <v>0</v>
      </c>
      <c r="O147" s="82">
        <f>N147+'BM 001'!O147</f>
        <v>0</v>
      </c>
      <c r="P147" s="80">
        <f t="shared" si="70"/>
        <v>32907.5</v>
      </c>
      <c r="Q147" s="82">
        <f t="shared" si="71"/>
        <v>41713.550000000003</v>
      </c>
      <c r="R147" s="82">
        <f t="shared" si="72"/>
        <v>41713.550000000003</v>
      </c>
    </row>
    <row r="148" spans="2:18" s="34" customFormat="1" ht="13.2">
      <c r="B148" s="66" t="s">
        <v>289</v>
      </c>
      <c r="C148" s="67" t="s">
        <v>290</v>
      </c>
      <c r="D148" s="68"/>
      <c r="E148" s="69"/>
      <c r="F148" s="70"/>
      <c r="G148" s="70"/>
      <c r="H148" s="70"/>
      <c r="I148" s="70">
        <f>SUM(G148:H148)+'BM 001'!I148</f>
        <v>0</v>
      </c>
      <c r="J148" s="70">
        <f t="shared" si="41"/>
        <v>0</v>
      </c>
      <c r="K148" s="71"/>
      <c r="L148" s="71">
        <f t="shared" si="39"/>
        <v>0</v>
      </c>
      <c r="M148" s="73">
        <f t="shared" ref="M148:R148" si="73">SUM(M149:M154)</f>
        <v>0</v>
      </c>
      <c r="N148" s="73">
        <f t="shared" si="73"/>
        <v>0</v>
      </c>
      <c r="O148" s="73">
        <f t="shared" si="73"/>
        <v>0</v>
      </c>
      <c r="P148" s="73">
        <f t="shared" si="73"/>
        <v>1088700.21</v>
      </c>
      <c r="Q148" s="73">
        <f t="shared" si="73"/>
        <v>1380036.47</v>
      </c>
      <c r="R148" s="73">
        <f t="shared" si="73"/>
        <v>1380036.47</v>
      </c>
    </row>
    <row r="149" spans="2:18" s="34" customFormat="1" ht="46.2">
      <c r="B149" s="87" t="s">
        <v>291</v>
      </c>
      <c r="C149" s="88" t="s">
        <v>292</v>
      </c>
      <c r="D149" s="89" t="s">
        <v>79</v>
      </c>
      <c r="E149" s="90">
        <f>E151+E152+E153+E154</f>
        <v>4191.6100000000006</v>
      </c>
      <c r="F149" s="91"/>
      <c r="G149" s="91"/>
      <c r="H149" s="91"/>
      <c r="I149" s="79">
        <f>SUM(G149:H149)+'BM 001'!I149</f>
        <v>0</v>
      </c>
      <c r="J149" s="91">
        <f t="shared" si="41"/>
        <v>4191.6100000000006</v>
      </c>
      <c r="K149" s="84">
        <v>12</v>
      </c>
      <c r="L149" s="81">
        <f t="shared" si="39"/>
        <v>15.211201320000001</v>
      </c>
      <c r="M149" s="82">
        <f t="shared" ref="M149:M154" si="74">TRUNC(F149*L149,2)</f>
        <v>0</v>
      </c>
      <c r="N149" s="82">
        <f t="shared" ref="N149:N154" si="75">TRUNC(G149*L149,2)</f>
        <v>0</v>
      </c>
      <c r="O149" s="82">
        <f>N149+'BM 001'!O149</f>
        <v>0</v>
      </c>
      <c r="P149" s="80">
        <f t="shared" ref="P149:P154" si="76">E149*K149</f>
        <v>50299.320000000007</v>
      </c>
      <c r="Q149" s="82">
        <f t="shared" ref="Q149:Q154" si="77">TRUNC(E149*L149,2)</f>
        <v>63759.42</v>
      </c>
      <c r="R149" s="82">
        <f t="shared" ref="R149:R154" si="78">Q149-O149</f>
        <v>63759.42</v>
      </c>
    </row>
    <row r="150" spans="2:18" s="34" customFormat="1" ht="57.6">
      <c r="B150" s="87" t="s">
        <v>293</v>
      </c>
      <c r="C150" s="88" t="s">
        <v>294</v>
      </c>
      <c r="D150" s="89" t="s">
        <v>79</v>
      </c>
      <c r="E150" s="90">
        <f>E149</f>
        <v>4191.6100000000006</v>
      </c>
      <c r="F150" s="91"/>
      <c r="G150" s="91"/>
      <c r="H150" s="91"/>
      <c r="I150" s="79">
        <f>SUM(G150:H150)+'BM 001'!I150</f>
        <v>0</v>
      </c>
      <c r="J150" s="91">
        <f t="shared" si="41"/>
        <v>4191.6100000000006</v>
      </c>
      <c r="K150" s="84">
        <v>62</v>
      </c>
      <c r="L150" s="81">
        <f t="shared" si="39"/>
        <v>78.591206819999996</v>
      </c>
      <c r="M150" s="82">
        <f t="shared" si="74"/>
        <v>0</v>
      </c>
      <c r="N150" s="82">
        <f t="shared" si="75"/>
        <v>0</v>
      </c>
      <c r="O150" s="82">
        <f>N150+'BM 001'!O150</f>
        <v>0</v>
      </c>
      <c r="P150" s="80">
        <f t="shared" si="76"/>
        <v>259879.82000000004</v>
      </c>
      <c r="Q150" s="82">
        <f t="shared" si="77"/>
        <v>329423.68</v>
      </c>
      <c r="R150" s="82">
        <f t="shared" si="78"/>
        <v>329423.68</v>
      </c>
    </row>
    <row r="151" spans="2:18" s="34" customFormat="1" ht="13.2">
      <c r="B151" s="87" t="s">
        <v>295</v>
      </c>
      <c r="C151" s="88" t="s">
        <v>296</v>
      </c>
      <c r="D151" s="89" t="s">
        <v>79</v>
      </c>
      <c r="E151" s="90">
        <v>120.2</v>
      </c>
      <c r="F151" s="91"/>
      <c r="G151" s="91"/>
      <c r="H151" s="91"/>
      <c r="I151" s="79">
        <f>SUM(G151:H151)+'BM 001'!I151</f>
        <v>0</v>
      </c>
      <c r="J151" s="91">
        <f t="shared" si="41"/>
        <v>120.2</v>
      </c>
      <c r="K151" s="84">
        <v>178</v>
      </c>
      <c r="L151" s="81">
        <f t="shared" si="39"/>
        <v>225.63281958000002</v>
      </c>
      <c r="M151" s="82">
        <f t="shared" si="74"/>
        <v>0</v>
      </c>
      <c r="N151" s="82">
        <f t="shared" si="75"/>
        <v>0</v>
      </c>
      <c r="O151" s="82">
        <f>N151+'BM 001'!O151</f>
        <v>0</v>
      </c>
      <c r="P151" s="80">
        <f t="shared" si="76"/>
        <v>21395.600000000002</v>
      </c>
      <c r="Q151" s="82">
        <f t="shared" si="77"/>
        <v>27121.06</v>
      </c>
      <c r="R151" s="82">
        <f t="shared" si="78"/>
        <v>27121.06</v>
      </c>
    </row>
    <row r="152" spans="2:18" s="34" customFormat="1" ht="23.4">
      <c r="B152" s="87" t="s">
        <v>297</v>
      </c>
      <c r="C152" s="88" t="s">
        <v>298</v>
      </c>
      <c r="D152" s="89" t="s">
        <v>79</v>
      </c>
      <c r="E152" s="90">
        <v>52.6</v>
      </c>
      <c r="F152" s="91"/>
      <c r="G152" s="91"/>
      <c r="H152" s="91"/>
      <c r="I152" s="79">
        <f>SUM(G152:H152)+'BM 001'!I152</f>
        <v>0</v>
      </c>
      <c r="J152" s="91">
        <f t="shared" si="41"/>
        <v>52.6</v>
      </c>
      <c r="K152" s="84">
        <v>182</v>
      </c>
      <c r="L152" s="81">
        <f t="shared" si="39"/>
        <v>230.70322002</v>
      </c>
      <c r="M152" s="82">
        <f t="shared" si="74"/>
        <v>0</v>
      </c>
      <c r="N152" s="82">
        <f t="shared" si="75"/>
        <v>0</v>
      </c>
      <c r="O152" s="82">
        <f>N152+'BM 001'!O152</f>
        <v>0</v>
      </c>
      <c r="P152" s="80">
        <f t="shared" si="76"/>
        <v>9573.2000000000007</v>
      </c>
      <c r="Q152" s="82">
        <f t="shared" si="77"/>
        <v>12134.98</v>
      </c>
      <c r="R152" s="82">
        <f t="shared" si="78"/>
        <v>12134.98</v>
      </c>
    </row>
    <row r="153" spans="2:18" s="34" customFormat="1" ht="23.4">
      <c r="B153" s="87" t="s">
        <v>299</v>
      </c>
      <c r="C153" s="88" t="s">
        <v>300</v>
      </c>
      <c r="D153" s="89" t="s">
        <v>79</v>
      </c>
      <c r="E153" s="90">
        <v>2811.38</v>
      </c>
      <c r="F153" s="91"/>
      <c r="G153" s="91"/>
      <c r="H153" s="91"/>
      <c r="I153" s="79">
        <f>SUM(G153:H153)+'BM 001'!I153</f>
        <v>0</v>
      </c>
      <c r="J153" s="91">
        <f t="shared" si="41"/>
        <v>2811.38</v>
      </c>
      <c r="K153" s="84">
        <v>177</v>
      </c>
      <c r="L153" s="81">
        <f t="shared" si="39"/>
        <v>224.36521947</v>
      </c>
      <c r="M153" s="82">
        <f t="shared" si="74"/>
        <v>0</v>
      </c>
      <c r="N153" s="82">
        <f t="shared" si="75"/>
        <v>0</v>
      </c>
      <c r="O153" s="82">
        <f>N153+'BM 001'!O153</f>
        <v>0</v>
      </c>
      <c r="P153" s="80">
        <f t="shared" si="76"/>
        <v>497614.26</v>
      </c>
      <c r="Q153" s="82">
        <f t="shared" si="77"/>
        <v>630775.89</v>
      </c>
      <c r="R153" s="82">
        <f t="shared" si="78"/>
        <v>630775.89</v>
      </c>
    </row>
    <row r="154" spans="2:18" s="34" customFormat="1" ht="23.4">
      <c r="B154" s="87" t="s">
        <v>301</v>
      </c>
      <c r="C154" s="88" t="s">
        <v>302</v>
      </c>
      <c r="D154" s="89" t="s">
        <v>79</v>
      </c>
      <c r="E154" s="90">
        <v>1207.43</v>
      </c>
      <c r="F154" s="91"/>
      <c r="G154" s="91"/>
      <c r="H154" s="91"/>
      <c r="I154" s="79">
        <f>SUM(G154:H154)+'BM 001'!I154</f>
        <v>0</v>
      </c>
      <c r="J154" s="91">
        <f t="shared" si="41"/>
        <v>1207.43</v>
      </c>
      <c r="K154" s="84">
        <v>207</v>
      </c>
      <c r="L154" s="81">
        <f t="shared" si="39"/>
        <v>262.39322277000002</v>
      </c>
      <c r="M154" s="82">
        <f t="shared" si="74"/>
        <v>0</v>
      </c>
      <c r="N154" s="82">
        <f t="shared" si="75"/>
        <v>0</v>
      </c>
      <c r="O154" s="82">
        <f>N154+'BM 001'!O154</f>
        <v>0</v>
      </c>
      <c r="P154" s="80">
        <f t="shared" si="76"/>
        <v>249938.01</v>
      </c>
      <c r="Q154" s="82">
        <f t="shared" si="77"/>
        <v>316821.44</v>
      </c>
      <c r="R154" s="82">
        <f t="shared" si="78"/>
        <v>316821.44</v>
      </c>
    </row>
    <row r="155" spans="2:18" s="34" customFormat="1" ht="13.2">
      <c r="B155" s="60" t="s">
        <v>303</v>
      </c>
      <c r="C155" s="61" t="s">
        <v>304</v>
      </c>
      <c r="D155" s="60"/>
      <c r="E155" s="62"/>
      <c r="F155" s="63"/>
      <c r="G155" s="63"/>
      <c r="H155" s="63"/>
      <c r="I155" s="63">
        <f>SUM(G155:H155)+'BM 001'!I155</f>
        <v>0</v>
      </c>
      <c r="J155" s="63">
        <f t="shared" si="41"/>
        <v>0</v>
      </c>
      <c r="K155" s="63"/>
      <c r="L155" s="63">
        <f t="shared" si="39"/>
        <v>0</v>
      </c>
      <c r="M155" s="63">
        <f t="shared" ref="M155:R155" si="79">SUM(M156,M165)</f>
        <v>0</v>
      </c>
      <c r="N155" s="63">
        <f t="shared" si="79"/>
        <v>0</v>
      </c>
      <c r="O155" s="63">
        <f t="shared" si="79"/>
        <v>0</v>
      </c>
      <c r="P155" s="63">
        <f t="shared" si="79"/>
        <v>800757.83000000007</v>
      </c>
      <c r="Q155" s="63">
        <f t="shared" si="79"/>
        <v>1015040.66</v>
      </c>
      <c r="R155" s="63">
        <f t="shared" si="79"/>
        <v>1015040.66</v>
      </c>
    </row>
    <row r="156" spans="2:18" s="34" customFormat="1" ht="13.2">
      <c r="B156" s="66" t="s">
        <v>305</v>
      </c>
      <c r="C156" s="67" t="s">
        <v>306</v>
      </c>
      <c r="D156" s="68"/>
      <c r="E156" s="69"/>
      <c r="F156" s="70"/>
      <c r="G156" s="70"/>
      <c r="H156" s="70"/>
      <c r="I156" s="70">
        <f>SUM(G156:H156)+'BM 001'!I156</f>
        <v>0</v>
      </c>
      <c r="J156" s="70">
        <f t="shared" si="41"/>
        <v>0</v>
      </c>
      <c r="K156" s="71"/>
      <c r="L156" s="71">
        <f t="shared" si="39"/>
        <v>0</v>
      </c>
      <c r="M156" s="73">
        <f t="shared" ref="M156:R156" si="80">SUM(M157:M164)</f>
        <v>0</v>
      </c>
      <c r="N156" s="73">
        <f t="shared" si="80"/>
        <v>0</v>
      </c>
      <c r="O156" s="73">
        <f t="shared" si="80"/>
        <v>0</v>
      </c>
      <c r="P156" s="73">
        <f t="shared" si="80"/>
        <v>737633.33000000007</v>
      </c>
      <c r="Q156" s="73">
        <f t="shared" si="80"/>
        <v>935024.05</v>
      </c>
      <c r="R156" s="73">
        <f t="shared" si="80"/>
        <v>935024.05</v>
      </c>
    </row>
    <row r="157" spans="2:18" s="34" customFormat="1" ht="57.6">
      <c r="B157" s="87" t="s">
        <v>307</v>
      </c>
      <c r="C157" s="88" t="s">
        <v>308</v>
      </c>
      <c r="D157" s="89" t="s">
        <v>79</v>
      </c>
      <c r="E157" s="103">
        <v>7166.75</v>
      </c>
      <c r="F157" s="84"/>
      <c r="G157" s="84"/>
      <c r="H157" s="84"/>
      <c r="I157" s="79">
        <f>SUM(G157:H157)+'BM 001'!I157</f>
        <v>0</v>
      </c>
      <c r="J157" s="84">
        <f t="shared" si="41"/>
        <v>7166.75</v>
      </c>
      <c r="K157" s="84">
        <v>42.2</v>
      </c>
      <c r="L157" s="81">
        <f t="shared" ref="L157:L220" si="81">K157*(1+$T$26)</f>
        <v>53.492724642000006</v>
      </c>
      <c r="M157" s="82">
        <f t="shared" ref="M157:M164" si="82">TRUNC(F157*L157,2)</f>
        <v>0</v>
      </c>
      <c r="N157" s="82">
        <f t="shared" ref="N157:N164" si="83">TRUNC(G157*L157,2)</f>
        <v>0</v>
      </c>
      <c r="O157" s="82">
        <f>N157+'BM 001'!O157</f>
        <v>0</v>
      </c>
      <c r="P157" s="80">
        <f t="shared" ref="P157:P164" si="84">E157*K157</f>
        <v>302436.85000000003</v>
      </c>
      <c r="Q157" s="82">
        <f t="shared" ref="Q157:Q164" si="85">TRUNC(E157*L157,2)</f>
        <v>383368.98</v>
      </c>
      <c r="R157" s="82">
        <f t="shared" ref="R157:R164" si="86">Q157-O157</f>
        <v>383368.98</v>
      </c>
    </row>
    <row r="158" spans="2:18" s="34" customFormat="1" ht="34.799999999999997">
      <c r="B158" s="87" t="s">
        <v>309</v>
      </c>
      <c r="C158" s="88" t="s">
        <v>310</v>
      </c>
      <c r="D158" s="89" t="s">
        <v>79</v>
      </c>
      <c r="E158" s="104">
        <v>520.1</v>
      </c>
      <c r="F158" s="80"/>
      <c r="G158" s="80"/>
      <c r="H158" s="80"/>
      <c r="I158" s="79">
        <f>SUM(G158:H158)+'BM 001'!I158</f>
        <v>0</v>
      </c>
      <c r="J158" s="80">
        <f t="shared" si="41"/>
        <v>520.1</v>
      </c>
      <c r="K158" s="105">
        <v>35.200000000000003</v>
      </c>
      <c r="L158" s="81">
        <f t="shared" si="81"/>
        <v>44.619523872000009</v>
      </c>
      <c r="M158" s="82">
        <f t="shared" si="82"/>
        <v>0</v>
      </c>
      <c r="N158" s="82">
        <f t="shared" si="83"/>
        <v>0</v>
      </c>
      <c r="O158" s="82">
        <f>N158+'BM 001'!O158</f>
        <v>0</v>
      </c>
      <c r="P158" s="80">
        <f t="shared" si="84"/>
        <v>18307.520000000004</v>
      </c>
      <c r="Q158" s="82">
        <f t="shared" si="85"/>
        <v>23206.61</v>
      </c>
      <c r="R158" s="82">
        <f t="shared" si="86"/>
        <v>23206.61</v>
      </c>
    </row>
    <row r="159" spans="2:18" s="34" customFormat="1" ht="34.799999999999997">
      <c r="B159" s="87" t="s">
        <v>311</v>
      </c>
      <c r="C159" s="88" t="s">
        <v>312</v>
      </c>
      <c r="D159" s="89" t="s">
        <v>79</v>
      </c>
      <c r="E159" s="103">
        <v>1225.0999999999999</v>
      </c>
      <c r="F159" s="84"/>
      <c r="G159" s="84"/>
      <c r="H159" s="84"/>
      <c r="I159" s="79">
        <f>SUM(G159:H159)+'BM 001'!I159</f>
        <v>0</v>
      </c>
      <c r="J159" s="84">
        <f t="shared" ref="J159:J222" si="87">E159-I159</f>
        <v>1225.0999999999999</v>
      </c>
      <c r="K159" s="105">
        <v>60</v>
      </c>
      <c r="L159" s="81">
        <f t="shared" si="81"/>
        <v>76.056006600000003</v>
      </c>
      <c r="M159" s="82">
        <f t="shared" si="82"/>
        <v>0</v>
      </c>
      <c r="N159" s="82">
        <f t="shared" si="83"/>
        <v>0</v>
      </c>
      <c r="O159" s="82">
        <f>N159+'BM 001'!O159</f>
        <v>0</v>
      </c>
      <c r="P159" s="80">
        <f t="shared" si="84"/>
        <v>73506</v>
      </c>
      <c r="Q159" s="82">
        <f t="shared" si="85"/>
        <v>93176.21</v>
      </c>
      <c r="R159" s="82">
        <f t="shared" si="86"/>
        <v>93176.21</v>
      </c>
    </row>
    <row r="160" spans="2:18" s="34" customFormat="1" ht="46.2">
      <c r="B160" s="87" t="s">
        <v>313</v>
      </c>
      <c r="C160" s="88" t="s">
        <v>284</v>
      </c>
      <c r="D160" s="89" t="s">
        <v>79</v>
      </c>
      <c r="E160" s="106">
        <v>937</v>
      </c>
      <c r="F160" s="84"/>
      <c r="G160" s="84"/>
      <c r="H160" s="84"/>
      <c r="I160" s="79">
        <f>SUM(G160:H160)+'BM 001'!I160</f>
        <v>0</v>
      </c>
      <c r="J160" s="84">
        <f t="shared" si="87"/>
        <v>937</v>
      </c>
      <c r="K160" s="105">
        <v>158</v>
      </c>
      <c r="L160" s="81">
        <f t="shared" si="81"/>
        <v>200.28081738</v>
      </c>
      <c r="M160" s="82">
        <f t="shared" si="82"/>
        <v>0</v>
      </c>
      <c r="N160" s="82">
        <f t="shared" si="83"/>
        <v>0</v>
      </c>
      <c r="O160" s="82">
        <f>N160+'BM 001'!O160</f>
        <v>0</v>
      </c>
      <c r="P160" s="80">
        <f t="shared" si="84"/>
        <v>148046</v>
      </c>
      <c r="Q160" s="82">
        <f t="shared" si="85"/>
        <v>187663.12</v>
      </c>
      <c r="R160" s="82">
        <f t="shared" si="86"/>
        <v>187663.12</v>
      </c>
    </row>
    <row r="161" spans="2:18" s="34" customFormat="1" ht="34.799999999999997">
      <c r="B161" s="87" t="s">
        <v>314</v>
      </c>
      <c r="C161" s="88" t="s">
        <v>315</v>
      </c>
      <c r="D161" s="89" t="s">
        <v>79</v>
      </c>
      <c r="E161" s="106">
        <v>720.69</v>
      </c>
      <c r="F161" s="84"/>
      <c r="G161" s="84"/>
      <c r="H161" s="84"/>
      <c r="I161" s="79">
        <f>SUM(G161:H161)+'BM 001'!I161</f>
        <v>0</v>
      </c>
      <c r="J161" s="84">
        <f t="shared" si="87"/>
        <v>720.69</v>
      </c>
      <c r="K161" s="84">
        <v>185</v>
      </c>
      <c r="L161" s="81">
        <f t="shared" si="81"/>
        <v>234.50602035</v>
      </c>
      <c r="M161" s="82">
        <f t="shared" si="82"/>
        <v>0</v>
      </c>
      <c r="N161" s="82">
        <f t="shared" si="83"/>
        <v>0</v>
      </c>
      <c r="O161" s="82">
        <f>N161+'BM 001'!O161</f>
        <v>0</v>
      </c>
      <c r="P161" s="80">
        <f t="shared" si="84"/>
        <v>133327.65000000002</v>
      </c>
      <c r="Q161" s="82">
        <f t="shared" si="85"/>
        <v>169006.14</v>
      </c>
      <c r="R161" s="82">
        <f t="shared" si="86"/>
        <v>169006.14</v>
      </c>
    </row>
    <row r="162" spans="2:18" s="34" customFormat="1" ht="13.2">
      <c r="B162" s="87" t="s">
        <v>316</v>
      </c>
      <c r="C162" s="88" t="s">
        <v>317</v>
      </c>
      <c r="D162" s="89" t="s">
        <v>79</v>
      </c>
      <c r="E162" s="103">
        <v>50.69</v>
      </c>
      <c r="F162" s="84"/>
      <c r="G162" s="84"/>
      <c r="H162" s="84"/>
      <c r="I162" s="79">
        <f>SUM(G162:H162)+'BM 001'!I162</f>
        <v>0</v>
      </c>
      <c r="J162" s="84">
        <f t="shared" si="87"/>
        <v>50.69</v>
      </c>
      <c r="K162" s="84">
        <v>765</v>
      </c>
      <c r="L162" s="81">
        <f t="shared" si="81"/>
        <v>969.71408415000008</v>
      </c>
      <c r="M162" s="82">
        <f t="shared" si="82"/>
        <v>0</v>
      </c>
      <c r="N162" s="82">
        <f t="shared" si="83"/>
        <v>0</v>
      </c>
      <c r="O162" s="82">
        <f>N162+'BM 001'!O162</f>
        <v>0</v>
      </c>
      <c r="P162" s="80">
        <f t="shared" si="84"/>
        <v>38777.85</v>
      </c>
      <c r="Q162" s="82">
        <f t="shared" si="85"/>
        <v>49154.8</v>
      </c>
      <c r="R162" s="82">
        <f t="shared" si="86"/>
        <v>49154.8</v>
      </c>
    </row>
    <row r="163" spans="2:18" s="34" customFormat="1" ht="23.4">
      <c r="B163" s="87" t="s">
        <v>318</v>
      </c>
      <c r="C163" s="88" t="s">
        <v>319</v>
      </c>
      <c r="D163" s="89" t="s">
        <v>124</v>
      </c>
      <c r="E163" s="106">
        <v>36</v>
      </c>
      <c r="F163" s="84"/>
      <c r="G163" s="84"/>
      <c r="H163" s="84"/>
      <c r="I163" s="79">
        <f>SUM(G163:H163)+'BM 001'!I163</f>
        <v>0</v>
      </c>
      <c r="J163" s="84">
        <f t="shared" si="87"/>
        <v>36</v>
      </c>
      <c r="K163" s="84">
        <v>134</v>
      </c>
      <c r="L163" s="81">
        <f t="shared" si="81"/>
        <v>169.85841474</v>
      </c>
      <c r="M163" s="82">
        <f t="shared" si="82"/>
        <v>0</v>
      </c>
      <c r="N163" s="82">
        <f t="shared" si="83"/>
        <v>0</v>
      </c>
      <c r="O163" s="82">
        <f>N163+'BM 001'!O163</f>
        <v>0</v>
      </c>
      <c r="P163" s="80">
        <f t="shared" si="84"/>
        <v>4824</v>
      </c>
      <c r="Q163" s="82">
        <f t="shared" si="85"/>
        <v>6114.9</v>
      </c>
      <c r="R163" s="82">
        <f t="shared" si="86"/>
        <v>6114.9</v>
      </c>
    </row>
    <row r="164" spans="2:18" s="34" customFormat="1" ht="13.2">
      <c r="B164" s="87" t="s">
        <v>320</v>
      </c>
      <c r="C164" s="88" t="s">
        <v>321</v>
      </c>
      <c r="D164" s="89" t="s">
        <v>124</v>
      </c>
      <c r="E164" s="106">
        <v>123.54</v>
      </c>
      <c r="F164" s="84"/>
      <c r="G164" s="84"/>
      <c r="H164" s="84"/>
      <c r="I164" s="79">
        <f>SUM(G164:H164)+'BM 001'!I164</f>
        <v>0</v>
      </c>
      <c r="J164" s="84">
        <f t="shared" si="87"/>
        <v>123.54</v>
      </c>
      <c r="K164" s="84">
        <v>149</v>
      </c>
      <c r="L164" s="81">
        <f t="shared" si="81"/>
        <v>188.87241639000001</v>
      </c>
      <c r="M164" s="82">
        <f t="shared" si="82"/>
        <v>0</v>
      </c>
      <c r="N164" s="82">
        <f t="shared" si="83"/>
        <v>0</v>
      </c>
      <c r="O164" s="82">
        <f>N164+'BM 001'!O164</f>
        <v>0</v>
      </c>
      <c r="P164" s="80">
        <f t="shared" si="84"/>
        <v>18407.46</v>
      </c>
      <c r="Q164" s="82">
        <f t="shared" si="85"/>
        <v>23333.29</v>
      </c>
      <c r="R164" s="82">
        <f t="shared" si="86"/>
        <v>23333.29</v>
      </c>
    </row>
    <row r="165" spans="2:18" s="34" customFormat="1" ht="13.2">
      <c r="B165" s="66" t="s">
        <v>322</v>
      </c>
      <c r="C165" s="67" t="s">
        <v>323</v>
      </c>
      <c r="D165" s="68"/>
      <c r="E165" s="69"/>
      <c r="F165" s="70"/>
      <c r="G165" s="70"/>
      <c r="H165" s="70"/>
      <c r="I165" s="70">
        <f>SUM(G165:H165)+'BM 001'!I165</f>
        <v>0</v>
      </c>
      <c r="J165" s="70">
        <f t="shared" si="87"/>
        <v>0</v>
      </c>
      <c r="K165" s="71"/>
      <c r="L165" s="71">
        <f t="shared" si="81"/>
        <v>0</v>
      </c>
      <c r="M165" s="73">
        <f t="shared" ref="M165:R165" si="88">SUM(M166:M169)</f>
        <v>0</v>
      </c>
      <c r="N165" s="73">
        <f t="shared" si="88"/>
        <v>0</v>
      </c>
      <c r="O165" s="73">
        <f t="shared" si="88"/>
        <v>0</v>
      </c>
      <c r="P165" s="73">
        <f t="shared" si="88"/>
        <v>63124.5</v>
      </c>
      <c r="Q165" s="73">
        <f t="shared" si="88"/>
        <v>80016.61</v>
      </c>
      <c r="R165" s="73">
        <f t="shared" si="88"/>
        <v>80016.61</v>
      </c>
    </row>
    <row r="166" spans="2:18" s="34" customFormat="1" ht="34.799999999999997">
      <c r="B166" s="87" t="s">
        <v>324</v>
      </c>
      <c r="C166" s="88" t="s">
        <v>325</v>
      </c>
      <c r="D166" s="89" t="s">
        <v>79</v>
      </c>
      <c r="E166" s="90">
        <v>290.89999999999998</v>
      </c>
      <c r="F166" s="91"/>
      <c r="G166" s="91"/>
      <c r="H166" s="91"/>
      <c r="I166" s="79">
        <f>SUM(G166:H166)+'BM 001'!I166</f>
        <v>0</v>
      </c>
      <c r="J166" s="91">
        <f t="shared" si="87"/>
        <v>290.89999999999998</v>
      </c>
      <c r="K166" s="84">
        <v>105</v>
      </c>
      <c r="L166" s="81">
        <f t="shared" si="81"/>
        <v>133.09801155</v>
      </c>
      <c r="M166" s="82">
        <f>TRUNC(F166*L166,2)</f>
        <v>0</v>
      </c>
      <c r="N166" s="82">
        <f>TRUNC(G166*L166,2)</f>
        <v>0</v>
      </c>
      <c r="O166" s="82">
        <f>N166+'BM 001'!O166</f>
        <v>0</v>
      </c>
      <c r="P166" s="80">
        <f>E166*K166</f>
        <v>30544.499999999996</v>
      </c>
      <c r="Q166" s="82">
        <f>TRUNC(E166*L166,2)</f>
        <v>38718.21</v>
      </c>
      <c r="R166" s="82">
        <f>Q166-O166</f>
        <v>38718.21</v>
      </c>
    </row>
    <row r="167" spans="2:18" s="34" customFormat="1" ht="23.4">
      <c r="B167" s="87" t="s">
        <v>326</v>
      </c>
      <c r="C167" s="88" t="s">
        <v>327</v>
      </c>
      <c r="D167" s="89" t="s">
        <v>79</v>
      </c>
      <c r="E167" s="90">
        <v>230</v>
      </c>
      <c r="F167" s="91"/>
      <c r="G167" s="91"/>
      <c r="H167" s="91"/>
      <c r="I167" s="79">
        <f>SUM(G167:H167)+'BM 001'!I167</f>
        <v>0</v>
      </c>
      <c r="J167" s="91">
        <f t="shared" si="87"/>
        <v>230</v>
      </c>
      <c r="K167" s="84">
        <v>90</v>
      </c>
      <c r="L167" s="81">
        <f t="shared" si="81"/>
        <v>114.08400990000001</v>
      </c>
      <c r="M167" s="82">
        <f>TRUNC(F167*L167,2)</f>
        <v>0</v>
      </c>
      <c r="N167" s="82">
        <f>TRUNC(G167*L167,2)</f>
        <v>0</v>
      </c>
      <c r="O167" s="82">
        <f>N167+'BM 001'!O167</f>
        <v>0</v>
      </c>
      <c r="P167" s="80">
        <f>E167*K167</f>
        <v>20700</v>
      </c>
      <c r="Q167" s="82">
        <f>TRUNC(E167*L167,2)</f>
        <v>26239.32</v>
      </c>
      <c r="R167" s="82">
        <f>Q167-O167</f>
        <v>26239.32</v>
      </c>
    </row>
    <row r="168" spans="2:18" s="34" customFormat="1" ht="23.4">
      <c r="B168" s="87" t="s">
        <v>328</v>
      </c>
      <c r="C168" s="88" t="s">
        <v>329</v>
      </c>
      <c r="D168" s="89" t="s">
        <v>82</v>
      </c>
      <c r="E168" s="90">
        <v>72</v>
      </c>
      <c r="F168" s="91"/>
      <c r="G168" s="91"/>
      <c r="H168" s="91"/>
      <c r="I168" s="79">
        <f>SUM(G168:H168)+'BM 001'!I168</f>
        <v>0</v>
      </c>
      <c r="J168" s="91">
        <f t="shared" si="87"/>
        <v>72</v>
      </c>
      <c r="K168" s="84">
        <v>120</v>
      </c>
      <c r="L168" s="81">
        <f t="shared" si="81"/>
        <v>152.11201320000001</v>
      </c>
      <c r="M168" s="82">
        <f>TRUNC(F168*L168,2)</f>
        <v>0</v>
      </c>
      <c r="N168" s="82">
        <f>TRUNC(G168*L168,2)</f>
        <v>0</v>
      </c>
      <c r="O168" s="82">
        <f>N168+'BM 001'!O168</f>
        <v>0</v>
      </c>
      <c r="P168" s="80">
        <f>E168*K168</f>
        <v>8640</v>
      </c>
      <c r="Q168" s="82">
        <f>TRUNC(E168*L168,2)</f>
        <v>10952.06</v>
      </c>
      <c r="R168" s="82">
        <f>Q168-O168</f>
        <v>10952.06</v>
      </c>
    </row>
    <row r="169" spans="2:18" s="34" customFormat="1" ht="34.799999999999997">
      <c r="B169" s="87" t="s">
        <v>330</v>
      </c>
      <c r="C169" s="88" t="s">
        <v>331</v>
      </c>
      <c r="D169" s="89" t="s">
        <v>82</v>
      </c>
      <c r="E169" s="90">
        <v>72</v>
      </c>
      <c r="F169" s="91"/>
      <c r="G169" s="91"/>
      <c r="H169" s="91"/>
      <c r="I169" s="79">
        <f>SUM(G169:H169)+'BM 001'!I169</f>
        <v>0</v>
      </c>
      <c r="J169" s="91">
        <f t="shared" si="87"/>
        <v>72</v>
      </c>
      <c r="K169" s="84">
        <v>45</v>
      </c>
      <c r="L169" s="81">
        <f t="shared" si="81"/>
        <v>57.042004950000006</v>
      </c>
      <c r="M169" s="82">
        <f>TRUNC(F169*L169,2)</f>
        <v>0</v>
      </c>
      <c r="N169" s="82">
        <f>TRUNC(G169*L169,2)</f>
        <v>0</v>
      </c>
      <c r="O169" s="82">
        <f>N169+'BM 001'!O169</f>
        <v>0</v>
      </c>
      <c r="P169" s="80">
        <f>E169*K169</f>
        <v>3240</v>
      </c>
      <c r="Q169" s="82">
        <f>TRUNC(E169*L169,2)</f>
        <v>4107.0200000000004</v>
      </c>
      <c r="R169" s="82">
        <f>Q169-O169</f>
        <v>4107.0200000000004</v>
      </c>
    </row>
    <row r="170" spans="2:18" s="34" customFormat="1" ht="13.2">
      <c r="B170" s="60" t="s">
        <v>332</v>
      </c>
      <c r="C170" s="61" t="s">
        <v>333</v>
      </c>
      <c r="D170" s="60"/>
      <c r="E170" s="62"/>
      <c r="F170" s="63"/>
      <c r="G170" s="63"/>
      <c r="H170" s="63"/>
      <c r="I170" s="63">
        <f>SUM(G170:H170)+'BM 001'!I170</f>
        <v>0</v>
      </c>
      <c r="J170" s="63">
        <f t="shared" si="87"/>
        <v>0</v>
      </c>
      <c r="K170" s="63"/>
      <c r="L170" s="63">
        <f t="shared" si="81"/>
        <v>0</v>
      </c>
      <c r="M170" s="63">
        <f t="shared" ref="M170:R170" si="89">SUM(M171:M174)</f>
        <v>0</v>
      </c>
      <c r="N170" s="63">
        <f t="shared" si="89"/>
        <v>0</v>
      </c>
      <c r="O170" s="63">
        <f t="shared" si="89"/>
        <v>0</v>
      </c>
      <c r="P170" s="63">
        <f t="shared" si="89"/>
        <v>584904.20000000007</v>
      </c>
      <c r="Q170" s="63">
        <f t="shared" si="89"/>
        <v>741424.62000000011</v>
      </c>
      <c r="R170" s="63">
        <f t="shared" si="89"/>
        <v>741424.62000000011</v>
      </c>
    </row>
    <row r="171" spans="2:18" s="34" customFormat="1" ht="46.2">
      <c r="B171" s="87" t="s">
        <v>334</v>
      </c>
      <c r="C171" s="88" t="s">
        <v>335</v>
      </c>
      <c r="D171" s="89" t="s">
        <v>79</v>
      </c>
      <c r="E171" s="90">
        <v>3789.02</v>
      </c>
      <c r="F171" s="91"/>
      <c r="G171" s="91"/>
      <c r="H171" s="91"/>
      <c r="I171" s="79">
        <f>SUM(G171:H171)+'BM 001'!I171</f>
        <v>0</v>
      </c>
      <c r="J171" s="91">
        <f t="shared" si="87"/>
        <v>3789.02</v>
      </c>
      <c r="K171" s="84">
        <v>70</v>
      </c>
      <c r="L171" s="81">
        <f t="shared" si="81"/>
        <v>88.732007699999997</v>
      </c>
      <c r="M171" s="82">
        <f>TRUNC(F171*L171,2)</f>
        <v>0</v>
      </c>
      <c r="N171" s="82">
        <f>TRUNC(G171*L171,2)</f>
        <v>0</v>
      </c>
      <c r="O171" s="82">
        <f>N171+'BM 001'!O171</f>
        <v>0</v>
      </c>
      <c r="P171" s="80">
        <f>E171*K171</f>
        <v>265231.40000000002</v>
      </c>
      <c r="Q171" s="82">
        <f>TRUNC(E171*L171,2)</f>
        <v>336207.35</v>
      </c>
      <c r="R171" s="82">
        <f>Q171-O171</f>
        <v>336207.35</v>
      </c>
    </row>
    <row r="172" spans="2:18" s="34" customFormat="1" ht="23.4">
      <c r="B172" s="87" t="s">
        <v>336</v>
      </c>
      <c r="C172" s="88" t="s">
        <v>337</v>
      </c>
      <c r="D172" s="89" t="s">
        <v>79</v>
      </c>
      <c r="E172" s="90">
        <v>184.68</v>
      </c>
      <c r="F172" s="91"/>
      <c r="G172" s="91"/>
      <c r="H172" s="91"/>
      <c r="I172" s="79">
        <f>SUM(G172:H172)+'BM 001'!I172</f>
        <v>0</v>
      </c>
      <c r="J172" s="91">
        <f t="shared" si="87"/>
        <v>184.68</v>
      </c>
      <c r="K172" s="84">
        <v>735</v>
      </c>
      <c r="L172" s="81">
        <f t="shared" si="81"/>
        <v>931.68608085000005</v>
      </c>
      <c r="M172" s="82">
        <f>TRUNC(F172*L172,2)</f>
        <v>0</v>
      </c>
      <c r="N172" s="82">
        <f>TRUNC(G172*L172,2)</f>
        <v>0</v>
      </c>
      <c r="O172" s="82">
        <f>N172+'BM 001'!O172</f>
        <v>0</v>
      </c>
      <c r="P172" s="80">
        <f>E172*K172</f>
        <v>135739.80000000002</v>
      </c>
      <c r="Q172" s="82">
        <f>TRUNC(E172*L172,2)</f>
        <v>172063.78</v>
      </c>
      <c r="R172" s="82">
        <f>Q172-O172</f>
        <v>172063.78</v>
      </c>
    </row>
    <row r="173" spans="2:18" s="34" customFormat="1" ht="34.799999999999997">
      <c r="B173" s="87" t="s">
        <v>338</v>
      </c>
      <c r="C173" s="88" t="s">
        <v>339</v>
      </c>
      <c r="D173" s="89" t="s">
        <v>79</v>
      </c>
      <c r="E173" s="90">
        <v>798.6</v>
      </c>
      <c r="F173" s="91"/>
      <c r="G173" s="91"/>
      <c r="H173" s="91"/>
      <c r="I173" s="79">
        <f>SUM(G173:H173)+'BM 001'!I173</f>
        <v>0</v>
      </c>
      <c r="J173" s="91">
        <f t="shared" si="87"/>
        <v>798.6</v>
      </c>
      <c r="K173" s="84">
        <v>125</v>
      </c>
      <c r="L173" s="81">
        <f t="shared" si="81"/>
        <v>158.45001375000001</v>
      </c>
      <c r="M173" s="82">
        <f>TRUNC(F173*L173,2)</f>
        <v>0</v>
      </c>
      <c r="N173" s="82">
        <f>TRUNC(G173*L173,2)</f>
        <v>0</v>
      </c>
      <c r="O173" s="82">
        <f>N173+'BM 001'!O173</f>
        <v>0</v>
      </c>
      <c r="P173" s="80">
        <f>E173*K173</f>
        <v>99825</v>
      </c>
      <c r="Q173" s="82">
        <f>TRUNC(E173*L173,2)</f>
        <v>126538.18</v>
      </c>
      <c r="R173" s="82">
        <f>Q173-O173</f>
        <v>126538.18</v>
      </c>
    </row>
    <row r="174" spans="2:18" s="34" customFormat="1" ht="46.2">
      <c r="B174" s="87" t="s">
        <v>340</v>
      </c>
      <c r="C174" s="88" t="s">
        <v>341</v>
      </c>
      <c r="D174" s="89" t="s">
        <v>79</v>
      </c>
      <c r="E174" s="90">
        <v>489</v>
      </c>
      <c r="F174" s="91"/>
      <c r="G174" s="91"/>
      <c r="H174" s="91"/>
      <c r="I174" s="79">
        <f>SUM(G174:H174)+'BM 001'!I174</f>
        <v>0</v>
      </c>
      <c r="J174" s="91">
        <f t="shared" si="87"/>
        <v>489</v>
      </c>
      <c r="K174" s="84">
        <v>172</v>
      </c>
      <c r="L174" s="81">
        <f t="shared" si="81"/>
        <v>218.02721892</v>
      </c>
      <c r="M174" s="82">
        <f>TRUNC(F174*L174,2)</f>
        <v>0</v>
      </c>
      <c r="N174" s="82">
        <f>TRUNC(G174*L174,2)</f>
        <v>0</v>
      </c>
      <c r="O174" s="82">
        <f>N174+'BM 001'!O174</f>
        <v>0</v>
      </c>
      <c r="P174" s="80">
        <f>E174*K174</f>
        <v>84108</v>
      </c>
      <c r="Q174" s="82">
        <f>TRUNC(E174*L174,2)</f>
        <v>106615.31</v>
      </c>
      <c r="R174" s="82">
        <f>Q174-O174</f>
        <v>106615.31</v>
      </c>
    </row>
    <row r="175" spans="2:18" s="34" customFormat="1" ht="13.2">
      <c r="B175" s="60" t="s">
        <v>342</v>
      </c>
      <c r="C175" s="61" t="s">
        <v>343</v>
      </c>
      <c r="D175" s="60"/>
      <c r="E175" s="62"/>
      <c r="F175" s="63"/>
      <c r="G175" s="63"/>
      <c r="H175" s="63"/>
      <c r="I175" s="63">
        <f>SUM(G175:H175)+'BM 001'!I175</f>
        <v>0</v>
      </c>
      <c r="J175" s="63">
        <f t="shared" si="87"/>
        <v>0</v>
      </c>
      <c r="K175" s="63"/>
      <c r="L175" s="63">
        <f t="shared" si="81"/>
        <v>0</v>
      </c>
      <c r="M175" s="63">
        <f t="shared" ref="M175:R175" si="90">SUM(M176:M177)</f>
        <v>0</v>
      </c>
      <c r="N175" s="63">
        <f t="shared" si="90"/>
        <v>0</v>
      </c>
      <c r="O175" s="63">
        <f t="shared" si="90"/>
        <v>0</v>
      </c>
      <c r="P175" s="63">
        <f t="shared" si="90"/>
        <v>260085</v>
      </c>
      <c r="Q175" s="63">
        <f t="shared" si="90"/>
        <v>329683.77</v>
      </c>
      <c r="R175" s="63">
        <f t="shared" si="90"/>
        <v>329683.77</v>
      </c>
    </row>
    <row r="176" spans="2:18" s="34" customFormat="1" ht="23.4">
      <c r="B176" s="87" t="s">
        <v>344</v>
      </c>
      <c r="C176" s="88" t="s">
        <v>345</v>
      </c>
      <c r="D176" s="89" t="s">
        <v>79</v>
      </c>
      <c r="E176" s="90">
        <v>1785</v>
      </c>
      <c r="F176" s="91"/>
      <c r="G176" s="91"/>
      <c r="H176" s="91"/>
      <c r="I176" s="79">
        <f>SUM(G176:H176)+'BM 001'!I176</f>
        <v>0</v>
      </c>
      <c r="J176" s="91">
        <f t="shared" si="87"/>
        <v>1785</v>
      </c>
      <c r="K176" s="84">
        <v>125</v>
      </c>
      <c r="L176" s="81">
        <f t="shared" si="81"/>
        <v>158.45001375000001</v>
      </c>
      <c r="M176" s="82">
        <f>TRUNC(F176*L176,2)</f>
        <v>0</v>
      </c>
      <c r="N176" s="82">
        <f>TRUNC(G176*L176,2)</f>
        <v>0</v>
      </c>
      <c r="O176" s="82">
        <f>N176+'BM 001'!O176</f>
        <v>0</v>
      </c>
      <c r="P176" s="80">
        <f>E176*K176</f>
        <v>223125</v>
      </c>
      <c r="Q176" s="82">
        <f>TRUNC(E176*L176,2)</f>
        <v>282833.27</v>
      </c>
      <c r="R176" s="82">
        <f>Q176-O176</f>
        <v>282833.27</v>
      </c>
    </row>
    <row r="177" spans="2:18" s="34" customFormat="1" ht="23.4">
      <c r="B177" s="75" t="s">
        <v>346</v>
      </c>
      <c r="C177" s="76" t="s">
        <v>347</v>
      </c>
      <c r="D177" s="77" t="s">
        <v>79</v>
      </c>
      <c r="E177" s="93">
        <v>880</v>
      </c>
      <c r="F177" s="79"/>
      <c r="G177" s="79"/>
      <c r="H177" s="79"/>
      <c r="I177" s="79">
        <f>SUM(G177:H177)+'BM 001'!I177</f>
        <v>0</v>
      </c>
      <c r="J177" s="79">
        <f t="shared" si="87"/>
        <v>880</v>
      </c>
      <c r="K177" s="84">
        <v>42</v>
      </c>
      <c r="L177" s="81">
        <f t="shared" si="81"/>
        <v>53.239204620000002</v>
      </c>
      <c r="M177" s="82">
        <f>TRUNC(F177*L177,2)</f>
        <v>0</v>
      </c>
      <c r="N177" s="82">
        <f>TRUNC(G177*L177,2)</f>
        <v>0</v>
      </c>
      <c r="O177" s="82">
        <f>N177+'BM 001'!O177</f>
        <v>0</v>
      </c>
      <c r="P177" s="80">
        <f>E177*K177</f>
        <v>36960</v>
      </c>
      <c r="Q177" s="82">
        <f>TRUNC(E177*L177,2)</f>
        <v>46850.5</v>
      </c>
      <c r="R177" s="82">
        <f>Q177-O177</f>
        <v>46850.5</v>
      </c>
    </row>
    <row r="178" spans="2:18" s="34" customFormat="1" ht="13.2">
      <c r="B178" s="60" t="s">
        <v>348</v>
      </c>
      <c r="C178" s="61" t="s">
        <v>349</v>
      </c>
      <c r="D178" s="60"/>
      <c r="E178" s="62"/>
      <c r="F178" s="63"/>
      <c r="G178" s="63"/>
      <c r="H178" s="63"/>
      <c r="I178" s="63">
        <f>SUM(G178:H178)+'BM 001'!I178</f>
        <v>0</v>
      </c>
      <c r="J178" s="63">
        <f t="shared" si="87"/>
        <v>0</v>
      </c>
      <c r="K178" s="63"/>
      <c r="L178" s="63">
        <f t="shared" si="81"/>
        <v>0</v>
      </c>
      <c r="M178" s="63">
        <f t="shared" ref="M178:R178" si="91">SUM(M179,M205)</f>
        <v>0</v>
      </c>
      <c r="N178" s="63">
        <f t="shared" si="91"/>
        <v>0</v>
      </c>
      <c r="O178" s="63">
        <f t="shared" si="91"/>
        <v>0</v>
      </c>
      <c r="P178" s="63">
        <f t="shared" si="91"/>
        <v>3144051.95</v>
      </c>
      <c r="Q178" s="63">
        <f t="shared" si="91"/>
        <v>3985400.4499999997</v>
      </c>
      <c r="R178" s="63">
        <f t="shared" si="91"/>
        <v>3985400.4499999997</v>
      </c>
    </row>
    <row r="179" spans="2:18" s="34" customFormat="1" ht="13.2">
      <c r="B179" s="66" t="s">
        <v>350</v>
      </c>
      <c r="C179" s="67" t="s">
        <v>351</v>
      </c>
      <c r="D179" s="68"/>
      <c r="E179" s="69"/>
      <c r="F179" s="70"/>
      <c r="G179" s="70"/>
      <c r="H179" s="70"/>
      <c r="I179" s="70">
        <f>SUM(G179:H179)+'BM 001'!I179</f>
        <v>0</v>
      </c>
      <c r="J179" s="70">
        <f t="shared" si="87"/>
        <v>0</v>
      </c>
      <c r="K179" s="71"/>
      <c r="L179" s="71">
        <f t="shared" si="81"/>
        <v>0</v>
      </c>
      <c r="M179" s="73">
        <f t="shared" ref="M179:R179" si="92">SUM(M180:M204)</f>
        <v>0</v>
      </c>
      <c r="N179" s="73">
        <f t="shared" si="92"/>
        <v>0</v>
      </c>
      <c r="O179" s="73">
        <f t="shared" si="92"/>
        <v>0</v>
      </c>
      <c r="P179" s="73">
        <f t="shared" si="92"/>
        <v>2156515.4</v>
      </c>
      <c r="Q179" s="73">
        <f t="shared" si="92"/>
        <v>2733599.05</v>
      </c>
      <c r="R179" s="73">
        <f t="shared" si="92"/>
        <v>2733599.05</v>
      </c>
    </row>
    <row r="180" spans="2:18" s="34" customFormat="1" ht="103.2">
      <c r="B180" s="75" t="s">
        <v>352</v>
      </c>
      <c r="C180" s="88" t="s">
        <v>353</v>
      </c>
      <c r="D180" s="89" t="s">
        <v>63</v>
      </c>
      <c r="E180" s="92">
        <v>56</v>
      </c>
      <c r="F180" s="91"/>
      <c r="G180" s="91"/>
      <c r="H180" s="91"/>
      <c r="I180" s="79">
        <f>SUM(G180:H180)+'BM 001'!I180</f>
        <v>0</v>
      </c>
      <c r="J180" s="91">
        <f t="shared" si="87"/>
        <v>56</v>
      </c>
      <c r="K180" s="84">
        <v>3125</v>
      </c>
      <c r="L180" s="81">
        <f t="shared" si="81"/>
        <v>3961.25034375</v>
      </c>
      <c r="M180" s="82">
        <f t="shared" ref="M180:M204" si="93">TRUNC(F180*L180,2)</f>
        <v>0</v>
      </c>
      <c r="N180" s="82">
        <f t="shared" ref="N180:N204" si="94">TRUNC(G180*L180,2)</f>
        <v>0</v>
      </c>
      <c r="O180" s="82">
        <f>N180+'BM 001'!O180</f>
        <v>0</v>
      </c>
      <c r="P180" s="80">
        <f t="shared" ref="P180:P204" si="95">E180*K180</f>
        <v>175000</v>
      </c>
      <c r="Q180" s="82">
        <f t="shared" ref="Q180:Q204" si="96">TRUNC(E180*L180,2)</f>
        <v>221830.01</v>
      </c>
      <c r="R180" s="82">
        <f t="shared" ref="R180:R204" si="97">Q180-O180</f>
        <v>221830.01</v>
      </c>
    </row>
    <row r="181" spans="2:18" s="34" customFormat="1" ht="80.400000000000006">
      <c r="B181" s="75" t="s">
        <v>354</v>
      </c>
      <c r="C181" s="88" t="s">
        <v>355</v>
      </c>
      <c r="D181" s="89" t="s">
        <v>63</v>
      </c>
      <c r="E181" s="92">
        <v>51</v>
      </c>
      <c r="F181" s="91"/>
      <c r="G181" s="91"/>
      <c r="H181" s="91"/>
      <c r="I181" s="79">
        <f>SUM(G181:H181)+'BM 001'!I181</f>
        <v>0</v>
      </c>
      <c r="J181" s="91">
        <f t="shared" si="87"/>
        <v>51</v>
      </c>
      <c r="K181" s="84">
        <v>3580</v>
      </c>
      <c r="L181" s="81">
        <f t="shared" si="81"/>
        <v>4538.0083937999998</v>
      </c>
      <c r="M181" s="82">
        <f t="shared" si="93"/>
        <v>0</v>
      </c>
      <c r="N181" s="82">
        <f t="shared" si="94"/>
        <v>0</v>
      </c>
      <c r="O181" s="82">
        <f>N181+'BM 001'!O181</f>
        <v>0</v>
      </c>
      <c r="P181" s="80">
        <f t="shared" si="95"/>
        <v>182580</v>
      </c>
      <c r="Q181" s="82">
        <f t="shared" si="96"/>
        <v>231438.42</v>
      </c>
      <c r="R181" s="82">
        <f t="shared" si="97"/>
        <v>231438.42</v>
      </c>
    </row>
    <row r="182" spans="2:18" s="34" customFormat="1" ht="91.8">
      <c r="B182" s="75" t="s">
        <v>356</v>
      </c>
      <c r="C182" s="88" t="s">
        <v>357</v>
      </c>
      <c r="D182" s="89" t="s">
        <v>63</v>
      </c>
      <c r="E182" s="92">
        <v>11</v>
      </c>
      <c r="F182" s="91"/>
      <c r="G182" s="91"/>
      <c r="H182" s="91"/>
      <c r="I182" s="79">
        <f>SUM(G182:H182)+'BM 001'!I182</f>
        <v>0</v>
      </c>
      <c r="J182" s="91">
        <f t="shared" si="87"/>
        <v>11</v>
      </c>
      <c r="K182" s="84">
        <v>3995</v>
      </c>
      <c r="L182" s="81">
        <f t="shared" si="81"/>
        <v>5064.0624394500001</v>
      </c>
      <c r="M182" s="82">
        <f t="shared" si="93"/>
        <v>0</v>
      </c>
      <c r="N182" s="82">
        <f t="shared" si="94"/>
        <v>0</v>
      </c>
      <c r="O182" s="82">
        <f>N182+'BM 001'!O182</f>
        <v>0</v>
      </c>
      <c r="P182" s="80">
        <f t="shared" si="95"/>
        <v>43945</v>
      </c>
      <c r="Q182" s="82">
        <f t="shared" si="96"/>
        <v>55704.68</v>
      </c>
      <c r="R182" s="82">
        <f t="shared" si="97"/>
        <v>55704.68</v>
      </c>
    </row>
    <row r="183" spans="2:18" s="34" customFormat="1" ht="57.6">
      <c r="B183" s="75" t="s">
        <v>358</v>
      </c>
      <c r="C183" s="88" t="s">
        <v>359</v>
      </c>
      <c r="D183" s="89" t="s">
        <v>63</v>
      </c>
      <c r="E183" s="92">
        <v>2</v>
      </c>
      <c r="F183" s="91"/>
      <c r="G183" s="91"/>
      <c r="H183" s="91"/>
      <c r="I183" s="79">
        <f>SUM(G183:H183)+'BM 001'!I183</f>
        <v>0</v>
      </c>
      <c r="J183" s="91">
        <f t="shared" si="87"/>
        <v>2</v>
      </c>
      <c r="K183" s="84">
        <v>4100</v>
      </c>
      <c r="L183" s="81">
        <f t="shared" si="81"/>
        <v>5197.1604510000006</v>
      </c>
      <c r="M183" s="82">
        <f t="shared" si="93"/>
        <v>0</v>
      </c>
      <c r="N183" s="82">
        <f t="shared" si="94"/>
        <v>0</v>
      </c>
      <c r="O183" s="82">
        <f>N183+'BM 001'!O183</f>
        <v>0</v>
      </c>
      <c r="P183" s="80">
        <f t="shared" si="95"/>
        <v>8200</v>
      </c>
      <c r="Q183" s="82">
        <f t="shared" si="96"/>
        <v>10394.32</v>
      </c>
      <c r="R183" s="82">
        <f t="shared" si="97"/>
        <v>10394.32</v>
      </c>
    </row>
    <row r="184" spans="2:18" s="34" customFormat="1" ht="103.2">
      <c r="B184" s="75" t="s">
        <v>360</v>
      </c>
      <c r="C184" s="88" t="s">
        <v>361</v>
      </c>
      <c r="D184" s="89" t="s">
        <v>63</v>
      </c>
      <c r="E184" s="92">
        <v>24</v>
      </c>
      <c r="F184" s="91"/>
      <c r="G184" s="91"/>
      <c r="H184" s="91"/>
      <c r="I184" s="79">
        <f>SUM(G184:H184)+'BM 001'!I184</f>
        <v>0</v>
      </c>
      <c r="J184" s="91">
        <f t="shared" si="87"/>
        <v>24</v>
      </c>
      <c r="K184" s="84">
        <v>4425</v>
      </c>
      <c r="L184" s="81">
        <f t="shared" si="81"/>
        <v>5609.1304867500003</v>
      </c>
      <c r="M184" s="82">
        <f t="shared" si="93"/>
        <v>0</v>
      </c>
      <c r="N184" s="82">
        <f t="shared" si="94"/>
        <v>0</v>
      </c>
      <c r="O184" s="82">
        <f>N184+'BM 001'!O184</f>
        <v>0</v>
      </c>
      <c r="P184" s="80">
        <f t="shared" si="95"/>
        <v>106200</v>
      </c>
      <c r="Q184" s="82">
        <f t="shared" si="96"/>
        <v>134619.13</v>
      </c>
      <c r="R184" s="82">
        <f t="shared" si="97"/>
        <v>134619.13</v>
      </c>
    </row>
    <row r="185" spans="2:18" s="34" customFormat="1" ht="103.2">
      <c r="B185" s="75" t="s">
        <v>362</v>
      </c>
      <c r="C185" s="88" t="s">
        <v>363</v>
      </c>
      <c r="D185" s="89" t="s">
        <v>63</v>
      </c>
      <c r="E185" s="92">
        <v>8</v>
      </c>
      <c r="F185" s="91"/>
      <c r="G185" s="91"/>
      <c r="H185" s="91"/>
      <c r="I185" s="79">
        <f>SUM(G185:H185)+'BM 001'!I185</f>
        <v>0</v>
      </c>
      <c r="J185" s="91">
        <f t="shared" si="87"/>
        <v>8</v>
      </c>
      <c r="K185" s="84">
        <v>4495</v>
      </c>
      <c r="L185" s="81">
        <f t="shared" si="81"/>
        <v>5697.8624944500007</v>
      </c>
      <c r="M185" s="82">
        <f t="shared" si="93"/>
        <v>0</v>
      </c>
      <c r="N185" s="82">
        <f t="shared" si="94"/>
        <v>0</v>
      </c>
      <c r="O185" s="82">
        <f>N185+'BM 001'!O185</f>
        <v>0</v>
      </c>
      <c r="P185" s="80">
        <f t="shared" si="95"/>
        <v>35960</v>
      </c>
      <c r="Q185" s="82">
        <f t="shared" si="96"/>
        <v>45582.89</v>
      </c>
      <c r="R185" s="82">
        <f t="shared" si="97"/>
        <v>45582.89</v>
      </c>
    </row>
    <row r="186" spans="2:18" s="34" customFormat="1" ht="46.2">
      <c r="B186" s="75" t="s">
        <v>364</v>
      </c>
      <c r="C186" s="88" t="s">
        <v>365</v>
      </c>
      <c r="D186" s="89" t="s">
        <v>63</v>
      </c>
      <c r="E186" s="92">
        <v>3</v>
      </c>
      <c r="F186" s="91"/>
      <c r="G186" s="91"/>
      <c r="H186" s="91"/>
      <c r="I186" s="79">
        <f>SUM(G186:H186)+'BM 001'!I186</f>
        <v>0</v>
      </c>
      <c r="J186" s="91">
        <f t="shared" si="87"/>
        <v>3</v>
      </c>
      <c r="K186" s="84">
        <v>8550</v>
      </c>
      <c r="L186" s="81">
        <f t="shared" si="81"/>
        <v>10837.9809405</v>
      </c>
      <c r="M186" s="82">
        <f t="shared" si="93"/>
        <v>0</v>
      </c>
      <c r="N186" s="82">
        <f t="shared" si="94"/>
        <v>0</v>
      </c>
      <c r="O186" s="82">
        <f>N186+'BM 001'!O186</f>
        <v>0</v>
      </c>
      <c r="P186" s="80">
        <f t="shared" si="95"/>
        <v>25650</v>
      </c>
      <c r="Q186" s="82">
        <f t="shared" si="96"/>
        <v>32513.94</v>
      </c>
      <c r="R186" s="82">
        <f t="shared" si="97"/>
        <v>32513.94</v>
      </c>
    </row>
    <row r="187" spans="2:18" s="34" customFormat="1" ht="114.6">
      <c r="B187" s="75" t="s">
        <v>366</v>
      </c>
      <c r="C187" s="88" t="s">
        <v>367</v>
      </c>
      <c r="D187" s="89" t="s">
        <v>63</v>
      </c>
      <c r="E187" s="92">
        <v>2</v>
      </c>
      <c r="F187" s="91"/>
      <c r="G187" s="91"/>
      <c r="H187" s="91"/>
      <c r="I187" s="79">
        <f>SUM(G187:H187)+'BM 001'!I187</f>
        <v>0</v>
      </c>
      <c r="J187" s="91">
        <f t="shared" si="87"/>
        <v>2</v>
      </c>
      <c r="K187" s="84">
        <v>6750</v>
      </c>
      <c r="L187" s="81">
        <f t="shared" si="81"/>
        <v>8556.3007424999996</v>
      </c>
      <c r="M187" s="82">
        <f t="shared" si="93"/>
        <v>0</v>
      </c>
      <c r="N187" s="82">
        <f t="shared" si="94"/>
        <v>0</v>
      </c>
      <c r="O187" s="82">
        <f>N187+'BM 001'!O187</f>
        <v>0</v>
      </c>
      <c r="P187" s="80">
        <f t="shared" si="95"/>
        <v>13500</v>
      </c>
      <c r="Q187" s="82">
        <f t="shared" si="96"/>
        <v>17112.599999999999</v>
      </c>
      <c r="R187" s="82">
        <f t="shared" si="97"/>
        <v>17112.599999999999</v>
      </c>
    </row>
    <row r="188" spans="2:18" s="34" customFormat="1" ht="46.2">
      <c r="B188" s="75" t="s">
        <v>368</v>
      </c>
      <c r="C188" s="88" t="s">
        <v>369</v>
      </c>
      <c r="D188" s="89" t="s">
        <v>63</v>
      </c>
      <c r="E188" s="92">
        <v>18</v>
      </c>
      <c r="F188" s="91"/>
      <c r="G188" s="91"/>
      <c r="H188" s="91"/>
      <c r="I188" s="79">
        <f>SUM(G188:H188)+'BM 001'!I188</f>
        <v>0</v>
      </c>
      <c r="J188" s="91">
        <f t="shared" si="87"/>
        <v>18</v>
      </c>
      <c r="K188" s="84">
        <v>2490</v>
      </c>
      <c r="L188" s="81">
        <f t="shared" si="81"/>
        <v>3156.3242739000002</v>
      </c>
      <c r="M188" s="82">
        <f t="shared" si="93"/>
        <v>0</v>
      </c>
      <c r="N188" s="82">
        <f t="shared" si="94"/>
        <v>0</v>
      </c>
      <c r="O188" s="82">
        <f>N188+'BM 001'!O188</f>
        <v>0</v>
      </c>
      <c r="P188" s="80">
        <f t="shared" si="95"/>
        <v>44820</v>
      </c>
      <c r="Q188" s="82">
        <f t="shared" si="96"/>
        <v>56813.83</v>
      </c>
      <c r="R188" s="82">
        <f t="shared" si="97"/>
        <v>56813.83</v>
      </c>
    </row>
    <row r="189" spans="2:18" s="34" customFormat="1" ht="57.6">
      <c r="B189" s="75" t="s">
        <v>370</v>
      </c>
      <c r="C189" s="88" t="s">
        <v>371</v>
      </c>
      <c r="D189" s="89" t="s">
        <v>63</v>
      </c>
      <c r="E189" s="92">
        <v>1</v>
      </c>
      <c r="F189" s="91"/>
      <c r="G189" s="91"/>
      <c r="H189" s="91"/>
      <c r="I189" s="79">
        <f>SUM(G189:H189)+'BM 001'!I189</f>
        <v>0</v>
      </c>
      <c r="J189" s="91">
        <f t="shared" si="87"/>
        <v>1</v>
      </c>
      <c r="K189" s="84">
        <v>5950</v>
      </c>
      <c r="L189" s="81">
        <f t="shared" si="81"/>
        <v>7542.2206544999999</v>
      </c>
      <c r="M189" s="82">
        <f t="shared" si="93"/>
        <v>0</v>
      </c>
      <c r="N189" s="82">
        <f t="shared" si="94"/>
        <v>0</v>
      </c>
      <c r="O189" s="82">
        <f>N189+'BM 001'!O189</f>
        <v>0</v>
      </c>
      <c r="P189" s="80">
        <f t="shared" si="95"/>
        <v>5950</v>
      </c>
      <c r="Q189" s="82">
        <f t="shared" si="96"/>
        <v>7542.22</v>
      </c>
      <c r="R189" s="82">
        <f t="shared" si="97"/>
        <v>7542.22</v>
      </c>
    </row>
    <row r="190" spans="2:18" s="34" customFormat="1" ht="46.2">
      <c r="B190" s="75" t="s">
        <v>372</v>
      </c>
      <c r="C190" s="88" t="s">
        <v>373</v>
      </c>
      <c r="D190" s="89" t="s">
        <v>63</v>
      </c>
      <c r="E190" s="92">
        <v>1</v>
      </c>
      <c r="F190" s="91"/>
      <c r="G190" s="91"/>
      <c r="H190" s="91"/>
      <c r="I190" s="79">
        <f>SUM(G190:H190)+'BM 001'!I190</f>
        <v>0</v>
      </c>
      <c r="J190" s="91">
        <f t="shared" si="87"/>
        <v>1</v>
      </c>
      <c r="K190" s="84">
        <v>5950</v>
      </c>
      <c r="L190" s="81">
        <f t="shared" si="81"/>
        <v>7542.2206544999999</v>
      </c>
      <c r="M190" s="82">
        <f t="shared" si="93"/>
        <v>0</v>
      </c>
      <c r="N190" s="82">
        <f t="shared" si="94"/>
        <v>0</v>
      </c>
      <c r="O190" s="82">
        <f>N190+'BM 001'!O190</f>
        <v>0</v>
      </c>
      <c r="P190" s="80">
        <f t="shared" si="95"/>
        <v>5950</v>
      </c>
      <c r="Q190" s="82">
        <f t="shared" si="96"/>
        <v>7542.22</v>
      </c>
      <c r="R190" s="82">
        <f t="shared" si="97"/>
        <v>7542.22</v>
      </c>
    </row>
    <row r="191" spans="2:18" s="34" customFormat="1" ht="46.2">
      <c r="B191" s="75" t="s">
        <v>374</v>
      </c>
      <c r="C191" s="88" t="s">
        <v>375</v>
      </c>
      <c r="D191" s="89" t="s">
        <v>79</v>
      </c>
      <c r="E191" s="92">
        <v>184.04</v>
      </c>
      <c r="F191" s="91"/>
      <c r="G191" s="91"/>
      <c r="H191" s="91"/>
      <c r="I191" s="79">
        <f>SUM(G191:H191)+'BM 001'!I191</f>
        <v>0</v>
      </c>
      <c r="J191" s="91">
        <f t="shared" si="87"/>
        <v>184.04</v>
      </c>
      <c r="K191" s="84">
        <v>1265</v>
      </c>
      <c r="L191" s="81">
        <f t="shared" si="81"/>
        <v>1603.5141391500001</v>
      </c>
      <c r="M191" s="82">
        <f t="shared" si="93"/>
        <v>0</v>
      </c>
      <c r="N191" s="82">
        <f t="shared" si="94"/>
        <v>0</v>
      </c>
      <c r="O191" s="82">
        <f>N191+'BM 001'!O191</f>
        <v>0</v>
      </c>
      <c r="P191" s="80">
        <f t="shared" si="95"/>
        <v>232810.59999999998</v>
      </c>
      <c r="Q191" s="82">
        <f t="shared" si="96"/>
        <v>295110.74</v>
      </c>
      <c r="R191" s="82">
        <f t="shared" si="97"/>
        <v>295110.74</v>
      </c>
    </row>
    <row r="192" spans="2:18" s="34" customFormat="1" ht="34.799999999999997">
      <c r="B192" s="75" t="s">
        <v>376</v>
      </c>
      <c r="C192" s="88" t="s">
        <v>377</v>
      </c>
      <c r="D192" s="89" t="s">
        <v>79</v>
      </c>
      <c r="E192" s="92">
        <v>53.96</v>
      </c>
      <c r="F192" s="91"/>
      <c r="G192" s="91"/>
      <c r="H192" s="91"/>
      <c r="I192" s="79">
        <f>SUM(G192:H192)+'BM 001'!I192</f>
        <v>0</v>
      </c>
      <c r="J192" s="91">
        <f t="shared" si="87"/>
        <v>53.96</v>
      </c>
      <c r="K192" s="84">
        <v>1080</v>
      </c>
      <c r="L192" s="81">
        <f t="shared" si="81"/>
        <v>1369.0081188000001</v>
      </c>
      <c r="M192" s="82">
        <f t="shared" si="93"/>
        <v>0</v>
      </c>
      <c r="N192" s="82">
        <f t="shared" si="94"/>
        <v>0</v>
      </c>
      <c r="O192" s="82">
        <f>N192+'BM 001'!O192</f>
        <v>0</v>
      </c>
      <c r="P192" s="80">
        <f t="shared" si="95"/>
        <v>58276.800000000003</v>
      </c>
      <c r="Q192" s="82">
        <f t="shared" si="96"/>
        <v>73871.67</v>
      </c>
      <c r="R192" s="82">
        <f t="shared" si="97"/>
        <v>73871.67</v>
      </c>
    </row>
    <row r="193" spans="2:18" s="34" customFormat="1" ht="46.2">
      <c r="B193" s="75" t="s">
        <v>378</v>
      </c>
      <c r="C193" s="88" t="s">
        <v>379</v>
      </c>
      <c r="D193" s="89" t="s">
        <v>79</v>
      </c>
      <c r="E193" s="92">
        <v>130.29</v>
      </c>
      <c r="F193" s="91"/>
      <c r="G193" s="91"/>
      <c r="H193" s="91"/>
      <c r="I193" s="79">
        <f>SUM(G193:H193)+'BM 001'!I193</f>
        <v>0</v>
      </c>
      <c r="J193" s="91">
        <f t="shared" si="87"/>
        <v>130.29</v>
      </c>
      <c r="K193" s="84">
        <v>1220</v>
      </c>
      <c r="L193" s="81">
        <f t="shared" si="81"/>
        <v>1546.4721342</v>
      </c>
      <c r="M193" s="82">
        <f t="shared" si="93"/>
        <v>0</v>
      </c>
      <c r="N193" s="82">
        <f t="shared" si="94"/>
        <v>0</v>
      </c>
      <c r="O193" s="82">
        <f>N193+'BM 001'!O193</f>
        <v>0</v>
      </c>
      <c r="P193" s="80">
        <f t="shared" si="95"/>
        <v>158953.79999999999</v>
      </c>
      <c r="Q193" s="82">
        <f t="shared" si="96"/>
        <v>201489.85</v>
      </c>
      <c r="R193" s="82">
        <f t="shared" si="97"/>
        <v>201489.85</v>
      </c>
    </row>
    <row r="194" spans="2:18" s="34" customFormat="1" ht="46.2">
      <c r="B194" s="75" t="s">
        <v>380</v>
      </c>
      <c r="C194" s="88" t="s">
        <v>381</v>
      </c>
      <c r="D194" s="89" t="s">
        <v>79</v>
      </c>
      <c r="E194" s="92">
        <v>27.88</v>
      </c>
      <c r="F194" s="91"/>
      <c r="G194" s="91"/>
      <c r="H194" s="91"/>
      <c r="I194" s="79">
        <f>SUM(G194:H194)+'BM 001'!I194</f>
        <v>0</v>
      </c>
      <c r="J194" s="91">
        <f t="shared" si="87"/>
        <v>27.88</v>
      </c>
      <c r="K194" s="84">
        <v>2180</v>
      </c>
      <c r="L194" s="81">
        <f t="shared" si="81"/>
        <v>2763.3682398000001</v>
      </c>
      <c r="M194" s="82">
        <f t="shared" si="93"/>
        <v>0</v>
      </c>
      <c r="N194" s="82">
        <f t="shared" si="94"/>
        <v>0</v>
      </c>
      <c r="O194" s="82">
        <f>N194+'BM 001'!O194</f>
        <v>0</v>
      </c>
      <c r="P194" s="80">
        <f t="shared" si="95"/>
        <v>60778.400000000001</v>
      </c>
      <c r="Q194" s="82">
        <f t="shared" si="96"/>
        <v>77042.7</v>
      </c>
      <c r="R194" s="82">
        <f t="shared" si="97"/>
        <v>77042.7</v>
      </c>
    </row>
    <row r="195" spans="2:18" s="34" customFormat="1" ht="34.799999999999997">
      <c r="B195" s="75" t="s">
        <v>382</v>
      </c>
      <c r="C195" s="88" t="s">
        <v>383</v>
      </c>
      <c r="D195" s="89" t="s">
        <v>79</v>
      </c>
      <c r="E195" s="92">
        <v>24.23</v>
      </c>
      <c r="F195" s="91"/>
      <c r="G195" s="91"/>
      <c r="H195" s="91"/>
      <c r="I195" s="79">
        <f>SUM(G195:H195)+'BM 001'!I195</f>
        <v>0</v>
      </c>
      <c r="J195" s="91">
        <f t="shared" si="87"/>
        <v>24.23</v>
      </c>
      <c r="K195" s="84">
        <v>1170</v>
      </c>
      <c r="L195" s="81">
        <f t="shared" si="81"/>
        <v>1483.0921287000001</v>
      </c>
      <c r="M195" s="82">
        <f t="shared" si="93"/>
        <v>0</v>
      </c>
      <c r="N195" s="82">
        <f t="shared" si="94"/>
        <v>0</v>
      </c>
      <c r="O195" s="82">
        <f>N195+'BM 001'!O195</f>
        <v>0</v>
      </c>
      <c r="P195" s="80">
        <f t="shared" si="95"/>
        <v>28349.100000000002</v>
      </c>
      <c r="Q195" s="82">
        <f t="shared" si="96"/>
        <v>35935.32</v>
      </c>
      <c r="R195" s="82">
        <f t="shared" si="97"/>
        <v>35935.32</v>
      </c>
    </row>
    <row r="196" spans="2:18" s="34" customFormat="1" ht="46.2">
      <c r="B196" s="75" t="s">
        <v>384</v>
      </c>
      <c r="C196" s="88" t="s">
        <v>385</v>
      </c>
      <c r="D196" s="89" t="s">
        <v>79</v>
      </c>
      <c r="E196" s="92">
        <v>93.13</v>
      </c>
      <c r="F196" s="91"/>
      <c r="G196" s="91"/>
      <c r="H196" s="91"/>
      <c r="I196" s="79">
        <f>SUM(G196:H196)+'BM 001'!I196</f>
        <v>0</v>
      </c>
      <c r="J196" s="91">
        <f t="shared" si="87"/>
        <v>93.13</v>
      </c>
      <c r="K196" s="84">
        <v>1190</v>
      </c>
      <c r="L196" s="81">
        <f t="shared" si="81"/>
        <v>1508.4441309000001</v>
      </c>
      <c r="M196" s="82">
        <f t="shared" si="93"/>
        <v>0</v>
      </c>
      <c r="N196" s="82">
        <f t="shared" si="94"/>
        <v>0</v>
      </c>
      <c r="O196" s="82">
        <f>N196+'BM 001'!O196</f>
        <v>0</v>
      </c>
      <c r="P196" s="80">
        <f t="shared" si="95"/>
        <v>110824.7</v>
      </c>
      <c r="Q196" s="82">
        <f t="shared" si="96"/>
        <v>140481.4</v>
      </c>
      <c r="R196" s="82">
        <f t="shared" si="97"/>
        <v>140481.4</v>
      </c>
    </row>
    <row r="197" spans="2:18" s="34" customFormat="1" ht="69">
      <c r="B197" s="75" t="s">
        <v>386</v>
      </c>
      <c r="C197" s="88" t="s">
        <v>387</v>
      </c>
      <c r="D197" s="89" t="s">
        <v>79</v>
      </c>
      <c r="E197" s="92">
        <v>570.20000000000005</v>
      </c>
      <c r="F197" s="91"/>
      <c r="G197" s="91"/>
      <c r="H197" s="91"/>
      <c r="I197" s="79">
        <f>SUM(G197:H197)+'BM 001'!I197</f>
        <v>0</v>
      </c>
      <c r="J197" s="91">
        <f t="shared" si="87"/>
        <v>570.20000000000005</v>
      </c>
      <c r="K197" s="84">
        <v>1190</v>
      </c>
      <c r="L197" s="81">
        <f t="shared" si="81"/>
        <v>1508.4441309000001</v>
      </c>
      <c r="M197" s="82">
        <f t="shared" si="93"/>
        <v>0</v>
      </c>
      <c r="N197" s="82">
        <f t="shared" si="94"/>
        <v>0</v>
      </c>
      <c r="O197" s="82">
        <f>N197+'BM 001'!O197</f>
        <v>0</v>
      </c>
      <c r="P197" s="80">
        <f t="shared" si="95"/>
        <v>678538</v>
      </c>
      <c r="Q197" s="82">
        <f t="shared" si="96"/>
        <v>860114.84</v>
      </c>
      <c r="R197" s="82">
        <f t="shared" si="97"/>
        <v>860114.84</v>
      </c>
    </row>
    <row r="198" spans="2:18" s="34" customFormat="1" ht="23.4">
      <c r="B198" s="75" t="s">
        <v>388</v>
      </c>
      <c r="C198" s="88" t="s">
        <v>389</v>
      </c>
      <c r="D198" s="89" t="s">
        <v>390</v>
      </c>
      <c r="E198" s="92">
        <v>4</v>
      </c>
      <c r="F198" s="91"/>
      <c r="G198" s="91"/>
      <c r="H198" s="91"/>
      <c r="I198" s="79">
        <f>SUM(G198:H198)+'BM 001'!I198</f>
        <v>0</v>
      </c>
      <c r="J198" s="91">
        <f t="shared" si="87"/>
        <v>4</v>
      </c>
      <c r="K198" s="84">
        <v>1780</v>
      </c>
      <c r="L198" s="81">
        <f t="shared" si="81"/>
        <v>2256.3281958000002</v>
      </c>
      <c r="M198" s="82">
        <f t="shared" si="93"/>
        <v>0</v>
      </c>
      <c r="N198" s="82">
        <f t="shared" si="94"/>
        <v>0</v>
      </c>
      <c r="O198" s="82">
        <f>N198+'BM 001'!O198</f>
        <v>0</v>
      </c>
      <c r="P198" s="80">
        <f t="shared" si="95"/>
        <v>7120</v>
      </c>
      <c r="Q198" s="82">
        <f t="shared" si="96"/>
        <v>9025.31</v>
      </c>
      <c r="R198" s="82">
        <f t="shared" si="97"/>
        <v>9025.31</v>
      </c>
    </row>
    <row r="199" spans="2:18" s="34" customFormat="1" ht="23.4">
      <c r="B199" s="75" t="s">
        <v>391</v>
      </c>
      <c r="C199" s="88" t="s">
        <v>392</v>
      </c>
      <c r="D199" s="89" t="s">
        <v>390</v>
      </c>
      <c r="E199" s="92">
        <v>1</v>
      </c>
      <c r="F199" s="91"/>
      <c r="G199" s="91"/>
      <c r="H199" s="91"/>
      <c r="I199" s="79">
        <f>SUM(G199:H199)+'BM 001'!I199</f>
        <v>0</v>
      </c>
      <c r="J199" s="91">
        <f t="shared" si="87"/>
        <v>1</v>
      </c>
      <c r="K199" s="84">
        <v>840</v>
      </c>
      <c r="L199" s="81">
        <f t="shared" si="81"/>
        <v>1064.7840924</v>
      </c>
      <c r="M199" s="82">
        <f t="shared" si="93"/>
        <v>0</v>
      </c>
      <c r="N199" s="82">
        <f t="shared" si="94"/>
        <v>0</v>
      </c>
      <c r="O199" s="82">
        <f>N199+'BM 001'!O199</f>
        <v>0</v>
      </c>
      <c r="P199" s="80">
        <f t="shared" si="95"/>
        <v>840</v>
      </c>
      <c r="Q199" s="82">
        <f t="shared" si="96"/>
        <v>1064.78</v>
      </c>
      <c r="R199" s="82">
        <f t="shared" si="97"/>
        <v>1064.78</v>
      </c>
    </row>
    <row r="200" spans="2:18" s="34" customFormat="1" ht="23.4">
      <c r="B200" s="75" t="s">
        <v>393</v>
      </c>
      <c r="C200" s="88" t="s">
        <v>394</v>
      </c>
      <c r="D200" s="89" t="s">
        <v>390</v>
      </c>
      <c r="E200" s="92">
        <v>6</v>
      </c>
      <c r="F200" s="91"/>
      <c r="G200" s="91"/>
      <c r="H200" s="91"/>
      <c r="I200" s="79">
        <f>SUM(G200:H200)+'BM 001'!I200</f>
        <v>0</v>
      </c>
      <c r="J200" s="91">
        <f t="shared" si="87"/>
        <v>6</v>
      </c>
      <c r="K200" s="84">
        <v>2190</v>
      </c>
      <c r="L200" s="81">
        <f t="shared" si="81"/>
        <v>2776.0442409000002</v>
      </c>
      <c r="M200" s="82">
        <f t="shared" si="93"/>
        <v>0</v>
      </c>
      <c r="N200" s="82">
        <f t="shared" si="94"/>
        <v>0</v>
      </c>
      <c r="O200" s="82">
        <f>N200+'BM 001'!O200</f>
        <v>0</v>
      </c>
      <c r="P200" s="80">
        <f t="shared" si="95"/>
        <v>13140</v>
      </c>
      <c r="Q200" s="82">
        <f t="shared" si="96"/>
        <v>16656.259999999998</v>
      </c>
      <c r="R200" s="82">
        <f t="shared" si="97"/>
        <v>16656.259999999998</v>
      </c>
    </row>
    <row r="201" spans="2:18" s="34" customFormat="1" ht="34.799999999999997">
      <c r="B201" s="75" t="s">
        <v>395</v>
      </c>
      <c r="C201" s="88" t="s">
        <v>396</v>
      </c>
      <c r="D201" s="89" t="s">
        <v>390</v>
      </c>
      <c r="E201" s="92">
        <v>24</v>
      </c>
      <c r="F201" s="91"/>
      <c r="G201" s="91"/>
      <c r="H201" s="91"/>
      <c r="I201" s="79">
        <f>SUM(G201:H201)+'BM 001'!I201</f>
        <v>0</v>
      </c>
      <c r="J201" s="91">
        <f t="shared" si="87"/>
        <v>24</v>
      </c>
      <c r="K201" s="84">
        <v>1950</v>
      </c>
      <c r="L201" s="81">
        <f t="shared" si="81"/>
        <v>2471.8202145</v>
      </c>
      <c r="M201" s="82">
        <f t="shared" si="93"/>
        <v>0</v>
      </c>
      <c r="N201" s="82">
        <f t="shared" si="94"/>
        <v>0</v>
      </c>
      <c r="O201" s="82">
        <f>N201+'BM 001'!O201</f>
        <v>0</v>
      </c>
      <c r="P201" s="80">
        <f t="shared" si="95"/>
        <v>46800</v>
      </c>
      <c r="Q201" s="82">
        <f t="shared" si="96"/>
        <v>59323.68</v>
      </c>
      <c r="R201" s="82">
        <f t="shared" si="97"/>
        <v>59323.68</v>
      </c>
    </row>
    <row r="202" spans="2:18" s="34" customFormat="1" ht="34.799999999999997">
      <c r="B202" s="75" t="s">
        <v>397</v>
      </c>
      <c r="C202" s="88" t="s">
        <v>398</v>
      </c>
      <c r="D202" s="89" t="s">
        <v>79</v>
      </c>
      <c r="E202" s="92">
        <v>17.82</v>
      </c>
      <c r="F202" s="91"/>
      <c r="G202" s="91"/>
      <c r="H202" s="91"/>
      <c r="I202" s="79">
        <f>SUM(G202:H202)+'BM 001'!I202</f>
        <v>0</v>
      </c>
      <c r="J202" s="91">
        <f t="shared" si="87"/>
        <v>17.82</v>
      </c>
      <c r="K202" s="84">
        <v>950</v>
      </c>
      <c r="L202" s="81">
        <f t="shared" si="81"/>
        <v>1204.2201045000002</v>
      </c>
      <c r="M202" s="82">
        <f t="shared" si="93"/>
        <v>0</v>
      </c>
      <c r="N202" s="82">
        <f t="shared" si="94"/>
        <v>0</v>
      </c>
      <c r="O202" s="82">
        <f>N202+'BM 001'!O202</f>
        <v>0</v>
      </c>
      <c r="P202" s="80">
        <f t="shared" si="95"/>
        <v>16929</v>
      </c>
      <c r="Q202" s="82">
        <f t="shared" si="96"/>
        <v>21459.200000000001</v>
      </c>
      <c r="R202" s="82">
        <f t="shared" si="97"/>
        <v>21459.200000000001</v>
      </c>
    </row>
    <row r="203" spans="2:18" s="34" customFormat="1" ht="34.799999999999997">
      <c r="B203" s="75" t="s">
        <v>399</v>
      </c>
      <c r="C203" s="88" t="s">
        <v>400</v>
      </c>
      <c r="D203" s="89" t="s">
        <v>63</v>
      </c>
      <c r="E203" s="92">
        <v>18</v>
      </c>
      <c r="F203" s="91"/>
      <c r="G203" s="91"/>
      <c r="H203" s="91"/>
      <c r="I203" s="79">
        <f>SUM(G203:H203)+'BM 001'!I203</f>
        <v>0</v>
      </c>
      <c r="J203" s="91">
        <f t="shared" si="87"/>
        <v>18</v>
      </c>
      <c r="K203" s="84">
        <v>2480</v>
      </c>
      <c r="L203" s="81">
        <f t="shared" si="81"/>
        <v>3143.6482728000001</v>
      </c>
      <c r="M203" s="82">
        <f t="shared" si="93"/>
        <v>0</v>
      </c>
      <c r="N203" s="82">
        <f t="shared" si="94"/>
        <v>0</v>
      </c>
      <c r="O203" s="82">
        <f>N203+'BM 001'!O203</f>
        <v>0</v>
      </c>
      <c r="P203" s="80">
        <f t="shared" si="95"/>
        <v>44640</v>
      </c>
      <c r="Q203" s="82">
        <f t="shared" si="96"/>
        <v>56585.66</v>
      </c>
      <c r="R203" s="82">
        <f t="shared" si="97"/>
        <v>56585.66</v>
      </c>
    </row>
    <row r="204" spans="2:18" s="34" customFormat="1" ht="34.799999999999997">
      <c r="B204" s="75" t="s">
        <v>401</v>
      </c>
      <c r="C204" s="88" t="s">
        <v>402</v>
      </c>
      <c r="D204" s="89" t="s">
        <v>63</v>
      </c>
      <c r="E204" s="92">
        <v>47</v>
      </c>
      <c r="F204" s="91"/>
      <c r="G204" s="91"/>
      <c r="H204" s="91"/>
      <c r="I204" s="79">
        <f>SUM(G204:H204)+'BM 001'!I204</f>
        <v>0</v>
      </c>
      <c r="J204" s="91">
        <f t="shared" si="87"/>
        <v>47</v>
      </c>
      <c r="K204" s="84">
        <v>1080</v>
      </c>
      <c r="L204" s="81">
        <f t="shared" si="81"/>
        <v>1369.0081188000001</v>
      </c>
      <c r="M204" s="82">
        <f t="shared" si="93"/>
        <v>0</v>
      </c>
      <c r="N204" s="82">
        <f t="shared" si="94"/>
        <v>0</v>
      </c>
      <c r="O204" s="82">
        <f>N204+'BM 001'!O204</f>
        <v>0</v>
      </c>
      <c r="P204" s="80">
        <f t="shared" si="95"/>
        <v>50760</v>
      </c>
      <c r="Q204" s="82">
        <f t="shared" si="96"/>
        <v>64343.38</v>
      </c>
      <c r="R204" s="82">
        <f t="shared" si="97"/>
        <v>64343.38</v>
      </c>
    </row>
    <row r="205" spans="2:18" s="34" customFormat="1" ht="13.2">
      <c r="B205" s="66" t="s">
        <v>403</v>
      </c>
      <c r="C205" s="67" t="s">
        <v>404</v>
      </c>
      <c r="D205" s="68"/>
      <c r="E205" s="69"/>
      <c r="F205" s="70"/>
      <c r="G205" s="70"/>
      <c r="H205" s="70"/>
      <c r="I205" s="70">
        <f>SUM(G205:H205)+'BM 001'!I205</f>
        <v>0</v>
      </c>
      <c r="J205" s="70">
        <f t="shared" si="87"/>
        <v>0</v>
      </c>
      <c r="K205" s="71"/>
      <c r="L205" s="71">
        <f t="shared" si="81"/>
        <v>0</v>
      </c>
      <c r="M205" s="73">
        <f t="shared" ref="M205:R205" si="98">SUM(M206:M214)</f>
        <v>0</v>
      </c>
      <c r="N205" s="73">
        <f t="shared" si="98"/>
        <v>0</v>
      </c>
      <c r="O205" s="73">
        <f t="shared" si="98"/>
        <v>0</v>
      </c>
      <c r="P205" s="73">
        <f t="shared" si="98"/>
        <v>987536.55</v>
      </c>
      <c r="Q205" s="73">
        <f t="shared" si="98"/>
        <v>1251801.3999999999</v>
      </c>
      <c r="R205" s="73">
        <f t="shared" si="98"/>
        <v>1251801.3999999999</v>
      </c>
    </row>
    <row r="206" spans="2:18" s="34" customFormat="1" ht="34.799999999999997">
      <c r="B206" s="87" t="s">
        <v>405</v>
      </c>
      <c r="C206" s="88" t="s">
        <v>406</v>
      </c>
      <c r="D206" s="89" t="s">
        <v>124</v>
      </c>
      <c r="E206" s="92">
        <v>158.59</v>
      </c>
      <c r="F206" s="91"/>
      <c r="G206" s="91"/>
      <c r="H206" s="91"/>
      <c r="I206" s="79">
        <f>SUM(G206:H206)+'BM 001'!I206</f>
        <v>0</v>
      </c>
      <c r="J206" s="91">
        <f t="shared" si="87"/>
        <v>158.59</v>
      </c>
      <c r="K206" s="84">
        <v>415</v>
      </c>
      <c r="L206" s="81">
        <f t="shared" si="81"/>
        <v>526.05404565000003</v>
      </c>
      <c r="M206" s="82">
        <f t="shared" ref="M206:M214" si="99">TRUNC(F206*L206,2)</f>
        <v>0</v>
      </c>
      <c r="N206" s="82">
        <f t="shared" ref="N206:N214" si="100">TRUNC(G206*L206,2)</f>
        <v>0</v>
      </c>
      <c r="O206" s="82">
        <f>N206+'BM 001'!O206</f>
        <v>0</v>
      </c>
      <c r="P206" s="80">
        <f t="shared" ref="P206:P214" si="101">E206*K206</f>
        <v>65814.850000000006</v>
      </c>
      <c r="Q206" s="82">
        <f t="shared" ref="Q206:Q214" si="102">TRUNC(E206*L206,2)</f>
        <v>83426.91</v>
      </c>
      <c r="R206" s="82">
        <f t="shared" ref="R206:R214" si="103">Q206-O206</f>
        <v>83426.91</v>
      </c>
    </row>
    <row r="207" spans="2:18" s="34" customFormat="1" ht="13.2">
      <c r="B207" s="87" t="s">
        <v>407</v>
      </c>
      <c r="C207" s="88" t="s">
        <v>408</v>
      </c>
      <c r="D207" s="89" t="s">
        <v>124</v>
      </c>
      <c r="E207" s="92">
        <v>198.52</v>
      </c>
      <c r="F207" s="91"/>
      <c r="G207" s="91"/>
      <c r="H207" s="91"/>
      <c r="I207" s="79">
        <f>SUM(G207:H207)+'BM 001'!I207</f>
        <v>0</v>
      </c>
      <c r="J207" s="91">
        <f t="shared" si="87"/>
        <v>198.52</v>
      </c>
      <c r="K207" s="84">
        <v>455</v>
      </c>
      <c r="L207" s="81">
        <f t="shared" si="81"/>
        <v>576.75805005000007</v>
      </c>
      <c r="M207" s="82">
        <f t="shared" si="99"/>
        <v>0</v>
      </c>
      <c r="N207" s="82">
        <f t="shared" si="100"/>
        <v>0</v>
      </c>
      <c r="O207" s="82">
        <f>N207+'BM 001'!O207</f>
        <v>0</v>
      </c>
      <c r="P207" s="80">
        <f t="shared" si="101"/>
        <v>90326.6</v>
      </c>
      <c r="Q207" s="82">
        <f t="shared" si="102"/>
        <v>114498</v>
      </c>
      <c r="R207" s="82">
        <f t="shared" si="103"/>
        <v>114498</v>
      </c>
    </row>
    <row r="208" spans="2:18" s="34" customFormat="1" ht="13.2">
      <c r="B208" s="87" t="s">
        <v>409</v>
      </c>
      <c r="C208" s="88" t="s">
        <v>410</v>
      </c>
      <c r="D208" s="89" t="s">
        <v>124</v>
      </c>
      <c r="E208" s="92">
        <v>129.65</v>
      </c>
      <c r="F208" s="91"/>
      <c r="G208" s="91"/>
      <c r="H208" s="91"/>
      <c r="I208" s="79">
        <f>SUM(G208:H208)+'BM 001'!I208</f>
        <v>0</v>
      </c>
      <c r="J208" s="91">
        <f t="shared" si="87"/>
        <v>129.65</v>
      </c>
      <c r="K208" s="84">
        <v>745</v>
      </c>
      <c r="L208" s="81">
        <f t="shared" si="81"/>
        <v>944.36208195000006</v>
      </c>
      <c r="M208" s="82">
        <f t="shared" si="99"/>
        <v>0</v>
      </c>
      <c r="N208" s="82">
        <f t="shared" si="100"/>
        <v>0</v>
      </c>
      <c r="O208" s="82">
        <f>N208+'BM 001'!O208</f>
        <v>0</v>
      </c>
      <c r="P208" s="80">
        <f t="shared" si="101"/>
        <v>96589.25</v>
      </c>
      <c r="Q208" s="82">
        <f t="shared" si="102"/>
        <v>122436.54</v>
      </c>
      <c r="R208" s="82">
        <f t="shared" si="103"/>
        <v>122436.54</v>
      </c>
    </row>
    <row r="209" spans="1:23" s="34" customFormat="1" ht="13.2">
      <c r="B209" s="87" t="s">
        <v>411</v>
      </c>
      <c r="C209" s="88" t="s">
        <v>412</v>
      </c>
      <c r="D209" s="89" t="s">
        <v>124</v>
      </c>
      <c r="E209" s="92">
        <v>98.74</v>
      </c>
      <c r="F209" s="91"/>
      <c r="G209" s="91"/>
      <c r="H209" s="91"/>
      <c r="I209" s="79">
        <f>SUM(G209:H209)+'BM 001'!I209</f>
        <v>0</v>
      </c>
      <c r="J209" s="91">
        <f t="shared" si="87"/>
        <v>98.74</v>
      </c>
      <c r="K209" s="84">
        <v>855</v>
      </c>
      <c r="L209" s="81">
        <f t="shared" si="81"/>
        <v>1083.7980940500001</v>
      </c>
      <c r="M209" s="82">
        <f t="shared" si="99"/>
        <v>0</v>
      </c>
      <c r="N209" s="82">
        <f t="shared" si="100"/>
        <v>0</v>
      </c>
      <c r="O209" s="82">
        <f>N209+'BM 001'!O209</f>
        <v>0</v>
      </c>
      <c r="P209" s="80">
        <f t="shared" si="101"/>
        <v>84422.7</v>
      </c>
      <c r="Q209" s="82">
        <f t="shared" si="102"/>
        <v>107014.22</v>
      </c>
      <c r="R209" s="82">
        <f t="shared" si="103"/>
        <v>107014.22</v>
      </c>
    </row>
    <row r="210" spans="1:23" s="34" customFormat="1" ht="57.6">
      <c r="B210" s="87" t="s">
        <v>413</v>
      </c>
      <c r="C210" s="88" t="s">
        <v>414</v>
      </c>
      <c r="D210" s="89" t="s">
        <v>82</v>
      </c>
      <c r="E210" s="92">
        <v>12</v>
      </c>
      <c r="F210" s="91"/>
      <c r="G210" s="91"/>
      <c r="H210" s="91"/>
      <c r="I210" s="79">
        <f>SUM(G210:H210)+'BM 001'!I210</f>
        <v>0</v>
      </c>
      <c r="J210" s="91">
        <f t="shared" si="87"/>
        <v>12</v>
      </c>
      <c r="K210" s="84">
        <v>1650</v>
      </c>
      <c r="L210" s="81">
        <f t="shared" si="81"/>
        <v>2091.5401815</v>
      </c>
      <c r="M210" s="82">
        <f t="shared" si="99"/>
        <v>0</v>
      </c>
      <c r="N210" s="82">
        <f t="shared" si="100"/>
        <v>0</v>
      </c>
      <c r="O210" s="82">
        <f>N210+'BM 001'!O210</f>
        <v>0</v>
      </c>
      <c r="P210" s="80">
        <f t="shared" si="101"/>
        <v>19800</v>
      </c>
      <c r="Q210" s="82">
        <f t="shared" si="102"/>
        <v>25098.48</v>
      </c>
      <c r="R210" s="82">
        <f t="shared" si="103"/>
        <v>25098.48</v>
      </c>
    </row>
    <row r="211" spans="1:23" s="34" customFormat="1" ht="13.2">
      <c r="B211" s="87" t="s">
        <v>415</v>
      </c>
      <c r="C211" s="88" t="s">
        <v>416</v>
      </c>
      <c r="D211" s="89" t="s">
        <v>79</v>
      </c>
      <c r="E211" s="92">
        <v>72.650000000000006</v>
      </c>
      <c r="F211" s="91"/>
      <c r="G211" s="91"/>
      <c r="H211" s="91"/>
      <c r="I211" s="79">
        <f>SUM(G211:H211)+'BM 001'!I211</f>
        <v>0</v>
      </c>
      <c r="J211" s="91">
        <f t="shared" si="87"/>
        <v>72.650000000000006</v>
      </c>
      <c r="K211" s="84">
        <v>485</v>
      </c>
      <c r="L211" s="81">
        <f t="shared" si="81"/>
        <v>614.78605334999997</v>
      </c>
      <c r="M211" s="82">
        <f t="shared" si="99"/>
        <v>0</v>
      </c>
      <c r="N211" s="82">
        <f t="shared" si="100"/>
        <v>0</v>
      </c>
      <c r="O211" s="82">
        <f>N211+'BM 001'!O211</f>
        <v>0</v>
      </c>
      <c r="P211" s="80">
        <f t="shared" si="101"/>
        <v>35235.25</v>
      </c>
      <c r="Q211" s="82">
        <f t="shared" si="102"/>
        <v>44664.2</v>
      </c>
      <c r="R211" s="82">
        <f t="shared" si="103"/>
        <v>44664.2</v>
      </c>
    </row>
    <row r="212" spans="1:23" s="34" customFormat="1" ht="23.4">
      <c r="B212" s="87" t="s">
        <v>417</v>
      </c>
      <c r="C212" s="88" t="s">
        <v>418</v>
      </c>
      <c r="D212" s="89" t="s">
        <v>79</v>
      </c>
      <c r="E212" s="92">
        <v>51.22</v>
      </c>
      <c r="F212" s="91"/>
      <c r="G212" s="91"/>
      <c r="H212" s="91"/>
      <c r="I212" s="79">
        <f>SUM(G212:H212)+'BM 001'!I212</f>
        <v>0</v>
      </c>
      <c r="J212" s="91">
        <f t="shared" si="87"/>
        <v>51.22</v>
      </c>
      <c r="K212" s="84">
        <v>1350</v>
      </c>
      <c r="L212" s="81">
        <f t="shared" si="81"/>
        <v>1711.2601485</v>
      </c>
      <c r="M212" s="82">
        <f t="shared" si="99"/>
        <v>0</v>
      </c>
      <c r="N212" s="82">
        <f t="shared" si="100"/>
        <v>0</v>
      </c>
      <c r="O212" s="82">
        <f>N212+'BM 001'!O212</f>
        <v>0</v>
      </c>
      <c r="P212" s="80">
        <f t="shared" si="101"/>
        <v>69147</v>
      </c>
      <c r="Q212" s="82">
        <f t="shared" si="102"/>
        <v>87650.74</v>
      </c>
      <c r="R212" s="82">
        <f t="shared" si="103"/>
        <v>87650.74</v>
      </c>
    </row>
    <row r="213" spans="1:23" s="34" customFormat="1" ht="34.799999999999997">
      <c r="B213" s="87" t="s">
        <v>419</v>
      </c>
      <c r="C213" s="88" t="s">
        <v>420</v>
      </c>
      <c r="D213" s="89" t="s">
        <v>79</v>
      </c>
      <c r="E213" s="92">
        <v>98</v>
      </c>
      <c r="F213" s="91"/>
      <c r="G213" s="91"/>
      <c r="H213" s="91"/>
      <c r="I213" s="79">
        <f>SUM(G213:H213)+'BM 001'!I213</f>
        <v>0</v>
      </c>
      <c r="J213" s="91">
        <f t="shared" si="87"/>
        <v>98</v>
      </c>
      <c r="K213" s="84">
        <v>498</v>
      </c>
      <c r="L213" s="81">
        <f t="shared" si="81"/>
        <v>631.26485478000006</v>
      </c>
      <c r="M213" s="82">
        <f t="shared" si="99"/>
        <v>0</v>
      </c>
      <c r="N213" s="82">
        <f t="shared" si="100"/>
        <v>0</v>
      </c>
      <c r="O213" s="82">
        <f>N213+'BM 001'!O213</f>
        <v>0</v>
      </c>
      <c r="P213" s="80">
        <f t="shared" si="101"/>
        <v>48804</v>
      </c>
      <c r="Q213" s="82">
        <f t="shared" si="102"/>
        <v>61863.95</v>
      </c>
      <c r="R213" s="82">
        <f t="shared" si="103"/>
        <v>61863.95</v>
      </c>
    </row>
    <row r="214" spans="1:23" s="107" customFormat="1" ht="34.799999999999997">
      <c r="A214" s="34"/>
      <c r="B214" s="87" t="s">
        <v>421</v>
      </c>
      <c r="C214" s="88" t="s">
        <v>422</v>
      </c>
      <c r="D214" s="89" t="s">
        <v>79</v>
      </c>
      <c r="E214" s="92">
        <v>342.22</v>
      </c>
      <c r="F214" s="91"/>
      <c r="G214" s="91"/>
      <c r="H214" s="91"/>
      <c r="I214" s="79">
        <f>SUM(G214:H214)+'BM 001'!I214</f>
        <v>0</v>
      </c>
      <c r="J214" s="91">
        <f t="shared" si="87"/>
        <v>342.22</v>
      </c>
      <c r="K214" s="84">
        <v>1395</v>
      </c>
      <c r="L214" s="81">
        <f t="shared" si="81"/>
        <v>1768.3021534500001</v>
      </c>
      <c r="M214" s="82">
        <f t="shared" si="99"/>
        <v>0</v>
      </c>
      <c r="N214" s="82">
        <f t="shared" si="100"/>
        <v>0</v>
      </c>
      <c r="O214" s="82">
        <f>N214+'BM 001'!O214</f>
        <v>0</v>
      </c>
      <c r="P214" s="80">
        <f t="shared" si="101"/>
        <v>477396.9</v>
      </c>
      <c r="Q214" s="82">
        <f t="shared" si="102"/>
        <v>605148.36</v>
      </c>
      <c r="R214" s="82">
        <f t="shared" si="103"/>
        <v>605148.36</v>
      </c>
      <c r="S214" s="34"/>
      <c r="T214" s="34"/>
      <c r="U214" s="34"/>
      <c r="V214" s="34"/>
      <c r="W214" s="34"/>
    </row>
    <row r="215" spans="1:23" s="34" customFormat="1" ht="13.2">
      <c r="B215" s="60" t="s">
        <v>423</v>
      </c>
      <c r="C215" s="61" t="s">
        <v>424</v>
      </c>
      <c r="D215" s="60"/>
      <c r="E215" s="62"/>
      <c r="F215" s="63"/>
      <c r="G215" s="63"/>
      <c r="H215" s="63"/>
      <c r="I215" s="63">
        <f>SUM(G215:H215)+'BM 001'!I215</f>
        <v>0</v>
      </c>
      <c r="J215" s="63">
        <f t="shared" si="87"/>
        <v>0</v>
      </c>
      <c r="K215" s="63"/>
      <c r="L215" s="63">
        <f t="shared" si="81"/>
        <v>0</v>
      </c>
      <c r="M215" s="63">
        <f t="shared" ref="M215:R215" si="104">SUM(M216:M221)</f>
        <v>0</v>
      </c>
      <c r="N215" s="63">
        <f t="shared" si="104"/>
        <v>0</v>
      </c>
      <c r="O215" s="63">
        <f t="shared" si="104"/>
        <v>0</v>
      </c>
      <c r="P215" s="63">
        <f t="shared" si="104"/>
        <v>1326910.8099999998</v>
      </c>
      <c r="Q215" s="63">
        <f t="shared" si="104"/>
        <v>1681992.2700000003</v>
      </c>
      <c r="R215" s="63">
        <f t="shared" si="104"/>
        <v>1681992.2700000003</v>
      </c>
    </row>
    <row r="216" spans="1:23" s="34" customFormat="1" ht="13.2">
      <c r="B216" s="87" t="s">
        <v>425</v>
      </c>
      <c r="C216" s="88" t="s">
        <v>426</v>
      </c>
      <c r="D216" s="89" t="s">
        <v>79</v>
      </c>
      <c r="E216" s="90">
        <f>E143+E147</f>
        <v>25549.96</v>
      </c>
      <c r="F216" s="91"/>
      <c r="G216" s="91"/>
      <c r="H216" s="91"/>
      <c r="I216" s="79">
        <f>SUM(G216:H216)+'BM 001'!I216</f>
        <v>0</v>
      </c>
      <c r="J216" s="91">
        <f t="shared" si="87"/>
        <v>25549.96</v>
      </c>
      <c r="K216" s="84">
        <v>16</v>
      </c>
      <c r="L216" s="81">
        <f t="shared" si="81"/>
        <v>20.281601760000001</v>
      </c>
      <c r="M216" s="82">
        <f t="shared" ref="M216:M221" si="105">TRUNC(F216*L216,2)</f>
        <v>0</v>
      </c>
      <c r="N216" s="82">
        <f t="shared" ref="N216:N221" si="106">TRUNC(G216*L216,2)</f>
        <v>0</v>
      </c>
      <c r="O216" s="82">
        <f>N216+'BM 001'!O216</f>
        <v>0</v>
      </c>
      <c r="P216" s="80">
        <f t="shared" ref="P216:P221" si="107">E216*K216</f>
        <v>408799.36</v>
      </c>
      <c r="Q216" s="82">
        <f t="shared" ref="Q216:Q221" si="108">TRUNC(E216*L216,2)</f>
        <v>518194.11</v>
      </c>
      <c r="R216" s="82">
        <f t="shared" ref="R216:R221" si="109">Q216-O216</f>
        <v>518194.11</v>
      </c>
    </row>
    <row r="217" spans="1:23" s="34" customFormat="1" ht="23.4">
      <c r="B217" s="87" t="s">
        <v>427</v>
      </c>
      <c r="C217" s="88" t="s">
        <v>428</v>
      </c>
      <c r="D217" s="89" t="s">
        <v>79</v>
      </c>
      <c r="E217" s="90">
        <f>E171</f>
        <v>3789.02</v>
      </c>
      <c r="F217" s="91"/>
      <c r="G217" s="91"/>
      <c r="H217" s="91"/>
      <c r="I217" s="79">
        <f>SUM(G217:H217)+'BM 001'!I217</f>
        <v>0</v>
      </c>
      <c r="J217" s="91">
        <f t="shared" si="87"/>
        <v>3789.02</v>
      </c>
      <c r="K217" s="84">
        <v>25</v>
      </c>
      <c r="L217" s="81">
        <f t="shared" si="81"/>
        <v>31.690002750000001</v>
      </c>
      <c r="M217" s="82">
        <f t="shared" si="105"/>
        <v>0</v>
      </c>
      <c r="N217" s="82">
        <f t="shared" si="106"/>
        <v>0</v>
      </c>
      <c r="O217" s="82">
        <f>N217+'BM 001'!O217</f>
        <v>0</v>
      </c>
      <c r="P217" s="80">
        <f t="shared" si="107"/>
        <v>94725.5</v>
      </c>
      <c r="Q217" s="82">
        <f t="shared" si="108"/>
        <v>120074.05</v>
      </c>
      <c r="R217" s="82">
        <f t="shared" si="109"/>
        <v>120074.05</v>
      </c>
    </row>
    <row r="218" spans="1:23" s="34" customFormat="1" ht="13.2">
      <c r="B218" s="87" t="s">
        <v>429</v>
      </c>
      <c r="C218" s="88" t="s">
        <v>430</v>
      </c>
      <c r="D218" s="89" t="s">
        <v>79</v>
      </c>
      <c r="E218" s="90">
        <f>E216</f>
        <v>25549.96</v>
      </c>
      <c r="F218" s="91"/>
      <c r="G218" s="91"/>
      <c r="H218" s="91"/>
      <c r="I218" s="79">
        <f>SUM(G218:H218)+'BM 001'!I218</f>
        <v>0</v>
      </c>
      <c r="J218" s="91">
        <f t="shared" si="87"/>
        <v>25549.96</v>
      </c>
      <c r="K218" s="84">
        <v>4.5</v>
      </c>
      <c r="L218" s="81">
        <f t="shared" si="81"/>
        <v>5.7042004950000003</v>
      </c>
      <c r="M218" s="82">
        <f t="shared" si="105"/>
        <v>0</v>
      </c>
      <c r="N218" s="82">
        <f t="shared" si="106"/>
        <v>0</v>
      </c>
      <c r="O218" s="82">
        <f>N218+'BM 001'!O218</f>
        <v>0</v>
      </c>
      <c r="P218" s="80">
        <f t="shared" si="107"/>
        <v>114974.81999999999</v>
      </c>
      <c r="Q218" s="82">
        <f t="shared" si="108"/>
        <v>145742.09</v>
      </c>
      <c r="R218" s="82">
        <f t="shared" si="109"/>
        <v>145742.09</v>
      </c>
    </row>
    <row r="219" spans="1:23" s="34" customFormat="1" ht="13.2">
      <c r="B219" s="87" t="s">
        <v>431</v>
      </c>
      <c r="C219" s="88" t="s">
        <v>432</v>
      </c>
      <c r="D219" s="89" t="s">
        <v>79</v>
      </c>
      <c r="E219" s="90">
        <f>E217</f>
        <v>3789.02</v>
      </c>
      <c r="F219" s="91"/>
      <c r="G219" s="91"/>
      <c r="H219" s="91"/>
      <c r="I219" s="79">
        <f>SUM(G219:H219)+'BM 001'!I219</f>
        <v>0</v>
      </c>
      <c r="J219" s="91">
        <f t="shared" si="87"/>
        <v>3789.02</v>
      </c>
      <c r="K219" s="84">
        <v>5</v>
      </c>
      <c r="L219" s="81">
        <f t="shared" si="81"/>
        <v>6.3380005500000003</v>
      </c>
      <c r="M219" s="82">
        <f t="shared" si="105"/>
        <v>0</v>
      </c>
      <c r="N219" s="82">
        <f t="shared" si="106"/>
        <v>0</v>
      </c>
      <c r="O219" s="82">
        <f>N219+'BM 001'!O219</f>
        <v>0</v>
      </c>
      <c r="P219" s="80">
        <f t="shared" si="107"/>
        <v>18945.099999999999</v>
      </c>
      <c r="Q219" s="82">
        <f t="shared" si="108"/>
        <v>24014.81</v>
      </c>
      <c r="R219" s="82">
        <f t="shared" si="109"/>
        <v>24014.81</v>
      </c>
    </row>
    <row r="220" spans="1:23" s="34" customFormat="1" ht="23.4">
      <c r="B220" s="87" t="s">
        <v>433</v>
      </c>
      <c r="C220" s="88" t="s">
        <v>434</v>
      </c>
      <c r="D220" s="89" t="s">
        <v>79</v>
      </c>
      <c r="E220" s="90">
        <f>E216</f>
        <v>25549.96</v>
      </c>
      <c r="F220" s="91"/>
      <c r="G220" s="91"/>
      <c r="H220" s="91"/>
      <c r="I220" s="79">
        <f>SUM(G220:H220)+'BM 001'!I220</f>
        <v>0</v>
      </c>
      <c r="J220" s="91">
        <f t="shared" si="87"/>
        <v>25549.96</v>
      </c>
      <c r="K220" s="84">
        <v>23.5</v>
      </c>
      <c r="L220" s="81">
        <f t="shared" si="81"/>
        <v>29.788602585</v>
      </c>
      <c r="M220" s="82">
        <f t="shared" si="105"/>
        <v>0</v>
      </c>
      <c r="N220" s="82">
        <f t="shared" si="106"/>
        <v>0</v>
      </c>
      <c r="O220" s="82">
        <f>N220+'BM 001'!O220</f>
        <v>0</v>
      </c>
      <c r="P220" s="80">
        <f t="shared" si="107"/>
        <v>600424.05999999994</v>
      </c>
      <c r="Q220" s="82">
        <f t="shared" si="108"/>
        <v>761097.6</v>
      </c>
      <c r="R220" s="82">
        <f t="shared" si="109"/>
        <v>761097.6</v>
      </c>
    </row>
    <row r="221" spans="1:23" s="34" customFormat="1" ht="23.4">
      <c r="B221" s="87" t="s">
        <v>435</v>
      </c>
      <c r="C221" s="88" t="s">
        <v>436</v>
      </c>
      <c r="D221" s="89" t="s">
        <v>79</v>
      </c>
      <c r="E221" s="90">
        <f>E219</f>
        <v>3789.02</v>
      </c>
      <c r="F221" s="91"/>
      <c r="G221" s="91"/>
      <c r="H221" s="91"/>
      <c r="I221" s="79">
        <f>SUM(G221:H221)+'BM 001'!I221</f>
        <v>0</v>
      </c>
      <c r="J221" s="91">
        <f t="shared" si="87"/>
        <v>3789.02</v>
      </c>
      <c r="K221" s="84">
        <v>23.5</v>
      </c>
      <c r="L221" s="81">
        <f t="shared" ref="L221:L284" si="110">K221*(1+$T$26)</f>
        <v>29.788602585</v>
      </c>
      <c r="M221" s="82">
        <f t="shared" si="105"/>
        <v>0</v>
      </c>
      <c r="N221" s="82">
        <f t="shared" si="106"/>
        <v>0</v>
      </c>
      <c r="O221" s="82">
        <f>N221+'BM 001'!O221</f>
        <v>0</v>
      </c>
      <c r="P221" s="80">
        <f t="shared" si="107"/>
        <v>89041.97</v>
      </c>
      <c r="Q221" s="82">
        <f t="shared" si="108"/>
        <v>112869.61</v>
      </c>
      <c r="R221" s="82">
        <f t="shared" si="109"/>
        <v>112869.61</v>
      </c>
    </row>
    <row r="222" spans="1:23" s="34" customFormat="1" ht="13.2">
      <c r="A222" s="107"/>
      <c r="B222" s="60" t="s">
        <v>437</v>
      </c>
      <c r="C222" s="61" t="s">
        <v>438</v>
      </c>
      <c r="D222" s="60"/>
      <c r="E222" s="62"/>
      <c r="F222" s="63"/>
      <c r="G222" s="63"/>
      <c r="H222" s="63"/>
      <c r="I222" s="63">
        <f>SUM(G222:H222)+'BM 001'!I222</f>
        <v>0</v>
      </c>
      <c r="J222" s="63">
        <f t="shared" si="87"/>
        <v>0</v>
      </c>
      <c r="K222" s="63"/>
      <c r="L222" s="63">
        <f t="shared" si="110"/>
        <v>0</v>
      </c>
      <c r="M222" s="63">
        <f t="shared" ref="M222:R222" si="111">SUM(M223:M224)</f>
        <v>0</v>
      </c>
      <c r="N222" s="63">
        <f t="shared" si="111"/>
        <v>0</v>
      </c>
      <c r="O222" s="63">
        <f t="shared" si="111"/>
        <v>0</v>
      </c>
      <c r="P222" s="63">
        <f t="shared" si="111"/>
        <v>13739.5</v>
      </c>
      <c r="Q222" s="63">
        <f t="shared" si="111"/>
        <v>17416.18</v>
      </c>
      <c r="R222" s="63">
        <f t="shared" si="111"/>
        <v>17416.18</v>
      </c>
      <c r="S222" s="107"/>
      <c r="T222" s="107"/>
      <c r="U222" s="107"/>
      <c r="V222" s="107"/>
      <c r="W222" s="107"/>
    </row>
    <row r="223" spans="1:23" s="34" customFormat="1" ht="13.2">
      <c r="B223" s="87" t="s">
        <v>439</v>
      </c>
      <c r="C223" s="88" t="s">
        <v>440</v>
      </c>
      <c r="D223" s="89" t="s">
        <v>124</v>
      </c>
      <c r="E223" s="90">
        <v>199.3</v>
      </c>
      <c r="F223" s="91"/>
      <c r="G223" s="91"/>
      <c r="H223" s="91"/>
      <c r="I223" s="79">
        <f>SUM(G223:H223)+'BM 001'!I223</f>
        <v>0</v>
      </c>
      <c r="J223" s="91">
        <f t="shared" ref="J223:J286" si="112">E223-I223</f>
        <v>199.3</v>
      </c>
      <c r="K223" s="84">
        <v>25</v>
      </c>
      <c r="L223" s="81">
        <f t="shared" si="110"/>
        <v>31.690002750000001</v>
      </c>
      <c r="M223" s="82">
        <f>TRUNC(F223*L223,2)</f>
        <v>0</v>
      </c>
      <c r="N223" s="82">
        <f>TRUNC(G223*L223,2)</f>
        <v>0</v>
      </c>
      <c r="O223" s="82">
        <f>N223+'BM 001'!O223</f>
        <v>0</v>
      </c>
      <c r="P223" s="80">
        <f>E223*K223</f>
        <v>4982.5</v>
      </c>
      <c r="Q223" s="82">
        <f>TRUNC(E223*L223,2)</f>
        <v>6315.81</v>
      </c>
      <c r="R223" s="82">
        <f>Q223-O223</f>
        <v>6315.81</v>
      </c>
    </row>
    <row r="224" spans="1:23" s="34" customFormat="1" ht="13.2">
      <c r="B224" s="87" t="s">
        <v>441</v>
      </c>
      <c r="C224" s="88" t="s">
        <v>442</v>
      </c>
      <c r="D224" s="89" t="s">
        <v>124</v>
      </c>
      <c r="E224" s="92">
        <v>250.2</v>
      </c>
      <c r="F224" s="91"/>
      <c r="G224" s="91"/>
      <c r="H224" s="91"/>
      <c r="I224" s="79">
        <f>SUM(G224:H224)+'BM 001'!I224</f>
        <v>0</v>
      </c>
      <c r="J224" s="91">
        <f t="shared" si="112"/>
        <v>250.2</v>
      </c>
      <c r="K224" s="84">
        <v>35</v>
      </c>
      <c r="L224" s="81">
        <f t="shared" si="110"/>
        <v>44.366003849999998</v>
      </c>
      <c r="M224" s="82">
        <f>TRUNC(F224*L224,2)</f>
        <v>0</v>
      </c>
      <c r="N224" s="82">
        <f>TRUNC(G224*L224,2)</f>
        <v>0</v>
      </c>
      <c r="O224" s="82">
        <f>N224+'BM 001'!O224</f>
        <v>0</v>
      </c>
      <c r="P224" s="80">
        <f>E224*K224</f>
        <v>8757</v>
      </c>
      <c r="Q224" s="82">
        <f>TRUNC(E224*L224,2)</f>
        <v>11100.37</v>
      </c>
      <c r="R224" s="82">
        <f>Q224-O224</f>
        <v>11100.37</v>
      </c>
    </row>
    <row r="225" spans="2:20" s="34" customFormat="1" ht="13.2">
      <c r="B225" s="60" t="s">
        <v>443</v>
      </c>
      <c r="C225" s="61" t="s">
        <v>444</v>
      </c>
      <c r="D225" s="60"/>
      <c r="E225" s="62"/>
      <c r="F225" s="63"/>
      <c r="G225" s="63"/>
      <c r="H225" s="63"/>
      <c r="I225" s="63">
        <f>SUM(G225:H225)+'BM 001'!I225</f>
        <v>0</v>
      </c>
      <c r="J225" s="63">
        <f t="shared" si="112"/>
        <v>0</v>
      </c>
      <c r="K225" s="63"/>
      <c r="L225" s="63">
        <f t="shared" si="110"/>
        <v>0</v>
      </c>
      <c r="M225" s="63">
        <f t="shared" ref="M225:R225" si="113">SUM(M226,M240,M255,M291,M296,M307,M315)</f>
        <v>0</v>
      </c>
      <c r="N225" s="63">
        <f t="shared" si="113"/>
        <v>0</v>
      </c>
      <c r="O225" s="63">
        <f t="shared" si="113"/>
        <v>0</v>
      </c>
      <c r="P225" s="63">
        <f t="shared" si="113"/>
        <v>679789.94300000009</v>
      </c>
      <c r="Q225" s="63">
        <f t="shared" si="113"/>
        <v>861701.45999999985</v>
      </c>
      <c r="R225" s="63">
        <f t="shared" si="113"/>
        <v>861701.45999999985</v>
      </c>
    </row>
    <row r="226" spans="2:20" s="34" customFormat="1" ht="24">
      <c r="B226" s="66" t="s">
        <v>445</v>
      </c>
      <c r="C226" s="67" t="s">
        <v>446</v>
      </c>
      <c r="D226" s="68"/>
      <c r="E226" s="69"/>
      <c r="F226" s="70"/>
      <c r="G226" s="70"/>
      <c r="H226" s="70"/>
      <c r="I226" s="70">
        <f>SUM(G226:H226)+'BM 001'!I226</f>
        <v>0</v>
      </c>
      <c r="J226" s="70">
        <f t="shared" si="112"/>
        <v>0</v>
      </c>
      <c r="K226" s="71"/>
      <c r="L226" s="71">
        <f t="shared" si="110"/>
        <v>0</v>
      </c>
      <c r="M226" s="73">
        <f t="shared" ref="M226:R226" si="114">SUM(M227:M239)</f>
        <v>0</v>
      </c>
      <c r="N226" s="73">
        <f t="shared" si="114"/>
        <v>0</v>
      </c>
      <c r="O226" s="73">
        <f t="shared" si="114"/>
        <v>0</v>
      </c>
      <c r="P226" s="73">
        <f t="shared" si="114"/>
        <v>135121.34</v>
      </c>
      <c r="Q226" s="73">
        <f t="shared" si="114"/>
        <v>171279.75999999998</v>
      </c>
      <c r="R226" s="73">
        <f t="shared" si="114"/>
        <v>171279.75999999998</v>
      </c>
    </row>
    <row r="227" spans="2:20" s="34" customFormat="1" ht="23.4">
      <c r="B227" s="87" t="s">
        <v>447</v>
      </c>
      <c r="C227" s="88" t="s">
        <v>448</v>
      </c>
      <c r="D227" s="89" t="s">
        <v>82</v>
      </c>
      <c r="E227" s="90">
        <v>787.32</v>
      </c>
      <c r="F227" s="91"/>
      <c r="G227" s="91"/>
      <c r="H227" s="91"/>
      <c r="I227" s="91">
        <f>SUM(G227:H227)+'BM 001'!I227</f>
        <v>0</v>
      </c>
      <c r="J227" s="91">
        <f t="shared" si="112"/>
        <v>787.32</v>
      </c>
      <c r="K227" s="80">
        <v>70</v>
      </c>
      <c r="L227" s="81">
        <f t="shared" si="110"/>
        <v>88.732007699999997</v>
      </c>
      <c r="M227" s="82">
        <f t="shared" ref="M227:M239" si="115">TRUNC(F227*L227,2)</f>
        <v>0</v>
      </c>
      <c r="N227" s="82">
        <f t="shared" ref="N227:N239" si="116">TRUNC(G227*L227,2)</f>
        <v>0</v>
      </c>
      <c r="O227" s="82">
        <f>N227+'BM 001'!O227</f>
        <v>0</v>
      </c>
      <c r="P227" s="80">
        <f t="shared" ref="P227:P239" si="117">E227*K227</f>
        <v>55112.4</v>
      </c>
      <c r="Q227" s="82">
        <f t="shared" ref="Q227:Q239" si="118">TRUNC(E227*L227,2)</f>
        <v>69860.479999999996</v>
      </c>
      <c r="R227" s="82">
        <f t="shared" ref="R227:R239" si="119">Q227-O227</f>
        <v>69860.479999999996</v>
      </c>
    </row>
    <row r="228" spans="2:20" s="34" customFormat="1" ht="13.2">
      <c r="B228" s="87" t="s">
        <v>449</v>
      </c>
      <c r="C228" s="88" t="s">
        <v>450</v>
      </c>
      <c r="D228" s="89" t="s">
        <v>39</v>
      </c>
      <c r="E228" s="90">
        <v>30</v>
      </c>
      <c r="F228" s="91"/>
      <c r="G228" s="91"/>
      <c r="H228" s="91"/>
      <c r="I228" s="91">
        <f>SUM(G228:H228)+'BM 001'!I228</f>
        <v>0</v>
      </c>
      <c r="J228" s="91">
        <f t="shared" si="112"/>
        <v>30</v>
      </c>
      <c r="K228" s="80">
        <v>49.5</v>
      </c>
      <c r="L228" s="81">
        <f t="shared" si="110"/>
        <v>62.746205445000001</v>
      </c>
      <c r="M228" s="82">
        <f t="shared" si="115"/>
        <v>0</v>
      </c>
      <c r="N228" s="82">
        <f t="shared" si="116"/>
        <v>0</v>
      </c>
      <c r="O228" s="82">
        <f>N228+'BM 001'!O228</f>
        <v>0</v>
      </c>
      <c r="P228" s="80">
        <f t="shared" si="117"/>
        <v>1485</v>
      </c>
      <c r="Q228" s="82">
        <f t="shared" si="118"/>
        <v>1882.38</v>
      </c>
      <c r="R228" s="82">
        <f t="shared" si="119"/>
        <v>1882.38</v>
      </c>
    </row>
    <row r="229" spans="2:20" s="34" customFormat="1" ht="13.2">
      <c r="B229" s="87" t="s">
        <v>451</v>
      </c>
      <c r="C229" s="88" t="s">
        <v>452</v>
      </c>
      <c r="D229" s="89" t="s">
        <v>39</v>
      </c>
      <c r="E229" s="90">
        <v>38</v>
      </c>
      <c r="F229" s="91"/>
      <c r="G229" s="91"/>
      <c r="H229" s="91"/>
      <c r="I229" s="91">
        <f>SUM(G229:H229)+'BM 001'!I229</f>
        <v>0</v>
      </c>
      <c r="J229" s="91">
        <f t="shared" si="112"/>
        <v>38</v>
      </c>
      <c r="K229" s="80">
        <v>43.8</v>
      </c>
      <c r="L229" s="81">
        <f t="shared" si="110"/>
        <v>55.520884817999999</v>
      </c>
      <c r="M229" s="82">
        <f t="shared" si="115"/>
        <v>0</v>
      </c>
      <c r="N229" s="82">
        <f t="shared" si="116"/>
        <v>0</v>
      </c>
      <c r="O229" s="82">
        <f>N229+'BM 001'!O229</f>
        <v>0</v>
      </c>
      <c r="P229" s="80">
        <f t="shared" si="117"/>
        <v>1664.3999999999999</v>
      </c>
      <c r="Q229" s="82">
        <f t="shared" si="118"/>
        <v>2109.79</v>
      </c>
      <c r="R229" s="82">
        <f t="shared" si="119"/>
        <v>2109.79</v>
      </c>
    </row>
    <row r="230" spans="2:20" s="34" customFormat="1" ht="23.4">
      <c r="B230" s="87" t="s">
        <v>453</v>
      </c>
      <c r="C230" s="88" t="s">
        <v>454</v>
      </c>
      <c r="D230" s="89" t="s">
        <v>39</v>
      </c>
      <c r="E230" s="90">
        <v>24</v>
      </c>
      <c r="F230" s="91"/>
      <c r="G230" s="91"/>
      <c r="H230" s="91"/>
      <c r="I230" s="91">
        <f>SUM(G230:H230)+'BM 001'!I230</f>
        <v>0</v>
      </c>
      <c r="J230" s="91">
        <f t="shared" si="112"/>
        <v>24</v>
      </c>
      <c r="K230" s="80">
        <v>40</v>
      </c>
      <c r="L230" s="81">
        <f t="shared" si="110"/>
        <v>50.704004400000002</v>
      </c>
      <c r="M230" s="82">
        <f t="shared" si="115"/>
        <v>0</v>
      </c>
      <c r="N230" s="82">
        <f t="shared" si="116"/>
        <v>0</v>
      </c>
      <c r="O230" s="82">
        <f>N230+'BM 001'!O230</f>
        <v>0</v>
      </c>
      <c r="P230" s="80">
        <f t="shared" si="117"/>
        <v>960</v>
      </c>
      <c r="Q230" s="82">
        <f t="shared" si="118"/>
        <v>1216.8900000000001</v>
      </c>
      <c r="R230" s="82">
        <f t="shared" si="119"/>
        <v>1216.8900000000001</v>
      </c>
    </row>
    <row r="231" spans="2:20" s="34" customFormat="1" ht="23.4">
      <c r="B231" s="87" t="s">
        <v>455</v>
      </c>
      <c r="C231" s="88" t="s">
        <v>456</v>
      </c>
      <c r="D231" s="89" t="s">
        <v>39</v>
      </c>
      <c r="E231" s="90">
        <v>30</v>
      </c>
      <c r="F231" s="91"/>
      <c r="G231" s="91"/>
      <c r="H231" s="91"/>
      <c r="I231" s="91">
        <f>SUM(G231:H231)+'BM 001'!I231</f>
        <v>0</v>
      </c>
      <c r="J231" s="91">
        <f t="shared" si="112"/>
        <v>30</v>
      </c>
      <c r="K231" s="80">
        <v>50</v>
      </c>
      <c r="L231" s="81">
        <f t="shared" si="110"/>
        <v>63.380005500000003</v>
      </c>
      <c r="M231" s="82">
        <f t="shared" si="115"/>
        <v>0</v>
      </c>
      <c r="N231" s="82">
        <f t="shared" si="116"/>
        <v>0</v>
      </c>
      <c r="O231" s="82">
        <f>N231+'BM 001'!O231</f>
        <v>0</v>
      </c>
      <c r="P231" s="80">
        <f t="shared" si="117"/>
        <v>1500</v>
      </c>
      <c r="Q231" s="82">
        <f t="shared" si="118"/>
        <v>1901.4</v>
      </c>
      <c r="R231" s="82">
        <f t="shared" si="119"/>
        <v>1901.4</v>
      </c>
    </row>
    <row r="232" spans="2:20" s="34" customFormat="1" ht="23.4">
      <c r="B232" s="87" t="s">
        <v>457</v>
      </c>
      <c r="C232" s="88" t="s">
        <v>458</v>
      </c>
      <c r="D232" s="89" t="s">
        <v>39</v>
      </c>
      <c r="E232" s="90">
        <v>400</v>
      </c>
      <c r="F232" s="91"/>
      <c r="G232" s="91"/>
      <c r="H232" s="91"/>
      <c r="I232" s="91">
        <f>SUM(G232:H232)+'BM 001'!I232</f>
        <v>0</v>
      </c>
      <c r="J232" s="91">
        <f t="shared" si="112"/>
        <v>400</v>
      </c>
      <c r="K232" s="80">
        <v>9.7100000000000009</v>
      </c>
      <c r="L232" s="81">
        <f t="shared" si="110"/>
        <v>12.308397068100001</v>
      </c>
      <c r="M232" s="82">
        <f t="shared" si="115"/>
        <v>0</v>
      </c>
      <c r="N232" s="82">
        <f t="shared" si="116"/>
        <v>0</v>
      </c>
      <c r="O232" s="82">
        <f>N232+'BM 001'!O232</f>
        <v>0</v>
      </c>
      <c r="P232" s="80">
        <f t="shared" si="117"/>
        <v>3884.0000000000005</v>
      </c>
      <c r="Q232" s="82">
        <f t="shared" si="118"/>
        <v>4923.3500000000004</v>
      </c>
      <c r="R232" s="82">
        <f t="shared" si="119"/>
        <v>4923.3500000000004</v>
      </c>
    </row>
    <row r="233" spans="2:20" s="34" customFormat="1" ht="23.4">
      <c r="B233" s="87" t="s">
        <v>459</v>
      </c>
      <c r="C233" s="88" t="s">
        <v>460</v>
      </c>
      <c r="D233" s="89" t="s">
        <v>82</v>
      </c>
      <c r="E233" s="90">
        <v>53.61</v>
      </c>
      <c r="F233" s="91"/>
      <c r="G233" s="91"/>
      <c r="H233" s="91"/>
      <c r="I233" s="91">
        <f>SUM(G233:H233)+'BM 001'!I233</f>
        <v>0</v>
      </c>
      <c r="J233" s="91">
        <f t="shared" si="112"/>
        <v>53.61</v>
      </c>
      <c r="K233" s="80">
        <v>95</v>
      </c>
      <c r="L233" s="81">
        <f t="shared" si="110"/>
        <v>120.42201045</v>
      </c>
      <c r="M233" s="82">
        <f t="shared" si="115"/>
        <v>0</v>
      </c>
      <c r="N233" s="82">
        <f t="shared" si="116"/>
        <v>0</v>
      </c>
      <c r="O233" s="82">
        <f>N233+'BM 001'!O233</f>
        <v>0</v>
      </c>
      <c r="P233" s="80">
        <f t="shared" si="117"/>
        <v>5092.95</v>
      </c>
      <c r="Q233" s="82">
        <f t="shared" si="118"/>
        <v>6455.82</v>
      </c>
      <c r="R233" s="82">
        <f t="shared" si="119"/>
        <v>6455.82</v>
      </c>
    </row>
    <row r="234" spans="2:20" s="34" customFormat="1" ht="34.799999999999997">
      <c r="B234" s="87" t="s">
        <v>461</v>
      </c>
      <c r="C234" s="88" t="s">
        <v>462</v>
      </c>
      <c r="D234" s="89" t="s">
        <v>82</v>
      </c>
      <c r="E234" s="90">
        <v>91.42</v>
      </c>
      <c r="F234" s="91"/>
      <c r="G234" s="91"/>
      <c r="H234" s="91"/>
      <c r="I234" s="91">
        <f>SUM(G234:H234)+'BM 001'!I234</f>
        <v>0</v>
      </c>
      <c r="J234" s="91">
        <f t="shared" si="112"/>
        <v>91.42</v>
      </c>
      <c r="K234" s="80">
        <v>15</v>
      </c>
      <c r="L234" s="81">
        <f t="shared" si="110"/>
        <v>19.014001650000001</v>
      </c>
      <c r="M234" s="82">
        <f t="shared" si="115"/>
        <v>0</v>
      </c>
      <c r="N234" s="82">
        <f t="shared" si="116"/>
        <v>0</v>
      </c>
      <c r="O234" s="82">
        <f>N234+'BM 001'!O234</f>
        <v>0</v>
      </c>
      <c r="P234" s="80">
        <f t="shared" si="117"/>
        <v>1371.3</v>
      </c>
      <c r="Q234" s="82">
        <f t="shared" si="118"/>
        <v>1738.26</v>
      </c>
      <c r="R234" s="82">
        <f t="shared" si="119"/>
        <v>1738.26</v>
      </c>
    </row>
    <row r="235" spans="2:20" s="34" customFormat="1" ht="34.799999999999997">
      <c r="B235" s="87" t="s">
        <v>463</v>
      </c>
      <c r="C235" s="88" t="s">
        <v>464</v>
      </c>
      <c r="D235" s="89" t="s">
        <v>82</v>
      </c>
      <c r="E235" s="90">
        <v>8549.7900000000009</v>
      </c>
      <c r="F235" s="91"/>
      <c r="G235" s="91"/>
      <c r="H235" s="91"/>
      <c r="I235" s="91">
        <f>SUM(G235:H235)+'BM 001'!I235</f>
        <v>0</v>
      </c>
      <c r="J235" s="91">
        <f t="shared" si="112"/>
        <v>8549.7900000000009</v>
      </c>
      <c r="K235" s="80">
        <v>6</v>
      </c>
      <c r="L235" s="81">
        <f t="shared" si="110"/>
        <v>7.6056006600000003</v>
      </c>
      <c r="M235" s="82">
        <f t="shared" si="115"/>
        <v>0</v>
      </c>
      <c r="N235" s="82">
        <f t="shared" si="116"/>
        <v>0</v>
      </c>
      <c r="O235" s="82">
        <f>N235+'BM 001'!O235</f>
        <v>0</v>
      </c>
      <c r="P235" s="80">
        <f t="shared" si="117"/>
        <v>51298.740000000005</v>
      </c>
      <c r="Q235" s="82">
        <f t="shared" si="118"/>
        <v>65026.28</v>
      </c>
      <c r="R235" s="82">
        <f t="shared" si="119"/>
        <v>65026.28</v>
      </c>
    </row>
    <row r="236" spans="2:20" s="34" customFormat="1" ht="34.799999999999997">
      <c r="B236" s="87" t="s">
        <v>465</v>
      </c>
      <c r="C236" s="88" t="s">
        <v>466</v>
      </c>
      <c r="D236" s="89" t="s">
        <v>82</v>
      </c>
      <c r="E236" s="90">
        <v>98.51</v>
      </c>
      <c r="F236" s="91"/>
      <c r="G236" s="91"/>
      <c r="H236" s="91"/>
      <c r="I236" s="91">
        <f>SUM(G236:H236)+'BM 001'!I236</f>
        <v>0</v>
      </c>
      <c r="J236" s="91">
        <f t="shared" si="112"/>
        <v>98.51</v>
      </c>
      <c r="K236" s="80">
        <v>20</v>
      </c>
      <c r="L236" s="81">
        <f t="shared" si="110"/>
        <v>25.352002200000001</v>
      </c>
      <c r="M236" s="82">
        <f t="shared" si="115"/>
        <v>0</v>
      </c>
      <c r="N236" s="82">
        <f t="shared" si="116"/>
        <v>0</v>
      </c>
      <c r="O236" s="82">
        <f>N236+'BM 001'!O236</f>
        <v>0</v>
      </c>
      <c r="P236" s="80">
        <f t="shared" si="117"/>
        <v>1970.2</v>
      </c>
      <c r="Q236" s="82">
        <f t="shared" si="118"/>
        <v>2497.42</v>
      </c>
      <c r="R236" s="82">
        <f t="shared" si="119"/>
        <v>2497.42</v>
      </c>
      <c r="T236" s="83"/>
    </row>
    <row r="237" spans="2:20" s="34" customFormat="1" ht="23.4">
      <c r="B237" s="87" t="s">
        <v>467</v>
      </c>
      <c r="C237" s="88" t="s">
        <v>468</v>
      </c>
      <c r="D237" s="89" t="s">
        <v>39</v>
      </c>
      <c r="E237" s="90">
        <v>836</v>
      </c>
      <c r="F237" s="91"/>
      <c r="G237" s="91"/>
      <c r="H237" s="91"/>
      <c r="I237" s="91">
        <f>SUM(G237:H237)+'BM 001'!I237</f>
        <v>0</v>
      </c>
      <c r="J237" s="91">
        <f t="shared" si="112"/>
        <v>836</v>
      </c>
      <c r="K237" s="80">
        <v>8</v>
      </c>
      <c r="L237" s="81">
        <f t="shared" si="110"/>
        <v>10.14080088</v>
      </c>
      <c r="M237" s="82">
        <f t="shared" si="115"/>
        <v>0</v>
      </c>
      <c r="N237" s="82">
        <f t="shared" si="116"/>
        <v>0</v>
      </c>
      <c r="O237" s="82">
        <f>N237+'BM 001'!O237</f>
        <v>0</v>
      </c>
      <c r="P237" s="80">
        <f t="shared" si="117"/>
        <v>6688</v>
      </c>
      <c r="Q237" s="82">
        <f t="shared" si="118"/>
        <v>8477.7000000000007</v>
      </c>
      <c r="R237" s="82">
        <f t="shared" si="119"/>
        <v>8477.7000000000007</v>
      </c>
      <c r="T237" s="83"/>
    </row>
    <row r="238" spans="2:20" s="34" customFormat="1" ht="34.799999999999997">
      <c r="B238" s="87" t="s">
        <v>469</v>
      </c>
      <c r="C238" s="88" t="s">
        <v>470</v>
      </c>
      <c r="D238" s="89" t="s">
        <v>39</v>
      </c>
      <c r="E238" s="90">
        <v>1359</v>
      </c>
      <c r="F238" s="91"/>
      <c r="G238" s="91"/>
      <c r="H238" s="91"/>
      <c r="I238" s="91">
        <f>SUM(G238:H238)+'BM 001'!I238</f>
        <v>0</v>
      </c>
      <c r="J238" s="91">
        <f t="shared" si="112"/>
        <v>1359</v>
      </c>
      <c r="K238" s="80">
        <v>3</v>
      </c>
      <c r="L238" s="81">
        <f t="shared" si="110"/>
        <v>3.8028003300000002</v>
      </c>
      <c r="M238" s="82">
        <f t="shared" si="115"/>
        <v>0</v>
      </c>
      <c r="N238" s="82">
        <f t="shared" si="116"/>
        <v>0</v>
      </c>
      <c r="O238" s="82">
        <f>N238+'BM 001'!O238</f>
        <v>0</v>
      </c>
      <c r="P238" s="80">
        <f t="shared" si="117"/>
        <v>4077</v>
      </c>
      <c r="Q238" s="82">
        <f t="shared" si="118"/>
        <v>5168</v>
      </c>
      <c r="R238" s="82">
        <f t="shared" si="119"/>
        <v>5168</v>
      </c>
      <c r="T238" s="83"/>
    </row>
    <row r="239" spans="2:20" s="34" customFormat="1" ht="34.799999999999997">
      <c r="B239" s="87" t="s">
        <v>471</v>
      </c>
      <c r="C239" s="88" t="s">
        <v>472</v>
      </c>
      <c r="D239" s="89" t="s">
        <v>39</v>
      </c>
      <c r="E239" s="90">
        <v>5</v>
      </c>
      <c r="F239" s="91"/>
      <c r="G239" s="91"/>
      <c r="H239" s="91"/>
      <c r="I239" s="91">
        <f>SUM(G239:H239)+'BM 001'!I239</f>
        <v>0</v>
      </c>
      <c r="J239" s="91">
        <f t="shared" si="112"/>
        <v>5</v>
      </c>
      <c r="K239" s="80">
        <v>3.47</v>
      </c>
      <c r="L239" s="81">
        <f t="shared" si="110"/>
        <v>4.3985723817000002</v>
      </c>
      <c r="M239" s="82">
        <f t="shared" si="115"/>
        <v>0</v>
      </c>
      <c r="N239" s="82">
        <f t="shared" si="116"/>
        <v>0</v>
      </c>
      <c r="O239" s="82">
        <f>N239+'BM 001'!O239</f>
        <v>0</v>
      </c>
      <c r="P239" s="80">
        <f t="shared" si="117"/>
        <v>17.350000000000001</v>
      </c>
      <c r="Q239" s="82">
        <f t="shared" si="118"/>
        <v>21.99</v>
      </c>
      <c r="R239" s="82">
        <f t="shared" si="119"/>
        <v>21.99</v>
      </c>
      <c r="T239" s="83"/>
    </row>
    <row r="240" spans="2:20" s="34" customFormat="1" ht="13.2">
      <c r="B240" s="66" t="s">
        <v>473</v>
      </c>
      <c r="C240" s="67" t="s">
        <v>474</v>
      </c>
      <c r="D240" s="68"/>
      <c r="E240" s="69"/>
      <c r="F240" s="70"/>
      <c r="G240" s="70"/>
      <c r="H240" s="70"/>
      <c r="I240" s="70">
        <f>SUM(G240:H240)+'BM 001'!I240</f>
        <v>0</v>
      </c>
      <c r="J240" s="70">
        <f t="shared" si="112"/>
        <v>0</v>
      </c>
      <c r="K240" s="71"/>
      <c r="L240" s="71">
        <f t="shared" si="110"/>
        <v>0</v>
      </c>
      <c r="M240" s="73">
        <f t="shared" ref="M240:R240" si="120">SUM(M241:M254)</f>
        <v>0</v>
      </c>
      <c r="N240" s="73">
        <f t="shared" si="120"/>
        <v>0</v>
      </c>
      <c r="O240" s="73">
        <f t="shared" si="120"/>
        <v>0</v>
      </c>
      <c r="P240" s="73">
        <f t="shared" si="120"/>
        <v>310727.75299999997</v>
      </c>
      <c r="Q240" s="73">
        <f t="shared" si="120"/>
        <v>393878.46999999991</v>
      </c>
      <c r="R240" s="73">
        <f t="shared" si="120"/>
        <v>393878.46999999991</v>
      </c>
      <c r="T240" s="83"/>
    </row>
    <row r="241" spans="2:20" s="34" customFormat="1" ht="13.2">
      <c r="B241" s="87" t="s">
        <v>475</v>
      </c>
      <c r="C241" s="88" t="s">
        <v>476</v>
      </c>
      <c r="D241" s="89" t="s">
        <v>82</v>
      </c>
      <c r="E241" s="90">
        <v>1000</v>
      </c>
      <c r="F241" s="91"/>
      <c r="G241" s="91"/>
      <c r="H241" s="91"/>
      <c r="I241" s="91">
        <f>SUM(G241:H241)+'BM 001'!I241</f>
        <v>0</v>
      </c>
      <c r="J241" s="91">
        <f t="shared" si="112"/>
        <v>1000</v>
      </c>
      <c r="K241" s="80">
        <v>15</v>
      </c>
      <c r="L241" s="81">
        <f t="shared" si="110"/>
        <v>19.014001650000001</v>
      </c>
      <c r="M241" s="82">
        <f t="shared" ref="M241:M254" si="121">TRUNC(F241*L241,2)</f>
        <v>0</v>
      </c>
      <c r="N241" s="82">
        <f t="shared" ref="N241:N254" si="122">TRUNC(G241*L241,2)</f>
        <v>0</v>
      </c>
      <c r="O241" s="82">
        <f>N241+'BM 001'!O241</f>
        <v>0</v>
      </c>
      <c r="P241" s="80">
        <f t="shared" ref="P241:P254" si="123">E241*K241</f>
        <v>15000</v>
      </c>
      <c r="Q241" s="82">
        <f t="shared" ref="Q241:Q254" si="124">TRUNC(E241*L241,2)</f>
        <v>19014</v>
      </c>
      <c r="R241" s="82">
        <f t="shared" ref="R241:R254" si="125">Q241-O241</f>
        <v>19014</v>
      </c>
      <c r="T241" s="83"/>
    </row>
    <row r="242" spans="2:20" s="34" customFormat="1" ht="46.2">
      <c r="B242" s="87" t="s">
        <v>477</v>
      </c>
      <c r="C242" s="88" t="s">
        <v>478</v>
      </c>
      <c r="D242" s="89" t="s">
        <v>124</v>
      </c>
      <c r="E242" s="90">
        <v>9216.66</v>
      </c>
      <c r="F242" s="91"/>
      <c r="G242" s="91"/>
      <c r="H242" s="91"/>
      <c r="I242" s="91">
        <f>SUM(G242:H242)+'BM 001'!I242</f>
        <v>0</v>
      </c>
      <c r="J242" s="91">
        <f t="shared" si="112"/>
        <v>9216.66</v>
      </c>
      <c r="K242" s="80">
        <v>3.5</v>
      </c>
      <c r="L242" s="81">
        <f t="shared" si="110"/>
        <v>4.4366003850000002</v>
      </c>
      <c r="M242" s="82">
        <f t="shared" si="121"/>
        <v>0</v>
      </c>
      <c r="N242" s="82">
        <f t="shared" si="122"/>
        <v>0</v>
      </c>
      <c r="O242" s="82">
        <f>N242+'BM 001'!O242</f>
        <v>0</v>
      </c>
      <c r="P242" s="80">
        <f t="shared" si="123"/>
        <v>32258.309999999998</v>
      </c>
      <c r="Q242" s="82">
        <f t="shared" si="124"/>
        <v>40890.629999999997</v>
      </c>
      <c r="R242" s="82">
        <f t="shared" si="125"/>
        <v>40890.629999999997</v>
      </c>
    </row>
    <row r="243" spans="2:20" s="34" customFormat="1" ht="46.2">
      <c r="B243" s="87" t="s">
        <v>479</v>
      </c>
      <c r="C243" s="88" t="s">
        <v>480</v>
      </c>
      <c r="D243" s="89" t="s">
        <v>82</v>
      </c>
      <c r="E243" s="90">
        <v>16088.53</v>
      </c>
      <c r="F243" s="91"/>
      <c r="G243" s="91"/>
      <c r="H243" s="91"/>
      <c r="I243" s="91">
        <f>SUM(G243:H243)+'BM 001'!I243</f>
        <v>0</v>
      </c>
      <c r="J243" s="91">
        <f t="shared" si="112"/>
        <v>16088.53</v>
      </c>
      <c r="K243" s="80">
        <v>4.5</v>
      </c>
      <c r="L243" s="81">
        <f t="shared" si="110"/>
        <v>5.7042004950000003</v>
      </c>
      <c r="M243" s="82">
        <f t="shared" si="121"/>
        <v>0</v>
      </c>
      <c r="N243" s="82">
        <f t="shared" si="122"/>
        <v>0</v>
      </c>
      <c r="O243" s="82">
        <f>N243+'BM 001'!O243</f>
        <v>0</v>
      </c>
      <c r="P243" s="80">
        <f t="shared" si="123"/>
        <v>72398.385000000009</v>
      </c>
      <c r="Q243" s="82">
        <f t="shared" si="124"/>
        <v>91772.2</v>
      </c>
      <c r="R243" s="82">
        <f t="shared" si="125"/>
        <v>91772.2</v>
      </c>
    </row>
    <row r="244" spans="2:20" s="34" customFormat="1" ht="23.4">
      <c r="B244" s="87" t="s">
        <v>481</v>
      </c>
      <c r="C244" s="88" t="s">
        <v>482</v>
      </c>
      <c r="D244" s="89" t="s">
        <v>82</v>
      </c>
      <c r="E244" s="90">
        <v>1366.87</v>
      </c>
      <c r="F244" s="91"/>
      <c r="G244" s="91"/>
      <c r="H244" s="91"/>
      <c r="I244" s="91">
        <f>SUM(G244:H244)+'BM 001'!I244</f>
        <v>0</v>
      </c>
      <c r="J244" s="91">
        <f t="shared" si="112"/>
        <v>1366.87</v>
      </c>
      <c r="K244" s="80">
        <v>7</v>
      </c>
      <c r="L244" s="81">
        <f t="shared" si="110"/>
        <v>8.8732007700000004</v>
      </c>
      <c r="M244" s="82">
        <f t="shared" si="121"/>
        <v>0</v>
      </c>
      <c r="N244" s="82">
        <f t="shared" si="122"/>
        <v>0</v>
      </c>
      <c r="O244" s="82">
        <f>N244+'BM 001'!O244</f>
        <v>0</v>
      </c>
      <c r="P244" s="80">
        <f t="shared" si="123"/>
        <v>9568.09</v>
      </c>
      <c r="Q244" s="82">
        <f t="shared" si="124"/>
        <v>12128.51</v>
      </c>
      <c r="R244" s="82">
        <f t="shared" si="125"/>
        <v>12128.51</v>
      </c>
    </row>
    <row r="245" spans="2:20" s="34" customFormat="1" ht="46.2">
      <c r="B245" s="87" t="s">
        <v>483</v>
      </c>
      <c r="C245" s="88" t="s">
        <v>484</v>
      </c>
      <c r="D245" s="89" t="s">
        <v>82</v>
      </c>
      <c r="E245" s="90">
        <v>337.73</v>
      </c>
      <c r="F245" s="91"/>
      <c r="G245" s="91"/>
      <c r="H245" s="91"/>
      <c r="I245" s="91">
        <f>SUM(G245:H245)+'BM 001'!I245</f>
        <v>0</v>
      </c>
      <c r="J245" s="91">
        <f t="shared" si="112"/>
        <v>337.73</v>
      </c>
      <c r="K245" s="80">
        <v>10</v>
      </c>
      <c r="L245" s="81">
        <f t="shared" si="110"/>
        <v>12.676001100000001</v>
      </c>
      <c r="M245" s="82">
        <f t="shared" si="121"/>
        <v>0</v>
      </c>
      <c r="N245" s="82">
        <f t="shared" si="122"/>
        <v>0</v>
      </c>
      <c r="O245" s="82">
        <f>N245+'BM 001'!O245</f>
        <v>0</v>
      </c>
      <c r="P245" s="80">
        <f t="shared" si="123"/>
        <v>3377.3</v>
      </c>
      <c r="Q245" s="82">
        <f t="shared" si="124"/>
        <v>4281.0600000000004</v>
      </c>
      <c r="R245" s="82">
        <f t="shared" si="125"/>
        <v>4281.0600000000004</v>
      </c>
    </row>
    <row r="246" spans="2:20" s="34" customFormat="1" ht="23.4">
      <c r="B246" s="87" t="s">
        <v>485</v>
      </c>
      <c r="C246" s="88" t="s">
        <v>486</v>
      </c>
      <c r="D246" s="89" t="s">
        <v>82</v>
      </c>
      <c r="E246" s="90">
        <v>584.41</v>
      </c>
      <c r="F246" s="91"/>
      <c r="G246" s="91"/>
      <c r="H246" s="91"/>
      <c r="I246" s="91">
        <f>SUM(G246:H246)+'BM 001'!I246</f>
        <v>0</v>
      </c>
      <c r="J246" s="91">
        <f t="shared" si="112"/>
        <v>584.41</v>
      </c>
      <c r="K246" s="80">
        <v>11</v>
      </c>
      <c r="L246" s="81">
        <f t="shared" si="110"/>
        <v>13.943601210000001</v>
      </c>
      <c r="M246" s="82">
        <f t="shared" si="121"/>
        <v>0</v>
      </c>
      <c r="N246" s="82">
        <f t="shared" si="122"/>
        <v>0</v>
      </c>
      <c r="O246" s="82">
        <f>N246+'BM 001'!O246</f>
        <v>0</v>
      </c>
      <c r="P246" s="80">
        <f t="shared" si="123"/>
        <v>6428.5099999999993</v>
      </c>
      <c r="Q246" s="82">
        <f t="shared" si="124"/>
        <v>8148.77</v>
      </c>
      <c r="R246" s="82">
        <f t="shared" si="125"/>
        <v>8148.77</v>
      </c>
    </row>
    <row r="247" spans="2:20" s="34" customFormat="1" ht="23.4">
      <c r="B247" s="87" t="s">
        <v>487</v>
      </c>
      <c r="C247" s="88" t="s">
        <v>488</v>
      </c>
      <c r="D247" s="89" t="s">
        <v>82</v>
      </c>
      <c r="E247" s="90">
        <v>746.42</v>
      </c>
      <c r="F247" s="91"/>
      <c r="G247" s="91"/>
      <c r="H247" s="91"/>
      <c r="I247" s="91">
        <f>SUM(G247:H247)+'BM 001'!I247</f>
        <v>0</v>
      </c>
      <c r="J247" s="91">
        <f t="shared" si="112"/>
        <v>746.42</v>
      </c>
      <c r="K247" s="80">
        <v>18</v>
      </c>
      <c r="L247" s="81">
        <f t="shared" si="110"/>
        <v>22.816801980000001</v>
      </c>
      <c r="M247" s="82">
        <f t="shared" si="121"/>
        <v>0</v>
      </c>
      <c r="N247" s="82">
        <f t="shared" si="122"/>
        <v>0</v>
      </c>
      <c r="O247" s="82">
        <f>N247+'BM 001'!O247</f>
        <v>0</v>
      </c>
      <c r="P247" s="80">
        <f t="shared" si="123"/>
        <v>13435.56</v>
      </c>
      <c r="Q247" s="82">
        <f t="shared" si="124"/>
        <v>17030.91</v>
      </c>
      <c r="R247" s="82">
        <f t="shared" si="125"/>
        <v>17030.91</v>
      </c>
    </row>
    <row r="248" spans="2:20" s="34" customFormat="1" ht="34.799999999999997">
      <c r="B248" s="87" t="s">
        <v>489</v>
      </c>
      <c r="C248" s="88" t="s">
        <v>490</v>
      </c>
      <c r="D248" s="89" t="s">
        <v>82</v>
      </c>
      <c r="E248" s="90">
        <v>396.45</v>
      </c>
      <c r="F248" s="91"/>
      <c r="G248" s="91"/>
      <c r="H248" s="91"/>
      <c r="I248" s="91">
        <f>SUM(G248:H248)+'BM 001'!I248</f>
        <v>0</v>
      </c>
      <c r="J248" s="91">
        <f t="shared" si="112"/>
        <v>396.45</v>
      </c>
      <c r="K248" s="80">
        <v>25</v>
      </c>
      <c r="L248" s="81">
        <f t="shared" si="110"/>
        <v>31.690002750000001</v>
      </c>
      <c r="M248" s="82">
        <f t="shared" si="121"/>
        <v>0</v>
      </c>
      <c r="N248" s="82">
        <f t="shared" si="122"/>
        <v>0</v>
      </c>
      <c r="O248" s="82">
        <f>N248+'BM 001'!O248</f>
        <v>0</v>
      </c>
      <c r="P248" s="80">
        <f t="shared" si="123"/>
        <v>9911.25</v>
      </c>
      <c r="Q248" s="82">
        <f t="shared" si="124"/>
        <v>12563.5</v>
      </c>
      <c r="R248" s="82">
        <f t="shared" si="125"/>
        <v>12563.5</v>
      </c>
    </row>
    <row r="249" spans="2:20" s="34" customFormat="1" ht="46.2">
      <c r="B249" s="87" t="s">
        <v>491</v>
      </c>
      <c r="C249" s="88" t="s">
        <v>492</v>
      </c>
      <c r="D249" s="89" t="s">
        <v>82</v>
      </c>
      <c r="E249" s="90">
        <v>326.43</v>
      </c>
      <c r="F249" s="91"/>
      <c r="G249" s="91"/>
      <c r="H249" s="91"/>
      <c r="I249" s="91">
        <f>SUM(G249:H249)+'BM 001'!I249</f>
        <v>0</v>
      </c>
      <c r="J249" s="91">
        <f t="shared" si="112"/>
        <v>326.43</v>
      </c>
      <c r="K249" s="80">
        <v>40</v>
      </c>
      <c r="L249" s="81">
        <f t="shared" si="110"/>
        <v>50.704004400000002</v>
      </c>
      <c r="M249" s="82">
        <f t="shared" si="121"/>
        <v>0</v>
      </c>
      <c r="N249" s="82">
        <f t="shared" si="122"/>
        <v>0</v>
      </c>
      <c r="O249" s="82">
        <f>N249+'BM 001'!O249</f>
        <v>0</v>
      </c>
      <c r="P249" s="80">
        <f t="shared" si="123"/>
        <v>13057.2</v>
      </c>
      <c r="Q249" s="82">
        <f t="shared" si="124"/>
        <v>16551.3</v>
      </c>
      <c r="R249" s="82">
        <f t="shared" si="125"/>
        <v>16551.3</v>
      </c>
    </row>
    <row r="250" spans="2:20" s="34" customFormat="1" ht="34.799999999999997">
      <c r="B250" s="87" t="s">
        <v>493</v>
      </c>
      <c r="C250" s="88" t="s">
        <v>494</v>
      </c>
      <c r="D250" s="89" t="s">
        <v>82</v>
      </c>
      <c r="E250" s="90">
        <v>49.87</v>
      </c>
      <c r="F250" s="91"/>
      <c r="G250" s="91"/>
      <c r="H250" s="91"/>
      <c r="I250" s="91">
        <f>SUM(G250:H250)+'BM 001'!I250</f>
        <v>0</v>
      </c>
      <c r="J250" s="91">
        <f t="shared" si="112"/>
        <v>49.87</v>
      </c>
      <c r="K250" s="80">
        <v>125</v>
      </c>
      <c r="L250" s="81">
        <f t="shared" si="110"/>
        <v>158.45001375000001</v>
      </c>
      <c r="M250" s="82">
        <f t="shared" si="121"/>
        <v>0</v>
      </c>
      <c r="N250" s="82">
        <f t="shared" si="122"/>
        <v>0</v>
      </c>
      <c r="O250" s="82">
        <f>N250+'BM 001'!O250</f>
        <v>0</v>
      </c>
      <c r="P250" s="80">
        <f t="shared" si="123"/>
        <v>6233.75</v>
      </c>
      <c r="Q250" s="82">
        <f t="shared" si="124"/>
        <v>7901.9</v>
      </c>
      <c r="R250" s="82">
        <f t="shared" si="125"/>
        <v>7901.9</v>
      </c>
    </row>
    <row r="251" spans="2:20" s="34" customFormat="1" ht="34.799999999999997">
      <c r="B251" s="87" t="s">
        <v>495</v>
      </c>
      <c r="C251" s="88" t="s">
        <v>496</v>
      </c>
      <c r="D251" s="89" t="s">
        <v>82</v>
      </c>
      <c r="E251" s="90">
        <v>49.87</v>
      </c>
      <c r="F251" s="91"/>
      <c r="G251" s="91"/>
      <c r="H251" s="91"/>
      <c r="I251" s="91">
        <f>SUM(G251:H251)+'BM 001'!I251</f>
        <v>0</v>
      </c>
      <c r="J251" s="91">
        <f t="shared" si="112"/>
        <v>49.87</v>
      </c>
      <c r="K251" s="80">
        <v>170</v>
      </c>
      <c r="L251" s="81">
        <f t="shared" si="110"/>
        <v>215.49201870000002</v>
      </c>
      <c r="M251" s="82">
        <f t="shared" si="121"/>
        <v>0</v>
      </c>
      <c r="N251" s="82">
        <f t="shared" si="122"/>
        <v>0</v>
      </c>
      <c r="O251" s="82">
        <f>N251+'BM 001'!O251</f>
        <v>0</v>
      </c>
      <c r="P251" s="80">
        <f t="shared" si="123"/>
        <v>8477.9</v>
      </c>
      <c r="Q251" s="82">
        <f t="shared" si="124"/>
        <v>10746.58</v>
      </c>
      <c r="R251" s="82">
        <f t="shared" si="125"/>
        <v>10746.58</v>
      </c>
    </row>
    <row r="252" spans="2:20" s="34" customFormat="1" ht="34.799999999999997">
      <c r="B252" s="87" t="s">
        <v>497</v>
      </c>
      <c r="C252" s="88" t="s">
        <v>498</v>
      </c>
      <c r="D252" s="89" t="s">
        <v>82</v>
      </c>
      <c r="E252" s="90">
        <v>149.6</v>
      </c>
      <c r="F252" s="91"/>
      <c r="G252" s="91"/>
      <c r="H252" s="91"/>
      <c r="I252" s="91">
        <f>SUM(G252:H252)+'BM 001'!I252</f>
        <v>0</v>
      </c>
      <c r="J252" s="91">
        <f t="shared" si="112"/>
        <v>149.6</v>
      </c>
      <c r="K252" s="80">
        <v>290</v>
      </c>
      <c r="L252" s="81">
        <f t="shared" si="110"/>
        <v>367.6040319</v>
      </c>
      <c r="M252" s="82">
        <f t="shared" si="121"/>
        <v>0</v>
      </c>
      <c r="N252" s="82">
        <f t="shared" si="122"/>
        <v>0</v>
      </c>
      <c r="O252" s="82">
        <f>N252+'BM 001'!O252</f>
        <v>0</v>
      </c>
      <c r="P252" s="80">
        <f t="shared" si="123"/>
        <v>43384</v>
      </c>
      <c r="Q252" s="82">
        <f t="shared" si="124"/>
        <v>54993.56</v>
      </c>
      <c r="R252" s="82">
        <f t="shared" si="125"/>
        <v>54993.56</v>
      </c>
    </row>
    <row r="253" spans="2:20" s="34" customFormat="1" ht="23.4">
      <c r="B253" s="87" t="s">
        <v>499</v>
      </c>
      <c r="C253" s="88" t="s">
        <v>500</v>
      </c>
      <c r="D253" s="89" t="s">
        <v>82</v>
      </c>
      <c r="E253" s="90">
        <v>4482.08</v>
      </c>
      <c r="F253" s="91"/>
      <c r="G253" s="91"/>
      <c r="H253" s="91"/>
      <c r="I253" s="91">
        <f>SUM(G253:H253)+'BM 001'!I253</f>
        <v>0</v>
      </c>
      <c r="J253" s="91">
        <f t="shared" si="112"/>
        <v>4482.08</v>
      </c>
      <c r="K253" s="80">
        <v>9</v>
      </c>
      <c r="L253" s="81">
        <f t="shared" si="110"/>
        <v>11.408400990000001</v>
      </c>
      <c r="M253" s="82">
        <f t="shared" si="121"/>
        <v>0</v>
      </c>
      <c r="N253" s="82">
        <f t="shared" si="122"/>
        <v>0</v>
      </c>
      <c r="O253" s="82">
        <f>N253+'BM 001'!O253</f>
        <v>0</v>
      </c>
      <c r="P253" s="80">
        <f t="shared" si="123"/>
        <v>40338.720000000001</v>
      </c>
      <c r="Q253" s="82">
        <f t="shared" si="124"/>
        <v>51133.36</v>
      </c>
      <c r="R253" s="82">
        <f t="shared" si="125"/>
        <v>51133.36</v>
      </c>
    </row>
    <row r="254" spans="2:20" s="34" customFormat="1" ht="23.4">
      <c r="B254" s="87" t="s">
        <v>501</v>
      </c>
      <c r="C254" s="88" t="s">
        <v>502</v>
      </c>
      <c r="D254" s="89" t="s">
        <v>82</v>
      </c>
      <c r="E254" s="90">
        <v>3350.7979999999998</v>
      </c>
      <c r="F254" s="91"/>
      <c r="G254" s="91"/>
      <c r="H254" s="91"/>
      <c r="I254" s="91">
        <f>SUM(G254:H254)+'BM 001'!I254</f>
        <v>0</v>
      </c>
      <c r="J254" s="91">
        <f t="shared" si="112"/>
        <v>3350.7979999999998</v>
      </c>
      <c r="K254" s="80">
        <v>11</v>
      </c>
      <c r="L254" s="81">
        <f t="shared" si="110"/>
        <v>13.943601210000001</v>
      </c>
      <c r="M254" s="82">
        <f t="shared" si="121"/>
        <v>0</v>
      </c>
      <c r="N254" s="82">
        <f t="shared" si="122"/>
        <v>0</v>
      </c>
      <c r="O254" s="82">
        <f>N254+'BM 001'!O254</f>
        <v>0</v>
      </c>
      <c r="P254" s="80">
        <f t="shared" si="123"/>
        <v>36858.777999999998</v>
      </c>
      <c r="Q254" s="82">
        <f t="shared" si="124"/>
        <v>46722.19</v>
      </c>
      <c r="R254" s="82">
        <f t="shared" si="125"/>
        <v>46722.19</v>
      </c>
    </row>
    <row r="255" spans="2:20" s="34" customFormat="1" ht="13.2">
      <c r="B255" s="66" t="s">
        <v>503</v>
      </c>
      <c r="C255" s="67" t="s">
        <v>504</v>
      </c>
      <c r="D255" s="68"/>
      <c r="E255" s="69"/>
      <c r="F255" s="70"/>
      <c r="G255" s="70"/>
      <c r="H255" s="70"/>
      <c r="I255" s="70">
        <f>SUM(G255:H255)+'BM 001'!I255</f>
        <v>0</v>
      </c>
      <c r="J255" s="70">
        <f t="shared" si="112"/>
        <v>0</v>
      </c>
      <c r="K255" s="71"/>
      <c r="L255" s="71">
        <f t="shared" si="110"/>
        <v>0</v>
      </c>
      <c r="M255" s="73">
        <f t="shared" ref="M255:R255" si="126">SUM(M256:M290)</f>
        <v>0</v>
      </c>
      <c r="N255" s="73">
        <f t="shared" si="126"/>
        <v>0</v>
      </c>
      <c r="O255" s="73">
        <f t="shared" si="126"/>
        <v>0</v>
      </c>
      <c r="P255" s="73">
        <f t="shared" si="126"/>
        <v>65111</v>
      </c>
      <c r="Q255" s="73">
        <f t="shared" si="126"/>
        <v>82534.59</v>
      </c>
      <c r="R255" s="73">
        <f t="shared" si="126"/>
        <v>82534.59</v>
      </c>
    </row>
    <row r="256" spans="2:20" s="34" customFormat="1" ht="34.799999999999997">
      <c r="B256" s="87" t="s">
        <v>505</v>
      </c>
      <c r="C256" s="88" t="s">
        <v>506</v>
      </c>
      <c r="D256" s="89" t="s">
        <v>131</v>
      </c>
      <c r="E256" s="90">
        <v>3</v>
      </c>
      <c r="F256" s="91"/>
      <c r="G256" s="91"/>
      <c r="H256" s="91"/>
      <c r="I256" s="91">
        <f>SUM(G256:H256)+'BM 001'!I256</f>
        <v>0</v>
      </c>
      <c r="J256" s="91">
        <f t="shared" si="112"/>
        <v>3</v>
      </c>
      <c r="K256" s="80">
        <v>1080</v>
      </c>
      <c r="L256" s="81">
        <f t="shared" si="110"/>
        <v>1369.0081188000001</v>
      </c>
      <c r="M256" s="82">
        <f t="shared" ref="M256:M290" si="127">TRUNC(F256*L256,2)</f>
        <v>0</v>
      </c>
      <c r="N256" s="82">
        <f t="shared" ref="N256:N290" si="128">TRUNC(G256*L256,2)</f>
        <v>0</v>
      </c>
      <c r="O256" s="82">
        <f>N256+'BM 001'!O256</f>
        <v>0</v>
      </c>
      <c r="P256" s="80">
        <f t="shared" ref="P256:P290" si="129">E256*K256</f>
        <v>3240</v>
      </c>
      <c r="Q256" s="82">
        <f t="shared" ref="Q256:Q290" si="130">TRUNC(E256*L256,2)</f>
        <v>4107.0200000000004</v>
      </c>
      <c r="R256" s="82">
        <f t="shared" ref="R256:R290" si="131">Q256-O256</f>
        <v>4107.0200000000004</v>
      </c>
    </row>
    <row r="257" spans="2:18" s="34" customFormat="1" ht="34.799999999999997">
      <c r="B257" s="87" t="s">
        <v>507</v>
      </c>
      <c r="C257" s="88" t="s">
        <v>508</v>
      </c>
      <c r="D257" s="89" t="s">
        <v>131</v>
      </c>
      <c r="E257" s="90">
        <v>1</v>
      </c>
      <c r="F257" s="91"/>
      <c r="G257" s="91"/>
      <c r="H257" s="91"/>
      <c r="I257" s="91">
        <f>SUM(G257:H257)+'BM 001'!I257</f>
        <v>0</v>
      </c>
      <c r="J257" s="91">
        <f t="shared" si="112"/>
        <v>1</v>
      </c>
      <c r="K257" s="80">
        <v>1200</v>
      </c>
      <c r="L257" s="81">
        <f t="shared" si="110"/>
        <v>1521.120132</v>
      </c>
      <c r="M257" s="82">
        <f t="shared" si="127"/>
        <v>0</v>
      </c>
      <c r="N257" s="82">
        <f t="shared" si="128"/>
        <v>0</v>
      </c>
      <c r="O257" s="82">
        <f>N257+'BM 001'!O257</f>
        <v>0</v>
      </c>
      <c r="P257" s="80">
        <f t="shared" si="129"/>
        <v>1200</v>
      </c>
      <c r="Q257" s="82">
        <f t="shared" si="130"/>
        <v>1521.12</v>
      </c>
      <c r="R257" s="82">
        <f t="shared" si="131"/>
        <v>1521.12</v>
      </c>
    </row>
    <row r="258" spans="2:18" s="34" customFormat="1" ht="34.799999999999997">
      <c r="B258" s="87" t="s">
        <v>509</v>
      </c>
      <c r="C258" s="88" t="s">
        <v>510</v>
      </c>
      <c r="D258" s="89" t="s">
        <v>131</v>
      </c>
      <c r="E258" s="90">
        <v>4</v>
      </c>
      <c r="F258" s="91"/>
      <c r="G258" s="91"/>
      <c r="H258" s="91"/>
      <c r="I258" s="91">
        <f>SUM(G258:H258)+'BM 001'!I258</f>
        <v>0</v>
      </c>
      <c r="J258" s="91">
        <f t="shared" si="112"/>
        <v>4</v>
      </c>
      <c r="K258" s="80">
        <v>1890</v>
      </c>
      <c r="L258" s="81">
        <f t="shared" si="110"/>
        <v>2395.7642079000002</v>
      </c>
      <c r="M258" s="82">
        <f t="shared" si="127"/>
        <v>0</v>
      </c>
      <c r="N258" s="82">
        <f t="shared" si="128"/>
        <v>0</v>
      </c>
      <c r="O258" s="82">
        <f>N258+'BM 001'!O258</f>
        <v>0</v>
      </c>
      <c r="P258" s="80">
        <f t="shared" si="129"/>
        <v>7560</v>
      </c>
      <c r="Q258" s="82">
        <f t="shared" si="130"/>
        <v>9583.0499999999993</v>
      </c>
      <c r="R258" s="82">
        <f t="shared" si="131"/>
        <v>9583.0499999999993</v>
      </c>
    </row>
    <row r="259" spans="2:18" s="34" customFormat="1" ht="34.799999999999997">
      <c r="B259" s="87" t="s">
        <v>511</v>
      </c>
      <c r="C259" s="88" t="s">
        <v>512</v>
      </c>
      <c r="D259" s="89" t="s">
        <v>131</v>
      </c>
      <c r="E259" s="90">
        <v>19</v>
      </c>
      <c r="F259" s="91"/>
      <c r="G259" s="91"/>
      <c r="H259" s="91"/>
      <c r="I259" s="91">
        <f>SUM(G259:H259)+'BM 001'!I259</f>
        <v>0</v>
      </c>
      <c r="J259" s="91">
        <f t="shared" si="112"/>
        <v>19</v>
      </c>
      <c r="K259" s="80">
        <v>1000</v>
      </c>
      <c r="L259" s="81">
        <f t="shared" si="110"/>
        <v>1267.6001100000001</v>
      </c>
      <c r="M259" s="82">
        <f t="shared" si="127"/>
        <v>0</v>
      </c>
      <c r="N259" s="82">
        <f t="shared" si="128"/>
        <v>0</v>
      </c>
      <c r="O259" s="82">
        <f>N259+'BM 001'!O259</f>
        <v>0</v>
      </c>
      <c r="P259" s="80">
        <f t="shared" si="129"/>
        <v>19000</v>
      </c>
      <c r="Q259" s="82">
        <f t="shared" si="130"/>
        <v>24084.400000000001</v>
      </c>
      <c r="R259" s="82">
        <f t="shared" si="131"/>
        <v>24084.400000000001</v>
      </c>
    </row>
    <row r="260" spans="2:18" s="34" customFormat="1" ht="34.799999999999997">
      <c r="B260" s="87" t="s">
        <v>513</v>
      </c>
      <c r="C260" s="88" t="s">
        <v>514</v>
      </c>
      <c r="D260" s="89" t="s">
        <v>131</v>
      </c>
      <c r="E260" s="90">
        <v>2</v>
      </c>
      <c r="F260" s="91"/>
      <c r="G260" s="91"/>
      <c r="H260" s="91"/>
      <c r="I260" s="91">
        <f>SUM(G260:H260)+'BM 001'!I260</f>
        <v>0</v>
      </c>
      <c r="J260" s="91">
        <f t="shared" si="112"/>
        <v>2</v>
      </c>
      <c r="K260" s="80">
        <v>1400</v>
      </c>
      <c r="L260" s="81">
        <f t="shared" si="110"/>
        <v>1774.6401540000002</v>
      </c>
      <c r="M260" s="82">
        <f t="shared" si="127"/>
        <v>0</v>
      </c>
      <c r="N260" s="82">
        <f t="shared" si="128"/>
        <v>0</v>
      </c>
      <c r="O260" s="82">
        <f>N260+'BM 001'!O260</f>
        <v>0</v>
      </c>
      <c r="P260" s="80">
        <f t="shared" si="129"/>
        <v>2800</v>
      </c>
      <c r="Q260" s="82">
        <f t="shared" si="130"/>
        <v>3549.28</v>
      </c>
      <c r="R260" s="82">
        <f t="shared" si="131"/>
        <v>3549.28</v>
      </c>
    </row>
    <row r="261" spans="2:18" s="34" customFormat="1" ht="13.2">
      <c r="B261" s="87" t="s">
        <v>515</v>
      </c>
      <c r="C261" s="88" t="s">
        <v>516</v>
      </c>
      <c r="D261" s="89" t="s">
        <v>131</v>
      </c>
      <c r="E261" s="90">
        <v>2</v>
      </c>
      <c r="F261" s="91"/>
      <c r="G261" s="91"/>
      <c r="H261" s="91"/>
      <c r="I261" s="91">
        <f>SUM(G261:H261)+'BM 001'!I261</f>
        <v>0</v>
      </c>
      <c r="J261" s="91">
        <f t="shared" si="112"/>
        <v>2</v>
      </c>
      <c r="K261" s="80">
        <v>800</v>
      </c>
      <c r="L261" s="81">
        <f t="shared" si="110"/>
        <v>1014.080088</v>
      </c>
      <c r="M261" s="82">
        <f t="shared" si="127"/>
        <v>0</v>
      </c>
      <c r="N261" s="82">
        <f t="shared" si="128"/>
        <v>0</v>
      </c>
      <c r="O261" s="82">
        <f>N261+'BM 001'!O261</f>
        <v>0</v>
      </c>
      <c r="P261" s="80">
        <f t="shared" si="129"/>
        <v>1600</v>
      </c>
      <c r="Q261" s="82">
        <f t="shared" si="130"/>
        <v>2028.16</v>
      </c>
      <c r="R261" s="82">
        <f t="shared" si="131"/>
        <v>2028.16</v>
      </c>
    </row>
    <row r="262" spans="2:18" s="34" customFormat="1" ht="13.2">
      <c r="B262" s="87" t="s">
        <v>517</v>
      </c>
      <c r="C262" s="88" t="s">
        <v>518</v>
      </c>
      <c r="D262" s="89" t="s">
        <v>131</v>
      </c>
      <c r="E262" s="90">
        <v>1</v>
      </c>
      <c r="F262" s="91"/>
      <c r="G262" s="91"/>
      <c r="H262" s="91"/>
      <c r="I262" s="91">
        <f>SUM(G262:H262)+'BM 001'!I262</f>
        <v>0</v>
      </c>
      <c r="J262" s="91">
        <f t="shared" si="112"/>
        <v>1</v>
      </c>
      <c r="K262" s="80">
        <v>1200</v>
      </c>
      <c r="L262" s="81">
        <f t="shared" si="110"/>
        <v>1521.120132</v>
      </c>
      <c r="M262" s="82">
        <f t="shared" si="127"/>
        <v>0</v>
      </c>
      <c r="N262" s="82">
        <f t="shared" si="128"/>
        <v>0</v>
      </c>
      <c r="O262" s="82">
        <f>N262+'BM 001'!O262</f>
        <v>0</v>
      </c>
      <c r="P262" s="80">
        <f t="shared" si="129"/>
        <v>1200</v>
      </c>
      <c r="Q262" s="82">
        <f t="shared" si="130"/>
        <v>1521.12</v>
      </c>
      <c r="R262" s="82">
        <f t="shared" si="131"/>
        <v>1521.12</v>
      </c>
    </row>
    <row r="263" spans="2:18" s="34" customFormat="1" ht="13.2">
      <c r="B263" s="87" t="s">
        <v>519</v>
      </c>
      <c r="C263" s="88" t="s">
        <v>520</v>
      </c>
      <c r="D263" s="89" t="s">
        <v>131</v>
      </c>
      <c r="E263" s="90">
        <v>2</v>
      </c>
      <c r="F263" s="91"/>
      <c r="G263" s="91"/>
      <c r="H263" s="91"/>
      <c r="I263" s="91">
        <f>SUM(G263:H263)+'BM 001'!I263</f>
        <v>0</v>
      </c>
      <c r="J263" s="91">
        <f t="shared" si="112"/>
        <v>2</v>
      </c>
      <c r="K263" s="80">
        <v>2100</v>
      </c>
      <c r="L263" s="81">
        <f t="shared" si="110"/>
        <v>2661.960231</v>
      </c>
      <c r="M263" s="82">
        <f t="shared" si="127"/>
        <v>0</v>
      </c>
      <c r="N263" s="82">
        <f t="shared" si="128"/>
        <v>0</v>
      </c>
      <c r="O263" s="82">
        <f>N263+'BM 001'!O263</f>
        <v>0</v>
      </c>
      <c r="P263" s="80">
        <f t="shared" si="129"/>
        <v>4200</v>
      </c>
      <c r="Q263" s="82">
        <f t="shared" si="130"/>
        <v>5323.92</v>
      </c>
      <c r="R263" s="82">
        <f t="shared" si="131"/>
        <v>5323.92</v>
      </c>
    </row>
    <row r="264" spans="2:18" s="34" customFormat="1" ht="34.799999999999997">
      <c r="B264" s="87" t="s">
        <v>521</v>
      </c>
      <c r="C264" s="88" t="s">
        <v>522</v>
      </c>
      <c r="D264" s="89" t="s">
        <v>131</v>
      </c>
      <c r="E264" s="90">
        <v>16</v>
      </c>
      <c r="F264" s="91"/>
      <c r="G264" s="91"/>
      <c r="H264" s="91"/>
      <c r="I264" s="91">
        <f>SUM(G264:H264)+'BM 001'!I264</f>
        <v>0</v>
      </c>
      <c r="J264" s="91">
        <f t="shared" si="112"/>
        <v>16</v>
      </c>
      <c r="K264" s="80">
        <v>180</v>
      </c>
      <c r="L264" s="81">
        <f t="shared" si="110"/>
        <v>228.16801980000002</v>
      </c>
      <c r="M264" s="82">
        <f t="shared" si="127"/>
        <v>0</v>
      </c>
      <c r="N264" s="82">
        <f t="shared" si="128"/>
        <v>0</v>
      </c>
      <c r="O264" s="82">
        <f>N264+'BM 001'!O264</f>
        <v>0</v>
      </c>
      <c r="P264" s="80">
        <f t="shared" si="129"/>
        <v>2880</v>
      </c>
      <c r="Q264" s="82">
        <f t="shared" si="130"/>
        <v>3650.68</v>
      </c>
      <c r="R264" s="82">
        <f t="shared" si="131"/>
        <v>3650.68</v>
      </c>
    </row>
    <row r="265" spans="2:18" s="34" customFormat="1" ht="34.799999999999997">
      <c r="B265" s="87" t="s">
        <v>523</v>
      </c>
      <c r="C265" s="88" t="s">
        <v>524</v>
      </c>
      <c r="D265" s="89" t="s">
        <v>131</v>
      </c>
      <c r="E265" s="90">
        <v>8</v>
      </c>
      <c r="F265" s="91"/>
      <c r="G265" s="91"/>
      <c r="H265" s="91"/>
      <c r="I265" s="91">
        <f>SUM(G265:H265)+'BM 001'!I265</f>
        <v>0</v>
      </c>
      <c r="J265" s="91">
        <f t="shared" si="112"/>
        <v>8</v>
      </c>
      <c r="K265" s="80">
        <v>260</v>
      </c>
      <c r="L265" s="81">
        <f t="shared" si="110"/>
        <v>329.57602860000003</v>
      </c>
      <c r="M265" s="82">
        <f t="shared" si="127"/>
        <v>0</v>
      </c>
      <c r="N265" s="82">
        <f t="shared" si="128"/>
        <v>0</v>
      </c>
      <c r="O265" s="82">
        <f>N265+'BM 001'!O265</f>
        <v>0</v>
      </c>
      <c r="P265" s="80">
        <f t="shared" si="129"/>
        <v>2080</v>
      </c>
      <c r="Q265" s="82">
        <f t="shared" si="130"/>
        <v>2636.6</v>
      </c>
      <c r="R265" s="82">
        <f t="shared" si="131"/>
        <v>2636.6</v>
      </c>
    </row>
    <row r="266" spans="2:18" s="34" customFormat="1" ht="23.4">
      <c r="B266" s="87" t="s">
        <v>525</v>
      </c>
      <c r="C266" s="88" t="s">
        <v>526</v>
      </c>
      <c r="D266" s="89" t="s">
        <v>131</v>
      </c>
      <c r="E266" s="90">
        <v>1</v>
      </c>
      <c r="F266" s="91"/>
      <c r="G266" s="91"/>
      <c r="H266" s="91"/>
      <c r="I266" s="91">
        <f>SUM(G266:H266)+'BM 001'!I266</f>
        <v>0</v>
      </c>
      <c r="J266" s="91">
        <f t="shared" si="112"/>
        <v>1</v>
      </c>
      <c r="K266" s="80">
        <v>180</v>
      </c>
      <c r="L266" s="81">
        <f t="shared" si="110"/>
        <v>228.16801980000002</v>
      </c>
      <c r="M266" s="82">
        <f t="shared" si="127"/>
        <v>0</v>
      </c>
      <c r="N266" s="82">
        <f t="shared" si="128"/>
        <v>0</v>
      </c>
      <c r="O266" s="82">
        <f>N266+'BM 001'!O266</f>
        <v>0</v>
      </c>
      <c r="P266" s="80">
        <f t="shared" si="129"/>
        <v>180</v>
      </c>
      <c r="Q266" s="82">
        <f t="shared" si="130"/>
        <v>228.16</v>
      </c>
      <c r="R266" s="82">
        <f t="shared" si="131"/>
        <v>228.16</v>
      </c>
    </row>
    <row r="267" spans="2:18" s="34" customFormat="1" ht="23.4">
      <c r="B267" s="87" t="s">
        <v>527</v>
      </c>
      <c r="C267" s="88" t="s">
        <v>528</v>
      </c>
      <c r="D267" s="89" t="s">
        <v>131</v>
      </c>
      <c r="E267" s="90">
        <v>4</v>
      </c>
      <c r="F267" s="91"/>
      <c r="G267" s="91"/>
      <c r="H267" s="91"/>
      <c r="I267" s="91">
        <f>SUM(G267:H267)+'BM 001'!I267</f>
        <v>0</v>
      </c>
      <c r="J267" s="91">
        <f t="shared" si="112"/>
        <v>4</v>
      </c>
      <c r="K267" s="80">
        <v>180</v>
      </c>
      <c r="L267" s="81">
        <f t="shared" si="110"/>
        <v>228.16801980000002</v>
      </c>
      <c r="M267" s="82">
        <f t="shared" si="127"/>
        <v>0</v>
      </c>
      <c r="N267" s="82">
        <f t="shared" si="128"/>
        <v>0</v>
      </c>
      <c r="O267" s="82">
        <f>N267+'BM 001'!O267</f>
        <v>0</v>
      </c>
      <c r="P267" s="80">
        <f t="shared" si="129"/>
        <v>720</v>
      </c>
      <c r="Q267" s="82">
        <f t="shared" si="130"/>
        <v>912.67</v>
      </c>
      <c r="R267" s="82">
        <f t="shared" si="131"/>
        <v>912.67</v>
      </c>
    </row>
    <row r="268" spans="2:18" s="34" customFormat="1" ht="23.4">
      <c r="B268" s="87" t="s">
        <v>529</v>
      </c>
      <c r="C268" s="88" t="s">
        <v>530</v>
      </c>
      <c r="D268" s="89" t="s">
        <v>131</v>
      </c>
      <c r="E268" s="90">
        <v>11</v>
      </c>
      <c r="F268" s="91"/>
      <c r="G268" s="91"/>
      <c r="H268" s="91"/>
      <c r="I268" s="91">
        <f>SUM(G268:H268)+'BM 001'!I268</f>
        <v>0</v>
      </c>
      <c r="J268" s="91">
        <f t="shared" si="112"/>
        <v>11</v>
      </c>
      <c r="K268" s="80">
        <v>280</v>
      </c>
      <c r="L268" s="81">
        <f t="shared" si="110"/>
        <v>354.92803079999999</v>
      </c>
      <c r="M268" s="82">
        <f t="shared" si="127"/>
        <v>0</v>
      </c>
      <c r="N268" s="82">
        <f t="shared" si="128"/>
        <v>0</v>
      </c>
      <c r="O268" s="82">
        <f>N268+'BM 001'!O268</f>
        <v>0</v>
      </c>
      <c r="P268" s="80">
        <f t="shared" si="129"/>
        <v>3080</v>
      </c>
      <c r="Q268" s="82">
        <f t="shared" si="130"/>
        <v>3904.2</v>
      </c>
      <c r="R268" s="82">
        <f t="shared" si="131"/>
        <v>3904.2</v>
      </c>
    </row>
    <row r="269" spans="2:18" s="34" customFormat="1" ht="23.4">
      <c r="B269" s="87" t="s">
        <v>531</v>
      </c>
      <c r="C269" s="88" t="s">
        <v>532</v>
      </c>
      <c r="D269" s="89" t="s">
        <v>131</v>
      </c>
      <c r="E269" s="90">
        <v>4</v>
      </c>
      <c r="F269" s="91"/>
      <c r="G269" s="91"/>
      <c r="H269" s="91"/>
      <c r="I269" s="91">
        <f>SUM(G269:H269)+'BM 001'!I269</f>
        <v>0</v>
      </c>
      <c r="J269" s="91">
        <f t="shared" si="112"/>
        <v>4</v>
      </c>
      <c r="K269" s="80">
        <v>380</v>
      </c>
      <c r="L269" s="81">
        <f t="shared" si="110"/>
        <v>481.68804180000001</v>
      </c>
      <c r="M269" s="82">
        <f t="shared" si="127"/>
        <v>0</v>
      </c>
      <c r="N269" s="82">
        <f t="shared" si="128"/>
        <v>0</v>
      </c>
      <c r="O269" s="82">
        <f>N269+'BM 001'!O269</f>
        <v>0</v>
      </c>
      <c r="P269" s="80">
        <f t="shared" si="129"/>
        <v>1520</v>
      </c>
      <c r="Q269" s="82">
        <f t="shared" si="130"/>
        <v>1926.75</v>
      </c>
      <c r="R269" s="82">
        <f t="shared" si="131"/>
        <v>1926.75</v>
      </c>
    </row>
    <row r="270" spans="2:18" s="34" customFormat="1" ht="23.4">
      <c r="B270" s="87" t="s">
        <v>533</v>
      </c>
      <c r="C270" s="88" t="s">
        <v>534</v>
      </c>
      <c r="D270" s="89" t="s">
        <v>131</v>
      </c>
      <c r="E270" s="90">
        <v>1</v>
      </c>
      <c r="F270" s="91"/>
      <c r="G270" s="91"/>
      <c r="H270" s="91"/>
      <c r="I270" s="91">
        <f>SUM(G270:H270)+'BM 001'!I270</f>
        <v>0</v>
      </c>
      <c r="J270" s="91">
        <f t="shared" si="112"/>
        <v>1</v>
      </c>
      <c r="K270" s="80">
        <v>600</v>
      </c>
      <c r="L270" s="81">
        <f t="shared" si="110"/>
        <v>760.56006600000001</v>
      </c>
      <c r="M270" s="82">
        <f t="shared" si="127"/>
        <v>0</v>
      </c>
      <c r="N270" s="82">
        <f t="shared" si="128"/>
        <v>0</v>
      </c>
      <c r="O270" s="82">
        <f>N270+'BM 001'!O270</f>
        <v>0</v>
      </c>
      <c r="P270" s="80">
        <f t="shared" si="129"/>
        <v>600</v>
      </c>
      <c r="Q270" s="82">
        <f t="shared" si="130"/>
        <v>760.56</v>
      </c>
      <c r="R270" s="82">
        <f t="shared" si="131"/>
        <v>760.56</v>
      </c>
    </row>
    <row r="271" spans="2:18" s="34" customFormat="1" ht="13.2">
      <c r="B271" s="87" t="s">
        <v>535</v>
      </c>
      <c r="C271" s="88" t="s">
        <v>536</v>
      </c>
      <c r="D271" s="89" t="s">
        <v>131</v>
      </c>
      <c r="E271" s="90">
        <v>1</v>
      </c>
      <c r="F271" s="91"/>
      <c r="G271" s="91"/>
      <c r="H271" s="91"/>
      <c r="I271" s="91">
        <f>SUM(G271:H271)+'BM 001'!I271</f>
        <v>0</v>
      </c>
      <c r="J271" s="91">
        <f t="shared" si="112"/>
        <v>1</v>
      </c>
      <c r="K271" s="80">
        <v>350</v>
      </c>
      <c r="L271" s="81">
        <f t="shared" si="110"/>
        <v>443.66003850000004</v>
      </c>
      <c r="M271" s="82">
        <f t="shared" si="127"/>
        <v>0</v>
      </c>
      <c r="N271" s="82">
        <f t="shared" si="128"/>
        <v>0</v>
      </c>
      <c r="O271" s="82">
        <f>N271+'BM 001'!O271</f>
        <v>0</v>
      </c>
      <c r="P271" s="80">
        <f t="shared" si="129"/>
        <v>350</v>
      </c>
      <c r="Q271" s="82">
        <f t="shared" si="130"/>
        <v>443.66</v>
      </c>
      <c r="R271" s="82">
        <f t="shared" si="131"/>
        <v>443.66</v>
      </c>
    </row>
    <row r="272" spans="2:18" s="34" customFormat="1" ht="13.2">
      <c r="B272" s="87" t="s">
        <v>537</v>
      </c>
      <c r="C272" s="88" t="s">
        <v>538</v>
      </c>
      <c r="D272" s="89" t="s">
        <v>131</v>
      </c>
      <c r="E272" s="90">
        <v>6</v>
      </c>
      <c r="F272" s="91"/>
      <c r="G272" s="91"/>
      <c r="H272" s="91"/>
      <c r="I272" s="91">
        <f>SUM(G272:H272)+'BM 001'!I272</f>
        <v>0</v>
      </c>
      <c r="J272" s="91">
        <f t="shared" si="112"/>
        <v>6</v>
      </c>
      <c r="K272" s="80">
        <v>450</v>
      </c>
      <c r="L272" s="81">
        <f t="shared" si="110"/>
        <v>570.4200495</v>
      </c>
      <c r="M272" s="82">
        <f t="shared" si="127"/>
        <v>0</v>
      </c>
      <c r="N272" s="82">
        <f t="shared" si="128"/>
        <v>0</v>
      </c>
      <c r="O272" s="82">
        <f>N272+'BM 001'!O272</f>
        <v>0</v>
      </c>
      <c r="P272" s="80">
        <f t="shared" si="129"/>
        <v>2700</v>
      </c>
      <c r="Q272" s="82">
        <f t="shared" si="130"/>
        <v>3422.52</v>
      </c>
      <c r="R272" s="82">
        <f t="shared" si="131"/>
        <v>3422.52</v>
      </c>
    </row>
    <row r="273" spans="2:18" s="34" customFormat="1" ht="23.4">
      <c r="B273" s="87" t="s">
        <v>539</v>
      </c>
      <c r="C273" s="88" t="s">
        <v>540</v>
      </c>
      <c r="D273" s="89" t="s">
        <v>131</v>
      </c>
      <c r="E273" s="90">
        <v>1</v>
      </c>
      <c r="F273" s="91"/>
      <c r="G273" s="91"/>
      <c r="H273" s="91"/>
      <c r="I273" s="91">
        <f>SUM(G273:H273)+'BM 001'!I273</f>
        <v>0</v>
      </c>
      <c r="J273" s="91">
        <f t="shared" si="112"/>
        <v>1</v>
      </c>
      <c r="K273" s="80">
        <v>750</v>
      </c>
      <c r="L273" s="81">
        <f t="shared" si="110"/>
        <v>950.70008250000001</v>
      </c>
      <c r="M273" s="82">
        <f t="shared" si="127"/>
        <v>0</v>
      </c>
      <c r="N273" s="82">
        <f t="shared" si="128"/>
        <v>0</v>
      </c>
      <c r="O273" s="82">
        <f>N273+'BM 001'!O273</f>
        <v>0</v>
      </c>
      <c r="P273" s="80">
        <f t="shared" si="129"/>
        <v>750</v>
      </c>
      <c r="Q273" s="82">
        <f t="shared" si="130"/>
        <v>950.7</v>
      </c>
      <c r="R273" s="82">
        <f t="shared" si="131"/>
        <v>950.7</v>
      </c>
    </row>
    <row r="274" spans="2:18" s="34" customFormat="1" ht="34.799999999999997">
      <c r="B274" s="87" t="s">
        <v>541</v>
      </c>
      <c r="C274" s="88" t="s">
        <v>542</v>
      </c>
      <c r="D274" s="89" t="s">
        <v>131</v>
      </c>
      <c r="E274" s="90">
        <v>7</v>
      </c>
      <c r="F274" s="91"/>
      <c r="G274" s="91"/>
      <c r="H274" s="91"/>
      <c r="I274" s="91">
        <f>SUM(G274:H274)+'BM 001'!I274</f>
        <v>0</v>
      </c>
      <c r="J274" s="91">
        <f t="shared" si="112"/>
        <v>7</v>
      </c>
      <c r="K274" s="80">
        <v>20</v>
      </c>
      <c r="L274" s="81">
        <f t="shared" si="110"/>
        <v>25.352002200000001</v>
      </c>
      <c r="M274" s="82">
        <f t="shared" si="127"/>
        <v>0</v>
      </c>
      <c r="N274" s="82">
        <f t="shared" si="128"/>
        <v>0</v>
      </c>
      <c r="O274" s="82">
        <f>N274+'BM 001'!O274</f>
        <v>0</v>
      </c>
      <c r="P274" s="80">
        <f t="shared" si="129"/>
        <v>140</v>
      </c>
      <c r="Q274" s="82">
        <f t="shared" si="130"/>
        <v>177.46</v>
      </c>
      <c r="R274" s="82">
        <f t="shared" si="131"/>
        <v>177.46</v>
      </c>
    </row>
    <row r="275" spans="2:18" s="34" customFormat="1" ht="34.799999999999997">
      <c r="B275" s="87" t="s">
        <v>543</v>
      </c>
      <c r="C275" s="88" t="s">
        <v>544</v>
      </c>
      <c r="D275" s="89" t="s">
        <v>131</v>
      </c>
      <c r="E275" s="90">
        <v>17</v>
      </c>
      <c r="F275" s="91"/>
      <c r="G275" s="91"/>
      <c r="H275" s="91"/>
      <c r="I275" s="91">
        <f>SUM(G275:H275)+'BM 001'!I275</f>
        <v>0</v>
      </c>
      <c r="J275" s="91">
        <f t="shared" si="112"/>
        <v>17</v>
      </c>
      <c r="K275" s="80">
        <v>20</v>
      </c>
      <c r="L275" s="81">
        <f t="shared" si="110"/>
        <v>25.352002200000001</v>
      </c>
      <c r="M275" s="82">
        <f t="shared" si="127"/>
        <v>0</v>
      </c>
      <c r="N275" s="82">
        <f t="shared" si="128"/>
        <v>0</v>
      </c>
      <c r="O275" s="82">
        <f>N275+'BM 001'!O275</f>
        <v>0</v>
      </c>
      <c r="P275" s="80">
        <f t="shared" si="129"/>
        <v>340</v>
      </c>
      <c r="Q275" s="82">
        <f t="shared" si="130"/>
        <v>430.98</v>
      </c>
      <c r="R275" s="82">
        <f t="shared" si="131"/>
        <v>430.98</v>
      </c>
    </row>
    <row r="276" spans="2:18" s="34" customFormat="1" ht="23.4">
      <c r="B276" s="87" t="s">
        <v>545</v>
      </c>
      <c r="C276" s="88" t="s">
        <v>546</v>
      </c>
      <c r="D276" s="89" t="s">
        <v>131</v>
      </c>
      <c r="E276" s="90">
        <v>71</v>
      </c>
      <c r="F276" s="91"/>
      <c r="G276" s="91"/>
      <c r="H276" s="91"/>
      <c r="I276" s="91">
        <f>SUM(G276:H276)+'BM 001'!I276</f>
        <v>0</v>
      </c>
      <c r="J276" s="91">
        <f t="shared" si="112"/>
        <v>71</v>
      </c>
      <c r="K276" s="80">
        <v>20</v>
      </c>
      <c r="L276" s="81">
        <f t="shared" si="110"/>
        <v>25.352002200000001</v>
      </c>
      <c r="M276" s="82">
        <f t="shared" si="127"/>
        <v>0</v>
      </c>
      <c r="N276" s="82">
        <f t="shared" si="128"/>
        <v>0</v>
      </c>
      <c r="O276" s="82">
        <f>N276+'BM 001'!O276</f>
        <v>0</v>
      </c>
      <c r="P276" s="80">
        <f t="shared" si="129"/>
        <v>1420</v>
      </c>
      <c r="Q276" s="82">
        <f t="shared" si="130"/>
        <v>1799.99</v>
      </c>
      <c r="R276" s="82">
        <f t="shared" si="131"/>
        <v>1799.99</v>
      </c>
    </row>
    <row r="277" spans="2:18" s="34" customFormat="1" ht="23.4">
      <c r="B277" s="87" t="s">
        <v>547</v>
      </c>
      <c r="C277" s="88" t="s">
        <v>548</v>
      </c>
      <c r="D277" s="89" t="s">
        <v>131</v>
      </c>
      <c r="E277" s="90">
        <v>179</v>
      </c>
      <c r="F277" s="91"/>
      <c r="G277" s="91"/>
      <c r="H277" s="91"/>
      <c r="I277" s="91">
        <f>SUM(G277:H277)+'BM 001'!I277</f>
        <v>0</v>
      </c>
      <c r="J277" s="91">
        <f t="shared" si="112"/>
        <v>179</v>
      </c>
      <c r="K277" s="80">
        <v>20</v>
      </c>
      <c r="L277" s="81">
        <f t="shared" si="110"/>
        <v>25.352002200000001</v>
      </c>
      <c r="M277" s="82">
        <f t="shared" si="127"/>
        <v>0</v>
      </c>
      <c r="N277" s="82">
        <f t="shared" si="128"/>
        <v>0</v>
      </c>
      <c r="O277" s="82">
        <f>N277+'BM 001'!O277</f>
        <v>0</v>
      </c>
      <c r="P277" s="80">
        <f t="shared" si="129"/>
        <v>3580</v>
      </c>
      <c r="Q277" s="82">
        <f t="shared" si="130"/>
        <v>4538</v>
      </c>
      <c r="R277" s="82">
        <f t="shared" si="131"/>
        <v>4538</v>
      </c>
    </row>
    <row r="278" spans="2:18" s="34" customFormat="1" ht="34.799999999999997">
      <c r="B278" s="87" t="s">
        <v>549</v>
      </c>
      <c r="C278" s="88" t="s">
        <v>550</v>
      </c>
      <c r="D278" s="89" t="s">
        <v>131</v>
      </c>
      <c r="E278" s="90">
        <v>1</v>
      </c>
      <c r="F278" s="91"/>
      <c r="G278" s="91"/>
      <c r="H278" s="91"/>
      <c r="I278" s="91">
        <f>SUM(G278:H278)+'BM 001'!I278</f>
        <v>0</v>
      </c>
      <c r="J278" s="91">
        <f t="shared" si="112"/>
        <v>1</v>
      </c>
      <c r="K278" s="80">
        <v>25</v>
      </c>
      <c r="L278" s="81">
        <f t="shared" si="110"/>
        <v>31.690002750000001</v>
      </c>
      <c r="M278" s="82">
        <f t="shared" si="127"/>
        <v>0</v>
      </c>
      <c r="N278" s="82">
        <f t="shared" si="128"/>
        <v>0</v>
      </c>
      <c r="O278" s="82">
        <f>N278+'BM 001'!O278</f>
        <v>0</v>
      </c>
      <c r="P278" s="80">
        <f t="shared" si="129"/>
        <v>25</v>
      </c>
      <c r="Q278" s="82">
        <f t="shared" si="130"/>
        <v>31.69</v>
      </c>
      <c r="R278" s="82">
        <f t="shared" si="131"/>
        <v>31.69</v>
      </c>
    </row>
    <row r="279" spans="2:18" s="34" customFormat="1" ht="34.799999999999997">
      <c r="B279" s="87" t="s">
        <v>551</v>
      </c>
      <c r="C279" s="88" t="s">
        <v>552</v>
      </c>
      <c r="D279" s="89" t="s">
        <v>131</v>
      </c>
      <c r="E279" s="90">
        <v>8</v>
      </c>
      <c r="F279" s="91"/>
      <c r="G279" s="91"/>
      <c r="H279" s="91"/>
      <c r="I279" s="91">
        <f>SUM(G279:H279)+'BM 001'!I279</f>
        <v>0</v>
      </c>
      <c r="J279" s="91">
        <f t="shared" si="112"/>
        <v>8</v>
      </c>
      <c r="K279" s="80">
        <v>25</v>
      </c>
      <c r="L279" s="81">
        <f t="shared" si="110"/>
        <v>31.690002750000001</v>
      </c>
      <c r="M279" s="82">
        <f t="shared" si="127"/>
        <v>0</v>
      </c>
      <c r="N279" s="82">
        <f t="shared" si="128"/>
        <v>0</v>
      </c>
      <c r="O279" s="82">
        <f>N279+'BM 001'!O279</f>
        <v>0</v>
      </c>
      <c r="P279" s="80">
        <f t="shared" si="129"/>
        <v>200</v>
      </c>
      <c r="Q279" s="82">
        <f t="shared" si="130"/>
        <v>253.52</v>
      </c>
      <c r="R279" s="82">
        <f t="shared" si="131"/>
        <v>253.52</v>
      </c>
    </row>
    <row r="280" spans="2:18" s="34" customFormat="1" ht="34.799999999999997">
      <c r="B280" s="87" t="s">
        <v>553</v>
      </c>
      <c r="C280" s="88" t="s">
        <v>554</v>
      </c>
      <c r="D280" s="89" t="s">
        <v>131</v>
      </c>
      <c r="E280" s="90">
        <v>14</v>
      </c>
      <c r="F280" s="91"/>
      <c r="G280" s="91"/>
      <c r="H280" s="91"/>
      <c r="I280" s="91">
        <f>SUM(G280:H280)+'BM 001'!I280</f>
        <v>0</v>
      </c>
      <c r="J280" s="91">
        <f t="shared" si="112"/>
        <v>14</v>
      </c>
      <c r="K280" s="80">
        <v>25</v>
      </c>
      <c r="L280" s="81">
        <f t="shared" si="110"/>
        <v>31.690002750000001</v>
      </c>
      <c r="M280" s="82">
        <f t="shared" si="127"/>
        <v>0</v>
      </c>
      <c r="N280" s="82">
        <f t="shared" si="128"/>
        <v>0</v>
      </c>
      <c r="O280" s="82">
        <f>N280+'BM 001'!O280</f>
        <v>0</v>
      </c>
      <c r="P280" s="80">
        <f t="shared" si="129"/>
        <v>350</v>
      </c>
      <c r="Q280" s="82">
        <f t="shared" si="130"/>
        <v>443.66</v>
      </c>
      <c r="R280" s="82">
        <f t="shared" si="131"/>
        <v>443.66</v>
      </c>
    </row>
    <row r="281" spans="2:18" s="34" customFormat="1" ht="34.799999999999997">
      <c r="B281" s="87" t="s">
        <v>555</v>
      </c>
      <c r="C281" s="88" t="s">
        <v>556</v>
      </c>
      <c r="D281" s="89" t="s">
        <v>131</v>
      </c>
      <c r="E281" s="90">
        <v>5</v>
      </c>
      <c r="F281" s="91"/>
      <c r="G281" s="91"/>
      <c r="H281" s="91"/>
      <c r="I281" s="91">
        <f>SUM(G281:H281)+'BM 001'!I281</f>
        <v>0</v>
      </c>
      <c r="J281" s="91">
        <f t="shared" si="112"/>
        <v>5</v>
      </c>
      <c r="K281" s="80">
        <v>30</v>
      </c>
      <c r="L281" s="81">
        <f t="shared" si="110"/>
        <v>38.028003300000002</v>
      </c>
      <c r="M281" s="82">
        <f t="shared" si="127"/>
        <v>0</v>
      </c>
      <c r="N281" s="82">
        <f t="shared" si="128"/>
        <v>0</v>
      </c>
      <c r="O281" s="82">
        <f>N281+'BM 001'!O281</f>
        <v>0</v>
      </c>
      <c r="P281" s="80">
        <f t="shared" si="129"/>
        <v>150</v>
      </c>
      <c r="Q281" s="82">
        <f t="shared" si="130"/>
        <v>190.14</v>
      </c>
      <c r="R281" s="82">
        <f t="shared" si="131"/>
        <v>190.14</v>
      </c>
    </row>
    <row r="282" spans="2:18" s="34" customFormat="1" ht="34.799999999999997">
      <c r="B282" s="87" t="s">
        <v>557</v>
      </c>
      <c r="C282" s="88" t="s">
        <v>558</v>
      </c>
      <c r="D282" s="89" t="s">
        <v>131</v>
      </c>
      <c r="E282" s="90">
        <v>4</v>
      </c>
      <c r="F282" s="91"/>
      <c r="G282" s="91"/>
      <c r="H282" s="91"/>
      <c r="I282" s="91">
        <f>SUM(G282:H282)+'BM 001'!I282</f>
        <v>0</v>
      </c>
      <c r="J282" s="91">
        <f t="shared" si="112"/>
        <v>4</v>
      </c>
      <c r="K282" s="80">
        <v>40</v>
      </c>
      <c r="L282" s="81">
        <f t="shared" si="110"/>
        <v>50.704004400000002</v>
      </c>
      <c r="M282" s="82">
        <f t="shared" si="127"/>
        <v>0</v>
      </c>
      <c r="N282" s="82">
        <f t="shared" si="128"/>
        <v>0</v>
      </c>
      <c r="O282" s="82">
        <f>N282+'BM 001'!O282</f>
        <v>0</v>
      </c>
      <c r="P282" s="80">
        <f t="shared" si="129"/>
        <v>160</v>
      </c>
      <c r="Q282" s="82">
        <f t="shared" si="130"/>
        <v>202.81</v>
      </c>
      <c r="R282" s="82">
        <f t="shared" si="131"/>
        <v>202.81</v>
      </c>
    </row>
    <row r="283" spans="2:18" s="34" customFormat="1" ht="34.799999999999997">
      <c r="B283" s="87" t="s">
        <v>559</v>
      </c>
      <c r="C283" s="88" t="s">
        <v>560</v>
      </c>
      <c r="D283" s="89" t="s">
        <v>131</v>
      </c>
      <c r="E283" s="90">
        <v>4</v>
      </c>
      <c r="F283" s="91"/>
      <c r="G283" s="91"/>
      <c r="H283" s="91"/>
      <c r="I283" s="91">
        <f>SUM(G283:H283)+'BM 001'!I283</f>
        <v>0</v>
      </c>
      <c r="J283" s="91">
        <f t="shared" si="112"/>
        <v>4</v>
      </c>
      <c r="K283" s="80">
        <v>50</v>
      </c>
      <c r="L283" s="81">
        <f t="shared" si="110"/>
        <v>63.380005500000003</v>
      </c>
      <c r="M283" s="82">
        <f t="shared" si="127"/>
        <v>0</v>
      </c>
      <c r="N283" s="82">
        <f t="shared" si="128"/>
        <v>0</v>
      </c>
      <c r="O283" s="82">
        <f>N283+'BM 001'!O283</f>
        <v>0</v>
      </c>
      <c r="P283" s="80">
        <f t="shared" si="129"/>
        <v>200</v>
      </c>
      <c r="Q283" s="82">
        <f t="shared" si="130"/>
        <v>253.52</v>
      </c>
      <c r="R283" s="82">
        <f t="shared" si="131"/>
        <v>253.52</v>
      </c>
    </row>
    <row r="284" spans="2:18" s="34" customFormat="1" ht="34.799999999999997">
      <c r="B284" s="87" t="s">
        <v>561</v>
      </c>
      <c r="C284" s="88" t="s">
        <v>562</v>
      </c>
      <c r="D284" s="89" t="s">
        <v>131</v>
      </c>
      <c r="E284" s="90">
        <v>1</v>
      </c>
      <c r="F284" s="91"/>
      <c r="G284" s="91"/>
      <c r="H284" s="91"/>
      <c r="I284" s="91">
        <f>SUM(G284:H284)+'BM 001'!I284</f>
        <v>0</v>
      </c>
      <c r="J284" s="91">
        <f t="shared" si="112"/>
        <v>1</v>
      </c>
      <c r="K284" s="80">
        <v>80</v>
      </c>
      <c r="L284" s="81">
        <f t="shared" si="110"/>
        <v>101.4080088</v>
      </c>
      <c r="M284" s="82">
        <f t="shared" si="127"/>
        <v>0</v>
      </c>
      <c r="N284" s="82">
        <f t="shared" si="128"/>
        <v>0</v>
      </c>
      <c r="O284" s="82">
        <f>N284+'BM 001'!O284</f>
        <v>0</v>
      </c>
      <c r="P284" s="80">
        <f t="shared" si="129"/>
        <v>80</v>
      </c>
      <c r="Q284" s="82">
        <f t="shared" si="130"/>
        <v>101.4</v>
      </c>
      <c r="R284" s="82">
        <f t="shared" si="131"/>
        <v>101.4</v>
      </c>
    </row>
    <row r="285" spans="2:18" s="34" customFormat="1" ht="23.4">
      <c r="B285" s="87" t="s">
        <v>563</v>
      </c>
      <c r="C285" s="88" t="s">
        <v>564</v>
      </c>
      <c r="D285" s="89" t="s">
        <v>131</v>
      </c>
      <c r="E285" s="90">
        <v>9</v>
      </c>
      <c r="F285" s="91"/>
      <c r="G285" s="91"/>
      <c r="H285" s="91"/>
      <c r="I285" s="91">
        <f>SUM(G285:H285)+'BM 001'!I285</f>
        <v>0</v>
      </c>
      <c r="J285" s="91">
        <f t="shared" si="112"/>
        <v>9</v>
      </c>
      <c r="K285" s="80">
        <v>89</v>
      </c>
      <c r="L285" s="81">
        <f t="shared" ref="L285:L348" si="132">K285*(1+$T$26)</f>
        <v>112.81640979000001</v>
      </c>
      <c r="M285" s="82">
        <f t="shared" si="127"/>
        <v>0</v>
      </c>
      <c r="N285" s="82">
        <f t="shared" si="128"/>
        <v>0</v>
      </c>
      <c r="O285" s="82">
        <f>N285+'BM 001'!O285</f>
        <v>0</v>
      </c>
      <c r="P285" s="80">
        <f t="shared" si="129"/>
        <v>801</v>
      </c>
      <c r="Q285" s="82">
        <f t="shared" si="130"/>
        <v>1015.34</v>
      </c>
      <c r="R285" s="82">
        <f t="shared" si="131"/>
        <v>1015.34</v>
      </c>
    </row>
    <row r="286" spans="2:18" s="34" customFormat="1" ht="23.4">
      <c r="B286" s="87" t="s">
        <v>565</v>
      </c>
      <c r="C286" s="88" t="s">
        <v>566</v>
      </c>
      <c r="D286" s="89" t="s">
        <v>131</v>
      </c>
      <c r="E286" s="90">
        <v>4</v>
      </c>
      <c r="F286" s="91"/>
      <c r="G286" s="91"/>
      <c r="H286" s="91"/>
      <c r="I286" s="91">
        <f>SUM(G286:H286)+'BM 001'!I286</f>
        <v>0</v>
      </c>
      <c r="J286" s="91">
        <f t="shared" si="112"/>
        <v>4</v>
      </c>
      <c r="K286" s="80">
        <v>89</v>
      </c>
      <c r="L286" s="81">
        <f t="shared" si="132"/>
        <v>112.81640979000001</v>
      </c>
      <c r="M286" s="82">
        <f t="shared" si="127"/>
        <v>0</v>
      </c>
      <c r="N286" s="82">
        <f t="shared" si="128"/>
        <v>0</v>
      </c>
      <c r="O286" s="82">
        <f>N286+'BM 001'!O286</f>
        <v>0</v>
      </c>
      <c r="P286" s="80">
        <f t="shared" si="129"/>
        <v>356</v>
      </c>
      <c r="Q286" s="82">
        <f t="shared" si="130"/>
        <v>451.26</v>
      </c>
      <c r="R286" s="82">
        <f t="shared" si="131"/>
        <v>451.26</v>
      </c>
    </row>
    <row r="287" spans="2:18" s="34" customFormat="1" ht="23.4">
      <c r="B287" s="87" t="s">
        <v>567</v>
      </c>
      <c r="C287" s="88" t="s">
        <v>568</v>
      </c>
      <c r="D287" s="89" t="s">
        <v>131</v>
      </c>
      <c r="E287" s="90">
        <v>12</v>
      </c>
      <c r="F287" s="91"/>
      <c r="G287" s="91"/>
      <c r="H287" s="91"/>
      <c r="I287" s="91">
        <f>SUM(G287:H287)+'BM 001'!I287</f>
        <v>0</v>
      </c>
      <c r="J287" s="91">
        <f t="shared" ref="J287:J350" si="133">E287-I287</f>
        <v>12</v>
      </c>
      <c r="K287" s="80">
        <v>89</v>
      </c>
      <c r="L287" s="81">
        <f t="shared" si="132"/>
        <v>112.81640979000001</v>
      </c>
      <c r="M287" s="82">
        <f t="shared" si="127"/>
        <v>0</v>
      </c>
      <c r="N287" s="82">
        <f t="shared" si="128"/>
        <v>0</v>
      </c>
      <c r="O287" s="82">
        <f>N287+'BM 001'!O287</f>
        <v>0</v>
      </c>
      <c r="P287" s="80">
        <f t="shared" si="129"/>
        <v>1068</v>
      </c>
      <c r="Q287" s="82">
        <f t="shared" si="130"/>
        <v>1353.79</v>
      </c>
      <c r="R287" s="82">
        <f t="shared" si="131"/>
        <v>1353.79</v>
      </c>
    </row>
    <row r="288" spans="2:18" s="34" customFormat="1" ht="23.4">
      <c r="B288" s="87" t="s">
        <v>569</v>
      </c>
      <c r="C288" s="88" t="s">
        <v>570</v>
      </c>
      <c r="D288" s="89" t="s">
        <v>131</v>
      </c>
      <c r="E288" s="90">
        <v>4</v>
      </c>
      <c r="F288" s="91"/>
      <c r="G288" s="91"/>
      <c r="H288" s="91"/>
      <c r="I288" s="91">
        <f>SUM(G288:H288)+'BM 001'!I288</f>
        <v>0</v>
      </c>
      <c r="J288" s="91">
        <f t="shared" si="133"/>
        <v>4</v>
      </c>
      <c r="K288" s="80">
        <v>89</v>
      </c>
      <c r="L288" s="81">
        <f t="shared" si="132"/>
        <v>112.81640979000001</v>
      </c>
      <c r="M288" s="82">
        <f t="shared" si="127"/>
        <v>0</v>
      </c>
      <c r="N288" s="82">
        <f t="shared" si="128"/>
        <v>0</v>
      </c>
      <c r="O288" s="82">
        <f>N288+'BM 001'!O288</f>
        <v>0</v>
      </c>
      <c r="P288" s="80">
        <f t="shared" si="129"/>
        <v>356</v>
      </c>
      <c r="Q288" s="82">
        <f t="shared" si="130"/>
        <v>451.26</v>
      </c>
      <c r="R288" s="82">
        <f t="shared" si="131"/>
        <v>451.26</v>
      </c>
    </row>
    <row r="289" spans="2:18" s="34" customFormat="1" ht="23.4">
      <c r="B289" s="87" t="s">
        <v>571</v>
      </c>
      <c r="C289" s="88" t="s">
        <v>572</v>
      </c>
      <c r="D289" s="89" t="s">
        <v>131</v>
      </c>
      <c r="E289" s="90">
        <v>1</v>
      </c>
      <c r="F289" s="91"/>
      <c r="G289" s="91"/>
      <c r="H289" s="91"/>
      <c r="I289" s="91">
        <f>SUM(G289:H289)+'BM 001'!I289</f>
        <v>0</v>
      </c>
      <c r="J289" s="91">
        <f t="shared" si="133"/>
        <v>1</v>
      </c>
      <c r="K289" s="80">
        <v>110</v>
      </c>
      <c r="L289" s="81">
        <f t="shared" si="132"/>
        <v>139.4360121</v>
      </c>
      <c r="M289" s="82">
        <f t="shared" si="127"/>
        <v>0</v>
      </c>
      <c r="N289" s="82">
        <f t="shared" si="128"/>
        <v>0</v>
      </c>
      <c r="O289" s="82">
        <f>N289+'BM 001'!O289</f>
        <v>0</v>
      </c>
      <c r="P289" s="80">
        <f t="shared" si="129"/>
        <v>110</v>
      </c>
      <c r="Q289" s="82">
        <f t="shared" si="130"/>
        <v>139.43</v>
      </c>
      <c r="R289" s="82">
        <f t="shared" si="131"/>
        <v>139.43</v>
      </c>
    </row>
    <row r="290" spans="2:18" s="34" customFormat="1" ht="23.4">
      <c r="B290" s="87" t="s">
        <v>573</v>
      </c>
      <c r="C290" s="88" t="s">
        <v>574</v>
      </c>
      <c r="D290" s="89" t="s">
        <v>131</v>
      </c>
      <c r="E290" s="90">
        <v>1</v>
      </c>
      <c r="F290" s="91"/>
      <c r="G290" s="91"/>
      <c r="H290" s="91"/>
      <c r="I290" s="91">
        <f>SUM(G290:H290)+'BM 001'!I290</f>
        <v>0</v>
      </c>
      <c r="J290" s="91">
        <f t="shared" si="133"/>
        <v>1</v>
      </c>
      <c r="K290" s="80">
        <v>115</v>
      </c>
      <c r="L290" s="81">
        <f t="shared" si="132"/>
        <v>145.77401265</v>
      </c>
      <c r="M290" s="82">
        <f t="shared" si="127"/>
        <v>0</v>
      </c>
      <c r="N290" s="82">
        <f t="shared" si="128"/>
        <v>0</v>
      </c>
      <c r="O290" s="82">
        <f>N290+'BM 001'!O290</f>
        <v>0</v>
      </c>
      <c r="P290" s="80">
        <f t="shared" si="129"/>
        <v>115</v>
      </c>
      <c r="Q290" s="82">
        <f t="shared" si="130"/>
        <v>145.77000000000001</v>
      </c>
      <c r="R290" s="82">
        <f t="shared" si="131"/>
        <v>145.77000000000001</v>
      </c>
    </row>
    <row r="291" spans="2:18" s="34" customFormat="1" ht="13.2">
      <c r="B291" s="66" t="s">
        <v>575</v>
      </c>
      <c r="C291" s="67" t="s">
        <v>576</v>
      </c>
      <c r="D291" s="68"/>
      <c r="E291" s="69"/>
      <c r="F291" s="70"/>
      <c r="G291" s="70"/>
      <c r="H291" s="70"/>
      <c r="I291" s="70">
        <f>SUM(G291:H291)+'BM 001'!I291</f>
        <v>0</v>
      </c>
      <c r="J291" s="70">
        <f t="shared" si="133"/>
        <v>0</v>
      </c>
      <c r="K291" s="71"/>
      <c r="L291" s="71">
        <f t="shared" si="132"/>
        <v>0</v>
      </c>
      <c r="M291" s="73">
        <f t="shared" ref="M291:R291" si="134">SUM(M292:M295)</f>
        <v>0</v>
      </c>
      <c r="N291" s="73">
        <f t="shared" si="134"/>
        <v>0</v>
      </c>
      <c r="O291" s="73">
        <f t="shared" si="134"/>
        <v>0</v>
      </c>
      <c r="P291" s="73">
        <f t="shared" si="134"/>
        <v>100820.55</v>
      </c>
      <c r="Q291" s="73">
        <f t="shared" si="134"/>
        <v>127800.12</v>
      </c>
      <c r="R291" s="73">
        <f t="shared" si="134"/>
        <v>127800.12</v>
      </c>
    </row>
    <row r="292" spans="2:18" s="34" customFormat="1" ht="34.799999999999997">
      <c r="B292" s="87" t="s">
        <v>577</v>
      </c>
      <c r="C292" s="88" t="s">
        <v>578</v>
      </c>
      <c r="D292" s="89" t="s">
        <v>131</v>
      </c>
      <c r="E292" s="90">
        <v>55</v>
      </c>
      <c r="F292" s="91"/>
      <c r="G292" s="91"/>
      <c r="H292" s="91"/>
      <c r="I292" s="91">
        <f>SUM(G292:H292)+'BM 001'!I292</f>
        <v>0</v>
      </c>
      <c r="J292" s="91">
        <f t="shared" si="133"/>
        <v>55</v>
      </c>
      <c r="K292" s="80">
        <v>164.81</v>
      </c>
      <c r="L292" s="81">
        <f t="shared" si="132"/>
        <v>208.91317412910001</v>
      </c>
      <c r="M292" s="82">
        <f>TRUNC(F292*L292,2)</f>
        <v>0</v>
      </c>
      <c r="N292" s="82">
        <f>TRUNC(G292*L292,2)</f>
        <v>0</v>
      </c>
      <c r="O292" s="82">
        <f>N292+'BM 001'!O292</f>
        <v>0</v>
      </c>
      <c r="P292" s="80">
        <f>E292*K292</f>
        <v>9064.5499999999993</v>
      </c>
      <c r="Q292" s="82">
        <f>TRUNC(E292*L292,2)</f>
        <v>11490.22</v>
      </c>
      <c r="R292" s="82">
        <f>Q292-O292</f>
        <v>11490.22</v>
      </c>
    </row>
    <row r="293" spans="2:18" s="34" customFormat="1" ht="23.4">
      <c r="B293" s="87" t="s">
        <v>579</v>
      </c>
      <c r="C293" s="88" t="s">
        <v>580</v>
      </c>
      <c r="D293" s="89" t="s">
        <v>131</v>
      </c>
      <c r="E293" s="90">
        <v>887</v>
      </c>
      <c r="F293" s="91"/>
      <c r="G293" s="91"/>
      <c r="H293" s="91"/>
      <c r="I293" s="91">
        <f>SUM(G293:H293)+'BM 001'!I293</f>
        <v>0</v>
      </c>
      <c r="J293" s="91">
        <f t="shared" si="133"/>
        <v>887</v>
      </c>
      <c r="K293" s="80">
        <v>98</v>
      </c>
      <c r="L293" s="81">
        <f t="shared" si="132"/>
        <v>124.22481078000001</v>
      </c>
      <c r="M293" s="82">
        <f>TRUNC(F293*L293,2)</f>
        <v>0</v>
      </c>
      <c r="N293" s="82">
        <f>TRUNC(G293*L293,2)</f>
        <v>0</v>
      </c>
      <c r="O293" s="82">
        <f>N293+'BM 001'!O293</f>
        <v>0</v>
      </c>
      <c r="P293" s="80">
        <f>E293*K293</f>
        <v>86926</v>
      </c>
      <c r="Q293" s="82">
        <f>TRUNC(E293*L293,2)</f>
        <v>110187.4</v>
      </c>
      <c r="R293" s="82">
        <f>Q293-O293</f>
        <v>110187.4</v>
      </c>
    </row>
    <row r="294" spans="2:18" s="34" customFormat="1" ht="23.4">
      <c r="B294" s="87" t="s">
        <v>581</v>
      </c>
      <c r="C294" s="88" t="s">
        <v>582</v>
      </c>
      <c r="D294" s="89" t="s">
        <v>131</v>
      </c>
      <c r="E294" s="90">
        <v>15</v>
      </c>
      <c r="F294" s="91"/>
      <c r="G294" s="91"/>
      <c r="H294" s="91"/>
      <c r="I294" s="91">
        <f>SUM(G294:H294)+'BM 001'!I294</f>
        <v>0</v>
      </c>
      <c r="J294" s="91">
        <f t="shared" si="133"/>
        <v>15</v>
      </c>
      <c r="K294" s="80">
        <v>130</v>
      </c>
      <c r="L294" s="81">
        <f t="shared" si="132"/>
        <v>164.78801430000001</v>
      </c>
      <c r="M294" s="82">
        <f>TRUNC(F294*L294,2)</f>
        <v>0</v>
      </c>
      <c r="N294" s="82">
        <f>TRUNC(G294*L294,2)</f>
        <v>0</v>
      </c>
      <c r="O294" s="82">
        <f>N294+'BM 001'!O294</f>
        <v>0</v>
      </c>
      <c r="P294" s="80">
        <f>E294*K294</f>
        <v>1950</v>
      </c>
      <c r="Q294" s="82">
        <f>TRUNC(E294*L294,2)</f>
        <v>2471.8200000000002</v>
      </c>
      <c r="R294" s="82">
        <f>Q294-O294</f>
        <v>2471.8200000000002</v>
      </c>
    </row>
    <row r="295" spans="2:18" s="34" customFormat="1" ht="23.4">
      <c r="B295" s="87" t="s">
        <v>583</v>
      </c>
      <c r="C295" s="88" t="s">
        <v>584</v>
      </c>
      <c r="D295" s="89" t="s">
        <v>131</v>
      </c>
      <c r="E295" s="90">
        <v>32</v>
      </c>
      <c r="F295" s="91"/>
      <c r="G295" s="91"/>
      <c r="H295" s="91"/>
      <c r="I295" s="91">
        <f>SUM(G295:H295)+'BM 001'!I295</f>
        <v>0</v>
      </c>
      <c r="J295" s="91">
        <f t="shared" si="133"/>
        <v>32</v>
      </c>
      <c r="K295" s="80">
        <v>90</v>
      </c>
      <c r="L295" s="81">
        <f t="shared" si="132"/>
        <v>114.08400990000001</v>
      </c>
      <c r="M295" s="82">
        <f>TRUNC(F295*L295,2)</f>
        <v>0</v>
      </c>
      <c r="N295" s="82">
        <f>TRUNC(G295*L295,2)</f>
        <v>0</v>
      </c>
      <c r="O295" s="82">
        <f>N295+'BM 001'!O295</f>
        <v>0</v>
      </c>
      <c r="P295" s="80">
        <f>E295*K295</f>
        <v>2880</v>
      </c>
      <c r="Q295" s="82">
        <f>TRUNC(E295*L295,2)</f>
        <v>3650.68</v>
      </c>
      <c r="R295" s="82">
        <f>Q295-O295</f>
        <v>3650.68</v>
      </c>
    </row>
    <row r="296" spans="2:18" s="34" customFormat="1" ht="13.2">
      <c r="B296" s="66" t="s">
        <v>585</v>
      </c>
      <c r="C296" s="67" t="s">
        <v>586</v>
      </c>
      <c r="D296" s="68"/>
      <c r="E296" s="69"/>
      <c r="F296" s="70"/>
      <c r="G296" s="70"/>
      <c r="H296" s="70"/>
      <c r="I296" s="70">
        <f>SUM(G296:H296)+'BM 001'!I296</f>
        <v>0</v>
      </c>
      <c r="J296" s="70">
        <f t="shared" si="133"/>
        <v>0</v>
      </c>
      <c r="K296" s="71"/>
      <c r="L296" s="71">
        <f t="shared" si="132"/>
        <v>0</v>
      </c>
      <c r="M296" s="73">
        <f t="shared" ref="M296:R296" si="135">SUM(M297:M306)</f>
        <v>0</v>
      </c>
      <c r="N296" s="73">
        <f t="shared" si="135"/>
        <v>0</v>
      </c>
      <c r="O296" s="73">
        <f t="shared" si="135"/>
        <v>0</v>
      </c>
      <c r="P296" s="73">
        <f t="shared" si="135"/>
        <v>16787.3</v>
      </c>
      <c r="Q296" s="73">
        <f t="shared" si="135"/>
        <v>21279.56</v>
      </c>
      <c r="R296" s="73">
        <f t="shared" si="135"/>
        <v>21279.56</v>
      </c>
    </row>
    <row r="297" spans="2:18" s="34" customFormat="1" ht="34.799999999999997">
      <c r="B297" s="87" t="s">
        <v>587</v>
      </c>
      <c r="C297" s="88" t="s">
        <v>588</v>
      </c>
      <c r="D297" s="89" t="s">
        <v>131</v>
      </c>
      <c r="E297" s="90">
        <v>79</v>
      </c>
      <c r="F297" s="91"/>
      <c r="G297" s="91"/>
      <c r="H297" s="91"/>
      <c r="I297" s="91">
        <f>SUM(G297:H297)+'BM 001'!I297</f>
        <v>0</v>
      </c>
      <c r="J297" s="91">
        <f t="shared" si="133"/>
        <v>79</v>
      </c>
      <c r="K297" s="80">
        <v>32</v>
      </c>
      <c r="L297" s="81">
        <f t="shared" si="132"/>
        <v>40.563203520000002</v>
      </c>
      <c r="M297" s="82">
        <f t="shared" ref="M297:M306" si="136">TRUNC(F297*L297,2)</f>
        <v>0</v>
      </c>
      <c r="N297" s="82">
        <f t="shared" ref="N297:N306" si="137">TRUNC(G297*L297,2)</f>
        <v>0</v>
      </c>
      <c r="O297" s="82">
        <f>N297+'BM 001'!O297</f>
        <v>0</v>
      </c>
      <c r="P297" s="80">
        <f t="shared" ref="P297:P306" si="138">E297*K297</f>
        <v>2528</v>
      </c>
      <c r="Q297" s="82">
        <f t="shared" ref="Q297:Q306" si="139">TRUNC(E297*L297,2)</f>
        <v>3204.49</v>
      </c>
      <c r="R297" s="82">
        <f t="shared" ref="R297:R306" si="140">Q297-O297</f>
        <v>3204.49</v>
      </c>
    </row>
    <row r="298" spans="2:18" s="34" customFormat="1" ht="34.799999999999997">
      <c r="B298" s="87" t="s">
        <v>589</v>
      </c>
      <c r="C298" s="88" t="s">
        <v>590</v>
      </c>
      <c r="D298" s="89" t="s">
        <v>131</v>
      </c>
      <c r="E298" s="90">
        <v>73</v>
      </c>
      <c r="F298" s="91"/>
      <c r="G298" s="91"/>
      <c r="H298" s="91"/>
      <c r="I298" s="91">
        <f>SUM(G298:H298)+'BM 001'!I298</f>
        <v>0</v>
      </c>
      <c r="J298" s="91">
        <f t="shared" si="133"/>
        <v>73</v>
      </c>
      <c r="K298" s="80">
        <v>38</v>
      </c>
      <c r="L298" s="81">
        <f t="shared" si="132"/>
        <v>48.168804180000002</v>
      </c>
      <c r="M298" s="82">
        <f t="shared" si="136"/>
        <v>0</v>
      </c>
      <c r="N298" s="82">
        <f t="shared" si="137"/>
        <v>0</v>
      </c>
      <c r="O298" s="82">
        <f>N298+'BM 001'!O298</f>
        <v>0</v>
      </c>
      <c r="P298" s="80">
        <f t="shared" si="138"/>
        <v>2774</v>
      </c>
      <c r="Q298" s="82">
        <f t="shared" si="139"/>
        <v>3516.32</v>
      </c>
      <c r="R298" s="82">
        <f t="shared" si="140"/>
        <v>3516.32</v>
      </c>
    </row>
    <row r="299" spans="2:18" s="34" customFormat="1" ht="34.799999999999997">
      <c r="B299" s="87" t="s">
        <v>591</v>
      </c>
      <c r="C299" s="88" t="s">
        <v>592</v>
      </c>
      <c r="D299" s="89" t="s">
        <v>131</v>
      </c>
      <c r="E299" s="90">
        <v>34</v>
      </c>
      <c r="F299" s="91"/>
      <c r="G299" s="91"/>
      <c r="H299" s="91"/>
      <c r="I299" s="91">
        <f>SUM(G299:H299)+'BM 001'!I299</f>
        <v>0</v>
      </c>
      <c r="J299" s="91">
        <f t="shared" si="133"/>
        <v>34</v>
      </c>
      <c r="K299" s="80">
        <v>58.95</v>
      </c>
      <c r="L299" s="81">
        <f t="shared" si="132"/>
        <v>74.725026484500006</v>
      </c>
      <c r="M299" s="82">
        <f t="shared" si="136"/>
        <v>0</v>
      </c>
      <c r="N299" s="82">
        <f t="shared" si="137"/>
        <v>0</v>
      </c>
      <c r="O299" s="82">
        <f>N299+'BM 001'!O299</f>
        <v>0</v>
      </c>
      <c r="P299" s="80">
        <f t="shared" si="138"/>
        <v>2004.3000000000002</v>
      </c>
      <c r="Q299" s="82">
        <f t="shared" si="139"/>
        <v>2540.65</v>
      </c>
      <c r="R299" s="82">
        <f t="shared" si="140"/>
        <v>2540.65</v>
      </c>
    </row>
    <row r="300" spans="2:18" s="34" customFormat="1" ht="46.2">
      <c r="B300" s="87" t="s">
        <v>593</v>
      </c>
      <c r="C300" s="88" t="s">
        <v>594</v>
      </c>
      <c r="D300" s="89" t="s">
        <v>131</v>
      </c>
      <c r="E300" s="90">
        <v>55</v>
      </c>
      <c r="F300" s="91"/>
      <c r="G300" s="91"/>
      <c r="H300" s="91"/>
      <c r="I300" s="91">
        <f>SUM(G300:H300)+'BM 001'!I300</f>
        <v>0</v>
      </c>
      <c r="J300" s="91">
        <f t="shared" si="133"/>
        <v>55</v>
      </c>
      <c r="K300" s="80">
        <v>50</v>
      </c>
      <c r="L300" s="81">
        <f t="shared" si="132"/>
        <v>63.380005500000003</v>
      </c>
      <c r="M300" s="82">
        <f t="shared" si="136"/>
        <v>0</v>
      </c>
      <c r="N300" s="82">
        <f t="shared" si="137"/>
        <v>0</v>
      </c>
      <c r="O300" s="82">
        <f>N300+'BM 001'!O300</f>
        <v>0</v>
      </c>
      <c r="P300" s="80">
        <f t="shared" si="138"/>
        <v>2750</v>
      </c>
      <c r="Q300" s="82">
        <f t="shared" si="139"/>
        <v>3485.9</v>
      </c>
      <c r="R300" s="82">
        <f t="shared" si="140"/>
        <v>3485.9</v>
      </c>
    </row>
    <row r="301" spans="2:18" s="34" customFormat="1" ht="34.799999999999997">
      <c r="B301" s="87" t="s">
        <v>595</v>
      </c>
      <c r="C301" s="88" t="s">
        <v>596</v>
      </c>
      <c r="D301" s="89" t="s">
        <v>131</v>
      </c>
      <c r="E301" s="90">
        <v>41</v>
      </c>
      <c r="F301" s="91"/>
      <c r="G301" s="91"/>
      <c r="H301" s="91"/>
      <c r="I301" s="91">
        <f>SUM(G301:H301)+'BM 001'!I301</f>
        <v>0</v>
      </c>
      <c r="J301" s="91">
        <f t="shared" si="133"/>
        <v>41</v>
      </c>
      <c r="K301" s="80">
        <v>52</v>
      </c>
      <c r="L301" s="81">
        <f t="shared" si="132"/>
        <v>65.915205720000003</v>
      </c>
      <c r="M301" s="82">
        <f t="shared" si="136"/>
        <v>0</v>
      </c>
      <c r="N301" s="82">
        <f t="shared" si="137"/>
        <v>0</v>
      </c>
      <c r="O301" s="82">
        <f>N301+'BM 001'!O301</f>
        <v>0</v>
      </c>
      <c r="P301" s="80">
        <f t="shared" si="138"/>
        <v>2132</v>
      </c>
      <c r="Q301" s="82">
        <f t="shared" si="139"/>
        <v>2702.52</v>
      </c>
      <c r="R301" s="82">
        <f t="shared" si="140"/>
        <v>2702.52</v>
      </c>
    </row>
    <row r="302" spans="2:18" s="34" customFormat="1" ht="34.799999999999997">
      <c r="B302" s="87" t="s">
        <v>597</v>
      </c>
      <c r="C302" s="88" t="s">
        <v>598</v>
      </c>
      <c r="D302" s="89" t="s">
        <v>131</v>
      </c>
      <c r="E302" s="90">
        <v>3</v>
      </c>
      <c r="F302" s="91"/>
      <c r="G302" s="91"/>
      <c r="H302" s="91"/>
      <c r="I302" s="91">
        <f>SUM(G302:H302)+'BM 001'!I302</f>
        <v>0</v>
      </c>
      <c r="J302" s="91">
        <f t="shared" si="133"/>
        <v>3</v>
      </c>
      <c r="K302" s="80">
        <v>51</v>
      </c>
      <c r="L302" s="81">
        <f t="shared" si="132"/>
        <v>64.647605609999999</v>
      </c>
      <c r="M302" s="82">
        <f t="shared" si="136"/>
        <v>0</v>
      </c>
      <c r="N302" s="82">
        <f t="shared" si="137"/>
        <v>0</v>
      </c>
      <c r="O302" s="82">
        <f>N302+'BM 001'!O302</f>
        <v>0</v>
      </c>
      <c r="P302" s="80">
        <f t="shared" si="138"/>
        <v>153</v>
      </c>
      <c r="Q302" s="82">
        <f t="shared" si="139"/>
        <v>193.94</v>
      </c>
      <c r="R302" s="82">
        <f t="shared" si="140"/>
        <v>193.94</v>
      </c>
    </row>
    <row r="303" spans="2:18" s="34" customFormat="1" ht="34.799999999999997">
      <c r="B303" s="87" t="s">
        <v>599</v>
      </c>
      <c r="C303" s="88" t="s">
        <v>600</v>
      </c>
      <c r="D303" s="89" t="s">
        <v>131</v>
      </c>
      <c r="E303" s="90">
        <v>1</v>
      </c>
      <c r="F303" s="91"/>
      <c r="G303" s="91"/>
      <c r="H303" s="91"/>
      <c r="I303" s="91">
        <f>SUM(G303:H303)+'BM 001'!I303</f>
        <v>0</v>
      </c>
      <c r="J303" s="91">
        <f t="shared" si="133"/>
        <v>1</v>
      </c>
      <c r="K303" s="80">
        <v>60</v>
      </c>
      <c r="L303" s="81">
        <f t="shared" si="132"/>
        <v>76.056006600000003</v>
      </c>
      <c r="M303" s="82">
        <f t="shared" si="136"/>
        <v>0</v>
      </c>
      <c r="N303" s="82">
        <f t="shared" si="137"/>
        <v>0</v>
      </c>
      <c r="O303" s="82">
        <f>N303+'BM 001'!O303</f>
        <v>0</v>
      </c>
      <c r="P303" s="80">
        <f t="shared" si="138"/>
        <v>60</v>
      </c>
      <c r="Q303" s="82">
        <f t="shared" si="139"/>
        <v>76.05</v>
      </c>
      <c r="R303" s="82">
        <f t="shared" si="140"/>
        <v>76.05</v>
      </c>
    </row>
    <row r="304" spans="2:18" s="34" customFormat="1" ht="23.4">
      <c r="B304" s="87" t="s">
        <v>601</v>
      </c>
      <c r="C304" s="88" t="s">
        <v>602</v>
      </c>
      <c r="D304" s="89" t="s">
        <v>131</v>
      </c>
      <c r="E304" s="90">
        <v>15</v>
      </c>
      <c r="F304" s="91"/>
      <c r="G304" s="91"/>
      <c r="H304" s="91"/>
      <c r="I304" s="91">
        <f>SUM(G304:H304)+'BM 001'!I304</f>
        <v>0</v>
      </c>
      <c r="J304" s="91">
        <f t="shared" si="133"/>
        <v>15</v>
      </c>
      <c r="K304" s="80">
        <v>230</v>
      </c>
      <c r="L304" s="81">
        <f t="shared" si="132"/>
        <v>291.54802530000001</v>
      </c>
      <c r="M304" s="82">
        <f t="shared" si="136"/>
        <v>0</v>
      </c>
      <c r="N304" s="82">
        <f t="shared" si="137"/>
        <v>0</v>
      </c>
      <c r="O304" s="82">
        <f>N304+'BM 001'!O304</f>
        <v>0</v>
      </c>
      <c r="P304" s="80">
        <f t="shared" si="138"/>
        <v>3450</v>
      </c>
      <c r="Q304" s="82">
        <f t="shared" si="139"/>
        <v>4373.22</v>
      </c>
      <c r="R304" s="82">
        <f t="shared" si="140"/>
        <v>4373.22</v>
      </c>
    </row>
    <row r="305" spans="2:18" s="34" customFormat="1" ht="23.4">
      <c r="B305" s="87" t="s">
        <v>603</v>
      </c>
      <c r="C305" s="88" t="s">
        <v>604</v>
      </c>
      <c r="D305" s="89" t="s">
        <v>131</v>
      </c>
      <c r="E305" s="90">
        <v>5</v>
      </c>
      <c r="F305" s="91"/>
      <c r="G305" s="91"/>
      <c r="H305" s="91"/>
      <c r="I305" s="91">
        <f>SUM(G305:H305)+'BM 001'!I305</f>
        <v>0</v>
      </c>
      <c r="J305" s="91">
        <f t="shared" si="133"/>
        <v>5</v>
      </c>
      <c r="K305" s="80">
        <v>140</v>
      </c>
      <c r="L305" s="81">
        <f t="shared" si="132"/>
        <v>177.46401539999999</v>
      </c>
      <c r="M305" s="82">
        <f t="shared" si="136"/>
        <v>0</v>
      </c>
      <c r="N305" s="82">
        <f t="shared" si="137"/>
        <v>0</v>
      </c>
      <c r="O305" s="82">
        <f>N305+'BM 001'!O305</f>
        <v>0</v>
      </c>
      <c r="P305" s="80">
        <f t="shared" si="138"/>
        <v>700</v>
      </c>
      <c r="Q305" s="82">
        <f t="shared" si="139"/>
        <v>887.32</v>
      </c>
      <c r="R305" s="82">
        <f t="shared" si="140"/>
        <v>887.32</v>
      </c>
    </row>
    <row r="306" spans="2:18" s="34" customFormat="1" ht="34.799999999999997">
      <c r="B306" s="87" t="s">
        <v>605</v>
      </c>
      <c r="C306" s="88" t="s">
        <v>606</v>
      </c>
      <c r="D306" s="89" t="s">
        <v>131</v>
      </c>
      <c r="E306" s="90">
        <v>4</v>
      </c>
      <c r="F306" s="91"/>
      <c r="G306" s="91"/>
      <c r="H306" s="91"/>
      <c r="I306" s="91">
        <f>SUM(G306:H306)+'BM 001'!I306</f>
        <v>0</v>
      </c>
      <c r="J306" s="91">
        <f t="shared" si="133"/>
        <v>4</v>
      </c>
      <c r="K306" s="80">
        <v>59</v>
      </c>
      <c r="L306" s="81">
        <f t="shared" si="132"/>
        <v>74.78840649</v>
      </c>
      <c r="M306" s="82">
        <f t="shared" si="136"/>
        <v>0</v>
      </c>
      <c r="N306" s="82">
        <f t="shared" si="137"/>
        <v>0</v>
      </c>
      <c r="O306" s="82">
        <f>N306+'BM 001'!O306</f>
        <v>0</v>
      </c>
      <c r="P306" s="80">
        <f t="shared" si="138"/>
        <v>236</v>
      </c>
      <c r="Q306" s="82">
        <f t="shared" si="139"/>
        <v>299.14999999999998</v>
      </c>
      <c r="R306" s="82">
        <f t="shared" si="140"/>
        <v>299.14999999999998</v>
      </c>
    </row>
    <row r="307" spans="2:18" s="34" customFormat="1" ht="13.2">
      <c r="B307" s="66" t="s">
        <v>607</v>
      </c>
      <c r="C307" s="67" t="s">
        <v>608</v>
      </c>
      <c r="D307" s="68"/>
      <c r="E307" s="69"/>
      <c r="F307" s="70"/>
      <c r="G307" s="70"/>
      <c r="H307" s="70"/>
      <c r="I307" s="70">
        <f>SUM(G307:H307)+'BM 001'!I307</f>
        <v>0</v>
      </c>
      <c r="J307" s="70">
        <f t="shared" si="133"/>
        <v>0</v>
      </c>
      <c r="K307" s="71"/>
      <c r="L307" s="71">
        <f t="shared" si="132"/>
        <v>0</v>
      </c>
      <c r="M307" s="73">
        <f t="shared" ref="M307:R307" si="141">SUM(M308:M314)</f>
        <v>0</v>
      </c>
      <c r="N307" s="73">
        <f t="shared" si="141"/>
        <v>0</v>
      </c>
      <c r="O307" s="73">
        <f t="shared" si="141"/>
        <v>0</v>
      </c>
      <c r="P307" s="73">
        <f t="shared" si="141"/>
        <v>50562</v>
      </c>
      <c r="Q307" s="73">
        <f t="shared" si="141"/>
        <v>64092.350000000006</v>
      </c>
      <c r="R307" s="73">
        <f t="shared" si="141"/>
        <v>64092.350000000006</v>
      </c>
    </row>
    <row r="308" spans="2:18" s="34" customFormat="1" ht="34.799999999999997">
      <c r="B308" s="87" t="s">
        <v>609</v>
      </c>
      <c r="C308" s="88" t="s">
        <v>610</v>
      </c>
      <c r="D308" s="89" t="s">
        <v>131</v>
      </c>
      <c r="E308" s="90">
        <v>202</v>
      </c>
      <c r="F308" s="91"/>
      <c r="G308" s="91"/>
      <c r="H308" s="91"/>
      <c r="I308" s="91">
        <f>SUM(G308:H308)+'BM 001'!I308</f>
        <v>0</v>
      </c>
      <c r="J308" s="91">
        <f t="shared" si="133"/>
        <v>202</v>
      </c>
      <c r="K308" s="80">
        <v>38</v>
      </c>
      <c r="L308" s="81">
        <f t="shared" si="132"/>
        <v>48.168804180000002</v>
      </c>
      <c r="M308" s="82">
        <f t="shared" ref="M308:M314" si="142">TRUNC(F308*L308,2)</f>
        <v>0</v>
      </c>
      <c r="N308" s="82">
        <f t="shared" ref="N308:N314" si="143">TRUNC(G308*L308,2)</f>
        <v>0</v>
      </c>
      <c r="O308" s="82">
        <f>N308+'BM 001'!O308</f>
        <v>0</v>
      </c>
      <c r="P308" s="80">
        <f t="shared" ref="P308:P314" si="144">E308*K308</f>
        <v>7676</v>
      </c>
      <c r="Q308" s="82">
        <f t="shared" ref="Q308:Q314" si="145">TRUNC(E308*L308,2)</f>
        <v>9730.09</v>
      </c>
      <c r="R308" s="82">
        <f t="shared" ref="R308:R314" si="146">Q308-O308</f>
        <v>9730.09</v>
      </c>
    </row>
    <row r="309" spans="2:18" s="34" customFormat="1" ht="34.799999999999997">
      <c r="B309" s="87" t="s">
        <v>611</v>
      </c>
      <c r="C309" s="88" t="s">
        <v>612</v>
      </c>
      <c r="D309" s="89" t="s">
        <v>131</v>
      </c>
      <c r="E309" s="90">
        <v>508</v>
      </c>
      <c r="F309" s="91"/>
      <c r="G309" s="91"/>
      <c r="H309" s="91"/>
      <c r="I309" s="91">
        <f>SUM(G309:H309)+'BM 001'!I309</f>
        <v>0</v>
      </c>
      <c r="J309" s="91">
        <f t="shared" si="133"/>
        <v>508</v>
      </c>
      <c r="K309" s="80">
        <v>40</v>
      </c>
      <c r="L309" s="81">
        <f t="shared" si="132"/>
        <v>50.704004400000002</v>
      </c>
      <c r="M309" s="82">
        <f t="shared" si="142"/>
        <v>0</v>
      </c>
      <c r="N309" s="82">
        <f t="shared" si="143"/>
        <v>0</v>
      </c>
      <c r="O309" s="82">
        <f>N309+'BM 001'!O309</f>
        <v>0</v>
      </c>
      <c r="P309" s="80">
        <f t="shared" si="144"/>
        <v>20320</v>
      </c>
      <c r="Q309" s="82">
        <f t="shared" si="145"/>
        <v>25757.63</v>
      </c>
      <c r="R309" s="82">
        <f t="shared" si="146"/>
        <v>25757.63</v>
      </c>
    </row>
    <row r="310" spans="2:18" s="34" customFormat="1" ht="23.4">
      <c r="B310" s="87" t="s">
        <v>613</v>
      </c>
      <c r="C310" s="88" t="s">
        <v>614</v>
      </c>
      <c r="D310" s="89" t="s">
        <v>131</v>
      </c>
      <c r="E310" s="90">
        <v>52</v>
      </c>
      <c r="F310" s="91"/>
      <c r="G310" s="91"/>
      <c r="H310" s="91"/>
      <c r="I310" s="91">
        <f>SUM(G310:H310)+'BM 001'!I310</f>
        <v>0</v>
      </c>
      <c r="J310" s="91">
        <f t="shared" si="133"/>
        <v>52</v>
      </c>
      <c r="K310" s="80">
        <v>65</v>
      </c>
      <c r="L310" s="81">
        <f t="shared" si="132"/>
        <v>82.394007150000007</v>
      </c>
      <c r="M310" s="82">
        <f t="shared" si="142"/>
        <v>0</v>
      </c>
      <c r="N310" s="82">
        <f t="shared" si="143"/>
        <v>0</v>
      </c>
      <c r="O310" s="82">
        <f>N310+'BM 001'!O310</f>
        <v>0</v>
      </c>
      <c r="P310" s="80">
        <f t="shared" si="144"/>
        <v>3380</v>
      </c>
      <c r="Q310" s="82">
        <f t="shared" si="145"/>
        <v>4284.4799999999996</v>
      </c>
      <c r="R310" s="82">
        <f t="shared" si="146"/>
        <v>4284.4799999999996</v>
      </c>
    </row>
    <row r="311" spans="2:18" s="34" customFormat="1" ht="34.799999999999997">
      <c r="B311" s="87" t="s">
        <v>615</v>
      </c>
      <c r="C311" s="88" t="s">
        <v>610</v>
      </c>
      <c r="D311" s="89" t="s">
        <v>131</v>
      </c>
      <c r="E311" s="90">
        <v>2</v>
      </c>
      <c r="F311" s="91"/>
      <c r="G311" s="91"/>
      <c r="H311" s="91"/>
      <c r="I311" s="91">
        <f>SUM(G311:H311)+'BM 001'!I311</f>
        <v>0</v>
      </c>
      <c r="J311" s="91">
        <f t="shared" si="133"/>
        <v>2</v>
      </c>
      <c r="K311" s="80">
        <v>38</v>
      </c>
      <c r="L311" s="81">
        <f t="shared" si="132"/>
        <v>48.168804180000002</v>
      </c>
      <c r="M311" s="82">
        <f t="shared" si="142"/>
        <v>0</v>
      </c>
      <c r="N311" s="82">
        <f t="shared" si="143"/>
        <v>0</v>
      </c>
      <c r="O311" s="82">
        <f>N311+'BM 001'!O311</f>
        <v>0</v>
      </c>
      <c r="P311" s="80">
        <f t="shared" si="144"/>
        <v>76</v>
      </c>
      <c r="Q311" s="82">
        <f t="shared" si="145"/>
        <v>96.33</v>
      </c>
      <c r="R311" s="82">
        <f t="shared" si="146"/>
        <v>96.33</v>
      </c>
    </row>
    <row r="312" spans="2:18" s="34" customFormat="1" ht="13.2">
      <c r="B312" s="87" t="s">
        <v>616</v>
      </c>
      <c r="C312" s="88" t="s">
        <v>617</v>
      </c>
      <c r="D312" s="89" t="s">
        <v>131</v>
      </c>
      <c r="E312" s="90">
        <v>201</v>
      </c>
      <c r="F312" s="91"/>
      <c r="G312" s="91"/>
      <c r="H312" s="91"/>
      <c r="I312" s="91">
        <f>SUM(G312:H312)+'BM 001'!I312</f>
        <v>0</v>
      </c>
      <c r="J312" s="91">
        <f t="shared" si="133"/>
        <v>201</v>
      </c>
      <c r="K312" s="80">
        <v>30</v>
      </c>
      <c r="L312" s="81">
        <f t="shared" si="132"/>
        <v>38.028003300000002</v>
      </c>
      <c r="M312" s="82">
        <f t="shared" si="142"/>
        <v>0</v>
      </c>
      <c r="N312" s="82">
        <f t="shared" si="143"/>
        <v>0</v>
      </c>
      <c r="O312" s="82">
        <f>N312+'BM 001'!O312</f>
        <v>0</v>
      </c>
      <c r="P312" s="80">
        <f t="shared" si="144"/>
        <v>6030</v>
      </c>
      <c r="Q312" s="82">
        <f t="shared" si="145"/>
        <v>7643.62</v>
      </c>
      <c r="R312" s="82">
        <f t="shared" si="146"/>
        <v>7643.62</v>
      </c>
    </row>
    <row r="313" spans="2:18" s="34" customFormat="1" ht="23.4">
      <c r="B313" s="87" t="s">
        <v>618</v>
      </c>
      <c r="C313" s="88" t="s">
        <v>619</v>
      </c>
      <c r="D313" s="89" t="s">
        <v>131</v>
      </c>
      <c r="E313" s="90">
        <v>12</v>
      </c>
      <c r="F313" s="91"/>
      <c r="G313" s="91"/>
      <c r="H313" s="91"/>
      <c r="I313" s="91">
        <f>SUM(G313:H313)+'BM 001'!I313</f>
        <v>0</v>
      </c>
      <c r="J313" s="91">
        <f t="shared" si="133"/>
        <v>12</v>
      </c>
      <c r="K313" s="80">
        <v>40</v>
      </c>
      <c r="L313" s="81">
        <f t="shared" si="132"/>
        <v>50.704004400000002</v>
      </c>
      <c r="M313" s="82">
        <f t="shared" si="142"/>
        <v>0</v>
      </c>
      <c r="N313" s="82">
        <f t="shared" si="143"/>
        <v>0</v>
      </c>
      <c r="O313" s="82">
        <f>N313+'BM 001'!O313</f>
        <v>0</v>
      </c>
      <c r="P313" s="80">
        <f t="shared" si="144"/>
        <v>480</v>
      </c>
      <c r="Q313" s="82">
        <f t="shared" si="145"/>
        <v>608.44000000000005</v>
      </c>
      <c r="R313" s="82">
        <f t="shared" si="146"/>
        <v>608.44000000000005</v>
      </c>
    </row>
    <row r="314" spans="2:18" s="34" customFormat="1" ht="23.4">
      <c r="B314" s="87" t="s">
        <v>620</v>
      </c>
      <c r="C314" s="88" t="s">
        <v>621</v>
      </c>
      <c r="D314" s="89" t="s">
        <v>131</v>
      </c>
      <c r="E314" s="90">
        <v>180</v>
      </c>
      <c r="F314" s="91"/>
      <c r="G314" s="91"/>
      <c r="H314" s="91"/>
      <c r="I314" s="91">
        <f>SUM(G314:H314)+'BM 001'!I314</f>
        <v>0</v>
      </c>
      <c r="J314" s="91">
        <f t="shared" si="133"/>
        <v>180</v>
      </c>
      <c r="K314" s="80">
        <v>70</v>
      </c>
      <c r="L314" s="81">
        <f t="shared" si="132"/>
        <v>88.732007699999997</v>
      </c>
      <c r="M314" s="82">
        <f t="shared" si="142"/>
        <v>0</v>
      </c>
      <c r="N314" s="82">
        <f t="shared" si="143"/>
        <v>0</v>
      </c>
      <c r="O314" s="82">
        <f>N314+'BM 001'!O314</f>
        <v>0</v>
      </c>
      <c r="P314" s="80">
        <f t="shared" si="144"/>
        <v>12600</v>
      </c>
      <c r="Q314" s="82">
        <f t="shared" si="145"/>
        <v>15971.76</v>
      </c>
      <c r="R314" s="82">
        <f t="shared" si="146"/>
        <v>15971.76</v>
      </c>
    </row>
    <row r="315" spans="2:18" s="34" customFormat="1" ht="26.25" customHeight="1">
      <c r="B315" s="66" t="s">
        <v>622</v>
      </c>
      <c r="C315" s="67" t="s">
        <v>623</v>
      </c>
      <c r="D315" s="68"/>
      <c r="E315" s="69"/>
      <c r="F315" s="70"/>
      <c r="G315" s="70"/>
      <c r="H315" s="70"/>
      <c r="I315" s="70">
        <f>SUM(G315:H315)+'BM 001'!I315</f>
        <v>0</v>
      </c>
      <c r="J315" s="70">
        <f t="shared" si="133"/>
        <v>0</v>
      </c>
      <c r="K315" s="71"/>
      <c r="L315" s="71">
        <f t="shared" si="132"/>
        <v>0</v>
      </c>
      <c r="M315" s="73">
        <f t="shared" ref="M315:R315" si="147">SUM(M316)</f>
        <v>0</v>
      </c>
      <c r="N315" s="73">
        <f t="shared" si="147"/>
        <v>0</v>
      </c>
      <c r="O315" s="73">
        <f t="shared" si="147"/>
        <v>0</v>
      </c>
      <c r="P315" s="73">
        <f t="shared" si="147"/>
        <v>660</v>
      </c>
      <c r="Q315" s="73">
        <f t="shared" si="147"/>
        <v>836.61</v>
      </c>
      <c r="R315" s="73">
        <f t="shared" si="147"/>
        <v>836.61</v>
      </c>
    </row>
    <row r="316" spans="2:18" s="34" customFormat="1" ht="13.2">
      <c r="B316" s="75" t="s">
        <v>624</v>
      </c>
      <c r="C316" s="76" t="s">
        <v>625</v>
      </c>
      <c r="D316" s="77" t="s">
        <v>131</v>
      </c>
      <c r="E316" s="78">
        <v>3</v>
      </c>
      <c r="F316" s="79"/>
      <c r="G316" s="79"/>
      <c r="H316" s="79"/>
      <c r="I316" s="79">
        <f>SUM(G316:H316)+'BM 001'!I316</f>
        <v>0</v>
      </c>
      <c r="J316" s="79">
        <f t="shared" si="133"/>
        <v>3</v>
      </c>
      <c r="K316" s="84">
        <v>220</v>
      </c>
      <c r="L316" s="81">
        <f t="shared" si="132"/>
        <v>278.8720242</v>
      </c>
      <c r="M316" s="82">
        <f>TRUNC(F316*L316,2)</f>
        <v>0</v>
      </c>
      <c r="N316" s="82">
        <f>TRUNC(G316*L316,2)</f>
        <v>0</v>
      </c>
      <c r="O316" s="82">
        <f>N316+'BM 001'!O316</f>
        <v>0</v>
      </c>
      <c r="P316" s="80">
        <f>E316*K316</f>
        <v>660</v>
      </c>
      <c r="Q316" s="82">
        <f>TRUNC(E316*L316,2)</f>
        <v>836.61</v>
      </c>
      <c r="R316" s="82">
        <f>Q316-O316</f>
        <v>836.61</v>
      </c>
    </row>
    <row r="317" spans="2:18" s="34" customFormat="1" ht="13.2">
      <c r="B317" s="60" t="s">
        <v>626</v>
      </c>
      <c r="C317" s="61" t="s">
        <v>627</v>
      </c>
      <c r="D317" s="60"/>
      <c r="E317" s="62"/>
      <c r="F317" s="63"/>
      <c r="G317" s="63"/>
      <c r="H317" s="63"/>
      <c r="I317" s="63">
        <f>SUM(G317:H317)+'BM 001'!I317</f>
        <v>0</v>
      </c>
      <c r="J317" s="63">
        <f t="shared" si="133"/>
        <v>0</v>
      </c>
      <c r="K317" s="63"/>
      <c r="L317" s="63">
        <f t="shared" si="132"/>
        <v>0</v>
      </c>
      <c r="M317" s="63">
        <f t="shared" ref="M317:R317" si="148">SUM(M318:M327)</f>
        <v>0</v>
      </c>
      <c r="N317" s="63">
        <f t="shared" si="148"/>
        <v>0</v>
      </c>
      <c r="O317" s="63">
        <f t="shared" si="148"/>
        <v>0</v>
      </c>
      <c r="P317" s="63">
        <f t="shared" si="148"/>
        <v>37271.68</v>
      </c>
      <c r="Q317" s="63">
        <f t="shared" si="148"/>
        <v>47245.569999999992</v>
      </c>
      <c r="R317" s="63">
        <f t="shared" si="148"/>
        <v>47245.569999999992</v>
      </c>
    </row>
    <row r="318" spans="2:18" s="34" customFormat="1" ht="23.4">
      <c r="B318" s="75" t="s">
        <v>628</v>
      </c>
      <c r="C318" s="76" t="s">
        <v>629</v>
      </c>
      <c r="D318" s="77" t="s">
        <v>82</v>
      </c>
      <c r="E318" s="93">
        <v>170</v>
      </c>
      <c r="F318" s="79"/>
      <c r="G318" s="79"/>
      <c r="H318" s="79"/>
      <c r="I318" s="79">
        <f>SUM(G318:H318)+'BM 001'!I318</f>
        <v>0</v>
      </c>
      <c r="J318" s="79">
        <f t="shared" si="133"/>
        <v>170</v>
      </c>
      <c r="K318" s="80">
        <v>100</v>
      </c>
      <c r="L318" s="81">
        <f t="shared" si="132"/>
        <v>126.76001100000001</v>
      </c>
      <c r="M318" s="82">
        <f t="shared" ref="M318:M327" si="149">TRUNC(F318*L318,2)</f>
        <v>0</v>
      </c>
      <c r="N318" s="82">
        <f t="shared" ref="N318:N327" si="150">TRUNC(G318*L318,2)</f>
        <v>0</v>
      </c>
      <c r="O318" s="82">
        <f>N318+'BM 001'!O318</f>
        <v>0</v>
      </c>
      <c r="P318" s="80">
        <f t="shared" ref="P318:P327" si="151">E318*K318</f>
        <v>17000</v>
      </c>
      <c r="Q318" s="82">
        <f t="shared" ref="Q318:Q327" si="152">TRUNC(E318*L318,2)</f>
        <v>21549.200000000001</v>
      </c>
      <c r="R318" s="82">
        <f t="shared" ref="R318:R327" si="153">Q318-O318</f>
        <v>21549.200000000001</v>
      </c>
    </row>
    <row r="319" spans="2:18" s="34" customFormat="1" ht="23.4">
      <c r="B319" s="75" t="s">
        <v>630</v>
      </c>
      <c r="C319" s="76" t="s">
        <v>631</v>
      </c>
      <c r="D319" s="77" t="s">
        <v>131</v>
      </c>
      <c r="E319" s="93">
        <v>1</v>
      </c>
      <c r="F319" s="79"/>
      <c r="G319" s="79"/>
      <c r="H319" s="79"/>
      <c r="I319" s="79">
        <f>SUM(G319:H319)+'BM 001'!I319</f>
        <v>0</v>
      </c>
      <c r="J319" s="79">
        <f t="shared" si="133"/>
        <v>1</v>
      </c>
      <c r="K319" s="80">
        <v>1300</v>
      </c>
      <c r="L319" s="81">
        <f t="shared" si="132"/>
        <v>1647.8801430000001</v>
      </c>
      <c r="M319" s="82">
        <f t="shared" si="149"/>
        <v>0</v>
      </c>
      <c r="N319" s="82">
        <f t="shared" si="150"/>
        <v>0</v>
      </c>
      <c r="O319" s="82">
        <f>N319+'BM 001'!O319</f>
        <v>0</v>
      </c>
      <c r="P319" s="80">
        <f t="shared" si="151"/>
        <v>1300</v>
      </c>
      <c r="Q319" s="82">
        <f t="shared" si="152"/>
        <v>1647.88</v>
      </c>
      <c r="R319" s="82">
        <f t="shared" si="153"/>
        <v>1647.88</v>
      </c>
    </row>
    <row r="320" spans="2:18" s="34" customFormat="1" ht="23.4">
      <c r="B320" s="75" t="s">
        <v>632</v>
      </c>
      <c r="C320" s="76" t="s">
        <v>633</v>
      </c>
      <c r="D320" s="77" t="s">
        <v>82</v>
      </c>
      <c r="E320" s="93">
        <v>250</v>
      </c>
      <c r="F320" s="79"/>
      <c r="G320" s="79"/>
      <c r="H320" s="79"/>
      <c r="I320" s="79">
        <f>SUM(G320:H320)+'BM 001'!I320</f>
        <v>0</v>
      </c>
      <c r="J320" s="79">
        <f t="shared" si="133"/>
        <v>250</v>
      </c>
      <c r="K320" s="80">
        <v>38</v>
      </c>
      <c r="L320" s="81">
        <f t="shared" si="132"/>
        <v>48.168804180000002</v>
      </c>
      <c r="M320" s="82">
        <f t="shared" si="149"/>
        <v>0</v>
      </c>
      <c r="N320" s="82">
        <f t="shared" si="150"/>
        <v>0</v>
      </c>
      <c r="O320" s="82">
        <f>N320+'BM 001'!O320</f>
        <v>0</v>
      </c>
      <c r="P320" s="80">
        <f t="shared" si="151"/>
        <v>9500</v>
      </c>
      <c r="Q320" s="82">
        <f t="shared" si="152"/>
        <v>12042.2</v>
      </c>
      <c r="R320" s="82">
        <f t="shared" si="153"/>
        <v>12042.2</v>
      </c>
    </row>
    <row r="321" spans="2:18" s="34" customFormat="1" ht="13.2">
      <c r="B321" s="75" t="s">
        <v>634</v>
      </c>
      <c r="C321" s="76" t="s">
        <v>635</v>
      </c>
      <c r="D321" s="77" t="s">
        <v>39</v>
      </c>
      <c r="E321" s="78">
        <v>20</v>
      </c>
      <c r="F321" s="79"/>
      <c r="G321" s="79"/>
      <c r="H321" s="79"/>
      <c r="I321" s="79">
        <f>SUM(G321:H321)+'BM 001'!I321</f>
        <v>0</v>
      </c>
      <c r="J321" s="79">
        <f t="shared" si="133"/>
        <v>20</v>
      </c>
      <c r="K321" s="84">
        <v>42</v>
      </c>
      <c r="L321" s="81">
        <f t="shared" si="132"/>
        <v>53.239204620000002</v>
      </c>
      <c r="M321" s="82">
        <f t="shared" si="149"/>
        <v>0</v>
      </c>
      <c r="N321" s="82">
        <f t="shared" si="150"/>
        <v>0</v>
      </c>
      <c r="O321" s="82">
        <f>N321+'BM 001'!O321</f>
        <v>0</v>
      </c>
      <c r="P321" s="80">
        <f t="shared" si="151"/>
        <v>840</v>
      </c>
      <c r="Q321" s="82">
        <f t="shared" si="152"/>
        <v>1064.78</v>
      </c>
      <c r="R321" s="82">
        <f t="shared" si="153"/>
        <v>1064.78</v>
      </c>
    </row>
    <row r="322" spans="2:18" s="34" customFormat="1" ht="23.4">
      <c r="B322" s="75" t="s">
        <v>636</v>
      </c>
      <c r="C322" s="76" t="s">
        <v>637</v>
      </c>
      <c r="D322" s="77" t="s">
        <v>39</v>
      </c>
      <c r="E322" s="78">
        <v>30</v>
      </c>
      <c r="F322" s="79"/>
      <c r="G322" s="79"/>
      <c r="H322" s="79"/>
      <c r="I322" s="79">
        <f>SUM(G322:H322)+'BM 001'!I322</f>
        <v>0</v>
      </c>
      <c r="J322" s="79">
        <f t="shared" si="133"/>
        <v>30</v>
      </c>
      <c r="K322" s="84">
        <v>25</v>
      </c>
      <c r="L322" s="81">
        <f t="shared" si="132"/>
        <v>31.690002750000001</v>
      </c>
      <c r="M322" s="82">
        <f t="shared" si="149"/>
        <v>0</v>
      </c>
      <c r="N322" s="82">
        <f t="shared" si="150"/>
        <v>0</v>
      </c>
      <c r="O322" s="82">
        <f>N322+'BM 001'!O322</f>
        <v>0</v>
      </c>
      <c r="P322" s="80">
        <f t="shared" si="151"/>
        <v>750</v>
      </c>
      <c r="Q322" s="82">
        <f t="shared" si="152"/>
        <v>950.7</v>
      </c>
      <c r="R322" s="82">
        <f t="shared" si="153"/>
        <v>950.7</v>
      </c>
    </row>
    <row r="323" spans="2:18" s="34" customFormat="1" ht="34.799999999999997">
      <c r="B323" s="75" t="s">
        <v>638</v>
      </c>
      <c r="C323" s="76" t="s">
        <v>639</v>
      </c>
      <c r="D323" s="77" t="s">
        <v>39</v>
      </c>
      <c r="E323" s="78">
        <v>2</v>
      </c>
      <c r="F323" s="79"/>
      <c r="G323" s="79"/>
      <c r="H323" s="79"/>
      <c r="I323" s="79">
        <f>SUM(G323:H323)+'BM 001'!I323</f>
        <v>0</v>
      </c>
      <c r="J323" s="79">
        <f t="shared" si="133"/>
        <v>2</v>
      </c>
      <c r="K323" s="84">
        <v>1800</v>
      </c>
      <c r="L323" s="81">
        <f t="shared" si="132"/>
        <v>2281.680198</v>
      </c>
      <c r="M323" s="82">
        <f t="shared" si="149"/>
        <v>0</v>
      </c>
      <c r="N323" s="82">
        <f t="shared" si="150"/>
        <v>0</v>
      </c>
      <c r="O323" s="82">
        <f>N323+'BM 001'!O323</f>
        <v>0</v>
      </c>
      <c r="P323" s="80">
        <f t="shared" si="151"/>
        <v>3600</v>
      </c>
      <c r="Q323" s="82">
        <f t="shared" si="152"/>
        <v>4563.3599999999997</v>
      </c>
      <c r="R323" s="82">
        <f t="shared" si="153"/>
        <v>4563.3599999999997</v>
      </c>
    </row>
    <row r="324" spans="2:18" s="34" customFormat="1" ht="23.4">
      <c r="B324" s="75" t="s">
        <v>640</v>
      </c>
      <c r="C324" s="76" t="s">
        <v>641</v>
      </c>
      <c r="D324" s="77" t="s">
        <v>39</v>
      </c>
      <c r="E324" s="78">
        <v>17</v>
      </c>
      <c r="F324" s="79"/>
      <c r="G324" s="79"/>
      <c r="H324" s="79"/>
      <c r="I324" s="79">
        <f>SUM(G324:H324)+'BM 001'!I324</f>
        <v>0</v>
      </c>
      <c r="J324" s="79">
        <f t="shared" si="133"/>
        <v>17</v>
      </c>
      <c r="K324" s="84">
        <v>160</v>
      </c>
      <c r="L324" s="81">
        <f t="shared" si="132"/>
        <v>202.81601760000001</v>
      </c>
      <c r="M324" s="82">
        <f t="shared" si="149"/>
        <v>0</v>
      </c>
      <c r="N324" s="82">
        <f t="shared" si="150"/>
        <v>0</v>
      </c>
      <c r="O324" s="82">
        <f>N324+'BM 001'!O324</f>
        <v>0</v>
      </c>
      <c r="P324" s="80">
        <f t="shared" si="151"/>
        <v>2720</v>
      </c>
      <c r="Q324" s="82">
        <f t="shared" si="152"/>
        <v>3447.87</v>
      </c>
      <c r="R324" s="82">
        <f t="shared" si="153"/>
        <v>3447.87</v>
      </c>
    </row>
    <row r="325" spans="2:18" s="34" customFormat="1" ht="13.2">
      <c r="B325" s="75" t="s">
        <v>642</v>
      </c>
      <c r="C325" s="76" t="s">
        <v>643</v>
      </c>
      <c r="D325" s="77" t="s">
        <v>39</v>
      </c>
      <c r="E325" s="78">
        <v>100</v>
      </c>
      <c r="F325" s="79"/>
      <c r="G325" s="79"/>
      <c r="H325" s="79"/>
      <c r="I325" s="79">
        <f>SUM(G325:H325)+'BM 001'!I325</f>
        <v>0</v>
      </c>
      <c r="J325" s="79">
        <f t="shared" si="133"/>
        <v>100</v>
      </c>
      <c r="K325" s="84">
        <v>5.27</v>
      </c>
      <c r="L325" s="81">
        <f t="shared" si="132"/>
        <v>6.6802525796999994</v>
      </c>
      <c r="M325" s="82">
        <f t="shared" si="149"/>
        <v>0</v>
      </c>
      <c r="N325" s="82">
        <f t="shared" si="150"/>
        <v>0</v>
      </c>
      <c r="O325" s="82">
        <f>N325+'BM 001'!O325</f>
        <v>0</v>
      </c>
      <c r="P325" s="80">
        <f t="shared" si="151"/>
        <v>527</v>
      </c>
      <c r="Q325" s="82">
        <f t="shared" si="152"/>
        <v>668.02</v>
      </c>
      <c r="R325" s="82">
        <f t="shared" si="153"/>
        <v>668.02</v>
      </c>
    </row>
    <row r="326" spans="2:18" s="34" customFormat="1" ht="23.25" customHeight="1">
      <c r="B326" s="75" t="s">
        <v>644</v>
      </c>
      <c r="C326" s="76" t="s">
        <v>645</v>
      </c>
      <c r="D326" s="77" t="s">
        <v>124</v>
      </c>
      <c r="E326" s="78">
        <v>12</v>
      </c>
      <c r="F326" s="79"/>
      <c r="G326" s="79"/>
      <c r="H326" s="79"/>
      <c r="I326" s="79">
        <f>SUM(G326:H326)+'BM 001'!I326</f>
        <v>0</v>
      </c>
      <c r="J326" s="79">
        <f t="shared" si="133"/>
        <v>12</v>
      </c>
      <c r="K326" s="84">
        <v>15.39</v>
      </c>
      <c r="L326" s="81">
        <f t="shared" si="132"/>
        <v>19.5083656929</v>
      </c>
      <c r="M326" s="82">
        <f t="shared" si="149"/>
        <v>0</v>
      </c>
      <c r="N326" s="82">
        <f t="shared" si="150"/>
        <v>0</v>
      </c>
      <c r="O326" s="82">
        <f>N326+'BM 001'!O326</f>
        <v>0</v>
      </c>
      <c r="P326" s="80">
        <f t="shared" si="151"/>
        <v>184.68</v>
      </c>
      <c r="Q326" s="82">
        <f t="shared" si="152"/>
        <v>234.1</v>
      </c>
      <c r="R326" s="82">
        <f t="shared" si="153"/>
        <v>234.1</v>
      </c>
    </row>
    <row r="327" spans="2:18" s="34" customFormat="1" ht="13.2">
      <c r="B327" s="75" t="s">
        <v>646</v>
      </c>
      <c r="C327" s="76" t="s">
        <v>647</v>
      </c>
      <c r="D327" s="77" t="s">
        <v>39</v>
      </c>
      <c r="E327" s="78">
        <v>17</v>
      </c>
      <c r="F327" s="79"/>
      <c r="G327" s="79"/>
      <c r="H327" s="79"/>
      <c r="I327" s="79">
        <f>SUM(G327:H327)+'BM 001'!I327</f>
        <v>0</v>
      </c>
      <c r="J327" s="79">
        <f t="shared" si="133"/>
        <v>17</v>
      </c>
      <c r="K327" s="84">
        <v>50</v>
      </c>
      <c r="L327" s="81">
        <f t="shared" si="132"/>
        <v>63.380005500000003</v>
      </c>
      <c r="M327" s="82">
        <f t="shared" si="149"/>
        <v>0</v>
      </c>
      <c r="N327" s="82">
        <f t="shared" si="150"/>
        <v>0</v>
      </c>
      <c r="O327" s="82">
        <f>N327+'BM 001'!O327</f>
        <v>0</v>
      </c>
      <c r="P327" s="80">
        <f t="shared" si="151"/>
        <v>850</v>
      </c>
      <c r="Q327" s="82">
        <f t="shared" si="152"/>
        <v>1077.46</v>
      </c>
      <c r="R327" s="82">
        <f t="shared" si="153"/>
        <v>1077.46</v>
      </c>
    </row>
    <row r="328" spans="2:18" s="34" customFormat="1" ht="13.2">
      <c r="B328" s="60" t="s">
        <v>648</v>
      </c>
      <c r="C328" s="61" t="s">
        <v>649</v>
      </c>
      <c r="D328" s="60"/>
      <c r="E328" s="62"/>
      <c r="F328" s="63"/>
      <c r="G328" s="63"/>
      <c r="H328" s="63"/>
      <c r="I328" s="63">
        <f>SUM(G328:H328)+'BM 001'!I328</f>
        <v>0</v>
      </c>
      <c r="J328" s="63">
        <f t="shared" si="133"/>
        <v>0</v>
      </c>
      <c r="K328" s="63"/>
      <c r="L328" s="63">
        <f t="shared" si="132"/>
        <v>0</v>
      </c>
      <c r="M328" s="63">
        <f t="shared" ref="M328:R328" si="154">SUM(M329,M337,M395,M406,M474)</f>
        <v>0</v>
      </c>
      <c r="N328" s="63">
        <f t="shared" si="154"/>
        <v>0</v>
      </c>
      <c r="O328" s="63">
        <f t="shared" si="154"/>
        <v>0</v>
      </c>
      <c r="P328" s="63">
        <f t="shared" si="154"/>
        <v>482517.43010000006</v>
      </c>
      <c r="Q328" s="63">
        <f t="shared" si="154"/>
        <v>611638.38000000012</v>
      </c>
      <c r="R328" s="63">
        <f t="shared" si="154"/>
        <v>611638.38000000012</v>
      </c>
    </row>
    <row r="329" spans="2:18" s="34" customFormat="1" ht="13.2">
      <c r="B329" s="66" t="s">
        <v>650</v>
      </c>
      <c r="C329" s="67" t="s">
        <v>651</v>
      </c>
      <c r="D329" s="68"/>
      <c r="E329" s="69"/>
      <c r="F329" s="70"/>
      <c r="G329" s="70"/>
      <c r="H329" s="70"/>
      <c r="I329" s="70">
        <f>SUM(G329:H329)+'BM 001'!I329</f>
        <v>0</v>
      </c>
      <c r="J329" s="70">
        <f t="shared" si="133"/>
        <v>0</v>
      </c>
      <c r="K329" s="71"/>
      <c r="L329" s="71">
        <f t="shared" si="132"/>
        <v>0</v>
      </c>
      <c r="M329" s="73">
        <f t="shared" ref="M329:R329" si="155">SUM(M330:M336)</f>
        <v>0</v>
      </c>
      <c r="N329" s="73">
        <f t="shared" si="155"/>
        <v>0</v>
      </c>
      <c r="O329" s="73">
        <f t="shared" si="155"/>
        <v>0</v>
      </c>
      <c r="P329" s="73">
        <f t="shared" si="155"/>
        <v>39545.715000000004</v>
      </c>
      <c r="Q329" s="73">
        <f t="shared" si="155"/>
        <v>50128.12</v>
      </c>
      <c r="R329" s="73">
        <f t="shared" si="155"/>
        <v>50128.12</v>
      </c>
    </row>
    <row r="330" spans="2:18" s="34" customFormat="1" ht="13.2">
      <c r="B330" s="75" t="s">
        <v>652</v>
      </c>
      <c r="C330" s="76" t="s">
        <v>653</v>
      </c>
      <c r="D330" s="77" t="s">
        <v>82</v>
      </c>
      <c r="E330" s="90">
        <v>9.3800000000000008</v>
      </c>
      <c r="F330" s="91"/>
      <c r="G330" s="91"/>
      <c r="H330" s="91"/>
      <c r="I330" s="91">
        <f>SUM(G330:H330)+'BM 001'!I330</f>
        <v>0</v>
      </c>
      <c r="J330" s="91">
        <f t="shared" si="133"/>
        <v>9.3800000000000008</v>
      </c>
      <c r="K330" s="80">
        <v>6.5</v>
      </c>
      <c r="L330" s="81">
        <f t="shared" si="132"/>
        <v>8.2394007150000004</v>
      </c>
      <c r="M330" s="82">
        <f t="shared" ref="M330:M336" si="156">TRUNC(F330*L330,2)</f>
        <v>0</v>
      </c>
      <c r="N330" s="82">
        <f t="shared" ref="N330:N336" si="157">TRUNC(G330*L330,2)</f>
        <v>0</v>
      </c>
      <c r="O330" s="82">
        <f>N330+'BM 001'!O330</f>
        <v>0</v>
      </c>
      <c r="P330" s="80">
        <f t="shared" ref="P330:P336" si="158">E330*K330</f>
        <v>60.970000000000006</v>
      </c>
      <c r="Q330" s="82">
        <f t="shared" ref="Q330:Q336" si="159">TRUNC(E330*L330,2)</f>
        <v>77.28</v>
      </c>
      <c r="R330" s="82">
        <f t="shared" ref="R330:R336" si="160">Q330-O330</f>
        <v>77.28</v>
      </c>
    </row>
    <row r="331" spans="2:18" s="34" customFormat="1" ht="23.4">
      <c r="B331" s="75" t="s">
        <v>654</v>
      </c>
      <c r="C331" s="76" t="s">
        <v>655</v>
      </c>
      <c r="D331" s="77" t="s">
        <v>82</v>
      </c>
      <c r="E331" s="90">
        <v>1074.94</v>
      </c>
      <c r="F331" s="91"/>
      <c r="G331" s="91"/>
      <c r="H331" s="91"/>
      <c r="I331" s="91">
        <f>SUM(G331:H331)+'BM 001'!I331</f>
        <v>0</v>
      </c>
      <c r="J331" s="91">
        <f t="shared" si="133"/>
        <v>1074.94</v>
      </c>
      <c r="K331" s="80">
        <v>8</v>
      </c>
      <c r="L331" s="81">
        <f t="shared" si="132"/>
        <v>10.14080088</v>
      </c>
      <c r="M331" s="82">
        <f t="shared" si="156"/>
        <v>0</v>
      </c>
      <c r="N331" s="82">
        <f t="shared" si="157"/>
        <v>0</v>
      </c>
      <c r="O331" s="82">
        <f>N331+'BM 001'!O331</f>
        <v>0</v>
      </c>
      <c r="P331" s="80">
        <f t="shared" si="158"/>
        <v>8599.52</v>
      </c>
      <c r="Q331" s="82">
        <f t="shared" si="159"/>
        <v>10900.75</v>
      </c>
      <c r="R331" s="82">
        <f t="shared" si="160"/>
        <v>10900.75</v>
      </c>
    </row>
    <row r="332" spans="2:18" s="34" customFormat="1" ht="23.4">
      <c r="B332" s="75" t="s">
        <v>656</v>
      </c>
      <c r="C332" s="76" t="s">
        <v>657</v>
      </c>
      <c r="D332" s="77" t="s">
        <v>82</v>
      </c>
      <c r="E332" s="93">
        <v>17.41</v>
      </c>
      <c r="F332" s="79"/>
      <c r="G332" s="79"/>
      <c r="H332" s="79"/>
      <c r="I332" s="79">
        <f>SUM(G332:H332)+'BM 001'!I332</f>
        <v>0</v>
      </c>
      <c r="J332" s="79">
        <f t="shared" si="133"/>
        <v>17.41</v>
      </c>
      <c r="K332" s="80">
        <v>17.5</v>
      </c>
      <c r="L332" s="81">
        <f t="shared" si="132"/>
        <v>22.183001924999999</v>
      </c>
      <c r="M332" s="82">
        <f t="shared" si="156"/>
        <v>0</v>
      </c>
      <c r="N332" s="82">
        <f t="shared" si="157"/>
        <v>0</v>
      </c>
      <c r="O332" s="82">
        <f>N332+'BM 001'!O332</f>
        <v>0</v>
      </c>
      <c r="P332" s="80">
        <f t="shared" si="158"/>
        <v>304.67500000000001</v>
      </c>
      <c r="Q332" s="82">
        <f t="shared" si="159"/>
        <v>386.2</v>
      </c>
      <c r="R332" s="82">
        <f t="shared" si="160"/>
        <v>386.2</v>
      </c>
    </row>
    <row r="333" spans="2:18" s="34" customFormat="1" ht="23.4">
      <c r="B333" s="75" t="s">
        <v>658</v>
      </c>
      <c r="C333" s="76" t="s">
        <v>659</v>
      </c>
      <c r="D333" s="77" t="s">
        <v>82</v>
      </c>
      <c r="E333" s="93">
        <v>471.41</v>
      </c>
      <c r="F333" s="79"/>
      <c r="G333" s="79"/>
      <c r="H333" s="79"/>
      <c r="I333" s="79">
        <f>SUM(G333:H333)+'BM 001'!I333</f>
        <v>0</v>
      </c>
      <c r="J333" s="79">
        <f t="shared" si="133"/>
        <v>471.41</v>
      </c>
      <c r="K333" s="80">
        <v>23.5</v>
      </c>
      <c r="L333" s="81">
        <f t="shared" si="132"/>
        <v>29.788602585</v>
      </c>
      <c r="M333" s="82">
        <f t="shared" si="156"/>
        <v>0</v>
      </c>
      <c r="N333" s="82">
        <f t="shared" si="157"/>
        <v>0</v>
      </c>
      <c r="O333" s="82">
        <f>N333+'BM 001'!O333</f>
        <v>0</v>
      </c>
      <c r="P333" s="80">
        <f t="shared" si="158"/>
        <v>11078.135</v>
      </c>
      <c r="Q333" s="82">
        <f t="shared" si="159"/>
        <v>14042.64</v>
      </c>
      <c r="R333" s="82">
        <f t="shared" si="160"/>
        <v>14042.64</v>
      </c>
    </row>
    <row r="334" spans="2:18" s="34" customFormat="1" ht="23.4">
      <c r="B334" s="75" t="s">
        <v>660</v>
      </c>
      <c r="C334" s="76" t="s">
        <v>661</v>
      </c>
      <c r="D334" s="77" t="s">
        <v>82</v>
      </c>
      <c r="E334" s="93">
        <v>25.81</v>
      </c>
      <c r="F334" s="79"/>
      <c r="G334" s="79"/>
      <c r="H334" s="79"/>
      <c r="I334" s="79">
        <f>SUM(G334:H334)+'BM 001'!I334</f>
        <v>0</v>
      </c>
      <c r="J334" s="79">
        <f t="shared" si="133"/>
        <v>25.81</v>
      </c>
      <c r="K334" s="80">
        <v>27.5</v>
      </c>
      <c r="L334" s="81">
        <f t="shared" si="132"/>
        <v>34.859003025</v>
      </c>
      <c r="M334" s="82">
        <f t="shared" si="156"/>
        <v>0</v>
      </c>
      <c r="N334" s="82">
        <f t="shared" si="157"/>
        <v>0</v>
      </c>
      <c r="O334" s="82">
        <f>N334+'BM 001'!O334</f>
        <v>0</v>
      </c>
      <c r="P334" s="80">
        <f t="shared" si="158"/>
        <v>709.77499999999998</v>
      </c>
      <c r="Q334" s="82">
        <f t="shared" si="159"/>
        <v>899.71</v>
      </c>
      <c r="R334" s="82">
        <f t="shared" si="160"/>
        <v>899.71</v>
      </c>
    </row>
    <row r="335" spans="2:18" s="34" customFormat="1" ht="23.4">
      <c r="B335" s="75" t="s">
        <v>662</v>
      </c>
      <c r="C335" s="76" t="s">
        <v>663</v>
      </c>
      <c r="D335" s="77" t="s">
        <v>124</v>
      </c>
      <c r="E335" s="93">
        <v>165.66</v>
      </c>
      <c r="F335" s="79"/>
      <c r="G335" s="79"/>
      <c r="H335" s="79"/>
      <c r="I335" s="79">
        <f>SUM(G335:H335)+'BM 001'!I335</f>
        <v>0</v>
      </c>
      <c r="J335" s="79">
        <f t="shared" si="133"/>
        <v>165.66</v>
      </c>
      <c r="K335" s="80">
        <v>41</v>
      </c>
      <c r="L335" s="81">
        <f t="shared" si="132"/>
        <v>51.971604510000006</v>
      </c>
      <c r="M335" s="82">
        <f t="shared" si="156"/>
        <v>0</v>
      </c>
      <c r="N335" s="82">
        <f t="shared" si="157"/>
        <v>0</v>
      </c>
      <c r="O335" s="82">
        <f>N335+'BM 001'!O335</f>
        <v>0</v>
      </c>
      <c r="P335" s="80">
        <f t="shared" si="158"/>
        <v>6792.0599999999995</v>
      </c>
      <c r="Q335" s="82">
        <f t="shared" si="159"/>
        <v>8609.61</v>
      </c>
      <c r="R335" s="82">
        <f t="shared" si="160"/>
        <v>8609.61</v>
      </c>
    </row>
    <row r="336" spans="2:18" s="34" customFormat="1" ht="13.2">
      <c r="B336" s="75" t="s">
        <v>664</v>
      </c>
      <c r="C336" s="76" t="s">
        <v>665</v>
      </c>
      <c r="D336" s="77" t="s">
        <v>124</v>
      </c>
      <c r="E336" s="93">
        <v>162.16999999999999</v>
      </c>
      <c r="F336" s="79"/>
      <c r="G336" s="79"/>
      <c r="H336" s="79"/>
      <c r="I336" s="79">
        <f>SUM(G336:H336)+'BM 001'!I336</f>
        <v>0</v>
      </c>
      <c r="J336" s="79">
        <f t="shared" si="133"/>
        <v>162.16999999999999</v>
      </c>
      <c r="K336" s="80">
        <v>74</v>
      </c>
      <c r="L336" s="81">
        <f t="shared" si="132"/>
        <v>93.802408140000011</v>
      </c>
      <c r="M336" s="82">
        <f t="shared" si="156"/>
        <v>0</v>
      </c>
      <c r="N336" s="82">
        <f t="shared" si="157"/>
        <v>0</v>
      </c>
      <c r="O336" s="82">
        <f>N336+'BM 001'!O336</f>
        <v>0</v>
      </c>
      <c r="P336" s="80">
        <f t="shared" si="158"/>
        <v>12000.58</v>
      </c>
      <c r="Q336" s="82">
        <f t="shared" si="159"/>
        <v>15211.93</v>
      </c>
      <c r="R336" s="82">
        <f t="shared" si="160"/>
        <v>15211.93</v>
      </c>
    </row>
    <row r="337" spans="2:18" s="34" customFormat="1" ht="13.2">
      <c r="B337" s="66" t="s">
        <v>666</v>
      </c>
      <c r="C337" s="67" t="s">
        <v>667</v>
      </c>
      <c r="D337" s="68"/>
      <c r="E337" s="69"/>
      <c r="F337" s="70"/>
      <c r="G337" s="70"/>
      <c r="H337" s="70"/>
      <c r="I337" s="70">
        <f>SUM(G337:H337)+'BM 001'!I337</f>
        <v>0</v>
      </c>
      <c r="J337" s="70">
        <f t="shared" si="133"/>
        <v>0</v>
      </c>
      <c r="K337" s="71"/>
      <c r="L337" s="71">
        <f t="shared" si="132"/>
        <v>0</v>
      </c>
      <c r="M337" s="73">
        <f t="shared" ref="M337:R337" si="161">SUM(M338:M394)</f>
        <v>0</v>
      </c>
      <c r="N337" s="73">
        <f t="shared" si="161"/>
        <v>0</v>
      </c>
      <c r="O337" s="73">
        <f t="shared" si="161"/>
        <v>0</v>
      </c>
      <c r="P337" s="73">
        <f t="shared" si="161"/>
        <v>49585.86</v>
      </c>
      <c r="Q337" s="73">
        <f t="shared" si="161"/>
        <v>62854.749999999985</v>
      </c>
      <c r="R337" s="73">
        <f t="shared" si="161"/>
        <v>62854.749999999985</v>
      </c>
    </row>
    <row r="338" spans="2:18" s="34" customFormat="1" ht="34.799999999999997">
      <c r="B338" s="75" t="s">
        <v>668</v>
      </c>
      <c r="C338" s="76" t="s">
        <v>669</v>
      </c>
      <c r="D338" s="77" t="s">
        <v>131</v>
      </c>
      <c r="E338" s="93">
        <v>2</v>
      </c>
      <c r="F338" s="79"/>
      <c r="G338" s="79"/>
      <c r="H338" s="79"/>
      <c r="I338" s="79">
        <f>SUM(G338:H338)+'BM 001'!I338</f>
        <v>0</v>
      </c>
      <c r="J338" s="79">
        <f t="shared" si="133"/>
        <v>2</v>
      </c>
      <c r="K338" s="80">
        <v>119</v>
      </c>
      <c r="L338" s="81">
        <f t="shared" si="132"/>
        <v>150.84441309000002</v>
      </c>
      <c r="M338" s="82">
        <f t="shared" ref="M338:M369" si="162">TRUNC(F338*L338,2)</f>
        <v>0</v>
      </c>
      <c r="N338" s="82">
        <f t="shared" ref="N338:N369" si="163">TRUNC(G338*L338,2)</f>
        <v>0</v>
      </c>
      <c r="O338" s="82">
        <f>N338+'BM 001'!O338</f>
        <v>0</v>
      </c>
      <c r="P338" s="80">
        <f t="shared" ref="P338:P369" si="164">E338*K338</f>
        <v>238</v>
      </c>
      <c r="Q338" s="82">
        <f t="shared" ref="Q338:Q369" si="165">TRUNC(E338*L338,2)</f>
        <v>301.68</v>
      </c>
      <c r="R338" s="82">
        <f t="shared" ref="R338:R369" si="166">Q338-O338</f>
        <v>301.68</v>
      </c>
    </row>
    <row r="339" spans="2:18" s="34" customFormat="1" ht="34.799999999999997">
      <c r="B339" s="75" t="s">
        <v>670</v>
      </c>
      <c r="C339" s="76" t="s">
        <v>671</v>
      </c>
      <c r="D339" s="77" t="s">
        <v>131</v>
      </c>
      <c r="E339" s="93">
        <v>12</v>
      </c>
      <c r="F339" s="79"/>
      <c r="G339" s="79"/>
      <c r="H339" s="79"/>
      <c r="I339" s="79">
        <f>SUM(G339:H339)+'BM 001'!I339</f>
        <v>0</v>
      </c>
      <c r="J339" s="79">
        <f t="shared" si="133"/>
        <v>12</v>
      </c>
      <c r="K339" s="80">
        <v>215</v>
      </c>
      <c r="L339" s="81">
        <f t="shared" si="132"/>
        <v>272.53402364999999</v>
      </c>
      <c r="M339" s="82">
        <f t="shared" si="162"/>
        <v>0</v>
      </c>
      <c r="N339" s="82">
        <f t="shared" si="163"/>
        <v>0</v>
      </c>
      <c r="O339" s="82">
        <f>N339+'BM 001'!O339</f>
        <v>0</v>
      </c>
      <c r="P339" s="80">
        <f t="shared" si="164"/>
        <v>2580</v>
      </c>
      <c r="Q339" s="82">
        <f t="shared" si="165"/>
        <v>3270.4</v>
      </c>
      <c r="R339" s="82">
        <f t="shared" si="166"/>
        <v>3270.4</v>
      </c>
    </row>
    <row r="340" spans="2:18" s="34" customFormat="1" ht="23.4">
      <c r="B340" s="75" t="s">
        <v>672</v>
      </c>
      <c r="C340" s="76" t="s">
        <v>673</v>
      </c>
      <c r="D340" s="77" t="s">
        <v>131</v>
      </c>
      <c r="E340" s="93">
        <v>15</v>
      </c>
      <c r="F340" s="79"/>
      <c r="G340" s="79"/>
      <c r="H340" s="79"/>
      <c r="I340" s="79">
        <f>SUM(G340:H340)+'BM 001'!I340</f>
        <v>0</v>
      </c>
      <c r="J340" s="79">
        <f t="shared" si="133"/>
        <v>15</v>
      </c>
      <c r="K340" s="80">
        <v>98</v>
      </c>
      <c r="L340" s="81">
        <f t="shared" si="132"/>
        <v>124.22481078000001</v>
      </c>
      <c r="M340" s="82">
        <f t="shared" si="162"/>
        <v>0</v>
      </c>
      <c r="N340" s="82">
        <f t="shared" si="163"/>
        <v>0</v>
      </c>
      <c r="O340" s="82">
        <f>N340+'BM 001'!O340</f>
        <v>0</v>
      </c>
      <c r="P340" s="80">
        <f t="shared" si="164"/>
        <v>1470</v>
      </c>
      <c r="Q340" s="82">
        <f t="shared" si="165"/>
        <v>1863.37</v>
      </c>
      <c r="R340" s="82">
        <f t="shared" si="166"/>
        <v>1863.37</v>
      </c>
    </row>
    <row r="341" spans="2:18" s="34" customFormat="1" ht="34.799999999999997">
      <c r="B341" s="75" t="s">
        <v>674</v>
      </c>
      <c r="C341" s="76" t="s">
        <v>675</v>
      </c>
      <c r="D341" s="77" t="s">
        <v>131</v>
      </c>
      <c r="E341" s="93">
        <v>5</v>
      </c>
      <c r="F341" s="79"/>
      <c r="G341" s="79"/>
      <c r="H341" s="79"/>
      <c r="I341" s="79">
        <f>SUM(G341:H341)+'BM 001'!I341</f>
        <v>0</v>
      </c>
      <c r="J341" s="79">
        <f t="shared" si="133"/>
        <v>5</v>
      </c>
      <c r="K341" s="80">
        <v>52</v>
      </c>
      <c r="L341" s="81">
        <f t="shared" si="132"/>
        <v>65.915205720000003</v>
      </c>
      <c r="M341" s="82">
        <f t="shared" si="162"/>
        <v>0</v>
      </c>
      <c r="N341" s="82">
        <f t="shared" si="163"/>
        <v>0</v>
      </c>
      <c r="O341" s="82">
        <f>N341+'BM 001'!O341</f>
        <v>0</v>
      </c>
      <c r="P341" s="80">
        <f t="shared" si="164"/>
        <v>260</v>
      </c>
      <c r="Q341" s="82">
        <f t="shared" si="165"/>
        <v>329.57</v>
      </c>
      <c r="R341" s="82">
        <f t="shared" si="166"/>
        <v>329.57</v>
      </c>
    </row>
    <row r="342" spans="2:18" s="34" customFormat="1" ht="23.4">
      <c r="B342" s="75" t="s">
        <v>676</v>
      </c>
      <c r="C342" s="76" t="s">
        <v>677</v>
      </c>
      <c r="D342" s="77" t="s">
        <v>131</v>
      </c>
      <c r="E342" s="93">
        <v>160</v>
      </c>
      <c r="F342" s="79"/>
      <c r="G342" s="79"/>
      <c r="H342" s="79"/>
      <c r="I342" s="79">
        <f>SUM(G342:H342)+'BM 001'!I342</f>
        <v>0</v>
      </c>
      <c r="J342" s="79">
        <f t="shared" si="133"/>
        <v>160</v>
      </c>
      <c r="K342" s="80">
        <v>105.95</v>
      </c>
      <c r="L342" s="81">
        <f t="shared" si="132"/>
        <v>134.30223165450002</v>
      </c>
      <c r="M342" s="82">
        <f t="shared" si="162"/>
        <v>0</v>
      </c>
      <c r="N342" s="82">
        <f t="shared" si="163"/>
        <v>0</v>
      </c>
      <c r="O342" s="82">
        <f>N342+'BM 001'!O342</f>
        <v>0</v>
      </c>
      <c r="P342" s="80">
        <f t="shared" si="164"/>
        <v>16952</v>
      </c>
      <c r="Q342" s="82">
        <f t="shared" si="165"/>
        <v>21488.35</v>
      </c>
      <c r="R342" s="82">
        <f t="shared" si="166"/>
        <v>21488.35</v>
      </c>
    </row>
    <row r="343" spans="2:18" s="34" customFormat="1" ht="13.2">
      <c r="B343" s="75" t="s">
        <v>678</v>
      </c>
      <c r="C343" s="76" t="s">
        <v>679</v>
      </c>
      <c r="D343" s="77" t="s">
        <v>131</v>
      </c>
      <c r="E343" s="93">
        <v>11</v>
      </c>
      <c r="F343" s="79"/>
      <c r="G343" s="79"/>
      <c r="H343" s="79"/>
      <c r="I343" s="79">
        <f>SUM(G343:H343)+'BM 001'!I343</f>
        <v>0</v>
      </c>
      <c r="J343" s="79">
        <f t="shared" si="133"/>
        <v>11</v>
      </c>
      <c r="K343" s="80">
        <v>485</v>
      </c>
      <c r="L343" s="81">
        <f t="shared" si="132"/>
        <v>614.78605334999997</v>
      </c>
      <c r="M343" s="82">
        <f t="shared" si="162"/>
        <v>0</v>
      </c>
      <c r="N343" s="82">
        <f t="shared" si="163"/>
        <v>0</v>
      </c>
      <c r="O343" s="82">
        <f>N343+'BM 001'!O343</f>
        <v>0</v>
      </c>
      <c r="P343" s="80">
        <f t="shared" si="164"/>
        <v>5335</v>
      </c>
      <c r="Q343" s="82">
        <f t="shared" si="165"/>
        <v>6762.64</v>
      </c>
      <c r="R343" s="82">
        <f t="shared" si="166"/>
        <v>6762.64</v>
      </c>
    </row>
    <row r="344" spans="2:18" s="34" customFormat="1" ht="34.799999999999997">
      <c r="B344" s="75" t="s">
        <v>680</v>
      </c>
      <c r="C344" s="88" t="s">
        <v>681</v>
      </c>
      <c r="D344" s="89" t="s">
        <v>131</v>
      </c>
      <c r="E344" s="90">
        <v>3</v>
      </c>
      <c r="F344" s="91"/>
      <c r="G344" s="91"/>
      <c r="H344" s="91"/>
      <c r="I344" s="91">
        <f>SUM(G344:H344)+'BM 001'!I344</f>
        <v>0</v>
      </c>
      <c r="J344" s="91">
        <f t="shared" si="133"/>
        <v>3</v>
      </c>
      <c r="K344" s="80">
        <v>165</v>
      </c>
      <c r="L344" s="81">
        <f t="shared" si="132"/>
        <v>209.15401815000001</v>
      </c>
      <c r="M344" s="82">
        <f t="shared" si="162"/>
        <v>0</v>
      </c>
      <c r="N344" s="82">
        <f t="shared" si="163"/>
        <v>0</v>
      </c>
      <c r="O344" s="82">
        <f>N344+'BM 001'!O344</f>
        <v>0</v>
      </c>
      <c r="P344" s="80">
        <f t="shared" si="164"/>
        <v>495</v>
      </c>
      <c r="Q344" s="82">
        <f t="shared" si="165"/>
        <v>627.46</v>
      </c>
      <c r="R344" s="82">
        <f t="shared" si="166"/>
        <v>627.46</v>
      </c>
    </row>
    <row r="345" spans="2:18" s="34" customFormat="1" ht="23.4">
      <c r="B345" s="75" t="s">
        <v>682</v>
      </c>
      <c r="C345" s="88" t="s">
        <v>683</v>
      </c>
      <c r="D345" s="89" t="s">
        <v>131</v>
      </c>
      <c r="E345" s="90">
        <v>1</v>
      </c>
      <c r="F345" s="91"/>
      <c r="G345" s="91"/>
      <c r="H345" s="91"/>
      <c r="I345" s="91">
        <f>SUM(G345:H345)+'BM 001'!I345</f>
        <v>0</v>
      </c>
      <c r="J345" s="91">
        <f t="shared" si="133"/>
        <v>1</v>
      </c>
      <c r="K345" s="80">
        <v>169</v>
      </c>
      <c r="L345" s="81">
        <f t="shared" si="132"/>
        <v>214.22441859</v>
      </c>
      <c r="M345" s="82">
        <f t="shared" si="162"/>
        <v>0</v>
      </c>
      <c r="N345" s="82">
        <f t="shared" si="163"/>
        <v>0</v>
      </c>
      <c r="O345" s="82">
        <f>N345+'BM 001'!O345</f>
        <v>0</v>
      </c>
      <c r="P345" s="80">
        <f t="shared" si="164"/>
        <v>169</v>
      </c>
      <c r="Q345" s="82">
        <f t="shared" si="165"/>
        <v>214.22</v>
      </c>
      <c r="R345" s="82">
        <f t="shared" si="166"/>
        <v>214.22</v>
      </c>
    </row>
    <row r="346" spans="2:18" s="34" customFormat="1" ht="23.4">
      <c r="B346" s="75" t="s">
        <v>684</v>
      </c>
      <c r="C346" s="88" t="s">
        <v>685</v>
      </c>
      <c r="D346" s="89" t="s">
        <v>131</v>
      </c>
      <c r="E346" s="90">
        <v>1</v>
      </c>
      <c r="F346" s="91"/>
      <c r="G346" s="91"/>
      <c r="H346" s="91"/>
      <c r="I346" s="91">
        <f>SUM(G346:H346)+'BM 001'!I346</f>
        <v>0</v>
      </c>
      <c r="J346" s="91">
        <f t="shared" si="133"/>
        <v>1</v>
      </c>
      <c r="K346" s="80">
        <v>99</v>
      </c>
      <c r="L346" s="81">
        <f t="shared" si="132"/>
        <v>125.49241089</v>
      </c>
      <c r="M346" s="82">
        <f t="shared" si="162"/>
        <v>0</v>
      </c>
      <c r="N346" s="82">
        <f t="shared" si="163"/>
        <v>0</v>
      </c>
      <c r="O346" s="82">
        <f>N346+'BM 001'!O346</f>
        <v>0</v>
      </c>
      <c r="P346" s="80">
        <f t="shared" si="164"/>
        <v>99</v>
      </c>
      <c r="Q346" s="82">
        <f t="shared" si="165"/>
        <v>125.49</v>
      </c>
      <c r="R346" s="82">
        <f t="shared" si="166"/>
        <v>125.49</v>
      </c>
    </row>
    <row r="347" spans="2:18" s="34" customFormat="1" ht="23.4">
      <c r="B347" s="75" t="s">
        <v>686</v>
      </c>
      <c r="C347" s="88" t="s">
        <v>687</v>
      </c>
      <c r="D347" s="89" t="s">
        <v>131</v>
      </c>
      <c r="E347" s="90">
        <v>1</v>
      </c>
      <c r="F347" s="91"/>
      <c r="G347" s="91"/>
      <c r="H347" s="91"/>
      <c r="I347" s="91">
        <f>SUM(G347:H347)+'BM 001'!I347</f>
        <v>0</v>
      </c>
      <c r="J347" s="91">
        <f t="shared" si="133"/>
        <v>1</v>
      </c>
      <c r="K347" s="80">
        <v>265</v>
      </c>
      <c r="L347" s="81">
        <f t="shared" si="132"/>
        <v>335.91402915000003</v>
      </c>
      <c r="M347" s="82">
        <f t="shared" si="162"/>
        <v>0</v>
      </c>
      <c r="N347" s="82">
        <f t="shared" si="163"/>
        <v>0</v>
      </c>
      <c r="O347" s="82">
        <f>N347+'BM 001'!O347</f>
        <v>0</v>
      </c>
      <c r="P347" s="80">
        <f t="shared" si="164"/>
        <v>265</v>
      </c>
      <c r="Q347" s="82">
        <f t="shared" si="165"/>
        <v>335.91</v>
      </c>
      <c r="R347" s="82">
        <f t="shared" si="166"/>
        <v>335.91</v>
      </c>
    </row>
    <row r="348" spans="2:18" s="34" customFormat="1" ht="46.2">
      <c r="B348" s="75" t="s">
        <v>688</v>
      </c>
      <c r="C348" s="88" t="s">
        <v>689</v>
      </c>
      <c r="D348" s="89" t="s">
        <v>131</v>
      </c>
      <c r="E348" s="90">
        <v>16</v>
      </c>
      <c r="F348" s="91"/>
      <c r="G348" s="91"/>
      <c r="H348" s="91"/>
      <c r="I348" s="91">
        <f>SUM(G348:H348)+'BM 001'!I348</f>
        <v>0</v>
      </c>
      <c r="J348" s="91">
        <f t="shared" si="133"/>
        <v>16</v>
      </c>
      <c r="K348" s="80">
        <v>9.8000000000000007</v>
      </c>
      <c r="L348" s="81">
        <f t="shared" si="132"/>
        <v>12.422481078000002</v>
      </c>
      <c r="M348" s="82">
        <f t="shared" si="162"/>
        <v>0</v>
      </c>
      <c r="N348" s="82">
        <f t="shared" si="163"/>
        <v>0</v>
      </c>
      <c r="O348" s="82">
        <f>N348+'BM 001'!O348</f>
        <v>0</v>
      </c>
      <c r="P348" s="80">
        <f t="shared" si="164"/>
        <v>156.80000000000001</v>
      </c>
      <c r="Q348" s="82">
        <f t="shared" si="165"/>
        <v>198.75</v>
      </c>
      <c r="R348" s="82">
        <f t="shared" si="166"/>
        <v>198.75</v>
      </c>
    </row>
    <row r="349" spans="2:18" s="34" customFormat="1" ht="46.2">
      <c r="B349" s="75" t="s">
        <v>690</v>
      </c>
      <c r="C349" s="88" t="s">
        <v>691</v>
      </c>
      <c r="D349" s="89" t="s">
        <v>131</v>
      </c>
      <c r="E349" s="90">
        <v>4</v>
      </c>
      <c r="F349" s="91"/>
      <c r="G349" s="91"/>
      <c r="H349" s="91"/>
      <c r="I349" s="91">
        <f>SUM(G349:H349)+'BM 001'!I349</f>
        <v>0</v>
      </c>
      <c r="J349" s="91">
        <f t="shared" si="133"/>
        <v>4</v>
      </c>
      <c r="K349" s="80">
        <v>12.5</v>
      </c>
      <c r="L349" s="81">
        <f t="shared" ref="L349:L412" si="167">K349*(1+$T$26)</f>
        <v>15.845001375000001</v>
      </c>
      <c r="M349" s="82">
        <f t="shared" si="162"/>
        <v>0</v>
      </c>
      <c r="N349" s="82">
        <f t="shared" si="163"/>
        <v>0</v>
      </c>
      <c r="O349" s="82">
        <f>N349+'BM 001'!O349</f>
        <v>0</v>
      </c>
      <c r="P349" s="80">
        <f t="shared" si="164"/>
        <v>50</v>
      </c>
      <c r="Q349" s="82">
        <f t="shared" si="165"/>
        <v>63.38</v>
      </c>
      <c r="R349" s="82">
        <f t="shared" si="166"/>
        <v>63.38</v>
      </c>
    </row>
    <row r="350" spans="2:18" s="34" customFormat="1" ht="46.2">
      <c r="B350" s="75" t="s">
        <v>692</v>
      </c>
      <c r="C350" s="88" t="s">
        <v>693</v>
      </c>
      <c r="D350" s="89" t="s">
        <v>131</v>
      </c>
      <c r="E350" s="90">
        <v>2</v>
      </c>
      <c r="F350" s="91"/>
      <c r="G350" s="91"/>
      <c r="H350" s="91"/>
      <c r="I350" s="91">
        <f>SUM(G350:H350)+'BM 001'!I350</f>
        <v>0</v>
      </c>
      <c r="J350" s="91">
        <f t="shared" si="133"/>
        <v>2</v>
      </c>
      <c r="K350" s="80">
        <v>28</v>
      </c>
      <c r="L350" s="81">
        <f t="shared" si="167"/>
        <v>35.492803080000002</v>
      </c>
      <c r="M350" s="82">
        <f t="shared" si="162"/>
        <v>0</v>
      </c>
      <c r="N350" s="82">
        <f t="shared" si="163"/>
        <v>0</v>
      </c>
      <c r="O350" s="82">
        <f>N350+'BM 001'!O350</f>
        <v>0</v>
      </c>
      <c r="P350" s="80">
        <f t="shared" si="164"/>
        <v>56</v>
      </c>
      <c r="Q350" s="82">
        <f t="shared" si="165"/>
        <v>70.98</v>
      </c>
      <c r="R350" s="82">
        <f t="shared" si="166"/>
        <v>70.98</v>
      </c>
    </row>
    <row r="351" spans="2:18" s="34" customFormat="1" ht="46.2">
      <c r="B351" s="75" t="s">
        <v>694</v>
      </c>
      <c r="C351" s="88" t="s">
        <v>695</v>
      </c>
      <c r="D351" s="89" t="s">
        <v>131</v>
      </c>
      <c r="E351" s="90">
        <v>30</v>
      </c>
      <c r="F351" s="91"/>
      <c r="G351" s="91"/>
      <c r="H351" s="91"/>
      <c r="I351" s="91">
        <f>SUM(G351:H351)+'BM 001'!I351</f>
        <v>0</v>
      </c>
      <c r="J351" s="91">
        <f t="shared" ref="J351:J414" si="168">E351-I351</f>
        <v>30</v>
      </c>
      <c r="K351" s="80">
        <v>38</v>
      </c>
      <c r="L351" s="81">
        <f t="shared" si="167"/>
        <v>48.168804180000002</v>
      </c>
      <c r="M351" s="82">
        <f t="shared" si="162"/>
        <v>0</v>
      </c>
      <c r="N351" s="82">
        <f t="shared" si="163"/>
        <v>0</v>
      </c>
      <c r="O351" s="82">
        <f>N351+'BM 001'!O351</f>
        <v>0</v>
      </c>
      <c r="P351" s="80">
        <f t="shared" si="164"/>
        <v>1140</v>
      </c>
      <c r="Q351" s="82">
        <f t="shared" si="165"/>
        <v>1445.06</v>
      </c>
      <c r="R351" s="82">
        <f t="shared" si="166"/>
        <v>1445.06</v>
      </c>
    </row>
    <row r="352" spans="2:18" s="34" customFormat="1" ht="34.799999999999997">
      <c r="B352" s="75" t="s">
        <v>696</v>
      </c>
      <c r="C352" s="88" t="s">
        <v>697</v>
      </c>
      <c r="D352" s="89" t="s">
        <v>131</v>
      </c>
      <c r="E352" s="90">
        <v>320</v>
      </c>
      <c r="F352" s="91"/>
      <c r="G352" s="91"/>
      <c r="H352" s="91"/>
      <c r="I352" s="91">
        <f>SUM(G352:H352)+'BM 001'!I352</f>
        <v>0</v>
      </c>
      <c r="J352" s="91">
        <f t="shared" si="168"/>
        <v>320</v>
      </c>
      <c r="K352" s="80">
        <v>5.33</v>
      </c>
      <c r="L352" s="81">
        <f t="shared" si="167"/>
        <v>6.7563085863000003</v>
      </c>
      <c r="M352" s="82">
        <f t="shared" si="162"/>
        <v>0</v>
      </c>
      <c r="N352" s="82">
        <f t="shared" si="163"/>
        <v>0</v>
      </c>
      <c r="O352" s="82">
        <f>N352+'BM 001'!O352</f>
        <v>0</v>
      </c>
      <c r="P352" s="80">
        <f t="shared" si="164"/>
        <v>1705.6</v>
      </c>
      <c r="Q352" s="82">
        <f t="shared" si="165"/>
        <v>2162.0100000000002</v>
      </c>
      <c r="R352" s="82">
        <f t="shared" si="166"/>
        <v>2162.0100000000002</v>
      </c>
    </row>
    <row r="353" spans="2:18" s="34" customFormat="1" ht="23.4">
      <c r="B353" s="75" t="s">
        <v>698</v>
      </c>
      <c r="C353" s="88" t="s">
        <v>699</v>
      </c>
      <c r="D353" s="89" t="s">
        <v>131</v>
      </c>
      <c r="E353" s="90">
        <v>12</v>
      </c>
      <c r="F353" s="91"/>
      <c r="G353" s="91"/>
      <c r="H353" s="91"/>
      <c r="I353" s="91">
        <f>SUM(G353:H353)+'BM 001'!I353</f>
        <v>0</v>
      </c>
      <c r="J353" s="91">
        <f t="shared" si="168"/>
        <v>12</v>
      </c>
      <c r="K353" s="80">
        <v>4.92</v>
      </c>
      <c r="L353" s="81">
        <f t="shared" si="167"/>
        <v>6.2365925412000003</v>
      </c>
      <c r="M353" s="82">
        <f t="shared" si="162"/>
        <v>0</v>
      </c>
      <c r="N353" s="82">
        <f t="shared" si="163"/>
        <v>0</v>
      </c>
      <c r="O353" s="82">
        <f>N353+'BM 001'!O353</f>
        <v>0</v>
      </c>
      <c r="P353" s="80">
        <f t="shared" si="164"/>
        <v>59.04</v>
      </c>
      <c r="Q353" s="82">
        <f t="shared" si="165"/>
        <v>74.83</v>
      </c>
      <c r="R353" s="82">
        <f t="shared" si="166"/>
        <v>74.83</v>
      </c>
    </row>
    <row r="354" spans="2:18" s="34" customFormat="1" ht="23.4">
      <c r="B354" s="75" t="s">
        <v>700</v>
      </c>
      <c r="C354" s="88" t="s">
        <v>701</v>
      </c>
      <c r="D354" s="89" t="s">
        <v>131</v>
      </c>
      <c r="E354" s="90">
        <v>1</v>
      </c>
      <c r="F354" s="91"/>
      <c r="G354" s="91"/>
      <c r="H354" s="91"/>
      <c r="I354" s="91">
        <f>SUM(G354:H354)+'BM 001'!I354</f>
        <v>0</v>
      </c>
      <c r="J354" s="91">
        <f t="shared" si="168"/>
        <v>1</v>
      </c>
      <c r="K354" s="80">
        <v>5.49</v>
      </c>
      <c r="L354" s="81">
        <f t="shared" si="167"/>
        <v>6.9591246039000003</v>
      </c>
      <c r="M354" s="82">
        <f t="shared" si="162"/>
        <v>0</v>
      </c>
      <c r="N354" s="82">
        <f t="shared" si="163"/>
        <v>0</v>
      </c>
      <c r="O354" s="82">
        <f>N354+'BM 001'!O354</f>
        <v>0</v>
      </c>
      <c r="P354" s="80">
        <f t="shared" si="164"/>
        <v>5.49</v>
      </c>
      <c r="Q354" s="82">
        <f t="shared" si="165"/>
        <v>6.95</v>
      </c>
      <c r="R354" s="82">
        <f t="shared" si="166"/>
        <v>6.95</v>
      </c>
    </row>
    <row r="355" spans="2:18" s="34" customFormat="1" ht="23.4">
      <c r="B355" s="75" t="s">
        <v>702</v>
      </c>
      <c r="C355" s="88" t="s">
        <v>703</v>
      </c>
      <c r="D355" s="89" t="s">
        <v>131</v>
      </c>
      <c r="E355" s="90">
        <v>1</v>
      </c>
      <c r="F355" s="91"/>
      <c r="G355" s="91"/>
      <c r="H355" s="91"/>
      <c r="I355" s="91">
        <f>SUM(G355:H355)+'BM 001'!I355</f>
        <v>0</v>
      </c>
      <c r="J355" s="91">
        <f t="shared" si="168"/>
        <v>1</v>
      </c>
      <c r="K355" s="80">
        <v>8.5</v>
      </c>
      <c r="L355" s="81">
        <f t="shared" si="167"/>
        <v>10.774600935</v>
      </c>
      <c r="M355" s="82">
        <f t="shared" si="162"/>
        <v>0</v>
      </c>
      <c r="N355" s="82">
        <f t="shared" si="163"/>
        <v>0</v>
      </c>
      <c r="O355" s="82">
        <f>N355+'BM 001'!O355</f>
        <v>0</v>
      </c>
      <c r="P355" s="80">
        <f t="shared" si="164"/>
        <v>8.5</v>
      </c>
      <c r="Q355" s="82">
        <f t="shared" si="165"/>
        <v>10.77</v>
      </c>
      <c r="R355" s="82">
        <f t="shared" si="166"/>
        <v>10.77</v>
      </c>
    </row>
    <row r="356" spans="2:18" s="34" customFormat="1" ht="23.4">
      <c r="B356" s="75" t="s">
        <v>704</v>
      </c>
      <c r="C356" s="88" t="s">
        <v>705</v>
      </c>
      <c r="D356" s="89" t="s">
        <v>131</v>
      </c>
      <c r="E356" s="90">
        <v>1</v>
      </c>
      <c r="F356" s="91"/>
      <c r="G356" s="91"/>
      <c r="H356" s="91"/>
      <c r="I356" s="91">
        <f>SUM(G356:H356)+'BM 001'!I356</f>
        <v>0</v>
      </c>
      <c r="J356" s="91">
        <f t="shared" si="168"/>
        <v>1</v>
      </c>
      <c r="K356" s="80">
        <v>14.47</v>
      </c>
      <c r="L356" s="81">
        <f t="shared" si="167"/>
        <v>18.3421735917</v>
      </c>
      <c r="M356" s="82">
        <f t="shared" si="162"/>
        <v>0</v>
      </c>
      <c r="N356" s="82">
        <f t="shared" si="163"/>
        <v>0</v>
      </c>
      <c r="O356" s="82">
        <f>N356+'BM 001'!O356</f>
        <v>0</v>
      </c>
      <c r="P356" s="80">
        <f t="shared" si="164"/>
        <v>14.47</v>
      </c>
      <c r="Q356" s="82">
        <f t="shared" si="165"/>
        <v>18.34</v>
      </c>
      <c r="R356" s="82">
        <f t="shared" si="166"/>
        <v>18.34</v>
      </c>
    </row>
    <row r="357" spans="2:18" s="34" customFormat="1" ht="23.4">
      <c r="B357" s="75" t="s">
        <v>706</v>
      </c>
      <c r="C357" s="88" t="s">
        <v>707</v>
      </c>
      <c r="D357" s="89" t="s">
        <v>131</v>
      </c>
      <c r="E357" s="90">
        <v>4</v>
      </c>
      <c r="F357" s="91"/>
      <c r="G357" s="91"/>
      <c r="H357" s="91"/>
      <c r="I357" s="91">
        <f>SUM(G357:H357)+'BM 001'!I357</f>
        <v>0</v>
      </c>
      <c r="J357" s="91">
        <f t="shared" si="168"/>
        <v>4</v>
      </c>
      <c r="K357" s="80">
        <v>31.9</v>
      </c>
      <c r="L357" s="81">
        <f t="shared" si="167"/>
        <v>40.436443509</v>
      </c>
      <c r="M357" s="82">
        <f t="shared" si="162"/>
        <v>0</v>
      </c>
      <c r="N357" s="82">
        <f t="shared" si="163"/>
        <v>0</v>
      </c>
      <c r="O357" s="82">
        <f>N357+'BM 001'!O357</f>
        <v>0</v>
      </c>
      <c r="P357" s="80">
        <f t="shared" si="164"/>
        <v>127.6</v>
      </c>
      <c r="Q357" s="82">
        <f t="shared" si="165"/>
        <v>161.74</v>
      </c>
      <c r="R357" s="82">
        <f t="shared" si="166"/>
        <v>161.74</v>
      </c>
    </row>
    <row r="358" spans="2:18" s="34" customFormat="1" ht="23.4">
      <c r="B358" s="75" t="s">
        <v>708</v>
      </c>
      <c r="C358" s="88" t="s">
        <v>709</v>
      </c>
      <c r="D358" s="89" t="s">
        <v>131</v>
      </c>
      <c r="E358" s="90">
        <v>1</v>
      </c>
      <c r="F358" s="91"/>
      <c r="G358" s="91"/>
      <c r="H358" s="91"/>
      <c r="I358" s="91">
        <f>SUM(G358:H358)+'BM 001'!I358</f>
        <v>0</v>
      </c>
      <c r="J358" s="91">
        <f t="shared" si="168"/>
        <v>1</v>
      </c>
      <c r="K358" s="80">
        <v>11.22</v>
      </c>
      <c r="L358" s="81">
        <f t="shared" si="167"/>
        <v>14.222473234200001</v>
      </c>
      <c r="M358" s="82">
        <f t="shared" si="162"/>
        <v>0</v>
      </c>
      <c r="N358" s="82">
        <f t="shared" si="163"/>
        <v>0</v>
      </c>
      <c r="O358" s="82">
        <f>N358+'BM 001'!O358</f>
        <v>0</v>
      </c>
      <c r="P358" s="80">
        <f t="shared" si="164"/>
        <v>11.22</v>
      </c>
      <c r="Q358" s="82">
        <f t="shared" si="165"/>
        <v>14.22</v>
      </c>
      <c r="R358" s="82">
        <f t="shared" si="166"/>
        <v>14.22</v>
      </c>
    </row>
    <row r="359" spans="2:18" s="34" customFormat="1" ht="23.4">
      <c r="B359" s="75" t="s">
        <v>710</v>
      </c>
      <c r="C359" s="88" t="s">
        <v>711</v>
      </c>
      <c r="D359" s="89" t="s">
        <v>131</v>
      </c>
      <c r="E359" s="90">
        <v>57</v>
      </c>
      <c r="F359" s="91"/>
      <c r="G359" s="91"/>
      <c r="H359" s="91"/>
      <c r="I359" s="91">
        <f>SUM(G359:H359)+'BM 001'!I359</f>
        <v>0</v>
      </c>
      <c r="J359" s="91">
        <f t="shared" si="168"/>
        <v>57</v>
      </c>
      <c r="K359" s="80">
        <v>14.54</v>
      </c>
      <c r="L359" s="81">
        <f t="shared" si="167"/>
        <v>18.430905599399999</v>
      </c>
      <c r="M359" s="82">
        <f t="shared" si="162"/>
        <v>0</v>
      </c>
      <c r="N359" s="82">
        <f t="shared" si="163"/>
        <v>0</v>
      </c>
      <c r="O359" s="82">
        <f>N359+'BM 001'!O359</f>
        <v>0</v>
      </c>
      <c r="P359" s="80">
        <f t="shared" si="164"/>
        <v>828.78</v>
      </c>
      <c r="Q359" s="82">
        <f t="shared" si="165"/>
        <v>1050.56</v>
      </c>
      <c r="R359" s="82">
        <f t="shared" si="166"/>
        <v>1050.56</v>
      </c>
    </row>
    <row r="360" spans="2:18" s="34" customFormat="1" ht="23.4">
      <c r="B360" s="75" t="s">
        <v>712</v>
      </c>
      <c r="C360" s="88" t="s">
        <v>713</v>
      </c>
      <c r="D360" s="89" t="s">
        <v>131</v>
      </c>
      <c r="E360" s="90">
        <v>1</v>
      </c>
      <c r="F360" s="91"/>
      <c r="G360" s="91"/>
      <c r="H360" s="91"/>
      <c r="I360" s="91">
        <f>SUM(G360:H360)+'BM 001'!I360</f>
        <v>0</v>
      </c>
      <c r="J360" s="91">
        <f t="shared" si="168"/>
        <v>1</v>
      </c>
      <c r="K360" s="80">
        <v>16.8</v>
      </c>
      <c r="L360" s="81">
        <f t="shared" si="167"/>
        <v>21.295681848000001</v>
      </c>
      <c r="M360" s="82">
        <f t="shared" si="162"/>
        <v>0</v>
      </c>
      <c r="N360" s="82">
        <f t="shared" si="163"/>
        <v>0</v>
      </c>
      <c r="O360" s="82">
        <f>N360+'BM 001'!O360</f>
        <v>0</v>
      </c>
      <c r="P360" s="80">
        <f t="shared" si="164"/>
        <v>16.8</v>
      </c>
      <c r="Q360" s="82">
        <f t="shared" si="165"/>
        <v>21.29</v>
      </c>
      <c r="R360" s="82">
        <f t="shared" si="166"/>
        <v>21.29</v>
      </c>
    </row>
    <row r="361" spans="2:18" s="34" customFormat="1" ht="34.799999999999997">
      <c r="B361" s="75" t="s">
        <v>714</v>
      </c>
      <c r="C361" s="88" t="s">
        <v>715</v>
      </c>
      <c r="D361" s="89" t="s">
        <v>131</v>
      </c>
      <c r="E361" s="90">
        <v>1</v>
      </c>
      <c r="F361" s="91"/>
      <c r="G361" s="91"/>
      <c r="H361" s="91"/>
      <c r="I361" s="91">
        <f>SUM(G361:H361)+'BM 001'!I361</f>
        <v>0</v>
      </c>
      <c r="J361" s="91">
        <f t="shared" si="168"/>
        <v>1</v>
      </c>
      <c r="K361" s="80">
        <v>25</v>
      </c>
      <c r="L361" s="81">
        <f t="shared" si="167"/>
        <v>31.690002750000001</v>
      </c>
      <c r="M361" s="82">
        <f t="shared" si="162"/>
        <v>0</v>
      </c>
      <c r="N361" s="82">
        <f t="shared" si="163"/>
        <v>0</v>
      </c>
      <c r="O361" s="82">
        <f>N361+'BM 001'!O361</f>
        <v>0</v>
      </c>
      <c r="P361" s="80">
        <f t="shared" si="164"/>
        <v>25</v>
      </c>
      <c r="Q361" s="82">
        <f t="shared" si="165"/>
        <v>31.69</v>
      </c>
      <c r="R361" s="82">
        <f t="shared" si="166"/>
        <v>31.69</v>
      </c>
    </row>
    <row r="362" spans="2:18" s="34" customFormat="1" ht="23.4">
      <c r="B362" s="75" t="s">
        <v>716</v>
      </c>
      <c r="C362" s="88" t="s">
        <v>717</v>
      </c>
      <c r="D362" s="89" t="s">
        <v>131</v>
      </c>
      <c r="E362" s="90">
        <v>24</v>
      </c>
      <c r="F362" s="91"/>
      <c r="G362" s="91"/>
      <c r="H362" s="91"/>
      <c r="I362" s="91">
        <f>SUM(G362:H362)+'BM 001'!I362</f>
        <v>0</v>
      </c>
      <c r="J362" s="91">
        <f t="shared" si="168"/>
        <v>24</v>
      </c>
      <c r="K362" s="80">
        <v>5.37</v>
      </c>
      <c r="L362" s="81">
        <f t="shared" si="167"/>
        <v>6.8070125907000003</v>
      </c>
      <c r="M362" s="82">
        <f t="shared" si="162"/>
        <v>0</v>
      </c>
      <c r="N362" s="82">
        <f t="shared" si="163"/>
        <v>0</v>
      </c>
      <c r="O362" s="82">
        <f>N362+'BM 001'!O362</f>
        <v>0</v>
      </c>
      <c r="P362" s="80">
        <f t="shared" si="164"/>
        <v>128.88</v>
      </c>
      <c r="Q362" s="82">
        <f t="shared" si="165"/>
        <v>163.36000000000001</v>
      </c>
      <c r="R362" s="82">
        <f t="shared" si="166"/>
        <v>163.36000000000001</v>
      </c>
    </row>
    <row r="363" spans="2:18" s="34" customFormat="1" ht="23.4">
      <c r="B363" s="75" t="s">
        <v>718</v>
      </c>
      <c r="C363" s="88" t="s">
        <v>719</v>
      </c>
      <c r="D363" s="89" t="s">
        <v>131</v>
      </c>
      <c r="E363" s="90">
        <v>2</v>
      </c>
      <c r="F363" s="91"/>
      <c r="G363" s="91"/>
      <c r="H363" s="91"/>
      <c r="I363" s="91">
        <f>SUM(G363:H363)+'BM 001'!I363</f>
        <v>0</v>
      </c>
      <c r="J363" s="91">
        <f t="shared" si="168"/>
        <v>2</v>
      </c>
      <c r="K363" s="80">
        <v>8.76</v>
      </c>
      <c r="L363" s="81">
        <f t="shared" si="167"/>
        <v>11.104176963600001</v>
      </c>
      <c r="M363" s="82">
        <f t="shared" si="162"/>
        <v>0</v>
      </c>
      <c r="N363" s="82">
        <f t="shared" si="163"/>
        <v>0</v>
      </c>
      <c r="O363" s="82">
        <f>N363+'BM 001'!O363</f>
        <v>0</v>
      </c>
      <c r="P363" s="80">
        <f t="shared" si="164"/>
        <v>17.52</v>
      </c>
      <c r="Q363" s="82">
        <f t="shared" si="165"/>
        <v>22.2</v>
      </c>
      <c r="R363" s="82">
        <f t="shared" si="166"/>
        <v>22.2</v>
      </c>
    </row>
    <row r="364" spans="2:18" s="34" customFormat="1" ht="23.4">
      <c r="B364" s="75" t="s">
        <v>720</v>
      </c>
      <c r="C364" s="88" t="s">
        <v>721</v>
      </c>
      <c r="D364" s="89" t="s">
        <v>131</v>
      </c>
      <c r="E364" s="90">
        <v>4</v>
      </c>
      <c r="F364" s="91"/>
      <c r="G364" s="91"/>
      <c r="H364" s="91"/>
      <c r="I364" s="91">
        <f>SUM(G364:H364)+'BM 001'!I364</f>
        <v>0</v>
      </c>
      <c r="J364" s="91">
        <f t="shared" si="168"/>
        <v>4</v>
      </c>
      <c r="K364" s="80">
        <v>11.55</v>
      </c>
      <c r="L364" s="81">
        <f t="shared" si="167"/>
        <v>14.640781270500002</v>
      </c>
      <c r="M364" s="82">
        <f t="shared" si="162"/>
        <v>0</v>
      </c>
      <c r="N364" s="82">
        <f t="shared" si="163"/>
        <v>0</v>
      </c>
      <c r="O364" s="82">
        <f>N364+'BM 001'!O364</f>
        <v>0</v>
      </c>
      <c r="P364" s="80">
        <f t="shared" si="164"/>
        <v>46.2</v>
      </c>
      <c r="Q364" s="82">
        <f t="shared" si="165"/>
        <v>58.56</v>
      </c>
      <c r="R364" s="82">
        <f t="shared" si="166"/>
        <v>58.56</v>
      </c>
    </row>
    <row r="365" spans="2:18" s="34" customFormat="1" ht="34.799999999999997">
      <c r="B365" s="75" t="s">
        <v>722</v>
      </c>
      <c r="C365" s="88" t="s">
        <v>723</v>
      </c>
      <c r="D365" s="89" t="s">
        <v>131</v>
      </c>
      <c r="E365" s="90">
        <v>2</v>
      </c>
      <c r="F365" s="91"/>
      <c r="G365" s="91"/>
      <c r="H365" s="91"/>
      <c r="I365" s="91">
        <f>SUM(G365:H365)+'BM 001'!I365</f>
        <v>0</v>
      </c>
      <c r="J365" s="91">
        <f t="shared" si="168"/>
        <v>2</v>
      </c>
      <c r="K365" s="80">
        <v>34.32</v>
      </c>
      <c r="L365" s="81">
        <f t="shared" si="167"/>
        <v>43.504035775200002</v>
      </c>
      <c r="M365" s="82">
        <f t="shared" si="162"/>
        <v>0</v>
      </c>
      <c r="N365" s="82">
        <f t="shared" si="163"/>
        <v>0</v>
      </c>
      <c r="O365" s="82">
        <f>N365+'BM 001'!O365</f>
        <v>0</v>
      </c>
      <c r="P365" s="80">
        <f t="shared" si="164"/>
        <v>68.64</v>
      </c>
      <c r="Q365" s="82">
        <f t="shared" si="165"/>
        <v>87</v>
      </c>
      <c r="R365" s="82">
        <f t="shared" si="166"/>
        <v>87</v>
      </c>
    </row>
    <row r="366" spans="2:18" s="34" customFormat="1" ht="23.4">
      <c r="B366" s="75" t="s">
        <v>724</v>
      </c>
      <c r="C366" s="88" t="s">
        <v>725</v>
      </c>
      <c r="D366" s="89" t="s">
        <v>131</v>
      </c>
      <c r="E366" s="90">
        <v>3</v>
      </c>
      <c r="F366" s="91"/>
      <c r="G366" s="91"/>
      <c r="H366" s="91"/>
      <c r="I366" s="91">
        <f>SUM(G366:H366)+'BM 001'!I366</f>
        <v>0</v>
      </c>
      <c r="J366" s="91">
        <f t="shared" si="168"/>
        <v>3</v>
      </c>
      <c r="K366" s="80">
        <v>71.75</v>
      </c>
      <c r="L366" s="81">
        <f t="shared" si="167"/>
        <v>90.950307892500007</v>
      </c>
      <c r="M366" s="82">
        <f t="shared" si="162"/>
        <v>0</v>
      </c>
      <c r="N366" s="82">
        <f t="shared" si="163"/>
        <v>0</v>
      </c>
      <c r="O366" s="82">
        <f>N366+'BM 001'!O366</f>
        <v>0</v>
      </c>
      <c r="P366" s="80">
        <f t="shared" si="164"/>
        <v>215.25</v>
      </c>
      <c r="Q366" s="82">
        <f t="shared" si="165"/>
        <v>272.85000000000002</v>
      </c>
      <c r="R366" s="82">
        <f t="shared" si="166"/>
        <v>272.85000000000002</v>
      </c>
    </row>
    <row r="367" spans="2:18" s="34" customFormat="1" ht="34.799999999999997">
      <c r="B367" s="75" t="s">
        <v>726</v>
      </c>
      <c r="C367" s="88" t="s">
        <v>727</v>
      </c>
      <c r="D367" s="89" t="s">
        <v>131</v>
      </c>
      <c r="E367" s="90">
        <v>1</v>
      </c>
      <c r="F367" s="91"/>
      <c r="G367" s="91"/>
      <c r="H367" s="91"/>
      <c r="I367" s="91">
        <f>SUM(G367:H367)+'BM 001'!I367</f>
        <v>0</v>
      </c>
      <c r="J367" s="91">
        <f t="shared" si="168"/>
        <v>1</v>
      </c>
      <c r="K367" s="80">
        <v>14.38</v>
      </c>
      <c r="L367" s="81">
        <f t="shared" si="167"/>
        <v>18.228089581800003</v>
      </c>
      <c r="M367" s="82">
        <f t="shared" si="162"/>
        <v>0</v>
      </c>
      <c r="N367" s="82">
        <f t="shared" si="163"/>
        <v>0</v>
      </c>
      <c r="O367" s="82">
        <f>N367+'BM 001'!O367</f>
        <v>0</v>
      </c>
      <c r="P367" s="80">
        <f t="shared" si="164"/>
        <v>14.38</v>
      </c>
      <c r="Q367" s="82">
        <f t="shared" si="165"/>
        <v>18.22</v>
      </c>
      <c r="R367" s="82">
        <f t="shared" si="166"/>
        <v>18.22</v>
      </c>
    </row>
    <row r="368" spans="2:18" s="34" customFormat="1" ht="13.2">
      <c r="B368" s="75" t="s">
        <v>728</v>
      </c>
      <c r="C368" s="88" t="s">
        <v>729</v>
      </c>
      <c r="D368" s="89" t="s">
        <v>131</v>
      </c>
      <c r="E368" s="90">
        <v>22</v>
      </c>
      <c r="F368" s="91"/>
      <c r="G368" s="91"/>
      <c r="H368" s="91"/>
      <c r="I368" s="91">
        <f>SUM(G368:H368)+'BM 001'!I368</f>
        <v>0</v>
      </c>
      <c r="J368" s="91">
        <f t="shared" si="168"/>
        <v>22</v>
      </c>
      <c r="K368" s="80">
        <v>14.99</v>
      </c>
      <c r="L368" s="81">
        <f t="shared" si="167"/>
        <v>19.0013256489</v>
      </c>
      <c r="M368" s="82">
        <f t="shared" si="162"/>
        <v>0</v>
      </c>
      <c r="N368" s="82">
        <f t="shared" si="163"/>
        <v>0</v>
      </c>
      <c r="O368" s="82">
        <f>N368+'BM 001'!O368</f>
        <v>0</v>
      </c>
      <c r="P368" s="80">
        <f t="shared" si="164"/>
        <v>329.78000000000003</v>
      </c>
      <c r="Q368" s="82">
        <f t="shared" si="165"/>
        <v>418.02</v>
      </c>
      <c r="R368" s="82">
        <f t="shared" si="166"/>
        <v>418.02</v>
      </c>
    </row>
    <row r="369" spans="2:18" s="34" customFormat="1" ht="23.4">
      <c r="B369" s="75" t="s">
        <v>730</v>
      </c>
      <c r="C369" s="88" t="s">
        <v>731</v>
      </c>
      <c r="D369" s="89" t="s">
        <v>131</v>
      </c>
      <c r="E369" s="90">
        <v>289</v>
      </c>
      <c r="F369" s="91"/>
      <c r="G369" s="91"/>
      <c r="H369" s="91"/>
      <c r="I369" s="91">
        <f>SUM(G369:H369)+'BM 001'!I369</f>
        <v>0</v>
      </c>
      <c r="J369" s="91">
        <f t="shared" si="168"/>
        <v>289</v>
      </c>
      <c r="K369" s="80">
        <v>13.04</v>
      </c>
      <c r="L369" s="81">
        <f t="shared" si="167"/>
        <v>16.529505434400001</v>
      </c>
      <c r="M369" s="82">
        <f t="shared" si="162"/>
        <v>0</v>
      </c>
      <c r="N369" s="82">
        <f t="shared" si="163"/>
        <v>0</v>
      </c>
      <c r="O369" s="82">
        <f>N369+'BM 001'!O369</f>
        <v>0</v>
      </c>
      <c r="P369" s="80">
        <f t="shared" si="164"/>
        <v>3768.56</v>
      </c>
      <c r="Q369" s="82">
        <f t="shared" si="165"/>
        <v>4777.0200000000004</v>
      </c>
      <c r="R369" s="82">
        <f t="shared" si="166"/>
        <v>4777.0200000000004</v>
      </c>
    </row>
    <row r="370" spans="2:18" s="34" customFormat="1" ht="23.4">
      <c r="B370" s="75" t="s">
        <v>732</v>
      </c>
      <c r="C370" s="88" t="s">
        <v>733</v>
      </c>
      <c r="D370" s="89" t="s">
        <v>131</v>
      </c>
      <c r="E370" s="90">
        <v>7</v>
      </c>
      <c r="F370" s="91"/>
      <c r="G370" s="91"/>
      <c r="H370" s="91"/>
      <c r="I370" s="91">
        <f>SUM(G370:H370)+'BM 001'!I370</f>
        <v>0</v>
      </c>
      <c r="J370" s="91">
        <f t="shared" si="168"/>
        <v>7</v>
      </c>
      <c r="K370" s="80">
        <v>3.95</v>
      </c>
      <c r="L370" s="81">
        <f t="shared" si="167"/>
        <v>5.0070204345000002</v>
      </c>
      <c r="M370" s="82">
        <f t="shared" ref="M370:M394" si="169">TRUNC(F370*L370,2)</f>
        <v>0</v>
      </c>
      <c r="N370" s="82">
        <f t="shared" ref="N370:N394" si="170">TRUNC(G370*L370,2)</f>
        <v>0</v>
      </c>
      <c r="O370" s="82">
        <f>N370+'BM 001'!O370</f>
        <v>0</v>
      </c>
      <c r="P370" s="80">
        <f t="shared" ref="P370:P394" si="171">E370*K370</f>
        <v>27.650000000000002</v>
      </c>
      <c r="Q370" s="82">
        <f t="shared" ref="Q370:Q394" si="172">TRUNC(E370*L370,2)</f>
        <v>35.04</v>
      </c>
      <c r="R370" s="82">
        <f t="shared" ref="R370:R394" si="173">Q370-O370</f>
        <v>35.04</v>
      </c>
    </row>
    <row r="371" spans="2:18" s="34" customFormat="1" ht="23.4">
      <c r="B371" s="75" t="s">
        <v>734</v>
      </c>
      <c r="C371" s="88" t="s">
        <v>735</v>
      </c>
      <c r="D371" s="89" t="s">
        <v>131</v>
      </c>
      <c r="E371" s="90">
        <v>270</v>
      </c>
      <c r="F371" s="91"/>
      <c r="G371" s="91"/>
      <c r="H371" s="91"/>
      <c r="I371" s="91">
        <f>SUM(G371:H371)+'BM 001'!I371</f>
        <v>0</v>
      </c>
      <c r="J371" s="91">
        <f t="shared" si="168"/>
        <v>270</v>
      </c>
      <c r="K371" s="80">
        <v>4.67</v>
      </c>
      <c r="L371" s="81">
        <f t="shared" si="167"/>
        <v>5.9196925137000003</v>
      </c>
      <c r="M371" s="82">
        <f t="shared" si="169"/>
        <v>0</v>
      </c>
      <c r="N371" s="82">
        <f t="shared" si="170"/>
        <v>0</v>
      </c>
      <c r="O371" s="82">
        <f>N371+'BM 001'!O371</f>
        <v>0</v>
      </c>
      <c r="P371" s="80">
        <f t="shared" si="171"/>
        <v>1260.9000000000001</v>
      </c>
      <c r="Q371" s="82">
        <f t="shared" si="172"/>
        <v>1598.31</v>
      </c>
      <c r="R371" s="82">
        <f t="shared" si="173"/>
        <v>1598.31</v>
      </c>
    </row>
    <row r="372" spans="2:18" s="34" customFormat="1" ht="23.4">
      <c r="B372" s="75" t="s">
        <v>736</v>
      </c>
      <c r="C372" s="88" t="s">
        <v>737</v>
      </c>
      <c r="D372" s="89" t="s">
        <v>131</v>
      </c>
      <c r="E372" s="90">
        <v>3</v>
      </c>
      <c r="F372" s="91"/>
      <c r="G372" s="91"/>
      <c r="H372" s="91"/>
      <c r="I372" s="91">
        <f>SUM(G372:H372)+'BM 001'!I372</f>
        <v>0</v>
      </c>
      <c r="J372" s="91">
        <f t="shared" si="168"/>
        <v>3</v>
      </c>
      <c r="K372" s="80">
        <v>7.2</v>
      </c>
      <c r="L372" s="81">
        <f t="shared" si="167"/>
        <v>9.1267207920000004</v>
      </c>
      <c r="M372" s="82">
        <f t="shared" si="169"/>
        <v>0</v>
      </c>
      <c r="N372" s="82">
        <f t="shared" si="170"/>
        <v>0</v>
      </c>
      <c r="O372" s="82">
        <f>N372+'BM 001'!O372</f>
        <v>0</v>
      </c>
      <c r="P372" s="80">
        <f t="shared" si="171"/>
        <v>21.6</v>
      </c>
      <c r="Q372" s="82">
        <f t="shared" si="172"/>
        <v>27.38</v>
      </c>
      <c r="R372" s="82">
        <f t="shared" si="173"/>
        <v>27.38</v>
      </c>
    </row>
    <row r="373" spans="2:18" s="34" customFormat="1" ht="23.4">
      <c r="B373" s="75" t="s">
        <v>738</v>
      </c>
      <c r="C373" s="76" t="s">
        <v>739</v>
      </c>
      <c r="D373" s="77" t="s">
        <v>131</v>
      </c>
      <c r="E373" s="93">
        <v>128</v>
      </c>
      <c r="F373" s="79"/>
      <c r="G373" s="79"/>
      <c r="H373" s="79"/>
      <c r="I373" s="79">
        <f>SUM(G373:H373)+'BM 001'!I373</f>
        <v>0</v>
      </c>
      <c r="J373" s="79">
        <f t="shared" si="168"/>
        <v>128</v>
      </c>
      <c r="K373" s="80">
        <v>11.5</v>
      </c>
      <c r="L373" s="81">
        <f t="shared" si="167"/>
        <v>14.577401265000001</v>
      </c>
      <c r="M373" s="82">
        <f t="shared" si="169"/>
        <v>0</v>
      </c>
      <c r="N373" s="82">
        <f t="shared" si="170"/>
        <v>0</v>
      </c>
      <c r="O373" s="82">
        <f>N373+'BM 001'!O373</f>
        <v>0</v>
      </c>
      <c r="P373" s="80">
        <f t="shared" si="171"/>
        <v>1472</v>
      </c>
      <c r="Q373" s="82">
        <f t="shared" si="172"/>
        <v>1865.9</v>
      </c>
      <c r="R373" s="82">
        <f t="shared" si="173"/>
        <v>1865.9</v>
      </c>
    </row>
    <row r="374" spans="2:18" s="34" customFormat="1" ht="23.4">
      <c r="B374" s="75" t="s">
        <v>740</v>
      </c>
      <c r="C374" s="76" t="s">
        <v>741</v>
      </c>
      <c r="D374" s="77" t="s">
        <v>131</v>
      </c>
      <c r="E374" s="93">
        <v>4</v>
      </c>
      <c r="F374" s="79"/>
      <c r="G374" s="79"/>
      <c r="H374" s="79"/>
      <c r="I374" s="79">
        <f>SUM(G374:H374)+'BM 001'!I374</f>
        <v>0</v>
      </c>
      <c r="J374" s="79">
        <f t="shared" si="168"/>
        <v>4</v>
      </c>
      <c r="K374" s="80">
        <v>12.42</v>
      </c>
      <c r="L374" s="81">
        <f t="shared" si="167"/>
        <v>15.743593366200001</v>
      </c>
      <c r="M374" s="82">
        <f t="shared" si="169"/>
        <v>0</v>
      </c>
      <c r="N374" s="82">
        <f t="shared" si="170"/>
        <v>0</v>
      </c>
      <c r="O374" s="82">
        <f>N374+'BM 001'!O374</f>
        <v>0</v>
      </c>
      <c r="P374" s="80">
        <f t="shared" si="171"/>
        <v>49.68</v>
      </c>
      <c r="Q374" s="82">
        <f t="shared" si="172"/>
        <v>62.97</v>
      </c>
      <c r="R374" s="82">
        <f t="shared" si="173"/>
        <v>62.97</v>
      </c>
    </row>
    <row r="375" spans="2:18" s="34" customFormat="1" ht="23.4">
      <c r="B375" s="75" t="s">
        <v>742</v>
      </c>
      <c r="C375" s="76" t="s">
        <v>743</v>
      </c>
      <c r="D375" s="77" t="s">
        <v>131</v>
      </c>
      <c r="E375" s="93">
        <v>31</v>
      </c>
      <c r="F375" s="79"/>
      <c r="G375" s="79"/>
      <c r="H375" s="79"/>
      <c r="I375" s="79">
        <f>SUM(G375:H375)+'BM 001'!I375</f>
        <v>0</v>
      </c>
      <c r="J375" s="79">
        <f t="shared" si="168"/>
        <v>31</v>
      </c>
      <c r="K375" s="80">
        <v>35.909999999999997</v>
      </c>
      <c r="L375" s="81">
        <f t="shared" si="167"/>
        <v>45.519519950099998</v>
      </c>
      <c r="M375" s="82">
        <f t="shared" si="169"/>
        <v>0</v>
      </c>
      <c r="N375" s="82">
        <f t="shared" si="170"/>
        <v>0</v>
      </c>
      <c r="O375" s="82">
        <f>N375+'BM 001'!O375</f>
        <v>0</v>
      </c>
      <c r="P375" s="80">
        <f t="shared" si="171"/>
        <v>1113.2099999999998</v>
      </c>
      <c r="Q375" s="82">
        <f t="shared" si="172"/>
        <v>1411.1</v>
      </c>
      <c r="R375" s="82">
        <f t="shared" si="173"/>
        <v>1411.1</v>
      </c>
    </row>
    <row r="376" spans="2:18" s="34" customFormat="1" ht="34.799999999999997">
      <c r="B376" s="75" t="s">
        <v>744</v>
      </c>
      <c r="C376" s="76" t="s">
        <v>745</v>
      </c>
      <c r="D376" s="77" t="s">
        <v>131</v>
      </c>
      <c r="E376" s="93">
        <v>20</v>
      </c>
      <c r="F376" s="79"/>
      <c r="G376" s="79"/>
      <c r="H376" s="79"/>
      <c r="I376" s="79">
        <f>SUM(G376:H376)+'BM 001'!I376</f>
        <v>0</v>
      </c>
      <c r="J376" s="79">
        <f t="shared" si="168"/>
        <v>20</v>
      </c>
      <c r="K376" s="80">
        <v>90</v>
      </c>
      <c r="L376" s="81">
        <f t="shared" si="167"/>
        <v>114.08400990000001</v>
      </c>
      <c r="M376" s="82">
        <f t="shared" si="169"/>
        <v>0</v>
      </c>
      <c r="N376" s="82">
        <f t="shared" si="170"/>
        <v>0</v>
      </c>
      <c r="O376" s="82">
        <f>N376+'BM 001'!O376</f>
        <v>0</v>
      </c>
      <c r="P376" s="80">
        <f t="shared" si="171"/>
        <v>1800</v>
      </c>
      <c r="Q376" s="82">
        <f t="shared" si="172"/>
        <v>2281.6799999999998</v>
      </c>
      <c r="R376" s="82">
        <f t="shared" si="173"/>
        <v>2281.6799999999998</v>
      </c>
    </row>
    <row r="377" spans="2:18" s="34" customFormat="1" ht="13.2">
      <c r="B377" s="75" t="s">
        <v>746</v>
      </c>
      <c r="C377" s="76" t="s">
        <v>747</v>
      </c>
      <c r="D377" s="77" t="s">
        <v>131</v>
      </c>
      <c r="E377" s="93">
        <v>20</v>
      </c>
      <c r="F377" s="79"/>
      <c r="G377" s="79"/>
      <c r="H377" s="79"/>
      <c r="I377" s="79">
        <f>SUM(G377:H377)+'BM 001'!I377</f>
        <v>0</v>
      </c>
      <c r="J377" s="79">
        <f t="shared" si="168"/>
        <v>20</v>
      </c>
      <c r="K377" s="80">
        <v>5.14</v>
      </c>
      <c r="L377" s="81">
        <f t="shared" si="167"/>
        <v>6.5154645654000003</v>
      </c>
      <c r="M377" s="82">
        <f t="shared" si="169"/>
        <v>0</v>
      </c>
      <c r="N377" s="82">
        <f t="shared" si="170"/>
        <v>0</v>
      </c>
      <c r="O377" s="82">
        <f>N377+'BM 001'!O377</f>
        <v>0</v>
      </c>
      <c r="P377" s="80">
        <f t="shared" si="171"/>
        <v>102.8</v>
      </c>
      <c r="Q377" s="82">
        <f t="shared" si="172"/>
        <v>130.30000000000001</v>
      </c>
      <c r="R377" s="82">
        <f t="shared" si="173"/>
        <v>130.30000000000001</v>
      </c>
    </row>
    <row r="378" spans="2:18" s="34" customFormat="1" ht="13.2">
      <c r="B378" s="75" t="s">
        <v>748</v>
      </c>
      <c r="C378" s="76" t="s">
        <v>749</v>
      </c>
      <c r="D378" s="77" t="s">
        <v>131</v>
      </c>
      <c r="E378" s="93">
        <v>17</v>
      </c>
      <c r="F378" s="79"/>
      <c r="G378" s="79"/>
      <c r="H378" s="79"/>
      <c r="I378" s="79">
        <f>SUM(G378:H378)+'BM 001'!I378</f>
        <v>0</v>
      </c>
      <c r="J378" s="79">
        <f t="shared" si="168"/>
        <v>17</v>
      </c>
      <c r="K378" s="80">
        <v>11.25</v>
      </c>
      <c r="L378" s="81">
        <f t="shared" si="167"/>
        <v>14.260501237500002</v>
      </c>
      <c r="M378" s="82">
        <f t="shared" si="169"/>
        <v>0</v>
      </c>
      <c r="N378" s="82">
        <f t="shared" si="170"/>
        <v>0</v>
      </c>
      <c r="O378" s="82">
        <f>N378+'BM 001'!O378</f>
        <v>0</v>
      </c>
      <c r="P378" s="80">
        <f t="shared" si="171"/>
        <v>191.25</v>
      </c>
      <c r="Q378" s="82">
        <f t="shared" si="172"/>
        <v>242.42</v>
      </c>
      <c r="R378" s="82">
        <f t="shared" si="173"/>
        <v>242.42</v>
      </c>
    </row>
    <row r="379" spans="2:18" s="34" customFormat="1" ht="13.2">
      <c r="B379" s="75" t="s">
        <v>750</v>
      </c>
      <c r="C379" s="76" t="s">
        <v>751</v>
      </c>
      <c r="D379" s="77" t="s">
        <v>131</v>
      </c>
      <c r="E379" s="93">
        <v>1</v>
      </c>
      <c r="F379" s="79"/>
      <c r="G379" s="79"/>
      <c r="H379" s="79"/>
      <c r="I379" s="79">
        <f>SUM(G379:H379)+'BM 001'!I379</f>
        <v>0</v>
      </c>
      <c r="J379" s="79">
        <f t="shared" si="168"/>
        <v>1</v>
      </c>
      <c r="K379" s="80">
        <v>12.27</v>
      </c>
      <c r="L379" s="81">
        <f t="shared" si="167"/>
        <v>15.5534533497</v>
      </c>
      <c r="M379" s="82">
        <f t="shared" si="169"/>
        <v>0</v>
      </c>
      <c r="N379" s="82">
        <f t="shared" si="170"/>
        <v>0</v>
      </c>
      <c r="O379" s="82">
        <f>N379+'BM 001'!O379</f>
        <v>0</v>
      </c>
      <c r="P379" s="80">
        <f t="shared" si="171"/>
        <v>12.27</v>
      </c>
      <c r="Q379" s="82">
        <f t="shared" si="172"/>
        <v>15.55</v>
      </c>
      <c r="R379" s="82">
        <f t="shared" si="173"/>
        <v>15.55</v>
      </c>
    </row>
    <row r="380" spans="2:18" s="34" customFormat="1" ht="13.2">
      <c r="B380" s="75" t="s">
        <v>752</v>
      </c>
      <c r="C380" s="76" t="s">
        <v>753</v>
      </c>
      <c r="D380" s="77" t="s">
        <v>131</v>
      </c>
      <c r="E380" s="93">
        <v>12</v>
      </c>
      <c r="F380" s="79"/>
      <c r="G380" s="79"/>
      <c r="H380" s="79"/>
      <c r="I380" s="79">
        <f>SUM(G380:H380)+'BM 001'!I380</f>
        <v>0</v>
      </c>
      <c r="J380" s="79">
        <f t="shared" si="168"/>
        <v>12</v>
      </c>
      <c r="K380" s="80">
        <v>22.03</v>
      </c>
      <c r="L380" s="81">
        <f t="shared" si="167"/>
        <v>27.925230423300004</v>
      </c>
      <c r="M380" s="82">
        <f t="shared" si="169"/>
        <v>0</v>
      </c>
      <c r="N380" s="82">
        <f t="shared" si="170"/>
        <v>0</v>
      </c>
      <c r="O380" s="82">
        <f>N380+'BM 001'!O380</f>
        <v>0</v>
      </c>
      <c r="P380" s="80">
        <f t="shared" si="171"/>
        <v>264.36</v>
      </c>
      <c r="Q380" s="82">
        <f t="shared" si="172"/>
        <v>335.1</v>
      </c>
      <c r="R380" s="82">
        <f t="shared" si="173"/>
        <v>335.1</v>
      </c>
    </row>
    <row r="381" spans="2:18" s="34" customFormat="1" ht="13.2">
      <c r="B381" s="75" t="s">
        <v>754</v>
      </c>
      <c r="C381" s="76" t="s">
        <v>755</v>
      </c>
      <c r="D381" s="77" t="s">
        <v>131</v>
      </c>
      <c r="E381" s="93">
        <v>16</v>
      </c>
      <c r="F381" s="79"/>
      <c r="G381" s="79"/>
      <c r="H381" s="79"/>
      <c r="I381" s="79">
        <f>SUM(G381:H381)+'BM 001'!I381</f>
        <v>0</v>
      </c>
      <c r="J381" s="79">
        <f t="shared" si="168"/>
        <v>16</v>
      </c>
      <c r="K381" s="80">
        <v>32.380000000000003</v>
      </c>
      <c r="L381" s="81">
        <f t="shared" si="167"/>
        <v>41.044891561800007</v>
      </c>
      <c r="M381" s="82">
        <f t="shared" si="169"/>
        <v>0</v>
      </c>
      <c r="N381" s="82">
        <f t="shared" si="170"/>
        <v>0</v>
      </c>
      <c r="O381" s="82">
        <f>N381+'BM 001'!O381</f>
        <v>0</v>
      </c>
      <c r="P381" s="80">
        <f t="shared" si="171"/>
        <v>518.08000000000004</v>
      </c>
      <c r="Q381" s="82">
        <f t="shared" si="172"/>
        <v>656.71</v>
      </c>
      <c r="R381" s="82">
        <f t="shared" si="173"/>
        <v>656.71</v>
      </c>
    </row>
    <row r="382" spans="2:18" s="34" customFormat="1" ht="23.4">
      <c r="B382" s="75" t="s">
        <v>756</v>
      </c>
      <c r="C382" s="76" t="s">
        <v>757</v>
      </c>
      <c r="D382" s="77" t="s">
        <v>131</v>
      </c>
      <c r="E382" s="93">
        <v>16</v>
      </c>
      <c r="F382" s="79"/>
      <c r="G382" s="79"/>
      <c r="H382" s="79"/>
      <c r="I382" s="79">
        <f>SUM(G382:H382)+'BM 001'!I382</f>
        <v>0</v>
      </c>
      <c r="J382" s="79">
        <f t="shared" si="168"/>
        <v>16</v>
      </c>
      <c r="K382" s="80">
        <v>12.35</v>
      </c>
      <c r="L382" s="81">
        <f t="shared" si="167"/>
        <v>15.6548613585</v>
      </c>
      <c r="M382" s="82">
        <f t="shared" si="169"/>
        <v>0</v>
      </c>
      <c r="N382" s="82">
        <f t="shared" si="170"/>
        <v>0</v>
      </c>
      <c r="O382" s="82">
        <f>N382+'BM 001'!O382</f>
        <v>0</v>
      </c>
      <c r="P382" s="80">
        <f t="shared" si="171"/>
        <v>197.6</v>
      </c>
      <c r="Q382" s="82">
        <f t="shared" si="172"/>
        <v>250.47</v>
      </c>
      <c r="R382" s="82">
        <f t="shared" si="173"/>
        <v>250.47</v>
      </c>
    </row>
    <row r="383" spans="2:18" s="34" customFormat="1" ht="23.4">
      <c r="B383" s="75" t="s">
        <v>758</v>
      </c>
      <c r="C383" s="76" t="s">
        <v>759</v>
      </c>
      <c r="D383" s="77" t="s">
        <v>131</v>
      </c>
      <c r="E383" s="93">
        <v>3</v>
      </c>
      <c r="F383" s="79"/>
      <c r="G383" s="79"/>
      <c r="H383" s="79"/>
      <c r="I383" s="79">
        <f>SUM(G383:H383)+'BM 001'!I383</f>
        <v>0</v>
      </c>
      <c r="J383" s="79">
        <f t="shared" si="168"/>
        <v>3</v>
      </c>
      <c r="K383" s="80">
        <v>12.27</v>
      </c>
      <c r="L383" s="81">
        <f t="shared" si="167"/>
        <v>15.5534533497</v>
      </c>
      <c r="M383" s="82">
        <f t="shared" si="169"/>
        <v>0</v>
      </c>
      <c r="N383" s="82">
        <f t="shared" si="170"/>
        <v>0</v>
      </c>
      <c r="O383" s="82">
        <f>N383+'BM 001'!O383</f>
        <v>0</v>
      </c>
      <c r="P383" s="80">
        <f t="shared" si="171"/>
        <v>36.81</v>
      </c>
      <c r="Q383" s="82">
        <f t="shared" si="172"/>
        <v>46.66</v>
      </c>
      <c r="R383" s="82">
        <f t="shared" si="173"/>
        <v>46.66</v>
      </c>
    </row>
    <row r="384" spans="2:18" s="34" customFormat="1" ht="23.4">
      <c r="B384" s="75" t="s">
        <v>760</v>
      </c>
      <c r="C384" s="76" t="s">
        <v>761</v>
      </c>
      <c r="D384" s="77" t="s">
        <v>131</v>
      </c>
      <c r="E384" s="93">
        <v>34</v>
      </c>
      <c r="F384" s="79"/>
      <c r="G384" s="79"/>
      <c r="H384" s="79"/>
      <c r="I384" s="79">
        <f>SUM(G384:H384)+'BM 001'!I384</f>
        <v>0</v>
      </c>
      <c r="J384" s="79">
        <f t="shared" si="168"/>
        <v>34</v>
      </c>
      <c r="K384" s="80">
        <v>18.5</v>
      </c>
      <c r="L384" s="81">
        <f t="shared" si="167"/>
        <v>23.450602035000003</v>
      </c>
      <c r="M384" s="82">
        <f t="shared" si="169"/>
        <v>0</v>
      </c>
      <c r="N384" s="82">
        <f t="shared" si="170"/>
        <v>0</v>
      </c>
      <c r="O384" s="82">
        <f>N384+'BM 001'!O384</f>
        <v>0</v>
      </c>
      <c r="P384" s="80">
        <f t="shared" si="171"/>
        <v>629</v>
      </c>
      <c r="Q384" s="82">
        <f t="shared" si="172"/>
        <v>797.32</v>
      </c>
      <c r="R384" s="82">
        <f t="shared" si="173"/>
        <v>797.32</v>
      </c>
    </row>
    <row r="385" spans="2:18" s="34" customFormat="1" ht="23.4">
      <c r="B385" s="75" t="s">
        <v>762</v>
      </c>
      <c r="C385" s="76" t="s">
        <v>763</v>
      </c>
      <c r="D385" s="77" t="s">
        <v>131</v>
      </c>
      <c r="E385" s="93">
        <v>2</v>
      </c>
      <c r="F385" s="79"/>
      <c r="G385" s="79"/>
      <c r="H385" s="79"/>
      <c r="I385" s="79">
        <f>SUM(G385:H385)+'BM 001'!I385</f>
        <v>0</v>
      </c>
      <c r="J385" s="79">
        <f t="shared" si="168"/>
        <v>2</v>
      </c>
      <c r="K385" s="80">
        <v>24.61</v>
      </c>
      <c r="L385" s="81">
        <f t="shared" si="167"/>
        <v>31.195638707100002</v>
      </c>
      <c r="M385" s="82">
        <f t="shared" si="169"/>
        <v>0</v>
      </c>
      <c r="N385" s="82">
        <f t="shared" si="170"/>
        <v>0</v>
      </c>
      <c r="O385" s="82">
        <f>N385+'BM 001'!O385</f>
        <v>0</v>
      </c>
      <c r="P385" s="80">
        <f t="shared" si="171"/>
        <v>49.22</v>
      </c>
      <c r="Q385" s="82">
        <f t="shared" si="172"/>
        <v>62.39</v>
      </c>
      <c r="R385" s="82">
        <f t="shared" si="173"/>
        <v>62.39</v>
      </c>
    </row>
    <row r="386" spans="2:18" s="34" customFormat="1" ht="23.4">
      <c r="B386" s="75" t="s">
        <v>764</v>
      </c>
      <c r="C386" s="76" t="s">
        <v>765</v>
      </c>
      <c r="D386" s="77" t="s">
        <v>131</v>
      </c>
      <c r="E386" s="93">
        <v>9</v>
      </c>
      <c r="F386" s="79"/>
      <c r="G386" s="79"/>
      <c r="H386" s="79"/>
      <c r="I386" s="79">
        <f>SUM(G386:H386)+'BM 001'!I386</f>
        <v>0</v>
      </c>
      <c r="J386" s="79">
        <f t="shared" si="168"/>
        <v>9</v>
      </c>
      <c r="K386" s="80">
        <v>26.08</v>
      </c>
      <c r="L386" s="81">
        <f t="shared" si="167"/>
        <v>33.059010868800002</v>
      </c>
      <c r="M386" s="82">
        <f t="shared" si="169"/>
        <v>0</v>
      </c>
      <c r="N386" s="82">
        <f t="shared" si="170"/>
        <v>0</v>
      </c>
      <c r="O386" s="82">
        <f>N386+'BM 001'!O386</f>
        <v>0</v>
      </c>
      <c r="P386" s="80">
        <f t="shared" si="171"/>
        <v>234.71999999999997</v>
      </c>
      <c r="Q386" s="82">
        <f t="shared" si="172"/>
        <v>297.52999999999997</v>
      </c>
      <c r="R386" s="82">
        <f t="shared" si="173"/>
        <v>297.52999999999997</v>
      </c>
    </row>
    <row r="387" spans="2:18" s="34" customFormat="1" ht="13.2">
      <c r="B387" s="75" t="s">
        <v>766</v>
      </c>
      <c r="C387" s="88" t="s">
        <v>767</v>
      </c>
      <c r="D387" s="89" t="s">
        <v>131</v>
      </c>
      <c r="E387" s="90">
        <v>1</v>
      </c>
      <c r="F387" s="91"/>
      <c r="G387" s="91"/>
      <c r="H387" s="91"/>
      <c r="I387" s="91">
        <f>SUM(G387:H387)+'BM 001'!I387</f>
        <v>0</v>
      </c>
      <c r="J387" s="91">
        <f t="shared" si="168"/>
        <v>1</v>
      </c>
      <c r="K387" s="80">
        <v>40</v>
      </c>
      <c r="L387" s="81">
        <f t="shared" si="167"/>
        <v>50.704004400000002</v>
      </c>
      <c r="M387" s="82">
        <f t="shared" si="169"/>
        <v>0</v>
      </c>
      <c r="N387" s="82">
        <f t="shared" si="170"/>
        <v>0</v>
      </c>
      <c r="O387" s="82">
        <f>N387+'BM 001'!O387</f>
        <v>0</v>
      </c>
      <c r="P387" s="80">
        <f t="shared" si="171"/>
        <v>40</v>
      </c>
      <c r="Q387" s="82">
        <f t="shared" si="172"/>
        <v>50.7</v>
      </c>
      <c r="R387" s="82">
        <f t="shared" si="173"/>
        <v>50.7</v>
      </c>
    </row>
    <row r="388" spans="2:18" s="34" customFormat="1" ht="34.799999999999997">
      <c r="B388" s="75" t="s">
        <v>768</v>
      </c>
      <c r="C388" s="88" t="s">
        <v>769</v>
      </c>
      <c r="D388" s="89" t="s">
        <v>131</v>
      </c>
      <c r="E388" s="90">
        <v>29</v>
      </c>
      <c r="F388" s="91"/>
      <c r="G388" s="91"/>
      <c r="H388" s="91"/>
      <c r="I388" s="91">
        <f>SUM(G388:H388)+'BM 001'!I388</f>
        <v>0</v>
      </c>
      <c r="J388" s="91">
        <f t="shared" si="168"/>
        <v>29</v>
      </c>
      <c r="K388" s="80">
        <v>17.22</v>
      </c>
      <c r="L388" s="81">
        <f t="shared" si="167"/>
        <v>21.828073894199999</v>
      </c>
      <c r="M388" s="82">
        <f t="shared" si="169"/>
        <v>0</v>
      </c>
      <c r="N388" s="82">
        <f t="shared" si="170"/>
        <v>0</v>
      </c>
      <c r="O388" s="82">
        <f>N388+'BM 001'!O388</f>
        <v>0</v>
      </c>
      <c r="P388" s="80">
        <f t="shared" si="171"/>
        <v>499.38</v>
      </c>
      <c r="Q388" s="82">
        <f t="shared" si="172"/>
        <v>633.01</v>
      </c>
      <c r="R388" s="82">
        <f t="shared" si="173"/>
        <v>633.01</v>
      </c>
    </row>
    <row r="389" spans="2:18" s="34" customFormat="1" ht="23.4">
      <c r="B389" s="75" t="s">
        <v>770</v>
      </c>
      <c r="C389" s="76" t="s">
        <v>771</v>
      </c>
      <c r="D389" s="77" t="s">
        <v>131</v>
      </c>
      <c r="E389" s="93">
        <v>207</v>
      </c>
      <c r="F389" s="79"/>
      <c r="G389" s="79"/>
      <c r="H389" s="79"/>
      <c r="I389" s="79">
        <f>SUM(G389:H389)+'BM 001'!I389</f>
        <v>0</v>
      </c>
      <c r="J389" s="79">
        <f t="shared" si="168"/>
        <v>207</v>
      </c>
      <c r="K389" s="80">
        <v>6.59</v>
      </c>
      <c r="L389" s="81">
        <f t="shared" si="167"/>
        <v>8.3534847248999995</v>
      </c>
      <c r="M389" s="82">
        <f t="shared" si="169"/>
        <v>0</v>
      </c>
      <c r="N389" s="82">
        <f t="shared" si="170"/>
        <v>0</v>
      </c>
      <c r="O389" s="82">
        <f>N389+'BM 001'!O389</f>
        <v>0</v>
      </c>
      <c r="P389" s="80">
        <f t="shared" si="171"/>
        <v>1364.1299999999999</v>
      </c>
      <c r="Q389" s="82">
        <f t="shared" si="172"/>
        <v>1729.17</v>
      </c>
      <c r="R389" s="82">
        <f t="shared" si="173"/>
        <v>1729.17</v>
      </c>
    </row>
    <row r="390" spans="2:18" s="34" customFormat="1" ht="13.2">
      <c r="B390" s="75" t="s">
        <v>772</v>
      </c>
      <c r="C390" s="76" t="s">
        <v>773</v>
      </c>
      <c r="D390" s="77" t="s">
        <v>131</v>
      </c>
      <c r="E390" s="93">
        <v>50</v>
      </c>
      <c r="F390" s="79"/>
      <c r="G390" s="79"/>
      <c r="H390" s="79"/>
      <c r="I390" s="79">
        <f>SUM(G390:H390)+'BM 001'!I390</f>
        <v>0</v>
      </c>
      <c r="J390" s="79">
        <f t="shared" si="168"/>
        <v>50</v>
      </c>
      <c r="K390" s="80">
        <v>22.07</v>
      </c>
      <c r="L390" s="81">
        <f t="shared" si="167"/>
        <v>27.9759344277</v>
      </c>
      <c r="M390" s="82">
        <f t="shared" si="169"/>
        <v>0</v>
      </c>
      <c r="N390" s="82">
        <f t="shared" si="170"/>
        <v>0</v>
      </c>
      <c r="O390" s="82">
        <f>N390+'BM 001'!O390</f>
        <v>0</v>
      </c>
      <c r="P390" s="80">
        <f t="shared" si="171"/>
        <v>1103.5</v>
      </c>
      <c r="Q390" s="82">
        <f t="shared" si="172"/>
        <v>1398.79</v>
      </c>
      <c r="R390" s="82">
        <f t="shared" si="173"/>
        <v>1398.79</v>
      </c>
    </row>
    <row r="391" spans="2:18" s="34" customFormat="1" ht="23.4">
      <c r="B391" s="75" t="s">
        <v>774</v>
      </c>
      <c r="C391" s="76" t="s">
        <v>775</v>
      </c>
      <c r="D391" s="77" t="s">
        <v>131</v>
      </c>
      <c r="E391" s="93">
        <v>1</v>
      </c>
      <c r="F391" s="79"/>
      <c r="G391" s="79"/>
      <c r="H391" s="79"/>
      <c r="I391" s="79">
        <f>SUM(G391:H391)+'BM 001'!I391</f>
        <v>0</v>
      </c>
      <c r="J391" s="79">
        <f t="shared" si="168"/>
        <v>1</v>
      </c>
      <c r="K391" s="80">
        <v>19.649999999999999</v>
      </c>
      <c r="L391" s="81">
        <f t="shared" si="167"/>
        <v>24.908342161499998</v>
      </c>
      <c r="M391" s="82">
        <f t="shared" si="169"/>
        <v>0</v>
      </c>
      <c r="N391" s="82">
        <f t="shared" si="170"/>
        <v>0</v>
      </c>
      <c r="O391" s="82">
        <f>N391+'BM 001'!O391</f>
        <v>0</v>
      </c>
      <c r="P391" s="80">
        <f t="shared" si="171"/>
        <v>19.649999999999999</v>
      </c>
      <c r="Q391" s="82">
        <f t="shared" si="172"/>
        <v>24.9</v>
      </c>
      <c r="R391" s="82">
        <f t="shared" si="173"/>
        <v>24.9</v>
      </c>
    </row>
    <row r="392" spans="2:18" s="34" customFormat="1" ht="23.4">
      <c r="B392" s="75" t="s">
        <v>776</v>
      </c>
      <c r="C392" s="76" t="s">
        <v>777</v>
      </c>
      <c r="D392" s="77" t="s">
        <v>131</v>
      </c>
      <c r="E392" s="93">
        <v>19</v>
      </c>
      <c r="F392" s="79"/>
      <c r="G392" s="79"/>
      <c r="H392" s="79"/>
      <c r="I392" s="79">
        <f>SUM(G392:H392)+'BM 001'!I392</f>
        <v>0</v>
      </c>
      <c r="J392" s="79">
        <f t="shared" si="168"/>
        <v>19</v>
      </c>
      <c r="K392" s="80">
        <v>41.43</v>
      </c>
      <c r="L392" s="81">
        <f t="shared" si="167"/>
        <v>52.516672557300005</v>
      </c>
      <c r="M392" s="82">
        <f t="shared" si="169"/>
        <v>0</v>
      </c>
      <c r="N392" s="82">
        <f t="shared" si="170"/>
        <v>0</v>
      </c>
      <c r="O392" s="82">
        <f>N392+'BM 001'!O392</f>
        <v>0</v>
      </c>
      <c r="P392" s="80">
        <f t="shared" si="171"/>
        <v>787.17</v>
      </c>
      <c r="Q392" s="82">
        <f t="shared" si="172"/>
        <v>997.81</v>
      </c>
      <c r="R392" s="82">
        <f t="shared" si="173"/>
        <v>997.81</v>
      </c>
    </row>
    <row r="393" spans="2:18" s="34" customFormat="1" ht="34.799999999999997">
      <c r="B393" s="75" t="s">
        <v>778</v>
      </c>
      <c r="C393" s="76" t="s">
        <v>779</v>
      </c>
      <c r="D393" s="77" t="s">
        <v>131</v>
      </c>
      <c r="E393" s="93">
        <v>12</v>
      </c>
      <c r="F393" s="79"/>
      <c r="G393" s="79"/>
      <c r="H393" s="79"/>
      <c r="I393" s="79">
        <f>SUM(G393:H393)+'BM 001'!I393</f>
        <v>0</v>
      </c>
      <c r="J393" s="79">
        <f t="shared" si="168"/>
        <v>12</v>
      </c>
      <c r="K393" s="80">
        <v>76.31</v>
      </c>
      <c r="L393" s="81">
        <f t="shared" si="167"/>
        <v>96.730564394100014</v>
      </c>
      <c r="M393" s="82">
        <f t="shared" si="169"/>
        <v>0</v>
      </c>
      <c r="N393" s="82">
        <f t="shared" si="170"/>
        <v>0</v>
      </c>
      <c r="O393" s="82">
        <f>N393+'BM 001'!O393</f>
        <v>0</v>
      </c>
      <c r="P393" s="80">
        <f t="shared" si="171"/>
        <v>915.72</v>
      </c>
      <c r="Q393" s="82">
        <f t="shared" si="172"/>
        <v>1160.76</v>
      </c>
      <c r="R393" s="82">
        <f t="shared" si="173"/>
        <v>1160.76</v>
      </c>
    </row>
    <row r="394" spans="2:18" s="34" customFormat="1" ht="23.4">
      <c r="B394" s="75" t="s">
        <v>780</v>
      </c>
      <c r="C394" s="76" t="s">
        <v>781</v>
      </c>
      <c r="D394" s="77" t="s">
        <v>131</v>
      </c>
      <c r="E394" s="93">
        <v>3</v>
      </c>
      <c r="F394" s="79"/>
      <c r="G394" s="79"/>
      <c r="H394" s="79"/>
      <c r="I394" s="79">
        <f>SUM(G394:H394)+'BM 001'!I394</f>
        <v>0</v>
      </c>
      <c r="J394" s="79">
        <f t="shared" si="168"/>
        <v>3</v>
      </c>
      <c r="K394" s="80">
        <v>72.55</v>
      </c>
      <c r="L394" s="81">
        <f t="shared" si="167"/>
        <v>91.964387980500007</v>
      </c>
      <c r="M394" s="82">
        <f t="shared" si="169"/>
        <v>0</v>
      </c>
      <c r="N394" s="82">
        <f t="shared" si="170"/>
        <v>0</v>
      </c>
      <c r="O394" s="82">
        <f>N394+'BM 001'!O394</f>
        <v>0</v>
      </c>
      <c r="P394" s="80">
        <f t="shared" si="171"/>
        <v>217.64999999999998</v>
      </c>
      <c r="Q394" s="82">
        <f t="shared" si="172"/>
        <v>275.89</v>
      </c>
      <c r="R394" s="82">
        <f t="shared" si="173"/>
        <v>275.89</v>
      </c>
    </row>
    <row r="395" spans="2:18" s="34" customFormat="1" ht="24">
      <c r="B395" s="66" t="s">
        <v>782</v>
      </c>
      <c r="C395" s="67" t="s">
        <v>783</v>
      </c>
      <c r="D395" s="68"/>
      <c r="E395" s="69"/>
      <c r="F395" s="70"/>
      <c r="G395" s="70"/>
      <c r="H395" s="70"/>
      <c r="I395" s="70">
        <f>SUM(G395:H395)+'BM 001'!I395</f>
        <v>0</v>
      </c>
      <c r="J395" s="70">
        <f t="shared" si="168"/>
        <v>0</v>
      </c>
      <c r="K395" s="71"/>
      <c r="L395" s="71">
        <f t="shared" si="167"/>
        <v>0</v>
      </c>
      <c r="M395" s="73">
        <f t="shared" ref="M395:R395" si="174">SUM(M396:M405)</f>
        <v>0</v>
      </c>
      <c r="N395" s="73">
        <f t="shared" si="174"/>
        <v>0</v>
      </c>
      <c r="O395" s="73">
        <f t="shared" si="174"/>
        <v>0</v>
      </c>
      <c r="P395" s="73">
        <f t="shared" si="174"/>
        <v>131062.87509999999</v>
      </c>
      <c r="Q395" s="73">
        <f t="shared" si="174"/>
        <v>166135.25</v>
      </c>
      <c r="R395" s="73">
        <f t="shared" si="174"/>
        <v>166135.25</v>
      </c>
    </row>
    <row r="396" spans="2:18" s="34" customFormat="1" ht="34.799999999999997">
      <c r="B396" s="75" t="s">
        <v>784</v>
      </c>
      <c r="C396" s="76" t="s">
        <v>785</v>
      </c>
      <c r="D396" s="77" t="s">
        <v>82</v>
      </c>
      <c r="E396" s="108">
        <v>867.48</v>
      </c>
      <c r="F396" s="109"/>
      <c r="G396" s="109"/>
      <c r="H396" s="109"/>
      <c r="I396" s="109">
        <f>SUM(G396:H396)+'BM 001'!I396</f>
        <v>0</v>
      </c>
      <c r="J396" s="109">
        <f t="shared" si="168"/>
        <v>867.48</v>
      </c>
      <c r="K396" s="80">
        <v>24.65</v>
      </c>
      <c r="L396" s="81">
        <f t="shared" si="167"/>
        <v>31.246342711499999</v>
      </c>
      <c r="M396" s="82">
        <f t="shared" ref="M396:M405" si="175">TRUNC(F396*L396,2)</f>
        <v>0</v>
      </c>
      <c r="N396" s="82">
        <f t="shared" ref="N396:N405" si="176">TRUNC(G396*L396,2)</f>
        <v>0</v>
      </c>
      <c r="O396" s="82">
        <f>N396+'BM 001'!O396</f>
        <v>0</v>
      </c>
      <c r="P396" s="80">
        <f t="shared" ref="P396:P405" si="177">E396*K396</f>
        <v>21383.381999999998</v>
      </c>
      <c r="Q396" s="82">
        <f t="shared" ref="Q396:Q405" si="178">TRUNC(E396*L396,2)</f>
        <v>27105.57</v>
      </c>
      <c r="R396" s="82">
        <f t="shared" ref="R396:R405" si="179">Q396-O396</f>
        <v>27105.57</v>
      </c>
    </row>
    <row r="397" spans="2:18" s="34" customFormat="1" ht="13.2">
      <c r="B397" s="75" t="s">
        <v>786</v>
      </c>
      <c r="C397" s="76" t="s">
        <v>653</v>
      </c>
      <c r="D397" s="77" t="s">
        <v>82</v>
      </c>
      <c r="E397" s="110">
        <v>18.04</v>
      </c>
      <c r="F397" s="111"/>
      <c r="G397" s="111"/>
      <c r="H397" s="111"/>
      <c r="I397" s="111">
        <f>SUM(G397:H397)+'BM 001'!I397</f>
        <v>0</v>
      </c>
      <c r="J397" s="111">
        <f t="shared" si="168"/>
        <v>18.04</v>
      </c>
      <c r="K397" s="80">
        <v>6.5</v>
      </c>
      <c r="L397" s="81">
        <f t="shared" si="167"/>
        <v>8.2394007150000004</v>
      </c>
      <c r="M397" s="82">
        <f t="shared" si="175"/>
        <v>0</v>
      </c>
      <c r="N397" s="82">
        <f t="shared" si="176"/>
        <v>0</v>
      </c>
      <c r="O397" s="82">
        <f>N397+'BM 001'!O397</f>
        <v>0</v>
      </c>
      <c r="P397" s="80">
        <f t="shared" si="177"/>
        <v>117.25999999999999</v>
      </c>
      <c r="Q397" s="82">
        <f t="shared" si="178"/>
        <v>148.63</v>
      </c>
      <c r="R397" s="82">
        <f t="shared" si="179"/>
        <v>148.63</v>
      </c>
    </row>
    <row r="398" spans="2:18" s="34" customFormat="1" ht="23.4">
      <c r="B398" s="75" t="s">
        <v>787</v>
      </c>
      <c r="C398" s="76" t="s">
        <v>655</v>
      </c>
      <c r="D398" s="77" t="s">
        <v>82</v>
      </c>
      <c r="E398" s="110">
        <v>739.18</v>
      </c>
      <c r="F398" s="111"/>
      <c r="G398" s="111"/>
      <c r="H398" s="111"/>
      <c r="I398" s="111">
        <f>SUM(G398:H398)+'BM 001'!I398</f>
        <v>0</v>
      </c>
      <c r="J398" s="111">
        <f t="shared" si="168"/>
        <v>739.18</v>
      </c>
      <c r="K398" s="80">
        <v>8</v>
      </c>
      <c r="L398" s="81">
        <f t="shared" si="167"/>
        <v>10.14080088</v>
      </c>
      <c r="M398" s="82">
        <f t="shared" si="175"/>
        <v>0</v>
      </c>
      <c r="N398" s="82">
        <f t="shared" si="176"/>
        <v>0</v>
      </c>
      <c r="O398" s="82">
        <f>N398+'BM 001'!O398</f>
        <v>0</v>
      </c>
      <c r="P398" s="80">
        <f t="shared" si="177"/>
        <v>5913.44</v>
      </c>
      <c r="Q398" s="82">
        <f t="shared" si="178"/>
        <v>7495.87</v>
      </c>
      <c r="R398" s="82">
        <f t="shared" si="179"/>
        <v>7495.87</v>
      </c>
    </row>
    <row r="399" spans="2:18" s="34" customFormat="1" ht="23.4">
      <c r="B399" s="75" t="s">
        <v>788</v>
      </c>
      <c r="C399" s="76" t="s">
        <v>659</v>
      </c>
      <c r="D399" s="77" t="s">
        <v>82</v>
      </c>
      <c r="E399" s="112">
        <v>19.510000000000002</v>
      </c>
      <c r="F399" s="113"/>
      <c r="G399" s="113"/>
      <c r="H399" s="113"/>
      <c r="I399" s="113">
        <f>SUM(G399:H399)+'BM 001'!I399</f>
        <v>0</v>
      </c>
      <c r="J399" s="113">
        <f t="shared" si="168"/>
        <v>19.510000000000002</v>
      </c>
      <c r="K399" s="80">
        <v>23.5</v>
      </c>
      <c r="L399" s="81">
        <f t="shared" si="167"/>
        <v>29.788602585</v>
      </c>
      <c r="M399" s="82">
        <f t="shared" si="175"/>
        <v>0</v>
      </c>
      <c r="N399" s="82">
        <f t="shared" si="176"/>
        <v>0</v>
      </c>
      <c r="O399" s="82">
        <f>N399+'BM 001'!O399</f>
        <v>0</v>
      </c>
      <c r="P399" s="80">
        <f t="shared" si="177"/>
        <v>458.48500000000001</v>
      </c>
      <c r="Q399" s="82">
        <f t="shared" si="178"/>
        <v>581.16999999999996</v>
      </c>
      <c r="R399" s="82">
        <f t="shared" si="179"/>
        <v>581.16999999999996</v>
      </c>
    </row>
    <row r="400" spans="2:18" s="34" customFormat="1" ht="34.799999999999997">
      <c r="B400" s="75" t="s">
        <v>789</v>
      </c>
      <c r="C400" s="76" t="s">
        <v>790</v>
      </c>
      <c r="D400" s="77" t="s">
        <v>82</v>
      </c>
      <c r="E400" s="108">
        <v>609.66</v>
      </c>
      <c r="F400" s="109"/>
      <c r="G400" s="109"/>
      <c r="H400" s="109"/>
      <c r="I400" s="109">
        <f>SUM(G400:H400)+'BM 001'!I400</f>
        <v>0</v>
      </c>
      <c r="J400" s="109">
        <f t="shared" si="168"/>
        <v>609.66</v>
      </c>
      <c r="K400" s="80">
        <v>27.5</v>
      </c>
      <c r="L400" s="81">
        <f t="shared" si="167"/>
        <v>34.859003025</v>
      </c>
      <c r="M400" s="82">
        <f t="shared" si="175"/>
        <v>0</v>
      </c>
      <c r="N400" s="82">
        <f t="shared" si="176"/>
        <v>0</v>
      </c>
      <c r="O400" s="82">
        <f>N400+'BM 001'!O400</f>
        <v>0</v>
      </c>
      <c r="P400" s="80">
        <f t="shared" si="177"/>
        <v>16765.649999999998</v>
      </c>
      <c r="Q400" s="82">
        <f t="shared" si="178"/>
        <v>21252.13</v>
      </c>
      <c r="R400" s="82">
        <f t="shared" si="179"/>
        <v>21252.13</v>
      </c>
    </row>
    <row r="401" spans="2:18" s="34" customFormat="1" ht="34.799999999999997">
      <c r="B401" s="75" t="s">
        <v>791</v>
      </c>
      <c r="C401" s="76" t="s">
        <v>792</v>
      </c>
      <c r="D401" s="77" t="s">
        <v>82</v>
      </c>
      <c r="E401" s="114">
        <v>307.39999999999998</v>
      </c>
      <c r="F401" s="82"/>
      <c r="G401" s="82"/>
      <c r="H401" s="82"/>
      <c r="I401" s="82">
        <f>SUM(G401:H401)+'BM 001'!I401</f>
        <v>0</v>
      </c>
      <c r="J401" s="82">
        <f t="shared" si="168"/>
        <v>307.39999999999998</v>
      </c>
      <c r="K401" s="80">
        <v>74</v>
      </c>
      <c r="L401" s="81">
        <f t="shared" si="167"/>
        <v>93.802408140000011</v>
      </c>
      <c r="M401" s="82">
        <f t="shared" si="175"/>
        <v>0</v>
      </c>
      <c r="N401" s="82">
        <f t="shared" si="176"/>
        <v>0</v>
      </c>
      <c r="O401" s="82">
        <f>N401+'BM 001'!O401</f>
        <v>0</v>
      </c>
      <c r="P401" s="80">
        <f t="shared" si="177"/>
        <v>22747.599999999999</v>
      </c>
      <c r="Q401" s="82">
        <f t="shared" si="178"/>
        <v>28834.86</v>
      </c>
      <c r="R401" s="82">
        <f t="shared" si="179"/>
        <v>28834.86</v>
      </c>
    </row>
    <row r="402" spans="2:18" s="34" customFormat="1" ht="34.799999999999997">
      <c r="B402" s="75" t="s">
        <v>793</v>
      </c>
      <c r="C402" s="76" t="s">
        <v>794</v>
      </c>
      <c r="D402" s="77" t="s">
        <v>82</v>
      </c>
      <c r="E402" s="114">
        <v>340.33</v>
      </c>
      <c r="F402" s="82"/>
      <c r="G402" s="82"/>
      <c r="H402" s="82"/>
      <c r="I402" s="82">
        <f>SUM(G402:H402)+'BM 001'!I402</f>
        <v>0</v>
      </c>
      <c r="J402" s="82">
        <f t="shared" si="168"/>
        <v>340.33</v>
      </c>
      <c r="K402" s="80">
        <v>34.57</v>
      </c>
      <c r="L402" s="81">
        <f t="shared" si="167"/>
        <v>43.820935802699999</v>
      </c>
      <c r="M402" s="82">
        <f t="shared" si="175"/>
        <v>0</v>
      </c>
      <c r="N402" s="82">
        <f t="shared" si="176"/>
        <v>0</v>
      </c>
      <c r="O402" s="82">
        <f>N402+'BM 001'!O402</f>
        <v>0</v>
      </c>
      <c r="P402" s="80">
        <f t="shared" si="177"/>
        <v>11765.2081</v>
      </c>
      <c r="Q402" s="82">
        <f t="shared" si="178"/>
        <v>14913.57</v>
      </c>
      <c r="R402" s="82">
        <f t="shared" si="179"/>
        <v>14913.57</v>
      </c>
    </row>
    <row r="403" spans="2:18" s="34" customFormat="1" ht="23.4">
      <c r="B403" s="75" t="s">
        <v>795</v>
      </c>
      <c r="C403" s="76" t="s">
        <v>796</v>
      </c>
      <c r="D403" s="77" t="s">
        <v>82</v>
      </c>
      <c r="E403" s="114">
        <v>52.07</v>
      </c>
      <c r="F403" s="82"/>
      <c r="G403" s="82"/>
      <c r="H403" s="82"/>
      <c r="I403" s="82">
        <f>SUM(G403:H403)+'BM 001'!I403</f>
        <v>0</v>
      </c>
      <c r="J403" s="82">
        <f t="shared" si="168"/>
        <v>52.07</v>
      </c>
      <c r="K403" s="80">
        <v>165</v>
      </c>
      <c r="L403" s="81">
        <f t="shared" si="167"/>
        <v>209.15401815000001</v>
      </c>
      <c r="M403" s="82">
        <f t="shared" si="175"/>
        <v>0</v>
      </c>
      <c r="N403" s="82">
        <f t="shared" si="176"/>
        <v>0</v>
      </c>
      <c r="O403" s="82">
        <f>N403+'BM 001'!O403</f>
        <v>0</v>
      </c>
      <c r="P403" s="80">
        <f t="shared" si="177"/>
        <v>8591.5499999999993</v>
      </c>
      <c r="Q403" s="82">
        <f t="shared" si="178"/>
        <v>10890.64</v>
      </c>
      <c r="R403" s="82">
        <f t="shared" si="179"/>
        <v>10890.64</v>
      </c>
    </row>
    <row r="404" spans="2:18" s="34" customFormat="1" ht="23.4">
      <c r="B404" s="75" t="s">
        <v>797</v>
      </c>
      <c r="C404" s="76" t="s">
        <v>796</v>
      </c>
      <c r="D404" s="77" t="s">
        <v>82</v>
      </c>
      <c r="E404" s="114">
        <v>3.02</v>
      </c>
      <c r="F404" s="82"/>
      <c r="G404" s="82"/>
      <c r="H404" s="82"/>
      <c r="I404" s="82">
        <f>SUM(G404:H404)+'BM 001'!I404</f>
        <v>0</v>
      </c>
      <c r="J404" s="82">
        <f t="shared" si="168"/>
        <v>3.02</v>
      </c>
      <c r="K404" s="80">
        <v>165</v>
      </c>
      <c r="L404" s="81">
        <f t="shared" si="167"/>
        <v>209.15401815000001</v>
      </c>
      <c r="M404" s="82">
        <f t="shared" si="175"/>
        <v>0</v>
      </c>
      <c r="N404" s="82">
        <f t="shared" si="176"/>
        <v>0</v>
      </c>
      <c r="O404" s="82">
        <f>N404+'BM 001'!O404</f>
        <v>0</v>
      </c>
      <c r="P404" s="80">
        <f t="shared" si="177"/>
        <v>498.3</v>
      </c>
      <c r="Q404" s="82">
        <f t="shared" si="178"/>
        <v>631.64</v>
      </c>
      <c r="R404" s="82">
        <f t="shared" si="179"/>
        <v>631.64</v>
      </c>
    </row>
    <row r="405" spans="2:18" s="34" customFormat="1" ht="23.4">
      <c r="B405" s="75" t="s">
        <v>798</v>
      </c>
      <c r="C405" s="76" t="s">
        <v>799</v>
      </c>
      <c r="D405" s="77" t="s">
        <v>82</v>
      </c>
      <c r="E405" s="114">
        <v>658.8</v>
      </c>
      <c r="F405" s="82"/>
      <c r="G405" s="82"/>
      <c r="H405" s="82"/>
      <c r="I405" s="82">
        <f>SUM(G405:H405)+'BM 001'!I405</f>
        <v>0</v>
      </c>
      <c r="J405" s="82">
        <f t="shared" si="168"/>
        <v>658.8</v>
      </c>
      <c r="K405" s="80">
        <v>65</v>
      </c>
      <c r="L405" s="81">
        <f t="shared" si="167"/>
        <v>82.394007150000007</v>
      </c>
      <c r="M405" s="82">
        <f t="shared" si="175"/>
        <v>0</v>
      </c>
      <c r="N405" s="82">
        <f t="shared" si="176"/>
        <v>0</v>
      </c>
      <c r="O405" s="82">
        <f>N405+'BM 001'!O405</f>
        <v>0</v>
      </c>
      <c r="P405" s="80">
        <f t="shared" si="177"/>
        <v>42822</v>
      </c>
      <c r="Q405" s="82">
        <f t="shared" si="178"/>
        <v>54281.17</v>
      </c>
      <c r="R405" s="82">
        <f t="shared" si="179"/>
        <v>54281.17</v>
      </c>
    </row>
    <row r="406" spans="2:18" s="34" customFormat="1" ht="24">
      <c r="B406" s="66" t="s">
        <v>800</v>
      </c>
      <c r="C406" s="115" t="s">
        <v>801</v>
      </c>
      <c r="D406" s="116"/>
      <c r="E406" s="117"/>
      <c r="F406" s="118"/>
      <c r="G406" s="118"/>
      <c r="H406" s="118"/>
      <c r="I406" s="118">
        <f>SUM(G406:H406)+'BM 001'!I406</f>
        <v>0</v>
      </c>
      <c r="J406" s="118">
        <f t="shared" si="168"/>
        <v>0</v>
      </c>
      <c r="K406" s="119"/>
      <c r="L406" s="119">
        <f t="shared" si="167"/>
        <v>0</v>
      </c>
      <c r="M406" s="73">
        <f t="shared" ref="M406:R406" si="180">SUM(M407:M473)</f>
        <v>0</v>
      </c>
      <c r="N406" s="73">
        <f t="shared" si="180"/>
        <v>0</v>
      </c>
      <c r="O406" s="73">
        <f t="shared" si="180"/>
        <v>0</v>
      </c>
      <c r="P406" s="73">
        <f t="shared" si="180"/>
        <v>84729.980000000025</v>
      </c>
      <c r="Q406" s="73">
        <f t="shared" si="180"/>
        <v>107403.37000000007</v>
      </c>
      <c r="R406" s="73">
        <f t="shared" si="180"/>
        <v>107403.37000000007</v>
      </c>
    </row>
    <row r="407" spans="2:18" s="34" customFormat="1" ht="34.799999999999997">
      <c r="B407" s="75" t="s">
        <v>802</v>
      </c>
      <c r="C407" s="76" t="s">
        <v>803</v>
      </c>
      <c r="D407" s="77" t="s">
        <v>131</v>
      </c>
      <c r="E407" s="93">
        <v>209</v>
      </c>
      <c r="F407" s="79"/>
      <c r="G407" s="79"/>
      <c r="H407" s="79"/>
      <c r="I407" s="79">
        <f>SUM(G407:H407)+'BM 001'!I407</f>
        <v>0</v>
      </c>
      <c r="J407" s="79">
        <f t="shared" si="168"/>
        <v>209</v>
      </c>
      <c r="K407" s="80">
        <v>15.61</v>
      </c>
      <c r="L407" s="81">
        <f t="shared" si="167"/>
        <v>19.787237717100002</v>
      </c>
      <c r="M407" s="82">
        <f t="shared" ref="M407:M438" si="181">TRUNC(F407*L407,2)</f>
        <v>0</v>
      </c>
      <c r="N407" s="82">
        <f t="shared" ref="N407:N438" si="182">TRUNC(G407*L407,2)</f>
        <v>0</v>
      </c>
      <c r="O407" s="82">
        <f>N407+'BM 001'!O407</f>
        <v>0</v>
      </c>
      <c r="P407" s="80">
        <f t="shared" ref="P407:P438" si="183">E407*K407</f>
        <v>3262.49</v>
      </c>
      <c r="Q407" s="82">
        <f t="shared" ref="Q407:Q438" si="184">TRUNC(E407*L407,2)</f>
        <v>4135.53</v>
      </c>
      <c r="R407" s="82">
        <f t="shared" ref="R407:R438" si="185">Q407-O407</f>
        <v>4135.53</v>
      </c>
    </row>
    <row r="408" spans="2:18" s="34" customFormat="1" ht="34.799999999999997">
      <c r="B408" s="75" t="s">
        <v>804</v>
      </c>
      <c r="C408" s="76" t="s">
        <v>805</v>
      </c>
      <c r="D408" s="77" t="s">
        <v>131</v>
      </c>
      <c r="E408" s="93">
        <v>127</v>
      </c>
      <c r="F408" s="79"/>
      <c r="G408" s="79"/>
      <c r="H408" s="79"/>
      <c r="I408" s="79">
        <f>SUM(G408:H408)+'BM 001'!I408</f>
        <v>0</v>
      </c>
      <c r="J408" s="79">
        <f t="shared" si="168"/>
        <v>127</v>
      </c>
      <c r="K408" s="80">
        <v>13.73</v>
      </c>
      <c r="L408" s="81">
        <f t="shared" si="167"/>
        <v>17.404149510300002</v>
      </c>
      <c r="M408" s="82">
        <f t="shared" si="181"/>
        <v>0</v>
      </c>
      <c r="N408" s="82">
        <f t="shared" si="182"/>
        <v>0</v>
      </c>
      <c r="O408" s="82">
        <f>N408+'BM 001'!O408</f>
        <v>0</v>
      </c>
      <c r="P408" s="80">
        <f t="shared" si="183"/>
        <v>1743.71</v>
      </c>
      <c r="Q408" s="82">
        <f t="shared" si="184"/>
        <v>2210.3200000000002</v>
      </c>
      <c r="R408" s="82">
        <f t="shared" si="185"/>
        <v>2210.3200000000002</v>
      </c>
    </row>
    <row r="409" spans="2:18" s="34" customFormat="1" ht="34.799999999999997">
      <c r="B409" s="75" t="s">
        <v>806</v>
      </c>
      <c r="C409" s="76" t="s">
        <v>807</v>
      </c>
      <c r="D409" s="77" t="s">
        <v>131</v>
      </c>
      <c r="E409" s="93">
        <v>286</v>
      </c>
      <c r="F409" s="79"/>
      <c r="G409" s="79"/>
      <c r="H409" s="79"/>
      <c r="I409" s="79">
        <f>SUM(G409:H409)+'BM 001'!I409</f>
        <v>0</v>
      </c>
      <c r="J409" s="79">
        <f t="shared" si="168"/>
        <v>286</v>
      </c>
      <c r="K409" s="80">
        <v>46.17</v>
      </c>
      <c r="L409" s="81">
        <f t="shared" si="167"/>
        <v>58.525097078700007</v>
      </c>
      <c r="M409" s="82">
        <f t="shared" si="181"/>
        <v>0</v>
      </c>
      <c r="N409" s="82">
        <f t="shared" si="182"/>
        <v>0</v>
      </c>
      <c r="O409" s="82">
        <f>N409+'BM 001'!O409</f>
        <v>0</v>
      </c>
      <c r="P409" s="80">
        <f t="shared" si="183"/>
        <v>13204.62</v>
      </c>
      <c r="Q409" s="82">
        <f t="shared" si="184"/>
        <v>16738.169999999998</v>
      </c>
      <c r="R409" s="82">
        <f t="shared" si="185"/>
        <v>16738.169999999998</v>
      </c>
    </row>
    <row r="410" spans="2:18" s="34" customFormat="1" ht="34.799999999999997">
      <c r="B410" s="75" t="s">
        <v>808</v>
      </c>
      <c r="C410" s="76" t="s">
        <v>809</v>
      </c>
      <c r="D410" s="77" t="s">
        <v>131</v>
      </c>
      <c r="E410" s="93">
        <v>2</v>
      </c>
      <c r="F410" s="79"/>
      <c r="G410" s="79"/>
      <c r="H410" s="79"/>
      <c r="I410" s="79">
        <f>SUM(G410:H410)+'BM 001'!I410</f>
        <v>0</v>
      </c>
      <c r="J410" s="79">
        <f t="shared" si="168"/>
        <v>2</v>
      </c>
      <c r="K410" s="80">
        <v>95</v>
      </c>
      <c r="L410" s="81">
        <f t="shared" si="167"/>
        <v>120.42201045</v>
      </c>
      <c r="M410" s="82">
        <f t="shared" si="181"/>
        <v>0</v>
      </c>
      <c r="N410" s="82">
        <f t="shared" si="182"/>
        <v>0</v>
      </c>
      <c r="O410" s="82">
        <f>N410+'BM 001'!O410</f>
        <v>0</v>
      </c>
      <c r="P410" s="80">
        <f t="shared" si="183"/>
        <v>190</v>
      </c>
      <c r="Q410" s="82">
        <f t="shared" si="184"/>
        <v>240.84</v>
      </c>
      <c r="R410" s="82">
        <f t="shared" si="185"/>
        <v>240.84</v>
      </c>
    </row>
    <row r="411" spans="2:18" s="34" customFormat="1" ht="34.799999999999997">
      <c r="B411" s="75" t="s">
        <v>810</v>
      </c>
      <c r="C411" s="76" t="s">
        <v>811</v>
      </c>
      <c r="D411" s="77" t="s">
        <v>131</v>
      </c>
      <c r="E411" s="93">
        <v>4</v>
      </c>
      <c r="F411" s="79"/>
      <c r="G411" s="79"/>
      <c r="H411" s="79"/>
      <c r="I411" s="79">
        <f>SUM(G411:H411)+'BM 001'!I411</f>
        <v>0</v>
      </c>
      <c r="J411" s="79">
        <f t="shared" si="168"/>
        <v>4</v>
      </c>
      <c r="K411" s="80">
        <v>240</v>
      </c>
      <c r="L411" s="81">
        <f t="shared" si="167"/>
        <v>304.22402640000001</v>
      </c>
      <c r="M411" s="82">
        <f t="shared" si="181"/>
        <v>0</v>
      </c>
      <c r="N411" s="82">
        <f t="shared" si="182"/>
        <v>0</v>
      </c>
      <c r="O411" s="82">
        <f>N411+'BM 001'!O411</f>
        <v>0</v>
      </c>
      <c r="P411" s="80">
        <f t="shared" si="183"/>
        <v>960</v>
      </c>
      <c r="Q411" s="82">
        <f t="shared" si="184"/>
        <v>1216.8900000000001</v>
      </c>
      <c r="R411" s="82">
        <f t="shared" si="185"/>
        <v>1216.8900000000001</v>
      </c>
    </row>
    <row r="412" spans="2:18" s="34" customFormat="1" ht="34.799999999999997">
      <c r="B412" s="75" t="s">
        <v>812</v>
      </c>
      <c r="C412" s="76" t="s">
        <v>813</v>
      </c>
      <c r="D412" s="77" t="s">
        <v>131</v>
      </c>
      <c r="E412" s="93">
        <v>412</v>
      </c>
      <c r="F412" s="79"/>
      <c r="G412" s="79"/>
      <c r="H412" s="79"/>
      <c r="I412" s="79">
        <f>SUM(G412:H412)+'BM 001'!I412</f>
        <v>0</v>
      </c>
      <c r="J412" s="79">
        <f t="shared" si="168"/>
        <v>412</v>
      </c>
      <c r="K412" s="80">
        <v>8.31</v>
      </c>
      <c r="L412" s="81">
        <f t="shared" si="167"/>
        <v>10.533756914100001</v>
      </c>
      <c r="M412" s="82">
        <f t="shared" si="181"/>
        <v>0</v>
      </c>
      <c r="N412" s="82">
        <f t="shared" si="182"/>
        <v>0</v>
      </c>
      <c r="O412" s="82">
        <f>N412+'BM 001'!O412</f>
        <v>0</v>
      </c>
      <c r="P412" s="80">
        <f t="shared" si="183"/>
        <v>3423.7200000000003</v>
      </c>
      <c r="Q412" s="82">
        <f t="shared" si="184"/>
        <v>4339.8999999999996</v>
      </c>
      <c r="R412" s="82">
        <f t="shared" si="185"/>
        <v>4339.8999999999996</v>
      </c>
    </row>
    <row r="413" spans="2:18" s="34" customFormat="1" ht="34.799999999999997">
      <c r="B413" s="75" t="s">
        <v>814</v>
      </c>
      <c r="C413" s="76" t="s">
        <v>815</v>
      </c>
      <c r="D413" s="77" t="s">
        <v>131</v>
      </c>
      <c r="E413" s="93">
        <v>2</v>
      </c>
      <c r="F413" s="79"/>
      <c r="G413" s="79"/>
      <c r="H413" s="79"/>
      <c r="I413" s="79">
        <f>SUM(G413:H413)+'BM 001'!I413</f>
        <v>0</v>
      </c>
      <c r="J413" s="79">
        <f t="shared" si="168"/>
        <v>2</v>
      </c>
      <c r="K413" s="80">
        <v>29</v>
      </c>
      <c r="L413" s="81">
        <f t="shared" ref="L413:L476" si="186">K413*(1+$T$26)</f>
        <v>36.760403190000005</v>
      </c>
      <c r="M413" s="82">
        <f t="shared" si="181"/>
        <v>0</v>
      </c>
      <c r="N413" s="82">
        <f t="shared" si="182"/>
        <v>0</v>
      </c>
      <c r="O413" s="82">
        <f>N413+'BM 001'!O413</f>
        <v>0</v>
      </c>
      <c r="P413" s="80">
        <f t="shared" si="183"/>
        <v>58</v>
      </c>
      <c r="Q413" s="82">
        <f t="shared" si="184"/>
        <v>73.52</v>
      </c>
      <c r="R413" s="82">
        <f t="shared" si="185"/>
        <v>73.52</v>
      </c>
    </row>
    <row r="414" spans="2:18" s="34" customFormat="1" ht="46.2">
      <c r="B414" s="75" t="s">
        <v>816</v>
      </c>
      <c r="C414" s="76" t="s">
        <v>817</v>
      </c>
      <c r="D414" s="77" t="s">
        <v>131</v>
      </c>
      <c r="E414" s="93">
        <v>115</v>
      </c>
      <c r="F414" s="79"/>
      <c r="G414" s="79"/>
      <c r="H414" s="79"/>
      <c r="I414" s="79">
        <f>SUM(G414:H414)+'BM 001'!I414</f>
        <v>0</v>
      </c>
      <c r="J414" s="79">
        <f t="shared" si="168"/>
        <v>115</v>
      </c>
      <c r="K414" s="80">
        <v>9.2899999999999991</v>
      </c>
      <c r="L414" s="81">
        <f t="shared" si="186"/>
        <v>11.7760050219</v>
      </c>
      <c r="M414" s="82">
        <f t="shared" si="181"/>
        <v>0</v>
      </c>
      <c r="N414" s="82">
        <f t="shared" si="182"/>
        <v>0</v>
      </c>
      <c r="O414" s="82">
        <f>N414+'BM 001'!O414</f>
        <v>0</v>
      </c>
      <c r="P414" s="80">
        <f t="shared" si="183"/>
        <v>1068.3499999999999</v>
      </c>
      <c r="Q414" s="82">
        <f t="shared" si="184"/>
        <v>1354.24</v>
      </c>
      <c r="R414" s="82">
        <f t="shared" si="185"/>
        <v>1354.24</v>
      </c>
    </row>
    <row r="415" spans="2:18" s="34" customFormat="1" ht="46.2">
      <c r="B415" s="75" t="s">
        <v>818</v>
      </c>
      <c r="C415" s="76" t="s">
        <v>819</v>
      </c>
      <c r="D415" s="77" t="s">
        <v>131</v>
      </c>
      <c r="E415" s="93">
        <v>158</v>
      </c>
      <c r="F415" s="79"/>
      <c r="G415" s="79"/>
      <c r="H415" s="79"/>
      <c r="I415" s="79">
        <f>SUM(G415:H415)+'BM 001'!I415</f>
        <v>0</v>
      </c>
      <c r="J415" s="79">
        <f t="shared" ref="J415:J478" si="187">E415-I415</f>
        <v>158</v>
      </c>
      <c r="K415" s="80">
        <v>14.75</v>
      </c>
      <c r="L415" s="81">
        <f t="shared" si="186"/>
        <v>18.6971016225</v>
      </c>
      <c r="M415" s="82">
        <f t="shared" si="181"/>
        <v>0</v>
      </c>
      <c r="N415" s="82">
        <f t="shared" si="182"/>
        <v>0</v>
      </c>
      <c r="O415" s="82">
        <f>N415+'BM 001'!O415</f>
        <v>0</v>
      </c>
      <c r="P415" s="80">
        <f t="shared" si="183"/>
        <v>2330.5</v>
      </c>
      <c r="Q415" s="82">
        <f t="shared" si="184"/>
        <v>2954.14</v>
      </c>
      <c r="R415" s="82">
        <f t="shared" si="185"/>
        <v>2954.14</v>
      </c>
    </row>
    <row r="416" spans="2:18" s="34" customFormat="1" ht="46.2">
      <c r="B416" s="75" t="s">
        <v>820</v>
      </c>
      <c r="C416" s="76" t="s">
        <v>821</v>
      </c>
      <c r="D416" s="77" t="s">
        <v>131</v>
      </c>
      <c r="E416" s="93">
        <v>28</v>
      </c>
      <c r="F416" s="79"/>
      <c r="G416" s="79"/>
      <c r="H416" s="79"/>
      <c r="I416" s="79">
        <f>SUM(G416:H416)+'BM 001'!I416</f>
        <v>0</v>
      </c>
      <c r="J416" s="79">
        <f t="shared" si="187"/>
        <v>28</v>
      </c>
      <c r="K416" s="80">
        <v>29.5</v>
      </c>
      <c r="L416" s="81">
        <f t="shared" si="186"/>
        <v>37.394203245</v>
      </c>
      <c r="M416" s="82">
        <f t="shared" si="181"/>
        <v>0</v>
      </c>
      <c r="N416" s="82">
        <f t="shared" si="182"/>
        <v>0</v>
      </c>
      <c r="O416" s="82">
        <f>N416+'BM 001'!O416</f>
        <v>0</v>
      </c>
      <c r="P416" s="80">
        <f t="shared" si="183"/>
        <v>826</v>
      </c>
      <c r="Q416" s="82">
        <f t="shared" si="184"/>
        <v>1047.03</v>
      </c>
      <c r="R416" s="82">
        <f t="shared" si="185"/>
        <v>1047.03</v>
      </c>
    </row>
    <row r="417" spans="2:18" s="34" customFormat="1" ht="22.5" customHeight="1">
      <c r="B417" s="75" t="s">
        <v>822</v>
      </c>
      <c r="C417" s="76" t="s">
        <v>823</v>
      </c>
      <c r="D417" s="77" t="s">
        <v>131</v>
      </c>
      <c r="E417" s="93">
        <v>37</v>
      </c>
      <c r="F417" s="79"/>
      <c r="G417" s="79"/>
      <c r="H417" s="79"/>
      <c r="I417" s="79">
        <f>SUM(G417:H417)+'BM 001'!I417</f>
        <v>0</v>
      </c>
      <c r="J417" s="79">
        <f t="shared" si="187"/>
        <v>37</v>
      </c>
      <c r="K417" s="80">
        <v>34.119999999999997</v>
      </c>
      <c r="L417" s="81">
        <f t="shared" si="186"/>
        <v>43.250515753199998</v>
      </c>
      <c r="M417" s="82">
        <f t="shared" si="181"/>
        <v>0</v>
      </c>
      <c r="N417" s="82">
        <f t="shared" si="182"/>
        <v>0</v>
      </c>
      <c r="O417" s="82">
        <f>N417+'BM 001'!O417</f>
        <v>0</v>
      </c>
      <c r="P417" s="80">
        <f t="shared" si="183"/>
        <v>1262.4399999999998</v>
      </c>
      <c r="Q417" s="82">
        <f t="shared" si="184"/>
        <v>1600.26</v>
      </c>
      <c r="R417" s="82">
        <f t="shared" si="185"/>
        <v>1600.26</v>
      </c>
    </row>
    <row r="418" spans="2:18" s="34" customFormat="1" ht="34.799999999999997">
      <c r="B418" s="75" t="s">
        <v>824</v>
      </c>
      <c r="C418" s="76" t="s">
        <v>825</v>
      </c>
      <c r="D418" s="77" t="s">
        <v>131</v>
      </c>
      <c r="E418" s="93">
        <v>77</v>
      </c>
      <c r="F418" s="79"/>
      <c r="G418" s="79"/>
      <c r="H418" s="79"/>
      <c r="I418" s="79">
        <f>SUM(G418:H418)+'BM 001'!I418</f>
        <v>0</v>
      </c>
      <c r="J418" s="79">
        <f t="shared" si="187"/>
        <v>77</v>
      </c>
      <c r="K418" s="80">
        <v>42</v>
      </c>
      <c r="L418" s="81">
        <f t="shared" si="186"/>
        <v>53.239204620000002</v>
      </c>
      <c r="M418" s="82">
        <f t="shared" si="181"/>
        <v>0</v>
      </c>
      <c r="N418" s="82">
        <f t="shared" si="182"/>
        <v>0</v>
      </c>
      <c r="O418" s="82">
        <f>N418+'BM 001'!O418</f>
        <v>0</v>
      </c>
      <c r="P418" s="80">
        <f t="shared" si="183"/>
        <v>3234</v>
      </c>
      <c r="Q418" s="82">
        <f t="shared" si="184"/>
        <v>4099.41</v>
      </c>
      <c r="R418" s="82">
        <f t="shared" si="185"/>
        <v>4099.41</v>
      </c>
    </row>
    <row r="419" spans="2:18" s="34" customFormat="1" ht="34.799999999999997">
      <c r="B419" s="75" t="s">
        <v>826</v>
      </c>
      <c r="C419" s="76" t="s">
        <v>827</v>
      </c>
      <c r="D419" s="77" t="s">
        <v>131</v>
      </c>
      <c r="E419" s="93">
        <v>1</v>
      </c>
      <c r="F419" s="79"/>
      <c r="G419" s="79"/>
      <c r="H419" s="79"/>
      <c r="I419" s="79">
        <f>SUM(G419:H419)+'BM 001'!I419</f>
        <v>0</v>
      </c>
      <c r="J419" s="79">
        <f t="shared" si="187"/>
        <v>1</v>
      </c>
      <c r="K419" s="80">
        <v>88</v>
      </c>
      <c r="L419" s="81">
        <f t="shared" si="186"/>
        <v>111.54880968000001</v>
      </c>
      <c r="M419" s="82">
        <f t="shared" si="181"/>
        <v>0</v>
      </c>
      <c r="N419" s="82">
        <f t="shared" si="182"/>
        <v>0</v>
      </c>
      <c r="O419" s="82">
        <f>N419+'BM 001'!O419</f>
        <v>0</v>
      </c>
      <c r="P419" s="80">
        <f t="shared" si="183"/>
        <v>88</v>
      </c>
      <c r="Q419" s="82">
        <f t="shared" si="184"/>
        <v>111.54</v>
      </c>
      <c r="R419" s="82">
        <f t="shared" si="185"/>
        <v>111.54</v>
      </c>
    </row>
    <row r="420" spans="2:18" s="34" customFormat="1" ht="34.799999999999997">
      <c r="B420" s="75" t="s">
        <v>828</v>
      </c>
      <c r="C420" s="76" t="s">
        <v>829</v>
      </c>
      <c r="D420" s="77" t="s">
        <v>131</v>
      </c>
      <c r="E420" s="93">
        <v>4</v>
      </c>
      <c r="F420" s="79"/>
      <c r="G420" s="79"/>
      <c r="H420" s="79"/>
      <c r="I420" s="79">
        <f>SUM(G420:H420)+'BM 001'!I420</f>
        <v>0</v>
      </c>
      <c r="J420" s="79">
        <f t="shared" si="187"/>
        <v>4</v>
      </c>
      <c r="K420" s="80">
        <v>235</v>
      </c>
      <c r="L420" s="81">
        <f t="shared" si="186"/>
        <v>297.88602585000001</v>
      </c>
      <c r="M420" s="82">
        <f t="shared" si="181"/>
        <v>0</v>
      </c>
      <c r="N420" s="82">
        <f t="shared" si="182"/>
        <v>0</v>
      </c>
      <c r="O420" s="82">
        <f>N420+'BM 001'!O420</f>
        <v>0</v>
      </c>
      <c r="P420" s="80">
        <f t="shared" si="183"/>
        <v>940</v>
      </c>
      <c r="Q420" s="82">
        <f t="shared" si="184"/>
        <v>1191.54</v>
      </c>
      <c r="R420" s="82">
        <f t="shared" si="185"/>
        <v>1191.54</v>
      </c>
    </row>
    <row r="421" spans="2:18" s="34" customFormat="1" ht="46.2">
      <c r="B421" s="75" t="s">
        <v>830</v>
      </c>
      <c r="C421" s="76" t="s">
        <v>831</v>
      </c>
      <c r="D421" s="77" t="s">
        <v>131</v>
      </c>
      <c r="E421" s="93">
        <v>326</v>
      </c>
      <c r="F421" s="79"/>
      <c r="G421" s="79"/>
      <c r="H421" s="79"/>
      <c r="I421" s="79">
        <f>SUM(G421:H421)+'BM 001'!I421</f>
        <v>0</v>
      </c>
      <c r="J421" s="79">
        <f t="shared" si="187"/>
        <v>326</v>
      </c>
      <c r="K421" s="80">
        <v>9.08</v>
      </c>
      <c r="L421" s="81">
        <f t="shared" si="186"/>
        <v>11.509808998800001</v>
      </c>
      <c r="M421" s="82">
        <f t="shared" si="181"/>
        <v>0</v>
      </c>
      <c r="N421" s="82">
        <f t="shared" si="182"/>
        <v>0</v>
      </c>
      <c r="O421" s="82">
        <f>N421+'BM 001'!O421</f>
        <v>0</v>
      </c>
      <c r="P421" s="80">
        <f t="shared" si="183"/>
        <v>2960.08</v>
      </c>
      <c r="Q421" s="82">
        <f t="shared" si="184"/>
        <v>3752.19</v>
      </c>
      <c r="R421" s="82">
        <f t="shared" si="185"/>
        <v>3752.19</v>
      </c>
    </row>
    <row r="422" spans="2:18" s="34" customFormat="1" ht="34.799999999999997">
      <c r="B422" s="75" t="s">
        <v>832</v>
      </c>
      <c r="C422" s="76" t="s">
        <v>833</v>
      </c>
      <c r="D422" s="77" t="s">
        <v>131</v>
      </c>
      <c r="E422" s="93">
        <v>166</v>
      </c>
      <c r="F422" s="79"/>
      <c r="G422" s="79"/>
      <c r="H422" s="79"/>
      <c r="I422" s="79">
        <f>SUM(G422:H422)+'BM 001'!I422</f>
        <v>0</v>
      </c>
      <c r="J422" s="79">
        <f t="shared" si="187"/>
        <v>166</v>
      </c>
      <c r="K422" s="80">
        <v>9.4600000000000009</v>
      </c>
      <c r="L422" s="81">
        <f t="shared" si="186"/>
        <v>11.991497040600002</v>
      </c>
      <c r="M422" s="82">
        <f t="shared" si="181"/>
        <v>0</v>
      </c>
      <c r="N422" s="82">
        <f t="shared" si="182"/>
        <v>0</v>
      </c>
      <c r="O422" s="82">
        <f>N422+'BM 001'!O422</f>
        <v>0</v>
      </c>
      <c r="P422" s="80">
        <f t="shared" si="183"/>
        <v>1570.3600000000001</v>
      </c>
      <c r="Q422" s="82">
        <f t="shared" si="184"/>
        <v>1990.58</v>
      </c>
      <c r="R422" s="82">
        <f t="shared" si="185"/>
        <v>1990.58</v>
      </c>
    </row>
    <row r="423" spans="2:18" s="34" customFormat="1" ht="13.2">
      <c r="B423" s="75" t="s">
        <v>834</v>
      </c>
      <c r="C423" s="76" t="s">
        <v>747</v>
      </c>
      <c r="D423" s="77" t="s">
        <v>131</v>
      </c>
      <c r="E423" s="93">
        <v>96</v>
      </c>
      <c r="F423" s="79"/>
      <c r="G423" s="79"/>
      <c r="H423" s="79"/>
      <c r="I423" s="79">
        <f>SUM(G423:H423)+'BM 001'!I423</f>
        <v>0</v>
      </c>
      <c r="J423" s="79">
        <f t="shared" si="187"/>
        <v>96</v>
      </c>
      <c r="K423" s="80">
        <v>5.14</v>
      </c>
      <c r="L423" s="81">
        <f t="shared" si="186"/>
        <v>6.5154645654000003</v>
      </c>
      <c r="M423" s="82">
        <f t="shared" si="181"/>
        <v>0</v>
      </c>
      <c r="N423" s="82">
        <f t="shared" si="182"/>
        <v>0</v>
      </c>
      <c r="O423" s="82">
        <f>N423+'BM 001'!O423</f>
        <v>0</v>
      </c>
      <c r="P423" s="80">
        <f t="shared" si="183"/>
        <v>493.43999999999994</v>
      </c>
      <c r="Q423" s="82">
        <f t="shared" si="184"/>
        <v>625.48</v>
      </c>
      <c r="R423" s="82">
        <f t="shared" si="185"/>
        <v>625.48</v>
      </c>
    </row>
    <row r="424" spans="2:18" s="34" customFormat="1" ht="46.2">
      <c r="B424" s="75" t="s">
        <v>835</v>
      </c>
      <c r="C424" s="76" t="s">
        <v>836</v>
      </c>
      <c r="D424" s="77" t="s">
        <v>131</v>
      </c>
      <c r="E424" s="93">
        <v>26</v>
      </c>
      <c r="F424" s="79"/>
      <c r="G424" s="79"/>
      <c r="H424" s="79"/>
      <c r="I424" s="79">
        <f>SUM(G424:H424)+'BM 001'!I424</f>
        <v>0</v>
      </c>
      <c r="J424" s="79">
        <f t="shared" si="187"/>
        <v>26</v>
      </c>
      <c r="K424" s="80">
        <v>21.35</v>
      </c>
      <c r="L424" s="81">
        <f t="shared" si="186"/>
        <v>27.063262348500004</v>
      </c>
      <c r="M424" s="82">
        <f t="shared" si="181"/>
        <v>0</v>
      </c>
      <c r="N424" s="82">
        <f t="shared" si="182"/>
        <v>0</v>
      </c>
      <c r="O424" s="82">
        <f>N424+'BM 001'!O424</f>
        <v>0</v>
      </c>
      <c r="P424" s="80">
        <f t="shared" si="183"/>
        <v>555.1</v>
      </c>
      <c r="Q424" s="82">
        <f t="shared" si="184"/>
        <v>703.64</v>
      </c>
      <c r="R424" s="82">
        <f t="shared" si="185"/>
        <v>703.64</v>
      </c>
    </row>
    <row r="425" spans="2:18" s="34" customFormat="1" ht="46.2">
      <c r="B425" s="75" t="s">
        <v>837</v>
      </c>
      <c r="C425" s="76" t="s">
        <v>838</v>
      </c>
      <c r="D425" s="77" t="s">
        <v>131</v>
      </c>
      <c r="E425" s="93">
        <v>86</v>
      </c>
      <c r="F425" s="79"/>
      <c r="G425" s="79"/>
      <c r="H425" s="79"/>
      <c r="I425" s="79">
        <f>SUM(G425:H425)+'BM 001'!I425</f>
        <v>0</v>
      </c>
      <c r="J425" s="79">
        <f t="shared" si="187"/>
        <v>86</v>
      </c>
      <c r="K425" s="80">
        <v>25.91</v>
      </c>
      <c r="L425" s="81">
        <f t="shared" si="186"/>
        <v>32.843518850100004</v>
      </c>
      <c r="M425" s="82">
        <f t="shared" si="181"/>
        <v>0</v>
      </c>
      <c r="N425" s="82">
        <f t="shared" si="182"/>
        <v>0</v>
      </c>
      <c r="O425" s="82">
        <f>N425+'BM 001'!O425</f>
        <v>0</v>
      </c>
      <c r="P425" s="80">
        <f t="shared" si="183"/>
        <v>2228.2600000000002</v>
      </c>
      <c r="Q425" s="82">
        <f t="shared" si="184"/>
        <v>2824.54</v>
      </c>
      <c r="R425" s="82">
        <f t="shared" si="185"/>
        <v>2824.54</v>
      </c>
    </row>
    <row r="426" spans="2:18" s="34" customFormat="1" ht="34.799999999999997">
      <c r="B426" s="75" t="s">
        <v>839</v>
      </c>
      <c r="C426" s="76" t="s">
        <v>840</v>
      </c>
      <c r="D426" s="77" t="s">
        <v>131</v>
      </c>
      <c r="E426" s="93">
        <v>19</v>
      </c>
      <c r="F426" s="79"/>
      <c r="G426" s="79"/>
      <c r="H426" s="79"/>
      <c r="I426" s="79">
        <f>SUM(G426:H426)+'BM 001'!I426</f>
        <v>0</v>
      </c>
      <c r="J426" s="79">
        <f t="shared" si="187"/>
        <v>19</v>
      </c>
      <c r="K426" s="80">
        <v>100.92</v>
      </c>
      <c r="L426" s="81">
        <f t="shared" si="186"/>
        <v>127.9262031012</v>
      </c>
      <c r="M426" s="82">
        <f t="shared" si="181"/>
        <v>0</v>
      </c>
      <c r="N426" s="82">
        <f t="shared" si="182"/>
        <v>0</v>
      </c>
      <c r="O426" s="82">
        <f>N426+'BM 001'!O426</f>
        <v>0</v>
      </c>
      <c r="P426" s="80">
        <f t="shared" si="183"/>
        <v>1917.48</v>
      </c>
      <c r="Q426" s="82">
        <f t="shared" si="184"/>
        <v>2430.59</v>
      </c>
      <c r="R426" s="82">
        <f t="shared" si="185"/>
        <v>2430.59</v>
      </c>
    </row>
    <row r="427" spans="2:18" s="34" customFormat="1" ht="34.799999999999997">
      <c r="B427" s="75" t="s">
        <v>841</v>
      </c>
      <c r="C427" s="76" t="s">
        <v>842</v>
      </c>
      <c r="D427" s="77" t="s">
        <v>131</v>
      </c>
      <c r="E427" s="93">
        <v>1</v>
      </c>
      <c r="F427" s="79"/>
      <c r="G427" s="79"/>
      <c r="H427" s="79"/>
      <c r="I427" s="79">
        <f>SUM(G427:H427)+'BM 001'!I427</f>
        <v>0</v>
      </c>
      <c r="J427" s="79">
        <f t="shared" si="187"/>
        <v>1</v>
      </c>
      <c r="K427" s="80">
        <v>135</v>
      </c>
      <c r="L427" s="81">
        <f t="shared" si="186"/>
        <v>171.12601485000002</v>
      </c>
      <c r="M427" s="82">
        <f t="shared" si="181"/>
        <v>0</v>
      </c>
      <c r="N427" s="82">
        <f t="shared" si="182"/>
        <v>0</v>
      </c>
      <c r="O427" s="82">
        <f>N427+'BM 001'!O427</f>
        <v>0</v>
      </c>
      <c r="P427" s="80">
        <f t="shared" si="183"/>
        <v>135</v>
      </c>
      <c r="Q427" s="82">
        <f t="shared" si="184"/>
        <v>171.12</v>
      </c>
      <c r="R427" s="82">
        <f t="shared" si="185"/>
        <v>171.12</v>
      </c>
    </row>
    <row r="428" spans="2:18" s="34" customFormat="1" ht="34.799999999999997">
      <c r="B428" s="75" t="s">
        <v>843</v>
      </c>
      <c r="C428" s="76" t="s">
        <v>844</v>
      </c>
      <c r="D428" s="77" t="s">
        <v>131</v>
      </c>
      <c r="E428" s="93">
        <v>38</v>
      </c>
      <c r="F428" s="79"/>
      <c r="G428" s="79"/>
      <c r="H428" s="79"/>
      <c r="I428" s="79">
        <f>SUM(G428:H428)+'BM 001'!I428</f>
        <v>0</v>
      </c>
      <c r="J428" s="79">
        <f t="shared" si="187"/>
        <v>38</v>
      </c>
      <c r="K428" s="80">
        <v>9.08</v>
      </c>
      <c r="L428" s="81">
        <f t="shared" si="186"/>
        <v>11.509808998800001</v>
      </c>
      <c r="M428" s="82">
        <f t="shared" si="181"/>
        <v>0</v>
      </c>
      <c r="N428" s="82">
        <f t="shared" si="182"/>
        <v>0</v>
      </c>
      <c r="O428" s="82">
        <f>N428+'BM 001'!O428</f>
        <v>0</v>
      </c>
      <c r="P428" s="80">
        <f t="shared" si="183"/>
        <v>345.04</v>
      </c>
      <c r="Q428" s="82">
        <f t="shared" si="184"/>
        <v>437.37</v>
      </c>
      <c r="R428" s="82">
        <f t="shared" si="185"/>
        <v>437.37</v>
      </c>
    </row>
    <row r="429" spans="2:18" s="34" customFormat="1" ht="34.799999999999997">
      <c r="B429" s="75" t="s">
        <v>845</v>
      </c>
      <c r="C429" s="76" t="s">
        <v>846</v>
      </c>
      <c r="D429" s="77" t="s">
        <v>131</v>
      </c>
      <c r="E429" s="93">
        <v>38</v>
      </c>
      <c r="F429" s="79"/>
      <c r="G429" s="79"/>
      <c r="H429" s="79"/>
      <c r="I429" s="79">
        <f>SUM(G429:H429)+'BM 001'!I429</f>
        <v>0</v>
      </c>
      <c r="J429" s="79">
        <f t="shared" si="187"/>
        <v>38</v>
      </c>
      <c r="K429" s="80">
        <v>25.03</v>
      </c>
      <c r="L429" s="81">
        <f t="shared" si="186"/>
        <v>31.728030753300004</v>
      </c>
      <c r="M429" s="82">
        <f t="shared" si="181"/>
        <v>0</v>
      </c>
      <c r="N429" s="82">
        <f t="shared" si="182"/>
        <v>0</v>
      </c>
      <c r="O429" s="82">
        <f>N429+'BM 001'!O429</f>
        <v>0</v>
      </c>
      <c r="P429" s="80">
        <f t="shared" si="183"/>
        <v>951.1400000000001</v>
      </c>
      <c r="Q429" s="82">
        <f t="shared" si="184"/>
        <v>1205.6600000000001</v>
      </c>
      <c r="R429" s="82">
        <f t="shared" si="185"/>
        <v>1205.6600000000001</v>
      </c>
    </row>
    <row r="430" spans="2:18" s="34" customFormat="1" ht="34.799999999999997">
      <c r="B430" s="75" t="s">
        <v>847</v>
      </c>
      <c r="C430" s="76" t="s">
        <v>848</v>
      </c>
      <c r="D430" s="77" t="s">
        <v>131</v>
      </c>
      <c r="E430" s="93">
        <v>9</v>
      </c>
      <c r="F430" s="79"/>
      <c r="G430" s="79"/>
      <c r="H430" s="79"/>
      <c r="I430" s="79">
        <f>SUM(G430:H430)+'BM 001'!I430</f>
        <v>0</v>
      </c>
      <c r="J430" s="79">
        <f t="shared" si="187"/>
        <v>9</v>
      </c>
      <c r="K430" s="80">
        <v>38.549999999999997</v>
      </c>
      <c r="L430" s="81">
        <f t="shared" si="186"/>
        <v>48.865984240499998</v>
      </c>
      <c r="M430" s="82">
        <f t="shared" si="181"/>
        <v>0</v>
      </c>
      <c r="N430" s="82">
        <f t="shared" si="182"/>
        <v>0</v>
      </c>
      <c r="O430" s="82">
        <f>N430+'BM 001'!O430</f>
        <v>0</v>
      </c>
      <c r="P430" s="80">
        <f t="shared" si="183"/>
        <v>346.95</v>
      </c>
      <c r="Q430" s="82">
        <f t="shared" si="184"/>
        <v>439.79</v>
      </c>
      <c r="R430" s="82">
        <f t="shared" si="185"/>
        <v>439.79</v>
      </c>
    </row>
    <row r="431" spans="2:18" s="34" customFormat="1" ht="34.799999999999997">
      <c r="B431" s="75" t="s">
        <v>849</v>
      </c>
      <c r="C431" s="76" t="s">
        <v>850</v>
      </c>
      <c r="D431" s="77" t="s">
        <v>131</v>
      </c>
      <c r="E431" s="93">
        <v>24</v>
      </c>
      <c r="F431" s="79"/>
      <c r="G431" s="79"/>
      <c r="H431" s="79"/>
      <c r="I431" s="79">
        <f>SUM(G431:H431)+'BM 001'!I431</f>
        <v>0</v>
      </c>
      <c r="J431" s="79">
        <f t="shared" si="187"/>
        <v>24</v>
      </c>
      <c r="K431" s="80">
        <v>48.29</v>
      </c>
      <c r="L431" s="81">
        <f t="shared" si="186"/>
        <v>61.212409311900004</v>
      </c>
      <c r="M431" s="82">
        <f t="shared" si="181"/>
        <v>0</v>
      </c>
      <c r="N431" s="82">
        <f t="shared" si="182"/>
        <v>0</v>
      </c>
      <c r="O431" s="82">
        <f>N431+'BM 001'!O431</f>
        <v>0</v>
      </c>
      <c r="P431" s="80">
        <f t="shared" si="183"/>
        <v>1158.96</v>
      </c>
      <c r="Q431" s="82">
        <f t="shared" si="184"/>
        <v>1469.09</v>
      </c>
      <c r="R431" s="82">
        <f t="shared" si="185"/>
        <v>1469.09</v>
      </c>
    </row>
    <row r="432" spans="2:18" s="34" customFormat="1" ht="23.4">
      <c r="B432" s="75" t="s">
        <v>851</v>
      </c>
      <c r="C432" s="76" t="s">
        <v>852</v>
      </c>
      <c r="D432" s="77" t="s">
        <v>131</v>
      </c>
      <c r="E432" s="93">
        <v>64</v>
      </c>
      <c r="F432" s="79"/>
      <c r="G432" s="79"/>
      <c r="H432" s="79"/>
      <c r="I432" s="79">
        <f>SUM(G432:H432)+'BM 001'!I432</f>
        <v>0</v>
      </c>
      <c r="J432" s="79">
        <f t="shared" si="187"/>
        <v>64</v>
      </c>
      <c r="K432" s="80">
        <v>28.98</v>
      </c>
      <c r="L432" s="81">
        <f t="shared" si="186"/>
        <v>36.735051187800003</v>
      </c>
      <c r="M432" s="82">
        <f t="shared" si="181"/>
        <v>0</v>
      </c>
      <c r="N432" s="82">
        <f t="shared" si="182"/>
        <v>0</v>
      </c>
      <c r="O432" s="82">
        <f>N432+'BM 001'!O432</f>
        <v>0</v>
      </c>
      <c r="P432" s="80">
        <f t="shared" si="183"/>
        <v>1854.72</v>
      </c>
      <c r="Q432" s="82">
        <f t="shared" si="184"/>
        <v>2351.04</v>
      </c>
      <c r="R432" s="82">
        <f t="shared" si="185"/>
        <v>2351.04</v>
      </c>
    </row>
    <row r="433" spans="2:18" s="34" customFormat="1" ht="23.4">
      <c r="B433" s="75" t="s">
        <v>853</v>
      </c>
      <c r="C433" s="76" t="s">
        <v>854</v>
      </c>
      <c r="D433" s="77" t="s">
        <v>131</v>
      </c>
      <c r="E433" s="93">
        <v>69</v>
      </c>
      <c r="F433" s="79"/>
      <c r="G433" s="79"/>
      <c r="H433" s="79"/>
      <c r="I433" s="79">
        <f>SUM(G433:H433)+'BM 001'!I433</f>
        <v>0</v>
      </c>
      <c r="J433" s="79">
        <f t="shared" si="187"/>
        <v>69</v>
      </c>
      <c r="K433" s="80">
        <v>44.64</v>
      </c>
      <c r="L433" s="81">
        <f t="shared" si="186"/>
        <v>56.585668910400003</v>
      </c>
      <c r="M433" s="82">
        <f t="shared" si="181"/>
        <v>0</v>
      </c>
      <c r="N433" s="82">
        <f t="shared" si="182"/>
        <v>0</v>
      </c>
      <c r="O433" s="82">
        <f>N433+'BM 001'!O433</f>
        <v>0</v>
      </c>
      <c r="P433" s="80">
        <f t="shared" si="183"/>
        <v>3080.16</v>
      </c>
      <c r="Q433" s="82">
        <f t="shared" si="184"/>
        <v>3904.41</v>
      </c>
      <c r="R433" s="82">
        <f t="shared" si="185"/>
        <v>3904.41</v>
      </c>
    </row>
    <row r="434" spans="2:18" s="34" customFormat="1" ht="23.4">
      <c r="B434" s="75" t="s">
        <v>855</v>
      </c>
      <c r="C434" s="76" t="s">
        <v>856</v>
      </c>
      <c r="D434" s="77" t="s">
        <v>131</v>
      </c>
      <c r="E434" s="93">
        <v>1</v>
      </c>
      <c r="F434" s="79"/>
      <c r="G434" s="79"/>
      <c r="H434" s="79"/>
      <c r="I434" s="79">
        <f>SUM(G434:H434)+'BM 001'!I434</f>
        <v>0</v>
      </c>
      <c r="J434" s="79">
        <f t="shared" si="187"/>
        <v>1</v>
      </c>
      <c r="K434" s="80">
        <v>51.15</v>
      </c>
      <c r="L434" s="81">
        <f t="shared" si="186"/>
        <v>64.837745626499995</v>
      </c>
      <c r="M434" s="82">
        <f t="shared" si="181"/>
        <v>0</v>
      </c>
      <c r="N434" s="82">
        <f t="shared" si="182"/>
        <v>0</v>
      </c>
      <c r="O434" s="82">
        <f>N434+'BM 001'!O434</f>
        <v>0</v>
      </c>
      <c r="P434" s="80">
        <f t="shared" si="183"/>
        <v>51.15</v>
      </c>
      <c r="Q434" s="82">
        <f t="shared" si="184"/>
        <v>64.83</v>
      </c>
      <c r="R434" s="82">
        <f t="shared" si="185"/>
        <v>64.83</v>
      </c>
    </row>
    <row r="435" spans="2:18" s="34" customFormat="1" ht="23.4">
      <c r="B435" s="75" t="s">
        <v>857</v>
      </c>
      <c r="C435" s="76" t="s">
        <v>858</v>
      </c>
      <c r="D435" s="77" t="s">
        <v>131</v>
      </c>
      <c r="E435" s="93">
        <v>52</v>
      </c>
      <c r="F435" s="79"/>
      <c r="G435" s="79"/>
      <c r="H435" s="79"/>
      <c r="I435" s="79">
        <f>SUM(G435:H435)+'BM 001'!I435</f>
        <v>0</v>
      </c>
      <c r="J435" s="79">
        <f t="shared" si="187"/>
        <v>52</v>
      </c>
      <c r="K435" s="80">
        <v>140</v>
      </c>
      <c r="L435" s="81">
        <f t="shared" si="186"/>
        <v>177.46401539999999</v>
      </c>
      <c r="M435" s="82">
        <f t="shared" si="181"/>
        <v>0</v>
      </c>
      <c r="N435" s="82">
        <f t="shared" si="182"/>
        <v>0</v>
      </c>
      <c r="O435" s="82">
        <f>N435+'BM 001'!O435</f>
        <v>0</v>
      </c>
      <c r="P435" s="80">
        <f t="shared" si="183"/>
        <v>7280</v>
      </c>
      <c r="Q435" s="82">
        <f t="shared" si="184"/>
        <v>9228.1200000000008</v>
      </c>
      <c r="R435" s="82">
        <f t="shared" si="185"/>
        <v>9228.1200000000008</v>
      </c>
    </row>
    <row r="436" spans="2:18" s="34" customFormat="1" ht="34.799999999999997">
      <c r="B436" s="75" t="s">
        <v>859</v>
      </c>
      <c r="C436" s="76" t="s">
        <v>860</v>
      </c>
      <c r="D436" s="77" t="s">
        <v>131</v>
      </c>
      <c r="E436" s="93">
        <v>68</v>
      </c>
      <c r="F436" s="79"/>
      <c r="G436" s="79"/>
      <c r="H436" s="79"/>
      <c r="I436" s="79">
        <f>SUM(G436:H436)+'BM 001'!I436</f>
        <v>0</v>
      </c>
      <c r="J436" s="79">
        <f t="shared" si="187"/>
        <v>68</v>
      </c>
      <c r="K436" s="80">
        <v>80</v>
      </c>
      <c r="L436" s="81">
        <f t="shared" si="186"/>
        <v>101.4080088</v>
      </c>
      <c r="M436" s="82">
        <f t="shared" si="181"/>
        <v>0</v>
      </c>
      <c r="N436" s="82">
        <f t="shared" si="182"/>
        <v>0</v>
      </c>
      <c r="O436" s="82">
        <f>N436+'BM 001'!O436</f>
        <v>0</v>
      </c>
      <c r="P436" s="80">
        <f t="shared" si="183"/>
        <v>5440</v>
      </c>
      <c r="Q436" s="82">
        <f t="shared" si="184"/>
        <v>6895.74</v>
      </c>
      <c r="R436" s="82">
        <f t="shared" si="185"/>
        <v>6895.74</v>
      </c>
    </row>
    <row r="437" spans="2:18" s="34" customFormat="1" ht="23.4">
      <c r="B437" s="75" t="s">
        <v>861</v>
      </c>
      <c r="C437" s="76" t="s">
        <v>862</v>
      </c>
      <c r="D437" s="77" t="s">
        <v>131</v>
      </c>
      <c r="E437" s="93">
        <v>10</v>
      </c>
      <c r="F437" s="79"/>
      <c r="G437" s="79"/>
      <c r="H437" s="79"/>
      <c r="I437" s="79">
        <f>SUM(G437:H437)+'BM 001'!I437</f>
        <v>0</v>
      </c>
      <c r="J437" s="79">
        <f t="shared" si="187"/>
        <v>10</v>
      </c>
      <c r="K437" s="80">
        <v>18.14</v>
      </c>
      <c r="L437" s="81">
        <f t="shared" si="186"/>
        <v>22.994265995400003</v>
      </c>
      <c r="M437" s="82">
        <f t="shared" si="181"/>
        <v>0</v>
      </c>
      <c r="N437" s="82">
        <f t="shared" si="182"/>
        <v>0</v>
      </c>
      <c r="O437" s="82">
        <f>N437+'BM 001'!O437</f>
        <v>0</v>
      </c>
      <c r="P437" s="80">
        <f t="shared" si="183"/>
        <v>181.4</v>
      </c>
      <c r="Q437" s="82">
        <f t="shared" si="184"/>
        <v>229.94</v>
      </c>
      <c r="R437" s="82">
        <f t="shared" si="185"/>
        <v>229.94</v>
      </c>
    </row>
    <row r="438" spans="2:18" s="34" customFormat="1" ht="23.4">
      <c r="B438" s="75" t="s">
        <v>863</v>
      </c>
      <c r="C438" s="76" t="s">
        <v>864</v>
      </c>
      <c r="D438" s="77" t="s">
        <v>131</v>
      </c>
      <c r="E438" s="93">
        <v>54</v>
      </c>
      <c r="F438" s="79"/>
      <c r="G438" s="79"/>
      <c r="H438" s="79"/>
      <c r="I438" s="79">
        <f>SUM(G438:H438)+'BM 001'!I438</f>
        <v>0</v>
      </c>
      <c r="J438" s="79">
        <f t="shared" si="187"/>
        <v>54</v>
      </c>
      <c r="K438" s="80">
        <v>21.55</v>
      </c>
      <c r="L438" s="81">
        <f t="shared" si="186"/>
        <v>27.316782370500004</v>
      </c>
      <c r="M438" s="82">
        <f t="shared" si="181"/>
        <v>0</v>
      </c>
      <c r="N438" s="82">
        <f t="shared" si="182"/>
        <v>0</v>
      </c>
      <c r="O438" s="82">
        <f>N438+'BM 001'!O438</f>
        <v>0</v>
      </c>
      <c r="P438" s="80">
        <f t="shared" si="183"/>
        <v>1163.7</v>
      </c>
      <c r="Q438" s="82">
        <f t="shared" si="184"/>
        <v>1475.1</v>
      </c>
      <c r="R438" s="82">
        <f t="shared" si="185"/>
        <v>1475.1</v>
      </c>
    </row>
    <row r="439" spans="2:18" s="34" customFormat="1" ht="23.4">
      <c r="B439" s="75" t="s">
        <v>865</v>
      </c>
      <c r="C439" s="76" t="s">
        <v>866</v>
      </c>
      <c r="D439" s="77" t="s">
        <v>131</v>
      </c>
      <c r="E439" s="93">
        <v>7</v>
      </c>
      <c r="F439" s="79"/>
      <c r="G439" s="79"/>
      <c r="H439" s="79"/>
      <c r="I439" s="79">
        <f>SUM(G439:H439)+'BM 001'!I439</f>
        <v>0</v>
      </c>
      <c r="J439" s="79">
        <f t="shared" si="187"/>
        <v>7</v>
      </c>
      <c r="K439" s="80">
        <v>22.95</v>
      </c>
      <c r="L439" s="81">
        <f t="shared" si="186"/>
        <v>29.0914225245</v>
      </c>
      <c r="M439" s="82">
        <f t="shared" ref="M439:M470" si="188">TRUNC(F439*L439,2)</f>
        <v>0</v>
      </c>
      <c r="N439" s="82">
        <f t="shared" ref="N439:N473" si="189">TRUNC(G439*L439,2)</f>
        <v>0</v>
      </c>
      <c r="O439" s="82">
        <f>N439+'BM 001'!O439</f>
        <v>0</v>
      </c>
      <c r="P439" s="80">
        <f t="shared" ref="P439:P464" si="190">E439*K439</f>
        <v>160.65</v>
      </c>
      <c r="Q439" s="82">
        <f t="shared" ref="Q439:Q473" si="191">TRUNC(E439*L439,2)</f>
        <v>203.63</v>
      </c>
      <c r="R439" s="82">
        <f t="shared" ref="R439:R470" si="192">Q439-O439</f>
        <v>203.63</v>
      </c>
    </row>
    <row r="440" spans="2:18" s="34" customFormat="1" ht="23.4">
      <c r="B440" s="75" t="s">
        <v>867</v>
      </c>
      <c r="C440" s="76" t="s">
        <v>868</v>
      </c>
      <c r="D440" s="77" t="s">
        <v>131</v>
      </c>
      <c r="E440" s="93">
        <v>48</v>
      </c>
      <c r="F440" s="79"/>
      <c r="G440" s="79"/>
      <c r="H440" s="79"/>
      <c r="I440" s="79">
        <f>SUM(G440:H440)+'BM 001'!I440</f>
        <v>0</v>
      </c>
      <c r="J440" s="79">
        <f t="shared" si="187"/>
        <v>48</v>
      </c>
      <c r="K440" s="80">
        <v>49</v>
      </c>
      <c r="L440" s="81">
        <f t="shared" si="186"/>
        <v>62.112405390000006</v>
      </c>
      <c r="M440" s="82">
        <f t="shared" si="188"/>
        <v>0</v>
      </c>
      <c r="N440" s="82">
        <f t="shared" si="189"/>
        <v>0</v>
      </c>
      <c r="O440" s="82">
        <f>N440+'BM 001'!O440</f>
        <v>0</v>
      </c>
      <c r="P440" s="80">
        <f t="shared" si="190"/>
        <v>2352</v>
      </c>
      <c r="Q440" s="82">
        <f t="shared" si="191"/>
        <v>2981.39</v>
      </c>
      <c r="R440" s="82">
        <f t="shared" si="192"/>
        <v>2981.39</v>
      </c>
    </row>
    <row r="441" spans="2:18" s="34" customFormat="1" ht="23.4">
      <c r="B441" s="75" t="s">
        <v>869</v>
      </c>
      <c r="C441" s="76" t="s">
        <v>870</v>
      </c>
      <c r="D441" s="77" t="s">
        <v>131</v>
      </c>
      <c r="E441" s="93">
        <v>1</v>
      </c>
      <c r="F441" s="79"/>
      <c r="G441" s="79"/>
      <c r="H441" s="79"/>
      <c r="I441" s="79">
        <f>SUM(G441:H441)+'BM 001'!I441</f>
        <v>0</v>
      </c>
      <c r="J441" s="79">
        <f t="shared" si="187"/>
        <v>1</v>
      </c>
      <c r="K441" s="80">
        <v>37.4</v>
      </c>
      <c r="L441" s="81">
        <f t="shared" si="186"/>
        <v>47.408244113999999</v>
      </c>
      <c r="M441" s="82">
        <f t="shared" si="188"/>
        <v>0</v>
      </c>
      <c r="N441" s="82">
        <f t="shared" si="189"/>
        <v>0</v>
      </c>
      <c r="O441" s="82">
        <f>N441+'BM 001'!O441</f>
        <v>0</v>
      </c>
      <c r="P441" s="80">
        <f t="shared" si="190"/>
        <v>37.4</v>
      </c>
      <c r="Q441" s="82">
        <f t="shared" si="191"/>
        <v>47.4</v>
      </c>
      <c r="R441" s="82">
        <f t="shared" si="192"/>
        <v>47.4</v>
      </c>
    </row>
    <row r="442" spans="2:18" s="34" customFormat="1" ht="23.4">
      <c r="B442" s="75" t="s">
        <v>871</v>
      </c>
      <c r="C442" s="76" t="s">
        <v>872</v>
      </c>
      <c r="D442" s="77" t="s">
        <v>131</v>
      </c>
      <c r="E442" s="93">
        <v>2</v>
      </c>
      <c r="F442" s="79"/>
      <c r="G442" s="79"/>
      <c r="H442" s="79"/>
      <c r="I442" s="79">
        <f>SUM(G442:H442)+'BM 001'!I442</f>
        <v>0</v>
      </c>
      <c r="J442" s="79">
        <f t="shared" si="187"/>
        <v>2</v>
      </c>
      <c r="K442" s="80">
        <v>78.239999999999995</v>
      </c>
      <c r="L442" s="81">
        <f t="shared" si="186"/>
        <v>99.177032606400005</v>
      </c>
      <c r="M442" s="82">
        <f t="shared" si="188"/>
        <v>0</v>
      </c>
      <c r="N442" s="82">
        <f t="shared" si="189"/>
        <v>0</v>
      </c>
      <c r="O442" s="82">
        <f>N442+'BM 001'!O442</f>
        <v>0</v>
      </c>
      <c r="P442" s="80">
        <f t="shared" si="190"/>
        <v>156.47999999999999</v>
      </c>
      <c r="Q442" s="82">
        <f t="shared" si="191"/>
        <v>198.35</v>
      </c>
      <c r="R442" s="82">
        <f t="shared" si="192"/>
        <v>198.35</v>
      </c>
    </row>
    <row r="443" spans="2:18" s="34" customFormat="1" ht="23.4">
      <c r="B443" s="75" t="s">
        <v>873</v>
      </c>
      <c r="C443" s="76" t="s">
        <v>874</v>
      </c>
      <c r="D443" s="77" t="s">
        <v>131</v>
      </c>
      <c r="E443" s="93">
        <v>1</v>
      </c>
      <c r="F443" s="79"/>
      <c r="G443" s="79"/>
      <c r="H443" s="79"/>
      <c r="I443" s="79">
        <f>SUM(G443:H443)+'BM 001'!I443</f>
        <v>0</v>
      </c>
      <c r="J443" s="79">
        <f t="shared" si="187"/>
        <v>1</v>
      </c>
      <c r="K443" s="80">
        <v>155</v>
      </c>
      <c r="L443" s="81">
        <f t="shared" si="186"/>
        <v>196.47801705000001</v>
      </c>
      <c r="M443" s="82">
        <f t="shared" si="188"/>
        <v>0</v>
      </c>
      <c r="N443" s="82">
        <f t="shared" si="189"/>
        <v>0</v>
      </c>
      <c r="O443" s="82">
        <f>N443+'BM 001'!O443</f>
        <v>0</v>
      </c>
      <c r="P443" s="80">
        <f t="shared" si="190"/>
        <v>155</v>
      </c>
      <c r="Q443" s="82">
        <f t="shared" si="191"/>
        <v>196.47</v>
      </c>
      <c r="R443" s="82">
        <f t="shared" si="192"/>
        <v>196.47</v>
      </c>
    </row>
    <row r="444" spans="2:18" s="34" customFormat="1" ht="23.4">
      <c r="B444" s="75" t="s">
        <v>875</v>
      </c>
      <c r="C444" s="76" t="s">
        <v>876</v>
      </c>
      <c r="D444" s="77" t="s">
        <v>131</v>
      </c>
      <c r="E444" s="93">
        <v>17</v>
      </c>
      <c r="F444" s="79"/>
      <c r="G444" s="79"/>
      <c r="H444" s="79"/>
      <c r="I444" s="79">
        <f>SUM(G444:H444)+'BM 001'!I444</f>
        <v>0</v>
      </c>
      <c r="J444" s="79">
        <f t="shared" si="187"/>
        <v>17</v>
      </c>
      <c r="K444" s="80">
        <v>8.85</v>
      </c>
      <c r="L444" s="81">
        <f t="shared" si="186"/>
        <v>11.2182609735</v>
      </c>
      <c r="M444" s="82">
        <f t="shared" si="188"/>
        <v>0</v>
      </c>
      <c r="N444" s="82">
        <f t="shared" si="189"/>
        <v>0</v>
      </c>
      <c r="O444" s="82">
        <f>N444+'BM 001'!O444</f>
        <v>0</v>
      </c>
      <c r="P444" s="80">
        <f t="shared" si="190"/>
        <v>150.44999999999999</v>
      </c>
      <c r="Q444" s="82">
        <f t="shared" si="191"/>
        <v>190.71</v>
      </c>
      <c r="R444" s="82">
        <f t="shared" si="192"/>
        <v>190.71</v>
      </c>
    </row>
    <row r="445" spans="2:18" s="34" customFormat="1" ht="34.799999999999997">
      <c r="B445" s="75" t="s">
        <v>877</v>
      </c>
      <c r="C445" s="76" t="s">
        <v>878</v>
      </c>
      <c r="D445" s="77" t="s">
        <v>131</v>
      </c>
      <c r="E445" s="93">
        <v>3</v>
      </c>
      <c r="F445" s="79"/>
      <c r="G445" s="79"/>
      <c r="H445" s="79"/>
      <c r="I445" s="79">
        <f>SUM(G445:H445)+'BM 001'!I445</f>
        <v>0</v>
      </c>
      <c r="J445" s="79">
        <f t="shared" si="187"/>
        <v>3</v>
      </c>
      <c r="K445" s="80">
        <v>7.63</v>
      </c>
      <c r="L445" s="81">
        <f t="shared" si="186"/>
        <v>9.6717888392999996</v>
      </c>
      <c r="M445" s="82">
        <f t="shared" si="188"/>
        <v>0</v>
      </c>
      <c r="N445" s="82">
        <f t="shared" si="189"/>
        <v>0</v>
      </c>
      <c r="O445" s="82">
        <f>N445+'BM 001'!O445</f>
        <v>0</v>
      </c>
      <c r="P445" s="80">
        <f t="shared" si="190"/>
        <v>22.89</v>
      </c>
      <c r="Q445" s="82">
        <f t="shared" si="191"/>
        <v>29.01</v>
      </c>
      <c r="R445" s="82">
        <f t="shared" si="192"/>
        <v>29.01</v>
      </c>
    </row>
    <row r="446" spans="2:18" s="34" customFormat="1" ht="23.4">
      <c r="B446" s="75" t="s">
        <v>879</v>
      </c>
      <c r="C446" s="88" t="s">
        <v>711</v>
      </c>
      <c r="D446" s="89" t="s">
        <v>131</v>
      </c>
      <c r="E446" s="90">
        <v>82</v>
      </c>
      <c r="F446" s="91"/>
      <c r="G446" s="91"/>
      <c r="H446" s="91"/>
      <c r="I446" s="91">
        <f>SUM(G446:H446)+'BM 001'!I446</f>
        <v>0</v>
      </c>
      <c r="J446" s="91">
        <f t="shared" si="187"/>
        <v>82</v>
      </c>
      <c r="K446" s="80">
        <v>14.54</v>
      </c>
      <c r="L446" s="81">
        <f t="shared" si="186"/>
        <v>18.430905599399999</v>
      </c>
      <c r="M446" s="82">
        <f t="shared" si="188"/>
        <v>0</v>
      </c>
      <c r="N446" s="82">
        <f t="shared" si="189"/>
        <v>0</v>
      </c>
      <c r="O446" s="82">
        <f>N446+'BM 001'!O446</f>
        <v>0</v>
      </c>
      <c r="P446" s="80">
        <f t="shared" si="190"/>
        <v>1192.28</v>
      </c>
      <c r="Q446" s="82">
        <f t="shared" si="191"/>
        <v>1511.33</v>
      </c>
      <c r="R446" s="82">
        <f t="shared" si="192"/>
        <v>1511.33</v>
      </c>
    </row>
    <row r="447" spans="2:18" s="34" customFormat="1" ht="23.4">
      <c r="B447" s="75" t="s">
        <v>880</v>
      </c>
      <c r="C447" s="76" t="s">
        <v>881</v>
      </c>
      <c r="D447" s="77" t="s">
        <v>131</v>
      </c>
      <c r="E447" s="93">
        <v>5</v>
      </c>
      <c r="F447" s="79"/>
      <c r="G447" s="79"/>
      <c r="H447" s="79"/>
      <c r="I447" s="79">
        <f>SUM(G447:H447)+'BM 001'!I447</f>
        <v>0</v>
      </c>
      <c r="J447" s="79">
        <f t="shared" si="187"/>
        <v>5</v>
      </c>
      <c r="K447" s="80">
        <v>19.91</v>
      </c>
      <c r="L447" s="81">
        <f t="shared" si="186"/>
        <v>25.2379181901</v>
      </c>
      <c r="M447" s="82">
        <f t="shared" si="188"/>
        <v>0</v>
      </c>
      <c r="N447" s="82">
        <f t="shared" si="189"/>
        <v>0</v>
      </c>
      <c r="O447" s="82">
        <f>N447+'BM 001'!O447</f>
        <v>0</v>
      </c>
      <c r="P447" s="80">
        <f t="shared" si="190"/>
        <v>99.55</v>
      </c>
      <c r="Q447" s="82">
        <f t="shared" si="191"/>
        <v>126.18</v>
      </c>
      <c r="R447" s="82">
        <f t="shared" si="192"/>
        <v>126.18</v>
      </c>
    </row>
    <row r="448" spans="2:18" s="34" customFormat="1" ht="23.4">
      <c r="B448" s="75" t="s">
        <v>882</v>
      </c>
      <c r="C448" s="76" t="s">
        <v>883</v>
      </c>
      <c r="D448" s="77" t="s">
        <v>131</v>
      </c>
      <c r="E448" s="93">
        <v>1</v>
      </c>
      <c r="F448" s="79"/>
      <c r="G448" s="79"/>
      <c r="H448" s="79"/>
      <c r="I448" s="79">
        <f>SUM(G448:H448)+'BM 001'!I448</f>
        <v>0</v>
      </c>
      <c r="J448" s="79">
        <f t="shared" si="187"/>
        <v>1</v>
      </c>
      <c r="K448" s="80">
        <v>25.24</v>
      </c>
      <c r="L448" s="81">
        <f t="shared" si="186"/>
        <v>31.994226776399998</v>
      </c>
      <c r="M448" s="82">
        <f t="shared" si="188"/>
        <v>0</v>
      </c>
      <c r="N448" s="82">
        <f t="shared" si="189"/>
        <v>0</v>
      </c>
      <c r="O448" s="82">
        <f>N448+'BM 001'!O448</f>
        <v>0</v>
      </c>
      <c r="P448" s="80">
        <f t="shared" si="190"/>
        <v>25.24</v>
      </c>
      <c r="Q448" s="82">
        <f t="shared" si="191"/>
        <v>31.99</v>
      </c>
      <c r="R448" s="82">
        <f t="shared" si="192"/>
        <v>31.99</v>
      </c>
    </row>
    <row r="449" spans="2:18" s="34" customFormat="1" ht="34.799999999999997">
      <c r="B449" s="75" t="s">
        <v>884</v>
      </c>
      <c r="C449" s="76" t="s">
        <v>885</v>
      </c>
      <c r="D449" s="77" t="s">
        <v>131</v>
      </c>
      <c r="E449" s="93">
        <v>79</v>
      </c>
      <c r="F449" s="79"/>
      <c r="G449" s="79"/>
      <c r="H449" s="79"/>
      <c r="I449" s="79">
        <f>SUM(G449:H449)+'BM 001'!I449</f>
        <v>0</v>
      </c>
      <c r="J449" s="79">
        <f t="shared" si="187"/>
        <v>79</v>
      </c>
      <c r="K449" s="80">
        <v>13.15</v>
      </c>
      <c r="L449" s="81">
        <f t="shared" si="186"/>
        <v>16.6689414465</v>
      </c>
      <c r="M449" s="82">
        <f t="shared" si="188"/>
        <v>0</v>
      </c>
      <c r="N449" s="82">
        <f t="shared" si="189"/>
        <v>0</v>
      </c>
      <c r="O449" s="82">
        <f>N449+'BM 001'!O449</f>
        <v>0</v>
      </c>
      <c r="P449" s="80">
        <f t="shared" si="190"/>
        <v>1038.8500000000001</v>
      </c>
      <c r="Q449" s="82">
        <f t="shared" si="191"/>
        <v>1316.84</v>
      </c>
      <c r="R449" s="82">
        <f t="shared" si="192"/>
        <v>1316.84</v>
      </c>
    </row>
    <row r="450" spans="2:18" s="34" customFormat="1" ht="23.4">
      <c r="B450" s="75" t="s">
        <v>886</v>
      </c>
      <c r="C450" s="76" t="s">
        <v>757</v>
      </c>
      <c r="D450" s="77" t="s">
        <v>131</v>
      </c>
      <c r="E450" s="93">
        <v>1</v>
      </c>
      <c r="F450" s="79"/>
      <c r="G450" s="79"/>
      <c r="H450" s="79"/>
      <c r="I450" s="79">
        <f>SUM(G450:H450)+'BM 001'!I450</f>
        <v>0</v>
      </c>
      <c r="J450" s="79">
        <f t="shared" si="187"/>
        <v>1</v>
      </c>
      <c r="K450" s="80">
        <v>12.35</v>
      </c>
      <c r="L450" s="81">
        <f t="shared" si="186"/>
        <v>15.6548613585</v>
      </c>
      <c r="M450" s="82">
        <f t="shared" si="188"/>
        <v>0</v>
      </c>
      <c r="N450" s="82">
        <f t="shared" si="189"/>
        <v>0</v>
      </c>
      <c r="O450" s="82">
        <f>N450+'BM 001'!O450</f>
        <v>0</v>
      </c>
      <c r="P450" s="80">
        <f t="shared" si="190"/>
        <v>12.35</v>
      </c>
      <c r="Q450" s="82">
        <f t="shared" si="191"/>
        <v>15.65</v>
      </c>
      <c r="R450" s="82">
        <f t="shared" si="192"/>
        <v>15.65</v>
      </c>
    </row>
    <row r="451" spans="2:18" s="34" customFormat="1" ht="23.4">
      <c r="B451" s="75" t="s">
        <v>887</v>
      </c>
      <c r="C451" s="76" t="s">
        <v>761</v>
      </c>
      <c r="D451" s="77" t="s">
        <v>131</v>
      </c>
      <c r="E451" s="93">
        <v>3</v>
      </c>
      <c r="F451" s="79"/>
      <c r="G451" s="79"/>
      <c r="H451" s="79"/>
      <c r="I451" s="79">
        <f>SUM(G451:H451)+'BM 001'!I451</f>
        <v>0</v>
      </c>
      <c r="J451" s="79">
        <f t="shared" si="187"/>
        <v>3</v>
      </c>
      <c r="K451" s="80">
        <v>18.5</v>
      </c>
      <c r="L451" s="81">
        <f t="shared" si="186"/>
        <v>23.450602035000003</v>
      </c>
      <c r="M451" s="82">
        <f t="shared" si="188"/>
        <v>0</v>
      </c>
      <c r="N451" s="82">
        <f t="shared" si="189"/>
        <v>0</v>
      </c>
      <c r="O451" s="82">
        <f>N451+'BM 001'!O451</f>
        <v>0</v>
      </c>
      <c r="P451" s="80">
        <f t="shared" si="190"/>
        <v>55.5</v>
      </c>
      <c r="Q451" s="82">
        <f t="shared" si="191"/>
        <v>70.349999999999994</v>
      </c>
      <c r="R451" s="82">
        <f t="shared" si="192"/>
        <v>70.349999999999994</v>
      </c>
    </row>
    <row r="452" spans="2:18" s="34" customFormat="1" ht="23.4">
      <c r="B452" s="75" t="s">
        <v>888</v>
      </c>
      <c r="C452" s="76" t="s">
        <v>771</v>
      </c>
      <c r="D452" s="77" t="s">
        <v>131</v>
      </c>
      <c r="E452" s="93">
        <v>77</v>
      </c>
      <c r="F452" s="79"/>
      <c r="G452" s="79"/>
      <c r="H452" s="79"/>
      <c r="I452" s="79">
        <f>SUM(G452:H452)+'BM 001'!I452</f>
        <v>0</v>
      </c>
      <c r="J452" s="79">
        <f t="shared" si="187"/>
        <v>77</v>
      </c>
      <c r="K452" s="80">
        <v>6.59</v>
      </c>
      <c r="L452" s="81">
        <f t="shared" si="186"/>
        <v>8.3534847248999995</v>
      </c>
      <c r="M452" s="82">
        <f t="shared" si="188"/>
        <v>0</v>
      </c>
      <c r="N452" s="82">
        <f t="shared" si="189"/>
        <v>0</v>
      </c>
      <c r="O452" s="82">
        <f>N452+'BM 001'!O452</f>
        <v>0</v>
      </c>
      <c r="P452" s="80">
        <f t="shared" si="190"/>
        <v>507.43</v>
      </c>
      <c r="Q452" s="82">
        <f t="shared" si="191"/>
        <v>643.21</v>
      </c>
      <c r="R452" s="82">
        <f t="shared" si="192"/>
        <v>643.21</v>
      </c>
    </row>
    <row r="453" spans="2:18" s="34" customFormat="1" ht="13.2">
      <c r="B453" s="75" t="s">
        <v>889</v>
      </c>
      <c r="C453" s="76" t="s">
        <v>773</v>
      </c>
      <c r="D453" s="77" t="s">
        <v>131</v>
      </c>
      <c r="E453" s="93">
        <v>3</v>
      </c>
      <c r="F453" s="79"/>
      <c r="G453" s="79"/>
      <c r="H453" s="79"/>
      <c r="I453" s="79">
        <f>SUM(G453:H453)+'BM 001'!I453</f>
        <v>0</v>
      </c>
      <c r="J453" s="79">
        <f t="shared" si="187"/>
        <v>3</v>
      </c>
      <c r="K453" s="80">
        <v>22.07</v>
      </c>
      <c r="L453" s="81">
        <f t="shared" si="186"/>
        <v>27.9759344277</v>
      </c>
      <c r="M453" s="82">
        <f t="shared" si="188"/>
        <v>0</v>
      </c>
      <c r="N453" s="82">
        <f t="shared" si="189"/>
        <v>0</v>
      </c>
      <c r="O453" s="82">
        <f>N453+'BM 001'!O453</f>
        <v>0</v>
      </c>
      <c r="P453" s="80">
        <f t="shared" si="190"/>
        <v>66.210000000000008</v>
      </c>
      <c r="Q453" s="82">
        <f t="shared" si="191"/>
        <v>83.92</v>
      </c>
      <c r="R453" s="82">
        <f t="shared" si="192"/>
        <v>83.92</v>
      </c>
    </row>
    <row r="454" spans="2:18" s="34" customFormat="1" ht="23.4">
      <c r="B454" s="75" t="s">
        <v>890</v>
      </c>
      <c r="C454" s="88" t="s">
        <v>711</v>
      </c>
      <c r="D454" s="89" t="s">
        <v>131</v>
      </c>
      <c r="E454" s="90">
        <v>14</v>
      </c>
      <c r="F454" s="91"/>
      <c r="G454" s="91"/>
      <c r="H454" s="91"/>
      <c r="I454" s="91">
        <f>SUM(G454:H454)+'BM 001'!I454</f>
        <v>0</v>
      </c>
      <c r="J454" s="91">
        <f t="shared" si="187"/>
        <v>14</v>
      </c>
      <c r="K454" s="80">
        <v>14.54</v>
      </c>
      <c r="L454" s="81">
        <f t="shared" si="186"/>
        <v>18.430905599399999</v>
      </c>
      <c r="M454" s="82">
        <f t="shared" si="188"/>
        <v>0</v>
      </c>
      <c r="N454" s="82">
        <f t="shared" si="189"/>
        <v>0</v>
      </c>
      <c r="O454" s="82">
        <f>N454+'BM 001'!O454</f>
        <v>0</v>
      </c>
      <c r="P454" s="80">
        <f t="shared" si="190"/>
        <v>203.56</v>
      </c>
      <c r="Q454" s="82">
        <f t="shared" si="191"/>
        <v>258.02999999999997</v>
      </c>
      <c r="R454" s="82">
        <f t="shared" si="192"/>
        <v>258.02999999999997</v>
      </c>
    </row>
    <row r="455" spans="2:18" s="34" customFormat="1" ht="34.799999999999997">
      <c r="B455" s="75" t="s">
        <v>891</v>
      </c>
      <c r="C455" s="76" t="s">
        <v>892</v>
      </c>
      <c r="D455" s="77" t="s">
        <v>131</v>
      </c>
      <c r="E455" s="93">
        <v>91</v>
      </c>
      <c r="F455" s="79"/>
      <c r="G455" s="79"/>
      <c r="H455" s="79"/>
      <c r="I455" s="79">
        <f>SUM(G455:H455)+'BM 001'!I455</f>
        <v>0</v>
      </c>
      <c r="J455" s="79">
        <f t="shared" si="187"/>
        <v>91</v>
      </c>
      <c r="K455" s="80">
        <v>22.83</v>
      </c>
      <c r="L455" s="81">
        <f t="shared" si="186"/>
        <v>28.9393105113</v>
      </c>
      <c r="M455" s="82">
        <f t="shared" si="188"/>
        <v>0</v>
      </c>
      <c r="N455" s="82">
        <f t="shared" si="189"/>
        <v>0</v>
      </c>
      <c r="O455" s="82">
        <f>N455+'BM 001'!O455</f>
        <v>0</v>
      </c>
      <c r="P455" s="80">
        <f t="shared" si="190"/>
        <v>2077.5299999999997</v>
      </c>
      <c r="Q455" s="82">
        <f t="shared" si="191"/>
        <v>2633.47</v>
      </c>
      <c r="R455" s="82">
        <f t="shared" si="192"/>
        <v>2633.47</v>
      </c>
    </row>
    <row r="456" spans="2:18" s="34" customFormat="1" ht="46.2">
      <c r="B456" s="75" t="s">
        <v>893</v>
      </c>
      <c r="C456" s="76" t="s">
        <v>894</v>
      </c>
      <c r="D456" s="77" t="s">
        <v>131</v>
      </c>
      <c r="E456" s="93">
        <v>26</v>
      </c>
      <c r="F456" s="79"/>
      <c r="G456" s="79"/>
      <c r="H456" s="79"/>
      <c r="I456" s="79">
        <f>SUM(G456:H456)+'BM 001'!I456</f>
        <v>0</v>
      </c>
      <c r="J456" s="79">
        <f t="shared" si="187"/>
        <v>26</v>
      </c>
      <c r="K456" s="80">
        <v>42.22</v>
      </c>
      <c r="L456" s="81">
        <f t="shared" si="186"/>
        <v>53.518076644200001</v>
      </c>
      <c r="M456" s="82">
        <f t="shared" si="188"/>
        <v>0</v>
      </c>
      <c r="N456" s="82">
        <f t="shared" si="189"/>
        <v>0</v>
      </c>
      <c r="O456" s="82">
        <f>N456+'BM 001'!O456</f>
        <v>0</v>
      </c>
      <c r="P456" s="80">
        <f t="shared" si="190"/>
        <v>1097.72</v>
      </c>
      <c r="Q456" s="82">
        <f t="shared" si="191"/>
        <v>1391.46</v>
      </c>
      <c r="R456" s="82">
        <f t="shared" si="192"/>
        <v>1391.46</v>
      </c>
    </row>
    <row r="457" spans="2:18" s="34" customFormat="1" ht="13.2">
      <c r="B457" s="75" t="s">
        <v>895</v>
      </c>
      <c r="C457" s="76" t="s">
        <v>896</v>
      </c>
      <c r="D457" s="77" t="s">
        <v>131</v>
      </c>
      <c r="E457" s="93">
        <v>46</v>
      </c>
      <c r="F457" s="79"/>
      <c r="G457" s="79"/>
      <c r="H457" s="79"/>
      <c r="I457" s="79">
        <f>SUM(G457:H457)+'BM 001'!I457</f>
        <v>0</v>
      </c>
      <c r="J457" s="79">
        <f t="shared" si="187"/>
        <v>46</v>
      </c>
      <c r="K457" s="80">
        <v>110</v>
      </c>
      <c r="L457" s="81">
        <f t="shared" si="186"/>
        <v>139.4360121</v>
      </c>
      <c r="M457" s="82">
        <f t="shared" si="188"/>
        <v>0</v>
      </c>
      <c r="N457" s="82">
        <f t="shared" si="189"/>
        <v>0</v>
      </c>
      <c r="O457" s="82">
        <f>N457+'BM 001'!O457</f>
        <v>0</v>
      </c>
      <c r="P457" s="80">
        <f t="shared" si="190"/>
        <v>5060</v>
      </c>
      <c r="Q457" s="82">
        <f t="shared" si="191"/>
        <v>6414.05</v>
      </c>
      <c r="R457" s="82">
        <f t="shared" si="192"/>
        <v>6414.05</v>
      </c>
    </row>
    <row r="458" spans="2:18" s="34" customFormat="1" ht="34.799999999999997">
      <c r="B458" s="75" t="s">
        <v>897</v>
      </c>
      <c r="C458" s="76" t="s">
        <v>898</v>
      </c>
      <c r="D458" s="77" t="s">
        <v>131</v>
      </c>
      <c r="E458" s="93">
        <v>11</v>
      </c>
      <c r="F458" s="79"/>
      <c r="G458" s="79"/>
      <c r="H458" s="79"/>
      <c r="I458" s="79">
        <f>SUM(G458:H458)+'BM 001'!I458</f>
        <v>0</v>
      </c>
      <c r="J458" s="79">
        <f t="shared" si="187"/>
        <v>11</v>
      </c>
      <c r="K458" s="80">
        <v>35.5</v>
      </c>
      <c r="L458" s="81">
        <f t="shared" si="186"/>
        <v>44.999803905</v>
      </c>
      <c r="M458" s="82">
        <f t="shared" si="188"/>
        <v>0</v>
      </c>
      <c r="N458" s="82">
        <f t="shared" si="189"/>
        <v>0</v>
      </c>
      <c r="O458" s="82">
        <f>N458+'BM 001'!O458</f>
        <v>0</v>
      </c>
      <c r="P458" s="80">
        <f t="shared" si="190"/>
        <v>390.5</v>
      </c>
      <c r="Q458" s="82">
        <f t="shared" si="191"/>
        <v>494.99</v>
      </c>
      <c r="R458" s="82">
        <f t="shared" si="192"/>
        <v>494.99</v>
      </c>
    </row>
    <row r="459" spans="2:18" s="34" customFormat="1" ht="34.799999999999997">
      <c r="B459" s="75" t="s">
        <v>899</v>
      </c>
      <c r="C459" s="76" t="s">
        <v>900</v>
      </c>
      <c r="D459" s="77" t="s">
        <v>131</v>
      </c>
      <c r="E459" s="93">
        <v>12</v>
      </c>
      <c r="F459" s="79"/>
      <c r="G459" s="79"/>
      <c r="H459" s="79"/>
      <c r="I459" s="79">
        <f>SUM(G459:H459)+'BM 001'!I459</f>
        <v>0</v>
      </c>
      <c r="J459" s="79">
        <f t="shared" si="187"/>
        <v>12</v>
      </c>
      <c r="K459" s="80">
        <v>37.299999999999997</v>
      </c>
      <c r="L459" s="81">
        <f t="shared" si="186"/>
        <v>47.281484102999997</v>
      </c>
      <c r="M459" s="82">
        <f t="shared" si="188"/>
        <v>0</v>
      </c>
      <c r="N459" s="82">
        <f t="shared" si="189"/>
        <v>0</v>
      </c>
      <c r="O459" s="82">
        <f>N459+'BM 001'!O459</f>
        <v>0</v>
      </c>
      <c r="P459" s="80">
        <f t="shared" si="190"/>
        <v>447.59999999999997</v>
      </c>
      <c r="Q459" s="82">
        <f t="shared" si="191"/>
        <v>567.37</v>
      </c>
      <c r="R459" s="82">
        <f t="shared" si="192"/>
        <v>567.37</v>
      </c>
    </row>
    <row r="460" spans="2:18" s="34" customFormat="1" ht="34.799999999999997">
      <c r="B460" s="75" t="s">
        <v>901</v>
      </c>
      <c r="C460" s="76" t="s">
        <v>902</v>
      </c>
      <c r="D460" s="77" t="s">
        <v>131</v>
      </c>
      <c r="E460" s="93">
        <v>2</v>
      </c>
      <c r="F460" s="79"/>
      <c r="G460" s="79"/>
      <c r="H460" s="79"/>
      <c r="I460" s="79">
        <f>SUM(G460:H460)+'BM 001'!I460</f>
        <v>0</v>
      </c>
      <c r="J460" s="79">
        <f t="shared" si="187"/>
        <v>2</v>
      </c>
      <c r="K460" s="80">
        <v>42.5</v>
      </c>
      <c r="L460" s="81">
        <f t="shared" si="186"/>
        <v>53.873004675000004</v>
      </c>
      <c r="M460" s="82">
        <f t="shared" si="188"/>
        <v>0</v>
      </c>
      <c r="N460" s="82">
        <f t="shared" si="189"/>
        <v>0</v>
      </c>
      <c r="O460" s="82">
        <f>N460+'BM 001'!O460</f>
        <v>0</v>
      </c>
      <c r="P460" s="80">
        <f t="shared" si="190"/>
        <v>85</v>
      </c>
      <c r="Q460" s="82">
        <f t="shared" si="191"/>
        <v>107.74</v>
      </c>
      <c r="R460" s="82">
        <f t="shared" si="192"/>
        <v>107.74</v>
      </c>
    </row>
    <row r="461" spans="2:18" s="34" customFormat="1" ht="23.4">
      <c r="B461" s="75" t="s">
        <v>903</v>
      </c>
      <c r="C461" s="76" t="s">
        <v>904</v>
      </c>
      <c r="D461" s="77" t="s">
        <v>131</v>
      </c>
      <c r="E461" s="93">
        <v>6</v>
      </c>
      <c r="F461" s="79"/>
      <c r="G461" s="79"/>
      <c r="H461" s="79"/>
      <c r="I461" s="79">
        <f>SUM(G461:H461)+'BM 001'!I461</f>
        <v>0</v>
      </c>
      <c r="J461" s="79">
        <f t="shared" si="187"/>
        <v>6</v>
      </c>
      <c r="K461" s="80">
        <v>68</v>
      </c>
      <c r="L461" s="81">
        <f t="shared" si="186"/>
        <v>86.196807480000004</v>
      </c>
      <c r="M461" s="82">
        <f t="shared" si="188"/>
        <v>0</v>
      </c>
      <c r="N461" s="82">
        <f t="shared" si="189"/>
        <v>0</v>
      </c>
      <c r="O461" s="82">
        <f>N461+'BM 001'!O461</f>
        <v>0</v>
      </c>
      <c r="P461" s="80">
        <f t="shared" si="190"/>
        <v>408</v>
      </c>
      <c r="Q461" s="82">
        <f t="shared" si="191"/>
        <v>517.17999999999995</v>
      </c>
      <c r="R461" s="82">
        <f t="shared" si="192"/>
        <v>517.17999999999995</v>
      </c>
    </row>
    <row r="462" spans="2:18" s="34" customFormat="1" ht="34.799999999999997">
      <c r="B462" s="75" t="s">
        <v>905</v>
      </c>
      <c r="C462" s="76" t="s">
        <v>906</v>
      </c>
      <c r="D462" s="77" t="s">
        <v>131</v>
      </c>
      <c r="E462" s="93">
        <v>3</v>
      </c>
      <c r="F462" s="79"/>
      <c r="G462" s="79"/>
      <c r="H462" s="79"/>
      <c r="I462" s="79">
        <f>SUM(G462:H462)+'BM 001'!I462</f>
        <v>0</v>
      </c>
      <c r="J462" s="79">
        <f t="shared" si="187"/>
        <v>3</v>
      </c>
      <c r="K462" s="80">
        <v>36.61</v>
      </c>
      <c r="L462" s="81">
        <f t="shared" si="186"/>
        <v>46.406840027100003</v>
      </c>
      <c r="M462" s="82">
        <f t="shared" si="188"/>
        <v>0</v>
      </c>
      <c r="N462" s="82">
        <f t="shared" si="189"/>
        <v>0</v>
      </c>
      <c r="O462" s="82">
        <f>N462+'BM 001'!O462</f>
        <v>0</v>
      </c>
      <c r="P462" s="80">
        <f t="shared" si="190"/>
        <v>109.83</v>
      </c>
      <c r="Q462" s="82">
        <f t="shared" si="191"/>
        <v>139.22</v>
      </c>
      <c r="R462" s="82">
        <f t="shared" si="192"/>
        <v>139.22</v>
      </c>
    </row>
    <row r="463" spans="2:18" s="34" customFormat="1" ht="34.799999999999997">
      <c r="B463" s="75" t="s">
        <v>907</v>
      </c>
      <c r="C463" s="76" t="s">
        <v>908</v>
      </c>
      <c r="D463" s="77" t="s">
        <v>131</v>
      </c>
      <c r="E463" s="93">
        <v>3</v>
      </c>
      <c r="F463" s="79"/>
      <c r="G463" s="79"/>
      <c r="H463" s="79"/>
      <c r="I463" s="79">
        <f>SUM(G463:H463)+'BM 001'!I463</f>
        <v>0</v>
      </c>
      <c r="J463" s="79">
        <f t="shared" si="187"/>
        <v>3</v>
      </c>
      <c r="K463" s="82">
        <v>11.81</v>
      </c>
      <c r="L463" s="81">
        <f t="shared" si="186"/>
        <v>14.970357299100002</v>
      </c>
      <c r="M463" s="82">
        <f t="shared" si="188"/>
        <v>0</v>
      </c>
      <c r="N463" s="82">
        <f t="shared" si="189"/>
        <v>0</v>
      </c>
      <c r="O463" s="82">
        <f>N463+'BM 001'!O463</f>
        <v>0</v>
      </c>
      <c r="P463" s="82">
        <f t="shared" si="190"/>
        <v>35.43</v>
      </c>
      <c r="Q463" s="82">
        <f t="shared" si="191"/>
        <v>44.91</v>
      </c>
      <c r="R463" s="82">
        <f t="shared" si="192"/>
        <v>44.91</v>
      </c>
    </row>
    <row r="464" spans="2:18" s="34" customFormat="1" ht="23.4">
      <c r="B464" s="75" t="s">
        <v>909</v>
      </c>
      <c r="C464" s="76" t="s">
        <v>910</v>
      </c>
      <c r="D464" s="77" t="s">
        <v>131</v>
      </c>
      <c r="E464" s="93">
        <v>72</v>
      </c>
      <c r="F464" s="79"/>
      <c r="G464" s="79"/>
      <c r="H464" s="79"/>
      <c r="I464" s="79">
        <f>SUM(G464:H464)+'BM 001'!I464</f>
        <v>0</v>
      </c>
      <c r="J464" s="79">
        <f t="shared" si="187"/>
        <v>72</v>
      </c>
      <c r="K464" s="82">
        <v>13</v>
      </c>
      <c r="L464" s="81">
        <f t="shared" si="186"/>
        <v>16.478801430000001</v>
      </c>
      <c r="M464" s="82">
        <f t="shared" si="188"/>
        <v>0</v>
      </c>
      <c r="N464" s="82">
        <f t="shared" si="189"/>
        <v>0</v>
      </c>
      <c r="O464" s="82">
        <f>N464+'BM 001'!O464</f>
        <v>0</v>
      </c>
      <c r="P464" s="82">
        <f t="shared" si="190"/>
        <v>936</v>
      </c>
      <c r="Q464" s="82">
        <f t="shared" si="191"/>
        <v>1186.47</v>
      </c>
      <c r="R464" s="82">
        <f t="shared" si="192"/>
        <v>1186.47</v>
      </c>
    </row>
    <row r="465" spans="2:18" s="34" customFormat="1" ht="13.2">
      <c r="B465" s="75" t="s">
        <v>911</v>
      </c>
      <c r="C465" s="76"/>
      <c r="D465" s="77"/>
      <c r="E465" s="93"/>
      <c r="F465" s="79"/>
      <c r="G465" s="79"/>
      <c r="H465" s="79"/>
      <c r="I465" s="79">
        <f>SUM(G465:H465)+'BM 001'!I465</f>
        <v>0</v>
      </c>
      <c r="J465" s="79">
        <f t="shared" si="187"/>
        <v>0</v>
      </c>
      <c r="K465" s="82"/>
      <c r="L465" s="81">
        <f t="shared" si="186"/>
        <v>0</v>
      </c>
      <c r="M465" s="82">
        <f t="shared" si="188"/>
        <v>0</v>
      </c>
      <c r="N465" s="82">
        <f t="shared" si="189"/>
        <v>0</v>
      </c>
      <c r="O465" s="82">
        <f>N465+'BM 001'!O465</f>
        <v>0</v>
      </c>
      <c r="P465" s="82"/>
      <c r="Q465" s="82">
        <f t="shared" si="191"/>
        <v>0</v>
      </c>
      <c r="R465" s="82">
        <f t="shared" si="192"/>
        <v>0</v>
      </c>
    </row>
    <row r="466" spans="2:18" s="34" customFormat="1" ht="23.4">
      <c r="B466" s="75" t="s">
        <v>912</v>
      </c>
      <c r="C466" s="76" t="s">
        <v>733</v>
      </c>
      <c r="D466" s="77" t="s">
        <v>131</v>
      </c>
      <c r="E466" s="93">
        <v>8</v>
      </c>
      <c r="F466" s="79"/>
      <c r="G466" s="79"/>
      <c r="H466" s="79"/>
      <c r="I466" s="79">
        <f>SUM(G466:H466)+'BM 001'!I466</f>
        <v>0</v>
      </c>
      <c r="J466" s="79">
        <f t="shared" si="187"/>
        <v>8</v>
      </c>
      <c r="K466" s="82">
        <v>3.95</v>
      </c>
      <c r="L466" s="81">
        <f t="shared" si="186"/>
        <v>5.0070204345000002</v>
      </c>
      <c r="M466" s="82">
        <f t="shared" si="188"/>
        <v>0</v>
      </c>
      <c r="N466" s="82">
        <f t="shared" si="189"/>
        <v>0</v>
      </c>
      <c r="O466" s="82">
        <f>N466+'BM 001'!O466</f>
        <v>0</v>
      </c>
      <c r="P466" s="82">
        <f t="shared" ref="P466:P473" si="193">E466*K466</f>
        <v>31.6</v>
      </c>
      <c r="Q466" s="82">
        <f t="shared" si="191"/>
        <v>40.049999999999997</v>
      </c>
      <c r="R466" s="82">
        <f t="shared" si="192"/>
        <v>40.049999999999997</v>
      </c>
    </row>
    <row r="467" spans="2:18" s="34" customFormat="1" ht="23.4">
      <c r="B467" s="75" t="s">
        <v>913</v>
      </c>
      <c r="C467" s="88" t="s">
        <v>735</v>
      </c>
      <c r="D467" s="89" t="s">
        <v>131</v>
      </c>
      <c r="E467" s="90">
        <v>238</v>
      </c>
      <c r="F467" s="91"/>
      <c r="G467" s="91"/>
      <c r="H467" s="91"/>
      <c r="I467" s="91">
        <f>SUM(G467:H467)+'BM 001'!I467</f>
        <v>0</v>
      </c>
      <c r="J467" s="91">
        <f t="shared" si="187"/>
        <v>238</v>
      </c>
      <c r="K467" s="80">
        <v>4.67</v>
      </c>
      <c r="L467" s="81">
        <f t="shared" si="186"/>
        <v>5.9196925137000003</v>
      </c>
      <c r="M467" s="82">
        <f t="shared" si="188"/>
        <v>0</v>
      </c>
      <c r="N467" s="82">
        <f t="shared" si="189"/>
        <v>0</v>
      </c>
      <c r="O467" s="82">
        <f>N467+'BM 001'!O467</f>
        <v>0</v>
      </c>
      <c r="P467" s="80">
        <f t="shared" si="193"/>
        <v>1111.46</v>
      </c>
      <c r="Q467" s="82">
        <f t="shared" si="191"/>
        <v>1408.88</v>
      </c>
      <c r="R467" s="82">
        <f t="shared" si="192"/>
        <v>1408.88</v>
      </c>
    </row>
    <row r="468" spans="2:18" s="34" customFormat="1" ht="23.4">
      <c r="B468" s="75" t="s">
        <v>914</v>
      </c>
      <c r="C468" s="76" t="s">
        <v>739</v>
      </c>
      <c r="D468" s="77" t="s">
        <v>131</v>
      </c>
      <c r="E468" s="93">
        <v>30</v>
      </c>
      <c r="F468" s="79"/>
      <c r="G468" s="79"/>
      <c r="H468" s="79"/>
      <c r="I468" s="79">
        <f>SUM(G468:H468)+'BM 001'!I468</f>
        <v>0</v>
      </c>
      <c r="J468" s="79">
        <f t="shared" si="187"/>
        <v>30</v>
      </c>
      <c r="K468" s="80">
        <v>11.5</v>
      </c>
      <c r="L468" s="81">
        <f t="shared" si="186"/>
        <v>14.577401265000001</v>
      </c>
      <c r="M468" s="82">
        <f t="shared" si="188"/>
        <v>0</v>
      </c>
      <c r="N468" s="82">
        <f t="shared" si="189"/>
        <v>0</v>
      </c>
      <c r="O468" s="82">
        <f>N468+'BM 001'!O468</f>
        <v>0</v>
      </c>
      <c r="P468" s="80">
        <f t="shared" si="193"/>
        <v>345</v>
      </c>
      <c r="Q468" s="82">
        <f t="shared" si="191"/>
        <v>437.32</v>
      </c>
      <c r="R468" s="82">
        <f t="shared" si="192"/>
        <v>437.32</v>
      </c>
    </row>
    <row r="469" spans="2:18" s="34" customFormat="1" ht="23.4">
      <c r="B469" s="75" t="s">
        <v>915</v>
      </c>
      <c r="C469" s="76" t="s">
        <v>916</v>
      </c>
      <c r="D469" s="77" t="s">
        <v>131</v>
      </c>
      <c r="E469" s="93">
        <v>1</v>
      </c>
      <c r="F469" s="79"/>
      <c r="G469" s="79"/>
      <c r="H469" s="79"/>
      <c r="I469" s="79">
        <f>SUM(G469:H469)+'BM 001'!I469</f>
        <v>0</v>
      </c>
      <c r="J469" s="79">
        <f t="shared" si="187"/>
        <v>1</v>
      </c>
      <c r="K469" s="80">
        <v>10.5</v>
      </c>
      <c r="L469" s="81">
        <f t="shared" si="186"/>
        <v>13.309801155000001</v>
      </c>
      <c r="M469" s="82">
        <f t="shared" si="188"/>
        <v>0</v>
      </c>
      <c r="N469" s="82">
        <f t="shared" si="189"/>
        <v>0</v>
      </c>
      <c r="O469" s="82">
        <f>N469+'BM 001'!O469</f>
        <v>0</v>
      </c>
      <c r="P469" s="80">
        <f t="shared" si="193"/>
        <v>10.5</v>
      </c>
      <c r="Q469" s="82">
        <f t="shared" si="191"/>
        <v>13.3</v>
      </c>
      <c r="R469" s="82">
        <f t="shared" si="192"/>
        <v>13.3</v>
      </c>
    </row>
    <row r="470" spans="2:18" s="34" customFormat="1" ht="23.4">
      <c r="B470" s="75" t="s">
        <v>917</v>
      </c>
      <c r="C470" s="76" t="s">
        <v>918</v>
      </c>
      <c r="D470" s="77" t="s">
        <v>131</v>
      </c>
      <c r="E470" s="93">
        <v>1</v>
      </c>
      <c r="F470" s="79"/>
      <c r="G470" s="79"/>
      <c r="H470" s="79"/>
      <c r="I470" s="79">
        <f>SUM(G470:H470)+'BM 001'!I470</f>
        <v>0</v>
      </c>
      <c r="J470" s="79">
        <f t="shared" si="187"/>
        <v>1</v>
      </c>
      <c r="K470" s="80">
        <v>10.14</v>
      </c>
      <c r="L470" s="81">
        <f t="shared" si="186"/>
        <v>12.853465115400001</v>
      </c>
      <c r="M470" s="82">
        <f t="shared" si="188"/>
        <v>0</v>
      </c>
      <c r="N470" s="82">
        <f t="shared" si="189"/>
        <v>0</v>
      </c>
      <c r="O470" s="82">
        <f>N470+'BM 001'!O470</f>
        <v>0</v>
      </c>
      <c r="P470" s="80">
        <f t="shared" si="193"/>
        <v>10.14</v>
      </c>
      <c r="Q470" s="82">
        <f t="shared" si="191"/>
        <v>12.85</v>
      </c>
      <c r="R470" s="82">
        <f t="shared" si="192"/>
        <v>12.85</v>
      </c>
    </row>
    <row r="471" spans="2:18" s="34" customFormat="1" ht="23.4">
      <c r="B471" s="75" t="s">
        <v>919</v>
      </c>
      <c r="C471" s="88" t="s">
        <v>717</v>
      </c>
      <c r="D471" s="89" t="s">
        <v>131</v>
      </c>
      <c r="E471" s="90">
        <v>238</v>
      </c>
      <c r="F471" s="91"/>
      <c r="G471" s="91"/>
      <c r="H471" s="91"/>
      <c r="I471" s="91">
        <f>SUM(G471:H471)+'BM 001'!I471</f>
        <v>0</v>
      </c>
      <c r="J471" s="91">
        <f t="shared" si="187"/>
        <v>238</v>
      </c>
      <c r="K471" s="80">
        <v>8</v>
      </c>
      <c r="L471" s="81">
        <f t="shared" si="186"/>
        <v>10.14080088</v>
      </c>
      <c r="M471" s="82">
        <f t="shared" ref="M471:M473" si="194">TRUNC(F471*L471,2)</f>
        <v>0</v>
      </c>
      <c r="N471" s="82">
        <f t="shared" si="189"/>
        <v>0</v>
      </c>
      <c r="O471" s="82">
        <f>N471+'BM 001'!O471</f>
        <v>0</v>
      </c>
      <c r="P471" s="80">
        <f t="shared" si="193"/>
        <v>1904</v>
      </c>
      <c r="Q471" s="82">
        <f t="shared" si="191"/>
        <v>2413.5100000000002</v>
      </c>
      <c r="R471" s="82">
        <f t="shared" ref="R471:R473" si="195">Q471-O471</f>
        <v>2413.5100000000002</v>
      </c>
    </row>
    <row r="472" spans="2:18" s="34" customFormat="1" ht="23.4">
      <c r="B472" s="75" t="s">
        <v>920</v>
      </c>
      <c r="C472" s="88" t="s">
        <v>921</v>
      </c>
      <c r="D472" s="89" t="s">
        <v>131</v>
      </c>
      <c r="E472" s="90">
        <v>6</v>
      </c>
      <c r="F472" s="91"/>
      <c r="G472" s="91"/>
      <c r="H472" s="91"/>
      <c r="I472" s="91">
        <f>SUM(G472:H472)+'BM 001'!I472</f>
        <v>0</v>
      </c>
      <c r="J472" s="91">
        <f t="shared" si="187"/>
        <v>6</v>
      </c>
      <c r="K472" s="80">
        <v>7.51</v>
      </c>
      <c r="L472" s="81">
        <f t="shared" si="186"/>
        <v>9.5196768260999995</v>
      </c>
      <c r="M472" s="82">
        <f t="shared" si="194"/>
        <v>0</v>
      </c>
      <c r="N472" s="82">
        <f t="shared" si="189"/>
        <v>0</v>
      </c>
      <c r="O472" s="82">
        <f>N472+'BM 001'!O472</f>
        <v>0</v>
      </c>
      <c r="P472" s="80">
        <f t="shared" si="193"/>
        <v>45.06</v>
      </c>
      <c r="Q472" s="82">
        <f t="shared" si="191"/>
        <v>57.11</v>
      </c>
      <c r="R472" s="82">
        <f t="shared" si="195"/>
        <v>57.11</v>
      </c>
    </row>
    <row r="473" spans="2:18" s="34" customFormat="1" ht="23.4">
      <c r="B473" s="87" t="s">
        <v>922</v>
      </c>
      <c r="C473" s="88" t="s">
        <v>721</v>
      </c>
      <c r="D473" s="89" t="s">
        <v>131</v>
      </c>
      <c r="E473" s="90">
        <v>8</v>
      </c>
      <c r="F473" s="91"/>
      <c r="G473" s="91"/>
      <c r="H473" s="91"/>
      <c r="I473" s="91">
        <f>SUM(G473:H473)+'BM 001'!I473</f>
        <v>0</v>
      </c>
      <c r="J473" s="91">
        <f t="shared" si="187"/>
        <v>8</v>
      </c>
      <c r="K473" s="80">
        <v>10.5</v>
      </c>
      <c r="L473" s="81">
        <f t="shared" si="186"/>
        <v>13.309801155000001</v>
      </c>
      <c r="M473" s="82">
        <f t="shared" si="194"/>
        <v>0</v>
      </c>
      <c r="N473" s="82">
        <f t="shared" si="189"/>
        <v>0</v>
      </c>
      <c r="O473" s="82">
        <f>N473+'BM 001'!O473</f>
        <v>0</v>
      </c>
      <c r="P473" s="80">
        <f t="shared" si="193"/>
        <v>84</v>
      </c>
      <c r="Q473" s="82">
        <f t="shared" si="191"/>
        <v>106.47</v>
      </c>
      <c r="R473" s="82">
        <f t="shared" si="195"/>
        <v>106.47</v>
      </c>
    </row>
    <row r="474" spans="2:18" s="34" customFormat="1" ht="13.2">
      <c r="B474" s="66" t="s">
        <v>923</v>
      </c>
      <c r="C474" s="67" t="s">
        <v>924</v>
      </c>
      <c r="D474" s="68"/>
      <c r="E474" s="69"/>
      <c r="F474" s="70"/>
      <c r="G474" s="70"/>
      <c r="H474" s="70"/>
      <c r="I474" s="70">
        <f>SUM(G474:H474)+'BM 001'!I474</f>
        <v>0</v>
      </c>
      <c r="J474" s="70">
        <f t="shared" si="187"/>
        <v>0</v>
      </c>
      <c r="K474" s="71"/>
      <c r="L474" s="71">
        <f t="shared" si="186"/>
        <v>0</v>
      </c>
      <c r="M474" s="73">
        <f t="shared" ref="M474:R474" si="196">SUM(M475:M480)</f>
        <v>0</v>
      </c>
      <c r="N474" s="73">
        <f t="shared" si="196"/>
        <v>0</v>
      </c>
      <c r="O474" s="73">
        <f t="shared" si="196"/>
        <v>0</v>
      </c>
      <c r="P474" s="73">
        <f t="shared" si="196"/>
        <v>177593</v>
      </c>
      <c r="Q474" s="73">
        <f t="shared" si="196"/>
        <v>225116.89</v>
      </c>
      <c r="R474" s="73">
        <f t="shared" si="196"/>
        <v>225116.89</v>
      </c>
    </row>
    <row r="475" spans="2:18" s="34" customFormat="1" ht="23.4">
      <c r="B475" s="87" t="s">
        <v>925</v>
      </c>
      <c r="C475" s="88" t="s">
        <v>926</v>
      </c>
      <c r="D475" s="89" t="s">
        <v>131</v>
      </c>
      <c r="E475" s="90">
        <v>1</v>
      </c>
      <c r="F475" s="91"/>
      <c r="G475" s="91"/>
      <c r="H475" s="91"/>
      <c r="I475" s="91">
        <f>SUM(G475:H475)+'BM 001'!I475</f>
        <v>0</v>
      </c>
      <c r="J475" s="91">
        <f t="shared" si="187"/>
        <v>1</v>
      </c>
      <c r="K475" s="80">
        <v>40</v>
      </c>
      <c r="L475" s="81">
        <f t="shared" si="186"/>
        <v>50.704004400000002</v>
      </c>
      <c r="M475" s="82">
        <f t="shared" ref="M475:M480" si="197">TRUNC(F475*L475,2)</f>
        <v>0</v>
      </c>
      <c r="N475" s="82">
        <f t="shared" ref="N475:N480" si="198">TRUNC(G475*L475,2)</f>
        <v>0</v>
      </c>
      <c r="O475" s="82">
        <f>N475+'BM 001'!O475</f>
        <v>0</v>
      </c>
      <c r="P475" s="80">
        <f t="shared" ref="P475:P480" si="199">E475*K475</f>
        <v>40</v>
      </c>
      <c r="Q475" s="82">
        <f t="shared" ref="Q475:Q480" si="200">TRUNC(E475*L475,2)</f>
        <v>50.7</v>
      </c>
      <c r="R475" s="82">
        <f t="shared" ref="R475:R480" si="201">Q475-O475</f>
        <v>50.7</v>
      </c>
    </row>
    <row r="476" spans="2:18" s="34" customFormat="1" ht="23.4">
      <c r="B476" s="87" t="s">
        <v>927</v>
      </c>
      <c r="C476" s="88" t="s">
        <v>928</v>
      </c>
      <c r="D476" s="89" t="s">
        <v>131</v>
      </c>
      <c r="E476" s="90">
        <v>69</v>
      </c>
      <c r="F476" s="91"/>
      <c r="G476" s="91"/>
      <c r="H476" s="91"/>
      <c r="I476" s="91">
        <f>SUM(G476:H476)+'BM 001'!I476</f>
        <v>0</v>
      </c>
      <c r="J476" s="91">
        <f t="shared" si="187"/>
        <v>69</v>
      </c>
      <c r="K476" s="80">
        <v>62</v>
      </c>
      <c r="L476" s="81">
        <f t="shared" si="186"/>
        <v>78.591206819999996</v>
      </c>
      <c r="M476" s="82">
        <f t="shared" si="197"/>
        <v>0</v>
      </c>
      <c r="N476" s="82">
        <f t="shared" si="198"/>
        <v>0</v>
      </c>
      <c r="O476" s="82">
        <f>N476+'BM 001'!O476</f>
        <v>0</v>
      </c>
      <c r="P476" s="80">
        <f t="shared" si="199"/>
        <v>4278</v>
      </c>
      <c r="Q476" s="82">
        <f t="shared" si="200"/>
        <v>5422.79</v>
      </c>
      <c r="R476" s="82">
        <f t="shared" si="201"/>
        <v>5422.79</v>
      </c>
    </row>
    <row r="477" spans="2:18" s="34" customFormat="1" ht="34.799999999999997">
      <c r="B477" s="87" t="s">
        <v>929</v>
      </c>
      <c r="C477" s="88" t="s">
        <v>930</v>
      </c>
      <c r="D477" s="89" t="s">
        <v>131</v>
      </c>
      <c r="E477" s="90">
        <v>3</v>
      </c>
      <c r="F477" s="91"/>
      <c r="G477" s="91"/>
      <c r="H477" s="91"/>
      <c r="I477" s="91">
        <f>SUM(G477:H477)+'BM 001'!I477</f>
        <v>0</v>
      </c>
      <c r="J477" s="91">
        <f t="shared" si="187"/>
        <v>3</v>
      </c>
      <c r="K477" s="80">
        <v>25</v>
      </c>
      <c r="L477" s="81">
        <f t="shared" ref="L477:L540" si="202">K477*(1+$T$26)</f>
        <v>31.690002750000001</v>
      </c>
      <c r="M477" s="82">
        <f t="shared" si="197"/>
        <v>0</v>
      </c>
      <c r="N477" s="82">
        <f t="shared" si="198"/>
        <v>0</v>
      </c>
      <c r="O477" s="82">
        <f>N477+'BM 001'!O477</f>
        <v>0</v>
      </c>
      <c r="P477" s="80">
        <f t="shared" si="199"/>
        <v>75</v>
      </c>
      <c r="Q477" s="82">
        <f t="shared" si="200"/>
        <v>95.07</v>
      </c>
      <c r="R477" s="82">
        <f t="shared" si="201"/>
        <v>95.07</v>
      </c>
    </row>
    <row r="478" spans="2:18" s="34" customFormat="1" ht="23.4">
      <c r="B478" s="87" t="s">
        <v>931</v>
      </c>
      <c r="C478" s="88" t="s">
        <v>932</v>
      </c>
      <c r="D478" s="89" t="s">
        <v>131</v>
      </c>
      <c r="E478" s="90">
        <v>2</v>
      </c>
      <c r="F478" s="91"/>
      <c r="G478" s="91"/>
      <c r="H478" s="91"/>
      <c r="I478" s="91">
        <f>SUM(G478:H478)+'BM 001'!I478</f>
        <v>0</v>
      </c>
      <c r="J478" s="91">
        <f t="shared" si="187"/>
        <v>2</v>
      </c>
      <c r="K478" s="80">
        <v>2100</v>
      </c>
      <c r="L478" s="81">
        <f t="shared" si="202"/>
        <v>2661.960231</v>
      </c>
      <c r="M478" s="82">
        <f t="shared" si="197"/>
        <v>0</v>
      </c>
      <c r="N478" s="82">
        <f t="shared" si="198"/>
        <v>0</v>
      </c>
      <c r="O478" s="82">
        <f>N478+'BM 001'!O478</f>
        <v>0</v>
      </c>
      <c r="P478" s="80">
        <f t="shared" si="199"/>
        <v>4200</v>
      </c>
      <c r="Q478" s="82">
        <f t="shared" si="200"/>
        <v>5323.92</v>
      </c>
      <c r="R478" s="82">
        <f t="shared" si="201"/>
        <v>5323.92</v>
      </c>
    </row>
    <row r="479" spans="2:18" s="34" customFormat="1" ht="23.4">
      <c r="B479" s="87" t="s">
        <v>933</v>
      </c>
      <c r="C479" s="88" t="s">
        <v>934</v>
      </c>
      <c r="D479" s="89" t="s">
        <v>131</v>
      </c>
      <c r="E479" s="90">
        <v>6</v>
      </c>
      <c r="F479" s="91"/>
      <c r="G479" s="91"/>
      <c r="H479" s="91"/>
      <c r="I479" s="91">
        <f>SUM(G479:H479)+'BM 001'!I479</f>
        <v>0</v>
      </c>
      <c r="J479" s="91">
        <f t="shared" ref="J479:J542" si="203">E479-I479</f>
        <v>6</v>
      </c>
      <c r="K479" s="80">
        <v>9000</v>
      </c>
      <c r="L479" s="81">
        <f t="shared" si="202"/>
        <v>11408.40099</v>
      </c>
      <c r="M479" s="82">
        <f t="shared" si="197"/>
        <v>0</v>
      </c>
      <c r="N479" s="82">
        <f t="shared" si="198"/>
        <v>0</v>
      </c>
      <c r="O479" s="82">
        <f>N479+'BM 001'!O479</f>
        <v>0</v>
      </c>
      <c r="P479" s="80">
        <f t="shared" si="199"/>
        <v>54000</v>
      </c>
      <c r="Q479" s="82">
        <f t="shared" si="200"/>
        <v>68450.399999999994</v>
      </c>
      <c r="R479" s="82">
        <f t="shared" si="201"/>
        <v>68450.399999999994</v>
      </c>
    </row>
    <row r="480" spans="2:18" s="34" customFormat="1" ht="23.4">
      <c r="B480" s="87" t="s">
        <v>935</v>
      </c>
      <c r="C480" s="88" t="s">
        <v>936</v>
      </c>
      <c r="D480" s="89" t="s">
        <v>131</v>
      </c>
      <c r="E480" s="90">
        <v>1</v>
      </c>
      <c r="F480" s="91"/>
      <c r="G480" s="91"/>
      <c r="H480" s="91"/>
      <c r="I480" s="91">
        <f>SUM(G480:H480)+'BM 001'!I480</f>
        <v>0</v>
      </c>
      <c r="J480" s="91">
        <f t="shared" si="203"/>
        <v>1</v>
      </c>
      <c r="K480" s="80">
        <v>115000</v>
      </c>
      <c r="L480" s="81">
        <f t="shared" si="202"/>
        <v>145774.01265000002</v>
      </c>
      <c r="M480" s="82">
        <f t="shared" si="197"/>
        <v>0</v>
      </c>
      <c r="N480" s="82">
        <f t="shared" si="198"/>
        <v>0</v>
      </c>
      <c r="O480" s="82">
        <f>N480+'BM 001'!O480</f>
        <v>0</v>
      </c>
      <c r="P480" s="80">
        <f t="shared" si="199"/>
        <v>115000</v>
      </c>
      <c r="Q480" s="82">
        <f t="shared" si="200"/>
        <v>145774.01</v>
      </c>
      <c r="R480" s="82">
        <f t="shared" si="201"/>
        <v>145774.01</v>
      </c>
    </row>
    <row r="481" spans="2:18" s="34" customFormat="1" ht="13.2">
      <c r="B481" s="60" t="s">
        <v>937</v>
      </c>
      <c r="C481" s="61" t="s">
        <v>938</v>
      </c>
      <c r="D481" s="60"/>
      <c r="E481" s="62"/>
      <c r="F481" s="63"/>
      <c r="G481" s="63"/>
      <c r="H481" s="63"/>
      <c r="I481" s="63">
        <f>SUM(G481:H481)+'BM 001'!I481</f>
        <v>0</v>
      </c>
      <c r="J481" s="63">
        <f t="shared" si="203"/>
        <v>0</v>
      </c>
      <c r="K481" s="63"/>
      <c r="L481" s="63">
        <f t="shared" si="202"/>
        <v>0</v>
      </c>
      <c r="M481" s="63">
        <f t="shared" ref="M481:R481" si="204">SUM(M482,M487)</f>
        <v>0</v>
      </c>
      <c r="N481" s="63">
        <f t="shared" si="204"/>
        <v>0</v>
      </c>
      <c r="O481" s="63">
        <f t="shared" si="204"/>
        <v>0</v>
      </c>
      <c r="P481" s="63">
        <f t="shared" si="204"/>
        <v>198555.35149999999</v>
      </c>
      <c r="Q481" s="63">
        <f t="shared" si="204"/>
        <v>251688.67</v>
      </c>
      <c r="R481" s="63">
        <f t="shared" si="204"/>
        <v>251688.67</v>
      </c>
    </row>
    <row r="482" spans="2:18" s="34" customFormat="1" ht="13.2">
      <c r="B482" s="66" t="s">
        <v>939</v>
      </c>
      <c r="C482" s="67" t="s">
        <v>940</v>
      </c>
      <c r="D482" s="68"/>
      <c r="E482" s="69"/>
      <c r="F482" s="70"/>
      <c r="G482" s="70"/>
      <c r="H482" s="70"/>
      <c r="I482" s="70">
        <f>SUM(G482:H482)+'BM 001'!I482</f>
        <v>0</v>
      </c>
      <c r="J482" s="70">
        <f t="shared" si="203"/>
        <v>0</v>
      </c>
      <c r="K482" s="71"/>
      <c r="L482" s="71">
        <f t="shared" si="202"/>
        <v>0</v>
      </c>
      <c r="M482" s="73">
        <f t="shared" ref="M482:R482" si="205">SUM(M483:M486)</f>
        <v>0</v>
      </c>
      <c r="N482" s="73">
        <f t="shared" si="205"/>
        <v>0</v>
      </c>
      <c r="O482" s="73">
        <f t="shared" si="205"/>
        <v>0</v>
      </c>
      <c r="P482" s="73">
        <f t="shared" si="205"/>
        <v>157288.71</v>
      </c>
      <c r="Q482" s="73">
        <f t="shared" si="205"/>
        <v>199379.17</v>
      </c>
      <c r="R482" s="73">
        <f t="shared" si="205"/>
        <v>199379.17</v>
      </c>
    </row>
    <row r="483" spans="2:18" s="34" customFormat="1" ht="34.799999999999997">
      <c r="B483" s="75" t="s">
        <v>941</v>
      </c>
      <c r="C483" s="76" t="s">
        <v>942</v>
      </c>
      <c r="D483" s="77" t="s">
        <v>82</v>
      </c>
      <c r="E483" s="93">
        <v>546.20000000000005</v>
      </c>
      <c r="F483" s="79"/>
      <c r="G483" s="79"/>
      <c r="H483" s="79"/>
      <c r="I483" s="79">
        <f>SUM(G483:H483)+'BM 001'!I483</f>
        <v>0</v>
      </c>
      <c r="J483" s="79">
        <f t="shared" si="203"/>
        <v>546.20000000000005</v>
      </c>
      <c r="K483" s="84">
        <v>71.55</v>
      </c>
      <c r="L483" s="81">
        <f t="shared" si="202"/>
        <v>90.696787870500003</v>
      </c>
      <c r="M483" s="82">
        <f>TRUNC(F483*L483,2)</f>
        <v>0</v>
      </c>
      <c r="N483" s="82">
        <f>TRUNC(G483*L483,2)</f>
        <v>0</v>
      </c>
      <c r="O483" s="82">
        <f>N483+'BM 001'!O483</f>
        <v>0</v>
      </c>
      <c r="P483" s="80">
        <f>E483*K483</f>
        <v>39080.61</v>
      </c>
      <c r="Q483" s="82">
        <f>TRUNC(E483*L483,2)</f>
        <v>49538.58</v>
      </c>
      <c r="R483" s="82">
        <f>Q483-O483</f>
        <v>49538.58</v>
      </c>
    </row>
    <row r="484" spans="2:18" s="34" customFormat="1" ht="34.799999999999997">
      <c r="B484" s="75" t="s">
        <v>943</v>
      </c>
      <c r="C484" s="76" t="s">
        <v>944</v>
      </c>
      <c r="D484" s="77" t="s">
        <v>124</v>
      </c>
      <c r="E484" s="93">
        <v>314</v>
      </c>
      <c r="F484" s="79"/>
      <c r="G484" s="79"/>
      <c r="H484" s="79"/>
      <c r="I484" s="79">
        <f>SUM(G484:H484)+'BM 001'!I484</f>
        <v>0</v>
      </c>
      <c r="J484" s="79">
        <f t="shared" si="203"/>
        <v>314</v>
      </c>
      <c r="K484" s="84">
        <v>120.15</v>
      </c>
      <c r="L484" s="81">
        <f t="shared" si="202"/>
        <v>152.30215321650002</v>
      </c>
      <c r="M484" s="82">
        <f>TRUNC(F484*L484,2)</f>
        <v>0</v>
      </c>
      <c r="N484" s="82">
        <f>TRUNC(G484*L484,2)</f>
        <v>0</v>
      </c>
      <c r="O484" s="82">
        <f>N484+'BM 001'!O484</f>
        <v>0</v>
      </c>
      <c r="P484" s="80">
        <f>E484*K484</f>
        <v>37727.1</v>
      </c>
      <c r="Q484" s="82">
        <f>TRUNC(E484*L484,2)</f>
        <v>47822.87</v>
      </c>
      <c r="R484" s="82">
        <f>Q484-O484</f>
        <v>47822.87</v>
      </c>
    </row>
    <row r="485" spans="2:18" s="34" customFormat="1" ht="34.799999999999997">
      <c r="B485" s="75" t="s">
        <v>945</v>
      </c>
      <c r="C485" s="76" t="s">
        <v>946</v>
      </c>
      <c r="D485" s="77" t="s">
        <v>82</v>
      </c>
      <c r="E485" s="78">
        <v>36.700000000000003</v>
      </c>
      <c r="F485" s="79"/>
      <c r="G485" s="79"/>
      <c r="H485" s="79"/>
      <c r="I485" s="79">
        <f>SUM(G485:H485)+'BM 001'!I485</f>
        <v>0</v>
      </c>
      <c r="J485" s="79">
        <f t="shared" si="203"/>
        <v>36.700000000000003</v>
      </c>
      <c r="K485" s="84">
        <v>149.85</v>
      </c>
      <c r="L485" s="81">
        <f t="shared" si="202"/>
        <v>189.94987648349999</v>
      </c>
      <c r="M485" s="82">
        <f>TRUNC(F485*L485,2)</f>
        <v>0</v>
      </c>
      <c r="N485" s="82">
        <f>TRUNC(G485*L485,2)</f>
        <v>0</v>
      </c>
      <c r="O485" s="82">
        <f>N485+'BM 001'!O485</f>
        <v>0</v>
      </c>
      <c r="P485" s="80">
        <f>E485*K485</f>
        <v>5499.4949999999999</v>
      </c>
      <c r="Q485" s="82">
        <f>TRUNC(E485*L485,2)</f>
        <v>6971.16</v>
      </c>
      <c r="R485" s="82">
        <f>Q485-O485</f>
        <v>6971.16</v>
      </c>
    </row>
    <row r="486" spans="2:18" s="34" customFormat="1" ht="34.799999999999997">
      <c r="B486" s="75" t="s">
        <v>947</v>
      </c>
      <c r="C486" s="76" t="s">
        <v>948</v>
      </c>
      <c r="D486" s="77" t="s">
        <v>82</v>
      </c>
      <c r="E486" s="93">
        <v>180.5</v>
      </c>
      <c r="F486" s="79"/>
      <c r="G486" s="79"/>
      <c r="H486" s="79"/>
      <c r="I486" s="79">
        <f>SUM(G486:H486)+'BM 001'!I486</f>
        <v>0</v>
      </c>
      <c r="J486" s="79">
        <f t="shared" si="203"/>
        <v>180.5</v>
      </c>
      <c r="K486" s="84">
        <v>415.41</v>
      </c>
      <c r="L486" s="81">
        <f t="shared" si="202"/>
        <v>526.57376169510007</v>
      </c>
      <c r="M486" s="82">
        <f>TRUNC(F486*L486,2)</f>
        <v>0</v>
      </c>
      <c r="N486" s="82">
        <f>TRUNC(G486*L486,2)</f>
        <v>0</v>
      </c>
      <c r="O486" s="82">
        <f>N486+'BM 001'!O486</f>
        <v>0</v>
      </c>
      <c r="P486" s="80">
        <f>E486*K486</f>
        <v>74981.505000000005</v>
      </c>
      <c r="Q486" s="82">
        <f>TRUNC(E486*L486,2)</f>
        <v>95046.56</v>
      </c>
      <c r="R486" s="82">
        <f>Q486-O486</f>
        <v>95046.56</v>
      </c>
    </row>
    <row r="487" spans="2:18" s="34" customFormat="1" ht="13.2">
      <c r="B487" s="66" t="s">
        <v>949</v>
      </c>
      <c r="C487" s="67" t="s">
        <v>950</v>
      </c>
      <c r="D487" s="68"/>
      <c r="E487" s="69"/>
      <c r="F487" s="70"/>
      <c r="G487" s="70"/>
      <c r="H487" s="70"/>
      <c r="I487" s="70">
        <f>SUM(G487:H487)+'BM 001'!I487</f>
        <v>0</v>
      </c>
      <c r="J487" s="70">
        <f t="shared" si="203"/>
        <v>0</v>
      </c>
      <c r="K487" s="71"/>
      <c r="L487" s="71">
        <f t="shared" si="202"/>
        <v>0</v>
      </c>
      <c r="M487" s="73">
        <f t="shared" ref="M487:R487" si="206">SUM(M488:M506)</f>
        <v>0</v>
      </c>
      <c r="N487" s="73">
        <f t="shared" si="206"/>
        <v>0</v>
      </c>
      <c r="O487" s="73">
        <f t="shared" si="206"/>
        <v>0</v>
      </c>
      <c r="P487" s="73">
        <f t="shared" si="206"/>
        <v>41266.641499999998</v>
      </c>
      <c r="Q487" s="73">
        <f t="shared" si="206"/>
        <v>52309.5</v>
      </c>
      <c r="R487" s="73">
        <f t="shared" si="206"/>
        <v>52309.5</v>
      </c>
    </row>
    <row r="488" spans="2:18" s="34" customFormat="1" ht="34.799999999999997">
      <c r="B488" s="75" t="s">
        <v>951</v>
      </c>
      <c r="C488" s="76" t="s">
        <v>952</v>
      </c>
      <c r="D488" s="77" t="s">
        <v>131</v>
      </c>
      <c r="E488" s="78">
        <v>362</v>
      </c>
      <c r="F488" s="79"/>
      <c r="G488" s="79"/>
      <c r="H488" s="79"/>
      <c r="I488" s="79">
        <f>SUM(G488:H488)+'BM 001'!I488</f>
        <v>0</v>
      </c>
      <c r="J488" s="79">
        <f t="shared" si="203"/>
        <v>362</v>
      </c>
      <c r="K488" s="84">
        <v>5.6295000000000002</v>
      </c>
      <c r="L488" s="81">
        <f t="shared" si="202"/>
        <v>7.1359548192450006</v>
      </c>
      <c r="M488" s="82">
        <f t="shared" ref="M488:M506" si="207">TRUNC(F488*L488,2)</f>
        <v>0</v>
      </c>
      <c r="N488" s="82">
        <f t="shared" ref="N488:N506" si="208">TRUNC(G488*L488,2)</f>
        <v>0</v>
      </c>
      <c r="O488" s="82">
        <f>N488+'BM 001'!O488</f>
        <v>0</v>
      </c>
      <c r="P488" s="80">
        <f t="shared" ref="P488:P506" si="209">E488*K488</f>
        <v>2037.8790000000001</v>
      </c>
      <c r="Q488" s="82">
        <f t="shared" ref="Q488:Q506" si="210">TRUNC(E488*L488,2)</f>
        <v>2583.21</v>
      </c>
      <c r="R488" s="82">
        <f t="shared" ref="R488:R506" si="211">Q488-O488</f>
        <v>2583.21</v>
      </c>
    </row>
    <row r="489" spans="2:18" s="34" customFormat="1" ht="34.799999999999997">
      <c r="B489" s="75" t="s">
        <v>953</v>
      </c>
      <c r="C489" s="76" t="s">
        <v>954</v>
      </c>
      <c r="D489" s="77" t="s">
        <v>131</v>
      </c>
      <c r="E489" s="78">
        <v>41</v>
      </c>
      <c r="F489" s="79"/>
      <c r="G489" s="79"/>
      <c r="H489" s="79"/>
      <c r="I489" s="79">
        <f>SUM(G489:H489)+'BM 001'!I489</f>
        <v>0</v>
      </c>
      <c r="J489" s="79">
        <f t="shared" si="203"/>
        <v>41</v>
      </c>
      <c r="K489" s="84">
        <v>12.771000000000001</v>
      </c>
      <c r="L489" s="81">
        <f t="shared" si="202"/>
        <v>16.188521004810003</v>
      </c>
      <c r="M489" s="82">
        <f t="shared" si="207"/>
        <v>0</v>
      </c>
      <c r="N489" s="82">
        <f t="shared" si="208"/>
        <v>0</v>
      </c>
      <c r="O489" s="82">
        <f>N489+'BM 001'!O489</f>
        <v>0</v>
      </c>
      <c r="P489" s="80">
        <f t="shared" si="209"/>
        <v>523.61099999999999</v>
      </c>
      <c r="Q489" s="82">
        <f t="shared" si="210"/>
        <v>663.72</v>
      </c>
      <c r="R489" s="82">
        <f t="shared" si="211"/>
        <v>663.72</v>
      </c>
    </row>
    <row r="490" spans="2:18" s="34" customFormat="1" ht="34.799999999999997">
      <c r="B490" s="75" t="s">
        <v>955</v>
      </c>
      <c r="C490" s="76" t="s">
        <v>956</v>
      </c>
      <c r="D490" s="77" t="s">
        <v>131</v>
      </c>
      <c r="E490" s="78">
        <v>4</v>
      </c>
      <c r="F490" s="79"/>
      <c r="G490" s="79"/>
      <c r="H490" s="79"/>
      <c r="I490" s="79">
        <f>SUM(G490:H490)+'BM 001'!I490</f>
        <v>0</v>
      </c>
      <c r="J490" s="79">
        <f t="shared" si="203"/>
        <v>4</v>
      </c>
      <c r="K490" s="84">
        <v>20.358000000000001</v>
      </c>
      <c r="L490" s="81">
        <f t="shared" si="202"/>
        <v>25.805803039380002</v>
      </c>
      <c r="M490" s="82">
        <f t="shared" si="207"/>
        <v>0</v>
      </c>
      <c r="N490" s="82">
        <f t="shared" si="208"/>
        <v>0</v>
      </c>
      <c r="O490" s="82">
        <f>N490+'BM 001'!O490</f>
        <v>0</v>
      </c>
      <c r="P490" s="80">
        <f t="shared" si="209"/>
        <v>81.432000000000002</v>
      </c>
      <c r="Q490" s="82">
        <f t="shared" si="210"/>
        <v>103.22</v>
      </c>
      <c r="R490" s="82">
        <f t="shared" si="211"/>
        <v>103.22</v>
      </c>
    </row>
    <row r="491" spans="2:18" s="34" customFormat="1" ht="34.799999999999997">
      <c r="B491" s="75" t="s">
        <v>957</v>
      </c>
      <c r="C491" s="76" t="s">
        <v>958</v>
      </c>
      <c r="D491" s="77" t="s">
        <v>131</v>
      </c>
      <c r="E491" s="78">
        <v>12</v>
      </c>
      <c r="F491" s="79"/>
      <c r="G491" s="79"/>
      <c r="H491" s="79"/>
      <c r="I491" s="79">
        <f>SUM(G491:H491)+'BM 001'!I491</f>
        <v>0</v>
      </c>
      <c r="J491" s="79">
        <f t="shared" si="203"/>
        <v>12</v>
      </c>
      <c r="K491" s="84">
        <v>68.418000000000006</v>
      </c>
      <c r="L491" s="81">
        <f t="shared" si="202"/>
        <v>86.726664325980011</v>
      </c>
      <c r="M491" s="82">
        <f t="shared" si="207"/>
        <v>0</v>
      </c>
      <c r="N491" s="82">
        <f t="shared" si="208"/>
        <v>0</v>
      </c>
      <c r="O491" s="82">
        <f>N491+'BM 001'!O491</f>
        <v>0</v>
      </c>
      <c r="P491" s="80">
        <f t="shared" si="209"/>
        <v>821.01600000000008</v>
      </c>
      <c r="Q491" s="82">
        <f t="shared" si="210"/>
        <v>1040.71</v>
      </c>
      <c r="R491" s="82">
        <f t="shared" si="211"/>
        <v>1040.71</v>
      </c>
    </row>
    <row r="492" spans="2:18" s="34" customFormat="1" ht="34.799999999999997">
      <c r="B492" s="75" t="s">
        <v>959</v>
      </c>
      <c r="C492" s="76" t="s">
        <v>960</v>
      </c>
      <c r="D492" s="77" t="s">
        <v>131</v>
      </c>
      <c r="E492" s="78">
        <v>106</v>
      </c>
      <c r="F492" s="79"/>
      <c r="G492" s="79"/>
      <c r="H492" s="79"/>
      <c r="I492" s="79">
        <f>SUM(G492:H492)+'BM 001'!I492</f>
        <v>0</v>
      </c>
      <c r="J492" s="79">
        <f t="shared" si="203"/>
        <v>106</v>
      </c>
      <c r="K492" s="84">
        <v>20.52</v>
      </c>
      <c r="L492" s="81">
        <f t="shared" si="202"/>
        <v>26.011154257200001</v>
      </c>
      <c r="M492" s="82">
        <f t="shared" si="207"/>
        <v>0</v>
      </c>
      <c r="N492" s="82">
        <f t="shared" si="208"/>
        <v>0</v>
      </c>
      <c r="O492" s="82">
        <f>N492+'BM 001'!O492</f>
        <v>0</v>
      </c>
      <c r="P492" s="80">
        <f t="shared" si="209"/>
        <v>2175.12</v>
      </c>
      <c r="Q492" s="82">
        <f t="shared" si="210"/>
        <v>2757.18</v>
      </c>
      <c r="R492" s="82">
        <f t="shared" si="211"/>
        <v>2757.18</v>
      </c>
    </row>
    <row r="493" spans="2:18" s="34" customFormat="1" ht="34.799999999999997">
      <c r="B493" s="75" t="s">
        <v>961</v>
      </c>
      <c r="C493" s="76" t="s">
        <v>962</v>
      </c>
      <c r="D493" s="77" t="s">
        <v>131</v>
      </c>
      <c r="E493" s="78">
        <v>14</v>
      </c>
      <c r="F493" s="79"/>
      <c r="G493" s="79"/>
      <c r="H493" s="79"/>
      <c r="I493" s="79">
        <f>SUM(G493:H493)+'BM 001'!I493</f>
        <v>0</v>
      </c>
      <c r="J493" s="79">
        <f t="shared" si="203"/>
        <v>14</v>
      </c>
      <c r="K493" s="84">
        <v>11.4885</v>
      </c>
      <c r="L493" s="81">
        <f t="shared" si="202"/>
        <v>14.562823863735002</v>
      </c>
      <c r="M493" s="82">
        <f t="shared" si="207"/>
        <v>0</v>
      </c>
      <c r="N493" s="82">
        <f t="shared" si="208"/>
        <v>0</v>
      </c>
      <c r="O493" s="82">
        <f>N493+'BM 001'!O493</f>
        <v>0</v>
      </c>
      <c r="P493" s="80">
        <f t="shared" si="209"/>
        <v>160.839</v>
      </c>
      <c r="Q493" s="82">
        <f t="shared" si="210"/>
        <v>203.87</v>
      </c>
      <c r="R493" s="82">
        <f t="shared" si="211"/>
        <v>203.87</v>
      </c>
    </row>
    <row r="494" spans="2:18" s="34" customFormat="1" ht="34.799999999999997">
      <c r="B494" s="75" t="s">
        <v>963</v>
      </c>
      <c r="C494" s="76" t="s">
        <v>964</v>
      </c>
      <c r="D494" s="77" t="s">
        <v>131</v>
      </c>
      <c r="E494" s="78">
        <v>6</v>
      </c>
      <c r="F494" s="79"/>
      <c r="G494" s="79"/>
      <c r="H494" s="79"/>
      <c r="I494" s="79">
        <f>SUM(G494:H494)+'BM 001'!I494</f>
        <v>0</v>
      </c>
      <c r="J494" s="79">
        <f t="shared" si="203"/>
        <v>6</v>
      </c>
      <c r="K494" s="84">
        <v>13.432499999999999</v>
      </c>
      <c r="L494" s="81">
        <f t="shared" si="202"/>
        <v>17.027038477575001</v>
      </c>
      <c r="M494" s="82">
        <f t="shared" si="207"/>
        <v>0</v>
      </c>
      <c r="N494" s="82">
        <f t="shared" si="208"/>
        <v>0</v>
      </c>
      <c r="O494" s="82">
        <f>N494+'BM 001'!O494</f>
        <v>0</v>
      </c>
      <c r="P494" s="80">
        <f t="shared" si="209"/>
        <v>80.594999999999999</v>
      </c>
      <c r="Q494" s="82">
        <f t="shared" si="210"/>
        <v>102.16</v>
      </c>
      <c r="R494" s="82">
        <f t="shared" si="211"/>
        <v>102.16</v>
      </c>
    </row>
    <row r="495" spans="2:18" s="34" customFormat="1" ht="23.4">
      <c r="B495" s="75" t="s">
        <v>965</v>
      </c>
      <c r="C495" s="76" t="s">
        <v>966</v>
      </c>
      <c r="D495" s="77" t="s">
        <v>131</v>
      </c>
      <c r="E495" s="78">
        <v>3</v>
      </c>
      <c r="F495" s="79"/>
      <c r="G495" s="79"/>
      <c r="H495" s="79"/>
      <c r="I495" s="79">
        <f>SUM(G495:H495)+'BM 001'!I495</f>
        <v>0</v>
      </c>
      <c r="J495" s="79">
        <f t="shared" si="203"/>
        <v>3</v>
      </c>
      <c r="K495" s="84">
        <v>42.214500000000001</v>
      </c>
      <c r="L495" s="81">
        <f t="shared" si="202"/>
        <v>53.511104843595007</v>
      </c>
      <c r="M495" s="82">
        <f t="shared" si="207"/>
        <v>0</v>
      </c>
      <c r="N495" s="82">
        <f t="shared" si="208"/>
        <v>0</v>
      </c>
      <c r="O495" s="82">
        <f>N495+'BM 001'!O495</f>
        <v>0</v>
      </c>
      <c r="P495" s="80">
        <f t="shared" si="209"/>
        <v>126.6435</v>
      </c>
      <c r="Q495" s="82">
        <f t="shared" si="210"/>
        <v>160.53</v>
      </c>
      <c r="R495" s="82">
        <f t="shared" si="211"/>
        <v>160.53</v>
      </c>
    </row>
    <row r="496" spans="2:18" s="34" customFormat="1" ht="34.799999999999997">
      <c r="B496" s="75" t="s">
        <v>967</v>
      </c>
      <c r="C496" s="76" t="s">
        <v>968</v>
      </c>
      <c r="D496" s="77" t="s">
        <v>131</v>
      </c>
      <c r="E496" s="78">
        <v>51</v>
      </c>
      <c r="F496" s="79"/>
      <c r="G496" s="79"/>
      <c r="H496" s="79"/>
      <c r="I496" s="79">
        <f>SUM(G496:H496)+'BM 001'!I496</f>
        <v>0</v>
      </c>
      <c r="J496" s="79">
        <f t="shared" si="203"/>
        <v>51</v>
      </c>
      <c r="K496" s="84">
        <v>15.1335</v>
      </c>
      <c r="L496" s="81">
        <f t="shared" si="202"/>
        <v>19.183226264685</v>
      </c>
      <c r="M496" s="82">
        <f t="shared" si="207"/>
        <v>0</v>
      </c>
      <c r="N496" s="82">
        <f t="shared" si="208"/>
        <v>0</v>
      </c>
      <c r="O496" s="82">
        <f>N496+'BM 001'!O496</f>
        <v>0</v>
      </c>
      <c r="P496" s="80">
        <f t="shared" si="209"/>
        <v>771.80849999999998</v>
      </c>
      <c r="Q496" s="82">
        <f t="shared" si="210"/>
        <v>978.34</v>
      </c>
      <c r="R496" s="82">
        <f t="shared" si="211"/>
        <v>978.34</v>
      </c>
    </row>
    <row r="497" spans="2:18" s="34" customFormat="1" ht="34.799999999999997">
      <c r="B497" s="75" t="s">
        <v>969</v>
      </c>
      <c r="C497" s="76" t="s">
        <v>970</v>
      </c>
      <c r="D497" s="77" t="s">
        <v>131</v>
      </c>
      <c r="E497" s="78">
        <v>8</v>
      </c>
      <c r="F497" s="79"/>
      <c r="G497" s="79"/>
      <c r="H497" s="79"/>
      <c r="I497" s="79">
        <f>SUM(G497:H497)+'BM 001'!I497</f>
        <v>0</v>
      </c>
      <c r="J497" s="79">
        <f t="shared" si="203"/>
        <v>8</v>
      </c>
      <c r="K497" s="84">
        <v>23.638500000000001</v>
      </c>
      <c r="L497" s="81">
        <f t="shared" si="202"/>
        <v>29.964165200235001</v>
      </c>
      <c r="M497" s="82">
        <f t="shared" si="207"/>
        <v>0</v>
      </c>
      <c r="N497" s="82">
        <f t="shared" si="208"/>
        <v>0</v>
      </c>
      <c r="O497" s="82">
        <f>N497+'BM 001'!O497</f>
        <v>0</v>
      </c>
      <c r="P497" s="80">
        <f t="shared" si="209"/>
        <v>189.108</v>
      </c>
      <c r="Q497" s="82">
        <f t="shared" si="210"/>
        <v>239.71</v>
      </c>
      <c r="R497" s="82">
        <f t="shared" si="211"/>
        <v>239.71</v>
      </c>
    </row>
    <row r="498" spans="2:18" s="34" customFormat="1" ht="34.799999999999997">
      <c r="B498" s="75" t="s">
        <v>971</v>
      </c>
      <c r="C498" s="76" t="s">
        <v>972</v>
      </c>
      <c r="D498" s="77" t="s">
        <v>131</v>
      </c>
      <c r="E498" s="78">
        <v>3</v>
      </c>
      <c r="F498" s="79"/>
      <c r="G498" s="79"/>
      <c r="H498" s="79"/>
      <c r="I498" s="79">
        <f>SUM(G498:H498)+'BM 001'!I498</f>
        <v>0</v>
      </c>
      <c r="J498" s="79">
        <f t="shared" si="203"/>
        <v>3</v>
      </c>
      <c r="K498" s="84">
        <v>32.656500000000001</v>
      </c>
      <c r="L498" s="81">
        <f t="shared" si="202"/>
        <v>41.395382992215005</v>
      </c>
      <c r="M498" s="82">
        <f t="shared" si="207"/>
        <v>0</v>
      </c>
      <c r="N498" s="82">
        <f t="shared" si="208"/>
        <v>0</v>
      </c>
      <c r="O498" s="82">
        <f>N498+'BM 001'!O498</f>
        <v>0</v>
      </c>
      <c r="P498" s="80">
        <f t="shared" si="209"/>
        <v>97.969500000000011</v>
      </c>
      <c r="Q498" s="82">
        <f t="shared" si="210"/>
        <v>124.18</v>
      </c>
      <c r="R498" s="82">
        <f t="shared" si="211"/>
        <v>124.18</v>
      </c>
    </row>
    <row r="499" spans="2:18" s="34" customFormat="1" ht="23.4">
      <c r="B499" s="75" t="s">
        <v>973</v>
      </c>
      <c r="C499" s="76" t="s">
        <v>974</v>
      </c>
      <c r="D499" s="77" t="s">
        <v>131</v>
      </c>
      <c r="E499" s="78">
        <v>14</v>
      </c>
      <c r="F499" s="79"/>
      <c r="G499" s="79"/>
      <c r="H499" s="79"/>
      <c r="I499" s="79">
        <f>SUM(G499:H499)+'BM 001'!I499</f>
        <v>0</v>
      </c>
      <c r="J499" s="79">
        <f t="shared" si="203"/>
        <v>14</v>
      </c>
      <c r="K499" s="84">
        <v>24.003</v>
      </c>
      <c r="L499" s="81">
        <f t="shared" si="202"/>
        <v>30.426205440330001</v>
      </c>
      <c r="M499" s="82">
        <f t="shared" si="207"/>
        <v>0</v>
      </c>
      <c r="N499" s="82">
        <f t="shared" si="208"/>
        <v>0</v>
      </c>
      <c r="O499" s="82">
        <f>N499+'BM 001'!O499</f>
        <v>0</v>
      </c>
      <c r="P499" s="80">
        <f t="shared" si="209"/>
        <v>336.04200000000003</v>
      </c>
      <c r="Q499" s="82">
        <f t="shared" si="210"/>
        <v>425.96</v>
      </c>
      <c r="R499" s="82">
        <f t="shared" si="211"/>
        <v>425.96</v>
      </c>
    </row>
    <row r="500" spans="2:18" s="34" customFormat="1" ht="13.2">
      <c r="B500" s="75" t="s">
        <v>975</v>
      </c>
      <c r="C500" s="76" t="s">
        <v>976</v>
      </c>
      <c r="D500" s="77" t="s">
        <v>131</v>
      </c>
      <c r="E500" s="78">
        <v>47</v>
      </c>
      <c r="F500" s="79"/>
      <c r="G500" s="79"/>
      <c r="H500" s="79"/>
      <c r="I500" s="79">
        <f>SUM(G500:H500)+'BM 001'!I500</f>
        <v>0</v>
      </c>
      <c r="J500" s="79">
        <f t="shared" si="203"/>
        <v>47</v>
      </c>
      <c r="K500" s="84">
        <v>54.7425</v>
      </c>
      <c r="L500" s="81">
        <f t="shared" si="202"/>
        <v>69.391599021675006</v>
      </c>
      <c r="M500" s="82">
        <f t="shared" si="207"/>
        <v>0</v>
      </c>
      <c r="N500" s="82">
        <f t="shared" si="208"/>
        <v>0</v>
      </c>
      <c r="O500" s="82">
        <f>N500+'BM 001'!O500</f>
        <v>0</v>
      </c>
      <c r="P500" s="80">
        <f t="shared" si="209"/>
        <v>2572.8975</v>
      </c>
      <c r="Q500" s="82">
        <f t="shared" si="210"/>
        <v>3261.4</v>
      </c>
      <c r="R500" s="82">
        <f t="shared" si="211"/>
        <v>3261.4</v>
      </c>
    </row>
    <row r="501" spans="2:18" s="34" customFormat="1" ht="13.2">
      <c r="B501" s="75" t="s">
        <v>977</v>
      </c>
      <c r="C501" s="76" t="s">
        <v>978</v>
      </c>
      <c r="D501" s="77" t="s">
        <v>131</v>
      </c>
      <c r="E501" s="78">
        <v>3</v>
      </c>
      <c r="F501" s="79"/>
      <c r="G501" s="79"/>
      <c r="H501" s="79"/>
      <c r="I501" s="79">
        <f>SUM(G501:H501)+'BM 001'!I501</f>
        <v>0</v>
      </c>
      <c r="J501" s="79">
        <f t="shared" si="203"/>
        <v>3</v>
      </c>
      <c r="K501" s="84">
        <v>79.393500000000003</v>
      </c>
      <c r="L501" s="81">
        <f t="shared" si="202"/>
        <v>100.63920933328501</v>
      </c>
      <c r="M501" s="82">
        <f t="shared" si="207"/>
        <v>0</v>
      </c>
      <c r="N501" s="82">
        <f t="shared" si="208"/>
        <v>0</v>
      </c>
      <c r="O501" s="82">
        <f>N501+'BM 001'!O501</f>
        <v>0</v>
      </c>
      <c r="P501" s="80">
        <f t="shared" si="209"/>
        <v>238.18049999999999</v>
      </c>
      <c r="Q501" s="82">
        <f t="shared" si="210"/>
        <v>301.91000000000003</v>
      </c>
      <c r="R501" s="82">
        <f t="shared" si="211"/>
        <v>301.91000000000003</v>
      </c>
    </row>
    <row r="502" spans="2:18" s="34" customFormat="1" ht="34.799999999999997">
      <c r="B502" s="75" t="s">
        <v>979</v>
      </c>
      <c r="C502" s="76" t="s">
        <v>980</v>
      </c>
      <c r="D502" s="77" t="s">
        <v>131</v>
      </c>
      <c r="E502" s="78">
        <v>3</v>
      </c>
      <c r="F502" s="79"/>
      <c r="G502" s="79"/>
      <c r="H502" s="79"/>
      <c r="I502" s="79">
        <f>SUM(G502:H502)+'BM 001'!I502</f>
        <v>0</v>
      </c>
      <c r="J502" s="79">
        <f t="shared" si="203"/>
        <v>3</v>
      </c>
      <c r="K502" s="84">
        <v>634.5</v>
      </c>
      <c r="L502" s="81">
        <f t="shared" si="202"/>
        <v>804.29226979500004</v>
      </c>
      <c r="M502" s="82">
        <f t="shared" si="207"/>
        <v>0</v>
      </c>
      <c r="N502" s="82">
        <f t="shared" si="208"/>
        <v>0</v>
      </c>
      <c r="O502" s="82">
        <f>N502+'BM 001'!O502</f>
        <v>0</v>
      </c>
      <c r="P502" s="80">
        <f t="shared" si="209"/>
        <v>1903.5</v>
      </c>
      <c r="Q502" s="82">
        <f t="shared" si="210"/>
        <v>2412.87</v>
      </c>
      <c r="R502" s="82">
        <f t="shared" si="211"/>
        <v>2412.87</v>
      </c>
    </row>
    <row r="503" spans="2:18" s="34" customFormat="1" ht="13.2">
      <c r="B503" s="75" t="s">
        <v>981</v>
      </c>
      <c r="C503" s="76" t="s">
        <v>982</v>
      </c>
      <c r="D503" s="77" t="s">
        <v>131</v>
      </c>
      <c r="E503" s="78">
        <v>6</v>
      </c>
      <c r="F503" s="79"/>
      <c r="G503" s="79"/>
      <c r="H503" s="79"/>
      <c r="I503" s="79">
        <f>SUM(G503:H503)+'BM 001'!I503</f>
        <v>0</v>
      </c>
      <c r="J503" s="79">
        <f t="shared" si="203"/>
        <v>6</v>
      </c>
      <c r="K503" s="84">
        <v>985</v>
      </c>
      <c r="L503" s="81">
        <f t="shared" si="202"/>
        <v>1248.5861083500001</v>
      </c>
      <c r="M503" s="82">
        <f t="shared" si="207"/>
        <v>0</v>
      </c>
      <c r="N503" s="82">
        <f t="shared" si="208"/>
        <v>0</v>
      </c>
      <c r="O503" s="82">
        <f>N503+'BM 001'!O503</f>
        <v>0</v>
      </c>
      <c r="P503" s="80">
        <f t="shared" si="209"/>
        <v>5910</v>
      </c>
      <c r="Q503" s="82">
        <f t="shared" si="210"/>
        <v>7491.51</v>
      </c>
      <c r="R503" s="82">
        <f t="shared" si="211"/>
        <v>7491.51</v>
      </c>
    </row>
    <row r="504" spans="2:18" s="34" customFormat="1" ht="13.2">
      <c r="B504" s="75" t="s">
        <v>983</v>
      </c>
      <c r="C504" s="76" t="s">
        <v>984</v>
      </c>
      <c r="D504" s="77" t="s">
        <v>131</v>
      </c>
      <c r="E504" s="78">
        <v>6</v>
      </c>
      <c r="F504" s="79"/>
      <c r="G504" s="79"/>
      <c r="H504" s="79"/>
      <c r="I504" s="79">
        <f>SUM(G504:H504)+'BM 001'!I504</f>
        <v>0</v>
      </c>
      <c r="J504" s="79">
        <f t="shared" si="203"/>
        <v>6</v>
      </c>
      <c r="K504" s="84">
        <v>895</v>
      </c>
      <c r="L504" s="81">
        <f t="shared" si="202"/>
        <v>1134.5020984499999</v>
      </c>
      <c r="M504" s="82">
        <f t="shared" si="207"/>
        <v>0</v>
      </c>
      <c r="N504" s="82">
        <f t="shared" si="208"/>
        <v>0</v>
      </c>
      <c r="O504" s="82">
        <f>N504+'BM 001'!O504</f>
        <v>0</v>
      </c>
      <c r="P504" s="80">
        <f t="shared" si="209"/>
        <v>5370</v>
      </c>
      <c r="Q504" s="82">
        <f t="shared" si="210"/>
        <v>6807.01</v>
      </c>
      <c r="R504" s="82">
        <f t="shared" si="211"/>
        <v>6807.01</v>
      </c>
    </row>
    <row r="505" spans="2:18" s="34" customFormat="1" ht="23.4">
      <c r="B505" s="75" t="s">
        <v>985</v>
      </c>
      <c r="C505" s="76" t="s">
        <v>986</v>
      </c>
      <c r="D505" s="77" t="s">
        <v>131</v>
      </c>
      <c r="E505" s="78">
        <v>6</v>
      </c>
      <c r="F505" s="79"/>
      <c r="G505" s="79"/>
      <c r="H505" s="79"/>
      <c r="I505" s="79">
        <f>SUM(G505:H505)+'BM 001'!I505</f>
        <v>0</v>
      </c>
      <c r="J505" s="79">
        <f t="shared" si="203"/>
        <v>6</v>
      </c>
      <c r="K505" s="84">
        <v>895</v>
      </c>
      <c r="L505" s="81">
        <f t="shared" si="202"/>
        <v>1134.5020984499999</v>
      </c>
      <c r="M505" s="82">
        <f t="shared" si="207"/>
        <v>0</v>
      </c>
      <c r="N505" s="82">
        <f t="shared" si="208"/>
        <v>0</v>
      </c>
      <c r="O505" s="82">
        <f>N505+'BM 001'!O505</f>
        <v>0</v>
      </c>
      <c r="P505" s="80">
        <f t="shared" si="209"/>
        <v>5370</v>
      </c>
      <c r="Q505" s="82">
        <f t="shared" si="210"/>
        <v>6807.01</v>
      </c>
      <c r="R505" s="82">
        <f t="shared" si="211"/>
        <v>6807.01</v>
      </c>
    </row>
    <row r="506" spans="2:18" s="34" customFormat="1" ht="23.4">
      <c r="B506" s="75" t="s">
        <v>987</v>
      </c>
      <c r="C506" s="76" t="s">
        <v>988</v>
      </c>
      <c r="D506" s="77" t="s">
        <v>131</v>
      </c>
      <c r="E506" s="78">
        <v>20</v>
      </c>
      <c r="F506" s="79"/>
      <c r="G506" s="79"/>
      <c r="H506" s="79"/>
      <c r="I506" s="79">
        <f>SUM(G506:H506)+'BM 001'!I506</f>
        <v>0</v>
      </c>
      <c r="J506" s="79">
        <f t="shared" si="203"/>
        <v>20</v>
      </c>
      <c r="K506" s="84">
        <v>625</v>
      </c>
      <c r="L506" s="81">
        <f t="shared" si="202"/>
        <v>792.25006875000008</v>
      </c>
      <c r="M506" s="82">
        <f t="shared" si="207"/>
        <v>0</v>
      </c>
      <c r="N506" s="82">
        <f t="shared" si="208"/>
        <v>0</v>
      </c>
      <c r="O506" s="82">
        <f>N506+'BM 001'!O506</f>
        <v>0</v>
      </c>
      <c r="P506" s="80">
        <f t="shared" si="209"/>
        <v>12500</v>
      </c>
      <c r="Q506" s="82">
        <f t="shared" si="210"/>
        <v>15845</v>
      </c>
      <c r="R506" s="82">
        <f t="shared" si="211"/>
        <v>15845</v>
      </c>
    </row>
    <row r="507" spans="2:18" s="34" customFormat="1" ht="13.2">
      <c r="B507" s="60" t="s">
        <v>989</v>
      </c>
      <c r="C507" s="61" t="s">
        <v>990</v>
      </c>
      <c r="D507" s="60"/>
      <c r="E507" s="62"/>
      <c r="F507" s="63"/>
      <c r="G507" s="63"/>
      <c r="H507" s="63"/>
      <c r="I507" s="63">
        <f>SUM(G507:H507)+'BM 001'!I507</f>
        <v>0</v>
      </c>
      <c r="J507" s="63">
        <f t="shared" si="203"/>
        <v>0</v>
      </c>
      <c r="K507" s="63"/>
      <c r="L507" s="63">
        <f t="shared" si="202"/>
        <v>0</v>
      </c>
      <c r="M507" s="63">
        <f t="shared" ref="M507:R507" si="212">SUM(M508,M520,M552,M554)</f>
        <v>0</v>
      </c>
      <c r="N507" s="63">
        <f t="shared" si="212"/>
        <v>0</v>
      </c>
      <c r="O507" s="63">
        <f t="shared" si="212"/>
        <v>0</v>
      </c>
      <c r="P507" s="63">
        <f t="shared" si="212"/>
        <v>248226.55</v>
      </c>
      <c r="Q507" s="63">
        <f t="shared" si="212"/>
        <v>314651.83</v>
      </c>
      <c r="R507" s="63">
        <f t="shared" si="212"/>
        <v>314651.83</v>
      </c>
    </row>
    <row r="508" spans="2:18" s="34" customFormat="1" ht="13.2">
      <c r="B508" s="66" t="s">
        <v>991</v>
      </c>
      <c r="C508" s="67" t="s">
        <v>992</v>
      </c>
      <c r="D508" s="68"/>
      <c r="E508" s="69"/>
      <c r="F508" s="70"/>
      <c r="G508" s="70"/>
      <c r="H508" s="70"/>
      <c r="I508" s="70">
        <f>SUM(G508:H508)+'BM 001'!I508</f>
        <v>0</v>
      </c>
      <c r="J508" s="70">
        <f t="shared" si="203"/>
        <v>0</v>
      </c>
      <c r="K508" s="71"/>
      <c r="L508" s="71">
        <f t="shared" si="202"/>
        <v>0</v>
      </c>
      <c r="M508" s="73">
        <f t="shared" ref="M508:R508" si="213">SUM(M509:M519)</f>
        <v>0</v>
      </c>
      <c r="N508" s="73">
        <f t="shared" si="213"/>
        <v>0</v>
      </c>
      <c r="O508" s="73">
        <f t="shared" si="213"/>
        <v>0</v>
      </c>
      <c r="P508" s="73">
        <f t="shared" si="213"/>
        <v>96780</v>
      </c>
      <c r="Q508" s="73">
        <f t="shared" si="213"/>
        <v>122678.3</v>
      </c>
      <c r="R508" s="73">
        <f t="shared" si="213"/>
        <v>122678.3</v>
      </c>
    </row>
    <row r="509" spans="2:18" s="34" customFormat="1" ht="13.2">
      <c r="B509" s="75" t="s">
        <v>993</v>
      </c>
      <c r="C509" s="76" t="s">
        <v>994</v>
      </c>
      <c r="D509" s="77" t="s">
        <v>124</v>
      </c>
      <c r="E509" s="93">
        <v>300</v>
      </c>
      <c r="F509" s="79"/>
      <c r="G509" s="79"/>
      <c r="H509" s="79"/>
      <c r="I509" s="79">
        <f>SUM(G509:H509)+'BM 001'!I509</f>
        <v>0</v>
      </c>
      <c r="J509" s="79">
        <f t="shared" si="203"/>
        <v>300</v>
      </c>
      <c r="K509" s="84">
        <v>18</v>
      </c>
      <c r="L509" s="81">
        <f t="shared" si="202"/>
        <v>22.816801980000001</v>
      </c>
      <c r="M509" s="82">
        <f t="shared" ref="M509:M519" si="214">TRUNC(F509*L509,2)</f>
        <v>0</v>
      </c>
      <c r="N509" s="82">
        <f t="shared" ref="N509:N519" si="215">TRUNC(G509*L509,2)</f>
        <v>0</v>
      </c>
      <c r="O509" s="82">
        <f>N509+'BM 001'!O509</f>
        <v>0</v>
      </c>
      <c r="P509" s="80">
        <f t="shared" ref="P509:P519" si="216">E509*K509</f>
        <v>5400</v>
      </c>
      <c r="Q509" s="82">
        <f t="shared" ref="Q509:Q519" si="217">TRUNC(E509*L509,2)</f>
        <v>6845.04</v>
      </c>
      <c r="R509" s="82">
        <f t="shared" ref="R509:R519" si="218">Q509-O509</f>
        <v>6845.04</v>
      </c>
    </row>
    <row r="510" spans="2:18" s="34" customFormat="1" ht="23.4">
      <c r="B510" s="75" t="s">
        <v>995</v>
      </c>
      <c r="C510" s="76" t="s">
        <v>996</v>
      </c>
      <c r="D510" s="77" t="s">
        <v>390</v>
      </c>
      <c r="E510" s="93">
        <v>60</v>
      </c>
      <c r="F510" s="79"/>
      <c r="G510" s="79"/>
      <c r="H510" s="79"/>
      <c r="I510" s="79">
        <f>SUM(G510:H510)+'BM 001'!I510</f>
        <v>0</v>
      </c>
      <c r="J510" s="79">
        <f t="shared" si="203"/>
        <v>60</v>
      </c>
      <c r="K510" s="84">
        <v>39</v>
      </c>
      <c r="L510" s="81">
        <f t="shared" si="202"/>
        <v>49.436404289999999</v>
      </c>
      <c r="M510" s="82">
        <f t="shared" si="214"/>
        <v>0</v>
      </c>
      <c r="N510" s="82">
        <f t="shared" si="215"/>
        <v>0</v>
      </c>
      <c r="O510" s="82">
        <f>N510+'BM 001'!O510</f>
        <v>0</v>
      </c>
      <c r="P510" s="80">
        <f t="shared" si="216"/>
        <v>2340</v>
      </c>
      <c r="Q510" s="82">
        <f t="shared" si="217"/>
        <v>2966.18</v>
      </c>
      <c r="R510" s="82">
        <f t="shared" si="218"/>
        <v>2966.18</v>
      </c>
    </row>
    <row r="511" spans="2:18" s="34" customFormat="1" ht="13.2">
      <c r="B511" s="75" t="s">
        <v>997</v>
      </c>
      <c r="C511" s="76" t="s">
        <v>998</v>
      </c>
      <c r="D511" s="77" t="s">
        <v>390</v>
      </c>
      <c r="E511" s="93">
        <v>60</v>
      </c>
      <c r="F511" s="79"/>
      <c r="G511" s="79"/>
      <c r="H511" s="79"/>
      <c r="I511" s="79">
        <f>SUM(G511:H511)+'BM 001'!I511</f>
        <v>0</v>
      </c>
      <c r="J511" s="79">
        <f t="shared" si="203"/>
        <v>60</v>
      </c>
      <c r="K511" s="84">
        <v>18</v>
      </c>
      <c r="L511" s="81">
        <f t="shared" si="202"/>
        <v>22.816801980000001</v>
      </c>
      <c r="M511" s="82">
        <f t="shared" si="214"/>
        <v>0</v>
      </c>
      <c r="N511" s="82">
        <f t="shared" si="215"/>
        <v>0</v>
      </c>
      <c r="O511" s="82">
        <f>N511+'BM 001'!O511</f>
        <v>0</v>
      </c>
      <c r="P511" s="80">
        <f t="shared" si="216"/>
        <v>1080</v>
      </c>
      <c r="Q511" s="82">
        <f t="shared" si="217"/>
        <v>1369</v>
      </c>
      <c r="R511" s="82">
        <f t="shared" si="218"/>
        <v>1369</v>
      </c>
    </row>
    <row r="512" spans="2:18" s="34" customFormat="1" ht="34.799999999999997">
      <c r="B512" s="75" t="s">
        <v>999</v>
      </c>
      <c r="C512" s="76" t="s">
        <v>1000</v>
      </c>
      <c r="D512" s="77" t="s">
        <v>124</v>
      </c>
      <c r="E512" s="93">
        <v>210</v>
      </c>
      <c r="F512" s="79"/>
      <c r="G512" s="79"/>
      <c r="H512" s="79"/>
      <c r="I512" s="79">
        <f>SUM(G512:H512)+'BM 001'!I512</f>
        <v>0</v>
      </c>
      <c r="J512" s="79">
        <f t="shared" si="203"/>
        <v>210</v>
      </c>
      <c r="K512" s="84">
        <v>40</v>
      </c>
      <c r="L512" s="81">
        <f t="shared" si="202"/>
        <v>50.704004400000002</v>
      </c>
      <c r="M512" s="82">
        <f t="shared" si="214"/>
        <v>0</v>
      </c>
      <c r="N512" s="82">
        <f t="shared" si="215"/>
        <v>0</v>
      </c>
      <c r="O512" s="82">
        <f>N512+'BM 001'!O512</f>
        <v>0</v>
      </c>
      <c r="P512" s="80">
        <f t="shared" si="216"/>
        <v>8400</v>
      </c>
      <c r="Q512" s="82">
        <f t="shared" si="217"/>
        <v>10647.84</v>
      </c>
      <c r="R512" s="82">
        <f t="shared" si="218"/>
        <v>10647.84</v>
      </c>
    </row>
    <row r="513" spans="2:18" s="34" customFormat="1" ht="34.799999999999997">
      <c r="B513" s="75" t="s">
        <v>1001</v>
      </c>
      <c r="C513" s="76" t="s">
        <v>1002</v>
      </c>
      <c r="D513" s="77" t="s">
        <v>124</v>
      </c>
      <c r="E513" s="93">
        <v>120</v>
      </c>
      <c r="F513" s="79"/>
      <c r="G513" s="79"/>
      <c r="H513" s="79"/>
      <c r="I513" s="79">
        <f>SUM(G513:H513)+'BM 001'!I513</f>
        <v>0</v>
      </c>
      <c r="J513" s="79">
        <f t="shared" si="203"/>
        <v>120</v>
      </c>
      <c r="K513" s="84">
        <v>75</v>
      </c>
      <c r="L513" s="81">
        <f t="shared" si="202"/>
        <v>95.070008250000001</v>
      </c>
      <c r="M513" s="82">
        <f t="shared" si="214"/>
        <v>0</v>
      </c>
      <c r="N513" s="82">
        <f t="shared" si="215"/>
        <v>0</v>
      </c>
      <c r="O513" s="82">
        <f>N513+'BM 001'!O513</f>
        <v>0</v>
      </c>
      <c r="P513" s="80">
        <f t="shared" si="216"/>
        <v>9000</v>
      </c>
      <c r="Q513" s="82">
        <f t="shared" si="217"/>
        <v>11408.4</v>
      </c>
      <c r="R513" s="82">
        <f t="shared" si="218"/>
        <v>11408.4</v>
      </c>
    </row>
    <row r="514" spans="2:18" s="34" customFormat="1" ht="34.799999999999997">
      <c r="B514" s="75" t="s">
        <v>1003</v>
      </c>
      <c r="C514" s="76" t="s">
        <v>1004</v>
      </c>
      <c r="D514" s="77" t="s">
        <v>124</v>
      </c>
      <c r="E514" s="93">
        <v>36</v>
      </c>
      <c r="F514" s="79"/>
      <c r="G514" s="79"/>
      <c r="H514" s="79"/>
      <c r="I514" s="79">
        <f>SUM(G514:H514)+'BM 001'!I514</f>
        <v>0</v>
      </c>
      <c r="J514" s="79">
        <f t="shared" si="203"/>
        <v>36</v>
      </c>
      <c r="K514" s="84">
        <v>130</v>
      </c>
      <c r="L514" s="81">
        <f t="shared" si="202"/>
        <v>164.78801430000001</v>
      </c>
      <c r="M514" s="82">
        <f t="shared" si="214"/>
        <v>0</v>
      </c>
      <c r="N514" s="82">
        <f t="shared" si="215"/>
        <v>0</v>
      </c>
      <c r="O514" s="82">
        <f>N514+'BM 001'!O514</f>
        <v>0</v>
      </c>
      <c r="P514" s="80">
        <f t="shared" si="216"/>
        <v>4680</v>
      </c>
      <c r="Q514" s="82">
        <f t="shared" si="217"/>
        <v>5932.36</v>
      </c>
      <c r="R514" s="82">
        <f t="shared" si="218"/>
        <v>5932.36</v>
      </c>
    </row>
    <row r="515" spans="2:18" s="34" customFormat="1" ht="34.799999999999997">
      <c r="B515" s="75" t="s">
        <v>1005</v>
      </c>
      <c r="C515" s="76" t="s">
        <v>1006</v>
      </c>
      <c r="D515" s="77" t="s">
        <v>124</v>
      </c>
      <c r="E515" s="93">
        <v>36</v>
      </c>
      <c r="F515" s="79"/>
      <c r="G515" s="79"/>
      <c r="H515" s="79"/>
      <c r="I515" s="79">
        <f>SUM(G515:H515)+'BM 001'!I515</f>
        <v>0</v>
      </c>
      <c r="J515" s="79">
        <f t="shared" si="203"/>
        <v>36</v>
      </c>
      <c r="K515" s="84">
        <v>180</v>
      </c>
      <c r="L515" s="81">
        <f t="shared" si="202"/>
        <v>228.16801980000002</v>
      </c>
      <c r="M515" s="82">
        <f t="shared" si="214"/>
        <v>0</v>
      </c>
      <c r="N515" s="82">
        <f t="shared" si="215"/>
        <v>0</v>
      </c>
      <c r="O515" s="82">
        <f>N515+'BM 001'!O515</f>
        <v>0</v>
      </c>
      <c r="P515" s="80">
        <f t="shared" si="216"/>
        <v>6480</v>
      </c>
      <c r="Q515" s="82">
        <f t="shared" si="217"/>
        <v>8214.0400000000009</v>
      </c>
      <c r="R515" s="82">
        <f t="shared" si="218"/>
        <v>8214.0400000000009</v>
      </c>
    </row>
    <row r="516" spans="2:18" s="34" customFormat="1" ht="34.799999999999997">
      <c r="B516" s="75" t="s">
        <v>1007</v>
      </c>
      <c r="C516" s="76" t="s">
        <v>1008</v>
      </c>
      <c r="D516" s="77" t="s">
        <v>124</v>
      </c>
      <c r="E516" s="93">
        <v>120</v>
      </c>
      <c r="F516" s="79"/>
      <c r="G516" s="79"/>
      <c r="H516" s="79"/>
      <c r="I516" s="79">
        <f>SUM(G516:H516)+'BM 001'!I516</f>
        <v>0</v>
      </c>
      <c r="J516" s="79">
        <f t="shared" si="203"/>
        <v>120</v>
      </c>
      <c r="K516" s="84">
        <v>110</v>
      </c>
      <c r="L516" s="81">
        <f t="shared" si="202"/>
        <v>139.4360121</v>
      </c>
      <c r="M516" s="82">
        <f t="shared" si="214"/>
        <v>0</v>
      </c>
      <c r="N516" s="82">
        <f t="shared" si="215"/>
        <v>0</v>
      </c>
      <c r="O516" s="82">
        <f>N516+'BM 001'!O516</f>
        <v>0</v>
      </c>
      <c r="P516" s="80">
        <f t="shared" si="216"/>
        <v>13200</v>
      </c>
      <c r="Q516" s="82">
        <f t="shared" si="217"/>
        <v>16732.32</v>
      </c>
      <c r="R516" s="82">
        <f t="shared" si="218"/>
        <v>16732.32</v>
      </c>
    </row>
    <row r="517" spans="2:18" s="34" customFormat="1" ht="34.799999999999997">
      <c r="B517" s="75" t="s">
        <v>1009</v>
      </c>
      <c r="C517" s="76" t="s">
        <v>1010</v>
      </c>
      <c r="D517" s="77" t="s">
        <v>124</v>
      </c>
      <c r="E517" s="93">
        <v>120</v>
      </c>
      <c r="F517" s="79"/>
      <c r="G517" s="79"/>
      <c r="H517" s="79"/>
      <c r="I517" s="79">
        <f>SUM(G517:H517)+'BM 001'!I517</f>
        <v>0</v>
      </c>
      <c r="J517" s="79">
        <f t="shared" si="203"/>
        <v>120</v>
      </c>
      <c r="K517" s="84">
        <v>50</v>
      </c>
      <c r="L517" s="81">
        <f t="shared" si="202"/>
        <v>63.380005500000003</v>
      </c>
      <c r="M517" s="82">
        <f t="shared" si="214"/>
        <v>0</v>
      </c>
      <c r="N517" s="82">
        <f t="shared" si="215"/>
        <v>0</v>
      </c>
      <c r="O517" s="82">
        <f>N517+'BM 001'!O517</f>
        <v>0</v>
      </c>
      <c r="P517" s="80">
        <f t="shared" si="216"/>
        <v>6000</v>
      </c>
      <c r="Q517" s="82">
        <f t="shared" si="217"/>
        <v>7605.6</v>
      </c>
      <c r="R517" s="82">
        <f t="shared" si="218"/>
        <v>7605.6</v>
      </c>
    </row>
    <row r="518" spans="2:18" s="34" customFormat="1" ht="34.799999999999997">
      <c r="B518" s="75" t="s">
        <v>1011</v>
      </c>
      <c r="C518" s="76" t="s">
        <v>1012</v>
      </c>
      <c r="D518" s="77" t="s">
        <v>124</v>
      </c>
      <c r="E518" s="93">
        <v>120</v>
      </c>
      <c r="F518" s="79"/>
      <c r="G518" s="79"/>
      <c r="H518" s="79"/>
      <c r="I518" s="79">
        <f>SUM(G518:H518)+'BM 001'!I518</f>
        <v>0</v>
      </c>
      <c r="J518" s="79">
        <f t="shared" si="203"/>
        <v>120</v>
      </c>
      <c r="K518" s="84">
        <v>60</v>
      </c>
      <c r="L518" s="81">
        <f t="shared" si="202"/>
        <v>76.056006600000003</v>
      </c>
      <c r="M518" s="82">
        <f t="shared" si="214"/>
        <v>0</v>
      </c>
      <c r="N518" s="82">
        <f t="shared" si="215"/>
        <v>0</v>
      </c>
      <c r="O518" s="82">
        <f>N518+'BM 001'!O518</f>
        <v>0</v>
      </c>
      <c r="P518" s="80">
        <f t="shared" si="216"/>
        <v>7200</v>
      </c>
      <c r="Q518" s="82">
        <f t="shared" si="217"/>
        <v>9126.7199999999993</v>
      </c>
      <c r="R518" s="82">
        <f t="shared" si="218"/>
        <v>9126.7199999999993</v>
      </c>
    </row>
    <row r="519" spans="2:18" s="34" customFormat="1" ht="46.2">
      <c r="B519" s="75" t="s">
        <v>1013</v>
      </c>
      <c r="C519" s="76" t="s">
        <v>1014</v>
      </c>
      <c r="D519" s="77" t="s">
        <v>124</v>
      </c>
      <c r="E519" s="78">
        <v>300</v>
      </c>
      <c r="F519" s="79"/>
      <c r="G519" s="79"/>
      <c r="H519" s="79"/>
      <c r="I519" s="79">
        <f>SUM(G519:H519)+'BM 001'!I519</f>
        <v>0</v>
      </c>
      <c r="J519" s="79">
        <f t="shared" si="203"/>
        <v>300</v>
      </c>
      <c r="K519" s="84">
        <v>110</v>
      </c>
      <c r="L519" s="81">
        <f t="shared" si="202"/>
        <v>139.4360121</v>
      </c>
      <c r="M519" s="82">
        <f t="shared" si="214"/>
        <v>0</v>
      </c>
      <c r="N519" s="82">
        <f t="shared" si="215"/>
        <v>0</v>
      </c>
      <c r="O519" s="82">
        <f>N519+'BM 001'!O519</f>
        <v>0</v>
      </c>
      <c r="P519" s="80">
        <f t="shared" si="216"/>
        <v>33000</v>
      </c>
      <c r="Q519" s="82">
        <f t="shared" si="217"/>
        <v>41830.800000000003</v>
      </c>
      <c r="R519" s="82">
        <f t="shared" si="218"/>
        <v>41830.800000000003</v>
      </c>
    </row>
    <row r="520" spans="2:18" s="34" customFormat="1" ht="13.2">
      <c r="B520" s="66" t="s">
        <v>1015</v>
      </c>
      <c r="C520" s="67" t="s">
        <v>1016</v>
      </c>
      <c r="D520" s="68"/>
      <c r="E520" s="69"/>
      <c r="F520" s="70"/>
      <c r="G520" s="70"/>
      <c r="H520" s="70"/>
      <c r="I520" s="70">
        <f>SUM(G520:H520)+'BM 001'!I520</f>
        <v>0</v>
      </c>
      <c r="J520" s="70">
        <f t="shared" si="203"/>
        <v>0</v>
      </c>
      <c r="K520" s="71"/>
      <c r="L520" s="71">
        <f t="shared" si="202"/>
        <v>0</v>
      </c>
      <c r="M520" s="73">
        <f t="shared" ref="M520:R520" si="219">SUM(M521:M551)</f>
        <v>0</v>
      </c>
      <c r="N520" s="73">
        <f t="shared" si="219"/>
        <v>0</v>
      </c>
      <c r="O520" s="73">
        <f t="shared" si="219"/>
        <v>0</v>
      </c>
      <c r="P520" s="73">
        <f t="shared" si="219"/>
        <v>88676.55</v>
      </c>
      <c r="Q520" s="73">
        <f t="shared" si="219"/>
        <v>112406.29000000001</v>
      </c>
      <c r="R520" s="73">
        <f t="shared" si="219"/>
        <v>112406.29000000001</v>
      </c>
    </row>
    <row r="521" spans="2:18" s="34" customFormat="1" ht="34.799999999999997">
      <c r="B521" s="75" t="s">
        <v>1017</v>
      </c>
      <c r="C521" s="76" t="s">
        <v>1018</v>
      </c>
      <c r="D521" s="77" t="s">
        <v>39</v>
      </c>
      <c r="E521" s="78">
        <v>10</v>
      </c>
      <c r="F521" s="79"/>
      <c r="G521" s="79"/>
      <c r="H521" s="79"/>
      <c r="I521" s="79">
        <f>SUM(G521:H521)+'BM 001'!I521</f>
        <v>0</v>
      </c>
      <c r="J521" s="79">
        <f t="shared" si="203"/>
        <v>10</v>
      </c>
      <c r="K521" s="84">
        <v>198</v>
      </c>
      <c r="L521" s="81">
        <f t="shared" si="202"/>
        <v>250.98482178</v>
      </c>
      <c r="M521" s="82">
        <f t="shared" ref="M521:M551" si="220">TRUNC(F521*L521,2)</f>
        <v>0</v>
      </c>
      <c r="N521" s="82">
        <f t="shared" ref="N521:N551" si="221">TRUNC(G521*L521,2)</f>
        <v>0</v>
      </c>
      <c r="O521" s="82">
        <f>N521+'BM 001'!O521</f>
        <v>0</v>
      </c>
      <c r="P521" s="80">
        <f t="shared" ref="P521:P551" si="222">E521*K521</f>
        <v>1980</v>
      </c>
      <c r="Q521" s="82">
        <f t="shared" ref="Q521:Q551" si="223">TRUNC(E521*L521,2)</f>
        <v>2509.84</v>
      </c>
      <c r="R521" s="82">
        <f t="shared" ref="R521:R551" si="224">Q521-O521</f>
        <v>2509.84</v>
      </c>
    </row>
    <row r="522" spans="2:18" s="34" customFormat="1" ht="34.799999999999997">
      <c r="B522" s="75" t="s">
        <v>1019</v>
      </c>
      <c r="C522" s="76" t="s">
        <v>1020</v>
      </c>
      <c r="D522" s="77" t="s">
        <v>39</v>
      </c>
      <c r="E522" s="78">
        <v>173</v>
      </c>
      <c r="F522" s="79"/>
      <c r="G522" s="79"/>
      <c r="H522" s="79"/>
      <c r="I522" s="79">
        <f>SUM(G522:H522)+'BM 001'!I522</f>
        <v>0</v>
      </c>
      <c r="J522" s="79">
        <f t="shared" si="203"/>
        <v>173</v>
      </c>
      <c r="K522" s="84">
        <v>18</v>
      </c>
      <c r="L522" s="81">
        <f t="shared" si="202"/>
        <v>22.816801980000001</v>
      </c>
      <c r="M522" s="82">
        <f t="shared" si="220"/>
        <v>0</v>
      </c>
      <c r="N522" s="82">
        <f t="shared" si="221"/>
        <v>0</v>
      </c>
      <c r="O522" s="82">
        <f>N522+'BM 001'!O522</f>
        <v>0</v>
      </c>
      <c r="P522" s="80">
        <f t="shared" si="222"/>
        <v>3114</v>
      </c>
      <c r="Q522" s="82">
        <f t="shared" si="223"/>
        <v>3947.3</v>
      </c>
      <c r="R522" s="82">
        <f t="shared" si="224"/>
        <v>3947.3</v>
      </c>
    </row>
    <row r="523" spans="2:18" s="34" customFormat="1" ht="34.799999999999997">
      <c r="B523" s="75" t="s">
        <v>1021</v>
      </c>
      <c r="C523" s="76" t="s">
        <v>1022</v>
      </c>
      <c r="D523" s="77" t="s">
        <v>39</v>
      </c>
      <c r="E523" s="78">
        <v>7</v>
      </c>
      <c r="F523" s="79"/>
      <c r="G523" s="79"/>
      <c r="H523" s="79"/>
      <c r="I523" s="79">
        <f>SUM(G523:H523)+'BM 001'!I523</f>
        <v>0</v>
      </c>
      <c r="J523" s="79">
        <f t="shared" si="203"/>
        <v>7</v>
      </c>
      <c r="K523" s="84">
        <v>69</v>
      </c>
      <c r="L523" s="81">
        <f t="shared" si="202"/>
        <v>87.464407590000008</v>
      </c>
      <c r="M523" s="82">
        <f t="shared" si="220"/>
        <v>0</v>
      </c>
      <c r="N523" s="82">
        <f t="shared" si="221"/>
        <v>0</v>
      </c>
      <c r="O523" s="82">
        <f>N523+'BM 001'!O523</f>
        <v>0</v>
      </c>
      <c r="P523" s="80">
        <f t="shared" si="222"/>
        <v>483</v>
      </c>
      <c r="Q523" s="82">
        <f t="shared" si="223"/>
        <v>612.25</v>
      </c>
      <c r="R523" s="82">
        <f t="shared" si="224"/>
        <v>612.25</v>
      </c>
    </row>
    <row r="524" spans="2:18" s="34" customFormat="1" ht="34.799999999999997">
      <c r="B524" s="75" t="s">
        <v>1023</v>
      </c>
      <c r="C524" s="76" t="s">
        <v>1024</v>
      </c>
      <c r="D524" s="77" t="s">
        <v>39</v>
      </c>
      <c r="E524" s="78">
        <v>30</v>
      </c>
      <c r="F524" s="79"/>
      <c r="G524" s="79"/>
      <c r="H524" s="79"/>
      <c r="I524" s="79">
        <f>SUM(G524:H524)+'BM 001'!I524</f>
        <v>0</v>
      </c>
      <c r="J524" s="79">
        <f t="shared" si="203"/>
        <v>30</v>
      </c>
      <c r="K524" s="84">
        <v>94.65</v>
      </c>
      <c r="L524" s="81">
        <f t="shared" si="202"/>
        <v>119.97835041150002</v>
      </c>
      <c r="M524" s="82">
        <f t="shared" si="220"/>
        <v>0</v>
      </c>
      <c r="N524" s="82">
        <f t="shared" si="221"/>
        <v>0</v>
      </c>
      <c r="O524" s="82">
        <f>N524+'BM 001'!O524</f>
        <v>0</v>
      </c>
      <c r="P524" s="80">
        <f t="shared" si="222"/>
        <v>2839.5</v>
      </c>
      <c r="Q524" s="82">
        <f t="shared" si="223"/>
        <v>3599.35</v>
      </c>
      <c r="R524" s="82">
        <f t="shared" si="224"/>
        <v>3599.35</v>
      </c>
    </row>
    <row r="525" spans="2:18" s="34" customFormat="1" ht="34.799999999999997">
      <c r="B525" s="75" t="s">
        <v>1025</v>
      </c>
      <c r="C525" s="76" t="s">
        <v>1026</v>
      </c>
      <c r="D525" s="77" t="s">
        <v>39</v>
      </c>
      <c r="E525" s="78">
        <v>40</v>
      </c>
      <c r="F525" s="79"/>
      <c r="G525" s="79"/>
      <c r="H525" s="79"/>
      <c r="I525" s="79">
        <f>SUM(G525:H525)+'BM 001'!I525</f>
        <v>0</v>
      </c>
      <c r="J525" s="79">
        <f t="shared" si="203"/>
        <v>40</v>
      </c>
      <c r="K525" s="84">
        <v>60.11</v>
      </c>
      <c r="L525" s="81">
        <f t="shared" si="202"/>
        <v>76.19544261210001</v>
      </c>
      <c r="M525" s="82">
        <f t="shared" si="220"/>
        <v>0</v>
      </c>
      <c r="N525" s="82">
        <f t="shared" si="221"/>
        <v>0</v>
      </c>
      <c r="O525" s="82">
        <f>N525+'BM 001'!O525</f>
        <v>0</v>
      </c>
      <c r="P525" s="80">
        <f t="shared" si="222"/>
        <v>2404.4</v>
      </c>
      <c r="Q525" s="82">
        <f t="shared" si="223"/>
        <v>3047.81</v>
      </c>
      <c r="R525" s="82">
        <f t="shared" si="224"/>
        <v>3047.81</v>
      </c>
    </row>
    <row r="526" spans="2:18" s="34" customFormat="1" ht="34.799999999999997">
      <c r="B526" s="75" t="s">
        <v>1027</v>
      </c>
      <c r="C526" s="76" t="s">
        <v>1028</v>
      </c>
      <c r="D526" s="77" t="s">
        <v>39</v>
      </c>
      <c r="E526" s="78">
        <v>50</v>
      </c>
      <c r="F526" s="79"/>
      <c r="G526" s="79"/>
      <c r="H526" s="79"/>
      <c r="I526" s="79">
        <f>SUM(G526:H526)+'BM 001'!I526</f>
        <v>0</v>
      </c>
      <c r="J526" s="79">
        <f t="shared" si="203"/>
        <v>50</v>
      </c>
      <c r="K526" s="84">
        <v>36.9</v>
      </c>
      <c r="L526" s="81">
        <f t="shared" si="202"/>
        <v>46.774444058999997</v>
      </c>
      <c r="M526" s="82">
        <f t="shared" si="220"/>
        <v>0</v>
      </c>
      <c r="N526" s="82">
        <f t="shared" si="221"/>
        <v>0</v>
      </c>
      <c r="O526" s="82">
        <f>N526+'BM 001'!O526</f>
        <v>0</v>
      </c>
      <c r="P526" s="80">
        <f t="shared" si="222"/>
        <v>1845</v>
      </c>
      <c r="Q526" s="82">
        <f t="shared" si="223"/>
        <v>2338.7199999999998</v>
      </c>
      <c r="R526" s="82">
        <f t="shared" si="224"/>
        <v>2338.7199999999998</v>
      </c>
    </row>
    <row r="527" spans="2:18" s="34" customFormat="1" ht="34.799999999999997">
      <c r="B527" s="75" t="s">
        <v>1029</v>
      </c>
      <c r="C527" s="76" t="s">
        <v>1030</v>
      </c>
      <c r="D527" s="77" t="s">
        <v>39</v>
      </c>
      <c r="E527" s="78">
        <v>50</v>
      </c>
      <c r="F527" s="79"/>
      <c r="G527" s="79"/>
      <c r="H527" s="79"/>
      <c r="I527" s="79">
        <f>SUM(G527:H527)+'BM 001'!I527</f>
        <v>0</v>
      </c>
      <c r="J527" s="79">
        <f t="shared" si="203"/>
        <v>50</v>
      </c>
      <c r="K527" s="84">
        <v>42.56</v>
      </c>
      <c r="L527" s="81">
        <f t="shared" si="202"/>
        <v>53.949060681600002</v>
      </c>
      <c r="M527" s="82">
        <f t="shared" si="220"/>
        <v>0</v>
      </c>
      <c r="N527" s="82">
        <f t="shared" si="221"/>
        <v>0</v>
      </c>
      <c r="O527" s="82">
        <f>N527+'BM 001'!O527</f>
        <v>0</v>
      </c>
      <c r="P527" s="80">
        <f t="shared" si="222"/>
        <v>2128</v>
      </c>
      <c r="Q527" s="82">
        <f t="shared" si="223"/>
        <v>2697.45</v>
      </c>
      <c r="R527" s="82">
        <f t="shared" si="224"/>
        <v>2697.45</v>
      </c>
    </row>
    <row r="528" spans="2:18" s="34" customFormat="1" ht="34.799999999999997">
      <c r="B528" s="75" t="s">
        <v>1031</v>
      </c>
      <c r="C528" s="76" t="s">
        <v>1032</v>
      </c>
      <c r="D528" s="77" t="s">
        <v>39</v>
      </c>
      <c r="E528" s="78">
        <v>20</v>
      </c>
      <c r="F528" s="79"/>
      <c r="G528" s="79"/>
      <c r="H528" s="79"/>
      <c r="I528" s="79">
        <f>SUM(G528:H528)+'BM 001'!I528</f>
        <v>0</v>
      </c>
      <c r="J528" s="79">
        <f t="shared" si="203"/>
        <v>20</v>
      </c>
      <c r="K528" s="84">
        <v>78.33</v>
      </c>
      <c r="L528" s="81">
        <f t="shared" si="202"/>
        <v>99.291116616300002</v>
      </c>
      <c r="M528" s="82">
        <f t="shared" si="220"/>
        <v>0</v>
      </c>
      <c r="N528" s="82">
        <f t="shared" si="221"/>
        <v>0</v>
      </c>
      <c r="O528" s="82">
        <f>N528+'BM 001'!O528</f>
        <v>0</v>
      </c>
      <c r="P528" s="80">
        <f t="shared" si="222"/>
        <v>1566.6</v>
      </c>
      <c r="Q528" s="82">
        <f t="shared" si="223"/>
        <v>1985.82</v>
      </c>
      <c r="R528" s="82">
        <f t="shared" si="224"/>
        <v>1985.82</v>
      </c>
    </row>
    <row r="529" spans="2:18" s="34" customFormat="1" ht="34.799999999999997">
      <c r="B529" s="75" t="s">
        <v>1033</v>
      </c>
      <c r="C529" s="76" t="s">
        <v>1034</v>
      </c>
      <c r="D529" s="77" t="s">
        <v>39</v>
      </c>
      <c r="E529" s="78">
        <v>10</v>
      </c>
      <c r="F529" s="79"/>
      <c r="G529" s="79"/>
      <c r="H529" s="79"/>
      <c r="I529" s="79">
        <f>SUM(G529:H529)+'BM 001'!I529</f>
        <v>0</v>
      </c>
      <c r="J529" s="79">
        <f t="shared" si="203"/>
        <v>10</v>
      </c>
      <c r="K529" s="84">
        <v>95</v>
      </c>
      <c r="L529" s="81">
        <f t="shared" si="202"/>
        <v>120.42201045</v>
      </c>
      <c r="M529" s="82">
        <f t="shared" si="220"/>
        <v>0</v>
      </c>
      <c r="N529" s="82">
        <f t="shared" si="221"/>
        <v>0</v>
      </c>
      <c r="O529" s="82">
        <f>N529+'BM 001'!O529</f>
        <v>0</v>
      </c>
      <c r="P529" s="80">
        <f t="shared" si="222"/>
        <v>950</v>
      </c>
      <c r="Q529" s="82">
        <f t="shared" si="223"/>
        <v>1204.22</v>
      </c>
      <c r="R529" s="82">
        <f t="shared" si="224"/>
        <v>1204.22</v>
      </c>
    </row>
    <row r="530" spans="2:18" s="34" customFormat="1" ht="34.799999999999997">
      <c r="B530" s="75" t="s">
        <v>1035</v>
      </c>
      <c r="C530" s="76" t="s">
        <v>1036</v>
      </c>
      <c r="D530" s="77" t="s">
        <v>39</v>
      </c>
      <c r="E530" s="78">
        <v>10</v>
      </c>
      <c r="F530" s="79"/>
      <c r="G530" s="79"/>
      <c r="H530" s="79"/>
      <c r="I530" s="79">
        <f>SUM(G530:H530)+'BM 001'!I530</f>
        <v>0</v>
      </c>
      <c r="J530" s="79">
        <f t="shared" si="203"/>
        <v>10</v>
      </c>
      <c r="K530" s="84">
        <v>128</v>
      </c>
      <c r="L530" s="81">
        <f t="shared" si="202"/>
        <v>162.25281408000001</v>
      </c>
      <c r="M530" s="82">
        <f t="shared" si="220"/>
        <v>0</v>
      </c>
      <c r="N530" s="82">
        <f t="shared" si="221"/>
        <v>0</v>
      </c>
      <c r="O530" s="82">
        <f>N530+'BM 001'!O530</f>
        <v>0</v>
      </c>
      <c r="P530" s="80">
        <f t="shared" si="222"/>
        <v>1280</v>
      </c>
      <c r="Q530" s="82">
        <f t="shared" si="223"/>
        <v>1622.52</v>
      </c>
      <c r="R530" s="82">
        <f t="shared" si="224"/>
        <v>1622.52</v>
      </c>
    </row>
    <row r="531" spans="2:18" s="34" customFormat="1" ht="23.4">
      <c r="B531" s="75" t="s">
        <v>1037</v>
      </c>
      <c r="C531" s="76" t="s">
        <v>1038</v>
      </c>
      <c r="D531" s="77" t="s">
        <v>39</v>
      </c>
      <c r="E531" s="78">
        <v>173</v>
      </c>
      <c r="F531" s="79"/>
      <c r="G531" s="79"/>
      <c r="H531" s="79"/>
      <c r="I531" s="79">
        <f>SUM(G531:H531)+'BM 001'!I531</f>
        <v>0</v>
      </c>
      <c r="J531" s="79">
        <f t="shared" si="203"/>
        <v>173</v>
      </c>
      <c r="K531" s="84">
        <v>60</v>
      </c>
      <c r="L531" s="81">
        <f t="shared" si="202"/>
        <v>76.056006600000003</v>
      </c>
      <c r="M531" s="82">
        <f t="shared" si="220"/>
        <v>0</v>
      </c>
      <c r="N531" s="82">
        <f t="shared" si="221"/>
        <v>0</v>
      </c>
      <c r="O531" s="82">
        <f>N531+'BM 001'!O531</f>
        <v>0</v>
      </c>
      <c r="P531" s="80">
        <f t="shared" si="222"/>
        <v>10380</v>
      </c>
      <c r="Q531" s="82">
        <f t="shared" si="223"/>
        <v>13157.68</v>
      </c>
      <c r="R531" s="82">
        <f t="shared" si="224"/>
        <v>13157.68</v>
      </c>
    </row>
    <row r="532" spans="2:18" s="34" customFormat="1" ht="34.799999999999997">
      <c r="B532" s="75" t="s">
        <v>1039</v>
      </c>
      <c r="C532" s="76" t="s">
        <v>1040</v>
      </c>
      <c r="D532" s="77" t="s">
        <v>39</v>
      </c>
      <c r="E532" s="78">
        <v>20</v>
      </c>
      <c r="F532" s="79"/>
      <c r="G532" s="79"/>
      <c r="H532" s="79"/>
      <c r="I532" s="79">
        <f>SUM(G532:H532)+'BM 001'!I532</f>
        <v>0</v>
      </c>
      <c r="J532" s="79">
        <f t="shared" si="203"/>
        <v>20</v>
      </c>
      <c r="K532" s="84">
        <v>85</v>
      </c>
      <c r="L532" s="81">
        <f t="shared" si="202"/>
        <v>107.74600935000001</v>
      </c>
      <c r="M532" s="82">
        <f t="shared" si="220"/>
        <v>0</v>
      </c>
      <c r="N532" s="82">
        <f t="shared" si="221"/>
        <v>0</v>
      </c>
      <c r="O532" s="82">
        <f>N532+'BM 001'!O532</f>
        <v>0</v>
      </c>
      <c r="P532" s="80">
        <f t="shared" si="222"/>
        <v>1700</v>
      </c>
      <c r="Q532" s="82">
        <f t="shared" si="223"/>
        <v>2154.92</v>
      </c>
      <c r="R532" s="82">
        <f t="shared" si="224"/>
        <v>2154.92</v>
      </c>
    </row>
    <row r="533" spans="2:18" s="34" customFormat="1" ht="34.799999999999997">
      <c r="B533" s="75" t="s">
        <v>1041</v>
      </c>
      <c r="C533" s="76" t="s">
        <v>1042</v>
      </c>
      <c r="D533" s="77" t="s">
        <v>39</v>
      </c>
      <c r="E533" s="78">
        <v>6</v>
      </c>
      <c r="F533" s="79"/>
      <c r="G533" s="79"/>
      <c r="H533" s="79"/>
      <c r="I533" s="79">
        <f>SUM(G533:H533)+'BM 001'!I533</f>
        <v>0</v>
      </c>
      <c r="J533" s="79">
        <f t="shared" si="203"/>
        <v>6</v>
      </c>
      <c r="K533" s="84">
        <v>285</v>
      </c>
      <c r="L533" s="81">
        <f t="shared" si="202"/>
        <v>361.26603134999999</v>
      </c>
      <c r="M533" s="82">
        <f t="shared" si="220"/>
        <v>0</v>
      </c>
      <c r="N533" s="82">
        <f t="shared" si="221"/>
        <v>0</v>
      </c>
      <c r="O533" s="82">
        <f>N533+'BM 001'!O533</f>
        <v>0</v>
      </c>
      <c r="P533" s="80">
        <f t="shared" si="222"/>
        <v>1710</v>
      </c>
      <c r="Q533" s="82">
        <f t="shared" si="223"/>
        <v>2167.59</v>
      </c>
      <c r="R533" s="82">
        <f t="shared" si="224"/>
        <v>2167.59</v>
      </c>
    </row>
    <row r="534" spans="2:18" s="34" customFormat="1" ht="34.799999999999997">
      <c r="B534" s="75" t="s">
        <v>1043</v>
      </c>
      <c r="C534" s="76" t="s">
        <v>1044</v>
      </c>
      <c r="D534" s="77" t="s">
        <v>39</v>
      </c>
      <c r="E534" s="78">
        <v>20</v>
      </c>
      <c r="F534" s="79"/>
      <c r="G534" s="79"/>
      <c r="H534" s="79"/>
      <c r="I534" s="79">
        <f>SUM(G534:H534)+'BM 001'!I534</f>
        <v>0</v>
      </c>
      <c r="J534" s="79">
        <f t="shared" si="203"/>
        <v>20</v>
      </c>
      <c r="K534" s="84">
        <v>38</v>
      </c>
      <c r="L534" s="81">
        <f t="shared" si="202"/>
        <v>48.168804180000002</v>
      </c>
      <c r="M534" s="82">
        <f t="shared" si="220"/>
        <v>0</v>
      </c>
      <c r="N534" s="82">
        <f t="shared" si="221"/>
        <v>0</v>
      </c>
      <c r="O534" s="82">
        <f>N534+'BM 001'!O534</f>
        <v>0</v>
      </c>
      <c r="P534" s="80">
        <f t="shared" si="222"/>
        <v>760</v>
      </c>
      <c r="Q534" s="82">
        <f t="shared" si="223"/>
        <v>963.37</v>
      </c>
      <c r="R534" s="82">
        <f t="shared" si="224"/>
        <v>963.37</v>
      </c>
    </row>
    <row r="535" spans="2:18" s="34" customFormat="1" ht="34.799999999999997">
      <c r="B535" s="75" t="s">
        <v>1045</v>
      </c>
      <c r="C535" s="76" t="s">
        <v>1046</v>
      </c>
      <c r="D535" s="77" t="s">
        <v>39</v>
      </c>
      <c r="E535" s="78">
        <v>10</v>
      </c>
      <c r="F535" s="79"/>
      <c r="G535" s="79"/>
      <c r="H535" s="79"/>
      <c r="I535" s="79">
        <f>SUM(G535:H535)+'BM 001'!I535</f>
        <v>0</v>
      </c>
      <c r="J535" s="79">
        <f t="shared" si="203"/>
        <v>10</v>
      </c>
      <c r="K535" s="84">
        <v>118</v>
      </c>
      <c r="L535" s="81">
        <f t="shared" si="202"/>
        <v>149.57681298</v>
      </c>
      <c r="M535" s="82">
        <f t="shared" si="220"/>
        <v>0</v>
      </c>
      <c r="N535" s="82">
        <f t="shared" si="221"/>
        <v>0</v>
      </c>
      <c r="O535" s="82">
        <f>N535+'BM 001'!O535</f>
        <v>0</v>
      </c>
      <c r="P535" s="80">
        <f t="shared" si="222"/>
        <v>1180</v>
      </c>
      <c r="Q535" s="82">
        <f t="shared" si="223"/>
        <v>1495.76</v>
      </c>
      <c r="R535" s="82">
        <f t="shared" si="224"/>
        <v>1495.76</v>
      </c>
    </row>
    <row r="536" spans="2:18" s="34" customFormat="1" ht="23.4">
      <c r="B536" s="75" t="s">
        <v>1047</v>
      </c>
      <c r="C536" s="76" t="s">
        <v>1048</v>
      </c>
      <c r="D536" s="77" t="s">
        <v>39</v>
      </c>
      <c r="E536" s="78">
        <v>10</v>
      </c>
      <c r="F536" s="79"/>
      <c r="G536" s="79"/>
      <c r="H536" s="79"/>
      <c r="I536" s="79">
        <f>SUM(G536:H536)+'BM 001'!I536</f>
        <v>0</v>
      </c>
      <c r="J536" s="79">
        <f t="shared" si="203"/>
        <v>10</v>
      </c>
      <c r="K536" s="84">
        <v>88.39</v>
      </c>
      <c r="L536" s="81">
        <f t="shared" si="202"/>
        <v>112.04317372290001</v>
      </c>
      <c r="M536" s="82">
        <f t="shared" si="220"/>
        <v>0</v>
      </c>
      <c r="N536" s="82">
        <f t="shared" si="221"/>
        <v>0</v>
      </c>
      <c r="O536" s="82">
        <f>N536+'BM 001'!O536</f>
        <v>0</v>
      </c>
      <c r="P536" s="80">
        <f t="shared" si="222"/>
        <v>883.9</v>
      </c>
      <c r="Q536" s="82">
        <f t="shared" si="223"/>
        <v>1120.43</v>
      </c>
      <c r="R536" s="82">
        <f t="shared" si="224"/>
        <v>1120.43</v>
      </c>
    </row>
    <row r="537" spans="2:18" s="34" customFormat="1" ht="23.4">
      <c r="B537" s="75" t="s">
        <v>1049</v>
      </c>
      <c r="C537" s="76" t="s">
        <v>1050</v>
      </c>
      <c r="D537" s="77" t="s">
        <v>39</v>
      </c>
      <c r="E537" s="78">
        <v>20</v>
      </c>
      <c r="F537" s="79"/>
      <c r="G537" s="79"/>
      <c r="H537" s="79"/>
      <c r="I537" s="79">
        <f>SUM(G537:H537)+'BM 001'!I537</f>
        <v>0</v>
      </c>
      <c r="J537" s="79">
        <f t="shared" si="203"/>
        <v>20</v>
      </c>
      <c r="K537" s="84">
        <v>45.21</v>
      </c>
      <c r="L537" s="81">
        <f t="shared" si="202"/>
        <v>57.308200973100007</v>
      </c>
      <c r="M537" s="82">
        <f t="shared" si="220"/>
        <v>0</v>
      </c>
      <c r="N537" s="82">
        <f t="shared" si="221"/>
        <v>0</v>
      </c>
      <c r="O537" s="82">
        <f>N537+'BM 001'!O537</f>
        <v>0</v>
      </c>
      <c r="P537" s="80">
        <f t="shared" si="222"/>
        <v>904.2</v>
      </c>
      <c r="Q537" s="82">
        <f t="shared" si="223"/>
        <v>1146.1600000000001</v>
      </c>
      <c r="R537" s="82">
        <f t="shared" si="224"/>
        <v>1146.1600000000001</v>
      </c>
    </row>
    <row r="538" spans="2:18" s="34" customFormat="1" ht="23.4">
      <c r="B538" s="75" t="s">
        <v>1051</v>
      </c>
      <c r="C538" s="76" t="s">
        <v>1052</v>
      </c>
      <c r="D538" s="77" t="s">
        <v>39</v>
      </c>
      <c r="E538" s="78">
        <v>10</v>
      </c>
      <c r="F538" s="79"/>
      <c r="G538" s="79"/>
      <c r="H538" s="79"/>
      <c r="I538" s="79">
        <f>SUM(G538:H538)+'BM 001'!I538</f>
        <v>0</v>
      </c>
      <c r="J538" s="79">
        <f t="shared" si="203"/>
        <v>10</v>
      </c>
      <c r="K538" s="84">
        <v>65.290000000000006</v>
      </c>
      <c r="L538" s="81">
        <f t="shared" si="202"/>
        <v>82.761611181900008</v>
      </c>
      <c r="M538" s="82">
        <f t="shared" si="220"/>
        <v>0</v>
      </c>
      <c r="N538" s="82">
        <f t="shared" si="221"/>
        <v>0</v>
      </c>
      <c r="O538" s="82">
        <f>N538+'BM 001'!O538</f>
        <v>0</v>
      </c>
      <c r="P538" s="80">
        <f t="shared" si="222"/>
        <v>652.90000000000009</v>
      </c>
      <c r="Q538" s="82">
        <f t="shared" si="223"/>
        <v>827.61</v>
      </c>
      <c r="R538" s="82">
        <f t="shared" si="224"/>
        <v>827.61</v>
      </c>
    </row>
    <row r="539" spans="2:18" s="34" customFormat="1" ht="34.799999999999997">
      <c r="B539" s="75" t="s">
        <v>1053</v>
      </c>
      <c r="C539" s="76" t="s">
        <v>1054</v>
      </c>
      <c r="D539" s="77" t="s">
        <v>39</v>
      </c>
      <c r="E539" s="78">
        <v>30</v>
      </c>
      <c r="F539" s="79"/>
      <c r="G539" s="79"/>
      <c r="H539" s="79"/>
      <c r="I539" s="79">
        <f>SUM(G539:H539)+'BM 001'!I539</f>
        <v>0</v>
      </c>
      <c r="J539" s="79">
        <f t="shared" si="203"/>
        <v>30</v>
      </c>
      <c r="K539" s="84">
        <v>80</v>
      </c>
      <c r="L539" s="81">
        <f t="shared" si="202"/>
        <v>101.4080088</v>
      </c>
      <c r="M539" s="82">
        <f t="shared" si="220"/>
        <v>0</v>
      </c>
      <c r="N539" s="82">
        <f t="shared" si="221"/>
        <v>0</v>
      </c>
      <c r="O539" s="82">
        <f>N539+'BM 001'!O539</f>
        <v>0</v>
      </c>
      <c r="P539" s="80">
        <f t="shared" si="222"/>
        <v>2400</v>
      </c>
      <c r="Q539" s="82">
        <f t="shared" si="223"/>
        <v>3042.24</v>
      </c>
      <c r="R539" s="82">
        <f t="shared" si="224"/>
        <v>3042.24</v>
      </c>
    </row>
    <row r="540" spans="2:18" s="34" customFormat="1" ht="23.4">
      <c r="B540" s="75" t="s">
        <v>1055</v>
      </c>
      <c r="C540" s="76" t="s">
        <v>1056</v>
      </c>
      <c r="D540" s="77" t="s">
        <v>39</v>
      </c>
      <c r="E540" s="78">
        <v>50</v>
      </c>
      <c r="F540" s="79"/>
      <c r="G540" s="79"/>
      <c r="H540" s="79"/>
      <c r="I540" s="79">
        <f>SUM(G540:H540)+'BM 001'!I540</f>
        <v>0</v>
      </c>
      <c r="J540" s="79">
        <f t="shared" si="203"/>
        <v>50</v>
      </c>
      <c r="K540" s="84">
        <v>120</v>
      </c>
      <c r="L540" s="81">
        <f t="shared" si="202"/>
        <v>152.11201320000001</v>
      </c>
      <c r="M540" s="82">
        <f t="shared" si="220"/>
        <v>0</v>
      </c>
      <c r="N540" s="82">
        <f t="shared" si="221"/>
        <v>0</v>
      </c>
      <c r="O540" s="82">
        <f>N540+'BM 001'!O540</f>
        <v>0</v>
      </c>
      <c r="P540" s="80">
        <f t="shared" si="222"/>
        <v>6000</v>
      </c>
      <c r="Q540" s="82">
        <f t="shared" si="223"/>
        <v>7605.6</v>
      </c>
      <c r="R540" s="82">
        <f t="shared" si="224"/>
        <v>7605.6</v>
      </c>
    </row>
    <row r="541" spans="2:18" s="34" customFormat="1" ht="23.4">
      <c r="B541" s="75" t="s">
        <v>1057</v>
      </c>
      <c r="C541" s="76" t="s">
        <v>1058</v>
      </c>
      <c r="D541" s="77" t="s">
        <v>39</v>
      </c>
      <c r="E541" s="78">
        <v>10</v>
      </c>
      <c r="F541" s="79"/>
      <c r="G541" s="79"/>
      <c r="H541" s="79"/>
      <c r="I541" s="79">
        <f>SUM(G541:H541)+'BM 001'!I541</f>
        <v>0</v>
      </c>
      <c r="J541" s="79">
        <f t="shared" si="203"/>
        <v>10</v>
      </c>
      <c r="K541" s="84">
        <v>137.9</v>
      </c>
      <c r="L541" s="81">
        <f t="shared" ref="L541:L590" si="225">K541*(1+$T$26)</f>
        <v>174.80205516900003</v>
      </c>
      <c r="M541" s="82">
        <f t="shared" si="220"/>
        <v>0</v>
      </c>
      <c r="N541" s="82">
        <f t="shared" si="221"/>
        <v>0</v>
      </c>
      <c r="O541" s="82">
        <f>N541+'BM 001'!O541</f>
        <v>0</v>
      </c>
      <c r="P541" s="80">
        <f t="shared" si="222"/>
        <v>1379</v>
      </c>
      <c r="Q541" s="82">
        <f t="shared" si="223"/>
        <v>1748.02</v>
      </c>
      <c r="R541" s="82">
        <f t="shared" si="224"/>
        <v>1748.02</v>
      </c>
    </row>
    <row r="542" spans="2:18" s="34" customFormat="1" ht="23.4">
      <c r="B542" s="75" t="s">
        <v>1059</v>
      </c>
      <c r="C542" s="76" t="s">
        <v>1060</v>
      </c>
      <c r="D542" s="77" t="s">
        <v>39</v>
      </c>
      <c r="E542" s="78">
        <v>20</v>
      </c>
      <c r="F542" s="79"/>
      <c r="G542" s="79"/>
      <c r="H542" s="79"/>
      <c r="I542" s="79">
        <f>SUM(G542:H542)+'BM 001'!I542</f>
        <v>0</v>
      </c>
      <c r="J542" s="79">
        <f t="shared" si="203"/>
        <v>20</v>
      </c>
      <c r="K542" s="84">
        <v>69</v>
      </c>
      <c r="L542" s="81">
        <f t="shared" si="225"/>
        <v>87.464407590000008</v>
      </c>
      <c r="M542" s="82">
        <f t="shared" si="220"/>
        <v>0</v>
      </c>
      <c r="N542" s="82">
        <f t="shared" si="221"/>
        <v>0</v>
      </c>
      <c r="O542" s="82">
        <f>N542+'BM 001'!O542</f>
        <v>0</v>
      </c>
      <c r="P542" s="80">
        <f t="shared" si="222"/>
        <v>1380</v>
      </c>
      <c r="Q542" s="82">
        <f t="shared" si="223"/>
        <v>1749.28</v>
      </c>
      <c r="R542" s="82">
        <f t="shared" si="224"/>
        <v>1749.28</v>
      </c>
    </row>
    <row r="543" spans="2:18" s="34" customFormat="1" ht="34.799999999999997">
      <c r="B543" s="75" t="s">
        <v>1061</v>
      </c>
      <c r="C543" s="76" t="s">
        <v>1062</v>
      </c>
      <c r="D543" s="77" t="s">
        <v>39</v>
      </c>
      <c r="E543" s="78">
        <v>10</v>
      </c>
      <c r="F543" s="79"/>
      <c r="G543" s="79"/>
      <c r="H543" s="79"/>
      <c r="I543" s="79">
        <f>SUM(G543:H543)+'BM 001'!I543</f>
        <v>0</v>
      </c>
      <c r="J543" s="79">
        <f t="shared" ref="J543:J590" si="226">E543-I543</f>
        <v>10</v>
      </c>
      <c r="K543" s="84">
        <v>180</v>
      </c>
      <c r="L543" s="81">
        <f t="shared" si="225"/>
        <v>228.16801980000002</v>
      </c>
      <c r="M543" s="82">
        <f t="shared" si="220"/>
        <v>0</v>
      </c>
      <c r="N543" s="82">
        <f t="shared" si="221"/>
        <v>0</v>
      </c>
      <c r="O543" s="82">
        <f>N543+'BM 001'!O543</f>
        <v>0</v>
      </c>
      <c r="P543" s="80">
        <f t="shared" si="222"/>
        <v>1800</v>
      </c>
      <c r="Q543" s="82">
        <f t="shared" si="223"/>
        <v>2281.6799999999998</v>
      </c>
      <c r="R543" s="82">
        <f t="shared" si="224"/>
        <v>2281.6799999999998</v>
      </c>
    </row>
    <row r="544" spans="2:18" s="34" customFormat="1" ht="57.6">
      <c r="B544" s="75" t="s">
        <v>1063</v>
      </c>
      <c r="C544" s="76" t="s">
        <v>1064</v>
      </c>
      <c r="D544" s="77" t="s">
        <v>39</v>
      </c>
      <c r="E544" s="78">
        <v>1</v>
      </c>
      <c r="F544" s="79"/>
      <c r="G544" s="79"/>
      <c r="H544" s="79"/>
      <c r="I544" s="79">
        <f>SUM(G544:H544)+'BM 001'!I544</f>
        <v>0</v>
      </c>
      <c r="J544" s="79">
        <f t="shared" si="226"/>
        <v>1</v>
      </c>
      <c r="K544" s="84">
        <v>320</v>
      </c>
      <c r="L544" s="81">
        <f t="shared" si="225"/>
        <v>405.63203520000002</v>
      </c>
      <c r="M544" s="82">
        <f t="shared" si="220"/>
        <v>0</v>
      </c>
      <c r="N544" s="82">
        <f t="shared" si="221"/>
        <v>0</v>
      </c>
      <c r="O544" s="82">
        <f>N544+'BM 001'!O544</f>
        <v>0</v>
      </c>
      <c r="P544" s="80">
        <f t="shared" si="222"/>
        <v>320</v>
      </c>
      <c r="Q544" s="82">
        <f t="shared" si="223"/>
        <v>405.63</v>
      </c>
      <c r="R544" s="82">
        <f t="shared" si="224"/>
        <v>405.63</v>
      </c>
    </row>
    <row r="545" spans="2:18" s="34" customFormat="1" ht="46.2">
      <c r="B545" s="75" t="s">
        <v>1065</v>
      </c>
      <c r="C545" s="76" t="s">
        <v>1066</v>
      </c>
      <c r="D545" s="77" t="s">
        <v>39</v>
      </c>
      <c r="E545" s="78">
        <v>1</v>
      </c>
      <c r="F545" s="79"/>
      <c r="G545" s="79"/>
      <c r="H545" s="79"/>
      <c r="I545" s="79">
        <f>SUM(G545:H545)+'BM 001'!I545</f>
        <v>0</v>
      </c>
      <c r="J545" s="79">
        <f t="shared" si="226"/>
        <v>1</v>
      </c>
      <c r="K545" s="84">
        <v>800</v>
      </c>
      <c r="L545" s="81">
        <f t="shared" si="225"/>
        <v>1014.080088</v>
      </c>
      <c r="M545" s="82">
        <f t="shared" si="220"/>
        <v>0</v>
      </c>
      <c r="N545" s="82">
        <f t="shared" si="221"/>
        <v>0</v>
      </c>
      <c r="O545" s="82">
        <f>N545+'BM 001'!O545</f>
        <v>0</v>
      </c>
      <c r="P545" s="80">
        <f t="shared" si="222"/>
        <v>800</v>
      </c>
      <c r="Q545" s="82">
        <f t="shared" si="223"/>
        <v>1014.08</v>
      </c>
      <c r="R545" s="82">
        <f t="shared" si="224"/>
        <v>1014.08</v>
      </c>
    </row>
    <row r="546" spans="2:18" s="34" customFormat="1" ht="13.2">
      <c r="B546" s="75" t="s">
        <v>1067</v>
      </c>
      <c r="C546" s="76" t="s">
        <v>1068</v>
      </c>
      <c r="D546" s="77" t="s">
        <v>39</v>
      </c>
      <c r="E546" s="78">
        <v>2</v>
      </c>
      <c r="F546" s="79"/>
      <c r="G546" s="79"/>
      <c r="H546" s="79"/>
      <c r="I546" s="79">
        <f>SUM(G546:H546)+'BM 001'!I546</f>
        <v>0</v>
      </c>
      <c r="J546" s="79">
        <f t="shared" si="226"/>
        <v>2</v>
      </c>
      <c r="K546" s="84">
        <v>605.34</v>
      </c>
      <c r="L546" s="81">
        <f t="shared" si="225"/>
        <v>767.32905058740005</v>
      </c>
      <c r="M546" s="82">
        <f t="shared" si="220"/>
        <v>0</v>
      </c>
      <c r="N546" s="82">
        <f t="shared" si="221"/>
        <v>0</v>
      </c>
      <c r="O546" s="82">
        <f>N546+'BM 001'!O546</f>
        <v>0</v>
      </c>
      <c r="P546" s="80">
        <f t="shared" si="222"/>
        <v>1210.68</v>
      </c>
      <c r="Q546" s="82">
        <f t="shared" si="223"/>
        <v>1534.65</v>
      </c>
      <c r="R546" s="82">
        <f t="shared" si="224"/>
        <v>1534.65</v>
      </c>
    </row>
    <row r="547" spans="2:18" s="34" customFormat="1" ht="13.2">
      <c r="B547" s="75" t="s">
        <v>1069</v>
      </c>
      <c r="C547" s="76" t="s">
        <v>1070</v>
      </c>
      <c r="D547" s="77" t="s">
        <v>39</v>
      </c>
      <c r="E547" s="78">
        <v>3</v>
      </c>
      <c r="F547" s="79"/>
      <c r="G547" s="79"/>
      <c r="H547" s="79"/>
      <c r="I547" s="79">
        <f>SUM(G547:H547)+'BM 001'!I547</f>
        <v>0</v>
      </c>
      <c r="J547" s="79">
        <f t="shared" si="226"/>
        <v>3</v>
      </c>
      <c r="K547" s="84">
        <v>311.79000000000002</v>
      </c>
      <c r="L547" s="81">
        <f t="shared" si="225"/>
        <v>395.22503829690004</v>
      </c>
      <c r="M547" s="82">
        <f t="shared" si="220"/>
        <v>0</v>
      </c>
      <c r="N547" s="82">
        <f t="shared" si="221"/>
        <v>0</v>
      </c>
      <c r="O547" s="82">
        <f>N547+'BM 001'!O547</f>
        <v>0</v>
      </c>
      <c r="P547" s="80">
        <f t="shared" si="222"/>
        <v>935.37000000000012</v>
      </c>
      <c r="Q547" s="82">
        <f t="shared" si="223"/>
        <v>1185.67</v>
      </c>
      <c r="R547" s="82">
        <f t="shared" si="224"/>
        <v>1185.67</v>
      </c>
    </row>
    <row r="548" spans="2:18" s="34" customFormat="1" ht="13.2">
      <c r="B548" s="75" t="s">
        <v>1071</v>
      </c>
      <c r="C548" s="76" t="s">
        <v>1072</v>
      </c>
      <c r="D548" s="77" t="s">
        <v>39</v>
      </c>
      <c r="E548" s="78">
        <v>2</v>
      </c>
      <c r="F548" s="79"/>
      <c r="G548" s="79"/>
      <c r="H548" s="79"/>
      <c r="I548" s="79">
        <f>SUM(G548:H548)+'BM 001'!I548</f>
        <v>0</v>
      </c>
      <c r="J548" s="79">
        <f t="shared" si="226"/>
        <v>2</v>
      </c>
      <c r="K548" s="84">
        <v>195</v>
      </c>
      <c r="L548" s="81">
        <f t="shared" si="225"/>
        <v>247.18202145000001</v>
      </c>
      <c r="M548" s="82">
        <f t="shared" si="220"/>
        <v>0</v>
      </c>
      <c r="N548" s="82">
        <f t="shared" si="221"/>
        <v>0</v>
      </c>
      <c r="O548" s="82">
        <f>N548+'BM 001'!O548</f>
        <v>0</v>
      </c>
      <c r="P548" s="80">
        <f t="shared" si="222"/>
        <v>390</v>
      </c>
      <c r="Q548" s="82">
        <f t="shared" si="223"/>
        <v>494.36</v>
      </c>
      <c r="R548" s="82">
        <f t="shared" si="224"/>
        <v>494.36</v>
      </c>
    </row>
    <row r="549" spans="2:18" s="34" customFormat="1" ht="34.799999999999997">
      <c r="B549" s="75" t="s">
        <v>1073</v>
      </c>
      <c r="C549" s="76" t="s">
        <v>1074</v>
      </c>
      <c r="D549" s="77" t="s">
        <v>39</v>
      </c>
      <c r="E549" s="78">
        <v>1</v>
      </c>
      <c r="F549" s="79"/>
      <c r="G549" s="79"/>
      <c r="H549" s="79"/>
      <c r="I549" s="79">
        <f>SUM(G549:H549)+'BM 001'!I549</f>
        <v>0</v>
      </c>
      <c r="J549" s="79">
        <f t="shared" si="226"/>
        <v>1</v>
      </c>
      <c r="K549" s="84">
        <v>1400</v>
      </c>
      <c r="L549" s="81">
        <f t="shared" si="225"/>
        <v>1774.6401540000002</v>
      </c>
      <c r="M549" s="82">
        <f t="shared" si="220"/>
        <v>0</v>
      </c>
      <c r="N549" s="82">
        <f t="shared" si="221"/>
        <v>0</v>
      </c>
      <c r="O549" s="82">
        <f>N549+'BM 001'!O549</f>
        <v>0</v>
      </c>
      <c r="P549" s="80">
        <f t="shared" si="222"/>
        <v>1400</v>
      </c>
      <c r="Q549" s="82">
        <f t="shared" si="223"/>
        <v>1774.64</v>
      </c>
      <c r="R549" s="82">
        <f t="shared" si="224"/>
        <v>1774.64</v>
      </c>
    </row>
    <row r="550" spans="2:18" s="34" customFormat="1" ht="46.2">
      <c r="B550" s="75" t="s">
        <v>1075</v>
      </c>
      <c r="C550" s="76" t="s">
        <v>1076</v>
      </c>
      <c r="D550" s="77" t="s">
        <v>39</v>
      </c>
      <c r="E550" s="78">
        <v>16</v>
      </c>
      <c r="F550" s="79"/>
      <c r="G550" s="79"/>
      <c r="H550" s="79"/>
      <c r="I550" s="79">
        <f>SUM(G550:H550)+'BM 001'!I550</f>
        <v>0</v>
      </c>
      <c r="J550" s="79">
        <f t="shared" si="226"/>
        <v>16</v>
      </c>
      <c r="K550" s="84">
        <v>1900</v>
      </c>
      <c r="L550" s="81">
        <f t="shared" si="225"/>
        <v>2408.4402090000003</v>
      </c>
      <c r="M550" s="82">
        <f t="shared" si="220"/>
        <v>0</v>
      </c>
      <c r="N550" s="82">
        <f t="shared" si="221"/>
        <v>0</v>
      </c>
      <c r="O550" s="82">
        <f>N550+'BM 001'!O550</f>
        <v>0</v>
      </c>
      <c r="P550" s="80">
        <f t="shared" si="222"/>
        <v>30400</v>
      </c>
      <c r="Q550" s="82">
        <f t="shared" si="223"/>
        <v>38535.040000000001</v>
      </c>
      <c r="R550" s="82">
        <f t="shared" si="224"/>
        <v>38535.040000000001</v>
      </c>
    </row>
    <row r="551" spans="2:18" s="34" customFormat="1" ht="34.799999999999997">
      <c r="B551" s="75" t="s">
        <v>1077</v>
      </c>
      <c r="C551" s="76" t="s">
        <v>1078</v>
      </c>
      <c r="D551" s="77" t="s">
        <v>39</v>
      </c>
      <c r="E551" s="78">
        <v>140</v>
      </c>
      <c r="F551" s="79"/>
      <c r="G551" s="79"/>
      <c r="H551" s="79"/>
      <c r="I551" s="79">
        <f>SUM(G551:H551)+'BM 001'!I551</f>
        <v>0</v>
      </c>
      <c r="J551" s="79">
        <f t="shared" si="226"/>
        <v>140</v>
      </c>
      <c r="K551" s="84">
        <v>25</v>
      </c>
      <c r="L551" s="81">
        <f t="shared" si="225"/>
        <v>31.690002750000001</v>
      </c>
      <c r="M551" s="82">
        <f t="shared" si="220"/>
        <v>0</v>
      </c>
      <c r="N551" s="82">
        <f t="shared" si="221"/>
        <v>0</v>
      </c>
      <c r="O551" s="82">
        <f>N551+'BM 001'!O551</f>
        <v>0</v>
      </c>
      <c r="P551" s="80">
        <f t="shared" si="222"/>
        <v>3500</v>
      </c>
      <c r="Q551" s="82">
        <f t="shared" si="223"/>
        <v>4436.6000000000004</v>
      </c>
      <c r="R551" s="82">
        <f t="shared" si="224"/>
        <v>4436.6000000000004</v>
      </c>
    </row>
    <row r="552" spans="2:18" s="34" customFormat="1" ht="13.2">
      <c r="B552" s="66" t="s">
        <v>1079</v>
      </c>
      <c r="C552" s="67" t="s">
        <v>1080</v>
      </c>
      <c r="D552" s="68"/>
      <c r="E552" s="69"/>
      <c r="F552" s="70"/>
      <c r="G552" s="70"/>
      <c r="H552" s="70"/>
      <c r="I552" s="70">
        <f>SUM(G552:H552)+'BM 001'!I552</f>
        <v>0</v>
      </c>
      <c r="J552" s="70">
        <f t="shared" si="226"/>
        <v>0</v>
      </c>
      <c r="K552" s="71"/>
      <c r="L552" s="71">
        <f t="shared" si="225"/>
        <v>0</v>
      </c>
      <c r="M552" s="73">
        <f t="shared" ref="M552:R552" si="227">SUM(M553:M553)</f>
        <v>0</v>
      </c>
      <c r="N552" s="73">
        <f t="shared" si="227"/>
        <v>0</v>
      </c>
      <c r="O552" s="73">
        <f t="shared" si="227"/>
        <v>0</v>
      </c>
      <c r="P552" s="73">
        <f t="shared" si="227"/>
        <v>7310</v>
      </c>
      <c r="Q552" s="73">
        <f t="shared" si="227"/>
        <v>9266.15</v>
      </c>
      <c r="R552" s="73">
        <f t="shared" si="227"/>
        <v>9266.15</v>
      </c>
    </row>
    <row r="553" spans="2:18" s="34" customFormat="1" ht="23.4">
      <c r="B553" s="75" t="s">
        <v>1081</v>
      </c>
      <c r="C553" s="76" t="s">
        <v>1082</v>
      </c>
      <c r="D553" s="77" t="s">
        <v>63</v>
      </c>
      <c r="E553" s="78">
        <v>43</v>
      </c>
      <c r="F553" s="79"/>
      <c r="G553" s="79"/>
      <c r="H553" s="79"/>
      <c r="I553" s="79">
        <f>SUM(G553:H553)+'BM 001'!I553</f>
        <v>0</v>
      </c>
      <c r="J553" s="79">
        <f t="shared" si="226"/>
        <v>43</v>
      </c>
      <c r="K553" s="84">
        <v>170</v>
      </c>
      <c r="L553" s="81">
        <f t="shared" si="225"/>
        <v>215.49201870000002</v>
      </c>
      <c r="M553" s="82">
        <f>TRUNC(F553*L553,2)</f>
        <v>0</v>
      </c>
      <c r="N553" s="82">
        <f>TRUNC(G553*L553,2)</f>
        <v>0</v>
      </c>
      <c r="O553" s="82">
        <f>N553+'BM 001'!O553</f>
        <v>0</v>
      </c>
      <c r="P553" s="80">
        <f>E553*K553</f>
        <v>7310</v>
      </c>
      <c r="Q553" s="82">
        <f>TRUNC(E553*L553,2)</f>
        <v>9266.15</v>
      </c>
      <c r="R553" s="82">
        <f>Q553-O553</f>
        <v>9266.15</v>
      </c>
    </row>
    <row r="554" spans="2:18" s="34" customFormat="1" ht="13.2">
      <c r="B554" s="66" t="s">
        <v>1083</v>
      </c>
      <c r="C554" s="67" t="s">
        <v>1084</v>
      </c>
      <c r="D554" s="68"/>
      <c r="E554" s="69"/>
      <c r="F554" s="70"/>
      <c r="G554" s="70"/>
      <c r="H554" s="70"/>
      <c r="I554" s="70">
        <f>SUM(G554:H554)+'BM 001'!I554</f>
        <v>0</v>
      </c>
      <c r="J554" s="70">
        <f t="shared" si="226"/>
        <v>0</v>
      </c>
      <c r="K554" s="71"/>
      <c r="L554" s="120">
        <f t="shared" si="225"/>
        <v>0</v>
      </c>
      <c r="M554" s="73">
        <f t="shared" ref="M554:R554" si="228">SUM(M555:M565)</f>
        <v>0</v>
      </c>
      <c r="N554" s="73">
        <f t="shared" si="228"/>
        <v>0</v>
      </c>
      <c r="O554" s="73">
        <f t="shared" si="228"/>
        <v>0</v>
      </c>
      <c r="P554" s="73">
        <f t="shared" si="228"/>
        <v>55460</v>
      </c>
      <c r="Q554" s="73">
        <f t="shared" si="228"/>
        <v>70301.090000000011</v>
      </c>
      <c r="R554" s="73">
        <f t="shared" si="228"/>
        <v>70301.090000000011</v>
      </c>
    </row>
    <row r="555" spans="2:18" s="34" customFormat="1" ht="23.4">
      <c r="B555" s="75" t="s">
        <v>1085</v>
      </c>
      <c r="C555" s="76" t="s">
        <v>1086</v>
      </c>
      <c r="D555" s="77" t="s">
        <v>131</v>
      </c>
      <c r="E555" s="78">
        <v>1</v>
      </c>
      <c r="F555" s="79"/>
      <c r="G555" s="79"/>
      <c r="H555" s="79"/>
      <c r="I555" s="79">
        <f>SUM(G555:H555)+'BM 001'!I555</f>
        <v>0</v>
      </c>
      <c r="J555" s="79">
        <f t="shared" si="226"/>
        <v>1</v>
      </c>
      <c r="K555" s="84">
        <v>5800</v>
      </c>
      <c r="L555" s="81">
        <f t="shared" si="225"/>
        <v>7352.0806380000004</v>
      </c>
      <c r="M555" s="82">
        <f t="shared" ref="M555:M565" si="229">TRUNC(F555*L555,2)</f>
        <v>0</v>
      </c>
      <c r="N555" s="82">
        <f t="shared" ref="N555:N565" si="230">TRUNC(G555*L555,2)</f>
        <v>0</v>
      </c>
      <c r="O555" s="82">
        <f>N555+'BM 001'!O555</f>
        <v>0</v>
      </c>
      <c r="P555" s="80">
        <f t="shared" ref="P555:P565" si="231">E555*K555</f>
        <v>5800</v>
      </c>
      <c r="Q555" s="82">
        <f t="shared" ref="Q555:Q565" si="232">TRUNC(E555*L555,2)</f>
        <v>7352.08</v>
      </c>
      <c r="R555" s="82">
        <f t="shared" ref="R555:R565" si="233">Q555-O555</f>
        <v>7352.08</v>
      </c>
    </row>
    <row r="556" spans="2:18" s="34" customFormat="1" ht="46.2">
      <c r="B556" s="75" t="s">
        <v>1087</v>
      </c>
      <c r="C556" s="76" t="s">
        <v>1088</v>
      </c>
      <c r="D556" s="77" t="s">
        <v>131</v>
      </c>
      <c r="E556" s="78">
        <v>1</v>
      </c>
      <c r="F556" s="79"/>
      <c r="G556" s="79"/>
      <c r="H556" s="79"/>
      <c r="I556" s="79">
        <f>SUM(G556:H556)+'BM 001'!I556</f>
        <v>0</v>
      </c>
      <c r="J556" s="79">
        <f t="shared" si="226"/>
        <v>1</v>
      </c>
      <c r="K556" s="84">
        <v>2950</v>
      </c>
      <c r="L556" s="81">
        <f t="shared" si="225"/>
        <v>3739.4203245000003</v>
      </c>
      <c r="M556" s="82">
        <f t="shared" si="229"/>
        <v>0</v>
      </c>
      <c r="N556" s="82">
        <f t="shared" si="230"/>
        <v>0</v>
      </c>
      <c r="O556" s="82">
        <f>N556+'BM 001'!O556</f>
        <v>0</v>
      </c>
      <c r="P556" s="80">
        <f t="shared" si="231"/>
        <v>2950</v>
      </c>
      <c r="Q556" s="82">
        <f t="shared" si="232"/>
        <v>3739.42</v>
      </c>
      <c r="R556" s="82">
        <f t="shared" si="233"/>
        <v>3739.42</v>
      </c>
    </row>
    <row r="557" spans="2:18" s="34" customFormat="1" ht="23.4">
      <c r="B557" s="75" t="s">
        <v>1089</v>
      </c>
      <c r="C557" s="76" t="s">
        <v>1090</v>
      </c>
      <c r="D557" s="77" t="s">
        <v>131</v>
      </c>
      <c r="E557" s="78">
        <v>1</v>
      </c>
      <c r="F557" s="79"/>
      <c r="G557" s="79"/>
      <c r="H557" s="79"/>
      <c r="I557" s="79">
        <f>SUM(G557:H557)+'BM 001'!I557</f>
        <v>0</v>
      </c>
      <c r="J557" s="79">
        <f t="shared" si="226"/>
        <v>1</v>
      </c>
      <c r="K557" s="84">
        <v>5100</v>
      </c>
      <c r="L557" s="81">
        <f t="shared" si="225"/>
        <v>6464.7605610000001</v>
      </c>
      <c r="M557" s="82">
        <f t="shared" si="229"/>
        <v>0</v>
      </c>
      <c r="N557" s="82">
        <f t="shared" si="230"/>
        <v>0</v>
      </c>
      <c r="O557" s="82">
        <f>N557+'BM 001'!O557</f>
        <v>0</v>
      </c>
      <c r="P557" s="80">
        <f t="shared" si="231"/>
        <v>5100</v>
      </c>
      <c r="Q557" s="82">
        <f t="shared" si="232"/>
        <v>6464.76</v>
      </c>
      <c r="R557" s="82">
        <f t="shared" si="233"/>
        <v>6464.76</v>
      </c>
    </row>
    <row r="558" spans="2:18" s="34" customFormat="1" ht="23.4">
      <c r="B558" s="75" t="s">
        <v>1091</v>
      </c>
      <c r="C558" s="76" t="s">
        <v>1092</v>
      </c>
      <c r="D558" s="77" t="s">
        <v>131</v>
      </c>
      <c r="E558" s="78">
        <v>1</v>
      </c>
      <c r="F558" s="79"/>
      <c r="G558" s="79"/>
      <c r="H558" s="79"/>
      <c r="I558" s="79">
        <f>SUM(G558:H558)+'BM 001'!I558</f>
        <v>0</v>
      </c>
      <c r="J558" s="79">
        <f t="shared" si="226"/>
        <v>1</v>
      </c>
      <c r="K558" s="84">
        <v>6200</v>
      </c>
      <c r="L558" s="81">
        <f t="shared" si="225"/>
        <v>7859.1206820000007</v>
      </c>
      <c r="M558" s="82">
        <f t="shared" si="229"/>
        <v>0</v>
      </c>
      <c r="N558" s="82">
        <f t="shared" si="230"/>
        <v>0</v>
      </c>
      <c r="O558" s="82">
        <f>N558+'BM 001'!O558</f>
        <v>0</v>
      </c>
      <c r="P558" s="80">
        <f t="shared" si="231"/>
        <v>6200</v>
      </c>
      <c r="Q558" s="82">
        <f t="shared" si="232"/>
        <v>7859.12</v>
      </c>
      <c r="R558" s="82">
        <f t="shared" si="233"/>
        <v>7859.12</v>
      </c>
    </row>
    <row r="559" spans="2:18" s="34" customFormat="1" ht="23.4">
      <c r="B559" s="75" t="s">
        <v>1093</v>
      </c>
      <c r="C559" s="76" t="s">
        <v>1094</v>
      </c>
      <c r="D559" s="77" t="s">
        <v>131</v>
      </c>
      <c r="E559" s="78">
        <v>15</v>
      </c>
      <c r="F559" s="79"/>
      <c r="G559" s="79"/>
      <c r="H559" s="79"/>
      <c r="I559" s="79">
        <f>SUM(G559:H559)+'BM 001'!I559</f>
        <v>0</v>
      </c>
      <c r="J559" s="79">
        <f t="shared" si="226"/>
        <v>15</v>
      </c>
      <c r="K559" s="84">
        <v>250</v>
      </c>
      <c r="L559" s="81">
        <f t="shared" si="225"/>
        <v>316.90002750000002</v>
      </c>
      <c r="M559" s="82">
        <f t="shared" si="229"/>
        <v>0</v>
      </c>
      <c r="N559" s="82">
        <f t="shared" si="230"/>
        <v>0</v>
      </c>
      <c r="O559" s="82">
        <f>N559+'BM 001'!O559</f>
        <v>0</v>
      </c>
      <c r="P559" s="80">
        <f t="shared" si="231"/>
        <v>3750</v>
      </c>
      <c r="Q559" s="82">
        <f t="shared" si="232"/>
        <v>4753.5</v>
      </c>
      <c r="R559" s="82">
        <f t="shared" si="233"/>
        <v>4753.5</v>
      </c>
    </row>
    <row r="560" spans="2:18" s="34" customFormat="1" ht="23.4">
      <c r="B560" s="75" t="s">
        <v>1095</v>
      </c>
      <c r="C560" s="76" t="s">
        <v>1096</v>
      </c>
      <c r="D560" s="77" t="s">
        <v>131</v>
      </c>
      <c r="E560" s="78">
        <v>1</v>
      </c>
      <c r="F560" s="79"/>
      <c r="G560" s="79"/>
      <c r="H560" s="79"/>
      <c r="I560" s="79">
        <f>SUM(G560:H560)+'BM 001'!I560</f>
        <v>0</v>
      </c>
      <c r="J560" s="79">
        <f t="shared" si="226"/>
        <v>1</v>
      </c>
      <c r="K560" s="84">
        <v>350</v>
      </c>
      <c r="L560" s="81">
        <f t="shared" si="225"/>
        <v>443.66003850000004</v>
      </c>
      <c r="M560" s="82">
        <f t="shared" si="229"/>
        <v>0</v>
      </c>
      <c r="N560" s="82">
        <f t="shared" si="230"/>
        <v>0</v>
      </c>
      <c r="O560" s="82">
        <f>N560+'BM 001'!O560</f>
        <v>0</v>
      </c>
      <c r="P560" s="80">
        <f t="shared" si="231"/>
        <v>350</v>
      </c>
      <c r="Q560" s="82">
        <f t="shared" si="232"/>
        <v>443.66</v>
      </c>
      <c r="R560" s="82">
        <f t="shared" si="233"/>
        <v>443.66</v>
      </c>
    </row>
    <row r="561" spans="2:18" s="34" customFormat="1" ht="13.2">
      <c r="B561" s="75" t="s">
        <v>1097</v>
      </c>
      <c r="C561" s="76" t="s">
        <v>1098</v>
      </c>
      <c r="D561" s="77" t="s">
        <v>131</v>
      </c>
      <c r="E561" s="78">
        <v>15</v>
      </c>
      <c r="F561" s="79"/>
      <c r="G561" s="79"/>
      <c r="H561" s="79"/>
      <c r="I561" s="79">
        <f>SUM(G561:H561)+'BM 001'!I561</f>
        <v>0</v>
      </c>
      <c r="J561" s="79">
        <f t="shared" si="226"/>
        <v>15</v>
      </c>
      <c r="K561" s="84">
        <v>260</v>
      </c>
      <c r="L561" s="81">
        <f t="shared" si="225"/>
        <v>329.57602860000003</v>
      </c>
      <c r="M561" s="82">
        <f t="shared" si="229"/>
        <v>0</v>
      </c>
      <c r="N561" s="82">
        <f t="shared" si="230"/>
        <v>0</v>
      </c>
      <c r="O561" s="82">
        <f>N561+'BM 001'!O561</f>
        <v>0</v>
      </c>
      <c r="P561" s="80">
        <f t="shared" si="231"/>
        <v>3900</v>
      </c>
      <c r="Q561" s="82">
        <f t="shared" si="232"/>
        <v>4943.6400000000003</v>
      </c>
      <c r="R561" s="82">
        <f t="shared" si="233"/>
        <v>4943.6400000000003</v>
      </c>
    </row>
    <row r="562" spans="2:18" s="34" customFormat="1" ht="23.4">
      <c r="B562" s="75" t="s">
        <v>1099</v>
      </c>
      <c r="C562" s="76" t="s">
        <v>1100</v>
      </c>
      <c r="D562" s="77" t="s">
        <v>131</v>
      </c>
      <c r="E562" s="78">
        <v>1</v>
      </c>
      <c r="F562" s="79"/>
      <c r="G562" s="79"/>
      <c r="H562" s="79"/>
      <c r="I562" s="79">
        <f>SUM(G562:H562)+'BM 001'!I562</f>
        <v>0</v>
      </c>
      <c r="J562" s="79">
        <f t="shared" si="226"/>
        <v>1</v>
      </c>
      <c r="K562" s="84">
        <v>360</v>
      </c>
      <c r="L562" s="81">
        <f t="shared" si="225"/>
        <v>456.33603960000005</v>
      </c>
      <c r="M562" s="82">
        <f t="shared" si="229"/>
        <v>0</v>
      </c>
      <c r="N562" s="82">
        <f t="shared" si="230"/>
        <v>0</v>
      </c>
      <c r="O562" s="82">
        <f>N562+'BM 001'!O562</f>
        <v>0</v>
      </c>
      <c r="P562" s="80">
        <f t="shared" si="231"/>
        <v>360</v>
      </c>
      <c r="Q562" s="82">
        <f t="shared" si="232"/>
        <v>456.33</v>
      </c>
      <c r="R562" s="82">
        <f t="shared" si="233"/>
        <v>456.33</v>
      </c>
    </row>
    <row r="563" spans="2:18" s="34" customFormat="1" ht="13.2">
      <c r="B563" s="75" t="s">
        <v>1101</v>
      </c>
      <c r="C563" s="76" t="s">
        <v>1102</v>
      </c>
      <c r="D563" s="77" t="s">
        <v>131</v>
      </c>
      <c r="E563" s="78">
        <v>2</v>
      </c>
      <c r="F563" s="79"/>
      <c r="G563" s="79"/>
      <c r="H563" s="79"/>
      <c r="I563" s="79">
        <f>SUM(G563:H563)+'BM 001'!I563</f>
        <v>0</v>
      </c>
      <c r="J563" s="79">
        <f t="shared" si="226"/>
        <v>2</v>
      </c>
      <c r="K563" s="84">
        <v>3650</v>
      </c>
      <c r="L563" s="81">
        <f t="shared" si="225"/>
        <v>4626.7404015000002</v>
      </c>
      <c r="M563" s="82">
        <f t="shared" si="229"/>
        <v>0</v>
      </c>
      <c r="N563" s="82">
        <f t="shared" si="230"/>
        <v>0</v>
      </c>
      <c r="O563" s="82">
        <f>N563+'BM 001'!O563</f>
        <v>0</v>
      </c>
      <c r="P563" s="80">
        <f t="shared" si="231"/>
        <v>7300</v>
      </c>
      <c r="Q563" s="82">
        <f t="shared" si="232"/>
        <v>9253.48</v>
      </c>
      <c r="R563" s="82">
        <f t="shared" si="233"/>
        <v>9253.48</v>
      </c>
    </row>
    <row r="564" spans="2:18" s="34" customFormat="1" ht="23.4">
      <c r="B564" s="75" t="s">
        <v>1103</v>
      </c>
      <c r="C564" s="76" t="s">
        <v>1104</v>
      </c>
      <c r="D564" s="77" t="s">
        <v>131</v>
      </c>
      <c r="E564" s="78">
        <v>60</v>
      </c>
      <c r="F564" s="79"/>
      <c r="G564" s="79"/>
      <c r="H564" s="79"/>
      <c r="I564" s="79">
        <f>SUM(G564:H564)+'BM 001'!I564</f>
        <v>0</v>
      </c>
      <c r="J564" s="79">
        <f t="shared" si="226"/>
        <v>60</v>
      </c>
      <c r="K564" s="84">
        <v>280</v>
      </c>
      <c r="L564" s="81">
        <f t="shared" si="225"/>
        <v>354.92803079999999</v>
      </c>
      <c r="M564" s="82">
        <f t="shared" si="229"/>
        <v>0</v>
      </c>
      <c r="N564" s="82">
        <f t="shared" si="230"/>
        <v>0</v>
      </c>
      <c r="O564" s="82">
        <f>N564+'BM 001'!O564</f>
        <v>0</v>
      </c>
      <c r="P564" s="80">
        <f t="shared" si="231"/>
        <v>16800</v>
      </c>
      <c r="Q564" s="82">
        <f t="shared" si="232"/>
        <v>21295.68</v>
      </c>
      <c r="R564" s="82">
        <f t="shared" si="233"/>
        <v>21295.68</v>
      </c>
    </row>
    <row r="565" spans="2:18" s="34" customFormat="1" ht="23.4">
      <c r="B565" s="75" t="s">
        <v>1105</v>
      </c>
      <c r="C565" s="76" t="s">
        <v>1106</v>
      </c>
      <c r="D565" s="77" t="s">
        <v>131</v>
      </c>
      <c r="E565" s="78">
        <v>10</v>
      </c>
      <c r="F565" s="79"/>
      <c r="G565" s="79"/>
      <c r="H565" s="79"/>
      <c r="I565" s="79">
        <f>SUM(G565:H565)+'BM 001'!I565</f>
        <v>0</v>
      </c>
      <c r="J565" s="79">
        <f t="shared" si="226"/>
        <v>10</v>
      </c>
      <c r="K565" s="84">
        <v>295</v>
      </c>
      <c r="L565" s="81">
        <f t="shared" si="225"/>
        <v>373.94203245</v>
      </c>
      <c r="M565" s="82">
        <f t="shared" si="229"/>
        <v>0</v>
      </c>
      <c r="N565" s="82">
        <f t="shared" si="230"/>
        <v>0</v>
      </c>
      <c r="O565" s="82">
        <f>N565+'BM 001'!O565</f>
        <v>0</v>
      </c>
      <c r="P565" s="80">
        <f t="shared" si="231"/>
        <v>2950</v>
      </c>
      <c r="Q565" s="82">
        <f t="shared" si="232"/>
        <v>3739.42</v>
      </c>
      <c r="R565" s="82">
        <f t="shared" si="233"/>
        <v>3739.42</v>
      </c>
    </row>
    <row r="566" spans="2:18" s="34" customFormat="1" ht="13.2">
      <c r="B566" s="60" t="s">
        <v>1107</v>
      </c>
      <c r="C566" s="61" t="s">
        <v>1108</v>
      </c>
      <c r="D566" s="60"/>
      <c r="E566" s="62"/>
      <c r="F566" s="63"/>
      <c r="G566" s="63"/>
      <c r="H566" s="63"/>
      <c r="I566" s="63">
        <f>SUM(G566:H566)+'BM 001'!I566</f>
        <v>0</v>
      </c>
      <c r="J566" s="63">
        <f t="shared" si="226"/>
        <v>0</v>
      </c>
      <c r="K566" s="63"/>
      <c r="L566" s="63">
        <f t="shared" si="225"/>
        <v>0</v>
      </c>
      <c r="M566" s="63">
        <f t="shared" ref="M566:R566" si="234">SUM(M567:M587)</f>
        <v>0</v>
      </c>
      <c r="N566" s="63">
        <f t="shared" si="234"/>
        <v>0</v>
      </c>
      <c r="O566" s="63">
        <f t="shared" si="234"/>
        <v>0</v>
      </c>
      <c r="P566" s="63">
        <f t="shared" si="234"/>
        <v>397499.3</v>
      </c>
      <c r="Q566" s="63">
        <f t="shared" si="234"/>
        <v>503870.0799999999</v>
      </c>
      <c r="R566" s="63">
        <f t="shared" si="234"/>
        <v>503870.0799999999</v>
      </c>
    </row>
    <row r="567" spans="2:18" s="34" customFormat="1" ht="46.2">
      <c r="B567" s="87" t="s">
        <v>1109</v>
      </c>
      <c r="C567" s="88" t="s">
        <v>1110</v>
      </c>
      <c r="D567" s="89" t="s">
        <v>63</v>
      </c>
      <c r="E567" s="92">
        <v>33</v>
      </c>
      <c r="F567" s="91"/>
      <c r="G567" s="91"/>
      <c r="H567" s="91"/>
      <c r="I567" s="91">
        <f>SUM(G567:H567)+'BM 001'!I567</f>
        <v>0</v>
      </c>
      <c r="J567" s="91">
        <f t="shared" si="226"/>
        <v>33</v>
      </c>
      <c r="K567" s="84">
        <v>540</v>
      </c>
      <c r="L567" s="81">
        <f t="shared" si="225"/>
        <v>684.50405940000007</v>
      </c>
      <c r="M567" s="82">
        <f t="shared" ref="M567:M587" si="235">TRUNC(F567*L567,2)</f>
        <v>0</v>
      </c>
      <c r="N567" s="82">
        <f t="shared" ref="N567:N587" si="236">TRUNC(G567*L567,2)</f>
        <v>0</v>
      </c>
      <c r="O567" s="82">
        <f>N567+'BM 001'!O567</f>
        <v>0</v>
      </c>
      <c r="P567" s="80">
        <f t="shared" ref="P567:P587" si="237">E567*K567</f>
        <v>17820</v>
      </c>
      <c r="Q567" s="82">
        <f t="shared" ref="Q567:Q587" si="238">TRUNC(E567*L567,2)</f>
        <v>22588.63</v>
      </c>
      <c r="R567" s="82">
        <f t="shared" ref="R567:R587" si="239">Q567-O567</f>
        <v>22588.63</v>
      </c>
    </row>
    <row r="568" spans="2:18" s="34" customFormat="1" ht="46.2">
      <c r="B568" s="87" t="s">
        <v>1111</v>
      </c>
      <c r="C568" s="88" t="s">
        <v>1112</v>
      </c>
      <c r="D568" s="89" t="s">
        <v>63</v>
      </c>
      <c r="E568" s="90">
        <f>56-E567</f>
        <v>23</v>
      </c>
      <c r="F568" s="91"/>
      <c r="G568" s="91"/>
      <c r="H568" s="91"/>
      <c r="I568" s="91">
        <f>SUM(G568:H568)+'BM 001'!I568</f>
        <v>0</v>
      </c>
      <c r="J568" s="91">
        <f t="shared" si="226"/>
        <v>23</v>
      </c>
      <c r="K568" s="80">
        <v>685</v>
      </c>
      <c r="L568" s="81">
        <f t="shared" si="225"/>
        <v>868.30607535000001</v>
      </c>
      <c r="M568" s="82">
        <f t="shared" si="235"/>
        <v>0</v>
      </c>
      <c r="N568" s="82">
        <f t="shared" si="236"/>
        <v>0</v>
      </c>
      <c r="O568" s="82">
        <f>N568+'BM 001'!O568</f>
        <v>0</v>
      </c>
      <c r="P568" s="80">
        <f t="shared" si="237"/>
        <v>15755</v>
      </c>
      <c r="Q568" s="82">
        <f t="shared" si="238"/>
        <v>19971.03</v>
      </c>
      <c r="R568" s="82">
        <f t="shared" si="239"/>
        <v>19971.03</v>
      </c>
    </row>
    <row r="569" spans="2:18" s="34" customFormat="1" ht="34.799999999999997">
      <c r="B569" s="87" t="s">
        <v>1113</v>
      </c>
      <c r="C569" s="88" t="s">
        <v>1114</v>
      </c>
      <c r="D569" s="89" t="s">
        <v>131</v>
      </c>
      <c r="E569" s="92">
        <v>17</v>
      </c>
      <c r="F569" s="91"/>
      <c r="G569" s="91"/>
      <c r="H569" s="91"/>
      <c r="I569" s="91">
        <f>SUM(G569:H569)+'BM 001'!I569</f>
        <v>0</v>
      </c>
      <c r="J569" s="91">
        <f t="shared" si="226"/>
        <v>17</v>
      </c>
      <c r="K569" s="84">
        <v>725</v>
      </c>
      <c r="L569" s="81">
        <f t="shared" si="225"/>
        <v>919.01007975000005</v>
      </c>
      <c r="M569" s="82">
        <f t="shared" si="235"/>
        <v>0</v>
      </c>
      <c r="N569" s="82">
        <f t="shared" si="236"/>
        <v>0</v>
      </c>
      <c r="O569" s="82">
        <f>N569+'BM 001'!O569</f>
        <v>0</v>
      </c>
      <c r="P569" s="80">
        <f t="shared" si="237"/>
        <v>12325</v>
      </c>
      <c r="Q569" s="82">
        <f t="shared" si="238"/>
        <v>15623.17</v>
      </c>
      <c r="R569" s="82">
        <f t="shared" si="239"/>
        <v>15623.17</v>
      </c>
    </row>
    <row r="570" spans="2:18" s="34" customFormat="1" ht="23.4">
      <c r="B570" s="87" t="s">
        <v>1115</v>
      </c>
      <c r="C570" s="88" t="s">
        <v>1116</v>
      </c>
      <c r="D570" s="89" t="s">
        <v>63</v>
      </c>
      <c r="E570" s="92">
        <v>56</v>
      </c>
      <c r="F570" s="91"/>
      <c r="G570" s="91"/>
      <c r="H570" s="91"/>
      <c r="I570" s="91">
        <f>SUM(G570:H570)+'BM 001'!I570</f>
        <v>0</v>
      </c>
      <c r="J570" s="91">
        <f t="shared" si="226"/>
        <v>56</v>
      </c>
      <c r="K570" s="84">
        <v>175</v>
      </c>
      <c r="L570" s="81">
        <f t="shared" si="225"/>
        <v>221.83001925000002</v>
      </c>
      <c r="M570" s="82">
        <f t="shared" si="235"/>
        <v>0</v>
      </c>
      <c r="N570" s="82">
        <f t="shared" si="236"/>
        <v>0</v>
      </c>
      <c r="O570" s="82">
        <f>N570+'BM 001'!O570</f>
        <v>0</v>
      </c>
      <c r="P570" s="80">
        <f t="shared" si="237"/>
        <v>9800</v>
      </c>
      <c r="Q570" s="82">
        <f t="shared" si="238"/>
        <v>12422.48</v>
      </c>
      <c r="R570" s="82">
        <f t="shared" si="239"/>
        <v>12422.48</v>
      </c>
    </row>
    <row r="571" spans="2:18" s="34" customFormat="1" ht="13.2">
      <c r="B571" s="87" t="s">
        <v>1117</v>
      </c>
      <c r="C571" s="88" t="s">
        <v>1118</v>
      </c>
      <c r="D571" s="89" t="s">
        <v>63</v>
      </c>
      <c r="E571" s="92">
        <v>11</v>
      </c>
      <c r="F571" s="91"/>
      <c r="G571" s="91"/>
      <c r="H571" s="91"/>
      <c r="I571" s="91">
        <f>SUM(G571:H571)+'BM 001'!I571</f>
        <v>0</v>
      </c>
      <c r="J571" s="91">
        <f t="shared" si="226"/>
        <v>11</v>
      </c>
      <c r="K571" s="84">
        <v>120</v>
      </c>
      <c r="L571" s="81">
        <f t="shared" si="225"/>
        <v>152.11201320000001</v>
      </c>
      <c r="M571" s="82">
        <f t="shared" si="235"/>
        <v>0</v>
      </c>
      <c r="N571" s="82">
        <f t="shared" si="236"/>
        <v>0</v>
      </c>
      <c r="O571" s="82">
        <f>N571+'BM 001'!O571</f>
        <v>0</v>
      </c>
      <c r="P571" s="80">
        <f t="shared" si="237"/>
        <v>1320</v>
      </c>
      <c r="Q571" s="82">
        <f t="shared" si="238"/>
        <v>1673.23</v>
      </c>
      <c r="R571" s="82">
        <f t="shared" si="239"/>
        <v>1673.23</v>
      </c>
    </row>
    <row r="572" spans="2:18" s="34" customFormat="1" ht="34.799999999999997">
      <c r="B572" s="87" t="s">
        <v>1119</v>
      </c>
      <c r="C572" s="88" t="s">
        <v>1120</v>
      </c>
      <c r="D572" s="89" t="s">
        <v>63</v>
      </c>
      <c r="E572" s="92">
        <v>20</v>
      </c>
      <c r="F572" s="91"/>
      <c r="G572" s="91"/>
      <c r="H572" s="91"/>
      <c r="I572" s="91">
        <f>SUM(G572:H572)+'BM 001'!I572</f>
        <v>0</v>
      </c>
      <c r="J572" s="91">
        <f t="shared" si="226"/>
        <v>20</v>
      </c>
      <c r="K572" s="84">
        <v>205</v>
      </c>
      <c r="L572" s="81">
        <f t="shared" si="225"/>
        <v>259.85802254999999</v>
      </c>
      <c r="M572" s="82">
        <f t="shared" si="235"/>
        <v>0</v>
      </c>
      <c r="N572" s="82">
        <f t="shared" si="236"/>
        <v>0</v>
      </c>
      <c r="O572" s="82">
        <f>N572+'BM 001'!O572</f>
        <v>0</v>
      </c>
      <c r="P572" s="80">
        <f t="shared" si="237"/>
        <v>4100</v>
      </c>
      <c r="Q572" s="82">
        <f t="shared" si="238"/>
        <v>5197.16</v>
      </c>
      <c r="R572" s="82">
        <f t="shared" si="239"/>
        <v>5197.16</v>
      </c>
    </row>
    <row r="573" spans="2:18" s="34" customFormat="1" ht="23.4">
      <c r="B573" s="87" t="s">
        <v>1121</v>
      </c>
      <c r="C573" s="88" t="s">
        <v>1122</v>
      </c>
      <c r="D573" s="89" t="s">
        <v>63</v>
      </c>
      <c r="E573" s="92">
        <v>39</v>
      </c>
      <c r="F573" s="91"/>
      <c r="G573" s="91"/>
      <c r="H573" s="91"/>
      <c r="I573" s="91">
        <f>SUM(G573:H573)+'BM 001'!I573</f>
        <v>0</v>
      </c>
      <c r="J573" s="91">
        <f t="shared" si="226"/>
        <v>39</v>
      </c>
      <c r="K573" s="84">
        <v>730</v>
      </c>
      <c r="L573" s="81">
        <f t="shared" si="225"/>
        <v>925.34808029999999</v>
      </c>
      <c r="M573" s="82">
        <f t="shared" si="235"/>
        <v>0</v>
      </c>
      <c r="N573" s="82">
        <f t="shared" si="236"/>
        <v>0</v>
      </c>
      <c r="O573" s="82">
        <f>N573+'BM 001'!O573</f>
        <v>0</v>
      </c>
      <c r="P573" s="80">
        <f t="shared" si="237"/>
        <v>28470</v>
      </c>
      <c r="Q573" s="82">
        <f t="shared" si="238"/>
        <v>36088.57</v>
      </c>
      <c r="R573" s="82">
        <f t="shared" si="239"/>
        <v>36088.57</v>
      </c>
    </row>
    <row r="574" spans="2:18" s="34" customFormat="1" ht="23.4">
      <c r="B574" s="87" t="s">
        <v>1123</v>
      </c>
      <c r="C574" s="88" t="s">
        <v>1124</v>
      </c>
      <c r="D574" s="89" t="s">
        <v>63</v>
      </c>
      <c r="E574" s="92">
        <v>6</v>
      </c>
      <c r="F574" s="91"/>
      <c r="G574" s="91"/>
      <c r="H574" s="91"/>
      <c r="I574" s="91">
        <f>SUM(G574:H574)+'BM 001'!I574</f>
        <v>0</v>
      </c>
      <c r="J574" s="91">
        <f t="shared" si="226"/>
        <v>6</v>
      </c>
      <c r="K574" s="84">
        <v>4500</v>
      </c>
      <c r="L574" s="81">
        <f t="shared" si="225"/>
        <v>5704.200495</v>
      </c>
      <c r="M574" s="82">
        <f t="shared" si="235"/>
        <v>0</v>
      </c>
      <c r="N574" s="82">
        <f t="shared" si="236"/>
        <v>0</v>
      </c>
      <c r="O574" s="82">
        <f>N574+'BM 001'!O574</f>
        <v>0</v>
      </c>
      <c r="P574" s="80">
        <f t="shared" si="237"/>
        <v>27000</v>
      </c>
      <c r="Q574" s="82">
        <f t="shared" si="238"/>
        <v>34225.199999999997</v>
      </c>
      <c r="R574" s="82">
        <f t="shared" si="239"/>
        <v>34225.199999999997</v>
      </c>
    </row>
    <row r="575" spans="2:18" s="34" customFormat="1" ht="34.799999999999997">
      <c r="B575" s="87" t="s">
        <v>1125</v>
      </c>
      <c r="C575" s="88" t="s">
        <v>1126</v>
      </c>
      <c r="D575" s="89" t="s">
        <v>63</v>
      </c>
      <c r="E575" s="92">
        <v>59</v>
      </c>
      <c r="F575" s="91"/>
      <c r="G575" s="91"/>
      <c r="H575" s="91"/>
      <c r="I575" s="91">
        <f>SUM(G575:H575)+'BM 001'!I575</f>
        <v>0</v>
      </c>
      <c r="J575" s="91">
        <f t="shared" si="226"/>
        <v>59</v>
      </c>
      <c r="K575" s="84">
        <v>745</v>
      </c>
      <c r="L575" s="81">
        <f t="shared" si="225"/>
        <v>944.36208195000006</v>
      </c>
      <c r="M575" s="82">
        <f t="shared" si="235"/>
        <v>0</v>
      </c>
      <c r="N575" s="82">
        <f t="shared" si="236"/>
        <v>0</v>
      </c>
      <c r="O575" s="82">
        <f>N575+'BM 001'!O575</f>
        <v>0</v>
      </c>
      <c r="P575" s="80">
        <f t="shared" si="237"/>
        <v>43955</v>
      </c>
      <c r="Q575" s="82">
        <f t="shared" si="238"/>
        <v>55717.36</v>
      </c>
      <c r="R575" s="82">
        <f t="shared" si="239"/>
        <v>55717.36</v>
      </c>
    </row>
    <row r="576" spans="2:18" s="34" customFormat="1" ht="23.4">
      <c r="B576" s="87" t="s">
        <v>1127</v>
      </c>
      <c r="C576" s="88" t="s">
        <v>1128</v>
      </c>
      <c r="D576" s="89" t="s">
        <v>63</v>
      </c>
      <c r="E576" s="92">
        <v>74</v>
      </c>
      <c r="F576" s="91"/>
      <c r="G576" s="91"/>
      <c r="H576" s="91"/>
      <c r="I576" s="91">
        <f>SUM(G576:H576)+'BM 001'!I576</f>
        <v>0</v>
      </c>
      <c r="J576" s="91">
        <f t="shared" si="226"/>
        <v>74</v>
      </c>
      <c r="K576" s="84">
        <v>250</v>
      </c>
      <c r="L576" s="81">
        <f t="shared" si="225"/>
        <v>316.90002750000002</v>
      </c>
      <c r="M576" s="82">
        <f t="shared" si="235"/>
        <v>0</v>
      </c>
      <c r="N576" s="82">
        <f t="shared" si="236"/>
        <v>0</v>
      </c>
      <c r="O576" s="82">
        <f>N576+'BM 001'!O576</f>
        <v>0</v>
      </c>
      <c r="P576" s="80">
        <f t="shared" si="237"/>
        <v>18500</v>
      </c>
      <c r="Q576" s="82">
        <f t="shared" si="238"/>
        <v>23450.6</v>
      </c>
      <c r="R576" s="82">
        <f t="shared" si="239"/>
        <v>23450.6</v>
      </c>
    </row>
    <row r="577" spans="1:23" s="34" customFormat="1" ht="23.4">
      <c r="B577" s="87" t="s">
        <v>1129</v>
      </c>
      <c r="C577" s="88" t="s">
        <v>1130</v>
      </c>
      <c r="D577" s="89" t="s">
        <v>63</v>
      </c>
      <c r="E577" s="92">
        <v>49</v>
      </c>
      <c r="F577" s="91"/>
      <c r="G577" s="91"/>
      <c r="H577" s="91"/>
      <c r="I577" s="91">
        <f>SUM(G577:H577)+'BM 001'!I577</f>
        <v>0</v>
      </c>
      <c r="J577" s="91">
        <f t="shared" si="226"/>
        <v>49</v>
      </c>
      <c r="K577" s="84">
        <v>250</v>
      </c>
      <c r="L577" s="81">
        <f t="shared" si="225"/>
        <v>316.90002750000002</v>
      </c>
      <c r="M577" s="82">
        <f t="shared" si="235"/>
        <v>0</v>
      </c>
      <c r="N577" s="82">
        <f t="shared" si="236"/>
        <v>0</v>
      </c>
      <c r="O577" s="82">
        <f>N577+'BM 001'!O577</f>
        <v>0</v>
      </c>
      <c r="P577" s="80">
        <f t="shared" si="237"/>
        <v>12250</v>
      </c>
      <c r="Q577" s="82">
        <f t="shared" si="238"/>
        <v>15528.1</v>
      </c>
      <c r="R577" s="82">
        <f t="shared" si="239"/>
        <v>15528.1</v>
      </c>
    </row>
    <row r="578" spans="1:23" s="34" customFormat="1" ht="23.4">
      <c r="B578" s="87" t="s">
        <v>1131</v>
      </c>
      <c r="C578" s="88" t="s">
        <v>1132</v>
      </c>
      <c r="D578" s="89" t="s">
        <v>63</v>
      </c>
      <c r="E578" s="92">
        <v>102</v>
      </c>
      <c r="F578" s="91"/>
      <c r="G578" s="91"/>
      <c r="H578" s="91"/>
      <c r="I578" s="91">
        <f>SUM(G578:H578)+'BM 001'!I578</f>
        <v>0</v>
      </c>
      <c r="J578" s="91">
        <f t="shared" si="226"/>
        <v>102</v>
      </c>
      <c r="K578" s="84">
        <v>200</v>
      </c>
      <c r="L578" s="81">
        <f t="shared" si="225"/>
        <v>253.52002200000001</v>
      </c>
      <c r="M578" s="82">
        <f t="shared" si="235"/>
        <v>0</v>
      </c>
      <c r="N578" s="82">
        <f t="shared" si="236"/>
        <v>0</v>
      </c>
      <c r="O578" s="82">
        <f>N578+'BM 001'!O578</f>
        <v>0</v>
      </c>
      <c r="P578" s="80">
        <f t="shared" si="237"/>
        <v>20400</v>
      </c>
      <c r="Q578" s="82">
        <f t="shared" si="238"/>
        <v>25859.040000000001</v>
      </c>
      <c r="R578" s="82">
        <f t="shared" si="239"/>
        <v>25859.040000000001</v>
      </c>
    </row>
    <row r="579" spans="1:23" s="34" customFormat="1" ht="13.2">
      <c r="B579" s="87" t="s">
        <v>1133</v>
      </c>
      <c r="C579" s="88" t="s">
        <v>1134</v>
      </c>
      <c r="D579" s="89" t="s">
        <v>63</v>
      </c>
      <c r="E579" s="92">
        <v>135</v>
      </c>
      <c r="F579" s="91"/>
      <c r="G579" s="91"/>
      <c r="H579" s="91"/>
      <c r="I579" s="91">
        <f>SUM(G579:H579)+'BM 001'!I579</f>
        <v>0</v>
      </c>
      <c r="J579" s="91">
        <f t="shared" si="226"/>
        <v>135</v>
      </c>
      <c r="K579" s="84">
        <v>85</v>
      </c>
      <c r="L579" s="81">
        <f t="shared" si="225"/>
        <v>107.74600935000001</v>
      </c>
      <c r="M579" s="82">
        <f t="shared" si="235"/>
        <v>0</v>
      </c>
      <c r="N579" s="82">
        <f t="shared" si="236"/>
        <v>0</v>
      </c>
      <c r="O579" s="82">
        <f>N579+'BM 001'!O579</f>
        <v>0</v>
      </c>
      <c r="P579" s="80">
        <f t="shared" si="237"/>
        <v>11475</v>
      </c>
      <c r="Q579" s="82">
        <f t="shared" si="238"/>
        <v>14545.71</v>
      </c>
      <c r="R579" s="82">
        <f t="shared" si="239"/>
        <v>14545.71</v>
      </c>
    </row>
    <row r="580" spans="1:23" s="34" customFormat="1" ht="34.799999999999997">
      <c r="B580" s="87" t="s">
        <v>1135</v>
      </c>
      <c r="C580" s="88" t="s">
        <v>1136</v>
      </c>
      <c r="D580" s="89" t="s">
        <v>79</v>
      </c>
      <c r="E580" s="92">
        <v>43.42</v>
      </c>
      <c r="F580" s="91"/>
      <c r="G580" s="91"/>
      <c r="H580" s="91"/>
      <c r="I580" s="91">
        <f>SUM(G580:H580)+'BM 001'!I580</f>
        <v>0</v>
      </c>
      <c r="J580" s="91">
        <f t="shared" si="226"/>
        <v>43.42</v>
      </c>
      <c r="K580" s="84">
        <v>2590</v>
      </c>
      <c r="L580" s="81">
        <f t="shared" si="225"/>
        <v>3283.0842849000001</v>
      </c>
      <c r="M580" s="82">
        <f t="shared" si="235"/>
        <v>0</v>
      </c>
      <c r="N580" s="82">
        <f t="shared" si="236"/>
        <v>0</v>
      </c>
      <c r="O580" s="82">
        <f>N580+'BM 001'!O580</f>
        <v>0</v>
      </c>
      <c r="P580" s="80">
        <f t="shared" si="237"/>
        <v>112457.8</v>
      </c>
      <c r="Q580" s="82">
        <f t="shared" si="238"/>
        <v>142551.51</v>
      </c>
      <c r="R580" s="82">
        <f t="shared" si="239"/>
        <v>142551.51</v>
      </c>
    </row>
    <row r="581" spans="1:23" s="34" customFormat="1" ht="23.4">
      <c r="B581" s="87" t="s">
        <v>1137</v>
      </c>
      <c r="C581" s="88" t="s">
        <v>1138</v>
      </c>
      <c r="D581" s="89" t="s">
        <v>79</v>
      </c>
      <c r="E581" s="92">
        <v>8.93</v>
      </c>
      <c r="F581" s="91"/>
      <c r="G581" s="91"/>
      <c r="H581" s="91"/>
      <c r="I581" s="91">
        <f>SUM(G581:H581)+'BM 001'!I581</f>
        <v>0</v>
      </c>
      <c r="J581" s="91">
        <f t="shared" si="226"/>
        <v>8.93</v>
      </c>
      <c r="K581" s="84">
        <v>950</v>
      </c>
      <c r="L581" s="81">
        <f t="shared" si="225"/>
        <v>1204.2201045000002</v>
      </c>
      <c r="M581" s="82">
        <f t="shared" si="235"/>
        <v>0</v>
      </c>
      <c r="N581" s="82">
        <f t="shared" si="236"/>
        <v>0</v>
      </c>
      <c r="O581" s="82">
        <f>N581+'BM 001'!O581</f>
        <v>0</v>
      </c>
      <c r="P581" s="80">
        <f t="shared" si="237"/>
        <v>8483.5</v>
      </c>
      <c r="Q581" s="82">
        <f t="shared" si="238"/>
        <v>10753.68</v>
      </c>
      <c r="R581" s="82">
        <f t="shared" si="239"/>
        <v>10753.68</v>
      </c>
    </row>
    <row r="582" spans="1:23" s="34" customFormat="1" ht="23.4">
      <c r="B582" s="87" t="s">
        <v>1139</v>
      </c>
      <c r="C582" s="88" t="s">
        <v>1140</v>
      </c>
      <c r="D582" s="89" t="s">
        <v>63</v>
      </c>
      <c r="E582" s="92">
        <v>1</v>
      </c>
      <c r="F582" s="91"/>
      <c r="G582" s="91"/>
      <c r="H582" s="91"/>
      <c r="I582" s="91">
        <f>SUM(G582:H582)+'BM 001'!I582</f>
        <v>0</v>
      </c>
      <c r="J582" s="91">
        <f t="shared" si="226"/>
        <v>1</v>
      </c>
      <c r="K582" s="84">
        <v>210</v>
      </c>
      <c r="L582" s="81">
        <f t="shared" si="225"/>
        <v>266.19602309999999</v>
      </c>
      <c r="M582" s="82">
        <f t="shared" si="235"/>
        <v>0</v>
      </c>
      <c r="N582" s="82">
        <f t="shared" si="236"/>
        <v>0</v>
      </c>
      <c r="O582" s="82">
        <f>N582+'BM 001'!O582</f>
        <v>0</v>
      </c>
      <c r="P582" s="80">
        <f t="shared" si="237"/>
        <v>210</v>
      </c>
      <c r="Q582" s="82">
        <f t="shared" si="238"/>
        <v>266.19</v>
      </c>
      <c r="R582" s="82">
        <f t="shared" si="239"/>
        <v>266.19</v>
      </c>
    </row>
    <row r="583" spans="1:23" s="34" customFormat="1" ht="34.799999999999997">
      <c r="B583" s="87" t="s">
        <v>1141</v>
      </c>
      <c r="C583" s="88" t="s">
        <v>1142</v>
      </c>
      <c r="D583" s="89" t="s">
        <v>63</v>
      </c>
      <c r="E583" s="92">
        <v>22</v>
      </c>
      <c r="F583" s="91"/>
      <c r="G583" s="91"/>
      <c r="H583" s="91"/>
      <c r="I583" s="91">
        <f>SUM(G583:H583)+'BM 001'!I583</f>
        <v>0</v>
      </c>
      <c r="J583" s="91">
        <f t="shared" si="226"/>
        <v>22</v>
      </c>
      <c r="K583" s="84">
        <v>490</v>
      </c>
      <c r="L583" s="81">
        <f t="shared" si="225"/>
        <v>621.12405390000004</v>
      </c>
      <c r="M583" s="82">
        <f t="shared" si="235"/>
        <v>0</v>
      </c>
      <c r="N583" s="82">
        <f t="shared" si="236"/>
        <v>0</v>
      </c>
      <c r="O583" s="82">
        <f>N583+'BM 001'!O583</f>
        <v>0</v>
      </c>
      <c r="P583" s="80">
        <f t="shared" si="237"/>
        <v>10780</v>
      </c>
      <c r="Q583" s="82">
        <f t="shared" si="238"/>
        <v>13664.72</v>
      </c>
      <c r="R583" s="82">
        <f t="shared" si="239"/>
        <v>13664.72</v>
      </c>
    </row>
    <row r="584" spans="1:23" ht="46.8">
      <c r="A584" s="34"/>
      <c r="B584" s="87" t="s">
        <v>1143</v>
      </c>
      <c r="C584" s="88" t="s">
        <v>1144</v>
      </c>
      <c r="D584" s="89" t="s">
        <v>63</v>
      </c>
      <c r="E584" s="92">
        <v>3</v>
      </c>
      <c r="F584" s="91"/>
      <c r="G584" s="91"/>
      <c r="H584" s="91"/>
      <c r="I584" s="91">
        <f>SUM(G584:H584)+'BM 001'!I584</f>
        <v>0</v>
      </c>
      <c r="J584" s="91">
        <f t="shared" si="226"/>
        <v>3</v>
      </c>
      <c r="K584" s="84">
        <v>2480</v>
      </c>
      <c r="L584" s="81">
        <f t="shared" si="225"/>
        <v>3143.6482728000001</v>
      </c>
      <c r="M584" s="82">
        <f t="shared" si="235"/>
        <v>0</v>
      </c>
      <c r="N584" s="82">
        <f t="shared" si="236"/>
        <v>0</v>
      </c>
      <c r="O584" s="82">
        <f>N584+'BM 001'!O584</f>
        <v>0</v>
      </c>
      <c r="P584" s="80">
        <f t="shared" si="237"/>
        <v>7440</v>
      </c>
      <c r="Q584" s="82">
        <f t="shared" si="238"/>
        <v>9430.94</v>
      </c>
      <c r="R584" s="82">
        <f t="shared" si="239"/>
        <v>9430.94</v>
      </c>
      <c r="S584" s="34"/>
      <c r="T584" s="34"/>
      <c r="U584" s="34"/>
      <c r="V584" s="34"/>
      <c r="W584" s="34"/>
    </row>
    <row r="585" spans="1:23">
      <c r="A585" s="34"/>
      <c r="B585" s="87" t="s">
        <v>1145</v>
      </c>
      <c r="C585" s="88" t="s">
        <v>1146</v>
      </c>
      <c r="D585" s="89" t="s">
        <v>63</v>
      </c>
      <c r="E585" s="92">
        <v>7</v>
      </c>
      <c r="F585" s="91"/>
      <c r="G585" s="91"/>
      <c r="H585" s="91"/>
      <c r="I585" s="91">
        <f>SUM(G585:H585)+'BM 001'!I585</f>
        <v>0</v>
      </c>
      <c r="J585" s="91">
        <f t="shared" si="226"/>
        <v>7</v>
      </c>
      <c r="K585" s="84">
        <v>950</v>
      </c>
      <c r="L585" s="81">
        <f t="shared" si="225"/>
        <v>1204.2201045000002</v>
      </c>
      <c r="M585" s="82">
        <f t="shared" si="235"/>
        <v>0</v>
      </c>
      <c r="N585" s="82">
        <f t="shared" si="236"/>
        <v>0</v>
      </c>
      <c r="O585" s="82">
        <f>N585+'BM 001'!O585</f>
        <v>0</v>
      </c>
      <c r="P585" s="80">
        <f t="shared" si="237"/>
        <v>6650</v>
      </c>
      <c r="Q585" s="82">
        <f t="shared" si="238"/>
        <v>8429.5400000000009</v>
      </c>
      <c r="R585" s="82">
        <f t="shared" si="239"/>
        <v>8429.5400000000009</v>
      </c>
      <c r="S585" s="34"/>
      <c r="T585" s="34"/>
      <c r="U585" s="34"/>
      <c r="V585" s="34"/>
      <c r="W585" s="34"/>
    </row>
    <row r="586" spans="1:23" ht="24">
      <c r="A586" s="34"/>
      <c r="B586" s="87" t="s">
        <v>1147</v>
      </c>
      <c r="C586" s="88" t="s">
        <v>1148</v>
      </c>
      <c r="D586" s="89" t="s">
        <v>63</v>
      </c>
      <c r="E586" s="92">
        <v>43</v>
      </c>
      <c r="F586" s="91"/>
      <c r="G586" s="91"/>
      <c r="H586" s="91"/>
      <c r="I586" s="91">
        <f>SUM(G586:H586)+'BM 001'!I586</f>
        <v>0</v>
      </c>
      <c r="J586" s="91">
        <f t="shared" si="226"/>
        <v>43</v>
      </c>
      <c r="K586" s="84">
        <v>300</v>
      </c>
      <c r="L586" s="81">
        <f t="shared" si="225"/>
        <v>380.280033</v>
      </c>
      <c r="M586" s="82">
        <f t="shared" si="235"/>
        <v>0</v>
      </c>
      <c r="N586" s="82">
        <f t="shared" si="236"/>
        <v>0</v>
      </c>
      <c r="O586" s="82">
        <f>N586+'BM 001'!O586</f>
        <v>0</v>
      </c>
      <c r="P586" s="80">
        <f t="shared" si="237"/>
        <v>12900</v>
      </c>
      <c r="Q586" s="82">
        <f t="shared" si="238"/>
        <v>16352.04</v>
      </c>
      <c r="R586" s="82">
        <f t="shared" si="239"/>
        <v>16352.04</v>
      </c>
      <c r="S586" s="34"/>
      <c r="T586" s="34"/>
      <c r="U586" s="34"/>
      <c r="V586" s="34"/>
      <c r="W586" s="34"/>
    </row>
    <row r="587" spans="1:23" ht="24">
      <c r="A587" s="34"/>
      <c r="B587" s="87" t="s">
        <v>1149</v>
      </c>
      <c r="C587" s="88" t="s">
        <v>1150</v>
      </c>
      <c r="D587" s="89" t="s">
        <v>63</v>
      </c>
      <c r="E587" s="92">
        <v>4</v>
      </c>
      <c r="F587" s="91"/>
      <c r="G587" s="91"/>
      <c r="H587" s="91"/>
      <c r="I587" s="91">
        <f>SUM(G587:H587)+'BM 001'!I587</f>
        <v>0</v>
      </c>
      <c r="J587" s="91">
        <f t="shared" si="226"/>
        <v>4</v>
      </c>
      <c r="K587" s="84">
        <v>3852</v>
      </c>
      <c r="L587" s="81">
        <f t="shared" si="225"/>
        <v>4882.7956237200005</v>
      </c>
      <c r="M587" s="82">
        <f t="shared" si="235"/>
        <v>0</v>
      </c>
      <c r="N587" s="82">
        <f t="shared" si="236"/>
        <v>0</v>
      </c>
      <c r="O587" s="82">
        <f>N587+'BM 001'!O587</f>
        <v>0</v>
      </c>
      <c r="P587" s="80">
        <f t="shared" si="237"/>
        <v>15408</v>
      </c>
      <c r="Q587" s="82">
        <f t="shared" si="238"/>
        <v>19531.18</v>
      </c>
      <c r="R587" s="82">
        <f t="shared" si="239"/>
        <v>19531.18</v>
      </c>
      <c r="S587" s="34"/>
      <c r="T587" s="34"/>
      <c r="U587" s="34"/>
      <c r="V587" s="34"/>
      <c r="W587" s="34"/>
    </row>
    <row r="588" spans="1:23">
      <c r="A588" s="34"/>
      <c r="B588" s="60" t="s">
        <v>1151</v>
      </c>
      <c r="C588" s="61" t="s">
        <v>1152</v>
      </c>
      <c r="D588" s="60"/>
      <c r="E588" s="62"/>
      <c r="F588" s="63"/>
      <c r="G588" s="63"/>
      <c r="H588" s="63"/>
      <c r="I588" s="63">
        <f>SUM(G588:H588)+'BM 001'!I588</f>
        <v>0</v>
      </c>
      <c r="J588" s="63">
        <f t="shared" si="226"/>
        <v>0</v>
      </c>
      <c r="K588" s="63"/>
      <c r="L588" s="63">
        <f t="shared" si="225"/>
        <v>0</v>
      </c>
      <c r="M588" s="63">
        <f t="shared" ref="M588:R588" si="240">SUM(M589:M590)</f>
        <v>0</v>
      </c>
      <c r="N588" s="63">
        <f t="shared" si="240"/>
        <v>0</v>
      </c>
      <c r="O588" s="63">
        <f t="shared" si="240"/>
        <v>0</v>
      </c>
      <c r="P588" s="63">
        <f t="shared" si="240"/>
        <v>30555.67</v>
      </c>
      <c r="Q588" s="63">
        <f t="shared" si="240"/>
        <v>38732.36</v>
      </c>
      <c r="R588" s="63">
        <f t="shared" si="240"/>
        <v>38732.36</v>
      </c>
      <c r="S588" s="34"/>
      <c r="T588" s="34"/>
      <c r="U588" s="34"/>
      <c r="V588" s="34"/>
      <c r="W588" s="34"/>
    </row>
    <row r="589" spans="1:23" s="122" customFormat="1" ht="13.8">
      <c r="A589" s="34"/>
      <c r="B589" s="75" t="s">
        <v>1153</v>
      </c>
      <c r="C589" s="76" t="s">
        <v>1154</v>
      </c>
      <c r="D589" s="121" t="s">
        <v>63</v>
      </c>
      <c r="E589" s="78">
        <v>1</v>
      </c>
      <c r="F589" s="79"/>
      <c r="G589" s="79"/>
      <c r="H589" s="79"/>
      <c r="I589" s="79">
        <f>SUM(G589:H589)+'BM 001'!I589</f>
        <v>0</v>
      </c>
      <c r="J589" s="79">
        <f t="shared" si="226"/>
        <v>1</v>
      </c>
      <c r="K589" s="84">
        <v>5076.55</v>
      </c>
      <c r="L589" s="81">
        <f t="shared" si="225"/>
        <v>6435.0353384205009</v>
      </c>
      <c r="M589" s="82">
        <f>TRUNC(F589*L589,2)</f>
        <v>0</v>
      </c>
      <c r="N589" s="82">
        <f>TRUNC(G589*L589,2)</f>
        <v>0</v>
      </c>
      <c r="O589" s="82">
        <f>N589+'BM 001'!O589</f>
        <v>0</v>
      </c>
      <c r="P589" s="80">
        <f>E589*K589</f>
        <v>5076.55</v>
      </c>
      <c r="Q589" s="82">
        <f>TRUNC(E589*L589,2)</f>
        <v>6435.03</v>
      </c>
      <c r="R589" s="82">
        <f>Q589-O589</f>
        <v>6435.03</v>
      </c>
      <c r="S589" s="34"/>
      <c r="T589" s="34"/>
      <c r="U589" s="34"/>
      <c r="V589" s="34"/>
      <c r="W589" s="34"/>
    </row>
    <row r="590" spans="1:23" s="122" customFormat="1" ht="13.8">
      <c r="A590" s="34"/>
      <c r="B590" s="75" t="s">
        <v>1155</v>
      </c>
      <c r="C590" s="76" t="s">
        <v>1156</v>
      </c>
      <c r="D590" s="77" t="s">
        <v>79</v>
      </c>
      <c r="E590" s="93">
        <v>6369.78</v>
      </c>
      <c r="F590" s="79"/>
      <c r="G590" s="79"/>
      <c r="H590" s="79"/>
      <c r="I590" s="79">
        <f>SUM(G590:H590)+'BM 001'!I590</f>
        <v>0</v>
      </c>
      <c r="J590" s="79">
        <f t="shared" si="226"/>
        <v>6369.78</v>
      </c>
      <c r="K590" s="123">
        <v>4</v>
      </c>
      <c r="L590" s="81">
        <f t="shared" si="225"/>
        <v>5.0704004400000002</v>
      </c>
      <c r="M590" s="82">
        <f>TRUNC(F590*L590,2)</f>
        <v>0</v>
      </c>
      <c r="N590" s="82">
        <f>TRUNC(G590*L590,2)</f>
        <v>0</v>
      </c>
      <c r="O590" s="82">
        <f>N590+'BM 001'!O590</f>
        <v>0</v>
      </c>
      <c r="P590" s="124">
        <f>E590*K590</f>
        <v>25479.119999999999</v>
      </c>
      <c r="Q590" s="82">
        <f>TRUNC(E590*L590,2)</f>
        <v>32297.33</v>
      </c>
      <c r="R590" s="82">
        <f>Q590-O590</f>
        <v>32297.33</v>
      </c>
      <c r="S590" s="34"/>
      <c r="T590" s="34"/>
      <c r="U590" s="34"/>
      <c r="V590" s="34"/>
      <c r="W590" s="34"/>
    </row>
    <row r="591" spans="1:23" s="122" customFormat="1" ht="13.8">
      <c r="A591" s="34"/>
      <c r="B591" s="125"/>
      <c r="C591" s="126"/>
      <c r="D591" s="127"/>
      <c r="E591" s="128"/>
      <c r="F591" s="128"/>
      <c r="G591" s="128"/>
      <c r="H591" s="128"/>
      <c r="I591" s="128"/>
      <c r="J591" s="128"/>
      <c r="K591" s="129"/>
      <c r="L591" s="129"/>
      <c r="M591" s="130"/>
      <c r="N591" s="130"/>
      <c r="O591" s="130"/>
      <c r="P591" s="130"/>
      <c r="Q591" s="130"/>
      <c r="R591" s="130"/>
      <c r="S591" s="34"/>
      <c r="T591" s="34"/>
      <c r="U591" s="34"/>
      <c r="V591" s="34"/>
      <c r="W591" s="34"/>
    </row>
    <row r="592" spans="1:23" s="122" customFormat="1" ht="31.5" customHeight="1">
      <c r="A592" s="2"/>
      <c r="B592" s="533" t="s">
        <v>1157</v>
      </c>
      <c r="C592" s="533"/>
      <c r="D592" s="533"/>
      <c r="E592" s="533"/>
      <c r="F592" s="533"/>
      <c r="G592" s="533"/>
      <c r="H592" s="533"/>
      <c r="I592" s="533"/>
      <c r="J592" s="533"/>
      <c r="K592" s="533"/>
      <c r="L592" s="533"/>
      <c r="M592" s="131">
        <f>M27+M46+M58+M88+M126+M134+M148+M162+M167+M171+M216+M225+M234+M319+M432+M447+M463+M491</f>
        <v>215831.96000000002</v>
      </c>
      <c r="N592" s="132">
        <f>SUM(N27,N52,N62,N94,N131,N139,N155,N170,N175,N178,N215,N222,N225,N317,N328,N481,N507,N566,N588)</f>
        <v>1102157.96</v>
      </c>
      <c r="O592" s="132">
        <f>SUM(O27,O52,O62,O94,O131,O139,O155,O170,O175,O178,O215,O222,O225,O317,O328,O481,O507,O566,O588)</f>
        <v>1481759.9899999998</v>
      </c>
      <c r="P592" s="132">
        <f>SUM(P27,P52,P62,P94,P131,P139,P155,P170,P175,P178,P215,P222,P225,P317,P328,P481,P507,P566,P588)</f>
        <v>20732092.142300002</v>
      </c>
      <c r="Q592" s="132">
        <f>SUM(Q27,Q52,Q62,Q94,Q131,Q139,Q155,Q170,Q175,Q178,Q215,Q222,Q225,Q317,Q328,Q481,Q507,Q566,Q588)</f>
        <v>26279999.999999993</v>
      </c>
      <c r="R592" s="132">
        <f>SUM(R27,R52,R62,R94,R131,R139,R155,R170,R175,R178,R215,R222,R225,R317,R328,R481,R507,R566,R588)</f>
        <v>24798240.009999994</v>
      </c>
      <c r="S592" s="2"/>
      <c r="T592" s="2"/>
      <c r="U592" s="2"/>
      <c r="V592" s="2"/>
      <c r="W592" s="2"/>
    </row>
    <row r="593" spans="1:23" s="122" customFormat="1" ht="31.5" customHeight="1">
      <c r="A593" s="2"/>
      <c r="B593" s="533" t="s">
        <v>1196</v>
      </c>
      <c r="C593" s="533"/>
      <c r="D593" s="533"/>
      <c r="E593" s="533"/>
      <c r="F593" s="533"/>
      <c r="G593" s="533"/>
      <c r="H593" s="533"/>
      <c r="I593" s="533"/>
      <c r="J593" s="533"/>
      <c r="K593" s="533"/>
      <c r="L593" s="533"/>
      <c r="M593" s="131"/>
      <c r="N593" s="133">
        <f>G614+G615+G616</f>
        <v>269305</v>
      </c>
      <c r="O593" s="131"/>
      <c r="P593" s="132"/>
      <c r="Q593" s="132"/>
      <c r="R593" s="134"/>
      <c r="S593" s="2"/>
      <c r="T593" s="2"/>
      <c r="U593" s="2"/>
      <c r="V593" s="2"/>
      <c r="W593" s="2"/>
    </row>
    <row r="594" spans="1:23" s="122" customFormat="1" ht="31.5" customHeight="1">
      <c r="A594" s="2"/>
      <c r="B594" s="533" t="s">
        <v>1197</v>
      </c>
      <c r="C594" s="533"/>
      <c r="D594" s="533"/>
      <c r="E594" s="533"/>
      <c r="F594" s="533"/>
      <c r="G594" s="533"/>
      <c r="H594" s="533"/>
      <c r="I594" s="533"/>
      <c r="J594" s="533"/>
      <c r="K594" s="533"/>
      <c r="L594" s="533"/>
      <c r="M594" s="131"/>
      <c r="N594" s="133">
        <f>0.5*SUM(G611+G612)</f>
        <v>84897.959999999992</v>
      </c>
      <c r="O594" s="131"/>
      <c r="P594" s="132"/>
      <c r="Q594" s="132"/>
      <c r="R594" s="134"/>
      <c r="S594" s="2"/>
      <c r="T594" s="2"/>
      <c r="U594" s="2"/>
      <c r="V594" s="2"/>
      <c r="W594" s="2"/>
    </row>
    <row r="595" spans="1:23" s="122" customFormat="1" ht="31.5" customHeight="1">
      <c r="A595" s="2"/>
      <c r="B595" s="533" t="s">
        <v>1160</v>
      </c>
      <c r="C595" s="533"/>
      <c r="D595" s="533"/>
      <c r="E595" s="533"/>
      <c r="F595" s="533"/>
      <c r="G595" s="533"/>
      <c r="H595" s="533"/>
      <c r="I595" s="533"/>
      <c r="J595" s="533"/>
      <c r="K595" s="533"/>
      <c r="L595" s="533"/>
      <c r="M595" s="131"/>
      <c r="N595" s="133"/>
      <c r="O595" s="131"/>
      <c r="P595" s="132"/>
      <c r="Q595" s="132"/>
      <c r="R595" s="134"/>
      <c r="S595" s="2"/>
      <c r="T595" s="2"/>
      <c r="U595" s="2"/>
      <c r="V595" s="2"/>
      <c r="W595" s="2"/>
    </row>
    <row r="596" spans="1:23" s="122" customFormat="1" ht="31.5" customHeight="1">
      <c r="A596" s="2"/>
      <c r="B596" s="533" t="s">
        <v>1161</v>
      </c>
      <c r="C596" s="533"/>
      <c r="D596" s="533"/>
      <c r="E596" s="533"/>
      <c r="F596" s="533"/>
      <c r="G596" s="533"/>
      <c r="H596" s="533"/>
      <c r="I596" s="533"/>
      <c r="J596" s="533"/>
      <c r="K596" s="533"/>
      <c r="L596" s="533"/>
      <c r="M596" s="131">
        <f>M28+M47+M59+M89+M127+M135+M149+M163+M168+M172+M217+M226+M235+M320+M433+M448+M464+M492</f>
        <v>1166.19</v>
      </c>
      <c r="N596" s="131">
        <f>N592-N593-N594-N595</f>
        <v>747955</v>
      </c>
      <c r="O596" s="131" t="s">
        <v>1162</v>
      </c>
      <c r="P596" s="132">
        <f>P28+P47+P59+P89+P127+P135+P149+P163+P168+P172+P217+P226+P235+P320+P433+P448+P464+P492</f>
        <v>1855118.2200000002</v>
      </c>
      <c r="Q596" s="132" t="s">
        <v>1162</v>
      </c>
      <c r="R596" s="134" t="s">
        <v>1162</v>
      </c>
      <c r="S596" s="2"/>
      <c r="T596" s="2"/>
      <c r="U596" s="2"/>
      <c r="V596" s="2"/>
      <c r="W596" s="2"/>
    </row>
    <row r="597" spans="1:23" s="122" customFormat="1" ht="8.25" customHeight="1">
      <c r="D597" s="135"/>
      <c r="E597" s="136"/>
      <c r="F597" s="136"/>
      <c r="G597" s="136"/>
      <c r="H597" s="136"/>
      <c r="I597" s="136"/>
      <c r="J597" s="137"/>
      <c r="K597" s="137"/>
      <c r="L597" s="137"/>
      <c r="M597" s="137"/>
      <c r="N597" s="137"/>
      <c r="O597" s="138"/>
      <c r="P597" s="139"/>
      <c r="Q597" s="139"/>
      <c r="R597" s="137"/>
    </row>
    <row r="598" spans="1:23" s="122" customFormat="1" ht="15.75" customHeight="1">
      <c r="B598" s="140" t="s">
        <v>1163</v>
      </c>
      <c r="C598" s="141" t="s">
        <v>1164</v>
      </c>
      <c r="D598" s="534" t="s">
        <v>1165</v>
      </c>
      <c r="E598" s="534"/>
      <c r="F598" s="142" t="s">
        <v>1163</v>
      </c>
      <c r="G598" s="143" t="s">
        <v>1164</v>
      </c>
      <c r="H598" s="144"/>
      <c r="I598" s="534" t="s">
        <v>1165</v>
      </c>
      <c r="J598" s="534"/>
      <c r="K598" s="145"/>
      <c r="L598" s="142" t="s">
        <v>1166</v>
      </c>
      <c r="M598" s="142"/>
      <c r="N598" s="146"/>
      <c r="O598" s="535" t="s">
        <v>1167</v>
      </c>
      <c r="P598" s="535"/>
      <c r="Q598" s="535"/>
      <c r="R598" s="137"/>
    </row>
    <row r="599" spans="1:23" s="122" customFormat="1" ht="19.5" customHeight="1">
      <c r="B599" s="147" t="s">
        <v>1168</v>
      </c>
      <c r="C599" s="148" t="s">
        <v>1169</v>
      </c>
      <c r="D599" s="536">
        <f>TRUNC(35%*11%*N596,2)</f>
        <v>28796.26</v>
      </c>
      <c r="E599" s="536"/>
      <c r="F599" s="149" t="s">
        <v>1170</v>
      </c>
      <c r="G599" s="150"/>
      <c r="H599" s="151"/>
      <c r="I599" s="537"/>
      <c r="J599" s="537"/>
      <c r="K599" s="152"/>
      <c r="L599" s="149" t="s">
        <v>1171</v>
      </c>
      <c r="M599" s="150" t="e">
        <f>#REF!</f>
        <v>#REF!</v>
      </c>
      <c r="N599" s="150"/>
      <c r="O599" s="535"/>
      <c r="P599" s="535"/>
      <c r="Q599" s="535"/>
      <c r="R599" s="137"/>
    </row>
    <row r="600" spans="1:23" s="122" customFormat="1" ht="19.5" customHeight="1">
      <c r="B600" s="147" t="s">
        <v>1172</v>
      </c>
      <c r="C600" s="148" t="s">
        <v>1198</v>
      </c>
      <c r="D600" s="536">
        <f>E608</f>
        <v>26178.42</v>
      </c>
      <c r="E600" s="536"/>
      <c r="F600" s="149" t="s">
        <v>1174</v>
      </c>
      <c r="G600" s="150"/>
      <c r="H600" s="151"/>
      <c r="I600" s="537"/>
      <c r="J600" s="537"/>
      <c r="K600" s="152"/>
      <c r="L600" s="149" t="s">
        <v>1175</v>
      </c>
      <c r="M600" s="150" t="e">
        <f>#REF!</f>
        <v>#REF!</v>
      </c>
      <c r="N600" s="150"/>
      <c r="O600" s="538">
        <f>N596-D599-D600-D601-I599-I600-I601-N599-N600-N601</f>
        <v>692980.32</v>
      </c>
      <c r="P600" s="538"/>
      <c r="Q600" s="538"/>
      <c r="R600" s="137"/>
    </row>
    <row r="601" spans="1:23" ht="19.5" customHeight="1">
      <c r="A601" s="122"/>
      <c r="B601" s="153" t="s">
        <v>1176</v>
      </c>
      <c r="C601" s="154">
        <v>0</v>
      </c>
      <c r="D601" s="539"/>
      <c r="E601" s="539"/>
      <c r="F601" s="155" t="s">
        <v>1177</v>
      </c>
      <c r="G601" s="156"/>
      <c r="H601" s="157"/>
      <c r="I601" s="540"/>
      <c r="J601" s="540"/>
      <c r="K601" s="159"/>
      <c r="L601" s="155" t="s">
        <v>1178</v>
      </c>
      <c r="M601" s="158"/>
      <c r="N601" s="158"/>
      <c r="O601" s="538"/>
      <c r="P601" s="538"/>
      <c r="Q601" s="538"/>
      <c r="R601" s="137"/>
      <c r="S601" s="122"/>
      <c r="T601" s="122"/>
      <c r="U601" s="122"/>
      <c r="V601" s="122"/>
      <c r="W601" s="122"/>
    </row>
    <row r="602" spans="1:23">
      <c r="A602" s="122"/>
      <c r="B602" s="122"/>
      <c r="C602" s="122"/>
      <c r="D602" s="135"/>
      <c r="E602" s="136"/>
      <c r="F602" s="136"/>
      <c r="G602" s="136"/>
      <c r="H602" s="136"/>
      <c r="I602" s="136"/>
      <c r="J602" s="137"/>
      <c r="K602" s="137"/>
      <c r="L602" s="137"/>
      <c r="M602" s="137"/>
      <c r="N602" s="137"/>
      <c r="O602" s="137"/>
      <c r="P602" s="139"/>
      <c r="Q602" s="139"/>
      <c r="R602" s="137"/>
      <c r="S602" s="122"/>
      <c r="T602" s="122"/>
      <c r="U602" s="122"/>
      <c r="V602" s="122"/>
      <c r="W602" s="122"/>
    </row>
    <row r="603" spans="1:23">
      <c r="A603" s="122"/>
      <c r="B603" s="122"/>
      <c r="C603" s="122"/>
      <c r="D603" s="135"/>
      <c r="E603" s="136"/>
      <c r="F603" s="136"/>
      <c r="G603" s="136"/>
      <c r="H603" s="136"/>
      <c r="I603" s="136"/>
      <c r="J603" s="137"/>
      <c r="K603" s="137"/>
      <c r="L603" s="137"/>
      <c r="M603" s="137"/>
      <c r="N603" s="137"/>
      <c r="O603" s="137"/>
      <c r="P603" s="139"/>
      <c r="Q603" s="139"/>
      <c r="R603" s="137"/>
      <c r="S603" s="122"/>
      <c r="T603" s="122"/>
      <c r="U603" s="122"/>
      <c r="V603" s="122"/>
      <c r="W603" s="122"/>
    </row>
    <row r="604" spans="1:23" ht="27.75" customHeight="1">
      <c r="A604" s="122"/>
      <c r="B604" s="122"/>
      <c r="C604" s="541" t="s">
        <v>1179</v>
      </c>
      <c r="D604" s="541"/>
      <c r="E604" s="541"/>
      <c r="F604" s="136"/>
      <c r="G604" s="136"/>
      <c r="H604" s="136"/>
      <c r="I604" s="136"/>
      <c r="J604" s="137"/>
      <c r="K604" s="137"/>
      <c r="L604" s="137"/>
      <c r="M604" s="137"/>
      <c r="N604" s="137"/>
      <c r="O604" s="137"/>
      <c r="P604" s="139"/>
      <c r="Q604" s="139"/>
      <c r="R604" s="137"/>
      <c r="S604" s="122"/>
      <c r="T604" s="122"/>
      <c r="U604" s="122"/>
      <c r="V604" s="122"/>
      <c r="W604" s="122"/>
    </row>
    <row r="605" spans="1:23" ht="24.75" customHeight="1">
      <c r="A605" s="122"/>
      <c r="B605" s="122"/>
      <c r="C605" s="542" t="s">
        <v>1180</v>
      </c>
      <c r="D605" s="542"/>
      <c r="E605" s="160">
        <f>N596</f>
        <v>747955</v>
      </c>
      <c r="F605" s="136"/>
      <c r="G605" s="136"/>
      <c r="H605" s="136"/>
      <c r="I605" s="136"/>
      <c r="J605" s="137"/>
      <c r="K605" s="137"/>
      <c r="L605" s="137"/>
      <c r="M605" s="137"/>
      <c r="N605" s="137"/>
      <c r="O605" s="137"/>
      <c r="P605" s="139"/>
      <c r="Q605" s="139"/>
      <c r="R605" s="137"/>
      <c r="S605" s="122"/>
      <c r="T605" s="122"/>
      <c r="U605" s="122"/>
      <c r="V605" s="122"/>
      <c r="W605" s="122"/>
    </row>
    <row r="606" spans="1:23" ht="24.75" customHeight="1">
      <c r="A606" s="122"/>
      <c r="B606" s="122"/>
      <c r="C606" s="543" t="s">
        <v>1183</v>
      </c>
      <c r="D606" s="543"/>
      <c r="E606" s="162">
        <f>0.7*E605</f>
        <v>523568.49999999994</v>
      </c>
      <c r="F606" s="136"/>
      <c r="G606" s="136"/>
      <c r="H606" s="136"/>
      <c r="I606" s="136"/>
      <c r="J606" s="137"/>
      <c r="K606" s="137"/>
      <c r="L606" s="137"/>
      <c r="M606" s="137"/>
      <c r="N606" s="137"/>
      <c r="O606" s="137"/>
      <c r="P606" s="139"/>
      <c r="Q606" s="139"/>
      <c r="R606" s="137"/>
      <c r="S606" s="122"/>
      <c r="T606" s="122"/>
      <c r="U606" s="122"/>
      <c r="V606" s="122"/>
      <c r="W606" s="122"/>
    </row>
    <row r="607" spans="1:23" ht="24.75" customHeight="1">
      <c r="A607" s="122"/>
      <c r="B607" s="122"/>
      <c r="C607" s="543" t="s">
        <v>1184</v>
      </c>
      <c r="D607" s="543"/>
      <c r="E607" s="163">
        <f>E606/E605</f>
        <v>0.7</v>
      </c>
      <c r="F607" s="136"/>
      <c r="G607" s="136"/>
      <c r="H607" s="136"/>
      <c r="I607" s="136"/>
      <c r="J607" s="137"/>
      <c r="K607" s="137"/>
      <c r="L607" s="137"/>
      <c r="M607" s="137"/>
      <c r="N607" s="137"/>
      <c r="O607" s="137"/>
      <c r="P607" s="139"/>
      <c r="Q607" s="139"/>
      <c r="R607" s="137"/>
      <c r="S607" s="122"/>
      <c r="T607" s="122"/>
      <c r="U607" s="122"/>
      <c r="V607" s="122"/>
      <c r="W607" s="122"/>
    </row>
    <row r="608" spans="1:23" ht="24.75" customHeight="1">
      <c r="A608" s="122"/>
      <c r="B608" s="122"/>
      <c r="C608" s="545" t="s">
        <v>1185</v>
      </c>
      <c r="D608" s="545"/>
      <c r="E608" s="164">
        <f>TRUNC(E606*5%,2)</f>
        <v>26178.42</v>
      </c>
      <c r="F608" s="136"/>
      <c r="G608" s="136"/>
      <c r="H608" s="136"/>
      <c r="I608" s="136"/>
      <c r="J608" s="137"/>
      <c r="K608" s="137"/>
      <c r="L608" s="137"/>
      <c r="M608" s="137"/>
      <c r="N608" s="137"/>
      <c r="O608" s="137"/>
      <c r="P608" s="139"/>
      <c r="Q608" s="139"/>
      <c r="R608" s="137"/>
      <c r="S608" s="122"/>
      <c r="T608" s="122"/>
      <c r="U608" s="122"/>
      <c r="V608" s="122"/>
      <c r="W608" s="122"/>
    </row>
    <row r="610" spans="3:20" ht="19.5" customHeight="1">
      <c r="C610" s="546" t="s">
        <v>1186</v>
      </c>
      <c r="D610" s="546"/>
      <c r="E610" s="546"/>
      <c r="F610" s="546"/>
      <c r="G610" s="546"/>
      <c r="J610" s="4"/>
      <c r="N610" s="546" t="s">
        <v>1187</v>
      </c>
      <c r="O610" s="546"/>
      <c r="P610" s="546"/>
      <c r="Q610" s="546"/>
      <c r="R610" s="546"/>
      <c r="S610" s="5"/>
    </row>
    <row r="611" spans="3:20" ht="19.5" customHeight="1">
      <c r="C611" s="548" t="s">
        <v>1188</v>
      </c>
      <c r="D611" s="548"/>
      <c r="E611" s="168">
        <v>45390</v>
      </c>
      <c r="F611" s="166" t="s">
        <v>1189</v>
      </c>
      <c r="G611" s="167">
        <v>157132.10999999999</v>
      </c>
      <c r="J611" s="4"/>
      <c r="K611" s="4"/>
      <c r="N611" s="548" t="s">
        <v>1190</v>
      </c>
      <c r="O611" s="548"/>
      <c r="P611" s="168">
        <v>44973</v>
      </c>
      <c r="Q611" s="169" t="s">
        <v>1162</v>
      </c>
      <c r="R611" s="170"/>
      <c r="S611" s="6"/>
      <c r="T611" s="5"/>
    </row>
    <row r="612" spans="3:20" ht="19.5" customHeight="1">
      <c r="C612" s="549" t="s">
        <v>1191</v>
      </c>
      <c r="D612" s="549"/>
      <c r="E612" s="173">
        <v>45390</v>
      </c>
      <c r="F612" s="171" t="s">
        <v>1189</v>
      </c>
      <c r="G612" s="172">
        <v>12663.81</v>
      </c>
      <c r="J612" s="4"/>
      <c r="K612" s="4"/>
      <c r="N612" s="549" t="s">
        <v>1199</v>
      </c>
      <c r="O612" s="549"/>
      <c r="P612" s="173">
        <v>44973</v>
      </c>
      <c r="Q612" s="171" t="s">
        <v>1162</v>
      </c>
      <c r="R612" s="174">
        <f>SUM(N593:N595)</f>
        <v>354202.95999999996</v>
      </c>
      <c r="S612" s="6"/>
      <c r="T612" s="5"/>
    </row>
    <row r="613" spans="3:20" ht="19.5" customHeight="1">
      <c r="C613" s="549" t="s">
        <v>1200</v>
      </c>
      <c r="D613" s="549"/>
      <c r="E613" s="173">
        <v>45421</v>
      </c>
      <c r="F613" s="171" t="s">
        <v>1189</v>
      </c>
      <c r="G613" s="172">
        <v>60499.5</v>
      </c>
      <c r="J613" s="4"/>
      <c r="K613" s="4"/>
      <c r="N613" s="549" t="s">
        <v>1201</v>
      </c>
      <c r="O613" s="549"/>
      <c r="P613" s="173"/>
      <c r="Q613" s="171"/>
      <c r="R613" s="174"/>
      <c r="S613" s="6"/>
      <c r="T613" s="5"/>
    </row>
    <row r="614" spans="3:20" ht="19.5" customHeight="1">
      <c r="C614" s="549" t="s">
        <v>1202</v>
      </c>
      <c r="D614" s="549"/>
      <c r="E614" s="173">
        <v>45446</v>
      </c>
      <c r="F614" s="171" t="s">
        <v>1203</v>
      </c>
      <c r="G614" s="172">
        <v>60640</v>
      </c>
      <c r="J614" s="4"/>
      <c r="K614" s="4"/>
      <c r="N614" s="549"/>
      <c r="O614" s="549"/>
      <c r="P614" s="173"/>
      <c r="Q614" s="171"/>
      <c r="R614" s="174"/>
      <c r="S614" s="6"/>
      <c r="T614" s="5"/>
    </row>
    <row r="615" spans="3:20" ht="19.5" customHeight="1">
      <c r="C615" s="549" t="s">
        <v>1204</v>
      </c>
      <c r="D615" s="549"/>
      <c r="E615" s="173">
        <v>45446</v>
      </c>
      <c r="F615" s="171" t="s">
        <v>1203</v>
      </c>
      <c r="G615" s="172">
        <v>15160</v>
      </c>
      <c r="J615" s="4"/>
      <c r="K615" s="4"/>
      <c r="N615" s="549"/>
      <c r="O615" s="549"/>
      <c r="P615" s="173"/>
      <c r="Q615" s="171"/>
      <c r="R615" s="174"/>
      <c r="S615" s="6"/>
      <c r="T615" s="5"/>
    </row>
    <row r="616" spans="3:20" ht="19.5" customHeight="1">
      <c r="C616" s="549" t="s">
        <v>1205</v>
      </c>
      <c r="D616" s="549"/>
      <c r="E616" s="173">
        <v>45447</v>
      </c>
      <c r="F616" s="171" t="s">
        <v>1203</v>
      </c>
      <c r="G616" s="172">
        <v>193505</v>
      </c>
      <c r="J616" s="4"/>
      <c r="K616" s="4"/>
      <c r="N616" s="549"/>
      <c r="O616" s="549"/>
      <c r="P616" s="173"/>
      <c r="Q616" s="171"/>
      <c r="R616" s="174"/>
      <c r="S616" s="6"/>
      <c r="T616" s="5"/>
    </row>
    <row r="617" spans="3:20" ht="19.5" customHeight="1">
      <c r="C617" s="549" t="s">
        <v>1206</v>
      </c>
      <c r="D617" s="549"/>
      <c r="E617" s="173">
        <v>45457</v>
      </c>
      <c r="F617" s="171" t="s">
        <v>1189</v>
      </c>
      <c r="G617" s="172">
        <v>101107.04</v>
      </c>
      <c r="J617" s="4"/>
      <c r="K617" s="4"/>
      <c r="N617" s="549"/>
      <c r="O617" s="549"/>
      <c r="P617" s="173"/>
      <c r="Q617" s="171"/>
      <c r="R617" s="174"/>
      <c r="S617" s="6"/>
      <c r="T617" s="5"/>
    </row>
    <row r="618" spans="3:20" ht="19.5" customHeight="1">
      <c r="C618" s="549"/>
      <c r="D618" s="549"/>
      <c r="E618" s="173"/>
      <c r="F618" s="171"/>
      <c r="G618" s="172"/>
      <c r="J618" s="4"/>
      <c r="K618" s="4"/>
      <c r="N618" s="549"/>
      <c r="O618" s="549"/>
      <c r="P618" s="173"/>
      <c r="Q618" s="171"/>
      <c r="R618" s="174"/>
      <c r="S618" s="6"/>
      <c r="T618" s="5"/>
    </row>
    <row r="619" spans="3:20" ht="19.5" customHeight="1">
      <c r="C619" s="549"/>
      <c r="D619" s="549"/>
      <c r="E619" s="173"/>
      <c r="F619" s="171"/>
      <c r="G619" s="172"/>
      <c r="J619" s="4"/>
      <c r="K619" s="4"/>
      <c r="N619" s="549"/>
      <c r="O619" s="549"/>
      <c r="P619" s="173"/>
      <c r="Q619" s="171"/>
      <c r="R619" s="174"/>
      <c r="S619" s="6"/>
      <c r="T619" s="5"/>
    </row>
    <row r="620" spans="3:20" ht="19.5" customHeight="1">
      <c r="C620" s="549"/>
      <c r="D620" s="549"/>
      <c r="E620" s="173"/>
      <c r="F620" s="171"/>
      <c r="G620" s="172"/>
      <c r="J620" s="4"/>
      <c r="K620" s="4"/>
      <c r="N620" s="549"/>
      <c r="O620" s="549"/>
      <c r="P620" s="173"/>
      <c r="Q620" s="171"/>
      <c r="R620" s="174"/>
      <c r="S620" s="6"/>
      <c r="T620" s="5"/>
    </row>
    <row r="621" spans="3:20" ht="19.5" customHeight="1">
      <c r="C621" s="550"/>
      <c r="D621" s="550"/>
      <c r="E621" s="175"/>
      <c r="F621" s="176"/>
      <c r="G621" s="177"/>
      <c r="J621" s="4"/>
      <c r="K621" s="4"/>
      <c r="N621" s="550"/>
      <c r="O621" s="550"/>
      <c r="P621" s="175"/>
      <c r="Q621" s="176"/>
      <c r="R621" s="178"/>
      <c r="S621" s="6"/>
      <c r="T621" s="5"/>
    </row>
    <row r="622" spans="3:20" ht="19.5" customHeight="1">
      <c r="C622" s="179"/>
      <c r="D622" s="180"/>
      <c r="E622" s="180"/>
      <c r="F622" s="180"/>
      <c r="G622" s="181">
        <f>SUM(G611:G621)</f>
        <v>600707.46</v>
      </c>
      <c r="J622" s="4"/>
      <c r="K622" s="4"/>
      <c r="N622" s="179"/>
      <c r="O622" s="180"/>
      <c r="P622" s="180"/>
      <c r="Q622" s="180"/>
      <c r="R622" s="182">
        <f>SUM(R611:R621)</f>
        <v>354202.95999999996</v>
      </c>
      <c r="S622" s="6"/>
      <c r="T622" s="5"/>
    </row>
    <row r="624" spans="3:20">
      <c r="R624" s="183"/>
    </row>
  </sheetData>
  <mergeCells count="108">
    <mergeCell ref="C619:D619"/>
    <mergeCell ref="N619:O619"/>
    <mergeCell ref="C620:D620"/>
    <mergeCell ref="N620:O620"/>
    <mergeCell ref="C621:D621"/>
    <mergeCell ref="N621:O621"/>
    <mergeCell ref="C614:D614"/>
    <mergeCell ref="N614:O614"/>
    <mergeCell ref="C615:D615"/>
    <mergeCell ref="N615:O615"/>
    <mergeCell ref="C616:D616"/>
    <mergeCell ref="N616:O616"/>
    <mergeCell ref="C617:D617"/>
    <mergeCell ref="N617:O617"/>
    <mergeCell ref="C618:D618"/>
    <mergeCell ref="N618:O618"/>
    <mergeCell ref="C608:D608"/>
    <mergeCell ref="C610:G610"/>
    <mergeCell ref="N610:R610"/>
    <mergeCell ref="C611:D611"/>
    <mergeCell ref="N611:O611"/>
    <mergeCell ref="C612:D612"/>
    <mergeCell ref="N612:O612"/>
    <mergeCell ref="C613:D613"/>
    <mergeCell ref="N613:O613"/>
    <mergeCell ref="D600:E600"/>
    <mergeCell ref="I600:J600"/>
    <mergeCell ref="O600:Q601"/>
    <mergeCell ref="D601:E601"/>
    <mergeCell ref="I601:J601"/>
    <mergeCell ref="C604:E604"/>
    <mergeCell ref="C605:D605"/>
    <mergeCell ref="C606:D606"/>
    <mergeCell ref="C607:D607"/>
    <mergeCell ref="B592:L592"/>
    <mergeCell ref="B593:L593"/>
    <mergeCell ref="B594:L594"/>
    <mergeCell ref="B595:L595"/>
    <mergeCell ref="B596:L596"/>
    <mergeCell ref="D598:E598"/>
    <mergeCell ref="I598:J598"/>
    <mergeCell ref="O598:Q599"/>
    <mergeCell ref="D599:E599"/>
    <mergeCell ref="I599:J599"/>
    <mergeCell ref="B22:C22"/>
    <mergeCell ref="D22:J22"/>
    <mergeCell ref="L22:O22"/>
    <mergeCell ref="P22:R22"/>
    <mergeCell ref="B23:R23"/>
    <mergeCell ref="B25:B26"/>
    <mergeCell ref="C25:C26"/>
    <mergeCell ref="D25:D26"/>
    <mergeCell ref="E25:J25"/>
    <mergeCell ref="N25:R25"/>
    <mergeCell ref="B19:C19"/>
    <mergeCell ref="D19:J19"/>
    <mergeCell ref="L19:O19"/>
    <mergeCell ref="P19:R19"/>
    <mergeCell ref="B20:C20"/>
    <mergeCell ref="D20:J20"/>
    <mergeCell ref="L20:O20"/>
    <mergeCell ref="P20:R20"/>
    <mergeCell ref="B21:C21"/>
    <mergeCell ref="D21:J21"/>
    <mergeCell ref="L21:O21"/>
    <mergeCell ref="P21:R21"/>
    <mergeCell ref="B15:C15"/>
    <mergeCell ref="D15:G15"/>
    <mergeCell ref="I15:J15"/>
    <mergeCell ref="L15:N15"/>
    <mergeCell ref="P15:R15"/>
    <mergeCell ref="B16:R16"/>
    <mergeCell ref="B17:R17"/>
    <mergeCell ref="B18:C18"/>
    <mergeCell ref="D18:J18"/>
    <mergeCell ref="L18:O18"/>
    <mergeCell ref="P18:R18"/>
    <mergeCell ref="B13:C13"/>
    <mergeCell ref="D13:J13"/>
    <mergeCell ref="L13:O13"/>
    <mergeCell ref="P13:R13"/>
    <mergeCell ref="B14:C14"/>
    <mergeCell ref="D14:G14"/>
    <mergeCell ref="I14:J14"/>
    <mergeCell ref="L14:N14"/>
    <mergeCell ref="P14:R14"/>
    <mergeCell ref="B10:C10"/>
    <mergeCell ref="D10:J10"/>
    <mergeCell ref="L10:O10"/>
    <mergeCell ref="P10:R10"/>
    <mergeCell ref="B11:C11"/>
    <mergeCell ref="D11:J11"/>
    <mergeCell ref="L11:O11"/>
    <mergeCell ref="P11:R11"/>
    <mergeCell ref="B12:C12"/>
    <mergeCell ref="D12:G12"/>
    <mergeCell ref="I12:J12"/>
    <mergeCell ref="L12:N12"/>
    <mergeCell ref="P12:R12"/>
    <mergeCell ref="B2:R2"/>
    <mergeCell ref="B3:R3"/>
    <mergeCell ref="B4:R4"/>
    <mergeCell ref="B5:R5"/>
    <mergeCell ref="B6:R6"/>
    <mergeCell ref="B7:R7"/>
    <mergeCell ref="B8:R8"/>
    <mergeCell ref="B9:C9"/>
    <mergeCell ref="D9:R9"/>
  </mergeCells>
  <conditionalFormatting sqref="R27:R590">
    <cfRule type="cellIs" dxfId="12" priority="2" operator="lessThan">
      <formula>0</formula>
    </cfRule>
  </conditionalFormatting>
  <printOptions horizontalCentered="1"/>
  <pageMargins left="0.51180555555555596" right="0.51180555555555596" top="0.78749999999999998" bottom="1.1812499999999999" header="0.511811023622047" footer="0.511811023622047"/>
  <pageSetup paperSize="9" scale="36" fitToHeight="26" orientation="portrait" horizontalDpi="300" verticalDpi="300" r:id="rId1"/>
  <colBreaks count="1" manualBreakCount="1">
    <brk id="1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116"/>
  <sheetViews>
    <sheetView view="pageBreakPreview" topLeftCell="A4" zoomScale="75" zoomScaleNormal="80" zoomScalePageLayoutView="75" workbookViewId="0">
      <selection activeCell="O38" sqref="O38"/>
    </sheetView>
  </sheetViews>
  <sheetFormatPr defaultColWidth="8.88671875" defaultRowHeight="14.4"/>
  <cols>
    <col min="1" max="1" width="2.44140625" customWidth="1"/>
    <col min="2" max="2" width="32.88671875" customWidth="1"/>
    <col min="3" max="3" width="13.5546875" customWidth="1"/>
    <col min="4" max="4" width="9.44140625" customWidth="1"/>
    <col min="5" max="5" width="10.109375" customWidth="1"/>
    <col min="6" max="6" width="10.6640625" customWidth="1"/>
    <col min="7" max="8" width="9.44140625" customWidth="1"/>
    <col min="9" max="9" width="14.5546875" customWidth="1"/>
    <col min="10" max="10" width="10.88671875" customWidth="1"/>
    <col min="11" max="11" width="16.88671875" customWidth="1"/>
    <col min="12" max="12" width="25" customWidth="1"/>
    <col min="13" max="13" width="2.5546875" customWidth="1"/>
    <col min="14" max="14" width="6.5546875" customWidth="1"/>
    <col min="18" max="18" width="10.109375" customWidth="1"/>
  </cols>
  <sheetData>
    <row r="1" spans="2:12" ht="6" customHeight="1"/>
    <row r="2" spans="2:12" ht="29.25" customHeight="1">
      <c r="B2" s="551"/>
      <c r="C2" s="551"/>
      <c r="D2" s="551"/>
      <c r="E2" s="551"/>
      <c r="F2" s="551"/>
      <c r="G2" s="551"/>
      <c r="H2" s="551"/>
      <c r="I2" s="551"/>
      <c r="J2" s="551"/>
      <c r="K2" s="551"/>
      <c r="L2" s="551"/>
    </row>
    <row r="3" spans="2:12" ht="29.25" customHeight="1">
      <c r="B3" s="552" t="s">
        <v>4</v>
      </c>
      <c r="C3" s="552"/>
      <c r="D3" s="552"/>
      <c r="E3" s="552"/>
      <c r="F3" s="552"/>
      <c r="G3" s="552"/>
      <c r="H3" s="552"/>
      <c r="I3" s="552"/>
      <c r="J3" s="552"/>
      <c r="K3" s="552"/>
      <c r="L3" s="552"/>
    </row>
    <row r="4" spans="2:12" ht="29.25" customHeight="1">
      <c r="B4" s="553"/>
      <c r="C4" s="553"/>
      <c r="D4" s="553"/>
      <c r="E4" s="553"/>
      <c r="F4" s="553"/>
      <c r="G4" s="553"/>
      <c r="H4" s="553"/>
      <c r="I4" s="553"/>
      <c r="J4" s="553"/>
      <c r="K4" s="553"/>
      <c r="L4" s="553"/>
    </row>
    <row r="5" spans="2:12" ht="6" customHeight="1">
      <c r="B5" s="186"/>
      <c r="C5" s="186"/>
      <c r="D5" s="186"/>
      <c r="E5" s="186"/>
      <c r="F5" s="186"/>
      <c r="G5" s="186"/>
      <c r="H5" s="186"/>
      <c r="I5" s="186"/>
      <c r="J5" s="186"/>
      <c r="K5" s="186"/>
      <c r="L5" s="186"/>
    </row>
    <row r="6" spans="2:12" ht="22.8">
      <c r="B6" s="554" t="s">
        <v>1207</v>
      </c>
      <c r="C6" s="554"/>
      <c r="D6" s="554"/>
      <c r="E6" s="554"/>
      <c r="F6" s="554"/>
      <c r="G6" s="554"/>
      <c r="H6" s="554"/>
      <c r="I6" s="554"/>
      <c r="J6" s="554"/>
      <c r="K6" s="554"/>
      <c r="L6" s="554"/>
    </row>
    <row r="8" spans="2:12" ht="14.25" customHeight="1">
      <c r="B8" s="555" t="s">
        <v>1208</v>
      </c>
      <c r="C8" s="555"/>
      <c r="D8" s="555"/>
      <c r="E8" s="555"/>
      <c r="F8" s="555"/>
      <c r="G8" s="555"/>
      <c r="H8" s="555"/>
      <c r="I8" s="555"/>
      <c r="J8" s="555"/>
      <c r="K8" s="555"/>
      <c r="L8" s="555"/>
    </row>
    <row r="9" spans="2:12">
      <c r="B9" s="187" t="s">
        <v>1209</v>
      </c>
      <c r="C9" s="187"/>
      <c r="D9" s="187" t="s">
        <v>39</v>
      </c>
      <c r="E9" s="187" t="s">
        <v>1210</v>
      </c>
      <c r="F9" s="187" t="s">
        <v>1211</v>
      </c>
      <c r="G9" s="187" t="s">
        <v>1212</v>
      </c>
      <c r="H9" s="187" t="s">
        <v>1213</v>
      </c>
      <c r="I9" s="187" t="s">
        <v>1214</v>
      </c>
      <c r="J9" s="187" t="s">
        <v>1215</v>
      </c>
      <c r="K9" s="187" t="s">
        <v>1216</v>
      </c>
      <c r="L9" s="187" t="s">
        <v>1217</v>
      </c>
    </row>
    <row r="10" spans="2:12">
      <c r="B10" s="188" t="s">
        <v>1218</v>
      </c>
      <c r="C10" s="189" t="s">
        <v>1219</v>
      </c>
      <c r="D10" s="190" t="s">
        <v>1220</v>
      </c>
      <c r="E10" s="191"/>
      <c r="F10" s="192"/>
      <c r="G10" s="192"/>
      <c r="H10" s="191"/>
      <c r="I10" s="193">
        <f>20*0.0206</f>
        <v>0.41200000000000003</v>
      </c>
      <c r="J10" s="194"/>
      <c r="K10" s="195">
        <f>IF(E10*F10*G10&lt;&gt;0,E10*F10*G10,IF(E10*F10&lt;&gt;0,E10*F10,IF(F10*G10&lt;&gt;0,F10*G10,IF(E10*G10&lt;&gt;0,E10*G10,IF(E10&lt;&gt;0,E10,IF(F10&lt;&gt;0,F10,IF(G10&lt;&gt;0,G10,0)))))))*(IF(H10&lt;&gt;0,H10,1))+I10-J10</f>
        <v>0.41200000000000003</v>
      </c>
      <c r="L10" s="196"/>
    </row>
    <row r="11" spans="2:12">
      <c r="B11" s="197"/>
      <c r="C11" s="189"/>
      <c r="D11" s="198"/>
      <c r="E11" s="199"/>
      <c r="F11" s="199"/>
      <c r="G11" s="199"/>
      <c r="H11" s="199"/>
      <c r="I11" s="200"/>
      <c r="J11" s="201"/>
      <c r="K11" s="195">
        <f>IF(E11*F11*G11&lt;&gt;0,E11*F11*G11,IF(E11*F11&lt;&gt;0,E11*F11,IF(F11*G11&lt;&gt;0,F11*G11,IF(E11*G11&lt;&gt;0,E11*G11,IF(E11&lt;&gt;0,E11,IF(F11&lt;&gt;0,F11,IF(G11&lt;&gt;0,G11,0)))))))*(IF(H11&lt;&gt;0,H11,1))+I11-J11</f>
        <v>0</v>
      </c>
      <c r="L11" s="196"/>
    </row>
    <row r="12" spans="2:12">
      <c r="B12" s="202"/>
      <c r="C12" s="203"/>
      <c r="D12" s="203"/>
      <c r="E12" s="203"/>
      <c r="F12" s="203"/>
      <c r="G12" s="203"/>
      <c r="H12" s="204"/>
      <c r="I12" s="556" t="s">
        <v>1221</v>
      </c>
      <c r="J12" s="556"/>
      <c r="K12" s="206">
        <f>SUM(K10:K11)</f>
        <v>0.41200000000000003</v>
      </c>
      <c r="L12" s="207"/>
    </row>
    <row r="13" spans="2:12">
      <c r="B13" s="208"/>
      <c r="C13" s="204"/>
      <c r="D13" s="204"/>
      <c r="E13" s="204"/>
      <c r="F13" s="204"/>
      <c r="G13" s="204"/>
      <c r="H13" s="209"/>
      <c r="I13" s="557" t="s">
        <v>1222</v>
      </c>
      <c r="J13" s="557"/>
      <c r="K13" s="211">
        <v>1</v>
      </c>
      <c r="L13" s="207"/>
    </row>
    <row r="14" spans="2:12">
      <c r="B14" s="208"/>
      <c r="C14" s="204"/>
      <c r="D14" s="204"/>
      <c r="E14" s="204"/>
      <c r="F14" s="204"/>
      <c r="G14" s="204"/>
      <c r="H14" s="558" t="s">
        <v>1223</v>
      </c>
      <c r="I14" s="558"/>
      <c r="J14" s="558"/>
      <c r="K14" s="212">
        <v>0</v>
      </c>
      <c r="L14" s="207"/>
    </row>
    <row r="15" spans="2:12">
      <c r="B15" s="208"/>
      <c r="C15" s="204"/>
      <c r="D15" s="204"/>
      <c r="E15" s="204"/>
      <c r="F15" s="204"/>
      <c r="G15" s="204"/>
      <c r="H15" s="558" t="s">
        <v>1190</v>
      </c>
      <c r="I15" s="558"/>
      <c r="J15" s="558"/>
      <c r="K15" s="212">
        <f>IF(K12&gt;K13,K13,K12)-K14</f>
        <v>0.41200000000000003</v>
      </c>
      <c r="L15" s="207"/>
    </row>
    <row r="16" spans="2:12">
      <c r="B16" s="213"/>
      <c r="C16" s="214"/>
      <c r="D16" s="214"/>
      <c r="E16" s="214"/>
      <c r="F16" s="214"/>
      <c r="G16" s="214"/>
      <c r="H16" s="559" t="s">
        <v>1224</v>
      </c>
      <c r="I16" s="559"/>
      <c r="J16" s="559"/>
      <c r="K16" s="215">
        <f>IF(K12&gt;K13,K12-K13,0)</f>
        <v>0</v>
      </c>
      <c r="L16" s="209"/>
    </row>
    <row r="18" spans="2:12" ht="58.35" customHeight="1">
      <c r="B18" s="555" t="s">
        <v>1225</v>
      </c>
      <c r="C18" s="555"/>
      <c r="D18" s="555"/>
      <c r="E18" s="555"/>
      <c r="F18" s="555"/>
      <c r="G18" s="555"/>
      <c r="H18" s="555"/>
      <c r="I18" s="555"/>
      <c r="J18" s="555"/>
      <c r="K18" s="555"/>
      <c r="L18" s="555"/>
    </row>
    <row r="19" spans="2:12">
      <c r="B19" s="187" t="s">
        <v>1209</v>
      </c>
      <c r="C19" s="187"/>
      <c r="D19" s="187" t="s">
        <v>39</v>
      </c>
      <c r="E19" s="187" t="s">
        <v>1210</v>
      </c>
      <c r="F19" s="187" t="s">
        <v>1211</v>
      </c>
      <c r="G19" s="187" t="s">
        <v>1212</v>
      </c>
      <c r="H19" s="187" t="s">
        <v>1213</v>
      </c>
      <c r="I19" s="187" t="s">
        <v>1214</v>
      </c>
      <c r="J19" s="187" t="s">
        <v>1215</v>
      </c>
      <c r="K19" s="187" t="s">
        <v>1216</v>
      </c>
      <c r="L19" s="187" t="s">
        <v>1217</v>
      </c>
    </row>
    <row r="20" spans="2:12">
      <c r="B20" s="188" t="s">
        <v>1218</v>
      </c>
      <c r="C20" s="189" t="s">
        <v>1219</v>
      </c>
      <c r="D20" s="190" t="s">
        <v>1226</v>
      </c>
      <c r="E20" s="191"/>
      <c r="F20" s="192"/>
      <c r="G20" s="192"/>
      <c r="H20" s="191"/>
      <c r="I20" s="193">
        <v>2.06E-2</v>
      </c>
      <c r="J20" s="194"/>
      <c r="K20" s="195">
        <f>IF(E20*F20*G20&lt;&gt;0,E20*F20*G20,IF(E20*F20&lt;&gt;0,E20*F20,IF(F20*G20&lt;&gt;0,F20*G20,IF(E20*G20&lt;&gt;0,E20*G20,IF(E20&lt;&gt;0,E20,IF(F20&lt;&gt;0,F20,IF(G20&lt;&gt;0,G20,0)))))))*(IF(H20&lt;&gt;0,H20,1))+I20-J20</f>
        <v>2.06E-2</v>
      </c>
      <c r="L20" s="196"/>
    </row>
    <row r="21" spans="2:12">
      <c r="B21" s="197"/>
      <c r="C21" s="189"/>
      <c r="D21" s="198"/>
      <c r="E21" s="199"/>
      <c r="F21" s="199"/>
      <c r="G21" s="199"/>
      <c r="H21" s="199"/>
      <c r="I21" s="200"/>
      <c r="J21" s="201"/>
      <c r="K21" s="195">
        <f>IF(E21*F21*G21&lt;&gt;0,E21*F21*G21,IF(E21*F21&lt;&gt;0,E21*F21,IF(F21*G21&lt;&gt;0,F21*G21,IF(E21*G21&lt;&gt;0,E21*G21,IF(E21&lt;&gt;0,E21,IF(F21&lt;&gt;0,F21,IF(G21&lt;&gt;0,G21,0)))))))*(IF(H21&lt;&gt;0,H21,1))+I21-J21</f>
        <v>0</v>
      </c>
      <c r="L21" s="196"/>
    </row>
    <row r="22" spans="2:12">
      <c r="B22" s="202"/>
      <c r="C22" s="203"/>
      <c r="D22" s="203"/>
      <c r="E22" s="203"/>
      <c r="F22" s="203"/>
      <c r="G22" s="203"/>
      <c r="H22" s="204"/>
      <c r="I22" s="556" t="s">
        <v>1221</v>
      </c>
      <c r="J22" s="556"/>
      <c r="K22" s="206">
        <f>SUM(K20:K21)</f>
        <v>2.06E-2</v>
      </c>
      <c r="L22" s="207"/>
    </row>
    <row r="23" spans="2:12">
      <c r="B23" s="208"/>
      <c r="C23" s="204"/>
      <c r="D23" s="204"/>
      <c r="E23" s="204"/>
      <c r="F23" s="204"/>
      <c r="G23" s="204"/>
      <c r="H23" s="209"/>
      <c r="I23" s="557" t="s">
        <v>1222</v>
      </c>
      <c r="J23" s="557"/>
      <c r="K23" s="211">
        <v>1</v>
      </c>
      <c r="L23" s="207"/>
    </row>
    <row r="24" spans="2:12">
      <c r="B24" s="208"/>
      <c r="C24" s="204"/>
      <c r="D24" s="204"/>
      <c r="E24" s="204"/>
      <c r="F24" s="204"/>
      <c r="G24" s="204"/>
      <c r="H24" s="558" t="s">
        <v>1223</v>
      </c>
      <c r="I24" s="558"/>
      <c r="J24" s="558"/>
      <c r="K24" s="212">
        <v>0</v>
      </c>
      <c r="L24" s="207"/>
    </row>
    <row r="25" spans="2:12">
      <c r="B25" s="208"/>
      <c r="C25" s="204"/>
      <c r="D25" s="204"/>
      <c r="E25" s="204"/>
      <c r="F25" s="204"/>
      <c r="G25" s="204"/>
      <c r="H25" s="558" t="s">
        <v>1190</v>
      </c>
      <c r="I25" s="558"/>
      <c r="J25" s="558"/>
      <c r="K25" s="212">
        <f>IF(K22&gt;K23,K23,K22)-K24</f>
        <v>2.06E-2</v>
      </c>
      <c r="L25" s="207"/>
    </row>
    <row r="26" spans="2:12">
      <c r="B26" s="213"/>
      <c r="C26" s="214"/>
      <c r="D26" s="214"/>
      <c r="E26" s="214"/>
      <c r="F26" s="214"/>
      <c r="G26" s="214"/>
      <c r="H26" s="559" t="s">
        <v>1224</v>
      </c>
      <c r="I26" s="559"/>
      <c r="J26" s="559"/>
      <c r="K26" s="215">
        <f>IF(K22&gt;K23,K22-K23,0)</f>
        <v>0</v>
      </c>
      <c r="L26" s="209"/>
    </row>
    <row r="28" spans="2:12" ht="14.25" customHeight="1">
      <c r="B28" s="555" t="s">
        <v>1227</v>
      </c>
      <c r="C28" s="555"/>
      <c r="D28" s="555"/>
      <c r="E28" s="555"/>
      <c r="F28" s="555"/>
      <c r="G28" s="555"/>
      <c r="H28" s="555"/>
      <c r="I28" s="555"/>
      <c r="J28" s="555"/>
      <c r="K28" s="555"/>
      <c r="L28" s="555"/>
    </row>
    <row r="29" spans="2:12">
      <c r="B29" s="187" t="s">
        <v>1209</v>
      </c>
      <c r="C29" s="187"/>
      <c r="D29" s="187" t="s">
        <v>39</v>
      </c>
      <c r="E29" s="187" t="s">
        <v>1210</v>
      </c>
      <c r="F29" s="187" t="s">
        <v>1211</v>
      </c>
      <c r="G29" s="187" t="s">
        <v>1212</v>
      </c>
      <c r="H29" s="187" t="s">
        <v>1213</v>
      </c>
      <c r="I29" s="187" t="s">
        <v>1214</v>
      </c>
      <c r="J29" s="187" t="s">
        <v>1215</v>
      </c>
      <c r="K29" s="187" t="s">
        <v>1216</v>
      </c>
      <c r="L29" s="187" t="s">
        <v>1217</v>
      </c>
    </row>
    <row r="30" spans="2:12">
      <c r="B30" s="188" t="s">
        <v>1228</v>
      </c>
      <c r="C30" s="189" t="s">
        <v>1219</v>
      </c>
      <c r="D30" s="190" t="s">
        <v>39</v>
      </c>
      <c r="E30" s="191">
        <v>64</v>
      </c>
      <c r="F30" s="192"/>
      <c r="G30" s="192">
        <v>2</v>
      </c>
      <c r="H30" s="191"/>
      <c r="I30" s="191"/>
      <c r="J30" s="216"/>
      <c r="K30" s="217">
        <f>IF(E30*F30*G30&lt;&gt;0,E30*F30*G30,IF(E30*F30&lt;&gt;0,E30*F30,IF(F30*G30&lt;&gt;0,F30*G30,IF(E30*G30&lt;&gt;0,E30*G30,IF(E30&lt;&gt;0,E30,IF(F30&lt;&gt;0,F30,IF(G30&lt;&gt;0,G30,0)))))))*(IF(H30&lt;&gt;0,H30,1))+I30-J30</f>
        <v>128</v>
      </c>
      <c r="L30" s="218"/>
    </row>
    <row r="31" spans="2:12">
      <c r="B31" s="197"/>
      <c r="C31" s="189"/>
      <c r="D31" s="198"/>
      <c r="E31" s="199"/>
      <c r="F31" s="199"/>
      <c r="G31" s="199"/>
      <c r="H31" s="199"/>
      <c r="I31" s="199"/>
      <c r="J31" s="219"/>
      <c r="K31" s="217">
        <f>IF(E31*F31*G31&lt;&gt;0,E31*F31*G31,IF(E31*F31&lt;&gt;0,E31*F31,IF(F31*G31&lt;&gt;0,F31*G31,IF(E31*G31&lt;&gt;0,E31*G31,IF(E31&lt;&gt;0,E31,IF(F31&lt;&gt;0,F31,IF(G31&lt;&gt;0,G31,0)))))))*(IF(H31&lt;&gt;0,H31,1))+I31-J31</f>
        <v>0</v>
      </c>
      <c r="L31" s="218"/>
    </row>
    <row r="32" spans="2:12">
      <c r="B32" s="202"/>
      <c r="C32" s="203"/>
      <c r="D32" s="203"/>
      <c r="E32" s="203"/>
      <c r="F32" s="203"/>
      <c r="G32" s="203"/>
      <c r="H32" s="204"/>
      <c r="I32" s="556" t="s">
        <v>1221</v>
      </c>
      <c r="J32" s="556"/>
      <c r="K32" s="220">
        <f>SUM(K30:K31)</f>
        <v>128</v>
      </c>
      <c r="L32" s="207"/>
    </row>
    <row r="33" spans="2:12">
      <c r="B33" s="208"/>
      <c r="C33" s="204"/>
      <c r="D33" s="204"/>
      <c r="E33" s="204"/>
      <c r="F33" s="204"/>
      <c r="G33" s="204"/>
      <c r="H33" s="209"/>
      <c r="I33" s="557" t="s">
        <v>1222</v>
      </c>
      <c r="J33" s="557"/>
      <c r="K33" s="221">
        <v>128</v>
      </c>
      <c r="L33" s="207"/>
    </row>
    <row r="34" spans="2:12">
      <c r="B34" s="208"/>
      <c r="C34" s="204"/>
      <c r="D34" s="204"/>
      <c r="E34" s="204"/>
      <c r="F34" s="204"/>
      <c r="G34" s="204"/>
      <c r="H34" s="558" t="s">
        <v>1223</v>
      </c>
      <c r="I34" s="558"/>
      <c r="J34" s="558"/>
      <c r="K34" s="222"/>
      <c r="L34" s="207"/>
    </row>
    <row r="35" spans="2:12">
      <c r="B35" s="208"/>
      <c r="C35" s="204"/>
      <c r="D35" s="204"/>
      <c r="E35" s="204"/>
      <c r="F35" s="204"/>
      <c r="G35" s="204"/>
      <c r="H35" s="558" t="s">
        <v>1190</v>
      </c>
      <c r="I35" s="558"/>
      <c r="J35" s="558"/>
      <c r="K35" s="222">
        <f>IF(K32&gt;K33,K33,K32)-K34</f>
        <v>128</v>
      </c>
      <c r="L35" s="207"/>
    </row>
    <row r="36" spans="2:12">
      <c r="B36" s="213"/>
      <c r="C36" s="214"/>
      <c r="D36" s="214"/>
      <c r="E36" s="214"/>
      <c r="F36" s="214"/>
      <c r="G36" s="214"/>
      <c r="H36" s="559" t="s">
        <v>1224</v>
      </c>
      <c r="I36" s="559"/>
      <c r="J36" s="559"/>
      <c r="K36" s="223">
        <f>IF(K32&gt;K33,K32-K33,0)</f>
        <v>0</v>
      </c>
      <c r="L36" s="209"/>
    </row>
    <row r="38" spans="2:12" ht="14.25" customHeight="1">
      <c r="B38" s="555" t="s">
        <v>1229</v>
      </c>
      <c r="C38" s="555"/>
      <c r="D38" s="555"/>
      <c r="E38" s="555"/>
      <c r="F38" s="555"/>
      <c r="G38" s="555"/>
      <c r="H38" s="555"/>
      <c r="I38" s="555"/>
      <c r="J38" s="555"/>
      <c r="K38" s="555"/>
      <c r="L38" s="555"/>
    </row>
    <row r="39" spans="2:12">
      <c r="B39" s="187" t="s">
        <v>1209</v>
      </c>
      <c r="C39" s="187"/>
      <c r="D39" s="187" t="s">
        <v>39</v>
      </c>
      <c r="E39" s="187" t="s">
        <v>1210</v>
      </c>
      <c r="F39" s="187" t="s">
        <v>1211</v>
      </c>
      <c r="G39" s="187" t="s">
        <v>1212</v>
      </c>
      <c r="H39" s="187" t="s">
        <v>1213</v>
      </c>
      <c r="I39" s="187" t="s">
        <v>1214</v>
      </c>
      <c r="J39" s="187" t="s">
        <v>1215</v>
      </c>
      <c r="K39" s="187" t="s">
        <v>1216</v>
      </c>
      <c r="L39" s="187" t="s">
        <v>1217</v>
      </c>
    </row>
    <row r="40" spans="2:12">
      <c r="B40" s="188" t="s">
        <v>1228</v>
      </c>
      <c r="C40" s="189" t="s">
        <v>1219</v>
      </c>
      <c r="D40" s="190" t="s">
        <v>79</v>
      </c>
      <c r="E40" s="191">
        <f>30/4</f>
        <v>7.5</v>
      </c>
      <c r="F40" s="192">
        <v>4</v>
      </c>
      <c r="G40" s="192"/>
      <c r="H40" s="191"/>
      <c r="I40" s="191"/>
      <c r="J40" s="216"/>
      <c r="K40" s="217">
        <f>IF(E40*F40*G40&lt;&gt;0,E40*F40*G40,IF(E40*F40&lt;&gt;0,E40*F40,IF(F40*G40&lt;&gt;0,F40*G40,IF(E40*G40&lt;&gt;0,E40*G40,IF(E40&lt;&gt;0,E40,IF(F40&lt;&gt;0,F40,IF(G40&lt;&gt;0,G40,0)))))))*(IF(H40&lt;&gt;0,H40,1))+I40-J40</f>
        <v>30</v>
      </c>
      <c r="L40" s="218"/>
    </row>
    <row r="41" spans="2:12">
      <c r="B41" s="197"/>
      <c r="C41" s="189"/>
      <c r="D41" s="198"/>
      <c r="E41" s="199"/>
      <c r="F41" s="199"/>
      <c r="G41" s="199"/>
      <c r="H41" s="199"/>
      <c r="I41" s="199"/>
      <c r="J41" s="219"/>
      <c r="K41" s="217">
        <f>IF(E41*F41*G41&lt;&gt;0,E41*F41*G41,IF(E41*F41&lt;&gt;0,E41*F41,IF(F41*G41&lt;&gt;0,F41*G41,IF(E41*G41&lt;&gt;0,E41*G41,IF(E41&lt;&gt;0,E41,IF(F41&lt;&gt;0,F41,IF(G41&lt;&gt;0,G41,0)))))))*(IF(H41&lt;&gt;0,H41,1))+I41-J41</f>
        <v>0</v>
      </c>
      <c r="L41" s="218"/>
    </row>
    <row r="42" spans="2:12">
      <c r="B42" s="202"/>
      <c r="C42" s="203"/>
      <c r="D42" s="203"/>
      <c r="E42" s="203"/>
      <c r="F42" s="203"/>
      <c r="G42" s="203"/>
      <c r="H42" s="204"/>
      <c r="I42" s="556" t="s">
        <v>1221</v>
      </c>
      <c r="J42" s="556"/>
      <c r="K42" s="220">
        <f>SUM(K40:K41)</f>
        <v>30</v>
      </c>
      <c r="L42" s="207"/>
    </row>
    <row r="43" spans="2:12">
      <c r="B43" s="208"/>
      <c r="C43" s="204"/>
      <c r="D43" s="204"/>
      <c r="E43" s="204"/>
      <c r="F43" s="204"/>
      <c r="G43" s="204"/>
      <c r="H43" s="209"/>
      <c r="I43" s="557" t="s">
        <v>1222</v>
      </c>
      <c r="J43" s="557"/>
      <c r="K43" s="221">
        <v>40</v>
      </c>
      <c r="L43" s="207"/>
    </row>
    <row r="44" spans="2:12">
      <c r="B44" s="208"/>
      <c r="C44" s="204"/>
      <c r="D44" s="204"/>
      <c r="E44" s="204"/>
      <c r="F44" s="204"/>
      <c r="G44" s="204"/>
      <c r="H44" s="558" t="s">
        <v>1223</v>
      </c>
      <c r="I44" s="558"/>
      <c r="J44" s="558"/>
      <c r="K44" s="222"/>
      <c r="L44" s="207"/>
    </row>
    <row r="45" spans="2:12">
      <c r="B45" s="208"/>
      <c r="C45" s="204"/>
      <c r="D45" s="204"/>
      <c r="E45" s="204"/>
      <c r="F45" s="204"/>
      <c r="G45" s="204"/>
      <c r="H45" s="558" t="s">
        <v>1190</v>
      </c>
      <c r="I45" s="558"/>
      <c r="J45" s="558"/>
      <c r="K45" s="222">
        <f>IF(K42&gt;K43,K43,K42)-K44</f>
        <v>30</v>
      </c>
      <c r="L45" s="207"/>
    </row>
    <row r="46" spans="2:12">
      <c r="B46" s="213"/>
      <c r="C46" s="214"/>
      <c r="D46" s="214"/>
      <c r="E46" s="214"/>
      <c r="F46" s="214"/>
      <c r="G46" s="214"/>
      <c r="H46" s="559" t="s">
        <v>1224</v>
      </c>
      <c r="I46" s="559"/>
      <c r="J46" s="559"/>
      <c r="K46" s="223">
        <f>IF(K42&gt;K43,K42-K43,0)</f>
        <v>0</v>
      </c>
      <c r="L46" s="209"/>
    </row>
    <row r="48" spans="2:12" ht="14.25" customHeight="1">
      <c r="B48" s="555" t="s">
        <v>1230</v>
      </c>
      <c r="C48" s="555"/>
      <c r="D48" s="555"/>
      <c r="E48" s="555"/>
      <c r="F48" s="555"/>
      <c r="G48" s="555"/>
      <c r="H48" s="555"/>
      <c r="I48" s="555"/>
      <c r="J48" s="555"/>
      <c r="K48" s="555"/>
      <c r="L48" s="555"/>
    </row>
    <row r="49" spans="2:12">
      <c r="B49" s="187" t="s">
        <v>1209</v>
      </c>
      <c r="C49" s="187"/>
      <c r="D49" s="187" t="s">
        <v>39</v>
      </c>
      <c r="E49" s="187" t="s">
        <v>1210</v>
      </c>
      <c r="F49" s="187" t="s">
        <v>1211</v>
      </c>
      <c r="G49" s="187" t="s">
        <v>1212</v>
      </c>
      <c r="H49" s="187" t="s">
        <v>1213</v>
      </c>
      <c r="I49" s="187" t="s">
        <v>1214</v>
      </c>
      <c r="J49" s="187" t="s">
        <v>1215</v>
      </c>
      <c r="K49" s="187" t="s">
        <v>1216</v>
      </c>
      <c r="L49" s="187" t="s">
        <v>1217</v>
      </c>
    </row>
    <row r="50" spans="2:12">
      <c r="B50" s="188" t="s">
        <v>1228</v>
      </c>
      <c r="C50" s="189" t="s">
        <v>1219</v>
      </c>
      <c r="D50" s="190" t="s">
        <v>39</v>
      </c>
      <c r="E50" s="191">
        <f>48/4</f>
        <v>12</v>
      </c>
      <c r="F50" s="192">
        <v>4</v>
      </c>
      <c r="G50" s="192"/>
      <c r="H50" s="191"/>
      <c r="I50" s="191"/>
      <c r="J50" s="216"/>
      <c r="K50" s="217">
        <f>IF(E50*F50*G50&lt;&gt;0,E50*F50*G50,IF(E50*F50&lt;&gt;0,E50*F50,IF(F50*G50&lt;&gt;0,F50*G50,IF(E50*G50&lt;&gt;0,E50*G50,IF(E50&lt;&gt;0,E50,IF(F50&lt;&gt;0,F50,IF(G50&lt;&gt;0,G50,0)))))))*(IF(H50&lt;&gt;0,H50,1))+I50-J50</f>
        <v>48</v>
      </c>
      <c r="L50" s="218"/>
    </row>
    <row r="51" spans="2:12">
      <c r="B51" s="197"/>
      <c r="C51" s="189"/>
      <c r="D51" s="198"/>
      <c r="E51" s="199"/>
      <c r="F51" s="199"/>
      <c r="G51" s="199"/>
      <c r="H51" s="199"/>
      <c r="I51" s="199"/>
      <c r="J51" s="219"/>
      <c r="K51" s="217">
        <f>IF(E51*F51*G51&lt;&gt;0,E51*F51*G51,IF(E51*F51&lt;&gt;0,E51*F51,IF(F51*G51&lt;&gt;0,F51*G51,IF(E51*G51&lt;&gt;0,E51*G51,IF(E51&lt;&gt;0,E51,IF(F51&lt;&gt;0,F51,IF(G51&lt;&gt;0,G51,0)))))))*(IF(H51&lt;&gt;0,H51,1))+I51-J51</f>
        <v>0</v>
      </c>
      <c r="L51" s="218"/>
    </row>
    <row r="52" spans="2:12">
      <c r="B52" s="202"/>
      <c r="C52" s="203"/>
      <c r="D52" s="203"/>
      <c r="E52" s="203"/>
      <c r="F52" s="203"/>
      <c r="G52" s="203"/>
      <c r="H52" s="204"/>
      <c r="I52" s="556" t="s">
        <v>1221</v>
      </c>
      <c r="J52" s="556"/>
      <c r="K52" s="220">
        <f>SUM(K50:K51)</f>
        <v>48</v>
      </c>
      <c r="L52" s="207"/>
    </row>
    <row r="53" spans="2:12">
      <c r="B53" s="208"/>
      <c r="C53" s="204"/>
      <c r="D53" s="204"/>
      <c r="E53" s="204"/>
      <c r="F53" s="204"/>
      <c r="G53" s="204"/>
      <c r="H53" s="209"/>
      <c r="I53" s="557" t="s">
        <v>1222</v>
      </c>
      <c r="J53" s="557"/>
      <c r="K53" s="221">
        <v>68</v>
      </c>
      <c r="L53" s="207"/>
    </row>
    <row r="54" spans="2:12">
      <c r="B54" s="208"/>
      <c r="C54" s="204"/>
      <c r="D54" s="204"/>
      <c r="E54" s="204"/>
      <c r="F54" s="204"/>
      <c r="G54" s="204"/>
      <c r="H54" s="558" t="s">
        <v>1223</v>
      </c>
      <c r="I54" s="558"/>
      <c r="J54" s="558"/>
      <c r="K54" s="222"/>
      <c r="L54" s="207"/>
    </row>
    <row r="55" spans="2:12">
      <c r="B55" s="208"/>
      <c r="C55" s="204"/>
      <c r="D55" s="204"/>
      <c r="E55" s="204"/>
      <c r="F55" s="204"/>
      <c r="G55" s="204"/>
      <c r="H55" s="558" t="s">
        <v>1190</v>
      </c>
      <c r="I55" s="558"/>
      <c r="J55" s="558"/>
      <c r="K55" s="222">
        <f>IF(K52&gt;K53,K53,K52)-K54</f>
        <v>48</v>
      </c>
      <c r="L55" s="207"/>
    </row>
    <row r="56" spans="2:12">
      <c r="B56" s="213"/>
      <c r="C56" s="214"/>
      <c r="D56" s="214"/>
      <c r="E56" s="214"/>
      <c r="F56" s="214"/>
      <c r="G56" s="214"/>
      <c r="H56" s="559" t="s">
        <v>1224</v>
      </c>
      <c r="I56" s="559"/>
      <c r="J56" s="559"/>
      <c r="K56" s="223">
        <f>IF(K52&gt;K53,K52-K53,0)</f>
        <v>0</v>
      </c>
      <c r="L56" s="209"/>
    </row>
    <row r="58" spans="2:12" ht="14.25" customHeight="1">
      <c r="B58" s="555" t="s">
        <v>1231</v>
      </c>
      <c r="C58" s="555"/>
      <c r="D58" s="555"/>
      <c r="E58" s="555"/>
      <c r="F58" s="555"/>
      <c r="G58" s="555"/>
      <c r="H58" s="555"/>
      <c r="I58" s="555"/>
      <c r="J58" s="555"/>
      <c r="K58" s="555"/>
      <c r="L58" s="555"/>
    </row>
    <row r="59" spans="2:12">
      <c r="B59" s="187" t="s">
        <v>1209</v>
      </c>
      <c r="C59" s="187"/>
      <c r="D59" s="187" t="s">
        <v>39</v>
      </c>
      <c r="E59" s="187" t="s">
        <v>1210</v>
      </c>
      <c r="F59" s="187" t="s">
        <v>1211</v>
      </c>
      <c r="G59" s="187" t="s">
        <v>1212</v>
      </c>
      <c r="H59" s="187" t="s">
        <v>1213</v>
      </c>
      <c r="I59" s="187" t="s">
        <v>1214</v>
      </c>
      <c r="J59" s="187" t="s">
        <v>1215</v>
      </c>
      <c r="K59" s="187" t="s">
        <v>1216</v>
      </c>
      <c r="L59" s="187" t="s">
        <v>1217</v>
      </c>
    </row>
    <row r="60" spans="2:12">
      <c r="B60" s="188" t="s">
        <v>1228</v>
      </c>
      <c r="C60" s="189" t="s">
        <v>1219</v>
      </c>
      <c r="D60" s="190" t="s">
        <v>39</v>
      </c>
      <c r="E60" s="191">
        <v>15</v>
      </c>
      <c r="F60" s="192">
        <v>4</v>
      </c>
      <c r="G60" s="192"/>
      <c r="H60" s="191"/>
      <c r="I60" s="191"/>
      <c r="J60" s="216"/>
      <c r="K60" s="217">
        <f>IF(E60*F60*G60&lt;&gt;0,E60*F60*G60,IF(E60*F60&lt;&gt;0,E60*F60,IF(F60*G60&lt;&gt;0,F60*G60,IF(E60*G60&lt;&gt;0,E60*G60,IF(E60&lt;&gt;0,E60,IF(F60&lt;&gt;0,F60,IF(G60&lt;&gt;0,G60,0)))))))*(IF(H60&lt;&gt;0,H60,1))+I60-J60</f>
        <v>60</v>
      </c>
      <c r="L60" s="218"/>
    </row>
    <row r="61" spans="2:12">
      <c r="B61" s="197"/>
      <c r="C61" s="189"/>
      <c r="D61" s="198"/>
      <c r="E61" s="199"/>
      <c r="F61" s="199"/>
      <c r="G61" s="199"/>
      <c r="H61" s="199"/>
      <c r="I61" s="199"/>
      <c r="J61" s="219"/>
      <c r="K61" s="217">
        <f>IF(E61*F61*G61&lt;&gt;0,E61*F61*G61,IF(E61*F61&lt;&gt;0,E61*F61,IF(F61*G61&lt;&gt;0,F61*G61,IF(E61*G61&lt;&gt;0,E61*G61,IF(E61&lt;&gt;0,E61,IF(F61&lt;&gt;0,F61,IF(G61&lt;&gt;0,G61,0)))))))*(IF(H61&lt;&gt;0,H61,1))+I61-J61</f>
        <v>0</v>
      </c>
      <c r="L61" s="218"/>
    </row>
    <row r="62" spans="2:12">
      <c r="B62" s="202"/>
      <c r="C62" s="203"/>
      <c r="D62" s="203"/>
      <c r="E62" s="203"/>
      <c r="F62" s="203"/>
      <c r="G62" s="203"/>
      <c r="H62" s="204"/>
      <c r="I62" s="556" t="s">
        <v>1221</v>
      </c>
      <c r="J62" s="556"/>
      <c r="K62" s="220">
        <f>SUM(K60:K61)</f>
        <v>60</v>
      </c>
      <c r="L62" s="207"/>
    </row>
    <row r="63" spans="2:12">
      <c r="B63" s="208"/>
      <c r="C63" s="204"/>
      <c r="D63" s="204"/>
      <c r="E63" s="204"/>
      <c r="F63" s="204"/>
      <c r="G63" s="204"/>
      <c r="H63" s="209"/>
      <c r="I63" s="557" t="s">
        <v>1222</v>
      </c>
      <c r="J63" s="557"/>
      <c r="K63" s="221">
        <v>60</v>
      </c>
      <c r="L63" s="207"/>
    </row>
    <row r="64" spans="2:12">
      <c r="B64" s="208"/>
      <c r="C64" s="204"/>
      <c r="D64" s="204"/>
      <c r="E64" s="204"/>
      <c r="F64" s="204"/>
      <c r="G64" s="204"/>
      <c r="H64" s="558" t="s">
        <v>1223</v>
      </c>
      <c r="I64" s="558"/>
      <c r="J64" s="558"/>
      <c r="K64" s="222"/>
      <c r="L64" s="207"/>
    </row>
    <row r="65" spans="2:12">
      <c r="B65" s="208"/>
      <c r="C65" s="204"/>
      <c r="D65" s="204"/>
      <c r="E65" s="204"/>
      <c r="F65" s="204"/>
      <c r="G65" s="204"/>
      <c r="H65" s="558" t="s">
        <v>1190</v>
      </c>
      <c r="I65" s="558"/>
      <c r="J65" s="558"/>
      <c r="K65" s="222">
        <f>IF(K62&gt;K63,K63,K62)-K64</f>
        <v>60</v>
      </c>
      <c r="L65" s="207"/>
    </row>
    <row r="66" spans="2:12">
      <c r="B66" s="213"/>
      <c r="C66" s="214"/>
      <c r="D66" s="214"/>
      <c r="E66" s="214"/>
      <c r="F66" s="214"/>
      <c r="G66" s="214"/>
      <c r="H66" s="559" t="s">
        <v>1224</v>
      </c>
      <c r="I66" s="559"/>
      <c r="J66" s="559"/>
      <c r="K66" s="223">
        <f>IF(K62&gt;K63,K62-K63,0)</f>
        <v>0</v>
      </c>
      <c r="L66" s="209"/>
    </row>
    <row r="68" spans="2:12" ht="14.25" customHeight="1">
      <c r="B68" s="555" t="s">
        <v>1232</v>
      </c>
      <c r="C68" s="555"/>
      <c r="D68" s="555"/>
      <c r="E68" s="555"/>
      <c r="F68" s="555"/>
      <c r="G68" s="555"/>
      <c r="H68" s="555"/>
      <c r="I68" s="555"/>
      <c r="J68" s="555"/>
      <c r="K68" s="555"/>
      <c r="L68" s="555"/>
    </row>
    <row r="69" spans="2:12">
      <c r="B69" s="187" t="s">
        <v>1209</v>
      </c>
      <c r="C69" s="187"/>
      <c r="D69" s="187" t="s">
        <v>39</v>
      </c>
      <c r="E69" s="187" t="s">
        <v>1210</v>
      </c>
      <c r="F69" s="187" t="s">
        <v>1211</v>
      </c>
      <c r="G69" s="187" t="s">
        <v>1212</v>
      </c>
      <c r="H69" s="187" t="s">
        <v>1213</v>
      </c>
      <c r="I69" s="187" t="s">
        <v>1214</v>
      </c>
      <c r="J69" s="187" t="s">
        <v>1215</v>
      </c>
      <c r="K69" s="187" t="s">
        <v>1216</v>
      </c>
      <c r="L69" s="187" t="s">
        <v>1217</v>
      </c>
    </row>
    <row r="70" spans="2:12">
      <c r="B70" s="188" t="s">
        <v>1228</v>
      </c>
      <c r="C70" s="189" t="s">
        <v>1219</v>
      </c>
      <c r="D70" s="190" t="s">
        <v>39</v>
      </c>
      <c r="E70" s="191">
        <v>5</v>
      </c>
      <c r="F70" s="192">
        <v>4</v>
      </c>
      <c r="G70" s="192"/>
      <c r="H70" s="191"/>
      <c r="I70" s="191"/>
      <c r="J70" s="216"/>
      <c r="K70" s="217">
        <f>IF(E70*F70*G70&lt;&gt;0,E70*F70*G70,IF(E70*F70&lt;&gt;0,E70*F70,IF(F70*G70&lt;&gt;0,F70*G70,IF(E70*G70&lt;&gt;0,E70*G70,IF(E70&lt;&gt;0,E70,IF(F70&lt;&gt;0,F70,IF(G70&lt;&gt;0,G70,0)))))))*(IF(H70&lt;&gt;0,H70,1))+I70-J70</f>
        <v>20</v>
      </c>
      <c r="L70" s="218"/>
    </row>
    <row r="71" spans="2:12">
      <c r="B71" s="197"/>
      <c r="C71" s="189"/>
      <c r="D71" s="198"/>
      <c r="E71" s="199"/>
      <c r="F71" s="199"/>
      <c r="G71" s="199"/>
      <c r="H71" s="199"/>
      <c r="I71" s="199"/>
      <c r="J71" s="219"/>
      <c r="K71" s="217">
        <f>IF(E71*F71*G71&lt;&gt;0,E71*F71*G71,IF(E71*F71&lt;&gt;0,E71*F71,IF(F71*G71&lt;&gt;0,F71*G71,IF(E71*G71&lt;&gt;0,E71*G71,IF(E71&lt;&gt;0,E71,IF(F71&lt;&gt;0,F71,IF(G71&lt;&gt;0,G71,0)))))))*(IF(H71&lt;&gt;0,H71,1))+I71-J71</f>
        <v>0</v>
      </c>
      <c r="L71" s="218"/>
    </row>
    <row r="72" spans="2:12">
      <c r="B72" s="202"/>
      <c r="C72" s="203"/>
      <c r="D72" s="203"/>
      <c r="E72" s="203"/>
      <c r="F72" s="203"/>
      <c r="G72" s="203"/>
      <c r="H72" s="204"/>
      <c r="I72" s="556" t="s">
        <v>1221</v>
      </c>
      <c r="J72" s="556"/>
      <c r="K72" s="220">
        <f>SUM(K70:K71)</f>
        <v>20</v>
      </c>
      <c r="L72" s="207"/>
    </row>
    <row r="73" spans="2:12">
      <c r="B73" s="208"/>
      <c r="C73" s="204"/>
      <c r="D73" s="204"/>
      <c r="E73" s="204"/>
      <c r="F73" s="204"/>
      <c r="G73" s="204"/>
      <c r="H73" s="209"/>
      <c r="I73" s="557" t="s">
        <v>1222</v>
      </c>
      <c r="J73" s="557"/>
      <c r="K73" s="221">
        <v>60</v>
      </c>
      <c r="L73" s="207"/>
    </row>
    <row r="74" spans="2:12">
      <c r="B74" s="208"/>
      <c r="C74" s="204"/>
      <c r="D74" s="204"/>
      <c r="E74" s="204"/>
      <c r="F74" s="204"/>
      <c r="G74" s="204"/>
      <c r="H74" s="558" t="s">
        <v>1223</v>
      </c>
      <c r="I74" s="558"/>
      <c r="J74" s="558"/>
      <c r="K74" s="222"/>
      <c r="L74" s="207"/>
    </row>
    <row r="75" spans="2:12">
      <c r="B75" s="208"/>
      <c r="C75" s="204"/>
      <c r="D75" s="204"/>
      <c r="E75" s="204"/>
      <c r="F75" s="204"/>
      <c r="G75" s="204"/>
      <c r="H75" s="558" t="s">
        <v>1190</v>
      </c>
      <c r="I75" s="558"/>
      <c r="J75" s="558"/>
      <c r="K75" s="222">
        <f>IF(K72&gt;K73,K73,K72)-K74</f>
        <v>20</v>
      </c>
      <c r="L75" s="207"/>
    </row>
    <row r="76" spans="2:12">
      <c r="B76" s="213"/>
      <c r="C76" s="214"/>
      <c r="D76" s="214"/>
      <c r="E76" s="214"/>
      <c r="F76" s="214"/>
      <c r="G76" s="214"/>
      <c r="H76" s="559" t="s">
        <v>1224</v>
      </c>
      <c r="I76" s="559"/>
      <c r="J76" s="559"/>
      <c r="K76" s="223">
        <f>IF(K72&gt;K73,K72-K73,0)</f>
        <v>0</v>
      </c>
      <c r="L76" s="209"/>
    </row>
    <row r="78" spans="2:12" ht="14.25" customHeight="1">
      <c r="B78" s="555" t="s">
        <v>1233</v>
      </c>
      <c r="C78" s="555"/>
      <c r="D78" s="555"/>
      <c r="E78" s="555"/>
      <c r="F78" s="555"/>
      <c r="G78" s="555"/>
      <c r="H78" s="555"/>
      <c r="I78" s="555"/>
      <c r="J78" s="555"/>
      <c r="K78" s="555"/>
      <c r="L78" s="555"/>
    </row>
    <row r="79" spans="2:12">
      <c r="B79" s="187" t="s">
        <v>1209</v>
      </c>
      <c r="C79" s="187"/>
      <c r="D79" s="187" t="s">
        <v>39</v>
      </c>
      <c r="E79" s="187" t="s">
        <v>1210</v>
      </c>
      <c r="F79" s="187" t="s">
        <v>1211</v>
      </c>
      <c r="G79" s="187" t="s">
        <v>1212</v>
      </c>
      <c r="H79" s="187" t="s">
        <v>1213</v>
      </c>
      <c r="I79" s="187" t="s">
        <v>1214</v>
      </c>
      <c r="J79" s="187" t="s">
        <v>1215</v>
      </c>
      <c r="K79" s="187" t="s">
        <v>1216</v>
      </c>
      <c r="L79" s="187" t="s">
        <v>1217</v>
      </c>
    </row>
    <row r="80" spans="2:12">
      <c r="B80" s="188" t="s">
        <v>1228</v>
      </c>
      <c r="C80" s="189" t="s">
        <v>1219</v>
      </c>
      <c r="D80" s="190" t="s">
        <v>39</v>
      </c>
      <c r="E80" s="191">
        <v>5</v>
      </c>
      <c r="F80" s="192">
        <v>4</v>
      </c>
      <c r="G80" s="192"/>
      <c r="H80" s="191"/>
      <c r="I80" s="191"/>
      <c r="J80" s="216"/>
      <c r="K80" s="217">
        <f>IF(E80*F80*G80&lt;&gt;0,E80*F80*G80,IF(E80*F80&lt;&gt;0,E80*F80,IF(F80*G80&lt;&gt;0,F80*G80,IF(E80*G80&lt;&gt;0,E80*G80,IF(E80&lt;&gt;0,E80,IF(F80&lt;&gt;0,F80,IF(G80&lt;&gt;0,G80,0)))))))*(IF(H80&lt;&gt;0,H80,1))+I80-J80</f>
        <v>20</v>
      </c>
      <c r="L80" s="218"/>
    </row>
    <row r="81" spans="2:12">
      <c r="B81" s="197"/>
      <c r="C81" s="189"/>
      <c r="D81" s="198"/>
      <c r="E81" s="199"/>
      <c r="F81" s="199"/>
      <c r="G81" s="199"/>
      <c r="H81" s="199"/>
      <c r="I81" s="199"/>
      <c r="J81" s="219"/>
      <c r="K81" s="217">
        <f>IF(E81*F81*G81&lt;&gt;0,E81*F81*G81,IF(E81*F81&lt;&gt;0,E81*F81,IF(F81*G81&lt;&gt;0,F81*G81,IF(E81*G81&lt;&gt;0,E81*G81,IF(E81&lt;&gt;0,E81,IF(F81&lt;&gt;0,F81,IF(G81&lt;&gt;0,G81,0)))))))*(IF(H81&lt;&gt;0,H81,1))+I81-J81</f>
        <v>0</v>
      </c>
      <c r="L81" s="218"/>
    </row>
    <row r="82" spans="2:12">
      <c r="B82" s="202"/>
      <c r="C82" s="203"/>
      <c r="D82" s="203"/>
      <c r="E82" s="203"/>
      <c r="F82" s="203"/>
      <c r="G82" s="203"/>
      <c r="H82" s="204"/>
      <c r="I82" s="556" t="s">
        <v>1221</v>
      </c>
      <c r="J82" s="556"/>
      <c r="K82" s="220">
        <f>SUM(K80:K81)</f>
        <v>20</v>
      </c>
      <c r="L82" s="207"/>
    </row>
    <row r="83" spans="2:12">
      <c r="B83" s="208"/>
      <c r="C83" s="204"/>
      <c r="D83" s="204"/>
      <c r="E83" s="204"/>
      <c r="F83" s="204"/>
      <c r="G83" s="204"/>
      <c r="H83" s="209"/>
      <c r="I83" s="557" t="s">
        <v>1222</v>
      </c>
      <c r="J83" s="557"/>
      <c r="K83" s="221">
        <v>50</v>
      </c>
      <c r="L83" s="207"/>
    </row>
    <row r="84" spans="2:12">
      <c r="B84" s="208"/>
      <c r="C84" s="204"/>
      <c r="D84" s="204"/>
      <c r="E84" s="204"/>
      <c r="F84" s="204"/>
      <c r="G84" s="204"/>
      <c r="H84" s="558" t="s">
        <v>1223</v>
      </c>
      <c r="I84" s="558"/>
      <c r="J84" s="558"/>
      <c r="K84" s="222"/>
      <c r="L84" s="207"/>
    </row>
    <row r="85" spans="2:12">
      <c r="B85" s="208"/>
      <c r="C85" s="204"/>
      <c r="D85" s="204"/>
      <c r="E85" s="204"/>
      <c r="F85" s="204"/>
      <c r="G85" s="204"/>
      <c r="H85" s="558" t="s">
        <v>1190</v>
      </c>
      <c r="I85" s="558"/>
      <c r="J85" s="558"/>
      <c r="K85" s="222">
        <f>IF(K82&gt;K83,K83,K82)-K84</f>
        <v>20</v>
      </c>
      <c r="L85" s="207"/>
    </row>
    <row r="86" spans="2:12">
      <c r="B86" s="213"/>
      <c r="C86" s="214"/>
      <c r="D86" s="214"/>
      <c r="E86" s="214"/>
      <c r="F86" s="214"/>
      <c r="G86" s="214"/>
      <c r="H86" s="559" t="s">
        <v>1224</v>
      </c>
      <c r="I86" s="559"/>
      <c r="J86" s="559"/>
      <c r="K86" s="223">
        <f>IF(K82&gt;K83,K82-K83,0)</f>
        <v>0</v>
      </c>
      <c r="L86" s="209"/>
    </row>
    <row r="88" spans="2:12" ht="14.25" customHeight="1">
      <c r="B88" s="555" t="s">
        <v>1234</v>
      </c>
      <c r="C88" s="555"/>
      <c r="D88" s="555"/>
      <c r="E88" s="555"/>
      <c r="F88" s="555"/>
      <c r="G88" s="555"/>
      <c r="H88" s="555"/>
      <c r="I88" s="555"/>
      <c r="J88" s="555"/>
      <c r="K88" s="555"/>
      <c r="L88" s="555"/>
    </row>
    <row r="89" spans="2:12">
      <c r="B89" s="187" t="s">
        <v>1209</v>
      </c>
      <c r="C89" s="187"/>
      <c r="D89" s="187" t="s">
        <v>39</v>
      </c>
      <c r="E89" s="187" t="s">
        <v>1210</v>
      </c>
      <c r="F89" s="187" t="s">
        <v>1211</v>
      </c>
      <c r="G89" s="187" t="s">
        <v>1212</v>
      </c>
      <c r="H89" s="187" t="s">
        <v>1213</v>
      </c>
      <c r="I89" s="187" t="s">
        <v>1214</v>
      </c>
      <c r="J89" s="187" t="s">
        <v>1215</v>
      </c>
      <c r="K89" s="187" t="s">
        <v>1216</v>
      </c>
      <c r="L89" s="187" t="s">
        <v>1217</v>
      </c>
    </row>
    <row r="90" spans="2:12">
      <c r="B90" s="188" t="s">
        <v>1235</v>
      </c>
      <c r="C90" s="189" t="s">
        <v>1219</v>
      </c>
      <c r="D90" s="190" t="s">
        <v>169</v>
      </c>
      <c r="E90" s="191">
        <v>1616.87</v>
      </c>
      <c r="F90" s="192"/>
      <c r="G90" s="192">
        <v>0.75</v>
      </c>
      <c r="H90" s="191"/>
      <c r="I90" s="191"/>
      <c r="J90" s="216"/>
      <c r="K90" s="217">
        <f>IF(E90*F90*G90&lt;&gt;0,E90*F90*G90,IF(E90*F90&lt;&gt;0,E90*F90,IF(F90*G90&lt;&gt;0,F90*G90,IF(E90*G90&lt;&gt;0,E90*G90,IF(E90&lt;&gt;0,E90,IF(F90&lt;&gt;0,F90,IF(G90&lt;&gt;0,G90,0)))))))*(IF(H90&lt;&gt;0,H90,1))+I90-J90</f>
        <v>1212.6524999999999</v>
      </c>
      <c r="L90" s="218"/>
    </row>
    <row r="91" spans="2:12">
      <c r="B91" s="197"/>
      <c r="C91" s="189"/>
      <c r="D91" s="198"/>
      <c r="E91" s="199"/>
      <c r="F91" s="199"/>
      <c r="G91" s="199"/>
      <c r="H91" s="199"/>
      <c r="I91" s="199"/>
      <c r="J91" s="219"/>
      <c r="K91" s="217">
        <f>IF(E91*F91*G91&lt;&gt;0,E91*F91*G91,IF(E91*F91&lt;&gt;0,E91*F91,IF(F91*G91&lt;&gt;0,F91*G91,IF(E91*G91&lt;&gt;0,E91*G91,IF(E91&lt;&gt;0,E91,IF(F91&lt;&gt;0,F91,IF(G91&lt;&gt;0,G91,0)))))))*(IF(H91&lt;&gt;0,H91,1))+I91-J91</f>
        <v>0</v>
      </c>
      <c r="L91" s="218"/>
    </row>
    <row r="92" spans="2:12">
      <c r="B92" s="202"/>
      <c r="C92" s="203"/>
      <c r="D92" s="203"/>
      <c r="E92" s="203"/>
      <c r="F92" s="203"/>
      <c r="G92" s="203"/>
      <c r="H92" s="204"/>
      <c r="I92" s="556" t="s">
        <v>1221</v>
      </c>
      <c r="J92" s="556"/>
      <c r="K92" s="220">
        <f>SUM(K90:K91)</f>
        <v>1212.6524999999999</v>
      </c>
      <c r="L92" s="207"/>
    </row>
    <row r="93" spans="2:12">
      <c r="B93" s="208"/>
      <c r="C93" s="204"/>
      <c r="D93" s="204"/>
      <c r="E93" s="204"/>
      <c r="F93" s="204"/>
      <c r="G93" s="204"/>
      <c r="H93" s="209"/>
      <c r="I93" s="557" t="s">
        <v>1222</v>
      </c>
      <c r="J93" s="557"/>
      <c r="K93" s="221">
        <v>4350</v>
      </c>
      <c r="L93" s="207"/>
    </row>
    <row r="94" spans="2:12">
      <c r="B94" s="208"/>
      <c r="C94" s="204"/>
      <c r="D94" s="204"/>
      <c r="E94" s="204"/>
      <c r="F94" s="204"/>
      <c r="G94" s="204"/>
      <c r="H94" s="558" t="s">
        <v>1223</v>
      </c>
      <c r="I94" s="558"/>
      <c r="J94" s="558"/>
      <c r="K94" s="222"/>
      <c r="L94" s="207"/>
    </row>
    <row r="95" spans="2:12">
      <c r="B95" s="208"/>
      <c r="C95" s="204"/>
      <c r="D95" s="204"/>
      <c r="E95" s="204"/>
      <c r="F95" s="204"/>
      <c r="G95" s="204"/>
      <c r="H95" s="558" t="s">
        <v>1190</v>
      </c>
      <c r="I95" s="558"/>
      <c r="J95" s="558"/>
      <c r="K95" s="222">
        <f>IF(K92&gt;K93,K93,K92)-K94</f>
        <v>1212.6524999999999</v>
      </c>
      <c r="L95" s="207"/>
    </row>
    <row r="96" spans="2:12">
      <c r="B96" s="213"/>
      <c r="C96" s="214"/>
      <c r="D96" s="214"/>
      <c r="E96" s="214"/>
      <c r="F96" s="214"/>
      <c r="G96" s="214"/>
      <c r="H96" s="559" t="s">
        <v>1224</v>
      </c>
      <c r="I96" s="559"/>
      <c r="J96" s="559"/>
      <c r="K96" s="223">
        <f>IF(K92&gt;K93,K92-K93,0)</f>
        <v>0</v>
      </c>
      <c r="L96" s="209"/>
    </row>
    <row r="98" spans="2:12" ht="24" customHeight="1">
      <c r="B98" s="555" t="s">
        <v>1236</v>
      </c>
      <c r="C98" s="555"/>
      <c r="D98" s="555"/>
      <c r="E98" s="555"/>
      <c r="F98" s="555"/>
      <c r="G98" s="555"/>
      <c r="H98" s="555"/>
      <c r="I98" s="555"/>
      <c r="J98" s="555"/>
      <c r="K98" s="555"/>
      <c r="L98" s="555"/>
    </row>
    <row r="99" spans="2:12">
      <c r="B99" s="187" t="s">
        <v>1209</v>
      </c>
      <c r="C99" s="187"/>
      <c r="D99" s="187" t="s">
        <v>39</v>
      </c>
      <c r="E99" s="187" t="s">
        <v>1210</v>
      </c>
      <c r="F99" s="187" t="s">
        <v>1211</v>
      </c>
      <c r="G99" s="187" t="s">
        <v>1212</v>
      </c>
      <c r="H99" s="187" t="s">
        <v>1213</v>
      </c>
      <c r="I99" s="187" t="s">
        <v>1214</v>
      </c>
      <c r="J99" s="187" t="s">
        <v>1215</v>
      </c>
      <c r="K99" s="187" t="s">
        <v>1216</v>
      </c>
      <c r="L99" s="187" t="s">
        <v>1217</v>
      </c>
    </row>
    <row r="100" spans="2:12">
      <c r="B100" s="188" t="s">
        <v>1235</v>
      </c>
      <c r="C100" s="189" t="s">
        <v>1219</v>
      </c>
      <c r="D100" s="190" t="s">
        <v>169</v>
      </c>
      <c r="E100" s="191">
        <v>1616.87</v>
      </c>
      <c r="F100" s="192"/>
      <c r="G100" s="192">
        <v>0.75</v>
      </c>
      <c r="H100" s="191"/>
      <c r="I100" s="191"/>
      <c r="J100" s="216"/>
      <c r="K100" s="217">
        <f>IF(E100*F100*G100&lt;&gt;0,E100*F100*G100,IF(E100*F100&lt;&gt;0,E100*F100,IF(F100*G100&lt;&gt;0,F100*G100,IF(E100*G100&lt;&gt;0,E100*G100,IF(E100&lt;&gt;0,E100,IF(F100&lt;&gt;0,F100,IF(G100&lt;&gt;0,G100,0)))))))*(IF(H100&lt;&gt;0,H100,1))+I100-J100</f>
        <v>1212.6524999999999</v>
      </c>
      <c r="L100" s="218"/>
    </row>
    <row r="101" spans="2:12">
      <c r="B101" s="197"/>
      <c r="C101" s="189"/>
      <c r="D101" s="198"/>
      <c r="E101" s="199"/>
      <c r="F101" s="199"/>
      <c r="G101" s="199"/>
      <c r="H101" s="199"/>
      <c r="I101" s="199"/>
      <c r="J101" s="219"/>
      <c r="K101" s="217">
        <f>IF(E101*F101*G101&lt;&gt;0,E101*F101*G101,IF(E101*F101&lt;&gt;0,E101*F101,IF(F101*G101&lt;&gt;0,F101*G101,IF(E101*G101&lt;&gt;0,E101*G101,IF(E101&lt;&gt;0,E101,IF(F101&lt;&gt;0,F101,IF(G101&lt;&gt;0,G101,0)))))))*(IF(H101&lt;&gt;0,H101,1))+I101-J101</f>
        <v>0</v>
      </c>
      <c r="L101" s="218"/>
    </row>
    <row r="102" spans="2:12">
      <c r="B102" s="202"/>
      <c r="C102" s="203"/>
      <c r="D102" s="203"/>
      <c r="E102" s="203"/>
      <c r="F102" s="203"/>
      <c r="G102" s="203"/>
      <c r="H102" s="204"/>
      <c r="I102" s="556" t="s">
        <v>1221</v>
      </c>
      <c r="J102" s="556"/>
      <c r="K102" s="220">
        <f>SUM(K100:K101)</f>
        <v>1212.6524999999999</v>
      </c>
      <c r="L102" s="207"/>
    </row>
    <row r="103" spans="2:12">
      <c r="B103" s="208"/>
      <c r="C103" s="204"/>
      <c r="D103" s="204"/>
      <c r="E103" s="204"/>
      <c r="F103" s="204"/>
      <c r="G103" s="204"/>
      <c r="H103" s="209"/>
      <c r="I103" s="557" t="s">
        <v>1222</v>
      </c>
      <c r="J103" s="557"/>
      <c r="K103" s="221">
        <v>3985</v>
      </c>
      <c r="L103" s="207"/>
    </row>
    <row r="104" spans="2:12">
      <c r="B104" s="208"/>
      <c r="C104" s="204"/>
      <c r="D104" s="204"/>
      <c r="E104" s="204"/>
      <c r="F104" s="204"/>
      <c r="G104" s="204"/>
      <c r="H104" s="558" t="s">
        <v>1223</v>
      </c>
      <c r="I104" s="558"/>
      <c r="J104" s="558"/>
      <c r="K104" s="222"/>
      <c r="L104" s="207"/>
    </row>
    <row r="105" spans="2:12">
      <c r="B105" s="208"/>
      <c r="C105" s="204"/>
      <c r="D105" s="204"/>
      <c r="E105" s="204"/>
      <c r="F105" s="204"/>
      <c r="G105" s="204"/>
      <c r="H105" s="558" t="s">
        <v>1190</v>
      </c>
      <c r="I105" s="558"/>
      <c r="J105" s="558"/>
      <c r="K105" s="222">
        <f>IF(K102&gt;K103,K103,K102)-K104</f>
        <v>1212.6524999999999</v>
      </c>
      <c r="L105" s="207"/>
    </row>
    <row r="106" spans="2:12">
      <c r="B106" s="213"/>
      <c r="C106" s="214"/>
      <c r="D106" s="214"/>
      <c r="E106" s="214"/>
      <c r="F106" s="214"/>
      <c r="G106" s="214"/>
      <c r="H106" s="559" t="s">
        <v>1224</v>
      </c>
      <c r="I106" s="559"/>
      <c r="J106" s="559"/>
      <c r="K106" s="223">
        <f>IF(K102&gt;K103,K102-K103,0)</f>
        <v>0</v>
      </c>
      <c r="L106" s="209"/>
    </row>
    <row r="108" spans="2:12" ht="14.25" customHeight="1">
      <c r="B108" s="555" t="s">
        <v>1237</v>
      </c>
      <c r="C108" s="555"/>
      <c r="D108" s="555"/>
      <c r="E108" s="555"/>
      <c r="F108" s="555"/>
      <c r="G108" s="555"/>
      <c r="H108" s="555"/>
      <c r="I108" s="555"/>
      <c r="J108" s="555"/>
      <c r="K108" s="555"/>
      <c r="L108" s="555"/>
    </row>
    <row r="109" spans="2:12">
      <c r="B109" s="187" t="s">
        <v>1209</v>
      </c>
      <c r="C109" s="187"/>
      <c r="D109" s="187" t="s">
        <v>39</v>
      </c>
      <c r="E109" s="187" t="s">
        <v>1210</v>
      </c>
      <c r="F109" s="187" t="s">
        <v>1211</v>
      </c>
      <c r="G109" s="187" t="s">
        <v>1212</v>
      </c>
      <c r="H109" s="187" t="s">
        <v>1213</v>
      </c>
      <c r="I109" s="187" t="s">
        <v>1214</v>
      </c>
      <c r="J109" s="187" t="s">
        <v>1215</v>
      </c>
      <c r="K109" s="187" t="s">
        <v>1216</v>
      </c>
      <c r="L109" s="187" t="s">
        <v>1217</v>
      </c>
    </row>
    <row r="110" spans="2:12">
      <c r="B110" s="188" t="s">
        <v>1238</v>
      </c>
      <c r="C110" s="189" t="s">
        <v>1219</v>
      </c>
      <c r="D110" s="190" t="s">
        <v>113</v>
      </c>
      <c r="E110" s="191"/>
      <c r="F110" s="192"/>
      <c r="G110" s="192"/>
      <c r="H110" s="191"/>
      <c r="I110" s="191">
        <v>8200</v>
      </c>
      <c r="J110" s="216"/>
      <c r="K110" s="217">
        <f>IF(E110*F110*G110&lt;&gt;0,E110*F110*G110,IF(E110*F110&lt;&gt;0,E110*F110,IF(F110*G110&lt;&gt;0,F110*G110,IF(E110*G110&lt;&gt;0,E110*G110,IF(E110&lt;&gt;0,E110,IF(F110&lt;&gt;0,F110,IF(G110&lt;&gt;0,G110,0)))))))*(IF(H110&lt;&gt;0,H110,1))+I110-J110</f>
        <v>8200</v>
      </c>
      <c r="L110" s="218"/>
    </row>
    <row r="111" spans="2:12">
      <c r="B111" s="197"/>
      <c r="C111" s="189"/>
      <c r="D111" s="198"/>
      <c r="E111" s="199"/>
      <c r="F111" s="199"/>
      <c r="G111" s="199"/>
      <c r="H111" s="199"/>
      <c r="I111" s="199"/>
      <c r="J111" s="219"/>
      <c r="K111" s="217">
        <f>IF(E111*F111*G111&lt;&gt;0,E111*F111*G111,IF(E111*F111&lt;&gt;0,E111*F111,IF(F111*G111&lt;&gt;0,F111*G111,IF(E111*G111&lt;&gt;0,E111*G111,IF(E111&lt;&gt;0,E111,IF(F111&lt;&gt;0,F111,IF(G111&lt;&gt;0,G111,0)))))))*(IF(H111&lt;&gt;0,H111,1))+I111-J111</f>
        <v>0</v>
      </c>
      <c r="L111" s="218"/>
    </row>
    <row r="112" spans="2:12">
      <c r="B112" s="202"/>
      <c r="C112" s="203"/>
      <c r="D112" s="203"/>
      <c r="E112" s="203"/>
      <c r="F112" s="203"/>
      <c r="G112" s="203"/>
      <c r="H112" s="204"/>
      <c r="I112" s="556" t="s">
        <v>1221</v>
      </c>
      <c r="J112" s="556"/>
      <c r="K112" s="220">
        <f>SUM(K110:K111)</f>
        <v>8200</v>
      </c>
      <c r="L112" s="207"/>
    </row>
    <row r="113" spans="2:12">
      <c r="B113" s="208"/>
      <c r="C113" s="204"/>
      <c r="D113" s="204"/>
      <c r="E113" s="204"/>
      <c r="F113" s="204"/>
      <c r="G113" s="204"/>
      <c r="H113" s="209"/>
      <c r="I113" s="557" t="s">
        <v>1222</v>
      </c>
      <c r="J113" s="557"/>
      <c r="K113" s="221">
        <v>119550</v>
      </c>
      <c r="L113" s="207"/>
    </row>
    <row r="114" spans="2:12">
      <c r="B114" s="208"/>
      <c r="C114" s="204"/>
      <c r="D114" s="204"/>
      <c r="E114" s="204"/>
      <c r="F114" s="204"/>
      <c r="G114" s="204"/>
      <c r="H114" s="558" t="s">
        <v>1223</v>
      </c>
      <c r="I114" s="558"/>
      <c r="J114" s="558"/>
      <c r="K114" s="222"/>
      <c r="L114" s="207"/>
    </row>
    <row r="115" spans="2:12">
      <c r="B115" s="208"/>
      <c r="C115" s="204"/>
      <c r="D115" s="204"/>
      <c r="E115" s="204"/>
      <c r="F115" s="204"/>
      <c r="G115" s="204"/>
      <c r="H115" s="558" t="s">
        <v>1190</v>
      </c>
      <c r="I115" s="558"/>
      <c r="J115" s="558"/>
      <c r="K115" s="222">
        <f>IF(K112&gt;K113,K113,K112)-K114</f>
        <v>8200</v>
      </c>
      <c r="L115" s="207"/>
    </row>
    <row r="116" spans="2:12">
      <c r="B116" s="213"/>
      <c r="C116" s="214"/>
      <c r="D116" s="214"/>
      <c r="E116" s="214"/>
      <c r="F116" s="214"/>
      <c r="G116" s="214"/>
      <c r="H116" s="559" t="s">
        <v>1224</v>
      </c>
      <c r="I116" s="559"/>
      <c r="J116" s="559"/>
      <c r="K116" s="223">
        <f>IF(K112&gt;K113,K112-K113,0)</f>
        <v>0</v>
      </c>
      <c r="L116" s="209"/>
    </row>
  </sheetData>
  <mergeCells count="70">
    <mergeCell ref="I112:J112"/>
    <mergeCell ref="I113:J113"/>
    <mergeCell ref="H114:J114"/>
    <mergeCell ref="H115:J115"/>
    <mergeCell ref="H116:J116"/>
    <mergeCell ref="I103:J103"/>
    <mergeCell ref="H104:J104"/>
    <mergeCell ref="H105:J105"/>
    <mergeCell ref="H106:J106"/>
    <mergeCell ref="B108:L108"/>
    <mergeCell ref="H94:J94"/>
    <mergeCell ref="H95:J95"/>
    <mergeCell ref="H96:J96"/>
    <mergeCell ref="B98:L98"/>
    <mergeCell ref="I102:J102"/>
    <mergeCell ref="H85:J85"/>
    <mergeCell ref="H86:J86"/>
    <mergeCell ref="B88:L88"/>
    <mergeCell ref="I92:J92"/>
    <mergeCell ref="I93:J93"/>
    <mergeCell ref="H76:J76"/>
    <mergeCell ref="B78:L78"/>
    <mergeCell ref="I82:J82"/>
    <mergeCell ref="I83:J83"/>
    <mergeCell ref="H84:J84"/>
    <mergeCell ref="B68:L68"/>
    <mergeCell ref="I72:J72"/>
    <mergeCell ref="I73:J73"/>
    <mergeCell ref="H74:J74"/>
    <mergeCell ref="H75:J75"/>
    <mergeCell ref="I62:J62"/>
    <mergeCell ref="I63:J63"/>
    <mergeCell ref="H64:J64"/>
    <mergeCell ref="H65:J65"/>
    <mergeCell ref="H66:J66"/>
    <mergeCell ref="I53:J53"/>
    <mergeCell ref="H54:J54"/>
    <mergeCell ref="H55:J55"/>
    <mergeCell ref="H56:J56"/>
    <mergeCell ref="B58:L58"/>
    <mergeCell ref="H44:J44"/>
    <mergeCell ref="H45:J45"/>
    <mergeCell ref="H46:J46"/>
    <mergeCell ref="B48:L48"/>
    <mergeCell ref="I52:J52"/>
    <mergeCell ref="H35:J35"/>
    <mergeCell ref="H36:J36"/>
    <mergeCell ref="B38:L38"/>
    <mergeCell ref="I42:J42"/>
    <mergeCell ref="I43:J43"/>
    <mergeCell ref="H26:J26"/>
    <mergeCell ref="B28:L28"/>
    <mergeCell ref="I32:J32"/>
    <mergeCell ref="I33:J33"/>
    <mergeCell ref="H34:J34"/>
    <mergeCell ref="B18:L18"/>
    <mergeCell ref="I22:J22"/>
    <mergeCell ref="I23:J23"/>
    <mergeCell ref="H24:J24"/>
    <mergeCell ref="H25:J25"/>
    <mergeCell ref="I12:J12"/>
    <mergeCell ref="I13:J13"/>
    <mergeCell ref="H14:J14"/>
    <mergeCell ref="H15:J15"/>
    <mergeCell ref="H16:J16"/>
    <mergeCell ref="B2:L2"/>
    <mergeCell ref="B3:L3"/>
    <mergeCell ref="B4:L4"/>
    <mergeCell ref="B6:L6"/>
    <mergeCell ref="B8:L8"/>
  </mergeCells>
  <printOptions horizontalCentered="1"/>
  <pageMargins left="0.51180555555555596" right="0.51180555555555596" top="0.78749999999999998" bottom="0.98402777777777795" header="0.511811023622047" footer="0.511811023622047"/>
  <pageSetup paperSize="9" scale="56" fitToHeight="1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166"/>
  <sheetViews>
    <sheetView view="pageBreakPreview" zoomScale="75" zoomScaleNormal="80" zoomScalePageLayoutView="75" workbookViewId="0">
      <selection activeCell="K14" sqref="K14"/>
    </sheetView>
  </sheetViews>
  <sheetFormatPr defaultColWidth="8.88671875" defaultRowHeight="14.4"/>
  <cols>
    <col min="1" max="1" width="2.44140625" customWidth="1"/>
    <col min="2" max="2" width="32.88671875" customWidth="1"/>
    <col min="3" max="3" width="13.5546875" customWidth="1"/>
    <col min="4" max="4" width="9.44140625" customWidth="1"/>
    <col min="5" max="5" width="10.109375" customWidth="1"/>
    <col min="6" max="6" width="10.6640625" customWidth="1"/>
    <col min="7" max="8" width="9.44140625" customWidth="1"/>
    <col min="9" max="9" width="14.5546875" customWidth="1"/>
    <col min="10" max="10" width="10.88671875" customWidth="1"/>
    <col min="11" max="11" width="16.88671875" customWidth="1"/>
    <col min="12" max="12" width="25" customWidth="1"/>
    <col min="13" max="13" width="2.5546875" customWidth="1"/>
    <col min="14" max="14" width="6.5546875" customWidth="1"/>
    <col min="15" max="15" width="10.109375" customWidth="1"/>
    <col min="18" max="18" width="10.109375" customWidth="1"/>
  </cols>
  <sheetData>
    <row r="1" spans="2:12" ht="6" customHeight="1"/>
    <row r="2" spans="2:12" ht="29.25" customHeight="1">
      <c r="B2" s="551"/>
      <c r="C2" s="551"/>
      <c r="D2" s="551"/>
      <c r="E2" s="551"/>
      <c r="F2" s="551"/>
      <c r="G2" s="551"/>
      <c r="H2" s="551"/>
      <c r="I2" s="551"/>
      <c r="J2" s="551"/>
      <c r="K2" s="551"/>
      <c r="L2" s="551"/>
    </row>
    <row r="3" spans="2:12" ht="29.25" customHeight="1">
      <c r="B3" s="552" t="s">
        <v>4</v>
      </c>
      <c r="C3" s="552"/>
      <c r="D3" s="552"/>
      <c r="E3" s="552"/>
      <c r="F3" s="552"/>
      <c r="G3" s="552"/>
      <c r="H3" s="552"/>
      <c r="I3" s="552"/>
      <c r="J3" s="552"/>
      <c r="K3" s="552"/>
      <c r="L3" s="552"/>
    </row>
    <row r="4" spans="2:12" ht="29.25" customHeight="1">
      <c r="B4" s="553"/>
      <c r="C4" s="553"/>
      <c r="D4" s="553"/>
      <c r="E4" s="553"/>
      <c r="F4" s="553"/>
      <c r="G4" s="553"/>
      <c r="H4" s="553"/>
      <c r="I4" s="553"/>
      <c r="J4" s="553"/>
      <c r="K4" s="553"/>
      <c r="L4" s="553"/>
    </row>
    <row r="5" spans="2:12" ht="6" customHeight="1">
      <c r="B5" s="186"/>
      <c r="C5" s="186"/>
      <c r="D5" s="186"/>
      <c r="E5" s="186"/>
      <c r="F5" s="186"/>
      <c r="G5" s="186"/>
      <c r="H5" s="186"/>
      <c r="I5" s="186"/>
      <c r="J5" s="186"/>
      <c r="K5" s="186"/>
      <c r="L5" s="186"/>
    </row>
    <row r="6" spans="2:12" ht="22.8">
      <c r="B6" s="554" t="s">
        <v>1239</v>
      </c>
      <c r="C6" s="554"/>
      <c r="D6" s="554"/>
      <c r="E6" s="554"/>
      <c r="F6" s="554"/>
      <c r="G6" s="554"/>
      <c r="H6" s="554"/>
      <c r="I6" s="554"/>
      <c r="J6" s="554"/>
      <c r="K6" s="554"/>
      <c r="L6" s="554"/>
    </row>
    <row r="8" spans="2:12" ht="14.25" customHeight="1">
      <c r="B8" s="555" t="s">
        <v>1208</v>
      </c>
      <c r="C8" s="555"/>
      <c r="D8" s="555"/>
      <c r="E8" s="555"/>
      <c r="F8" s="555"/>
      <c r="G8" s="555"/>
      <c r="H8" s="555"/>
      <c r="I8" s="555"/>
      <c r="J8" s="555"/>
      <c r="K8" s="555"/>
      <c r="L8" s="555"/>
    </row>
    <row r="9" spans="2:12">
      <c r="B9" s="187" t="s">
        <v>1209</v>
      </c>
      <c r="C9" s="187"/>
      <c r="D9" s="187" t="s">
        <v>39</v>
      </c>
      <c r="E9" s="187" t="s">
        <v>1210</v>
      </c>
      <c r="F9" s="187" t="s">
        <v>1211</v>
      </c>
      <c r="G9" s="187" t="s">
        <v>1212</v>
      </c>
      <c r="H9" s="187" t="s">
        <v>1213</v>
      </c>
      <c r="I9" s="187" t="s">
        <v>1214</v>
      </c>
      <c r="J9" s="187" t="s">
        <v>1215</v>
      </c>
      <c r="K9" s="187" t="s">
        <v>1216</v>
      </c>
      <c r="L9" s="187" t="s">
        <v>1217</v>
      </c>
    </row>
    <row r="10" spans="2:12">
      <c r="B10" s="188" t="s">
        <v>1218</v>
      </c>
      <c r="C10" s="189" t="s">
        <v>1219</v>
      </c>
      <c r="D10" s="190" t="s">
        <v>1220</v>
      </c>
      <c r="E10" s="191"/>
      <c r="F10" s="192"/>
      <c r="G10" s="192"/>
      <c r="H10" s="191"/>
      <c r="I10" s="193">
        <f>20*0.0206</f>
        <v>0.41200000000000003</v>
      </c>
      <c r="J10" s="194"/>
      <c r="K10" s="195">
        <f>IF(E10*F10*G10&lt;&gt;0,E10*F10*G10,IF(E10*F10&lt;&gt;0,E10*F10,IF(F10*G10&lt;&gt;0,F10*G10,IF(E10*G10&lt;&gt;0,E10*G10,IF(E10&lt;&gt;0,E10,IF(F10&lt;&gt;0,F10,IF(G10&lt;&gt;0,G10,0)))))))*(IF(H10&lt;&gt;0,H10,1))+I10-J10</f>
        <v>0.41200000000000003</v>
      </c>
      <c r="L10" s="196"/>
    </row>
    <row r="11" spans="2:12">
      <c r="B11" s="197" t="s">
        <v>1218</v>
      </c>
      <c r="C11" s="189" t="s">
        <v>1240</v>
      </c>
      <c r="D11" s="190" t="s">
        <v>1226</v>
      </c>
      <c r="E11" s="199"/>
      <c r="F11" s="199"/>
      <c r="G11" s="199"/>
      <c r="H11" s="199"/>
      <c r="I11" s="193">
        <f>20*0.0358</f>
        <v>0.71599999999999997</v>
      </c>
      <c r="J11" s="201"/>
      <c r="K11" s="195">
        <f>IF(E11*F11*G11&lt;&gt;0,E11*F11*G11,IF(E11*F11&lt;&gt;0,E11*F11,IF(F11*G11&lt;&gt;0,F11*G11,IF(E11*G11&lt;&gt;0,E11*G11,IF(E11&lt;&gt;0,E11,IF(F11&lt;&gt;0,F11,IF(G11&lt;&gt;0,G11,0)))))))*(IF(H11&lt;&gt;0,H11,1))+I11-J11</f>
        <v>0.71599999999999997</v>
      </c>
      <c r="L11" s="196"/>
    </row>
    <row r="12" spans="2:12">
      <c r="B12" s="202"/>
      <c r="C12" s="203"/>
      <c r="D12" s="203"/>
      <c r="E12" s="203"/>
      <c r="F12" s="203"/>
      <c r="G12" s="203"/>
      <c r="H12" s="204"/>
      <c r="I12" s="556" t="s">
        <v>1221</v>
      </c>
      <c r="J12" s="556"/>
      <c r="K12" s="206">
        <f>SUM(K10:K11)</f>
        <v>1.1280000000000001</v>
      </c>
      <c r="L12" s="207"/>
    </row>
    <row r="13" spans="2:12">
      <c r="B13" s="208"/>
      <c r="C13" s="204"/>
      <c r="D13" s="204"/>
      <c r="E13" s="204"/>
      <c r="F13" s="204"/>
      <c r="G13" s="204"/>
      <c r="H13" s="209"/>
      <c r="I13" s="557" t="s">
        <v>1222</v>
      </c>
      <c r="J13" s="557"/>
      <c r="K13" s="211">
        <v>20</v>
      </c>
      <c r="L13" s="207"/>
    </row>
    <row r="14" spans="2:12">
      <c r="B14" s="208"/>
      <c r="C14" s="204"/>
      <c r="D14" s="204"/>
      <c r="E14" s="204"/>
      <c r="F14" s="204"/>
      <c r="G14" s="204"/>
      <c r="H14" s="558" t="s">
        <v>1223</v>
      </c>
      <c r="I14" s="558"/>
      <c r="J14" s="558"/>
      <c r="K14" s="212">
        <v>0.41199999999999998</v>
      </c>
      <c r="L14" s="207"/>
    </row>
    <row r="15" spans="2:12">
      <c r="B15" s="208"/>
      <c r="C15" s="204"/>
      <c r="D15" s="204"/>
      <c r="E15" s="204"/>
      <c r="F15" s="204"/>
      <c r="G15" s="204"/>
      <c r="H15" s="558" t="s">
        <v>1190</v>
      </c>
      <c r="I15" s="558"/>
      <c r="J15" s="558"/>
      <c r="K15" s="212">
        <f>IF(K12&gt;K13,K13,K12)-K14</f>
        <v>0.71600000000000019</v>
      </c>
      <c r="L15" s="207"/>
    </row>
    <row r="16" spans="2:12">
      <c r="B16" s="213"/>
      <c r="C16" s="214"/>
      <c r="D16" s="214"/>
      <c r="E16" s="214"/>
      <c r="F16" s="214"/>
      <c r="G16" s="214"/>
      <c r="H16" s="559" t="s">
        <v>1224</v>
      </c>
      <c r="I16" s="559"/>
      <c r="J16" s="559"/>
      <c r="K16" s="215">
        <f>IF(K12&gt;K13,K12-K13,0)</f>
        <v>0</v>
      </c>
      <c r="L16" s="209"/>
    </row>
    <row r="18" spans="2:12" ht="58.35" customHeight="1">
      <c r="B18" s="555" t="s">
        <v>1225</v>
      </c>
      <c r="C18" s="555"/>
      <c r="D18" s="555"/>
      <c r="E18" s="555"/>
      <c r="F18" s="555"/>
      <c r="G18" s="555"/>
      <c r="H18" s="555"/>
      <c r="I18" s="555"/>
      <c r="J18" s="555"/>
      <c r="K18" s="555"/>
      <c r="L18" s="555"/>
    </row>
    <row r="19" spans="2:12">
      <c r="B19" s="187" t="s">
        <v>1209</v>
      </c>
      <c r="C19" s="187"/>
      <c r="D19" s="187" t="s">
        <v>39</v>
      </c>
      <c r="E19" s="187" t="s">
        <v>1210</v>
      </c>
      <c r="F19" s="187" t="s">
        <v>1211</v>
      </c>
      <c r="G19" s="187" t="s">
        <v>1212</v>
      </c>
      <c r="H19" s="187" t="s">
        <v>1213</v>
      </c>
      <c r="I19" s="187" t="s">
        <v>1214</v>
      </c>
      <c r="J19" s="187" t="s">
        <v>1215</v>
      </c>
      <c r="K19" s="187" t="s">
        <v>1216</v>
      </c>
      <c r="L19" s="187" t="s">
        <v>1217</v>
      </c>
    </row>
    <row r="20" spans="2:12">
      <c r="B20" s="188" t="s">
        <v>1218</v>
      </c>
      <c r="C20" s="189" t="s">
        <v>1219</v>
      </c>
      <c r="D20" s="190" t="s">
        <v>1226</v>
      </c>
      <c r="E20" s="191"/>
      <c r="F20" s="192"/>
      <c r="G20" s="192"/>
      <c r="H20" s="191"/>
      <c r="I20" s="193">
        <v>2.06E-2</v>
      </c>
      <c r="J20" s="194"/>
      <c r="K20" s="195">
        <f>IF(E20*F20*G20&lt;&gt;0,E20*F20*G20,IF(E20*F20&lt;&gt;0,E20*F20,IF(F20*G20&lt;&gt;0,F20*G20,IF(E20*G20&lt;&gt;0,E20*G20,IF(E20&lt;&gt;0,E20,IF(F20&lt;&gt;0,F20,IF(G20&lt;&gt;0,G20,0)))))))*(IF(H20&lt;&gt;0,H20,1))+I20-J20</f>
        <v>2.06E-2</v>
      </c>
      <c r="L20" s="196"/>
    </row>
    <row r="21" spans="2:12">
      <c r="B21" s="197" t="s">
        <v>1218</v>
      </c>
      <c r="C21" s="189" t="s">
        <v>1240</v>
      </c>
      <c r="D21" s="190" t="s">
        <v>1226</v>
      </c>
      <c r="E21" s="199"/>
      <c r="F21" s="199"/>
      <c r="G21" s="199"/>
      <c r="H21" s="199"/>
      <c r="I21" s="193">
        <f>0.0239-0.004+0.0159</f>
        <v>3.5799999999999998E-2</v>
      </c>
      <c r="J21" s="201"/>
      <c r="K21" s="195">
        <f>IF(E21*F21*G21&lt;&gt;0,E21*F21*G21,IF(E21*F21&lt;&gt;0,E21*F21,IF(F21*G21&lt;&gt;0,F21*G21,IF(E21*G21&lt;&gt;0,E21*G21,IF(E21&lt;&gt;0,E21,IF(F21&lt;&gt;0,F21,IF(G21&lt;&gt;0,G21,0)))))))*(IF(H21&lt;&gt;0,H21,1))+I21-J21</f>
        <v>3.5799999999999998E-2</v>
      </c>
      <c r="L21" s="196"/>
    </row>
    <row r="22" spans="2:12">
      <c r="B22" s="202"/>
      <c r="C22" s="203"/>
      <c r="D22" s="203"/>
      <c r="E22" s="203"/>
      <c r="F22" s="203"/>
      <c r="G22" s="203"/>
      <c r="H22" s="204"/>
      <c r="I22" s="556" t="s">
        <v>1221</v>
      </c>
      <c r="J22" s="556"/>
      <c r="K22" s="206">
        <f>SUM(K20:K21)</f>
        <v>5.6399999999999999E-2</v>
      </c>
      <c r="L22" s="207"/>
    </row>
    <row r="23" spans="2:12">
      <c r="B23" s="208"/>
      <c r="C23" s="204"/>
      <c r="D23" s="204"/>
      <c r="E23" s="204"/>
      <c r="F23" s="204"/>
      <c r="G23" s="204"/>
      <c r="H23" s="209"/>
      <c r="I23" s="557" t="s">
        <v>1222</v>
      </c>
      <c r="J23" s="557"/>
      <c r="K23" s="211">
        <v>1</v>
      </c>
      <c r="L23" s="207"/>
    </row>
    <row r="24" spans="2:12">
      <c r="B24" s="208"/>
      <c r="C24" s="204"/>
      <c r="D24" s="204"/>
      <c r="E24" s="204"/>
      <c r="F24" s="204"/>
      <c r="G24" s="204"/>
      <c r="H24" s="558" t="s">
        <v>1223</v>
      </c>
      <c r="I24" s="558"/>
      <c r="J24" s="558"/>
      <c r="K24" s="212">
        <v>2.06E-2</v>
      </c>
      <c r="L24" s="207"/>
    </row>
    <row r="25" spans="2:12">
      <c r="B25" s="208"/>
      <c r="C25" s="204"/>
      <c r="D25" s="204"/>
      <c r="E25" s="204"/>
      <c r="F25" s="204"/>
      <c r="G25" s="204"/>
      <c r="H25" s="558" t="s">
        <v>1199</v>
      </c>
      <c r="I25" s="558"/>
      <c r="J25" s="558"/>
      <c r="K25" s="212">
        <f>IF(K22&gt;K23,K23,K22)-K24</f>
        <v>3.5799999999999998E-2</v>
      </c>
      <c r="L25" s="207"/>
    </row>
    <row r="26" spans="2:12">
      <c r="B26" s="213"/>
      <c r="C26" s="214"/>
      <c r="D26" s="214"/>
      <c r="E26" s="214"/>
      <c r="F26" s="214"/>
      <c r="G26" s="214"/>
      <c r="H26" s="559" t="s">
        <v>1224</v>
      </c>
      <c r="I26" s="559"/>
      <c r="J26" s="559"/>
      <c r="K26" s="215">
        <f>IF(K22&gt;K23,K22-K23,0)</f>
        <v>0</v>
      </c>
      <c r="L26" s="209"/>
    </row>
    <row r="28" spans="2:12" ht="14.25" customHeight="1">
      <c r="B28" s="555" t="s">
        <v>1227</v>
      </c>
      <c r="C28" s="555"/>
      <c r="D28" s="555"/>
      <c r="E28" s="555"/>
      <c r="F28" s="555"/>
      <c r="G28" s="555"/>
      <c r="H28" s="555"/>
      <c r="I28" s="555"/>
      <c r="J28" s="555"/>
      <c r="K28" s="555"/>
      <c r="L28" s="555"/>
    </row>
    <row r="29" spans="2:12">
      <c r="B29" s="187" t="s">
        <v>1209</v>
      </c>
      <c r="C29" s="187"/>
      <c r="D29" s="187" t="s">
        <v>39</v>
      </c>
      <c r="E29" s="187" t="s">
        <v>1210</v>
      </c>
      <c r="F29" s="187" t="s">
        <v>1211</v>
      </c>
      <c r="G29" s="187" t="s">
        <v>1212</v>
      </c>
      <c r="H29" s="187" t="s">
        <v>1213</v>
      </c>
      <c r="I29" s="187" t="s">
        <v>1214</v>
      </c>
      <c r="J29" s="187" t="s">
        <v>1215</v>
      </c>
      <c r="K29" s="187" t="s">
        <v>1216</v>
      </c>
      <c r="L29" s="187" t="s">
        <v>1217</v>
      </c>
    </row>
    <row r="30" spans="2:12">
      <c r="B30" s="188" t="s">
        <v>1228</v>
      </c>
      <c r="C30" s="189" t="s">
        <v>1219</v>
      </c>
      <c r="D30" s="190" t="s">
        <v>39</v>
      </c>
      <c r="E30" s="191">
        <v>64</v>
      </c>
      <c r="F30" s="192"/>
      <c r="G30" s="192">
        <v>2</v>
      </c>
      <c r="H30" s="191"/>
      <c r="I30" s="191"/>
      <c r="J30" s="216"/>
      <c r="K30" s="217">
        <f>IF(E30*F30*G30&lt;&gt;0,E30*F30*G30,IF(E30*F30&lt;&gt;0,E30*F30,IF(F30*G30&lt;&gt;0,F30*G30,IF(E30*G30&lt;&gt;0,E30*G30,IF(E30&lt;&gt;0,E30,IF(F30&lt;&gt;0,F30,IF(G30&lt;&gt;0,G30,0)))))))*(IF(H30&lt;&gt;0,H30,1))+I30-J30</f>
        <v>128</v>
      </c>
      <c r="L30" s="218"/>
    </row>
    <row r="31" spans="2:12">
      <c r="B31" s="197"/>
      <c r="C31" s="189"/>
      <c r="D31" s="198"/>
      <c r="E31" s="199"/>
      <c r="F31" s="199"/>
      <c r="G31" s="199"/>
      <c r="H31" s="199"/>
      <c r="I31" s="199"/>
      <c r="J31" s="219"/>
      <c r="K31" s="217">
        <f>IF(E31*F31*G31&lt;&gt;0,E31*F31*G31,IF(E31*F31&lt;&gt;0,E31*F31,IF(F31*G31&lt;&gt;0,F31*G31,IF(E31*G31&lt;&gt;0,E31*G31,IF(E31&lt;&gt;0,E31,IF(F31&lt;&gt;0,F31,IF(G31&lt;&gt;0,G31,0)))))))*(IF(H31&lt;&gt;0,H31,1))+I31-J31</f>
        <v>0</v>
      </c>
      <c r="L31" s="218"/>
    </row>
    <row r="32" spans="2:12">
      <c r="B32" s="202"/>
      <c r="C32" s="203"/>
      <c r="D32" s="203"/>
      <c r="E32" s="203"/>
      <c r="F32" s="203"/>
      <c r="G32" s="203"/>
      <c r="H32" s="204"/>
      <c r="I32" s="556" t="s">
        <v>1221</v>
      </c>
      <c r="J32" s="556"/>
      <c r="K32" s="220">
        <f>SUM(K30:K31)</f>
        <v>128</v>
      </c>
      <c r="L32" s="207"/>
    </row>
    <row r="33" spans="2:12">
      <c r="B33" s="208"/>
      <c r="C33" s="204"/>
      <c r="D33" s="204"/>
      <c r="E33" s="204"/>
      <c r="F33" s="204"/>
      <c r="G33" s="204"/>
      <c r="H33" s="209"/>
      <c r="I33" s="557" t="s">
        <v>1222</v>
      </c>
      <c r="J33" s="557"/>
      <c r="K33" s="221">
        <v>128</v>
      </c>
      <c r="L33" s="207"/>
    </row>
    <row r="34" spans="2:12">
      <c r="B34" s="208"/>
      <c r="C34" s="204"/>
      <c r="D34" s="204"/>
      <c r="E34" s="204"/>
      <c r="F34" s="204"/>
      <c r="G34" s="204"/>
      <c r="H34" s="558" t="s">
        <v>1223</v>
      </c>
      <c r="I34" s="558"/>
      <c r="J34" s="558"/>
      <c r="K34" s="222"/>
      <c r="L34" s="207"/>
    </row>
    <row r="35" spans="2:12">
      <c r="B35" s="208"/>
      <c r="C35" s="204"/>
      <c r="D35" s="204"/>
      <c r="E35" s="204"/>
      <c r="F35" s="204"/>
      <c r="G35" s="204"/>
      <c r="H35" s="558" t="s">
        <v>1190</v>
      </c>
      <c r="I35" s="558"/>
      <c r="J35" s="558"/>
      <c r="K35" s="222">
        <f>IF(K32&gt;K33,K33,K32)-K34</f>
        <v>128</v>
      </c>
      <c r="L35" s="207"/>
    </row>
    <row r="36" spans="2:12">
      <c r="B36" s="213"/>
      <c r="C36" s="214"/>
      <c r="D36" s="214"/>
      <c r="E36" s="214"/>
      <c r="F36" s="214"/>
      <c r="G36" s="214"/>
      <c r="H36" s="559" t="s">
        <v>1224</v>
      </c>
      <c r="I36" s="559"/>
      <c r="J36" s="559"/>
      <c r="K36" s="223">
        <f>IF(K32&gt;K33,K32-K33,0)</f>
        <v>0</v>
      </c>
      <c r="L36" s="209"/>
    </row>
    <row r="38" spans="2:12" ht="14.25" customHeight="1">
      <c r="B38" s="555" t="s">
        <v>1229</v>
      </c>
      <c r="C38" s="555"/>
      <c r="D38" s="555"/>
      <c r="E38" s="555"/>
      <c r="F38" s="555"/>
      <c r="G38" s="555"/>
      <c r="H38" s="555"/>
      <c r="I38" s="555"/>
      <c r="J38" s="555"/>
      <c r="K38" s="555"/>
      <c r="L38" s="555"/>
    </row>
    <row r="39" spans="2:12">
      <c r="B39" s="187" t="s">
        <v>1209</v>
      </c>
      <c r="C39" s="187"/>
      <c r="D39" s="187" t="s">
        <v>39</v>
      </c>
      <c r="E39" s="187" t="s">
        <v>1210</v>
      </c>
      <c r="F39" s="187" t="s">
        <v>1211</v>
      </c>
      <c r="G39" s="187" t="s">
        <v>1212</v>
      </c>
      <c r="H39" s="187" t="s">
        <v>1213</v>
      </c>
      <c r="I39" s="187" t="s">
        <v>1214</v>
      </c>
      <c r="J39" s="187" t="s">
        <v>1215</v>
      </c>
      <c r="K39" s="187" t="s">
        <v>1216</v>
      </c>
      <c r="L39" s="187" t="s">
        <v>1217</v>
      </c>
    </row>
    <row r="40" spans="2:12">
      <c r="B40" s="188" t="s">
        <v>1228</v>
      </c>
      <c r="C40" s="189" t="s">
        <v>1219</v>
      </c>
      <c r="D40" s="190" t="s">
        <v>79</v>
      </c>
      <c r="E40" s="191">
        <f>30/4</f>
        <v>7.5</v>
      </c>
      <c r="F40" s="192">
        <v>4</v>
      </c>
      <c r="G40" s="192"/>
      <c r="H40" s="191"/>
      <c r="I40" s="191"/>
      <c r="J40" s="216"/>
      <c r="K40" s="217">
        <f>IF(E40*F40*G40&lt;&gt;0,E40*F40*G40,IF(E40*F40&lt;&gt;0,E40*F40,IF(F40*G40&lt;&gt;0,F40*G40,IF(E40*G40&lt;&gt;0,E40*G40,IF(E40&lt;&gt;0,E40,IF(F40&lt;&gt;0,F40,IF(G40&lt;&gt;0,G40,0)))))))*(IF(H40&lt;&gt;0,H40,1))+I40-J40</f>
        <v>30</v>
      </c>
      <c r="L40" s="218"/>
    </row>
    <row r="41" spans="2:12">
      <c r="B41" s="188" t="s">
        <v>1228</v>
      </c>
      <c r="C41" s="189" t="s">
        <v>1240</v>
      </c>
      <c r="D41" s="190" t="s">
        <v>79</v>
      </c>
      <c r="E41" s="191">
        <v>2.5</v>
      </c>
      <c r="F41" s="192">
        <v>4</v>
      </c>
      <c r="G41" s="192"/>
      <c r="H41" s="191"/>
      <c r="I41" s="191"/>
      <c r="J41" s="216"/>
      <c r="K41" s="217">
        <f>IF(E41*F41*G41&lt;&gt;0,E41*F41*G41,IF(E41*F41&lt;&gt;0,E41*F41,IF(F41*G41&lt;&gt;0,F41*G41,IF(E41*G41&lt;&gt;0,E41*G41,IF(E41&lt;&gt;0,E41,IF(F41&lt;&gt;0,F41,IF(G41&lt;&gt;0,G41,0)))))))*(IF(H41&lt;&gt;0,H41,1))+I41-J41</f>
        <v>10</v>
      </c>
      <c r="L41" s="218"/>
    </row>
    <row r="42" spans="2:12">
      <c r="B42" s="202"/>
      <c r="C42" s="203"/>
      <c r="D42" s="203"/>
      <c r="E42" s="203"/>
      <c r="F42" s="203"/>
      <c r="G42" s="203"/>
      <c r="H42" s="204"/>
      <c r="I42" s="556" t="s">
        <v>1221</v>
      </c>
      <c r="J42" s="556"/>
      <c r="K42" s="220">
        <f>SUM(K40:K41)</f>
        <v>40</v>
      </c>
      <c r="L42" s="207"/>
    </row>
    <row r="43" spans="2:12">
      <c r="B43" s="208"/>
      <c r="C43" s="204"/>
      <c r="D43" s="204"/>
      <c r="E43" s="204"/>
      <c r="F43" s="204"/>
      <c r="G43" s="204"/>
      <c r="H43" s="209"/>
      <c r="I43" s="557" t="s">
        <v>1222</v>
      </c>
      <c r="J43" s="557"/>
      <c r="K43" s="221">
        <v>40</v>
      </c>
      <c r="L43" s="207"/>
    </row>
    <row r="44" spans="2:12">
      <c r="B44" s="208"/>
      <c r="C44" s="204"/>
      <c r="D44" s="204"/>
      <c r="E44" s="204"/>
      <c r="F44" s="204"/>
      <c r="G44" s="204"/>
      <c r="H44" s="558" t="s">
        <v>1223</v>
      </c>
      <c r="I44" s="558"/>
      <c r="J44" s="558"/>
      <c r="K44" s="222">
        <v>30</v>
      </c>
      <c r="L44" s="207"/>
    </row>
    <row r="45" spans="2:12">
      <c r="B45" s="208"/>
      <c r="C45" s="204"/>
      <c r="D45" s="204"/>
      <c r="E45" s="204"/>
      <c r="F45" s="204"/>
      <c r="G45" s="204"/>
      <c r="H45" s="558" t="s">
        <v>1199</v>
      </c>
      <c r="I45" s="558"/>
      <c r="J45" s="558"/>
      <c r="K45" s="222">
        <f>IF(K42&gt;K43,K43,K42)-K44</f>
        <v>10</v>
      </c>
      <c r="L45" s="207"/>
    </row>
    <row r="46" spans="2:12">
      <c r="B46" s="213"/>
      <c r="C46" s="214"/>
      <c r="D46" s="214"/>
      <c r="E46" s="214"/>
      <c r="F46" s="214"/>
      <c r="G46" s="214"/>
      <c r="H46" s="559" t="s">
        <v>1224</v>
      </c>
      <c r="I46" s="559"/>
      <c r="J46" s="559"/>
      <c r="K46" s="223">
        <f>IF(K42&gt;K43,K42-K43,0)</f>
        <v>0</v>
      </c>
      <c r="L46" s="209"/>
    </row>
    <row r="48" spans="2:12" ht="14.25" customHeight="1">
      <c r="B48" s="555" t="s">
        <v>1230</v>
      </c>
      <c r="C48" s="555"/>
      <c r="D48" s="555"/>
      <c r="E48" s="555"/>
      <c r="F48" s="555"/>
      <c r="G48" s="555"/>
      <c r="H48" s="555"/>
      <c r="I48" s="555"/>
      <c r="J48" s="555"/>
      <c r="K48" s="555"/>
      <c r="L48" s="555"/>
    </row>
    <row r="49" spans="2:12">
      <c r="B49" s="187" t="s">
        <v>1209</v>
      </c>
      <c r="C49" s="187"/>
      <c r="D49" s="187" t="s">
        <v>39</v>
      </c>
      <c r="E49" s="187" t="s">
        <v>1210</v>
      </c>
      <c r="F49" s="187" t="s">
        <v>1211</v>
      </c>
      <c r="G49" s="187" t="s">
        <v>1212</v>
      </c>
      <c r="H49" s="187" t="s">
        <v>1213</v>
      </c>
      <c r="I49" s="187" t="s">
        <v>1214</v>
      </c>
      <c r="J49" s="187" t="s">
        <v>1215</v>
      </c>
      <c r="K49" s="187" t="s">
        <v>1216</v>
      </c>
      <c r="L49" s="187" t="s">
        <v>1217</v>
      </c>
    </row>
    <row r="50" spans="2:12">
      <c r="B50" s="188" t="s">
        <v>1228</v>
      </c>
      <c r="C50" s="189" t="s">
        <v>1219</v>
      </c>
      <c r="D50" s="190" t="s">
        <v>39</v>
      </c>
      <c r="E50" s="191">
        <f>48/4</f>
        <v>12</v>
      </c>
      <c r="F50" s="192">
        <v>4</v>
      </c>
      <c r="G50" s="192"/>
      <c r="H50" s="191"/>
      <c r="I50" s="191"/>
      <c r="J50" s="216"/>
      <c r="K50" s="217">
        <f>IF(E50*F50*G50&lt;&gt;0,E50*F50*G50,IF(E50*F50&lt;&gt;0,E50*F50,IF(F50*G50&lt;&gt;0,F50*G50,IF(E50*G50&lt;&gt;0,E50*G50,IF(E50&lt;&gt;0,E50,IF(F50&lt;&gt;0,F50,IF(G50&lt;&gt;0,G50,0)))))))*(IF(H50&lt;&gt;0,H50,1))+I50-J50</f>
        <v>48</v>
      </c>
      <c r="L50" s="218"/>
    </row>
    <row r="51" spans="2:12">
      <c r="B51" s="188" t="s">
        <v>1228</v>
      </c>
      <c r="C51" s="189" t="s">
        <v>1240</v>
      </c>
      <c r="D51" s="190" t="s">
        <v>39</v>
      </c>
      <c r="E51" s="191">
        <v>5</v>
      </c>
      <c r="F51" s="192">
        <v>4</v>
      </c>
      <c r="G51" s="192"/>
      <c r="H51" s="191"/>
      <c r="I51" s="191"/>
      <c r="J51" s="219"/>
      <c r="K51" s="217">
        <f>IF(E51*F51*G51&lt;&gt;0,E51*F51*G51,IF(E51*F51&lt;&gt;0,E51*F51,IF(F51*G51&lt;&gt;0,F51*G51,IF(E51*G51&lt;&gt;0,E51*G51,IF(E51&lt;&gt;0,E51,IF(F51&lt;&gt;0,F51,IF(G51&lt;&gt;0,G51,0)))))))*(IF(H51&lt;&gt;0,H51,1))+I51-J51</f>
        <v>20</v>
      </c>
      <c r="L51" s="218"/>
    </row>
    <row r="52" spans="2:12">
      <c r="B52" s="202"/>
      <c r="C52" s="203"/>
      <c r="D52" s="203"/>
      <c r="E52" s="203"/>
      <c r="F52" s="203"/>
      <c r="G52" s="203"/>
      <c r="H52" s="204"/>
      <c r="I52" s="556" t="s">
        <v>1221</v>
      </c>
      <c r="J52" s="556"/>
      <c r="K52" s="220">
        <f>SUM(K50:K51)</f>
        <v>68</v>
      </c>
      <c r="L52" s="207"/>
    </row>
    <row r="53" spans="2:12">
      <c r="B53" s="208"/>
      <c r="C53" s="204"/>
      <c r="D53" s="204"/>
      <c r="E53" s="204"/>
      <c r="F53" s="204"/>
      <c r="G53" s="204"/>
      <c r="H53" s="209"/>
      <c r="I53" s="557" t="s">
        <v>1222</v>
      </c>
      <c r="J53" s="557"/>
      <c r="K53" s="221">
        <v>68</v>
      </c>
      <c r="L53" s="207"/>
    </row>
    <row r="54" spans="2:12">
      <c r="B54" s="208"/>
      <c r="C54" s="204"/>
      <c r="D54" s="204"/>
      <c r="E54" s="204"/>
      <c r="F54" s="204"/>
      <c r="G54" s="204"/>
      <c r="H54" s="558" t="s">
        <v>1223</v>
      </c>
      <c r="I54" s="558"/>
      <c r="J54" s="558"/>
      <c r="K54" s="222">
        <v>48</v>
      </c>
      <c r="L54" s="207"/>
    </row>
    <row r="55" spans="2:12">
      <c r="B55" s="208"/>
      <c r="C55" s="204"/>
      <c r="D55" s="204"/>
      <c r="E55" s="204"/>
      <c r="F55" s="204"/>
      <c r="G55" s="204"/>
      <c r="H55" s="558" t="s">
        <v>1199</v>
      </c>
      <c r="I55" s="558"/>
      <c r="J55" s="558"/>
      <c r="K55" s="222">
        <f>IF(K52&gt;K53,K53,K52)-K54</f>
        <v>20</v>
      </c>
      <c r="L55" s="207"/>
    </row>
    <row r="56" spans="2:12">
      <c r="B56" s="213"/>
      <c r="C56" s="214"/>
      <c r="D56" s="214"/>
      <c r="E56" s="214"/>
      <c r="F56" s="214"/>
      <c r="G56" s="214"/>
      <c r="H56" s="559" t="s">
        <v>1224</v>
      </c>
      <c r="I56" s="559"/>
      <c r="J56" s="559"/>
      <c r="K56" s="223">
        <f>IF(K52&gt;K53,K52-K53,0)</f>
        <v>0</v>
      </c>
      <c r="L56" s="209"/>
    </row>
    <row r="58" spans="2:12" ht="14.25" customHeight="1">
      <c r="B58" s="555" t="s">
        <v>1231</v>
      </c>
      <c r="C58" s="555"/>
      <c r="D58" s="555"/>
      <c r="E58" s="555"/>
      <c r="F58" s="555"/>
      <c r="G58" s="555"/>
      <c r="H58" s="555"/>
      <c r="I58" s="555"/>
      <c r="J58" s="555"/>
      <c r="K58" s="555"/>
      <c r="L58" s="555"/>
    </row>
    <row r="59" spans="2:12">
      <c r="B59" s="187" t="s">
        <v>1209</v>
      </c>
      <c r="C59" s="187"/>
      <c r="D59" s="187" t="s">
        <v>39</v>
      </c>
      <c r="E59" s="187" t="s">
        <v>1210</v>
      </c>
      <c r="F59" s="187" t="s">
        <v>1211</v>
      </c>
      <c r="G59" s="187" t="s">
        <v>1212</v>
      </c>
      <c r="H59" s="187" t="s">
        <v>1213</v>
      </c>
      <c r="I59" s="187" t="s">
        <v>1214</v>
      </c>
      <c r="J59" s="187" t="s">
        <v>1215</v>
      </c>
      <c r="K59" s="187" t="s">
        <v>1216</v>
      </c>
      <c r="L59" s="187" t="s">
        <v>1217</v>
      </c>
    </row>
    <row r="60" spans="2:12">
      <c r="B60" s="188" t="s">
        <v>1228</v>
      </c>
      <c r="C60" s="189" t="s">
        <v>1219</v>
      </c>
      <c r="D60" s="190" t="s">
        <v>39</v>
      </c>
      <c r="E60" s="191">
        <v>15</v>
      </c>
      <c r="F60" s="192">
        <v>4</v>
      </c>
      <c r="G60" s="192"/>
      <c r="H60" s="191"/>
      <c r="I60" s="191"/>
      <c r="J60" s="216"/>
      <c r="K60" s="217">
        <f>IF(E60*F60*G60&lt;&gt;0,E60*F60*G60,IF(E60*F60&lt;&gt;0,E60*F60,IF(F60*G60&lt;&gt;0,F60*G60,IF(E60*G60&lt;&gt;0,E60*G60,IF(E60&lt;&gt;0,E60,IF(F60&lt;&gt;0,F60,IF(G60&lt;&gt;0,G60,0)))))))*(IF(H60&lt;&gt;0,H60,1))+I60-J60</f>
        <v>60</v>
      </c>
      <c r="L60" s="218"/>
    </row>
    <row r="61" spans="2:12">
      <c r="B61" s="197"/>
      <c r="C61" s="189"/>
      <c r="D61" s="198"/>
      <c r="E61" s="199"/>
      <c r="F61" s="199"/>
      <c r="G61" s="199"/>
      <c r="H61" s="199"/>
      <c r="I61" s="199"/>
      <c r="J61" s="219"/>
      <c r="K61" s="217">
        <f>IF(E61*F61*G61&lt;&gt;0,E61*F61*G61,IF(E61*F61&lt;&gt;0,E61*F61,IF(F61*G61&lt;&gt;0,F61*G61,IF(E61*G61&lt;&gt;0,E61*G61,IF(E61&lt;&gt;0,E61,IF(F61&lt;&gt;0,F61,IF(G61&lt;&gt;0,G61,0)))))))*(IF(H61&lt;&gt;0,H61,1))+I61-J61</f>
        <v>0</v>
      </c>
      <c r="L61" s="218"/>
    </row>
    <row r="62" spans="2:12">
      <c r="B62" s="202"/>
      <c r="C62" s="203"/>
      <c r="D62" s="203"/>
      <c r="E62" s="203"/>
      <c r="F62" s="203"/>
      <c r="G62" s="203"/>
      <c r="H62" s="204"/>
      <c r="I62" s="556" t="s">
        <v>1221</v>
      </c>
      <c r="J62" s="556"/>
      <c r="K62" s="220">
        <f>SUM(K60:K61)</f>
        <v>60</v>
      </c>
      <c r="L62" s="207"/>
    </row>
    <row r="63" spans="2:12">
      <c r="B63" s="208"/>
      <c r="C63" s="204"/>
      <c r="D63" s="204"/>
      <c r="E63" s="204"/>
      <c r="F63" s="204"/>
      <c r="G63" s="204"/>
      <c r="H63" s="209"/>
      <c r="I63" s="557" t="s">
        <v>1222</v>
      </c>
      <c r="J63" s="557"/>
      <c r="K63" s="221">
        <v>60</v>
      </c>
      <c r="L63" s="207"/>
    </row>
    <row r="64" spans="2:12">
      <c r="B64" s="208"/>
      <c r="C64" s="204"/>
      <c r="D64" s="204"/>
      <c r="E64" s="204"/>
      <c r="F64" s="204"/>
      <c r="G64" s="204"/>
      <c r="H64" s="558" t="s">
        <v>1223</v>
      </c>
      <c r="I64" s="558"/>
      <c r="J64" s="558"/>
      <c r="K64" s="222"/>
      <c r="L64" s="207"/>
    </row>
    <row r="65" spans="2:12">
      <c r="B65" s="208"/>
      <c r="C65" s="204"/>
      <c r="D65" s="204"/>
      <c r="E65" s="204"/>
      <c r="F65" s="204"/>
      <c r="G65" s="204"/>
      <c r="H65" s="558" t="s">
        <v>1190</v>
      </c>
      <c r="I65" s="558"/>
      <c r="J65" s="558"/>
      <c r="K65" s="222">
        <f>IF(K62&gt;K63,K63,K62)-K64</f>
        <v>60</v>
      </c>
      <c r="L65" s="207"/>
    </row>
    <row r="66" spans="2:12">
      <c r="B66" s="213"/>
      <c r="C66" s="214"/>
      <c r="D66" s="214"/>
      <c r="E66" s="214"/>
      <c r="F66" s="214"/>
      <c r="G66" s="214"/>
      <c r="H66" s="559" t="s">
        <v>1224</v>
      </c>
      <c r="I66" s="559"/>
      <c r="J66" s="559"/>
      <c r="K66" s="223">
        <f>IF(K62&gt;K63,K62-K63,0)</f>
        <v>0</v>
      </c>
      <c r="L66" s="209"/>
    </row>
    <row r="68" spans="2:12" ht="14.25" customHeight="1">
      <c r="B68" s="555" t="s">
        <v>1232</v>
      </c>
      <c r="C68" s="555"/>
      <c r="D68" s="555"/>
      <c r="E68" s="555"/>
      <c r="F68" s="555"/>
      <c r="G68" s="555"/>
      <c r="H68" s="555"/>
      <c r="I68" s="555"/>
      <c r="J68" s="555"/>
      <c r="K68" s="555"/>
      <c r="L68" s="555"/>
    </row>
    <row r="69" spans="2:12">
      <c r="B69" s="187" t="s">
        <v>1209</v>
      </c>
      <c r="C69" s="187"/>
      <c r="D69" s="187" t="s">
        <v>39</v>
      </c>
      <c r="E69" s="187" t="s">
        <v>1210</v>
      </c>
      <c r="F69" s="187" t="s">
        <v>1211</v>
      </c>
      <c r="G69" s="187" t="s">
        <v>1212</v>
      </c>
      <c r="H69" s="187" t="s">
        <v>1213</v>
      </c>
      <c r="I69" s="187" t="s">
        <v>1214</v>
      </c>
      <c r="J69" s="187" t="s">
        <v>1215</v>
      </c>
      <c r="K69" s="187" t="s">
        <v>1216</v>
      </c>
      <c r="L69" s="187" t="s">
        <v>1217</v>
      </c>
    </row>
    <row r="70" spans="2:12">
      <c r="B70" s="188" t="s">
        <v>1228</v>
      </c>
      <c r="C70" s="189" t="s">
        <v>1219</v>
      </c>
      <c r="D70" s="190" t="s">
        <v>39</v>
      </c>
      <c r="E70" s="191">
        <v>5</v>
      </c>
      <c r="F70" s="192">
        <v>4</v>
      </c>
      <c r="G70" s="192"/>
      <c r="H70" s="191"/>
      <c r="I70" s="191"/>
      <c r="J70" s="216"/>
      <c r="K70" s="217">
        <f>IF(E70*F70*G70&lt;&gt;0,E70*F70*G70,IF(E70*F70&lt;&gt;0,E70*F70,IF(F70*G70&lt;&gt;0,F70*G70,IF(E70*G70&lt;&gt;0,E70*G70,IF(E70&lt;&gt;0,E70,IF(F70&lt;&gt;0,F70,IF(G70&lt;&gt;0,G70,0)))))))*(IF(H70&lt;&gt;0,H70,1))+I70-J70</f>
        <v>20</v>
      </c>
      <c r="L70" s="218"/>
    </row>
    <row r="71" spans="2:12">
      <c r="B71" s="188" t="s">
        <v>1228</v>
      </c>
      <c r="C71" s="189" t="s">
        <v>1240</v>
      </c>
      <c r="D71" s="190" t="s">
        <v>39</v>
      </c>
      <c r="E71" s="191">
        <v>10</v>
      </c>
      <c r="F71" s="192">
        <v>4</v>
      </c>
      <c r="G71" s="192"/>
      <c r="H71" s="191"/>
      <c r="I71" s="191"/>
      <c r="J71" s="219"/>
      <c r="K71" s="217">
        <f>IF(E71*F71*G71&lt;&gt;0,E71*F71*G71,IF(E71*F71&lt;&gt;0,E71*F71,IF(F71*G71&lt;&gt;0,F71*G71,IF(E71*G71&lt;&gt;0,E71*G71,IF(E71&lt;&gt;0,E71,IF(F71&lt;&gt;0,F71,IF(G71&lt;&gt;0,G71,0)))))))*(IF(H71&lt;&gt;0,H71,1))+I71-J71</f>
        <v>40</v>
      </c>
      <c r="L71" s="218"/>
    </row>
    <row r="72" spans="2:12">
      <c r="B72" s="202"/>
      <c r="C72" s="203"/>
      <c r="D72" s="203"/>
      <c r="E72" s="203"/>
      <c r="F72" s="203"/>
      <c r="G72" s="203"/>
      <c r="H72" s="204"/>
      <c r="I72" s="556" t="s">
        <v>1221</v>
      </c>
      <c r="J72" s="556"/>
      <c r="K72" s="220">
        <f>SUM(K70:K71)</f>
        <v>60</v>
      </c>
      <c r="L72" s="207"/>
    </row>
    <row r="73" spans="2:12">
      <c r="B73" s="208"/>
      <c r="C73" s="204"/>
      <c r="D73" s="204"/>
      <c r="E73" s="204"/>
      <c r="F73" s="204"/>
      <c r="G73" s="204"/>
      <c r="H73" s="209"/>
      <c r="I73" s="557" t="s">
        <v>1222</v>
      </c>
      <c r="J73" s="557"/>
      <c r="K73" s="221">
        <v>60</v>
      </c>
      <c r="L73" s="207"/>
    </row>
    <row r="74" spans="2:12">
      <c r="B74" s="208"/>
      <c r="C74" s="204"/>
      <c r="D74" s="204"/>
      <c r="E74" s="204"/>
      <c r="F74" s="204"/>
      <c r="G74" s="204"/>
      <c r="H74" s="558" t="s">
        <v>1223</v>
      </c>
      <c r="I74" s="558"/>
      <c r="J74" s="558"/>
      <c r="K74" s="222">
        <v>20</v>
      </c>
      <c r="L74" s="207"/>
    </row>
    <row r="75" spans="2:12">
      <c r="B75" s="208"/>
      <c r="C75" s="204"/>
      <c r="D75" s="204"/>
      <c r="E75" s="204"/>
      <c r="F75" s="204"/>
      <c r="G75" s="204"/>
      <c r="H75" s="558" t="s">
        <v>1199</v>
      </c>
      <c r="I75" s="558"/>
      <c r="J75" s="558"/>
      <c r="K75" s="222">
        <f>IF(K72&gt;K73,K73,K72)-K74</f>
        <v>40</v>
      </c>
      <c r="L75" s="207"/>
    </row>
    <row r="76" spans="2:12">
      <c r="B76" s="213"/>
      <c r="C76" s="214"/>
      <c r="D76" s="214"/>
      <c r="E76" s="214"/>
      <c r="F76" s="214"/>
      <c r="G76" s="214"/>
      <c r="H76" s="559" t="s">
        <v>1224</v>
      </c>
      <c r="I76" s="559"/>
      <c r="J76" s="559"/>
      <c r="K76" s="223">
        <f>IF(K72&gt;K73,K72-K73,0)</f>
        <v>0</v>
      </c>
      <c r="L76" s="209"/>
    </row>
    <row r="78" spans="2:12" ht="14.25" customHeight="1">
      <c r="B78" s="555" t="s">
        <v>1233</v>
      </c>
      <c r="C78" s="555"/>
      <c r="D78" s="555"/>
      <c r="E78" s="555"/>
      <c r="F78" s="555"/>
      <c r="G78" s="555"/>
      <c r="H78" s="555"/>
      <c r="I78" s="555"/>
      <c r="J78" s="555"/>
      <c r="K78" s="555"/>
      <c r="L78" s="555"/>
    </row>
    <row r="79" spans="2:12">
      <c r="B79" s="187" t="s">
        <v>1209</v>
      </c>
      <c r="C79" s="187"/>
      <c r="D79" s="187" t="s">
        <v>39</v>
      </c>
      <c r="E79" s="187" t="s">
        <v>1210</v>
      </c>
      <c r="F79" s="187" t="s">
        <v>1211</v>
      </c>
      <c r="G79" s="187" t="s">
        <v>1212</v>
      </c>
      <c r="H79" s="187" t="s">
        <v>1213</v>
      </c>
      <c r="I79" s="187" t="s">
        <v>1214</v>
      </c>
      <c r="J79" s="187" t="s">
        <v>1215</v>
      </c>
      <c r="K79" s="187" t="s">
        <v>1216</v>
      </c>
      <c r="L79" s="187" t="s">
        <v>1217</v>
      </c>
    </row>
    <row r="80" spans="2:12">
      <c r="B80" s="188" t="s">
        <v>1228</v>
      </c>
      <c r="C80" s="189" t="s">
        <v>1219</v>
      </c>
      <c r="D80" s="190" t="s">
        <v>39</v>
      </c>
      <c r="E80" s="191">
        <v>5</v>
      </c>
      <c r="F80" s="192">
        <v>4</v>
      </c>
      <c r="G80" s="192"/>
      <c r="H80" s="191"/>
      <c r="I80" s="191"/>
      <c r="J80" s="216"/>
      <c r="K80" s="217">
        <f>IF(E80*F80*G80&lt;&gt;0,E80*F80*G80,IF(E80*F80&lt;&gt;0,E80*F80,IF(F80*G80&lt;&gt;0,F80*G80,IF(E80*G80&lt;&gt;0,E80*G80,IF(E80&lt;&gt;0,E80,IF(F80&lt;&gt;0,F80,IF(G80&lt;&gt;0,G80,0)))))))*(IF(H80&lt;&gt;0,H80,1))+I80-J80</f>
        <v>20</v>
      </c>
      <c r="L80" s="218"/>
    </row>
    <row r="81" spans="2:12">
      <c r="B81" s="188" t="s">
        <v>1228</v>
      </c>
      <c r="C81" s="189" t="s">
        <v>1219</v>
      </c>
      <c r="D81" s="190" t="s">
        <v>39</v>
      </c>
      <c r="E81" s="191">
        <v>7.5</v>
      </c>
      <c r="F81" s="192">
        <v>4</v>
      </c>
      <c r="G81" s="192"/>
      <c r="H81" s="191"/>
      <c r="I81" s="191"/>
      <c r="J81" s="216"/>
      <c r="K81" s="217">
        <f>IF(E81*F81*G81&lt;&gt;0,E81*F81*G81,IF(E81*F81&lt;&gt;0,E81*F81,IF(F81*G81&lt;&gt;0,F81*G81,IF(E81*G81&lt;&gt;0,E81*G81,IF(E81&lt;&gt;0,E81,IF(F81&lt;&gt;0,F81,IF(G81&lt;&gt;0,G81,0)))))))*(IF(H81&lt;&gt;0,H81,1))+I81-J81</f>
        <v>30</v>
      </c>
      <c r="L81" s="218"/>
    </row>
    <row r="82" spans="2:12">
      <c r="B82" s="202"/>
      <c r="C82" s="203"/>
      <c r="D82" s="203"/>
      <c r="E82" s="203"/>
      <c r="F82" s="203"/>
      <c r="G82" s="203"/>
      <c r="H82" s="204"/>
      <c r="I82" s="556" t="s">
        <v>1221</v>
      </c>
      <c r="J82" s="556"/>
      <c r="K82" s="220">
        <f>SUM(K80:K81)</f>
        <v>50</v>
      </c>
      <c r="L82" s="207"/>
    </row>
    <row r="83" spans="2:12">
      <c r="B83" s="208"/>
      <c r="C83" s="204"/>
      <c r="D83" s="204"/>
      <c r="E83" s="204"/>
      <c r="F83" s="204"/>
      <c r="G83" s="204"/>
      <c r="H83" s="209"/>
      <c r="I83" s="557" t="s">
        <v>1222</v>
      </c>
      <c r="J83" s="557"/>
      <c r="K83" s="221">
        <v>50</v>
      </c>
      <c r="L83" s="207"/>
    </row>
    <row r="84" spans="2:12">
      <c r="B84" s="208"/>
      <c r="C84" s="204"/>
      <c r="D84" s="204"/>
      <c r="E84" s="204"/>
      <c r="F84" s="204"/>
      <c r="G84" s="204"/>
      <c r="H84" s="558" t="s">
        <v>1223</v>
      </c>
      <c r="I84" s="558"/>
      <c r="J84" s="558"/>
      <c r="K84" s="222">
        <v>20</v>
      </c>
      <c r="L84" s="207"/>
    </row>
    <row r="85" spans="2:12">
      <c r="B85" s="208"/>
      <c r="C85" s="204"/>
      <c r="D85" s="204"/>
      <c r="E85" s="204"/>
      <c r="F85" s="204"/>
      <c r="G85" s="204"/>
      <c r="H85" s="558" t="s">
        <v>1199</v>
      </c>
      <c r="I85" s="558"/>
      <c r="J85" s="558"/>
      <c r="K85" s="222">
        <f>IF(K82&gt;K83,K83,K82)-K84</f>
        <v>30</v>
      </c>
      <c r="L85" s="207"/>
    </row>
    <row r="86" spans="2:12">
      <c r="B86" s="213"/>
      <c r="C86" s="214"/>
      <c r="D86" s="214"/>
      <c r="E86" s="214"/>
      <c r="F86" s="214"/>
      <c r="G86" s="214"/>
      <c r="H86" s="559" t="s">
        <v>1224</v>
      </c>
      <c r="I86" s="559"/>
      <c r="J86" s="559"/>
      <c r="K86" s="223">
        <f>IF(K82&gt;K83,K82-K83,0)</f>
        <v>0</v>
      </c>
      <c r="L86" s="209"/>
    </row>
    <row r="88" spans="2:12" ht="14.25" customHeight="1">
      <c r="B88" s="555" t="s">
        <v>1234</v>
      </c>
      <c r="C88" s="555"/>
      <c r="D88" s="555"/>
      <c r="E88" s="555"/>
      <c r="F88" s="555"/>
      <c r="G88" s="555"/>
      <c r="H88" s="555"/>
      <c r="I88" s="555"/>
      <c r="J88" s="555"/>
      <c r="K88" s="555"/>
      <c r="L88" s="555"/>
    </row>
    <row r="89" spans="2:12">
      <c r="B89" s="187" t="s">
        <v>1209</v>
      </c>
      <c r="C89" s="187"/>
      <c r="D89" s="187" t="s">
        <v>39</v>
      </c>
      <c r="E89" s="187" t="s">
        <v>1210</v>
      </c>
      <c r="F89" s="187" t="s">
        <v>1211</v>
      </c>
      <c r="G89" s="187" t="s">
        <v>1212</v>
      </c>
      <c r="H89" s="187" t="s">
        <v>1213</v>
      </c>
      <c r="I89" s="187" t="s">
        <v>1214</v>
      </c>
      <c r="J89" s="187" t="s">
        <v>1215</v>
      </c>
      <c r="K89" s="187" t="s">
        <v>1216</v>
      </c>
      <c r="L89" s="187" t="s">
        <v>1217</v>
      </c>
    </row>
    <row r="90" spans="2:12">
      <c r="B90" s="188" t="s">
        <v>1235</v>
      </c>
      <c r="C90" s="189" t="s">
        <v>1219</v>
      </c>
      <c r="D90" s="190" t="s">
        <v>169</v>
      </c>
      <c r="E90" s="191">
        <v>1616.87</v>
      </c>
      <c r="F90" s="192"/>
      <c r="G90" s="192">
        <v>0.75</v>
      </c>
      <c r="H90" s="191"/>
      <c r="I90" s="191"/>
      <c r="J90" s="216"/>
      <c r="K90" s="217">
        <f>IF(E90*F90*G90&lt;&gt;0,E90*F90*G90,IF(E90*F90&lt;&gt;0,E90*F90,IF(F90*G90&lt;&gt;0,F90*G90,IF(E90*G90&lt;&gt;0,E90*G90,IF(E90&lt;&gt;0,E90,IF(F90&lt;&gt;0,F90,IF(G90&lt;&gt;0,G90,0)))))))*(IF(H90&lt;&gt;0,H90,1))+I90-J90</f>
        <v>1212.6524999999999</v>
      </c>
      <c r="L90" s="218"/>
    </row>
    <row r="91" spans="2:12">
      <c r="B91" s="197"/>
      <c r="C91" s="189"/>
      <c r="D91" s="198"/>
      <c r="E91" s="199"/>
      <c r="F91" s="199"/>
      <c r="G91" s="199"/>
      <c r="H91" s="199"/>
      <c r="I91" s="199"/>
      <c r="J91" s="219"/>
      <c r="K91" s="217">
        <f>IF(E91*F91*G91&lt;&gt;0,E91*F91*G91,IF(E91*F91&lt;&gt;0,E91*F91,IF(F91*G91&lt;&gt;0,F91*G91,IF(E91*G91&lt;&gt;0,E91*G91,IF(E91&lt;&gt;0,E91,IF(F91&lt;&gt;0,F91,IF(G91&lt;&gt;0,G91,0)))))))*(IF(H91&lt;&gt;0,H91,1))+I91-J91</f>
        <v>0</v>
      </c>
      <c r="L91" s="218"/>
    </row>
    <row r="92" spans="2:12">
      <c r="B92" s="202"/>
      <c r="C92" s="203"/>
      <c r="D92" s="203"/>
      <c r="E92" s="203"/>
      <c r="F92" s="203"/>
      <c r="G92" s="203"/>
      <c r="H92" s="204"/>
      <c r="I92" s="556" t="s">
        <v>1221</v>
      </c>
      <c r="J92" s="556"/>
      <c r="K92" s="220">
        <f>SUM(K90:K91)</f>
        <v>1212.6524999999999</v>
      </c>
      <c r="L92" s="207"/>
    </row>
    <row r="93" spans="2:12">
      <c r="B93" s="208"/>
      <c r="C93" s="204"/>
      <c r="D93" s="204"/>
      <c r="E93" s="204"/>
      <c r="F93" s="204"/>
      <c r="G93" s="204"/>
      <c r="H93" s="209"/>
      <c r="I93" s="557" t="s">
        <v>1222</v>
      </c>
      <c r="J93" s="557"/>
      <c r="K93" s="221">
        <v>4350</v>
      </c>
      <c r="L93" s="207"/>
    </row>
    <row r="94" spans="2:12">
      <c r="B94" s="208"/>
      <c r="C94" s="204"/>
      <c r="D94" s="204"/>
      <c r="E94" s="204"/>
      <c r="F94" s="204"/>
      <c r="G94" s="204"/>
      <c r="H94" s="558" t="s">
        <v>1223</v>
      </c>
      <c r="I94" s="558"/>
      <c r="J94" s="558"/>
      <c r="K94" s="222"/>
      <c r="L94" s="207"/>
    </row>
    <row r="95" spans="2:12">
      <c r="B95" s="208"/>
      <c r="C95" s="204"/>
      <c r="D95" s="204"/>
      <c r="E95" s="204"/>
      <c r="F95" s="204"/>
      <c r="G95" s="204"/>
      <c r="H95" s="558" t="s">
        <v>1190</v>
      </c>
      <c r="I95" s="558"/>
      <c r="J95" s="558"/>
      <c r="K95" s="222">
        <f>IF(K92&gt;K93,K93,K92)-K94</f>
        <v>1212.6524999999999</v>
      </c>
      <c r="L95" s="207"/>
    </row>
    <row r="96" spans="2:12">
      <c r="B96" s="213"/>
      <c r="C96" s="214"/>
      <c r="D96" s="214"/>
      <c r="E96" s="214"/>
      <c r="F96" s="214"/>
      <c r="G96" s="214"/>
      <c r="H96" s="559" t="s">
        <v>1224</v>
      </c>
      <c r="I96" s="559"/>
      <c r="J96" s="559"/>
      <c r="K96" s="223">
        <f>IF(K92&gt;K93,K92-K93,0)</f>
        <v>0</v>
      </c>
      <c r="L96" s="209"/>
    </row>
    <row r="98" spans="2:12" ht="24" customHeight="1">
      <c r="B98" s="555" t="s">
        <v>1236</v>
      </c>
      <c r="C98" s="555"/>
      <c r="D98" s="555"/>
      <c r="E98" s="555"/>
      <c r="F98" s="555"/>
      <c r="G98" s="555"/>
      <c r="H98" s="555"/>
      <c r="I98" s="555"/>
      <c r="J98" s="555"/>
      <c r="K98" s="555"/>
      <c r="L98" s="555"/>
    </row>
    <row r="99" spans="2:12">
      <c r="B99" s="187" t="s">
        <v>1209</v>
      </c>
      <c r="C99" s="187"/>
      <c r="D99" s="187" t="s">
        <v>39</v>
      </c>
      <c r="E99" s="187" t="s">
        <v>1210</v>
      </c>
      <c r="F99" s="187" t="s">
        <v>1211</v>
      </c>
      <c r="G99" s="187" t="s">
        <v>1212</v>
      </c>
      <c r="H99" s="187" t="s">
        <v>1213</v>
      </c>
      <c r="I99" s="187" t="s">
        <v>1214</v>
      </c>
      <c r="J99" s="187" t="s">
        <v>1215</v>
      </c>
      <c r="K99" s="187" t="s">
        <v>1216</v>
      </c>
      <c r="L99" s="187" t="s">
        <v>1217</v>
      </c>
    </row>
    <row r="100" spans="2:12">
      <c r="B100" s="188" t="s">
        <v>1235</v>
      </c>
      <c r="C100" s="189" t="s">
        <v>1219</v>
      </c>
      <c r="D100" s="190" t="s">
        <v>169</v>
      </c>
      <c r="E100" s="191">
        <v>1616.87</v>
      </c>
      <c r="F100" s="192"/>
      <c r="G100" s="192">
        <v>0.75</v>
      </c>
      <c r="H100" s="191"/>
      <c r="I100" s="191"/>
      <c r="J100" s="216"/>
      <c r="K100" s="217">
        <f>IF(E100*F100*G100&lt;&gt;0,E100*F100*G100,IF(E100*F100&lt;&gt;0,E100*F100,IF(F100*G100&lt;&gt;0,F100*G100,IF(E100*G100&lt;&gt;0,E100*G100,IF(E100&lt;&gt;0,E100,IF(F100&lt;&gt;0,F100,IF(G100&lt;&gt;0,G100,0)))))))*(IF(H100&lt;&gt;0,H100,1))+I100-J100</f>
        <v>1212.6524999999999</v>
      </c>
      <c r="L100" s="218"/>
    </row>
    <row r="101" spans="2:12">
      <c r="B101" s="197"/>
      <c r="C101" s="189"/>
      <c r="D101" s="198"/>
      <c r="E101" s="199"/>
      <c r="F101" s="199"/>
      <c r="G101" s="199"/>
      <c r="H101" s="199"/>
      <c r="I101" s="199"/>
      <c r="J101" s="219"/>
      <c r="K101" s="217">
        <f>IF(E101*F101*G101&lt;&gt;0,E101*F101*G101,IF(E101*F101&lt;&gt;0,E101*F101,IF(F101*G101&lt;&gt;0,F101*G101,IF(E101*G101&lt;&gt;0,E101*G101,IF(E101&lt;&gt;0,E101,IF(F101&lt;&gt;0,F101,IF(G101&lt;&gt;0,G101,0)))))))*(IF(H101&lt;&gt;0,H101,1))+I101-J101</f>
        <v>0</v>
      </c>
      <c r="L101" s="218"/>
    </row>
    <row r="102" spans="2:12">
      <c r="B102" s="202"/>
      <c r="C102" s="203"/>
      <c r="D102" s="203"/>
      <c r="E102" s="203"/>
      <c r="F102" s="203"/>
      <c r="G102" s="203"/>
      <c r="H102" s="204"/>
      <c r="I102" s="556" t="s">
        <v>1221</v>
      </c>
      <c r="J102" s="556"/>
      <c r="K102" s="220">
        <f>SUM(K100:K101)</f>
        <v>1212.6524999999999</v>
      </c>
      <c r="L102" s="207"/>
    </row>
    <row r="103" spans="2:12">
      <c r="B103" s="208"/>
      <c r="C103" s="204"/>
      <c r="D103" s="204"/>
      <c r="E103" s="204"/>
      <c r="F103" s="204"/>
      <c r="G103" s="204"/>
      <c r="H103" s="209"/>
      <c r="I103" s="557" t="s">
        <v>1222</v>
      </c>
      <c r="J103" s="557"/>
      <c r="K103" s="221">
        <v>3985</v>
      </c>
      <c r="L103" s="207"/>
    </row>
    <row r="104" spans="2:12">
      <c r="B104" s="208"/>
      <c r="C104" s="204"/>
      <c r="D104" s="204"/>
      <c r="E104" s="204"/>
      <c r="F104" s="204"/>
      <c r="G104" s="204"/>
      <c r="H104" s="558" t="s">
        <v>1223</v>
      </c>
      <c r="I104" s="558"/>
      <c r="J104" s="558"/>
      <c r="K104" s="222"/>
      <c r="L104" s="207"/>
    </row>
    <row r="105" spans="2:12">
      <c r="B105" s="208"/>
      <c r="C105" s="204"/>
      <c r="D105" s="204"/>
      <c r="E105" s="204"/>
      <c r="F105" s="204"/>
      <c r="G105" s="204"/>
      <c r="H105" s="558" t="s">
        <v>1190</v>
      </c>
      <c r="I105" s="558"/>
      <c r="J105" s="558"/>
      <c r="K105" s="222">
        <f>IF(K102&gt;K103,K103,K102)-K104</f>
        <v>1212.6524999999999</v>
      </c>
      <c r="L105" s="207"/>
    </row>
    <row r="106" spans="2:12">
      <c r="B106" s="213"/>
      <c r="C106" s="214"/>
      <c r="D106" s="214"/>
      <c r="E106" s="214"/>
      <c r="F106" s="214"/>
      <c r="G106" s="214"/>
      <c r="H106" s="559" t="s">
        <v>1224</v>
      </c>
      <c r="I106" s="559"/>
      <c r="J106" s="559"/>
      <c r="K106" s="223">
        <f>IF(K102&gt;K103,K102-K103,0)</f>
        <v>0</v>
      </c>
      <c r="L106" s="209"/>
    </row>
    <row r="108" spans="2:12" ht="14.25" customHeight="1">
      <c r="B108" s="555" t="s">
        <v>1237</v>
      </c>
      <c r="C108" s="555"/>
      <c r="D108" s="555"/>
      <c r="E108" s="555"/>
      <c r="F108" s="555"/>
      <c r="G108" s="555"/>
      <c r="H108" s="555"/>
      <c r="I108" s="555"/>
      <c r="J108" s="555"/>
      <c r="K108" s="555"/>
      <c r="L108" s="555"/>
    </row>
    <row r="109" spans="2:12">
      <c r="B109" s="187" t="s">
        <v>1209</v>
      </c>
      <c r="C109" s="187"/>
      <c r="D109" s="187" t="s">
        <v>39</v>
      </c>
      <c r="E109" s="187" t="s">
        <v>1210</v>
      </c>
      <c r="F109" s="187" t="s">
        <v>1211</v>
      </c>
      <c r="G109" s="187" t="s">
        <v>1212</v>
      </c>
      <c r="H109" s="187" t="s">
        <v>1213</v>
      </c>
      <c r="I109" s="187" t="s">
        <v>1214</v>
      </c>
      <c r="J109" s="187" t="s">
        <v>1215</v>
      </c>
      <c r="K109" s="187" t="s">
        <v>1216</v>
      </c>
      <c r="L109" s="187" t="s">
        <v>1217</v>
      </c>
    </row>
    <row r="110" spans="2:12">
      <c r="B110" s="188" t="s">
        <v>1238</v>
      </c>
      <c r="C110" s="189" t="s">
        <v>1219</v>
      </c>
      <c r="D110" s="190" t="s">
        <v>113</v>
      </c>
      <c r="E110" s="191"/>
      <c r="F110" s="192"/>
      <c r="G110" s="192"/>
      <c r="H110" s="191"/>
      <c r="I110" s="191">
        <v>8200</v>
      </c>
      <c r="J110" s="216"/>
      <c r="K110" s="217">
        <f>IF(E110*F110*G110&lt;&gt;0,E110*F110*G110,IF(E110*F110&lt;&gt;0,E110*F110,IF(F110*G110&lt;&gt;0,F110*G110,IF(E110*G110&lt;&gt;0,E110*G110,IF(E110&lt;&gt;0,E110,IF(F110&lt;&gt;0,F110,IF(G110&lt;&gt;0,G110,0)))))))*(IF(H110&lt;&gt;0,H110,1))+I110-J110</f>
        <v>8200</v>
      </c>
      <c r="L110" s="218"/>
    </row>
    <row r="111" spans="2:12">
      <c r="B111" s="197"/>
      <c r="C111" s="189"/>
      <c r="D111" s="198"/>
      <c r="E111" s="199"/>
      <c r="F111" s="199"/>
      <c r="G111" s="199"/>
      <c r="H111" s="199"/>
      <c r="I111" s="199"/>
      <c r="J111" s="219"/>
      <c r="K111" s="217">
        <f>IF(E111*F111*G111&lt;&gt;0,E111*F111*G111,IF(E111*F111&lt;&gt;0,E111*F111,IF(F111*G111&lt;&gt;0,F111*G111,IF(E111*G111&lt;&gt;0,E111*G111,IF(E111&lt;&gt;0,E111,IF(F111&lt;&gt;0,F111,IF(G111&lt;&gt;0,G111,0)))))))*(IF(H111&lt;&gt;0,H111,1))+I111-J111</f>
        <v>0</v>
      </c>
      <c r="L111" s="218"/>
    </row>
    <row r="112" spans="2:12">
      <c r="B112" s="202"/>
      <c r="C112" s="203"/>
      <c r="D112" s="203"/>
      <c r="E112" s="203"/>
      <c r="F112" s="203"/>
      <c r="G112" s="203"/>
      <c r="H112" s="204"/>
      <c r="I112" s="556" t="s">
        <v>1221</v>
      </c>
      <c r="J112" s="556"/>
      <c r="K112" s="220">
        <f>SUM(K110:K111)</f>
        <v>8200</v>
      </c>
      <c r="L112" s="207"/>
    </row>
    <row r="113" spans="2:15">
      <c r="B113" s="208"/>
      <c r="C113" s="204"/>
      <c r="D113" s="204"/>
      <c r="E113" s="204"/>
      <c r="F113" s="204"/>
      <c r="G113" s="204"/>
      <c r="H113" s="209"/>
      <c r="I113" s="557" t="s">
        <v>1222</v>
      </c>
      <c r="J113" s="557"/>
      <c r="K113" s="221">
        <v>119550</v>
      </c>
      <c r="L113" s="207"/>
    </row>
    <row r="114" spans="2:15">
      <c r="B114" s="208"/>
      <c r="C114" s="204"/>
      <c r="D114" s="204"/>
      <c r="E114" s="204"/>
      <c r="F114" s="204"/>
      <c r="G114" s="204"/>
      <c r="H114" s="558" t="s">
        <v>1223</v>
      </c>
      <c r="I114" s="558"/>
      <c r="J114" s="558"/>
      <c r="K114" s="222"/>
      <c r="L114" s="207"/>
    </row>
    <row r="115" spans="2:15">
      <c r="B115" s="208"/>
      <c r="C115" s="204"/>
      <c r="D115" s="204"/>
      <c r="E115" s="204"/>
      <c r="F115" s="204"/>
      <c r="G115" s="204"/>
      <c r="H115" s="558" t="s">
        <v>1190</v>
      </c>
      <c r="I115" s="558"/>
      <c r="J115" s="558"/>
      <c r="K115" s="222">
        <f>IF(K112&gt;K113,K113,K112)-K114</f>
        <v>8200</v>
      </c>
      <c r="L115" s="207"/>
    </row>
    <row r="116" spans="2:15">
      <c r="B116" s="213"/>
      <c r="C116" s="214"/>
      <c r="D116" s="214"/>
      <c r="E116" s="214"/>
      <c r="F116" s="214"/>
      <c r="G116" s="214"/>
      <c r="H116" s="559" t="s">
        <v>1224</v>
      </c>
      <c r="I116" s="559"/>
      <c r="J116" s="559"/>
      <c r="K116" s="223">
        <f>IF(K112&gt;K113,K112-K113,0)</f>
        <v>0</v>
      </c>
      <c r="L116" s="209"/>
    </row>
    <row r="118" spans="2:15" ht="14.25" customHeight="1">
      <c r="B118" s="555" t="s">
        <v>1241</v>
      </c>
      <c r="C118" s="555"/>
      <c r="D118" s="555"/>
      <c r="E118" s="555"/>
      <c r="F118" s="555"/>
      <c r="G118" s="555"/>
      <c r="H118" s="555"/>
      <c r="I118" s="555"/>
      <c r="J118" s="555"/>
      <c r="K118" s="555"/>
      <c r="L118" s="555"/>
    </row>
    <row r="119" spans="2:15">
      <c r="B119" s="187" t="s">
        <v>1209</v>
      </c>
      <c r="C119" s="187"/>
      <c r="D119" s="187" t="s">
        <v>39</v>
      </c>
      <c r="E119" s="187" t="s">
        <v>1210</v>
      </c>
      <c r="F119" s="187" t="s">
        <v>1211</v>
      </c>
      <c r="G119" s="187" t="s">
        <v>1212</v>
      </c>
      <c r="H119" s="187" t="s">
        <v>1213</v>
      </c>
      <c r="I119" s="187" t="s">
        <v>1214</v>
      </c>
      <c r="J119" s="187" t="s">
        <v>1215</v>
      </c>
      <c r="K119" s="187" t="s">
        <v>1216</v>
      </c>
      <c r="L119" s="187" t="s">
        <v>1217</v>
      </c>
    </row>
    <row r="120" spans="2:15">
      <c r="B120" s="188" t="s">
        <v>117</v>
      </c>
      <c r="C120" s="189" t="s">
        <v>1240</v>
      </c>
      <c r="D120" s="190" t="s">
        <v>82</v>
      </c>
      <c r="E120" s="191">
        <v>10</v>
      </c>
      <c r="F120" s="192">
        <f>45/40</f>
        <v>1.125</v>
      </c>
      <c r="G120" s="192"/>
      <c r="H120" s="191">
        <v>147</v>
      </c>
      <c r="I120" s="191"/>
      <c r="J120" s="216"/>
      <c r="K120" s="217">
        <f>IF(E120*F120*G120&lt;&gt;0,E120*F120*G120,IF(E120*F120&lt;&gt;0,E120*F120,IF(F120*G120&lt;&gt;0,F120*G120,IF(E120*G120&lt;&gt;0,E120*G120,IF(E120&lt;&gt;0,E120,IF(F120&lt;&gt;0,F120,IF(G120&lt;&gt;0,G120,0)))))))*(IF(H120&lt;&gt;0,H120,1))+I120-J120</f>
        <v>1653.75</v>
      </c>
      <c r="L120" s="218"/>
    </row>
    <row r="121" spans="2:15">
      <c r="B121" s="197"/>
      <c r="C121" s="189"/>
      <c r="D121" s="198"/>
      <c r="E121" s="199"/>
      <c r="F121" s="199"/>
      <c r="G121" s="199"/>
      <c r="H121" s="199"/>
      <c r="I121" s="199"/>
      <c r="J121" s="219"/>
      <c r="K121" s="217">
        <f>IF(E121*F121*G121&lt;&gt;0,E121*F121*G121,IF(E121*F121&lt;&gt;0,E121*F121,IF(F121*G121&lt;&gt;0,F121*G121,IF(E121*G121&lt;&gt;0,E121*G121,IF(E121&lt;&gt;0,E121,IF(F121&lt;&gt;0,F121,IF(G121&lt;&gt;0,G121,0)))))))*(IF(H121&lt;&gt;0,H121,1))+I121-J121</f>
        <v>0</v>
      </c>
      <c r="L121" s="218"/>
    </row>
    <row r="122" spans="2:15">
      <c r="B122" s="202"/>
      <c r="C122" s="203"/>
      <c r="D122" s="203"/>
      <c r="E122" s="203"/>
      <c r="F122" s="203"/>
      <c r="G122" s="203"/>
      <c r="H122" s="204"/>
      <c r="I122" s="556" t="s">
        <v>1221</v>
      </c>
      <c r="J122" s="556"/>
      <c r="K122" s="220">
        <f>SUM(K120:K121)</f>
        <v>1653.75</v>
      </c>
      <c r="L122" s="207"/>
    </row>
    <row r="123" spans="2:15">
      <c r="B123" s="208"/>
      <c r="C123" s="204"/>
      <c r="D123" s="204"/>
      <c r="E123" s="204"/>
      <c r="F123" s="204"/>
      <c r="G123" s="204"/>
      <c r="H123" s="209"/>
      <c r="I123" s="557" t="s">
        <v>1222</v>
      </c>
      <c r="J123" s="557"/>
      <c r="K123" s="221">
        <v>1837</v>
      </c>
      <c r="L123" s="207"/>
    </row>
    <row r="124" spans="2:15">
      <c r="B124" s="208"/>
      <c r="C124" s="204"/>
      <c r="D124" s="204"/>
      <c r="E124" s="204"/>
      <c r="F124" s="204"/>
      <c r="G124" s="204"/>
      <c r="H124" s="558" t="s">
        <v>1223</v>
      </c>
      <c r="I124" s="558"/>
      <c r="J124" s="558"/>
      <c r="K124" s="222"/>
      <c r="L124" s="207"/>
    </row>
    <row r="125" spans="2:15">
      <c r="B125" s="208"/>
      <c r="C125" s="204"/>
      <c r="D125" s="204"/>
      <c r="E125" s="204"/>
      <c r="F125" s="204"/>
      <c r="G125" s="204"/>
      <c r="H125" s="558" t="s">
        <v>1199</v>
      </c>
      <c r="I125" s="558"/>
      <c r="J125" s="558"/>
      <c r="K125" s="222">
        <f>IF(K122&gt;K123,K123,K122)-K124</f>
        <v>1653.75</v>
      </c>
      <c r="L125" s="207"/>
      <c r="O125" s="224">
        <f>0.9*K123</f>
        <v>1653.3</v>
      </c>
    </row>
    <row r="126" spans="2:15">
      <c r="B126" s="213"/>
      <c r="C126" s="214"/>
      <c r="D126" s="214"/>
      <c r="E126" s="214"/>
      <c r="F126" s="214"/>
      <c r="G126" s="214"/>
      <c r="H126" s="559" t="s">
        <v>1224</v>
      </c>
      <c r="I126" s="559"/>
      <c r="J126" s="559"/>
      <c r="K126" s="223">
        <f>IF(K122&gt;K123,K122-K123,0)</f>
        <v>0</v>
      </c>
      <c r="L126" s="209"/>
    </row>
    <row r="128" spans="2:15" ht="14.25" customHeight="1">
      <c r="B128" s="555" t="s">
        <v>1242</v>
      </c>
      <c r="C128" s="555"/>
      <c r="D128" s="555"/>
      <c r="E128" s="555"/>
      <c r="F128" s="555"/>
      <c r="G128" s="555"/>
      <c r="H128" s="555"/>
      <c r="I128" s="555"/>
      <c r="J128" s="555"/>
      <c r="K128" s="555"/>
      <c r="L128" s="555"/>
    </row>
    <row r="129" spans="2:12">
      <c r="B129" s="187" t="s">
        <v>1209</v>
      </c>
      <c r="C129" s="187"/>
      <c r="D129" s="187" t="s">
        <v>39</v>
      </c>
      <c r="E129" s="187" t="s">
        <v>1210</v>
      </c>
      <c r="F129" s="187" t="s">
        <v>1211</v>
      </c>
      <c r="G129" s="187" t="s">
        <v>1212</v>
      </c>
      <c r="H129" s="187" t="s">
        <v>1213</v>
      </c>
      <c r="I129" s="187" t="s">
        <v>1214</v>
      </c>
      <c r="J129" s="187" t="s">
        <v>1215</v>
      </c>
      <c r="K129" s="187" t="s">
        <v>1216</v>
      </c>
      <c r="L129" s="187" t="s">
        <v>1217</v>
      </c>
    </row>
    <row r="130" spans="2:12">
      <c r="B130" s="188" t="s">
        <v>117</v>
      </c>
      <c r="C130" s="189" t="s">
        <v>1240</v>
      </c>
      <c r="D130" s="190" t="s">
        <v>110</v>
      </c>
      <c r="E130" s="191">
        <f>K125</f>
        <v>1653.75</v>
      </c>
      <c r="F130" s="192">
        <v>0.16</v>
      </c>
      <c r="G130" s="192"/>
      <c r="H130" s="191"/>
      <c r="I130" s="191"/>
      <c r="J130" s="216"/>
      <c r="K130" s="217">
        <f>IF(E130*F130*G130&lt;&gt;0,E130*F130*G130,IF(E130*F130&lt;&gt;0,E130*F130,IF(F130*G130&lt;&gt;0,F130*G130,IF(E130*G130&lt;&gt;0,E130*G130,IF(E130&lt;&gt;0,E130,IF(F130&lt;&gt;0,F130,IF(G130&lt;&gt;0,G130,0)))))))*(IF(H130&lt;&gt;0,H130,1))+I130-J130</f>
        <v>264.60000000000002</v>
      </c>
      <c r="L130" s="218"/>
    </row>
    <row r="131" spans="2:12">
      <c r="B131" s="197"/>
      <c r="C131" s="189"/>
      <c r="D131" s="198"/>
      <c r="E131" s="199"/>
      <c r="F131" s="199"/>
      <c r="G131" s="199"/>
      <c r="H131" s="199"/>
      <c r="I131" s="199"/>
      <c r="J131" s="219"/>
      <c r="K131" s="217">
        <f>IF(E131*F131*G131&lt;&gt;0,E131*F131*G131,IF(E131*F131&lt;&gt;0,E131*F131,IF(F131*G131&lt;&gt;0,F131*G131,IF(E131*G131&lt;&gt;0,E131*G131,IF(E131&lt;&gt;0,E131,IF(F131&lt;&gt;0,F131,IF(G131&lt;&gt;0,G131,0)))))))*(IF(H131&lt;&gt;0,H131,1))+I131-J131</f>
        <v>0</v>
      </c>
      <c r="L131" s="218"/>
    </row>
    <row r="132" spans="2:12">
      <c r="B132" s="202"/>
      <c r="C132" s="203"/>
      <c r="D132" s="203"/>
      <c r="E132" s="203"/>
      <c r="F132" s="203"/>
      <c r="G132" s="203"/>
      <c r="H132" s="204"/>
      <c r="I132" s="556" t="s">
        <v>1221</v>
      </c>
      <c r="J132" s="556"/>
      <c r="K132" s="220">
        <f>SUM(K130:K131)</f>
        <v>264.60000000000002</v>
      </c>
      <c r="L132" s="207"/>
    </row>
    <row r="133" spans="2:12">
      <c r="B133" s="208"/>
      <c r="C133" s="204"/>
      <c r="D133" s="204"/>
      <c r="E133" s="204"/>
      <c r="F133" s="204"/>
      <c r="G133" s="204"/>
      <c r="H133" s="209"/>
      <c r="I133" s="557" t="s">
        <v>1222</v>
      </c>
      <c r="J133" s="557"/>
      <c r="K133" s="221">
        <v>293.92</v>
      </c>
      <c r="L133" s="207"/>
    </row>
    <row r="134" spans="2:12">
      <c r="B134" s="208"/>
      <c r="C134" s="204"/>
      <c r="D134" s="204"/>
      <c r="E134" s="204"/>
      <c r="F134" s="204"/>
      <c r="G134" s="204"/>
      <c r="H134" s="558" t="s">
        <v>1223</v>
      </c>
      <c r="I134" s="558"/>
      <c r="J134" s="558"/>
      <c r="K134" s="222"/>
      <c r="L134" s="207"/>
    </row>
    <row r="135" spans="2:12">
      <c r="B135" s="208"/>
      <c r="C135" s="204"/>
      <c r="D135" s="204"/>
      <c r="E135" s="204"/>
      <c r="F135" s="204"/>
      <c r="G135" s="204"/>
      <c r="H135" s="558" t="s">
        <v>1199</v>
      </c>
      <c r="I135" s="558"/>
      <c r="J135" s="558"/>
      <c r="K135" s="222">
        <f>IF(K132&gt;K133,K133,K132)-K134</f>
        <v>264.60000000000002</v>
      </c>
      <c r="L135" s="207"/>
    </row>
    <row r="136" spans="2:12">
      <c r="B136" s="213"/>
      <c r="C136" s="214"/>
      <c r="D136" s="214"/>
      <c r="E136" s="214"/>
      <c r="F136" s="214"/>
      <c r="G136" s="214"/>
      <c r="H136" s="559" t="s">
        <v>1224</v>
      </c>
      <c r="I136" s="559"/>
      <c r="J136" s="559"/>
      <c r="K136" s="223">
        <f>IF(K132&gt;K133,K132-K133,0)</f>
        <v>0</v>
      </c>
      <c r="L136" s="209"/>
    </row>
    <row r="138" spans="2:12" ht="14.25" customHeight="1">
      <c r="B138" s="555" t="s">
        <v>1243</v>
      </c>
      <c r="C138" s="555"/>
      <c r="D138" s="555"/>
      <c r="E138" s="555"/>
      <c r="F138" s="555"/>
      <c r="G138" s="555"/>
      <c r="H138" s="555"/>
      <c r="I138" s="555"/>
      <c r="J138" s="555"/>
      <c r="K138" s="555"/>
      <c r="L138" s="555"/>
    </row>
    <row r="139" spans="2:12">
      <c r="B139" s="187" t="s">
        <v>1209</v>
      </c>
      <c r="C139" s="187"/>
      <c r="D139" s="187" t="s">
        <v>39</v>
      </c>
      <c r="E139" s="187" t="s">
        <v>1210</v>
      </c>
      <c r="F139" s="187" t="s">
        <v>1211</v>
      </c>
      <c r="G139" s="187" t="s">
        <v>1212</v>
      </c>
      <c r="H139" s="187" t="s">
        <v>1213</v>
      </c>
      <c r="I139" s="187" t="s">
        <v>1214</v>
      </c>
      <c r="J139" s="187" t="s">
        <v>1215</v>
      </c>
      <c r="K139" s="187" t="s">
        <v>1216</v>
      </c>
      <c r="L139" s="187" t="s">
        <v>1217</v>
      </c>
    </row>
    <row r="140" spans="2:12">
      <c r="B140" s="188" t="s">
        <v>117</v>
      </c>
      <c r="C140" s="189" t="s">
        <v>1240</v>
      </c>
      <c r="D140" s="190" t="s">
        <v>113</v>
      </c>
      <c r="E140" s="191">
        <f>K125</f>
        <v>1653.75</v>
      </c>
      <c r="F140" s="192">
        <v>0.16</v>
      </c>
      <c r="G140" s="192"/>
      <c r="H140" s="191">
        <v>30</v>
      </c>
      <c r="I140" s="191"/>
      <c r="J140" s="216"/>
      <c r="K140" s="217">
        <f>IF(E140*F140*G140&lt;&gt;0,E140*F140*G140,IF(E140*F140&lt;&gt;0,E140*F140,IF(F140*G140&lt;&gt;0,F140*G140,IF(E140*G140&lt;&gt;0,E140*G140,IF(E140&lt;&gt;0,E140,IF(F140&lt;&gt;0,F140,IF(G140&lt;&gt;0,G140,0)))))))*(IF(H140&lt;&gt;0,H140,1))+I140-J140</f>
        <v>7938.0000000000009</v>
      </c>
      <c r="L140" s="218"/>
    </row>
    <row r="141" spans="2:12">
      <c r="B141" s="197"/>
      <c r="C141" s="189"/>
      <c r="D141" s="198"/>
      <c r="E141" s="199"/>
      <c r="F141" s="199"/>
      <c r="G141" s="199"/>
      <c r="H141" s="199"/>
      <c r="I141" s="199"/>
      <c r="J141" s="219"/>
      <c r="K141" s="217">
        <f>IF(E141*F141*G141&lt;&gt;0,E141*F141*G141,IF(E141*F141&lt;&gt;0,E141*F141,IF(F141*G141&lt;&gt;0,F141*G141,IF(E141*G141&lt;&gt;0,E141*G141,IF(E141&lt;&gt;0,E141,IF(F141&lt;&gt;0,F141,IF(G141&lt;&gt;0,G141,0)))))))*(IF(H141&lt;&gt;0,H141,1))+I141-J141</f>
        <v>0</v>
      </c>
      <c r="L141" s="218"/>
    </row>
    <row r="142" spans="2:12">
      <c r="B142" s="202"/>
      <c r="C142" s="203"/>
      <c r="D142" s="203"/>
      <c r="E142" s="203"/>
      <c r="F142" s="203"/>
      <c r="G142" s="203"/>
      <c r="H142" s="204"/>
      <c r="I142" s="556" t="s">
        <v>1221</v>
      </c>
      <c r="J142" s="556"/>
      <c r="K142" s="220">
        <f>SUM(K140:K141)</f>
        <v>7938.0000000000009</v>
      </c>
      <c r="L142" s="207"/>
    </row>
    <row r="143" spans="2:12">
      <c r="B143" s="208"/>
      <c r="C143" s="204"/>
      <c r="D143" s="204"/>
      <c r="E143" s="204"/>
      <c r="F143" s="204"/>
      <c r="G143" s="204"/>
      <c r="H143" s="209"/>
      <c r="I143" s="557" t="s">
        <v>1222</v>
      </c>
      <c r="J143" s="557"/>
      <c r="K143" s="221">
        <v>8817.6</v>
      </c>
      <c r="L143" s="207"/>
    </row>
    <row r="144" spans="2:12">
      <c r="B144" s="208"/>
      <c r="C144" s="204"/>
      <c r="D144" s="204"/>
      <c r="E144" s="204"/>
      <c r="F144" s="204"/>
      <c r="G144" s="204"/>
      <c r="H144" s="558" t="s">
        <v>1223</v>
      </c>
      <c r="I144" s="558"/>
      <c r="J144" s="558"/>
      <c r="K144" s="222"/>
      <c r="L144" s="207"/>
    </row>
    <row r="145" spans="2:12">
      <c r="B145" s="208"/>
      <c r="C145" s="204"/>
      <c r="D145" s="204"/>
      <c r="E145" s="204"/>
      <c r="F145" s="204"/>
      <c r="G145" s="204"/>
      <c r="H145" s="558" t="s">
        <v>1199</v>
      </c>
      <c r="I145" s="558"/>
      <c r="J145" s="558"/>
      <c r="K145" s="222">
        <f>IF(K142&gt;K143,K143,K142)-K144</f>
        <v>7938.0000000000009</v>
      </c>
      <c r="L145" s="207"/>
    </row>
    <row r="146" spans="2:12">
      <c r="B146" s="213"/>
      <c r="C146" s="214"/>
      <c r="D146" s="214"/>
      <c r="E146" s="214"/>
      <c r="F146" s="214"/>
      <c r="G146" s="214"/>
      <c r="H146" s="559" t="s">
        <v>1224</v>
      </c>
      <c r="I146" s="559"/>
      <c r="J146" s="559"/>
      <c r="K146" s="223">
        <f>IF(K142&gt;K143,K142-K143,0)</f>
        <v>0</v>
      </c>
      <c r="L146" s="209"/>
    </row>
    <row r="148" spans="2:12" ht="14.25" customHeight="1">
      <c r="B148" s="555" t="s">
        <v>1244</v>
      </c>
      <c r="C148" s="555"/>
      <c r="D148" s="555"/>
      <c r="E148" s="555"/>
      <c r="F148" s="555"/>
      <c r="G148" s="555"/>
      <c r="H148" s="555"/>
      <c r="I148" s="555"/>
      <c r="J148" s="555"/>
      <c r="K148" s="555"/>
      <c r="L148" s="555"/>
    </row>
    <row r="149" spans="2:12">
      <c r="B149" s="187" t="s">
        <v>1209</v>
      </c>
      <c r="C149" s="187"/>
      <c r="D149" s="187" t="s">
        <v>39</v>
      </c>
      <c r="E149" s="187" t="s">
        <v>1210</v>
      </c>
      <c r="F149" s="187" t="s">
        <v>1211</v>
      </c>
      <c r="G149" s="187" t="s">
        <v>1212</v>
      </c>
      <c r="H149" s="187" t="s">
        <v>1213</v>
      </c>
      <c r="I149" s="187" t="s">
        <v>1214</v>
      </c>
      <c r="J149" s="187" t="s">
        <v>1215</v>
      </c>
      <c r="K149" s="187" t="s">
        <v>1216</v>
      </c>
      <c r="L149" s="187" t="s">
        <v>1217</v>
      </c>
    </row>
    <row r="150" spans="2:12">
      <c r="B150" s="188" t="s">
        <v>117</v>
      </c>
      <c r="C150" s="189" t="s">
        <v>1240</v>
      </c>
      <c r="D150" s="190" t="s">
        <v>39</v>
      </c>
      <c r="E150" s="191"/>
      <c r="F150" s="192"/>
      <c r="G150" s="192"/>
      <c r="H150" s="191"/>
      <c r="I150" s="191">
        <v>40</v>
      </c>
      <c r="J150" s="216"/>
      <c r="K150" s="217">
        <f>IF(E150*F150*G150&lt;&gt;0,E150*F150*G150,IF(E150*F150&lt;&gt;0,E150*F150,IF(F150*G150&lt;&gt;0,F150*G150,IF(E150*G150&lt;&gt;0,E150*G150,IF(E150&lt;&gt;0,E150,IF(F150&lt;&gt;0,F150,IF(G150&lt;&gt;0,G150,0)))))))*(IF(H150&lt;&gt;0,H150,1))+I150-J150</f>
        <v>40</v>
      </c>
      <c r="L150" s="218"/>
    </row>
    <row r="151" spans="2:12">
      <c r="B151" s="197"/>
      <c r="C151" s="189"/>
      <c r="D151" s="198"/>
      <c r="E151" s="199"/>
      <c r="F151" s="199"/>
      <c r="G151" s="199"/>
      <c r="H151" s="199"/>
      <c r="I151" s="199"/>
      <c r="J151" s="219"/>
      <c r="K151" s="217">
        <f>IF(E151*F151*G151&lt;&gt;0,E151*F151*G151,IF(E151*F151&lt;&gt;0,E151*F151,IF(F151*G151&lt;&gt;0,F151*G151,IF(E151*G151&lt;&gt;0,E151*G151,IF(E151&lt;&gt;0,E151,IF(F151&lt;&gt;0,F151,IF(G151&lt;&gt;0,G151,0)))))))*(IF(H151&lt;&gt;0,H151,1))+I151-J151</f>
        <v>0</v>
      </c>
      <c r="L151" s="218"/>
    </row>
    <row r="152" spans="2:12">
      <c r="B152" s="202"/>
      <c r="C152" s="203"/>
      <c r="D152" s="203"/>
      <c r="E152" s="203"/>
      <c r="F152" s="203"/>
      <c r="G152" s="203"/>
      <c r="H152" s="204"/>
      <c r="I152" s="556" t="s">
        <v>1221</v>
      </c>
      <c r="J152" s="556"/>
      <c r="K152" s="220">
        <f>SUM(K150:K151)</f>
        <v>40</v>
      </c>
      <c r="L152" s="207"/>
    </row>
    <row r="153" spans="2:12">
      <c r="B153" s="208"/>
      <c r="C153" s="204"/>
      <c r="D153" s="204"/>
      <c r="E153" s="204"/>
      <c r="F153" s="204"/>
      <c r="G153" s="204"/>
      <c r="H153" s="209"/>
      <c r="I153" s="557" t="s">
        <v>1222</v>
      </c>
      <c r="J153" s="557"/>
      <c r="K153" s="221">
        <v>167</v>
      </c>
      <c r="L153" s="207"/>
    </row>
    <row r="154" spans="2:12">
      <c r="B154" s="208"/>
      <c r="C154" s="204"/>
      <c r="D154" s="204"/>
      <c r="E154" s="204"/>
      <c r="F154" s="204"/>
      <c r="G154" s="204"/>
      <c r="H154" s="558" t="s">
        <v>1223</v>
      </c>
      <c r="I154" s="558"/>
      <c r="J154" s="558"/>
      <c r="K154" s="222"/>
      <c r="L154" s="207"/>
    </row>
    <row r="155" spans="2:12">
      <c r="B155" s="208"/>
      <c r="C155" s="204"/>
      <c r="D155" s="204"/>
      <c r="E155" s="204"/>
      <c r="F155" s="204"/>
      <c r="G155" s="204"/>
      <c r="H155" s="558" t="s">
        <v>1199</v>
      </c>
      <c r="I155" s="558"/>
      <c r="J155" s="558"/>
      <c r="K155" s="222">
        <f>IF(K152&gt;K153,K153,K152)-K154</f>
        <v>40</v>
      </c>
      <c r="L155" s="207"/>
    </row>
    <row r="156" spans="2:12">
      <c r="B156" s="213"/>
      <c r="C156" s="214"/>
      <c r="D156" s="214"/>
      <c r="E156" s="214"/>
      <c r="F156" s="214"/>
      <c r="G156" s="214"/>
      <c r="H156" s="559" t="s">
        <v>1224</v>
      </c>
      <c r="I156" s="559"/>
      <c r="J156" s="559"/>
      <c r="K156" s="223">
        <f>IF(K152&gt;K153,K152-K153,0)</f>
        <v>0</v>
      </c>
      <c r="L156" s="209"/>
    </row>
    <row r="158" spans="2:12" ht="14.25" customHeight="1">
      <c r="B158" s="555" t="s">
        <v>1245</v>
      </c>
      <c r="C158" s="555"/>
      <c r="D158" s="555"/>
      <c r="E158" s="555"/>
      <c r="F158" s="555"/>
      <c r="G158" s="555"/>
      <c r="H158" s="555"/>
      <c r="I158" s="555"/>
      <c r="J158" s="555"/>
      <c r="K158" s="555"/>
      <c r="L158" s="555"/>
    </row>
    <row r="159" spans="2:12">
      <c r="B159" s="187" t="s">
        <v>1209</v>
      </c>
      <c r="C159" s="187"/>
      <c r="D159" s="187" t="s">
        <v>39</v>
      </c>
      <c r="E159" s="187" t="s">
        <v>1210</v>
      </c>
      <c r="F159" s="187" t="s">
        <v>1211</v>
      </c>
      <c r="G159" s="187" t="s">
        <v>1212</v>
      </c>
      <c r="H159" s="187" t="s">
        <v>1213</v>
      </c>
      <c r="I159" s="187" t="s">
        <v>1214</v>
      </c>
      <c r="J159" s="187" t="s">
        <v>1215</v>
      </c>
      <c r="K159" s="187" t="s">
        <v>1216</v>
      </c>
      <c r="L159" s="187" t="s">
        <v>1217</v>
      </c>
    </row>
    <row r="160" spans="2:12">
      <c r="B160" s="188" t="s">
        <v>1246</v>
      </c>
      <c r="C160" s="189" t="s">
        <v>1240</v>
      </c>
      <c r="D160" s="190" t="s">
        <v>39</v>
      </c>
      <c r="E160" s="191"/>
      <c r="F160" s="192"/>
      <c r="G160" s="192"/>
      <c r="H160" s="191"/>
      <c r="I160" s="191">
        <v>1</v>
      </c>
      <c r="J160" s="216"/>
      <c r="K160" s="217">
        <f>IF(E160*F160*G160&lt;&gt;0,E160*F160*G160,IF(E160*F160&lt;&gt;0,E160*F160,IF(F160*G160&lt;&gt;0,F160*G160,IF(E160*G160&lt;&gt;0,E160*G160,IF(E160&lt;&gt;0,E160,IF(F160&lt;&gt;0,F160,IF(G160&lt;&gt;0,G160,0)))))))*(IF(H160&lt;&gt;0,H160,1))+I160-J160</f>
        <v>1</v>
      </c>
      <c r="L160" s="218"/>
    </row>
    <row r="161" spans="2:12">
      <c r="B161" s="197"/>
      <c r="C161" s="189"/>
      <c r="D161" s="198"/>
      <c r="E161" s="199"/>
      <c r="F161" s="199"/>
      <c r="G161" s="199"/>
      <c r="H161" s="199"/>
      <c r="I161" s="199"/>
      <c r="J161" s="219"/>
      <c r="K161" s="217">
        <f>IF(E161*F161*G161&lt;&gt;0,E161*F161*G161,IF(E161*F161&lt;&gt;0,E161*F161,IF(F161*G161&lt;&gt;0,F161*G161,IF(E161*G161&lt;&gt;0,E161*G161,IF(E161&lt;&gt;0,E161,IF(F161&lt;&gt;0,F161,IF(G161&lt;&gt;0,G161,0)))))))*(IF(H161&lt;&gt;0,H161,1))+I161-J161</f>
        <v>0</v>
      </c>
      <c r="L161" s="218"/>
    </row>
    <row r="162" spans="2:12">
      <c r="B162" s="202"/>
      <c r="C162" s="203"/>
      <c r="D162" s="203"/>
      <c r="E162" s="203"/>
      <c r="F162" s="203"/>
      <c r="G162" s="203"/>
      <c r="H162" s="204"/>
      <c r="I162" s="556" t="s">
        <v>1221</v>
      </c>
      <c r="J162" s="556"/>
      <c r="K162" s="220">
        <f>SUM(K160:K161)</f>
        <v>1</v>
      </c>
      <c r="L162" s="207"/>
    </row>
    <row r="163" spans="2:12">
      <c r="B163" s="208"/>
      <c r="C163" s="204"/>
      <c r="D163" s="204"/>
      <c r="E163" s="204"/>
      <c r="F163" s="204"/>
      <c r="G163" s="204"/>
      <c r="H163" s="209"/>
      <c r="I163" s="557" t="s">
        <v>1222</v>
      </c>
      <c r="J163" s="557"/>
      <c r="K163" s="221">
        <v>2</v>
      </c>
      <c r="L163" s="207"/>
    </row>
    <row r="164" spans="2:12">
      <c r="B164" s="208"/>
      <c r="C164" s="204"/>
      <c r="D164" s="204"/>
      <c r="E164" s="204"/>
      <c r="F164" s="204"/>
      <c r="G164" s="204"/>
      <c r="H164" s="558" t="s">
        <v>1223</v>
      </c>
      <c r="I164" s="558"/>
      <c r="J164" s="558"/>
      <c r="K164" s="222"/>
      <c r="L164" s="207"/>
    </row>
    <row r="165" spans="2:12">
      <c r="B165" s="208"/>
      <c r="C165" s="204"/>
      <c r="D165" s="204"/>
      <c r="E165" s="204"/>
      <c r="F165" s="204"/>
      <c r="G165" s="204"/>
      <c r="H165" s="558" t="s">
        <v>1199</v>
      </c>
      <c r="I165" s="558"/>
      <c r="J165" s="558"/>
      <c r="K165" s="222">
        <f>IF(K162&gt;K163,K163,K162)-K164</f>
        <v>1</v>
      </c>
      <c r="L165" s="207"/>
    </row>
    <row r="166" spans="2:12">
      <c r="B166" s="213"/>
      <c r="C166" s="214"/>
      <c r="D166" s="214"/>
      <c r="E166" s="214"/>
      <c r="F166" s="214"/>
      <c r="G166" s="214"/>
      <c r="H166" s="559" t="s">
        <v>1224</v>
      </c>
      <c r="I166" s="559"/>
      <c r="J166" s="559"/>
      <c r="K166" s="223">
        <f>IF(K162&gt;K163,K162-K163,0)</f>
        <v>0</v>
      </c>
      <c r="L166" s="209"/>
    </row>
  </sheetData>
  <mergeCells count="100">
    <mergeCell ref="I162:J162"/>
    <mergeCell ref="I163:J163"/>
    <mergeCell ref="H164:J164"/>
    <mergeCell ref="H165:J165"/>
    <mergeCell ref="H166:J166"/>
    <mergeCell ref="I153:J153"/>
    <mergeCell ref="H154:J154"/>
    <mergeCell ref="H155:J155"/>
    <mergeCell ref="H156:J156"/>
    <mergeCell ref="B158:L158"/>
    <mergeCell ref="H144:J144"/>
    <mergeCell ref="H145:J145"/>
    <mergeCell ref="H146:J146"/>
    <mergeCell ref="B148:L148"/>
    <mergeCell ref="I152:J152"/>
    <mergeCell ref="H135:J135"/>
    <mergeCell ref="H136:J136"/>
    <mergeCell ref="B138:L138"/>
    <mergeCell ref="I142:J142"/>
    <mergeCell ref="I143:J143"/>
    <mergeCell ref="H126:J126"/>
    <mergeCell ref="B128:L128"/>
    <mergeCell ref="I132:J132"/>
    <mergeCell ref="I133:J133"/>
    <mergeCell ref="H134:J134"/>
    <mergeCell ref="B118:L118"/>
    <mergeCell ref="I122:J122"/>
    <mergeCell ref="I123:J123"/>
    <mergeCell ref="H124:J124"/>
    <mergeCell ref="H125:J125"/>
    <mergeCell ref="I112:J112"/>
    <mergeCell ref="I113:J113"/>
    <mergeCell ref="H114:J114"/>
    <mergeCell ref="H115:J115"/>
    <mergeCell ref="H116:J116"/>
    <mergeCell ref="I103:J103"/>
    <mergeCell ref="H104:J104"/>
    <mergeCell ref="H105:J105"/>
    <mergeCell ref="H106:J106"/>
    <mergeCell ref="B108:L108"/>
    <mergeCell ref="H94:J94"/>
    <mergeCell ref="H95:J95"/>
    <mergeCell ref="H96:J96"/>
    <mergeCell ref="B98:L98"/>
    <mergeCell ref="I102:J102"/>
    <mergeCell ref="H85:J85"/>
    <mergeCell ref="H86:J86"/>
    <mergeCell ref="B88:L88"/>
    <mergeCell ref="I92:J92"/>
    <mergeCell ref="I93:J93"/>
    <mergeCell ref="H76:J76"/>
    <mergeCell ref="B78:L78"/>
    <mergeCell ref="I82:J82"/>
    <mergeCell ref="I83:J83"/>
    <mergeCell ref="H84:J84"/>
    <mergeCell ref="B68:L68"/>
    <mergeCell ref="I72:J72"/>
    <mergeCell ref="I73:J73"/>
    <mergeCell ref="H74:J74"/>
    <mergeCell ref="H75:J75"/>
    <mergeCell ref="I62:J62"/>
    <mergeCell ref="I63:J63"/>
    <mergeCell ref="H64:J64"/>
    <mergeCell ref="H65:J65"/>
    <mergeCell ref="H66:J66"/>
    <mergeCell ref="I53:J53"/>
    <mergeCell ref="H54:J54"/>
    <mergeCell ref="H55:J55"/>
    <mergeCell ref="H56:J56"/>
    <mergeCell ref="B58:L58"/>
    <mergeCell ref="H44:J44"/>
    <mergeCell ref="H45:J45"/>
    <mergeCell ref="H46:J46"/>
    <mergeCell ref="B48:L48"/>
    <mergeCell ref="I52:J52"/>
    <mergeCell ref="H35:J35"/>
    <mergeCell ref="H36:J36"/>
    <mergeCell ref="B38:L38"/>
    <mergeCell ref="I42:J42"/>
    <mergeCell ref="I43:J43"/>
    <mergeCell ref="H26:J26"/>
    <mergeCell ref="B28:L28"/>
    <mergeCell ref="I32:J32"/>
    <mergeCell ref="I33:J33"/>
    <mergeCell ref="H34:J34"/>
    <mergeCell ref="B18:L18"/>
    <mergeCell ref="I22:J22"/>
    <mergeCell ref="I23:J23"/>
    <mergeCell ref="H24:J24"/>
    <mergeCell ref="H25:J25"/>
    <mergeCell ref="I12:J12"/>
    <mergeCell ref="I13:J13"/>
    <mergeCell ref="H14:J14"/>
    <mergeCell ref="H15:J15"/>
    <mergeCell ref="H16:J16"/>
    <mergeCell ref="B2:L2"/>
    <mergeCell ref="B3:L3"/>
    <mergeCell ref="B4:L4"/>
    <mergeCell ref="B6:L6"/>
    <mergeCell ref="B8:L8"/>
  </mergeCells>
  <printOptions horizontalCentered="1"/>
  <pageMargins left="0.51180555555555596" right="0.51180555555555596" top="0.78749999999999998" bottom="0.98402777777777795" header="0.511811023622047" footer="0.511811023622047"/>
  <pageSetup paperSize="9" scale="56" fitToHeight="1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38"/>
  <sheetViews>
    <sheetView view="pageBreakPreview" topLeftCell="B617" zoomScale="75" zoomScaleNormal="70" zoomScalePageLayoutView="75" workbookViewId="0">
      <selection activeCell="J631" sqref="J631"/>
    </sheetView>
  </sheetViews>
  <sheetFormatPr defaultColWidth="9.109375" defaultRowHeight="14.4"/>
  <cols>
    <col min="1" max="1" width="3.6640625" style="2" hidden="1" customWidth="1"/>
    <col min="2" max="2" width="11.33203125" style="2" customWidth="1"/>
    <col min="3" max="3" width="50" style="2" customWidth="1"/>
    <col min="4" max="4" width="5.88671875" style="3" customWidth="1"/>
    <col min="5" max="5" width="22.6640625" style="4" customWidth="1"/>
    <col min="6" max="7" width="15.88671875" style="4" customWidth="1"/>
    <col min="8" max="8" width="4.44140625" style="4" hidden="1" customWidth="1"/>
    <col min="9" max="9" width="13" style="4" customWidth="1"/>
    <col min="10" max="10" width="14.33203125" style="5" customWidth="1"/>
    <col min="11" max="11" width="17" style="5" hidden="1" customWidth="1"/>
    <col min="12" max="12" width="15.88671875" style="5" customWidth="1"/>
    <col min="13" max="13" width="25.33203125" style="5" hidden="1" customWidth="1"/>
    <col min="14" max="15" width="23.5546875" style="5" customWidth="1"/>
    <col min="16" max="16" width="23.5546875" style="6" hidden="1" customWidth="1"/>
    <col min="17" max="17" width="23.5546875" style="6" customWidth="1"/>
    <col min="18" max="18" width="23.5546875" style="5" customWidth="1"/>
    <col min="19" max="19" width="3" style="2" customWidth="1"/>
    <col min="20" max="20" width="23.33203125" style="2" customWidth="1"/>
    <col min="21" max="21" width="22.6640625" style="2" customWidth="1"/>
    <col min="22" max="22" width="21.44140625" style="2" customWidth="1"/>
    <col min="23" max="23" width="17.109375" style="2" customWidth="1"/>
    <col min="24" max="16384" width="9.109375" style="2"/>
  </cols>
  <sheetData>
    <row r="1" spans="2:23" ht="6" customHeight="1"/>
    <row r="2" spans="2:23" ht="29.25" customHeight="1">
      <c r="B2" s="491"/>
      <c r="C2" s="491"/>
      <c r="D2" s="491"/>
      <c r="E2" s="491"/>
      <c r="F2" s="491"/>
      <c r="G2" s="491"/>
      <c r="H2" s="491"/>
      <c r="I2" s="491"/>
      <c r="J2" s="491"/>
      <c r="K2" s="491"/>
      <c r="L2" s="491"/>
      <c r="M2" s="491"/>
      <c r="N2" s="491"/>
      <c r="O2" s="491"/>
      <c r="P2" s="491"/>
      <c r="Q2" s="491"/>
      <c r="R2" s="491"/>
      <c r="S2" s="7"/>
    </row>
    <row r="3" spans="2:23" ht="29.25" customHeight="1">
      <c r="B3" s="492" t="s">
        <v>0</v>
      </c>
      <c r="C3" s="492"/>
      <c r="D3" s="492"/>
      <c r="E3" s="492"/>
      <c r="F3" s="492"/>
      <c r="G3" s="492"/>
      <c r="H3" s="492"/>
      <c r="I3" s="492"/>
      <c r="J3" s="492"/>
      <c r="K3" s="492"/>
      <c r="L3" s="492"/>
      <c r="M3" s="492"/>
      <c r="N3" s="492"/>
      <c r="O3" s="492"/>
      <c r="P3" s="492"/>
      <c r="Q3" s="492"/>
      <c r="R3" s="492"/>
      <c r="S3" s="7"/>
      <c r="W3" s="8"/>
    </row>
    <row r="4" spans="2:23" ht="29.25" customHeight="1">
      <c r="B4" s="493"/>
      <c r="C4" s="493"/>
      <c r="D4" s="493"/>
      <c r="E4" s="493"/>
      <c r="F4" s="493"/>
      <c r="G4" s="493"/>
      <c r="H4" s="493"/>
      <c r="I4" s="493"/>
      <c r="J4" s="493"/>
      <c r="K4" s="493"/>
      <c r="L4" s="493"/>
      <c r="M4" s="493"/>
      <c r="N4" s="493"/>
      <c r="O4" s="493"/>
      <c r="P4" s="493"/>
      <c r="Q4" s="493"/>
      <c r="R4" s="493"/>
      <c r="S4" s="9"/>
      <c r="T4" s="2">
        <v>12630000</v>
      </c>
    </row>
    <row r="5" spans="2:23" ht="8.25" customHeight="1">
      <c r="B5" s="494"/>
      <c r="C5" s="494"/>
      <c r="D5" s="494"/>
      <c r="E5" s="494"/>
      <c r="F5" s="494"/>
      <c r="G5" s="494"/>
      <c r="H5" s="494"/>
      <c r="I5" s="494"/>
      <c r="J5" s="494"/>
      <c r="K5" s="494"/>
      <c r="L5" s="494"/>
      <c r="M5" s="494"/>
      <c r="N5" s="494"/>
      <c r="O5" s="494"/>
      <c r="P5" s="494"/>
      <c r="Q5" s="494"/>
      <c r="R5" s="494"/>
      <c r="S5" s="9"/>
    </row>
    <row r="6" spans="2:23" ht="38.25" customHeight="1">
      <c r="B6" s="495" t="s">
        <v>1247</v>
      </c>
      <c r="C6" s="495"/>
      <c r="D6" s="495"/>
      <c r="E6" s="495"/>
      <c r="F6" s="495"/>
      <c r="G6" s="495"/>
      <c r="H6" s="495"/>
      <c r="I6" s="495"/>
      <c r="J6" s="495"/>
      <c r="K6" s="495"/>
      <c r="L6" s="495"/>
      <c r="M6" s="495"/>
      <c r="N6" s="495"/>
      <c r="O6" s="495"/>
      <c r="P6" s="495"/>
      <c r="Q6" s="495"/>
      <c r="R6" s="495"/>
      <c r="S6" s="7"/>
    </row>
    <row r="7" spans="2:23" ht="8.25" customHeight="1">
      <c r="B7" s="496"/>
      <c r="C7" s="496"/>
      <c r="D7" s="496"/>
      <c r="E7" s="496"/>
      <c r="F7" s="496"/>
      <c r="G7" s="496"/>
      <c r="H7" s="496"/>
      <c r="I7" s="496"/>
      <c r="J7" s="496"/>
      <c r="K7" s="496"/>
      <c r="L7" s="496"/>
      <c r="M7" s="496"/>
      <c r="N7" s="496"/>
      <c r="O7" s="496"/>
      <c r="P7" s="496"/>
      <c r="Q7" s="496"/>
      <c r="R7" s="496"/>
      <c r="S7" s="7"/>
    </row>
    <row r="8" spans="2:23" ht="25.5" customHeight="1">
      <c r="B8" s="497" t="s">
        <v>2</v>
      </c>
      <c r="C8" s="497"/>
      <c r="D8" s="497"/>
      <c r="E8" s="497"/>
      <c r="F8" s="497"/>
      <c r="G8" s="497"/>
      <c r="H8" s="497"/>
      <c r="I8" s="497"/>
      <c r="J8" s="497"/>
      <c r="K8" s="497"/>
      <c r="L8" s="497"/>
      <c r="M8" s="497"/>
      <c r="N8" s="497"/>
      <c r="O8" s="497"/>
      <c r="P8" s="497"/>
      <c r="Q8" s="497"/>
      <c r="R8" s="497"/>
      <c r="S8" s="7"/>
      <c r="T8" s="2">
        <f>480/30</f>
        <v>16</v>
      </c>
    </row>
    <row r="9" spans="2:23" s="10" customFormat="1" ht="31.5" customHeight="1">
      <c r="B9" s="498" t="s">
        <v>3</v>
      </c>
      <c r="C9" s="498"/>
      <c r="D9" s="499" t="s">
        <v>4</v>
      </c>
      <c r="E9" s="499"/>
      <c r="F9" s="499"/>
      <c r="G9" s="499"/>
      <c r="H9" s="499"/>
      <c r="I9" s="499"/>
      <c r="J9" s="499"/>
      <c r="K9" s="499"/>
      <c r="L9" s="499"/>
      <c r="M9" s="499"/>
      <c r="N9" s="499"/>
      <c r="O9" s="499"/>
      <c r="P9" s="499"/>
      <c r="Q9" s="499"/>
      <c r="R9" s="499"/>
      <c r="S9" s="11"/>
    </row>
    <row r="10" spans="2:23" s="10" customFormat="1" ht="31.5" customHeight="1">
      <c r="B10" s="498" t="s">
        <v>5</v>
      </c>
      <c r="C10" s="498"/>
      <c r="D10" s="500" t="s">
        <v>6</v>
      </c>
      <c r="E10" s="500"/>
      <c r="F10" s="500"/>
      <c r="G10" s="500"/>
      <c r="H10" s="500"/>
      <c r="I10" s="500"/>
      <c r="J10" s="500"/>
      <c r="K10" s="12"/>
      <c r="L10" s="501" t="s">
        <v>7</v>
      </c>
      <c r="M10" s="501"/>
      <c r="N10" s="501"/>
      <c r="O10" s="501"/>
      <c r="P10" s="502">
        <v>45383</v>
      </c>
      <c r="Q10" s="502"/>
      <c r="R10" s="502"/>
      <c r="S10" s="11"/>
    </row>
    <row r="11" spans="2:23" s="10" customFormat="1" ht="31.5" customHeight="1">
      <c r="B11" s="498" t="s">
        <v>8</v>
      </c>
      <c r="C11" s="498"/>
      <c r="D11" s="503" t="s">
        <v>9</v>
      </c>
      <c r="E11" s="503"/>
      <c r="F11" s="503"/>
      <c r="G11" s="503"/>
      <c r="H11" s="503"/>
      <c r="I11" s="503"/>
      <c r="J11" s="503"/>
      <c r="K11" s="12"/>
      <c r="L11" s="501" t="s">
        <v>10</v>
      </c>
      <c r="M11" s="501"/>
      <c r="N11" s="501"/>
      <c r="O11" s="501"/>
      <c r="P11" s="502">
        <f>P10+600</f>
        <v>45983</v>
      </c>
      <c r="Q11" s="502"/>
      <c r="R11" s="502"/>
      <c r="S11" s="11"/>
    </row>
    <row r="12" spans="2:23" s="10" customFormat="1" ht="36.75" customHeight="1">
      <c r="B12" s="504" t="s">
        <v>11</v>
      </c>
      <c r="C12" s="504"/>
      <c r="D12" s="505" t="s">
        <v>12</v>
      </c>
      <c r="E12" s="505"/>
      <c r="F12" s="505"/>
      <c r="G12" s="505"/>
      <c r="H12" s="13"/>
      <c r="I12" s="506"/>
      <c r="J12" s="506"/>
      <c r="K12" s="14"/>
      <c r="L12" s="507"/>
      <c r="M12" s="507"/>
      <c r="N12" s="507"/>
      <c r="O12" s="1" t="s">
        <v>13</v>
      </c>
      <c r="P12" s="502">
        <v>45383</v>
      </c>
      <c r="Q12" s="502"/>
      <c r="R12" s="502"/>
      <c r="S12" s="11"/>
      <c r="T12" s="15"/>
    </row>
    <row r="13" spans="2:23" s="10" customFormat="1" ht="31.5" customHeight="1">
      <c r="B13" s="508" t="s">
        <v>14</v>
      </c>
      <c r="C13" s="508"/>
      <c r="D13" s="509">
        <f>Q592</f>
        <v>26279999.999999993</v>
      </c>
      <c r="E13" s="509"/>
      <c r="F13" s="509"/>
      <c r="G13" s="509"/>
      <c r="H13" s="509"/>
      <c r="I13" s="509"/>
      <c r="J13" s="509"/>
      <c r="K13" s="16"/>
      <c r="L13" s="510" t="s">
        <v>15</v>
      </c>
      <c r="M13" s="510"/>
      <c r="N13" s="510"/>
      <c r="O13" s="510"/>
      <c r="P13" s="511" t="s">
        <v>16</v>
      </c>
      <c r="Q13" s="511"/>
      <c r="R13" s="511"/>
      <c r="S13" s="11"/>
    </row>
    <row r="14" spans="2:23" s="10" customFormat="1" ht="31.5" customHeight="1">
      <c r="B14" s="512" t="s">
        <v>17</v>
      </c>
      <c r="C14" s="512"/>
      <c r="D14" s="513"/>
      <c r="E14" s="513"/>
      <c r="F14" s="513"/>
      <c r="G14" s="513"/>
      <c r="H14" s="18"/>
      <c r="I14" s="514" t="s">
        <v>18</v>
      </c>
      <c r="J14" s="514"/>
      <c r="K14" s="17"/>
      <c r="L14" s="515"/>
      <c r="M14" s="515"/>
      <c r="N14" s="515"/>
      <c r="O14" s="19" t="s">
        <v>19</v>
      </c>
      <c r="P14" s="516"/>
      <c r="Q14" s="516"/>
      <c r="R14" s="516"/>
      <c r="S14" s="11"/>
      <c r="T14" s="15"/>
    </row>
    <row r="15" spans="2:23" s="10" customFormat="1" ht="31.5" customHeight="1">
      <c r="B15" s="517" t="s">
        <v>20</v>
      </c>
      <c r="C15" s="517"/>
      <c r="D15" s="518" t="s">
        <v>21</v>
      </c>
      <c r="E15" s="518"/>
      <c r="F15" s="518"/>
      <c r="G15" s="518"/>
      <c r="H15" s="20"/>
      <c r="I15" s="518" t="s">
        <v>18</v>
      </c>
      <c r="J15" s="518"/>
      <c r="K15" s="21"/>
      <c r="L15" s="519" t="s">
        <v>22</v>
      </c>
      <c r="M15" s="519"/>
      <c r="N15" s="519"/>
      <c r="O15" s="22" t="s">
        <v>19</v>
      </c>
      <c r="P15" s="520" t="s">
        <v>23</v>
      </c>
      <c r="Q15" s="520"/>
      <c r="R15" s="520"/>
      <c r="S15" s="11"/>
      <c r="T15" s="23">
        <f>D13</f>
        <v>26279999.999999993</v>
      </c>
      <c r="U15" s="24"/>
    </row>
    <row r="16" spans="2:23" s="10" customFormat="1" ht="6" customHeight="1">
      <c r="B16" s="521"/>
      <c r="C16" s="521"/>
      <c r="D16" s="521"/>
      <c r="E16" s="521"/>
      <c r="F16" s="521"/>
      <c r="G16" s="521"/>
      <c r="H16" s="521"/>
      <c r="I16" s="521"/>
      <c r="J16" s="521"/>
      <c r="K16" s="521"/>
      <c r="L16" s="521"/>
      <c r="M16" s="521"/>
      <c r="N16" s="521"/>
      <c r="O16" s="521"/>
      <c r="P16" s="521"/>
      <c r="Q16" s="521"/>
      <c r="R16" s="521"/>
      <c r="S16" s="11"/>
      <c r="T16" s="23"/>
      <c r="U16" s="25"/>
    </row>
    <row r="17" spans="1:23" s="10" customFormat="1" ht="27.75" customHeight="1">
      <c r="B17" s="497" t="s">
        <v>24</v>
      </c>
      <c r="C17" s="497"/>
      <c r="D17" s="497"/>
      <c r="E17" s="497"/>
      <c r="F17" s="497"/>
      <c r="G17" s="497"/>
      <c r="H17" s="497"/>
      <c r="I17" s="497"/>
      <c r="J17" s="497"/>
      <c r="K17" s="497"/>
      <c r="L17" s="497"/>
      <c r="M17" s="497"/>
      <c r="N17" s="497"/>
      <c r="O17" s="497"/>
      <c r="P17" s="497"/>
      <c r="Q17" s="497"/>
      <c r="R17" s="497"/>
      <c r="S17" s="11"/>
      <c r="T17" s="26"/>
      <c r="U17" s="27"/>
      <c r="W17" s="28"/>
    </row>
    <row r="18" spans="1:23" ht="43.5" customHeight="1">
      <c r="A18" s="10"/>
      <c r="B18" s="522" t="s">
        <v>25</v>
      </c>
      <c r="C18" s="522"/>
      <c r="D18" s="523" t="s">
        <v>4</v>
      </c>
      <c r="E18" s="523"/>
      <c r="F18" s="523"/>
      <c r="G18" s="523"/>
      <c r="H18" s="523"/>
      <c r="I18" s="523"/>
      <c r="J18" s="523"/>
      <c r="K18" s="29"/>
      <c r="L18" s="501" t="s">
        <v>26</v>
      </c>
      <c r="M18" s="501"/>
      <c r="N18" s="501"/>
      <c r="O18" s="501"/>
      <c r="P18" s="524">
        <f>N592</f>
        <v>567017.91999999993</v>
      </c>
      <c r="Q18" s="524"/>
      <c r="R18" s="524"/>
      <c r="S18" s="30"/>
      <c r="T18" s="23">
        <f>T15-Q33-Q32</f>
        <v>23966799.799999993</v>
      </c>
      <c r="U18" s="31"/>
      <c r="V18" s="10"/>
      <c r="W18" s="28"/>
    </row>
    <row r="19" spans="1:23" ht="31.5" customHeight="1">
      <c r="A19" s="10"/>
      <c r="B19" s="522" t="s">
        <v>27</v>
      </c>
      <c r="C19" s="522"/>
      <c r="D19" s="525" t="s">
        <v>1248</v>
      </c>
      <c r="E19" s="525"/>
      <c r="F19" s="525"/>
      <c r="G19" s="525"/>
      <c r="H19" s="525"/>
      <c r="I19" s="525"/>
      <c r="J19" s="525"/>
      <c r="K19" s="29"/>
      <c r="L19" s="501" t="s">
        <v>29</v>
      </c>
      <c r="M19" s="501"/>
      <c r="N19" s="501"/>
      <c r="O19" s="501"/>
      <c r="P19" s="524">
        <f>P18-P20</f>
        <v>0</v>
      </c>
      <c r="Q19" s="524"/>
      <c r="R19" s="524"/>
      <c r="S19" s="30"/>
      <c r="T19" s="23">
        <f>P21-O33-O32</f>
        <v>1868348.3199999998</v>
      </c>
      <c r="U19" s="10"/>
      <c r="V19" s="10"/>
      <c r="W19" s="10"/>
    </row>
    <row r="20" spans="1:23" s="34" customFormat="1" ht="31.5" customHeight="1">
      <c r="A20" s="10"/>
      <c r="B20" s="526" t="s">
        <v>30</v>
      </c>
      <c r="C20" s="526"/>
      <c r="D20" s="523" t="s">
        <v>1249</v>
      </c>
      <c r="E20" s="523"/>
      <c r="F20" s="523"/>
      <c r="G20" s="523"/>
      <c r="H20" s="523"/>
      <c r="I20" s="523"/>
      <c r="J20" s="523"/>
      <c r="K20" s="29"/>
      <c r="L20" s="501" t="s">
        <v>32</v>
      </c>
      <c r="M20" s="501"/>
      <c r="N20" s="501"/>
      <c r="O20" s="501"/>
      <c r="P20" s="524">
        <f>N592</f>
        <v>567017.91999999993</v>
      </c>
      <c r="Q20" s="524"/>
      <c r="R20" s="524"/>
      <c r="S20" s="30"/>
      <c r="T20" s="32">
        <f>T19/T18</f>
        <v>7.7955686015285214E-2</v>
      </c>
      <c r="U20" s="24">
        <v>739429.5</v>
      </c>
      <c r="V20" s="10"/>
      <c r="W20" s="33"/>
    </row>
    <row r="21" spans="1:23" s="34" customFormat="1" ht="31.5" customHeight="1">
      <c r="A21" s="10"/>
      <c r="B21" s="526" t="s">
        <v>33</v>
      </c>
      <c r="C21" s="526"/>
      <c r="D21" s="527">
        <v>45474</v>
      </c>
      <c r="E21" s="527"/>
      <c r="F21" s="527"/>
      <c r="G21" s="527"/>
      <c r="H21" s="527"/>
      <c r="I21" s="527"/>
      <c r="J21" s="527"/>
      <c r="K21" s="35"/>
      <c r="L21" s="501" t="s">
        <v>34</v>
      </c>
      <c r="M21" s="501"/>
      <c r="N21" s="501"/>
      <c r="O21" s="501"/>
      <c r="P21" s="524">
        <f>P20+'BM 002'!P21:R21</f>
        <v>2048777.91</v>
      </c>
      <c r="Q21" s="524"/>
      <c r="R21" s="524"/>
      <c r="S21" s="36"/>
      <c r="T21" s="32">
        <f>T20-I33</f>
        <v>-4.4313984714786092E-5</v>
      </c>
      <c r="U21" s="32"/>
      <c r="V21" s="10"/>
      <c r="W21" s="10"/>
    </row>
    <row r="22" spans="1:23" s="34" customFormat="1" ht="31.5" customHeight="1">
      <c r="A22" s="10"/>
      <c r="B22" s="526" t="s">
        <v>35</v>
      </c>
      <c r="C22" s="526"/>
      <c r="D22" s="527">
        <v>45476</v>
      </c>
      <c r="E22" s="527"/>
      <c r="F22" s="527"/>
      <c r="G22" s="527"/>
      <c r="H22" s="527"/>
      <c r="I22" s="527"/>
      <c r="J22" s="527"/>
      <c r="K22" s="35"/>
      <c r="L22" s="501" t="s">
        <v>36</v>
      </c>
      <c r="M22" s="501"/>
      <c r="N22" s="501"/>
      <c r="O22" s="501"/>
      <c r="P22" s="524">
        <f>R592</f>
        <v>24231222.089999996</v>
      </c>
      <c r="Q22" s="524"/>
      <c r="R22" s="524"/>
      <c r="S22" s="36"/>
      <c r="T22" s="31"/>
      <c r="U22" s="37"/>
      <c r="V22" s="10"/>
      <c r="W22" s="10"/>
    </row>
    <row r="23" spans="1:23" s="34" customFormat="1" ht="9" customHeight="1">
      <c r="A23" s="10"/>
      <c r="B23" s="528"/>
      <c r="C23" s="528"/>
      <c r="D23" s="528"/>
      <c r="E23" s="528"/>
      <c r="F23" s="528"/>
      <c r="G23" s="528"/>
      <c r="H23" s="528"/>
      <c r="I23" s="528"/>
      <c r="J23" s="528"/>
      <c r="K23" s="528"/>
      <c r="L23" s="528"/>
      <c r="M23" s="528"/>
      <c r="N23" s="528"/>
      <c r="O23" s="528"/>
      <c r="P23" s="528"/>
      <c r="Q23" s="528"/>
      <c r="R23" s="528"/>
      <c r="S23" s="10"/>
      <c r="T23" s="10"/>
      <c r="U23" s="10"/>
      <c r="V23" s="10"/>
      <c r="W23" s="10"/>
    </row>
    <row r="24" spans="1:23" s="34" customFormat="1" ht="2.25" customHeight="1">
      <c r="A24" s="2"/>
      <c r="B24" s="38"/>
      <c r="C24" s="39"/>
      <c r="D24" s="40"/>
      <c r="E24" s="41"/>
      <c r="F24" s="42"/>
      <c r="G24" s="43"/>
      <c r="H24" s="43"/>
      <c r="I24" s="43"/>
      <c r="J24" s="39"/>
      <c r="K24" s="39"/>
      <c r="L24" s="39"/>
      <c r="M24" s="39"/>
      <c r="N24" s="39"/>
      <c r="O24" s="39"/>
      <c r="P24" s="44"/>
      <c r="Q24" s="44"/>
      <c r="R24" s="45"/>
      <c r="S24" s="2"/>
      <c r="T24" s="2"/>
      <c r="U24" s="2"/>
      <c r="V24" s="2"/>
      <c r="W24" s="2"/>
    </row>
    <row r="25" spans="1:23" s="34" customFormat="1" ht="18" customHeight="1">
      <c r="A25" s="2"/>
      <c r="B25" s="529" t="s">
        <v>37</v>
      </c>
      <c r="C25" s="530" t="s">
        <v>38</v>
      </c>
      <c r="D25" s="530" t="s">
        <v>39</v>
      </c>
      <c r="E25" s="531" t="s">
        <v>40</v>
      </c>
      <c r="F25" s="531"/>
      <c r="G25" s="531"/>
      <c r="H25" s="531"/>
      <c r="I25" s="531"/>
      <c r="J25" s="531"/>
      <c r="K25" s="48" t="s">
        <v>41</v>
      </c>
      <c r="L25" s="48" t="s">
        <v>42</v>
      </c>
      <c r="M25" s="48"/>
      <c r="N25" s="532" t="s">
        <v>43</v>
      </c>
      <c r="O25" s="532"/>
      <c r="P25" s="532"/>
      <c r="Q25" s="532"/>
      <c r="R25" s="532"/>
      <c r="S25" s="2"/>
      <c r="T25" s="49" t="s">
        <v>44</v>
      </c>
      <c r="U25" s="50">
        <v>20732092.140000001</v>
      </c>
      <c r="V25" s="51">
        <v>0.26760000016091001</v>
      </c>
      <c r="W25" s="2"/>
    </row>
    <row r="26" spans="1:23" s="34" customFormat="1" ht="43.5" customHeight="1">
      <c r="A26" s="2"/>
      <c r="B26" s="529"/>
      <c r="C26" s="530"/>
      <c r="D26" s="530"/>
      <c r="E26" s="52" t="s">
        <v>45</v>
      </c>
      <c r="F26" s="53" t="s">
        <v>46</v>
      </c>
      <c r="G26" s="53" t="s">
        <v>47</v>
      </c>
      <c r="H26" s="54"/>
      <c r="I26" s="55" t="s">
        <v>48</v>
      </c>
      <c r="J26" s="55" t="s">
        <v>49</v>
      </c>
      <c r="K26" s="56" t="s">
        <v>50</v>
      </c>
      <c r="L26" s="47" t="s">
        <v>50</v>
      </c>
      <c r="M26" s="48" t="s">
        <v>51</v>
      </c>
      <c r="N26" s="57" t="s">
        <v>52</v>
      </c>
      <c r="O26" s="57" t="s">
        <v>53</v>
      </c>
      <c r="P26" s="57" t="s">
        <v>54</v>
      </c>
      <c r="Q26" s="57" t="s">
        <v>55</v>
      </c>
      <c r="R26" s="58" t="s">
        <v>56</v>
      </c>
      <c r="S26" s="2"/>
      <c r="T26" s="59">
        <v>0.26760011</v>
      </c>
      <c r="U26" s="50">
        <v>5547907.8600000003</v>
      </c>
      <c r="V26" s="50">
        <v>26280000</v>
      </c>
      <c r="W26" s="2"/>
    </row>
    <row r="27" spans="1:23" s="34" customFormat="1" ht="13.2">
      <c r="B27" s="60" t="s">
        <v>57</v>
      </c>
      <c r="C27" s="61" t="s">
        <v>58</v>
      </c>
      <c r="D27" s="60"/>
      <c r="E27" s="62"/>
      <c r="F27" s="63"/>
      <c r="G27" s="63"/>
      <c r="H27" s="63"/>
      <c r="I27" s="63"/>
      <c r="J27" s="63"/>
      <c r="K27" s="63"/>
      <c r="L27" s="64"/>
      <c r="M27" s="63">
        <f t="shared" ref="M27:R27" si="0">M28+M30+M35+M43</f>
        <v>83530.28</v>
      </c>
      <c r="N27" s="63">
        <f t="shared" si="0"/>
        <v>83530.28</v>
      </c>
      <c r="O27" s="63">
        <f t="shared" si="0"/>
        <v>650182.79</v>
      </c>
      <c r="P27" s="63">
        <f t="shared" si="0"/>
        <v>2403883</v>
      </c>
      <c r="Q27" s="63">
        <f t="shared" si="0"/>
        <v>3047162.2499999991</v>
      </c>
      <c r="R27" s="63">
        <f t="shared" si="0"/>
        <v>2396979.46</v>
      </c>
      <c r="U27" s="65"/>
    </row>
    <row r="28" spans="1:23" s="34" customFormat="1" ht="13.2">
      <c r="B28" s="66" t="s">
        <v>59</v>
      </c>
      <c r="C28" s="67" t="s">
        <v>60</v>
      </c>
      <c r="D28" s="68"/>
      <c r="E28" s="69"/>
      <c r="F28" s="70"/>
      <c r="G28" s="70"/>
      <c r="H28" s="70"/>
      <c r="I28" s="70"/>
      <c r="J28" s="70"/>
      <c r="K28" s="71"/>
      <c r="L28" s="72"/>
      <c r="M28" s="73">
        <f t="shared" ref="M28:R28" si="1">SUM(M29)</f>
        <v>0</v>
      </c>
      <c r="N28" s="73">
        <f t="shared" si="1"/>
        <v>0</v>
      </c>
      <c r="O28" s="73">
        <f t="shared" si="1"/>
        <v>41273.050000000003</v>
      </c>
      <c r="P28" s="73">
        <f t="shared" si="1"/>
        <v>32560</v>
      </c>
      <c r="Q28" s="73">
        <f t="shared" si="1"/>
        <v>41273.050000000003</v>
      </c>
      <c r="R28" s="73">
        <f t="shared" si="1"/>
        <v>0</v>
      </c>
      <c r="T28" s="74"/>
    </row>
    <row r="29" spans="1:23" s="34" customFormat="1" ht="13.2">
      <c r="B29" s="75" t="s">
        <v>61</v>
      </c>
      <c r="C29" s="76" t="s">
        <v>62</v>
      </c>
      <c r="D29" s="77" t="s">
        <v>63</v>
      </c>
      <c r="E29" s="78">
        <v>1</v>
      </c>
      <c r="F29" s="79"/>
      <c r="G29" s="79"/>
      <c r="H29" s="79"/>
      <c r="I29" s="79">
        <f>SUM(G29:H29)+'BM 002'!I29</f>
        <v>1</v>
      </c>
      <c r="J29" s="79">
        <f>E29-I29</f>
        <v>0</v>
      </c>
      <c r="K29" s="80">
        <v>32560</v>
      </c>
      <c r="L29" s="81">
        <f t="shared" ref="L29:L92" si="2">K29*(1+$T$26)</f>
        <v>41273.059581599999</v>
      </c>
      <c r="M29" s="82">
        <f>TRUNC(F29*L29,2)</f>
        <v>0</v>
      </c>
      <c r="N29" s="82">
        <f>TRUNC(G29*L29,2)</f>
        <v>0</v>
      </c>
      <c r="O29" s="82">
        <f>N29+'BM 002'!O29</f>
        <v>41273.050000000003</v>
      </c>
      <c r="P29" s="82">
        <f>E29*K29</f>
        <v>32560</v>
      </c>
      <c r="Q29" s="82">
        <f>TRUNC(E29*L29,2)</f>
        <v>41273.050000000003</v>
      </c>
      <c r="R29" s="82">
        <f>Q29-O29</f>
        <v>0</v>
      </c>
      <c r="T29" s="74"/>
    </row>
    <row r="30" spans="1:23" s="34" customFormat="1" ht="13.2">
      <c r="B30" s="66" t="s">
        <v>64</v>
      </c>
      <c r="C30" s="67" t="s">
        <v>65</v>
      </c>
      <c r="D30" s="68"/>
      <c r="E30" s="69"/>
      <c r="F30" s="70"/>
      <c r="G30" s="70"/>
      <c r="H30" s="70"/>
      <c r="I30" s="70">
        <f>SUM(G30:H30)+'BM 002'!I30</f>
        <v>0</v>
      </c>
      <c r="J30" s="70"/>
      <c r="K30" s="71"/>
      <c r="L30" s="71">
        <f t="shared" si="2"/>
        <v>0</v>
      </c>
      <c r="M30" s="73">
        <f t="shared" ref="M30:R30" si="3">SUM(M31:M34)</f>
        <v>49965.120000000003</v>
      </c>
      <c r="N30" s="73">
        <f t="shared" si="3"/>
        <v>49965.120000000003</v>
      </c>
      <c r="O30" s="73">
        <f t="shared" si="3"/>
        <v>180429.59000000003</v>
      </c>
      <c r="P30" s="73">
        <f t="shared" si="3"/>
        <v>1872865.9</v>
      </c>
      <c r="Q30" s="73">
        <f t="shared" si="3"/>
        <v>2374044.9999999995</v>
      </c>
      <c r="R30" s="73">
        <f t="shared" si="3"/>
        <v>2193615.4099999997</v>
      </c>
      <c r="T30" s="83"/>
    </row>
    <row r="31" spans="1:23" s="34" customFormat="1" ht="13.2">
      <c r="B31" s="75" t="s">
        <v>66</v>
      </c>
      <c r="C31" s="76" t="s">
        <v>67</v>
      </c>
      <c r="D31" s="77" t="s">
        <v>68</v>
      </c>
      <c r="E31" s="78">
        <v>20</v>
      </c>
      <c r="F31" s="79"/>
      <c r="G31" s="79"/>
      <c r="H31" s="79"/>
      <c r="I31" s="79">
        <f>SUM(G31:H31)+'BM 002'!I31</f>
        <v>0</v>
      </c>
      <c r="J31" s="79">
        <f t="shared" ref="J31:J94" si="4">E31-I31</f>
        <v>20</v>
      </c>
      <c r="K31" s="84">
        <v>1200</v>
      </c>
      <c r="L31" s="81">
        <f t="shared" si="2"/>
        <v>1521.120132</v>
      </c>
      <c r="M31" s="82">
        <f>TRUNC(F31*L31,2)</f>
        <v>0</v>
      </c>
      <c r="N31" s="82">
        <f>TRUNC(G31*L31,2)</f>
        <v>0</v>
      </c>
      <c r="O31" s="82">
        <f>N31+'BM 002'!O31</f>
        <v>0</v>
      </c>
      <c r="P31" s="82">
        <f>E31*K31</f>
        <v>24000</v>
      </c>
      <c r="Q31" s="82">
        <f>TRUNC(E31*L31,2)</f>
        <v>30422.400000000001</v>
      </c>
      <c r="R31" s="82">
        <f>Q31-O31</f>
        <v>30422.400000000001</v>
      </c>
    </row>
    <row r="32" spans="1:23" s="34" customFormat="1" ht="13.2">
      <c r="B32" s="75" t="s">
        <v>69</v>
      </c>
      <c r="C32" s="85" t="s">
        <v>70</v>
      </c>
      <c r="D32" s="77" t="s">
        <v>68</v>
      </c>
      <c r="E32" s="78">
        <v>20</v>
      </c>
      <c r="F32" s="86">
        <f>'M.C. MED. 03'!K16</f>
        <v>0.43200000000000016</v>
      </c>
      <c r="G32" s="86">
        <f>F32</f>
        <v>0.43200000000000016</v>
      </c>
      <c r="H32" s="79"/>
      <c r="I32" s="86">
        <f>SUM(G32:H32)+'BM 002'!I32</f>
        <v>1.5600000000000003</v>
      </c>
      <c r="J32" s="79">
        <f t="shared" si="4"/>
        <v>18.440000000000001</v>
      </c>
      <c r="K32" s="84">
        <v>51500.32</v>
      </c>
      <c r="L32" s="81">
        <f t="shared" si="2"/>
        <v>65281.811297035201</v>
      </c>
      <c r="M32" s="82">
        <f>TRUNC(F32*L32,2)</f>
        <v>28201.74</v>
      </c>
      <c r="N32" s="82">
        <f>TRUNC(G32*L32,2)</f>
        <v>28201.74</v>
      </c>
      <c r="O32" s="82">
        <f>N32+'BM 002'!O32</f>
        <v>101839.61</v>
      </c>
      <c r="P32" s="82">
        <f>E32*K32</f>
        <v>1030006.4</v>
      </c>
      <c r="Q32" s="82">
        <f>TRUNC(E32*L32,2)</f>
        <v>1305636.22</v>
      </c>
      <c r="R32" s="82">
        <f>Q32-O32</f>
        <v>1203796.6099999999</v>
      </c>
    </row>
    <row r="33" spans="1:21" s="34" customFormat="1" ht="148.80000000000001">
      <c r="B33" s="75" t="s">
        <v>71</v>
      </c>
      <c r="C33" s="85" t="s">
        <v>72</v>
      </c>
      <c r="D33" s="77" t="s">
        <v>39</v>
      </c>
      <c r="E33" s="78">
        <v>1</v>
      </c>
      <c r="F33" s="86">
        <f>'M.C. MED. 03'!K27</f>
        <v>2.1600000000000001E-2</v>
      </c>
      <c r="G33" s="86">
        <f>F33</f>
        <v>2.1600000000000001E-2</v>
      </c>
      <c r="H33" s="79"/>
      <c r="I33" s="86">
        <f>SUM(G33:H33)+'BM 002'!I33</f>
        <v>7.8E-2</v>
      </c>
      <c r="J33" s="79">
        <f t="shared" si="4"/>
        <v>0.92200000000000004</v>
      </c>
      <c r="K33" s="84">
        <v>794859.5</v>
      </c>
      <c r="L33" s="81">
        <f t="shared" si="2"/>
        <v>1007563.9896345451</v>
      </c>
      <c r="M33" s="82">
        <f>TRUNC(F33*L33,2)</f>
        <v>21763.38</v>
      </c>
      <c r="N33" s="82">
        <f>TRUNC(G33*L33,2)</f>
        <v>21763.38</v>
      </c>
      <c r="O33" s="82">
        <f>N33+'BM 002'!O33</f>
        <v>78589.98000000001</v>
      </c>
      <c r="P33" s="82">
        <f>E33*K33</f>
        <v>794859.5</v>
      </c>
      <c r="Q33" s="82">
        <f>TRUNC(E33*L33,2)</f>
        <v>1007563.98</v>
      </c>
      <c r="R33" s="82">
        <f>Q33-O33</f>
        <v>928974</v>
      </c>
    </row>
    <row r="34" spans="1:21" s="34" customFormat="1" ht="23.4">
      <c r="B34" s="75" t="s">
        <v>73</v>
      </c>
      <c r="C34" s="76" t="s">
        <v>74</v>
      </c>
      <c r="D34" s="77" t="s">
        <v>68</v>
      </c>
      <c r="E34" s="78">
        <v>20</v>
      </c>
      <c r="F34" s="79"/>
      <c r="G34" s="79">
        <f>F34</f>
        <v>0</v>
      </c>
      <c r="H34" s="79"/>
      <c r="I34" s="79">
        <f>SUM(G34:H34)+'BM 002'!I34</f>
        <v>0</v>
      </c>
      <c r="J34" s="79">
        <f t="shared" si="4"/>
        <v>20</v>
      </c>
      <c r="K34" s="84">
        <v>1200</v>
      </c>
      <c r="L34" s="81">
        <f t="shared" si="2"/>
        <v>1521.120132</v>
      </c>
      <c r="M34" s="82">
        <f>TRUNC(F34*L34,2)</f>
        <v>0</v>
      </c>
      <c r="N34" s="82">
        <f>TRUNC(G34*L34,2)</f>
        <v>0</v>
      </c>
      <c r="O34" s="82">
        <f>N34+'BM 002'!O34</f>
        <v>0</v>
      </c>
      <c r="P34" s="82">
        <f>E34*K34</f>
        <v>24000</v>
      </c>
      <c r="Q34" s="82">
        <f>TRUNC(E34*L34,2)</f>
        <v>30422.400000000001</v>
      </c>
      <c r="R34" s="82">
        <f>Q34-O34</f>
        <v>30422.400000000001</v>
      </c>
    </row>
    <row r="35" spans="1:21" s="34" customFormat="1" ht="13.2">
      <c r="B35" s="66" t="s">
        <v>75</v>
      </c>
      <c r="C35" s="67" t="s">
        <v>76</v>
      </c>
      <c r="D35" s="68"/>
      <c r="E35" s="69"/>
      <c r="F35" s="70"/>
      <c r="G35" s="70"/>
      <c r="H35" s="70"/>
      <c r="I35" s="70">
        <f>SUM(G35:H35)+'BM 002'!I35</f>
        <v>0</v>
      </c>
      <c r="J35" s="70">
        <f t="shared" si="4"/>
        <v>0</v>
      </c>
      <c r="K35" s="71"/>
      <c r="L35" s="71">
        <f t="shared" si="2"/>
        <v>0</v>
      </c>
      <c r="M35" s="73">
        <f t="shared" ref="M35:R35" si="5">SUM(M36:M42)</f>
        <v>6921.09</v>
      </c>
      <c r="N35" s="73">
        <f t="shared" si="5"/>
        <v>6921.09</v>
      </c>
      <c r="O35" s="73">
        <f t="shared" si="5"/>
        <v>346004.08999999997</v>
      </c>
      <c r="P35" s="73">
        <f t="shared" si="5"/>
        <v>278420</v>
      </c>
      <c r="Q35" s="73">
        <f t="shared" si="5"/>
        <v>352925.19</v>
      </c>
      <c r="R35" s="73">
        <f t="shared" si="5"/>
        <v>6921.1</v>
      </c>
    </row>
    <row r="36" spans="1:21" s="34" customFormat="1" ht="13.2">
      <c r="B36" s="87" t="s">
        <v>77</v>
      </c>
      <c r="C36" s="88" t="s">
        <v>78</v>
      </c>
      <c r="D36" s="89" t="s">
        <v>79</v>
      </c>
      <c r="E36" s="90">
        <v>128</v>
      </c>
      <c r="F36" s="91"/>
      <c r="G36" s="91">
        <f t="shared" ref="G36:G42" si="6">F36</f>
        <v>0</v>
      </c>
      <c r="H36" s="91"/>
      <c r="I36" s="79">
        <f>SUM(G36:H36)+'BM 002'!I36</f>
        <v>128</v>
      </c>
      <c r="J36" s="91">
        <f t="shared" si="4"/>
        <v>0</v>
      </c>
      <c r="K36" s="80">
        <v>125</v>
      </c>
      <c r="L36" s="81">
        <f t="shared" si="2"/>
        <v>158.45001375000001</v>
      </c>
      <c r="M36" s="82">
        <f t="shared" ref="M36:M42" si="7">TRUNC(F36*L36,2)</f>
        <v>0</v>
      </c>
      <c r="N36" s="82">
        <f t="shared" ref="N36:N42" si="8">TRUNC(G36*L36,2)</f>
        <v>0</v>
      </c>
      <c r="O36" s="82">
        <f>N36+'BM 002'!O36</f>
        <v>20281.599999999999</v>
      </c>
      <c r="P36" s="82">
        <f t="shared" ref="P36:P42" si="9">E36*K36</f>
        <v>16000</v>
      </c>
      <c r="Q36" s="82">
        <f t="shared" ref="Q36:Q42" si="10">TRUNC(E36*L36,2)</f>
        <v>20281.599999999999</v>
      </c>
      <c r="R36" s="82">
        <f t="shared" ref="R36:R42" si="11">Q36-O36</f>
        <v>0</v>
      </c>
    </row>
    <row r="37" spans="1:21" s="34" customFormat="1" ht="34.799999999999997">
      <c r="B37" s="87" t="s">
        <v>80</v>
      </c>
      <c r="C37" s="76" t="s">
        <v>81</v>
      </c>
      <c r="D37" s="77" t="s">
        <v>82</v>
      </c>
      <c r="E37" s="78">
        <v>156</v>
      </c>
      <c r="F37" s="91">
        <f>0.5*E37</f>
        <v>78</v>
      </c>
      <c r="G37" s="91">
        <f t="shared" si="6"/>
        <v>78</v>
      </c>
      <c r="H37" s="91"/>
      <c r="I37" s="79">
        <f>SUM(G37:H37)+'BM 002'!I37</f>
        <v>78</v>
      </c>
      <c r="J37" s="91">
        <f t="shared" si="4"/>
        <v>78</v>
      </c>
      <c r="K37" s="80">
        <v>70</v>
      </c>
      <c r="L37" s="81">
        <f t="shared" si="2"/>
        <v>88.732007699999997</v>
      </c>
      <c r="M37" s="82">
        <f t="shared" si="7"/>
        <v>6921.09</v>
      </c>
      <c r="N37" s="82">
        <f t="shared" si="8"/>
        <v>6921.09</v>
      </c>
      <c r="O37" s="82">
        <f>N37+'BM 002'!O37</f>
        <v>6921.09</v>
      </c>
      <c r="P37" s="82">
        <f t="shared" si="9"/>
        <v>10920</v>
      </c>
      <c r="Q37" s="82">
        <f t="shared" si="10"/>
        <v>13842.19</v>
      </c>
      <c r="R37" s="82">
        <f t="shared" si="11"/>
        <v>6921.1</v>
      </c>
    </row>
    <row r="38" spans="1:21" s="34" customFormat="1" ht="23.4">
      <c r="B38" s="87" t="s">
        <v>83</v>
      </c>
      <c r="C38" s="88" t="s">
        <v>84</v>
      </c>
      <c r="D38" s="89" t="s">
        <v>79</v>
      </c>
      <c r="E38" s="92">
        <v>40</v>
      </c>
      <c r="F38" s="91"/>
      <c r="G38" s="91">
        <f t="shared" si="6"/>
        <v>0</v>
      </c>
      <c r="H38" s="91"/>
      <c r="I38" s="79">
        <f>SUM(G38:H38)+'BM 002'!I38</f>
        <v>40</v>
      </c>
      <c r="J38" s="91">
        <f t="shared" si="4"/>
        <v>0</v>
      </c>
      <c r="K38" s="80">
        <v>1150</v>
      </c>
      <c r="L38" s="81">
        <f t="shared" si="2"/>
        <v>1457.7401265000001</v>
      </c>
      <c r="M38" s="82">
        <f t="shared" si="7"/>
        <v>0</v>
      </c>
      <c r="N38" s="82">
        <f t="shared" si="8"/>
        <v>0</v>
      </c>
      <c r="O38" s="82">
        <f>N38+'BM 002'!O38</f>
        <v>58309.599999999999</v>
      </c>
      <c r="P38" s="82">
        <f t="shared" si="9"/>
        <v>46000</v>
      </c>
      <c r="Q38" s="82">
        <f t="shared" si="10"/>
        <v>58309.599999999999</v>
      </c>
      <c r="R38" s="82">
        <f t="shared" si="11"/>
        <v>0</v>
      </c>
    </row>
    <row r="39" spans="1:21" s="34" customFormat="1" ht="23.4">
      <c r="B39" s="87" t="s">
        <v>85</v>
      </c>
      <c r="C39" s="88" t="s">
        <v>86</v>
      </c>
      <c r="D39" s="89" t="s">
        <v>79</v>
      </c>
      <c r="E39" s="92">
        <v>68</v>
      </c>
      <c r="F39" s="91"/>
      <c r="G39" s="91">
        <f t="shared" si="6"/>
        <v>0</v>
      </c>
      <c r="H39" s="91"/>
      <c r="I39" s="79">
        <f>SUM(G39:H39)+'BM 002'!I39</f>
        <v>68</v>
      </c>
      <c r="J39" s="91">
        <f t="shared" si="4"/>
        <v>0</v>
      </c>
      <c r="K39" s="80">
        <v>1000</v>
      </c>
      <c r="L39" s="81">
        <f t="shared" si="2"/>
        <v>1267.6001100000001</v>
      </c>
      <c r="M39" s="82">
        <f t="shared" si="7"/>
        <v>0</v>
      </c>
      <c r="N39" s="82">
        <f t="shared" si="8"/>
        <v>0</v>
      </c>
      <c r="O39" s="82">
        <f>N39+'BM 002'!O39</f>
        <v>86196.800000000003</v>
      </c>
      <c r="P39" s="82">
        <f t="shared" si="9"/>
        <v>68000</v>
      </c>
      <c r="Q39" s="82">
        <f t="shared" si="10"/>
        <v>86196.800000000003</v>
      </c>
      <c r="R39" s="82">
        <f t="shared" si="11"/>
        <v>0</v>
      </c>
    </row>
    <row r="40" spans="1:21" s="34" customFormat="1" ht="34.799999999999997">
      <c r="B40" s="87" t="s">
        <v>87</v>
      </c>
      <c r="C40" s="88" t="s">
        <v>88</v>
      </c>
      <c r="D40" s="89" t="s">
        <v>79</v>
      </c>
      <c r="E40" s="92">
        <v>60</v>
      </c>
      <c r="F40" s="91"/>
      <c r="G40" s="91">
        <f t="shared" si="6"/>
        <v>0</v>
      </c>
      <c r="H40" s="91"/>
      <c r="I40" s="79">
        <f>SUM(G40:H40)+'BM 002'!I40</f>
        <v>60</v>
      </c>
      <c r="J40" s="91">
        <f t="shared" si="4"/>
        <v>0</v>
      </c>
      <c r="K40" s="80">
        <v>600</v>
      </c>
      <c r="L40" s="81">
        <f t="shared" si="2"/>
        <v>760.56006600000001</v>
      </c>
      <c r="M40" s="82">
        <f t="shared" si="7"/>
        <v>0</v>
      </c>
      <c r="N40" s="82">
        <f t="shared" si="8"/>
        <v>0</v>
      </c>
      <c r="O40" s="82">
        <f>N40+'BM 002'!O40</f>
        <v>45633.599999999999</v>
      </c>
      <c r="P40" s="82">
        <f t="shared" si="9"/>
        <v>36000</v>
      </c>
      <c r="Q40" s="82">
        <f t="shared" si="10"/>
        <v>45633.599999999999</v>
      </c>
      <c r="R40" s="82">
        <f t="shared" si="11"/>
        <v>0</v>
      </c>
      <c r="T40" s="83"/>
      <c r="U40" s="83"/>
    </row>
    <row r="41" spans="1:21" s="34" customFormat="1" ht="23.4">
      <c r="B41" s="87" t="s">
        <v>89</v>
      </c>
      <c r="C41" s="76" t="s">
        <v>90</v>
      </c>
      <c r="D41" s="77" t="s">
        <v>79</v>
      </c>
      <c r="E41" s="78">
        <v>60</v>
      </c>
      <c r="F41" s="79"/>
      <c r="G41" s="91">
        <f t="shared" si="6"/>
        <v>0</v>
      </c>
      <c r="H41" s="79"/>
      <c r="I41" s="79">
        <f>SUM(G41:H41)+'BM 002'!I41</f>
        <v>60</v>
      </c>
      <c r="J41" s="79">
        <f t="shared" si="4"/>
        <v>0</v>
      </c>
      <c r="K41" s="80">
        <v>1150</v>
      </c>
      <c r="L41" s="81">
        <f t="shared" si="2"/>
        <v>1457.7401265000001</v>
      </c>
      <c r="M41" s="82">
        <f t="shared" si="7"/>
        <v>0</v>
      </c>
      <c r="N41" s="82">
        <f t="shared" si="8"/>
        <v>0</v>
      </c>
      <c r="O41" s="82">
        <f>N41+'BM 002'!O41</f>
        <v>87464.4</v>
      </c>
      <c r="P41" s="82">
        <f t="shared" si="9"/>
        <v>69000</v>
      </c>
      <c r="Q41" s="82">
        <f t="shared" si="10"/>
        <v>87464.4</v>
      </c>
      <c r="R41" s="82">
        <f t="shared" si="11"/>
        <v>0</v>
      </c>
    </row>
    <row r="42" spans="1:21" s="34" customFormat="1" ht="22.8">
      <c r="B42" s="87" t="s">
        <v>91</v>
      </c>
      <c r="C42" s="184" t="s">
        <v>1195</v>
      </c>
      <c r="D42" s="77" t="s">
        <v>79</v>
      </c>
      <c r="E42" s="78">
        <v>50</v>
      </c>
      <c r="F42" s="79"/>
      <c r="G42" s="91">
        <f t="shared" si="6"/>
        <v>0</v>
      </c>
      <c r="H42" s="79"/>
      <c r="I42" s="79">
        <f>SUM(G42:H42)+'BM 002'!I42</f>
        <v>50</v>
      </c>
      <c r="J42" s="79">
        <f t="shared" si="4"/>
        <v>0</v>
      </c>
      <c r="K42" s="80">
        <v>650</v>
      </c>
      <c r="L42" s="81">
        <f t="shared" si="2"/>
        <v>823.94007150000004</v>
      </c>
      <c r="M42" s="82">
        <f t="shared" si="7"/>
        <v>0</v>
      </c>
      <c r="N42" s="82">
        <f t="shared" si="8"/>
        <v>0</v>
      </c>
      <c r="O42" s="82">
        <f>N42+'BM 002'!O42</f>
        <v>41197</v>
      </c>
      <c r="P42" s="82">
        <f t="shared" si="9"/>
        <v>32500</v>
      </c>
      <c r="Q42" s="82">
        <f t="shared" si="10"/>
        <v>41197</v>
      </c>
      <c r="R42" s="82">
        <f t="shared" si="11"/>
        <v>0</v>
      </c>
    </row>
    <row r="43" spans="1:21" s="34" customFormat="1" ht="13.2">
      <c r="B43" s="66" t="s">
        <v>93</v>
      </c>
      <c r="C43" s="67" t="s">
        <v>94</v>
      </c>
      <c r="D43" s="68"/>
      <c r="E43" s="69"/>
      <c r="F43" s="70"/>
      <c r="G43" s="70"/>
      <c r="H43" s="70"/>
      <c r="I43" s="70">
        <f>SUM(G43:H43)+'BM 002'!I43</f>
        <v>0</v>
      </c>
      <c r="J43" s="70">
        <f t="shared" si="4"/>
        <v>0</v>
      </c>
      <c r="K43" s="71"/>
      <c r="L43" s="71">
        <f t="shared" si="2"/>
        <v>0</v>
      </c>
      <c r="M43" s="73">
        <f t="shared" ref="M43:R43" si="12">SUM(M44:M51)</f>
        <v>26644.07</v>
      </c>
      <c r="N43" s="73">
        <f t="shared" si="12"/>
        <v>26644.07</v>
      </c>
      <c r="O43" s="73">
        <f t="shared" si="12"/>
        <v>82476.06</v>
      </c>
      <c r="P43" s="73">
        <f t="shared" si="12"/>
        <v>220037.1</v>
      </c>
      <c r="Q43" s="73">
        <f t="shared" si="12"/>
        <v>278919.01</v>
      </c>
      <c r="R43" s="73">
        <f t="shared" si="12"/>
        <v>196442.95</v>
      </c>
    </row>
    <row r="44" spans="1:21" s="34" customFormat="1" ht="23.4">
      <c r="A44" s="83"/>
      <c r="B44" s="87" t="s">
        <v>95</v>
      </c>
      <c r="C44" s="76" t="s">
        <v>96</v>
      </c>
      <c r="D44" s="77" t="s">
        <v>79</v>
      </c>
      <c r="E44" s="93">
        <v>2573.3000000000002</v>
      </c>
      <c r="F44" s="79"/>
      <c r="G44" s="79">
        <f t="shared" ref="G44:G51" si="13">F44</f>
        <v>0</v>
      </c>
      <c r="H44" s="79"/>
      <c r="I44" s="79">
        <f>SUM(G44:H44)+'BM 002'!I44</f>
        <v>2573.3000000000002</v>
      </c>
      <c r="J44" s="79">
        <f t="shared" si="4"/>
        <v>0</v>
      </c>
      <c r="K44" s="80">
        <v>2</v>
      </c>
      <c r="L44" s="81">
        <f t="shared" si="2"/>
        <v>2.5352002200000001</v>
      </c>
      <c r="M44" s="82">
        <f t="shared" ref="M44:M51" si="14">TRUNC(F44*L44,2)</f>
        <v>0</v>
      </c>
      <c r="N44" s="82">
        <f t="shared" ref="N44:N51" si="15">TRUNC(G44*L44,2)</f>
        <v>0</v>
      </c>
      <c r="O44" s="82">
        <f>N44+'BM 002'!O44</f>
        <v>6523.83</v>
      </c>
      <c r="P44" s="82">
        <f t="shared" ref="P44:P51" si="16">E44*K44</f>
        <v>5146.6000000000004</v>
      </c>
      <c r="Q44" s="82">
        <f t="shared" ref="Q44:Q51" si="17">TRUNC(E44*L44,2)</f>
        <v>6523.83</v>
      </c>
      <c r="R44" s="82">
        <f t="shared" ref="R44:R51" si="18">Q44-O44</f>
        <v>0</v>
      </c>
    </row>
    <row r="45" spans="1:21" s="34" customFormat="1" ht="23.4">
      <c r="B45" s="87" t="s">
        <v>97</v>
      </c>
      <c r="C45" s="88" t="s">
        <v>98</v>
      </c>
      <c r="D45" s="89" t="s">
        <v>99</v>
      </c>
      <c r="E45" s="90">
        <v>5.9</v>
      </c>
      <c r="F45" s="91"/>
      <c r="G45" s="91">
        <f t="shared" si="13"/>
        <v>0</v>
      </c>
      <c r="H45" s="91"/>
      <c r="I45" s="79">
        <f>SUM(G45:H45)+'BM 002'!I45</f>
        <v>5.9</v>
      </c>
      <c r="J45" s="91">
        <f t="shared" si="4"/>
        <v>0</v>
      </c>
      <c r="K45" s="80">
        <v>55</v>
      </c>
      <c r="L45" s="81">
        <f t="shared" si="2"/>
        <v>69.71800605</v>
      </c>
      <c r="M45" s="82">
        <f t="shared" si="14"/>
        <v>0</v>
      </c>
      <c r="N45" s="82">
        <f t="shared" si="15"/>
        <v>0</v>
      </c>
      <c r="O45" s="82">
        <f>N45+'BM 002'!O45</f>
        <v>411.33</v>
      </c>
      <c r="P45" s="82">
        <f t="shared" si="16"/>
        <v>324.5</v>
      </c>
      <c r="Q45" s="82">
        <f t="shared" si="17"/>
        <v>411.33</v>
      </c>
      <c r="R45" s="82">
        <f t="shared" si="18"/>
        <v>0</v>
      </c>
    </row>
    <row r="46" spans="1:21" s="34" customFormat="1" ht="13.2">
      <c r="B46" s="87" t="s">
        <v>100</v>
      </c>
      <c r="C46" s="88" t="s">
        <v>101</v>
      </c>
      <c r="D46" s="89" t="s">
        <v>79</v>
      </c>
      <c r="E46" s="90">
        <v>88</v>
      </c>
      <c r="F46" s="91"/>
      <c r="G46" s="91">
        <f t="shared" si="13"/>
        <v>0</v>
      </c>
      <c r="H46" s="91"/>
      <c r="I46" s="79">
        <f>SUM(G46:H46)+'BM 002'!I46</f>
        <v>88</v>
      </c>
      <c r="J46" s="91">
        <f t="shared" si="4"/>
        <v>0</v>
      </c>
      <c r="K46" s="80">
        <v>10</v>
      </c>
      <c r="L46" s="81">
        <f t="shared" si="2"/>
        <v>12.676001100000001</v>
      </c>
      <c r="M46" s="82">
        <f t="shared" si="14"/>
        <v>0</v>
      </c>
      <c r="N46" s="82">
        <f t="shared" si="15"/>
        <v>0</v>
      </c>
      <c r="O46" s="82">
        <f>N46+'BM 002'!O46</f>
        <v>1115.48</v>
      </c>
      <c r="P46" s="82">
        <f t="shared" si="16"/>
        <v>880</v>
      </c>
      <c r="Q46" s="82">
        <f t="shared" si="17"/>
        <v>1115.48</v>
      </c>
      <c r="R46" s="82">
        <f t="shared" si="18"/>
        <v>0</v>
      </c>
    </row>
    <row r="47" spans="1:21" s="34" customFormat="1" ht="23.4">
      <c r="B47" s="87" t="s">
        <v>102</v>
      </c>
      <c r="C47" s="88" t="s">
        <v>103</v>
      </c>
      <c r="D47" s="89" t="s">
        <v>99</v>
      </c>
      <c r="E47" s="90">
        <v>6.8</v>
      </c>
      <c r="F47" s="91"/>
      <c r="G47" s="91">
        <f t="shared" si="13"/>
        <v>0</v>
      </c>
      <c r="H47" s="91"/>
      <c r="I47" s="79">
        <f>SUM(G47:H47)+'BM 002'!I47</f>
        <v>6.8</v>
      </c>
      <c r="J47" s="91">
        <f t="shared" si="4"/>
        <v>0</v>
      </c>
      <c r="K47" s="80">
        <v>220</v>
      </c>
      <c r="L47" s="81">
        <f t="shared" si="2"/>
        <v>278.8720242</v>
      </c>
      <c r="M47" s="82">
        <f t="shared" si="14"/>
        <v>0</v>
      </c>
      <c r="N47" s="82">
        <f t="shared" si="15"/>
        <v>0</v>
      </c>
      <c r="O47" s="82">
        <f>N47+'BM 002'!O47</f>
        <v>1896.32</v>
      </c>
      <c r="P47" s="82">
        <f t="shared" si="16"/>
        <v>1496</v>
      </c>
      <c r="Q47" s="82">
        <f t="shared" si="17"/>
        <v>1896.32</v>
      </c>
      <c r="R47" s="82">
        <f t="shared" si="18"/>
        <v>0</v>
      </c>
    </row>
    <row r="48" spans="1:21" s="34" customFormat="1" ht="23.4">
      <c r="B48" s="87" t="s">
        <v>104</v>
      </c>
      <c r="C48" s="88" t="s">
        <v>105</v>
      </c>
      <c r="D48" s="89" t="s">
        <v>79</v>
      </c>
      <c r="E48" s="90">
        <v>88</v>
      </c>
      <c r="F48" s="91"/>
      <c r="G48" s="91">
        <f t="shared" si="13"/>
        <v>0</v>
      </c>
      <c r="H48" s="91"/>
      <c r="I48" s="79">
        <f>SUM(G48:H48)+'BM 002'!I48</f>
        <v>88</v>
      </c>
      <c r="J48" s="91">
        <f t="shared" si="4"/>
        <v>0</v>
      </c>
      <c r="K48" s="80">
        <v>15</v>
      </c>
      <c r="L48" s="81">
        <f t="shared" si="2"/>
        <v>19.014001650000001</v>
      </c>
      <c r="M48" s="82">
        <f t="shared" si="14"/>
        <v>0</v>
      </c>
      <c r="N48" s="82">
        <f t="shared" si="15"/>
        <v>0</v>
      </c>
      <c r="O48" s="82">
        <f>N48+'BM 002'!O48</f>
        <v>1673.23</v>
      </c>
      <c r="P48" s="80">
        <f t="shared" si="16"/>
        <v>1320</v>
      </c>
      <c r="Q48" s="82">
        <f t="shared" si="17"/>
        <v>1673.23</v>
      </c>
      <c r="R48" s="82">
        <f t="shared" si="18"/>
        <v>0</v>
      </c>
    </row>
    <row r="49" spans="2:20" s="34" customFormat="1" ht="23.4">
      <c r="B49" s="87" t="s">
        <v>106</v>
      </c>
      <c r="C49" s="76" t="s">
        <v>107</v>
      </c>
      <c r="D49" s="89" t="s">
        <v>99</v>
      </c>
      <c r="E49" s="90">
        <v>4350</v>
      </c>
      <c r="F49" s="91">
        <f>'M.C. MED. 03'!K98</f>
        <v>404.21749999999997</v>
      </c>
      <c r="G49" s="91">
        <f t="shared" si="13"/>
        <v>404.21749999999997</v>
      </c>
      <c r="H49" s="91"/>
      <c r="I49" s="79">
        <f>SUM(G49:H49)+'BM 002'!I49</f>
        <v>1616.87</v>
      </c>
      <c r="J49" s="91">
        <f t="shared" si="4"/>
        <v>2733.13</v>
      </c>
      <c r="K49" s="80">
        <v>10</v>
      </c>
      <c r="L49" s="81">
        <f t="shared" si="2"/>
        <v>12.676001100000001</v>
      </c>
      <c r="M49" s="82">
        <f t="shared" si="14"/>
        <v>5123.8599999999997</v>
      </c>
      <c r="N49" s="82">
        <f t="shared" si="15"/>
        <v>5123.8599999999997</v>
      </c>
      <c r="O49" s="82">
        <f>N49+'BM 002'!O49</f>
        <v>20495.439999999999</v>
      </c>
      <c r="P49" s="80">
        <f t="shared" si="16"/>
        <v>43500</v>
      </c>
      <c r="Q49" s="82">
        <f t="shared" si="17"/>
        <v>55140.6</v>
      </c>
      <c r="R49" s="82">
        <f t="shared" si="18"/>
        <v>34645.160000000003</v>
      </c>
      <c r="T49" s="185">
        <v>20000</v>
      </c>
    </row>
    <row r="50" spans="2:20" s="34" customFormat="1" ht="46.2">
      <c r="B50" s="87" t="s">
        <v>108</v>
      </c>
      <c r="C50" s="76" t="s">
        <v>109</v>
      </c>
      <c r="D50" s="89" t="s">
        <v>110</v>
      </c>
      <c r="E50" s="90">
        <v>3985</v>
      </c>
      <c r="F50" s="91">
        <f>'M.C. MED. 03'!K109</f>
        <v>404.21749999999997</v>
      </c>
      <c r="G50" s="91">
        <f t="shared" si="13"/>
        <v>404.21749999999997</v>
      </c>
      <c r="H50" s="91"/>
      <c r="I50" s="79">
        <f>SUM(G50:H50)+'BM 002'!I50</f>
        <v>1616.87</v>
      </c>
      <c r="J50" s="91">
        <f t="shared" si="4"/>
        <v>2368.13</v>
      </c>
      <c r="K50" s="80">
        <v>12</v>
      </c>
      <c r="L50" s="81">
        <f t="shared" si="2"/>
        <v>15.211201320000001</v>
      </c>
      <c r="M50" s="82">
        <f t="shared" si="14"/>
        <v>6148.63</v>
      </c>
      <c r="N50" s="82">
        <f t="shared" si="15"/>
        <v>6148.63</v>
      </c>
      <c r="O50" s="82">
        <f>N50+'BM 002'!O50</f>
        <v>24594.530000000002</v>
      </c>
      <c r="P50" s="80">
        <f t="shared" si="16"/>
        <v>47820</v>
      </c>
      <c r="Q50" s="82">
        <f t="shared" si="17"/>
        <v>60616.63</v>
      </c>
      <c r="R50" s="82">
        <f t="shared" si="18"/>
        <v>36022.099999999991</v>
      </c>
      <c r="T50" s="83"/>
    </row>
    <row r="51" spans="2:20" s="34" customFormat="1" ht="34.799999999999997">
      <c r="B51" s="87" t="s">
        <v>111</v>
      </c>
      <c r="C51" s="76" t="s">
        <v>112</v>
      </c>
      <c r="D51" s="89" t="s">
        <v>113</v>
      </c>
      <c r="E51" s="90">
        <f>E50*30</f>
        <v>119550</v>
      </c>
      <c r="F51" s="91">
        <f>'M.C. MED. 03'!K120</f>
        <v>12126.525000000001</v>
      </c>
      <c r="G51" s="91">
        <f t="shared" si="13"/>
        <v>12126.525000000001</v>
      </c>
      <c r="H51" s="91"/>
      <c r="I51" s="79">
        <f>SUM(G51:H51)+'BM 002'!I51</f>
        <v>20326.525000000001</v>
      </c>
      <c r="J51" s="91">
        <f t="shared" si="4"/>
        <v>99223.475000000006</v>
      </c>
      <c r="K51" s="80">
        <v>1</v>
      </c>
      <c r="L51" s="81">
        <f t="shared" si="2"/>
        <v>1.2676001100000001</v>
      </c>
      <c r="M51" s="82">
        <f t="shared" si="14"/>
        <v>15371.58</v>
      </c>
      <c r="N51" s="82">
        <f t="shared" si="15"/>
        <v>15371.58</v>
      </c>
      <c r="O51" s="82">
        <f>N51+'BM 002'!O51</f>
        <v>25765.9</v>
      </c>
      <c r="P51" s="80">
        <f t="shared" si="16"/>
        <v>119550</v>
      </c>
      <c r="Q51" s="82">
        <f t="shared" si="17"/>
        <v>151541.59</v>
      </c>
      <c r="R51" s="82">
        <f t="shared" si="18"/>
        <v>125775.69</v>
      </c>
    </row>
    <row r="52" spans="2:20" s="34" customFormat="1" ht="13.2">
      <c r="B52" s="60" t="s">
        <v>114</v>
      </c>
      <c r="C52" s="61" t="s">
        <v>115</v>
      </c>
      <c r="D52" s="60"/>
      <c r="E52" s="62"/>
      <c r="F52" s="63"/>
      <c r="G52" s="63"/>
      <c r="H52" s="63"/>
      <c r="I52" s="63">
        <f>SUM(G52:H52)+'BM 002'!I52</f>
        <v>0</v>
      </c>
      <c r="J52" s="63">
        <f t="shared" si="4"/>
        <v>0</v>
      </c>
      <c r="K52" s="63"/>
      <c r="L52" s="63">
        <f t="shared" si="2"/>
        <v>0</v>
      </c>
      <c r="M52" s="63">
        <f t="shared" ref="M52:R52" si="19">M53</f>
        <v>128226.92000000001</v>
      </c>
      <c r="N52" s="63">
        <f t="shared" si="19"/>
        <v>128226.92000000001</v>
      </c>
      <c r="O52" s="63">
        <f t="shared" si="19"/>
        <v>1043334.3999999999</v>
      </c>
      <c r="P52" s="63">
        <f t="shared" si="19"/>
        <v>823958.14</v>
      </c>
      <c r="Q52" s="63">
        <f t="shared" si="19"/>
        <v>1044449.3999999999</v>
      </c>
      <c r="R52" s="63">
        <f t="shared" si="19"/>
        <v>1115</v>
      </c>
    </row>
    <row r="53" spans="2:20" s="34" customFormat="1" ht="13.2">
      <c r="B53" s="66" t="s">
        <v>116</v>
      </c>
      <c r="C53" s="67" t="s">
        <v>117</v>
      </c>
      <c r="D53" s="68"/>
      <c r="E53" s="69"/>
      <c r="F53" s="70"/>
      <c r="G53" s="70"/>
      <c r="H53" s="70"/>
      <c r="I53" s="70">
        <f>SUM(G53:H53)+'BM 002'!I53</f>
        <v>0</v>
      </c>
      <c r="J53" s="70">
        <f t="shared" si="4"/>
        <v>0</v>
      </c>
      <c r="K53" s="71"/>
      <c r="L53" s="71">
        <f t="shared" si="2"/>
        <v>0</v>
      </c>
      <c r="M53" s="73">
        <f t="shared" ref="M53:R53" si="20">SUM(M54:M61)</f>
        <v>128226.92000000001</v>
      </c>
      <c r="N53" s="73">
        <f t="shared" si="20"/>
        <v>128226.92000000001</v>
      </c>
      <c r="O53" s="73">
        <f t="shared" si="20"/>
        <v>1043334.3999999999</v>
      </c>
      <c r="P53" s="73">
        <f t="shared" si="20"/>
        <v>823958.14</v>
      </c>
      <c r="Q53" s="73">
        <f t="shared" si="20"/>
        <v>1044449.3999999999</v>
      </c>
      <c r="R53" s="73">
        <f t="shared" si="20"/>
        <v>1115</v>
      </c>
    </row>
    <row r="54" spans="2:20" s="34" customFormat="1" ht="34.799999999999997">
      <c r="B54" s="87" t="s">
        <v>118</v>
      </c>
      <c r="C54" s="88" t="s">
        <v>119</v>
      </c>
      <c r="D54" s="89" t="s">
        <v>82</v>
      </c>
      <c r="E54" s="92">
        <v>196.9</v>
      </c>
      <c r="F54" s="91"/>
      <c r="G54" s="91"/>
      <c r="H54" s="91"/>
      <c r="I54" s="79">
        <f>SUM(G54:H54)+'BM 002'!I54</f>
        <v>196.9</v>
      </c>
      <c r="J54" s="91">
        <f t="shared" si="4"/>
        <v>0</v>
      </c>
      <c r="K54" s="80">
        <v>75</v>
      </c>
      <c r="L54" s="81">
        <f t="shared" si="2"/>
        <v>95.070008250000001</v>
      </c>
      <c r="M54" s="82">
        <f t="shared" ref="M54:M61" si="21">TRUNC(F54*L54,2)</f>
        <v>0</v>
      </c>
      <c r="N54" s="82">
        <f t="shared" ref="N54:N61" si="22">TRUNC(G54*L54,2)</f>
        <v>0</v>
      </c>
      <c r="O54" s="82">
        <f>N54+'BM 002'!O54</f>
        <v>18719.28</v>
      </c>
      <c r="P54" s="80">
        <f t="shared" ref="P54:P61" si="23">E54*K54</f>
        <v>14767.5</v>
      </c>
      <c r="Q54" s="82">
        <f t="shared" ref="Q54:Q61" si="24">TRUNC(E54*L54,2)</f>
        <v>18719.28</v>
      </c>
      <c r="R54" s="82">
        <f t="shared" ref="R54:R61" si="25">Q54-O54</f>
        <v>0</v>
      </c>
    </row>
    <row r="55" spans="2:20" s="34" customFormat="1" ht="23.4">
      <c r="B55" s="87" t="s">
        <v>120</v>
      </c>
      <c r="C55" s="88" t="s">
        <v>121</v>
      </c>
      <c r="D55" s="89" t="s">
        <v>63</v>
      </c>
      <c r="E55" s="92">
        <v>1</v>
      </c>
      <c r="F55" s="91"/>
      <c r="G55" s="91">
        <f t="shared" ref="G55:G61" si="26">F55</f>
        <v>0</v>
      </c>
      <c r="H55" s="91"/>
      <c r="I55" s="79">
        <f>SUM(G55:H55)+'BM 002'!I55</f>
        <v>1</v>
      </c>
      <c r="J55" s="91">
        <f t="shared" si="4"/>
        <v>0</v>
      </c>
      <c r="K55" s="80">
        <v>11000</v>
      </c>
      <c r="L55" s="81">
        <f t="shared" si="2"/>
        <v>13943.601210000001</v>
      </c>
      <c r="M55" s="82">
        <f t="shared" si="21"/>
        <v>0</v>
      </c>
      <c r="N55" s="82">
        <f t="shared" si="22"/>
        <v>0</v>
      </c>
      <c r="O55" s="82">
        <f>N55+'BM 002'!O55</f>
        <v>13943.6</v>
      </c>
      <c r="P55" s="80">
        <f t="shared" si="23"/>
        <v>11000</v>
      </c>
      <c r="Q55" s="82">
        <f t="shared" si="24"/>
        <v>13943.6</v>
      </c>
      <c r="R55" s="82">
        <f t="shared" si="25"/>
        <v>0</v>
      </c>
    </row>
    <row r="56" spans="2:20" s="34" customFormat="1" ht="34.799999999999997">
      <c r="B56" s="87" t="s">
        <v>122</v>
      </c>
      <c r="C56" s="88" t="s">
        <v>123</v>
      </c>
      <c r="D56" s="89" t="s">
        <v>124</v>
      </c>
      <c r="E56" s="90">
        <v>1837</v>
      </c>
      <c r="F56" s="91">
        <f>'M.C. MED. 03'!K131</f>
        <v>183.25</v>
      </c>
      <c r="G56" s="91">
        <f t="shared" si="26"/>
        <v>183.25</v>
      </c>
      <c r="H56" s="91"/>
      <c r="I56" s="79">
        <f>SUM(G56:H56)+'BM 002'!I56</f>
        <v>1837</v>
      </c>
      <c r="J56" s="91">
        <f t="shared" si="4"/>
        <v>0</v>
      </c>
      <c r="K56" s="80">
        <v>405</v>
      </c>
      <c r="L56" s="81">
        <f t="shared" si="2"/>
        <v>513.37804455000003</v>
      </c>
      <c r="M56" s="82">
        <f t="shared" si="21"/>
        <v>94076.52</v>
      </c>
      <c r="N56" s="82">
        <f t="shared" si="22"/>
        <v>94076.52</v>
      </c>
      <c r="O56" s="82">
        <f>N56+'BM 002'!O56</f>
        <v>943075.46</v>
      </c>
      <c r="P56" s="80">
        <f t="shared" si="23"/>
        <v>743985</v>
      </c>
      <c r="Q56" s="82">
        <f t="shared" si="24"/>
        <v>943075.46</v>
      </c>
      <c r="R56" s="82">
        <f t="shared" si="25"/>
        <v>0</v>
      </c>
    </row>
    <row r="57" spans="2:20" s="34" customFormat="1" ht="34.799999999999997">
      <c r="B57" s="87" t="s">
        <v>125</v>
      </c>
      <c r="C57" s="88" t="s">
        <v>126</v>
      </c>
      <c r="D57" s="89" t="s">
        <v>110</v>
      </c>
      <c r="E57" s="90">
        <v>293.92</v>
      </c>
      <c r="F57" s="91"/>
      <c r="G57" s="91">
        <f t="shared" si="26"/>
        <v>0</v>
      </c>
      <c r="H57" s="91"/>
      <c r="I57" s="79">
        <f>SUM(G57:H57)+'BM 002'!I57</f>
        <v>293.92</v>
      </c>
      <c r="J57" s="91">
        <f t="shared" si="4"/>
        <v>0</v>
      </c>
      <c r="K57" s="80">
        <v>12</v>
      </c>
      <c r="L57" s="81">
        <f t="shared" si="2"/>
        <v>15.211201320000001</v>
      </c>
      <c r="M57" s="82">
        <f t="shared" si="21"/>
        <v>0</v>
      </c>
      <c r="N57" s="82">
        <f t="shared" si="22"/>
        <v>0</v>
      </c>
      <c r="O57" s="82">
        <f>N57+'BM 002'!O57</f>
        <v>4470.87</v>
      </c>
      <c r="P57" s="80">
        <f t="shared" si="23"/>
        <v>3527.04</v>
      </c>
      <c r="Q57" s="82">
        <f t="shared" si="24"/>
        <v>4470.87</v>
      </c>
      <c r="R57" s="82">
        <f t="shared" si="25"/>
        <v>0</v>
      </c>
    </row>
    <row r="58" spans="2:20" s="34" customFormat="1" ht="34.799999999999997">
      <c r="B58" s="87" t="s">
        <v>127</v>
      </c>
      <c r="C58" s="88" t="s">
        <v>128</v>
      </c>
      <c r="D58" s="89" t="s">
        <v>113</v>
      </c>
      <c r="E58" s="90">
        <f>E57*30</f>
        <v>8817.6</v>
      </c>
      <c r="F58" s="91"/>
      <c r="G58" s="91">
        <f t="shared" si="26"/>
        <v>0</v>
      </c>
      <c r="H58" s="91"/>
      <c r="I58" s="79">
        <f>SUM(G58:H58)+'BM 002'!I58</f>
        <v>7938.0000000000009</v>
      </c>
      <c r="J58" s="91">
        <f t="shared" si="4"/>
        <v>879.59999999999945</v>
      </c>
      <c r="K58" s="80">
        <v>1</v>
      </c>
      <c r="L58" s="81">
        <f t="shared" si="2"/>
        <v>1.2676001100000001</v>
      </c>
      <c r="M58" s="82">
        <f t="shared" si="21"/>
        <v>0</v>
      </c>
      <c r="N58" s="82">
        <f t="shared" si="22"/>
        <v>0</v>
      </c>
      <c r="O58" s="82">
        <f>N58+'BM 002'!O58</f>
        <v>10062.200000000001</v>
      </c>
      <c r="P58" s="80">
        <f t="shared" si="23"/>
        <v>8817.6</v>
      </c>
      <c r="Q58" s="82">
        <f t="shared" si="24"/>
        <v>11177.19</v>
      </c>
      <c r="R58" s="82">
        <f t="shared" si="25"/>
        <v>1114.9899999999998</v>
      </c>
    </row>
    <row r="59" spans="2:20" s="34" customFormat="1" ht="23.4">
      <c r="B59" s="87" t="s">
        <v>129</v>
      </c>
      <c r="C59" s="88" t="s">
        <v>130</v>
      </c>
      <c r="D59" s="89" t="s">
        <v>131</v>
      </c>
      <c r="E59" s="92">
        <v>167</v>
      </c>
      <c r="F59" s="91">
        <f>'M.C. MED. 03'!K162</f>
        <v>127</v>
      </c>
      <c r="G59" s="91">
        <f t="shared" si="26"/>
        <v>127</v>
      </c>
      <c r="H59" s="91"/>
      <c r="I59" s="79">
        <f>SUM(G59:H59)+'BM 002'!I59</f>
        <v>167</v>
      </c>
      <c r="J59" s="91">
        <f t="shared" si="4"/>
        <v>0</v>
      </c>
      <c r="K59" s="80">
        <v>23</v>
      </c>
      <c r="L59" s="81">
        <f t="shared" si="2"/>
        <v>29.154802530000001</v>
      </c>
      <c r="M59" s="82">
        <f t="shared" si="21"/>
        <v>3702.65</v>
      </c>
      <c r="N59" s="82">
        <f t="shared" si="22"/>
        <v>3702.65</v>
      </c>
      <c r="O59" s="82">
        <f>N59+'BM 002'!O59</f>
        <v>4868.84</v>
      </c>
      <c r="P59" s="80">
        <f t="shared" si="23"/>
        <v>3841</v>
      </c>
      <c r="Q59" s="82">
        <f t="shared" si="24"/>
        <v>4868.8500000000004</v>
      </c>
      <c r="R59" s="82">
        <f t="shared" si="25"/>
        <v>1.0000000000218279E-2</v>
      </c>
    </row>
    <row r="60" spans="2:20" s="34" customFormat="1" ht="13.2">
      <c r="B60" s="87" t="s">
        <v>132</v>
      </c>
      <c r="C60" s="88" t="s">
        <v>133</v>
      </c>
      <c r="D60" s="89" t="s">
        <v>63</v>
      </c>
      <c r="E60" s="92">
        <v>2</v>
      </c>
      <c r="F60" s="91">
        <f>'M.C. MED. 03'!K173</f>
        <v>1</v>
      </c>
      <c r="G60" s="91">
        <f t="shared" si="26"/>
        <v>1</v>
      </c>
      <c r="H60" s="91"/>
      <c r="I60" s="79">
        <f>SUM(G60:H60)+'BM 002'!I60</f>
        <v>2</v>
      </c>
      <c r="J60" s="91">
        <f t="shared" si="4"/>
        <v>0</v>
      </c>
      <c r="K60" s="80">
        <v>14000</v>
      </c>
      <c r="L60" s="81">
        <f t="shared" si="2"/>
        <v>17746.401540000003</v>
      </c>
      <c r="M60" s="82">
        <f t="shared" si="21"/>
        <v>17746.400000000001</v>
      </c>
      <c r="N60" s="82">
        <f t="shared" si="22"/>
        <v>17746.400000000001</v>
      </c>
      <c r="O60" s="82">
        <f>N60+'BM 002'!O60</f>
        <v>35492.800000000003</v>
      </c>
      <c r="P60" s="80">
        <f t="shared" si="23"/>
        <v>28000</v>
      </c>
      <c r="Q60" s="82">
        <f t="shared" si="24"/>
        <v>35492.800000000003</v>
      </c>
      <c r="R60" s="82">
        <f t="shared" si="25"/>
        <v>0</v>
      </c>
    </row>
    <row r="61" spans="2:20" s="34" customFormat="1" ht="13.2">
      <c r="B61" s="87" t="s">
        <v>134</v>
      </c>
      <c r="C61" s="88" t="s">
        <v>135</v>
      </c>
      <c r="D61" s="89" t="s">
        <v>63</v>
      </c>
      <c r="E61" s="92">
        <v>167</v>
      </c>
      <c r="F61" s="91">
        <v>167</v>
      </c>
      <c r="G61" s="91">
        <f t="shared" si="26"/>
        <v>167</v>
      </c>
      <c r="H61" s="91"/>
      <c r="I61" s="79">
        <f>SUM(G61:H61)+'BM 002'!I61</f>
        <v>167</v>
      </c>
      <c r="J61" s="91">
        <f t="shared" si="4"/>
        <v>0</v>
      </c>
      <c r="K61" s="80">
        <v>60</v>
      </c>
      <c r="L61" s="81">
        <f t="shared" si="2"/>
        <v>76.056006600000003</v>
      </c>
      <c r="M61" s="82">
        <f t="shared" si="21"/>
        <v>12701.35</v>
      </c>
      <c r="N61" s="82">
        <f t="shared" si="22"/>
        <v>12701.35</v>
      </c>
      <c r="O61" s="82">
        <f>N61+'BM 002'!O61</f>
        <v>12701.35</v>
      </c>
      <c r="P61" s="80">
        <f t="shared" si="23"/>
        <v>10020</v>
      </c>
      <c r="Q61" s="82">
        <f t="shared" si="24"/>
        <v>12701.35</v>
      </c>
      <c r="R61" s="82">
        <f t="shared" si="25"/>
        <v>0</v>
      </c>
    </row>
    <row r="62" spans="2:20" s="34" customFormat="1" ht="15.75" customHeight="1">
      <c r="B62" s="60" t="s">
        <v>136</v>
      </c>
      <c r="C62" s="61" t="s">
        <v>137</v>
      </c>
      <c r="D62" s="60"/>
      <c r="E62" s="62"/>
      <c r="F62" s="63"/>
      <c r="G62" s="63"/>
      <c r="H62" s="63"/>
      <c r="I62" s="63">
        <f>SUM(G62:H62)+'BM 002'!I62</f>
        <v>0</v>
      </c>
      <c r="J62" s="63">
        <f t="shared" si="4"/>
        <v>0</v>
      </c>
      <c r="K62" s="63"/>
      <c r="L62" s="63">
        <f t="shared" si="2"/>
        <v>0</v>
      </c>
      <c r="M62" s="63">
        <f t="shared" ref="M62:R62" si="27">SUM(M63,M79)</f>
        <v>355260.72</v>
      </c>
      <c r="N62" s="63">
        <f t="shared" si="27"/>
        <v>355260.72</v>
      </c>
      <c r="O62" s="63">
        <f t="shared" si="27"/>
        <v>355260.72</v>
      </c>
      <c r="P62" s="63">
        <f t="shared" si="27"/>
        <v>621941.5</v>
      </c>
      <c r="Q62" s="63">
        <f t="shared" si="27"/>
        <v>788372.97</v>
      </c>
      <c r="R62" s="63">
        <f t="shared" si="27"/>
        <v>433112.25</v>
      </c>
    </row>
    <row r="63" spans="2:20" s="34" customFormat="1" ht="13.2">
      <c r="B63" s="66" t="s">
        <v>138</v>
      </c>
      <c r="C63" s="67" t="s">
        <v>139</v>
      </c>
      <c r="D63" s="68"/>
      <c r="E63" s="69"/>
      <c r="F63" s="70"/>
      <c r="G63" s="70"/>
      <c r="H63" s="70"/>
      <c r="I63" s="70">
        <f>SUM(G63:H63)+'BM 002'!I63</f>
        <v>0</v>
      </c>
      <c r="J63" s="70">
        <f t="shared" si="4"/>
        <v>0</v>
      </c>
      <c r="K63" s="71"/>
      <c r="L63" s="71">
        <f t="shared" si="2"/>
        <v>0</v>
      </c>
      <c r="M63" s="73">
        <f t="shared" ref="M63:R63" si="28">SUM(M64:M78)</f>
        <v>268844.49</v>
      </c>
      <c r="N63" s="73">
        <f t="shared" si="28"/>
        <v>268844.49</v>
      </c>
      <c r="O63" s="73">
        <f t="shared" si="28"/>
        <v>268844.49</v>
      </c>
      <c r="P63" s="73">
        <f t="shared" si="28"/>
        <v>471600.95</v>
      </c>
      <c r="Q63" s="73">
        <f t="shared" si="28"/>
        <v>597801.35</v>
      </c>
      <c r="R63" s="73">
        <f t="shared" si="28"/>
        <v>328956.86</v>
      </c>
    </row>
    <row r="64" spans="2:20" s="34" customFormat="1" ht="23.4">
      <c r="B64" s="87" t="s">
        <v>140</v>
      </c>
      <c r="C64" s="88" t="s">
        <v>141</v>
      </c>
      <c r="D64" s="89" t="s">
        <v>110</v>
      </c>
      <c r="E64" s="90">
        <v>259.39</v>
      </c>
      <c r="F64" s="91">
        <f>0.5*E64</f>
        <v>129.69499999999999</v>
      </c>
      <c r="G64" s="91">
        <f t="shared" ref="G64:G78" si="29">F64</f>
        <v>129.69499999999999</v>
      </c>
      <c r="H64" s="91"/>
      <c r="I64" s="79">
        <f>SUM(G64:H64)+'BM 002'!I64</f>
        <v>129.69499999999999</v>
      </c>
      <c r="J64" s="91">
        <f t="shared" si="4"/>
        <v>129.69499999999999</v>
      </c>
      <c r="K64" s="80">
        <v>80</v>
      </c>
      <c r="L64" s="81">
        <f t="shared" si="2"/>
        <v>101.4080088</v>
      </c>
      <c r="M64" s="82">
        <f t="shared" ref="M64:M78" si="30">TRUNC(F64*L64,2)</f>
        <v>13152.11</v>
      </c>
      <c r="N64" s="82">
        <f t="shared" ref="N64:N78" si="31">TRUNC(G64*L64,2)</f>
        <v>13152.11</v>
      </c>
      <c r="O64" s="82">
        <f>N64+'BM 002'!O64</f>
        <v>13152.11</v>
      </c>
      <c r="P64" s="80">
        <f t="shared" ref="P64:P78" si="32">E64*K64</f>
        <v>20751.199999999997</v>
      </c>
      <c r="Q64" s="82">
        <f t="shared" ref="Q64:Q78" si="33">TRUNC(E64*L64,2)</f>
        <v>26304.22</v>
      </c>
      <c r="R64" s="82">
        <f t="shared" ref="R64:R78" si="34">Q64-O64</f>
        <v>13152.11</v>
      </c>
    </row>
    <row r="65" spans="2:20" s="34" customFormat="1" ht="23.4">
      <c r="B65" s="87" t="s">
        <v>142</v>
      </c>
      <c r="C65" s="88" t="s">
        <v>143</v>
      </c>
      <c r="D65" s="89" t="s">
        <v>79</v>
      </c>
      <c r="E65" s="92">
        <v>72.260000000000005</v>
      </c>
      <c r="F65" s="91">
        <f>0.5*E65</f>
        <v>36.130000000000003</v>
      </c>
      <c r="G65" s="91">
        <f t="shared" si="29"/>
        <v>36.130000000000003</v>
      </c>
      <c r="H65" s="91"/>
      <c r="I65" s="79">
        <f>SUM(G65:H65)+'BM 002'!I65</f>
        <v>36.130000000000003</v>
      </c>
      <c r="J65" s="91">
        <f t="shared" si="4"/>
        <v>36.130000000000003</v>
      </c>
      <c r="K65" s="80">
        <v>30</v>
      </c>
      <c r="L65" s="81">
        <f t="shared" si="2"/>
        <v>38.028003300000002</v>
      </c>
      <c r="M65" s="82">
        <f t="shared" si="30"/>
        <v>1373.95</v>
      </c>
      <c r="N65" s="82">
        <f t="shared" si="31"/>
        <v>1373.95</v>
      </c>
      <c r="O65" s="82">
        <f>N65+'BM 002'!O65</f>
        <v>1373.95</v>
      </c>
      <c r="P65" s="80">
        <f t="shared" si="32"/>
        <v>2167.8000000000002</v>
      </c>
      <c r="Q65" s="82">
        <f t="shared" si="33"/>
        <v>2747.9</v>
      </c>
      <c r="R65" s="82">
        <f t="shared" si="34"/>
        <v>1373.95</v>
      </c>
    </row>
    <row r="66" spans="2:20" s="34" customFormat="1" ht="13.2">
      <c r="B66" s="87" t="s">
        <v>144</v>
      </c>
      <c r="C66" s="88" t="s">
        <v>145</v>
      </c>
      <c r="D66" s="89" t="s">
        <v>110</v>
      </c>
      <c r="E66" s="92">
        <v>217.8</v>
      </c>
      <c r="F66" s="91">
        <f>TRUNC(0.33*E66,2)</f>
        <v>71.87</v>
      </c>
      <c r="G66" s="91">
        <f t="shared" si="29"/>
        <v>71.87</v>
      </c>
      <c r="H66" s="91"/>
      <c r="I66" s="79">
        <f>SUM(G66:H66)+'BM 002'!I66</f>
        <v>71.87</v>
      </c>
      <c r="J66" s="91">
        <f t="shared" si="4"/>
        <v>145.93</v>
      </c>
      <c r="K66" s="80">
        <v>25</v>
      </c>
      <c r="L66" s="81">
        <f t="shared" si="2"/>
        <v>31.690002750000001</v>
      </c>
      <c r="M66" s="82">
        <f t="shared" si="30"/>
        <v>2277.56</v>
      </c>
      <c r="N66" s="82">
        <f t="shared" si="31"/>
        <v>2277.56</v>
      </c>
      <c r="O66" s="82">
        <f>N66+'BM 002'!O66</f>
        <v>2277.56</v>
      </c>
      <c r="P66" s="80">
        <f t="shared" si="32"/>
        <v>5445</v>
      </c>
      <c r="Q66" s="82">
        <f t="shared" si="33"/>
        <v>6902.08</v>
      </c>
      <c r="R66" s="82">
        <f t="shared" si="34"/>
        <v>4624.5200000000004</v>
      </c>
    </row>
    <row r="67" spans="2:20" s="34" customFormat="1" ht="34.799999999999997">
      <c r="B67" s="87" t="s">
        <v>146</v>
      </c>
      <c r="C67" s="88" t="s">
        <v>126</v>
      </c>
      <c r="D67" s="89" t="s">
        <v>110</v>
      </c>
      <c r="E67" s="90">
        <v>140.80000000000001</v>
      </c>
      <c r="F67" s="91">
        <f>15*7</f>
        <v>105</v>
      </c>
      <c r="G67" s="91">
        <f t="shared" si="29"/>
        <v>105</v>
      </c>
      <c r="H67" s="91"/>
      <c r="I67" s="79">
        <f>SUM(G67:H67)+'BM 002'!I67</f>
        <v>105</v>
      </c>
      <c r="J67" s="91">
        <f t="shared" si="4"/>
        <v>35.800000000000011</v>
      </c>
      <c r="K67" s="80">
        <v>12</v>
      </c>
      <c r="L67" s="81">
        <f t="shared" si="2"/>
        <v>15.211201320000001</v>
      </c>
      <c r="M67" s="82">
        <f t="shared" si="30"/>
        <v>1597.17</v>
      </c>
      <c r="N67" s="82">
        <f t="shared" si="31"/>
        <v>1597.17</v>
      </c>
      <c r="O67" s="82">
        <f>N67+'BM 002'!O67</f>
        <v>1597.17</v>
      </c>
      <c r="P67" s="80">
        <f t="shared" si="32"/>
        <v>1689.6000000000001</v>
      </c>
      <c r="Q67" s="82">
        <f t="shared" si="33"/>
        <v>2141.73</v>
      </c>
      <c r="R67" s="82">
        <f t="shared" si="34"/>
        <v>544.55999999999995</v>
      </c>
    </row>
    <row r="68" spans="2:20" s="34" customFormat="1" ht="34.799999999999997">
      <c r="B68" s="87" t="s">
        <v>147</v>
      </c>
      <c r="C68" s="88" t="s">
        <v>128</v>
      </c>
      <c r="D68" s="89" t="s">
        <v>113</v>
      </c>
      <c r="E68" s="90">
        <f>E64*30</f>
        <v>7781.7</v>
      </c>
      <c r="F68" s="91">
        <f>15*7*30</f>
        <v>3150</v>
      </c>
      <c r="G68" s="91">
        <f t="shared" si="29"/>
        <v>3150</v>
      </c>
      <c r="H68" s="91"/>
      <c r="I68" s="79">
        <f>SUM(G68:H68)+'BM 002'!I68</f>
        <v>3150</v>
      </c>
      <c r="J68" s="91">
        <f t="shared" si="4"/>
        <v>4631.7</v>
      </c>
      <c r="K68" s="80">
        <v>1</v>
      </c>
      <c r="L68" s="81">
        <f t="shared" si="2"/>
        <v>1.2676001100000001</v>
      </c>
      <c r="M68" s="82">
        <f t="shared" si="30"/>
        <v>3992.94</v>
      </c>
      <c r="N68" s="82">
        <f t="shared" si="31"/>
        <v>3992.94</v>
      </c>
      <c r="O68" s="82">
        <f>N68+'BM 002'!O68</f>
        <v>3992.94</v>
      </c>
      <c r="P68" s="80">
        <f t="shared" si="32"/>
        <v>7781.7</v>
      </c>
      <c r="Q68" s="82">
        <f t="shared" si="33"/>
        <v>9864.08</v>
      </c>
      <c r="R68" s="82">
        <f t="shared" si="34"/>
        <v>5871.1399999999994</v>
      </c>
      <c r="T68" s="83">
        <f>N68+N69+N103+N104+N106+N107+N108</f>
        <v>7410.8899999999994</v>
      </c>
    </row>
    <row r="69" spans="2:20" s="34" customFormat="1" ht="23.4">
      <c r="B69" s="87" t="s">
        <v>148</v>
      </c>
      <c r="C69" s="88" t="s">
        <v>149</v>
      </c>
      <c r="D69" s="89" t="s">
        <v>79</v>
      </c>
      <c r="E69" s="90">
        <v>233.48</v>
      </c>
      <c r="F69" s="91">
        <f>TRUNC(0.33*E69,2)</f>
        <v>77.040000000000006</v>
      </c>
      <c r="G69" s="91">
        <f t="shared" si="29"/>
        <v>77.040000000000006</v>
      </c>
      <c r="H69" s="91"/>
      <c r="I69" s="79">
        <f>SUM(G69:H69)+'BM 002'!I69</f>
        <v>77.040000000000006</v>
      </c>
      <c r="J69" s="91">
        <f t="shared" si="4"/>
        <v>156.44</v>
      </c>
      <c r="K69" s="80">
        <v>35</v>
      </c>
      <c r="L69" s="81">
        <f t="shared" si="2"/>
        <v>44.366003849999998</v>
      </c>
      <c r="M69" s="82">
        <f t="shared" si="30"/>
        <v>3417.95</v>
      </c>
      <c r="N69" s="82">
        <f t="shared" si="31"/>
        <v>3417.95</v>
      </c>
      <c r="O69" s="82">
        <f>N69+'BM 002'!O69</f>
        <v>3417.95</v>
      </c>
      <c r="P69" s="80">
        <f t="shared" si="32"/>
        <v>8171.7999999999993</v>
      </c>
      <c r="Q69" s="82">
        <f t="shared" si="33"/>
        <v>10358.57</v>
      </c>
      <c r="R69" s="82">
        <f t="shared" si="34"/>
        <v>6940.62</v>
      </c>
    </row>
    <row r="70" spans="2:20" s="34" customFormat="1" ht="23.4">
      <c r="B70" s="87" t="s">
        <v>150</v>
      </c>
      <c r="C70" s="88" t="s">
        <v>151</v>
      </c>
      <c r="D70" s="89" t="s">
        <v>152</v>
      </c>
      <c r="E70" s="90">
        <v>190.3</v>
      </c>
      <c r="F70" s="91">
        <f>'M.C. MED. 03'!K184</f>
        <v>171.77160000000001</v>
      </c>
      <c r="G70" s="91">
        <f t="shared" si="29"/>
        <v>171.77160000000001</v>
      </c>
      <c r="H70" s="91"/>
      <c r="I70" s="79">
        <f>SUM(G70:H70)+'BM 002'!I70</f>
        <v>171.77160000000001</v>
      </c>
      <c r="J70" s="91">
        <f t="shared" si="4"/>
        <v>18.528400000000005</v>
      </c>
      <c r="K70" s="80">
        <v>20</v>
      </c>
      <c r="L70" s="81">
        <f t="shared" si="2"/>
        <v>25.352002200000001</v>
      </c>
      <c r="M70" s="82">
        <f t="shared" si="30"/>
        <v>4354.75</v>
      </c>
      <c r="N70" s="82">
        <f t="shared" si="31"/>
        <v>4354.75</v>
      </c>
      <c r="O70" s="82">
        <f>N70+'BM 002'!O70</f>
        <v>4354.75</v>
      </c>
      <c r="P70" s="80">
        <f t="shared" si="32"/>
        <v>3806</v>
      </c>
      <c r="Q70" s="82">
        <f t="shared" si="33"/>
        <v>4824.4799999999996</v>
      </c>
      <c r="R70" s="82">
        <f t="shared" si="34"/>
        <v>469.72999999999956</v>
      </c>
    </row>
    <row r="71" spans="2:20" s="34" customFormat="1" ht="23.4">
      <c r="B71" s="87" t="s">
        <v>153</v>
      </c>
      <c r="C71" s="88" t="s">
        <v>154</v>
      </c>
      <c r="D71" s="89" t="s">
        <v>152</v>
      </c>
      <c r="E71" s="90">
        <v>77</v>
      </c>
      <c r="F71" s="91">
        <f>'M.C. MED. 03'!K195</f>
        <v>77</v>
      </c>
      <c r="G71" s="91">
        <f t="shared" si="29"/>
        <v>77</v>
      </c>
      <c r="H71" s="91"/>
      <c r="I71" s="79">
        <f>SUM(G71:H71)+'BM 002'!I71</f>
        <v>77</v>
      </c>
      <c r="J71" s="91">
        <f t="shared" si="4"/>
        <v>0</v>
      </c>
      <c r="K71" s="80">
        <v>19</v>
      </c>
      <c r="L71" s="81">
        <f t="shared" si="2"/>
        <v>24.084402090000001</v>
      </c>
      <c r="M71" s="82">
        <f t="shared" si="30"/>
        <v>1854.49</v>
      </c>
      <c r="N71" s="82">
        <f t="shared" si="31"/>
        <v>1854.49</v>
      </c>
      <c r="O71" s="82">
        <f>N71+'BM 002'!O71</f>
        <v>1854.49</v>
      </c>
      <c r="P71" s="80">
        <f t="shared" si="32"/>
        <v>1463</v>
      </c>
      <c r="Q71" s="82">
        <f t="shared" si="33"/>
        <v>1854.49</v>
      </c>
      <c r="R71" s="82">
        <f t="shared" si="34"/>
        <v>0</v>
      </c>
    </row>
    <row r="72" spans="2:20" s="34" customFormat="1" ht="23.4">
      <c r="B72" s="87" t="s">
        <v>155</v>
      </c>
      <c r="C72" s="88" t="s">
        <v>156</v>
      </c>
      <c r="D72" s="89" t="s">
        <v>152</v>
      </c>
      <c r="E72" s="90">
        <v>566.5</v>
      </c>
      <c r="F72" s="91">
        <f>'M.C. MED. 03'!K206</f>
        <v>252.79100000000003</v>
      </c>
      <c r="G72" s="91">
        <f t="shared" si="29"/>
        <v>252.79100000000003</v>
      </c>
      <c r="H72" s="91"/>
      <c r="I72" s="79">
        <f>SUM(G72:H72)+'BM 002'!I72</f>
        <v>252.79100000000003</v>
      </c>
      <c r="J72" s="91">
        <f t="shared" si="4"/>
        <v>313.70899999999995</v>
      </c>
      <c r="K72" s="80">
        <v>17.5</v>
      </c>
      <c r="L72" s="81">
        <f t="shared" si="2"/>
        <v>22.183001924999999</v>
      </c>
      <c r="M72" s="82">
        <f t="shared" si="30"/>
        <v>5607.66</v>
      </c>
      <c r="N72" s="82">
        <f t="shared" si="31"/>
        <v>5607.66</v>
      </c>
      <c r="O72" s="82">
        <f>N72+'BM 002'!O72</f>
        <v>5607.66</v>
      </c>
      <c r="P72" s="80">
        <f t="shared" si="32"/>
        <v>9913.75</v>
      </c>
      <c r="Q72" s="82">
        <f t="shared" si="33"/>
        <v>12566.67</v>
      </c>
      <c r="R72" s="82">
        <f t="shared" si="34"/>
        <v>6959.01</v>
      </c>
    </row>
    <row r="73" spans="2:20" s="34" customFormat="1" ht="23.4">
      <c r="B73" s="87" t="s">
        <v>157</v>
      </c>
      <c r="C73" s="88" t="s">
        <v>158</v>
      </c>
      <c r="D73" s="89" t="s">
        <v>152</v>
      </c>
      <c r="E73" s="90">
        <v>1663.2</v>
      </c>
      <c r="F73" s="91">
        <f>'M.C. MED. 03'!K217</f>
        <v>500.20190000000002</v>
      </c>
      <c r="G73" s="91">
        <f t="shared" si="29"/>
        <v>500.20190000000002</v>
      </c>
      <c r="H73" s="91"/>
      <c r="I73" s="79">
        <f>SUM(G73:H73)+'BM 002'!I73</f>
        <v>500.20190000000002</v>
      </c>
      <c r="J73" s="91">
        <f t="shared" si="4"/>
        <v>1162.9981</v>
      </c>
      <c r="K73" s="80">
        <v>16</v>
      </c>
      <c r="L73" s="81">
        <f t="shared" si="2"/>
        <v>20.281601760000001</v>
      </c>
      <c r="M73" s="82">
        <f t="shared" si="30"/>
        <v>10144.89</v>
      </c>
      <c r="N73" s="82">
        <f t="shared" si="31"/>
        <v>10144.89</v>
      </c>
      <c r="O73" s="82">
        <f>N73+'BM 002'!O73</f>
        <v>10144.89</v>
      </c>
      <c r="P73" s="80">
        <f t="shared" si="32"/>
        <v>26611.200000000001</v>
      </c>
      <c r="Q73" s="82">
        <f t="shared" si="33"/>
        <v>33732.36</v>
      </c>
      <c r="R73" s="82">
        <f t="shared" si="34"/>
        <v>23587.47</v>
      </c>
    </row>
    <row r="74" spans="2:20" s="34" customFormat="1" ht="23.4">
      <c r="B74" s="87" t="s">
        <v>159</v>
      </c>
      <c r="C74" s="88" t="s">
        <v>160</v>
      </c>
      <c r="D74" s="89" t="s">
        <v>152</v>
      </c>
      <c r="E74" s="90">
        <v>4944.5</v>
      </c>
      <c r="F74" s="91">
        <f>'M.C. MED. 03'!K228</f>
        <v>3541.0573000000004</v>
      </c>
      <c r="G74" s="91">
        <f t="shared" si="29"/>
        <v>3541.0573000000004</v>
      </c>
      <c r="H74" s="91"/>
      <c r="I74" s="79">
        <f>SUM(G74:H74)+'BM 002'!I74</f>
        <v>3541.0573000000004</v>
      </c>
      <c r="J74" s="91">
        <f t="shared" si="4"/>
        <v>1403.4426999999996</v>
      </c>
      <c r="K74" s="80">
        <v>14.5</v>
      </c>
      <c r="L74" s="81">
        <f t="shared" si="2"/>
        <v>18.380201595000003</v>
      </c>
      <c r="M74" s="82">
        <f t="shared" si="30"/>
        <v>65085.34</v>
      </c>
      <c r="N74" s="82">
        <f t="shared" si="31"/>
        <v>65085.34</v>
      </c>
      <c r="O74" s="82">
        <f>N74+'BM 002'!O74</f>
        <v>65085.34</v>
      </c>
      <c r="P74" s="80">
        <f t="shared" si="32"/>
        <v>71695.25</v>
      </c>
      <c r="Q74" s="82">
        <f t="shared" si="33"/>
        <v>90880.9</v>
      </c>
      <c r="R74" s="82">
        <f t="shared" si="34"/>
        <v>25795.559999999998</v>
      </c>
    </row>
    <row r="75" spans="2:20" s="34" customFormat="1" ht="23.4">
      <c r="B75" s="87" t="s">
        <v>161</v>
      </c>
      <c r="C75" s="88" t="s">
        <v>162</v>
      </c>
      <c r="D75" s="89" t="s">
        <v>152</v>
      </c>
      <c r="E75" s="90">
        <v>115.5</v>
      </c>
      <c r="F75" s="91">
        <f>'M.C. MED. 03'!K239</f>
        <v>115.5</v>
      </c>
      <c r="G75" s="91">
        <f t="shared" si="29"/>
        <v>115.5</v>
      </c>
      <c r="H75" s="91"/>
      <c r="I75" s="79">
        <f>SUM(G75:H75)+'BM 002'!I75</f>
        <v>115.5</v>
      </c>
      <c r="J75" s="91">
        <f t="shared" si="4"/>
        <v>0</v>
      </c>
      <c r="K75" s="94">
        <v>14.5</v>
      </c>
      <c r="L75" s="81">
        <f t="shared" si="2"/>
        <v>18.380201595000003</v>
      </c>
      <c r="M75" s="82">
        <f t="shared" si="30"/>
        <v>2122.91</v>
      </c>
      <c r="N75" s="82">
        <f t="shared" si="31"/>
        <v>2122.91</v>
      </c>
      <c r="O75" s="82">
        <f>N75+'BM 002'!O75</f>
        <v>2122.91</v>
      </c>
      <c r="P75" s="94">
        <f t="shared" si="32"/>
        <v>1674.75</v>
      </c>
      <c r="Q75" s="82">
        <f t="shared" si="33"/>
        <v>2122.91</v>
      </c>
      <c r="R75" s="82">
        <f t="shared" si="34"/>
        <v>0</v>
      </c>
    </row>
    <row r="76" spans="2:20" s="34" customFormat="1" ht="23.4">
      <c r="B76" s="87" t="s">
        <v>163</v>
      </c>
      <c r="C76" s="88" t="s">
        <v>164</v>
      </c>
      <c r="D76" s="89" t="s">
        <v>152</v>
      </c>
      <c r="E76" s="90">
        <v>7195.1</v>
      </c>
      <c r="F76" s="91">
        <f>'M.C. MED. 03'!K251</f>
        <v>3641.4103000000005</v>
      </c>
      <c r="G76" s="91">
        <f t="shared" si="29"/>
        <v>3641.4103000000005</v>
      </c>
      <c r="H76" s="91"/>
      <c r="I76" s="79">
        <f>SUM(G76:H76)+'BM 002'!I76</f>
        <v>3641.4103000000005</v>
      </c>
      <c r="J76" s="91">
        <f t="shared" si="4"/>
        <v>3553.6896999999999</v>
      </c>
      <c r="K76" s="80">
        <v>14</v>
      </c>
      <c r="L76" s="81">
        <f t="shared" si="2"/>
        <v>17.746401540000001</v>
      </c>
      <c r="M76" s="82">
        <f t="shared" si="30"/>
        <v>64621.919999999998</v>
      </c>
      <c r="N76" s="82">
        <f t="shared" si="31"/>
        <v>64621.919999999998</v>
      </c>
      <c r="O76" s="82">
        <f>N76+'BM 002'!O76</f>
        <v>64621.919999999998</v>
      </c>
      <c r="P76" s="80">
        <f t="shared" si="32"/>
        <v>100731.40000000001</v>
      </c>
      <c r="Q76" s="82">
        <f t="shared" si="33"/>
        <v>127687.13</v>
      </c>
      <c r="R76" s="82">
        <f t="shared" si="34"/>
        <v>63065.210000000006</v>
      </c>
    </row>
    <row r="77" spans="2:20" s="34" customFormat="1" ht="23.4">
      <c r="B77" s="87" t="s">
        <v>165</v>
      </c>
      <c r="C77" s="88" t="s">
        <v>166</v>
      </c>
      <c r="D77" s="89" t="s">
        <v>79</v>
      </c>
      <c r="E77" s="90">
        <v>415.8</v>
      </c>
      <c r="F77" s="91">
        <f>TRUNC(0.33*E77,2)</f>
        <v>137.21</v>
      </c>
      <c r="G77" s="91">
        <f t="shared" si="29"/>
        <v>137.21</v>
      </c>
      <c r="H77" s="91"/>
      <c r="I77" s="79">
        <f>SUM(G77:H77)+'BM 002'!I77</f>
        <v>137.21</v>
      </c>
      <c r="J77" s="91">
        <f t="shared" si="4"/>
        <v>278.59000000000003</v>
      </c>
      <c r="K77" s="80">
        <v>120</v>
      </c>
      <c r="L77" s="81">
        <f t="shared" si="2"/>
        <v>152.11201320000001</v>
      </c>
      <c r="M77" s="82">
        <f t="shared" si="30"/>
        <v>20871.28</v>
      </c>
      <c r="N77" s="82">
        <f t="shared" si="31"/>
        <v>20871.28</v>
      </c>
      <c r="O77" s="82">
        <f>N77+'BM 002'!O77</f>
        <v>20871.28</v>
      </c>
      <c r="P77" s="80">
        <f t="shared" si="32"/>
        <v>49896</v>
      </c>
      <c r="Q77" s="82">
        <f t="shared" si="33"/>
        <v>63248.17</v>
      </c>
      <c r="R77" s="82">
        <f t="shared" si="34"/>
        <v>42376.89</v>
      </c>
    </row>
    <row r="78" spans="2:20" s="34" customFormat="1" ht="34.799999999999997">
      <c r="B78" s="87" t="s">
        <v>167</v>
      </c>
      <c r="C78" s="88" t="s">
        <v>168</v>
      </c>
      <c r="D78" s="89" t="s">
        <v>169</v>
      </c>
      <c r="E78" s="92">
        <v>213.07</v>
      </c>
      <c r="F78" s="91">
        <f>'M.C. MED. 03'!K276</f>
        <v>71.914980000000014</v>
      </c>
      <c r="G78" s="91">
        <f t="shared" si="29"/>
        <v>71.914980000000014</v>
      </c>
      <c r="H78" s="91"/>
      <c r="I78" s="79">
        <f>SUM(G78:H78)+'BM 002'!I78</f>
        <v>71.914980000000014</v>
      </c>
      <c r="J78" s="91">
        <f t="shared" si="4"/>
        <v>141.15501999999998</v>
      </c>
      <c r="K78" s="95">
        <v>750</v>
      </c>
      <c r="L78" s="81">
        <f t="shared" si="2"/>
        <v>950.70008250000001</v>
      </c>
      <c r="M78" s="82">
        <f t="shared" si="30"/>
        <v>68369.570000000007</v>
      </c>
      <c r="N78" s="82">
        <f t="shared" si="31"/>
        <v>68369.570000000007</v>
      </c>
      <c r="O78" s="82">
        <f>N78+'BM 002'!O78</f>
        <v>68369.570000000007</v>
      </c>
      <c r="P78" s="95">
        <f t="shared" si="32"/>
        <v>159802.5</v>
      </c>
      <c r="Q78" s="82">
        <f t="shared" si="33"/>
        <v>202565.66</v>
      </c>
      <c r="R78" s="82">
        <f t="shared" si="34"/>
        <v>134196.09</v>
      </c>
    </row>
    <row r="79" spans="2:20" s="34" customFormat="1" ht="13.2">
      <c r="B79" s="66" t="s">
        <v>170</v>
      </c>
      <c r="C79" s="67" t="s">
        <v>171</v>
      </c>
      <c r="D79" s="68"/>
      <c r="E79" s="69"/>
      <c r="F79" s="70"/>
      <c r="G79" s="70"/>
      <c r="H79" s="70"/>
      <c r="I79" s="70">
        <f>SUM(G79:H79)+'BM 002'!I79</f>
        <v>0</v>
      </c>
      <c r="J79" s="70">
        <f t="shared" si="4"/>
        <v>0</v>
      </c>
      <c r="K79" s="71"/>
      <c r="L79" s="71">
        <f t="shared" si="2"/>
        <v>0</v>
      </c>
      <c r="M79" s="73">
        <f t="shared" ref="M79:R79" si="35">SUM(M80:M93)</f>
        <v>86416.23</v>
      </c>
      <c r="N79" s="73">
        <f t="shared" si="35"/>
        <v>86416.23</v>
      </c>
      <c r="O79" s="73">
        <f t="shared" si="35"/>
        <v>86416.23</v>
      </c>
      <c r="P79" s="73">
        <f t="shared" si="35"/>
        <v>150340.54999999999</v>
      </c>
      <c r="Q79" s="73">
        <f t="shared" si="35"/>
        <v>190571.62</v>
      </c>
      <c r="R79" s="73">
        <f t="shared" si="35"/>
        <v>104155.39000000001</v>
      </c>
    </row>
    <row r="80" spans="2:20" s="34" customFormat="1" ht="23.4">
      <c r="B80" s="87" t="s">
        <v>172</v>
      </c>
      <c r="C80" s="88" t="s">
        <v>141</v>
      </c>
      <c r="D80" s="89" t="s">
        <v>110</v>
      </c>
      <c r="E80" s="90">
        <v>268.39999999999998</v>
      </c>
      <c r="F80" s="91">
        <f>TRUNC(E80*0.36,2)</f>
        <v>96.62</v>
      </c>
      <c r="G80" s="91">
        <f t="shared" ref="G80:G93" si="36">F80</f>
        <v>96.62</v>
      </c>
      <c r="H80" s="91"/>
      <c r="I80" s="79">
        <f>SUM(G80:H80)+'BM 002'!I80</f>
        <v>96.62</v>
      </c>
      <c r="J80" s="91">
        <f t="shared" si="4"/>
        <v>171.77999999999997</v>
      </c>
      <c r="K80" s="80">
        <v>80</v>
      </c>
      <c r="L80" s="81">
        <f t="shared" si="2"/>
        <v>101.4080088</v>
      </c>
      <c r="M80" s="82">
        <f t="shared" ref="M80:M93" si="37">TRUNC(F80*L80,2)</f>
        <v>9798.0400000000009</v>
      </c>
      <c r="N80" s="82">
        <f t="shared" ref="N80:N93" si="38">TRUNC(G80*L80,2)</f>
        <v>9798.0400000000009</v>
      </c>
      <c r="O80" s="82">
        <f>N80+'BM 002'!O80</f>
        <v>9798.0400000000009</v>
      </c>
      <c r="P80" s="80">
        <f t="shared" ref="P80:P93" si="39">E80*K80</f>
        <v>21472</v>
      </c>
      <c r="Q80" s="82">
        <f t="shared" ref="Q80:Q93" si="40">TRUNC(E80*L80,2)</f>
        <v>27217.9</v>
      </c>
      <c r="R80" s="82">
        <f t="shared" ref="R80:R93" si="41">Q80-O80</f>
        <v>17419.86</v>
      </c>
    </row>
    <row r="81" spans="2:20" s="34" customFormat="1" ht="13.2">
      <c r="B81" s="87" t="s">
        <v>173</v>
      </c>
      <c r="C81" s="88" t="s">
        <v>145</v>
      </c>
      <c r="D81" s="89" t="s">
        <v>110</v>
      </c>
      <c r="E81" s="92">
        <v>111.1</v>
      </c>
      <c r="F81" s="91">
        <f>TRUNC(E81*0.36,2)</f>
        <v>39.99</v>
      </c>
      <c r="G81" s="91">
        <f t="shared" si="36"/>
        <v>39.99</v>
      </c>
      <c r="H81" s="91"/>
      <c r="I81" s="79">
        <f>SUM(G81:H81)+'BM 002'!I81</f>
        <v>39.99</v>
      </c>
      <c r="J81" s="91">
        <f t="shared" si="4"/>
        <v>71.109999999999985</v>
      </c>
      <c r="K81" s="80">
        <v>25</v>
      </c>
      <c r="L81" s="81">
        <f t="shared" si="2"/>
        <v>31.690002750000001</v>
      </c>
      <c r="M81" s="82">
        <f t="shared" si="37"/>
        <v>1267.28</v>
      </c>
      <c r="N81" s="82">
        <f t="shared" si="38"/>
        <v>1267.28</v>
      </c>
      <c r="O81" s="82">
        <f>N81+'BM 002'!O81</f>
        <v>1267.28</v>
      </c>
      <c r="P81" s="80">
        <f t="shared" si="39"/>
        <v>2777.5</v>
      </c>
      <c r="Q81" s="82">
        <f t="shared" si="40"/>
        <v>3520.75</v>
      </c>
      <c r="R81" s="82">
        <f t="shared" si="41"/>
        <v>2253.4700000000003</v>
      </c>
    </row>
    <row r="82" spans="2:20" s="34" customFormat="1" ht="34.799999999999997">
      <c r="B82" s="87" t="s">
        <v>174</v>
      </c>
      <c r="C82" s="88" t="s">
        <v>126</v>
      </c>
      <c r="D82" s="89" t="s">
        <v>110</v>
      </c>
      <c r="E82" s="92">
        <v>268.39999999999998</v>
      </c>
      <c r="F82" s="91">
        <f>TRUNC(E82*0.36,2)</f>
        <v>96.62</v>
      </c>
      <c r="G82" s="91">
        <f t="shared" si="36"/>
        <v>96.62</v>
      </c>
      <c r="H82" s="91"/>
      <c r="I82" s="79">
        <f>SUM(G82:H82)+'BM 002'!I82</f>
        <v>96.62</v>
      </c>
      <c r="J82" s="91">
        <f t="shared" si="4"/>
        <v>171.77999999999997</v>
      </c>
      <c r="K82" s="80">
        <v>10</v>
      </c>
      <c r="L82" s="81">
        <f t="shared" si="2"/>
        <v>12.676001100000001</v>
      </c>
      <c r="M82" s="82">
        <f t="shared" si="37"/>
        <v>1224.75</v>
      </c>
      <c r="N82" s="82">
        <f t="shared" si="38"/>
        <v>1224.75</v>
      </c>
      <c r="O82" s="82">
        <f>N82+'BM 002'!O82</f>
        <v>1224.75</v>
      </c>
      <c r="P82" s="80">
        <f t="shared" si="39"/>
        <v>2684</v>
      </c>
      <c r="Q82" s="82">
        <f t="shared" si="40"/>
        <v>3402.23</v>
      </c>
      <c r="R82" s="82">
        <f t="shared" si="41"/>
        <v>2177.48</v>
      </c>
    </row>
    <row r="83" spans="2:20" s="34" customFormat="1" ht="34.799999999999997">
      <c r="B83" s="87" t="s">
        <v>175</v>
      </c>
      <c r="C83" s="88" t="s">
        <v>128</v>
      </c>
      <c r="D83" s="89" t="s">
        <v>113</v>
      </c>
      <c r="E83" s="90">
        <f>E82*30</f>
        <v>8051.9999999999991</v>
      </c>
      <c r="F83" s="91">
        <f>TRUNC(E83*0.36,2)</f>
        <v>2898.72</v>
      </c>
      <c r="G83" s="91">
        <f t="shared" si="36"/>
        <v>2898.72</v>
      </c>
      <c r="H83" s="91"/>
      <c r="I83" s="79">
        <f>SUM(G83:H83)+'BM 002'!I83</f>
        <v>2898.72</v>
      </c>
      <c r="J83" s="91">
        <f t="shared" si="4"/>
        <v>5153.2799999999988</v>
      </c>
      <c r="K83" s="80">
        <v>3</v>
      </c>
      <c r="L83" s="81">
        <f t="shared" si="2"/>
        <v>3.8028003300000002</v>
      </c>
      <c r="M83" s="82">
        <f t="shared" si="37"/>
        <v>11023.25</v>
      </c>
      <c r="N83" s="82">
        <f t="shared" si="38"/>
        <v>11023.25</v>
      </c>
      <c r="O83" s="82">
        <f>N83+'BM 002'!O83</f>
        <v>11023.25</v>
      </c>
      <c r="P83" s="80">
        <f t="shared" si="39"/>
        <v>24155.999999999996</v>
      </c>
      <c r="Q83" s="82">
        <f t="shared" si="40"/>
        <v>30620.14</v>
      </c>
      <c r="R83" s="82">
        <f t="shared" si="41"/>
        <v>19596.89</v>
      </c>
    </row>
    <row r="84" spans="2:20" s="34" customFormat="1" ht="23.4">
      <c r="B84" s="87" t="s">
        <v>176</v>
      </c>
      <c r="C84" s="88" t="s">
        <v>177</v>
      </c>
      <c r="D84" s="89" t="s">
        <v>79</v>
      </c>
      <c r="E84" s="90">
        <v>243.1</v>
      </c>
      <c r="F84" s="91">
        <f>TRUNC(E84*0.36,2)</f>
        <v>87.51</v>
      </c>
      <c r="G84" s="91">
        <f t="shared" si="36"/>
        <v>87.51</v>
      </c>
      <c r="H84" s="91"/>
      <c r="I84" s="79">
        <f>SUM(G84:H84)+'BM 002'!I84</f>
        <v>87.51</v>
      </c>
      <c r="J84" s="91">
        <f t="shared" si="4"/>
        <v>155.58999999999997</v>
      </c>
      <c r="K84" s="80">
        <v>35</v>
      </c>
      <c r="L84" s="81">
        <f t="shared" si="2"/>
        <v>44.366003849999998</v>
      </c>
      <c r="M84" s="82">
        <f t="shared" si="37"/>
        <v>3882.46</v>
      </c>
      <c r="N84" s="82">
        <f t="shared" si="38"/>
        <v>3882.46</v>
      </c>
      <c r="O84" s="82">
        <f>N84+'BM 002'!O84</f>
        <v>3882.46</v>
      </c>
      <c r="P84" s="80">
        <f t="shared" si="39"/>
        <v>8508.5</v>
      </c>
      <c r="Q84" s="82">
        <f t="shared" si="40"/>
        <v>10785.37</v>
      </c>
      <c r="R84" s="82">
        <f t="shared" si="41"/>
        <v>6902.9100000000008</v>
      </c>
    </row>
    <row r="85" spans="2:20" s="34" customFormat="1" ht="23.4">
      <c r="B85" s="87" t="s">
        <v>178</v>
      </c>
      <c r="C85" s="88" t="s">
        <v>151</v>
      </c>
      <c r="D85" s="89" t="s">
        <v>152</v>
      </c>
      <c r="E85" s="90">
        <v>185.9</v>
      </c>
      <c r="F85" s="91">
        <f>'M.C. MED. 03'!K287</f>
        <v>163.02440000000001</v>
      </c>
      <c r="G85" s="91">
        <f t="shared" si="36"/>
        <v>163.02440000000001</v>
      </c>
      <c r="H85" s="91"/>
      <c r="I85" s="79">
        <f>SUM(G85:H85)+'BM 002'!I85</f>
        <v>163.02440000000001</v>
      </c>
      <c r="J85" s="91">
        <f t="shared" si="4"/>
        <v>22.875599999999991</v>
      </c>
      <c r="K85" s="80">
        <v>20</v>
      </c>
      <c r="L85" s="81">
        <f t="shared" si="2"/>
        <v>25.352002200000001</v>
      </c>
      <c r="M85" s="82">
        <f t="shared" si="37"/>
        <v>4132.99</v>
      </c>
      <c r="N85" s="82">
        <f t="shared" si="38"/>
        <v>4132.99</v>
      </c>
      <c r="O85" s="82">
        <f>N85+'BM 002'!O85</f>
        <v>4132.99</v>
      </c>
      <c r="P85" s="80">
        <f t="shared" si="39"/>
        <v>3718</v>
      </c>
      <c r="Q85" s="82">
        <f t="shared" si="40"/>
        <v>4712.93</v>
      </c>
      <c r="R85" s="82">
        <f t="shared" si="41"/>
        <v>579.94000000000051</v>
      </c>
    </row>
    <row r="86" spans="2:20" s="34" customFormat="1" ht="23.4">
      <c r="B86" s="87" t="s">
        <v>179</v>
      </c>
      <c r="C86" s="88" t="s">
        <v>180</v>
      </c>
      <c r="D86" s="89" t="s">
        <v>152</v>
      </c>
      <c r="E86" s="90">
        <v>199.1</v>
      </c>
      <c r="F86" s="91">
        <f>'M.C. MED. 03'!K298</f>
        <v>199.1</v>
      </c>
      <c r="G86" s="91">
        <f t="shared" si="36"/>
        <v>199.1</v>
      </c>
      <c r="H86" s="91"/>
      <c r="I86" s="79">
        <f>SUM(G86:H86)+'BM 002'!I86</f>
        <v>199.1</v>
      </c>
      <c r="J86" s="91">
        <f t="shared" si="4"/>
        <v>0</v>
      </c>
      <c r="K86" s="80">
        <v>19</v>
      </c>
      <c r="L86" s="81">
        <f t="shared" si="2"/>
        <v>24.084402090000001</v>
      </c>
      <c r="M86" s="82">
        <f t="shared" si="37"/>
        <v>4795.2</v>
      </c>
      <c r="N86" s="82">
        <f t="shared" si="38"/>
        <v>4795.2</v>
      </c>
      <c r="O86" s="82">
        <f>N86+'BM 002'!O86</f>
        <v>4795.2</v>
      </c>
      <c r="P86" s="80">
        <f t="shared" si="39"/>
        <v>3782.9</v>
      </c>
      <c r="Q86" s="82">
        <f t="shared" si="40"/>
        <v>4795.2</v>
      </c>
      <c r="R86" s="82">
        <f t="shared" si="41"/>
        <v>0</v>
      </c>
    </row>
    <row r="87" spans="2:20" s="34" customFormat="1" ht="23.4">
      <c r="B87" s="87" t="s">
        <v>181</v>
      </c>
      <c r="C87" s="88" t="s">
        <v>156</v>
      </c>
      <c r="D87" s="89" t="s">
        <v>152</v>
      </c>
      <c r="E87" s="90">
        <v>378.4</v>
      </c>
      <c r="F87" s="91">
        <f>'M.C. MED. 03'!K309</f>
        <v>378.4</v>
      </c>
      <c r="G87" s="91">
        <f t="shared" si="36"/>
        <v>378.4</v>
      </c>
      <c r="H87" s="91"/>
      <c r="I87" s="79">
        <f>SUM(G87:H87)+'BM 002'!I87</f>
        <v>378.4</v>
      </c>
      <c r="J87" s="91">
        <f t="shared" si="4"/>
        <v>0</v>
      </c>
      <c r="K87" s="80">
        <v>17.5</v>
      </c>
      <c r="L87" s="81">
        <f t="shared" si="2"/>
        <v>22.183001924999999</v>
      </c>
      <c r="M87" s="82">
        <f t="shared" si="37"/>
        <v>8394.0400000000009</v>
      </c>
      <c r="N87" s="82">
        <f t="shared" si="38"/>
        <v>8394.0400000000009</v>
      </c>
      <c r="O87" s="82">
        <f>N87+'BM 002'!O87</f>
        <v>8394.0400000000009</v>
      </c>
      <c r="P87" s="80">
        <f t="shared" si="39"/>
        <v>6622</v>
      </c>
      <c r="Q87" s="82">
        <f t="shared" si="40"/>
        <v>8394.0400000000009</v>
      </c>
      <c r="R87" s="82">
        <f t="shared" si="41"/>
        <v>0</v>
      </c>
    </row>
    <row r="88" spans="2:20" s="34" customFormat="1" ht="23.4">
      <c r="B88" s="87" t="s">
        <v>182</v>
      </c>
      <c r="C88" s="88" t="s">
        <v>158</v>
      </c>
      <c r="D88" s="89" t="s">
        <v>152</v>
      </c>
      <c r="E88" s="90">
        <v>445.5</v>
      </c>
      <c r="F88" s="91">
        <f>'M.C. MED. 03'!K320</f>
        <v>354.28140000000002</v>
      </c>
      <c r="G88" s="91">
        <f t="shared" si="36"/>
        <v>354.28140000000002</v>
      </c>
      <c r="H88" s="91"/>
      <c r="I88" s="79">
        <f>SUM(G88:H88)+'BM 002'!I88</f>
        <v>354.28140000000002</v>
      </c>
      <c r="J88" s="91">
        <f t="shared" si="4"/>
        <v>91.218599999999981</v>
      </c>
      <c r="K88" s="80">
        <v>16</v>
      </c>
      <c r="L88" s="81">
        <f t="shared" si="2"/>
        <v>20.281601760000001</v>
      </c>
      <c r="M88" s="82">
        <f t="shared" si="37"/>
        <v>7185.39</v>
      </c>
      <c r="N88" s="82">
        <f t="shared" si="38"/>
        <v>7185.39</v>
      </c>
      <c r="O88" s="82">
        <f>N88+'BM 002'!O88</f>
        <v>7185.39</v>
      </c>
      <c r="P88" s="80">
        <f t="shared" si="39"/>
        <v>7128</v>
      </c>
      <c r="Q88" s="82">
        <f t="shared" si="40"/>
        <v>9035.4500000000007</v>
      </c>
      <c r="R88" s="82">
        <f t="shared" si="41"/>
        <v>1850.0600000000004</v>
      </c>
    </row>
    <row r="89" spans="2:20" s="34" customFormat="1" ht="23.4">
      <c r="B89" s="87" t="s">
        <v>183</v>
      </c>
      <c r="C89" s="88" t="s">
        <v>160</v>
      </c>
      <c r="D89" s="89" t="s">
        <v>152</v>
      </c>
      <c r="E89" s="90">
        <v>177.1</v>
      </c>
      <c r="F89" s="91">
        <f>'M.C. MED. 03'!K331</f>
        <v>177.1</v>
      </c>
      <c r="G89" s="91">
        <f t="shared" si="36"/>
        <v>177.1</v>
      </c>
      <c r="H89" s="91"/>
      <c r="I89" s="79">
        <f>SUM(G89:H89)+'BM 002'!I89</f>
        <v>177.1</v>
      </c>
      <c r="J89" s="91">
        <f t="shared" si="4"/>
        <v>0</v>
      </c>
      <c r="K89" s="80">
        <v>14.5</v>
      </c>
      <c r="L89" s="81">
        <f t="shared" si="2"/>
        <v>18.380201595000003</v>
      </c>
      <c r="M89" s="82">
        <f t="shared" si="37"/>
        <v>3255.13</v>
      </c>
      <c r="N89" s="82">
        <f t="shared" si="38"/>
        <v>3255.13</v>
      </c>
      <c r="O89" s="82">
        <f>N89+'BM 002'!O89</f>
        <v>3255.13</v>
      </c>
      <c r="P89" s="80">
        <f t="shared" si="39"/>
        <v>2567.9499999999998</v>
      </c>
      <c r="Q89" s="82">
        <f t="shared" si="40"/>
        <v>3255.13</v>
      </c>
      <c r="R89" s="82">
        <f t="shared" si="41"/>
        <v>0</v>
      </c>
    </row>
    <row r="90" spans="2:20" s="34" customFormat="1" ht="23.4">
      <c r="B90" s="87" t="s">
        <v>184</v>
      </c>
      <c r="C90" s="88" t="s">
        <v>162</v>
      </c>
      <c r="D90" s="89" t="s">
        <v>152</v>
      </c>
      <c r="E90" s="90">
        <v>61.6</v>
      </c>
      <c r="F90" s="91">
        <f>'M.C. MED. 03'!K342</f>
        <v>61.6</v>
      </c>
      <c r="G90" s="91">
        <f t="shared" si="36"/>
        <v>61.6</v>
      </c>
      <c r="H90" s="91"/>
      <c r="I90" s="79">
        <f>SUM(G90:H90)+'BM 002'!I90</f>
        <v>61.6</v>
      </c>
      <c r="J90" s="91">
        <f t="shared" si="4"/>
        <v>0</v>
      </c>
      <c r="K90" s="94">
        <v>14.5</v>
      </c>
      <c r="L90" s="81">
        <f t="shared" si="2"/>
        <v>18.380201595000003</v>
      </c>
      <c r="M90" s="82">
        <f t="shared" si="37"/>
        <v>1132.22</v>
      </c>
      <c r="N90" s="82">
        <f t="shared" si="38"/>
        <v>1132.22</v>
      </c>
      <c r="O90" s="82">
        <f>N90+'BM 002'!O90</f>
        <v>1132.22</v>
      </c>
      <c r="P90" s="80">
        <f t="shared" si="39"/>
        <v>893.2</v>
      </c>
      <c r="Q90" s="82">
        <f t="shared" si="40"/>
        <v>1132.22</v>
      </c>
      <c r="R90" s="82">
        <f t="shared" si="41"/>
        <v>0</v>
      </c>
    </row>
    <row r="91" spans="2:20" s="34" customFormat="1" ht="23.4">
      <c r="B91" s="87" t="s">
        <v>185</v>
      </c>
      <c r="C91" s="88" t="s">
        <v>186</v>
      </c>
      <c r="D91" s="89" t="s">
        <v>79</v>
      </c>
      <c r="E91" s="90">
        <v>299.2</v>
      </c>
      <c r="F91" s="91">
        <f>TRUNC(E91*0.36,2)</f>
        <v>107.71</v>
      </c>
      <c r="G91" s="91">
        <f t="shared" si="36"/>
        <v>107.71</v>
      </c>
      <c r="H91" s="91"/>
      <c r="I91" s="79">
        <f>SUM(G91:H91)+'BM 002'!I91</f>
        <v>107.71</v>
      </c>
      <c r="J91" s="91">
        <f t="shared" si="4"/>
        <v>191.49</v>
      </c>
      <c r="K91" s="80">
        <v>140</v>
      </c>
      <c r="L91" s="81">
        <f t="shared" si="2"/>
        <v>177.46401539999999</v>
      </c>
      <c r="M91" s="82">
        <f t="shared" si="37"/>
        <v>19114.64</v>
      </c>
      <c r="N91" s="82">
        <f t="shared" si="38"/>
        <v>19114.64</v>
      </c>
      <c r="O91" s="82">
        <f>N91+'BM 002'!O91</f>
        <v>19114.64</v>
      </c>
      <c r="P91" s="80">
        <f t="shared" si="39"/>
        <v>41888</v>
      </c>
      <c r="Q91" s="82">
        <f t="shared" si="40"/>
        <v>53097.23</v>
      </c>
      <c r="R91" s="82">
        <f t="shared" si="41"/>
        <v>33982.590000000004</v>
      </c>
    </row>
    <row r="92" spans="2:20" s="34" customFormat="1" ht="23.4">
      <c r="B92" s="87" t="s">
        <v>187</v>
      </c>
      <c r="C92" s="88" t="s">
        <v>188</v>
      </c>
      <c r="D92" s="89" t="s">
        <v>169</v>
      </c>
      <c r="E92" s="92">
        <v>22.99</v>
      </c>
      <c r="F92" s="91">
        <f>'M.C. MED. 03'!K358</f>
        <v>8.4321999999999981</v>
      </c>
      <c r="G92" s="91">
        <f t="shared" si="36"/>
        <v>8.4321999999999981</v>
      </c>
      <c r="H92" s="91"/>
      <c r="I92" s="79">
        <f>SUM(G92:H92)+'BM 002'!I92</f>
        <v>8.4321999999999981</v>
      </c>
      <c r="J92" s="91">
        <f t="shared" si="4"/>
        <v>14.5578</v>
      </c>
      <c r="K92" s="95">
        <v>750</v>
      </c>
      <c r="L92" s="81">
        <f t="shared" si="2"/>
        <v>950.70008250000001</v>
      </c>
      <c r="M92" s="82">
        <f t="shared" si="37"/>
        <v>8016.49</v>
      </c>
      <c r="N92" s="82">
        <f t="shared" si="38"/>
        <v>8016.49</v>
      </c>
      <c r="O92" s="82">
        <f>N92+'BM 002'!O92</f>
        <v>8016.49</v>
      </c>
      <c r="P92" s="80">
        <f t="shared" si="39"/>
        <v>17242.5</v>
      </c>
      <c r="Q92" s="82">
        <f t="shared" si="40"/>
        <v>21856.59</v>
      </c>
      <c r="R92" s="82">
        <f t="shared" si="41"/>
        <v>13840.1</v>
      </c>
      <c r="T92" s="83"/>
    </row>
    <row r="93" spans="2:20" s="34" customFormat="1" ht="23.4">
      <c r="B93" s="87" t="s">
        <v>189</v>
      </c>
      <c r="C93" s="88" t="s">
        <v>190</v>
      </c>
      <c r="D93" s="89" t="s">
        <v>63</v>
      </c>
      <c r="E93" s="92">
        <v>230</v>
      </c>
      <c r="F93" s="91">
        <v>84</v>
      </c>
      <c r="G93" s="91">
        <f t="shared" si="36"/>
        <v>84</v>
      </c>
      <c r="H93" s="91"/>
      <c r="I93" s="79">
        <f>SUM(G93:H93)+'BM 002'!I93</f>
        <v>84</v>
      </c>
      <c r="J93" s="91">
        <f t="shared" si="4"/>
        <v>146</v>
      </c>
      <c r="K93" s="80">
        <v>30</v>
      </c>
      <c r="L93" s="81">
        <f t="shared" ref="L93:L156" si="42">K93*(1+$T$26)</f>
        <v>38.028003300000002</v>
      </c>
      <c r="M93" s="82">
        <f t="shared" si="37"/>
        <v>3194.35</v>
      </c>
      <c r="N93" s="82">
        <f t="shared" si="38"/>
        <v>3194.35</v>
      </c>
      <c r="O93" s="82">
        <f>N93+'BM 002'!O93</f>
        <v>3194.35</v>
      </c>
      <c r="P93" s="80">
        <f t="shared" si="39"/>
        <v>6900</v>
      </c>
      <c r="Q93" s="82">
        <f t="shared" si="40"/>
        <v>8746.44</v>
      </c>
      <c r="R93" s="82">
        <f t="shared" si="41"/>
        <v>5552.09</v>
      </c>
    </row>
    <row r="94" spans="2:20" s="34" customFormat="1" ht="13.2">
      <c r="B94" s="60" t="s">
        <v>191</v>
      </c>
      <c r="C94" s="61" t="s">
        <v>192</v>
      </c>
      <c r="D94" s="60"/>
      <c r="E94" s="62"/>
      <c r="F94" s="63"/>
      <c r="G94" s="63"/>
      <c r="H94" s="63"/>
      <c r="I94" s="63">
        <f>SUM(G94:H94)+'BM 002'!I94</f>
        <v>0</v>
      </c>
      <c r="J94" s="63">
        <f t="shared" si="4"/>
        <v>0</v>
      </c>
      <c r="K94" s="63"/>
      <c r="L94" s="63">
        <f t="shared" si="42"/>
        <v>0</v>
      </c>
      <c r="M94" s="63">
        <f t="shared" ref="M94:R94" si="43">SUM(M95,M107,M120)</f>
        <v>0</v>
      </c>
      <c r="N94" s="63">
        <f t="shared" si="43"/>
        <v>0</v>
      </c>
      <c r="O94" s="63">
        <f t="shared" si="43"/>
        <v>0</v>
      </c>
      <c r="P94" s="63">
        <f t="shared" si="43"/>
        <v>4541959.5</v>
      </c>
      <c r="Q94" s="63">
        <f t="shared" si="43"/>
        <v>5757388.21</v>
      </c>
      <c r="R94" s="63">
        <f t="shared" si="43"/>
        <v>5757388.21</v>
      </c>
    </row>
    <row r="95" spans="2:20" s="34" customFormat="1" ht="13.2">
      <c r="B95" s="66" t="s">
        <v>193</v>
      </c>
      <c r="C95" s="67" t="s">
        <v>194</v>
      </c>
      <c r="D95" s="68"/>
      <c r="E95" s="69"/>
      <c r="F95" s="70"/>
      <c r="G95" s="70"/>
      <c r="H95" s="70"/>
      <c r="I95" s="70">
        <f>SUM(G95:H95)+'BM 002'!I95</f>
        <v>0</v>
      </c>
      <c r="J95" s="70">
        <f t="shared" ref="J95:J158" si="44">E95-I95</f>
        <v>0</v>
      </c>
      <c r="K95" s="71"/>
      <c r="L95" s="71">
        <f t="shared" si="42"/>
        <v>0</v>
      </c>
      <c r="M95" s="73">
        <f t="shared" ref="M95:R95" si="45">SUM(M96:M106)</f>
        <v>0</v>
      </c>
      <c r="N95" s="73">
        <f t="shared" si="45"/>
        <v>0</v>
      </c>
      <c r="O95" s="73">
        <f t="shared" si="45"/>
        <v>0</v>
      </c>
      <c r="P95" s="73">
        <f t="shared" si="45"/>
        <v>1372038.75</v>
      </c>
      <c r="Q95" s="73">
        <f t="shared" si="45"/>
        <v>1739196.42</v>
      </c>
      <c r="R95" s="73">
        <f t="shared" si="45"/>
        <v>1739196.42</v>
      </c>
    </row>
    <row r="96" spans="2:20" s="34" customFormat="1" ht="34.799999999999997">
      <c r="B96" s="87" t="s">
        <v>195</v>
      </c>
      <c r="C96" s="88" t="s">
        <v>196</v>
      </c>
      <c r="D96" s="89" t="s">
        <v>79</v>
      </c>
      <c r="E96" s="92">
        <v>3575</v>
      </c>
      <c r="F96" s="91"/>
      <c r="G96" s="91"/>
      <c r="H96" s="91"/>
      <c r="I96" s="79">
        <f>SUM(G96:H96)+'BM 002'!I96</f>
        <v>0</v>
      </c>
      <c r="J96" s="91">
        <f t="shared" si="44"/>
        <v>3575</v>
      </c>
      <c r="K96" s="80">
        <v>130</v>
      </c>
      <c r="L96" s="81">
        <f t="shared" si="42"/>
        <v>164.78801430000001</v>
      </c>
      <c r="M96" s="82">
        <f t="shared" ref="M96:M106" si="46">TRUNC(F96*L96,2)</f>
        <v>0</v>
      </c>
      <c r="N96" s="82">
        <f t="shared" ref="N96:N106" si="47">TRUNC(G96*L96,2)</f>
        <v>0</v>
      </c>
      <c r="O96" s="82">
        <f>N96+'BM 002'!O96</f>
        <v>0</v>
      </c>
      <c r="P96" s="80">
        <f t="shared" ref="P96:P106" si="48">E96*K96</f>
        <v>464750</v>
      </c>
      <c r="Q96" s="82">
        <f t="shared" ref="Q96:Q106" si="49">TRUNC(E96*L96,2)</f>
        <v>589117.15</v>
      </c>
      <c r="R96" s="82">
        <f t="shared" ref="R96:R106" si="50">Q96-O96</f>
        <v>589117.15</v>
      </c>
    </row>
    <row r="97" spans="2:20" s="34" customFormat="1" ht="34.799999999999997">
      <c r="B97" s="87" t="s">
        <v>197</v>
      </c>
      <c r="C97" s="88" t="s">
        <v>198</v>
      </c>
      <c r="D97" s="89" t="s">
        <v>152</v>
      </c>
      <c r="E97" s="90">
        <v>2130.6999999999998</v>
      </c>
      <c r="F97" s="91"/>
      <c r="G97" s="91"/>
      <c r="H97" s="91"/>
      <c r="I97" s="79">
        <f>SUM(G97:H97)+'BM 002'!I97</f>
        <v>0</v>
      </c>
      <c r="J97" s="91">
        <f t="shared" si="44"/>
        <v>2130.6999999999998</v>
      </c>
      <c r="K97" s="80">
        <v>20</v>
      </c>
      <c r="L97" s="81">
        <f t="shared" si="42"/>
        <v>25.352002200000001</v>
      </c>
      <c r="M97" s="82">
        <f t="shared" si="46"/>
        <v>0</v>
      </c>
      <c r="N97" s="82">
        <f t="shared" si="47"/>
        <v>0</v>
      </c>
      <c r="O97" s="82">
        <f>N97+'BM 002'!O97</f>
        <v>0</v>
      </c>
      <c r="P97" s="80">
        <f t="shared" si="48"/>
        <v>42614</v>
      </c>
      <c r="Q97" s="82">
        <f t="shared" si="49"/>
        <v>54017.51</v>
      </c>
      <c r="R97" s="82">
        <f t="shared" si="50"/>
        <v>54017.51</v>
      </c>
    </row>
    <row r="98" spans="2:20" s="34" customFormat="1" ht="34.799999999999997">
      <c r="B98" s="87" t="s">
        <v>199</v>
      </c>
      <c r="C98" s="88" t="s">
        <v>200</v>
      </c>
      <c r="D98" s="89" t="s">
        <v>152</v>
      </c>
      <c r="E98" s="90">
        <v>3031.6</v>
      </c>
      <c r="F98" s="91"/>
      <c r="G98" s="91"/>
      <c r="H98" s="91"/>
      <c r="I98" s="79">
        <f>SUM(G98:H98)+'BM 002'!I98</f>
        <v>0</v>
      </c>
      <c r="J98" s="91">
        <f t="shared" si="44"/>
        <v>3031.6</v>
      </c>
      <c r="K98" s="80">
        <v>19</v>
      </c>
      <c r="L98" s="81">
        <f t="shared" si="42"/>
        <v>24.084402090000001</v>
      </c>
      <c r="M98" s="82">
        <f t="shared" si="46"/>
        <v>0</v>
      </c>
      <c r="N98" s="82">
        <f t="shared" si="47"/>
        <v>0</v>
      </c>
      <c r="O98" s="82">
        <f>N98+'BM 002'!O98</f>
        <v>0</v>
      </c>
      <c r="P98" s="80">
        <f t="shared" si="48"/>
        <v>57600.4</v>
      </c>
      <c r="Q98" s="82">
        <f t="shared" si="49"/>
        <v>73014.27</v>
      </c>
      <c r="R98" s="82">
        <f t="shared" si="50"/>
        <v>73014.27</v>
      </c>
    </row>
    <row r="99" spans="2:20" s="34" customFormat="1" ht="34.799999999999997">
      <c r="B99" s="87" t="s">
        <v>201</v>
      </c>
      <c r="C99" s="88" t="s">
        <v>202</v>
      </c>
      <c r="D99" s="89" t="s">
        <v>152</v>
      </c>
      <c r="E99" s="90">
        <v>5608.9</v>
      </c>
      <c r="F99" s="91"/>
      <c r="G99" s="91"/>
      <c r="H99" s="91"/>
      <c r="I99" s="79">
        <f>SUM(G99:H99)+'BM 002'!I99</f>
        <v>0</v>
      </c>
      <c r="J99" s="91">
        <f t="shared" si="44"/>
        <v>5608.9</v>
      </c>
      <c r="K99" s="80">
        <v>17.5</v>
      </c>
      <c r="L99" s="81">
        <f t="shared" si="42"/>
        <v>22.183001924999999</v>
      </c>
      <c r="M99" s="82">
        <f t="shared" si="46"/>
        <v>0</v>
      </c>
      <c r="N99" s="82">
        <f t="shared" si="47"/>
        <v>0</v>
      </c>
      <c r="O99" s="82">
        <f>N99+'BM 002'!O99</f>
        <v>0</v>
      </c>
      <c r="P99" s="80">
        <f t="shared" si="48"/>
        <v>98155.75</v>
      </c>
      <c r="Q99" s="82">
        <f t="shared" si="49"/>
        <v>124422.23</v>
      </c>
      <c r="R99" s="82">
        <f t="shared" si="50"/>
        <v>124422.23</v>
      </c>
    </row>
    <row r="100" spans="2:20" s="34" customFormat="1" ht="34.799999999999997">
      <c r="B100" s="87" t="s">
        <v>203</v>
      </c>
      <c r="C100" s="88" t="s">
        <v>204</v>
      </c>
      <c r="D100" s="89" t="s">
        <v>152</v>
      </c>
      <c r="E100" s="90">
        <v>4215.2</v>
      </c>
      <c r="F100" s="91"/>
      <c r="G100" s="91"/>
      <c r="H100" s="91"/>
      <c r="I100" s="79">
        <f>SUM(G100:H100)+'BM 002'!I100</f>
        <v>0</v>
      </c>
      <c r="J100" s="91">
        <f t="shared" si="44"/>
        <v>4215.2</v>
      </c>
      <c r="K100" s="80">
        <v>16</v>
      </c>
      <c r="L100" s="81">
        <f t="shared" si="42"/>
        <v>20.281601760000001</v>
      </c>
      <c r="M100" s="82">
        <f t="shared" si="46"/>
        <v>0</v>
      </c>
      <c r="N100" s="82">
        <f t="shared" si="47"/>
        <v>0</v>
      </c>
      <c r="O100" s="82">
        <f>N100+'BM 002'!O100</f>
        <v>0</v>
      </c>
      <c r="P100" s="80">
        <f t="shared" si="48"/>
        <v>67443.199999999997</v>
      </c>
      <c r="Q100" s="82">
        <f t="shared" si="49"/>
        <v>85491</v>
      </c>
      <c r="R100" s="82">
        <f t="shared" si="50"/>
        <v>85491</v>
      </c>
    </row>
    <row r="101" spans="2:20" s="34" customFormat="1" ht="34.799999999999997">
      <c r="B101" s="87" t="s">
        <v>205</v>
      </c>
      <c r="C101" s="88" t="s">
        <v>206</v>
      </c>
      <c r="D101" s="89" t="s">
        <v>152</v>
      </c>
      <c r="E101" s="90">
        <v>3267</v>
      </c>
      <c r="F101" s="91"/>
      <c r="G101" s="91"/>
      <c r="H101" s="91"/>
      <c r="I101" s="79">
        <f>SUM(G101:H101)+'BM 002'!I101</f>
        <v>0</v>
      </c>
      <c r="J101" s="91">
        <f t="shared" si="44"/>
        <v>3267</v>
      </c>
      <c r="K101" s="80">
        <v>14.5</v>
      </c>
      <c r="L101" s="81">
        <f t="shared" si="42"/>
        <v>18.380201595000003</v>
      </c>
      <c r="M101" s="82">
        <f t="shared" si="46"/>
        <v>0</v>
      </c>
      <c r="N101" s="82">
        <f t="shared" si="47"/>
        <v>0</v>
      </c>
      <c r="O101" s="82">
        <f>N101+'BM 002'!O101</f>
        <v>0</v>
      </c>
      <c r="P101" s="80">
        <f t="shared" si="48"/>
        <v>47371.5</v>
      </c>
      <c r="Q101" s="82">
        <f t="shared" si="49"/>
        <v>60048.11</v>
      </c>
      <c r="R101" s="82">
        <f t="shared" si="50"/>
        <v>60048.11</v>
      </c>
      <c r="T101" s="96"/>
    </row>
    <row r="102" spans="2:20" s="34" customFormat="1" ht="34.799999999999997">
      <c r="B102" s="87" t="s">
        <v>207</v>
      </c>
      <c r="C102" s="88" t="s">
        <v>208</v>
      </c>
      <c r="D102" s="89" t="s">
        <v>152</v>
      </c>
      <c r="E102" s="90">
        <v>8421.6</v>
      </c>
      <c r="F102" s="91"/>
      <c r="G102" s="91"/>
      <c r="H102" s="91"/>
      <c r="I102" s="79">
        <f>SUM(G102:H102)+'BM 002'!I102</f>
        <v>0</v>
      </c>
      <c r="J102" s="91">
        <f t="shared" si="44"/>
        <v>8421.6</v>
      </c>
      <c r="K102" s="94">
        <v>14.5</v>
      </c>
      <c r="L102" s="81">
        <f t="shared" si="42"/>
        <v>18.380201595000003</v>
      </c>
      <c r="M102" s="82">
        <f t="shared" si="46"/>
        <v>0</v>
      </c>
      <c r="N102" s="82">
        <f t="shared" si="47"/>
        <v>0</v>
      </c>
      <c r="O102" s="82">
        <f>N102+'BM 002'!O102</f>
        <v>0</v>
      </c>
      <c r="P102" s="80">
        <f t="shared" si="48"/>
        <v>122113.20000000001</v>
      </c>
      <c r="Q102" s="82">
        <f t="shared" si="49"/>
        <v>154790.70000000001</v>
      </c>
      <c r="R102" s="82">
        <f t="shared" si="50"/>
        <v>154790.70000000001</v>
      </c>
      <c r="T102" s="96"/>
    </row>
    <row r="103" spans="2:20" s="34" customFormat="1" ht="34.799999999999997">
      <c r="B103" s="87" t="s">
        <v>209</v>
      </c>
      <c r="C103" s="88" t="s">
        <v>210</v>
      </c>
      <c r="D103" s="89" t="s">
        <v>152</v>
      </c>
      <c r="E103" s="92">
        <v>7144.5</v>
      </c>
      <c r="F103" s="91"/>
      <c r="G103" s="91"/>
      <c r="H103" s="91"/>
      <c r="I103" s="79">
        <f>SUM(G103:H103)+'BM 002'!I103</f>
        <v>0</v>
      </c>
      <c r="J103" s="91">
        <f t="shared" si="44"/>
        <v>7144.5</v>
      </c>
      <c r="K103" s="80">
        <v>14</v>
      </c>
      <c r="L103" s="81">
        <f t="shared" si="42"/>
        <v>17.746401540000001</v>
      </c>
      <c r="M103" s="82">
        <f t="shared" si="46"/>
        <v>0</v>
      </c>
      <c r="N103" s="82">
        <f t="shared" si="47"/>
        <v>0</v>
      </c>
      <c r="O103" s="82">
        <f>N103+'BM 002'!O103</f>
        <v>0</v>
      </c>
      <c r="P103" s="80">
        <f t="shared" si="48"/>
        <v>100023</v>
      </c>
      <c r="Q103" s="82">
        <f t="shared" si="49"/>
        <v>126789.16</v>
      </c>
      <c r="R103" s="82">
        <f t="shared" si="50"/>
        <v>126789.16</v>
      </c>
      <c r="T103" s="96"/>
    </row>
    <row r="104" spans="2:20" s="34" customFormat="1" ht="34.799999999999997">
      <c r="B104" s="87" t="s">
        <v>211</v>
      </c>
      <c r="C104" s="88" t="s">
        <v>212</v>
      </c>
      <c r="D104" s="89" t="s">
        <v>152</v>
      </c>
      <c r="E104" s="92">
        <v>6531.8</v>
      </c>
      <c r="F104" s="91"/>
      <c r="G104" s="91"/>
      <c r="H104" s="91"/>
      <c r="I104" s="79">
        <f>SUM(G104:H104)+'BM 002'!I104</f>
        <v>0</v>
      </c>
      <c r="J104" s="91">
        <f t="shared" si="44"/>
        <v>6531.8</v>
      </c>
      <c r="K104" s="95">
        <v>14</v>
      </c>
      <c r="L104" s="81">
        <f t="shared" si="42"/>
        <v>17.746401540000001</v>
      </c>
      <c r="M104" s="82">
        <f t="shared" si="46"/>
        <v>0</v>
      </c>
      <c r="N104" s="82">
        <f t="shared" si="47"/>
        <v>0</v>
      </c>
      <c r="O104" s="82">
        <f>N104+'BM 002'!O104</f>
        <v>0</v>
      </c>
      <c r="P104" s="80">
        <f t="shared" si="48"/>
        <v>91445.2</v>
      </c>
      <c r="Q104" s="82">
        <f t="shared" si="49"/>
        <v>115915.94</v>
      </c>
      <c r="R104" s="82">
        <f t="shared" si="50"/>
        <v>115915.94</v>
      </c>
      <c r="T104" s="96"/>
    </row>
    <row r="105" spans="2:20" s="34" customFormat="1" ht="23.4">
      <c r="B105" s="87" t="s">
        <v>213</v>
      </c>
      <c r="C105" s="88" t="s">
        <v>190</v>
      </c>
      <c r="D105" s="89" t="s">
        <v>63</v>
      </c>
      <c r="E105" s="92">
        <v>240</v>
      </c>
      <c r="F105" s="91"/>
      <c r="G105" s="91"/>
      <c r="H105" s="91"/>
      <c r="I105" s="79">
        <f>SUM(G105:H105)+'BM 002'!I105</f>
        <v>0</v>
      </c>
      <c r="J105" s="91">
        <f t="shared" si="44"/>
        <v>240</v>
      </c>
      <c r="K105" s="80">
        <v>30</v>
      </c>
      <c r="L105" s="81">
        <f t="shared" si="42"/>
        <v>38.028003300000002</v>
      </c>
      <c r="M105" s="82">
        <f t="shared" si="46"/>
        <v>0</v>
      </c>
      <c r="N105" s="82">
        <f t="shared" si="47"/>
        <v>0</v>
      </c>
      <c r="O105" s="82">
        <f>N105+'BM 002'!O105</f>
        <v>0</v>
      </c>
      <c r="P105" s="80">
        <f t="shared" si="48"/>
        <v>7200</v>
      </c>
      <c r="Q105" s="82">
        <f t="shared" si="49"/>
        <v>9126.7199999999993</v>
      </c>
      <c r="R105" s="82">
        <f t="shared" si="50"/>
        <v>9126.7199999999993</v>
      </c>
      <c r="T105" s="96"/>
    </row>
    <row r="106" spans="2:20" s="34" customFormat="1" ht="23.4">
      <c r="B106" s="87" t="s">
        <v>214</v>
      </c>
      <c r="C106" s="88" t="s">
        <v>215</v>
      </c>
      <c r="D106" s="89" t="s">
        <v>169</v>
      </c>
      <c r="E106" s="92">
        <v>364.43</v>
      </c>
      <c r="F106" s="91"/>
      <c r="G106" s="91"/>
      <c r="H106" s="91"/>
      <c r="I106" s="79">
        <f>SUM(G106:H106)+'BM 002'!I106</f>
        <v>0</v>
      </c>
      <c r="J106" s="91">
        <f t="shared" si="44"/>
        <v>364.43</v>
      </c>
      <c r="K106" s="95">
        <v>750</v>
      </c>
      <c r="L106" s="81">
        <f t="shared" si="42"/>
        <v>950.70008250000001</v>
      </c>
      <c r="M106" s="82">
        <f t="shared" si="46"/>
        <v>0</v>
      </c>
      <c r="N106" s="82">
        <f t="shared" si="47"/>
        <v>0</v>
      </c>
      <c r="O106" s="82">
        <f>N106+'BM 002'!O106</f>
        <v>0</v>
      </c>
      <c r="P106" s="80">
        <f t="shared" si="48"/>
        <v>273322.5</v>
      </c>
      <c r="Q106" s="82">
        <f t="shared" si="49"/>
        <v>346463.63</v>
      </c>
      <c r="R106" s="82">
        <f t="shared" si="50"/>
        <v>346463.63</v>
      </c>
      <c r="T106" s="96"/>
    </row>
    <row r="107" spans="2:20" s="34" customFormat="1" ht="13.2">
      <c r="B107" s="66" t="s">
        <v>216</v>
      </c>
      <c r="C107" s="67" t="s">
        <v>217</v>
      </c>
      <c r="D107" s="68"/>
      <c r="E107" s="69"/>
      <c r="F107" s="70"/>
      <c r="G107" s="70"/>
      <c r="H107" s="70"/>
      <c r="I107" s="70">
        <f>SUM(G107:H107)+'BM 002'!I107</f>
        <v>0</v>
      </c>
      <c r="J107" s="70">
        <f t="shared" si="44"/>
        <v>0</v>
      </c>
      <c r="K107" s="71"/>
      <c r="L107" s="71">
        <f t="shared" si="42"/>
        <v>0</v>
      </c>
      <c r="M107" s="73">
        <f t="shared" ref="M107:R107" si="51">SUM(M108:M119)</f>
        <v>0</v>
      </c>
      <c r="N107" s="73">
        <f t="shared" si="51"/>
        <v>0</v>
      </c>
      <c r="O107" s="73">
        <f t="shared" si="51"/>
        <v>0</v>
      </c>
      <c r="P107" s="73">
        <f t="shared" si="51"/>
        <v>951249.7</v>
      </c>
      <c r="Q107" s="73">
        <f t="shared" si="51"/>
        <v>1205804.17</v>
      </c>
      <c r="R107" s="73">
        <f t="shared" si="51"/>
        <v>1205804.17</v>
      </c>
      <c r="T107" s="96"/>
    </row>
    <row r="108" spans="2:20" s="34" customFormat="1" ht="34.799999999999997">
      <c r="B108" s="87" t="s">
        <v>218</v>
      </c>
      <c r="C108" s="88" t="s">
        <v>219</v>
      </c>
      <c r="D108" s="89" t="s">
        <v>79</v>
      </c>
      <c r="E108" s="92">
        <v>2299</v>
      </c>
      <c r="F108" s="91"/>
      <c r="G108" s="91"/>
      <c r="H108" s="91"/>
      <c r="I108" s="79">
        <f>SUM(G108:H108)+'BM 002'!I108</f>
        <v>0</v>
      </c>
      <c r="J108" s="91">
        <f t="shared" si="44"/>
        <v>2299</v>
      </c>
      <c r="K108" s="80">
        <v>60</v>
      </c>
      <c r="L108" s="81">
        <f t="shared" si="42"/>
        <v>76.056006600000003</v>
      </c>
      <c r="M108" s="82">
        <f t="shared" ref="M108:M119" si="52">TRUNC(F108*L108,2)</f>
        <v>0</v>
      </c>
      <c r="N108" s="82">
        <f t="shared" ref="N108:N119" si="53">TRUNC(G108*L108,2)</f>
        <v>0</v>
      </c>
      <c r="O108" s="82">
        <f>N108+'BM 002'!O108</f>
        <v>0</v>
      </c>
      <c r="P108" s="80">
        <f t="shared" ref="P108:P119" si="54">E108*K108</f>
        <v>137940</v>
      </c>
      <c r="Q108" s="82">
        <f t="shared" ref="Q108:Q119" si="55">TRUNC(E108*L108,2)</f>
        <v>174852.75</v>
      </c>
      <c r="R108" s="82">
        <f t="shared" ref="R108:R119" si="56">Q108-O108</f>
        <v>174852.75</v>
      </c>
      <c r="T108" s="96"/>
    </row>
    <row r="109" spans="2:20" s="34" customFormat="1" ht="34.799999999999997">
      <c r="B109" s="87" t="s">
        <v>220</v>
      </c>
      <c r="C109" s="88" t="s">
        <v>198</v>
      </c>
      <c r="D109" s="89" t="s">
        <v>152</v>
      </c>
      <c r="E109" s="90">
        <v>347.6</v>
      </c>
      <c r="F109" s="91"/>
      <c r="G109" s="91"/>
      <c r="H109" s="91"/>
      <c r="I109" s="79">
        <f>SUM(G109:H109)+'BM 002'!I109</f>
        <v>0</v>
      </c>
      <c r="J109" s="91">
        <f t="shared" si="44"/>
        <v>347.6</v>
      </c>
      <c r="K109" s="80">
        <v>20</v>
      </c>
      <c r="L109" s="81">
        <f t="shared" si="42"/>
        <v>25.352002200000001</v>
      </c>
      <c r="M109" s="82">
        <f t="shared" si="52"/>
        <v>0</v>
      </c>
      <c r="N109" s="82">
        <f t="shared" si="53"/>
        <v>0</v>
      </c>
      <c r="O109" s="82">
        <f>N109+'BM 002'!O109</f>
        <v>0</v>
      </c>
      <c r="P109" s="80">
        <f t="shared" si="54"/>
        <v>6952</v>
      </c>
      <c r="Q109" s="82">
        <f t="shared" si="55"/>
        <v>8812.35</v>
      </c>
      <c r="R109" s="82">
        <f t="shared" si="56"/>
        <v>8812.35</v>
      </c>
      <c r="T109" s="96"/>
    </row>
    <row r="110" spans="2:20" s="34" customFormat="1" ht="34.799999999999997">
      <c r="B110" s="87" t="s">
        <v>221</v>
      </c>
      <c r="C110" s="88" t="s">
        <v>222</v>
      </c>
      <c r="D110" s="89" t="s">
        <v>152</v>
      </c>
      <c r="E110" s="90">
        <v>3626.7</v>
      </c>
      <c r="F110" s="91"/>
      <c r="G110" s="91"/>
      <c r="H110" s="91"/>
      <c r="I110" s="79">
        <f>SUM(G110:H110)+'BM 002'!I110</f>
        <v>0</v>
      </c>
      <c r="J110" s="91">
        <f t="shared" si="44"/>
        <v>3626.7</v>
      </c>
      <c r="K110" s="80">
        <v>19</v>
      </c>
      <c r="L110" s="81">
        <f t="shared" si="42"/>
        <v>24.084402090000001</v>
      </c>
      <c r="M110" s="82">
        <f t="shared" si="52"/>
        <v>0</v>
      </c>
      <c r="N110" s="82">
        <f t="shared" si="53"/>
        <v>0</v>
      </c>
      <c r="O110" s="82">
        <f>N110+'BM 002'!O110</f>
        <v>0</v>
      </c>
      <c r="P110" s="80">
        <f t="shared" si="54"/>
        <v>68907.3</v>
      </c>
      <c r="Q110" s="82">
        <f t="shared" si="55"/>
        <v>87346.9</v>
      </c>
      <c r="R110" s="82">
        <f t="shared" si="56"/>
        <v>87346.9</v>
      </c>
      <c r="T110" s="96"/>
    </row>
    <row r="111" spans="2:20" s="34" customFormat="1" ht="34.799999999999997">
      <c r="B111" s="87" t="s">
        <v>223</v>
      </c>
      <c r="C111" s="88" t="s">
        <v>202</v>
      </c>
      <c r="D111" s="89" t="s">
        <v>152</v>
      </c>
      <c r="E111" s="90">
        <v>1762.2</v>
      </c>
      <c r="F111" s="91"/>
      <c r="G111" s="91"/>
      <c r="H111" s="91"/>
      <c r="I111" s="79">
        <f>SUM(G111:H111)+'BM 002'!I111</f>
        <v>0</v>
      </c>
      <c r="J111" s="91">
        <f t="shared" si="44"/>
        <v>1762.2</v>
      </c>
      <c r="K111" s="80">
        <v>17.5</v>
      </c>
      <c r="L111" s="81">
        <f t="shared" si="42"/>
        <v>22.183001924999999</v>
      </c>
      <c r="M111" s="82">
        <f t="shared" si="52"/>
        <v>0</v>
      </c>
      <c r="N111" s="82">
        <f t="shared" si="53"/>
        <v>0</v>
      </c>
      <c r="O111" s="82">
        <f>N111+'BM 002'!O111</f>
        <v>0</v>
      </c>
      <c r="P111" s="80">
        <f t="shared" si="54"/>
        <v>30838.5</v>
      </c>
      <c r="Q111" s="82">
        <f t="shared" si="55"/>
        <v>39090.879999999997</v>
      </c>
      <c r="R111" s="82">
        <f t="shared" si="56"/>
        <v>39090.879999999997</v>
      </c>
    </row>
    <row r="112" spans="2:20" s="34" customFormat="1" ht="34.799999999999997">
      <c r="B112" s="87" t="s">
        <v>224</v>
      </c>
      <c r="C112" s="88" t="s">
        <v>204</v>
      </c>
      <c r="D112" s="89" t="s">
        <v>152</v>
      </c>
      <c r="E112" s="90">
        <v>542.29999999999995</v>
      </c>
      <c r="F112" s="91"/>
      <c r="G112" s="91"/>
      <c r="H112" s="91"/>
      <c r="I112" s="79">
        <f>SUM(G112:H112)+'BM 002'!I112</f>
        <v>0</v>
      </c>
      <c r="J112" s="91">
        <f t="shared" si="44"/>
        <v>542.29999999999995</v>
      </c>
      <c r="K112" s="80">
        <v>16</v>
      </c>
      <c r="L112" s="81">
        <f t="shared" si="42"/>
        <v>20.281601760000001</v>
      </c>
      <c r="M112" s="82">
        <f t="shared" si="52"/>
        <v>0</v>
      </c>
      <c r="N112" s="82">
        <f t="shared" si="53"/>
        <v>0</v>
      </c>
      <c r="O112" s="82">
        <f>N112+'BM 002'!O112</f>
        <v>0</v>
      </c>
      <c r="P112" s="80">
        <f t="shared" si="54"/>
        <v>8676.7999999999993</v>
      </c>
      <c r="Q112" s="82">
        <f t="shared" si="55"/>
        <v>10998.71</v>
      </c>
      <c r="R112" s="82">
        <f t="shared" si="56"/>
        <v>10998.71</v>
      </c>
      <c r="T112" s="83"/>
    </row>
    <row r="113" spans="2:20" s="34" customFormat="1" ht="34.799999999999997">
      <c r="B113" s="87" t="s">
        <v>225</v>
      </c>
      <c r="C113" s="88" t="s">
        <v>206</v>
      </c>
      <c r="D113" s="89" t="s">
        <v>152</v>
      </c>
      <c r="E113" s="90">
        <v>3532.1</v>
      </c>
      <c r="F113" s="91"/>
      <c r="G113" s="91"/>
      <c r="H113" s="91"/>
      <c r="I113" s="79">
        <f>SUM(G113:H113)+'BM 002'!I113</f>
        <v>0</v>
      </c>
      <c r="J113" s="91">
        <f t="shared" si="44"/>
        <v>3532.1</v>
      </c>
      <c r="K113" s="80">
        <v>14.5</v>
      </c>
      <c r="L113" s="81">
        <f t="shared" si="42"/>
        <v>18.380201595000003</v>
      </c>
      <c r="M113" s="82">
        <f t="shared" si="52"/>
        <v>0</v>
      </c>
      <c r="N113" s="82">
        <f t="shared" si="53"/>
        <v>0</v>
      </c>
      <c r="O113" s="82">
        <f>N113+'BM 002'!O113</f>
        <v>0</v>
      </c>
      <c r="P113" s="80">
        <f t="shared" si="54"/>
        <v>51215.45</v>
      </c>
      <c r="Q113" s="82">
        <f t="shared" si="55"/>
        <v>64920.71</v>
      </c>
      <c r="R113" s="82">
        <f t="shared" si="56"/>
        <v>64920.71</v>
      </c>
      <c r="T113" s="83"/>
    </row>
    <row r="114" spans="2:20" s="34" customFormat="1" ht="34.799999999999997">
      <c r="B114" s="87" t="s">
        <v>226</v>
      </c>
      <c r="C114" s="88" t="s">
        <v>208</v>
      </c>
      <c r="D114" s="89" t="s">
        <v>152</v>
      </c>
      <c r="E114" s="90">
        <v>7313.9</v>
      </c>
      <c r="F114" s="91"/>
      <c r="G114" s="91"/>
      <c r="H114" s="91"/>
      <c r="I114" s="79">
        <f>SUM(G114:H114)+'BM 002'!I114</f>
        <v>0</v>
      </c>
      <c r="J114" s="91">
        <f t="shared" si="44"/>
        <v>7313.9</v>
      </c>
      <c r="K114" s="94">
        <v>14.5</v>
      </c>
      <c r="L114" s="81">
        <f t="shared" si="42"/>
        <v>18.380201595000003</v>
      </c>
      <c r="M114" s="82">
        <f t="shared" si="52"/>
        <v>0</v>
      </c>
      <c r="N114" s="82">
        <f t="shared" si="53"/>
        <v>0</v>
      </c>
      <c r="O114" s="82">
        <f>N114+'BM 002'!O114</f>
        <v>0</v>
      </c>
      <c r="P114" s="80">
        <f t="shared" si="54"/>
        <v>106051.54999999999</v>
      </c>
      <c r="Q114" s="82">
        <f t="shared" si="55"/>
        <v>134430.95000000001</v>
      </c>
      <c r="R114" s="82">
        <f t="shared" si="56"/>
        <v>134430.95000000001</v>
      </c>
      <c r="T114" s="83"/>
    </row>
    <row r="115" spans="2:20" s="34" customFormat="1" ht="34.799999999999997">
      <c r="B115" s="87" t="s">
        <v>227</v>
      </c>
      <c r="C115" s="88" t="s">
        <v>210</v>
      </c>
      <c r="D115" s="89" t="s">
        <v>152</v>
      </c>
      <c r="E115" s="92">
        <v>4513.3</v>
      </c>
      <c r="F115" s="91"/>
      <c r="G115" s="91"/>
      <c r="H115" s="91"/>
      <c r="I115" s="79">
        <f>SUM(G115:H115)+'BM 002'!I115</f>
        <v>0</v>
      </c>
      <c r="J115" s="91">
        <f t="shared" si="44"/>
        <v>4513.3</v>
      </c>
      <c r="K115" s="80">
        <v>14</v>
      </c>
      <c r="L115" s="81">
        <f t="shared" si="42"/>
        <v>17.746401540000001</v>
      </c>
      <c r="M115" s="82">
        <f t="shared" si="52"/>
        <v>0</v>
      </c>
      <c r="N115" s="82">
        <f t="shared" si="53"/>
        <v>0</v>
      </c>
      <c r="O115" s="82">
        <f>N115+'BM 002'!O115</f>
        <v>0</v>
      </c>
      <c r="P115" s="80">
        <f t="shared" si="54"/>
        <v>63186.200000000004</v>
      </c>
      <c r="Q115" s="82">
        <f t="shared" si="55"/>
        <v>80094.83</v>
      </c>
      <c r="R115" s="82">
        <f t="shared" si="56"/>
        <v>80094.83</v>
      </c>
      <c r="T115" s="83"/>
    </row>
    <row r="116" spans="2:20" s="34" customFormat="1" ht="34.799999999999997">
      <c r="B116" s="87" t="s">
        <v>228</v>
      </c>
      <c r="C116" s="88" t="s">
        <v>212</v>
      </c>
      <c r="D116" s="89" t="s">
        <v>152</v>
      </c>
      <c r="E116" s="92">
        <v>14626.7</v>
      </c>
      <c r="F116" s="91"/>
      <c r="G116" s="91"/>
      <c r="H116" s="91"/>
      <c r="I116" s="79">
        <f>SUM(G116:H116)+'BM 002'!I116</f>
        <v>0</v>
      </c>
      <c r="J116" s="91">
        <f t="shared" si="44"/>
        <v>14626.7</v>
      </c>
      <c r="K116" s="95">
        <v>14</v>
      </c>
      <c r="L116" s="81">
        <f t="shared" si="42"/>
        <v>17.746401540000001</v>
      </c>
      <c r="M116" s="82">
        <f t="shared" si="52"/>
        <v>0</v>
      </c>
      <c r="N116" s="82">
        <f t="shared" si="53"/>
        <v>0</v>
      </c>
      <c r="O116" s="82">
        <f>N116+'BM 002'!O116</f>
        <v>0</v>
      </c>
      <c r="P116" s="80">
        <f t="shared" si="54"/>
        <v>204773.80000000002</v>
      </c>
      <c r="Q116" s="82">
        <f t="shared" si="55"/>
        <v>259571.29</v>
      </c>
      <c r="R116" s="82">
        <f t="shared" si="56"/>
        <v>259571.29</v>
      </c>
      <c r="T116" s="83"/>
    </row>
    <row r="117" spans="2:20" s="34" customFormat="1" ht="22.8">
      <c r="B117" s="87" t="s">
        <v>229</v>
      </c>
      <c r="C117" s="88" t="s">
        <v>230</v>
      </c>
      <c r="D117" s="89" t="s">
        <v>231</v>
      </c>
      <c r="E117" s="92">
        <v>3177.02</v>
      </c>
      <c r="F117" s="91"/>
      <c r="G117" s="91"/>
      <c r="H117" s="91"/>
      <c r="I117" s="79">
        <f>SUM(G117:H117)+'BM 002'!I117</f>
        <v>0</v>
      </c>
      <c r="J117" s="91">
        <f t="shared" si="44"/>
        <v>3177.02</v>
      </c>
      <c r="K117" s="80">
        <v>30</v>
      </c>
      <c r="L117" s="81">
        <f t="shared" si="42"/>
        <v>38.028003300000002</v>
      </c>
      <c r="M117" s="82">
        <f t="shared" si="52"/>
        <v>0</v>
      </c>
      <c r="N117" s="82">
        <f t="shared" si="53"/>
        <v>0</v>
      </c>
      <c r="O117" s="82">
        <f>N117+'BM 002'!O117</f>
        <v>0</v>
      </c>
      <c r="P117" s="80">
        <f t="shared" si="54"/>
        <v>95310.6</v>
      </c>
      <c r="Q117" s="82">
        <f t="shared" si="55"/>
        <v>120815.72</v>
      </c>
      <c r="R117" s="82">
        <f t="shared" si="56"/>
        <v>120815.72</v>
      </c>
      <c r="T117" s="83"/>
    </row>
    <row r="118" spans="2:20" s="34" customFormat="1" ht="23.4">
      <c r="B118" s="87" t="s">
        <v>232</v>
      </c>
      <c r="C118" s="88" t="s">
        <v>190</v>
      </c>
      <c r="D118" s="89" t="s">
        <v>63</v>
      </c>
      <c r="E118" s="92">
        <v>240</v>
      </c>
      <c r="F118" s="91"/>
      <c r="G118" s="91"/>
      <c r="H118" s="91"/>
      <c r="I118" s="79">
        <f>SUM(G118:H118)+'BM 002'!I118</f>
        <v>0</v>
      </c>
      <c r="J118" s="91">
        <f t="shared" si="44"/>
        <v>240</v>
      </c>
      <c r="K118" s="80">
        <v>30</v>
      </c>
      <c r="L118" s="81">
        <f t="shared" si="42"/>
        <v>38.028003300000002</v>
      </c>
      <c r="M118" s="82">
        <f t="shared" si="52"/>
        <v>0</v>
      </c>
      <c r="N118" s="82">
        <f t="shared" si="53"/>
        <v>0</v>
      </c>
      <c r="O118" s="82">
        <f>N118+'BM 002'!O118</f>
        <v>0</v>
      </c>
      <c r="P118" s="80">
        <f t="shared" si="54"/>
        <v>7200</v>
      </c>
      <c r="Q118" s="82">
        <f t="shared" si="55"/>
        <v>9126.7199999999993</v>
      </c>
      <c r="R118" s="82">
        <f t="shared" si="56"/>
        <v>9126.7199999999993</v>
      </c>
      <c r="T118" s="83"/>
    </row>
    <row r="119" spans="2:20" s="34" customFormat="1" ht="23.4">
      <c r="B119" s="87" t="s">
        <v>233</v>
      </c>
      <c r="C119" s="88" t="s">
        <v>215</v>
      </c>
      <c r="D119" s="89" t="s">
        <v>169</v>
      </c>
      <c r="E119" s="92">
        <v>226.93</v>
      </c>
      <c r="F119" s="91"/>
      <c r="G119" s="91"/>
      <c r="H119" s="91"/>
      <c r="I119" s="79">
        <f>SUM(G119:H119)+'BM 002'!I119</f>
        <v>0</v>
      </c>
      <c r="J119" s="91">
        <f t="shared" si="44"/>
        <v>226.93</v>
      </c>
      <c r="K119" s="95">
        <v>750</v>
      </c>
      <c r="L119" s="81">
        <f t="shared" si="42"/>
        <v>950.70008250000001</v>
      </c>
      <c r="M119" s="82">
        <f t="shared" si="52"/>
        <v>0</v>
      </c>
      <c r="N119" s="82">
        <f t="shared" si="53"/>
        <v>0</v>
      </c>
      <c r="O119" s="82">
        <f>N119+'BM 002'!O119</f>
        <v>0</v>
      </c>
      <c r="P119" s="80">
        <f t="shared" si="54"/>
        <v>170197.5</v>
      </c>
      <c r="Q119" s="82">
        <f t="shared" si="55"/>
        <v>215742.36</v>
      </c>
      <c r="R119" s="82">
        <f t="shared" si="56"/>
        <v>215742.36</v>
      </c>
      <c r="T119" s="83"/>
    </row>
    <row r="120" spans="2:20" s="34" customFormat="1" ht="13.2">
      <c r="B120" s="66" t="s">
        <v>234</v>
      </c>
      <c r="C120" s="67" t="s">
        <v>235</v>
      </c>
      <c r="D120" s="68"/>
      <c r="E120" s="69"/>
      <c r="F120" s="70"/>
      <c r="G120" s="70"/>
      <c r="H120" s="70"/>
      <c r="I120" s="70">
        <f>SUM(G120:H120)+'BM 002'!I120</f>
        <v>0</v>
      </c>
      <c r="J120" s="70">
        <f t="shared" si="44"/>
        <v>0</v>
      </c>
      <c r="K120" s="71"/>
      <c r="L120" s="71">
        <f t="shared" si="42"/>
        <v>0</v>
      </c>
      <c r="M120" s="73">
        <f t="shared" ref="M120:R120" si="57">SUM(M121:M130)</f>
        <v>0</v>
      </c>
      <c r="N120" s="73">
        <f t="shared" si="57"/>
        <v>0</v>
      </c>
      <c r="O120" s="73">
        <f t="shared" si="57"/>
        <v>0</v>
      </c>
      <c r="P120" s="73">
        <f t="shared" si="57"/>
        <v>2218671.0499999998</v>
      </c>
      <c r="Q120" s="73">
        <f t="shared" si="57"/>
        <v>2812387.62</v>
      </c>
      <c r="R120" s="73">
        <f t="shared" si="57"/>
        <v>2812387.62</v>
      </c>
      <c r="T120" s="83"/>
    </row>
    <row r="121" spans="2:20" s="34" customFormat="1" ht="46.2">
      <c r="B121" s="87" t="s">
        <v>236</v>
      </c>
      <c r="C121" s="88" t="s">
        <v>237</v>
      </c>
      <c r="D121" s="89" t="s">
        <v>79</v>
      </c>
      <c r="E121" s="92">
        <v>770.47</v>
      </c>
      <c r="F121" s="91"/>
      <c r="G121" s="91"/>
      <c r="H121" s="91"/>
      <c r="I121" s="79">
        <f>SUM(G121:H121)+'BM 002'!I121</f>
        <v>0</v>
      </c>
      <c r="J121" s="91">
        <f t="shared" si="44"/>
        <v>770.47</v>
      </c>
      <c r="K121" s="80">
        <v>130</v>
      </c>
      <c r="L121" s="81">
        <f t="shared" si="42"/>
        <v>164.78801430000001</v>
      </c>
      <c r="M121" s="82">
        <f t="shared" ref="M121:M130" si="58">TRUNC(F121*L121,2)</f>
        <v>0</v>
      </c>
      <c r="N121" s="82">
        <f t="shared" ref="N121:N130" si="59">TRUNC(G121*L121,2)</f>
        <v>0</v>
      </c>
      <c r="O121" s="82">
        <f>N121+'BM 002'!O121</f>
        <v>0</v>
      </c>
      <c r="P121" s="80">
        <f t="shared" ref="P121:P130" si="60">E121*K121</f>
        <v>100161.1</v>
      </c>
      <c r="Q121" s="82">
        <f t="shared" ref="Q121:Q130" si="61">TRUNC(E121*L121,2)</f>
        <v>126964.22</v>
      </c>
      <c r="R121" s="82">
        <f t="shared" ref="R121:R130" si="62">Q121-O121</f>
        <v>126964.22</v>
      </c>
      <c r="T121" s="83"/>
    </row>
    <row r="122" spans="2:20" s="34" customFormat="1" ht="46.2">
      <c r="B122" s="87" t="s">
        <v>238</v>
      </c>
      <c r="C122" s="88" t="s">
        <v>239</v>
      </c>
      <c r="D122" s="89" t="s">
        <v>79</v>
      </c>
      <c r="E122" s="92">
        <v>7163.62</v>
      </c>
      <c r="F122" s="91"/>
      <c r="G122" s="91"/>
      <c r="H122" s="91"/>
      <c r="I122" s="79">
        <f>SUM(G122:H122)+'BM 002'!I122</f>
        <v>0</v>
      </c>
      <c r="J122" s="91">
        <f t="shared" si="44"/>
        <v>7163.62</v>
      </c>
      <c r="K122" s="80">
        <v>130</v>
      </c>
      <c r="L122" s="81">
        <f t="shared" si="42"/>
        <v>164.78801430000001</v>
      </c>
      <c r="M122" s="82">
        <f t="shared" si="58"/>
        <v>0</v>
      </c>
      <c r="N122" s="82">
        <f t="shared" si="59"/>
        <v>0</v>
      </c>
      <c r="O122" s="82">
        <f>N122+'BM 002'!O122</f>
        <v>0</v>
      </c>
      <c r="P122" s="80">
        <f t="shared" si="60"/>
        <v>931270.6</v>
      </c>
      <c r="Q122" s="82">
        <f t="shared" si="61"/>
        <v>1180478.71</v>
      </c>
      <c r="R122" s="82">
        <f t="shared" si="62"/>
        <v>1180478.71</v>
      </c>
      <c r="T122" s="83"/>
    </row>
    <row r="123" spans="2:20" s="34" customFormat="1" ht="34.799999999999997">
      <c r="B123" s="87" t="s">
        <v>240</v>
      </c>
      <c r="C123" s="88" t="s">
        <v>241</v>
      </c>
      <c r="D123" s="89" t="s">
        <v>152</v>
      </c>
      <c r="E123" s="92">
        <v>2362.8000000000002</v>
      </c>
      <c r="F123" s="91"/>
      <c r="G123" s="91"/>
      <c r="H123" s="91"/>
      <c r="I123" s="79">
        <f>SUM(G123:H123)+'BM 002'!I123</f>
        <v>0</v>
      </c>
      <c r="J123" s="91">
        <f t="shared" si="44"/>
        <v>2362.8000000000002</v>
      </c>
      <c r="K123" s="80">
        <v>19</v>
      </c>
      <c r="L123" s="81">
        <f t="shared" si="42"/>
        <v>24.084402090000001</v>
      </c>
      <c r="M123" s="82">
        <f t="shared" si="58"/>
        <v>0</v>
      </c>
      <c r="N123" s="82">
        <f t="shared" si="59"/>
        <v>0</v>
      </c>
      <c r="O123" s="82">
        <f>N123+'BM 002'!O123</f>
        <v>0</v>
      </c>
      <c r="P123" s="80">
        <f t="shared" si="60"/>
        <v>44893.200000000004</v>
      </c>
      <c r="Q123" s="82">
        <f t="shared" si="61"/>
        <v>56906.62</v>
      </c>
      <c r="R123" s="82">
        <f t="shared" si="62"/>
        <v>56906.62</v>
      </c>
      <c r="T123" s="83"/>
    </row>
    <row r="124" spans="2:20" s="34" customFormat="1" ht="34.799999999999997">
      <c r="B124" s="87" t="s">
        <v>242</v>
      </c>
      <c r="C124" s="88" t="s">
        <v>243</v>
      </c>
      <c r="D124" s="89" t="s">
        <v>152</v>
      </c>
      <c r="E124" s="90">
        <v>602.79999999999995</v>
      </c>
      <c r="F124" s="91"/>
      <c r="G124" s="91"/>
      <c r="H124" s="91"/>
      <c r="I124" s="79">
        <f>SUM(G124:H124)+'BM 002'!I124</f>
        <v>0</v>
      </c>
      <c r="J124" s="91">
        <f t="shared" si="44"/>
        <v>602.79999999999995</v>
      </c>
      <c r="K124" s="80">
        <v>17.5</v>
      </c>
      <c r="L124" s="81">
        <f t="shared" si="42"/>
        <v>22.183001924999999</v>
      </c>
      <c r="M124" s="82">
        <f t="shared" si="58"/>
        <v>0</v>
      </c>
      <c r="N124" s="82">
        <f t="shared" si="59"/>
        <v>0</v>
      </c>
      <c r="O124" s="82">
        <f>N124+'BM 002'!O124</f>
        <v>0</v>
      </c>
      <c r="P124" s="80">
        <f t="shared" si="60"/>
        <v>10549</v>
      </c>
      <c r="Q124" s="82">
        <f t="shared" si="61"/>
        <v>13371.91</v>
      </c>
      <c r="R124" s="82">
        <f t="shared" si="62"/>
        <v>13371.91</v>
      </c>
      <c r="T124" s="83"/>
    </row>
    <row r="125" spans="2:20" s="34" customFormat="1" ht="34.799999999999997">
      <c r="B125" s="87" t="s">
        <v>244</v>
      </c>
      <c r="C125" s="88" t="s">
        <v>245</v>
      </c>
      <c r="D125" s="89" t="s">
        <v>152</v>
      </c>
      <c r="E125" s="90">
        <v>3562.9</v>
      </c>
      <c r="F125" s="91"/>
      <c r="G125" s="91"/>
      <c r="H125" s="91"/>
      <c r="I125" s="79">
        <f>SUM(G125:H125)+'BM 002'!I125</f>
        <v>0</v>
      </c>
      <c r="J125" s="91">
        <f t="shared" si="44"/>
        <v>3562.9</v>
      </c>
      <c r="K125" s="80">
        <v>16</v>
      </c>
      <c r="L125" s="81">
        <f t="shared" si="42"/>
        <v>20.281601760000001</v>
      </c>
      <c r="M125" s="82">
        <f t="shared" si="58"/>
        <v>0</v>
      </c>
      <c r="N125" s="82">
        <f t="shared" si="59"/>
        <v>0</v>
      </c>
      <c r="O125" s="82">
        <f>N125+'BM 002'!O125</f>
        <v>0</v>
      </c>
      <c r="P125" s="80">
        <f t="shared" si="60"/>
        <v>57006.400000000001</v>
      </c>
      <c r="Q125" s="82">
        <f t="shared" si="61"/>
        <v>72261.31</v>
      </c>
      <c r="R125" s="82">
        <f t="shared" si="62"/>
        <v>72261.31</v>
      </c>
    </row>
    <row r="126" spans="2:20" s="34" customFormat="1" ht="34.799999999999997">
      <c r="B126" s="87" t="s">
        <v>246</v>
      </c>
      <c r="C126" s="88" t="s">
        <v>247</v>
      </c>
      <c r="D126" s="89" t="s">
        <v>152</v>
      </c>
      <c r="E126" s="90">
        <v>8278.6</v>
      </c>
      <c r="F126" s="91"/>
      <c r="G126" s="91"/>
      <c r="H126" s="91"/>
      <c r="I126" s="79">
        <f>SUM(G126:H126)+'BM 002'!I126</f>
        <v>0</v>
      </c>
      <c r="J126" s="91">
        <f t="shared" si="44"/>
        <v>8278.6</v>
      </c>
      <c r="K126" s="80">
        <v>14.5</v>
      </c>
      <c r="L126" s="81">
        <f t="shared" si="42"/>
        <v>18.380201595000003</v>
      </c>
      <c r="M126" s="82">
        <f t="shared" si="58"/>
        <v>0</v>
      </c>
      <c r="N126" s="82">
        <f t="shared" si="59"/>
        <v>0</v>
      </c>
      <c r="O126" s="82">
        <f>N126+'BM 002'!O126</f>
        <v>0</v>
      </c>
      <c r="P126" s="80">
        <f t="shared" si="60"/>
        <v>120039.70000000001</v>
      </c>
      <c r="Q126" s="82">
        <f t="shared" si="61"/>
        <v>152162.32999999999</v>
      </c>
      <c r="R126" s="82">
        <f t="shared" si="62"/>
        <v>152162.32999999999</v>
      </c>
    </row>
    <row r="127" spans="2:20" s="34" customFormat="1" ht="34.799999999999997">
      <c r="B127" s="87" t="s">
        <v>248</v>
      </c>
      <c r="C127" s="88" t="s">
        <v>249</v>
      </c>
      <c r="D127" s="89" t="s">
        <v>152</v>
      </c>
      <c r="E127" s="90">
        <v>8114.7</v>
      </c>
      <c r="F127" s="91"/>
      <c r="G127" s="91"/>
      <c r="H127" s="91"/>
      <c r="I127" s="79">
        <f>SUM(G127:H127)+'BM 002'!I127</f>
        <v>0</v>
      </c>
      <c r="J127" s="91">
        <f t="shared" si="44"/>
        <v>8114.7</v>
      </c>
      <c r="K127" s="94">
        <v>14.5</v>
      </c>
      <c r="L127" s="81">
        <f t="shared" si="42"/>
        <v>18.380201595000003</v>
      </c>
      <c r="M127" s="82">
        <f t="shared" si="58"/>
        <v>0</v>
      </c>
      <c r="N127" s="82">
        <f t="shared" si="59"/>
        <v>0</v>
      </c>
      <c r="O127" s="82">
        <f>N127+'BM 002'!O127</f>
        <v>0</v>
      </c>
      <c r="P127" s="80">
        <f t="shared" si="60"/>
        <v>117663.15</v>
      </c>
      <c r="Q127" s="82">
        <f t="shared" si="61"/>
        <v>149149.82</v>
      </c>
      <c r="R127" s="82">
        <f t="shared" si="62"/>
        <v>149149.82</v>
      </c>
    </row>
    <row r="128" spans="2:20" s="34" customFormat="1" ht="34.799999999999997">
      <c r="B128" s="87" t="s">
        <v>250</v>
      </c>
      <c r="C128" s="88" t="s">
        <v>251</v>
      </c>
      <c r="D128" s="89" t="s">
        <v>152</v>
      </c>
      <c r="E128" s="90">
        <v>11554.4</v>
      </c>
      <c r="F128" s="91"/>
      <c r="G128" s="91"/>
      <c r="H128" s="91"/>
      <c r="I128" s="79">
        <f>SUM(G128:H128)+'BM 002'!I128</f>
        <v>0</v>
      </c>
      <c r="J128" s="91">
        <f t="shared" si="44"/>
        <v>11554.4</v>
      </c>
      <c r="K128" s="80">
        <v>14</v>
      </c>
      <c r="L128" s="81">
        <f t="shared" si="42"/>
        <v>17.746401540000001</v>
      </c>
      <c r="M128" s="82">
        <f t="shared" si="58"/>
        <v>0</v>
      </c>
      <c r="N128" s="82">
        <f t="shared" si="59"/>
        <v>0</v>
      </c>
      <c r="O128" s="82">
        <f>N128+'BM 002'!O128</f>
        <v>0</v>
      </c>
      <c r="P128" s="80">
        <f t="shared" si="60"/>
        <v>161761.60000000001</v>
      </c>
      <c r="Q128" s="82">
        <f t="shared" si="61"/>
        <v>205049.02</v>
      </c>
      <c r="R128" s="82">
        <f t="shared" si="62"/>
        <v>205049.02</v>
      </c>
    </row>
    <row r="129" spans="2:21" s="34" customFormat="1" ht="46.2">
      <c r="B129" s="87" t="s">
        <v>252</v>
      </c>
      <c r="C129" s="88" t="s">
        <v>253</v>
      </c>
      <c r="D129" s="89" t="s">
        <v>152</v>
      </c>
      <c r="E129" s="90">
        <v>5166.7</v>
      </c>
      <c r="F129" s="91"/>
      <c r="G129" s="91"/>
      <c r="H129" s="91"/>
      <c r="I129" s="79">
        <f>SUM(G129:H129)+'BM 002'!I129</f>
        <v>0</v>
      </c>
      <c r="J129" s="91">
        <f t="shared" si="44"/>
        <v>5166.7</v>
      </c>
      <c r="K129" s="80">
        <v>14</v>
      </c>
      <c r="L129" s="81">
        <f t="shared" si="42"/>
        <v>17.746401540000001</v>
      </c>
      <c r="M129" s="82">
        <f t="shared" si="58"/>
        <v>0</v>
      </c>
      <c r="N129" s="82">
        <f t="shared" si="59"/>
        <v>0</v>
      </c>
      <c r="O129" s="82">
        <f>N129+'BM 002'!O129</f>
        <v>0</v>
      </c>
      <c r="P129" s="80">
        <f t="shared" si="60"/>
        <v>72333.8</v>
      </c>
      <c r="Q129" s="82">
        <f t="shared" si="61"/>
        <v>91690.33</v>
      </c>
      <c r="R129" s="82">
        <f t="shared" si="62"/>
        <v>91690.33</v>
      </c>
    </row>
    <row r="130" spans="2:21" s="34" customFormat="1" ht="23.4">
      <c r="B130" s="87" t="s">
        <v>254</v>
      </c>
      <c r="C130" s="88" t="s">
        <v>215</v>
      </c>
      <c r="D130" s="89" t="s">
        <v>169</v>
      </c>
      <c r="E130" s="92">
        <v>803.99</v>
      </c>
      <c r="F130" s="91"/>
      <c r="G130" s="91"/>
      <c r="H130" s="91"/>
      <c r="I130" s="79">
        <f>SUM(G130:H130)+'BM 002'!I130</f>
        <v>0</v>
      </c>
      <c r="J130" s="91">
        <f t="shared" si="44"/>
        <v>803.99</v>
      </c>
      <c r="K130" s="95">
        <v>750</v>
      </c>
      <c r="L130" s="81">
        <f t="shared" si="42"/>
        <v>950.70008250000001</v>
      </c>
      <c r="M130" s="82">
        <f t="shared" si="58"/>
        <v>0</v>
      </c>
      <c r="N130" s="82">
        <f t="shared" si="59"/>
        <v>0</v>
      </c>
      <c r="O130" s="82">
        <f>N130+'BM 002'!O130</f>
        <v>0</v>
      </c>
      <c r="P130" s="80">
        <f t="shared" si="60"/>
        <v>602992.5</v>
      </c>
      <c r="Q130" s="82">
        <f t="shared" si="61"/>
        <v>764353.35</v>
      </c>
      <c r="R130" s="82">
        <f t="shared" si="62"/>
        <v>764353.35</v>
      </c>
      <c r="T130" s="83"/>
      <c r="U130" s="83"/>
    </row>
    <row r="131" spans="2:21" s="34" customFormat="1" ht="17.399999999999999">
      <c r="B131" s="60" t="s">
        <v>255</v>
      </c>
      <c r="C131" s="61" t="s">
        <v>256</v>
      </c>
      <c r="D131" s="60"/>
      <c r="E131" s="62"/>
      <c r="F131" s="63"/>
      <c r="G131" s="63"/>
      <c r="H131" s="63"/>
      <c r="I131" s="63">
        <f>SUM(G131:H131)+'BM 002'!I131</f>
        <v>0</v>
      </c>
      <c r="J131" s="63">
        <f t="shared" si="44"/>
        <v>0</v>
      </c>
      <c r="K131" s="63"/>
      <c r="L131" s="63">
        <f t="shared" si="42"/>
        <v>0</v>
      </c>
      <c r="M131" s="63">
        <f t="shared" ref="M131:R131" si="63">SUM(M132:M138)</f>
        <v>0</v>
      </c>
      <c r="N131" s="63">
        <f t="shared" si="63"/>
        <v>0</v>
      </c>
      <c r="O131" s="63">
        <f t="shared" si="63"/>
        <v>0</v>
      </c>
      <c r="P131" s="63">
        <f t="shared" si="63"/>
        <v>1701680.9500000002</v>
      </c>
      <c r="Q131" s="63">
        <f t="shared" si="63"/>
        <v>2157050.9299999997</v>
      </c>
      <c r="R131" s="63">
        <f t="shared" si="63"/>
        <v>2157050.9299999997</v>
      </c>
      <c r="T131" s="97"/>
    </row>
    <row r="132" spans="2:21" s="34" customFormat="1" ht="13.2">
      <c r="B132" s="87" t="s">
        <v>257</v>
      </c>
      <c r="C132" s="98" t="s">
        <v>258</v>
      </c>
      <c r="D132" s="99" t="s">
        <v>169</v>
      </c>
      <c r="E132" s="100">
        <v>261.60000000000002</v>
      </c>
      <c r="F132" s="101"/>
      <c r="G132" s="101"/>
      <c r="H132" s="101"/>
      <c r="I132" s="79">
        <f>SUM(G132:H132)+'BM 002'!I132</f>
        <v>0</v>
      </c>
      <c r="J132" s="101">
        <f t="shared" si="44"/>
        <v>261.60000000000002</v>
      </c>
      <c r="K132" s="102">
        <v>620</v>
      </c>
      <c r="L132" s="81">
        <f t="shared" si="42"/>
        <v>785.91206820000002</v>
      </c>
      <c r="M132" s="82">
        <f t="shared" ref="M132:M138" si="64">TRUNC(F132*L132,2)</f>
        <v>0</v>
      </c>
      <c r="N132" s="82">
        <f t="shared" ref="N132:N138" si="65">TRUNC(G132*L132,2)</f>
        <v>0</v>
      </c>
      <c r="O132" s="82">
        <f>N132+'BM 002'!O132</f>
        <v>0</v>
      </c>
      <c r="P132" s="80">
        <f t="shared" ref="P132:P138" si="66">E132*K132</f>
        <v>162192</v>
      </c>
      <c r="Q132" s="82">
        <f t="shared" ref="Q132:Q138" si="67">TRUNC(E132*L132,2)</f>
        <v>205594.59</v>
      </c>
      <c r="R132" s="82">
        <f t="shared" ref="R132:R138" si="68">Q132-O132</f>
        <v>205594.59</v>
      </c>
    </row>
    <row r="133" spans="2:21" s="34" customFormat="1" ht="34.799999999999997">
      <c r="B133" s="87" t="s">
        <v>259</v>
      </c>
      <c r="C133" s="88" t="s">
        <v>260</v>
      </c>
      <c r="D133" s="89" t="s">
        <v>82</v>
      </c>
      <c r="E133" s="90">
        <v>3852</v>
      </c>
      <c r="F133" s="91"/>
      <c r="G133" s="91"/>
      <c r="H133" s="91"/>
      <c r="I133" s="79">
        <f>SUM(G133:H133)+'BM 002'!I133</f>
        <v>0</v>
      </c>
      <c r="J133" s="91">
        <f t="shared" si="44"/>
        <v>3852</v>
      </c>
      <c r="K133" s="84">
        <v>20</v>
      </c>
      <c r="L133" s="81">
        <f t="shared" si="42"/>
        <v>25.352002200000001</v>
      </c>
      <c r="M133" s="82">
        <f t="shared" si="64"/>
        <v>0</v>
      </c>
      <c r="N133" s="82">
        <f t="shared" si="65"/>
        <v>0</v>
      </c>
      <c r="O133" s="82">
        <f>N133+'BM 002'!O133</f>
        <v>0</v>
      </c>
      <c r="P133" s="80">
        <f t="shared" si="66"/>
        <v>77040</v>
      </c>
      <c r="Q133" s="82">
        <f t="shared" si="67"/>
        <v>97655.91</v>
      </c>
      <c r="R133" s="82">
        <f t="shared" si="68"/>
        <v>97655.91</v>
      </c>
    </row>
    <row r="134" spans="2:21" s="34" customFormat="1" ht="34.799999999999997">
      <c r="B134" s="87" t="s">
        <v>261</v>
      </c>
      <c r="C134" s="88" t="s">
        <v>262</v>
      </c>
      <c r="D134" s="89" t="s">
        <v>110</v>
      </c>
      <c r="E134" s="92">
        <v>112</v>
      </c>
      <c r="F134" s="91"/>
      <c r="G134" s="91"/>
      <c r="H134" s="91"/>
      <c r="I134" s="79">
        <f>SUM(G134:H134)+'BM 002'!I134</f>
        <v>0</v>
      </c>
      <c r="J134" s="91">
        <f t="shared" si="44"/>
        <v>112</v>
      </c>
      <c r="K134" s="84">
        <v>650</v>
      </c>
      <c r="L134" s="81">
        <f t="shared" si="42"/>
        <v>823.94007150000004</v>
      </c>
      <c r="M134" s="82">
        <f t="shared" si="64"/>
        <v>0</v>
      </c>
      <c r="N134" s="82">
        <f t="shared" si="65"/>
        <v>0</v>
      </c>
      <c r="O134" s="82">
        <f>N134+'BM 002'!O134</f>
        <v>0</v>
      </c>
      <c r="P134" s="80">
        <f t="shared" si="66"/>
        <v>72800</v>
      </c>
      <c r="Q134" s="82">
        <f t="shared" si="67"/>
        <v>92281.279999999999</v>
      </c>
      <c r="R134" s="82">
        <f t="shared" si="68"/>
        <v>92281.279999999999</v>
      </c>
    </row>
    <row r="135" spans="2:21" s="34" customFormat="1" ht="57.6">
      <c r="B135" s="87" t="s">
        <v>263</v>
      </c>
      <c r="C135" s="88" t="s">
        <v>264</v>
      </c>
      <c r="D135" s="89" t="s">
        <v>79</v>
      </c>
      <c r="E135" s="90">
        <v>15102.2</v>
      </c>
      <c r="F135" s="91"/>
      <c r="G135" s="91"/>
      <c r="H135" s="91"/>
      <c r="I135" s="79">
        <f>SUM(G135:H135)+'BM 002'!I135</f>
        <v>0</v>
      </c>
      <c r="J135" s="91">
        <f t="shared" si="44"/>
        <v>15102.2</v>
      </c>
      <c r="K135" s="84">
        <v>79.5</v>
      </c>
      <c r="L135" s="81">
        <f t="shared" si="42"/>
        <v>100.77420874500001</v>
      </c>
      <c r="M135" s="82">
        <f t="shared" si="64"/>
        <v>0</v>
      </c>
      <c r="N135" s="82">
        <f t="shared" si="65"/>
        <v>0</v>
      </c>
      <c r="O135" s="82">
        <f>N135+'BM 002'!O135</f>
        <v>0</v>
      </c>
      <c r="P135" s="80">
        <f t="shared" si="66"/>
        <v>1200624.9000000001</v>
      </c>
      <c r="Q135" s="82">
        <f t="shared" si="67"/>
        <v>1521912.25</v>
      </c>
      <c r="R135" s="82">
        <f t="shared" si="68"/>
        <v>1521912.25</v>
      </c>
    </row>
    <row r="136" spans="2:21" s="34" customFormat="1" ht="57.6">
      <c r="B136" s="87" t="s">
        <v>265</v>
      </c>
      <c r="C136" s="88" t="s">
        <v>266</v>
      </c>
      <c r="D136" s="89" t="s">
        <v>79</v>
      </c>
      <c r="E136" s="90">
        <v>772</v>
      </c>
      <c r="F136" s="91"/>
      <c r="G136" s="91"/>
      <c r="H136" s="91"/>
      <c r="I136" s="79">
        <f>SUM(G136:H136)+'BM 002'!I136</f>
        <v>0</v>
      </c>
      <c r="J136" s="91">
        <f t="shared" si="44"/>
        <v>772</v>
      </c>
      <c r="K136" s="84">
        <v>150</v>
      </c>
      <c r="L136" s="81">
        <f t="shared" si="42"/>
        <v>190.1400165</v>
      </c>
      <c r="M136" s="82">
        <f t="shared" si="64"/>
        <v>0</v>
      </c>
      <c r="N136" s="82">
        <f t="shared" si="65"/>
        <v>0</v>
      </c>
      <c r="O136" s="82">
        <f>N136+'BM 002'!O136</f>
        <v>0</v>
      </c>
      <c r="P136" s="80">
        <f t="shared" si="66"/>
        <v>115800</v>
      </c>
      <c r="Q136" s="82">
        <f t="shared" si="67"/>
        <v>146788.09</v>
      </c>
      <c r="R136" s="82">
        <f t="shared" si="68"/>
        <v>146788.09</v>
      </c>
    </row>
    <row r="137" spans="2:21" s="34" customFormat="1" ht="46.2">
      <c r="B137" s="87" t="s">
        <v>267</v>
      </c>
      <c r="C137" s="88" t="s">
        <v>268</v>
      </c>
      <c r="D137" s="89" t="s">
        <v>79</v>
      </c>
      <c r="E137" s="90">
        <v>210.05</v>
      </c>
      <c r="F137" s="91"/>
      <c r="G137" s="91"/>
      <c r="H137" s="91"/>
      <c r="I137" s="79">
        <f>SUM(G137:H137)+'BM 002'!I137</f>
        <v>0</v>
      </c>
      <c r="J137" s="91">
        <f t="shared" si="44"/>
        <v>210.05</v>
      </c>
      <c r="K137" s="84">
        <v>165</v>
      </c>
      <c r="L137" s="81">
        <f t="shared" si="42"/>
        <v>209.15401815000001</v>
      </c>
      <c r="M137" s="82">
        <f t="shared" si="64"/>
        <v>0</v>
      </c>
      <c r="N137" s="82">
        <f t="shared" si="65"/>
        <v>0</v>
      </c>
      <c r="O137" s="82">
        <f>N137+'BM 002'!O137</f>
        <v>0</v>
      </c>
      <c r="P137" s="80">
        <f t="shared" si="66"/>
        <v>34658.25</v>
      </c>
      <c r="Q137" s="82">
        <f t="shared" si="67"/>
        <v>43932.800000000003</v>
      </c>
      <c r="R137" s="82">
        <f t="shared" si="68"/>
        <v>43932.800000000003</v>
      </c>
    </row>
    <row r="138" spans="2:21" s="34" customFormat="1" ht="23.4">
      <c r="B138" s="87" t="s">
        <v>269</v>
      </c>
      <c r="C138" s="88" t="s">
        <v>270</v>
      </c>
      <c r="D138" s="89" t="s">
        <v>124</v>
      </c>
      <c r="E138" s="90">
        <v>550.94000000000005</v>
      </c>
      <c r="F138" s="91"/>
      <c r="G138" s="91"/>
      <c r="H138" s="91"/>
      <c r="I138" s="79">
        <f>SUM(G138:H138)+'BM 002'!I138</f>
        <v>0</v>
      </c>
      <c r="J138" s="91">
        <f t="shared" si="44"/>
        <v>550.94000000000005</v>
      </c>
      <c r="K138" s="84">
        <v>70</v>
      </c>
      <c r="L138" s="81">
        <f t="shared" si="42"/>
        <v>88.732007699999997</v>
      </c>
      <c r="M138" s="82">
        <f t="shared" si="64"/>
        <v>0</v>
      </c>
      <c r="N138" s="82">
        <f t="shared" si="65"/>
        <v>0</v>
      </c>
      <c r="O138" s="82">
        <f>N138+'BM 002'!O138</f>
        <v>0</v>
      </c>
      <c r="P138" s="80">
        <f t="shared" si="66"/>
        <v>38565.800000000003</v>
      </c>
      <c r="Q138" s="82">
        <f t="shared" si="67"/>
        <v>48886.01</v>
      </c>
      <c r="R138" s="82">
        <f t="shared" si="68"/>
        <v>48886.01</v>
      </c>
    </row>
    <row r="139" spans="2:21" s="34" customFormat="1" ht="13.2">
      <c r="B139" s="60" t="s">
        <v>271</v>
      </c>
      <c r="C139" s="61" t="s">
        <v>272</v>
      </c>
      <c r="D139" s="60"/>
      <c r="E139" s="62"/>
      <c r="F139" s="63"/>
      <c r="G139" s="63"/>
      <c r="H139" s="63"/>
      <c r="I139" s="63">
        <f>SUM(G139:H139)+'BM 002'!I139</f>
        <v>0</v>
      </c>
      <c r="J139" s="63">
        <f t="shared" si="44"/>
        <v>0</v>
      </c>
      <c r="K139" s="63"/>
      <c r="L139" s="63">
        <f t="shared" si="42"/>
        <v>0</v>
      </c>
      <c r="M139" s="63">
        <f t="shared" ref="M139:R139" si="69">SUM(M140,M148)</f>
        <v>0</v>
      </c>
      <c r="N139" s="63">
        <f t="shared" si="69"/>
        <v>0</v>
      </c>
      <c r="O139" s="63">
        <f t="shared" si="69"/>
        <v>0</v>
      </c>
      <c r="P139" s="63">
        <f t="shared" si="69"/>
        <v>2433803.8377</v>
      </c>
      <c r="Q139" s="63">
        <f t="shared" si="69"/>
        <v>3085089.94</v>
      </c>
      <c r="R139" s="63">
        <f t="shared" si="69"/>
        <v>3085089.94</v>
      </c>
    </row>
    <row r="140" spans="2:21" s="34" customFormat="1" ht="13.2">
      <c r="B140" s="66" t="s">
        <v>273</v>
      </c>
      <c r="C140" s="67" t="s">
        <v>274</v>
      </c>
      <c r="D140" s="68"/>
      <c r="E140" s="69"/>
      <c r="F140" s="70"/>
      <c r="G140" s="70"/>
      <c r="H140" s="70"/>
      <c r="I140" s="70">
        <f>SUM(G140:H140)+'BM 002'!I140</f>
        <v>0</v>
      </c>
      <c r="J140" s="70">
        <f t="shared" si="44"/>
        <v>0</v>
      </c>
      <c r="K140" s="71"/>
      <c r="L140" s="71">
        <f t="shared" si="42"/>
        <v>0</v>
      </c>
      <c r="M140" s="73">
        <f t="shared" ref="M140:R140" si="70">SUM(M141:M147)</f>
        <v>0</v>
      </c>
      <c r="N140" s="73">
        <f t="shared" si="70"/>
        <v>0</v>
      </c>
      <c r="O140" s="73">
        <f t="shared" si="70"/>
        <v>0</v>
      </c>
      <c r="P140" s="73">
        <f t="shared" si="70"/>
        <v>1345103.6276999998</v>
      </c>
      <c r="Q140" s="73">
        <f t="shared" si="70"/>
        <v>1705053.47</v>
      </c>
      <c r="R140" s="73">
        <f t="shared" si="70"/>
        <v>1705053.47</v>
      </c>
    </row>
    <row r="141" spans="2:21" s="34" customFormat="1" ht="46.2">
      <c r="B141" s="87" t="s">
        <v>275</v>
      </c>
      <c r="C141" s="88" t="s">
        <v>276</v>
      </c>
      <c r="D141" s="89" t="s">
        <v>79</v>
      </c>
      <c r="E141" s="90">
        <f>E135*2-E149</f>
        <v>26012.79</v>
      </c>
      <c r="F141" s="91"/>
      <c r="G141" s="91"/>
      <c r="H141" s="91"/>
      <c r="I141" s="79">
        <f>SUM(G141:H141)+'BM 002'!I141</f>
        <v>0</v>
      </c>
      <c r="J141" s="91">
        <f t="shared" si="44"/>
        <v>26012.79</v>
      </c>
      <c r="K141" s="84">
        <v>4.5</v>
      </c>
      <c r="L141" s="81">
        <f t="shared" si="42"/>
        <v>5.7042004950000003</v>
      </c>
      <c r="M141" s="82">
        <f t="shared" ref="M141:M147" si="71">TRUNC(F141*L141,2)</f>
        <v>0</v>
      </c>
      <c r="N141" s="82">
        <f t="shared" ref="N141:N147" si="72">TRUNC(G141*L141,2)</f>
        <v>0</v>
      </c>
      <c r="O141" s="82">
        <f>N141+'BM 002'!O141</f>
        <v>0</v>
      </c>
      <c r="P141" s="80">
        <f t="shared" ref="P141:P147" si="73">E141*K141</f>
        <v>117057.55500000001</v>
      </c>
      <c r="Q141" s="82">
        <f t="shared" ref="Q141:Q147" si="74">TRUNC(E141*L141,2)</f>
        <v>148382.16</v>
      </c>
      <c r="R141" s="82">
        <f t="shared" ref="R141:R147" si="75">Q141-O141</f>
        <v>148382.16</v>
      </c>
    </row>
    <row r="142" spans="2:21" s="34" customFormat="1" ht="57.6">
      <c r="B142" s="87" t="s">
        <v>277</v>
      </c>
      <c r="C142" s="88" t="s">
        <v>278</v>
      </c>
      <c r="D142" s="89" t="s">
        <v>79</v>
      </c>
      <c r="E142" s="90">
        <f>E145+E146</f>
        <v>462.83</v>
      </c>
      <c r="F142" s="91"/>
      <c r="G142" s="91"/>
      <c r="H142" s="91"/>
      <c r="I142" s="79">
        <f>SUM(G142:H142)+'BM 002'!I142</f>
        <v>0</v>
      </c>
      <c r="J142" s="91">
        <f t="shared" si="44"/>
        <v>462.83</v>
      </c>
      <c r="K142" s="84">
        <v>30</v>
      </c>
      <c r="L142" s="81">
        <f t="shared" si="42"/>
        <v>38.028003300000002</v>
      </c>
      <c r="M142" s="82">
        <f t="shared" si="71"/>
        <v>0</v>
      </c>
      <c r="N142" s="82">
        <f t="shared" si="72"/>
        <v>0</v>
      </c>
      <c r="O142" s="82">
        <f>N142+'BM 002'!O142</f>
        <v>0</v>
      </c>
      <c r="P142" s="80">
        <f t="shared" si="73"/>
        <v>13884.9</v>
      </c>
      <c r="Q142" s="82">
        <f t="shared" si="74"/>
        <v>17600.5</v>
      </c>
      <c r="R142" s="82">
        <f t="shared" si="75"/>
        <v>17600.5</v>
      </c>
    </row>
    <row r="143" spans="2:21" s="34" customFormat="1" ht="57.6">
      <c r="B143" s="87" t="s">
        <v>279</v>
      </c>
      <c r="C143" s="88" t="s">
        <v>280</v>
      </c>
      <c r="D143" s="89" t="s">
        <v>79</v>
      </c>
      <c r="E143" s="90">
        <f>E141-E142-E147</f>
        <v>25418.329999999998</v>
      </c>
      <c r="F143" s="91"/>
      <c r="G143" s="91"/>
      <c r="H143" s="91"/>
      <c r="I143" s="79">
        <f>SUM(G143:H143)+'BM 002'!I143</f>
        <v>0</v>
      </c>
      <c r="J143" s="91">
        <f t="shared" si="44"/>
        <v>25418.329999999998</v>
      </c>
      <c r="K143" s="84">
        <v>33.65</v>
      </c>
      <c r="L143" s="81">
        <f t="shared" si="42"/>
        <v>42.654743701500003</v>
      </c>
      <c r="M143" s="82">
        <f t="shared" si="71"/>
        <v>0</v>
      </c>
      <c r="N143" s="82">
        <f t="shared" si="72"/>
        <v>0</v>
      </c>
      <c r="O143" s="82">
        <f>N143+'BM 002'!O143</f>
        <v>0</v>
      </c>
      <c r="P143" s="80">
        <f t="shared" si="73"/>
        <v>855326.80449999985</v>
      </c>
      <c r="Q143" s="82">
        <f t="shared" si="74"/>
        <v>1084212.3500000001</v>
      </c>
      <c r="R143" s="82">
        <f t="shared" si="75"/>
        <v>1084212.3500000001</v>
      </c>
    </row>
    <row r="144" spans="2:21" s="34" customFormat="1" ht="13.2">
      <c r="B144" s="87" t="s">
        <v>281</v>
      </c>
      <c r="C144" s="88" t="s">
        <v>282</v>
      </c>
      <c r="D144" s="89" t="s">
        <v>79</v>
      </c>
      <c r="E144" s="90">
        <v>1328.83</v>
      </c>
      <c r="F144" s="91"/>
      <c r="G144" s="91"/>
      <c r="H144" s="91"/>
      <c r="I144" s="79">
        <f>SUM(G144:H144)+'BM 002'!I144</f>
        <v>0</v>
      </c>
      <c r="J144" s="91">
        <f t="shared" si="44"/>
        <v>1328.83</v>
      </c>
      <c r="K144" s="84">
        <v>162.54</v>
      </c>
      <c r="L144" s="81">
        <f t="shared" si="42"/>
        <v>206.0357218794</v>
      </c>
      <c r="M144" s="82">
        <f t="shared" si="71"/>
        <v>0</v>
      </c>
      <c r="N144" s="82">
        <f t="shared" si="72"/>
        <v>0</v>
      </c>
      <c r="O144" s="82">
        <f>N144+'BM 002'!O144</f>
        <v>0</v>
      </c>
      <c r="P144" s="80">
        <f t="shared" si="73"/>
        <v>215988.02819999997</v>
      </c>
      <c r="Q144" s="82">
        <f t="shared" si="74"/>
        <v>273786.44</v>
      </c>
      <c r="R144" s="82">
        <f t="shared" si="75"/>
        <v>273786.44</v>
      </c>
    </row>
    <row r="145" spans="2:18" s="34" customFormat="1" ht="46.2">
      <c r="B145" s="87" t="s">
        <v>283</v>
      </c>
      <c r="C145" s="88" t="s">
        <v>284</v>
      </c>
      <c r="D145" s="89" t="s">
        <v>79</v>
      </c>
      <c r="E145" s="92">
        <v>392.83</v>
      </c>
      <c r="F145" s="91"/>
      <c r="G145" s="91"/>
      <c r="H145" s="91"/>
      <c r="I145" s="79">
        <f>SUM(G145:H145)+'BM 002'!I145</f>
        <v>0</v>
      </c>
      <c r="J145" s="91">
        <f t="shared" si="44"/>
        <v>392.83</v>
      </c>
      <c r="K145" s="84">
        <v>148</v>
      </c>
      <c r="L145" s="81">
        <f t="shared" si="42"/>
        <v>187.60481628000002</v>
      </c>
      <c r="M145" s="82">
        <f t="shared" si="71"/>
        <v>0</v>
      </c>
      <c r="N145" s="82">
        <f t="shared" si="72"/>
        <v>0</v>
      </c>
      <c r="O145" s="82">
        <f>N145+'BM 002'!O145</f>
        <v>0</v>
      </c>
      <c r="P145" s="80">
        <f t="shared" si="73"/>
        <v>58138.84</v>
      </c>
      <c r="Q145" s="82">
        <f t="shared" si="74"/>
        <v>73696.789999999994</v>
      </c>
      <c r="R145" s="82">
        <f t="shared" si="75"/>
        <v>73696.789999999994</v>
      </c>
    </row>
    <row r="146" spans="2:18" s="34" customFormat="1" ht="13.2">
      <c r="B146" s="87" t="s">
        <v>285</v>
      </c>
      <c r="C146" s="88" t="s">
        <v>286</v>
      </c>
      <c r="D146" s="89" t="s">
        <v>79</v>
      </c>
      <c r="E146" s="92">
        <v>70</v>
      </c>
      <c r="F146" s="91"/>
      <c r="G146" s="91"/>
      <c r="H146" s="91"/>
      <c r="I146" s="79">
        <f>SUM(G146:H146)+'BM 002'!I146</f>
        <v>0</v>
      </c>
      <c r="J146" s="91">
        <f t="shared" si="44"/>
        <v>70</v>
      </c>
      <c r="K146" s="84">
        <v>740</v>
      </c>
      <c r="L146" s="81">
        <f t="shared" si="42"/>
        <v>938.0240814</v>
      </c>
      <c r="M146" s="82">
        <f t="shared" si="71"/>
        <v>0</v>
      </c>
      <c r="N146" s="82">
        <f t="shared" si="72"/>
        <v>0</v>
      </c>
      <c r="O146" s="82">
        <f>N146+'BM 002'!O146</f>
        <v>0</v>
      </c>
      <c r="P146" s="80">
        <f t="shared" si="73"/>
        <v>51800</v>
      </c>
      <c r="Q146" s="82">
        <f t="shared" si="74"/>
        <v>65661.679999999993</v>
      </c>
      <c r="R146" s="82">
        <f t="shared" si="75"/>
        <v>65661.679999999993</v>
      </c>
    </row>
    <row r="147" spans="2:18" s="34" customFormat="1" ht="13.2">
      <c r="B147" s="87" t="s">
        <v>287</v>
      </c>
      <c r="C147" s="88" t="s">
        <v>288</v>
      </c>
      <c r="D147" s="89" t="s">
        <v>79</v>
      </c>
      <c r="E147" s="90">
        <v>131.63</v>
      </c>
      <c r="F147" s="91"/>
      <c r="G147" s="91"/>
      <c r="H147" s="91"/>
      <c r="I147" s="79">
        <f>SUM(G147:H147)+'BM 002'!I147</f>
        <v>0</v>
      </c>
      <c r="J147" s="91">
        <f t="shared" si="44"/>
        <v>131.63</v>
      </c>
      <c r="K147" s="80">
        <v>250</v>
      </c>
      <c r="L147" s="81">
        <f t="shared" si="42"/>
        <v>316.90002750000002</v>
      </c>
      <c r="M147" s="82">
        <f t="shared" si="71"/>
        <v>0</v>
      </c>
      <c r="N147" s="82">
        <f t="shared" si="72"/>
        <v>0</v>
      </c>
      <c r="O147" s="82">
        <f>N147+'BM 002'!O147</f>
        <v>0</v>
      </c>
      <c r="P147" s="80">
        <f t="shared" si="73"/>
        <v>32907.5</v>
      </c>
      <c r="Q147" s="82">
        <f t="shared" si="74"/>
        <v>41713.550000000003</v>
      </c>
      <c r="R147" s="82">
        <f t="shared" si="75"/>
        <v>41713.550000000003</v>
      </c>
    </row>
    <row r="148" spans="2:18" s="34" customFormat="1" ht="13.2">
      <c r="B148" s="66" t="s">
        <v>289</v>
      </c>
      <c r="C148" s="67" t="s">
        <v>290</v>
      </c>
      <c r="D148" s="68"/>
      <c r="E148" s="69"/>
      <c r="F148" s="70"/>
      <c r="G148" s="70"/>
      <c r="H148" s="70"/>
      <c r="I148" s="70">
        <f>SUM(G148:H148)+'BM 002'!I148</f>
        <v>0</v>
      </c>
      <c r="J148" s="70">
        <f t="shared" si="44"/>
        <v>0</v>
      </c>
      <c r="K148" s="71"/>
      <c r="L148" s="71">
        <f t="shared" si="42"/>
        <v>0</v>
      </c>
      <c r="M148" s="73">
        <f t="shared" ref="M148:R148" si="76">SUM(M149:M154)</f>
        <v>0</v>
      </c>
      <c r="N148" s="73">
        <f t="shared" si="76"/>
        <v>0</v>
      </c>
      <c r="O148" s="73">
        <f t="shared" si="76"/>
        <v>0</v>
      </c>
      <c r="P148" s="73">
        <f t="shared" si="76"/>
        <v>1088700.21</v>
      </c>
      <c r="Q148" s="73">
        <f t="shared" si="76"/>
        <v>1380036.47</v>
      </c>
      <c r="R148" s="73">
        <f t="shared" si="76"/>
        <v>1380036.47</v>
      </c>
    </row>
    <row r="149" spans="2:18" s="34" customFormat="1" ht="46.2">
      <c r="B149" s="87" t="s">
        <v>291</v>
      </c>
      <c r="C149" s="88" t="s">
        <v>292</v>
      </c>
      <c r="D149" s="89" t="s">
        <v>79</v>
      </c>
      <c r="E149" s="90">
        <f>E151+E152+E153+E154</f>
        <v>4191.6100000000006</v>
      </c>
      <c r="F149" s="91"/>
      <c r="G149" s="91"/>
      <c r="H149" s="91"/>
      <c r="I149" s="79">
        <f>SUM(G149:H149)+'BM 002'!I149</f>
        <v>0</v>
      </c>
      <c r="J149" s="91">
        <f t="shared" si="44"/>
        <v>4191.6100000000006</v>
      </c>
      <c r="K149" s="84">
        <v>12</v>
      </c>
      <c r="L149" s="81">
        <f t="shared" si="42"/>
        <v>15.211201320000001</v>
      </c>
      <c r="M149" s="82">
        <f t="shared" ref="M149:M154" si="77">TRUNC(F149*L149,2)</f>
        <v>0</v>
      </c>
      <c r="N149" s="82">
        <f t="shared" ref="N149:N154" si="78">TRUNC(G149*L149,2)</f>
        <v>0</v>
      </c>
      <c r="O149" s="82">
        <f>N149+'BM 002'!O149</f>
        <v>0</v>
      </c>
      <c r="P149" s="80">
        <f t="shared" ref="P149:P154" si="79">E149*K149</f>
        <v>50299.320000000007</v>
      </c>
      <c r="Q149" s="82">
        <f t="shared" ref="Q149:Q154" si="80">TRUNC(E149*L149,2)</f>
        <v>63759.42</v>
      </c>
      <c r="R149" s="82">
        <f t="shared" ref="R149:R154" si="81">Q149-O149</f>
        <v>63759.42</v>
      </c>
    </row>
    <row r="150" spans="2:18" s="34" customFormat="1" ht="57.6">
      <c r="B150" s="87" t="s">
        <v>293</v>
      </c>
      <c r="C150" s="88" t="s">
        <v>294</v>
      </c>
      <c r="D150" s="89" t="s">
        <v>79</v>
      </c>
      <c r="E150" s="90">
        <f>E149</f>
        <v>4191.6100000000006</v>
      </c>
      <c r="F150" s="91"/>
      <c r="G150" s="91"/>
      <c r="H150" s="91"/>
      <c r="I150" s="79">
        <f>SUM(G150:H150)+'BM 002'!I150</f>
        <v>0</v>
      </c>
      <c r="J150" s="91">
        <f t="shared" si="44"/>
        <v>4191.6100000000006</v>
      </c>
      <c r="K150" s="84">
        <v>62</v>
      </c>
      <c r="L150" s="81">
        <f t="shared" si="42"/>
        <v>78.591206819999996</v>
      </c>
      <c r="M150" s="82">
        <f t="shared" si="77"/>
        <v>0</v>
      </c>
      <c r="N150" s="82">
        <f t="shared" si="78"/>
        <v>0</v>
      </c>
      <c r="O150" s="82">
        <f>N150+'BM 002'!O150</f>
        <v>0</v>
      </c>
      <c r="P150" s="80">
        <f t="shared" si="79"/>
        <v>259879.82000000004</v>
      </c>
      <c r="Q150" s="82">
        <f t="shared" si="80"/>
        <v>329423.68</v>
      </c>
      <c r="R150" s="82">
        <f t="shared" si="81"/>
        <v>329423.68</v>
      </c>
    </row>
    <row r="151" spans="2:18" s="34" customFormat="1" ht="13.2">
      <c r="B151" s="87" t="s">
        <v>295</v>
      </c>
      <c r="C151" s="88" t="s">
        <v>296</v>
      </c>
      <c r="D151" s="89" t="s">
        <v>79</v>
      </c>
      <c r="E151" s="90">
        <v>120.2</v>
      </c>
      <c r="F151" s="91"/>
      <c r="G151" s="91"/>
      <c r="H151" s="91"/>
      <c r="I151" s="79">
        <f>SUM(G151:H151)+'BM 002'!I151</f>
        <v>0</v>
      </c>
      <c r="J151" s="91">
        <f t="shared" si="44"/>
        <v>120.2</v>
      </c>
      <c r="K151" s="84">
        <v>178</v>
      </c>
      <c r="L151" s="81">
        <f t="shared" si="42"/>
        <v>225.63281958000002</v>
      </c>
      <c r="M151" s="82">
        <f t="shared" si="77"/>
        <v>0</v>
      </c>
      <c r="N151" s="82">
        <f t="shared" si="78"/>
        <v>0</v>
      </c>
      <c r="O151" s="82">
        <f>N151+'BM 002'!O151</f>
        <v>0</v>
      </c>
      <c r="P151" s="80">
        <f t="shared" si="79"/>
        <v>21395.600000000002</v>
      </c>
      <c r="Q151" s="82">
        <f t="shared" si="80"/>
        <v>27121.06</v>
      </c>
      <c r="R151" s="82">
        <f t="shared" si="81"/>
        <v>27121.06</v>
      </c>
    </row>
    <row r="152" spans="2:18" s="34" customFormat="1" ht="23.4">
      <c r="B152" s="87" t="s">
        <v>297</v>
      </c>
      <c r="C152" s="88" t="s">
        <v>298</v>
      </c>
      <c r="D152" s="89" t="s">
        <v>79</v>
      </c>
      <c r="E152" s="90">
        <v>52.6</v>
      </c>
      <c r="F152" s="91"/>
      <c r="G152" s="91"/>
      <c r="H152" s="91"/>
      <c r="I152" s="79">
        <f>SUM(G152:H152)+'BM 002'!I152</f>
        <v>0</v>
      </c>
      <c r="J152" s="91">
        <f t="shared" si="44"/>
        <v>52.6</v>
      </c>
      <c r="K152" s="84">
        <v>182</v>
      </c>
      <c r="L152" s="81">
        <f t="shared" si="42"/>
        <v>230.70322002</v>
      </c>
      <c r="M152" s="82">
        <f t="shared" si="77"/>
        <v>0</v>
      </c>
      <c r="N152" s="82">
        <f t="shared" si="78"/>
        <v>0</v>
      </c>
      <c r="O152" s="82">
        <f>N152+'BM 002'!O152</f>
        <v>0</v>
      </c>
      <c r="P152" s="80">
        <f t="shared" si="79"/>
        <v>9573.2000000000007</v>
      </c>
      <c r="Q152" s="82">
        <f t="shared" si="80"/>
        <v>12134.98</v>
      </c>
      <c r="R152" s="82">
        <f t="shared" si="81"/>
        <v>12134.98</v>
      </c>
    </row>
    <row r="153" spans="2:18" s="34" customFormat="1" ht="23.4">
      <c r="B153" s="87" t="s">
        <v>299</v>
      </c>
      <c r="C153" s="88" t="s">
        <v>300</v>
      </c>
      <c r="D153" s="89" t="s">
        <v>79</v>
      </c>
      <c r="E153" s="90">
        <v>2811.38</v>
      </c>
      <c r="F153" s="91"/>
      <c r="G153" s="91"/>
      <c r="H153" s="91"/>
      <c r="I153" s="79">
        <f>SUM(G153:H153)+'BM 002'!I153</f>
        <v>0</v>
      </c>
      <c r="J153" s="91">
        <f t="shared" si="44"/>
        <v>2811.38</v>
      </c>
      <c r="K153" s="84">
        <v>177</v>
      </c>
      <c r="L153" s="81">
        <f t="shared" si="42"/>
        <v>224.36521947</v>
      </c>
      <c r="M153" s="82">
        <f t="shared" si="77"/>
        <v>0</v>
      </c>
      <c r="N153" s="82">
        <f t="shared" si="78"/>
        <v>0</v>
      </c>
      <c r="O153" s="82">
        <f>N153+'BM 002'!O153</f>
        <v>0</v>
      </c>
      <c r="P153" s="80">
        <f t="shared" si="79"/>
        <v>497614.26</v>
      </c>
      <c r="Q153" s="82">
        <f t="shared" si="80"/>
        <v>630775.89</v>
      </c>
      <c r="R153" s="82">
        <f t="shared" si="81"/>
        <v>630775.89</v>
      </c>
    </row>
    <row r="154" spans="2:18" s="34" customFormat="1" ht="23.4">
      <c r="B154" s="87" t="s">
        <v>301</v>
      </c>
      <c r="C154" s="88" t="s">
        <v>302</v>
      </c>
      <c r="D154" s="89" t="s">
        <v>79</v>
      </c>
      <c r="E154" s="90">
        <v>1207.43</v>
      </c>
      <c r="F154" s="91"/>
      <c r="G154" s="91"/>
      <c r="H154" s="91"/>
      <c r="I154" s="79">
        <f>SUM(G154:H154)+'BM 002'!I154</f>
        <v>0</v>
      </c>
      <c r="J154" s="91">
        <f t="shared" si="44"/>
        <v>1207.43</v>
      </c>
      <c r="K154" s="84">
        <v>207</v>
      </c>
      <c r="L154" s="81">
        <f t="shared" si="42"/>
        <v>262.39322277000002</v>
      </c>
      <c r="M154" s="82">
        <f t="shared" si="77"/>
        <v>0</v>
      </c>
      <c r="N154" s="82">
        <f t="shared" si="78"/>
        <v>0</v>
      </c>
      <c r="O154" s="82">
        <f>N154+'BM 002'!O154</f>
        <v>0</v>
      </c>
      <c r="P154" s="80">
        <f t="shared" si="79"/>
        <v>249938.01</v>
      </c>
      <c r="Q154" s="82">
        <f t="shared" si="80"/>
        <v>316821.44</v>
      </c>
      <c r="R154" s="82">
        <f t="shared" si="81"/>
        <v>316821.44</v>
      </c>
    </row>
    <row r="155" spans="2:18" s="34" customFormat="1" ht="13.2">
      <c r="B155" s="60" t="s">
        <v>303</v>
      </c>
      <c r="C155" s="61" t="s">
        <v>304</v>
      </c>
      <c r="D155" s="60"/>
      <c r="E155" s="62"/>
      <c r="F155" s="63"/>
      <c r="G155" s="63"/>
      <c r="H155" s="63"/>
      <c r="I155" s="63">
        <f>SUM(G155:H155)+'BM 002'!I155</f>
        <v>0</v>
      </c>
      <c r="J155" s="63">
        <f t="shared" si="44"/>
        <v>0</v>
      </c>
      <c r="K155" s="63"/>
      <c r="L155" s="63">
        <f t="shared" si="42"/>
        <v>0</v>
      </c>
      <c r="M155" s="63">
        <f t="shared" ref="M155:R155" si="82">SUM(M156,M165)</f>
        <v>0</v>
      </c>
      <c r="N155" s="63">
        <f t="shared" si="82"/>
        <v>0</v>
      </c>
      <c r="O155" s="63">
        <f t="shared" si="82"/>
        <v>0</v>
      </c>
      <c r="P155" s="63">
        <f t="shared" si="82"/>
        <v>800757.83000000007</v>
      </c>
      <c r="Q155" s="63">
        <f t="shared" si="82"/>
        <v>1015040.66</v>
      </c>
      <c r="R155" s="63">
        <f t="shared" si="82"/>
        <v>1015040.66</v>
      </c>
    </row>
    <row r="156" spans="2:18" s="34" customFormat="1" ht="13.2">
      <c r="B156" s="66" t="s">
        <v>305</v>
      </c>
      <c r="C156" s="67" t="s">
        <v>306</v>
      </c>
      <c r="D156" s="68"/>
      <c r="E156" s="69"/>
      <c r="F156" s="70"/>
      <c r="G156" s="70"/>
      <c r="H156" s="70"/>
      <c r="I156" s="70">
        <f>SUM(G156:H156)+'BM 002'!I156</f>
        <v>0</v>
      </c>
      <c r="J156" s="70">
        <f t="shared" si="44"/>
        <v>0</v>
      </c>
      <c r="K156" s="71"/>
      <c r="L156" s="71">
        <f t="shared" si="42"/>
        <v>0</v>
      </c>
      <c r="M156" s="73">
        <f t="shared" ref="M156:R156" si="83">SUM(M157:M164)</f>
        <v>0</v>
      </c>
      <c r="N156" s="73">
        <f t="shared" si="83"/>
        <v>0</v>
      </c>
      <c r="O156" s="73">
        <f t="shared" si="83"/>
        <v>0</v>
      </c>
      <c r="P156" s="73">
        <f t="shared" si="83"/>
        <v>737633.33000000007</v>
      </c>
      <c r="Q156" s="73">
        <f t="shared" si="83"/>
        <v>935024.05</v>
      </c>
      <c r="R156" s="73">
        <f t="shared" si="83"/>
        <v>935024.05</v>
      </c>
    </row>
    <row r="157" spans="2:18" s="34" customFormat="1" ht="57.6">
      <c r="B157" s="87" t="s">
        <v>307</v>
      </c>
      <c r="C157" s="88" t="s">
        <v>308</v>
      </c>
      <c r="D157" s="89" t="s">
        <v>79</v>
      </c>
      <c r="E157" s="103">
        <v>7166.75</v>
      </c>
      <c r="F157" s="84"/>
      <c r="G157" s="84"/>
      <c r="H157" s="84"/>
      <c r="I157" s="79">
        <f>SUM(G157:H157)+'BM 002'!I157</f>
        <v>0</v>
      </c>
      <c r="J157" s="84">
        <f t="shared" si="44"/>
        <v>7166.75</v>
      </c>
      <c r="K157" s="84">
        <v>42.2</v>
      </c>
      <c r="L157" s="81">
        <f t="shared" ref="L157:L220" si="84">K157*(1+$T$26)</f>
        <v>53.492724642000006</v>
      </c>
      <c r="M157" s="82">
        <f t="shared" ref="M157:M164" si="85">TRUNC(F157*L157,2)</f>
        <v>0</v>
      </c>
      <c r="N157" s="82">
        <f t="shared" ref="N157:N164" si="86">TRUNC(G157*L157,2)</f>
        <v>0</v>
      </c>
      <c r="O157" s="82">
        <f>N157+'BM 002'!O157</f>
        <v>0</v>
      </c>
      <c r="P157" s="80">
        <f t="shared" ref="P157:P164" si="87">E157*K157</f>
        <v>302436.85000000003</v>
      </c>
      <c r="Q157" s="82">
        <f t="shared" ref="Q157:Q164" si="88">TRUNC(E157*L157,2)</f>
        <v>383368.98</v>
      </c>
      <c r="R157" s="82">
        <f t="shared" ref="R157:R164" si="89">Q157-O157</f>
        <v>383368.98</v>
      </c>
    </row>
    <row r="158" spans="2:18" s="34" customFormat="1" ht="34.799999999999997">
      <c r="B158" s="87" t="s">
        <v>309</v>
      </c>
      <c r="C158" s="88" t="s">
        <v>310</v>
      </c>
      <c r="D158" s="89" t="s">
        <v>79</v>
      </c>
      <c r="E158" s="104">
        <v>520.1</v>
      </c>
      <c r="F158" s="80"/>
      <c r="G158" s="80"/>
      <c r="H158" s="80"/>
      <c r="I158" s="79">
        <f>SUM(G158:H158)+'BM 002'!I158</f>
        <v>0</v>
      </c>
      <c r="J158" s="80">
        <f t="shared" si="44"/>
        <v>520.1</v>
      </c>
      <c r="K158" s="105">
        <v>35.200000000000003</v>
      </c>
      <c r="L158" s="81">
        <f t="shared" si="84"/>
        <v>44.619523872000009</v>
      </c>
      <c r="M158" s="82">
        <f t="shared" si="85"/>
        <v>0</v>
      </c>
      <c r="N158" s="82">
        <f t="shared" si="86"/>
        <v>0</v>
      </c>
      <c r="O158" s="82">
        <f>N158+'BM 002'!O158</f>
        <v>0</v>
      </c>
      <c r="P158" s="80">
        <f t="shared" si="87"/>
        <v>18307.520000000004</v>
      </c>
      <c r="Q158" s="82">
        <f t="shared" si="88"/>
        <v>23206.61</v>
      </c>
      <c r="R158" s="82">
        <f t="shared" si="89"/>
        <v>23206.61</v>
      </c>
    </row>
    <row r="159" spans="2:18" s="34" customFormat="1" ht="34.799999999999997">
      <c r="B159" s="87" t="s">
        <v>311</v>
      </c>
      <c r="C159" s="88" t="s">
        <v>312</v>
      </c>
      <c r="D159" s="89" t="s">
        <v>79</v>
      </c>
      <c r="E159" s="103">
        <v>1225.0999999999999</v>
      </c>
      <c r="F159" s="84"/>
      <c r="G159" s="84"/>
      <c r="H159" s="84"/>
      <c r="I159" s="79">
        <f>SUM(G159:H159)+'BM 002'!I159</f>
        <v>0</v>
      </c>
      <c r="J159" s="84">
        <f t="shared" ref="J159:J222" si="90">E159-I159</f>
        <v>1225.0999999999999</v>
      </c>
      <c r="K159" s="105">
        <v>60</v>
      </c>
      <c r="L159" s="81">
        <f t="shared" si="84"/>
        <v>76.056006600000003</v>
      </c>
      <c r="M159" s="82">
        <f t="shared" si="85"/>
        <v>0</v>
      </c>
      <c r="N159" s="82">
        <f t="shared" si="86"/>
        <v>0</v>
      </c>
      <c r="O159" s="82">
        <f>N159+'BM 002'!O159</f>
        <v>0</v>
      </c>
      <c r="P159" s="80">
        <f t="shared" si="87"/>
        <v>73506</v>
      </c>
      <c r="Q159" s="82">
        <f t="shared" si="88"/>
        <v>93176.21</v>
      </c>
      <c r="R159" s="82">
        <f t="shared" si="89"/>
        <v>93176.21</v>
      </c>
    </row>
    <row r="160" spans="2:18" s="34" customFormat="1" ht="46.2">
      <c r="B160" s="87" t="s">
        <v>313</v>
      </c>
      <c r="C160" s="88" t="s">
        <v>284</v>
      </c>
      <c r="D160" s="89" t="s">
        <v>79</v>
      </c>
      <c r="E160" s="106">
        <v>937</v>
      </c>
      <c r="F160" s="84"/>
      <c r="G160" s="84"/>
      <c r="H160" s="84"/>
      <c r="I160" s="79">
        <f>SUM(G160:H160)+'BM 002'!I160</f>
        <v>0</v>
      </c>
      <c r="J160" s="84">
        <f t="shared" si="90"/>
        <v>937</v>
      </c>
      <c r="K160" s="105">
        <v>158</v>
      </c>
      <c r="L160" s="81">
        <f t="shared" si="84"/>
        <v>200.28081738</v>
      </c>
      <c r="M160" s="82">
        <f t="shared" si="85"/>
        <v>0</v>
      </c>
      <c r="N160" s="82">
        <f t="shared" si="86"/>
        <v>0</v>
      </c>
      <c r="O160" s="82">
        <f>N160+'BM 002'!O160</f>
        <v>0</v>
      </c>
      <c r="P160" s="80">
        <f t="shared" si="87"/>
        <v>148046</v>
      </c>
      <c r="Q160" s="82">
        <f t="shared" si="88"/>
        <v>187663.12</v>
      </c>
      <c r="R160" s="82">
        <f t="shared" si="89"/>
        <v>187663.12</v>
      </c>
    </row>
    <row r="161" spans="2:18" s="34" customFormat="1" ht="34.799999999999997">
      <c r="B161" s="87" t="s">
        <v>314</v>
      </c>
      <c r="C161" s="88" t="s">
        <v>315</v>
      </c>
      <c r="D161" s="89" t="s">
        <v>79</v>
      </c>
      <c r="E161" s="106">
        <v>720.69</v>
      </c>
      <c r="F161" s="84"/>
      <c r="G161" s="84"/>
      <c r="H161" s="84"/>
      <c r="I161" s="79">
        <f>SUM(G161:H161)+'BM 002'!I161</f>
        <v>0</v>
      </c>
      <c r="J161" s="84">
        <f t="shared" si="90"/>
        <v>720.69</v>
      </c>
      <c r="K161" s="84">
        <v>185</v>
      </c>
      <c r="L161" s="81">
        <f t="shared" si="84"/>
        <v>234.50602035</v>
      </c>
      <c r="M161" s="82">
        <f t="shared" si="85"/>
        <v>0</v>
      </c>
      <c r="N161" s="82">
        <f t="shared" si="86"/>
        <v>0</v>
      </c>
      <c r="O161" s="82">
        <f>N161+'BM 002'!O161</f>
        <v>0</v>
      </c>
      <c r="P161" s="80">
        <f t="shared" si="87"/>
        <v>133327.65000000002</v>
      </c>
      <c r="Q161" s="82">
        <f t="shared" si="88"/>
        <v>169006.14</v>
      </c>
      <c r="R161" s="82">
        <f t="shared" si="89"/>
        <v>169006.14</v>
      </c>
    </row>
    <row r="162" spans="2:18" s="34" customFormat="1" ht="13.2">
      <c r="B162" s="87" t="s">
        <v>316</v>
      </c>
      <c r="C162" s="88" t="s">
        <v>317</v>
      </c>
      <c r="D162" s="89" t="s">
        <v>79</v>
      </c>
      <c r="E162" s="103">
        <v>50.69</v>
      </c>
      <c r="F162" s="84"/>
      <c r="G162" s="84"/>
      <c r="H162" s="84"/>
      <c r="I162" s="79">
        <f>SUM(G162:H162)+'BM 002'!I162</f>
        <v>0</v>
      </c>
      <c r="J162" s="84">
        <f t="shared" si="90"/>
        <v>50.69</v>
      </c>
      <c r="K162" s="84">
        <v>765</v>
      </c>
      <c r="L162" s="81">
        <f t="shared" si="84"/>
        <v>969.71408415000008</v>
      </c>
      <c r="M162" s="82">
        <f t="shared" si="85"/>
        <v>0</v>
      </c>
      <c r="N162" s="82">
        <f t="shared" si="86"/>
        <v>0</v>
      </c>
      <c r="O162" s="82">
        <f>N162+'BM 002'!O162</f>
        <v>0</v>
      </c>
      <c r="P162" s="80">
        <f t="shared" si="87"/>
        <v>38777.85</v>
      </c>
      <c r="Q162" s="82">
        <f t="shared" si="88"/>
        <v>49154.8</v>
      </c>
      <c r="R162" s="82">
        <f t="shared" si="89"/>
        <v>49154.8</v>
      </c>
    </row>
    <row r="163" spans="2:18" s="34" customFormat="1" ht="23.4">
      <c r="B163" s="87" t="s">
        <v>318</v>
      </c>
      <c r="C163" s="88" t="s">
        <v>319</v>
      </c>
      <c r="D163" s="89" t="s">
        <v>124</v>
      </c>
      <c r="E163" s="106">
        <v>36</v>
      </c>
      <c r="F163" s="84"/>
      <c r="G163" s="84"/>
      <c r="H163" s="84"/>
      <c r="I163" s="79">
        <f>SUM(G163:H163)+'BM 002'!I163</f>
        <v>0</v>
      </c>
      <c r="J163" s="84">
        <f t="shared" si="90"/>
        <v>36</v>
      </c>
      <c r="K163" s="84">
        <v>134</v>
      </c>
      <c r="L163" s="81">
        <f t="shared" si="84"/>
        <v>169.85841474</v>
      </c>
      <c r="M163" s="82">
        <f t="shared" si="85"/>
        <v>0</v>
      </c>
      <c r="N163" s="82">
        <f t="shared" si="86"/>
        <v>0</v>
      </c>
      <c r="O163" s="82">
        <f>N163+'BM 002'!O163</f>
        <v>0</v>
      </c>
      <c r="P163" s="80">
        <f t="shared" si="87"/>
        <v>4824</v>
      </c>
      <c r="Q163" s="82">
        <f t="shared" si="88"/>
        <v>6114.9</v>
      </c>
      <c r="R163" s="82">
        <f t="shared" si="89"/>
        <v>6114.9</v>
      </c>
    </row>
    <row r="164" spans="2:18" s="34" customFormat="1" ht="13.2">
      <c r="B164" s="87" t="s">
        <v>320</v>
      </c>
      <c r="C164" s="88" t="s">
        <v>321</v>
      </c>
      <c r="D164" s="89" t="s">
        <v>124</v>
      </c>
      <c r="E164" s="106">
        <v>123.54</v>
      </c>
      <c r="F164" s="84"/>
      <c r="G164" s="84"/>
      <c r="H164" s="84"/>
      <c r="I164" s="79">
        <f>SUM(G164:H164)+'BM 002'!I164</f>
        <v>0</v>
      </c>
      <c r="J164" s="84">
        <f t="shared" si="90"/>
        <v>123.54</v>
      </c>
      <c r="K164" s="84">
        <v>149</v>
      </c>
      <c r="L164" s="81">
        <f t="shared" si="84"/>
        <v>188.87241639000001</v>
      </c>
      <c r="M164" s="82">
        <f t="shared" si="85"/>
        <v>0</v>
      </c>
      <c r="N164" s="82">
        <f t="shared" si="86"/>
        <v>0</v>
      </c>
      <c r="O164" s="82">
        <f>N164+'BM 002'!O164</f>
        <v>0</v>
      </c>
      <c r="P164" s="80">
        <f t="shared" si="87"/>
        <v>18407.46</v>
      </c>
      <c r="Q164" s="82">
        <f t="shared" si="88"/>
        <v>23333.29</v>
      </c>
      <c r="R164" s="82">
        <f t="shared" si="89"/>
        <v>23333.29</v>
      </c>
    </row>
    <row r="165" spans="2:18" s="34" customFormat="1" ht="13.2">
      <c r="B165" s="66" t="s">
        <v>322</v>
      </c>
      <c r="C165" s="67" t="s">
        <v>323</v>
      </c>
      <c r="D165" s="68"/>
      <c r="E165" s="69"/>
      <c r="F165" s="70"/>
      <c r="G165" s="70"/>
      <c r="H165" s="70"/>
      <c r="I165" s="70">
        <f>SUM(G165:H165)+'BM 002'!I165</f>
        <v>0</v>
      </c>
      <c r="J165" s="70">
        <f t="shared" si="90"/>
        <v>0</v>
      </c>
      <c r="K165" s="71"/>
      <c r="L165" s="71">
        <f t="shared" si="84"/>
        <v>0</v>
      </c>
      <c r="M165" s="73">
        <f t="shared" ref="M165:R165" si="91">SUM(M166:M169)</f>
        <v>0</v>
      </c>
      <c r="N165" s="73">
        <f t="shared" si="91"/>
        <v>0</v>
      </c>
      <c r="O165" s="73">
        <f t="shared" si="91"/>
        <v>0</v>
      </c>
      <c r="P165" s="73">
        <f t="shared" si="91"/>
        <v>63124.5</v>
      </c>
      <c r="Q165" s="73">
        <f t="shared" si="91"/>
        <v>80016.61</v>
      </c>
      <c r="R165" s="73">
        <f t="shared" si="91"/>
        <v>80016.61</v>
      </c>
    </row>
    <row r="166" spans="2:18" s="34" customFormat="1" ht="34.799999999999997">
      <c r="B166" s="87" t="s">
        <v>324</v>
      </c>
      <c r="C166" s="88" t="s">
        <v>325</v>
      </c>
      <c r="D166" s="89" t="s">
        <v>79</v>
      </c>
      <c r="E166" s="90">
        <v>290.89999999999998</v>
      </c>
      <c r="F166" s="91"/>
      <c r="G166" s="91"/>
      <c r="H166" s="91"/>
      <c r="I166" s="79">
        <f>SUM(G166:H166)+'BM 002'!I166</f>
        <v>0</v>
      </c>
      <c r="J166" s="91">
        <f t="shared" si="90"/>
        <v>290.89999999999998</v>
      </c>
      <c r="K166" s="84">
        <v>105</v>
      </c>
      <c r="L166" s="81">
        <f t="shared" si="84"/>
        <v>133.09801155</v>
      </c>
      <c r="M166" s="82">
        <f>TRUNC(F166*L166,2)</f>
        <v>0</v>
      </c>
      <c r="N166" s="82">
        <f>TRUNC(G166*L166,2)</f>
        <v>0</v>
      </c>
      <c r="O166" s="82">
        <f>N166+'BM 002'!O166</f>
        <v>0</v>
      </c>
      <c r="P166" s="80">
        <f>E166*K166</f>
        <v>30544.499999999996</v>
      </c>
      <c r="Q166" s="82">
        <f>TRUNC(E166*L166,2)</f>
        <v>38718.21</v>
      </c>
      <c r="R166" s="82">
        <f>Q166-O166</f>
        <v>38718.21</v>
      </c>
    </row>
    <row r="167" spans="2:18" s="34" customFormat="1" ht="23.4">
      <c r="B167" s="87" t="s">
        <v>326</v>
      </c>
      <c r="C167" s="88" t="s">
        <v>327</v>
      </c>
      <c r="D167" s="89" t="s">
        <v>79</v>
      </c>
      <c r="E167" s="90">
        <v>230</v>
      </c>
      <c r="F167" s="91"/>
      <c r="G167" s="91"/>
      <c r="H167" s="91"/>
      <c r="I167" s="79">
        <f>SUM(G167:H167)+'BM 002'!I167</f>
        <v>0</v>
      </c>
      <c r="J167" s="91">
        <f t="shared" si="90"/>
        <v>230</v>
      </c>
      <c r="K167" s="84">
        <v>90</v>
      </c>
      <c r="L167" s="81">
        <f t="shared" si="84"/>
        <v>114.08400990000001</v>
      </c>
      <c r="M167" s="82">
        <f>TRUNC(F167*L167,2)</f>
        <v>0</v>
      </c>
      <c r="N167" s="82">
        <f>TRUNC(G167*L167,2)</f>
        <v>0</v>
      </c>
      <c r="O167" s="82">
        <f>N167+'BM 002'!O167</f>
        <v>0</v>
      </c>
      <c r="P167" s="80">
        <f>E167*K167</f>
        <v>20700</v>
      </c>
      <c r="Q167" s="82">
        <f>TRUNC(E167*L167,2)</f>
        <v>26239.32</v>
      </c>
      <c r="R167" s="82">
        <f>Q167-O167</f>
        <v>26239.32</v>
      </c>
    </row>
    <row r="168" spans="2:18" s="34" customFormat="1" ht="23.4">
      <c r="B168" s="87" t="s">
        <v>328</v>
      </c>
      <c r="C168" s="88" t="s">
        <v>329</v>
      </c>
      <c r="D168" s="89" t="s">
        <v>82</v>
      </c>
      <c r="E168" s="90">
        <v>72</v>
      </c>
      <c r="F168" s="91"/>
      <c r="G168" s="91"/>
      <c r="H168" s="91"/>
      <c r="I168" s="79">
        <f>SUM(G168:H168)+'BM 002'!I168</f>
        <v>0</v>
      </c>
      <c r="J168" s="91">
        <f t="shared" si="90"/>
        <v>72</v>
      </c>
      <c r="K168" s="84">
        <v>120</v>
      </c>
      <c r="L168" s="81">
        <f t="shared" si="84"/>
        <v>152.11201320000001</v>
      </c>
      <c r="M168" s="82">
        <f>TRUNC(F168*L168,2)</f>
        <v>0</v>
      </c>
      <c r="N168" s="82">
        <f>TRUNC(G168*L168,2)</f>
        <v>0</v>
      </c>
      <c r="O168" s="82">
        <f>N168+'BM 002'!O168</f>
        <v>0</v>
      </c>
      <c r="P168" s="80">
        <f>E168*K168</f>
        <v>8640</v>
      </c>
      <c r="Q168" s="82">
        <f>TRUNC(E168*L168,2)</f>
        <v>10952.06</v>
      </c>
      <c r="R168" s="82">
        <f>Q168-O168</f>
        <v>10952.06</v>
      </c>
    </row>
    <row r="169" spans="2:18" s="34" customFormat="1" ht="34.799999999999997">
      <c r="B169" s="87" t="s">
        <v>330</v>
      </c>
      <c r="C169" s="88" t="s">
        <v>331</v>
      </c>
      <c r="D169" s="89" t="s">
        <v>82</v>
      </c>
      <c r="E169" s="90">
        <v>72</v>
      </c>
      <c r="F169" s="91"/>
      <c r="G169" s="91"/>
      <c r="H169" s="91"/>
      <c r="I169" s="79">
        <f>SUM(G169:H169)+'BM 002'!I169</f>
        <v>0</v>
      </c>
      <c r="J169" s="91">
        <f t="shared" si="90"/>
        <v>72</v>
      </c>
      <c r="K169" s="84">
        <v>45</v>
      </c>
      <c r="L169" s="81">
        <f t="shared" si="84"/>
        <v>57.042004950000006</v>
      </c>
      <c r="M169" s="82">
        <f>TRUNC(F169*L169,2)</f>
        <v>0</v>
      </c>
      <c r="N169" s="82">
        <f>TRUNC(G169*L169,2)</f>
        <v>0</v>
      </c>
      <c r="O169" s="82">
        <f>N169+'BM 002'!O169</f>
        <v>0</v>
      </c>
      <c r="P169" s="80">
        <f>E169*K169</f>
        <v>3240</v>
      </c>
      <c r="Q169" s="82">
        <f>TRUNC(E169*L169,2)</f>
        <v>4107.0200000000004</v>
      </c>
      <c r="R169" s="82">
        <f>Q169-O169</f>
        <v>4107.0200000000004</v>
      </c>
    </row>
    <row r="170" spans="2:18" s="34" customFormat="1" ht="13.2">
      <c r="B170" s="60" t="s">
        <v>332</v>
      </c>
      <c r="C170" s="61" t="s">
        <v>333</v>
      </c>
      <c r="D170" s="60"/>
      <c r="E170" s="62"/>
      <c r="F170" s="63"/>
      <c r="G170" s="63"/>
      <c r="H170" s="63"/>
      <c r="I170" s="63">
        <f>SUM(G170:H170)+'BM 002'!I170</f>
        <v>0</v>
      </c>
      <c r="J170" s="63">
        <f t="shared" si="90"/>
        <v>0</v>
      </c>
      <c r="K170" s="63"/>
      <c r="L170" s="63">
        <f t="shared" si="84"/>
        <v>0</v>
      </c>
      <c r="M170" s="63">
        <f t="shared" ref="M170:R170" si="92">SUM(M171:M174)</f>
        <v>0</v>
      </c>
      <c r="N170" s="63">
        <f t="shared" si="92"/>
        <v>0</v>
      </c>
      <c r="O170" s="63">
        <f t="shared" si="92"/>
        <v>0</v>
      </c>
      <c r="P170" s="63">
        <f t="shared" si="92"/>
        <v>584904.20000000007</v>
      </c>
      <c r="Q170" s="63">
        <f t="shared" si="92"/>
        <v>741424.62000000011</v>
      </c>
      <c r="R170" s="63">
        <f t="shared" si="92"/>
        <v>741424.62000000011</v>
      </c>
    </row>
    <row r="171" spans="2:18" s="34" customFormat="1" ht="46.2">
      <c r="B171" s="87" t="s">
        <v>334</v>
      </c>
      <c r="C171" s="88" t="s">
        <v>335</v>
      </c>
      <c r="D171" s="89" t="s">
        <v>79</v>
      </c>
      <c r="E171" s="90">
        <v>3789.02</v>
      </c>
      <c r="F171" s="91"/>
      <c r="G171" s="91"/>
      <c r="H171" s="91"/>
      <c r="I171" s="79">
        <f>SUM(G171:H171)+'BM 002'!I171</f>
        <v>0</v>
      </c>
      <c r="J171" s="91">
        <f t="shared" si="90"/>
        <v>3789.02</v>
      </c>
      <c r="K171" s="84">
        <v>70</v>
      </c>
      <c r="L171" s="81">
        <f t="shared" si="84"/>
        <v>88.732007699999997</v>
      </c>
      <c r="M171" s="82">
        <f>TRUNC(F171*L171,2)</f>
        <v>0</v>
      </c>
      <c r="N171" s="82">
        <f>TRUNC(G171*L171,2)</f>
        <v>0</v>
      </c>
      <c r="O171" s="82">
        <f>N171+'BM 002'!O171</f>
        <v>0</v>
      </c>
      <c r="P171" s="80">
        <f>E171*K171</f>
        <v>265231.40000000002</v>
      </c>
      <c r="Q171" s="82">
        <f>TRUNC(E171*L171,2)</f>
        <v>336207.35</v>
      </c>
      <c r="R171" s="82">
        <f>Q171-O171</f>
        <v>336207.35</v>
      </c>
    </row>
    <row r="172" spans="2:18" s="34" customFormat="1" ht="23.4">
      <c r="B172" s="87" t="s">
        <v>336</v>
      </c>
      <c r="C172" s="88" t="s">
        <v>337</v>
      </c>
      <c r="D172" s="89" t="s">
        <v>79</v>
      </c>
      <c r="E172" s="90">
        <v>184.68</v>
      </c>
      <c r="F172" s="91"/>
      <c r="G172" s="91"/>
      <c r="H172" s="91"/>
      <c r="I172" s="79">
        <f>SUM(G172:H172)+'BM 002'!I172</f>
        <v>0</v>
      </c>
      <c r="J172" s="91">
        <f t="shared" si="90"/>
        <v>184.68</v>
      </c>
      <c r="K172" s="84">
        <v>735</v>
      </c>
      <c r="L172" s="81">
        <f t="shared" si="84"/>
        <v>931.68608085000005</v>
      </c>
      <c r="M172" s="82">
        <f>TRUNC(F172*L172,2)</f>
        <v>0</v>
      </c>
      <c r="N172" s="82">
        <f>TRUNC(G172*L172,2)</f>
        <v>0</v>
      </c>
      <c r="O172" s="82">
        <f>N172+'BM 002'!O172</f>
        <v>0</v>
      </c>
      <c r="P172" s="80">
        <f>E172*K172</f>
        <v>135739.80000000002</v>
      </c>
      <c r="Q172" s="82">
        <f>TRUNC(E172*L172,2)</f>
        <v>172063.78</v>
      </c>
      <c r="R172" s="82">
        <f>Q172-O172</f>
        <v>172063.78</v>
      </c>
    </row>
    <row r="173" spans="2:18" s="34" customFormat="1" ht="34.799999999999997">
      <c r="B173" s="87" t="s">
        <v>338</v>
      </c>
      <c r="C173" s="88" t="s">
        <v>339</v>
      </c>
      <c r="D173" s="89" t="s">
        <v>79</v>
      </c>
      <c r="E173" s="90">
        <v>798.6</v>
      </c>
      <c r="F173" s="91"/>
      <c r="G173" s="91"/>
      <c r="H173" s="91"/>
      <c r="I173" s="79">
        <f>SUM(G173:H173)+'BM 002'!I173</f>
        <v>0</v>
      </c>
      <c r="J173" s="91">
        <f t="shared" si="90"/>
        <v>798.6</v>
      </c>
      <c r="K173" s="84">
        <v>125</v>
      </c>
      <c r="L173" s="81">
        <f t="shared" si="84"/>
        <v>158.45001375000001</v>
      </c>
      <c r="M173" s="82">
        <f>TRUNC(F173*L173,2)</f>
        <v>0</v>
      </c>
      <c r="N173" s="82">
        <f>TRUNC(G173*L173,2)</f>
        <v>0</v>
      </c>
      <c r="O173" s="82">
        <f>N173+'BM 002'!O173</f>
        <v>0</v>
      </c>
      <c r="P173" s="80">
        <f>E173*K173</f>
        <v>99825</v>
      </c>
      <c r="Q173" s="82">
        <f>TRUNC(E173*L173,2)</f>
        <v>126538.18</v>
      </c>
      <c r="R173" s="82">
        <f>Q173-O173</f>
        <v>126538.18</v>
      </c>
    </row>
    <row r="174" spans="2:18" s="34" customFormat="1" ht="46.2">
      <c r="B174" s="87" t="s">
        <v>340</v>
      </c>
      <c r="C174" s="88" t="s">
        <v>341</v>
      </c>
      <c r="D174" s="89" t="s">
        <v>79</v>
      </c>
      <c r="E174" s="90">
        <v>489</v>
      </c>
      <c r="F174" s="91"/>
      <c r="G174" s="91"/>
      <c r="H174" s="91"/>
      <c r="I174" s="79">
        <f>SUM(G174:H174)+'BM 002'!I174</f>
        <v>0</v>
      </c>
      <c r="J174" s="91">
        <f t="shared" si="90"/>
        <v>489</v>
      </c>
      <c r="K174" s="84">
        <v>172</v>
      </c>
      <c r="L174" s="81">
        <f t="shared" si="84"/>
        <v>218.02721892</v>
      </c>
      <c r="M174" s="82">
        <f>TRUNC(F174*L174,2)</f>
        <v>0</v>
      </c>
      <c r="N174" s="82">
        <f>TRUNC(G174*L174,2)</f>
        <v>0</v>
      </c>
      <c r="O174" s="82">
        <f>N174+'BM 002'!O174</f>
        <v>0</v>
      </c>
      <c r="P174" s="80">
        <f>E174*K174</f>
        <v>84108</v>
      </c>
      <c r="Q174" s="82">
        <f>TRUNC(E174*L174,2)</f>
        <v>106615.31</v>
      </c>
      <c r="R174" s="82">
        <f>Q174-O174</f>
        <v>106615.31</v>
      </c>
    </row>
    <row r="175" spans="2:18" s="34" customFormat="1" ht="13.2">
      <c r="B175" s="60" t="s">
        <v>342</v>
      </c>
      <c r="C175" s="61" t="s">
        <v>343</v>
      </c>
      <c r="D175" s="60"/>
      <c r="E175" s="62"/>
      <c r="F175" s="63"/>
      <c r="G175" s="63"/>
      <c r="H175" s="63"/>
      <c r="I175" s="63">
        <f>SUM(G175:H175)+'BM 002'!I175</f>
        <v>0</v>
      </c>
      <c r="J175" s="63">
        <f t="shared" si="90"/>
        <v>0</v>
      </c>
      <c r="K175" s="63"/>
      <c r="L175" s="63">
        <f t="shared" si="84"/>
        <v>0</v>
      </c>
      <c r="M175" s="63">
        <f t="shared" ref="M175:R175" si="93">SUM(M176:M177)</f>
        <v>0</v>
      </c>
      <c r="N175" s="63">
        <f t="shared" si="93"/>
        <v>0</v>
      </c>
      <c r="O175" s="63">
        <f t="shared" si="93"/>
        <v>0</v>
      </c>
      <c r="P175" s="63">
        <f t="shared" si="93"/>
        <v>260085</v>
      </c>
      <c r="Q175" s="63">
        <f t="shared" si="93"/>
        <v>329683.77</v>
      </c>
      <c r="R175" s="63">
        <f t="shared" si="93"/>
        <v>329683.77</v>
      </c>
    </row>
    <row r="176" spans="2:18" s="34" customFormat="1" ht="23.4">
      <c r="B176" s="87" t="s">
        <v>344</v>
      </c>
      <c r="C176" s="88" t="s">
        <v>345</v>
      </c>
      <c r="D176" s="89" t="s">
        <v>79</v>
      </c>
      <c r="E176" s="90">
        <v>1785</v>
      </c>
      <c r="F176" s="91"/>
      <c r="G176" s="91"/>
      <c r="H176" s="91"/>
      <c r="I176" s="79">
        <f>SUM(G176:H176)+'BM 002'!I176</f>
        <v>0</v>
      </c>
      <c r="J176" s="91">
        <f t="shared" si="90"/>
        <v>1785</v>
      </c>
      <c r="K176" s="84">
        <v>125</v>
      </c>
      <c r="L176" s="81">
        <f t="shared" si="84"/>
        <v>158.45001375000001</v>
      </c>
      <c r="M176" s="82">
        <f>TRUNC(F176*L176,2)</f>
        <v>0</v>
      </c>
      <c r="N176" s="82">
        <f>TRUNC(G176*L176,2)</f>
        <v>0</v>
      </c>
      <c r="O176" s="82">
        <f>N176+'BM 002'!O176</f>
        <v>0</v>
      </c>
      <c r="P176" s="80">
        <f>E176*K176</f>
        <v>223125</v>
      </c>
      <c r="Q176" s="82">
        <f>TRUNC(E176*L176,2)</f>
        <v>282833.27</v>
      </c>
      <c r="R176" s="82">
        <f>Q176-O176</f>
        <v>282833.27</v>
      </c>
    </row>
    <row r="177" spans="2:18" s="34" customFormat="1" ht="23.4">
      <c r="B177" s="75" t="s">
        <v>346</v>
      </c>
      <c r="C177" s="76" t="s">
        <v>347</v>
      </c>
      <c r="D177" s="77" t="s">
        <v>79</v>
      </c>
      <c r="E177" s="93">
        <v>880</v>
      </c>
      <c r="F177" s="79"/>
      <c r="G177" s="79"/>
      <c r="H177" s="79"/>
      <c r="I177" s="79">
        <f>SUM(G177:H177)+'BM 002'!I177</f>
        <v>0</v>
      </c>
      <c r="J177" s="79">
        <f t="shared" si="90"/>
        <v>880</v>
      </c>
      <c r="K177" s="84">
        <v>42</v>
      </c>
      <c r="L177" s="81">
        <f t="shared" si="84"/>
        <v>53.239204620000002</v>
      </c>
      <c r="M177" s="82">
        <f>TRUNC(F177*L177,2)</f>
        <v>0</v>
      </c>
      <c r="N177" s="82">
        <f>TRUNC(G177*L177,2)</f>
        <v>0</v>
      </c>
      <c r="O177" s="82">
        <f>N177+'BM 002'!O177</f>
        <v>0</v>
      </c>
      <c r="P177" s="80">
        <f>E177*K177</f>
        <v>36960</v>
      </c>
      <c r="Q177" s="82">
        <f>TRUNC(E177*L177,2)</f>
        <v>46850.5</v>
      </c>
      <c r="R177" s="82">
        <f>Q177-O177</f>
        <v>46850.5</v>
      </c>
    </row>
    <row r="178" spans="2:18" s="34" customFormat="1" ht="13.2">
      <c r="B178" s="60" t="s">
        <v>348</v>
      </c>
      <c r="C178" s="61" t="s">
        <v>349</v>
      </c>
      <c r="D178" s="60"/>
      <c r="E178" s="62"/>
      <c r="F178" s="63"/>
      <c r="G178" s="63"/>
      <c r="H178" s="63"/>
      <c r="I178" s="63">
        <f>SUM(G178:H178)+'BM 002'!I178</f>
        <v>0</v>
      </c>
      <c r="J178" s="63">
        <f t="shared" si="90"/>
        <v>0</v>
      </c>
      <c r="K178" s="63"/>
      <c r="L178" s="63">
        <f t="shared" si="84"/>
        <v>0</v>
      </c>
      <c r="M178" s="63">
        <f t="shared" ref="M178:R178" si="94">SUM(M179,M205)</f>
        <v>0</v>
      </c>
      <c r="N178" s="63">
        <f t="shared" si="94"/>
        <v>0</v>
      </c>
      <c r="O178" s="63">
        <f t="shared" si="94"/>
        <v>0</v>
      </c>
      <c r="P178" s="63">
        <f t="shared" si="94"/>
        <v>3144051.95</v>
      </c>
      <c r="Q178" s="63">
        <f t="shared" si="94"/>
        <v>3985400.4499999997</v>
      </c>
      <c r="R178" s="63">
        <f t="shared" si="94"/>
        <v>3985400.4499999997</v>
      </c>
    </row>
    <row r="179" spans="2:18" s="34" customFormat="1" ht="13.2">
      <c r="B179" s="66" t="s">
        <v>350</v>
      </c>
      <c r="C179" s="67" t="s">
        <v>351</v>
      </c>
      <c r="D179" s="68"/>
      <c r="E179" s="69"/>
      <c r="F179" s="70"/>
      <c r="G179" s="70"/>
      <c r="H179" s="70"/>
      <c r="I179" s="70">
        <f>SUM(G179:H179)+'BM 002'!I179</f>
        <v>0</v>
      </c>
      <c r="J179" s="70">
        <f t="shared" si="90"/>
        <v>0</v>
      </c>
      <c r="K179" s="71"/>
      <c r="L179" s="71">
        <f t="shared" si="84"/>
        <v>0</v>
      </c>
      <c r="M179" s="73">
        <f t="shared" ref="M179:R179" si="95">SUM(M180:M204)</f>
        <v>0</v>
      </c>
      <c r="N179" s="73">
        <f t="shared" si="95"/>
        <v>0</v>
      </c>
      <c r="O179" s="73">
        <f t="shared" si="95"/>
        <v>0</v>
      </c>
      <c r="P179" s="73">
        <f t="shared" si="95"/>
        <v>2156515.4</v>
      </c>
      <c r="Q179" s="73">
        <f t="shared" si="95"/>
        <v>2733599.05</v>
      </c>
      <c r="R179" s="73">
        <f t="shared" si="95"/>
        <v>2733599.05</v>
      </c>
    </row>
    <row r="180" spans="2:18" s="34" customFormat="1" ht="103.2">
      <c r="B180" s="75" t="s">
        <v>352</v>
      </c>
      <c r="C180" s="88" t="s">
        <v>353</v>
      </c>
      <c r="D180" s="89" t="s">
        <v>63</v>
      </c>
      <c r="E180" s="92">
        <v>56</v>
      </c>
      <c r="F180" s="91"/>
      <c r="G180" s="91"/>
      <c r="H180" s="91"/>
      <c r="I180" s="79">
        <f>SUM(G180:H180)+'BM 002'!I180</f>
        <v>0</v>
      </c>
      <c r="J180" s="91">
        <f t="shared" si="90"/>
        <v>56</v>
      </c>
      <c r="K180" s="84">
        <v>3125</v>
      </c>
      <c r="L180" s="81">
        <f t="shared" si="84"/>
        <v>3961.25034375</v>
      </c>
      <c r="M180" s="82">
        <f t="shared" ref="M180:M204" si="96">TRUNC(F180*L180,2)</f>
        <v>0</v>
      </c>
      <c r="N180" s="82">
        <f t="shared" ref="N180:N204" si="97">TRUNC(G180*L180,2)</f>
        <v>0</v>
      </c>
      <c r="O180" s="82">
        <f>N180+'BM 002'!O180</f>
        <v>0</v>
      </c>
      <c r="P180" s="80">
        <f t="shared" ref="P180:P204" si="98">E180*K180</f>
        <v>175000</v>
      </c>
      <c r="Q180" s="82">
        <f t="shared" ref="Q180:Q204" si="99">TRUNC(E180*L180,2)</f>
        <v>221830.01</v>
      </c>
      <c r="R180" s="82">
        <f t="shared" ref="R180:R204" si="100">Q180-O180</f>
        <v>221830.01</v>
      </c>
    </row>
    <row r="181" spans="2:18" s="34" customFormat="1" ht="80.400000000000006">
      <c r="B181" s="75" t="s">
        <v>354</v>
      </c>
      <c r="C181" s="88" t="s">
        <v>355</v>
      </c>
      <c r="D181" s="89" t="s">
        <v>63</v>
      </c>
      <c r="E181" s="92">
        <v>51</v>
      </c>
      <c r="F181" s="91"/>
      <c r="G181" s="91"/>
      <c r="H181" s="91"/>
      <c r="I181" s="79">
        <f>SUM(G181:H181)+'BM 002'!I181</f>
        <v>0</v>
      </c>
      <c r="J181" s="91">
        <f t="shared" si="90"/>
        <v>51</v>
      </c>
      <c r="K181" s="84">
        <v>3580</v>
      </c>
      <c r="L181" s="81">
        <f t="shared" si="84"/>
        <v>4538.0083937999998</v>
      </c>
      <c r="M181" s="82">
        <f t="shared" si="96"/>
        <v>0</v>
      </c>
      <c r="N181" s="82">
        <f t="shared" si="97"/>
        <v>0</v>
      </c>
      <c r="O181" s="82">
        <f>N181+'BM 002'!O181</f>
        <v>0</v>
      </c>
      <c r="P181" s="80">
        <f t="shared" si="98"/>
        <v>182580</v>
      </c>
      <c r="Q181" s="82">
        <f t="shared" si="99"/>
        <v>231438.42</v>
      </c>
      <c r="R181" s="82">
        <f t="shared" si="100"/>
        <v>231438.42</v>
      </c>
    </row>
    <row r="182" spans="2:18" s="34" customFormat="1" ht="91.8">
      <c r="B182" s="75" t="s">
        <v>356</v>
      </c>
      <c r="C182" s="88" t="s">
        <v>357</v>
      </c>
      <c r="D182" s="89" t="s">
        <v>63</v>
      </c>
      <c r="E182" s="92">
        <v>11</v>
      </c>
      <c r="F182" s="91"/>
      <c r="G182" s="91"/>
      <c r="H182" s="91"/>
      <c r="I182" s="79">
        <f>SUM(G182:H182)+'BM 002'!I182</f>
        <v>0</v>
      </c>
      <c r="J182" s="91">
        <f t="shared" si="90"/>
        <v>11</v>
      </c>
      <c r="K182" s="84">
        <v>3995</v>
      </c>
      <c r="L182" s="81">
        <f t="shared" si="84"/>
        <v>5064.0624394500001</v>
      </c>
      <c r="M182" s="82">
        <f t="shared" si="96"/>
        <v>0</v>
      </c>
      <c r="N182" s="82">
        <f t="shared" si="97"/>
        <v>0</v>
      </c>
      <c r="O182" s="82">
        <f>N182+'BM 002'!O182</f>
        <v>0</v>
      </c>
      <c r="P182" s="80">
        <f t="shared" si="98"/>
        <v>43945</v>
      </c>
      <c r="Q182" s="82">
        <f t="shared" si="99"/>
        <v>55704.68</v>
      </c>
      <c r="R182" s="82">
        <f t="shared" si="100"/>
        <v>55704.68</v>
      </c>
    </row>
    <row r="183" spans="2:18" s="34" customFormat="1" ht="57.6">
      <c r="B183" s="75" t="s">
        <v>358</v>
      </c>
      <c r="C183" s="88" t="s">
        <v>359</v>
      </c>
      <c r="D183" s="89" t="s">
        <v>63</v>
      </c>
      <c r="E183" s="92">
        <v>2</v>
      </c>
      <c r="F183" s="91"/>
      <c r="G183" s="91"/>
      <c r="H183" s="91"/>
      <c r="I183" s="79">
        <f>SUM(G183:H183)+'BM 002'!I183</f>
        <v>0</v>
      </c>
      <c r="J183" s="91">
        <f t="shared" si="90"/>
        <v>2</v>
      </c>
      <c r="K183" s="84">
        <v>4100</v>
      </c>
      <c r="L183" s="81">
        <f t="shared" si="84"/>
        <v>5197.1604510000006</v>
      </c>
      <c r="M183" s="82">
        <f t="shared" si="96"/>
        <v>0</v>
      </c>
      <c r="N183" s="82">
        <f t="shared" si="97"/>
        <v>0</v>
      </c>
      <c r="O183" s="82">
        <f>N183+'BM 002'!O183</f>
        <v>0</v>
      </c>
      <c r="P183" s="80">
        <f t="shared" si="98"/>
        <v>8200</v>
      </c>
      <c r="Q183" s="82">
        <f t="shared" si="99"/>
        <v>10394.32</v>
      </c>
      <c r="R183" s="82">
        <f t="shared" si="100"/>
        <v>10394.32</v>
      </c>
    </row>
    <row r="184" spans="2:18" s="34" customFormat="1" ht="103.2">
      <c r="B184" s="75" t="s">
        <v>360</v>
      </c>
      <c r="C184" s="88" t="s">
        <v>361</v>
      </c>
      <c r="D184" s="89" t="s">
        <v>63</v>
      </c>
      <c r="E184" s="92">
        <v>24</v>
      </c>
      <c r="F184" s="91"/>
      <c r="G184" s="91"/>
      <c r="H184" s="91"/>
      <c r="I184" s="79">
        <f>SUM(G184:H184)+'BM 002'!I184</f>
        <v>0</v>
      </c>
      <c r="J184" s="91">
        <f t="shared" si="90"/>
        <v>24</v>
      </c>
      <c r="K184" s="84">
        <v>4425</v>
      </c>
      <c r="L184" s="81">
        <f t="shared" si="84"/>
        <v>5609.1304867500003</v>
      </c>
      <c r="M184" s="82">
        <f t="shared" si="96"/>
        <v>0</v>
      </c>
      <c r="N184" s="82">
        <f t="shared" si="97"/>
        <v>0</v>
      </c>
      <c r="O184" s="82">
        <f>N184+'BM 002'!O184</f>
        <v>0</v>
      </c>
      <c r="P184" s="80">
        <f t="shared" si="98"/>
        <v>106200</v>
      </c>
      <c r="Q184" s="82">
        <f t="shared" si="99"/>
        <v>134619.13</v>
      </c>
      <c r="R184" s="82">
        <f t="shared" si="100"/>
        <v>134619.13</v>
      </c>
    </row>
    <row r="185" spans="2:18" s="34" customFormat="1" ht="103.2">
      <c r="B185" s="75" t="s">
        <v>362</v>
      </c>
      <c r="C185" s="88" t="s">
        <v>363</v>
      </c>
      <c r="D185" s="89" t="s">
        <v>63</v>
      </c>
      <c r="E185" s="92">
        <v>8</v>
      </c>
      <c r="F185" s="91"/>
      <c r="G185" s="91"/>
      <c r="H185" s="91"/>
      <c r="I185" s="79">
        <f>SUM(G185:H185)+'BM 002'!I185</f>
        <v>0</v>
      </c>
      <c r="J185" s="91">
        <f t="shared" si="90"/>
        <v>8</v>
      </c>
      <c r="K185" s="84">
        <v>4495</v>
      </c>
      <c r="L185" s="81">
        <f t="shared" si="84"/>
        <v>5697.8624944500007</v>
      </c>
      <c r="M185" s="82">
        <f t="shared" si="96"/>
        <v>0</v>
      </c>
      <c r="N185" s="82">
        <f t="shared" si="97"/>
        <v>0</v>
      </c>
      <c r="O185" s="82">
        <f>N185+'BM 002'!O185</f>
        <v>0</v>
      </c>
      <c r="P185" s="80">
        <f t="shared" si="98"/>
        <v>35960</v>
      </c>
      <c r="Q185" s="82">
        <f t="shared" si="99"/>
        <v>45582.89</v>
      </c>
      <c r="R185" s="82">
        <f t="shared" si="100"/>
        <v>45582.89</v>
      </c>
    </row>
    <row r="186" spans="2:18" s="34" customFormat="1" ht="46.2">
      <c r="B186" s="75" t="s">
        <v>364</v>
      </c>
      <c r="C186" s="88" t="s">
        <v>365</v>
      </c>
      <c r="D186" s="89" t="s">
        <v>63</v>
      </c>
      <c r="E186" s="92">
        <v>3</v>
      </c>
      <c r="F186" s="91"/>
      <c r="G186" s="91"/>
      <c r="H186" s="91"/>
      <c r="I186" s="79">
        <f>SUM(G186:H186)+'BM 002'!I186</f>
        <v>0</v>
      </c>
      <c r="J186" s="91">
        <f t="shared" si="90"/>
        <v>3</v>
      </c>
      <c r="K186" s="84">
        <v>8550</v>
      </c>
      <c r="L186" s="81">
        <f t="shared" si="84"/>
        <v>10837.9809405</v>
      </c>
      <c r="M186" s="82">
        <f t="shared" si="96"/>
        <v>0</v>
      </c>
      <c r="N186" s="82">
        <f t="shared" si="97"/>
        <v>0</v>
      </c>
      <c r="O186" s="82">
        <f>N186+'BM 002'!O186</f>
        <v>0</v>
      </c>
      <c r="P186" s="80">
        <f t="shared" si="98"/>
        <v>25650</v>
      </c>
      <c r="Q186" s="82">
        <f t="shared" si="99"/>
        <v>32513.94</v>
      </c>
      <c r="R186" s="82">
        <f t="shared" si="100"/>
        <v>32513.94</v>
      </c>
    </row>
    <row r="187" spans="2:18" s="34" customFormat="1" ht="114.6">
      <c r="B187" s="75" t="s">
        <v>366</v>
      </c>
      <c r="C187" s="88" t="s">
        <v>367</v>
      </c>
      <c r="D187" s="89" t="s">
        <v>63</v>
      </c>
      <c r="E187" s="92">
        <v>2</v>
      </c>
      <c r="F187" s="91"/>
      <c r="G187" s="91"/>
      <c r="H187" s="91"/>
      <c r="I187" s="79">
        <f>SUM(G187:H187)+'BM 002'!I187</f>
        <v>0</v>
      </c>
      <c r="J187" s="91">
        <f t="shared" si="90"/>
        <v>2</v>
      </c>
      <c r="K187" s="84">
        <v>6750</v>
      </c>
      <c r="L187" s="81">
        <f t="shared" si="84"/>
        <v>8556.3007424999996</v>
      </c>
      <c r="M187" s="82">
        <f t="shared" si="96"/>
        <v>0</v>
      </c>
      <c r="N187" s="82">
        <f t="shared" si="97"/>
        <v>0</v>
      </c>
      <c r="O187" s="82">
        <f>N187+'BM 002'!O187</f>
        <v>0</v>
      </c>
      <c r="P187" s="80">
        <f t="shared" si="98"/>
        <v>13500</v>
      </c>
      <c r="Q187" s="82">
        <f t="shared" si="99"/>
        <v>17112.599999999999</v>
      </c>
      <c r="R187" s="82">
        <f t="shared" si="100"/>
        <v>17112.599999999999</v>
      </c>
    </row>
    <row r="188" spans="2:18" s="34" customFormat="1" ht="46.2">
      <c r="B188" s="75" t="s">
        <v>368</v>
      </c>
      <c r="C188" s="88" t="s">
        <v>369</v>
      </c>
      <c r="D188" s="89" t="s">
        <v>63</v>
      </c>
      <c r="E188" s="92">
        <v>18</v>
      </c>
      <c r="F188" s="91"/>
      <c r="G188" s="91"/>
      <c r="H188" s="91"/>
      <c r="I188" s="79">
        <f>SUM(G188:H188)+'BM 002'!I188</f>
        <v>0</v>
      </c>
      <c r="J188" s="91">
        <f t="shared" si="90"/>
        <v>18</v>
      </c>
      <c r="K188" s="84">
        <v>2490</v>
      </c>
      <c r="L188" s="81">
        <f t="shared" si="84"/>
        <v>3156.3242739000002</v>
      </c>
      <c r="M188" s="82">
        <f t="shared" si="96"/>
        <v>0</v>
      </c>
      <c r="N188" s="82">
        <f t="shared" si="97"/>
        <v>0</v>
      </c>
      <c r="O188" s="82">
        <f>N188+'BM 002'!O188</f>
        <v>0</v>
      </c>
      <c r="P188" s="80">
        <f t="shared" si="98"/>
        <v>44820</v>
      </c>
      <c r="Q188" s="82">
        <f t="shared" si="99"/>
        <v>56813.83</v>
      </c>
      <c r="R188" s="82">
        <f t="shared" si="100"/>
        <v>56813.83</v>
      </c>
    </row>
    <row r="189" spans="2:18" s="34" customFormat="1" ht="57.6">
      <c r="B189" s="75" t="s">
        <v>370</v>
      </c>
      <c r="C189" s="88" t="s">
        <v>371</v>
      </c>
      <c r="D189" s="89" t="s">
        <v>63</v>
      </c>
      <c r="E189" s="92">
        <v>1</v>
      </c>
      <c r="F189" s="91"/>
      <c r="G189" s="91"/>
      <c r="H189" s="91"/>
      <c r="I189" s="79">
        <f>SUM(G189:H189)+'BM 002'!I189</f>
        <v>0</v>
      </c>
      <c r="J189" s="91">
        <f t="shared" si="90"/>
        <v>1</v>
      </c>
      <c r="K189" s="84">
        <v>5950</v>
      </c>
      <c r="L189" s="81">
        <f t="shared" si="84"/>
        <v>7542.2206544999999</v>
      </c>
      <c r="M189" s="82">
        <f t="shared" si="96"/>
        <v>0</v>
      </c>
      <c r="N189" s="82">
        <f t="shared" si="97"/>
        <v>0</v>
      </c>
      <c r="O189" s="82">
        <f>N189+'BM 002'!O189</f>
        <v>0</v>
      </c>
      <c r="P189" s="80">
        <f t="shared" si="98"/>
        <v>5950</v>
      </c>
      <c r="Q189" s="82">
        <f t="shared" si="99"/>
        <v>7542.22</v>
      </c>
      <c r="R189" s="82">
        <f t="shared" si="100"/>
        <v>7542.22</v>
      </c>
    </row>
    <row r="190" spans="2:18" s="34" customFormat="1" ht="46.2">
      <c r="B190" s="75" t="s">
        <v>372</v>
      </c>
      <c r="C190" s="88" t="s">
        <v>373</v>
      </c>
      <c r="D190" s="89" t="s">
        <v>63</v>
      </c>
      <c r="E190" s="92">
        <v>1</v>
      </c>
      <c r="F190" s="91"/>
      <c r="G190" s="91"/>
      <c r="H190" s="91"/>
      <c r="I190" s="79">
        <f>SUM(G190:H190)+'BM 002'!I190</f>
        <v>0</v>
      </c>
      <c r="J190" s="91">
        <f t="shared" si="90"/>
        <v>1</v>
      </c>
      <c r="K190" s="84">
        <v>5950</v>
      </c>
      <c r="L190" s="81">
        <f t="shared" si="84"/>
        <v>7542.2206544999999</v>
      </c>
      <c r="M190" s="82">
        <f t="shared" si="96"/>
        <v>0</v>
      </c>
      <c r="N190" s="82">
        <f t="shared" si="97"/>
        <v>0</v>
      </c>
      <c r="O190" s="82">
        <f>N190+'BM 002'!O190</f>
        <v>0</v>
      </c>
      <c r="P190" s="80">
        <f t="shared" si="98"/>
        <v>5950</v>
      </c>
      <c r="Q190" s="82">
        <f t="shared" si="99"/>
        <v>7542.22</v>
      </c>
      <c r="R190" s="82">
        <f t="shared" si="100"/>
        <v>7542.22</v>
      </c>
    </row>
    <row r="191" spans="2:18" s="34" customFormat="1" ht="46.2">
      <c r="B191" s="75" t="s">
        <v>374</v>
      </c>
      <c r="C191" s="88" t="s">
        <v>375</v>
      </c>
      <c r="D191" s="89" t="s">
        <v>79</v>
      </c>
      <c r="E191" s="92">
        <v>184.04</v>
      </c>
      <c r="F191" s="91"/>
      <c r="G191" s="91"/>
      <c r="H191" s="91"/>
      <c r="I191" s="79">
        <f>SUM(G191:H191)+'BM 002'!I191</f>
        <v>0</v>
      </c>
      <c r="J191" s="91">
        <f t="shared" si="90"/>
        <v>184.04</v>
      </c>
      <c r="K191" s="84">
        <v>1265</v>
      </c>
      <c r="L191" s="81">
        <f t="shared" si="84"/>
        <v>1603.5141391500001</v>
      </c>
      <c r="M191" s="82">
        <f t="shared" si="96"/>
        <v>0</v>
      </c>
      <c r="N191" s="82">
        <f t="shared" si="97"/>
        <v>0</v>
      </c>
      <c r="O191" s="82">
        <f>N191+'BM 002'!O191</f>
        <v>0</v>
      </c>
      <c r="P191" s="80">
        <f t="shared" si="98"/>
        <v>232810.59999999998</v>
      </c>
      <c r="Q191" s="82">
        <f t="shared" si="99"/>
        <v>295110.74</v>
      </c>
      <c r="R191" s="82">
        <f t="shared" si="100"/>
        <v>295110.74</v>
      </c>
    </row>
    <row r="192" spans="2:18" s="34" customFormat="1" ht="34.799999999999997">
      <c r="B192" s="75" t="s">
        <v>376</v>
      </c>
      <c r="C192" s="88" t="s">
        <v>377</v>
      </c>
      <c r="D192" s="89" t="s">
        <v>79</v>
      </c>
      <c r="E192" s="92">
        <v>53.96</v>
      </c>
      <c r="F192" s="91"/>
      <c r="G192" s="91"/>
      <c r="H192" s="91"/>
      <c r="I192" s="79">
        <f>SUM(G192:H192)+'BM 002'!I192</f>
        <v>0</v>
      </c>
      <c r="J192" s="91">
        <f t="shared" si="90"/>
        <v>53.96</v>
      </c>
      <c r="K192" s="84">
        <v>1080</v>
      </c>
      <c r="L192" s="81">
        <f t="shared" si="84"/>
        <v>1369.0081188000001</v>
      </c>
      <c r="M192" s="82">
        <f t="shared" si="96"/>
        <v>0</v>
      </c>
      <c r="N192" s="82">
        <f t="shared" si="97"/>
        <v>0</v>
      </c>
      <c r="O192" s="82">
        <f>N192+'BM 002'!O192</f>
        <v>0</v>
      </c>
      <c r="P192" s="80">
        <f t="shared" si="98"/>
        <v>58276.800000000003</v>
      </c>
      <c r="Q192" s="82">
        <f t="shared" si="99"/>
        <v>73871.67</v>
      </c>
      <c r="R192" s="82">
        <f t="shared" si="100"/>
        <v>73871.67</v>
      </c>
    </row>
    <row r="193" spans="2:18" s="34" customFormat="1" ht="46.2">
      <c r="B193" s="75" t="s">
        <v>378</v>
      </c>
      <c r="C193" s="88" t="s">
        <v>379</v>
      </c>
      <c r="D193" s="89" t="s">
        <v>79</v>
      </c>
      <c r="E193" s="92">
        <v>130.29</v>
      </c>
      <c r="F193" s="91"/>
      <c r="G193" s="91"/>
      <c r="H193" s="91"/>
      <c r="I193" s="79">
        <f>SUM(G193:H193)+'BM 002'!I193</f>
        <v>0</v>
      </c>
      <c r="J193" s="91">
        <f t="shared" si="90"/>
        <v>130.29</v>
      </c>
      <c r="K193" s="84">
        <v>1220</v>
      </c>
      <c r="L193" s="81">
        <f t="shared" si="84"/>
        <v>1546.4721342</v>
      </c>
      <c r="M193" s="82">
        <f t="shared" si="96"/>
        <v>0</v>
      </c>
      <c r="N193" s="82">
        <f t="shared" si="97"/>
        <v>0</v>
      </c>
      <c r="O193" s="82">
        <f>N193+'BM 002'!O193</f>
        <v>0</v>
      </c>
      <c r="P193" s="80">
        <f t="shared" si="98"/>
        <v>158953.79999999999</v>
      </c>
      <c r="Q193" s="82">
        <f t="shared" si="99"/>
        <v>201489.85</v>
      </c>
      <c r="R193" s="82">
        <f t="shared" si="100"/>
        <v>201489.85</v>
      </c>
    </row>
    <row r="194" spans="2:18" s="34" customFormat="1" ht="46.2">
      <c r="B194" s="75" t="s">
        <v>380</v>
      </c>
      <c r="C194" s="88" t="s">
        <v>381</v>
      </c>
      <c r="D194" s="89" t="s">
        <v>79</v>
      </c>
      <c r="E194" s="92">
        <v>27.88</v>
      </c>
      <c r="F194" s="91"/>
      <c r="G194" s="91"/>
      <c r="H194" s="91"/>
      <c r="I194" s="79">
        <f>SUM(G194:H194)+'BM 002'!I194</f>
        <v>0</v>
      </c>
      <c r="J194" s="91">
        <f t="shared" si="90"/>
        <v>27.88</v>
      </c>
      <c r="K194" s="84">
        <v>2180</v>
      </c>
      <c r="L194" s="81">
        <f t="shared" si="84"/>
        <v>2763.3682398000001</v>
      </c>
      <c r="M194" s="82">
        <f t="shared" si="96"/>
        <v>0</v>
      </c>
      <c r="N194" s="82">
        <f t="shared" si="97"/>
        <v>0</v>
      </c>
      <c r="O194" s="82">
        <f>N194+'BM 002'!O194</f>
        <v>0</v>
      </c>
      <c r="P194" s="80">
        <f t="shared" si="98"/>
        <v>60778.400000000001</v>
      </c>
      <c r="Q194" s="82">
        <f t="shared" si="99"/>
        <v>77042.7</v>
      </c>
      <c r="R194" s="82">
        <f t="shared" si="100"/>
        <v>77042.7</v>
      </c>
    </row>
    <row r="195" spans="2:18" s="34" customFormat="1" ht="34.799999999999997">
      <c r="B195" s="75" t="s">
        <v>382</v>
      </c>
      <c r="C195" s="88" t="s">
        <v>383</v>
      </c>
      <c r="D195" s="89" t="s">
        <v>79</v>
      </c>
      <c r="E195" s="92">
        <v>24.23</v>
      </c>
      <c r="F195" s="91"/>
      <c r="G195" s="91"/>
      <c r="H195" s="91"/>
      <c r="I195" s="79">
        <f>SUM(G195:H195)+'BM 002'!I195</f>
        <v>0</v>
      </c>
      <c r="J195" s="91">
        <f t="shared" si="90"/>
        <v>24.23</v>
      </c>
      <c r="K195" s="84">
        <v>1170</v>
      </c>
      <c r="L195" s="81">
        <f t="shared" si="84"/>
        <v>1483.0921287000001</v>
      </c>
      <c r="M195" s="82">
        <f t="shared" si="96"/>
        <v>0</v>
      </c>
      <c r="N195" s="82">
        <f t="shared" si="97"/>
        <v>0</v>
      </c>
      <c r="O195" s="82">
        <f>N195+'BM 002'!O195</f>
        <v>0</v>
      </c>
      <c r="P195" s="80">
        <f t="shared" si="98"/>
        <v>28349.100000000002</v>
      </c>
      <c r="Q195" s="82">
        <f t="shared" si="99"/>
        <v>35935.32</v>
      </c>
      <c r="R195" s="82">
        <f t="shared" si="100"/>
        <v>35935.32</v>
      </c>
    </row>
    <row r="196" spans="2:18" s="34" customFormat="1" ht="46.2">
      <c r="B196" s="75" t="s">
        <v>384</v>
      </c>
      <c r="C196" s="88" t="s">
        <v>385</v>
      </c>
      <c r="D196" s="89" t="s">
        <v>79</v>
      </c>
      <c r="E196" s="92">
        <v>93.13</v>
      </c>
      <c r="F196" s="91"/>
      <c r="G196" s="91"/>
      <c r="H196" s="91"/>
      <c r="I196" s="79">
        <f>SUM(G196:H196)+'BM 002'!I196</f>
        <v>0</v>
      </c>
      <c r="J196" s="91">
        <f t="shared" si="90"/>
        <v>93.13</v>
      </c>
      <c r="K196" s="84">
        <v>1190</v>
      </c>
      <c r="L196" s="81">
        <f t="shared" si="84"/>
        <v>1508.4441309000001</v>
      </c>
      <c r="M196" s="82">
        <f t="shared" si="96"/>
        <v>0</v>
      </c>
      <c r="N196" s="82">
        <f t="shared" si="97"/>
        <v>0</v>
      </c>
      <c r="O196" s="82">
        <f>N196+'BM 002'!O196</f>
        <v>0</v>
      </c>
      <c r="P196" s="80">
        <f t="shared" si="98"/>
        <v>110824.7</v>
      </c>
      <c r="Q196" s="82">
        <f t="shared" si="99"/>
        <v>140481.4</v>
      </c>
      <c r="R196" s="82">
        <f t="shared" si="100"/>
        <v>140481.4</v>
      </c>
    </row>
    <row r="197" spans="2:18" s="34" customFormat="1" ht="69">
      <c r="B197" s="75" t="s">
        <v>386</v>
      </c>
      <c r="C197" s="88" t="s">
        <v>387</v>
      </c>
      <c r="D197" s="89" t="s">
        <v>79</v>
      </c>
      <c r="E197" s="92">
        <v>570.20000000000005</v>
      </c>
      <c r="F197" s="91"/>
      <c r="G197" s="91"/>
      <c r="H197" s="91"/>
      <c r="I197" s="79">
        <f>SUM(G197:H197)+'BM 002'!I197</f>
        <v>0</v>
      </c>
      <c r="J197" s="91">
        <f t="shared" si="90"/>
        <v>570.20000000000005</v>
      </c>
      <c r="K197" s="84">
        <v>1190</v>
      </c>
      <c r="L197" s="81">
        <f t="shared" si="84"/>
        <v>1508.4441309000001</v>
      </c>
      <c r="M197" s="82">
        <f t="shared" si="96"/>
        <v>0</v>
      </c>
      <c r="N197" s="82">
        <f t="shared" si="97"/>
        <v>0</v>
      </c>
      <c r="O197" s="82">
        <f>N197+'BM 002'!O197</f>
        <v>0</v>
      </c>
      <c r="P197" s="80">
        <f t="shared" si="98"/>
        <v>678538</v>
      </c>
      <c r="Q197" s="82">
        <f t="shared" si="99"/>
        <v>860114.84</v>
      </c>
      <c r="R197" s="82">
        <f t="shared" si="100"/>
        <v>860114.84</v>
      </c>
    </row>
    <row r="198" spans="2:18" s="34" customFormat="1" ht="23.4">
      <c r="B198" s="75" t="s">
        <v>388</v>
      </c>
      <c r="C198" s="88" t="s">
        <v>389</v>
      </c>
      <c r="D198" s="89" t="s">
        <v>390</v>
      </c>
      <c r="E198" s="92">
        <v>4</v>
      </c>
      <c r="F198" s="91"/>
      <c r="G198" s="91"/>
      <c r="H198" s="91"/>
      <c r="I198" s="79">
        <f>SUM(G198:H198)+'BM 002'!I198</f>
        <v>0</v>
      </c>
      <c r="J198" s="91">
        <f t="shared" si="90"/>
        <v>4</v>
      </c>
      <c r="K198" s="84">
        <v>1780</v>
      </c>
      <c r="L198" s="81">
        <f t="shared" si="84"/>
        <v>2256.3281958000002</v>
      </c>
      <c r="M198" s="82">
        <f t="shared" si="96"/>
        <v>0</v>
      </c>
      <c r="N198" s="82">
        <f t="shared" si="97"/>
        <v>0</v>
      </c>
      <c r="O198" s="82">
        <f>N198+'BM 002'!O198</f>
        <v>0</v>
      </c>
      <c r="P198" s="80">
        <f t="shared" si="98"/>
        <v>7120</v>
      </c>
      <c r="Q198" s="82">
        <f t="shared" si="99"/>
        <v>9025.31</v>
      </c>
      <c r="R198" s="82">
        <f t="shared" si="100"/>
        <v>9025.31</v>
      </c>
    </row>
    <row r="199" spans="2:18" s="34" customFormat="1" ht="23.4">
      <c r="B199" s="75" t="s">
        <v>391</v>
      </c>
      <c r="C199" s="88" t="s">
        <v>392</v>
      </c>
      <c r="D199" s="89" t="s">
        <v>390</v>
      </c>
      <c r="E199" s="92">
        <v>1</v>
      </c>
      <c r="F199" s="91"/>
      <c r="G199" s="91"/>
      <c r="H199" s="91"/>
      <c r="I199" s="79">
        <f>SUM(G199:H199)+'BM 002'!I199</f>
        <v>0</v>
      </c>
      <c r="J199" s="91">
        <f t="shared" si="90"/>
        <v>1</v>
      </c>
      <c r="K199" s="84">
        <v>840</v>
      </c>
      <c r="L199" s="81">
        <f t="shared" si="84"/>
        <v>1064.7840924</v>
      </c>
      <c r="M199" s="82">
        <f t="shared" si="96"/>
        <v>0</v>
      </c>
      <c r="N199" s="82">
        <f t="shared" si="97"/>
        <v>0</v>
      </c>
      <c r="O199" s="82">
        <f>N199+'BM 002'!O199</f>
        <v>0</v>
      </c>
      <c r="P199" s="80">
        <f t="shared" si="98"/>
        <v>840</v>
      </c>
      <c r="Q199" s="82">
        <f t="shared" si="99"/>
        <v>1064.78</v>
      </c>
      <c r="R199" s="82">
        <f t="shared" si="100"/>
        <v>1064.78</v>
      </c>
    </row>
    <row r="200" spans="2:18" s="34" customFormat="1" ht="23.4">
      <c r="B200" s="75" t="s">
        <v>393</v>
      </c>
      <c r="C200" s="88" t="s">
        <v>394</v>
      </c>
      <c r="D200" s="89" t="s">
        <v>390</v>
      </c>
      <c r="E200" s="92">
        <v>6</v>
      </c>
      <c r="F200" s="91"/>
      <c r="G200" s="91"/>
      <c r="H200" s="91"/>
      <c r="I200" s="79">
        <f>SUM(G200:H200)+'BM 002'!I200</f>
        <v>0</v>
      </c>
      <c r="J200" s="91">
        <f t="shared" si="90"/>
        <v>6</v>
      </c>
      <c r="K200" s="84">
        <v>2190</v>
      </c>
      <c r="L200" s="81">
        <f t="shared" si="84"/>
        <v>2776.0442409000002</v>
      </c>
      <c r="M200" s="82">
        <f t="shared" si="96"/>
        <v>0</v>
      </c>
      <c r="N200" s="82">
        <f t="shared" si="97"/>
        <v>0</v>
      </c>
      <c r="O200" s="82">
        <f>N200+'BM 002'!O200</f>
        <v>0</v>
      </c>
      <c r="P200" s="80">
        <f t="shared" si="98"/>
        <v>13140</v>
      </c>
      <c r="Q200" s="82">
        <f t="shared" si="99"/>
        <v>16656.259999999998</v>
      </c>
      <c r="R200" s="82">
        <f t="shared" si="100"/>
        <v>16656.259999999998</v>
      </c>
    </row>
    <row r="201" spans="2:18" s="34" customFormat="1" ht="34.799999999999997">
      <c r="B201" s="75" t="s">
        <v>395</v>
      </c>
      <c r="C201" s="88" t="s">
        <v>396</v>
      </c>
      <c r="D201" s="89" t="s">
        <v>390</v>
      </c>
      <c r="E201" s="92">
        <v>24</v>
      </c>
      <c r="F201" s="91"/>
      <c r="G201" s="91"/>
      <c r="H201" s="91"/>
      <c r="I201" s="79">
        <f>SUM(G201:H201)+'BM 002'!I201</f>
        <v>0</v>
      </c>
      <c r="J201" s="91">
        <f t="shared" si="90"/>
        <v>24</v>
      </c>
      <c r="K201" s="84">
        <v>1950</v>
      </c>
      <c r="L201" s="81">
        <f t="shared" si="84"/>
        <v>2471.8202145</v>
      </c>
      <c r="M201" s="82">
        <f t="shared" si="96"/>
        <v>0</v>
      </c>
      <c r="N201" s="82">
        <f t="shared" si="97"/>
        <v>0</v>
      </c>
      <c r="O201" s="82">
        <f>N201+'BM 002'!O201</f>
        <v>0</v>
      </c>
      <c r="P201" s="80">
        <f t="shared" si="98"/>
        <v>46800</v>
      </c>
      <c r="Q201" s="82">
        <f t="shared" si="99"/>
        <v>59323.68</v>
      </c>
      <c r="R201" s="82">
        <f t="shared" si="100"/>
        <v>59323.68</v>
      </c>
    </row>
    <row r="202" spans="2:18" s="34" customFormat="1" ht="34.799999999999997">
      <c r="B202" s="75" t="s">
        <v>397</v>
      </c>
      <c r="C202" s="88" t="s">
        <v>398</v>
      </c>
      <c r="D202" s="89" t="s">
        <v>79</v>
      </c>
      <c r="E202" s="92">
        <v>17.82</v>
      </c>
      <c r="F202" s="91"/>
      <c r="G202" s="91"/>
      <c r="H202" s="91"/>
      <c r="I202" s="79">
        <f>SUM(G202:H202)+'BM 002'!I202</f>
        <v>0</v>
      </c>
      <c r="J202" s="91">
        <f t="shared" si="90"/>
        <v>17.82</v>
      </c>
      <c r="K202" s="84">
        <v>950</v>
      </c>
      <c r="L202" s="81">
        <f t="shared" si="84"/>
        <v>1204.2201045000002</v>
      </c>
      <c r="M202" s="82">
        <f t="shared" si="96"/>
        <v>0</v>
      </c>
      <c r="N202" s="82">
        <f t="shared" si="97"/>
        <v>0</v>
      </c>
      <c r="O202" s="82">
        <f>N202+'BM 002'!O202</f>
        <v>0</v>
      </c>
      <c r="P202" s="80">
        <f t="shared" si="98"/>
        <v>16929</v>
      </c>
      <c r="Q202" s="82">
        <f t="shared" si="99"/>
        <v>21459.200000000001</v>
      </c>
      <c r="R202" s="82">
        <f t="shared" si="100"/>
        <v>21459.200000000001</v>
      </c>
    </row>
    <row r="203" spans="2:18" s="34" customFormat="1" ht="34.799999999999997">
      <c r="B203" s="75" t="s">
        <v>399</v>
      </c>
      <c r="C203" s="88" t="s">
        <v>400</v>
      </c>
      <c r="D203" s="89" t="s">
        <v>63</v>
      </c>
      <c r="E203" s="92">
        <v>18</v>
      </c>
      <c r="F203" s="91"/>
      <c r="G203" s="91"/>
      <c r="H203" s="91"/>
      <c r="I203" s="79">
        <f>SUM(G203:H203)+'BM 002'!I203</f>
        <v>0</v>
      </c>
      <c r="J203" s="91">
        <f t="shared" si="90"/>
        <v>18</v>
      </c>
      <c r="K203" s="84">
        <v>2480</v>
      </c>
      <c r="L203" s="81">
        <f t="shared" si="84"/>
        <v>3143.6482728000001</v>
      </c>
      <c r="M203" s="82">
        <f t="shared" si="96"/>
        <v>0</v>
      </c>
      <c r="N203" s="82">
        <f t="shared" si="97"/>
        <v>0</v>
      </c>
      <c r="O203" s="82">
        <f>N203+'BM 002'!O203</f>
        <v>0</v>
      </c>
      <c r="P203" s="80">
        <f t="shared" si="98"/>
        <v>44640</v>
      </c>
      <c r="Q203" s="82">
        <f t="shared" si="99"/>
        <v>56585.66</v>
      </c>
      <c r="R203" s="82">
        <f t="shared" si="100"/>
        <v>56585.66</v>
      </c>
    </row>
    <row r="204" spans="2:18" s="34" customFormat="1" ht="34.799999999999997">
      <c r="B204" s="75" t="s">
        <v>401</v>
      </c>
      <c r="C204" s="88" t="s">
        <v>402</v>
      </c>
      <c r="D204" s="89" t="s">
        <v>63</v>
      </c>
      <c r="E204" s="92">
        <v>47</v>
      </c>
      <c r="F204" s="91"/>
      <c r="G204" s="91"/>
      <c r="H204" s="91"/>
      <c r="I204" s="79">
        <f>SUM(G204:H204)+'BM 002'!I204</f>
        <v>0</v>
      </c>
      <c r="J204" s="91">
        <f t="shared" si="90"/>
        <v>47</v>
      </c>
      <c r="K204" s="84">
        <v>1080</v>
      </c>
      <c r="L204" s="81">
        <f t="shared" si="84"/>
        <v>1369.0081188000001</v>
      </c>
      <c r="M204" s="82">
        <f t="shared" si="96"/>
        <v>0</v>
      </c>
      <c r="N204" s="82">
        <f t="shared" si="97"/>
        <v>0</v>
      </c>
      <c r="O204" s="82">
        <f>N204+'BM 002'!O204</f>
        <v>0</v>
      </c>
      <c r="P204" s="80">
        <f t="shared" si="98"/>
        <v>50760</v>
      </c>
      <c r="Q204" s="82">
        <f t="shared" si="99"/>
        <v>64343.38</v>
      </c>
      <c r="R204" s="82">
        <f t="shared" si="100"/>
        <v>64343.38</v>
      </c>
    </row>
    <row r="205" spans="2:18" s="34" customFormat="1" ht="13.2">
      <c r="B205" s="66" t="s">
        <v>403</v>
      </c>
      <c r="C205" s="67" t="s">
        <v>404</v>
      </c>
      <c r="D205" s="68"/>
      <c r="E205" s="69"/>
      <c r="F205" s="70"/>
      <c r="G205" s="70"/>
      <c r="H205" s="70"/>
      <c r="I205" s="70">
        <f>SUM(G205:H205)+'BM 002'!I205</f>
        <v>0</v>
      </c>
      <c r="J205" s="70">
        <f t="shared" si="90"/>
        <v>0</v>
      </c>
      <c r="K205" s="71"/>
      <c r="L205" s="71">
        <f t="shared" si="84"/>
        <v>0</v>
      </c>
      <c r="M205" s="73">
        <f t="shared" ref="M205:R205" si="101">SUM(M206:M214)</f>
        <v>0</v>
      </c>
      <c r="N205" s="73">
        <f t="shared" si="101"/>
        <v>0</v>
      </c>
      <c r="O205" s="73">
        <f t="shared" si="101"/>
        <v>0</v>
      </c>
      <c r="P205" s="73">
        <f t="shared" si="101"/>
        <v>987536.55</v>
      </c>
      <c r="Q205" s="73">
        <f t="shared" si="101"/>
        <v>1251801.3999999999</v>
      </c>
      <c r="R205" s="73">
        <f t="shared" si="101"/>
        <v>1251801.3999999999</v>
      </c>
    </row>
    <row r="206" spans="2:18" s="34" customFormat="1" ht="34.799999999999997">
      <c r="B206" s="87" t="s">
        <v>405</v>
      </c>
      <c r="C206" s="88" t="s">
        <v>406</v>
      </c>
      <c r="D206" s="89" t="s">
        <v>124</v>
      </c>
      <c r="E206" s="92">
        <v>158.59</v>
      </c>
      <c r="F206" s="91"/>
      <c r="G206" s="91"/>
      <c r="H206" s="91"/>
      <c r="I206" s="79">
        <f>SUM(G206:H206)+'BM 002'!I206</f>
        <v>0</v>
      </c>
      <c r="J206" s="91">
        <f t="shared" si="90"/>
        <v>158.59</v>
      </c>
      <c r="K206" s="84">
        <v>415</v>
      </c>
      <c r="L206" s="81">
        <f t="shared" si="84"/>
        <v>526.05404565000003</v>
      </c>
      <c r="M206" s="82">
        <f t="shared" ref="M206:M214" si="102">TRUNC(F206*L206,2)</f>
        <v>0</v>
      </c>
      <c r="N206" s="82">
        <f t="shared" ref="N206:N214" si="103">TRUNC(G206*L206,2)</f>
        <v>0</v>
      </c>
      <c r="O206" s="82">
        <f>N206+'BM 002'!O206</f>
        <v>0</v>
      </c>
      <c r="P206" s="80">
        <f t="shared" ref="P206:P214" si="104">E206*K206</f>
        <v>65814.850000000006</v>
      </c>
      <c r="Q206" s="82">
        <f t="shared" ref="Q206:Q214" si="105">TRUNC(E206*L206,2)</f>
        <v>83426.91</v>
      </c>
      <c r="R206" s="82">
        <f t="shared" ref="R206:R214" si="106">Q206-O206</f>
        <v>83426.91</v>
      </c>
    </row>
    <row r="207" spans="2:18" s="34" customFormat="1" ht="13.2">
      <c r="B207" s="87" t="s">
        <v>407</v>
      </c>
      <c r="C207" s="88" t="s">
        <v>408</v>
      </c>
      <c r="D207" s="89" t="s">
        <v>124</v>
      </c>
      <c r="E207" s="92">
        <v>198.52</v>
      </c>
      <c r="F207" s="91"/>
      <c r="G207" s="91"/>
      <c r="H207" s="91"/>
      <c r="I207" s="79">
        <f>SUM(G207:H207)+'BM 002'!I207</f>
        <v>0</v>
      </c>
      <c r="J207" s="91">
        <f t="shared" si="90"/>
        <v>198.52</v>
      </c>
      <c r="K207" s="84">
        <v>455</v>
      </c>
      <c r="L207" s="81">
        <f t="shared" si="84"/>
        <v>576.75805005000007</v>
      </c>
      <c r="M207" s="82">
        <f t="shared" si="102"/>
        <v>0</v>
      </c>
      <c r="N207" s="82">
        <f t="shared" si="103"/>
        <v>0</v>
      </c>
      <c r="O207" s="82">
        <f>N207+'BM 002'!O207</f>
        <v>0</v>
      </c>
      <c r="P207" s="80">
        <f t="shared" si="104"/>
        <v>90326.6</v>
      </c>
      <c r="Q207" s="82">
        <f t="shared" si="105"/>
        <v>114498</v>
      </c>
      <c r="R207" s="82">
        <f t="shared" si="106"/>
        <v>114498</v>
      </c>
    </row>
    <row r="208" spans="2:18" s="34" customFormat="1" ht="13.2">
      <c r="B208" s="87" t="s">
        <v>409</v>
      </c>
      <c r="C208" s="88" t="s">
        <v>410</v>
      </c>
      <c r="D208" s="89" t="s">
        <v>124</v>
      </c>
      <c r="E208" s="92">
        <v>129.65</v>
      </c>
      <c r="F208" s="91"/>
      <c r="G208" s="91"/>
      <c r="H208" s="91"/>
      <c r="I208" s="79">
        <f>SUM(G208:H208)+'BM 002'!I208</f>
        <v>0</v>
      </c>
      <c r="J208" s="91">
        <f t="shared" si="90"/>
        <v>129.65</v>
      </c>
      <c r="K208" s="84">
        <v>745</v>
      </c>
      <c r="L208" s="81">
        <f t="shared" si="84"/>
        <v>944.36208195000006</v>
      </c>
      <c r="M208" s="82">
        <f t="shared" si="102"/>
        <v>0</v>
      </c>
      <c r="N208" s="82">
        <f t="shared" si="103"/>
        <v>0</v>
      </c>
      <c r="O208" s="82">
        <f>N208+'BM 002'!O208</f>
        <v>0</v>
      </c>
      <c r="P208" s="80">
        <f t="shared" si="104"/>
        <v>96589.25</v>
      </c>
      <c r="Q208" s="82">
        <f t="shared" si="105"/>
        <v>122436.54</v>
      </c>
      <c r="R208" s="82">
        <f t="shared" si="106"/>
        <v>122436.54</v>
      </c>
    </row>
    <row r="209" spans="1:23" s="34" customFormat="1" ht="13.2">
      <c r="B209" s="87" t="s">
        <v>411</v>
      </c>
      <c r="C209" s="88" t="s">
        <v>412</v>
      </c>
      <c r="D209" s="89" t="s">
        <v>124</v>
      </c>
      <c r="E209" s="92">
        <v>98.74</v>
      </c>
      <c r="F209" s="91"/>
      <c r="G209" s="91"/>
      <c r="H209" s="91"/>
      <c r="I209" s="79">
        <f>SUM(G209:H209)+'BM 002'!I209</f>
        <v>0</v>
      </c>
      <c r="J209" s="91">
        <f t="shared" si="90"/>
        <v>98.74</v>
      </c>
      <c r="K209" s="84">
        <v>855</v>
      </c>
      <c r="L209" s="81">
        <f t="shared" si="84"/>
        <v>1083.7980940500001</v>
      </c>
      <c r="M209" s="82">
        <f t="shared" si="102"/>
        <v>0</v>
      </c>
      <c r="N209" s="82">
        <f t="shared" si="103"/>
        <v>0</v>
      </c>
      <c r="O209" s="82">
        <f>N209+'BM 002'!O209</f>
        <v>0</v>
      </c>
      <c r="P209" s="80">
        <f t="shared" si="104"/>
        <v>84422.7</v>
      </c>
      <c r="Q209" s="82">
        <f t="shared" si="105"/>
        <v>107014.22</v>
      </c>
      <c r="R209" s="82">
        <f t="shared" si="106"/>
        <v>107014.22</v>
      </c>
    </row>
    <row r="210" spans="1:23" s="34" customFormat="1" ht="57.6">
      <c r="B210" s="87" t="s">
        <v>413</v>
      </c>
      <c r="C210" s="88" t="s">
        <v>414</v>
      </c>
      <c r="D210" s="89" t="s">
        <v>82</v>
      </c>
      <c r="E210" s="92">
        <v>12</v>
      </c>
      <c r="F210" s="91"/>
      <c r="G210" s="91"/>
      <c r="H210" s="91"/>
      <c r="I210" s="79">
        <f>SUM(G210:H210)+'BM 002'!I210</f>
        <v>0</v>
      </c>
      <c r="J210" s="91">
        <f t="shared" si="90"/>
        <v>12</v>
      </c>
      <c r="K210" s="84">
        <v>1650</v>
      </c>
      <c r="L210" s="81">
        <f t="shared" si="84"/>
        <v>2091.5401815</v>
      </c>
      <c r="M210" s="82">
        <f t="shared" si="102"/>
        <v>0</v>
      </c>
      <c r="N210" s="82">
        <f t="shared" si="103"/>
        <v>0</v>
      </c>
      <c r="O210" s="82">
        <f>N210+'BM 002'!O210</f>
        <v>0</v>
      </c>
      <c r="P210" s="80">
        <f t="shared" si="104"/>
        <v>19800</v>
      </c>
      <c r="Q210" s="82">
        <f t="shared" si="105"/>
        <v>25098.48</v>
      </c>
      <c r="R210" s="82">
        <f t="shared" si="106"/>
        <v>25098.48</v>
      </c>
    </row>
    <row r="211" spans="1:23" s="34" customFormat="1" ht="13.2">
      <c r="B211" s="87" t="s">
        <v>415</v>
      </c>
      <c r="C211" s="88" t="s">
        <v>416</v>
      </c>
      <c r="D211" s="89" t="s">
        <v>79</v>
      </c>
      <c r="E211" s="92">
        <v>72.650000000000006</v>
      </c>
      <c r="F211" s="91"/>
      <c r="G211" s="91"/>
      <c r="H211" s="91"/>
      <c r="I211" s="79">
        <f>SUM(G211:H211)+'BM 002'!I211</f>
        <v>0</v>
      </c>
      <c r="J211" s="91">
        <f t="shared" si="90"/>
        <v>72.650000000000006</v>
      </c>
      <c r="K211" s="84">
        <v>485</v>
      </c>
      <c r="L211" s="81">
        <f t="shared" si="84"/>
        <v>614.78605334999997</v>
      </c>
      <c r="M211" s="82">
        <f t="shared" si="102"/>
        <v>0</v>
      </c>
      <c r="N211" s="82">
        <f t="shared" si="103"/>
        <v>0</v>
      </c>
      <c r="O211" s="82">
        <f>N211+'BM 002'!O211</f>
        <v>0</v>
      </c>
      <c r="P211" s="80">
        <f t="shared" si="104"/>
        <v>35235.25</v>
      </c>
      <c r="Q211" s="82">
        <f t="shared" si="105"/>
        <v>44664.2</v>
      </c>
      <c r="R211" s="82">
        <f t="shared" si="106"/>
        <v>44664.2</v>
      </c>
    </row>
    <row r="212" spans="1:23" s="34" customFormat="1" ht="23.4">
      <c r="B212" s="87" t="s">
        <v>417</v>
      </c>
      <c r="C212" s="88" t="s">
        <v>418</v>
      </c>
      <c r="D212" s="89" t="s">
        <v>79</v>
      </c>
      <c r="E212" s="92">
        <v>51.22</v>
      </c>
      <c r="F212" s="91"/>
      <c r="G212" s="91"/>
      <c r="H212" s="91"/>
      <c r="I212" s="79">
        <f>SUM(G212:H212)+'BM 002'!I212</f>
        <v>0</v>
      </c>
      <c r="J212" s="91">
        <f t="shared" si="90"/>
        <v>51.22</v>
      </c>
      <c r="K212" s="84">
        <v>1350</v>
      </c>
      <c r="L212" s="81">
        <f t="shared" si="84"/>
        <v>1711.2601485</v>
      </c>
      <c r="M212" s="82">
        <f t="shared" si="102"/>
        <v>0</v>
      </c>
      <c r="N212" s="82">
        <f t="shared" si="103"/>
        <v>0</v>
      </c>
      <c r="O212" s="82">
        <f>N212+'BM 002'!O212</f>
        <v>0</v>
      </c>
      <c r="P212" s="80">
        <f t="shared" si="104"/>
        <v>69147</v>
      </c>
      <c r="Q212" s="82">
        <f t="shared" si="105"/>
        <v>87650.74</v>
      </c>
      <c r="R212" s="82">
        <f t="shared" si="106"/>
        <v>87650.74</v>
      </c>
    </row>
    <row r="213" spans="1:23" s="34" customFormat="1" ht="34.799999999999997">
      <c r="B213" s="87" t="s">
        <v>419</v>
      </c>
      <c r="C213" s="88" t="s">
        <v>420</v>
      </c>
      <c r="D213" s="89" t="s">
        <v>79</v>
      </c>
      <c r="E213" s="92">
        <v>98</v>
      </c>
      <c r="F213" s="91"/>
      <c r="G213" s="91"/>
      <c r="H213" s="91"/>
      <c r="I213" s="79">
        <f>SUM(G213:H213)+'BM 002'!I213</f>
        <v>0</v>
      </c>
      <c r="J213" s="91">
        <f t="shared" si="90"/>
        <v>98</v>
      </c>
      <c r="K213" s="84">
        <v>498</v>
      </c>
      <c r="L213" s="81">
        <f t="shared" si="84"/>
        <v>631.26485478000006</v>
      </c>
      <c r="M213" s="82">
        <f t="shared" si="102"/>
        <v>0</v>
      </c>
      <c r="N213" s="82">
        <f t="shared" si="103"/>
        <v>0</v>
      </c>
      <c r="O213" s="82">
        <f>N213+'BM 002'!O213</f>
        <v>0</v>
      </c>
      <c r="P213" s="80">
        <f t="shared" si="104"/>
        <v>48804</v>
      </c>
      <c r="Q213" s="82">
        <f t="shared" si="105"/>
        <v>61863.95</v>
      </c>
      <c r="R213" s="82">
        <f t="shared" si="106"/>
        <v>61863.95</v>
      </c>
    </row>
    <row r="214" spans="1:23" s="107" customFormat="1" ht="34.799999999999997">
      <c r="A214" s="34"/>
      <c r="B214" s="87" t="s">
        <v>421</v>
      </c>
      <c r="C214" s="88" t="s">
        <v>422</v>
      </c>
      <c r="D214" s="89" t="s">
        <v>79</v>
      </c>
      <c r="E214" s="92">
        <v>342.22</v>
      </c>
      <c r="F214" s="91"/>
      <c r="G214" s="91"/>
      <c r="H214" s="91"/>
      <c r="I214" s="79">
        <f>SUM(G214:H214)+'BM 002'!I214</f>
        <v>0</v>
      </c>
      <c r="J214" s="91">
        <f t="shared" si="90"/>
        <v>342.22</v>
      </c>
      <c r="K214" s="84">
        <v>1395</v>
      </c>
      <c r="L214" s="81">
        <f t="shared" si="84"/>
        <v>1768.3021534500001</v>
      </c>
      <c r="M214" s="82">
        <f t="shared" si="102"/>
        <v>0</v>
      </c>
      <c r="N214" s="82">
        <f t="shared" si="103"/>
        <v>0</v>
      </c>
      <c r="O214" s="82">
        <f>N214+'BM 002'!O214</f>
        <v>0</v>
      </c>
      <c r="P214" s="80">
        <f t="shared" si="104"/>
        <v>477396.9</v>
      </c>
      <c r="Q214" s="82">
        <f t="shared" si="105"/>
        <v>605148.36</v>
      </c>
      <c r="R214" s="82">
        <f t="shared" si="106"/>
        <v>605148.36</v>
      </c>
      <c r="S214" s="34"/>
      <c r="T214" s="34"/>
      <c r="U214" s="34"/>
      <c r="V214" s="34"/>
      <c r="W214" s="34"/>
    </row>
    <row r="215" spans="1:23" s="34" customFormat="1" ht="13.2">
      <c r="B215" s="60" t="s">
        <v>423</v>
      </c>
      <c r="C215" s="61" t="s">
        <v>424</v>
      </c>
      <c r="D215" s="60"/>
      <c r="E215" s="62"/>
      <c r="F215" s="63"/>
      <c r="G215" s="63"/>
      <c r="H215" s="63"/>
      <c r="I215" s="63">
        <f>SUM(G215:H215)+'BM 002'!I215</f>
        <v>0</v>
      </c>
      <c r="J215" s="63">
        <f t="shared" si="90"/>
        <v>0</v>
      </c>
      <c r="K215" s="63"/>
      <c r="L215" s="63">
        <f t="shared" si="84"/>
        <v>0</v>
      </c>
      <c r="M215" s="63">
        <f t="shared" ref="M215:R215" si="107">SUM(M216:M221)</f>
        <v>0</v>
      </c>
      <c r="N215" s="63">
        <f t="shared" si="107"/>
        <v>0</v>
      </c>
      <c r="O215" s="63">
        <f t="shared" si="107"/>
        <v>0</v>
      </c>
      <c r="P215" s="63">
        <f t="shared" si="107"/>
        <v>1326910.8099999998</v>
      </c>
      <c r="Q215" s="63">
        <f t="shared" si="107"/>
        <v>1681992.2700000003</v>
      </c>
      <c r="R215" s="63">
        <f t="shared" si="107"/>
        <v>1681992.2700000003</v>
      </c>
    </row>
    <row r="216" spans="1:23" s="34" customFormat="1" ht="13.2">
      <c r="B216" s="87" t="s">
        <v>425</v>
      </c>
      <c r="C216" s="88" t="s">
        <v>426</v>
      </c>
      <c r="D216" s="89" t="s">
        <v>79</v>
      </c>
      <c r="E216" s="90">
        <f>E143+E147</f>
        <v>25549.96</v>
      </c>
      <c r="F216" s="91"/>
      <c r="G216" s="91"/>
      <c r="H216" s="91"/>
      <c r="I216" s="79">
        <f>SUM(G216:H216)+'BM 002'!I216</f>
        <v>0</v>
      </c>
      <c r="J216" s="91">
        <f t="shared" si="90"/>
        <v>25549.96</v>
      </c>
      <c r="K216" s="84">
        <v>16</v>
      </c>
      <c r="L216" s="81">
        <f t="shared" si="84"/>
        <v>20.281601760000001</v>
      </c>
      <c r="M216" s="82">
        <f t="shared" ref="M216:M221" si="108">TRUNC(F216*L216,2)</f>
        <v>0</v>
      </c>
      <c r="N216" s="82">
        <f t="shared" ref="N216:N221" si="109">TRUNC(G216*L216,2)</f>
        <v>0</v>
      </c>
      <c r="O216" s="82">
        <f>N216+'BM 002'!O216</f>
        <v>0</v>
      </c>
      <c r="P216" s="80">
        <f t="shared" ref="P216:P221" si="110">E216*K216</f>
        <v>408799.36</v>
      </c>
      <c r="Q216" s="82">
        <f t="shared" ref="Q216:Q221" si="111">TRUNC(E216*L216,2)</f>
        <v>518194.11</v>
      </c>
      <c r="R216" s="82">
        <f t="shared" ref="R216:R221" si="112">Q216-O216</f>
        <v>518194.11</v>
      </c>
    </row>
    <row r="217" spans="1:23" s="34" customFormat="1" ht="23.4">
      <c r="B217" s="87" t="s">
        <v>427</v>
      </c>
      <c r="C217" s="88" t="s">
        <v>428</v>
      </c>
      <c r="D217" s="89" t="s">
        <v>79</v>
      </c>
      <c r="E217" s="90">
        <f>E171</f>
        <v>3789.02</v>
      </c>
      <c r="F217" s="91"/>
      <c r="G217" s="91"/>
      <c r="H217" s="91"/>
      <c r="I217" s="79">
        <f>SUM(G217:H217)+'BM 002'!I217</f>
        <v>0</v>
      </c>
      <c r="J217" s="91">
        <f t="shared" si="90"/>
        <v>3789.02</v>
      </c>
      <c r="K217" s="84">
        <v>25</v>
      </c>
      <c r="L217" s="81">
        <f t="shared" si="84"/>
        <v>31.690002750000001</v>
      </c>
      <c r="M217" s="82">
        <f t="shared" si="108"/>
        <v>0</v>
      </c>
      <c r="N217" s="82">
        <f t="shared" si="109"/>
        <v>0</v>
      </c>
      <c r="O217" s="82">
        <f>N217+'BM 002'!O217</f>
        <v>0</v>
      </c>
      <c r="P217" s="80">
        <f t="shared" si="110"/>
        <v>94725.5</v>
      </c>
      <c r="Q217" s="82">
        <f t="shared" si="111"/>
        <v>120074.05</v>
      </c>
      <c r="R217" s="82">
        <f t="shared" si="112"/>
        <v>120074.05</v>
      </c>
    </row>
    <row r="218" spans="1:23" s="34" customFormat="1" ht="13.2">
      <c r="B218" s="87" t="s">
        <v>429</v>
      </c>
      <c r="C218" s="88" t="s">
        <v>430</v>
      </c>
      <c r="D218" s="89" t="s">
        <v>79</v>
      </c>
      <c r="E218" s="90">
        <f>E216</f>
        <v>25549.96</v>
      </c>
      <c r="F218" s="91"/>
      <c r="G218" s="91"/>
      <c r="H218" s="91"/>
      <c r="I218" s="79">
        <f>SUM(G218:H218)+'BM 002'!I218</f>
        <v>0</v>
      </c>
      <c r="J218" s="91">
        <f t="shared" si="90"/>
        <v>25549.96</v>
      </c>
      <c r="K218" s="84">
        <v>4.5</v>
      </c>
      <c r="L218" s="81">
        <f t="shared" si="84"/>
        <v>5.7042004950000003</v>
      </c>
      <c r="M218" s="82">
        <f t="shared" si="108"/>
        <v>0</v>
      </c>
      <c r="N218" s="82">
        <f t="shared" si="109"/>
        <v>0</v>
      </c>
      <c r="O218" s="82">
        <f>N218+'BM 002'!O218</f>
        <v>0</v>
      </c>
      <c r="P218" s="80">
        <f t="shared" si="110"/>
        <v>114974.81999999999</v>
      </c>
      <c r="Q218" s="82">
        <f t="shared" si="111"/>
        <v>145742.09</v>
      </c>
      <c r="R218" s="82">
        <f t="shared" si="112"/>
        <v>145742.09</v>
      </c>
    </row>
    <row r="219" spans="1:23" s="34" customFormat="1" ht="13.2">
      <c r="B219" s="87" t="s">
        <v>431</v>
      </c>
      <c r="C219" s="88" t="s">
        <v>432</v>
      </c>
      <c r="D219" s="89" t="s">
        <v>79</v>
      </c>
      <c r="E219" s="90">
        <f>E217</f>
        <v>3789.02</v>
      </c>
      <c r="F219" s="91"/>
      <c r="G219" s="91"/>
      <c r="H219" s="91"/>
      <c r="I219" s="79">
        <f>SUM(G219:H219)+'BM 002'!I219</f>
        <v>0</v>
      </c>
      <c r="J219" s="91">
        <f t="shared" si="90"/>
        <v>3789.02</v>
      </c>
      <c r="K219" s="84">
        <v>5</v>
      </c>
      <c r="L219" s="81">
        <f t="shared" si="84"/>
        <v>6.3380005500000003</v>
      </c>
      <c r="M219" s="82">
        <f t="shared" si="108"/>
        <v>0</v>
      </c>
      <c r="N219" s="82">
        <f t="shared" si="109"/>
        <v>0</v>
      </c>
      <c r="O219" s="82">
        <f>N219+'BM 002'!O219</f>
        <v>0</v>
      </c>
      <c r="P219" s="80">
        <f t="shared" si="110"/>
        <v>18945.099999999999</v>
      </c>
      <c r="Q219" s="82">
        <f t="shared" si="111"/>
        <v>24014.81</v>
      </c>
      <c r="R219" s="82">
        <f t="shared" si="112"/>
        <v>24014.81</v>
      </c>
    </row>
    <row r="220" spans="1:23" s="34" customFormat="1" ht="23.4">
      <c r="B220" s="87" t="s">
        <v>433</v>
      </c>
      <c r="C220" s="88" t="s">
        <v>434</v>
      </c>
      <c r="D220" s="89" t="s">
        <v>79</v>
      </c>
      <c r="E220" s="90">
        <f>E216</f>
        <v>25549.96</v>
      </c>
      <c r="F220" s="91"/>
      <c r="G220" s="91"/>
      <c r="H220" s="91"/>
      <c r="I220" s="79">
        <f>SUM(G220:H220)+'BM 002'!I220</f>
        <v>0</v>
      </c>
      <c r="J220" s="91">
        <f t="shared" si="90"/>
        <v>25549.96</v>
      </c>
      <c r="K220" s="84">
        <v>23.5</v>
      </c>
      <c r="L220" s="81">
        <f t="shared" si="84"/>
        <v>29.788602585</v>
      </c>
      <c r="M220" s="82">
        <f t="shared" si="108"/>
        <v>0</v>
      </c>
      <c r="N220" s="82">
        <f t="shared" si="109"/>
        <v>0</v>
      </c>
      <c r="O220" s="82">
        <f>N220+'BM 002'!O220</f>
        <v>0</v>
      </c>
      <c r="P220" s="80">
        <f t="shared" si="110"/>
        <v>600424.05999999994</v>
      </c>
      <c r="Q220" s="82">
        <f t="shared" si="111"/>
        <v>761097.6</v>
      </c>
      <c r="R220" s="82">
        <f t="shared" si="112"/>
        <v>761097.6</v>
      </c>
    </row>
    <row r="221" spans="1:23" s="34" customFormat="1" ht="23.4">
      <c r="B221" s="87" t="s">
        <v>435</v>
      </c>
      <c r="C221" s="88" t="s">
        <v>436</v>
      </c>
      <c r="D221" s="89" t="s">
        <v>79</v>
      </c>
      <c r="E221" s="90">
        <f>E219</f>
        <v>3789.02</v>
      </c>
      <c r="F221" s="91"/>
      <c r="G221" s="91"/>
      <c r="H221" s="91"/>
      <c r="I221" s="79">
        <f>SUM(G221:H221)+'BM 002'!I221</f>
        <v>0</v>
      </c>
      <c r="J221" s="91">
        <f t="shared" si="90"/>
        <v>3789.02</v>
      </c>
      <c r="K221" s="84">
        <v>23.5</v>
      </c>
      <c r="L221" s="81">
        <f t="shared" ref="L221:L284" si="113">K221*(1+$T$26)</f>
        <v>29.788602585</v>
      </c>
      <c r="M221" s="82">
        <f t="shared" si="108"/>
        <v>0</v>
      </c>
      <c r="N221" s="82">
        <f t="shared" si="109"/>
        <v>0</v>
      </c>
      <c r="O221" s="82">
        <f>N221+'BM 002'!O221</f>
        <v>0</v>
      </c>
      <c r="P221" s="80">
        <f t="shared" si="110"/>
        <v>89041.97</v>
      </c>
      <c r="Q221" s="82">
        <f t="shared" si="111"/>
        <v>112869.61</v>
      </c>
      <c r="R221" s="82">
        <f t="shared" si="112"/>
        <v>112869.61</v>
      </c>
    </row>
    <row r="222" spans="1:23" s="34" customFormat="1" ht="13.2">
      <c r="A222" s="107"/>
      <c r="B222" s="60" t="s">
        <v>437</v>
      </c>
      <c r="C222" s="61" t="s">
        <v>438</v>
      </c>
      <c r="D222" s="60"/>
      <c r="E222" s="62"/>
      <c r="F222" s="63"/>
      <c r="G222" s="63"/>
      <c r="H222" s="63"/>
      <c r="I222" s="63">
        <f>SUM(G222:H222)+'BM 002'!I222</f>
        <v>0</v>
      </c>
      <c r="J222" s="63">
        <f t="shared" si="90"/>
        <v>0</v>
      </c>
      <c r="K222" s="63"/>
      <c r="L222" s="63">
        <f t="shared" si="113"/>
        <v>0</v>
      </c>
      <c r="M222" s="63">
        <f t="shared" ref="M222:R222" si="114">SUM(M223:M224)</f>
        <v>0</v>
      </c>
      <c r="N222" s="63">
        <f t="shared" si="114"/>
        <v>0</v>
      </c>
      <c r="O222" s="63">
        <f t="shared" si="114"/>
        <v>0</v>
      </c>
      <c r="P222" s="63">
        <f t="shared" si="114"/>
        <v>13739.5</v>
      </c>
      <c r="Q222" s="63">
        <f t="shared" si="114"/>
        <v>17416.18</v>
      </c>
      <c r="R222" s="63">
        <f t="shared" si="114"/>
        <v>17416.18</v>
      </c>
      <c r="S222" s="107"/>
      <c r="T222" s="107"/>
      <c r="U222" s="107"/>
      <c r="V222" s="107"/>
      <c r="W222" s="107"/>
    </row>
    <row r="223" spans="1:23" s="34" customFormat="1" ht="13.2">
      <c r="B223" s="87" t="s">
        <v>439</v>
      </c>
      <c r="C223" s="88" t="s">
        <v>440</v>
      </c>
      <c r="D223" s="89" t="s">
        <v>124</v>
      </c>
      <c r="E223" s="90">
        <v>199.3</v>
      </c>
      <c r="F223" s="91"/>
      <c r="G223" s="91"/>
      <c r="H223" s="91"/>
      <c r="I223" s="79">
        <f>SUM(G223:H223)+'BM 002'!I223</f>
        <v>0</v>
      </c>
      <c r="J223" s="91">
        <f t="shared" ref="J223:J286" si="115">E223-I223</f>
        <v>199.3</v>
      </c>
      <c r="K223" s="84">
        <v>25</v>
      </c>
      <c r="L223" s="81">
        <f t="shared" si="113"/>
        <v>31.690002750000001</v>
      </c>
      <c r="M223" s="82">
        <f>TRUNC(F223*L223,2)</f>
        <v>0</v>
      </c>
      <c r="N223" s="82">
        <f>TRUNC(G223*L223,2)</f>
        <v>0</v>
      </c>
      <c r="O223" s="82">
        <f>N223+'BM 002'!O223</f>
        <v>0</v>
      </c>
      <c r="P223" s="80">
        <f>E223*K223</f>
        <v>4982.5</v>
      </c>
      <c r="Q223" s="82">
        <f>TRUNC(E223*L223,2)</f>
        <v>6315.81</v>
      </c>
      <c r="R223" s="82">
        <f>Q223-O223</f>
        <v>6315.81</v>
      </c>
    </row>
    <row r="224" spans="1:23" s="34" customFormat="1" ht="13.2">
      <c r="B224" s="87" t="s">
        <v>441</v>
      </c>
      <c r="C224" s="88" t="s">
        <v>442</v>
      </c>
      <c r="D224" s="89" t="s">
        <v>124</v>
      </c>
      <c r="E224" s="92">
        <v>250.2</v>
      </c>
      <c r="F224" s="91"/>
      <c r="G224" s="91"/>
      <c r="H224" s="91"/>
      <c r="I224" s="79">
        <f>SUM(G224:H224)+'BM 002'!I224</f>
        <v>0</v>
      </c>
      <c r="J224" s="91">
        <f t="shared" si="115"/>
        <v>250.2</v>
      </c>
      <c r="K224" s="84">
        <v>35</v>
      </c>
      <c r="L224" s="81">
        <f t="shared" si="113"/>
        <v>44.366003849999998</v>
      </c>
      <c r="M224" s="82">
        <f>TRUNC(F224*L224,2)</f>
        <v>0</v>
      </c>
      <c r="N224" s="82">
        <f>TRUNC(G224*L224,2)</f>
        <v>0</v>
      </c>
      <c r="O224" s="82">
        <f>N224+'BM 002'!O224</f>
        <v>0</v>
      </c>
      <c r="P224" s="80">
        <f>E224*K224</f>
        <v>8757</v>
      </c>
      <c r="Q224" s="82">
        <f>TRUNC(E224*L224,2)</f>
        <v>11100.37</v>
      </c>
      <c r="R224" s="82">
        <f>Q224-O224</f>
        <v>11100.37</v>
      </c>
    </row>
    <row r="225" spans="2:20" s="34" customFormat="1" ht="13.2">
      <c r="B225" s="60" t="s">
        <v>443</v>
      </c>
      <c r="C225" s="61" t="s">
        <v>444</v>
      </c>
      <c r="D225" s="60"/>
      <c r="E225" s="62"/>
      <c r="F225" s="63"/>
      <c r="G225" s="63"/>
      <c r="H225" s="63"/>
      <c r="I225" s="63">
        <f>SUM(G225:H225)+'BM 002'!I225</f>
        <v>0</v>
      </c>
      <c r="J225" s="63">
        <f t="shared" si="115"/>
        <v>0</v>
      </c>
      <c r="K225" s="63"/>
      <c r="L225" s="63">
        <f t="shared" si="113"/>
        <v>0</v>
      </c>
      <c r="M225" s="63">
        <f t="shared" ref="M225:R225" si="116">SUM(M226,M240,M255,M291,M296,M307,M315)</f>
        <v>0</v>
      </c>
      <c r="N225" s="63">
        <f t="shared" si="116"/>
        <v>0</v>
      </c>
      <c r="O225" s="63">
        <f t="shared" si="116"/>
        <v>0</v>
      </c>
      <c r="P225" s="63">
        <f t="shared" si="116"/>
        <v>679789.94300000009</v>
      </c>
      <c r="Q225" s="63">
        <f t="shared" si="116"/>
        <v>861701.45999999985</v>
      </c>
      <c r="R225" s="63">
        <f t="shared" si="116"/>
        <v>861701.45999999985</v>
      </c>
    </row>
    <row r="226" spans="2:20" s="34" customFormat="1" ht="24">
      <c r="B226" s="66" t="s">
        <v>445</v>
      </c>
      <c r="C226" s="67" t="s">
        <v>446</v>
      </c>
      <c r="D226" s="68"/>
      <c r="E226" s="69"/>
      <c r="F226" s="70"/>
      <c r="G226" s="70"/>
      <c r="H226" s="70"/>
      <c r="I226" s="70">
        <f>SUM(G226:H226)+'BM 002'!I226</f>
        <v>0</v>
      </c>
      <c r="J226" s="70">
        <f t="shared" si="115"/>
        <v>0</v>
      </c>
      <c r="K226" s="71"/>
      <c r="L226" s="71">
        <f t="shared" si="113"/>
        <v>0</v>
      </c>
      <c r="M226" s="73">
        <f t="shared" ref="M226:R226" si="117">SUM(M227:M239)</f>
        <v>0</v>
      </c>
      <c r="N226" s="73">
        <f t="shared" si="117"/>
        <v>0</v>
      </c>
      <c r="O226" s="73">
        <f t="shared" si="117"/>
        <v>0</v>
      </c>
      <c r="P226" s="73">
        <f t="shared" si="117"/>
        <v>135121.34</v>
      </c>
      <c r="Q226" s="73">
        <f t="shared" si="117"/>
        <v>171279.75999999998</v>
      </c>
      <c r="R226" s="73">
        <f t="shared" si="117"/>
        <v>171279.75999999998</v>
      </c>
    </row>
    <row r="227" spans="2:20" s="34" customFormat="1" ht="23.4">
      <c r="B227" s="87" t="s">
        <v>447</v>
      </c>
      <c r="C227" s="88" t="s">
        <v>448</v>
      </c>
      <c r="D227" s="89" t="s">
        <v>82</v>
      </c>
      <c r="E227" s="90">
        <v>787.32</v>
      </c>
      <c r="F227" s="91"/>
      <c r="G227" s="91"/>
      <c r="H227" s="91"/>
      <c r="I227" s="91">
        <f>SUM(G227:H227)+'BM 002'!I227</f>
        <v>0</v>
      </c>
      <c r="J227" s="91">
        <f t="shared" si="115"/>
        <v>787.32</v>
      </c>
      <c r="K227" s="80">
        <v>70</v>
      </c>
      <c r="L227" s="81">
        <f t="shared" si="113"/>
        <v>88.732007699999997</v>
      </c>
      <c r="M227" s="82">
        <f t="shared" ref="M227:M239" si="118">TRUNC(F227*L227,2)</f>
        <v>0</v>
      </c>
      <c r="N227" s="82">
        <f t="shared" ref="N227:N239" si="119">TRUNC(G227*L227,2)</f>
        <v>0</v>
      </c>
      <c r="O227" s="82">
        <f>N227+'BM 002'!O227</f>
        <v>0</v>
      </c>
      <c r="P227" s="80">
        <f t="shared" ref="P227:P239" si="120">E227*K227</f>
        <v>55112.4</v>
      </c>
      <c r="Q227" s="82">
        <f t="shared" ref="Q227:Q239" si="121">TRUNC(E227*L227,2)</f>
        <v>69860.479999999996</v>
      </c>
      <c r="R227" s="82">
        <f t="shared" ref="R227:R239" si="122">Q227-O227</f>
        <v>69860.479999999996</v>
      </c>
    </row>
    <row r="228" spans="2:20" s="34" customFormat="1" ht="13.2">
      <c r="B228" s="87" t="s">
        <v>449</v>
      </c>
      <c r="C228" s="88" t="s">
        <v>450</v>
      </c>
      <c r="D228" s="89" t="s">
        <v>39</v>
      </c>
      <c r="E228" s="90">
        <v>30</v>
      </c>
      <c r="F228" s="91"/>
      <c r="G228" s="91"/>
      <c r="H228" s="91"/>
      <c r="I228" s="91">
        <f>SUM(G228:H228)+'BM 002'!I228</f>
        <v>0</v>
      </c>
      <c r="J228" s="91">
        <f t="shared" si="115"/>
        <v>30</v>
      </c>
      <c r="K228" s="80">
        <v>49.5</v>
      </c>
      <c r="L228" s="81">
        <f t="shared" si="113"/>
        <v>62.746205445000001</v>
      </c>
      <c r="M228" s="82">
        <f t="shared" si="118"/>
        <v>0</v>
      </c>
      <c r="N228" s="82">
        <f t="shared" si="119"/>
        <v>0</v>
      </c>
      <c r="O228" s="82">
        <f>N228+'BM 002'!O228</f>
        <v>0</v>
      </c>
      <c r="P228" s="80">
        <f t="shared" si="120"/>
        <v>1485</v>
      </c>
      <c r="Q228" s="82">
        <f t="shared" si="121"/>
        <v>1882.38</v>
      </c>
      <c r="R228" s="82">
        <f t="shared" si="122"/>
        <v>1882.38</v>
      </c>
    </row>
    <row r="229" spans="2:20" s="34" customFormat="1" ht="13.2">
      <c r="B229" s="87" t="s">
        <v>451</v>
      </c>
      <c r="C229" s="88" t="s">
        <v>452</v>
      </c>
      <c r="D229" s="89" t="s">
        <v>39</v>
      </c>
      <c r="E229" s="90">
        <v>38</v>
      </c>
      <c r="F229" s="91"/>
      <c r="G229" s="91"/>
      <c r="H229" s="91"/>
      <c r="I229" s="91">
        <f>SUM(G229:H229)+'BM 002'!I229</f>
        <v>0</v>
      </c>
      <c r="J229" s="91">
        <f t="shared" si="115"/>
        <v>38</v>
      </c>
      <c r="K229" s="80">
        <v>43.8</v>
      </c>
      <c r="L229" s="81">
        <f t="shared" si="113"/>
        <v>55.520884817999999</v>
      </c>
      <c r="M229" s="82">
        <f t="shared" si="118"/>
        <v>0</v>
      </c>
      <c r="N229" s="82">
        <f t="shared" si="119"/>
        <v>0</v>
      </c>
      <c r="O229" s="82">
        <f>N229+'BM 002'!O229</f>
        <v>0</v>
      </c>
      <c r="P229" s="80">
        <f t="shared" si="120"/>
        <v>1664.3999999999999</v>
      </c>
      <c r="Q229" s="82">
        <f t="shared" si="121"/>
        <v>2109.79</v>
      </c>
      <c r="R229" s="82">
        <f t="shared" si="122"/>
        <v>2109.79</v>
      </c>
    </row>
    <row r="230" spans="2:20" s="34" customFormat="1" ht="23.4">
      <c r="B230" s="87" t="s">
        <v>453</v>
      </c>
      <c r="C230" s="88" t="s">
        <v>454</v>
      </c>
      <c r="D230" s="89" t="s">
        <v>39</v>
      </c>
      <c r="E230" s="90">
        <v>24</v>
      </c>
      <c r="F230" s="91"/>
      <c r="G230" s="91"/>
      <c r="H230" s="91"/>
      <c r="I230" s="91">
        <f>SUM(G230:H230)+'BM 002'!I230</f>
        <v>0</v>
      </c>
      <c r="J230" s="91">
        <f t="shared" si="115"/>
        <v>24</v>
      </c>
      <c r="K230" s="80">
        <v>40</v>
      </c>
      <c r="L230" s="81">
        <f t="shared" si="113"/>
        <v>50.704004400000002</v>
      </c>
      <c r="M230" s="82">
        <f t="shared" si="118"/>
        <v>0</v>
      </c>
      <c r="N230" s="82">
        <f t="shared" si="119"/>
        <v>0</v>
      </c>
      <c r="O230" s="82">
        <f>N230+'BM 002'!O230</f>
        <v>0</v>
      </c>
      <c r="P230" s="80">
        <f t="shared" si="120"/>
        <v>960</v>
      </c>
      <c r="Q230" s="82">
        <f t="shared" si="121"/>
        <v>1216.8900000000001</v>
      </c>
      <c r="R230" s="82">
        <f t="shared" si="122"/>
        <v>1216.8900000000001</v>
      </c>
    </row>
    <row r="231" spans="2:20" s="34" customFormat="1" ht="23.4">
      <c r="B231" s="87" t="s">
        <v>455</v>
      </c>
      <c r="C231" s="88" t="s">
        <v>456</v>
      </c>
      <c r="D231" s="89" t="s">
        <v>39</v>
      </c>
      <c r="E231" s="90">
        <v>30</v>
      </c>
      <c r="F231" s="91"/>
      <c r="G231" s="91"/>
      <c r="H231" s="91"/>
      <c r="I231" s="91">
        <f>SUM(G231:H231)+'BM 002'!I231</f>
        <v>0</v>
      </c>
      <c r="J231" s="91">
        <f t="shared" si="115"/>
        <v>30</v>
      </c>
      <c r="K231" s="80">
        <v>50</v>
      </c>
      <c r="L231" s="81">
        <f t="shared" si="113"/>
        <v>63.380005500000003</v>
      </c>
      <c r="M231" s="82">
        <f t="shared" si="118"/>
        <v>0</v>
      </c>
      <c r="N231" s="82">
        <f t="shared" si="119"/>
        <v>0</v>
      </c>
      <c r="O231" s="82">
        <f>N231+'BM 002'!O231</f>
        <v>0</v>
      </c>
      <c r="P231" s="80">
        <f t="shared" si="120"/>
        <v>1500</v>
      </c>
      <c r="Q231" s="82">
        <f t="shared" si="121"/>
        <v>1901.4</v>
      </c>
      <c r="R231" s="82">
        <f t="shared" si="122"/>
        <v>1901.4</v>
      </c>
    </row>
    <row r="232" spans="2:20" s="34" customFormat="1" ht="23.4">
      <c r="B232" s="87" t="s">
        <v>457</v>
      </c>
      <c r="C232" s="88" t="s">
        <v>458</v>
      </c>
      <c r="D232" s="89" t="s">
        <v>39</v>
      </c>
      <c r="E232" s="90">
        <v>400</v>
      </c>
      <c r="F232" s="91"/>
      <c r="G232" s="91"/>
      <c r="H232" s="91"/>
      <c r="I232" s="91">
        <f>SUM(G232:H232)+'BM 002'!I232</f>
        <v>0</v>
      </c>
      <c r="J232" s="91">
        <f t="shared" si="115"/>
        <v>400</v>
      </c>
      <c r="K232" s="80">
        <v>9.7100000000000009</v>
      </c>
      <c r="L232" s="81">
        <f t="shared" si="113"/>
        <v>12.308397068100001</v>
      </c>
      <c r="M232" s="82">
        <f t="shared" si="118"/>
        <v>0</v>
      </c>
      <c r="N232" s="82">
        <f t="shared" si="119"/>
        <v>0</v>
      </c>
      <c r="O232" s="82">
        <f>N232+'BM 002'!O232</f>
        <v>0</v>
      </c>
      <c r="P232" s="80">
        <f t="shared" si="120"/>
        <v>3884.0000000000005</v>
      </c>
      <c r="Q232" s="82">
        <f t="shared" si="121"/>
        <v>4923.3500000000004</v>
      </c>
      <c r="R232" s="82">
        <f t="shared" si="122"/>
        <v>4923.3500000000004</v>
      </c>
    </row>
    <row r="233" spans="2:20" s="34" customFormat="1" ht="23.4">
      <c r="B233" s="87" t="s">
        <v>459</v>
      </c>
      <c r="C233" s="88" t="s">
        <v>460</v>
      </c>
      <c r="D233" s="89" t="s">
        <v>82</v>
      </c>
      <c r="E233" s="90">
        <v>53.61</v>
      </c>
      <c r="F233" s="91"/>
      <c r="G233" s="91"/>
      <c r="H233" s="91"/>
      <c r="I233" s="91">
        <f>SUM(G233:H233)+'BM 002'!I233</f>
        <v>0</v>
      </c>
      <c r="J233" s="91">
        <f t="shared" si="115"/>
        <v>53.61</v>
      </c>
      <c r="K233" s="80">
        <v>95</v>
      </c>
      <c r="L233" s="81">
        <f t="shared" si="113"/>
        <v>120.42201045</v>
      </c>
      <c r="M233" s="82">
        <f t="shared" si="118"/>
        <v>0</v>
      </c>
      <c r="N233" s="82">
        <f t="shared" si="119"/>
        <v>0</v>
      </c>
      <c r="O233" s="82">
        <f>N233+'BM 002'!O233</f>
        <v>0</v>
      </c>
      <c r="P233" s="80">
        <f t="shared" si="120"/>
        <v>5092.95</v>
      </c>
      <c r="Q233" s="82">
        <f t="shared" si="121"/>
        <v>6455.82</v>
      </c>
      <c r="R233" s="82">
        <f t="shared" si="122"/>
        <v>6455.82</v>
      </c>
    </row>
    <row r="234" spans="2:20" s="34" customFormat="1" ht="34.799999999999997">
      <c r="B234" s="87" t="s">
        <v>461</v>
      </c>
      <c r="C234" s="88" t="s">
        <v>462</v>
      </c>
      <c r="D234" s="89" t="s">
        <v>82</v>
      </c>
      <c r="E234" s="90">
        <v>91.42</v>
      </c>
      <c r="F234" s="91"/>
      <c r="G234" s="91"/>
      <c r="H234" s="91"/>
      <c r="I234" s="91">
        <f>SUM(G234:H234)+'BM 002'!I234</f>
        <v>0</v>
      </c>
      <c r="J234" s="91">
        <f t="shared" si="115"/>
        <v>91.42</v>
      </c>
      <c r="K234" s="80">
        <v>15</v>
      </c>
      <c r="L234" s="81">
        <f t="shared" si="113"/>
        <v>19.014001650000001</v>
      </c>
      <c r="M234" s="82">
        <f t="shared" si="118"/>
        <v>0</v>
      </c>
      <c r="N234" s="82">
        <f t="shared" si="119"/>
        <v>0</v>
      </c>
      <c r="O234" s="82">
        <f>N234+'BM 002'!O234</f>
        <v>0</v>
      </c>
      <c r="P234" s="80">
        <f t="shared" si="120"/>
        <v>1371.3</v>
      </c>
      <c r="Q234" s="82">
        <f t="shared" si="121"/>
        <v>1738.26</v>
      </c>
      <c r="R234" s="82">
        <f t="shared" si="122"/>
        <v>1738.26</v>
      </c>
    </row>
    <row r="235" spans="2:20" s="34" customFormat="1" ht="34.799999999999997">
      <c r="B235" s="87" t="s">
        <v>463</v>
      </c>
      <c r="C235" s="88" t="s">
        <v>464</v>
      </c>
      <c r="D235" s="89" t="s">
        <v>82</v>
      </c>
      <c r="E235" s="90">
        <v>8549.7900000000009</v>
      </c>
      <c r="F235" s="91"/>
      <c r="G235" s="91"/>
      <c r="H235" s="91"/>
      <c r="I235" s="91">
        <f>SUM(G235:H235)+'BM 002'!I235</f>
        <v>0</v>
      </c>
      <c r="J235" s="91">
        <f t="shared" si="115"/>
        <v>8549.7900000000009</v>
      </c>
      <c r="K235" s="80">
        <v>6</v>
      </c>
      <c r="L235" s="81">
        <f t="shared" si="113"/>
        <v>7.6056006600000003</v>
      </c>
      <c r="M235" s="82">
        <f t="shared" si="118"/>
        <v>0</v>
      </c>
      <c r="N235" s="82">
        <f t="shared" si="119"/>
        <v>0</v>
      </c>
      <c r="O235" s="82">
        <f>N235+'BM 002'!O235</f>
        <v>0</v>
      </c>
      <c r="P235" s="80">
        <f t="shared" si="120"/>
        <v>51298.740000000005</v>
      </c>
      <c r="Q235" s="82">
        <f t="shared" si="121"/>
        <v>65026.28</v>
      </c>
      <c r="R235" s="82">
        <f t="shared" si="122"/>
        <v>65026.28</v>
      </c>
    </row>
    <row r="236" spans="2:20" s="34" customFormat="1" ht="34.799999999999997">
      <c r="B236" s="87" t="s">
        <v>465</v>
      </c>
      <c r="C236" s="88" t="s">
        <v>466</v>
      </c>
      <c r="D236" s="89" t="s">
        <v>82</v>
      </c>
      <c r="E236" s="90">
        <v>98.51</v>
      </c>
      <c r="F236" s="91"/>
      <c r="G236" s="91"/>
      <c r="H236" s="91"/>
      <c r="I236" s="91">
        <f>SUM(G236:H236)+'BM 002'!I236</f>
        <v>0</v>
      </c>
      <c r="J236" s="91">
        <f t="shared" si="115"/>
        <v>98.51</v>
      </c>
      <c r="K236" s="80">
        <v>20</v>
      </c>
      <c r="L236" s="81">
        <f t="shared" si="113"/>
        <v>25.352002200000001</v>
      </c>
      <c r="M236" s="82">
        <f t="shared" si="118"/>
        <v>0</v>
      </c>
      <c r="N236" s="82">
        <f t="shared" si="119"/>
        <v>0</v>
      </c>
      <c r="O236" s="82">
        <f>N236+'BM 002'!O236</f>
        <v>0</v>
      </c>
      <c r="P236" s="80">
        <f t="shared" si="120"/>
        <v>1970.2</v>
      </c>
      <c r="Q236" s="82">
        <f t="shared" si="121"/>
        <v>2497.42</v>
      </c>
      <c r="R236" s="82">
        <f t="shared" si="122"/>
        <v>2497.42</v>
      </c>
      <c r="T236" s="83"/>
    </row>
    <row r="237" spans="2:20" s="34" customFormat="1" ht="23.4">
      <c r="B237" s="87" t="s">
        <v>467</v>
      </c>
      <c r="C237" s="88" t="s">
        <v>468</v>
      </c>
      <c r="D237" s="89" t="s">
        <v>39</v>
      </c>
      <c r="E237" s="90">
        <v>836</v>
      </c>
      <c r="F237" s="91"/>
      <c r="G237" s="91"/>
      <c r="H237" s="91"/>
      <c r="I237" s="91">
        <f>SUM(G237:H237)+'BM 002'!I237</f>
        <v>0</v>
      </c>
      <c r="J237" s="91">
        <f t="shared" si="115"/>
        <v>836</v>
      </c>
      <c r="K237" s="80">
        <v>8</v>
      </c>
      <c r="L237" s="81">
        <f t="shared" si="113"/>
        <v>10.14080088</v>
      </c>
      <c r="M237" s="82">
        <f t="shared" si="118"/>
        <v>0</v>
      </c>
      <c r="N237" s="82">
        <f t="shared" si="119"/>
        <v>0</v>
      </c>
      <c r="O237" s="82">
        <f>N237+'BM 002'!O237</f>
        <v>0</v>
      </c>
      <c r="P237" s="80">
        <f t="shared" si="120"/>
        <v>6688</v>
      </c>
      <c r="Q237" s="82">
        <f t="shared" si="121"/>
        <v>8477.7000000000007</v>
      </c>
      <c r="R237" s="82">
        <f t="shared" si="122"/>
        <v>8477.7000000000007</v>
      </c>
      <c r="T237" s="83"/>
    </row>
    <row r="238" spans="2:20" s="34" customFormat="1" ht="34.799999999999997">
      <c r="B238" s="87" t="s">
        <v>469</v>
      </c>
      <c r="C238" s="88" t="s">
        <v>470</v>
      </c>
      <c r="D238" s="89" t="s">
        <v>39</v>
      </c>
      <c r="E238" s="90">
        <v>1359</v>
      </c>
      <c r="F238" s="91"/>
      <c r="G238" s="91"/>
      <c r="H238" s="91"/>
      <c r="I238" s="91">
        <f>SUM(G238:H238)+'BM 002'!I238</f>
        <v>0</v>
      </c>
      <c r="J238" s="91">
        <f t="shared" si="115"/>
        <v>1359</v>
      </c>
      <c r="K238" s="80">
        <v>3</v>
      </c>
      <c r="L238" s="81">
        <f t="shared" si="113"/>
        <v>3.8028003300000002</v>
      </c>
      <c r="M238" s="82">
        <f t="shared" si="118"/>
        <v>0</v>
      </c>
      <c r="N238" s="82">
        <f t="shared" si="119"/>
        <v>0</v>
      </c>
      <c r="O238" s="82">
        <f>N238+'BM 002'!O238</f>
        <v>0</v>
      </c>
      <c r="P238" s="80">
        <f t="shared" si="120"/>
        <v>4077</v>
      </c>
      <c r="Q238" s="82">
        <f t="shared" si="121"/>
        <v>5168</v>
      </c>
      <c r="R238" s="82">
        <f t="shared" si="122"/>
        <v>5168</v>
      </c>
      <c r="T238" s="83"/>
    </row>
    <row r="239" spans="2:20" s="34" customFormat="1" ht="34.799999999999997">
      <c r="B239" s="87" t="s">
        <v>471</v>
      </c>
      <c r="C239" s="88" t="s">
        <v>472</v>
      </c>
      <c r="D239" s="89" t="s">
        <v>39</v>
      </c>
      <c r="E239" s="90">
        <v>5</v>
      </c>
      <c r="F239" s="91"/>
      <c r="G239" s="91"/>
      <c r="H239" s="91"/>
      <c r="I239" s="91">
        <f>SUM(G239:H239)+'BM 002'!I239</f>
        <v>0</v>
      </c>
      <c r="J239" s="91">
        <f t="shared" si="115"/>
        <v>5</v>
      </c>
      <c r="K239" s="80">
        <v>3.47</v>
      </c>
      <c r="L239" s="81">
        <f t="shared" si="113"/>
        <v>4.3985723817000002</v>
      </c>
      <c r="M239" s="82">
        <f t="shared" si="118"/>
        <v>0</v>
      </c>
      <c r="N239" s="82">
        <f t="shared" si="119"/>
        <v>0</v>
      </c>
      <c r="O239" s="82">
        <f>N239+'BM 002'!O239</f>
        <v>0</v>
      </c>
      <c r="P239" s="80">
        <f t="shared" si="120"/>
        <v>17.350000000000001</v>
      </c>
      <c r="Q239" s="82">
        <f t="shared" si="121"/>
        <v>21.99</v>
      </c>
      <c r="R239" s="82">
        <f t="shared" si="122"/>
        <v>21.99</v>
      </c>
      <c r="T239" s="83"/>
    </row>
    <row r="240" spans="2:20" s="34" customFormat="1" ht="13.2">
      <c r="B240" s="66" t="s">
        <v>473</v>
      </c>
      <c r="C240" s="67" t="s">
        <v>474</v>
      </c>
      <c r="D240" s="68"/>
      <c r="E240" s="69"/>
      <c r="F240" s="70"/>
      <c r="G240" s="70"/>
      <c r="H240" s="70"/>
      <c r="I240" s="70">
        <f>SUM(G240:H240)+'BM 002'!I240</f>
        <v>0</v>
      </c>
      <c r="J240" s="70">
        <f t="shared" si="115"/>
        <v>0</v>
      </c>
      <c r="K240" s="71"/>
      <c r="L240" s="71">
        <f t="shared" si="113"/>
        <v>0</v>
      </c>
      <c r="M240" s="73">
        <f t="shared" ref="M240:R240" si="123">SUM(M241:M254)</f>
        <v>0</v>
      </c>
      <c r="N240" s="73">
        <f t="shared" si="123"/>
        <v>0</v>
      </c>
      <c r="O240" s="73">
        <f t="shared" si="123"/>
        <v>0</v>
      </c>
      <c r="P240" s="73">
        <f t="shared" si="123"/>
        <v>310727.75299999997</v>
      </c>
      <c r="Q240" s="73">
        <f t="shared" si="123"/>
        <v>393878.46999999991</v>
      </c>
      <c r="R240" s="73">
        <f t="shared" si="123"/>
        <v>393878.46999999991</v>
      </c>
      <c r="T240" s="83"/>
    </row>
    <row r="241" spans="2:20" s="34" customFormat="1" ht="13.2">
      <c r="B241" s="87" t="s">
        <v>475</v>
      </c>
      <c r="C241" s="88" t="s">
        <v>476</v>
      </c>
      <c r="D241" s="89" t="s">
        <v>82</v>
      </c>
      <c r="E241" s="90">
        <v>1000</v>
      </c>
      <c r="F241" s="91"/>
      <c r="G241" s="91"/>
      <c r="H241" s="91"/>
      <c r="I241" s="91">
        <f>SUM(G241:H241)+'BM 002'!I241</f>
        <v>0</v>
      </c>
      <c r="J241" s="91">
        <f t="shared" si="115"/>
        <v>1000</v>
      </c>
      <c r="K241" s="80">
        <v>15</v>
      </c>
      <c r="L241" s="81">
        <f t="shared" si="113"/>
        <v>19.014001650000001</v>
      </c>
      <c r="M241" s="82">
        <f t="shared" ref="M241:M254" si="124">TRUNC(F241*L241,2)</f>
        <v>0</v>
      </c>
      <c r="N241" s="82">
        <f t="shared" ref="N241:N254" si="125">TRUNC(G241*L241,2)</f>
        <v>0</v>
      </c>
      <c r="O241" s="82">
        <f>N241+'BM 002'!O241</f>
        <v>0</v>
      </c>
      <c r="P241" s="80">
        <f t="shared" ref="P241:P254" si="126">E241*K241</f>
        <v>15000</v>
      </c>
      <c r="Q241" s="82">
        <f t="shared" ref="Q241:Q254" si="127">TRUNC(E241*L241,2)</f>
        <v>19014</v>
      </c>
      <c r="R241" s="82">
        <f t="shared" ref="R241:R254" si="128">Q241-O241</f>
        <v>19014</v>
      </c>
      <c r="T241" s="83"/>
    </row>
    <row r="242" spans="2:20" s="34" customFormat="1" ht="46.2">
      <c r="B242" s="87" t="s">
        <v>477</v>
      </c>
      <c r="C242" s="88" t="s">
        <v>478</v>
      </c>
      <c r="D242" s="89" t="s">
        <v>124</v>
      </c>
      <c r="E242" s="90">
        <v>9216.66</v>
      </c>
      <c r="F242" s="91"/>
      <c r="G242" s="91"/>
      <c r="H242" s="91"/>
      <c r="I242" s="91">
        <f>SUM(G242:H242)+'BM 002'!I242</f>
        <v>0</v>
      </c>
      <c r="J242" s="91">
        <f t="shared" si="115"/>
        <v>9216.66</v>
      </c>
      <c r="K242" s="80">
        <v>3.5</v>
      </c>
      <c r="L242" s="81">
        <f t="shared" si="113"/>
        <v>4.4366003850000002</v>
      </c>
      <c r="M242" s="82">
        <f t="shared" si="124"/>
        <v>0</v>
      </c>
      <c r="N242" s="82">
        <f t="shared" si="125"/>
        <v>0</v>
      </c>
      <c r="O242" s="82">
        <f>N242+'BM 002'!O242</f>
        <v>0</v>
      </c>
      <c r="P242" s="80">
        <f t="shared" si="126"/>
        <v>32258.309999999998</v>
      </c>
      <c r="Q242" s="82">
        <f t="shared" si="127"/>
        <v>40890.629999999997</v>
      </c>
      <c r="R242" s="82">
        <f t="shared" si="128"/>
        <v>40890.629999999997</v>
      </c>
    </row>
    <row r="243" spans="2:20" s="34" customFormat="1" ht="46.2">
      <c r="B243" s="87" t="s">
        <v>479</v>
      </c>
      <c r="C243" s="88" t="s">
        <v>480</v>
      </c>
      <c r="D243" s="89" t="s">
        <v>82</v>
      </c>
      <c r="E243" s="90">
        <v>16088.53</v>
      </c>
      <c r="F243" s="91"/>
      <c r="G243" s="91"/>
      <c r="H243" s="91"/>
      <c r="I243" s="91">
        <f>SUM(G243:H243)+'BM 002'!I243</f>
        <v>0</v>
      </c>
      <c r="J243" s="91">
        <f t="shared" si="115"/>
        <v>16088.53</v>
      </c>
      <c r="K243" s="80">
        <v>4.5</v>
      </c>
      <c r="L243" s="81">
        <f t="shared" si="113"/>
        <v>5.7042004950000003</v>
      </c>
      <c r="M243" s="82">
        <f t="shared" si="124"/>
        <v>0</v>
      </c>
      <c r="N243" s="82">
        <f t="shared" si="125"/>
        <v>0</v>
      </c>
      <c r="O243" s="82">
        <f>N243+'BM 002'!O243</f>
        <v>0</v>
      </c>
      <c r="P243" s="80">
        <f t="shared" si="126"/>
        <v>72398.385000000009</v>
      </c>
      <c r="Q243" s="82">
        <f t="shared" si="127"/>
        <v>91772.2</v>
      </c>
      <c r="R243" s="82">
        <f t="shared" si="128"/>
        <v>91772.2</v>
      </c>
    </row>
    <row r="244" spans="2:20" s="34" customFormat="1" ht="23.4">
      <c r="B244" s="87" t="s">
        <v>481</v>
      </c>
      <c r="C244" s="88" t="s">
        <v>482</v>
      </c>
      <c r="D244" s="89" t="s">
        <v>82</v>
      </c>
      <c r="E244" s="90">
        <v>1366.87</v>
      </c>
      <c r="F244" s="91"/>
      <c r="G244" s="91"/>
      <c r="H244" s="91"/>
      <c r="I244" s="91">
        <f>SUM(G244:H244)+'BM 002'!I244</f>
        <v>0</v>
      </c>
      <c r="J244" s="91">
        <f t="shared" si="115"/>
        <v>1366.87</v>
      </c>
      <c r="K244" s="80">
        <v>7</v>
      </c>
      <c r="L244" s="81">
        <f t="shared" si="113"/>
        <v>8.8732007700000004</v>
      </c>
      <c r="M244" s="82">
        <f t="shared" si="124"/>
        <v>0</v>
      </c>
      <c r="N244" s="82">
        <f t="shared" si="125"/>
        <v>0</v>
      </c>
      <c r="O244" s="82">
        <f>N244+'BM 002'!O244</f>
        <v>0</v>
      </c>
      <c r="P244" s="80">
        <f t="shared" si="126"/>
        <v>9568.09</v>
      </c>
      <c r="Q244" s="82">
        <f t="shared" si="127"/>
        <v>12128.51</v>
      </c>
      <c r="R244" s="82">
        <f t="shared" si="128"/>
        <v>12128.51</v>
      </c>
    </row>
    <row r="245" spans="2:20" s="34" customFormat="1" ht="46.2">
      <c r="B245" s="87" t="s">
        <v>483</v>
      </c>
      <c r="C245" s="88" t="s">
        <v>484</v>
      </c>
      <c r="D245" s="89" t="s">
        <v>82</v>
      </c>
      <c r="E245" s="90">
        <v>337.73</v>
      </c>
      <c r="F245" s="91"/>
      <c r="G245" s="91"/>
      <c r="H245" s="91"/>
      <c r="I245" s="91">
        <f>SUM(G245:H245)+'BM 002'!I245</f>
        <v>0</v>
      </c>
      <c r="J245" s="91">
        <f t="shared" si="115"/>
        <v>337.73</v>
      </c>
      <c r="K245" s="80">
        <v>10</v>
      </c>
      <c r="L245" s="81">
        <f t="shared" si="113"/>
        <v>12.676001100000001</v>
      </c>
      <c r="M245" s="82">
        <f t="shared" si="124"/>
        <v>0</v>
      </c>
      <c r="N245" s="82">
        <f t="shared" si="125"/>
        <v>0</v>
      </c>
      <c r="O245" s="82">
        <f>N245+'BM 002'!O245</f>
        <v>0</v>
      </c>
      <c r="P245" s="80">
        <f t="shared" si="126"/>
        <v>3377.3</v>
      </c>
      <c r="Q245" s="82">
        <f t="shared" si="127"/>
        <v>4281.0600000000004</v>
      </c>
      <c r="R245" s="82">
        <f t="shared" si="128"/>
        <v>4281.0600000000004</v>
      </c>
    </row>
    <row r="246" spans="2:20" s="34" customFormat="1" ht="23.4">
      <c r="B246" s="87" t="s">
        <v>485</v>
      </c>
      <c r="C246" s="88" t="s">
        <v>486</v>
      </c>
      <c r="D246" s="89" t="s">
        <v>82</v>
      </c>
      <c r="E246" s="90">
        <v>584.41</v>
      </c>
      <c r="F246" s="91"/>
      <c r="G246" s="91"/>
      <c r="H246" s="91"/>
      <c r="I246" s="91">
        <f>SUM(G246:H246)+'BM 002'!I246</f>
        <v>0</v>
      </c>
      <c r="J246" s="91">
        <f t="shared" si="115"/>
        <v>584.41</v>
      </c>
      <c r="K246" s="80">
        <v>11</v>
      </c>
      <c r="L246" s="81">
        <f t="shared" si="113"/>
        <v>13.943601210000001</v>
      </c>
      <c r="M246" s="82">
        <f t="shared" si="124"/>
        <v>0</v>
      </c>
      <c r="N246" s="82">
        <f t="shared" si="125"/>
        <v>0</v>
      </c>
      <c r="O246" s="82">
        <f>N246+'BM 002'!O246</f>
        <v>0</v>
      </c>
      <c r="P246" s="80">
        <f t="shared" si="126"/>
        <v>6428.5099999999993</v>
      </c>
      <c r="Q246" s="82">
        <f t="shared" si="127"/>
        <v>8148.77</v>
      </c>
      <c r="R246" s="82">
        <f t="shared" si="128"/>
        <v>8148.77</v>
      </c>
    </row>
    <row r="247" spans="2:20" s="34" customFormat="1" ht="23.4">
      <c r="B247" s="87" t="s">
        <v>487</v>
      </c>
      <c r="C247" s="88" t="s">
        <v>488</v>
      </c>
      <c r="D247" s="89" t="s">
        <v>82</v>
      </c>
      <c r="E247" s="90">
        <v>746.42</v>
      </c>
      <c r="F247" s="91"/>
      <c r="G247" s="91"/>
      <c r="H247" s="91"/>
      <c r="I247" s="91">
        <f>SUM(G247:H247)+'BM 002'!I247</f>
        <v>0</v>
      </c>
      <c r="J247" s="91">
        <f t="shared" si="115"/>
        <v>746.42</v>
      </c>
      <c r="K247" s="80">
        <v>18</v>
      </c>
      <c r="L247" s="81">
        <f t="shared" si="113"/>
        <v>22.816801980000001</v>
      </c>
      <c r="M247" s="82">
        <f t="shared" si="124"/>
        <v>0</v>
      </c>
      <c r="N247" s="82">
        <f t="shared" si="125"/>
        <v>0</v>
      </c>
      <c r="O247" s="82">
        <f>N247+'BM 002'!O247</f>
        <v>0</v>
      </c>
      <c r="P247" s="80">
        <f t="shared" si="126"/>
        <v>13435.56</v>
      </c>
      <c r="Q247" s="82">
        <f t="shared" si="127"/>
        <v>17030.91</v>
      </c>
      <c r="R247" s="82">
        <f t="shared" si="128"/>
        <v>17030.91</v>
      </c>
    </row>
    <row r="248" spans="2:20" s="34" customFormat="1" ht="34.799999999999997">
      <c r="B248" s="87" t="s">
        <v>489</v>
      </c>
      <c r="C248" s="88" t="s">
        <v>490</v>
      </c>
      <c r="D248" s="89" t="s">
        <v>82</v>
      </c>
      <c r="E248" s="90">
        <v>396.45</v>
      </c>
      <c r="F248" s="91"/>
      <c r="G248" s="91"/>
      <c r="H248" s="91"/>
      <c r="I248" s="91">
        <f>SUM(G248:H248)+'BM 002'!I248</f>
        <v>0</v>
      </c>
      <c r="J248" s="91">
        <f t="shared" si="115"/>
        <v>396.45</v>
      </c>
      <c r="K248" s="80">
        <v>25</v>
      </c>
      <c r="L248" s="81">
        <f t="shared" si="113"/>
        <v>31.690002750000001</v>
      </c>
      <c r="M248" s="82">
        <f t="shared" si="124"/>
        <v>0</v>
      </c>
      <c r="N248" s="82">
        <f t="shared" si="125"/>
        <v>0</v>
      </c>
      <c r="O248" s="82">
        <f>N248+'BM 002'!O248</f>
        <v>0</v>
      </c>
      <c r="P248" s="80">
        <f t="shared" si="126"/>
        <v>9911.25</v>
      </c>
      <c r="Q248" s="82">
        <f t="shared" si="127"/>
        <v>12563.5</v>
      </c>
      <c r="R248" s="82">
        <f t="shared" si="128"/>
        <v>12563.5</v>
      </c>
    </row>
    <row r="249" spans="2:20" s="34" customFormat="1" ht="46.2">
      <c r="B249" s="87" t="s">
        <v>491</v>
      </c>
      <c r="C249" s="88" t="s">
        <v>492</v>
      </c>
      <c r="D249" s="89" t="s">
        <v>82</v>
      </c>
      <c r="E249" s="90">
        <v>326.43</v>
      </c>
      <c r="F249" s="91"/>
      <c r="G249" s="91"/>
      <c r="H249" s="91"/>
      <c r="I249" s="91">
        <f>SUM(G249:H249)+'BM 002'!I249</f>
        <v>0</v>
      </c>
      <c r="J249" s="91">
        <f t="shared" si="115"/>
        <v>326.43</v>
      </c>
      <c r="K249" s="80">
        <v>40</v>
      </c>
      <c r="L249" s="81">
        <f t="shared" si="113"/>
        <v>50.704004400000002</v>
      </c>
      <c r="M249" s="82">
        <f t="shared" si="124"/>
        <v>0</v>
      </c>
      <c r="N249" s="82">
        <f t="shared" si="125"/>
        <v>0</v>
      </c>
      <c r="O249" s="82">
        <f>N249+'BM 002'!O249</f>
        <v>0</v>
      </c>
      <c r="P249" s="80">
        <f t="shared" si="126"/>
        <v>13057.2</v>
      </c>
      <c r="Q249" s="82">
        <f t="shared" si="127"/>
        <v>16551.3</v>
      </c>
      <c r="R249" s="82">
        <f t="shared" si="128"/>
        <v>16551.3</v>
      </c>
    </row>
    <row r="250" spans="2:20" s="34" customFormat="1" ht="34.799999999999997">
      <c r="B250" s="87" t="s">
        <v>493</v>
      </c>
      <c r="C250" s="88" t="s">
        <v>494</v>
      </c>
      <c r="D250" s="89" t="s">
        <v>82</v>
      </c>
      <c r="E250" s="90">
        <v>49.87</v>
      </c>
      <c r="F250" s="91"/>
      <c r="G250" s="91"/>
      <c r="H250" s="91"/>
      <c r="I250" s="91">
        <f>SUM(G250:H250)+'BM 002'!I250</f>
        <v>0</v>
      </c>
      <c r="J250" s="91">
        <f t="shared" si="115"/>
        <v>49.87</v>
      </c>
      <c r="K250" s="80">
        <v>125</v>
      </c>
      <c r="L250" s="81">
        <f t="shared" si="113"/>
        <v>158.45001375000001</v>
      </c>
      <c r="M250" s="82">
        <f t="shared" si="124"/>
        <v>0</v>
      </c>
      <c r="N250" s="82">
        <f t="shared" si="125"/>
        <v>0</v>
      </c>
      <c r="O250" s="82">
        <f>N250+'BM 002'!O250</f>
        <v>0</v>
      </c>
      <c r="P250" s="80">
        <f t="shared" si="126"/>
        <v>6233.75</v>
      </c>
      <c r="Q250" s="82">
        <f t="shared" si="127"/>
        <v>7901.9</v>
      </c>
      <c r="R250" s="82">
        <f t="shared" si="128"/>
        <v>7901.9</v>
      </c>
    </row>
    <row r="251" spans="2:20" s="34" customFormat="1" ht="34.799999999999997">
      <c r="B251" s="87" t="s">
        <v>495</v>
      </c>
      <c r="C251" s="88" t="s">
        <v>496</v>
      </c>
      <c r="D251" s="89" t="s">
        <v>82</v>
      </c>
      <c r="E251" s="90">
        <v>49.87</v>
      </c>
      <c r="F251" s="91"/>
      <c r="G251" s="91"/>
      <c r="H251" s="91"/>
      <c r="I251" s="91">
        <f>SUM(G251:H251)+'BM 002'!I251</f>
        <v>0</v>
      </c>
      <c r="J251" s="91">
        <f t="shared" si="115"/>
        <v>49.87</v>
      </c>
      <c r="K251" s="80">
        <v>170</v>
      </c>
      <c r="L251" s="81">
        <f t="shared" si="113"/>
        <v>215.49201870000002</v>
      </c>
      <c r="M251" s="82">
        <f t="shared" si="124"/>
        <v>0</v>
      </c>
      <c r="N251" s="82">
        <f t="shared" si="125"/>
        <v>0</v>
      </c>
      <c r="O251" s="82">
        <f>N251+'BM 002'!O251</f>
        <v>0</v>
      </c>
      <c r="P251" s="80">
        <f t="shared" si="126"/>
        <v>8477.9</v>
      </c>
      <c r="Q251" s="82">
        <f t="shared" si="127"/>
        <v>10746.58</v>
      </c>
      <c r="R251" s="82">
        <f t="shared" si="128"/>
        <v>10746.58</v>
      </c>
    </row>
    <row r="252" spans="2:20" s="34" customFormat="1" ht="34.799999999999997">
      <c r="B252" s="87" t="s">
        <v>497</v>
      </c>
      <c r="C252" s="88" t="s">
        <v>498</v>
      </c>
      <c r="D252" s="89" t="s">
        <v>82</v>
      </c>
      <c r="E252" s="90">
        <v>149.6</v>
      </c>
      <c r="F252" s="91"/>
      <c r="G252" s="91"/>
      <c r="H252" s="91"/>
      <c r="I252" s="91">
        <f>SUM(G252:H252)+'BM 002'!I252</f>
        <v>0</v>
      </c>
      <c r="J252" s="91">
        <f t="shared" si="115"/>
        <v>149.6</v>
      </c>
      <c r="K252" s="80">
        <v>290</v>
      </c>
      <c r="L252" s="81">
        <f t="shared" si="113"/>
        <v>367.6040319</v>
      </c>
      <c r="M252" s="82">
        <f t="shared" si="124"/>
        <v>0</v>
      </c>
      <c r="N252" s="82">
        <f t="shared" si="125"/>
        <v>0</v>
      </c>
      <c r="O252" s="82">
        <f>N252+'BM 002'!O252</f>
        <v>0</v>
      </c>
      <c r="P252" s="80">
        <f t="shared" si="126"/>
        <v>43384</v>
      </c>
      <c r="Q252" s="82">
        <f t="shared" si="127"/>
        <v>54993.56</v>
      </c>
      <c r="R252" s="82">
        <f t="shared" si="128"/>
        <v>54993.56</v>
      </c>
    </row>
    <row r="253" spans="2:20" s="34" customFormat="1" ht="23.4">
      <c r="B253" s="87" t="s">
        <v>499</v>
      </c>
      <c r="C253" s="88" t="s">
        <v>500</v>
      </c>
      <c r="D253" s="89" t="s">
        <v>82</v>
      </c>
      <c r="E253" s="90">
        <v>4482.08</v>
      </c>
      <c r="F253" s="91"/>
      <c r="G253" s="91"/>
      <c r="H253" s="91"/>
      <c r="I253" s="91">
        <f>SUM(G253:H253)+'BM 002'!I253</f>
        <v>0</v>
      </c>
      <c r="J253" s="91">
        <f t="shared" si="115"/>
        <v>4482.08</v>
      </c>
      <c r="K253" s="80">
        <v>9</v>
      </c>
      <c r="L253" s="81">
        <f t="shared" si="113"/>
        <v>11.408400990000001</v>
      </c>
      <c r="M253" s="82">
        <f t="shared" si="124"/>
        <v>0</v>
      </c>
      <c r="N253" s="82">
        <f t="shared" si="125"/>
        <v>0</v>
      </c>
      <c r="O253" s="82">
        <f>N253+'BM 002'!O253</f>
        <v>0</v>
      </c>
      <c r="P253" s="80">
        <f t="shared" si="126"/>
        <v>40338.720000000001</v>
      </c>
      <c r="Q253" s="82">
        <f t="shared" si="127"/>
        <v>51133.36</v>
      </c>
      <c r="R253" s="82">
        <f t="shared" si="128"/>
        <v>51133.36</v>
      </c>
    </row>
    <row r="254" spans="2:20" s="34" customFormat="1" ht="23.4">
      <c r="B254" s="87" t="s">
        <v>501</v>
      </c>
      <c r="C254" s="88" t="s">
        <v>502</v>
      </c>
      <c r="D254" s="89" t="s">
        <v>82</v>
      </c>
      <c r="E254" s="90">
        <v>3350.7979999999998</v>
      </c>
      <c r="F254" s="91"/>
      <c r="G254" s="91"/>
      <c r="H254" s="91"/>
      <c r="I254" s="91">
        <f>SUM(G254:H254)+'BM 002'!I254</f>
        <v>0</v>
      </c>
      <c r="J254" s="91">
        <f t="shared" si="115"/>
        <v>3350.7979999999998</v>
      </c>
      <c r="K254" s="80">
        <v>11</v>
      </c>
      <c r="L254" s="81">
        <f t="shared" si="113"/>
        <v>13.943601210000001</v>
      </c>
      <c r="M254" s="82">
        <f t="shared" si="124"/>
        <v>0</v>
      </c>
      <c r="N254" s="82">
        <f t="shared" si="125"/>
        <v>0</v>
      </c>
      <c r="O254" s="82">
        <f>N254+'BM 002'!O254</f>
        <v>0</v>
      </c>
      <c r="P254" s="80">
        <f t="shared" si="126"/>
        <v>36858.777999999998</v>
      </c>
      <c r="Q254" s="82">
        <f t="shared" si="127"/>
        <v>46722.19</v>
      </c>
      <c r="R254" s="82">
        <f t="shared" si="128"/>
        <v>46722.19</v>
      </c>
    </row>
    <row r="255" spans="2:20" s="34" customFormat="1" ht="13.2">
      <c r="B255" s="66" t="s">
        <v>503</v>
      </c>
      <c r="C255" s="67" t="s">
        <v>504</v>
      </c>
      <c r="D255" s="68"/>
      <c r="E255" s="69"/>
      <c r="F255" s="70"/>
      <c r="G255" s="70"/>
      <c r="H255" s="70"/>
      <c r="I255" s="70">
        <f>SUM(G255:H255)+'BM 002'!I255</f>
        <v>0</v>
      </c>
      <c r="J255" s="70">
        <f t="shared" si="115"/>
        <v>0</v>
      </c>
      <c r="K255" s="71"/>
      <c r="L255" s="71">
        <f t="shared" si="113"/>
        <v>0</v>
      </c>
      <c r="M255" s="73">
        <f t="shared" ref="M255:R255" si="129">SUM(M256:M290)</f>
        <v>0</v>
      </c>
      <c r="N255" s="73">
        <f t="shared" si="129"/>
        <v>0</v>
      </c>
      <c r="O255" s="73">
        <f t="shared" si="129"/>
        <v>0</v>
      </c>
      <c r="P255" s="73">
        <f t="shared" si="129"/>
        <v>65111</v>
      </c>
      <c r="Q255" s="73">
        <f t="shared" si="129"/>
        <v>82534.59</v>
      </c>
      <c r="R255" s="73">
        <f t="shared" si="129"/>
        <v>82534.59</v>
      </c>
    </row>
    <row r="256" spans="2:20" s="34" customFormat="1" ht="34.799999999999997">
      <c r="B256" s="87" t="s">
        <v>505</v>
      </c>
      <c r="C256" s="88" t="s">
        <v>506</v>
      </c>
      <c r="D256" s="89" t="s">
        <v>131</v>
      </c>
      <c r="E256" s="90">
        <v>3</v>
      </c>
      <c r="F256" s="91"/>
      <c r="G256" s="91"/>
      <c r="H256" s="91"/>
      <c r="I256" s="91">
        <f>SUM(G256:H256)+'BM 002'!I256</f>
        <v>0</v>
      </c>
      <c r="J256" s="91">
        <f t="shared" si="115"/>
        <v>3</v>
      </c>
      <c r="K256" s="80">
        <v>1080</v>
      </c>
      <c r="L256" s="81">
        <f t="shared" si="113"/>
        <v>1369.0081188000001</v>
      </c>
      <c r="M256" s="82">
        <f t="shared" ref="M256:M290" si="130">TRUNC(F256*L256,2)</f>
        <v>0</v>
      </c>
      <c r="N256" s="82">
        <f t="shared" ref="N256:N290" si="131">TRUNC(G256*L256,2)</f>
        <v>0</v>
      </c>
      <c r="O256" s="82">
        <f>N256+'BM 002'!O256</f>
        <v>0</v>
      </c>
      <c r="P256" s="80">
        <f t="shared" ref="P256:P290" si="132">E256*K256</f>
        <v>3240</v>
      </c>
      <c r="Q256" s="82">
        <f t="shared" ref="Q256:Q290" si="133">TRUNC(E256*L256,2)</f>
        <v>4107.0200000000004</v>
      </c>
      <c r="R256" s="82">
        <f t="shared" ref="R256:R290" si="134">Q256-O256</f>
        <v>4107.0200000000004</v>
      </c>
    </row>
    <row r="257" spans="2:18" s="34" customFormat="1" ht="34.799999999999997">
      <c r="B257" s="87" t="s">
        <v>507</v>
      </c>
      <c r="C257" s="88" t="s">
        <v>508</v>
      </c>
      <c r="D257" s="89" t="s">
        <v>131</v>
      </c>
      <c r="E257" s="90">
        <v>1</v>
      </c>
      <c r="F257" s="91"/>
      <c r="G257" s="91"/>
      <c r="H257" s="91"/>
      <c r="I257" s="91">
        <f>SUM(G257:H257)+'BM 002'!I257</f>
        <v>0</v>
      </c>
      <c r="J257" s="91">
        <f t="shared" si="115"/>
        <v>1</v>
      </c>
      <c r="K257" s="80">
        <v>1200</v>
      </c>
      <c r="L257" s="81">
        <f t="shared" si="113"/>
        <v>1521.120132</v>
      </c>
      <c r="M257" s="82">
        <f t="shared" si="130"/>
        <v>0</v>
      </c>
      <c r="N257" s="82">
        <f t="shared" si="131"/>
        <v>0</v>
      </c>
      <c r="O257" s="82">
        <f>N257+'BM 002'!O257</f>
        <v>0</v>
      </c>
      <c r="P257" s="80">
        <f t="shared" si="132"/>
        <v>1200</v>
      </c>
      <c r="Q257" s="82">
        <f t="shared" si="133"/>
        <v>1521.12</v>
      </c>
      <c r="R257" s="82">
        <f t="shared" si="134"/>
        <v>1521.12</v>
      </c>
    </row>
    <row r="258" spans="2:18" s="34" customFormat="1" ht="34.799999999999997">
      <c r="B258" s="87" t="s">
        <v>509</v>
      </c>
      <c r="C258" s="88" t="s">
        <v>510</v>
      </c>
      <c r="D258" s="89" t="s">
        <v>131</v>
      </c>
      <c r="E258" s="90">
        <v>4</v>
      </c>
      <c r="F258" s="91"/>
      <c r="G258" s="91"/>
      <c r="H258" s="91"/>
      <c r="I258" s="91">
        <f>SUM(G258:H258)+'BM 002'!I258</f>
        <v>0</v>
      </c>
      <c r="J258" s="91">
        <f t="shared" si="115"/>
        <v>4</v>
      </c>
      <c r="K258" s="80">
        <v>1890</v>
      </c>
      <c r="L258" s="81">
        <f t="shared" si="113"/>
        <v>2395.7642079000002</v>
      </c>
      <c r="M258" s="82">
        <f t="shared" si="130"/>
        <v>0</v>
      </c>
      <c r="N258" s="82">
        <f t="shared" si="131"/>
        <v>0</v>
      </c>
      <c r="O258" s="82">
        <f>N258+'BM 002'!O258</f>
        <v>0</v>
      </c>
      <c r="P258" s="80">
        <f t="shared" si="132"/>
        <v>7560</v>
      </c>
      <c r="Q258" s="82">
        <f t="shared" si="133"/>
        <v>9583.0499999999993</v>
      </c>
      <c r="R258" s="82">
        <f t="shared" si="134"/>
        <v>9583.0499999999993</v>
      </c>
    </row>
    <row r="259" spans="2:18" s="34" customFormat="1" ht="34.799999999999997">
      <c r="B259" s="87" t="s">
        <v>511</v>
      </c>
      <c r="C259" s="88" t="s">
        <v>512</v>
      </c>
      <c r="D259" s="89" t="s">
        <v>131</v>
      </c>
      <c r="E259" s="90">
        <v>19</v>
      </c>
      <c r="F259" s="91"/>
      <c r="G259" s="91"/>
      <c r="H259" s="91"/>
      <c r="I259" s="91">
        <f>SUM(G259:H259)+'BM 002'!I259</f>
        <v>0</v>
      </c>
      <c r="J259" s="91">
        <f t="shared" si="115"/>
        <v>19</v>
      </c>
      <c r="K259" s="80">
        <v>1000</v>
      </c>
      <c r="L259" s="81">
        <f t="shared" si="113"/>
        <v>1267.6001100000001</v>
      </c>
      <c r="M259" s="82">
        <f t="shared" si="130"/>
        <v>0</v>
      </c>
      <c r="N259" s="82">
        <f t="shared" si="131"/>
        <v>0</v>
      </c>
      <c r="O259" s="82">
        <f>N259+'BM 002'!O259</f>
        <v>0</v>
      </c>
      <c r="P259" s="80">
        <f t="shared" si="132"/>
        <v>19000</v>
      </c>
      <c r="Q259" s="82">
        <f t="shared" si="133"/>
        <v>24084.400000000001</v>
      </c>
      <c r="R259" s="82">
        <f t="shared" si="134"/>
        <v>24084.400000000001</v>
      </c>
    </row>
    <row r="260" spans="2:18" s="34" customFormat="1" ht="34.799999999999997">
      <c r="B260" s="87" t="s">
        <v>513</v>
      </c>
      <c r="C260" s="88" t="s">
        <v>514</v>
      </c>
      <c r="D260" s="89" t="s">
        <v>131</v>
      </c>
      <c r="E260" s="90">
        <v>2</v>
      </c>
      <c r="F260" s="91"/>
      <c r="G260" s="91"/>
      <c r="H260" s="91"/>
      <c r="I260" s="91">
        <f>SUM(G260:H260)+'BM 002'!I260</f>
        <v>0</v>
      </c>
      <c r="J260" s="91">
        <f t="shared" si="115"/>
        <v>2</v>
      </c>
      <c r="K260" s="80">
        <v>1400</v>
      </c>
      <c r="L260" s="81">
        <f t="shared" si="113"/>
        <v>1774.6401540000002</v>
      </c>
      <c r="M260" s="82">
        <f t="shared" si="130"/>
        <v>0</v>
      </c>
      <c r="N260" s="82">
        <f t="shared" si="131"/>
        <v>0</v>
      </c>
      <c r="O260" s="82">
        <f>N260+'BM 002'!O260</f>
        <v>0</v>
      </c>
      <c r="P260" s="80">
        <f t="shared" si="132"/>
        <v>2800</v>
      </c>
      <c r="Q260" s="82">
        <f t="shared" si="133"/>
        <v>3549.28</v>
      </c>
      <c r="R260" s="82">
        <f t="shared" si="134"/>
        <v>3549.28</v>
      </c>
    </row>
    <row r="261" spans="2:18" s="34" customFormat="1" ht="13.2">
      <c r="B261" s="87" t="s">
        <v>515</v>
      </c>
      <c r="C261" s="88" t="s">
        <v>516</v>
      </c>
      <c r="D261" s="89" t="s">
        <v>131</v>
      </c>
      <c r="E261" s="90">
        <v>2</v>
      </c>
      <c r="F261" s="91"/>
      <c r="G261" s="91"/>
      <c r="H261" s="91"/>
      <c r="I261" s="91">
        <f>SUM(G261:H261)+'BM 002'!I261</f>
        <v>0</v>
      </c>
      <c r="J261" s="91">
        <f t="shared" si="115"/>
        <v>2</v>
      </c>
      <c r="K261" s="80">
        <v>800</v>
      </c>
      <c r="L261" s="81">
        <f t="shared" si="113"/>
        <v>1014.080088</v>
      </c>
      <c r="M261" s="82">
        <f t="shared" si="130"/>
        <v>0</v>
      </c>
      <c r="N261" s="82">
        <f t="shared" si="131"/>
        <v>0</v>
      </c>
      <c r="O261" s="82">
        <f>N261+'BM 002'!O261</f>
        <v>0</v>
      </c>
      <c r="P261" s="80">
        <f t="shared" si="132"/>
        <v>1600</v>
      </c>
      <c r="Q261" s="82">
        <f t="shared" si="133"/>
        <v>2028.16</v>
      </c>
      <c r="R261" s="82">
        <f t="shared" si="134"/>
        <v>2028.16</v>
      </c>
    </row>
    <row r="262" spans="2:18" s="34" customFormat="1" ht="13.2">
      <c r="B262" s="87" t="s">
        <v>517</v>
      </c>
      <c r="C262" s="88" t="s">
        <v>518</v>
      </c>
      <c r="D262" s="89" t="s">
        <v>131</v>
      </c>
      <c r="E262" s="90">
        <v>1</v>
      </c>
      <c r="F262" s="91"/>
      <c r="G262" s="91"/>
      <c r="H262" s="91"/>
      <c r="I262" s="91">
        <f>SUM(G262:H262)+'BM 002'!I262</f>
        <v>0</v>
      </c>
      <c r="J262" s="91">
        <f t="shared" si="115"/>
        <v>1</v>
      </c>
      <c r="K262" s="80">
        <v>1200</v>
      </c>
      <c r="L262" s="81">
        <f t="shared" si="113"/>
        <v>1521.120132</v>
      </c>
      <c r="M262" s="82">
        <f t="shared" si="130"/>
        <v>0</v>
      </c>
      <c r="N262" s="82">
        <f t="shared" si="131"/>
        <v>0</v>
      </c>
      <c r="O262" s="82">
        <f>N262+'BM 002'!O262</f>
        <v>0</v>
      </c>
      <c r="P262" s="80">
        <f t="shared" si="132"/>
        <v>1200</v>
      </c>
      <c r="Q262" s="82">
        <f t="shared" si="133"/>
        <v>1521.12</v>
      </c>
      <c r="R262" s="82">
        <f t="shared" si="134"/>
        <v>1521.12</v>
      </c>
    </row>
    <row r="263" spans="2:18" s="34" customFormat="1" ht="13.2">
      <c r="B263" s="87" t="s">
        <v>519</v>
      </c>
      <c r="C263" s="88" t="s">
        <v>520</v>
      </c>
      <c r="D263" s="89" t="s">
        <v>131</v>
      </c>
      <c r="E263" s="90">
        <v>2</v>
      </c>
      <c r="F263" s="91"/>
      <c r="G263" s="91"/>
      <c r="H263" s="91"/>
      <c r="I263" s="91">
        <f>SUM(G263:H263)+'BM 002'!I263</f>
        <v>0</v>
      </c>
      <c r="J263" s="91">
        <f t="shared" si="115"/>
        <v>2</v>
      </c>
      <c r="K263" s="80">
        <v>2100</v>
      </c>
      <c r="L263" s="81">
        <f t="shared" si="113"/>
        <v>2661.960231</v>
      </c>
      <c r="M263" s="82">
        <f t="shared" si="130"/>
        <v>0</v>
      </c>
      <c r="N263" s="82">
        <f t="shared" si="131"/>
        <v>0</v>
      </c>
      <c r="O263" s="82">
        <f>N263+'BM 002'!O263</f>
        <v>0</v>
      </c>
      <c r="P263" s="80">
        <f t="shared" si="132"/>
        <v>4200</v>
      </c>
      <c r="Q263" s="82">
        <f t="shared" si="133"/>
        <v>5323.92</v>
      </c>
      <c r="R263" s="82">
        <f t="shared" si="134"/>
        <v>5323.92</v>
      </c>
    </row>
    <row r="264" spans="2:18" s="34" customFormat="1" ht="34.799999999999997">
      <c r="B264" s="87" t="s">
        <v>521</v>
      </c>
      <c r="C264" s="88" t="s">
        <v>522</v>
      </c>
      <c r="D264" s="89" t="s">
        <v>131</v>
      </c>
      <c r="E264" s="90">
        <v>16</v>
      </c>
      <c r="F264" s="91"/>
      <c r="G264" s="91"/>
      <c r="H264" s="91"/>
      <c r="I264" s="91">
        <f>SUM(G264:H264)+'BM 002'!I264</f>
        <v>0</v>
      </c>
      <c r="J264" s="91">
        <f t="shared" si="115"/>
        <v>16</v>
      </c>
      <c r="K264" s="80">
        <v>180</v>
      </c>
      <c r="L264" s="81">
        <f t="shared" si="113"/>
        <v>228.16801980000002</v>
      </c>
      <c r="M264" s="82">
        <f t="shared" si="130"/>
        <v>0</v>
      </c>
      <c r="N264" s="82">
        <f t="shared" si="131"/>
        <v>0</v>
      </c>
      <c r="O264" s="82">
        <f>N264+'BM 002'!O264</f>
        <v>0</v>
      </c>
      <c r="P264" s="80">
        <f t="shared" si="132"/>
        <v>2880</v>
      </c>
      <c r="Q264" s="82">
        <f t="shared" si="133"/>
        <v>3650.68</v>
      </c>
      <c r="R264" s="82">
        <f t="shared" si="134"/>
        <v>3650.68</v>
      </c>
    </row>
    <row r="265" spans="2:18" s="34" customFormat="1" ht="34.799999999999997">
      <c r="B265" s="87" t="s">
        <v>523</v>
      </c>
      <c r="C265" s="88" t="s">
        <v>524</v>
      </c>
      <c r="D265" s="89" t="s">
        <v>131</v>
      </c>
      <c r="E265" s="90">
        <v>8</v>
      </c>
      <c r="F265" s="91"/>
      <c r="G265" s="91"/>
      <c r="H265" s="91"/>
      <c r="I265" s="91">
        <f>SUM(G265:H265)+'BM 002'!I265</f>
        <v>0</v>
      </c>
      <c r="J265" s="91">
        <f t="shared" si="115"/>
        <v>8</v>
      </c>
      <c r="K265" s="80">
        <v>260</v>
      </c>
      <c r="L265" s="81">
        <f t="shared" si="113"/>
        <v>329.57602860000003</v>
      </c>
      <c r="M265" s="82">
        <f t="shared" si="130"/>
        <v>0</v>
      </c>
      <c r="N265" s="82">
        <f t="shared" si="131"/>
        <v>0</v>
      </c>
      <c r="O265" s="82">
        <f>N265+'BM 002'!O265</f>
        <v>0</v>
      </c>
      <c r="P265" s="80">
        <f t="shared" si="132"/>
        <v>2080</v>
      </c>
      <c r="Q265" s="82">
        <f t="shared" si="133"/>
        <v>2636.6</v>
      </c>
      <c r="R265" s="82">
        <f t="shared" si="134"/>
        <v>2636.6</v>
      </c>
    </row>
    <row r="266" spans="2:18" s="34" customFormat="1" ht="23.4">
      <c r="B266" s="87" t="s">
        <v>525</v>
      </c>
      <c r="C266" s="88" t="s">
        <v>526</v>
      </c>
      <c r="D266" s="89" t="s">
        <v>131</v>
      </c>
      <c r="E266" s="90">
        <v>1</v>
      </c>
      <c r="F266" s="91"/>
      <c r="G266" s="91"/>
      <c r="H266" s="91"/>
      <c r="I266" s="91">
        <f>SUM(G266:H266)+'BM 002'!I266</f>
        <v>0</v>
      </c>
      <c r="J266" s="91">
        <f t="shared" si="115"/>
        <v>1</v>
      </c>
      <c r="K266" s="80">
        <v>180</v>
      </c>
      <c r="L266" s="81">
        <f t="shared" si="113"/>
        <v>228.16801980000002</v>
      </c>
      <c r="M266" s="82">
        <f t="shared" si="130"/>
        <v>0</v>
      </c>
      <c r="N266" s="82">
        <f t="shared" si="131"/>
        <v>0</v>
      </c>
      <c r="O266" s="82">
        <f>N266+'BM 002'!O266</f>
        <v>0</v>
      </c>
      <c r="P266" s="80">
        <f t="shared" si="132"/>
        <v>180</v>
      </c>
      <c r="Q266" s="82">
        <f t="shared" si="133"/>
        <v>228.16</v>
      </c>
      <c r="R266" s="82">
        <f t="shared" si="134"/>
        <v>228.16</v>
      </c>
    </row>
    <row r="267" spans="2:18" s="34" customFormat="1" ht="23.4">
      <c r="B267" s="87" t="s">
        <v>527</v>
      </c>
      <c r="C267" s="88" t="s">
        <v>528</v>
      </c>
      <c r="D267" s="89" t="s">
        <v>131</v>
      </c>
      <c r="E267" s="90">
        <v>4</v>
      </c>
      <c r="F267" s="91"/>
      <c r="G267" s="91"/>
      <c r="H267" s="91"/>
      <c r="I267" s="91">
        <f>SUM(G267:H267)+'BM 002'!I267</f>
        <v>0</v>
      </c>
      <c r="J267" s="91">
        <f t="shared" si="115"/>
        <v>4</v>
      </c>
      <c r="K267" s="80">
        <v>180</v>
      </c>
      <c r="L267" s="81">
        <f t="shared" si="113"/>
        <v>228.16801980000002</v>
      </c>
      <c r="M267" s="82">
        <f t="shared" si="130"/>
        <v>0</v>
      </c>
      <c r="N267" s="82">
        <f t="shared" si="131"/>
        <v>0</v>
      </c>
      <c r="O267" s="82">
        <f>N267+'BM 002'!O267</f>
        <v>0</v>
      </c>
      <c r="P267" s="80">
        <f t="shared" si="132"/>
        <v>720</v>
      </c>
      <c r="Q267" s="82">
        <f t="shared" si="133"/>
        <v>912.67</v>
      </c>
      <c r="R267" s="82">
        <f t="shared" si="134"/>
        <v>912.67</v>
      </c>
    </row>
    <row r="268" spans="2:18" s="34" customFormat="1" ht="23.4">
      <c r="B268" s="87" t="s">
        <v>529</v>
      </c>
      <c r="C268" s="88" t="s">
        <v>530</v>
      </c>
      <c r="D268" s="89" t="s">
        <v>131</v>
      </c>
      <c r="E268" s="90">
        <v>11</v>
      </c>
      <c r="F268" s="91"/>
      <c r="G268" s="91"/>
      <c r="H268" s="91"/>
      <c r="I268" s="91">
        <f>SUM(G268:H268)+'BM 002'!I268</f>
        <v>0</v>
      </c>
      <c r="J268" s="91">
        <f t="shared" si="115"/>
        <v>11</v>
      </c>
      <c r="K268" s="80">
        <v>280</v>
      </c>
      <c r="L268" s="81">
        <f t="shared" si="113"/>
        <v>354.92803079999999</v>
      </c>
      <c r="M268" s="82">
        <f t="shared" si="130"/>
        <v>0</v>
      </c>
      <c r="N268" s="82">
        <f t="shared" si="131"/>
        <v>0</v>
      </c>
      <c r="O268" s="82">
        <f>N268+'BM 002'!O268</f>
        <v>0</v>
      </c>
      <c r="P268" s="80">
        <f t="shared" si="132"/>
        <v>3080</v>
      </c>
      <c r="Q268" s="82">
        <f t="shared" si="133"/>
        <v>3904.2</v>
      </c>
      <c r="R268" s="82">
        <f t="shared" si="134"/>
        <v>3904.2</v>
      </c>
    </row>
    <row r="269" spans="2:18" s="34" customFormat="1" ht="23.4">
      <c r="B269" s="87" t="s">
        <v>531</v>
      </c>
      <c r="C269" s="88" t="s">
        <v>532</v>
      </c>
      <c r="D269" s="89" t="s">
        <v>131</v>
      </c>
      <c r="E269" s="90">
        <v>4</v>
      </c>
      <c r="F269" s="91"/>
      <c r="G269" s="91"/>
      <c r="H269" s="91"/>
      <c r="I269" s="91">
        <f>SUM(G269:H269)+'BM 002'!I269</f>
        <v>0</v>
      </c>
      <c r="J269" s="91">
        <f t="shared" si="115"/>
        <v>4</v>
      </c>
      <c r="K269" s="80">
        <v>380</v>
      </c>
      <c r="L269" s="81">
        <f t="shared" si="113"/>
        <v>481.68804180000001</v>
      </c>
      <c r="M269" s="82">
        <f t="shared" si="130"/>
        <v>0</v>
      </c>
      <c r="N269" s="82">
        <f t="shared" si="131"/>
        <v>0</v>
      </c>
      <c r="O269" s="82">
        <f>N269+'BM 002'!O269</f>
        <v>0</v>
      </c>
      <c r="P269" s="80">
        <f t="shared" si="132"/>
        <v>1520</v>
      </c>
      <c r="Q269" s="82">
        <f t="shared" si="133"/>
        <v>1926.75</v>
      </c>
      <c r="R269" s="82">
        <f t="shared" si="134"/>
        <v>1926.75</v>
      </c>
    </row>
    <row r="270" spans="2:18" s="34" customFormat="1" ht="23.4">
      <c r="B270" s="87" t="s">
        <v>533</v>
      </c>
      <c r="C270" s="88" t="s">
        <v>534</v>
      </c>
      <c r="D270" s="89" t="s">
        <v>131</v>
      </c>
      <c r="E270" s="90">
        <v>1</v>
      </c>
      <c r="F270" s="91"/>
      <c r="G270" s="91"/>
      <c r="H270" s="91"/>
      <c r="I270" s="91">
        <f>SUM(G270:H270)+'BM 002'!I270</f>
        <v>0</v>
      </c>
      <c r="J270" s="91">
        <f t="shared" si="115"/>
        <v>1</v>
      </c>
      <c r="K270" s="80">
        <v>600</v>
      </c>
      <c r="L270" s="81">
        <f t="shared" si="113"/>
        <v>760.56006600000001</v>
      </c>
      <c r="M270" s="82">
        <f t="shared" si="130"/>
        <v>0</v>
      </c>
      <c r="N270" s="82">
        <f t="shared" si="131"/>
        <v>0</v>
      </c>
      <c r="O270" s="82">
        <f>N270+'BM 002'!O270</f>
        <v>0</v>
      </c>
      <c r="P270" s="80">
        <f t="shared" si="132"/>
        <v>600</v>
      </c>
      <c r="Q270" s="82">
        <f t="shared" si="133"/>
        <v>760.56</v>
      </c>
      <c r="R270" s="82">
        <f t="shared" si="134"/>
        <v>760.56</v>
      </c>
    </row>
    <row r="271" spans="2:18" s="34" customFormat="1" ht="13.2">
      <c r="B271" s="87" t="s">
        <v>535</v>
      </c>
      <c r="C271" s="88" t="s">
        <v>536</v>
      </c>
      <c r="D271" s="89" t="s">
        <v>131</v>
      </c>
      <c r="E271" s="90">
        <v>1</v>
      </c>
      <c r="F271" s="91"/>
      <c r="G271" s="91"/>
      <c r="H271" s="91"/>
      <c r="I271" s="91">
        <f>SUM(G271:H271)+'BM 002'!I271</f>
        <v>0</v>
      </c>
      <c r="J271" s="91">
        <f t="shared" si="115"/>
        <v>1</v>
      </c>
      <c r="K271" s="80">
        <v>350</v>
      </c>
      <c r="L271" s="81">
        <f t="shared" si="113"/>
        <v>443.66003850000004</v>
      </c>
      <c r="M271" s="82">
        <f t="shared" si="130"/>
        <v>0</v>
      </c>
      <c r="N271" s="82">
        <f t="shared" si="131"/>
        <v>0</v>
      </c>
      <c r="O271" s="82">
        <f>N271+'BM 002'!O271</f>
        <v>0</v>
      </c>
      <c r="P271" s="80">
        <f t="shared" si="132"/>
        <v>350</v>
      </c>
      <c r="Q271" s="82">
        <f t="shared" si="133"/>
        <v>443.66</v>
      </c>
      <c r="R271" s="82">
        <f t="shared" si="134"/>
        <v>443.66</v>
      </c>
    </row>
    <row r="272" spans="2:18" s="34" customFormat="1" ht="13.2">
      <c r="B272" s="87" t="s">
        <v>537</v>
      </c>
      <c r="C272" s="88" t="s">
        <v>538</v>
      </c>
      <c r="D272" s="89" t="s">
        <v>131</v>
      </c>
      <c r="E272" s="90">
        <v>6</v>
      </c>
      <c r="F272" s="91"/>
      <c r="G272" s="91"/>
      <c r="H272" s="91"/>
      <c r="I272" s="91">
        <f>SUM(G272:H272)+'BM 002'!I272</f>
        <v>0</v>
      </c>
      <c r="J272" s="91">
        <f t="shared" si="115"/>
        <v>6</v>
      </c>
      <c r="K272" s="80">
        <v>450</v>
      </c>
      <c r="L272" s="81">
        <f t="shared" si="113"/>
        <v>570.4200495</v>
      </c>
      <c r="M272" s="82">
        <f t="shared" si="130"/>
        <v>0</v>
      </c>
      <c r="N272" s="82">
        <f t="shared" si="131"/>
        <v>0</v>
      </c>
      <c r="O272" s="82">
        <f>N272+'BM 002'!O272</f>
        <v>0</v>
      </c>
      <c r="P272" s="80">
        <f t="shared" si="132"/>
        <v>2700</v>
      </c>
      <c r="Q272" s="82">
        <f t="shared" si="133"/>
        <v>3422.52</v>
      </c>
      <c r="R272" s="82">
        <f t="shared" si="134"/>
        <v>3422.52</v>
      </c>
    </row>
    <row r="273" spans="2:18" s="34" customFormat="1" ht="23.4">
      <c r="B273" s="87" t="s">
        <v>539</v>
      </c>
      <c r="C273" s="88" t="s">
        <v>540</v>
      </c>
      <c r="D273" s="89" t="s">
        <v>131</v>
      </c>
      <c r="E273" s="90">
        <v>1</v>
      </c>
      <c r="F273" s="91"/>
      <c r="G273" s="91"/>
      <c r="H273" s="91"/>
      <c r="I273" s="91">
        <f>SUM(G273:H273)+'BM 002'!I273</f>
        <v>0</v>
      </c>
      <c r="J273" s="91">
        <f t="shared" si="115"/>
        <v>1</v>
      </c>
      <c r="K273" s="80">
        <v>750</v>
      </c>
      <c r="L273" s="81">
        <f t="shared" si="113"/>
        <v>950.70008250000001</v>
      </c>
      <c r="M273" s="82">
        <f t="shared" si="130"/>
        <v>0</v>
      </c>
      <c r="N273" s="82">
        <f t="shared" si="131"/>
        <v>0</v>
      </c>
      <c r="O273" s="82">
        <f>N273+'BM 002'!O273</f>
        <v>0</v>
      </c>
      <c r="P273" s="80">
        <f t="shared" si="132"/>
        <v>750</v>
      </c>
      <c r="Q273" s="82">
        <f t="shared" si="133"/>
        <v>950.7</v>
      </c>
      <c r="R273" s="82">
        <f t="shared" si="134"/>
        <v>950.7</v>
      </c>
    </row>
    <row r="274" spans="2:18" s="34" customFormat="1" ht="34.799999999999997">
      <c r="B274" s="87" t="s">
        <v>541</v>
      </c>
      <c r="C274" s="88" t="s">
        <v>542</v>
      </c>
      <c r="D274" s="89" t="s">
        <v>131</v>
      </c>
      <c r="E274" s="90">
        <v>7</v>
      </c>
      <c r="F274" s="91"/>
      <c r="G274" s="91"/>
      <c r="H274" s="91"/>
      <c r="I274" s="91">
        <f>SUM(G274:H274)+'BM 002'!I274</f>
        <v>0</v>
      </c>
      <c r="J274" s="91">
        <f t="shared" si="115"/>
        <v>7</v>
      </c>
      <c r="K274" s="80">
        <v>20</v>
      </c>
      <c r="L274" s="81">
        <f t="shared" si="113"/>
        <v>25.352002200000001</v>
      </c>
      <c r="M274" s="82">
        <f t="shared" si="130"/>
        <v>0</v>
      </c>
      <c r="N274" s="82">
        <f t="shared" si="131"/>
        <v>0</v>
      </c>
      <c r="O274" s="82">
        <f>N274+'BM 002'!O274</f>
        <v>0</v>
      </c>
      <c r="P274" s="80">
        <f t="shared" si="132"/>
        <v>140</v>
      </c>
      <c r="Q274" s="82">
        <f t="shared" si="133"/>
        <v>177.46</v>
      </c>
      <c r="R274" s="82">
        <f t="shared" si="134"/>
        <v>177.46</v>
      </c>
    </row>
    <row r="275" spans="2:18" s="34" customFormat="1" ht="34.799999999999997">
      <c r="B275" s="87" t="s">
        <v>543</v>
      </c>
      <c r="C275" s="88" t="s">
        <v>544</v>
      </c>
      <c r="D275" s="89" t="s">
        <v>131</v>
      </c>
      <c r="E275" s="90">
        <v>17</v>
      </c>
      <c r="F275" s="91"/>
      <c r="G275" s="91"/>
      <c r="H275" s="91"/>
      <c r="I275" s="91">
        <f>SUM(G275:H275)+'BM 002'!I275</f>
        <v>0</v>
      </c>
      <c r="J275" s="91">
        <f t="shared" si="115"/>
        <v>17</v>
      </c>
      <c r="K275" s="80">
        <v>20</v>
      </c>
      <c r="L275" s="81">
        <f t="shared" si="113"/>
        <v>25.352002200000001</v>
      </c>
      <c r="M275" s="82">
        <f t="shared" si="130"/>
        <v>0</v>
      </c>
      <c r="N275" s="82">
        <f t="shared" si="131"/>
        <v>0</v>
      </c>
      <c r="O275" s="82">
        <f>N275+'BM 002'!O275</f>
        <v>0</v>
      </c>
      <c r="P275" s="80">
        <f t="shared" si="132"/>
        <v>340</v>
      </c>
      <c r="Q275" s="82">
        <f t="shared" si="133"/>
        <v>430.98</v>
      </c>
      <c r="R275" s="82">
        <f t="shared" si="134"/>
        <v>430.98</v>
      </c>
    </row>
    <row r="276" spans="2:18" s="34" customFormat="1" ht="23.4">
      <c r="B276" s="87" t="s">
        <v>545</v>
      </c>
      <c r="C276" s="88" t="s">
        <v>546</v>
      </c>
      <c r="D276" s="89" t="s">
        <v>131</v>
      </c>
      <c r="E276" s="90">
        <v>71</v>
      </c>
      <c r="F276" s="91"/>
      <c r="G276" s="91"/>
      <c r="H276" s="91"/>
      <c r="I276" s="91">
        <f>SUM(G276:H276)+'BM 002'!I276</f>
        <v>0</v>
      </c>
      <c r="J276" s="91">
        <f t="shared" si="115"/>
        <v>71</v>
      </c>
      <c r="K276" s="80">
        <v>20</v>
      </c>
      <c r="L276" s="81">
        <f t="shared" si="113"/>
        <v>25.352002200000001</v>
      </c>
      <c r="M276" s="82">
        <f t="shared" si="130"/>
        <v>0</v>
      </c>
      <c r="N276" s="82">
        <f t="shared" si="131"/>
        <v>0</v>
      </c>
      <c r="O276" s="82">
        <f>N276+'BM 002'!O276</f>
        <v>0</v>
      </c>
      <c r="P276" s="80">
        <f t="shared" si="132"/>
        <v>1420</v>
      </c>
      <c r="Q276" s="82">
        <f t="shared" si="133"/>
        <v>1799.99</v>
      </c>
      <c r="R276" s="82">
        <f t="shared" si="134"/>
        <v>1799.99</v>
      </c>
    </row>
    <row r="277" spans="2:18" s="34" customFormat="1" ht="23.4">
      <c r="B277" s="87" t="s">
        <v>547</v>
      </c>
      <c r="C277" s="88" t="s">
        <v>548</v>
      </c>
      <c r="D277" s="89" t="s">
        <v>131</v>
      </c>
      <c r="E277" s="90">
        <v>179</v>
      </c>
      <c r="F277" s="91"/>
      <c r="G277" s="91"/>
      <c r="H277" s="91"/>
      <c r="I277" s="91">
        <f>SUM(G277:H277)+'BM 002'!I277</f>
        <v>0</v>
      </c>
      <c r="J277" s="91">
        <f t="shared" si="115"/>
        <v>179</v>
      </c>
      <c r="K277" s="80">
        <v>20</v>
      </c>
      <c r="L277" s="81">
        <f t="shared" si="113"/>
        <v>25.352002200000001</v>
      </c>
      <c r="M277" s="82">
        <f t="shared" si="130"/>
        <v>0</v>
      </c>
      <c r="N277" s="82">
        <f t="shared" si="131"/>
        <v>0</v>
      </c>
      <c r="O277" s="82">
        <f>N277+'BM 002'!O277</f>
        <v>0</v>
      </c>
      <c r="P277" s="80">
        <f t="shared" si="132"/>
        <v>3580</v>
      </c>
      <c r="Q277" s="82">
        <f t="shared" si="133"/>
        <v>4538</v>
      </c>
      <c r="R277" s="82">
        <f t="shared" si="134"/>
        <v>4538</v>
      </c>
    </row>
    <row r="278" spans="2:18" s="34" customFormat="1" ht="34.799999999999997">
      <c r="B278" s="87" t="s">
        <v>549</v>
      </c>
      <c r="C278" s="88" t="s">
        <v>550</v>
      </c>
      <c r="D278" s="89" t="s">
        <v>131</v>
      </c>
      <c r="E278" s="90">
        <v>1</v>
      </c>
      <c r="F278" s="91"/>
      <c r="G278" s="91"/>
      <c r="H278" s="91"/>
      <c r="I278" s="91">
        <f>SUM(G278:H278)+'BM 002'!I278</f>
        <v>0</v>
      </c>
      <c r="J278" s="91">
        <f t="shared" si="115"/>
        <v>1</v>
      </c>
      <c r="K278" s="80">
        <v>25</v>
      </c>
      <c r="L278" s="81">
        <f t="shared" si="113"/>
        <v>31.690002750000001</v>
      </c>
      <c r="M278" s="82">
        <f t="shared" si="130"/>
        <v>0</v>
      </c>
      <c r="N278" s="82">
        <f t="shared" si="131"/>
        <v>0</v>
      </c>
      <c r="O278" s="82">
        <f>N278+'BM 002'!O278</f>
        <v>0</v>
      </c>
      <c r="P278" s="80">
        <f t="shared" si="132"/>
        <v>25</v>
      </c>
      <c r="Q278" s="82">
        <f t="shared" si="133"/>
        <v>31.69</v>
      </c>
      <c r="R278" s="82">
        <f t="shared" si="134"/>
        <v>31.69</v>
      </c>
    </row>
    <row r="279" spans="2:18" s="34" customFormat="1" ht="34.799999999999997">
      <c r="B279" s="87" t="s">
        <v>551</v>
      </c>
      <c r="C279" s="88" t="s">
        <v>552</v>
      </c>
      <c r="D279" s="89" t="s">
        <v>131</v>
      </c>
      <c r="E279" s="90">
        <v>8</v>
      </c>
      <c r="F279" s="91"/>
      <c r="G279" s="91"/>
      <c r="H279" s="91"/>
      <c r="I279" s="91">
        <f>SUM(G279:H279)+'BM 002'!I279</f>
        <v>0</v>
      </c>
      <c r="J279" s="91">
        <f t="shared" si="115"/>
        <v>8</v>
      </c>
      <c r="K279" s="80">
        <v>25</v>
      </c>
      <c r="L279" s="81">
        <f t="shared" si="113"/>
        <v>31.690002750000001</v>
      </c>
      <c r="M279" s="82">
        <f t="shared" si="130"/>
        <v>0</v>
      </c>
      <c r="N279" s="82">
        <f t="shared" si="131"/>
        <v>0</v>
      </c>
      <c r="O279" s="82">
        <f>N279+'BM 002'!O279</f>
        <v>0</v>
      </c>
      <c r="P279" s="80">
        <f t="shared" si="132"/>
        <v>200</v>
      </c>
      <c r="Q279" s="82">
        <f t="shared" si="133"/>
        <v>253.52</v>
      </c>
      <c r="R279" s="82">
        <f t="shared" si="134"/>
        <v>253.52</v>
      </c>
    </row>
    <row r="280" spans="2:18" s="34" customFormat="1" ht="34.799999999999997">
      <c r="B280" s="87" t="s">
        <v>553</v>
      </c>
      <c r="C280" s="88" t="s">
        <v>554</v>
      </c>
      <c r="D280" s="89" t="s">
        <v>131</v>
      </c>
      <c r="E280" s="90">
        <v>14</v>
      </c>
      <c r="F280" s="91"/>
      <c r="G280" s="91"/>
      <c r="H280" s="91"/>
      <c r="I280" s="91">
        <f>SUM(G280:H280)+'BM 002'!I280</f>
        <v>0</v>
      </c>
      <c r="J280" s="91">
        <f t="shared" si="115"/>
        <v>14</v>
      </c>
      <c r="K280" s="80">
        <v>25</v>
      </c>
      <c r="L280" s="81">
        <f t="shared" si="113"/>
        <v>31.690002750000001</v>
      </c>
      <c r="M280" s="82">
        <f t="shared" si="130"/>
        <v>0</v>
      </c>
      <c r="N280" s="82">
        <f t="shared" si="131"/>
        <v>0</v>
      </c>
      <c r="O280" s="82">
        <f>N280+'BM 002'!O280</f>
        <v>0</v>
      </c>
      <c r="P280" s="80">
        <f t="shared" si="132"/>
        <v>350</v>
      </c>
      <c r="Q280" s="82">
        <f t="shared" si="133"/>
        <v>443.66</v>
      </c>
      <c r="R280" s="82">
        <f t="shared" si="134"/>
        <v>443.66</v>
      </c>
    </row>
    <row r="281" spans="2:18" s="34" customFormat="1" ht="34.799999999999997">
      <c r="B281" s="87" t="s">
        <v>555</v>
      </c>
      <c r="C281" s="88" t="s">
        <v>556</v>
      </c>
      <c r="D281" s="89" t="s">
        <v>131</v>
      </c>
      <c r="E281" s="90">
        <v>5</v>
      </c>
      <c r="F281" s="91"/>
      <c r="G281" s="91"/>
      <c r="H281" s="91"/>
      <c r="I281" s="91">
        <f>SUM(G281:H281)+'BM 002'!I281</f>
        <v>0</v>
      </c>
      <c r="J281" s="91">
        <f t="shared" si="115"/>
        <v>5</v>
      </c>
      <c r="K281" s="80">
        <v>30</v>
      </c>
      <c r="L281" s="81">
        <f t="shared" si="113"/>
        <v>38.028003300000002</v>
      </c>
      <c r="M281" s="82">
        <f t="shared" si="130"/>
        <v>0</v>
      </c>
      <c r="N281" s="82">
        <f t="shared" si="131"/>
        <v>0</v>
      </c>
      <c r="O281" s="82">
        <f>N281+'BM 002'!O281</f>
        <v>0</v>
      </c>
      <c r="P281" s="80">
        <f t="shared" si="132"/>
        <v>150</v>
      </c>
      <c r="Q281" s="82">
        <f t="shared" si="133"/>
        <v>190.14</v>
      </c>
      <c r="R281" s="82">
        <f t="shared" si="134"/>
        <v>190.14</v>
      </c>
    </row>
    <row r="282" spans="2:18" s="34" customFormat="1" ht="34.799999999999997">
      <c r="B282" s="87" t="s">
        <v>557</v>
      </c>
      <c r="C282" s="88" t="s">
        <v>558</v>
      </c>
      <c r="D282" s="89" t="s">
        <v>131</v>
      </c>
      <c r="E282" s="90">
        <v>4</v>
      </c>
      <c r="F282" s="91"/>
      <c r="G282" s="91"/>
      <c r="H282" s="91"/>
      <c r="I282" s="91">
        <f>SUM(G282:H282)+'BM 002'!I282</f>
        <v>0</v>
      </c>
      <c r="J282" s="91">
        <f t="shared" si="115"/>
        <v>4</v>
      </c>
      <c r="K282" s="80">
        <v>40</v>
      </c>
      <c r="L282" s="81">
        <f t="shared" si="113"/>
        <v>50.704004400000002</v>
      </c>
      <c r="M282" s="82">
        <f t="shared" si="130"/>
        <v>0</v>
      </c>
      <c r="N282" s="82">
        <f t="shared" si="131"/>
        <v>0</v>
      </c>
      <c r="O282" s="82">
        <f>N282+'BM 002'!O282</f>
        <v>0</v>
      </c>
      <c r="P282" s="80">
        <f t="shared" si="132"/>
        <v>160</v>
      </c>
      <c r="Q282" s="82">
        <f t="shared" si="133"/>
        <v>202.81</v>
      </c>
      <c r="R282" s="82">
        <f t="shared" si="134"/>
        <v>202.81</v>
      </c>
    </row>
    <row r="283" spans="2:18" s="34" customFormat="1" ht="34.799999999999997">
      <c r="B283" s="87" t="s">
        <v>559</v>
      </c>
      <c r="C283" s="88" t="s">
        <v>560</v>
      </c>
      <c r="D283" s="89" t="s">
        <v>131</v>
      </c>
      <c r="E283" s="90">
        <v>4</v>
      </c>
      <c r="F283" s="91"/>
      <c r="G283" s="91"/>
      <c r="H283" s="91"/>
      <c r="I283" s="91">
        <f>SUM(G283:H283)+'BM 002'!I283</f>
        <v>0</v>
      </c>
      <c r="J283" s="91">
        <f t="shared" si="115"/>
        <v>4</v>
      </c>
      <c r="K283" s="80">
        <v>50</v>
      </c>
      <c r="L283" s="81">
        <f t="shared" si="113"/>
        <v>63.380005500000003</v>
      </c>
      <c r="M283" s="82">
        <f t="shared" si="130"/>
        <v>0</v>
      </c>
      <c r="N283" s="82">
        <f t="shared" si="131"/>
        <v>0</v>
      </c>
      <c r="O283" s="82">
        <f>N283+'BM 002'!O283</f>
        <v>0</v>
      </c>
      <c r="P283" s="80">
        <f t="shared" si="132"/>
        <v>200</v>
      </c>
      <c r="Q283" s="82">
        <f t="shared" si="133"/>
        <v>253.52</v>
      </c>
      <c r="R283" s="82">
        <f t="shared" si="134"/>
        <v>253.52</v>
      </c>
    </row>
    <row r="284" spans="2:18" s="34" customFormat="1" ht="34.799999999999997">
      <c r="B284" s="87" t="s">
        <v>561</v>
      </c>
      <c r="C284" s="88" t="s">
        <v>562</v>
      </c>
      <c r="D284" s="89" t="s">
        <v>131</v>
      </c>
      <c r="E284" s="90">
        <v>1</v>
      </c>
      <c r="F284" s="91"/>
      <c r="G284" s="91"/>
      <c r="H284" s="91"/>
      <c r="I284" s="91">
        <f>SUM(G284:H284)+'BM 002'!I284</f>
        <v>0</v>
      </c>
      <c r="J284" s="91">
        <f t="shared" si="115"/>
        <v>1</v>
      </c>
      <c r="K284" s="80">
        <v>80</v>
      </c>
      <c r="L284" s="81">
        <f t="shared" si="113"/>
        <v>101.4080088</v>
      </c>
      <c r="M284" s="82">
        <f t="shared" si="130"/>
        <v>0</v>
      </c>
      <c r="N284" s="82">
        <f t="shared" si="131"/>
        <v>0</v>
      </c>
      <c r="O284" s="82">
        <f>N284+'BM 002'!O284</f>
        <v>0</v>
      </c>
      <c r="P284" s="80">
        <f t="shared" si="132"/>
        <v>80</v>
      </c>
      <c r="Q284" s="82">
        <f t="shared" si="133"/>
        <v>101.4</v>
      </c>
      <c r="R284" s="82">
        <f t="shared" si="134"/>
        <v>101.4</v>
      </c>
    </row>
    <row r="285" spans="2:18" s="34" customFormat="1" ht="23.4">
      <c r="B285" s="87" t="s">
        <v>563</v>
      </c>
      <c r="C285" s="88" t="s">
        <v>564</v>
      </c>
      <c r="D285" s="89" t="s">
        <v>131</v>
      </c>
      <c r="E285" s="90">
        <v>9</v>
      </c>
      <c r="F285" s="91"/>
      <c r="G285" s="91"/>
      <c r="H285" s="91"/>
      <c r="I285" s="91">
        <f>SUM(G285:H285)+'BM 002'!I285</f>
        <v>0</v>
      </c>
      <c r="J285" s="91">
        <f t="shared" si="115"/>
        <v>9</v>
      </c>
      <c r="K285" s="80">
        <v>89</v>
      </c>
      <c r="L285" s="81">
        <f t="shared" ref="L285:L348" si="135">K285*(1+$T$26)</f>
        <v>112.81640979000001</v>
      </c>
      <c r="M285" s="82">
        <f t="shared" si="130"/>
        <v>0</v>
      </c>
      <c r="N285" s="82">
        <f t="shared" si="131"/>
        <v>0</v>
      </c>
      <c r="O285" s="82">
        <f>N285+'BM 002'!O285</f>
        <v>0</v>
      </c>
      <c r="P285" s="80">
        <f t="shared" si="132"/>
        <v>801</v>
      </c>
      <c r="Q285" s="82">
        <f t="shared" si="133"/>
        <v>1015.34</v>
      </c>
      <c r="R285" s="82">
        <f t="shared" si="134"/>
        <v>1015.34</v>
      </c>
    </row>
    <row r="286" spans="2:18" s="34" customFormat="1" ht="23.4">
      <c r="B286" s="87" t="s">
        <v>565</v>
      </c>
      <c r="C286" s="88" t="s">
        <v>566</v>
      </c>
      <c r="D286" s="89" t="s">
        <v>131</v>
      </c>
      <c r="E286" s="90">
        <v>4</v>
      </c>
      <c r="F286" s="91"/>
      <c r="G286" s="91"/>
      <c r="H286" s="91"/>
      <c r="I286" s="91">
        <f>SUM(G286:H286)+'BM 002'!I286</f>
        <v>0</v>
      </c>
      <c r="J286" s="91">
        <f t="shared" si="115"/>
        <v>4</v>
      </c>
      <c r="K286" s="80">
        <v>89</v>
      </c>
      <c r="L286" s="81">
        <f t="shared" si="135"/>
        <v>112.81640979000001</v>
      </c>
      <c r="M286" s="82">
        <f t="shared" si="130"/>
        <v>0</v>
      </c>
      <c r="N286" s="82">
        <f t="shared" si="131"/>
        <v>0</v>
      </c>
      <c r="O286" s="82">
        <f>N286+'BM 002'!O286</f>
        <v>0</v>
      </c>
      <c r="P286" s="80">
        <f t="shared" si="132"/>
        <v>356</v>
      </c>
      <c r="Q286" s="82">
        <f t="shared" si="133"/>
        <v>451.26</v>
      </c>
      <c r="R286" s="82">
        <f t="shared" si="134"/>
        <v>451.26</v>
      </c>
    </row>
    <row r="287" spans="2:18" s="34" customFormat="1" ht="23.4">
      <c r="B287" s="87" t="s">
        <v>567</v>
      </c>
      <c r="C287" s="88" t="s">
        <v>568</v>
      </c>
      <c r="D287" s="89" t="s">
        <v>131</v>
      </c>
      <c r="E287" s="90">
        <v>12</v>
      </c>
      <c r="F287" s="91"/>
      <c r="G287" s="91"/>
      <c r="H287" s="91"/>
      <c r="I287" s="91">
        <f>SUM(G287:H287)+'BM 002'!I287</f>
        <v>0</v>
      </c>
      <c r="J287" s="91">
        <f t="shared" ref="J287:J350" si="136">E287-I287</f>
        <v>12</v>
      </c>
      <c r="K287" s="80">
        <v>89</v>
      </c>
      <c r="L287" s="81">
        <f t="shared" si="135"/>
        <v>112.81640979000001</v>
      </c>
      <c r="M287" s="82">
        <f t="shared" si="130"/>
        <v>0</v>
      </c>
      <c r="N287" s="82">
        <f t="shared" si="131"/>
        <v>0</v>
      </c>
      <c r="O287" s="82">
        <f>N287+'BM 002'!O287</f>
        <v>0</v>
      </c>
      <c r="P287" s="80">
        <f t="shared" si="132"/>
        <v>1068</v>
      </c>
      <c r="Q287" s="82">
        <f t="shared" si="133"/>
        <v>1353.79</v>
      </c>
      <c r="R287" s="82">
        <f t="shared" si="134"/>
        <v>1353.79</v>
      </c>
    </row>
    <row r="288" spans="2:18" s="34" customFormat="1" ht="23.4">
      <c r="B288" s="87" t="s">
        <v>569</v>
      </c>
      <c r="C288" s="88" t="s">
        <v>570</v>
      </c>
      <c r="D288" s="89" t="s">
        <v>131</v>
      </c>
      <c r="E288" s="90">
        <v>4</v>
      </c>
      <c r="F288" s="91"/>
      <c r="G288" s="91"/>
      <c r="H288" s="91"/>
      <c r="I288" s="91">
        <f>SUM(G288:H288)+'BM 002'!I288</f>
        <v>0</v>
      </c>
      <c r="J288" s="91">
        <f t="shared" si="136"/>
        <v>4</v>
      </c>
      <c r="K288" s="80">
        <v>89</v>
      </c>
      <c r="L288" s="81">
        <f t="shared" si="135"/>
        <v>112.81640979000001</v>
      </c>
      <c r="M288" s="82">
        <f t="shared" si="130"/>
        <v>0</v>
      </c>
      <c r="N288" s="82">
        <f t="shared" si="131"/>
        <v>0</v>
      </c>
      <c r="O288" s="82">
        <f>N288+'BM 002'!O288</f>
        <v>0</v>
      </c>
      <c r="P288" s="80">
        <f t="shared" si="132"/>
        <v>356</v>
      </c>
      <c r="Q288" s="82">
        <f t="shared" si="133"/>
        <v>451.26</v>
      </c>
      <c r="R288" s="82">
        <f t="shared" si="134"/>
        <v>451.26</v>
      </c>
    </row>
    <row r="289" spans="2:18" s="34" customFormat="1" ht="23.4">
      <c r="B289" s="87" t="s">
        <v>571</v>
      </c>
      <c r="C289" s="88" t="s">
        <v>572</v>
      </c>
      <c r="D289" s="89" t="s">
        <v>131</v>
      </c>
      <c r="E289" s="90">
        <v>1</v>
      </c>
      <c r="F289" s="91"/>
      <c r="G289" s="91"/>
      <c r="H289" s="91"/>
      <c r="I289" s="91">
        <f>SUM(G289:H289)+'BM 002'!I289</f>
        <v>0</v>
      </c>
      <c r="J289" s="91">
        <f t="shared" si="136"/>
        <v>1</v>
      </c>
      <c r="K289" s="80">
        <v>110</v>
      </c>
      <c r="L289" s="81">
        <f t="shared" si="135"/>
        <v>139.4360121</v>
      </c>
      <c r="M289" s="82">
        <f t="shared" si="130"/>
        <v>0</v>
      </c>
      <c r="N289" s="82">
        <f t="shared" si="131"/>
        <v>0</v>
      </c>
      <c r="O289" s="82">
        <f>N289+'BM 002'!O289</f>
        <v>0</v>
      </c>
      <c r="P289" s="80">
        <f t="shared" si="132"/>
        <v>110</v>
      </c>
      <c r="Q289" s="82">
        <f t="shared" si="133"/>
        <v>139.43</v>
      </c>
      <c r="R289" s="82">
        <f t="shared" si="134"/>
        <v>139.43</v>
      </c>
    </row>
    <row r="290" spans="2:18" s="34" customFormat="1" ht="23.4">
      <c r="B290" s="87" t="s">
        <v>573</v>
      </c>
      <c r="C290" s="88" t="s">
        <v>574</v>
      </c>
      <c r="D290" s="89" t="s">
        <v>131</v>
      </c>
      <c r="E290" s="90">
        <v>1</v>
      </c>
      <c r="F290" s="91"/>
      <c r="G290" s="91"/>
      <c r="H290" s="91"/>
      <c r="I290" s="91">
        <f>SUM(G290:H290)+'BM 002'!I290</f>
        <v>0</v>
      </c>
      <c r="J290" s="91">
        <f t="shared" si="136"/>
        <v>1</v>
      </c>
      <c r="K290" s="80">
        <v>115</v>
      </c>
      <c r="L290" s="81">
        <f t="shared" si="135"/>
        <v>145.77401265</v>
      </c>
      <c r="M290" s="82">
        <f t="shared" si="130"/>
        <v>0</v>
      </c>
      <c r="N290" s="82">
        <f t="shared" si="131"/>
        <v>0</v>
      </c>
      <c r="O290" s="82">
        <f>N290+'BM 002'!O290</f>
        <v>0</v>
      </c>
      <c r="P290" s="80">
        <f t="shared" si="132"/>
        <v>115</v>
      </c>
      <c r="Q290" s="82">
        <f t="shared" si="133"/>
        <v>145.77000000000001</v>
      </c>
      <c r="R290" s="82">
        <f t="shared" si="134"/>
        <v>145.77000000000001</v>
      </c>
    </row>
    <row r="291" spans="2:18" s="34" customFormat="1" ht="13.2">
      <c r="B291" s="66" t="s">
        <v>575</v>
      </c>
      <c r="C291" s="67" t="s">
        <v>576</v>
      </c>
      <c r="D291" s="68"/>
      <c r="E291" s="69"/>
      <c r="F291" s="70"/>
      <c r="G291" s="70"/>
      <c r="H291" s="70"/>
      <c r="I291" s="70">
        <f>SUM(G291:H291)+'BM 002'!I291</f>
        <v>0</v>
      </c>
      <c r="J291" s="70">
        <f t="shared" si="136"/>
        <v>0</v>
      </c>
      <c r="K291" s="71"/>
      <c r="L291" s="71">
        <f t="shared" si="135"/>
        <v>0</v>
      </c>
      <c r="M291" s="73">
        <f t="shared" ref="M291:R291" si="137">SUM(M292:M295)</f>
        <v>0</v>
      </c>
      <c r="N291" s="73">
        <f t="shared" si="137"/>
        <v>0</v>
      </c>
      <c r="O291" s="73">
        <f t="shared" si="137"/>
        <v>0</v>
      </c>
      <c r="P291" s="73">
        <f t="shared" si="137"/>
        <v>100820.55</v>
      </c>
      <c r="Q291" s="73">
        <f t="shared" si="137"/>
        <v>127800.12</v>
      </c>
      <c r="R291" s="73">
        <f t="shared" si="137"/>
        <v>127800.12</v>
      </c>
    </row>
    <row r="292" spans="2:18" s="34" customFormat="1" ht="34.799999999999997">
      <c r="B292" s="87" t="s">
        <v>577</v>
      </c>
      <c r="C292" s="88" t="s">
        <v>578</v>
      </c>
      <c r="D292" s="89" t="s">
        <v>131</v>
      </c>
      <c r="E292" s="90">
        <v>55</v>
      </c>
      <c r="F292" s="91"/>
      <c r="G292" s="91"/>
      <c r="H292" s="91"/>
      <c r="I292" s="91">
        <f>SUM(G292:H292)+'BM 002'!I292</f>
        <v>0</v>
      </c>
      <c r="J292" s="91">
        <f t="shared" si="136"/>
        <v>55</v>
      </c>
      <c r="K292" s="80">
        <v>164.81</v>
      </c>
      <c r="L292" s="81">
        <f t="shared" si="135"/>
        <v>208.91317412910001</v>
      </c>
      <c r="M292" s="82">
        <f>TRUNC(F292*L292,2)</f>
        <v>0</v>
      </c>
      <c r="N292" s="82">
        <f>TRUNC(G292*L292,2)</f>
        <v>0</v>
      </c>
      <c r="O292" s="82">
        <f>N292+'BM 002'!O292</f>
        <v>0</v>
      </c>
      <c r="P292" s="80">
        <f>E292*K292</f>
        <v>9064.5499999999993</v>
      </c>
      <c r="Q292" s="82">
        <f>TRUNC(E292*L292,2)</f>
        <v>11490.22</v>
      </c>
      <c r="R292" s="82">
        <f>Q292-O292</f>
        <v>11490.22</v>
      </c>
    </row>
    <row r="293" spans="2:18" s="34" customFormat="1" ht="23.4">
      <c r="B293" s="87" t="s">
        <v>579</v>
      </c>
      <c r="C293" s="88" t="s">
        <v>580</v>
      </c>
      <c r="D293" s="89" t="s">
        <v>131</v>
      </c>
      <c r="E293" s="90">
        <v>887</v>
      </c>
      <c r="F293" s="91"/>
      <c r="G293" s="91"/>
      <c r="H293" s="91"/>
      <c r="I293" s="91">
        <f>SUM(G293:H293)+'BM 002'!I293</f>
        <v>0</v>
      </c>
      <c r="J293" s="91">
        <f t="shared" si="136"/>
        <v>887</v>
      </c>
      <c r="K293" s="80">
        <v>98</v>
      </c>
      <c r="L293" s="81">
        <f t="shared" si="135"/>
        <v>124.22481078000001</v>
      </c>
      <c r="M293" s="82">
        <f>TRUNC(F293*L293,2)</f>
        <v>0</v>
      </c>
      <c r="N293" s="82">
        <f>TRUNC(G293*L293,2)</f>
        <v>0</v>
      </c>
      <c r="O293" s="82">
        <f>N293+'BM 002'!O293</f>
        <v>0</v>
      </c>
      <c r="P293" s="80">
        <f>E293*K293</f>
        <v>86926</v>
      </c>
      <c r="Q293" s="82">
        <f>TRUNC(E293*L293,2)</f>
        <v>110187.4</v>
      </c>
      <c r="R293" s="82">
        <f>Q293-O293</f>
        <v>110187.4</v>
      </c>
    </row>
    <row r="294" spans="2:18" s="34" customFormat="1" ht="23.4">
      <c r="B294" s="87" t="s">
        <v>581</v>
      </c>
      <c r="C294" s="88" t="s">
        <v>582</v>
      </c>
      <c r="D294" s="89" t="s">
        <v>131</v>
      </c>
      <c r="E294" s="90">
        <v>15</v>
      </c>
      <c r="F294" s="91"/>
      <c r="G294" s="91"/>
      <c r="H294" s="91"/>
      <c r="I294" s="91">
        <f>SUM(G294:H294)+'BM 002'!I294</f>
        <v>0</v>
      </c>
      <c r="J294" s="91">
        <f t="shared" si="136"/>
        <v>15</v>
      </c>
      <c r="K294" s="80">
        <v>130</v>
      </c>
      <c r="L294" s="81">
        <f t="shared" si="135"/>
        <v>164.78801430000001</v>
      </c>
      <c r="M294" s="82">
        <f>TRUNC(F294*L294,2)</f>
        <v>0</v>
      </c>
      <c r="N294" s="82">
        <f>TRUNC(G294*L294,2)</f>
        <v>0</v>
      </c>
      <c r="O294" s="82">
        <f>N294+'BM 002'!O294</f>
        <v>0</v>
      </c>
      <c r="P294" s="80">
        <f>E294*K294</f>
        <v>1950</v>
      </c>
      <c r="Q294" s="82">
        <f>TRUNC(E294*L294,2)</f>
        <v>2471.8200000000002</v>
      </c>
      <c r="R294" s="82">
        <f>Q294-O294</f>
        <v>2471.8200000000002</v>
      </c>
    </row>
    <row r="295" spans="2:18" s="34" customFormat="1" ht="23.4">
      <c r="B295" s="87" t="s">
        <v>583</v>
      </c>
      <c r="C295" s="88" t="s">
        <v>584</v>
      </c>
      <c r="D295" s="89" t="s">
        <v>131</v>
      </c>
      <c r="E295" s="90">
        <v>32</v>
      </c>
      <c r="F295" s="91"/>
      <c r="G295" s="91"/>
      <c r="H295" s="91"/>
      <c r="I295" s="91">
        <f>SUM(G295:H295)+'BM 002'!I295</f>
        <v>0</v>
      </c>
      <c r="J295" s="91">
        <f t="shared" si="136"/>
        <v>32</v>
      </c>
      <c r="K295" s="80">
        <v>90</v>
      </c>
      <c r="L295" s="81">
        <f t="shared" si="135"/>
        <v>114.08400990000001</v>
      </c>
      <c r="M295" s="82">
        <f>TRUNC(F295*L295,2)</f>
        <v>0</v>
      </c>
      <c r="N295" s="82">
        <f>TRUNC(G295*L295,2)</f>
        <v>0</v>
      </c>
      <c r="O295" s="82">
        <f>N295+'BM 002'!O295</f>
        <v>0</v>
      </c>
      <c r="P295" s="80">
        <f>E295*K295</f>
        <v>2880</v>
      </c>
      <c r="Q295" s="82">
        <f>TRUNC(E295*L295,2)</f>
        <v>3650.68</v>
      </c>
      <c r="R295" s="82">
        <f>Q295-O295</f>
        <v>3650.68</v>
      </c>
    </row>
    <row r="296" spans="2:18" s="34" customFormat="1" ht="13.2">
      <c r="B296" s="66" t="s">
        <v>585</v>
      </c>
      <c r="C296" s="67" t="s">
        <v>586</v>
      </c>
      <c r="D296" s="68"/>
      <c r="E296" s="69"/>
      <c r="F296" s="70"/>
      <c r="G296" s="70"/>
      <c r="H296" s="70"/>
      <c r="I296" s="70">
        <f>SUM(G296:H296)+'BM 002'!I296</f>
        <v>0</v>
      </c>
      <c r="J296" s="70">
        <f t="shared" si="136"/>
        <v>0</v>
      </c>
      <c r="K296" s="71"/>
      <c r="L296" s="71">
        <f t="shared" si="135"/>
        <v>0</v>
      </c>
      <c r="M296" s="73">
        <f t="shared" ref="M296:R296" si="138">SUM(M297:M306)</f>
        <v>0</v>
      </c>
      <c r="N296" s="73">
        <f t="shared" si="138"/>
        <v>0</v>
      </c>
      <c r="O296" s="73">
        <f t="shared" si="138"/>
        <v>0</v>
      </c>
      <c r="P296" s="73">
        <f t="shared" si="138"/>
        <v>16787.3</v>
      </c>
      <c r="Q296" s="73">
        <f t="shared" si="138"/>
        <v>21279.56</v>
      </c>
      <c r="R296" s="73">
        <f t="shared" si="138"/>
        <v>21279.56</v>
      </c>
    </row>
    <row r="297" spans="2:18" s="34" customFormat="1" ht="34.799999999999997">
      <c r="B297" s="87" t="s">
        <v>587</v>
      </c>
      <c r="C297" s="88" t="s">
        <v>588</v>
      </c>
      <c r="D297" s="89" t="s">
        <v>131</v>
      </c>
      <c r="E297" s="90">
        <v>79</v>
      </c>
      <c r="F297" s="91"/>
      <c r="G297" s="91"/>
      <c r="H297" s="91"/>
      <c r="I297" s="91">
        <f>SUM(G297:H297)+'BM 002'!I297</f>
        <v>0</v>
      </c>
      <c r="J297" s="91">
        <f t="shared" si="136"/>
        <v>79</v>
      </c>
      <c r="K297" s="80">
        <v>32</v>
      </c>
      <c r="L297" s="81">
        <f t="shared" si="135"/>
        <v>40.563203520000002</v>
      </c>
      <c r="M297" s="82">
        <f t="shared" ref="M297:M306" si="139">TRUNC(F297*L297,2)</f>
        <v>0</v>
      </c>
      <c r="N297" s="82">
        <f t="shared" ref="N297:N306" si="140">TRUNC(G297*L297,2)</f>
        <v>0</v>
      </c>
      <c r="O297" s="82">
        <f>N297+'BM 002'!O297</f>
        <v>0</v>
      </c>
      <c r="P297" s="80">
        <f t="shared" ref="P297:P306" si="141">E297*K297</f>
        <v>2528</v>
      </c>
      <c r="Q297" s="82">
        <f t="shared" ref="Q297:Q306" si="142">TRUNC(E297*L297,2)</f>
        <v>3204.49</v>
      </c>
      <c r="R297" s="82">
        <f t="shared" ref="R297:R306" si="143">Q297-O297</f>
        <v>3204.49</v>
      </c>
    </row>
    <row r="298" spans="2:18" s="34" customFormat="1" ht="34.799999999999997">
      <c r="B298" s="87" t="s">
        <v>589</v>
      </c>
      <c r="C298" s="88" t="s">
        <v>590</v>
      </c>
      <c r="D298" s="89" t="s">
        <v>131</v>
      </c>
      <c r="E298" s="90">
        <v>73</v>
      </c>
      <c r="F298" s="91"/>
      <c r="G298" s="91"/>
      <c r="H298" s="91"/>
      <c r="I298" s="91">
        <f>SUM(G298:H298)+'BM 002'!I298</f>
        <v>0</v>
      </c>
      <c r="J298" s="91">
        <f t="shared" si="136"/>
        <v>73</v>
      </c>
      <c r="K298" s="80">
        <v>38</v>
      </c>
      <c r="L298" s="81">
        <f t="shared" si="135"/>
        <v>48.168804180000002</v>
      </c>
      <c r="M298" s="82">
        <f t="shared" si="139"/>
        <v>0</v>
      </c>
      <c r="N298" s="82">
        <f t="shared" si="140"/>
        <v>0</v>
      </c>
      <c r="O298" s="82">
        <f>N298+'BM 002'!O298</f>
        <v>0</v>
      </c>
      <c r="P298" s="80">
        <f t="shared" si="141"/>
        <v>2774</v>
      </c>
      <c r="Q298" s="82">
        <f t="shared" si="142"/>
        <v>3516.32</v>
      </c>
      <c r="R298" s="82">
        <f t="shared" si="143"/>
        <v>3516.32</v>
      </c>
    </row>
    <row r="299" spans="2:18" s="34" customFormat="1" ht="34.799999999999997">
      <c r="B299" s="87" t="s">
        <v>591</v>
      </c>
      <c r="C299" s="88" t="s">
        <v>592</v>
      </c>
      <c r="D299" s="89" t="s">
        <v>131</v>
      </c>
      <c r="E299" s="90">
        <v>34</v>
      </c>
      <c r="F299" s="91"/>
      <c r="G299" s="91"/>
      <c r="H299" s="91"/>
      <c r="I299" s="91">
        <f>SUM(G299:H299)+'BM 002'!I299</f>
        <v>0</v>
      </c>
      <c r="J299" s="91">
        <f t="shared" si="136"/>
        <v>34</v>
      </c>
      <c r="K299" s="80">
        <v>58.95</v>
      </c>
      <c r="L299" s="81">
        <f t="shared" si="135"/>
        <v>74.725026484500006</v>
      </c>
      <c r="M299" s="82">
        <f t="shared" si="139"/>
        <v>0</v>
      </c>
      <c r="N299" s="82">
        <f t="shared" si="140"/>
        <v>0</v>
      </c>
      <c r="O299" s="82">
        <f>N299+'BM 002'!O299</f>
        <v>0</v>
      </c>
      <c r="P299" s="80">
        <f t="shared" si="141"/>
        <v>2004.3000000000002</v>
      </c>
      <c r="Q299" s="82">
        <f t="shared" si="142"/>
        <v>2540.65</v>
      </c>
      <c r="R299" s="82">
        <f t="shared" si="143"/>
        <v>2540.65</v>
      </c>
    </row>
    <row r="300" spans="2:18" s="34" customFormat="1" ht="46.2">
      <c r="B300" s="87" t="s">
        <v>593</v>
      </c>
      <c r="C300" s="88" t="s">
        <v>594</v>
      </c>
      <c r="D300" s="89" t="s">
        <v>131</v>
      </c>
      <c r="E300" s="90">
        <v>55</v>
      </c>
      <c r="F300" s="91"/>
      <c r="G300" s="91"/>
      <c r="H300" s="91"/>
      <c r="I300" s="91">
        <f>SUM(G300:H300)+'BM 002'!I300</f>
        <v>0</v>
      </c>
      <c r="J300" s="91">
        <f t="shared" si="136"/>
        <v>55</v>
      </c>
      <c r="K300" s="80">
        <v>50</v>
      </c>
      <c r="L300" s="81">
        <f t="shared" si="135"/>
        <v>63.380005500000003</v>
      </c>
      <c r="M300" s="82">
        <f t="shared" si="139"/>
        <v>0</v>
      </c>
      <c r="N300" s="82">
        <f t="shared" si="140"/>
        <v>0</v>
      </c>
      <c r="O300" s="82">
        <f>N300+'BM 002'!O300</f>
        <v>0</v>
      </c>
      <c r="P300" s="80">
        <f t="shared" si="141"/>
        <v>2750</v>
      </c>
      <c r="Q300" s="82">
        <f t="shared" si="142"/>
        <v>3485.9</v>
      </c>
      <c r="R300" s="82">
        <f t="shared" si="143"/>
        <v>3485.9</v>
      </c>
    </row>
    <row r="301" spans="2:18" s="34" customFormat="1" ht="34.799999999999997">
      <c r="B301" s="87" t="s">
        <v>595</v>
      </c>
      <c r="C301" s="88" t="s">
        <v>596</v>
      </c>
      <c r="D301" s="89" t="s">
        <v>131</v>
      </c>
      <c r="E301" s="90">
        <v>41</v>
      </c>
      <c r="F301" s="91"/>
      <c r="G301" s="91"/>
      <c r="H301" s="91"/>
      <c r="I301" s="91">
        <f>SUM(G301:H301)+'BM 002'!I301</f>
        <v>0</v>
      </c>
      <c r="J301" s="91">
        <f t="shared" si="136"/>
        <v>41</v>
      </c>
      <c r="K301" s="80">
        <v>52</v>
      </c>
      <c r="L301" s="81">
        <f t="shared" si="135"/>
        <v>65.915205720000003</v>
      </c>
      <c r="M301" s="82">
        <f t="shared" si="139"/>
        <v>0</v>
      </c>
      <c r="N301" s="82">
        <f t="shared" si="140"/>
        <v>0</v>
      </c>
      <c r="O301" s="82">
        <f>N301+'BM 002'!O301</f>
        <v>0</v>
      </c>
      <c r="P301" s="80">
        <f t="shared" si="141"/>
        <v>2132</v>
      </c>
      <c r="Q301" s="82">
        <f t="shared" si="142"/>
        <v>2702.52</v>
      </c>
      <c r="R301" s="82">
        <f t="shared" si="143"/>
        <v>2702.52</v>
      </c>
    </row>
    <row r="302" spans="2:18" s="34" customFormat="1" ht="34.799999999999997">
      <c r="B302" s="87" t="s">
        <v>597</v>
      </c>
      <c r="C302" s="88" t="s">
        <v>598</v>
      </c>
      <c r="D302" s="89" t="s">
        <v>131</v>
      </c>
      <c r="E302" s="90">
        <v>3</v>
      </c>
      <c r="F302" s="91"/>
      <c r="G302" s="91"/>
      <c r="H302" s="91"/>
      <c r="I302" s="91">
        <f>SUM(G302:H302)+'BM 002'!I302</f>
        <v>0</v>
      </c>
      <c r="J302" s="91">
        <f t="shared" si="136"/>
        <v>3</v>
      </c>
      <c r="K302" s="80">
        <v>51</v>
      </c>
      <c r="L302" s="81">
        <f t="shared" si="135"/>
        <v>64.647605609999999</v>
      </c>
      <c r="M302" s="82">
        <f t="shared" si="139"/>
        <v>0</v>
      </c>
      <c r="N302" s="82">
        <f t="shared" si="140"/>
        <v>0</v>
      </c>
      <c r="O302" s="82">
        <f>N302+'BM 002'!O302</f>
        <v>0</v>
      </c>
      <c r="P302" s="80">
        <f t="shared" si="141"/>
        <v>153</v>
      </c>
      <c r="Q302" s="82">
        <f t="shared" si="142"/>
        <v>193.94</v>
      </c>
      <c r="R302" s="82">
        <f t="shared" si="143"/>
        <v>193.94</v>
      </c>
    </row>
    <row r="303" spans="2:18" s="34" customFormat="1" ht="34.799999999999997">
      <c r="B303" s="87" t="s">
        <v>599</v>
      </c>
      <c r="C303" s="88" t="s">
        <v>600</v>
      </c>
      <c r="D303" s="89" t="s">
        <v>131</v>
      </c>
      <c r="E303" s="90">
        <v>1</v>
      </c>
      <c r="F303" s="91"/>
      <c r="G303" s="91"/>
      <c r="H303" s="91"/>
      <c r="I303" s="91">
        <f>SUM(G303:H303)+'BM 002'!I303</f>
        <v>0</v>
      </c>
      <c r="J303" s="91">
        <f t="shared" si="136"/>
        <v>1</v>
      </c>
      <c r="K303" s="80">
        <v>60</v>
      </c>
      <c r="L303" s="81">
        <f t="shared" si="135"/>
        <v>76.056006600000003</v>
      </c>
      <c r="M303" s="82">
        <f t="shared" si="139"/>
        <v>0</v>
      </c>
      <c r="N303" s="82">
        <f t="shared" si="140"/>
        <v>0</v>
      </c>
      <c r="O303" s="82">
        <f>N303+'BM 002'!O303</f>
        <v>0</v>
      </c>
      <c r="P303" s="80">
        <f t="shared" si="141"/>
        <v>60</v>
      </c>
      <c r="Q303" s="82">
        <f t="shared" si="142"/>
        <v>76.05</v>
      </c>
      <c r="R303" s="82">
        <f t="shared" si="143"/>
        <v>76.05</v>
      </c>
    </row>
    <row r="304" spans="2:18" s="34" customFormat="1" ht="23.4">
      <c r="B304" s="87" t="s">
        <v>601</v>
      </c>
      <c r="C304" s="88" t="s">
        <v>602</v>
      </c>
      <c r="D304" s="89" t="s">
        <v>131</v>
      </c>
      <c r="E304" s="90">
        <v>15</v>
      </c>
      <c r="F304" s="91"/>
      <c r="G304" s="91"/>
      <c r="H304" s="91"/>
      <c r="I304" s="91">
        <f>SUM(G304:H304)+'BM 002'!I304</f>
        <v>0</v>
      </c>
      <c r="J304" s="91">
        <f t="shared" si="136"/>
        <v>15</v>
      </c>
      <c r="K304" s="80">
        <v>230</v>
      </c>
      <c r="L304" s="81">
        <f t="shared" si="135"/>
        <v>291.54802530000001</v>
      </c>
      <c r="M304" s="82">
        <f t="shared" si="139"/>
        <v>0</v>
      </c>
      <c r="N304" s="82">
        <f t="shared" si="140"/>
        <v>0</v>
      </c>
      <c r="O304" s="82">
        <f>N304+'BM 002'!O304</f>
        <v>0</v>
      </c>
      <c r="P304" s="80">
        <f t="shared" si="141"/>
        <v>3450</v>
      </c>
      <c r="Q304" s="82">
        <f t="shared" si="142"/>
        <v>4373.22</v>
      </c>
      <c r="R304" s="82">
        <f t="shared" si="143"/>
        <v>4373.22</v>
      </c>
    </row>
    <row r="305" spans="2:18" s="34" customFormat="1" ht="23.4">
      <c r="B305" s="87" t="s">
        <v>603</v>
      </c>
      <c r="C305" s="88" t="s">
        <v>604</v>
      </c>
      <c r="D305" s="89" t="s">
        <v>131</v>
      </c>
      <c r="E305" s="90">
        <v>5</v>
      </c>
      <c r="F305" s="91"/>
      <c r="G305" s="91"/>
      <c r="H305" s="91"/>
      <c r="I305" s="91">
        <f>SUM(G305:H305)+'BM 002'!I305</f>
        <v>0</v>
      </c>
      <c r="J305" s="91">
        <f t="shared" si="136"/>
        <v>5</v>
      </c>
      <c r="K305" s="80">
        <v>140</v>
      </c>
      <c r="L305" s="81">
        <f t="shared" si="135"/>
        <v>177.46401539999999</v>
      </c>
      <c r="M305" s="82">
        <f t="shared" si="139"/>
        <v>0</v>
      </c>
      <c r="N305" s="82">
        <f t="shared" si="140"/>
        <v>0</v>
      </c>
      <c r="O305" s="82">
        <f>N305+'BM 002'!O305</f>
        <v>0</v>
      </c>
      <c r="P305" s="80">
        <f t="shared" si="141"/>
        <v>700</v>
      </c>
      <c r="Q305" s="82">
        <f t="shared" si="142"/>
        <v>887.32</v>
      </c>
      <c r="R305" s="82">
        <f t="shared" si="143"/>
        <v>887.32</v>
      </c>
    </row>
    <row r="306" spans="2:18" s="34" customFormat="1" ht="34.799999999999997">
      <c r="B306" s="87" t="s">
        <v>605</v>
      </c>
      <c r="C306" s="88" t="s">
        <v>606</v>
      </c>
      <c r="D306" s="89" t="s">
        <v>131</v>
      </c>
      <c r="E306" s="90">
        <v>4</v>
      </c>
      <c r="F306" s="91"/>
      <c r="G306" s="91"/>
      <c r="H306" s="91"/>
      <c r="I306" s="91">
        <f>SUM(G306:H306)+'BM 002'!I306</f>
        <v>0</v>
      </c>
      <c r="J306" s="91">
        <f t="shared" si="136"/>
        <v>4</v>
      </c>
      <c r="K306" s="80">
        <v>59</v>
      </c>
      <c r="L306" s="81">
        <f t="shared" si="135"/>
        <v>74.78840649</v>
      </c>
      <c r="M306" s="82">
        <f t="shared" si="139"/>
        <v>0</v>
      </c>
      <c r="N306" s="82">
        <f t="shared" si="140"/>
        <v>0</v>
      </c>
      <c r="O306" s="82">
        <f>N306+'BM 002'!O306</f>
        <v>0</v>
      </c>
      <c r="P306" s="80">
        <f t="shared" si="141"/>
        <v>236</v>
      </c>
      <c r="Q306" s="82">
        <f t="shared" si="142"/>
        <v>299.14999999999998</v>
      </c>
      <c r="R306" s="82">
        <f t="shared" si="143"/>
        <v>299.14999999999998</v>
      </c>
    </row>
    <row r="307" spans="2:18" s="34" customFormat="1" ht="13.2">
      <c r="B307" s="66" t="s">
        <v>607</v>
      </c>
      <c r="C307" s="67" t="s">
        <v>608</v>
      </c>
      <c r="D307" s="68"/>
      <c r="E307" s="69"/>
      <c r="F307" s="70"/>
      <c r="G307" s="70"/>
      <c r="H307" s="70"/>
      <c r="I307" s="70">
        <f>SUM(G307:H307)+'BM 002'!I307</f>
        <v>0</v>
      </c>
      <c r="J307" s="70">
        <f t="shared" si="136"/>
        <v>0</v>
      </c>
      <c r="K307" s="71"/>
      <c r="L307" s="71">
        <f t="shared" si="135"/>
        <v>0</v>
      </c>
      <c r="M307" s="73">
        <f t="shared" ref="M307:R307" si="144">SUM(M308:M314)</f>
        <v>0</v>
      </c>
      <c r="N307" s="73">
        <f t="shared" si="144"/>
        <v>0</v>
      </c>
      <c r="O307" s="73">
        <f t="shared" si="144"/>
        <v>0</v>
      </c>
      <c r="P307" s="73">
        <f t="shared" si="144"/>
        <v>50562</v>
      </c>
      <c r="Q307" s="73">
        <f t="shared" si="144"/>
        <v>64092.350000000006</v>
      </c>
      <c r="R307" s="73">
        <f t="shared" si="144"/>
        <v>64092.350000000006</v>
      </c>
    </row>
    <row r="308" spans="2:18" s="34" customFormat="1" ht="34.799999999999997">
      <c r="B308" s="87" t="s">
        <v>609</v>
      </c>
      <c r="C308" s="88" t="s">
        <v>610</v>
      </c>
      <c r="D308" s="89" t="s">
        <v>131</v>
      </c>
      <c r="E308" s="90">
        <v>202</v>
      </c>
      <c r="F308" s="91"/>
      <c r="G308" s="91"/>
      <c r="H308" s="91"/>
      <c r="I308" s="91">
        <f>SUM(G308:H308)+'BM 002'!I308</f>
        <v>0</v>
      </c>
      <c r="J308" s="91">
        <f t="shared" si="136"/>
        <v>202</v>
      </c>
      <c r="K308" s="80">
        <v>38</v>
      </c>
      <c r="L308" s="81">
        <f t="shared" si="135"/>
        <v>48.168804180000002</v>
      </c>
      <c r="M308" s="82">
        <f t="shared" ref="M308:M314" si="145">TRUNC(F308*L308,2)</f>
        <v>0</v>
      </c>
      <c r="N308" s="82">
        <f t="shared" ref="N308:N314" si="146">TRUNC(G308*L308,2)</f>
        <v>0</v>
      </c>
      <c r="O308" s="82">
        <f>N308+'BM 002'!O308</f>
        <v>0</v>
      </c>
      <c r="P308" s="80">
        <f t="shared" ref="P308:P314" si="147">E308*K308</f>
        <v>7676</v>
      </c>
      <c r="Q308" s="82">
        <f t="shared" ref="Q308:Q314" si="148">TRUNC(E308*L308,2)</f>
        <v>9730.09</v>
      </c>
      <c r="R308" s="82">
        <f t="shared" ref="R308:R314" si="149">Q308-O308</f>
        <v>9730.09</v>
      </c>
    </row>
    <row r="309" spans="2:18" s="34" customFormat="1" ht="34.799999999999997">
      <c r="B309" s="87" t="s">
        <v>611</v>
      </c>
      <c r="C309" s="88" t="s">
        <v>612</v>
      </c>
      <c r="D309" s="89" t="s">
        <v>131</v>
      </c>
      <c r="E309" s="90">
        <v>508</v>
      </c>
      <c r="F309" s="91"/>
      <c r="G309" s="91"/>
      <c r="H309" s="91"/>
      <c r="I309" s="91">
        <f>SUM(G309:H309)+'BM 002'!I309</f>
        <v>0</v>
      </c>
      <c r="J309" s="91">
        <f t="shared" si="136"/>
        <v>508</v>
      </c>
      <c r="K309" s="80">
        <v>40</v>
      </c>
      <c r="L309" s="81">
        <f t="shared" si="135"/>
        <v>50.704004400000002</v>
      </c>
      <c r="M309" s="82">
        <f t="shared" si="145"/>
        <v>0</v>
      </c>
      <c r="N309" s="82">
        <f t="shared" si="146"/>
        <v>0</v>
      </c>
      <c r="O309" s="82">
        <f>N309+'BM 002'!O309</f>
        <v>0</v>
      </c>
      <c r="P309" s="80">
        <f t="shared" si="147"/>
        <v>20320</v>
      </c>
      <c r="Q309" s="82">
        <f t="shared" si="148"/>
        <v>25757.63</v>
      </c>
      <c r="R309" s="82">
        <f t="shared" si="149"/>
        <v>25757.63</v>
      </c>
    </row>
    <row r="310" spans="2:18" s="34" customFormat="1" ht="23.4">
      <c r="B310" s="87" t="s">
        <v>613</v>
      </c>
      <c r="C310" s="88" t="s">
        <v>614</v>
      </c>
      <c r="D310" s="89" t="s">
        <v>131</v>
      </c>
      <c r="E310" s="90">
        <v>52</v>
      </c>
      <c r="F310" s="91"/>
      <c r="G310" s="91"/>
      <c r="H310" s="91"/>
      <c r="I310" s="91">
        <f>SUM(G310:H310)+'BM 002'!I310</f>
        <v>0</v>
      </c>
      <c r="J310" s="91">
        <f t="shared" si="136"/>
        <v>52</v>
      </c>
      <c r="K310" s="80">
        <v>65</v>
      </c>
      <c r="L310" s="81">
        <f t="shared" si="135"/>
        <v>82.394007150000007</v>
      </c>
      <c r="M310" s="82">
        <f t="shared" si="145"/>
        <v>0</v>
      </c>
      <c r="N310" s="82">
        <f t="shared" si="146"/>
        <v>0</v>
      </c>
      <c r="O310" s="82">
        <f>N310+'BM 002'!O310</f>
        <v>0</v>
      </c>
      <c r="P310" s="80">
        <f t="shared" si="147"/>
        <v>3380</v>
      </c>
      <c r="Q310" s="82">
        <f t="shared" si="148"/>
        <v>4284.4799999999996</v>
      </c>
      <c r="R310" s="82">
        <f t="shared" si="149"/>
        <v>4284.4799999999996</v>
      </c>
    </row>
    <row r="311" spans="2:18" s="34" customFormat="1" ht="34.799999999999997">
      <c r="B311" s="87" t="s">
        <v>615</v>
      </c>
      <c r="C311" s="88" t="s">
        <v>610</v>
      </c>
      <c r="D311" s="89" t="s">
        <v>131</v>
      </c>
      <c r="E311" s="90">
        <v>2</v>
      </c>
      <c r="F311" s="91"/>
      <c r="G311" s="91"/>
      <c r="H311" s="91"/>
      <c r="I311" s="91">
        <f>SUM(G311:H311)+'BM 002'!I311</f>
        <v>0</v>
      </c>
      <c r="J311" s="91">
        <f t="shared" si="136"/>
        <v>2</v>
      </c>
      <c r="K311" s="80">
        <v>38</v>
      </c>
      <c r="L311" s="81">
        <f t="shared" si="135"/>
        <v>48.168804180000002</v>
      </c>
      <c r="M311" s="82">
        <f t="shared" si="145"/>
        <v>0</v>
      </c>
      <c r="N311" s="82">
        <f t="shared" si="146"/>
        <v>0</v>
      </c>
      <c r="O311" s="82">
        <f>N311+'BM 002'!O311</f>
        <v>0</v>
      </c>
      <c r="P311" s="80">
        <f t="shared" si="147"/>
        <v>76</v>
      </c>
      <c r="Q311" s="82">
        <f t="shared" si="148"/>
        <v>96.33</v>
      </c>
      <c r="R311" s="82">
        <f t="shared" si="149"/>
        <v>96.33</v>
      </c>
    </row>
    <row r="312" spans="2:18" s="34" customFormat="1" ht="13.2">
      <c r="B312" s="87" t="s">
        <v>616</v>
      </c>
      <c r="C312" s="88" t="s">
        <v>617</v>
      </c>
      <c r="D312" s="89" t="s">
        <v>131</v>
      </c>
      <c r="E312" s="90">
        <v>201</v>
      </c>
      <c r="F312" s="91"/>
      <c r="G312" s="91"/>
      <c r="H312" s="91"/>
      <c r="I312" s="91">
        <f>SUM(G312:H312)+'BM 002'!I312</f>
        <v>0</v>
      </c>
      <c r="J312" s="91">
        <f t="shared" si="136"/>
        <v>201</v>
      </c>
      <c r="K312" s="80">
        <v>30</v>
      </c>
      <c r="L312" s="81">
        <f t="shared" si="135"/>
        <v>38.028003300000002</v>
      </c>
      <c r="M312" s="82">
        <f t="shared" si="145"/>
        <v>0</v>
      </c>
      <c r="N312" s="82">
        <f t="shared" si="146"/>
        <v>0</v>
      </c>
      <c r="O312" s="82">
        <f>N312+'BM 002'!O312</f>
        <v>0</v>
      </c>
      <c r="P312" s="80">
        <f t="shared" si="147"/>
        <v>6030</v>
      </c>
      <c r="Q312" s="82">
        <f t="shared" si="148"/>
        <v>7643.62</v>
      </c>
      <c r="R312" s="82">
        <f t="shared" si="149"/>
        <v>7643.62</v>
      </c>
    </row>
    <row r="313" spans="2:18" s="34" customFormat="1" ht="23.4">
      <c r="B313" s="87" t="s">
        <v>618</v>
      </c>
      <c r="C313" s="88" t="s">
        <v>619</v>
      </c>
      <c r="D313" s="89" t="s">
        <v>131</v>
      </c>
      <c r="E313" s="90">
        <v>12</v>
      </c>
      <c r="F313" s="91"/>
      <c r="G313" s="91"/>
      <c r="H313" s="91"/>
      <c r="I313" s="91">
        <f>SUM(G313:H313)+'BM 002'!I313</f>
        <v>0</v>
      </c>
      <c r="J313" s="91">
        <f t="shared" si="136"/>
        <v>12</v>
      </c>
      <c r="K313" s="80">
        <v>40</v>
      </c>
      <c r="L313" s="81">
        <f t="shared" si="135"/>
        <v>50.704004400000002</v>
      </c>
      <c r="M313" s="82">
        <f t="shared" si="145"/>
        <v>0</v>
      </c>
      <c r="N313" s="82">
        <f t="shared" si="146"/>
        <v>0</v>
      </c>
      <c r="O313" s="82">
        <f>N313+'BM 002'!O313</f>
        <v>0</v>
      </c>
      <c r="P313" s="80">
        <f t="shared" si="147"/>
        <v>480</v>
      </c>
      <c r="Q313" s="82">
        <f t="shared" si="148"/>
        <v>608.44000000000005</v>
      </c>
      <c r="R313" s="82">
        <f t="shared" si="149"/>
        <v>608.44000000000005</v>
      </c>
    </row>
    <row r="314" spans="2:18" s="34" customFormat="1" ht="23.4">
      <c r="B314" s="87" t="s">
        <v>620</v>
      </c>
      <c r="C314" s="88" t="s">
        <v>621</v>
      </c>
      <c r="D314" s="89" t="s">
        <v>131</v>
      </c>
      <c r="E314" s="90">
        <v>180</v>
      </c>
      <c r="F314" s="91"/>
      <c r="G314" s="91"/>
      <c r="H314" s="91"/>
      <c r="I314" s="91">
        <f>SUM(G314:H314)+'BM 002'!I314</f>
        <v>0</v>
      </c>
      <c r="J314" s="91">
        <f t="shared" si="136"/>
        <v>180</v>
      </c>
      <c r="K314" s="80">
        <v>70</v>
      </c>
      <c r="L314" s="81">
        <f t="shared" si="135"/>
        <v>88.732007699999997</v>
      </c>
      <c r="M314" s="82">
        <f t="shared" si="145"/>
        <v>0</v>
      </c>
      <c r="N314" s="82">
        <f t="shared" si="146"/>
        <v>0</v>
      </c>
      <c r="O314" s="82">
        <f>N314+'BM 002'!O314</f>
        <v>0</v>
      </c>
      <c r="P314" s="80">
        <f t="shared" si="147"/>
        <v>12600</v>
      </c>
      <c r="Q314" s="82">
        <f t="shared" si="148"/>
        <v>15971.76</v>
      </c>
      <c r="R314" s="82">
        <f t="shared" si="149"/>
        <v>15971.76</v>
      </c>
    </row>
    <row r="315" spans="2:18" s="34" customFormat="1" ht="26.25" customHeight="1">
      <c r="B315" s="66" t="s">
        <v>622</v>
      </c>
      <c r="C315" s="67" t="s">
        <v>623</v>
      </c>
      <c r="D315" s="68"/>
      <c r="E315" s="69"/>
      <c r="F315" s="70"/>
      <c r="G315" s="70"/>
      <c r="H315" s="70"/>
      <c r="I315" s="70">
        <f>SUM(G315:H315)+'BM 002'!I315</f>
        <v>0</v>
      </c>
      <c r="J315" s="70">
        <f t="shared" si="136"/>
        <v>0</v>
      </c>
      <c r="K315" s="71"/>
      <c r="L315" s="71">
        <f t="shared" si="135"/>
        <v>0</v>
      </c>
      <c r="M315" s="73">
        <f t="shared" ref="M315:R315" si="150">SUM(M316)</f>
        <v>0</v>
      </c>
      <c r="N315" s="73">
        <f t="shared" si="150"/>
        <v>0</v>
      </c>
      <c r="O315" s="73">
        <f t="shared" si="150"/>
        <v>0</v>
      </c>
      <c r="P315" s="73">
        <f t="shared" si="150"/>
        <v>660</v>
      </c>
      <c r="Q315" s="73">
        <f t="shared" si="150"/>
        <v>836.61</v>
      </c>
      <c r="R315" s="73">
        <f t="shared" si="150"/>
        <v>836.61</v>
      </c>
    </row>
    <row r="316" spans="2:18" s="34" customFormat="1" ht="13.2">
      <c r="B316" s="75" t="s">
        <v>624</v>
      </c>
      <c r="C316" s="76" t="s">
        <v>625</v>
      </c>
      <c r="D316" s="77" t="s">
        <v>131</v>
      </c>
      <c r="E316" s="78">
        <v>3</v>
      </c>
      <c r="F316" s="79"/>
      <c r="G316" s="79"/>
      <c r="H316" s="79"/>
      <c r="I316" s="79">
        <f>SUM(G316:H316)+'BM 002'!I316</f>
        <v>0</v>
      </c>
      <c r="J316" s="79">
        <f t="shared" si="136"/>
        <v>3</v>
      </c>
      <c r="K316" s="84">
        <v>220</v>
      </c>
      <c r="L316" s="81">
        <f t="shared" si="135"/>
        <v>278.8720242</v>
      </c>
      <c r="M316" s="82">
        <f>TRUNC(F316*L316,2)</f>
        <v>0</v>
      </c>
      <c r="N316" s="82">
        <f>TRUNC(G316*L316,2)</f>
        <v>0</v>
      </c>
      <c r="O316" s="82">
        <f>N316+'BM 002'!O316</f>
        <v>0</v>
      </c>
      <c r="P316" s="80">
        <f>E316*K316</f>
        <v>660</v>
      </c>
      <c r="Q316" s="82">
        <f>TRUNC(E316*L316,2)</f>
        <v>836.61</v>
      </c>
      <c r="R316" s="82">
        <f>Q316-O316</f>
        <v>836.61</v>
      </c>
    </row>
    <row r="317" spans="2:18" s="34" customFormat="1" ht="13.2">
      <c r="B317" s="60" t="s">
        <v>626</v>
      </c>
      <c r="C317" s="61" t="s">
        <v>627</v>
      </c>
      <c r="D317" s="60"/>
      <c r="E317" s="62"/>
      <c r="F317" s="63"/>
      <c r="G317" s="63"/>
      <c r="H317" s="63"/>
      <c r="I317" s="63">
        <f>SUM(G317:H317)+'BM 002'!I317</f>
        <v>0</v>
      </c>
      <c r="J317" s="63">
        <f t="shared" si="136"/>
        <v>0</v>
      </c>
      <c r="K317" s="63"/>
      <c r="L317" s="63">
        <f t="shared" si="135"/>
        <v>0</v>
      </c>
      <c r="M317" s="63">
        <f t="shared" ref="M317:R317" si="151">SUM(M318:M327)</f>
        <v>0</v>
      </c>
      <c r="N317" s="63">
        <f t="shared" si="151"/>
        <v>0</v>
      </c>
      <c r="O317" s="63">
        <f t="shared" si="151"/>
        <v>0</v>
      </c>
      <c r="P317" s="63">
        <f t="shared" si="151"/>
        <v>37271.68</v>
      </c>
      <c r="Q317" s="63">
        <f t="shared" si="151"/>
        <v>47245.569999999992</v>
      </c>
      <c r="R317" s="63">
        <f t="shared" si="151"/>
        <v>47245.569999999992</v>
      </c>
    </row>
    <row r="318" spans="2:18" s="34" customFormat="1" ht="23.4">
      <c r="B318" s="75" t="s">
        <v>628</v>
      </c>
      <c r="C318" s="76" t="s">
        <v>629</v>
      </c>
      <c r="D318" s="77" t="s">
        <v>82</v>
      </c>
      <c r="E318" s="93">
        <v>170</v>
      </c>
      <c r="F318" s="79"/>
      <c r="G318" s="79"/>
      <c r="H318" s="79"/>
      <c r="I318" s="79">
        <f>SUM(G318:H318)+'BM 002'!I318</f>
        <v>0</v>
      </c>
      <c r="J318" s="79">
        <f t="shared" si="136"/>
        <v>170</v>
      </c>
      <c r="K318" s="80">
        <v>100</v>
      </c>
      <c r="L318" s="81">
        <f t="shared" si="135"/>
        <v>126.76001100000001</v>
      </c>
      <c r="M318" s="82">
        <f t="shared" ref="M318:M327" si="152">TRUNC(F318*L318,2)</f>
        <v>0</v>
      </c>
      <c r="N318" s="82">
        <f t="shared" ref="N318:N327" si="153">TRUNC(G318*L318,2)</f>
        <v>0</v>
      </c>
      <c r="O318" s="82">
        <f>N318+'BM 002'!O318</f>
        <v>0</v>
      </c>
      <c r="P318" s="80">
        <f t="shared" ref="P318:P327" si="154">E318*K318</f>
        <v>17000</v>
      </c>
      <c r="Q318" s="82">
        <f t="shared" ref="Q318:Q327" si="155">TRUNC(E318*L318,2)</f>
        <v>21549.200000000001</v>
      </c>
      <c r="R318" s="82">
        <f t="shared" ref="R318:R327" si="156">Q318-O318</f>
        <v>21549.200000000001</v>
      </c>
    </row>
    <row r="319" spans="2:18" s="34" customFormat="1" ht="23.4">
      <c r="B319" s="75" t="s">
        <v>630</v>
      </c>
      <c r="C319" s="76" t="s">
        <v>631</v>
      </c>
      <c r="D319" s="77" t="s">
        <v>131</v>
      </c>
      <c r="E319" s="93">
        <v>1</v>
      </c>
      <c r="F319" s="79"/>
      <c r="G319" s="79"/>
      <c r="H319" s="79"/>
      <c r="I319" s="79">
        <f>SUM(G319:H319)+'BM 002'!I319</f>
        <v>0</v>
      </c>
      <c r="J319" s="79">
        <f t="shared" si="136"/>
        <v>1</v>
      </c>
      <c r="K319" s="80">
        <v>1300</v>
      </c>
      <c r="L319" s="81">
        <f t="shared" si="135"/>
        <v>1647.8801430000001</v>
      </c>
      <c r="M319" s="82">
        <f t="shared" si="152"/>
        <v>0</v>
      </c>
      <c r="N319" s="82">
        <f t="shared" si="153"/>
        <v>0</v>
      </c>
      <c r="O319" s="82">
        <f>N319+'BM 002'!O319</f>
        <v>0</v>
      </c>
      <c r="P319" s="80">
        <f t="shared" si="154"/>
        <v>1300</v>
      </c>
      <c r="Q319" s="82">
        <f t="shared" si="155"/>
        <v>1647.88</v>
      </c>
      <c r="R319" s="82">
        <f t="shared" si="156"/>
        <v>1647.88</v>
      </c>
    </row>
    <row r="320" spans="2:18" s="34" customFormat="1" ht="23.4">
      <c r="B320" s="75" t="s">
        <v>632</v>
      </c>
      <c r="C320" s="76" t="s">
        <v>633</v>
      </c>
      <c r="D320" s="77" t="s">
        <v>82</v>
      </c>
      <c r="E320" s="93">
        <v>250</v>
      </c>
      <c r="F320" s="79"/>
      <c r="G320" s="79"/>
      <c r="H320" s="79"/>
      <c r="I320" s="79">
        <f>SUM(G320:H320)+'BM 002'!I320</f>
        <v>0</v>
      </c>
      <c r="J320" s="79">
        <f t="shared" si="136"/>
        <v>250</v>
      </c>
      <c r="K320" s="80">
        <v>38</v>
      </c>
      <c r="L320" s="81">
        <f t="shared" si="135"/>
        <v>48.168804180000002</v>
      </c>
      <c r="M320" s="82">
        <f t="shared" si="152"/>
        <v>0</v>
      </c>
      <c r="N320" s="82">
        <f t="shared" si="153"/>
        <v>0</v>
      </c>
      <c r="O320" s="82">
        <f>N320+'BM 002'!O320</f>
        <v>0</v>
      </c>
      <c r="P320" s="80">
        <f t="shared" si="154"/>
        <v>9500</v>
      </c>
      <c r="Q320" s="82">
        <f t="shared" si="155"/>
        <v>12042.2</v>
      </c>
      <c r="R320" s="82">
        <f t="shared" si="156"/>
        <v>12042.2</v>
      </c>
    </row>
    <row r="321" spans="2:18" s="34" customFormat="1" ht="13.2">
      <c r="B321" s="75" t="s">
        <v>634</v>
      </c>
      <c r="C321" s="76" t="s">
        <v>635</v>
      </c>
      <c r="D321" s="77" t="s">
        <v>39</v>
      </c>
      <c r="E321" s="78">
        <v>20</v>
      </c>
      <c r="F321" s="79"/>
      <c r="G321" s="79"/>
      <c r="H321" s="79"/>
      <c r="I321" s="79">
        <f>SUM(G321:H321)+'BM 002'!I321</f>
        <v>0</v>
      </c>
      <c r="J321" s="79">
        <f t="shared" si="136"/>
        <v>20</v>
      </c>
      <c r="K321" s="84">
        <v>42</v>
      </c>
      <c r="L321" s="81">
        <f t="shared" si="135"/>
        <v>53.239204620000002</v>
      </c>
      <c r="M321" s="82">
        <f t="shared" si="152"/>
        <v>0</v>
      </c>
      <c r="N321" s="82">
        <f t="shared" si="153"/>
        <v>0</v>
      </c>
      <c r="O321" s="82">
        <f>N321+'BM 002'!O321</f>
        <v>0</v>
      </c>
      <c r="P321" s="80">
        <f t="shared" si="154"/>
        <v>840</v>
      </c>
      <c r="Q321" s="82">
        <f t="shared" si="155"/>
        <v>1064.78</v>
      </c>
      <c r="R321" s="82">
        <f t="shared" si="156"/>
        <v>1064.78</v>
      </c>
    </row>
    <row r="322" spans="2:18" s="34" customFormat="1" ht="23.4">
      <c r="B322" s="75" t="s">
        <v>636</v>
      </c>
      <c r="C322" s="76" t="s">
        <v>637</v>
      </c>
      <c r="D322" s="77" t="s">
        <v>39</v>
      </c>
      <c r="E322" s="78">
        <v>30</v>
      </c>
      <c r="F322" s="79"/>
      <c r="G322" s="79"/>
      <c r="H322" s="79"/>
      <c r="I322" s="79">
        <f>SUM(G322:H322)+'BM 002'!I322</f>
        <v>0</v>
      </c>
      <c r="J322" s="79">
        <f t="shared" si="136"/>
        <v>30</v>
      </c>
      <c r="K322" s="84">
        <v>25</v>
      </c>
      <c r="L322" s="81">
        <f t="shared" si="135"/>
        <v>31.690002750000001</v>
      </c>
      <c r="M322" s="82">
        <f t="shared" si="152"/>
        <v>0</v>
      </c>
      <c r="N322" s="82">
        <f t="shared" si="153"/>
        <v>0</v>
      </c>
      <c r="O322" s="82">
        <f>N322+'BM 002'!O322</f>
        <v>0</v>
      </c>
      <c r="P322" s="80">
        <f t="shared" si="154"/>
        <v>750</v>
      </c>
      <c r="Q322" s="82">
        <f t="shared" si="155"/>
        <v>950.7</v>
      </c>
      <c r="R322" s="82">
        <f t="shared" si="156"/>
        <v>950.7</v>
      </c>
    </row>
    <row r="323" spans="2:18" s="34" customFormat="1" ht="34.799999999999997">
      <c r="B323" s="75" t="s">
        <v>638</v>
      </c>
      <c r="C323" s="76" t="s">
        <v>639</v>
      </c>
      <c r="D323" s="77" t="s">
        <v>39</v>
      </c>
      <c r="E323" s="78">
        <v>2</v>
      </c>
      <c r="F323" s="79"/>
      <c r="G323" s="79"/>
      <c r="H323" s="79"/>
      <c r="I323" s="79">
        <f>SUM(G323:H323)+'BM 002'!I323</f>
        <v>0</v>
      </c>
      <c r="J323" s="79">
        <f t="shared" si="136"/>
        <v>2</v>
      </c>
      <c r="K323" s="84">
        <v>1800</v>
      </c>
      <c r="L323" s="81">
        <f t="shared" si="135"/>
        <v>2281.680198</v>
      </c>
      <c r="M323" s="82">
        <f t="shared" si="152"/>
        <v>0</v>
      </c>
      <c r="N323" s="82">
        <f t="shared" si="153"/>
        <v>0</v>
      </c>
      <c r="O323" s="82">
        <f>N323+'BM 002'!O323</f>
        <v>0</v>
      </c>
      <c r="P323" s="80">
        <f t="shared" si="154"/>
        <v>3600</v>
      </c>
      <c r="Q323" s="82">
        <f t="shared" si="155"/>
        <v>4563.3599999999997</v>
      </c>
      <c r="R323" s="82">
        <f t="shared" si="156"/>
        <v>4563.3599999999997</v>
      </c>
    </row>
    <row r="324" spans="2:18" s="34" customFormat="1" ht="23.4">
      <c r="B324" s="75" t="s">
        <v>640</v>
      </c>
      <c r="C324" s="76" t="s">
        <v>641</v>
      </c>
      <c r="D324" s="77" t="s">
        <v>39</v>
      </c>
      <c r="E324" s="78">
        <v>17</v>
      </c>
      <c r="F324" s="79"/>
      <c r="G324" s="79"/>
      <c r="H324" s="79"/>
      <c r="I324" s="79">
        <f>SUM(G324:H324)+'BM 002'!I324</f>
        <v>0</v>
      </c>
      <c r="J324" s="79">
        <f t="shared" si="136"/>
        <v>17</v>
      </c>
      <c r="K324" s="84">
        <v>160</v>
      </c>
      <c r="L324" s="81">
        <f t="shared" si="135"/>
        <v>202.81601760000001</v>
      </c>
      <c r="M324" s="82">
        <f t="shared" si="152"/>
        <v>0</v>
      </c>
      <c r="N324" s="82">
        <f t="shared" si="153"/>
        <v>0</v>
      </c>
      <c r="O324" s="82">
        <f>N324+'BM 002'!O324</f>
        <v>0</v>
      </c>
      <c r="P324" s="80">
        <f t="shared" si="154"/>
        <v>2720</v>
      </c>
      <c r="Q324" s="82">
        <f t="shared" si="155"/>
        <v>3447.87</v>
      </c>
      <c r="R324" s="82">
        <f t="shared" si="156"/>
        <v>3447.87</v>
      </c>
    </row>
    <row r="325" spans="2:18" s="34" customFormat="1" ht="13.2">
      <c r="B325" s="75" t="s">
        <v>642</v>
      </c>
      <c r="C325" s="76" t="s">
        <v>643</v>
      </c>
      <c r="D325" s="77" t="s">
        <v>39</v>
      </c>
      <c r="E325" s="78">
        <v>100</v>
      </c>
      <c r="F325" s="79"/>
      <c r="G325" s="79"/>
      <c r="H325" s="79"/>
      <c r="I325" s="79">
        <f>SUM(G325:H325)+'BM 002'!I325</f>
        <v>0</v>
      </c>
      <c r="J325" s="79">
        <f t="shared" si="136"/>
        <v>100</v>
      </c>
      <c r="K325" s="84">
        <v>5.27</v>
      </c>
      <c r="L325" s="81">
        <f t="shared" si="135"/>
        <v>6.6802525796999994</v>
      </c>
      <c r="M325" s="82">
        <f t="shared" si="152"/>
        <v>0</v>
      </c>
      <c r="N325" s="82">
        <f t="shared" si="153"/>
        <v>0</v>
      </c>
      <c r="O325" s="82">
        <f>N325+'BM 002'!O325</f>
        <v>0</v>
      </c>
      <c r="P325" s="80">
        <f t="shared" si="154"/>
        <v>527</v>
      </c>
      <c r="Q325" s="82">
        <f t="shared" si="155"/>
        <v>668.02</v>
      </c>
      <c r="R325" s="82">
        <f t="shared" si="156"/>
        <v>668.02</v>
      </c>
    </row>
    <row r="326" spans="2:18" s="34" customFormat="1" ht="23.25" customHeight="1">
      <c r="B326" s="75" t="s">
        <v>644</v>
      </c>
      <c r="C326" s="76" t="s">
        <v>645</v>
      </c>
      <c r="D326" s="77" t="s">
        <v>124</v>
      </c>
      <c r="E326" s="78">
        <v>12</v>
      </c>
      <c r="F326" s="79"/>
      <c r="G326" s="79"/>
      <c r="H326" s="79"/>
      <c r="I326" s="79">
        <f>SUM(G326:H326)+'BM 002'!I326</f>
        <v>0</v>
      </c>
      <c r="J326" s="79">
        <f t="shared" si="136"/>
        <v>12</v>
      </c>
      <c r="K326" s="84">
        <v>15.39</v>
      </c>
      <c r="L326" s="81">
        <f t="shared" si="135"/>
        <v>19.5083656929</v>
      </c>
      <c r="M326" s="82">
        <f t="shared" si="152"/>
        <v>0</v>
      </c>
      <c r="N326" s="82">
        <f t="shared" si="153"/>
        <v>0</v>
      </c>
      <c r="O326" s="82">
        <f>N326+'BM 002'!O326</f>
        <v>0</v>
      </c>
      <c r="P326" s="80">
        <f t="shared" si="154"/>
        <v>184.68</v>
      </c>
      <c r="Q326" s="82">
        <f t="shared" si="155"/>
        <v>234.1</v>
      </c>
      <c r="R326" s="82">
        <f t="shared" si="156"/>
        <v>234.1</v>
      </c>
    </row>
    <row r="327" spans="2:18" s="34" customFormat="1" ht="13.2">
      <c r="B327" s="75" t="s">
        <v>646</v>
      </c>
      <c r="C327" s="76" t="s">
        <v>647</v>
      </c>
      <c r="D327" s="77" t="s">
        <v>39</v>
      </c>
      <c r="E327" s="78">
        <v>17</v>
      </c>
      <c r="F327" s="79"/>
      <c r="G327" s="79"/>
      <c r="H327" s="79"/>
      <c r="I327" s="79">
        <f>SUM(G327:H327)+'BM 002'!I327</f>
        <v>0</v>
      </c>
      <c r="J327" s="79">
        <f t="shared" si="136"/>
        <v>17</v>
      </c>
      <c r="K327" s="84">
        <v>50</v>
      </c>
      <c r="L327" s="81">
        <f t="shared" si="135"/>
        <v>63.380005500000003</v>
      </c>
      <c r="M327" s="82">
        <f t="shared" si="152"/>
        <v>0</v>
      </c>
      <c r="N327" s="82">
        <f t="shared" si="153"/>
        <v>0</v>
      </c>
      <c r="O327" s="82">
        <f>N327+'BM 002'!O327</f>
        <v>0</v>
      </c>
      <c r="P327" s="80">
        <f t="shared" si="154"/>
        <v>850</v>
      </c>
      <c r="Q327" s="82">
        <f t="shared" si="155"/>
        <v>1077.46</v>
      </c>
      <c r="R327" s="82">
        <f t="shared" si="156"/>
        <v>1077.46</v>
      </c>
    </row>
    <row r="328" spans="2:18" s="34" customFormat="1" ht="13.2">
      <c r="B328" s="60" t="s">
        <v>648</v>
      </c>
      <c r="C328" s="61" t="s">
        <v>649</v>
      </c>
      <c r="D328" s="60"/>
      <c r="E328" s="62"/>
      <c r="F328" s="63"/>
      <c r="G328" s="63"/>
      <c r="H328" s="63"/>
      <c r="I328" s="63">
        <f>SUM(G328:H328)+'BM 002'!I328</f>
        <v>0</v>
      </c>
      <c r="J328" s="63">
        <f t="shared" si="136"/>
        <v>0</v>
      </c>
      <c r="K328" s="63"/>
      <c r="L328" s="63">
        <f t="shared" si="135"/>
        <v>0</v>
      </c>
      <c r="M328" s="63">
        <f t="shared" ref="M328:R328" si="157">SUM(M329,M337,M395,M406,M474)</f>
        <v>0</v>
      </c>
      <c r="N328" s="63">
        <f t="shared" si="157"/>
        <v>0</v>
      </c>
      <c r="O328" s="63">
        <f t="shared" si="157"/>
        <v>0</v>
      </c>
      <c r="P328" s="63">
        <f t="shared" si="157"/>
        <v>482517.43010000006</v>
      </c>
      <c r="Q328" s="63">
        <f t="shared" si="157"/>
        <v>611638.38000000012</v>
      </c>
      <c r="R328" s="63">
        <f t="shared" si="157"/>
        <v>611638.38000000012</v>
      </c>
    </row>
    <row r="329" spans="2:18" s="34" customFormat="1" ht="13.2">
      <c r="B329" s="66" t="s">
        <v>650</v>
      </c>
      <c r="C329" s="67" t="s">
        <v>651</v>
      </c>
      <c r="D329" s="68"/>
      <c r="E329" s="69"/>
      <c r="F329" s="70"/>
      <c r="G329" s="70"/>
      <c r="H329" s="70"/>
      <c r="I329" s="70">
        <f>SUM(G329:H329)+'BM 002'!I329</f>
        <v>0</v>
      </c>
      <c r="J329" s="70">
        <f t="shared" si="136"/>
        <v>0</v>
      </c>
      <c r="K329" s="71"/>
      <c r="L329" s="71">
        <f t="shared" si="135"/>
        <v>0</v>
      </c>
      <c r="M329" s="73">
        <f t="shared" ref="M329:R329" si="158">SUM(M330:M336)</f>
        <v>0</v>
      </c>
      <c r="N329" s="73">
        <f t="shared" si="158"/>
        <v>0</v>
      </c>
      <c r="O329" s="73">
        <f t="shared" si="158"/>
        <v>0</v>
      </c>
      <c r="P329" s="73">
        <f t="shared" si="158"/>
        <v>39545.715000000004</v>
      </c>
      <c r="Q329" s="73">
        <f t="shared" si="158"/>
        <v>50128.12</v>
      </c>
      <c r="R329" s="73">
        <f t="shared" si="158"/>
        <v>50128.12</v>
      </c>
    </row>
    <row r="330" spans="2:18" s="34" customFormat="1" ht="13.2">
      <c r="B330" s="75" t="s">
        <v>652</v>
      </c>
      <c r="C330" s="76" t="s">
        <v>653</v>
      </c>
      <c r="D330" s="77" t="s">
        <v>82</v>
      </c>
      <c r="E330" s="90">
        <v>9.3800000000000008</v>
      </c>
      <c r="F330" s="91"/>
      <c r="G330" s="91"/>
      <c r="H330" s="91"/>
      <c r="I330" s="91">
        <f>SUM(G330:H330)+'BM 002'!I330</f>
        <v>0</v>
      </c>
      <c r="J330" s="91">
        <f t="shared" si="136"/>
        <v>9.3800000000000008</v>
      </c>
      <c r="K330" s="80">
        <v>6.5</v>
      </c>
      <c r="L330" s="81">
        <f t="shared" si="135"/>
        <v>8.2394007150000004</v>
      </c>
      <c r="M330" s="82">
        <f t="shared" ref="M330:M336" si="159">TRUNC(F330*L330,2)</f>
        <v>0</v>
      </c>
      <c r="N330" s="82">
        <f t="shared" ref="N330:N336" si="160">TRUNC(G330*L330,2)</f>
        <v>0</v>
      </c>
      <c r="O330" s="82">
        <f>N330+'BM 002'!O330</f>
        <v>0</v>
      </c>
      <c r="P330" s="80">
        <f t="shared" ref="P330:P336" si="161">E330*K330</f>
        <v>60.970000000000006</v>
      </c>
      <c r="Q330" s="82">
        <f t="shared" ref="Q330:Q336" si="162">TRUNC(E330*L330,2)</f>
        <v>77.28</v>
      </c>
      <c r="R330" s="82">
        <f t="shared" ref="R330:R336" si="163">Q330-O330</f>
        <v>77.28</v>
      </c>
    </row>
    <row r="331" spans="2:18" s="34" customFormat="1" ht="23.4">
      <c r="B331" s="75" t="s">
        <v>654</v>
      </c>
      <c r="C331" s="76" t="s">
        <v>655</v>
      </c>
      <c r="D331" s="77" t="s">
        <v>82</v>
      </c>
      <c r="E331" s="90">
        <v>1074.94</v>
      </c>
      <c r="F331" s="91"/>
      <c r="G331" s="91"/>
      <c r="H331" s="91"/>
      <c r="I331" s="91">
        <f>SUM(G331:H331)+'BM 002'!I331</f>
        <v>0</v>
      </c>
      <c r="J331" s="91">
        <f t="shared" si="136"/>
        <v>1074.94</v>
      </c>
      <c r="K331" s="80">
        <v>8</v>
      </c>
      <c r="L331" s="81">
        <f t="shared" si="135"/>
        <v>10.14080088</v>
      </c>
      <c r="M331" s="82">
        <f t="shared" si="159"/>
        <v>0</v>
      </c>
      <c r="N331" s="82">
        <f t="shared" si="160"/>
        <v>0</v>
      </c>
      <c r="O331" s="82">
        <f>N331+'BM 002'!O331</f>
        <v>0</v>
      </c>
      <c r="P331" s="80">
        <f t="shared" si="161"/>
        <v>8599.52</v>
      </c>
      <c r="Q331" s="82">
        <f t="shared" si="162"/>
        <v>10900.75</v>
      </c>
      <c r="R331" s="82">
        <f t="shared" si="163"/>
        <v>10900.75</v>
      </c>
    </row>
    <row r="332" spans="2:18" s="34" customFormat="1" ht="23.4">
      <c r="B332" s="75" t="s">
        <v>656</v>
      </c>
      <c r="C332" s="76" t="s">
        <v>657</v>
      </c>
      <c r="D332" s="77" t="s">
        <v>82</v>
      </c>
      <c r="E332" s="93">
        <v>17.41</v>
      </c>
      <c r="F332" s="79"/>
      <c r="G332" s="79"/>
      <c r="H332" s="79"/>
      <c r="I332" s="79">
        <f>SUM(G332:H332)+'BM 002'!I332</f>
        <v>0</v>
      </c>
      <c r="J332" s="79">
        <f t="shared" si="136"/>
        <v>17.41</v>
      </c>
      <c r="K332" s="80">
        <v>17.5</v>
      </c>
      <c r="L332" s="81">
        <f t="shared" si="135"/>
        <v>22.183001924999999</v>
      </c>
      <c r="M332" s="82">
        <f t="shared" si="159"/>
        <v>0</v>
      </c>
      <c r="N332" s="82">
        <f t="shared" si="160"/>
        <v>0</v>
      </c>
      <c r="O332" s="82">
        <f>N332+'BM 002'!O332</f>
        <v>0</v>
      </c>
      <c r="P332" s="80">
        <f t="shared" si="161"/>
        <v>304.67500000000001</v>
      </c>
      <c r="Q332" s="82">
        <f t="shared" si="162"/>
        <v>386.2</v>
      </c>
      <c r="R332" s="82">
        <f t="shared" si="163"/>
        <v>386.2</v>
      </c>
    </row>
    <row r="333" spans="2:18" s="34" customFormat="1" ht="23.4">
      <c r="B333" s="75" t="s">
        <v>658</v>
      </c>
      <c r="C333" s="76" t="s">
        <v>659</v>
      </c>
      <c r="D333" s="77" t="s">
        <v>82</v>
      </c>
      <c r="E333" s="93">
        <v>471.41</v>
      </c>
      <c r="F333" s="79"/>
      <c r="G333" s="79"/>
      <c r="H333" s="79"/>
      <c r="I333" s="79">
        <f>SUM(G333:H333)+'BM 002'!I333</f>
        <v>0</v>
      </c>
      <c r="J333" s="79">
        <f t="shared" si="136"/>
        <v>471.41</v>
      </c>
      <c r="K333" s="80">
        <v>23.5</v>
      </c>
      <c r="L333" s="81">
        <f t="shared" si="135"/>
        <v>29.788602585</v>
      </c>
      <c r="M333" s="82">
        <f t="shared" si="159"/>
        <v>0</v>
      </c>
      <c r="N333" s="82">
        <f t="shared" si="160"/>
        <v>0</v>
      </c>
      <c r="O333" s="82">
        <f>N333+'BM 002'!O333</f>
        <v>0</v>
      </c>
      <c r="P333" s="80">
        <f t="shared" si="161"/>
        <v>11078.135</v>
      </c>
      <c r="Q333" s="82">
        <f t="shared" si="162"/>
        <v>14042.64</v>
      </c>
      <c r="R333" s="82">
        <f t="shared" si="163"/>
        <v>14042.64</v>
      </c>
    </row>
    <row r="334" spans="2:18" s="34" customFormat="1" ht="23.4">
      <c r="B334" s="75" t="s">
        <v>660</v>
      </c>
      <c r="C334" s="76" t="s">
        <v>661</v>
      </c>
      <c r="D334" s="77" t="s">
        <v>82</v>
      </c>
      <c r="E334" s="93">
        <v>25.81</v>
      </c>
      <c r="F334" s="79"/>
      <c r="G334" s="79"/>
      <c r="H334" s="79"/>
      <c r="I334" s="79">
        <f>SUM(G334:H334)+'BM 002'!I334</f>
        <v>0</v>
      </c>
      <c r="J334" s="79">
        <f t="shared" si="136"/>
        <v>25.81</v>
      </c>
      <c r="K334" s="80">
        <v>27.5</v>
      </c>
      <c r="L334" s="81">
        <f t="shared" si="135"/>
        <v>34.859003025</v>
      </c>
      <c r="M334" s="82">
        <f t="shared" si="159"/>
        <v>0</v>
      </c>
      <c r="N334" s="82">
        <f t="shared" si="160"/>
        <v>0</v>
      </c>
      <c r="O334" s="82">
        <f>N334+'BM 002'!O334</f>
        <v>0</v>
      </c>
      <c r="P334" s="80">
        <f t="shared" si="161"/>
        <v>709.77499999999998</v>
      </c>
      <c r="Q334" s="82">
        <f t="shared" si="162"/>
        <v>899.71</v>
      </c>
      <c r="R334" s="82">
        <f t="shared" si="163"/>
        <v>899.71</v>
      </c>
    </row>
    <row r="335" spans="2:18" s="34" customFormat="1" ht="23.4">
      <c r="B335" s="75" t="s">
        <v>662</v>
      </c>
      <c r="C335" s="76" t="s">
        <v>663</v>
      </c>
      <c r="D335" s="77" t="s">
        <v>124</v>
      </c>
      <c r="E335" s="93">
        <v>165.66</v>
      </c>
      <c r="F335" s="79"/>
      <c r="G335" s="79"/>
      <c r="H335" s="79"/>
      <c r="I335" s="79">
        <f>SUM(G335:H335)+'BM 002'!I335</f>
        <v>0</v>
      </c>
      <c r="J335" s="79">
        <f t="shared" si="136"/>
        <v>165.66</v>
      </c>
      <c r="K335" s="80">
        <v>41</v>
      </c>
      <c r="L335" s="81">
        <f t="shared" si="135"/>
        <v>51.971604510000006</v>
      </c>
      <c r="M335" s="82">
        <f t="shared" si="159"/>
        <v>0</v>
      </c>
      <c r="N335" s="82">
        <f t="shared" si="160"/>
        <v>0</v>
      </c>
      <c r="O335" s="82">
        <f>N335+'BM 002'!O335</f>
        <v>0</v>
      </c>
      <c r="P335" s="80">
        <f t="shared" si="161"/>
        <v>6792.0599999999995</v>
      </c>
      <c r="Q335" s="82">
        <f t="shared" si="162"/>
        <v>8609.61</v>
      </c>
      <c r="R335" s="82">
        <f t="shared" si="163"/>
        <v>8609.61</v>
      </c>
    </row>
    <row r="336" spans="2:18" s="34" customFormat="1" ht="13.2">
      <c r="B336" s="75" t="s">
        <v>664</v>
      </c>
      <c r="C336" s="76" t="s">
        <v>665</v>
      </c>
      <c r="D336" s="77" t="s">
        <v>124</v>
      </c>
      <c r="E336" s="93">
        <v>162.16999999999999</v>
      </c>
      <c r="F336" s="79"/>
      <c r="G336" s="79"/>
      <c r="H336" s="79"/>
      <c r="I336" s="79">
        <f>SUM(G336:H336)+'BM 002'!I336</f>
        <v>0</v>
      </c>
      <c r="J336" s="79">
        <f t="shared" si="136"/>
        <v>162.16999999999999</v>
      </c>
      <c r="K336" s="80">
        <v>74</v>
      </c>
      <c r="L336" s="81">
        <f t="shared" si="135"/>
        <v>93.802408140000011</v>
      </c>
      <c r="M336" s="82">
        <f t="shared" si="159"/>
        <v>0</v>
      </c>
      <c r="N336" s="82">
        <f t="shared" si="160"/>
        <v>0</v>
      </c>
      <c r="O336" s="82">
        <f>N336+'BM 002'!O336</f>
        <v>0</v>
      </c>
      <c r="P336" s="80">
        <f t="shared" si="161"/>
        <v>12000.58</v>
      </c>
      <c r="Q336" s="82">
        <f t="shared" si="162"/>
        <v>15211.93</v>
      </c>
      <c r="R336" s="82">
        <f t="shared" si="163"/>
        <v>15211.93</v>
      </c>
    </row>
    <row r="337" spans="2:18" s="34" customFormat="1" ht="13.2">
      <c r="B337" s="66" t="s">
        <v>666</v>
      </c>
      <c r="C337" s="67" t="s">
        <v>667</v>
      </c>
      <c r="D337" s="68"/>
      <c r="E337" s="69"/>
      <c r="F337" s="70"/>
      <c r="G337" s="70"/>
      <c r="H337" s="70"/>
      <c r="I337" s="70">
        <f>SUM(G337:H337)+'BM 002'!I337</f>
        <v>0</v>
      </c>
      <c r="J337" s="70">
        <f t="shared" si="136"/>
        <v>0</v>
      </c>
      <c r="K337" s="71"/>
      <c r="L337" s="71">
        <f t="shared" si="135"/>
        <v>0</v>
      </c>
      <c r="M337" s="73">
        <f t="shared" ref="M337:R337" si="164">SUM(M338:M394)</f>
        <v>0</v>
      </c>
      <c r="N337" s="73">
        <f t="shared" si="164"/>
        <v>0</v>
      </c>
      <c r="O337" s="73">
        <f t="shared" si="164"/>
        <v>0</v>
      </c>
      <c r="P337" s="73">
        <f t="shared" si="164"/>
        <v>49585.86</v>
      </c>
      <c r="Q337" s="73">
        <f t="shared" si="164"/>
        <v>62854.749999999985</v>
      </c>
      <c r="R337" s="73">
        <f t="shared" si="164"/>
        <v>62854.749999999985</v>
      </c>
    </row>
    <row r="338" spans="2:18" s="34" customFormat="1" ht="34.799999999999997">
      <c r="B338" s="75" t="s">
        <v>668</v>
      </c>
      <c r="C338" s="76" t="s">
        <v>669</v>
      </c>
      <c r="D338" s="77" t="s">
        <v>131</v>
      </c>
      <c r="E338" s="93">
        <v>2</v>
      </c>
      <c r="F338" s="79"/>
      <c r="G338" s="79"/>
      <c r="H338" s="79"/>
      <c r="I338" s="79">
        <f>SUM(G338:H338)+'BM 002'!I338</f>
        <v>0</v>
      </c>
      <c r="J338" s="79">
        <f t="shared" si="136"/>
        <v>2</v>
      </c>
      <c r="K338" s="80">
        <v>119</v>
      </c>
      <c r="L338" s="81">
        <f t="shared" si="135"/>
        <v>150.84441309000002</v>
      </c>
      <c r="M338" s="82">
        <f t="shared" ref="M338:M369" si="165">TRUNC(F338*L338,2)</f>
        <v>0</v>
      </c>
      <c r="N338" s="82">
        <f t="shared" ref="N338:N369" si="166">TRUNC(G338*L338,2)</f>
        <v>0</v>
      </c>
      <c r="O338" s="82">
        <f>N338+'BM 002'!O338</f>
        <v>0</v>
      </c>
      <c r="P338" s="80">
        <f t="shared" ref="P338:P369" si="167">E338*K338</f>
        <v>238</v>
      </c>
      <c r="Q338" s="82">
        <f t="shared" ref="Q338:Q369" si="168">TRUNC(E338*L338,2)</f>
        <v>301.68</v>
      </c>
      <c r="R338" s="82">
        <f t="shared" ref="R338:R369" si="169">Q338-O338</f>
        <v>301.68</v>
      </c>
    </row>
    <row r="339" spans="2:18" s="34" customFormat="1" ht="34.799999999999997">
      <c r="B339" s="75" t="s">
        <v>670</v>
      </c>
      <c r="C339" s="76" t="s">
        <v>671</v>
      </c>
      <c r="D339" s="77" t="s">
        <v>131</v>
      </c>
      <c r="E339" s="93">
        <v>12</v>
      </c>
      <c r="F339" s="79"/>
      <c r="G339" s="79"/>
      <c r="H339" s="79"/>
      <c r="I339" s="79">
        <f>SUM(G339:H339)+'BM 002'!I339</f>
        <v>0</v>
      </c>
      <c r="J339" s="79">
        <f t="shared" si="136"/>
        <v>12</v>
      </c>
      <c r="K339" s="80">
        <v>215</v>
      </c>
      <c r="L339" s="81">
        <f t="shared" si="135"/>
        <v>272.53402364999999</v>
      </c>
      <c r="M339" s="82">
        <f t="shared" si="165"/>
        <v>0</v>
      </c>
      <c r="N339" s="82">
        <f t="shared" si="166"/>
        <v>0</v>
      </c>
      <c r="O339" s="82">
        <f>N339+'BM 002'!O339</f>
        <v>0</v>
      </c>
      <c r="P339" s="80">
        <f t="shared" si="167"/>
        <v>2580</v>
      </c>
      <c r="Q339" s="82">
        <f t="shared" si="168"/>
        <v>3270.4</v>
      </c>
      <c r="R339" s="82">
        <f t="shared" si="169"/>
        <v>3270.4</v>
      </c>
    </row>
    <row r="340" spans="2:18" s="34" customFormat="1" ht="23.4">
      <c r="B340" s="75" t="s">
        <v>672</v>
      </c>
      <c r="C340" s="76" t="s">
        <v>673</v>
      </c>
      <c r="D340" s="77" t="s">
        <v>131</v>
      </c>
      <c r="E340" s="93">
        <v>15</v>
      </c>
      <c r="F340" s="79"/>
      <c r="G340" s="79"/>
      <c r="H340" s="79"/>
      <c r="I340" s="79">
        <f>SUM(G340:H340)+'BM 002'!I340</f>
        <v>0</v>
      </c>
      <c r="J340" s="79">
        <f t="shared" si="136"/>
        <v>15</v>
      </c>
      <c r="K340" s="80">
        <v>98</v>
      </c>
      <c r="L340" s="81">
        <f t="shared" si="135"/>
        <v>124.22481078000001</v>
      </c>
      <c r="M340" s="82">
        <f t="shared" si="165"/>
        <v>0</v>
      </c>
      <c r="N340" s="82">
        <f t="shared" si="166"/>
        <v>0</v>
      </c>
      <c r="O340" s="82">
        <f>N340+'BM 002'!O340</f>
        <v>0</v>
      </c>
      <c r="P340" s="80">
        <f t="shared" si="167"/>
        <v>1470</v>
      </c>
      <c r="Q340" s="82">
        <f t="shared" si="168"/>
        <v>1863.37</v>
      </c>
      <c r="R340" s="82">
        <f t="shared" si="169"/>
        <v>1863.37</v>
      </c>
    </row>
    <row r="341" spans="2:18" s="34" customFormat="1" ht="34.799999999999997">
      <c r="B341" s="75" t="s">
        <v>674</v>
      </c>
      <c r="C341" s="76" t="s">
        <v>675</v>
      </c>
      <c r="D341" s="77" t="s">
        <v>131</v>
      </c>
      <c r="E341" s="93">
        <v>5</v>
      </c>
      <c r="F341" s="79"/>
      <c r="G341" s="79"/>
      <c r="H341" s="79"/>
      <c r="I341" s="79">
        <f>SUM(G341:H341)+'BM 002'!I341</f>
        <v>0</v>
      </c>
      <c r="J341" s="79">
        <f t="shared" si="136"/>
        <v>5</v>
      </c>
      <c r="K341" s="80">
        <v>52</v>
      </c>
      <c r="L341" s="81">
        <f t="shared" si="135"/>
        <v>65.915205720000003</v>
      </c>
      <c r="M341" s="82">
        <f t="shared" si="165"/>
        <v>0</v>
      </c>
      <c r="N341" s="82">
        <f t="shared" si="166"/>
        <v>0</v>
      </c>
      <c r="O341" s="82">
        <f>N341+'BM 002'!O341</f>
        <v>0</v>
      </c>
      <c r="P341" s="80">
        <f t="shared" si="167"/>
        <v>260</v>
      </c>
      <c r="Q341" s="82">
        <f t="shared" si="168"/>
        <v>329.57</v>
      </c>
      <c r="R341" s="82">
        <f t="shared" si="169"/>
        <v>329.57</v>
      </c>
    </row>
    <row r="342" spans="2:18" s="34" customFormat="1" ht="23.4">
      <c r="B342" s="75" t="s">
        <v>676</v>
      </c>
      <c r="C342" s="76" t="s">
        <v>677</v>
      </c>
      <c r="D342" s="77" t="s">
        <v>131</v>
      </c>
      <c r="E342" s="93">
        <v>160</v>
      </c>
      <c r="F342" s="79"/>
      <c r="G342" s="79"/>
      <c r="H342" s="79"/>
      <c r="I342" s="79">
        <f>SUM(G342:H342)+'BM 002'!I342</f>
        <v>0</v>
      </c>
      <c r="J342" s="79">
        <f t="shared" si="136"/>
        <v>160</v>
      </c>
      <c r="K342" s="80">
        <v>105.95</v>
      </c>
      <c r="L342" s="81">
        <f t="shared" si="135"/>
        <v>134.30223165450002</v>
      </c>
      <c r="M342" s="82">
        <f t="shared" si="165"/>
        <v>0</v>
      </c>
      <c r="N342" s="82">
        <f t="shared" si="166"/>
        <v>0</v>
      </c>
      <c r="O342" s="82">
        <f>N342+'BM 002'!O342</f>
        <v>0</v>
      </c>
      <c r="P342" s="80">
        <f t="shared" si="167"/>
        <v>16952</v>
      </c>
      <c r="Q342" s="82">
        <f t="shared" si="168"/>
        <v>21488.35</v>
      </c>
      <c r="R342" s="82">
        <f t="shared" si="169"/>
        <v>21488.35</v>
      </c>
    </row>
    <row r="343" spans="2:18" s="34" customFormat="1" ht="13.2">
      <c r="B343" s="75" t="s">
        <v>678</v>
      </c>
      <c r="C343" s="76" t="s">
        <v>679</v>
      </c>
      <c r="D343" s="77" t="s">
        <v>131</v>
      </c>
      <c r="E343" s="93">
        <v>11</v>
      </c>
      <c r="F343" s="79"/>
      <c r="G343" s="79"/>
      <c r="H343" s="79"/>
      <c r="I343" s="79">
        <f>SUM(G343:H343)+'BM 002'!I343</f>
        <v>0</v>
      </c>
      <c r="J343" s="79">
        <f t="shared" si="136"/>
        <v>11</v>
      </c>
      <c r="K343" s="80">
        <v>485</v>
      </c>
      <c r="L343" s="81">
        <f t="shared" si="135"/>
        <v>614.78605334999997</v>
      </c>
      <c r="M343" s="82">
        <f t="shared" si="165"/>
        <v>0</v>
      </c>
      <c r="N343" s="82">
        <f t="shared" si="166"/>
        <v>0</v>
      </c>
      <c r="O343" s="82">
        <f>N343+'BM 002'!O343</f>
        <v>0</v>
      </c>
      <c r="P343" s="80">
        <f t="shared" si="167"/>
        <v>5335</v>
      </c>
      <c r="Q343" s="82">
        <f t="shared" si="168"/>
        <v>6762.64</v>
      </c>
      <c r="R343" s="82">
        <f t="shared" si="169"/>
        <v>6762.64</v>
      </c>
    </row>
    <row r="344" spans="2:18" s="34" customFormat="1" ht="34.799999999999997">
      <c r="B344" s="75" t="s">
        <v>680</v>
      </c>
      <c r="C344" s="88" t="s">
        <v>681</v>
      </c>
      <c r="D344" s="89" t="s">
        <v>131</v>
      </c>
      <c r="E344" s="90">
        <v>3</v>
      </c>
      <c r="F344" s="91"/>
      <c r="G344" s="91"/>
      <c r="H344" s="91"/>
      <c r="I344" s="91">
        <f>SUM(G344:H344)+'BM 002'!I344</f>
        <v>0</v>
      </c>
      <c r="J344" s="91">
        <f t="shared" si="136"/>
        <v>3</v>
      </c>
      <c r="K344" s="80">
        <v>165</v>
      </c>
      <c r="L344" s="81">
        <f t="shared" si="135"/>
        <v>209.15401815000001</v>
      </c>
      <c r="M344" s="82">
        <f t="shared" si="165"/>
        <v>0</v>
      </c>
      <c r="N344" s="82">
        <f t="shared" si="166"/>
        <v>0</v>
      </c>
      <c r="O344" s="82">
        <f>N344+'BM 002'!O344</f>
        <v>0</v>
      </c>
      <c r="P344" s="80">
        <f t="shared" si="167"/>
        <v>495</v>
      </c>
      <c r="Q344" s="82">
        <f t="shared" si="168"/>
        <v>627.46</v>
      </c>
      <c r="R344" s="82">
        <f t="shared" si="169"/>
        <v>627.46</v>
      </c>
    </row>
    <row r="345" spans="2:18" s="34" customFormat="1" ht="23.4">
      <c r="B345" s="75" t="s">
        <v>682</v>
      </c>
      <c r="C345" s="88" t="s">
        <v>683</v>
      </c>
      <c r="D345" s="89" t="s">
        <v>131</v>
      </c>
      <c r="E345" s="90">
        <v>1</v>
      </c>
      <c r="F345" s="91"/>
      <c r="G345" s="91"/>
      <c r="H345" s="91"/>
      <c r="I345" s="91">
        <f>SUM(G345:H345)+'BM 002'!I345</f>
        <v>0</v>
      </c>
      <c r="J345" s="91">
        <f t="shared" si="136"/>
        <v>1</v>
      </c>
      <c r="K345" s="80">
        <v>169</v>
      </c>
      <c r="L345" s="81">
        <f t="shared" si="135"/>
        <v>214.22441859</v>
      </c>
      <c r="M345" s="82">
        <f t="shared" si="165"/>
        <v>0</v>
      </c>
      <c r="N345" s="82">
        <f t="shared" si="166"/>
        <v>0</v>
      </c>
      <c r="O345" s="82">
        <f>N345+'BM 002'!O345</f>
        <v>0</v>
      </c>
      <c r="P345" s="80">
        <f t="shared" si="167"/>
        <v>169</v>
      </c>
      <c r="Q345" s="82">
        <f t="shared" si="168"/>
        <v>214.22</v>
      </c>
      <c r="R345" s="82">
        <f t="shared" si="169"/>
        <v>214.22</v>
      </c>
    </row>
    <row r="346" spans="2:18" s="34" customFormat="1" ht="23.4">
      <c r="B346" s="75" t="s">
        <v>684</v>
      </c>
      <c r="C346" s="88" t="s">
        <v>685</v>
      </c>
      <c r="D346" s="89" t="s">
        <v>131</v>
      </c>
      <c r="E346" s="90">
        <v>1</v>
      </c>
      <c r="F346" s="91"/>
      <c r="G346" s="91"/>
      <c r="H346" s="91"/>
      <c r="I346" s="91">
        <f>SUM(G346:H346)+'BM 002'!I346</f>
        <v>0</v>
      </c>
      <c r="J346" s="91">
        <f t="shared" si="136"/>
        <v>1</v>
      </c>
      <c r="K346" s="80">
        <v>99</v>
      </c>
      <c r="L346" s="81">
        <f t="shared" si="135"/>
        <v>125.49241089</v>
      </c>
      <c r="M346" s="82">
        <f t="shared" si="165"/>
        <v>0</v>
      </c>
      <c r="N346" s="82">
        <f t="shared" si="166"/>
        <v>0</v>
      </c>
      <c r="O346" s="82">
        <f>N346+'BM 002'!O346</f>
        <v>0</v>
      </c>
      <c r="P346" s="80">
        <f t="shared" si="167"/>
        <v>99</v>
      </c>
      <c r="Q346" s="82">
        <f t="shared" si="168"/>
        <v>125.49</v>
      </c>
      <c r="R346" s="82">
        <f t="shared" si="169"/>
        <v>125.49</v>
      </c>
    </row>
    <row r="347" spans="2:18" s="34" customFormat="1" ht="23.4">
      <c r="B347" s="75" t="s">
        <v>686</v>
      </c>
      <c r="C347" s="88" t="s">
        <v>687</v>
      </c>
      <c r="D347" s="89" t="s">
        <v>131</v>
      </c>
      <c r="E347" s="90">
        <v>1</v>
      </c>
      <c r="F347" s="91"/>
      <c r="G347" s="91"/>
      <c r="H347" s="91"/>
      <c r="I347" s="91">
        <f>SUM(G347:H347)+'BM 002'!I347</f>
        <v>0</v>
      </c>
      <c r="J347" s="91">
        <f t="shared" si="136"/>
        <v>1</v>
      </c>
      <c r="K347" s="80">
        <v>265</v>
      </c>
      <c r="L347" s="81">
        <f t="shared" si="135"/>
        <v>335.91402915000003</v>
      </c>
      <c r="M347" s="82">
        <f t="shared" si="165"/>
        <v>0</v>
      </c>
      <c r="N347" s="82">
        <f t="shared" si="166"/>
        <v>0</v>
      </c>
      <c r="O347" s="82">
        <f>N347+'BM 002'!O347</f>
        <v>0</v>
      </c>
      <c r="P347" s="80">
        <f t="shared" si="167"/>
        <v>265</v>
      </c>
      <c r="Q347" s="82">
        <f t="shared" si="168"/>
        <v>335.91</v>
      </c>
      <c r="R347" s="82">
        <f t="shared" si="169"/>
        <v>335.91</v>
      </c>
    </row>
    <row r="348" spans="2:18" s="34" customFormat="1" ht="46.2">
      <c r="B348" s="75" t="s">
        <v>688</v>
      </c>
      <c r="C348" s="88" t="s">
        <v>689</v>
      </c>
      <c r="D348" s="89" t="s">
        <v>131</v>
      </c>
      <c r="E348" s="90">
        <v>16</v>
      </c>
      <c r="F348" s="91"/>
      <c r="G348" s="91"/>
      <c r="H348" s="91"/>
      <c r="I348" s="91">
        <f>SUM(G348:H348)+'BM 002'!I348</f>
        <v>0</v>
      </c>
      <c r="J348" s="91">
        <f t="shared" si="136"/>
        <v>16</v>
      </c>
      <c r="K348" s="80">
        <v>9.8000000000000007</v>
      </c>
      <c r="L348" s="81">
        <f t="shared" si="135"/>
        <v>12.422481078000002</v>
      </c>
      <c r="M348" s="82">
        <f t="shared" si="165"/>
        <v>0</v>
      </c>
      <c r="N348" s="82">
        <f t="shared" si="166"/>
        <v>0</v>
      </c>
      <c r="O348" s="82">
        <f>N348+'BM 002'!O348</f>
        <v>0</v>
      </c>
      <c r="P348" s="80">
        <f t="shared" si="167"/>
        <v>156.80000000000001</v>
      </c>
      <c r="Q348" s="82">
        <f t="shared" si="168"/>
        <v>198.75</v>
      </c>
      <c r="R348" s="82">
        <f t="shared" si="169"/>
        <v>198.75</v>
      </c>
    </row>
    <row r="349" spans="2:18" s="34" customFormat="1" ht="46.2">
      <c r="B349" s="75" t="s">
        <v>690</v>
      </c>
      <c r="C349" s="88" t="s">
        <v>691</v>
      </c>
      <c r="D349" s="89" t="s">
        <v>131</v>
      </c>
      <c r="E349" s="90">
        <v>4</v>
      </c>
      <c r="F349" s="91"/>
      <c r="G349" s="91"/>
      <c r="H349" s="91"/>
      <c r="I349" s="91">
        <f>SUM(G349:H349)+'BM 002'!I349</f>
        <v>0</v>
      </c>
      <c r="J349" s="91">
        <f t="shared" si="136"/>
        <v>4</v>
      </c>
      <c r="K349" s="80">
        <v>12.5</v>
      </c>
      <c r="L349" s="81">
        <f t="shared" ref="L349:L412" si="170">K349*(1+$T$26)</f>
        <v>15.845001375000001</v>
      </c>
      <c r="M349" s="82">
        <f t="shared" si="165"/>
        <v>0</v>
      </c>
      <c r="N349" s="82">
        <f t="shared" si="166"/>
        <v>0</v>
      </c>
      <c r="O349" s="82">
        <f>N349+'BM 002'!O349</f>
        <v>0</v>
      </c>
      <c r="P349" s="80">
        <f t="shared" si="167"/>
        <v>50</v>
      </c>
      <c r="Q349" s="82">
        <f t="shared" si="168"/>
        <v>63.38</v>
      </c>
      <c r="R349" s="82">
        <f t="shared" si="169"/>
        <v>63.38</v>
      </c>
    </row>
    <row r="350" spans="2:18" s="34" customFormat="1" ht="46.2">
      <c r="B350" s="75" t="s">
        <v>692</v>
      </c>
      <c r="C350" s="88" t="s">
        <v>693</v>
      </c>
      <c r="D350" s="89" t="s">
        <v>131</v>
      </c>
      <c r="E350" s="90">
        <v>2</v>
      </c>
      <c r="F350" s="91"/>
      <c r="G350" s="91"/>
      <c r="H350" s="91"/>
      <c r="I350" s="91">
        <f>SUM(G350:H350)+'BM 002'!I350</f>
        <v>0</v>
      </c>
      <c r="J350" s="91">
        <f t="shared" si="136"/>
        <v>2</v>
      </c>
      <c r="K350" s="80">
        <v>28</v>
      </c>
      <c r="L350" s="81">
        <f t="shared" si="170"/>
        <v>35.492803080000002</v>
      </c>
      <c r="M350" s="82">
        <f t="shared" si="165"/>
        <v>0</v>
      </c>
      <c r="N350" s="82">
        <f t="shared" si="166"/>
        <v>0</v>
      </c>
      <c r="O350" s="82">
        <f>N350+'BM 002'!O350</f>
        <v>0</v>
      </c>
      <c r="P350" s="80">
        <f t="shared" si="167"/>
        <v>56</v>
      </c>
      <c r="Q350" s="82">
        <f t="shared" si="168"/>
        <v>70.98</v>
      </c>
      <c r="R350" s="82">
        <f t="shared" si="169"/>
        <v>70.98</v>
      </c>
    </row>
    <row r="351" spans="2:18" s="34" customFormat="1" ht="46.2">
      <c r="B351" s="75" t="s">
        <v>694</v>
      </c>
      <c r="C351" s="88" t="s">
        <v>695</v>
      </c>
      <c r="D351" s="89" t="s">
        <v>131</v>
      </c>
      <c r="E351" s="90">
        <v>30</v>
      </c>
      <c r="F351" s="91"/>
      <c r="G351" s="91"/>
      <c r="H351" s="91"/>
      <c r="I351" s="91">
        <f>SUM(G351:H351)+'BM 002'!I351</f>
        <v>0</v>
      </c>
      <c r="J351" s="91">
        <f t="shared" ref="J351:J414" si="171">E351-I351</f>
        <v>30</v>
      </c>
      <c r="K351" s="80">
        <v>38</v>
      </c>
      <c r="L351" s="81">
        <f t="shared" si="170"/>
        <v>48.168804180000002</v>
      </c>
      <c r="M351" s="82">
        <f t="shared" si="165"/>
        <v>0</v>
      </c>
      <c r="N351" s="82">
        <f t="shared" si="166"/>
        <v>0</v>
      </c>
      <c r="O351" s="82">
        <f>N351+'BM 002'!O351</f>
        <v>0</v>
      </c>
      <c r="P351" s="80">
        <f t="shared" si="167"/>
        <v>1140</v>
      </c>
      <c r="Q351" s="82">
        <f t="shared" si="168"/>
        <v>1445.06</v>
      </c>
      <c r="R351" s="82">
        <f t="shared" si="169"/>
        <v>1445.06</v>
      </c>
    </row>
    <row r="352" spans="2:18" s="34" customFormat="1" ht="34.799999999999997">
      <c r="B352" s="75" t="s">
        <v>696</v>
      </c>
      <c r="C352" s="88" t="s">
        <v>697</v>
      </c>
      <c r="D352" s="89" t="s">
        <v>131</v>
      </c>
      <c r="E352" s="90">
        <v>320</v>
      </c>
      <c r="F352" s="91"/>
      <c r="G352" s="91"/>
      <c r="H352" s="91"/>
      <c r="I352" s="91">
        <f>SUM(G352:H352)+'BM 002'!I352</f>
        <v>0</v>
      </c>
      <c r="J352" s="91">
        <f t="shared" si="171"/>
        <v>320</v>
      </c>
      <c r="K352" s="80">
        <v>5.33</v>
      </c>
      <c r="L352" s="81">
        <f t="shared" si="170"/>
        <v>6.7563085863000003</v>
      </c>
      <c r="M352" s="82">
        <f t="shared" si="165"/>
        <v>0</v>
      </c>
      <c r="N352" s="82">
        <f t="shared" si="166"/>
        <v>0</v>
      </c>
      <c r="O352" s="82">
        <f>N352+'BM 002'!O352</f>
        <v>0</v>
      </c>
      <c r="P352" s="80">
        <f t="shared" si="167"/>
        <v>1705.6</v>
      </c>
      <c r="Q352" s="82">
        <f t="shared" si="168"/>
        <v>2162.0100000000002</v>
      </c>
      <c r="R352" s="82">
        <f t="shared" si="169"/>
        <v>2162.0100000000002</v>
      </c>
    </row>
    <row r="353" spans="2:18" s="34" customFormat="1" ht="23.4">
      <c r="B353" s="75" t="s">
        <v>698</v>
      </c>
      <c r="C353" s="88" t="s">
        <v>699</v>
      </c>
      <c r="D353" s="89" t="s">
        <v>131</v>
      </c>
      <c r="E353" s="90">
        <v>12</v>
      </c>
      <c r="F353" s="91"/>
      <c r="G353" s="91"/>
      <c r="H353" s="91"/>
      <c r="I353" s="91">
        <f>SUM(G353:H353)+'BM 002'!I353</f>
        <v>0</v>
      </c>
      <c r="J353" s="91">
        <f t="shared" si="171"/>
        <v>12</v>
      </c>
      <c r="K353" s="80">
        <v>4.92</v>
      </c>
      <c r="L353" s="81">
        <f t="shared" si="170"/>
        <v>6.2365925412000003</v>
      </c>
      <c r="M353" s="82">
        <f t="shared" si="165"/>
        <v>0</v>
      </c>
      <c r="N353" s="82">
        <f t="shared" si="166"/>
        <v>0</v>
      </c>
      <c r="O353" s="82">
        <f>N353+'BM 002'!O353</f>
        <v>0</v>
      </c>
      <c r="P353" s="80">
        <f t="shared" si="167"/>
        <v>59.04</v>
      </c>
      <c r="Q353" s="82">
        <f t="shared" si="168"/>
        <v>74.83</v>
      </c>
      <c r="R353" s="82">
        <f t="shared" si="169"/>
        <v>74.83</v>
      </c>
    </row>
    <row r="354" spans="2:18" s="34" customFormat="1" ht="23.4">
      <c r="B354" s="75" t="s">
        <v>700</v>
      </c>
      <c r="C354" s="88" t="s">
        <v>701</v>
      </c>
      <c r="D354" s="89" t="s">
        <v>131</v>
      </c>
      <c r="E354" s="90">
        <v>1</v>
      </c>
      <c r="F354" s="91"/>
      <c r="G354" s="91"/>
      <c r="H354" s="91"/>
      <c r="I354" s="91">
        <f>SUM(G354:H354)+'BM 002'!I354</f>
        <v>0</v>
      </c>
      <c r="J354" s="91">
        <f t="shared" si="171"/>
        <v>1</v>
      </c>
      <c r="K354" s="80">
        <v>5.49</v>
      </c>
      <c r="L354" s="81">
        <f t="shared" si="170"/>
        <v>6.9591246039000003</v>
      </c>
      <c r="M354" s="82">
        <f t="shared" si="165"/>
        <v>0</v>
      </c>
      <c r="N354" s="82">
        <f t="shared" si="166"/>
        <v>0</v>
      </c>
      <c r="O354" s="82">
        <f>N354+'BM 002'!O354</f>
        <v>0</v>
      </c>
      <c r="P354" s="80">
        <f t="shared" si="167"/>
        <v>5.49</v>
      </c>
      <c r="Q354" s="82">
        <f t="shared" si="168"/>
        <v>6.95</v>
      </c>
      <c r="R354" s="82">
        <f t="shared" si="169"/>
        <v>6.95</v>
      </c>
    </row>
    <row r="355" spans="2:18" s="34" customFormat="1" ht="23.4">
      <c r="B355" s="75" t="s">
        <v>702</v>
      </c>
      <c r="C355" s="88" t="s">
        <v>703</v>
      </c>
      <c r="D355" s="89" t="s">
        <v>131</v>
      </c>
      <c r="E355" s="90">
        <v>1</v>
      </c>
      <c r="F355" s="91"/>
      <c r="G355" s="91"/>
      <c r="H355" s="91"/>
      <c r="I355" s="91">
        <f>SUM(G355:H355)+'BM 002'!I355</f>
        <v>0</v>
      </c>
      <c r="J355" s="91">
        <f t="shared" si="171"/>
        <v>1</v>
      </c>
      <c r="K355" s="80">
        <v>8.5</v>
      </c>
      <c r="L355" s="81">
        <f t="shared" si="170"/>
        <v>10.774600935</v>
      </c>
      <c r="M355" s="82">
        <f t="shared" si="165"/>
        <v>0</v>
      </c>
      <c r="N355" s="82">
        <f t="shared" si="166"/>
        <v>0</v>
      </c>
      <c r="O355" s="82">
        <f>N355+'BM 002'!O355</f>
        <v>0</v>
      </c>
      <c r="P355" s="80">
        <f t="shared" si="167"/>
        <v>8.5</v>
      </c>
      <c r="Q355" s="82">
        <f t="shared" si="168"/>
        <v>10.77</v>
      </c>
      <c r="R355" s="82">
        <f t="shared" si="169"/>
        <v>10.77</v>
      </c>
    </row>
    <row r="356" spans="2:18" s="34" customFormat="1" ht="23.4">
      <c r="B356" s="75" t="s">
        <v>704</v>
      </c>
      <c r="C356" s="88" t="s">
        <v>705</v>
      </c>
      <c r="D356" s="89" t="s">
        <v>131</v>
      </c>
      <c r="E356" s="90">
        <v>1</v>
      </c>
      <c r="F356" s="91"/>
      <c r="G356" s="91"/>
      <c r="H356" s="91"/>
      <c r="I356" s="91">
        <f>SUM(G356:H356)+'BM 002'!I356</f>
        <v>0</v>
      </c>
      <c r="J356" s="91">
        <f t="shared" si="171"/>
        <v>1</v>
      </c>
      <c r="K356" s="80">
        <v>14.47</v>
      </c>
      <c r="L356" s="81">
        <f t="shared" si="170"/>
        <v>18.3421735917</v>
      </c>
      <c r="M356" s="82">
        <f t="shared" si="165"/>
        <v>0</v>
      </c>
      <c r="N356" s="82">
        <f t="shared" si="166"/>
        <v>0</v>
      </c>
      <c r="O356" s="82">
        <f>N356+'BM 002'!O356</f>
        <v>0</v>
      </c>
      <c r="P356" s="80">
        <f t="shared" si="167"/>
        <v>14.47</v>
      </c>
      <c r="Q356" s="82">
        <f t="shared" si="168"/>
        <v>18.34</v>
      </c>
      <c r="R356" s="82">
        <f t="shared" si="169"/>
        <v>18.34</v>
      </c>
    </row>
    <row r="357" spans="2:18" s="34" customFormat="1" ht="23.4">
      <c r="B357" s="75" t="s">
        <v>706</v>
      </c>
      <c r="C357" s="88" t="s">
        <v>707</v>
      </c>
      <c r="D357" s="89" t="s">
        <v>131</v>
      </c>
      <c r="E357" s="90">
        <v>4</v>
      </c>
      <c r="F357" s="91"/>
      <c r="G357" s="91"/>
      <c r="H357" s="91"/>
      <c r="I357" s="91">
        <f>SUM(G357:H357)+'BM 002'!I357</f>
        <v>0</v>
      </c>
      <c r="J357" s="91">
        <f t="shared" si="171"/>
        <v>4</v>
      </c>
      <c r="K357" s="80">
        <v>31.9</v>
      </c>
      <c r="L357" s="81">
        <f t="shared" si="170"/>
        <v>40.436443509</v>
      </c>
      <c r="M357" s="82">
        <f t="shared" si="165"/>
        <v>0</v>
      </c>
      <c r="N357" s="82">
        <f t="shared" si="166"/>
        <v>0</v>
      </c>
      <c r="O357" s="82">
        <f>N357+'BM 002'!O357</f>
        <v>0</v>
      </c>
      <c r="P357" s="80">
        <f t="shared" si="167"/>
        <v>127.6</v>
      </c>
      <c r="Q357" s="82">
        <f t="shared" si="168"/>
        <v>161.74</v>
      </c>
      <c r="R357" s="82">
        <f t="shared" si="169"/>
        <v>161.74</v>
      </c>
    </row>
    <row r="358" spans="2:18" s="34" customFormat="1" ht="23.4">
      <c r="B358" s="75" t="s">
        <v>708</v>
      </c>
      <c r="C358" s="88" t="s">
        <v>709</v>
      </c>
      <c r="D358" s="89" t="s">
        <v>131</v>
      </c>
      <c r="E358" s="90">
        <v>1</v>
      </c>
      <c r="F358" s="91"/>
      <c r="G358" s="91"/>
      <c r="H358" s="91"/>
      <c r="I358" s="91">
        <f>SUM(G358:H358)+'BM 002'!I358</f>
        <v>0</v>
      </c>
      <c r="J358" s="91">
        <f t="shared" si="171"/>
        <v>1</v>
      </c>
      <c r="K358" s="80">
        <v>11.22</v>
      </c>
      <c r="L358" s="81">
        <f t="shared" si="170"/>
        <v>14.222473234200001</v>
      </c>
      <c r="M358" s="82">
        <f t="shared" si="165"/>
        <v>0</v>
      </c>
      <c r="N358" s="82">
        <f t="shared" si="166"/>
        <v>0</v>
      </c>
      <c r="O358" s="82">
        <f>N358+'BM 002'!O358</f>
        <v>0</v>
      </c>
      <c r="P358" s="80">
        <f t="shared" si="167"/>
        <v>11.22</v>
      </c>
      <c r="Q358" s="82">
        <f t="shared" si="168"/>
        <v>14.22</v>
      </c>
      <c r="R358" s="82">
        <f t="shared" si="169"/>
        <v>14.22</v>
      </c>
    </row>
    <row r="359" spans="2:18" s="34" customFormat="1" ht="23.4">
      <c r="B359" s="75" t="s">
        <v>710</v>
      </c>
      <c r="C359" s="88" t="s">
        <v>711</v>
      </c>
      <c r="D359" s="89" t="s">
        <v>131</v>
      </c>
      <c r="E359" s="90">
        <v>57</v>
      </c>
      <c r="F359" s="91"/>
      <c r="G359" s="91"/>
      <c r="H359" s="91"/>
      <c r="I359" s="91">
        <f>SUM(G359:H359)+'BM 002'!I359</f>
        <v>0</v>
      </c>
      <c r="J359" s="91">
        <f t="shared" si="171"/>
        <v>57</v>
      </c>
      <c r="K359" s="80">
        <v>14.54</v>
      </c>
      <c r="L359" s="81">
        <f t="shared" si="170"/>
        <v>18.430905599399999</v>
      </c>
      <c r="M359" s="82">
        <f t="shared" si="165"/>
        <v>0</v>
      </c>
      <c r="N359" s="82">
        <f t="shared" si="166"/>
        <v>0</v>
      </c>
      <c r="O359" s="82">
        <f>N359+'BM 002'!O359</f>
        <v>0</v>
      </c>
      <c r="P359" s="80">
        <f t="shared" si="167"/>
        <v>828.78</v>
      </c>
      <c r="Q359" s="82">
        <f t="shared" si="168"/>
        <v>1050.56</v>
      </c>
      <c r="R359" s="82">
        <f t="shared" si="169"/>
        <v>1050.56</v>
      </c>
    </row>
    <row r="360" spans="2:18" s="34" customFormat="1" ht="23.4">
      <c r="B360" s="75" t="s">
        <v>712</v>
      </c>
      <c r="C360" s="88" t="s">
        <v>713</v>
      </c>
      <c r="D360" s="89" t="s">
        <v>131</v>
      </c>
      <c r="E360" s="90">
        <v>1</v>
      </c>
      <c r="F360" s="91"/>
      <c r="G360" s="91"/>
      <c r="H360" s="91"/>
      <c r="I360" s="91">
        <f>SUM(G360:H360)+'BM 002'!I360</f>
        <v>0</v>
      </c>
      <c r="J360" s="91">
        <f t="shared" si="171"/>
        <v>1</v>
      </c>
      <c r="K360" s="80">
        <v>16.8</v>
      </c>
      <c r="L360" s="81">
        <f t="shared" si="170"/>
        <v>21.295681848000001</v>
      </c>
      <c r="M360" s="82">
        <f t="shared" si="165"/>
        <v>0</v>
      </c>
      <c r="N360" s="82">
        <f t="shared" si="166"/>
        <v>0</v>
      </c>
      <c r="O360" s="82">
        <f>N360+'BM 002'!O360</f>
        <v>0</v>
      </c>
      <c r="P360" s="80">
        <f t="shared" si="167"/>
        <v>16.8</v>
      </c>
      <c r="Q360" s="82">
        <f t="shared" si="168"/>
        <v>21.29</v>
      </c>
      <c r="R360" s="82">
        <f t="shared" si="169"/>
        <v>21.29</v>
      </c>
    </row>
    <row r="361" spans="2:18" s="34" customFormat="1" ht="34.799999999999997">
      <c r="B361" s="75" t="s">
        <v>714</v>
      </c>
      <c r="C361" s="88" t="s">
        <v>715</v>
      </c>
      <c r="D361" s="89" t="s">
        <v>131</v>
      </c>
      <c r="E361" s="90">
        <v>1</v>
      </c>
      <c r="F361" s="91"/>
      <c r="G361" s="91"/>
      <c r="H361" s="91"/>
      <c r="I361" s="91">
        <f>SUM(G361:H361)+'BM 002'!I361</f>
        <v>0</v>
      </c>
      <c r="J361" s="91">
        <f t="shared" si="171"/>
        <v>1</v>
      </c>
      <c r="K361" s="80">
        <v>25</v>
      </c>
      <c r="L361" s="81">
        <f t="shared" si="170"/>
        <v>31.690002750000001</v>
      </c>
      <c r="M361" s="82">
        <f t="shared" si="165"/>
        <v>0</v>
      </c>
      <c r="N361" s="82">
        <f t="shared" si="166"/>
        <v>0</v>
      </c>
      <c r="O361" s="82">
        <f>N361+'BM 002'!O361</f>
        <v>0</v>
      </c>
      <c r="P361" s="80">
        <f t="shared" si="167"/>
        <v>25</v>
      </c>
      <c r="Q361" s="82">
        <f t="shared" si="168"/>
        <v>31.69</v>
      </c>
      <c r="R361" s="82">
        <f t="shared" si="169"/>
        <v>31.69</v>
      </c>
    </row>
    <row r="362" spans="2:18" s="34" customFormat="1" ht="23.4">
      <c r="B362" s="75" t="s">
        <v>716</v>
      </c>
      <c r="C362" s="88" t="s">
        <v>717</v>
      </c>
      <c r="D362" s="89" t="s">
        <v>131</v>
      </c>
      <c r="E362" s="90">
        <v>24</v>
      </c>
      <c r="F362" s="91"/>
      <c r="G362" s="91"/>
      <c r="H362" s="91"/>
      <c r="I362" s="91">
        <f>SUM(G362:H362)+'BM 002'!I362</f>
        <v>0</v>
      </c>
      <c r="J362" s="91">
        <f t="shared" si="171"/>
        <v>24</v>
      </c>
      <c r="K362" s="80">
        <v>5.37</v>
      </c>
      <c r="L362" s="81">
        <f t="shared" si="170"/>
        <v>6.8070125907000003</v>
      </c>
      <c r="M362" s="82">
        <f t="shared" si="165"/>
        <v>0</v>
      </c>
      <c r="N362" s="82">
        <f t="shared" si="166"/>
        <v>0</v>
      </c>
      <c r="O362" s="82">
        <f>N362+'BM 002'!O362</f>
        <v>0</v>
      </c>
      <c r="P362" s="80">
        <f t="shared" si="167"/>
        <v>128.88</v>
      </c>
      <c r="Q362" s="82">
        <f t="shared" si="168"/>
        <v>163.36000000000001</v>
      </c>
      <c r="R362" s="82">
        <f t="shared" si="169"/>
        <v>163.36000000000001</v>
      </c>
    </row>
    <row r="363" spans="2:18" s="34" customFormat="1" ht="23.4">
      <c r="B363" s="75" t="s">
        <v>718</v>
      </c>
      <c r="C363" s="88" t="s">
        <v>719</v>
      </c>
      <c r="D363" s="89" t="s">
        <v>131</v>
      </c>
      <c r="E363" s="90">
        <v>2</v>
      </c>
      <c r="F363" s="91"/>
      <c r="G363" s="91"/>
      <c r="H363" s="91"/>
      <c r="I363" s="91">
        <f>SUM(G363:H363)+'BM 002'!I363</f>
        <v>0</v>
      </c>
      <c r="J363" s="91">
        <f t="shared" si="171"/>
        <v>2</v>
      </c>
      <c r="K363" s="80">
        <v>8.76</v>
      </c>
      <c r="L363" s="81">
        <f t="shared" si="170"/>
        <v>11.104176963600001</v>
      </c>
      <c r="M363" s="82">
        <f t="shared" si="165"/>
        <v>0</v>
      </c>
      <c r="N363" s="82">
        <f t="shared" si="166"/>
        <v>0</v>
      </c>
      <c r="O363" s="82">
        <f>N363+'BM 002'!O363</f>
        <v>0</v>
      </c>
      <c r="P363" s="80">
        <f t="shared" si="167"/>
        <v>17.52</v>
      </c>
      <c r="Q363" s="82">
        <f t="shared" si="168"/>
        <v>22.2</v>
      </c>
      <c r="R363" s="82">
        <f t="shared" si="169"/>
        <v>22.2</v>
      </c>
    </row>
    <row r="364" spans="2:18" s="34" customFormat="1" ht="23.4">
      <c r="B364" s="75" t="s">
        <v>720</v>
      </c>
      <c r="C364" s="88" t="s">
        <v>721</v>
      </c>
      <c r="D364" s="89" t="s">
        <v>131</v>
      </c>
      <c r="E364" s="90">
        <v>4</v>
      </c>
      <c r="F364" s="91"/>
      <c r="G364" s="91"/>
      <c r="H364" s="91"/>
      <c r="I364" s="91">
        <f>SUM(G364:H364)+'BM 002'!I364</f>
        <v>0</v>
      </c>
      <c r="J364" s="91">
        <f t="shared" si="171"/>
        <v>4</v>
      </c>
      <c r="K364" s="80">
        <v>11.55</v>
      </c>
      <c r="L364" s="81">
        <f t="shared" si="170"/>
        <v>14.640781270500002</v>
      </c>
      <c r="M364" s="82">
        <f t="shared" si="165"/>
        <v>0</v>
      </c>
      <c r="N364" s="82">
        <f t="shared" si="166"/>
        <v>0</v>
      </c>
      <c r="O364" s="82">
        <f>N364+'BM 002'!O364</f>
        <v>0</v>
      </c>
      <c r="P364" s="80">
        <f t="shared" si="167"/>
        <v>46.2</v>
      </c>
      <c r="Q364" s="82">
        <f t="shared" si="168"/>
        <v>58.56</v>
      </c>
      <c r="R364" s="82">
        <f t="shared" si="169"/>
        <v>58.56</v>
      </c>
    </row>
    <row r="365" spans="2:18" s="34" customFormat="1" ht="34.799999999999997">
      <c r="B365" s="75" t="s">
        <v>722</v>
      </c>
      <c r="C365" s="88" t="s">
        <v>723</v>
      </c>
      <c r="D365" s="89" t="s">
        <v>131</v>
      </c>
      <c r="E365" s="90">
        <v>2</v>
      </c>
      <c r="F365" s="91"/>
      <c r="G365" s="91"/>
      <c r="H365" s="91"/>
      <c r="I365" s="91">
        <f>SUM(G365:H365)+'BM 002'!I365</f>
        <v>0</v>
      </c>
      <c r="J365" s="91">
        <f t="shared" si="171"/>
        <v>2</v>
      </c>
      <c r="K365" s="80">
        <v>34.32</v>
      </c>
      <c r="L365" s="81">
        <f t="shared" si="170"/>
        <v>43.504035775200002</v>
      </c>
      <c r="M365" s="82">
        <f t="shared" si="165"/>
        <v>0</v>
      </c>
      <c r="N365" s="82">
        <f t="shared" si="166"/>
        <v>0</v>
      </c>
      <c r="O365" s="82">
        <f>N365+'BM 002'!O365</f>
        <v>0</v>
      </c>
      <c r="P365" s="80">
        <f t="shared" si="167"/>
        <v>68.64</v>
      </c>
      <c r="Q365" s="82">
        <f t="shared" si="168"/>
        <v>87</v>
      </c>
      <c r="R365" s="82">
        <f t="shared" si="169"/>
        <v>87</v>
      </c>
    </row>
    <row r="366" spans="2:18" s="34" customFormat="1" ht="23.4">
      <c r="B366" s="75" t="s">
        <v>724</v>
      </c>
      <c r="C366" s="88" t="s">
        <v>725</v>
      </c>
      <c r="D366" s="89" t="s">
        <v>131</v>
      </c>
      <c r="E366" s="90">
        <v>3</v>
      </c>
      <c r="F366" s="91"/>
      <c r="G366" s="91"/>
      <c r="H366" s="91"/>
      <c r="I366" s="91">
        <f>SUM(G366:H366)+'BM 002'!I366</f>
        <v>0</v>
      </c>
      <c r="J366" s="91">
        <f t="shared" si="171"/>
        <v>3</v>
      </c>
      <c r="K366" s="80">
        <v>71.75</v>
      </c>
      <c r="L366" s="81">
        <f t="shared" si="170"/>
        <v>90.950307892500007</v>
      </c>
      <c r="M366" s="82">
        <f t="shared" si="165"/>
        <v>0</v>
      </c>
      <c r="N366" s="82">
        <f t="shared" si="166"/>
        <v>0</v>
      </c>
      <c r="O366" s="82">
        <f>N366+'BM 002'!O366</f>
        <v>0</v>
      </c>
      <c r="P366" s="80">
        <f t="shared" si="167"/>
        <v>215.25</v>
      </c>
      <c r="Q366" s="82">
        <f t="shared" si="168"/>
        <v>272.85000000000002</v>
      </c>
      <c r="R366" s="82">
        <f t="shared" si="169"/>
        <v>272.85000000000002</v>
      </c>
    </row>
    <row r="367" spans="2:18" s="34" customFormat="1" ht="34.799999999999997">
      <c r="B367" s="75" t="s">
        <v>726</v>
      </c>
      <c r="C367" s="88" t="s">
        <v>727</v>
      </c>
      <c r="D367" s="89" t="s">
        <v>131</v>
      </c>
      <c r="E367" s="90">
        <v>1</v>
      </c>
      <c r="F367" s="91"/>
      <c r="G367" s="91"/>
      <c r="H367" s="91"/>
      <c r="I367" s="91">
        <f>SUM(G367:H367)+'BM 002'!I367</f>
        <v>0</v>
      </c>
      <c r="J367" s="91">
        <f t="shared" si="171"/>
        <v>1</v>
      </c>
      <c r="K367" s="80">
        <v>14.38</v>
      </c>
      <c r="L367" s="81">
        <f t="shared" si="170"/>
        <v>18.228089581800003</v>
      </c>
      <c r="M367" s="82">
        <f t="shared" si="165"/>
        <v>0</v>
      </c>
      <c r="N367" s="82">
        <f t="shared" si="166"/>
        <v>0</v>
      </c>
      <c r="O367" s="82">
        <f>N367+'BM 002'!O367</f>
        <v>0</v>
      </c>
      <c r="P367" s="80">
        <f t="shared" si="167"/>
        <v>14.38</v>
      </c>
      <c r="Q367" s="82">
        <f t="shared" si="168"/>
        <v>18.22</v>
      </c>
      <c r="R367" s="82">
        <f t="shared" si="169"/>
        <v>18.22</v>
      </c>
    </row>
    <row r="368" spans="2:18" s="34" customFormat="1" ht="13.2">
      <c r="B368" s="75" t="s">
        <v>728</v>
      </c>
      <c r="C368" s="88" t="s">
        <v>729</v>
      </c>
      <c r="D368" s="89" t="s">
        <v>131</v>
      </c>
      <c r="E368" s="90">
        <v>22</v>
      </c>
      <c r="F368" s="91"/>
      <c r="G368" s="91"/>
      <c r="H368" s="91"/>
      <c r="I368" s="91">
        <f>SUM(G368:H368)+'BM 002'!I368</f>
        <v>0</v>
      </c>
      <c r="J368" s="91">
        <f t="shared" si="171"/>
        <v>22</v>
      </c>
      <c r="K368" s="80">
        <v>14.99</v>
      </c>
      <c r="L368" s="81">
        <f t="shared" si="170"/>
        <v>19.0013256489</v>
      </c>
      <c r="M368" s="82">
        <f t="shared" si="165"/>
        <v>0</v>
      </c>
      <c r="N368" s="82">
        <f t="shared" si="166"/>
        <v>0</v>
      </c>
      <c r="O368" s="82">
        <f>N368+'BM 002'!O368</f>
        <v>0</v>
      </c>
      <c r="P368" s="80">
        <f t="shared" si="167"/>
        <v>329.78000000000003</v>
      </c>
      <c r="Q368" s="82">
        <f t="shared" si="168"/>
        <v>418.02</v>
      </c>
      <c r="R368" s="82">
        <f t="shared" si="169"/>
        <v>418.02</v>
      </c>
    </row>
    <row r="369" spans="2:18" s="34" customFormat="1" ht="23.4">
      <c r="B369" s="75" t="s">
        <v>730</v>
      </c>
      <c r="C369" s="88" t="s">
        <v>731</v>
      </c>
      <c r="D369" s="89" t="s">
        <v>131</v>
      </c>
      <c r="E369" s="90">
        <v>289</v>
      </c>
      <c r="F369" s="91"/>
      <c r="G369" s="91"/>
      <c r="H369" s="91"/>
      <c r="I369" s="91">
        <f>SUM(G369:H369)+'BM 002'!I369</f>
        <v>0</v>
      </c>
      <c r="J369" s="91">
        <f t="shared" si="171"/>
        <v>289</v>
      </c>
      <c r="K369" s="80">
        <v>13.04</v>
      </c>
      <c r="L369" s="81">
        <f t="shared" si="170"/>
        <v>16.529505434400001</v>
      </c>
      <c r="M369" s="82">
        <f t="shared" si="165"/>
        <v>0</v>
      </c>
      <c r="N369" s="82">
        <f t="shared" si="166"/>
        <v>0</v>
      </c>
      <c r="O369" s="82">
        <f>N369+'BM 002'!O369</f>
        <v>0</v>
      </c>
      <c r="P369" s="80">
        <f t="shared" si="167"/>
        <v>3768.56</v>
      </c>
      <c r="Q369" s="82">
        <f t="shared" si="168"/>
        <v>4777.0200000000004</v>
      </c>
      <c r="R369" s="82">
        <f t="shared" si="169"/>
        <v>4777.0200000000004</v>
      </c>
    </row>
    <row r="370" spans="2:18" s="34" customFormat="1" ht="23.4">
      <c r="B370" s="75" t="s">
        <v>732</v>
      </c>
      <c r="C370" s="88" t="s">
        <v>733</v>
      </c>
      <c r="D370" s="89" t="s">
        <v>131</v>
      </c>
      <c r="E370" s="90">
        <v>7</v>
      </c>
      <c r="F370" s="91"/>
      <c r="G370" s="91"/>
      <c r="H370" s="91"/>
      <c r="I370" s="91">
        <f>SUM(G370:H370)+'BM 002'!I370</f>
        <v>0</v>
      </c>
      <c r="J370" s="91">
        <f t="shared" si="171"/>
        <v>7</v>
      </c>
      <c r="K370" s="80">
        <v>3.95</v>
      </c>
      <c r="L370" s="81">
        <f t="shared" si="170"/>
        <v>5.0070204345000002</v>
      </c>
      <c r="M370" s="82">
        <f t="shared" ref="M370:M394" si="172">TRUNC(F370*L370,2)</f>
        <v>0</v>
      </c>
      <c r="N370" s="82">
        <f t="shared" ref="N370:N394" si="173">TRUNC(G370*L370,2)</f>
        <v>0</v>
      </c>
      <c r="O370" s="82">
        <f>N370+'BM 002'!O370</f>
        <v>0</v>
      </c>
      <c r="P370" s="80">
        <f t="shared" ref="P370:P394" si="174">E370*K370</f>
        <v>27.650000000000002</v>
      </c>
      <c r="Q370" s="82">
        <f t="shared" ref="Q370:Q394" si="175">TRUNC(E370*L370,2)</f>
        <v>35.04</v>
      </c>
      <c r="R370" s="82">
        <f t="shared" ref="R370:R394" si="176">Q370-O370</f>
        <v>35.04</v>
      </c>
    </row>
    <row r="371" spans="2:18" s="34" customFormat="1" ht="23.4">
      <c r="B371" s="75" t="s">
        <v>734</v>
      </c>
      <c r="C371" s="88" t="s">
        <v>735</v>
      </c>
      <c r="D371" s="89" t="s">
        <v>131</v>
      </c>
      <c r="E371" s="90">
        <v>270</v>
      </c>
      <c r="F371" s="91"/>
      <c r="G371" s="91"/>
      <c r="H371" s="91"/>
      <c r="I371" s="91">
        <f>SUM(G371:H371)+'BM 002'!I371</f>
        <v>0</v>
      </c>
      <c r="J371" s="91">
        <f t="shared" si="171"/>
        <v>270</v>
      </c>
      <c r="K371" s="80">
        <v>4.67</v>
      </c>
      <c r="L371" s="81">
        <f t="shared" si="170"/>
        <v>5.9196925137000003</v>
      </c>
      <c r="M371" s="82">
        <f t="shared" si="172"/>
        <v>0</v>
      </c>
      <c r="N371" s="82">
        <f t="shared" si="173"/>
        <v>0</v>
      </c>
      <c r="O371" s="82">
        <f>N371+'BM 002'!O371</f>
        <v>0</v>
      </c>
      <c r="P371" s="80">
        <f t="shared" si="174"/>
        <v>1260.9000000000001</v>
      </c>
      <c r="Q371" s="82">
        <f t="shared" si="175"/>
        <v>1598.31</v>
      </c>
      <c r="R371" s="82">
        <f t="shared" si="176"/>
        <v>1598.31</v>
      </c>
    </row>
    <row r="372" spans="2:18" s="34" customFormat="1" ht="23.4">
      <c r="B372" s="75" t="s">
        <v>736</v>
      </c>
      <c r="C372" s="88" t="s">
        <v>737</v>
      </c>
      <c r="D372" s="89" t="s">
        <v>131</v>
      </c>
      <c r="E372" s="90">
        <v>3</v>
      </c>
      <c r="F372" s="91"/>
      <c r="G372" s="91"/>
      <c r="H372" s="91"/>
      <c r="I372" s="91">
        <f>SUM(G372:H372)+'BM 002'!I372</f>
        <v>0</v>
      </c>
      <c r="J372" s="91">
        <f t="shared" si="171"/>
        <v>3</v>
      </c>
      <c r="K372" s="80">
        <v>7.2</v>
      </c>
      <c r="L372" s="81">
        <f t="shared" si="170"/>
        <v>9.1267207920000004</v>
      </c>
      <c r="M372" s="82">
        <f t="shared" si="172"/>
        <v>0</v>
      </c>
      <c r="N372" s="82">
        <f t="shared" si="173"/>
        <v>0</v>
      </c>
      <c r="O372" s="82">
        <f>N372+'BM 002'!O372</f>
        <v>0</v>
      </c>
      <c r="P372" s="80">
        <f t="shared" si="174"/>
        <v>21.6</v>
      </c>
      <c r="Q372" s="82">
        <f t="shared" si="175"/>
        <v>27.38</v>
      </c>
      <c r="R372" s="82">
        <f t="shared" si="176"/>
        <v>27.38</v>
      </c>
    </row>
    <row r="373" spans="2:18" s="34" customFormat="1" ht="23.4">
      <c r="B373" s="75" t="s">
        <v>738</v>
      </c>
      <c r="C373" s="76" t="s">
        <v>739</v>
      </c>
      <c r="D373" s="77" t="s">
        <v>131</v>
      </c>
      <c r="E373" s="93">
        <v>128</v>
      </c>
      <c r="F373" s="79"/>
      <c r="G373" s="79"/>
      <c r="H373" s="79"/>
      <c r="I373" s="79">
        <f>SUM(G373:H373)+'BM 002'!I373</f>
        <v>0</v>
      </c>
      <c r="J373" s="79">
        <f t="shared" si="171"/>
        <v>128</v>
      </c>
      <c r="K373" s="80">
        <v>11.5</v>
      </c>
      <c r="L373" s="81">
        <f t="shared" si="170"/>
        <v>14.577401265000001</v>
      </c>
      <c r="M373" s="82">
        <f t="shared" si="172"/>
        <v>0</v>
      </c>
      <c r="N373" s="82">
        <f t="shared" si="173"/>
        <v>0</v>
      </c>
      <c r="O373" s="82">
        <f>N373+'BM 002'!O373</f>
        <v>0</v>
      </c>
      <c r="P373" s="80">
        <f t="shared" si="174"/>
        <v>1472</v>
      </c>
      <c r="Q373" s="82">
        <f t="shared" si="175"/>
        <v>1865.9</v>
      </c>
      <c r="R373" s="82">
        <f t="shared" si="176"/>
        <v>1865.9</v>
      </c>
    </row>
    <row r="374" spans="2:18" s="34" customFormat="1" ht="23.4">
      <c r="B374" s="75" t="s">
        <v>740</v>
      </c>
      <c r="C374" s="76" t="s">
        <v>741</v>
      </c>
      <c r="D374" s="77" t="s">
        <v>131</v>
      </c>
      <c r="E374" s="93">
        <v>4</v>
      </c>
      <c r="F374" s="79"/>
      <c r="G374" s="79"/>
      <c r="H374" s="79"/>
      <c r="I374" s="79">
        <f>SUM(G374:H374)+'BM 002'!I374</f>
        <v>0</v>
      </c>
      <c r="J374" s="79">
        <f t="shared" si="171"/>
        <v>4</v>
      </c>
      <c r="K374" s="80">
        <v>12.42</v>
      </c>
      <c r="L374" s="81">
        <f t="shared" si="170"/>
        <v>15.743593366200001</v>
      </c>
      <c r="M374" s="82">
        <f t="shared" si="172"/>
        <v>0</v>
      </c>
      <c r="N374" s="82">
        <f t="shared" si="173"/>
        <v>0</v>
      </c>
      <c r="O374" s="82">
        <f>N374+'BM 002'!O374</f>
        <v>0</v>
      </c>
      <c r="P374" s="80">
        <f t="shared" si="174"/>
        <v>49.68</v>
      </c>
      <c r="Q374" s="82">
        <f t="shared" si="175"/>
        <v>62.97</v>
      </c>
      <c r="R374" s="82">
        <f t="shared" si="176"/>
        <v>62.97</v>
      </c>
    </row>
    <row r="375" spans="2:18" s="34" customFormat="1" ht="23.4">
      <c r="B375" s="75" t="s">
        <v>742</v>
      </c>
      <c r="C375" s="76" t="s">
        <v>743</v>
      </c>
      <c r="D375" s="77" t="s">
        <v>131</v>
      </c>
      <c r="E375" s="93">
        <v>31</v>
      </c>
      <c r="F375" s="79"/>
      <c r="G375" s="79"/>
      <c r="H375" s="79"/>
      <c r="I375" s="79">
        <f>SUM(G375:H375)+'BM 002'!I375</f>
        <v>0</v>
      </c>
      <c r="J375" s="79">
        <f t="shared" si="171"/>
        <v>31</v>
      </c>
      <c r="K375" s="80">
        <v>35.909999999999997</v>
      </c>
      <c r="L375" s="81">
        <f t="shared" si="170"/>
        <v>45.519519950099998</v>
      </c>
      <c r="M375" s="82">
        <f t="shared" si="172"/>
        <v>0</v>
      </c>
      <c r="N375" s="82">
        <f t="shared" si="173"/>
        <v>0</v>
      </c>
      <c r="O375" s="82">
        <f>N375+'BM 002'!O375</f>
        <v>0</v>
      </c>
      <c r="P375" s="80">
        <f t="shared" si="174"/>
        <v>1113.2099999999998</v>
      </c>
      <c r="Q375" s="82">
        <f t="shared" si="175"/>
        <v>1411.1</v>
      </c>
      <c r="R375" s="82">
        <f t="shared" si="176"/>
        <v>1411.1</v>
      </c>
    </row>
    <row r="376" spans="2:18" s="34" customFormat="1" ht="34.799999999999997">
      <c r="B376" s="75" t="s">
        <v>744</v>
      </c>
      <c r="C376" s="76" t="s">
        <v>745</v>
      </c>
      <c r="D376" s="77" t="s">
        <v>131</v>
      </c>
      <c r="E376" s="93">
        <v>20</v>
      </c>
      <c r="F376" s="79"/>
      <c r="G376" s="79"/>
      <c r="H376" s="79"/>
      <c r="I376" s="79">
        <f>SUM(G376:H376)+'BM 002'!I376</f>
        <v>0</v>
      </c>
      <c r="J376" s="79">
        <f t="shared" si="171"/>
        <v>20</v>
      </c>
      <c r="K376" s="80">
        <v>90</v>
      </c>
      <c r="L376" s="81">
        <f t="shared" si="170"/>
        <v>114.08400990000001</v>
      </c>
      <c r="M376" s="82">
        <f t="shared" si="172"/>
        <v>0</v>
      </c>
      <c r="N376" s="82">
        <f t="shared" si="173"/>
        <v>0</v>
      </c>
      <c r="O376" s="82">
        <f>N376+'BM 002'!O376</f>
        <v>0</v>
      </c>
      <c r="P376" s="80">
        <f t="shared" si="174"/>
        <v>1800</v>
      </c>
      <c r="Q376" s="82">
        <f t="shared" si="175"/>
        <v>2281.6799999999998</v>
      </c>
      <c r="R376" s="82">
        <f t="shared" si="176"/>
        <v>2281.6799999999998</v>
      </c>
    </row>
    <row r="377" spans="2:18" s="34" customFormat="1" ht="13.2">
      <c r="B377" s="75" t="s">
        <v>746</v>
      </c>
      <c r="C377" s="76" t="s">
        <v>747</v>
      </c>
      <c r="D377" s="77" t="s">
        <v>131</v>
      </c>
      <c r="E377" s="93">
        <v>20</v>
      </c>
      <c r="F377" s="79"/>
      <c r="G377" s="79"/>
      <c r="H377" s="79"/>
      <c r="I377" s="79">
        <f>SUM(G377:H377)+'BM 002'!I377</f>
        <v>0</v>
      </c>
      <c r="J377" s="79">
        <f t="shared" si="171"/>
        <v>20</v>
      </c>
      <c r="K377" s="80">
        <v>5.14</v>
      </c>
      <c r="L377" s="81">
        <f t="shared" si="170"/>
        <v>6.5154645654000003</v>
      </c>
      <c r="M377" s="82">
        <f t="shared" si="172"/>
        <v>0</v>
      </c>
      <c r="N377" s="82">
        <f t="shared" si="173"/>
        <v>0</v>
      </c>
      <c r="O377" s="82">
        <f>N377+'BM 002'!O377</f>
        <v>0</v>
      </c>
      <c r="P377" s="80">
        <f t="shared" si="174"/>
        <v>102.8</v>
      </c>
      <c r="Q377" s="82">
        <f t="shared" si="175"/>
        <v>130.30000000000001</v>
      </c>
      <c r="R377" s="82">
        <f t="shared" si="176"/>
        <v>130.30000000000001</v>
      </c>
    </row>
    <row r="378" spans="2:18" s="34" customFormat="1" ht="13.2">
      <c r="B378" s="75" t="s">
        <v>748</v>
      </c>
      <c r="C378" s="76" t="s">
        <v>749</v>
      </c>
      <c r="D378" s="77" t="s">
        <v>131</v>
      </c>
      <c r="E378" s="93">
        <v>17</v>
      </c>
      <c r="F378" s="79"/>
      <c r="G378" s="79"/>
      <c r="H378" s="79"/>
      <c r="I378" s="79">
        <f>SUM(G378:H378)+'BM 002'!I378</f>
        <v>0</v>
      </c>
      <c r="J378" s="79">
        <f t="shared" si="171"/>
        <v>17</v>
      </c>
      <c r="K378" s="80">
        <v>11.25</v>
      </c>
      <c r="L378" s="81">
        <f t="shared" si="170"/>
        <v>14.260501237500002</v>
      </c>
      <c r="M378" s="82">
        <f t="shared" si="172"/>
        <v>0</v>
      </c>
      <c r="N378" s="82">
        <f t="shared" si="173"/>
        <v>0</v>
      </c>
      <c r="O378" s="82">
        <f>N378+'BM 002'!O378</f>
        <v>0</v>
      </c>
      <c r="P378" s="80">
        <f t="shared" si="174"/>
        <v>191.25</v>
      </c>
      <c r="Q378" s="82">
        <f t="shared" si="175"/>
        <v>242.42</v>
      </c>
      <c r="R378" s="82">
        <f t="shared" si="176"/>
        <v>242.42</v>
      </c>
    </row>
    <row r="379" spans="2:18" s="34" customFormat="1" ht="13.2">
      <c r="B379" s="75" t="s">
        <v>750</v>
      </c>
      <c r="C379" s="76" t="s">
        <v>751</v>
      </c>
      <c r="D379" s="77" t="s">
        <v>131</v>
      </c>
      <c r="E379" s="93">
        <v>1</v>
      </c>
      <c r="F379" s="79"/>
      <c r="G379" s="79"/>
      <c r="H379" s="79"/>
      <c r="I379" s="79">
        <f>SUM(G379:H379)+'BM 002'!I379</f>
        <v>0</v>
      </c>
      <c r="J379" s="79">
        <f t="shared" si="171"/>
        <v>1</v>
      </c>
      <c r="K379" s="80">
        <v>12.27</v>
      </c>
      <c r="L379" s="81">
        <f t="shared" si="170"/>
        <v>15.5534533497</v>
      </c>
      <c r="M379" s="82">
        <f t="shared" si="172"/>
        <v>0</v>
      </c>
      <c r="N379" s="82">
        <f t="shared" si="173"/>
        <v>0</v>
      </c>
      <c r="O379" s="82">
        <f>N379+'BM 002'!O379</f>
        <v>0</v>
      </c>
      <c r="P379" s="80">
        <f t="shared" si="174"/>
        <v>12.27</v>
      </c>
      <c r="Q379" s="82">
        <f t="shared" si="175"/>
        <v>15.55</v>
      </c>
      <c r="R379" s="82">
        <f t="shared" si="176"/>
        <v>15.55</v>
      </c>
    </row>
    <row r="380" spans="2:18" s="34" customFormat="1" ht="13.2">
      <c r="B380" s="75" t="s">
        <v>752</v>
      </c>
      <c r="C380" s="76" t="s">
        <v>753</v>
      </c>
      <c r="D380" s="77" t="s">
        <v>131</v>
      </c>
      <c r="E380" s="93">
        <v>12</v>
      </c>
      <c r="F380" s="79"/>
      <c r="G380" s="79"/>
      <c r="H380" s="79"/>
      <c r="I380" s="79">
        <f>SUM(G380:H380)+'BM 002'!I380</f>
        <v>0</v>
      </c>
      <c r="J380" s="79">
        <f t="shared" si="171"/>
        <v>12</v>
      </c>
      <c r="K380" s="80">
        <v>22.03</v>
      </c>
      <c r="L380" s="81">
        <f t="shared" si="170"/>
        <v>27.925230423300004</v>
      </c>
      <c r="M380" s="82">
        <f t="shared" si="172"/>
        <v>0</v>
      </c>
      <c r="N380" s="82">
        <f t="shared" si="173"/>
        <v>0</v>
      </c>
      <c r="O380" s="82">
        <f>N380+'BM 002'!O380</f>
        <v>0</v>
      </c>
      <c r="P380" s="80">
        <f t="shared" si="174"/>
        <v>264.36</v>
      </c>
      <c r="Q380" s="82">
        <f t="shared" si="175"/>
        <v>335.1</v>
      </c>
      <c r="R380" s="82">
        <f t="shared" si="176"/>
        <v>335.1</v>
      </c>
    </row>
    <row r="381" spans="2:18" s="34" customFormat="1" ht="13.2">
      <c r="B381" s="75" t="s">
        <v>754</v>
      </c>
      <c r="C381" s="76" t="s">
        <v>755</v>
      </c>
      <c r="D381" s="77" t="s">
        <v>131</v>
      </c>
      <c r="E381" s="93">
        <v>16</v>
      </c>
      <c r="F381" s="79"/>
      <c r="G381" s="79"/>
      <c r="H381" s="79"/>
      <c r="I381" s="79">
        <f>SUM(G381:H381)+'BM 002'!I381</f>
        <v>0</v>
      </c>
      <c r="J381" s="79">
        <f t="shared" si="171"/>
        <v>16</v>
      </c>
      <c r="K381" s="80">
        <v>32.380000000000003</v>
      </c>
      <c r="L381" s="81">
        <f t="shared" si="170"/>
        <v>41.044891561800007</v>
      </c>
      <c r="M381" s="82">
        <f t="shared" si="172"/>
        <v>0</v>
      </c>
      <c r="N381" s="82">
        <f t="shared" si="173"/>
        <v>0</v>
      </c>
      <c r="O381" s="82">
        <f>N381+'BM 002'!O381</f>
        <v>0</v>
      </c>
      <c r="P381" s="80">
        <f t="shared" si="174"/>
        <v>518.08000000000004</v>
      </c>
      <c r="Q381" s="82">
        <f t="shared" si="175"/>
        <v>656.71</v>
      </c>
      <c r="R381" s="82">
        <f t="shared" si="176"/>
        <v>656.71</v>
      </c>
    </row>
    <row r="382" spans="2:18" s="34" customFormat="1" ht="23.4">
      <c r="B382" s="75" t="s">
        <v>756</v>
      </c>
      <c r="C382" s="76" t="s">
        <v>757</v>
      </c>
      <c r="D382" s="77" t="s">
        <v>131</v>
      </c>
      <c r="E382" s="93">
        <v>16</v>
      </c>
      <c r="F382" s="79"/>
      <c r="G382" s="79"/>
      <c r="H382" s="79"/>
      <c r="I382" s="79">
        <f>SUM(G382:H382)+'BM 002'!I382</f>
        <v>0</v>
      </c>
      <c r="J382" s="79">
        <f t="shared" si="171"/>
        <v>16</v>
      </c>
      <c r="K382" s="80">
        <v>12.35</v>
      </c>
      <c r="L382" s="81">
        <f t="shared" si="170"/>
        <v>15.6548613585</v>
      </c>
      <c r="M382" s="82">
        <f t="shared" si="172"/>
        <v>0</v>
      </c>
      <c r="N382" s="82">
        <f t="shared" si="173"/>
        <v>0</v>
      </c>
      <c r="O382" s="82">
        <f>N382+'BM 002'!O382</f>
        <v>0</v>
      </c>
      <c r="P382" s="80">
        <f t="shared" si="174"/>
        <v>197.6</v>
      </c>
      <c r="Q382" s="82">
        <f t="shared" si="175"/>
        <v>250.47</v>
      </c>
      <c r="R382" s="82">
        <f t="shared" si="176"/>
        <v>250.47</v>
      </c>
    </row>
    <row r="383" spans="2:18" s="34" customFormat="1" ht="23.4">
      <c r="B383" s="75" t="s">
        <v>758</v>
      </c>
      <c r="C383" s="76" t="s">
        <v>759</v>
      </c>
      <c r="D383" s="77" t="s">
        <v>131</v>
      </c>
      <c r="E383" s="93">
        <v>3</v>
      </c>
      <c r="F383" s="79"/>
      <c r="G383" s="79"/>
      <c r="H383" s="79"/>
      <c r="I383" s="79">
        <f>SUM(G383:H383)+'BM 002'!I383</f>
        <v>0</v>
      </c>
      <c r="J383" s="79">
        <f t="shared" si="171"/>
        <v>3</v>
      </c>
      <c r="K383" s="80">
        <v>12.27</v>
      </c>
      <c r="L383" s="81">
        <f t="shared" si="170"/>
        <v>15.5534533497</v>
      </c>
      <c r="M383" s="82">
        <f t="shared" si="172"/>
        <v>0</v>
      </c>
      <c r="N383" s="82">
        <f t="shared" si="173"/>
        <v>0</v>
      </c>
      <c r="O383" s="82">
        <f>N383+'BM 002'!O383</f>
        <v>0</v>
      </c>
      <c r="P383" s="80">
        <f t="shared" si="174"/>
        <v>36.81</v>
      </c>
      <c r="Q383" s="82">
        <f t="shared" si="175"/>
        <v>46.66</v>
      </c>
      <c r="R383" s="82">
        <f t="shared" si="176"/>
        <v>46.66</v>
      </c>
    </row>
    <row r="384" spans="2:18" s="34" customFormat="1" ht="23.4">
      <c r="B384" s="75" t="s">
        <v>760</v>
      </c>
      <c r="C384" s="76" t="s">
        <v>761</v>
      </c>
      <c r="D384" s="77" t="s">
        <v>131</v>
      </c>
      <c r="E384" s="93">
        <v>34</v>
      </c>
      <c r="F384" s="79"/>
      <c r="G384" s="79"/>
      <c r="H384" s="79"/>
      <c r="I384" s="79">
        <f>SUM(G384:H384)+'BM 002'!I384</f>
        <v>0</v>
      </c>
      <c r="J384" s="79">
        <f t="shared" si="171"/>
        <v>34</v>
      </c>
      <c r="K384" s="80">
        <v>18.5</v>
      </c>
      <c r="L384" s="81">
        <f t="shared" si="170"/>
        <v>23.450602035000003</v>
      </c>
      <c r="M384" s="82">
        <f t="shared" si="172"/>
        <v>0</v>
      </c>
      <c r="N384" s="82">
        <f t="shared" si="173"/>
        <v>0</v>
      </c>
      <c r="O384" s="82">
        <f>N384+'BM 002'!O384</f>
        <v>0</v>
      </c>
      <c r="P384" s="80">
        <f t="shared" si="174"/>
        <v>629</v>
      </c>
      <c r="Q384" s="82">
        <f t="shared" si="175"/>
        <v>797.32</v>
      </c>
      <c r="R384" s="82">
        <f t="shared" si="176"/>
        <v>797.32</v>
      </c>
    </row>
    <row r="385" spans="2:18" s="34" customFormat="1" ht="23.4">
      <c r="B385" s="75" t="s">
        <v>762</v>
      </c>
      <c r="C385" s="76" t="s">
        <v>763</v>
      </c>
      <c r="D385" s="77" t="s">
        <v>131</v>
      </c>
      <c r="E385" s="93">
        <v>2</v>
      </c>
      <c r="F385" s="79"/>
      <c r="G385" s="79"/>
      <c r="H385" s="79"/>
      <c r="I385" s="79">
        <f>SUM(G385:H385)+'BM 002'!I385</f>
        <v>0</v>
      </c>
      <c r="J385" s="79">
        <f t="shared" si="171"/>
        <v>2</v>
      </c>
      <c r="K385" s="80">
        <v>24.61</v>
      </c>
      <c r="L385" s="81">
        <f t="shared" si="170"/>
        <v>31.195638707100002</v>
      </c>
      <c r="M385" s="82">
        <f t="shared" si="172"/>
        <v>0</v>
      </c>
      <c r="N385" s="82">
        <f t="shared" si="173"/>
        <v>0</v>
      </c>
      <c r="O385" s="82">
        <f>N385+'BM 002'!O385</f>
        <v>0</v>
      </c>
      <c r="P385" s="80">
        <f t="shared" si="174"/>
        <v>49.22</v>
      </c>
      <c r="Q385" s="82">
        <f t="shared" si="175"/>
        <v>62.39</v>
      </c>
      <c r="R385" s="82">
        <f t="shared" si="176"/>
        <v>62.39</v>
      </c>
    </row>
    <row r="386" spans="2:18" s="34" customFormat="1" ht="23.4">
      <c r="B386" s="75" t="s">
        <v>764</v>
      </c>
      <c r="C386" s="76" t="s">
        <v>765</v>
      </c>
      <c r="D386" s="77" t="s">
        <v>131</v>
      </c>
      <c r="E386" s="93">
        <v>9</v>
      </c>
      <c r="F386" s="79"/>
      <c r="G386" s="79"/>
      <c r="H386" s="79"/>
      <c r="I386" s="79">
        <f>SUM(G386:H386)+'BM 002'!I386</f>
        <v>0</v>
      </c>
      <c r="J386" s="79">
        <f t="shared" si="171"/>
        <v>9</v>
      </c>
      <c r="K386" s="80">
        <v>26.08</v>
      </c>
      <c r="L386" s="81">
        <f t="shared" si="170"/>
        <v>33.059010868800002</v>
      </c>
      <c r="M386" s="82">
        <f t="shared" si="172"/>
        <v>0</v>
      </c>
      <c r="N386" s="82">
        <f t="shared" si="173"/>
        <v>0</v>
      </c>
      <c r="O386" s="82">
        <f>N386+'BM 002'!O386</f>
        <v>0</v>
      </c>
      <c r="P386" s="80">
        <f t="shared" si="174"/>
        <v>234.71999999999997</v>
      </c>
      <c r="Q386" s="82">
        <f t="shared" si="175"/>
        <v>297.52999999999997</v>
      </c>
      <c r="R386" s="82">
        <f t="shared" si="176"/>
        <v>297.52999999999997</v>
      </c>
    </row>
    <row r="387" spans="2:18" s="34" customFormat="1" ht="13.2">
      <c r="B387" s="75" t="s">
        <v>766</v>
      </c>
      <c r="C387" s="88" t="s">
        <v>767</v>
      </c>
      <c r="D387" s="89" t="s">
        <v>131</v>
      </c>
      <c r="E387" s="90">
        <v>1</v>
      </c>
      <c r="F387" s="91"/>
      <c r="G387" s="91"/>
      <c r="H387" s="91"/>
      <c r="I387" s="91">
        <f>SUM(G387:H387)+'BM 002'!I387</f>
        <v>0</v>
      </c>
      <c r="J387" s="91">
        <f t="shared" si="171"/>
        <v>1</v>
      </c>
      <c r="K387" s="80">
        <v>40</v>
      </c>
      <c r="L387" s="81">
        <f t="shared" si="170"/>
        <v>50.704004400000002</v>
      </c>
      <c r="M387" s="82">
        <f t="shared" si="172"/>
        <v>0</v>
      </c>
      <c r="N387" s="82">
        <f t="shared" si="173"/>
        <v>0</v>
      </c>
      <c r="O387" s="82">
        <f>N387+'BM 002'!O387</f>
        <v>0</v>
      </c>
      <c r="P387" s="80">
        <f t="shared" si="174"/>
        <v>40</v>
      </c>
      <c r="Q387" s="82">
        <f t="shared" si="175"/>
        <v>50.7</v>
      </c>
      <c r="R387" s="82">
        <f t="shared" si="176"/>
        <v>50.7</v>
      </c>
    </row>
    <row r="388" spans="2:18" s="34" customFormat="1" ht="34.799999999999997">
      <c r="B388" s="75" t="s">
        <v>768</v>
      </c>
      <c r="C388" s="88" t="s">
        <v>769</v>
      </c>
      <c r="D388" s="89" t="s">
        <v>131</v>
      </c>
      <c r="E388" s="90">
        <v>29</v>
      </c>
      <c r="F388" s="91"/>
      <c r="G388" s="91"/>
      <c r="H388" s="91"/>
      <c r="I388" s="91">
        <f>SUM(G388:H388)+'BM 002'!I388</f>
        <v>0</v>
      </c>
      <c r="J388" s="91">
        <f t="shared" si="171"/>
        <v>29</v>
      </c>
      <c r="K388" s="80">
        <v>17.22</v>
      </c>
      <c r="L388" s="81">
        <f t="shared" si="170"/>
        <v>21.828073894199999</v>
      </c>
      <c r="M388" s="82">
        <f t="shared" si="172"/>
        <v>0</v>
      </c>
      <c r="N388" s="82">
        <f t="shared" si="173"/>
        <v>0</v>
      </c>
      <c r="O388" s="82">
        <f>N388+'BM 002'!O388</f>
        <v>0</v>
      </c>
      <c r="P388" s="80">
        <f t="shared" si="174"/>
        <v>499.38</v>
      </c>
      <c r="Q388" s="82">
        <f t="shared" si="175"/>
        <v>633.01</v>
      </c>
      <c r="R388" s="82">
        <f t="shared" si="176"/>
        <v>633.01</v>
      </c>
    </row>
    <row r="389" spans="2:18" s="34" customFormat="1" ht="23.4">
      <c r="B389" s="75" t="s">
        <v>770</v>
      </c>
      <c r="C389" s="76" t="s">
        <v>771</v>
      </c>
      <c r="D389" s="77" t="s">
        <v>131</v>
      </c>
      <c r="E389" s="93">
        <v>207</v>
      </c>
      <c r="F389" s="79"/>
      <c r="G389" s="79"/>
      <c r="H389" s="79"/>
      <c r="I389" s="79">
        <f>SUM(G389:H389)+'BM 002'!I389</f>
        <v>0</v>
      </c>
      <c r="J389" s="79">
        <f t="shared" si="171"/>
        <v>207</v>
      </c>
      <c r="K389" s="80">
        <v>6.59</v>
      </c>
      <c r="L389" s="81">
        <f t="shared" si="170"/>
        <v>8.3534847248999995</v>
      </c>
      <c r="M389" s="82">
        <f t="shared" si="172"/>
        <v>0</v>
      </c>
      <c r="N389" s="82">
        <f t="shared" si="173"/>
        <v>0</v>
      </c>
      <c r="O389" s="82">
        <f>N389+'BM 002'!O389</f>
        <v>0</v>
      </c>
      <c r="P389" s="80">
        <f t="shared" si="174"/>
        <v>1364.1299999999999</v>
      </c>
      <c r="Q389" s="82">
        <f t="shared" si="175"/>
        <v>1729.17</v>
      </c>
      <c r="R389" s="82">
        <f t="shared" si="176"/>
        <v>1729.17</v>
      </c>
    </row>
    <row r="390" spans="2:18" s="34" customFormat="1" ht="13.2">
      <c r="B390" s="75" t="s">
        <v>772</v>
      </c>
      <c r="C390" s="76" t="s">
        <v>773</v>
      </c>
      <c r="D390" s="77" t="s">
        <v>131</v>
      </c>
      <c r="E390" s="93">
        <v>50</v>
      </c>
      <c r="F390" s="79"/>
      <c r="G390" s="79"/>
      <c r="H390" s="79"/>
      <c r="I390" s="79">
        <f>SUM(G390:H390)+'BM 002'!I390</f>
        <v>0</v>
      </c>
      <c r="J390" s="79">
        <f t="shared" si="171"/>
        <v>50</v>
      </c>
      <c r="K390" s="80">
        <v>22.07</v>
      </c>
      <c r="L390" s="81">
        <f t="shared" si="170"/>
        <v>27.9759344277</v>
      </c>
      <c r="M390" s="82">
        <f t="shared" si="172"/>
        <v>0</v>
      </c>
      <c r="N390" s="82">
        <f t="shared" si="173"/>
        <v>0</v>
      </c>
      <c r="O390" s="82">
        <f>N390+'BM 002'!O390</f>
        <v>0</v>
      </c>
      <c r="P390" s="80">
        <f t="shared" si="174"/>
        <v>1103.5</v>
      </c>
      <c r="Q390" s="82">
        <f t="shared" si="175"/>
        <v>1398.79</v>
      </c>
      <c r="R390" s="82">
        <f t="shared" si="176"/>
        <v>1398.79</v>
      </c>
    </row>
    <row r="391" spans="2:18" s="34" customFormat="1" ht="23.4">
      <c r="B391" s="75" t="s">
        <v>774</v>
      </c>
      <c r="C391" s="76" t="s">
        <v>775</v>
      </c>
      <c r="D391" s="77" t="s">
        <v>131</v>
      </c>
      <c r="E391" s="93">
        <v>1</v>
      </c>
      <c r="F391" s="79"/>
      <c r="G391" s="79"/>
      <c r="H391" s="79"/>
      <c r="I391" s="79">
        <f>SUM(G391:H391)+'BM 002'!I391</f>
        <v>0</v>
      </c>
      <c r="J391" s="79">
        <f t="shared" si="171"/>
        <v>1</v>
      </c>
      <c r="K391" s="80">
        <v>19.649999999999999</v>
      </c>
      <c r="L391" s="81">
        <f t="shared" si="170"/>
        <v>24.908342161499998</v>
      </c>
      <c r="M391" s="82">
        <f t="shared" si="172"/>
        <v>0</v>
      </c>
      <c r="N391" s="82">
        <f t="shared" si="173"/>
        <v>0</v>
      </c>
      <c r="O391" s="82">
        <f>N391+'BM 002'!O391</f>
        <v>0</v>
      </c>
      <c r="P391" s="80">
        <f t="shared" si="174"/>
        <v>19.649999999999999</v>
      </c>
      <c r="Q391" s="82">
        <f t="shared" si="175"/>
        <v>24.9</v>
      </c>
      <c r="R391" s="82">
        <f t="shared" si="176"/>
        <v>24.9</v>
      </c>
    </row>
    <row r="392" spans="2:18" s="34" customFormat="1" ht="23.4">
      <c r="B392" s="75" t="s">
        <v>776</v>
      </c>
      <c r="C392" s="76" t="s">
        <v>777</v>
      </c>
      <c r="D392" s="77" t="s">
        <v>131</v>
      </c>
      <c r="E392" s="93">
        <v>19</v>
      </c>
      <c r="F392" s="79"/>
      <c r="G392" s="79"/>
      <c r="H392" s="79"/>
      <c r="I392" s="79">
        <f>SUM(G392:H392)+'BM 002'!I392</f>
        <v>0</v>
      </c>
      <c r="J392" s="79">
        <f t="shared" si="171"/>
        <v>19</v>
      </c>
      <c r="K392" s="80">
        <v>41.43</v>
      </c>
      <c r="L392" s="81">
        <f t="shared" si="170"/>
        <v>52.516672557300005</v>
      </c>
      <c r="M392" s="82">
        <f t="shared" si="172"/>
        <v>0</v>
      </c>
      <c r="N392" s="82">
        <f t="shared" si="173"/>
        <v>0</v>
      </c>
      <c r="O392" s="82">
        <f>N392+'BM 002'!O392</f>
        <v>0</v>
      </c>
      <c r="P392" s="80">
        <f t="shared" si="174"/>
        <v>787.17</v>
      </c>
      <c r="Q392" s="82">
        <f t="shared" si="175"/>
        <v>997.81</v>
      </c>
      <c r="R392" s="82">
        <f t="shared" si="176"/>
        <v>997.81</v>
      </c>
    </row>
    <row r="393" spans="2:18" s="34" customFormat="1" ht="34.799999999999997">
      <c r="B393" s="75" t="s">
        <v>778</v>
      </c>
      <c r="C393" s="76" t="s">
        <v>779</v>
      </c>
      <c r="D393" s="77" t="s">
        <v>131</v>
      </c>
      <c r="E393" s="93">
        <v>12</v>
      </c>
      <c r="F393" s="79"/>
      <c r="G393" s="79"/>
      <c r="H393" s="79"/>
      <c r="I393" s="79">
        <f>SUM(G393:H393)+'BM 002'!I393</f>
        <v>0</v>
      </c>
      <c r="J393" s="79">
        <f t="shared" si="171"/>
        <v>12</v>
      </c>
      <c r="K393" s="80">
        <v>76.31</v>
      </c>
      <c r="L393" s="81">
        <f t="shared" si="170"/>
        <v>96.730564394100014</v>
      </c>
      <c r="M393" s="82">
        <f t="shared" si="172"/>
        <v>0</v>
      </c>
      <c r="N393" s="82">
        <f t="shared" si="173"/>
        <v>0</v>
      </c>
      <c r="O393" s="82">
        <f>N393+'BM 002'!O393</f>
        <v>0</v>
      </c>
      <c r="P393" s="80">
        <f t="shared" si="174"/>
        <v>915.72</v>
      </c>
      <c r="Q393" s="82">
        <f t="shared" si="175"/>
        <v>1160.76</v>
      </c>
      <c r="R393" s="82">
        <f t="shared" si="176"/>
        <v>1160.76</v>
      </c>
    </row>
    <row r="394" spans="2:18" s="34" customFormat="1" ht="23.4">
      <c r="B394" s="75" t="s">
        <v>780</v>
      </c>
      <c r="C394" s="76" t="s">
        <v>781</v>
      </c>
      <c r="D394" s="77" t="s">
        <v>131</v>
      </c>
      <c r="E394" s="93">
        <v>3</v>
      </c>
      <c r="F394" s="79"/>
      <c r="G394" s="79"/>
      <c r="H394" s="79"/>
      <c r="I394" s="79">
        <f>SUM(G394:H394)+'BM 002'!I394</f>
        <v>0</v>
      </c>
      <c r="J394" s="79">
        <f t="shared" si="171"/>
        <v>3</v>
      </c>
      <c r="K394" s="80">
        <v>72.55</v>
      </c>
      <c r="L394" s="81">
        <f t="shared" si="170"/>
        <v>91.964387980500007</v>
      </c>
      <c r="M394" s="82">
        <f t="shared" si="172"/>
        <v>0</v>
      </c>
      <c r="N394" s="82">
        <f t="shared" si="173"/>
        <v>0</v>
      </c>
      <c r="O394" s="82">
        <f>N394+'BM 002'!O394</f>
        <v>0</v>
      </c>
      <c r="P394" s="80">
        <f t="shared" si="174"/>
        <v>217.64999999999998</v>
      </c>
      <c r="Q394" s="82">
        <f t="shared" si="175"/>
        <v>275.89</v>
      </c>
      <c r="R394" s="82">
        <f t="shared" si="176"/>
        <v>275.89</v>
      </c>
    </row>
    <row r="395" spans="2:18" s="34" customFormat="1" ht="24">
      <c r="B395" s="66" t="s">
        <v>782</v>
      </c>
      <c r="C395" s="67" t="s">
        <v>783</v>
      </c>
      <c r="D395" s="68"/>
      <c r="E395" s="69"/>
      <c r="F395" s="70"/>
      <c r="G395" s="70"/>
      <c r="H395" s="70"/>
      <c r="I395" s="70">
        <f>SUM(G395:H395)+'BM 002'!I395</f>
        <v>0</v>
      </c>
      <c r="J395" s="70">
        <f t="shared" si="171"/>
        <v>0</v>
      </c>
      <c r="K395" s="71"/>
      <c r="L395" s="71">
        <f t="shared" si="170"/>
        <v>0</v>
      </c>
      <c r="M395" s="73">
        <f t="shared" ref="M395:R395" si="177">SUM(M396:M405)</f>
        <v>0</v>
      </c>
      <c r="N395" s="73">
        <f t="shared" si="177"/>
        <v>0</v>
      </c>
      <c r="O395" s="73">
        <f t="shared" si="177"/>
        <v>0</v>
      </c>
      <c r="P395" s="73">
        <f t="shared" si="177"/>
        <v>131062.87509999999</v>
      </c>
      <c r="Q395" s="73">
        <f t="shared" si="177"/>
        <v>166135.25</v>
      </c>
      <c r="R395" s="73">
        <f t="shared" si="177"/>
        <v>166135.25</v>
      </c>
    </row>
    <row r="396" spans="2:18" s="34" customFormat="1" ht="34.799999999999997">
      <c r="B396" s="75" t="s">
        <v>784</v>
      </c>
      <c r="C396" s="76" t="s">
        <v>785</v>
      </c>
      <c r="D396" s="77" t="s">
        <v>82</v>
      </c>
      <c r="E396" s="108">
        <v>867.48</v>
      </c>
      <c r="F396" s="109"/>
      <c r="G396" s="109"/>
      <c r="H396" s="109"/>
      <c r="I396" s="109">
        <f>SUM(G396:H396)+'BM 002'!I396</f>
        <v>0</v>
      </c>
      <c r="J396" s="109">
        <f t="shared" si="171"/>
        <v>867.48</v>
      </c>
      <c r="K396" s="80">
        <v>24.65</v>
      </c>
      <c r="L396" s="81">
        <f t="shared" si="170"/>
        <v>31.246342711499999</v>
      </c>
      <c r="M396" s="82">
        <f t="shared" ref="M396:M405" si="178">TRUNC(F396*L396,2)</f>
        <v>0</v>
      </c>
      <c r="N396" s="82">
        <f t="shared" ref="N396:N405" si="179">TRUNC(G396*L396,2)</f>
        <v>0</v>
      </c>
      <c r="O396" s="82">
        <f>N396+'BM 002'!O396</f>
        <v>0</v>
      </c>
      <c r="P396" s="80">
        <f t="shared" ref="P396:P405" si="180">E396*K396</f>
        <v>21383.381999999998</v>
      </c>
      <c r="Q396" s="82">
        <f t="shared" ref="Q396:Q405" si="181">TRUNC(E396*L396,2)</f>
        <v>27105.57</v>
      </c>
      <c r="R396" s="82">
        <f t="shared" ref="R396:R405" si="182">Q396-O396</f>
        <v>27105.57</v>
      </c>
    </row>
    <row r="397" spans="2:18" s="34" customFormat="1" ht="13.2">
      <c r="B397" s="75" t="s">
        <v>786</v>
      </c>
      <c r="C397" s="76" t="s">
        <v>653</v>
      </c>
      <c r="D397" s="77" t="s">
        <v>82</v>
      </c>
      <c r="E397" s="110">
        <v>18.04</v>
      </c>
      <c r="F397" s="111"/>
      <c r="G397" s="111"/>
      <c r="H397" s="111"/>
      <c r="I397" s="111">
        <f>SUM(G397:H397)+'BM 002'!I397</f>
        <v>0</v>
      </c>
      <c r="J397" s="111">
        <f t="shared" si="171"/>
        <v>18.04</v>
      </c>
      <c r="K397" s="80">
        <v>6.5</v>
      </c>
      <c r="L397" s="81">
        <f t="shared" si="170"/>
        <v>8.2394007150000004</v>
      </c>
      <c r="M397" s="82">
        <f t="shared" si="178"/>
        <v>0</v>
      </c>
      <c r="N397" s="82">
        <f t="shared" si="179"/>
        <v>0</v>
      </c>
      <c r="O397" s="82">
        <f>N397+'BM 002'!O397</f>
        <v>0</v>
      </c>
      <c r="P397" s="80">
        <f t="shared" si="180"/>
        <v>117.25999999999999</v>
      </c>
      <c r="Q397" s="82">
        <f t="shared" si="181"/>
        <v>148.63</v>
      </c>
      <c r="R397" s="82">
        <f t="shared" si="182"/>
        <v>148.63</v>
      </c>
    </row>
    <row r="398" spans="2:18" s="34" customFormat="1" ht="23.4">
      <c r="B398" s="75" t="s">
        <v>787</v>
      </c>
      <c r="C398" s="76" t="s">
        <v>655</v>
      </c>
      <c r="D398" s="77" t="s">
        <v>82</v>
      </c>
      <c r="E398" s="110">
        <v>739.18</v>
      </c>
      <c r="F398" s="111"/>
      <c r="G398" s="111"/>
      <c r="H398" s="111"/>
      <c r="I398" s="111">
        <f>SUM(G398:H398)+'BM 002'!I398</f>
        <v>0</v>
      </c>
      <c r="J398" s="111">
        <f t="shared" si="171"/>
        <v>739.18</v>
      </c>
      <c r="K398" s="80">
        <v>8</v>
      </c>
      <c r="L398" s="81">
        <f t="shared" si="170"/>
        <v>10.14080088</v>
      </c>
      <c r="M398" s="82">
        <f t="shared" si="178"/>
        <v>0</v>
      </c>
      <c r="N398" s="82">
        <f t="shared" si="179"/>
        <v>0</v>
      </c>
      <c r="O398" s="82">
        <f>N398+'BM 002'!O398</f>
        <v>0</v>
      </c>
      <c r="P398" s="80">
        <f t="shared" si="180"/>
        <v>5913.44</v>
      </c>
      <c r="Q398" s="82">
        <f t="shared" si="181"/>
        <v>7495.87</v>
      </c>
      <c r="R398" s="82">
        <f t="shared" si="182"/>
        <v>7495.87</v>
      </c>
    </row>
    <row r="399" spans="2:18" s="34" customFormat="1" ht="23.4">
      <c r="B399" s="75" t="s">
        <v>788</v>
      </c>
      <c r="C399" s="76" t="s">
        <v>659</v>
      </c>
      <c r="D399" s="77" t="s">
        <v>82</v>
      </c>
      <c r="E399" s="112">
        <v>19.510000000000002</v>
      </c>
      <c r="F399" s="113"/>
      <c r="G399" s="113"/>
      <c r="H399" s="113"/>
      <c r="I399" s="113">
        <f>SUM(G399:H399)+'BM 002'!I399</f>
        <v>0</v>
      </c>
      <c r="J399" s="113">
        <f t="shared" si="171"/>
        <v>19.510000000000002</v>
      </c>
      <c r="K399" s="80">
        <v>23.5</v>
      </c>
      <c r="L399" s="81">
        <f t="shared" si="170"/>
        <v>29.788602585</v>
      </c>
      <c r="M399" s="82">
        <f t="shared" si="178"/>
        <v>0</v>
      </c>
      <c r="N399" s="82">
        <f t="shared" si="179"/>
        <v>0</v>
      </c>
      <c r="O399" s="82">
        <f>N399+'BM 002'!O399</f>
        <v>0</v>
      </c>
      <c r="P399" s="80">
        <f t="shared" si="180"/>
        <v>458.48500000000001</v>
      </c>
      <c r="Q399" s="82">
        <f t="shared" si="181"/>
        <v>581.16999999999996</v>
      </c>
      <c r="R399" s="82">
        <f t="shared" si="182"/>
        <v>581.16999999999996</v>
      </c>
    </row>
    <row r="400" spans="2:18" s="34" customFormat="1" ht="34.799999999999997">
      <c r="B400" s="75" t="s">
        <v>789</v>
      </c>
      <c r="C400" s="76" t="s">
        <v>790</v>
      </c>
      <c r="D400" s="77" t="s">
        <v>82</v>
      </c>
      <c r="E400" s="108">
        <v>609.66</v>
      </c>
      <c r="F400" s="109"/>
      <c r="G400" s="109"/>
      <c r="H400" s="109"/>
      <c r="I400" s="109">
        <f>SUM(G400:H400)+'BM 002'!I400</f>
        <v>0</v>
      </c>
      <c r="J400" s="109">
        <f t="shared" si="171"/>
        <v>609.66</v>
      </c>
      <c r="K400" s="80">
        <v>27.5</v>
      </c>
      <c r="L400" s="81">
        <f t="shared" si="170"/>
        <v>34.859003025</v>
      </c>
      <c r="M400" s="82">
        <f t="shared" si="178"/>
        <v>0</v>
      </c>
      <c r="N400" s="82">
        <f t="shared" si="179"/>
        <v>0</v>
      </c>
      <c r="O400" s="82">
        <f>N400+'BM 002'!O400</f>
        <v>0</v>
      </c>
      <c r="P400" s="80">
        <f t="shared" si="180"/>
        <v>16765.649999999998</v>
      </c>
      <c r="Q400" s="82">
        <f t="shared" si="181"/>
        <v>21252.13</v>
      </c>
      <c r="R400" s="82">
        <f t="shared" si="182"/>
        <v>21252.13</v>
      </c>
    </row>
    <row r="401" spans="2:18" s="34" customFormat="1" ht="34.799999999999997">
      <c r="B401" s="75" t="s">
        <v>791</v>
      </c>
      <c r="C401" s="76" t="s">
        <v>792</v>
      </c>
      <c r="D401" s="77" t="s">
        <v>82</v>
      </c>
      <c r="E401" s="114">
        <v>307.39999999999998</v>
      </c>
      <c r="F401" s="82"/>
      <c r="G401" s="82"/>
      <c r="H401" s="82"/>
      <c r="I401" s="82">
        <f>SUM(G401:H401)+'BM 002'!I401</f>
        <v>0</v>
      </c>
      <c r="J401" s="82">
        <f t="shared" si="171"/>
        <v>307.39999999999998</v>
      </c>
      <c r="K401" s="80">
        <v>74</v>
      </c>
      <c r="L401" s="81">
        <f t="shared" si="170"/>
        <v>93.802408140000011</v>
      </c>
      <c r="M401" s="82">
        <f t="shared" si="178"/>
        <v>0</v>
      </c>
      <c r="N401" s="82">
        <f t="shared" si="179"/>
        <v>0</v>
      </c>
      <c r="O401" s="82">
        <f>N401+'BM 002'!O401</f>
        <v>0</v>
      </c>
      <c r="P401" s="80">
        <f t="shared" si="180"/>
        <v>22747.599999999999</v>
      </c>
      <c r="Q401" s="82">
        <f t="shared" si="181"/>
        <v>28834.86</v>
      </c>
      <c r="R401" s="82">
        <f t="shared" si="182"/>
        <v>28834.86</v>
      </c>
    </row>
    <row r="402" spans="2:18" s="34" customFormat="1" ht="34.799999999999997">
      <c r="B402" s="75" t="s">
        <v>793</v>
      </c>
      <c r="C402" s="76" t="s">
        <v>794</v>
      </c>
      <c r="D402" s="77" t="s">
        <v>82</v>
      </c>
      <c r="E402" s="114">
        <v>340.33</v>
      </c>
      <c r="F402" s="82"/>
      <c r="G402" s="82"/>
      <c r="H402" s="82"/>
      <c r="I402" s="82">
        <f>SUM(G402:H402)+'BM 002'!I402</f>
        <v>0</v>
      </c>
      <c r="J402" s="82">
        <f t="shared" si="171"/>
        <v>340.33</v>
      </c>
      <c r="K402" s="80">
        <v>34.57</v>
      </c>
      <c r="L402" s="81">
        <f t="shared" si="170"/>
        <v>43.820935802699999</v>
      </c>
      <c r="M402" s="82">
        <f t="shared" si="178"/>
        <v>0</v>
      </c>
      <c r="N402" s="82">
        <f t="shared" si="179"/>
        <v>0</v>
      </c>
      <c r="O402" s="82">
        <f>N402+'BM 002'!O402</f>
        <v>0</v>
      </c>
      <c r="P402" s="80">
        <f t="shared" si="180"/>
        <v>11765.2081</v>
      </c>
      <c r="Q402" s="82">
        <f t="shared" si="181"/>
        <v>14913.57</v>
      </c>
      <c r="R402" s="82">
        <f t="shared" si="182"/>
        <v>14913.57</v>
      </c>
    </row>
    <row r="403" spans="2:18" s="34" customFormat="1" ht="23.4">
      <c r="B403" s="75" t="s">
        <v>795</v>
      </c>
      <c r="C403" s="76" t="s">
        <v>796</v>
      </c>
      <c r="D403" s="77" t="s">
        <v>82</v>
      </c>
      <c r="E403" s="114">
        <v>52.07</v>
      </c>
      <c r="F403" s="82"/>
      <c r="G403" s="82"/>
      <c r="H403" s="82"/>
      <c r="I403" s="82">
        <f>SUM(G403:H403)+'BM 002'!I403</f>
        <v>0</v>
      </c>
      <c r="J403" s="82">
        <f t="shared" si="171"/>
        <v>52.07</v>
      </c>
      <c r="K403" s="80">
        <v>165</v>
      </c>
      <c r="L403" s="81">
        <f t="shared" si="170"/>
        <v>209.15401815000001</v>
      </c>
      <c r="M403" s="82">
        <f t="shared" si="178"/>
        <v>0</v>
      </c>
      <c r="N403" s="82">
        <f t="shared" si="179"/>
        <v>0</v>
      </c>
      <c r="O403" s="82">
        <f>N403+'BM 002'!O403</f>
        <v>0</v>
      </c>
      <c r="P403" s="80">
        <f t="shared" si="180"/>
        <v>8591.5499999999993</v>
      </c>
      <c r="Q403" s="82">
        <f t="shared" si="181"/>
        <v>10890.64</v>
      </c>
      <c r="R403" s="82">
        <f t="shared" si="182"/>
        <v>10890.64</v>
      </c>
    </row>
    <row r="404" spans="2:18" s="34" customFormat="1" ht="23.4">
      <c r="B404" s="75" t="s">
        <v>797</v>
      </c>
      <c r="C404" s="76" t="s">
        <v>796</v>
      </c>
      <c r="D404" s="77" t="s">
        <v>82</v>
      </c>
      <c r="E404" s="114">
        <v>3.02</v>
      </c>
      <c r="F404" s="82"/>
      <c r="G404" s="82"/>
      <c r="H404" s="82"/>
      <c r="I404" s="82">
        <f>SUM(G404:H404)+'BM 002'!I404</f>
        <v>0</v>
      </c>
      <c r="J404" s="82">
        <f t="shared" si="171"/>
        <v>3.02</v>
      </c>
      <c r="K404" s="80">
        <v>165</v>
      </c>
      <c r="L404" s="81">
        <f t="shared" si="170"/>
        <v>209.15401815000001</v>
      </c>
      <c r="M404" s="82">
        <f t="shared" si="178"/>
        <v>0</v>
      </c>
      <c r="N404" s="82">
        <f t="shared" si="179"/>
        <v>0</v>
      </c>
      <c r="O404" s="82">
        <f>N404+'BM 002'!O404</f>
        <v>0</v>
      </c>
      <c r="P404" s="80">
        <f t="shared" si="180"/>
        <v>498.3</v>
      </c>
      <c r="Q404" s="82">
        <f t="shared" si="181"/>
        <v>631.64</v>
      </c>
      <c r="R404" s="82">
        <f t="shared" si="182"/>
        <v>631.64</v>
      </c>
    </row>
    <row r="405" spans="2:18" s="34" customFormat="1" ht="23.4">
      <c r="B405" s="75" t="s">
        <v>798</v>
      </c>
      <c r="C405" s="76" t="s">
        <v>799</v>
      </c>
      <c r="D405" s="77" t="s">
        <v>82</v>
      </c>
      <c r="E405" s="114">
        <v>658.8</v>
      </c>
      <c r="F405" s="82"/>
      <c r="G405" s="82"/>
      <c r="H405" s="82"/>
      <c r="I405" s="82">
        <f>SUM(G405:H405)+'BM 002'!I405</f>
        <v>0</v>
      </c>
      <c r="J405" s="82">
        <f t="shared" si="171"/>
        <v>658.8</v>
      </c>
      <c r="K405" s="80">
        <v>65</v>
      </c>
      <c r="L405" s="81">
        <f t="shared" si="170"/>
        <v>82.394007150000007</v>
      </c>
      <c r="M405" s="82">
        <f t="shared" si="178"/>
        <v>0</v>
      </c>
      <c r="N405" s="82">
        <f t="shared" si="179"/>
        <v>0</v>
      </c>
      <c r="O405" s="82">
        <f>N405+'BM 002'!O405</f>
        <v>0</v>
      </c>
      <c r="P405" s="80">
        <f t="shared" si="180"/>
        <v>42822</v>
      </c>
      <c r="Q405" s="82">
        <f t="shared" si="181"/>
        <v>54281.17</v>
      </c>
      <c r="R405" s="82">
        <f t="shared" si="182"/>
        <v>54281.17</v>
      </c>
    </row>
    <row r="406" spans="2:18" s="34" customFormat="1" ht="24">
      <c r="B406" s="66" t="s">
        <v>800</v>
      </c>
      <c r="C406" s="115" t="s">
        <v>801</v>
      </c>
      <c r="D406" s="116"/>
      <c r="E406" s="117"/>
      <c r="F406" s="118"/>
      <c r="G406" s="118"/>
      <c r="H406" s="118"/>
      <c r="I406" s="118">
        <f>SUM(G406:H406)+'BM 002'!I406</f>
        <v>0</v>
      </c>
      <c r="J406" s="118">
        <f t="shared" si="171"/>
        <v>0</v>
      </c>
      <c r="K406" s="119"/>
      <c r="L406" s="119">
        <f t="shared" si="170"/>
        <v>0</v>
      </c>
      <c r="M406" s="73">
        <f t="shared" ref="M406:R406" si="183">SUM(M407:M473)</f>
        <v>0</v>
      </c>
      <c r="N406" s="73">
        <f t="shared" si="183"/>
        <v>0</v>
      </c>
      <c r="O406" s="73">
        <f t="shared" si="183"/>
        <v>0</v>
      </c>
      <c r="P406" s="73">
        <f t="shared" si="183"/>
        <v>84729.980000000025</v>
      </c>
      <c r="Q406" s="73">
        <f t="shared" si="183"/>
        <v>107403.37000000007</v>
      </c>
      <c r="R406" s="73">
        <f t="shared" si="183"/>
        <v>107403.37000000007</v>
      </c>
    </row>
    <row r="407" spans="2:18" s="34" customFormat="1" ht="34.799999999999997">
      <c r="B407" s="75" t="s">
        <v>802</v>
      </c>
      <c r="C407" s="76" t="s">
        <v>803</v>
      </c>
      <c r="D407" s="77" t="s">
        <v>131</v>
      </c>
      <c r="E407" s="93">
        <v>209</v>
      </c>
      <c r="F407" s="79"/>
      <c r="G407" s="79"/>
      <c r="H407" s="79"/>
      <c r="I407" s="79">
        <f>SUM(G407:H407)+'BM 002'!I407</f>
        <v>0</v>
      </c>
      <c r="J407" s="79">
        <f t="shared" si="171"/>
        <v>209</v>
      </c>
      <c r="K407" s="80">
        <v>15.61</v>
      </c>
      <c r="L407" s="81">
        <f t="shared" si="170"/>
        <v>19.787237717100002</v>
      </c>
      <c r="M407" s="82">
        <f t="shared" ref="M407:M438" si="184">TRUNC(F407*L407,2)</f>
        <v>0</v>
      </c>
      <c r="N407" s="82">
        <f t="shared" ref="N407:N438" si="185">TRUNC(G407*L407,2)</f>
        <v>0</v>
      </c>
      <c r="O407" s="82">
        <f>N407+'BM 002'!O407</f>
        <v>0</v>
      </c>
      <c r="P407" s="80">
        <f t="shared" ref="P407:P438" si="186">E407*K407</f>
        <v>3262.49</v>
      </c>
      <c r="Q407" s="82">
        <f t="shared" ref="Q407:Q438" si="187">TRUNC(E407*L407,2)</f>
        <v>4135.53</v>
      </c>
      <c r="R407" s="82">
        <f t="shared" ref="R407:R438" si="188">Q407-O407</f>
        <v>4135.53</v>
      </c>
    </row>
    <row r="408" spans="2:18" s="34" customFormat="1" ht="34.799999999999997">
      <c r="B408" s="75" t="s">
        <v>804</v>
      </c>
      <c r="C408" s="76" t="s">
        <v>805</v>
      </c>
      <c r="D408" s="77" t="s">
        <v>131</v>
      </c>
      <c r="E408" s="93">
        <v>127</v>
      </c>
      <c r="F408" s="79"/>
      <c r="G408" s="79"/>
      <c r="H408" s="79"/>
      <c r="I408" s="79">
        <f>SUM(G408:H408)+'BM 002'!I408</f>
        <v>0</v>
      </c>
      <c r="J408" s="79">
        <f t="shared" si="171"/>
        <v>127</v>
      </c>
      <c r="K408" s="80">
        <v>13.73</v>
      </c>
      <c r="L408" s="81">
        <f t="shared" si="170"/>
        <v>17.404149510300002</v>
      </c>
      <c r="M408" s="82">
        <f t="shared" si="184"/>
        <v>0</v>
      </c>
      <c r="N408" s="82">
        <f t="shared" si="185"/>
        <v>0</v>
      </c>
      <c r="O408" s="82">
        <f>N408+'BM 002'!O408</f>
        <v>0</v>
      </c>
      <c r="P408" s="80">
        <f t="shared" si="186"/>
        <v>1743.71</v>
      </c>
      <c r="Q408" s="82">
        <f t="shared" si="187"/>
        <v>2210.3200000000002</v>
      </c>
      <c r="R408" s="82">
        <f t="shared" si="188"/>
        <v>2210.3200000000002</v>
      </c>
    </row>
    <row r="409" spans="2:18" s="34" customFormat="1" ht="34.799999999999997">
      <c r="B409" s="75" t="s">
        <v>806</v>
      </c>
      <c r="C409" s="76" t="s">
        <v>807</v>
      </c>
      <c r="D409" s="77" t="s">
        <v>131</v>
      </c>
      <c r="E409" s="93">
        <v>286</v>
      </c>
      <c r="F409" s="79"/>
      <c r="G409" s="79"/>
      <c r="H409" s="79"/>
      <c r="I409" s="79">
        <f>SUM(G409:H409)+'BM 002'!I409</f>
        <v>0</v>
      </c>
      <c r="J409" s="79">
        <f t="shared" si="171"/>
        <v>286</v>
      </c>
      <c r="K409" s="80">
        <v>46.17</v>
      </c>
      <c r="L409" s="81">
        <f t="shared" si="170"/>
        <v>58.525097078700007</v>
      </c>
      <c r="M409" s="82">
        <f t="shared" si="184"/>
        <v>0</v>
      </c>
      <c r="N409" s="82">
        <f t="shared" si="185"/>
        <v>0</v>
      </c>
      <c r="O409" s="82">
        <f>N409+'BM 002'!O409</f>
        <v>0</v>
      </c>
      <c r="P409" s="80">
        <f t="shared" si="186"/>
        <v>13204.62</v>
      </c>
      <c r="Q409" s="82">
        <f t="shared" si="187"/>
        <v>16738.169999999998</v>
      </c>
      <c r="R409" s="82">
        <f t="shared" si="188"/>
        <v>16738.169999999998</v>
      </c>
    </row>
    <row r="410" spans="2:18" s="34" customFormat="1" ht="34.799999999999997">
      <c r="B410" s="75" t="s">
        <v>808</v>
      </c>
      <c r="C410" s="76" t="s">
        <v>809</v>
      </c>
      <c r="D410" s="77" t="s">
        <v>131</v>
      </c>
      <c r="E410" s="93">
        <v>2</v>
      </c>
      <c r="F410" s="79"/>
      <c r="G410" s="79"/>
      <c r="H410" s="79"/>
      <c r="I410" s="79">
        <f>SUM(G410:H410)+'BM 002'!I410</f>
        <v>0</v>
      </c>
      <c r="J410" s="79">
        <f t="shared" si="171"/>
        <v>2</v>
      </c>
      <c r="K410" s="80">
        <v>95</v>
      </c>
      <c r="L410" s="81">
        <f t="shared" si="170"/>
        <v>120.42201045</v>
      </c>
      <c r="M410" s="82">
        <f t="shared" si="184"/>
        <v>0</v>
      </c>
      <c r="N410" s="82">
        <f t="shared" si="185"/>
        <v>0</v>
      </c>
      <c r="O410" s="82">
        <f>N410+'BM 002'!O410</f>
        <v>0</v>
      </c>
      <c r="P410" s="80">
        <f t="shared" si="186"/>
        <v>190</v>
      </c>
      <c r="Q410" s="82">
        <f t="shared" si="187"/>
        <v>240.84</v>
      </c>
      <c r="R410" s="82">
        <f t="shared" si="188"/>
        <v>240.84</v>
      </c>
    </row>
    <row r="411" spans="2:18" s="34" customFormat="1" ht="34.799999999999997">
      <c r="B411" s="75" t="s">
        <v>810</v>
      </c>
      <c r="C411" s="76" t="s">
        <v>811</v>
      </c>
      <c r="D411" s="77" t="s">
        <v>131</v>
      </c>
      <c r="E411" s="93">
        <v>4</v>
      </c>
      <c r="F411" s="79"/>
      <c r="G411" s="79"/>
      <c r="H411" s="79"/>
      <c r="I411" s="79">
        <f>SUM(G411:H411)+'BM 002'!I411</f>
        <v>0</v>
      </c>
      <c r="J411" s="79">
        <f t="shared" si="171"/>
        <v>4</v>
      </c>
      <c r="K411" s="80">
        <v>240</v>
      </c>
      <c r="L411" s="81">
        <f t="shared" si="170"/>
        <v>304.22402640000001</v>
      </c>
      <c r="M411" s="82">
        <f t="shared" si="184"/>
        <v>0</v>
      </c>
      <c r="N411" s="82">
        <f t="shared" si="185"/>
        <v>0</v>
      </c>
      <c r="O411" s="82">
        <f>N411+'BM 002'!O411</f>
        <v>0</v>
      </c>
      <c r="P411" s="80">
        <f t="shared" si="186"/>
        <v>960</v>
      </c>
      <c r="Q411" s="82">
        <f t="shared" si="187"/>
        <v>1216.8900000000001</v>
      </c>
      <c r="R411" s="82">
        <f t="shared" si="188"/>
        <v>1216.8900000000001</v>
      </c>
    </row>
    <row r="412" spans="2:18" s="34" customFormat="1" ht="34.799999999999997">
      <c r="B412" s="75" t="s">
        <v>812</v>
      </c>
      <c r="C412" s="76" t="s">
        <v>813</v>
      </c>
      <c r="D412" s="77" t="s">
        <v>131</v>
      </c>
      <c r="E412" s="93">
        <v>412</v>
      </c>
      <c r="F412" s="79"/>
      <c r="G412" s="79"/>
      <c r="H412" s="79"/>
      <c r="I412" s="79">
        <f>SUM(G412:H412)+'BM 002'!I412</f>
        <v>0</v>
      </c>
      <c r="J412" s="79">
        <f t="shared" si="171"/>
        <v>412</v>
      </c>
      <c r="K412" s="80">
        <v>8.31</v>
      </c>
      <c r="L412" s="81">
        <f t="shared" si="170"/>
        <v>10.533756914100001</v>
      </c>
      <c r="M412" s="82">
        <f t="shared" si="184"/>
        <v>0</v>
      </c>
      <c r="N412" s="82">
        <f t="shared" si="185"/>
        <v>0</v>
      </c>
      <c r="O412" s="82">
        <f>N412+'BM 002'!O412</f>
        <v>0</v>
      </c>
      <c r="P412" s="80">
        <f t="shared" si="186"/>
        <v>3423.7200000000003</v>
      </c>
      <c r="Q412" s="82">
        <f t="shared" si="187"/>
        <v>4339.8999999999996</v>
      </c>
      <c r="R412" s="82">
        <f t="shared" si="188"/>
        <v>4339.8999999999996</v>
      </c>
    </row>
    <row r="413" spans="2:18" s="34" customFormat="1" ht="34.799999999999997">
      <c r="B413" s="75" t="s">
        <v>814</v>
      </c>
      <c r="C413" s="76" t="s">
        <v>815</v>
      </c>
      <c r="D413" s="77" t="s">
        <v>131</v>
      </c>
      <c r="E413" s="93">
        <v>2</v>
      </c>
      <c r="F413" s="79"/>
      <c r="G413" s="79"/>
      <c r="H413" s="79"/>
      <c r="I413" s="79">
        <f>SUM(G413:H413)+'BM 002'!I413</f>
        <v>0</v>
      </c>
      <c r="J413" s="79">
        <f t="shared" si="171"/>
        <v>2</v>
      </c>
      <c r="K413" s="80">
        <v>29</v>
      </c>
      <c r="L413" s="81">
        <f t="shared" ref="L413:L476" si="189">K413*(1+$T$26)</f>
        <v>36.760403190000005</v>
      </c>
      <c r="M413" s="82">
        <f t="shared" si="184"/>
        <v>0</v>
      </c>
      <c r="N413" s="82">
        <f t="shared" si="185"/>
        <v>0</v>
      </c>
      <c r="O413" s="82">
        <f>N413+'BM 002'!O413</f>
        <v>0</v>
      </c>
      <c r="P413" s="80">
        <f t="shared" si="186"/>
        <v>58</v>
      </c>
      <c r="Q413" s="82">
        <f t="shared" si="187"/>
        <v>73.52</v>
      </c>
      <c r="R413" s="82">
        <f t="shared" si="188"/>
        <v>73.52</v>
      </c>
    </row>
    <row r="414" spans="2:18" s="34" customFormat="1" ht="46.2">
      <c r="B414" s="75" t="s">
        <v>816</v>
      </c>
      <c r="C414" s="76" t="s">
        <v>817</v>
      </c>
      <c r="D414" s="77" t="s">
        <v>131</v>
      </c>
      <c r="E414" s="93">
        <v>115</v>
      </c>
      <c r="F414" s="79"/>
      <c r="G414" s="79"/>
      <c r="H414" s="79"/>
      <c r="I414" s="79">
        <f>SUM(G414:H414)+'BM 002'!I414</f>
        <v>0</v>
      </c>
      <c r="J414" s="79">
        <f t="shared" si="171"/>
        <v>115</v>
      </c>
      <c r="K414" s="80">
        <v>9.2899999999999991</v>
      </c>
      <c r="L414" s="81">
        <f t="shared" si="189"/>
        <v>11.7760050219</v>
      </c>
      <c r="M414" s="82">
        <f t="shared" si="184"/>
        <v>0</v>
      </c>
      <c r="N414" s="82">
        <f t="shared" si="185"/>
        <v>0</v>
      </c>
      <c r="O414" s="82">
        <f>N414+'BM 002'!O414</f>
        <v>0</v>
      </c>
      <c r="P414" s="80">
        <f t="shared" si="186"/>
        <v>1068.3499999999999</v>
      </c>
      <c r="Q414" s="82">
        <f t="shared" si="187"/>
        <v>1354.24</v>
      </c>
      <c r="R414" s="82">
        <f t="shared" si="188"/>
        <v>1354.24</v>
      </c>
    </row>
    <row r="415" spans="2:18" s="34" customFormat="1" ht="46.2">
      <c r="B415" s="75" t="s">
        <v>818</v>
      </c>
      <c r="C415" s="76" t="s">
        <v>819</v>
      </c>
      <c r="D415" s="77" t="s">
        <v>131</v>
      </c>
      <c r="E415" s="93">
        <v>158</v>
      </c>
      <c r="F415" s="79"/>
      <c r="G415" s="79"/>
      <c r="H415" s="79"/>
      <c r="I415" s="79">
        <f>SUM(G415:H415)+'BM 002'!I415</f>
        <v>0</v>
      </c>
      <c r="J415" s="79">
        <f t="shared" ref="J415:J478" si="190">E415-I415</f>
        <v>158</v>
      </c>
      <c r="K415" s="80">
        <v>14.75</v>
      </c>
      <c r="L415" s="81">
        <f t="shared" si="189"/>
        <v>18.6971016225</v>
      </c>
      <c r="M415" s="82">
        <f t="shared" si="184"/>
        <v>0</v>
      </c>
      <c r="N415" s="82">
        <f t="shared" si="185"/>
        <v>0</v>
      </c>
      <c r="O415" s="82">
        <f>N415+'BM 002'!O415</f>
        <v>0</v>
      </c>
      <c r="P415" s="80">
        <f t="shared" si="186"/>
        <v>2330.5</v>
      </c>
      <c r="Q415" s="82">
        <f t="shared" si="187"/>
        <v>2954.14</v>
      </c>
      <c r="R415" s="82">
        <f t="shared" si="188"/>
        <v>2954.14</v>
      </c>
    </row>
    <row r="416" spans="2:18" s="34" customFormat="1" ht="46.2">
      <c r="B416" s="75" t="s">
        <v>820</v>
      </c>
      <c r="C416" s="76" t="s">
        <v>821</v>
      </c>
      <c r="D416" s="77" t="s">
        <v>131</v>
      </c>
      <c r="E416" s="93">
        <v>28</v>
      </c>
      <c r="F416" s="79"/>
      <c r="G416" s="79"/>
      <c r="H416" s="79"/>
      <c r="I416" s="79">
        <f>SUM(G416:H416)+'BM 002'!I416</f>
        <v>0</v>
      </c>
      <c r="J416" s="79">
        <f t="shared" si="190"/>
        <v>28</v>
      </c>
      <c r="K416" s="80">
        <v>29.5</v>
      </c>
      <c r="L416" s="81">
        <f t="shared" si="189"/>
        <v>37.394203245</v>
      </c>
      <c r="M416" s="82">
        <f t="shared" si="184"/>
        <v>0</v>
      </c>
      <c r="N416" s="82">
        <f t="shared" si="185"/>
        <v>0</v>
      </c>
      <c r="O416" s="82">
        <f>N416+'BM 002'!O416</f>
        <v>0</v>
      </c>
      <c r="P416" s="80">
        <f t="shared" si="186"/>
        <v>826</v>
      </c>
      <c r="Q416" s="82">
        <f t="shared" si="187"/>
        <v>1047.03</v>
      </c>
      <c r="R416" s="82">
        <f t="shared" si="188"/>
        <v>1047.03</v>
      </c>
    </row>
    <row r="417" spans="2:18" s="34" customFormat="1" ht="22.5" customHeight="1">
      <c r="B417" s="75" t="s">
        <v>822</v>
      </c>
      <c r="C417" s="76" t="s">
        <v>823</v>
      </c>
      <c r="D417" s="77" t="s">
        <v>131</v>
      </c>
      <c r="E417" s="93">
        <v>37</v>
      </c>
      <c r="F417" s="79"/>
      <c r="G417" s="79"/>
      <c r="H417" s="79"/>
      <c r="I417" s="79">
        <f>SUM(G417:H417)+'BM 002'!I417</f>
        <v>0</v>
      </c>
      <c r="J417" s="79">
        <f t="shared" si="190"/>
        <v>37</v>
      </c>
      <c r="K417" s="80">
        <v>34.119999999999997</v>
      </c>
      <c r="L417" s="81">
        <f t="shared" si="189"/>
        <v>43.250515753199998</v>
      </c>
      <c r="M417" s="82">
        <f t="shared" si="184"/>
        <v>0</v>
      </c>
      <c r="N417" s="82">
        <f t="shared" si="185"/>
        <v>0</v>
      </c>
      <c r="O417" s="82">
        <f>N417+'BM 002'!O417</f>
        <v>0</v>
      </c>
      <c r="P417" s="80">
        <f t="shared" si="186"/>
        <v>1262.4399999999998</v>
      </c>
      <c r="Q417" s="82">
        <f t="shared" si="187"/>
        <v>1600.26</v>
      </c>
      <c r="R417" s="82">
        <f t="shared" si="188"/>
        <v>1600.26</v>
      </c>
    </row>
    <row r="418" spans="2:18" s="34" customFormat="1" ht="34.799999999999997">
      <c r="B418" s="75" t="s">
        <v>824</v>
      </c>
      <c r="C418" s="76" t="s">
        <v>825</v>
      </c>
      <c r="D418" s="77" t="s">
        <v>131</v>
      </c>
      <c r="E418" s="93">
        <v>77</v>
      </c>
      <c r="F418" s="79"/>
      <c r="G418" s="79"/>
      <c r="H418" s="79"/>
      <c r="I418" s="79">
        <f>SUM(G418:H418)+'BM 002'!I418</f>
        <v>0</v>
      </c>
      <c r="J418" s="79">
        <f t="shared" si="190"/>
        <v>77</v>
      </c>
      <c r="K418" s="80">
        <v>42</v>
      </c>
      <c r="L418" s="81">
        <f t="shared" si="189"/>
        <v>53.239204620000002</v>
      </c>
      <c r="M418" s="82">
        <f t="shared" si="184"/>
        <v>0</v>
      </c>
      <c r="N418" s="82">
        <f t="shared" si="185"/>
        <v>0</v>
      </c>
      <c r="O418" s="82">
        <f>N418+'BM 002'!O418</f>
        <v>0</v>
      </c>
      <c r="P418" s="80">
        <f t="shared" si="186"/>
        <v>3234</v>
      </c>
      <c r="Q418" s="82">
        <f t="shared" si="187"/>
        <v>4099.41</v>
      </c>
      <c r="R418" s="82">
        <f t="shared" si="188"/>
        <v>4099.41</v>
      </c>
    </row>
    <row r="419" spans="2:18" s="34" customFormat="1" ht="34.799999999999997">
      <c r="B419" s="75" t="s">
        <v>826</v>
      </c>
      <c r="C419" s="76" t="s">
        <v>827</v>
      </c>
      <c r="D419" s="77" t="s">
        <v>131</v>
      </c>
      <c r="E419" s="93">
        <v>1</v>
      </c>
      <c r="F419" s="79"/>
      <c r="G419" s="79"/>
      <c r="H419" s="79"/>
      <c r="I419" s="79">
        <f>SUM(G419:H419)+'BM 002'!I419</f>
        <v>0</v>
      </c>
      <c r="J419" s="79">
        <f t="shared" si="190"/>
        <v>1</v>
      </c>
      <c r="K419" s="80">
        <v>88</v>
      </c>
      <c r="L419" s="81">
        <f t="shared" si="189"/>
        <v>111.54880968000001</v>
      </c>
      <c r="M419" s="82">
        <f t="shared" si="184"/>
        <v>0</v>
      </c>
      <c r="N419" s="82">
        <f t="shared" si="185"/>
        <v>0</v>
      </c>
      <c r="O419" s="82">
        <f>N419+'BM 002'!O419</f>
        <v>0</v>
      </c>
      <c r="P419" s="80">
        <f t="shared" si="186"/>
        <v>88</v>
      </c>
      <c r="Q419" s="82">
        <f t="shared" si="187"/>
        <v>111.54</v>
      </c>
      <c r="R419" s="82">
        <f t="shared" si="188"/>
        <v>111.54</v>
      </c>
    </row>
    <row r="420" spans="2:18" s="34" customFormat="1" ht="34.799999999999997">
      <c r="B420" s="75" t="s">
        <v>828</v>
      </c>
      <c r="C420" s="76" t="s">
        <v>829</v>
      </c>
      <c r="D420" s="77" t="s">
        <v>131</v>
      </c>
      <c r="E420" s="93">
        <v>4</v>
      </c>
      <c r="F420" s="79"/>
      <c r="G420" s="79"/>
      <c r="H420" s="79"/>
      <c r="I420" s="79">
        <f>SUM(G420:H420)+'BM 002'!I420</f>
        <v>0</v>
      </c>
      <c r="J420" s="79">
        <f t="shared" si="190"/>
        <v>4</v>
      </c>
      <c r="K420" s="80">
        <v>235</v>
      </c>
      <c r="L420" s="81">
        <f t="shared" si="189"/>
        <v>297.88602585000001</v>
      </c>
      <c r="M420" s="82">
        <f t="shared" si="184"/>
        <v>0</v>
      </c>
      <c r="N420" s="82">
        <f t="shared" si="185"/>
        <v>0</v>
      </c>
      <c r="O420" s="82">
        <f>N420+'BM 002'!O420</f>
        <v>0</v>
      </c>
      <c r="P420" s="80">
        <f t="shared" si="186"/>
        <v>940</v>
      </c>
      <c r="Q420" s="82">
        <f t="shared" si="187"/>
        <v>1191.54</v>
      </c>
      <c r="R420" s="82">
        <f t="shared" si="188"/>
        <v>1191.54</v>
      </c>
    </row>
    <row r="421" spans="2:18" s="34" customFormat="1" ht="46.2">
      <c r="B421" s="75" t="s">
        <v>830</v>
      </c>
      <c r="C421" s="76" t="s">
        <v>831</v>
      </c>
      <c r="D421" s="77" t="s">
        <v>131</v>
      </c>
      <c r="E421" s="93">
        <v>326</v>
      </c>
      <c r="F421" s="79"/>
      <c r="G421" s="79"/>
      <c r="H421" s="79"/>
      <c r="I421" s="79">
        <f>SUM(G421:H421)+'BM 002'!I421</f>
        <v>0</v>
      </c>
      <c r="J421" s="79">
        <f t="shared" si="190"/>
        <v>326</v>
      </c>
      <c r="K421" s="80">
        <v>9.08</v>
      </c>
      <c r="L421" s="81">
        <f t="shared" si="189"/>
        <v>11.509808998800001</v>
      </c>
      <c r="M421" s="82">
        <f t="shared" si="184"/>
        <v>0</v>
      </c>
      <c r="N421" s="82">
        <f t="shared" si="185"/>
        <v>0</v>
      </c>
      <c r="O421" s="82">
        <f>N421+'BM 002'!O421</f>
        <v>0</v>
      </c>
      <c r="P421" s="80">
        <f t="shared" si="186"/>
        <v>2960.08</v>
      </c>
      <c r="Q421" s="82">
        <f t="shared" si="187"/>
        <v>3752.19</v>
      </c>
      <c r="R421" s="82">
        <f t="shared" si="188"/>
        <v>3752.19</v>
      </c>
    </row>
    <row r="422" spans="2:18" s="34" customFormat="1" ht="34.799999999999997">
      <c r="B422" s="75" t="s">
        <v>832</v>
      </c>
      <c r="C422" s="76" t="s">
        <v>833</v>
      </c>
      <c r="D422" s="77" t="s">
        <v>131</v>
      </c>
      <c r="E422" s="93">
        <v>166</v>
      </c>
      <c r="F422" s="79"/>
      <c r="G422" s="79"/>
      <c r="H422" s="79"/>
      <c r="I422" s="79">
        <f>SUM(G422:H422)+'BM 002'!I422</f>
        <v>0</v>
      </c>
      <c r="J422" s="79">
        <f t="shared" si="190"/>
        <v>166</v>
      </c>
      <c r="K422" s="80">
        <v>9.4600000000000009</v>
      </c>
      <c r="L422" s="81">
        <f t="shared" si="189"/>
        <v>11.991497040600002</v>
      </c>
      <c r="M422" s="82">
        <f t="shared" si="184"/>
        <v>0</v>
      </c>
      <c r="N422" s="82">
        <f t="shared" si="185"/>
        <v>0</v>
      </c>
      <c r="O422" s="82">
        <f>N422+'BM 002'!O422</f>
        <v>0</v>
      </c>
      <c r="P422" s="80">
        <f t="shared" si="186"/>
        <v>1570.3600000000001</v>
      </c>
      <c r="Q422" s="82">
        <f t="shared" si="187"/>
        <v>1990.58</v>
      </c>
      <c r="R422" s="82">
        <f t="shared" si="188"/>
        <v>1990.58</v>
      </c>
    </row>
    <row r="423" spans="2:18" s="34" customFormat="1" ht="13.2">
      <c r="B423" s="75" t="s">
        <v>834</v>
      </c>
      <c r="C423" s="76" t="s">
        <v>747</v>
      </c>
      <c r="D423" s="77" t="s">
        <v>131</v>
      </c>
      <c r="E423" s="93">
        <v>96</v>
      </c>
      <c r="F423" s="79"/>
      <c r="G423" s="79"/>
      <c r="H423" s="79"/>
      <c r="I423" s="79">
        <f>SUM(G423:H423)+'BM 002'!I423</f>
        <v>0</v>
      </c>
      <c r="J423" s="79">
        <f t="shared" si="190"/>
        <v>96</v>
      </c>
      <c r="K423" s="80">
        <v>5.14</v>
      </c>
      <c r="L423" s="81">
        <f t="shared" si="189"/>
        <v>6.5154645654000003</v>
      </c>
      <c r="M423" s="82">
        <f t="shared" si="184"/>
        <v>0</v>
      </c>
      <c r="N423" s="82">
        <f t="shared" si="185"/>
        <v>0</v>
      </c>
      <c r="O423" s="82">
        <f>N423+'BM 002'!O423</f>
        <v>0</v>
      </c>
      <c r="P423" s="80">
        <f t="shared" si="186"/>
        <v>493.43999999999994</v>
      </c>
      <c r="Q423" s="82">
        <f t="shared" si="187"/>
        <v>625.48</v>
      </c>
      <c r="R423" s="82">
        <f t="shared" si="188"/>
        <v>625.48</v>
      </c>
    </row>
    <row r="424" spans="2:18" s="34" customFormat="1" ht="46.2">
      <c r="B424" s="75" t="s">
        <v>835</v>
      </c>
      <c r="C424" s="76" t="s">
        <v>836</v>
      </c>
      <c r="D424" s="77" t="s">
        <v>131</v>
      </c>
      <c r="E424" s="93">
        <v>26</v>
      </c>
      <c r="F424" s="79"/>
      <c r="G424" s="79"/>
      <c r="H424" s="79"/>
      <c r="I424" s="79">
        <f>SUM(G424:H424)+'BM 002'!I424</f>
        <v>0</v>
      </c>
      <c r="J424" s="79">
        <f t="shared" si="190"/>
        <v>26</v>
      </c>
      <c r="K424" s="80">
        <v>21.35</v>
      </c>
      <c r="L424" s="81">
        <f t="shared" si="189"/>
        <v>27.063262348500004</v>
      </c>
      <c r="M424" s="82">
        <f t="shared" si="184"/>
        <v>0</v>
      </c>
      <c r="N424" s="82">
        <f t="shared" si="185"/>
        <v>0</v>
      </c>
      <c r="O424" s="82">
        <f>N424+'BM 002'!O424</f>
        <v>0</v>
      </c>
      <c r="P424" s="80">
        <f t="shared" si="186"/>
        <v>555.1</v>
      </c>
      <c r="Q424" s="82">
        <f t="shared" si="187"/>
        <v>703.64</v>
      </c>
      <c r="R424" s="82">
        <f t="shared" si="188"/>
        <v>703.64</v>
      </c>
    </row>
    <row r="425" spans="2:18" s="34" customFormat="1" ht="46.2">
      <c r="B425" s="75" t="s">
        <v>837</v>
      </c>
      <c r="C425" s="76" t="s">
        <v>838</v>
      </c>
      <c r="D425" s="77" t="s">
        <v>131</v>
      </c>
      <c r="E425" s="93">
        <v>86</v>
      </c>
      <c r="F425" s="79"/>
      <c r="G425" s="79"/>
      <c r="H425" s="79"/>
      <c r="I425" s="79">
        <f>SUM(G425:H425)+'BM 002'!I425</f>
        <v>0</v>
      </c>
      <c r="J425" s="79">
        <f t="shared" si="190"/>
        <v>86</v>
      </c>
      <c r="K425" s="80">
        <v>25.91</v>
      </c>
      <c r="L425" s="81">
        <f t="shared" si="189"/>
        <v>32.843518850100004</v>
      </c>
      <c r="M425" s="82">
        <f t="shared" si="184"/>
        <v>0</v>
      </c>
      <c r="N425" s="82">
        <f t="shared" si="185"/>
        <v>0</v>
      </c>
      <c r="O425" s="82">
        <f>N425+'BM 002'!O425</f>
        <v>0</v>
      </c>
      <c r="P425" s="80">
        <f t="shared" si="186"/>
        <v>2228.2600000000002</v>
      </c>
      <c r="Q425" s="82">
        <f t="shared" si="187"/>
        <v>2824.54</v>
      </c>
      <c r="R425" s="82">
        <f t="shared" si="188"/>
        <v>2824.54</v>
      </c>
    </row>
    <row r="426" spans="2:18" s="34" customFormat="1" ht="34.799999999999997">
      <c r="B426" s="75" t="s">
        <v>839</v>
      </c>
      <c r="C426" s="76" t="s">
        <v>840</v>
      </c>
      <c r="D426" s="77" t="s">
        <v>131</v>
      </c>
      <c r="E426" s="93">
        <v>19</v>
      </c>
      <c r="F426" s="79"/>
      <c r="G426" s="79"/>
      <c r="H426" s="79"/>
      <c r="I426" s="79">
        <f>SUM(G426:H426)+'BM 002'!I426</f>
        <v>0</v>
      </c>
      <c r="J426" s="79">
        <f t="shared" si="190"/>
        <v>19</v>
      </c>
      <c r="K426" s="80">
        <v>100.92</v>
      </c>
      <c r="L426" s="81">
        <f t="shared" si="189"/>
        <v>127.9262031012</v>
      </c>
      <c r="M426" s="82">
        <f t="shared" si="184"/>
        <v>0</v>
      </c>
      <c r="N426" s="82">
        <f t="shared" si="185"/>
        <v>0</v>
      </c>
      <c r="O426" s="82">
        <f>N426+'BM 002'!O426</f>
        <v>0</v>
      </c>
      <c r="P426" s="80">
        <f t="shared" si="186"/>
        <v>1917.48</v>
      </c>
      <c r="Q426" s="82">
        <f t="shared" si="187"/>
        <v>2430.59</v>
      </c>
      <c r="R426" s="82">
        <f t="shared" si="188"/>
        <v>2430.59</v>
      </c>
    </row>
    <row r="427" spans="2:18" s="34" customFormat="1" ht="34.799999999999997">
      <c r="B427" s="75" t="s">
        <v>841</v>
      </c>
      <c r="C427" s="76" t="s">
        <v>842</v>
      </c>
      <c r="D427" s="77" t="s">
        <v>131</v>
      </c>
      <c r="E427" s="93">
        <v>1</v>
      </c>
      <c r="F427" s="79"/>
      <c r="G427" s="79"/>
      <c r="H427" s="79"/>
      <c r="I427" s="79">
        <f>SUM(G427:H427)+'BM 002'!I427</f>
        <v>0</v>
      </c>
      <c r="J427" s="79">
        <f t="shared" si="190"/>
        <v>1</v>
      </c>
      <c r="K427" s="80">
        <v>135</v>
      </c>
      <c r="L427" s="81">
        <f t="shared" si="189"/>
        <v>171.12601485000002</v>
      </c>
      <c r="M427" s="82">
        <f t="shared" si="184"/>
        <v>0</v>
      </c>
      <c r="N427" s="82">
        <f t="shared" si="185"/>
        <v>0</v>
      </c>
      <c r="O427" s="82">
        <f>N427+'BM 002'!O427</f>
        <v>0</v>
      </c>
      <c r="P427" s="80">
        <f t="shared" si="186"/>
        <v>135</v>
      </c>
      <c r="Q427" s="82">
        <f t="shared" si="187"/>
        <v>171.12</v>
      </c>
      <c r="R427" s="82">
        <f t="shared" si="188"/>
        <v>171.12</v>
      </c>
    </row>
    <row r="428" spans="2:18" s="34" customFormat="1" ht="34.799999999999997">
      <c r="B428" s="75" t="s">
        <v>843</v>
      </c>
      <c r="C428" s="76" t="s">
        <v>844</v>
      </c>
      <c r="D428" s="77" t="s">
        <v>131</v>
      </c>
      <c r="E428" s="93">
        <v>38</v>
      </c>
      <c r="F428" s="79"/>
      <c r="G428" s="79"/>
      <c r="H428" s="79"/>
      <c r="I428" s="79">
        <f>SUM(G428:H428)+'BM 002'!I428</f>
        <v>0</v>
      </c>
      <c r="J428" s="79">
        <f t="shared" si="190"/>
        <v>38</v>
      </c>
      <c r="K428" s="80">
        <v>9.08</v>
      </c>
      <c r="L428" s="81">
        <f t="shared" si="189"/>
        <v>11.509808998800001</v>
      </c>
      <c r="M428" s="82">
        <f t="shared" si="184"/>
        <v>0</v>
      </c>
      <c r="N428" s="82">
        <f t="shared" si="185"/>
        <v>0</v>
      </c>
      <c r="O428" s="82">
        <f>N428+'BM 002'!O428</f>
        <v>0</v>
      </c>
      <c r="P428" s="80">
        <f t="shared" si="186"/>
        <v>345.04</v>
      </c>
      <c r="Q428" s="82">
        <f t="shared" si="187"/>
        <v>437.37</v>
      </c>
      <c r="R428" s="82">
        <f t="shared" si="188"/>
        <v>437.37</v>
      </c>
    </row>
    <row r="429" spans="2:18" s="34" customFormat="1" ht="34.799999999999997">
      <c r="B429" s="75" t="s">
        <v>845</v>
      </c>
      <c r="C429" s="76" t="s">
        <v>846</v>
      </c>
      <c r="D429" s="77" t="s">
        <v>131</v>
      </c>
      <c r="E429" s="93">
        <v>38</v>
      </c>
      <c r="F429" s="79"/>
      <c r="G429" s="79"/>
      <c r="H429" s="79"/>
      <c r="I429" s="79">
        <f>SUM(G429:H429)+'BM 002'!I429</f>
        <v>0</v>
      </c>
      <c r="J429" s="79">
        <f t="shared" si="190"/>
        <v>38</v>
      </c>
      <c r="K429" s="80">
        <v>25.03</v>
      </c>
      <c r="L429" s="81">
        <f t="shared" si="189"/>
        <v>31.728030753300004</v>
      </c>
      <c r="M429" s="82">
        <f t="shared" si="184"/>
        <v>0</v>
      </c>
      <c r="N429" s="82">
        <f t="shared" si="185"/>
        <v>0</v>
      </c>
      <c r="O429" s="82">
        <f>N429+'BM 002'!O429</f>
        <v>0</v>
      </c>
      <c r="P429" s="80">
        <f t="shared" si="186"/>
        <v>951.1400000000001</v>
      </c>
      <c r="Q429" s="82">
        <f t="shared" si="187"/>
        <v>1205.6600000000001</v>
      </c>
      <c r="R429" s="82">
        <f t="shared" si="188"/>
        <v>1205.6600000000001</v>
      </c>
    </row>
    <row r="430" spans="2:18" s="34" customFormat="1" ht="34.799999999999997">
      <c r="B430" s="75" t="s">
        <v>847</v>
      </c>
      <c r="C430" s="76" t="s">
        <v>848</v>
      </c>
      <c r="D430" s="77" t="s">
        <v>131</v>
      </c>
      <c r="E430" s="93">
        <v>9</v>
      </c>
      <c r="F430" s="79"/>
      <c r="G430" s="79"/>
      <c r="H430" s="79"/>
      <c r="I430" s="79">
        <f>SUM(G430:H430)+'BM 002'!I430</f>
        <v>0</v>
      </c>
      <c r="J430" s="79">
        <f t="shared" si="190"/>
        <v>9</v>
      </c>
      <c r="K430" s="80">
        <v>38.549999999999997</v>
      </c>
      <c r="L430" s="81">
        <f t="shared" si="189"/>
        <v>48.865984240499998</v>
      </c>
      <c r="M430" s="82">
        <f t="shared" si="184"/>
        <v>0</v>
      </c>
      <c r="N430" s="82">
        <f t="shared" si="185"/>
        <v>0</v>
      </c>
      <c r="O430" s="82">
        <f>N430+'BM 002'!O430</f>
        <v>0</v>
      </c>
      <c r="P430" s="80">
        <f t="shared" si="186"/>
        <v>346.95</v>
      </c>
      <c r="Q430" s="82">
        <f t="shared" si="187"/>
        <v>439.79</v>
      </c>
      <c r="R430" s="82">
        <f t="shared" si="188"/>
        <v>439.79</v>
      </c>
    </row>
    <row r="431" spans="2:18" s="34" customFormat="1" ht="34.799999999999997">
      <c r="B431" s="75" t="s">
        <v>849</v>
      </c>
      <c r="C431" s="76" t="s">
        <v>850</v>
      </c>
      <c r="D431" s="77" t="s">
        <v>131</v>
      </c>
      <c r="E431" s="93">
        <v>24</v>
      </c>
      <c r="F431" s="79"/>
      <c r="G431" s="79"/>
      <c r="H431" s="79"/>
      <c r="I431" s="79">
        <f>SUM(G431:H431)+'BM 002'!I431</f>
        <v>0</v>
      </c>
      <c r="J431" s="79">
        <f t="shared" si="190"/>
        <v>24</v>
      </c>
      <c r="K431" s="80">
        <v>48.29</v>
      </c>
      <c r="L431" s="81">
        <f t="shared" si="189"/>
        <v>61.212409311900004</v>
      </c>
      <c r="M431" s="82">
        <f t="shared" si="184"/>
        <v>0</v>
      </c>
      <c r="N431" s="82">
        <f t="shared" si="185"/>
        <v>0</v>
      </c>
      <c r="O431" s="82">
        <f>N431+'BM 002'!O431</f>
        <v>0</v>
      </c>
      <c r="P431" s="80">
        <f t="shared" si="186"/>
        <v>1158.96</v>
      </c>
      <c r="Q431" s="82">
        <f t="shared" si="187"/>
        <v>1469.09</v>
      </c>
      <c r="R431" s="82">
        <f t="shared" si="188"/>
        <v>1469.09</v>
      </c>
    </row>
    <row r="432" spans="2:18" s="34" customFormat="1" ht="23.4">
      <c r="B432" s="75" t="s">
        <v>851</v>
      </c>
      <c r="C432" s="76" t="s">
        <v>852</v>
      </c>
      <c r="D432" s="77" t="s">
        <v>131</v>
      </c>
      <c r="E432" s="93">
        <v>64</v>
      </c>
      <c r="F432" s="79"/>
      <c r="G432" s="79"/>
      <c r="H432" s="79"/>
      <c r="I432" s="79">
        <f>SUM(G432:H432)+'BM 002'!I432</f>
        <v>0</v>
      </c>
      <c r="J432" s="79">
        <f t="shared" si="190"/>
        <v>64</v>
      </c>
      <c r="K432" s="80">
        <v>28.98</v>
      </c>
      <c r="L432" s="81">
        <f t="shared" si="189"/>
        <v>36.735051187800003</v>
      </c>
      <c r="M432" s="82">
        <f t="shared" si="184"/>
        <v>0</v>
      </c>
      <c r="N432" s="82">
        <f t="shared" si="185"/>
        <v>0</v>
      </c>
      <c r="O432" s="82">
        <f>N432+'BM 002'!O432</f>
        <v>0</v>
      </c>
      <c r="P432" s="80">
        <f t="shared" si="186"/>
        <v>1854.72</v>
      </c>
      <c r="Q432" s="82">
        <f t="shared" si="187"/>
        <v>2351.04</v>
      </c>
      <c r="R432" s="82">
        <f t="shared" si="188"/>
        <v>2351.04</v>
      </c>
    </row>
    <row r="433" spans="2:18" s="34" customFormat="1" ht="23.4">
      <c r="B433" s="75" t="s">
        <v>853</v>
      </c>
      <c r="C433" s="76" t="s">
        <v>854</v>
      </c>
      <c r="D433" s="77" t="s">
        <v>131</v>
      </c>
      <c r="E433" s="93">
        <v>69</v>
      </c>
      <c r="F433" s="79"/>
      <c r="G433" s="79"/>
      <c r="H433" s="79"/>
      <c r="I433" s="79">
        <f>SUM(G433:H433)+'BM 002'!I433</f>
        <v>0</v>
      </c>
      <c r="J433" s="79">
        <f t="shared" si="190"/>
        <v>69</v>
      </c>
      <c r="K433" s="80">
        <v>44.64</v>
      </c>
      <c r="L433" s="81">
        <f t="shared" si="189"/>
        <v>56.585668910400003</v>
      </c>
      <c r="M433" s="82">
        <f t="shared" si="184"/>
        <v>0</v>
      </c>
      <c r="N433" s="82">
        <f t="shared" si="185"/>
        <v>0</v>
      </c>
      <c r="O433" s="82">
        <f>N433+'BM 002'!O433</f>
        <v>0</v>
      </c>
      <c r="P433" s="80">
        <f t="shared" si="186"/>
        <v>3080.16</v>
      </c>
      <c r="Q433" s="82">
        <f t="shared" si="187"/>
        <v>3904.41</v>
      </c>
      <c r="R433" s="82">
        <f t="shared" si="188"/>
        <v>3904.41</v>
      </c>
    </row>
    <row r="434" spans="2:18" s="34" customFormat="1" ht="23.4">
      <c r="B434" s="75" t="s">
        <v>855</v>
      </c>
      <c r="C434" s="76" t="s">
        <v>856</v>
      </c>
      <c r="D434" s="77" t="s">
        <v>131</v>
      </c>
      <c r="E434" s="93">
        <v>1</v>
      </c>
      <c r="F434" s="79"/>
      <c r="G434" s="79"/>
      <c r="H434" s="79"/>
      <c r="I434" s="79">
        <f>SUM(G434:H434)+'BM 002'!I434</f>
        <v>0</v>
      </c>
      <c r="J434" s="79">
        <f t="shared" si="190"/>
        <v>1</v>
      </c>
      <c r="K434" s="80">
        <v>51.15</v>
      </c>
      <c r="L434" s="81">
        <f t="shared" si="189"/>
        <v>64.837745626499995</v>
      </c>
      <c r="M434" s="82">
        <f t="shared" si="184"/>
        <v>0</v>
      </c>
      <c r="N434" s="82">
        <f t="shared" si="185"/>
        <v>0</v>
      </c>
      <c r="O434" s="82">
        <f>N434+'BM 002'!O434</f>
        <v>0</v>
      </c>
      <c r="P434" s="80">
        <f t="shared" si="186"/>
        <v>51.15</v>
      </c>
      <c r="Q434" s="82">
        <f t="shared" si="187"/>
        <v>64.83</v>
      </c>
      <c r="R434" s="82">
        <f t="shared" si="188"/>
        <v>64.83</v>
      </c>
    </row>
    <row r="435" spans="2:18" s="34" customFormat="1" ht="23.4">
      <c r="B435" s="75" t="s">
        <v>857</v>
      </c>
      <c r="C435" s="76" t="s">
        <v>858</v>
      </c>
      <c r="D435" s="77" t="s">
        <v>131</v>
      </c>
      <c r="E435" s="93">
        <v>52</v>
      </c>
      <c r="F435" s="79"/>
      <c r="G435" s="79"/>
      <c r="H435" s="79"/>
      <c r="I435" s="79">
        <f>SUM(G435:H435)+'BM 002'!I435</f>
        <v>0</v>
      </c>
      <c r="J435" s="79">
        <f t="shared" si="190"/>
        <v>52</v>
      </c>
      <c r="K435" s="80">
        <v>140</v>
      </c>
      <c r="L435" s="81">
        <f t="shared" si="189"/>
        <v>177.46401539999999</v>
      </c>
      <c r="M435" s="82">
        <f t="shared" si="184"/>
        <v>0</v>
      </c>
      <c r="N435" s="82">
        <f t="shared" si="185"/>
        <v>0</v>
      </c>
      <c r="O435" s="82">
        <f>N435+'BM 002'!O435</f>
        <v>0</v>
      </c>
      <c r="P435" s="80">
        <f t="shared" si="186"/>
        <v>7280</v>
      </c>
      <c r="Q435" s="82">
        <f t="shared" si="187"/>
        <v>9228.1200000000008</v>
      </c>
      <c r="R435" s="82">
        <f t="shared" si="188"/>
        <v>9228.1200000000008</v>
      </c>
    </row>
    <row r="436" spans="2:18" s="34" customFormat="1" ht="34.799999999999997">
      <c r="B436" s="75" t="s">
        <v>859</v>
      </c>
      <c r="C436" s="76" t="s">
        <v>860</v>
      </c>
      <c r="D436" s="77" t="s">
        <v>131</v>
      </c>
      <c r="E436" s="93">
        <v>68</v>
      </c>
      <c r="F436" s="79"/>
      <c r="G436" s="79"/>
      <c r="H436" s="79"/>
      <c r="I436" s="79">
        <f>SUM(G436:H436)+'BM 002'!I436</f>
        <v>0</v>
      </c>
      <c r="J436" s="79">
        <f t="shared" si="190"/>
        <v>68</v>
      </c>
      <c r="K436" s="80">
        <v>80</v>
      </c>
      <c r="L436" s="81">
        <f t="shared" si="189"/>
        <v>101.4080088</v>
      </c>
      <c r="M436" s="82">
        <f t="shared" si="184"/>
        <v>0</v>
      </c>
      <c r="N436" s="82">
        <f t="shared" si="185"/>
        <v>0</v>
      </c>
      <c r="O436" s="82">
        <f>N436+'BM 002'!O436</f>
        <v>0</v>
      </c>
      <c r="P436" s="80">
        <f t="shared" si="186"/>
        <v>5440</v>
      </c>
      <c r="Q436" s="82">
        <f t="shared" si="187"/>
        <v>6895.74</v>
      </c>
      <c r="R436" s="82">
        <f t="shared" si="188"/>
        <v>6895.74</v>
      </c>
    </row>
    <row r="437" spans="2:18" s="34" customFormat="1" ht="23.4">
      <c r="B437" s="75" t="s">
        <v>861</v>
      </c>
      <c r="C437" s="76" t="s">
        <v>862</v>
      </c>
      <c r="D437" s="77" t="s">
        <v>131</v>
      </c>
      <c r="E437" s="93">
        <v>10</v>
      </c>
      <c r="F437" s="79"/>
      <c r="G437" s="79"/>
      <c r="H437" s="79"/>
      <c r="I437" s="79">
        <f>SUM(G437:H437)+'BM 002'!I437</f>
        <v>0</v>
      </c>
      <c r="J437" s="79">
        <f t="shared" si="190"/>
        <v>10</v>
      </c>
      <c r="K437" s="80">
        <v>18.14</v>
      </c>
      <c r="L437" s="81">
        <f t="shared" si="189"/>
        <v>22.994265995400003</v>
      </c>
      <c r="M437" s="82">
        <f t="shared" si="184"/>
        <v>0</v>
      </c>
      <c r="N437" s="82">
        <f t="shared" si="185"/>
        <v>0</v>
      </c>
      <c r="O437" s="82">
        <f>N437+'BM 002'!O437</f>
        <v>0</v>
      </c>
      <c r="P437" s="80">
        <f t="shared" si="186"/>
        <v>181.4</v>
      </c>
      <c r="Q437" s="82">
        <f t="shared" si="187"/>
        <v>229.94</v>
      </c>
      <c r="R437" s="82">
        <f t="shared" si="188"/>
        <v>229.94</v>
      </c>
    </row>
    <row r="438" spans="2:18" s="34" customFormat="1" ht="23.4">
      <c r="B438" s="75" t="s">
        <v>863</v>
      </c>
      <c r="C438" s="76" t="s">
        <v>864</v>
      </c>
      <c r="D438" s="77" t="s">
        <v>131</v>
      </c>
      <c r="E438" s="93">
        <v>54</v>
      </c>
      <c r="F438" s="79"/>
      <c r="G438" s="79"/>
      <c r="H438" s="79"/>
      <c r="I438" s="79">
        <f>SUM(G438:H438)+'BM 002'!I438</f>
        <v>0</v>
      </c>
      <c r="J438" s="79">
        <f t="shared" si="190"/>
        <v>54</v>
      </c>
      <c r="K438" s="80">
        <v>21.55</v>
      </c>
      <c r="L438" s="81">
        <f t="shared" si="189"/>
        <v>27.316782370500004</v>
      </c>
      <c r="M438" s="82">
        <f t="shared" si="184"/>
        <v>0</v>
      </c>
      <c r="N438" s="82">
        <f t="shared" si="185"/>
        <v>0</v>
      </c>
      <c r="O438" s="82">
        <f>N438+'BM 002'!O438</f>
        <v>0</v>
      </c>
      <c r="P438" s="80">
        <f t="shared" si="186"/>
        <v>1163.7</v>
      </c>
      <c r="Q438" s="82">
        <f t="shared" si="187"/>
        <v>1475.1</v>
      </c>
      <c r="R438" s="82">
        <f t="shared" si="188"/>
        <v>1475.1</v>
      </c>
    </row>
    <row r="439" spans="2:18" s="34" customFormat="1" ht="23.4">
      <c r="B439" s="75" t="s">
        <v>865</v>
      </c>
      <c r="C439" s="76" t="s">
        <v>866</v>
      </c>
      <c r="D439" s="77" t="s">
        <v>131</v>
      </c>
      <c r="E439" s="93">
        <v>7</v>
      </c>
      <c r="F439" s="79"/>
      <c r="G439" s="79"/>
      <c r="H439" s="79"/>
      <c r="I439" s="79">
        <f>SUM(G439:H439)+'BM 002'!I439</f>
        <v>0</v>
      </c>
      <c r="J439" s="79">
        <f t="shared" si="190"/>
        <v>7</v>
      </c>
      <c r="K439" s="80">
        <v>22.95</v>
      </c>
      <c r="L439" s="81">
        <f t="shared" si="189"/>
        <v>29.0914225245</v>
      </c>
      <c r="M439" s="82">
        <f t="shared" ref="M439:M470" si="191">TRUNC(F439*L439,2)</f>
        <v>0</v>
      </c>
      <c r="N439" s="82">
        <f t="shared" ref="N439:N473" si="192">TRUNC(G439*L439,2)</f>
        <v>0</v>
      </c>
      <c r="O439" s="82">
        <f>N439+'BM 002'!O439</f>
        <v>0</v>
      </c>
      <c r="P439" s="80">
        <f t="shared" ref="P439:P464" si="193">E439*K439</f>
        <v>160.65</v>
      </c>
      <c r="Q439" s="82">
        <f t="shared" ref="Q439:Q473" si="194">TRUNC(E439*L439,2)</f>
        <v>203.63</v>
      </c>
      <c r="R439" s="82">
        <f t="shared" ref="R439:R470" si="195">Q439-O439</f>
        <v>203.63</v>
      </c>
    </row>
    <row r="440" spans="2:18" s="34" customFormat="1" ht="23.4">
      <c r="B440" s="75" t="s">
        <v>867</v>
      </c>
      <c r="C440" s="76" t="s">
        <v>868</v>
      </c>
      <c r="D440" s="77" t="s">
        <v>131</v>
      </c>
      <c r="E440" s="93">
        <v>48</v>
      </c>
      <c r="F440" s="79"/>
      <c r="G440" s="79"/>
      <c r="H440" s="79"/>
      <c r="I440" s="79">
        <f>SUM(G440:H440)+'BM 002'!I440</f>
        <v>0</v>
      </c>
      <c r="J440" s="79">
        <f t="shared" si="190"/>
        <v>48</v>
      </c>
      <c r="K440" s="80">
        <v>49</v>
      </c>
      <c r="L440" s="81">
        <f t="shared" si="189"/>
        <v>62.112405390000006</v>
      </c>
      <c r="M440" s="82">
        <f t="shared" si="191"/>
        <v>0</v>
      </c>
      <c r="N440" s="82">
        <f t="shared" si="192"/>
        <v>0</v>
      </c>
      <c r="O440" s="82">
        <f>N440+'BM 002'!O440</f>
        <v>0</v>
      </c>
      <c r="P440" s="80">
        <f t="shared" si="193"/>
        <v>2352</v>
      </c>
      <c r="Q440" s="82">
        <f t="shared" si="194"/>
        <v>2981.39</v>
      </c>
      <c r="R440" s="82">
        <f t="shared" si="195"/>
        <v>2981.39</v>
      </c>
    </row>
    <row r="441" spans="2:18" s="34" customFormat="1" ht="23.4">
      <c r="B441" s="75" t="s">
        <v>869</v>
      </c>
      <c r="C441" s="76" t="s">
        <v>870</v>
      </c>
      <c r="D441" s="77" t="s">
        <v>131</v>
      </c>
      <c r="E441" s="93">
        <v>1</v>
      </c>
      <c r="F441" s="79"/>
      <c r="G441" s="79"/>
      <c r="H441" s="79"/>
      <c r="I441" s="79">
        <f>SUM(G441:H441)+'BM 002'!I441</f>
        <v>0</v>
      </c>
      <c r="J441" s="79">
        <f t="shared" si="190"/>
        <v>1</v>
      </c>
      <c r="K441" s="80">
        <v>37.4</v>
      </c>
      <c r="L441" s="81">
        <f t="shared" si="189"/>
        <v>47.408244113999999</v>
      </c>
      <c r="M441" s="82">
        <f t="shared" si="191"/>
        <v>0</v>
      </c>
      <c r="N441" s="82">
        <f t="shared" si="192"/>
        <v>0</v>
      </c>
      <c r="O441" s="82">
        <f>N441+'BM 002'!O441</f>
        <v>0</v>
      </c>
      <c r="P441" s="80">
        <f t="shared" si="193"/>
        <v>37.4</v>
      </c>
      <c r="Q441" s="82">
        <f t="shared" si="194"/>
        <v>47.4</v>
      </c>
      <c r="R441" s="82">
        <f t="shared" si="195"/>
        <v>47.4</v>
      </c>
    </row>
    <row r="442" spans="2:18" s="34" customFormat="1" ht="23.4">
      <c r="B442" s="75" t="s">
        <v>871</v>
      </c>
      <c r="C442" s="76" t="s">
        <v>872</v>
      </c>
      <c r="D442" s="77" t="s">
        <v>131</v>
      </c>
      <c r="E442" s="93">
        <v>2</v>
      </c>
      <c r="F442" s="79"/>
      <c r="G442" s="79"/>
      <c r="H442" s="79"/>
      <c r="I442" s="79">
        <f>SUM(G442:H442)+'BM 002'!I442</f>
        <v>0</v>
      </c>
      <c r="J442" s="79">
        <f t="shared" si="190"/>
        <v>2</v>
      </c>
      <c r="K442" s="80">
        <v>78.239999999999995</v>
      </c>
      <c r="L442" s="81">
        <f t="shared" si="189"/>
        <v>99.177032606400005</v>
      </c>
      <c r="M442" s="82">
        <f t="shared" si="191"/>
        <v>0</v>
      </c>
      <c r="N442" s="82">
        <f t="shared" si="192"/>
        <v>0</v>
      </c>
      <c r="O442" s="82">
        <f>N442+'BM 002'!O442</f>
        <v>0</v>
      </c>
      <c r="P442" s="80">
        <f t="shared" si="193"/>
        <v>156.47999999999999</v>
      </c>
      <c r="Q442" s="82">
        <f t="shared" si="194"/>
        <v>198.35</v>
      </c>
      <c r="R442" s="82">
        <f t="shared" si="195"/>
        <v>198.35</v>
      </c>
    </row>
    <row r="443" spans="2:18" s="34" customFormat="1" ht="23.4">
      <c r="B443" s="75" t="s">
        <v>873</v>
      </c>
      <c r="C443" s="76" t="s">
        <v>874</v>
      </c>
      <c r="D443" s="77" t="s">
        <v>131</v>
      </c>
      <c r="E443" s="93">
        <v>1</v>
      </c>
      <c r="F443" s="79"/>
      <c r="G443" s="79"/>
      <c r="H443" s="79"/>
      <c r="I443" s="79">
        <f>SUM(G443:H443)+'BM 002'!I443</f>
        <v>0</v>
      </c>
      <c r="J443" s="79">
        <f t="shared" si="190"/>
        <v>1</v>
      </c>
      <c r="K443" s="80">
        <v>155</v>
      </c>
      <c r="L443" s="81">
        <f t="shared" si="189"/>
        <v>196.47801705000001</v>
      </c>
      <c r="M443" s="82">
        <f t="shared" si="191"/>
        <v>0</v>
      </c>
      <c r="N443" s="82">
        <f t="shared" si="192"/>
        <v>0</v>
      </c>
      <c r="O443" s="82">
        <f>N443+'BM 002'!O443</f>
        <v>0</v>
      </c>
      <c r="P443" s="80">
        <f t="shared" si="193"/>
        <v>155</v>
      </c>
      <c r="Q443" s="82">
        <f t="shared" si="194"/>
        <v>196.47</v>
      </c>
      <c r="R443" s="82">
        <f t="shared" si="195"/>
        <v>196.47</v>
      </c>
    </row>
    <row r="444" spans="2:18" s="34" customFormat="1" ht="23.4">
      <c r="B444" s="75" t="s">
        <v>875</v>
      </c>
      <c r="C444" s="76" t="s">
        <v>876</v>
      </c>
      <c r="D444" s="77" t="s">
        <v>131</v>
      </c>
      <c r="E444" s="93">
        <v>17</v>
      </c>
      <c r="F444" s="79"/>
      <c r="G444" s="79"/>
      <c r="H444" s="79"/>
      <c r="I444" s="79">
        <f>SUM(G444:H444)+'BM 002'!I444</f>
        <v>0</v>
      </c>
      <c r="J444" s="79">
        <f t="shared" si="190"/>
        <v>17</v>
      </c>
      <c r="K444" s="80">
        <v>8.85</v>
      </c>
      <c r="L444" s="81">
        <f t="shared" si="189"/>
        <v>11.2182609735</v>
      </c>
      <c r="M444" s="82">
        <f t="shared" si="191"/>
        <v>0</v>
      </c>
      <c r="N444" s="82">
        <f t="shared" si="192"/>
        <v>0</v>
      </c>
      <c r="O444" s="82">
        <f>N444+'BM 002'!O444</f>
        <v>0</v>
      </c>
      <c r="P444" s="80">
        <f t="shared" si="193"/>
        <v>150.44999999999999</v>
      </c>
      <c r="Q444" s="82">
        <f t="shared" si="194"/>
        <v>190.71</v>
      </c>
      <c r="R444" s="82">
        <f t="shared" si="195"/>
        <v>190.71</v>
      </c>
    </row>
    <row r="445" spans="2:18" s="34" customFormat="1" ht="34.799999999999997">
      <c r="B445" s="75" t="s">
        <v>877</v>
      </c>
      <c r="C445" s="76" t="s">
        <v>878</v>
      </c>
      <c r="D445" s="77" t="s">
        <v>131</v>
      </c>
      <c r="E445" s="93">
        <v>3</v>
      </c>
      <c r="F445" s="79"/>
      <c r="G445" s="79"/>
      <c r="H445" s="79"/>
      <c r="I445" s="79">
        <f>SUM(G445:H445)+'BM 002'!I445</f>
        <v>0</v>
      </c>
      <c r="J445" s="79">
        <f t="shared" si="190"/>
        <v>3</v>
      </c>
      <c r="K445" s="80">
        <v>7.63</v>
      </c>
      <c r="L445" s="81">
        <f t="shared" si="189"/>
        <v>9.6717888392999996</v>
      </c>
      <c r="M445" s="82">
        <f t="shared" si="191"/>
        <v>0</v>
      </c>
      <c r="N445" s="82">
        <f t="shared" si="192"/>
        <v>0</v>
      </c>
      <c r="O445" s="82">
        <f>N445+'BM 002'!O445</f>
        <v>0</v>
      </c>
      <c r="P445" s="80">
        <f t="shared" si="193"/>
        <v>22.89</v>
      </c>
      <c r="Q445" s="82">
        <f t="shared" si="194"/>
        <v>29.01</v>
      </c>
      <c r="R445" s="82">
        <f t="shared" si="195"/>
        <v>29.01</v>
      </c>
    </row>
    <row r="446" spans="2:18" s="34" customFormat="1" ht="23.4">
      <c r="B446" s="75" t="s">
        <v>879</v>
      </c>
      <c r="C446" s="88" t="s">
        <v>711</v>
      </c>
      <c r="D446" s="89" t="s">
        <v>131</v>
      </c>
      <c r="E446" s="90">
        <v>82</v>
      </c>
      <c r="F446" s="91"/>
      <c r="G446" s="91"/>
      <c r="H446" s="91"/>
      <c r="I446" s="91">
        <f>SUM(G446:H446)+'BM 002'!I446</f>
        <v>0</v>
      </c>
      <c r="J446" s="91">
        <f t="shared" si="190"/>
        <v>82</v>
      </c>
      <c r="K446" s="80">
        <v>14.54</v>
      </c>
      <c r="L446" s="81">
        <f t="shared" si="189"/>
        <v>18.430905599399999</v>
      </c>
      <c r="M446" s="82">
        <f t="shared" si="191"/>
        <v>0</v>
      </c>
      <c r="N446" s="82">
        <f t="shared" si="192"/>
        <v>0</v>
      </c>
      <c r="O446" s="82">
        <f>N446+'BM 002'!O446</f>
        <v>0</v>
      </c>
      <c r="P446" s="80">
        <f t="shared" si="193"/>
        <v>1192.28</v>
      </c>
      <c r="Q446" s="82">
        <f t="shared" si="194"/>
        <v>1511.33</v>
      </c>
      <c r="R446" s="82">
        <f t="shared" si="195"/>
        <v>1511.33</v>
      </c>
    </row>
    <row r="447" spans="2:18" s="34" customFormat="1" ht="23.4">
      <c r="B447" s="75" t="s">
        <v>880</v>
      </c>
      <c r="C447" s="76" t="s">
        <v>881</v>
      </c>
      <c r="D447" s="77" t="s">
        <v>131</v>
      </c>
      <c r="E447" s="93">
        <v>5</v>
      </c>
      <c r="F447" s="79"/>
      <c r="G447" s="79"/>
      <c r="H447" s="79"/>
      <c r="I447" s="79">
        <f>SUM(G447:H447)+'BM 002'!I447</f>
        <v>0</v>
      </c>
      <c r="J447" s="79">
        <f t="shared" si="190"/>
        <v>5</v>
      </c>
      <c r="K447" s="80">
        <v>19.91</v>
      </c>
      <c r="L447" s="81">
        <f t="shared" si="189"/>
        <v>25.2379181901</v>
      </c>
      <c r="M447" s="82">
        <f t="shared" si="191"/>
        <v>0</v>
      </c>
      <c r="N447" s="82">
        <f t="shared" si="192"/>
        <v>0</v>
      </c>
      <c r="O447" s="82">
        <f>N447+'BM 002'!O447</f>
        <v>0</v>
      </c>
      <c r="P447" s="80">
        <f t="shared" si="193"/>
        <v>99.55</v>
      </c>
      <c r="Q447" s="82">
        <f t="shared" si="194"/>
        <v>126.18</v>
      </c>
      <c r="R447" s="82">
        <f t="shared" si="195"/>
        <v>126.18</v>
      </c>
    </row>
    <row r="448" spans="2:18" s="34" customFormat="1" ht="23.4">
      <c r="B448" s="75" t="s">
        <v>882</v>
      </c>
      <c r="C448" s="76" t="s">
        <v>883</v>
      </c>
      <c r="D448" s="77" t="s">
        <v>131</v>
      </c>
      <c r="E448" s="93">
        <v>1</v>
      </c>
      <c r="F448" s="79"/>
      <c r="G448" s="79"/>
      <c r="H448" s="79"/>
      <c r="I448" s="79">
        <f>SUM(G448:H448)+'BM 002'!I448</f>
        <v>0</v>
      </c>
      <c r="J448" s="79">
        <f t="shared" si="190"/>
        <v>1</v>
      </c>
      <c r="K448" s="80">
        <v>25.24</v>
      </c>
      <c r="L448" s="81">
        <f t="shared" si="189"/>
        <v>31.994226776399998</v>
      </c>
      <c r="M448" s="82">
        <f t="shared" si="191"/>
        <v>0</v>
      </c>
      <c r="N448" s="82">
        <f t="shared" si="192"/>
        <v>0</v>
      </c>
      <c r="O448" s="82">
        <f>N448+'BM 002'!O448</f>
        <v>0</v>
      </c>
      <c r="P448" s="80">
        <f t="shared" si="193"/>
        <v>25.24</v>
      </c>
      <c r="Q448" s="82">
        <f t="shared" si="194"/>
        <v>31.99</v>
      </c>
      <c r="R448" s="82">
        <f t="shared" si="195"/>
        <v>31.99</v>
      </c>
    </row>
    <row r="449" spans="2:18" s="34" customFormat="1" ht="34.799999999999997">
      <c r="B449" s="75" t="s">
        <v>884</v>
      </c>
      <c r="C449" s="76" t="s">
        <v>885</v>
      </c>
      <c r="D449" s="77" t="s">
        <v>131</v>
      </c>
      <c r="E449" s="93">
        <v>79</v>
      </c>
      <c r="F449" s="79"/>
      <c r="G449" s="79"/>
      <c r="H449" s="79"/>
      <c r="I449" s="79">
        <f>SUM(G449:H449)+'BM 002'!I449</f>
        <v>0</v>
      </c>
      <c r="J449" s="79">
        <f t="shared" si="190"/>
        <v>79</v>
      </c>
      <c r="K449" s="80">
        <v>13.15</v>
      </c>
      <c r="L449" s="81">
        <f t="shared" si="189"/>
        <v>16.6689414465</v>
      </c>
      <c r="M449" s="82">
        <f t="shared" si="191"/>
        <v>0</v>
      </c>
      <c r="N449" s="82">
        <f t="shared" si="192"/>
        <v>0</v>
      </c>
      <c r="O449" s="82">
        <f>N449+'BM 002'!O449</f>
        <v>0</v>
      </c>
      <c r="P449" s="80">
        <f t="shared" si="193"/>
        <v>1038.8500000000001</v>
      </c>
      <c r="Q449" s="82">
        <f t="shared" si="194"/>
        <v>1316.84</v>
      </c>
      <c r="R449" s="82">
        <f t="shared" si="195"/>
        <v>1316.84</v>
      </c>
    </row>
    <row r="450" spans="2:18" s="34" customFormat="1" ht="23.4">
      <c r="B450" s="75" t="s">
        <v>886</v>
      </c>
      <c r="C450" s="76" t="s">
        <v>757</v>
      </c>
      <c r="D450" s="77" t="s">
        <v>131</v>
      </c>
      <c r="E450" s="93">
        <v>1</v>
      </c>
      <c r="F450" s="79"/>
      <c r="G450" s="79"/>
      <c r="H450" s="79"/>
      <c r="I450" s="79">
        <f>SUM(G450:H450)+'BM 002'!I450</f>
        <v>0</v>
      </c>
      <c r="J450" s="79">
        <f t="shared" si="190"/>
        <v>1</v>
      </c>
      <c r="K450" s="80">
        <v>12.35</v>
      </c>
      <c r="L450" s="81">
        <f t="shared" si="189"/>
        <v>15.6548613585</v>
      </c>
      <c r="M450" s="82">
        <f t="shared" si="191"/>
        <v>0</v>
      </c>
      <c r="N450" s="82">
        <f t="shared" si="192"/>
        <v>0</v>
      </c>
      <c r="O450" s="82">
        <f>N450+'BM 002'!O450</f>
        <v>0</v>
      </c>
      <c r="P450" s="80">
        <f t="shared" si="193"/>
        <v>12.35</v>
      </c>
      <c r="Q450" s="82">
        <f t="shared" si="194"/>
        <v>15.65</v>
      </c>
      <c r="R450" s="82">
        <f t="shared" si="195"/>
        <v>15.65</v>
      </c>
    </row>
    <row r="451" spans="2:18" s="34" customFormat="1" ht="23.4">
      <c r="B451" s="75" t="s">
        <v>887</v>
      </c>
      <c r="C451" s="76" t="s">
        <v>761</v>
      </c>
      <c r="D451" s="77" t="s">
        <v>131</v>
      </c>
      <c r="E451" s="93">
        <v>3</v>
      </c>
      <c r="F451" s="79"/>
      <c r="G451" s="79"/>
      <c r="H451" s="79"/>
      <c r="I451" s="79">
        <f>SUM(G451:H451)+'BM 002'!I451</f>
        <v>0</v>
      </c>
      <c r="J451" s="79">
        <f t="shared" si="190"/>
        <v>3</v>
      </c>
      <c r="K451" s="80">
        <v>18.5</v>
      </c>
      <c r="L451" s="81">
        <f t="shared" si="189"/>
        <v>23.450602035000003</v>
      </c>
      <c r="M451" s="82">
        <f t="shared" si="191"/>
        <v>0</v>
      </c>
      <c r="N451" s="82">
        <f t="shared" si="192"/>
        <v>0</v>
      </c>
      <c r="O451" s="82">
        <f>N451+'BM 002'!O451</f>
        <v>0</v>
      </c>
      <c r="P451" s="80">
        <f t="shared" si="193"/>
        <v>55.5</v>
      </c>
      <c r="Q451" s="82">
        <f t="shared" si="194"/>
        <v>70.349999999999994</v>
      </c>
      <c r="R451" s="82">
        <f t="shared" si="195"/>
        <v>70.349999999999994</v>
      </c>
    </row>
    <row r="452" spans="2:18" s="34" customFormat="1" ht="23.4">
      <c r="B452" s="75" t="s">
        <v>888</v>
      </c>
      <c r="C452" s="76" t="s">
        <v>771</v>
      </c>
      <c r="D452" s="77" t="s">
        <v>131</v>
      </c>
      <c r="E452" s="93">
        <v>77</v>
      </c>
      <c r="F452" s="79"/>
      <c r="G452" s="79"/>
      <c r="H452" s="79"/>
      <c r="I452" s="79">
        <f>SUM(G452:H452)+'BM 002'!I452</f>
        <v>0</v>
      </c>
      <c r="J452" s="79">
        <f t="shared" si="190"/>
        <v>77</v>
      </c>
      <c r="K452" s="80">
        <v>6.59</v>
      </c>
      <c r="L452" s="81">
        <f t="shared" si="189"/>
        <v>8.3534847248999995</v>
      </c>
      <c r="M452" s="82">
        <f t="shared" si="191"/>
        <v>0</v>
      </c>
      <c r="N452" s="82">
        <f t="shared" si="192"/>
        <v>0</v>
      </c>
      <c r="O452" s="82">
        <f>N452+'BM 002'!O452</f>
        <v>0</v>
      </c>
      <c r="P452" s="80">
        <f t="shared" si="193"/>
        <v>507.43</v>
      </c>
      <c r="Q452" s="82">
        <f t="shared" si="194"/>
        <v>643.21</v>
      </c>
      <c r="R452" s="82">
        <f t="shared" si="195"/>
        <v>643.21</v>
      </c>
    </row>
    <row r="453" spans="2:18" s="34" customFormat="1" ht="13.2">
      <c r="B453" s="75" t="s">
        <v>889</v>
      </c>
      <c r="C453" s="76" t="s">
        <v>773</v>
      </c>
      <c r="D453" s="77" t="s">
        <v>131</v>
      </c>
      <c r="E453" s="93">
        <v>3</v>
      </c>
      <c r="F453" s="79"/>
      <c r="G453" s="79"/>
      <c r="H453" s="79"/>
      <c r="I453" s="79">
        <f>SUM(G453:H453)+'BM 002'!I453</f>
        <v>0</v>
      </c>
      <c r="J453" s="79">
        <f t="shared" si="190"/>
        <v>3</v>
      </c>
      <c r="K453" s="80">
        <v>22.07</v>
      </c>
      <c r="L453" s="81">
        <f t="shared" si="189"/>
        <v>27.9759344277</v>
      </c>
      <c r="M453" s="82">
        <f t="shared" si="191"/>
        <v>0</v>
      </c>
      <c r="N453" s="82">
        <f t="shared" si="192"/>
        <v>0</v>
      </c>
      <c r="O453" s="82">
        <f>N453+'BM 002'!O453</f>
        <v>0</v>
      </c>
      <c r="P453" s="80">
        <f t="shared" si="193"/>
        <v>66.210000000000008</v>
      </c>
      <c r="Q453" s="82">
        <f t="shared" si="194"/>
        <v>83.92</v>
      </c>
      <c r="R453" s="82">
        <f t="shared" si="195"/>
        <v>83.92</v>
      </c>
    </row>
    <row r="454" spans="2:18" s="34" customFormat="1" ht="23.4">
      <c r="B454" s="75" t="s">
        <v>890</v>
      </c>
      <c r="C454" s="88" t="s">
        <v>711</v>
      </c>
      <c r="D454" s="89" t="s">
        <v>131</v>
      </c>
      <c r="E454" s="90">
        <v>14</v>
      </c>
      <c r="F454" s="91"/>
      <c r="G454" s="91"/>
      <c r="H454" s="91"/>
      <c r="I454" s="91">
        <f>SUM(G454:H454)+'BM 002'!I454</f>
        <v>0</v>
      </c>
      <c r="J454" s="91">
        <f t="shared" si="190"/>
        <v>14</v>
      </c>
      <c r="K454" s="80">
        <v>14.54</v>
      </c>
      <c r="L454" s="81">
        <f t="shared" si="189"/>
        <v>18.430905599399999</v>
      </c>
      <c r="M454" s="82">
        <f t="shared" si="191"/>
        <v>0</v>
      </c>
      <c r="N454" s="82">
        <f t="shared" si="192"/>
        <v>0</v>
      </c>
      <c r="O454" s="82">
        <f>N454+'BM 002'!O454</f>
        <v>0</v>
      </c>
      <c r="P454" s="80">
        <f t="shared" si="193"/>
        <v>203.56</v>
      </c>
      <c r="Q454" s="82">
        <f t="shared" si="194"/>
        <v>258.02999999999997</v>
      </c>
      <c r="R454" s="82">
        <f t="shared" si="195"/>
        <v>258.02999999999997</v>
      </c>
    </row>
    <row r="455" spans="2:18" s="34" customFormat="1" ht="34.799999999999997">
      <c r="B455" s="75" t="s">
        <v>891</v>
      </c>
      <c r="C455" s="76" t="s">
        <v>892</v>
      </c>
      <c r="D455" s="77" t="s">
        <v>131</v>
      </c>
      <c r="E455" s="93">
        <v>91</v>
      </c>
      <c r="F455" s="79"/>
      <c r="G455" s="79"/>
      <c r="H455" s="79"/>
      <c r="I455" s="79">
        <f>SUM(G455:H455)+'BM 002'!I455</f>
        <v>0</v>
      </c>
      <c r="J455" s="79">
        <f t="shared" si="190"/>
        <v>91</v>
      </c>
      <c r="K455" s="80">
        <v>22.83</v>
      </c>
      <c r="L455" s="81">
        <f t="shared" si="189"/>
        <v>28.9393105113</v>
      </c>
      <c r="M455" s="82">
        <f t="shared" si="191"/>
        <v>0</v>
      </c>
      <c r="N455" s="82">
        <f t="shared" si="192"/>
        <v>0</v>
      </c>
      <c r="O455" s="82">
        <f>N455+'BM 002'!O455</f>
        <v>0</v>
      </c>
      <c r="P455" s="80">
        <f t="shared" si="193"/>
        <v>2077.5299999999997</v>
      </c>
      <c r="Q455" s="82">
        <f t="shared" si="194"/>
        <v>2633.47</v>
      </c>
      <c r="R455" s="82">
        <f t="shared" si="195"/>
        <v>2633.47</v>
      </c>
    </row>
    <row r="456" spans="2:18" s="34" customFormat="1" ht="46.2">
      <c r="B456" s="75" t="s">
        <v>893</v>
      </c>
      <c r="C456" s="76" t="s">
        <v>894</v>
      </c>
      <c r="D456" s="77" t="s">
        <v>131</v>
      </c>
      <c r="E456" s="93">
        <v>26</v>
      </c>
      <c r="F456" s="79"/>
      <c r="G456" s="79"/>
      <c r="H456" s="79"/>
      <c r="I456" s="79">
        <f>SUM(G456:H456)+'BM 002'!I456</f>
        <v>0</v>
      </c>
      <c r="J456" s="79">
        <f t="shared" si="190"/>
        <v>26</v>
      </c>
      <c r="K456" s="80">
        <v>42.22</v>
      </c>
      <c r="L456" s="81">
        <f t="shared" si="189"/>
        <v>53.518076644200001</v>
      </c>
      <c r="M456" s="82">
        <f t="shared" si="191"/>
        <v>0</v>
      </c>
      <c r="N456" s="82">
        <f t="shared" si="192"/>
        <v>0</v>
      </c>
      <c r="O456" s="82">
        <f>N456+'BM 002'!O456</f>
        <v>0</v>
      </c>
      <c r="P456" s="80">
        <f t="shared" si="193"/>
        <v>1097.72</v>
      </c>
      <c r="Q456" s="82">
        <f t="shared" si="194"/>
        <v>1391.46</v>
      </c>
      <c r="R456" s="82">
        <f t="shared" si="195"/>
        <v>1391.46</v>
      </c>
    </row>
    <row r="457" spans="2:18" s="34" customFormat="1" ht="13.2">
      <c r="B457" s="75" t="s">
        <v>895</v>
      </c>
      <c r="C457" s="76" t="s">
        <v>896</v>
      </c>
      <c r="D457" s="77" t="s">
        <v>131</v>
      </c>
      <c r="E457" s="93">
        <v>46</v>
      </c>
      <c r="F457" s="79"/>
      <c r="G457" s="79"/>
      <c r="H457" s="79"/>
      <c r="I457" s="79">
        <f>SUM(G457:H457)+'BM 002'!I457</f>
        <v>0</v>
      </c>
      <c r="J457" s="79">
        <f t="shared" si="190"/>
        <v>46</v>
      </c>
      <c r="K457" s="80">
        <v>110</v>
      </c>
      <c r="L457" s="81">
        <f t="shared" si="189"/>
        <v>139.4360121</v>
      </c>
      <c r="M457" s="82">
        <f t="shared" si="191"/>
        <v>0</v>
      </c>
      <c r="N457" s="82">
        <f t="shared" si="192"/>
        <v>0</v>
      </c>
      <c r="O457" s="82">
        <f>N457+'BM 002'!O457</f>
        <v>0</v>
      </c>
      <c r="P457" s="80">
        <f t="shared" si="193"/>
        <v>5060</v>
      </c>
      <c r="Q457" s="82">
        <f t="shared" si="194"/>
        <v>6414.05</v>
      </c>
      <c r="R457" s="82">
        <f t="shared" si="195"/>
        <v>6414.05</v>
      </c>
    </row>
    <row r="458" spans="2:18" s="34" customFormat="1" ht="34.799999999999997">
      <c r="B458" s="75" t="s">
        <v>897</v>
      </c>
      <c r="C458" s="76" t="s">
        <v>898</v>
      </c>
      <c r="D458" s="77" t="s">
        <v>131</v>
      </c>
      <c r="E458" s="93">
        <v>11</v>
      </c>
      <c r="F458" s="79"/>
      <c r="G458" s="79"/>
      <c r="H458" s="79"/>
      <c r="I458" s="79">
        <f>SUM(G458:H458)+'BM 002'!I458</f>
        <v>0</v>
      </c>
      <c r="J458" s="79">
        <f t="shared" si="190"/>
        <v>11</v>
      </c>
      <c r="K458" s="80">
        <v>35.5</v>
      </c>
      <c r="L458" s="81">
        <f t="shared" si="189"/>
        <v>44.999803905</v>
      </c>
      <c r="M458" s="82">
        <f t="shared" si="191"/>
        <v>0</v>
      </c>
      <c r="N458" s="82">
        <f t="shared" si="192"/>
        <v>0</v>
      </c>
      <c r="O458" s="82">
        <f>N458+'BM 002'!O458</f>
        <v>0</v>
      </c>
      <c r="P458" s="80">
        <f t="shared" si="193"/>
        <v>390.5</v>
      </c>
      <c r="Q458" s="82">
        <f t="shared" si="194"/>
        <v>494.99</v>
      </c>
      <c r="R458" s="82">
        <f t="shared" si="195"/>
        <v>494.99</v>
      </c>
    </row>
    <row r="459" spans="2:18" s="34" customFormat="1" ht="34.799999999999997">
      <c r="B459" s="75" t="s">
        <v>899</v>
      </c>
      <c r="C459" s="76" t="s">
        <v>900</v>
      </c>
      <c r="D459" s="77" t="s">
        <v>131</v>
      </c>
      <c r="E459" s="93">
        <v>12</v>
      </c>
      <c r="F459" s="79"/>
      <c r="G459" s="79"/>
      <c r="H459" s="79"/>
      <c r="I459" s="79">
        <f>SUM(G459:H459)+'BM 002'!I459</f>
        <v>0</v>
      </c>
      <c r="J459" s="79">
        <f t="shared" si="190"/>
        <v>12</v>
      </c>
      <c r="K459" s="80">
        <v>37.299999999999997</v>
      </c>
      <c r="L459" s="81">
        <f t="shared" si="189"/>
        <v>47.281484102999997</v>
      </c>
      <c r="M459" s="82">
        <f t="shared" si="191"/>
        <v>0</v>
      </c>
      <c r="N459" s="82">
        <f t="shared" si="192"/>
        <v>0</v>
      </c>
      <c r="O459" s="82">
        <f>N459+'BM 002'!O459</f>
        <v>0</v>
      </c>
      <c r="P459" s="80">
        <f t="shared" si="193"/>
        <v>447.59999999999997</v>
      </c>
      <c r="Q459" s="82">
        <f t="shared" si="194"/>
        <v>567.37</v>
      </c>
      <c r="R459" s="82">
        <f t="shared" si="195"/>
        <v>567.37</v>
      </c>
    </row>
    <row r="460" spans="2:18" s="34" customFormat="1" ht="34.799999999999997">
      <c r="B460" s="75" t="s">
        <v>901</v>
      </c>
      <c r="C460" s="76" t="s">
        <v>902</v>
      </c>
      <c r="D460" s="77" t="s">
        <v>131</v>
      </c>
      <c r="E460" s="93">
        <v>2</v>
      </c>
      <c r="F460" s="79"/>
      <c r="G460" s="79"/>
      <c r="H460" s="79"/>
      <c r="I460" s="79">
        <f>SUM(G460:H460)+'BM 002'!I460</f>
        <v>0</v>
      </c>
      <c r="J460" s="79">
        <f t="shared" si="190"/>
        <v>2</v>
      </c>
      <c r="K460" s="80">
        <v>42.5</v>
      </c>
      <c r="L460" s="81">
        <f t="shared" si="189"/>
        <v>53.873004675000004</v>
      </c>
      <c r="M460" s="82">
        <f t="shared" si="191"/>
        <v>0</v>
      </c>
      <c r="N460" s="82">
        <f t="shared" si="192"/>
        <v>0</v>
      </c>
      <c r="O460" s="82">
        <f>N460+'BM 002'!O460</f>
        <v>0</v>
      </c>
      <c r="P460" s="80">
        <f t="shared" si="193"/>
        <v>85</v>
      </c>
      <c r="Q460" s="82">
        <f t="shared" si="194"/>
        <v>107.74</v>
      </c>
      <c r="R460" s="82">
        <f t="shared" si="195"/>
        <v>107.74</v>
      </c>
    </row>
    <row r="461" spans="2:18" s="34" customFormat="1" ht="23.4">
      <c r="B461" s="75" t="s">
        <v>903</v>
      </c>
      <c r="C461" s="76" t="s">
        <v>904</v>
      </c>
      <c r="D461" s="77" t="s">
        <v>131</v>
      </c>
      <c r="E461" s="93">
        <v>6</v>
      </c>
      <c r="F461" s="79"/>
      <c r="G461" s="79"/>
      <c r="H461" s="79"/>
      <c r="I461" s="79">
        <f>SUM(G461:H461)+'BM 002'!I461</f>
        <v>0</v>
      </c>
      <c r="J461" s="79">
        <f t="shared" si="190"/>
        <v>6</v>
      </c>
      <c r="K461" s="80">
        <v>68</v>
      </c>
      <c r="L461" s="81">
        <f t="shared" si="189"/>
        <v>86.196807480000004</v>
      </c>
      <c r="M461" s="82">
        <f t="shared" si="191"/>
        <v>0</v>
      </c>
      <c r="N461" s="82">
        <f t="shared" si="192"/>
        <v>0</v>
      </c>
      <c r="O461" s="82">
        <f>N461+'BM 002'!O461</f>
        <v>0</v>
      </c>
      <c r="P461" s="80">
        <f t="shared" si="193"/>
        <v>408</v>
      </c>
      <c r="Q461" s="82">
        <f t="shared" si="194"/>
        <v>517.17999999999995</v>
      </c>
      <c r="R461" s="82">
        <f t="shared" si="195"/>
        <v>517.17999999999995</v>
      </c>
    </row>
    <row r="462" spans="2:18" s="34" customFormat="1" ht="34.799999999999997">
      <c r="B462" s="75" t="s">
        <v>905</v>
      </c>
      <c r="C462" s="76" t="s">
        <v>906</v>
      </c>
      <c r="D462" s="77" t="s">
        <v>131</v>
      </c>
      <c r="E462" s="93">
        <v>3</v>
      </c>
      <c r="F462" s="79"/>
      <c r="G462" s="79"/>
      <c r="H462" s="79"/>
      <c r="I462" s="79">
        <f>SUM(G462:H462)+'BM 002'!I462</f>
        <v>0</v>
      </c>
      <c r="J462" s="79">
        <f t="shared" si="190"/>
        <v>3</v>
      </c>
      <c r="K462" s="80">
        <v>36.61</v>
      </c>
      <c r="L462" s="81">
        <f t="shared" si="189"/>
        <v>46.406840027100003</v>
      </c>
      <c r="M462" s="82">
        <f t="shared" si="191"/>
        <v>0</v>
      </c>
      <c r="N462" s="82">
        <f t="shared" si="192"/>
        <v>0</v>
      </c>
      <c r="O462" s="82">
        <f>N462+'BM 002'!O462</f>
        <v>0</v>
      </c>
      <c r="P462" s="80">
        <f t="shared" si="193"/>
        <v>109.83</v>
      </c>
      <c r="Q462" s="82">
        <f t="shared" si="194"/>
        <v>139.22</v>
      </c>
      <c r="R462" s="82">
        <f t="shared" si="195"/>
        <v>139.22</v>
      </c>
    </row>
    <row r="463" spans="2:18" s="34" customFormat="1" ht="34.799999999999997">
      <c r="B463" s="75" t="s">
        <v>907</v>
      </c>
      <c r="C463" s="76" t="s">
        <v>908</v>
      </c>
      <c r="D463" s="77" t="s">
        <v>131</v>
      </c>
      <c r="E463" s="93">
        <v>3</v>
      </c>
      <c r="F463" s="79"/>
      <c r="G463" s="79"/>
      <c r="H463" s="79"/>
      <c r="I463" s="79">
        <f>SUM(G463:H463)+'BM 002'!I463</f>
        <v>0</v>
      </c>
      <c r="J463" s="79">
        <f t="shared" si="190"/>
        <v>3</v>
      </c>
      <c r="K463" s="82">
        <v>11.81</v>
      </c>
      <c r="L463" s="81">
        <f t="shared" si="189"/>
        <v>14.970357299100002</v>
      </c>
      <c r="M463" s="82">
        <f t="shared" si="191"/>
        <v>0</v>
      </c>
      <c r="N463" s="82">
        <f t="shared" si="192"/>
        <v>0</v>
      </c>
      <c r="O463" s="82">
        <f>N463+'BM 002'!O463</f>
        <v>0</v>
      </c>
      <c r="P463" s="82">
        <f t="shared" si="193"/>
        <v>35.43</v>
      </c>
      <c r="Q463" s="82">
        <f t="shared" si="194"/>
        <v>44.91</v>
      </c>
      <c r="R463" s="82">
        <f t="shared" si="195"/>
        <v>44.91</v>
      </c>
    </row>
    <row r="464" spans="2:18" s="34" customFormat="1" ht="23.4">
      <c r="B464" s="75" t="s">
        <v>909</v>
      </c>
      <c r="C464" s="76" t="s">
        <v>910</v>
      </c>
      <c r="D464" s="77" t="s">
        <v>131</v>
      </c>
      <c r="E464" s="93">
        <v>72</v>
      </c>
      <c r="F464" s="79"/>
      <c r="G464" s="79"/>
      <c r="H464" s="79"/>
      <c r="I464" s="79">
        <f>SUM(G464:H464)+'BM 002'!I464</f>
        <v>0</v>
      </c>
      <c r="J464" s="79">
        <f t="shared" si="190"/>
        <v>72</v>
      </c>
      <c r="K464" s="82">
        <v>13</v>
      </c>
      <c r="L464" s="81">
        <f t="shared" si="189"/>
        <v>16.478801430000001</v>
      </c>
      <c r="M464" s="82">
        <f t="shared" si="191"/>
        <v>0</v>
      </c>
      <c r="N464" s="82">
        <f t="shared" si="192"/>
        <v>0</v>
      </c>
      <c r="O464" s="82">
        <f>N464+'BM 002'!O464</f>
        <v>0</v>
      </c>
      <c r="P464" s="82">
        <f t="shared" si="193"/>
        <v>936</v>
      </c>
      <c r="Q464" s="82">
        <f t="shared" si="194"/>
        <v>1186.47</v>
      </c>
      <c r="R464" s="82">
        <f t="shared" si="195"/>
        <v>1186.47</v>
      </c>
    </row>
    <row r="465" spans="2:18" s="34" customFormat="1" ht="13.2">
      <c r="B465" s="75" t="s">
        <v>911</v>
      </c>
      <c r="C465" s="76"/>
      <c r="D465" s="77"/>
      <c r="E465" s="93"/>
      <c r="F465" s="79"/>
      <c r="G465" s="79"/>
      <c r="H465" s="79"/>
      <c r="I465" s="79">
        <f>SUM(G465:H465)+'BM 002'!I465</f>
        <v>0</v>
      </c>
      <c r="J465" s="79">
        <f t="shared" si="190"/>
        <v>0</v>
      </c>
      <c r="K465" s="82"/>
      <c r="L465" s="81">
        <f t="shared" si="189"/>
        <v>0</v>
      </c>
      <c r="M465" s="82">
        <f t="shared" si="191"/>
        <v>0</v>
      </c>
      <c r="N465" s="82">
        <f t="shared" si="192"/>
        <v>0</v>
      </c>
      <c r="O465" s="82">
        <f>N465+'BM 002'!O465</f>
        <v>0</v>
      </c>
      <c r="P465" s="82"/>
      <c r="Q465" s="82">
        <f t="shared" si="194"/>
        <v>0</v>
      </c>
      <c r="R465" s="82">
        <f t="shared" si="195"/>
        <v>0</v>
      </c>
    </row>
    <row r="466" spans="2:18" s="34" customFormat="1" ht="23.4">
      <c r="B466" s="75" t="s">
        <v>912</v>
      </c>
      <c r="C466" s="76" t="s">
        <v>733</v>
      </c>
      <c r="D466" s="77" t="s">
        <v>131</v>
      </c>
      <c r="E466" s="93">
        <v>8</v>
      </c>
      <c r="F466" s="79"/>
      <c r="G466" s="79"/>
      <c r="H466" s="79"/>
      <c r="I466" s="79">
        <f>SUM(G466:H466)+'BM 002'!I466</f>
        <v>0</v>
      </c>
      <c r="J466" s="79">
        <f t="shared" si="190"/>
        <v>8</v>
      </c>
      <c r="K466" s="82">
        <v>3.95</v>
      </c>
      <c r="L466" s="81">
        <f t="shared" si="189"/>
        <v>5.0070204345000002</v>
      </c>
      <c r="M466" s="82">
        <f t="shared" si="191"/>
        <v>0</v>
      </c>
      <c r="N466" s="82">
        <f t="shared" si="192"/>
        <v>0</v>
      </c>
      <c r="O466" s="82">
        <f>N466+'BM 002'!O466</f>
        <v>0</v>
      </c>
      <c r="P466" s="82">
        <f t="shared" ref="P466:P473" si="196">E466*K466</f>
        <v>31.6</v>
      </c>
      <c r="Q466" s="82">
        <f t="shared" si="194"/>
        <v>40.049999999999997</v>
      </c>
      <c r="R466" s="82">
        <f t="shared" si="195"/>
        <v>40.049999999999997</v>
      </c>
    </row>
    <row r="467" spans="2:18" s="34" customFormat="1" ht="23.4">
      <c r="B467" s="75" t="s">
        <v>913</v>
      </c>
      <c r="C467" s="88" t="s">
        <v>735</v>
      </c>
      <c r="D467" s="89" t="s">
        <v>131</v>
      </c>
      <c r="E467" s="90">
        <v>238</v>
      </c>
      <c r="F467" s="91"/>
      <c r="G467" s="91"/>
      <c r="H467" s="91"/>
      <c r="I467" s="91">
        <f>SUM(G467:H467)+'BM 002'!I467</f>
        <v>0</v>
      </c>
      <c r="J467" s="91">
        <f t="shared" si="190"/>
        <v>238</v>
      </c>
      <c r="K467" s="80">
        <v>4.67</v>
      </c>
      <c r="L467" s="81">
        <f t="shared" si="189"/>
        <v>5.9196925137000003</v>
      </c>
      <c r="M467" s="82">
        <f t="shared" si="191"/>
        <v>0</v>
      </c>
      <c r="N467" s="82">
        <f t="shared" si="192"/>
        <v>0</v>
      </c>
      <c r="O467" s="82">
        <f>N467+'BM 002'!O467</f>
        <v>0</v>
      </c>
      <c r="P467" s="80">
        <f t="shared" si="196"/>
        <v>1111.46</v>
      </c>
      <c r="Q467" s="82">
        <f t="shared" si="194"/>
        <v>1408.88</v>
      </c>
      <c r="R467" s="82">
        <f t="shared" si="195"/>
        <v>1408.88</v>
      </c>
    </row>
    <row r="468" spans="2:18" s="34" customFormat="1" ht="23.4">
      <c r="B468" s="75" t="s">
        <v>914</v>
      </c>
      <c r="C468" s="76" t="s">
        <v>739</v>
      </c>
      <c r="D468" s="77" t="s">
        <v>131</v>
      </c>
      <c r="E468" s="93">
        <v>30</v>
      </c>
      <c r="F468" s="79"/>
      <c r="G468" s="79"/>
      <c r="H468" s="79"/>
      <c r="I468" s="79">
        <f>SUM(G468:H468)+'BM 002'!I468</f>
        <v>0</v>
      </c>
      <c r="J468" s="79">
        <f t="shared" si="190"/>
        <v>30</v>
      </c>
      <c r="K468" s="80">
        <v>11.5</v>
      </c>
      <c r="L468" s="81">
        <f t="shared" si="189"/>
        <v>14.577401265000001</v>
      </c>
      <c r="M468" s="82">
        <f t="shared" si="191"/>
        <v>0</v>
      </c>
      <c r="N468" s="82">
        <f t="shared" si="192"/>
        <v>0</v>
      </c>
      <c r="O468" s="82">
        <f>N468+'BM 002'!O468</f>
        <v>0</v>
      </c>
      <c r="P468" s="80">
        <f t="shared" si="196"/>
        <v>345</v>
      </c>
      <c r="Q468" s="82">
        <f t="shared" si="194"/>
        <v>437.32</v>
      </c>
      <c r="R468" s="82">
        <f t="shared" si="195"/>
        <v>437.32</v>
      </c>
    </row>
    <row r="469" spans="2:18" s="34" customFormat="1" ht="23.4">
      <c r="B469" s="75" t="s">
        <v>915</v>
      </c>
      <c r="C469" s="76" t="s">
        <v>916</v>
      </c>
      <c r="D469" s="77" t="s">
        <v>131</v>
      </c>
      <c r="E469" s="93">
        <v>1</v>
      </c>
      <c r="F469" s="79"/>
      <c r="G469" s="79"/>
      <c r="H469" s="79"/>
      <c r="I469" s="79">
        <f>SUM(G469:H469)+'BM 002'!I469</f>
        <v>0</v>
      </c>
      <c r="J469" s="79">
        <f t="shared" si="190"/>
        <v>1</v>
      </c>
      <c r="K469" s="80">
        <v>10.5</v>
      </c>
      <c r="L469" s="81">
        <f t="shared" si="189"/>
        <v>13.309801155000001</v>
      </c>
      <c r="M469" s="82">
        <f t="shared" si="191"/>
        <v>0</v>
      </c>
      <c r="N469" s="82">
        <f t="shared" si="192"/>
        <v>0</v>
      </c>
      <c r="O469" s="82">
        <f>N469+'BM 002'!O469</f>
        <v>0</v>
      </c>
      <c r="P469" s="80">
        <f t="shared" si="196"/>
        <v>10.5</v>
      </c>
      <c r="Q469" s="82">
        <f t="shared" si="194"/>
        <v>13.3</v>
      </c>
      <c r="R469" s="82">
        <f t="shared" si="195"/>
        <v>13.3</v>
      </c>
    </row>
    <row r="470" spans="2:18" s="34" customFormat="1" ht="23.4">
      <c r="B470" s="75" t="s">
        <v>917</v>
      </c>
      <c r="C470" s="76" t="s">
        <v>918</v>
      </c>
      <c r="D470" s="77" t="s">
        <v>131</v>
      </c>
      <c r="E470" s="93">
        <v>1</v>
      </c>
      <c r="F470" s="79"/>
      <c r="G470" s="79"/>
      <c r="H470" s="79"/>
      <c r="I470" s="79">
        <f>SUM(G470:H470)+'BM 002'!I470</f>
        <v>0</v>
      </c>
      <c r="J470" s="79">
        <f t="shared" si="190"/>
        <v>1</v>
      </c>
      <c r="K470" s="80">
        <v>10.14</v>
      </c>
      <c r="L470" s="81">
        <f t="shared" si="189"/>
        <v>12.853465115400001</v>
      </c>
      <c r="M470" s="82">
        <f t="shared" si="191"/>
        <v>0</v>
      </c>
      <c r="N470" s="82">
        <f t="shared" si="192"/>
        <v>0</v>
      </c>
      <c r="O470" s="82">
        <f>N470+'BM 002'!O470</f>
        <v>0</v>
      </c>
      <c r="P470" s="80">
        <f t="shared" si="196"/>
        <v>10.14</v>
      </c>
      <c r="Q470" s="82">
        <f t="shared" si="194"/>
        <v>12.85</v>
      </c>
      <c r="R470" s="82">
        <f t="shared" si="195"/>
        <v>12.85</v>
      </c>
    </row>
    <row r="471" spans="2:18" s="34" customFormat="1" ht="23.4">
      <c r="B471" s="75" t="s">
        <v>919</v>
      </c>
      <c r="C471" s="88" t="s">
        <v>717</v>
      </c>
      <c r="D471" s="89" t="s">
        <v>131</v>
      </c>
      <c r="E471" s="90">
        <v>238</v>
      </c>
      <c r="F471" s="91"/>
      <c r="G471" s="91"/>
      <c r="H471" s="91"/>
      <c r="I471" s="91">
        <f>SUM(G471:H471)+'BM 002'!I471</f>
        <v>0</v>
      </c>
      <c r="J471" s="91">
        <f t="shared" si="190"/>
        <v>238</v>
      </c>
      <c r="K471" s="80">
        <v>8</v>
      </c>
      <c r="L471" s="81">
        <f t="shared" si="189"/>
        <v>10.14080088</v>
      </c>
      <c r="M471" s="82">
        <f t="shared" ref="M471:M473" si="197">TRUNC(F471*L471,2)</f>
        <v>0</v>
      </c>
      <c r="N471" s="82">
        <f t="shared" si="192"/>
        <v>0</v>
      </c>
      <c r="O471" s="82">
        <f>N471+'BM 002'!O471</f>
        <v>0</v>
      </c>
      <c r="P471" s="80">
        <f t="shared" si="196"/>
        <v>1904</v>
      </c>
      <c r="Q471" s="82">
        <f t="shared" si="194"/>
        <v>2413.5100000000002</v>
      </c>
      <c r="R471" s="82">
        <f t="shared" ref="R471:R473" si="198">Q471-O471</f>
        <v>2413.5100000000002</v>
      </c>
    </row>
    <row r="472" spans="2:18" s="34" customFormat="1" ht="23.4">
      <c r="B472" s="75" t="s">
        <v>920</v>
      </c>
      <c r="C472" s="88" t="s">
        <v>921</v>
      </c>
      <c r="D472" s="89" t="s">
        <v>131</v>
      </c>
      <c r="E472" s="90">
        <v>6</v>
      </c>
      <c r="F472" s="91"/>
      <c r="G472" s="91"/>
      <c r="H472" s="91"/>
      <c r="I472" s="91">
        <f>SUM(G472:H472)+'BM 002'!I472</f>
        <v>0</v>
      </c>
      <c r="J472" s="91">
        <f t="shared" si="190"/>
        <v>6</v>
      </c>
      <c r="K472" s="80">
        <v>7.51</v>
      </c>
      <c r="L472" s="81">
        <f t="shared" si="189"/>
        <v>9.5196768260999995</v>
      </c>
      <c r="M472" s="82">
        <f t="shared" si="197"/>
        <v>0</v>
      </c>
      <c r="N472" s="82">
        <f t="shared" si="192"/>
        <v>0</v>
      </c>
      <c r="O472" s="82">
        <f>N472+'BM 002'!O472</f>
        <v>0</v>
      </c>
      <c r="P472" s="80">
        <f t="shared" si="196"/>
        <v>45.06</v>
      </c>
      <c r="Q472" s="82">
        <f t="shared" si="194"/>
        <v>57.11</v>
      </c>
      <c r="R472" s="82">
        <f t="shared" si="198"/>
        <v>57.11</v>
      </c>
    </row>
    <row r="473" spans="2:18" s="34" customFormat="1" ht="23.4">
      <c r="B473" s="87" t="s">
        <v>922</v>
      </c>
      <c r="C473" s="88" t="s">
        <v>721</v>
      </c>
      <c r="D473" s="89" t="s">
        <v>131</v>
      </c>
      <c r="E473" s="90">
        <v>8</v>
      </c>
      <c r="F473" s="91"/>
      <c r="G473" s="91"/>
      <c r="H473" s="91"/>
      <c r="I473" s="91">
        <f>SUM(G473:H473)+'BM 002'!I473</f>
        <v>0</v>
      </c>
      <c r="J473" s="91">
        <f t="shared" si="190"/>
        <v>8</v>
      </c>
      <c r="K473" s="80">
        <v>10.5</v>
      </c>
      <c r="L473" s="81">
        <f t="shared" si="189"/>
        <v>13.309801155000001</v>
      </c>
      <c r="M473" s="82">
        <f t="shared" si="197"/>
        <v>0</v>
      </c>
      <c r="N473" s="82">
        <f t="shared" si="192"/>
        <v>0</v>
      </c>
      <c r="O473" s="82">
        <f>N473+'BM 002'!O473</f>
        <v>0</v>
      </c>
      <c r="P473" s="80">
        <f t="shared" si="196"/>
        <v>84</v>
      </c>
      <c r="Q473" s="82">
        <f t="shared" si="194"/>
        <v>106.47</v>
      </c>
      <c r="R473" s="82">
        <f t="shared" si="198"/>
        <v>106.47</v>
      </c>
    </row>
    <row r="474" spans="2:18" s="34" customFormat="1" ht="13.2">
      <c r="B474" s="66" t="s">
        <v>923</v>
      </c>
      <c r="C474" s="67" t="s">
        <v>924</v>
      </c>
      <c r="D474" s="68"/>
      <c r="E474" s="69"/>
      <c r="F474" s="70"/>
      <c r="G474" s="70"/>
      <c r="H474" s="70"/>
      <c r="I474" s="70">
        <f>SUM(G474:H474)+'BM 002'!I474</f>
        <v>0</v>
      </c>
      <c r="J474" s="70">
        <f t="shared" si="190"/>
        <v>0</v>
      </c>
      <c r="K474" s="71"/>
      <c r="L474" s="71">
        <f t="shared" si="189"/>
        <v>0</v>
      </c>
      <c r="M474" s="73">
        <f t="shared" ref="M474:R474" si="199">SUM(M475:M480)</f>
        <v>0</v>
      </c>
      <c r="N474" s="73">
        <f t="shared" si="199"/>
        <v>0</v>
      </c>
      <c r="O474" s="73">
        <f t="shared" si="199"/>
        <v>0</v>
      </c>
      <c r="P474" s="73">
        <f t="shared" si="199"/>
        <v>177593</v>
      </c>
      <c r="Q474" s="73">
        <f t="shared" si="199"/>
        <v>225116.89</v>
      </c>
      <c r="R474" s="73">
        <f t="shared" si="199"/>
        <v>225116.89</v>
      </c>
    </row>
    <row r="475" spans="2:18" s="34" customFormat="1" ht="23.4">
      <c r="B475" s="87" t="s">
        <v>925</v>
      </c>
      <c r="C475" s="88" t="s">
        <v>926</v>
      </c>
      <c r="D475" s="89" t="s">
        <v>131</v>
      </c>
      <c r="E475" s="90">
        <v>1</v>
      </c>
      <c r="F475" s="91"/>
      <c r="G475" s="91"/>
      <c r="H475" s="91"/>
      <c r="I475" s="91">
        <f>SUM(G475:H475)+'BM 002'!I475</f>
        <v>0</v>
      </c>
      <c r="J475" s="91">
        <f t="shared" si="190"/>
        <v>1</v>
      </c>
      <c r="K475" s="80">
        <v>40</v>
      </c>
      <c r="L475" s="81">
        <f t="shared" si="189"/>
        <v>50.704004400000002</v>
      </c>
      <c r="M475" s="82">
        <f t="shared" ref="M475:M480" si="200">TRUNC(F475*L475,2)</f>
        <v>0</v>
      </c>
      <c r="N475" s="82">
        <f t="shared" ref="N475:N480" si="201">TRUNC(G475*L475,2)</f>
        <v>0</v>
      </c>
      <c r="O475" s="82">
        <f>N475+'BM 002'!O475</f>
        <v>0</v>
      </c>
      <c r="P475" s="80">
        <f t="shared" ref="P475:P480" si="202">E475*K475</f>
        <v>40</v>
      </c>
      <c r="Q475" s="82">
        <f t="shared" ref="Q475:Q480" si="203">TRUNC(E475*L475,2)</f>
        <v>50.7</v>
      </c>
      <c r="R475" s="82">
        <f t="shared" ref="R475:R480" si="204">Q475-O475</f>
        <v>50.7</v>
      </c>
    </row>
    <row r="476" spans="2:18" s="34" customFormat="1" ht="23.4">
      <c r="B476" s="87" t="s">
        <v>927</v>
      </c>
      <c r="C476" s="88" t="s">
        <v>928</v>
      </c>
      <c r="D476" s="89" t="s">
        <v>131</v>
      </c>
      <c r="E476" s="90">
        <v>69</v>
      </c>
      <c r="F476" s="91"/>
      <c r="G476" s="91"/>
      <c r="H476" s="91"/>
      <c r="I476" s="91">
        <f>SUM(G476:H476)+'BM 002'!I476</f>
        <v>0</v>
      </c>
      <c r="J476" s="91">
        <f t="shared" si="190"/>
        <v>69</v>
      </c>
      <c r="K476" s="80">
        <v>62</v>
      </c>
      <c r="L476" s="81">
        <f t="shared" si="189"/>
        <v>78.591206819999996</v>
      </c>
      <c r="M476" s="82">
        <f t="shared" si="200"/>
        <v>0</v>
      </c>
      <c r="N476" s="82">
        <f t="shared" si="201"/>
        <v>0</v>
      </c>
      <c r="O476" s="82">
        <f>N476+'BM 002'!O476</f>
        <v>0</v>
      </c>
      <c r="P476" s="80">
        <f t="shared" si="202"/>
        <v>4278</v>
      </c>
      <c r="Q476" s="82">
        <f t="shared" si="203"/>
        <v>5422.79</v>
      </c>
      <c r="R476" s="82">
        <f t="shared" si="204"/>
        <v>5422.79</v>
      </c>
    </row>
    <row r="477" spans="2:18" s="34" customFormat="1" ht="34.799999999999997">
      <c r="B477" s="87" t="s">
        <v>929</v>
      </c>
      <c r="C477" s="88" t="s">
        <v>930</v>
      </c>
      <c r="D477" s="89" t="s">
        <v>131</v>
      </c>
      <c r="E477" s="90">
        <v>3</v>
      </c>
      <c r="F477" s="91"/>
      <c r="G477" s="91"/>
      <c r="H477" s="91"/>
      <c r="I477" s="91">
        <f>SUM(G477:H477)+'BM 002'!I477</f>
        <v>0</v>
      </c>
      <c r="J477" s="91">
        <f t="shared" si="190"/>
        <v>3</v>
      </c>
      <c r="K477" s="80">
        <v>25</v>
      </c>
      <c r="L477" s="81">
        <f t="shared" ref="L477:L540" si="205">K477*(1+$T$26)</f>
        <v>31.690002750000001</v>
      </c>
      <c r="M477" s="82">
        <f t="shared" si="200"/>
        <v>0</v>
      </c>
      <c r="N477" s="82">
        <f t="shared" si="201"/>
        <v>0</v>
      </c>
      <c r="O477" s="82">
        <f>N477+'BM 002'!O477</f>
        <v>0</v>
      </c>
      <c r="P477" s="80">
        <f t="shared" si="202"/>
        <v>75</v>
      </c>
      <c r="Q477" s="82">
        <f t="shared" si="203"/>
        <v>95.07</v>
      </c>
      <c r="R477" s="82">
        <f t="shared" si="204"/>
        <v>95.07</v>
      </c>
    </row>
    <row r="478" spans="2:18" s="34" customFormat="1" ht="23.4">
      <c r="B478" s="87" t="s">
        <v>931</v>
      </c>
      <c r="C478" s="88" t="s">
        <v>932</v>
      </c>
      <c r="D478" s="89" t="s">
        <v>131</v>
      </c>
      <c r="E478" s="90">
        <v>2</v>
      </c>
      <c r="F478" s="91"/>
      <c r="G478" s="91"/>
      <c r="H478" s="91"/>
      <c r="I478" s="91">
        <f>SUM(G478:H478)+'BM 002'!I478</f>
        <v>0</v>
      </c>
      <c r="J478" s="91">
        <f t="shared" si="190"/>
        <v>2</v>
      </c>
      <c r="K478" s="80">
        <v>2100</v>
      </c>
      <c r="L478" s="81">
        <f t="shared" si="205"/>
        <v>2661.960231</v>
      </c>
      <c r="M478" s="82">
        <f t="shared" si="200"/>
        <v>0</v>
      </c>
      <c r="N478" s="82">
        <f t="shared" si="201"/>
        <v>0</v>
      </c>
      <c r="O478" s="82">
        <f>N478+'BM 002'!O478</f>
        <v>0</v>
      </c>
      <c r="P478" s="80">
        <f t="shared" si="202"/>
        <v>4200</v>
      </c>
      <c r="Q478" s="82">
        <f t="shared" si="203"/>
        <v>5323.92</v>
      </c>
      <c r="R478" s="82">
        <f t="shared" si="204"/>
        <v>5323.92</v>
      </c>
    </row>
    <row r="479" spans="2:18" s="34" customFormat="1" ht="23.4">
      <c r="B479" s="87" t="s">
        <v>933</v>
      </c>
      <c r="C479" s="88" t="s">
        <v>934</v>
      </c>
      <c r="D479" s="89" t="s">
        <v>131</v>
      </c>
      <c r="E479" s="90">
        <v>6</v>
      </c>
      <c r="F479" s="91"/>
      <c r="G479" s="91"/>
      <c r="H479" s="91"/>
      <c r="I479" s="91">
        <f>SUM(G479:H479)+'BM 002'!I479</f>
        <v>0</v>
      </c>
      <c r="J479" s="91">
        <f t="shared" ref="J479:J542" si="206">E479-I479</f>
        <v>6</v>
      </c>
      <c r="K479" s="80">
        <v>9000</v>
      </c>
      <c r="L479" s="81">
        <f t="shared" si="205"/>
        <v>11408.40099</v>
      </c>
      <c r="M479" s="82">
        <f t="shared" si="200"/>
        <v>0</v>
      </c>
      <c r="N479" s="82">
        <f t="shared" si="201"/>
        <v>0</v>
      </c>
      <c r="O479" s="82">
        <f>N479+'BM 002'!O479</f>
        <v>0</v>
      </c>
      <c r="P479" s="80">
        <f t="shared" si="202"/>
        <v>54000</v>
      </c>
      <c r="Q479" s="82">
        <f t="shared" si="203"/>
        <v>68450.399999999994</v>
      </c>
      <c r="R479" s="82">
        <f t="shared" si="204"/>
        <v>68450.399999999994</v>
      </c>
    </row>
    <row r="480" spans="2:18" s="34" customFormat="1" ht="23.4">
      <c r="B480" s="87" t="s">
        <v>935</v>
      </c>
      <c r="C480" s="88" t="s">
        <v>936</v>
      </c>
      <c r="D480" s="89" t="s">
        <v>131</v>
      </c>
      <c r="E480" s="90">
        <v>1</v>
      </c>
      <c r="F480" s="91"/>
      <c r="G480" s="91"/>
      <c r="H480" s="91"/>
      <c r="I480" s="91">
        <f>SUM(G480:H480)+'BM 002'!I480</f>
        <v>0</v>
      </c>
      <c r="J480" s="91">
        <f t="shared" si="206"/>
        <v>1</v>
      </c>
      <c r="K480" s="80">
        <v>115000</v>
      </c>
      <c r="L480" s="81">
        <f t="shared" si="205"/>
        <v>145774.01265000002</v>
      </c>
      <c r="M480" s="82">
        <f t="shared" si="200"/>
        <v>0</v>
      </c>
      <c r="N480" s="82">
        <f t="shared" si="201"/>
        <v>0</v>
      </c>
      <c r="O480" s="82">
        <f>N480+'BM 002'!O480</f>
        <v>0</v>
      </c>
      <c r="P480" s="80">
        <f t="shared" si="202"/>
        <v>115000</v>
      </c>
      <c r="Q480" s="82">
        <f t="shared" si="203"/>
        <v>145774.01</v>
      </c>
      <c r="R480" s="82">
        <f t="shared" si="204"/>
        <v>145774.01</v>
      </c>
    </row>
    <row r="481" spans="2:18" s="34" customFormat="1" ht="13.2">
      <c r="B481" s="60" t="s">
        <v>937</v>
      </c>
      <c r="C481" s="61" t="s">
        <v>938</v>
      </c>
      <c r="D481" s="60"/>
      <c r="E481" s="62"/>
      <c r="F481" s="63"/>
      <c r="G481" s="63"/>
      <c r="H481" s="63"/>
      <c r="I481" s="63">
        <f>SUM(G481:H481)+'BM 002'!I481</f>
        <v>0</v>
      </c>
      <c r="J481" s="63">
        <f t="shared" si="206"/>
        <v>0</v>
      </c>
      <c r="K481" s="63"/>
      <c r="L481" s="63">
        <f t="shared" si="205"/>
        <v>0</v>
      </c>
      <c r="M481" s="63">
        <f t="shared" ref="M481:R481" si="207">SUM(M482,M487)</f>
        <v>0</v>
      </c>
      <c r="N481" s="63">
        <f t="shared" si="207"/>
        <v>0</v>
      </c>
      <c r="O481" s="63">
        <f t="shared" si="207"/>
        <v>0</v>
      </c>
      <c r="P481" s="63">
        <f t="shared" si="207"/>
        <v>198555.35149999999</v>
      </c>
      <c r="Q481" s="63">
        <f t="shared" si="207"/>
        <v>251688.67</v>
      </c>
      <c r="R481" s="63">
        <f t="shared" si="207"/>
        <v>251688.67</v>
      </c>
    </row>
    <row r="482" spans="2:18" s="34" customFormat="1" ht="13.2">
      <c r="B482" s="66" t="s">
        <v>939</v>
      </c>
      <c r="C482" s="67" t="s">
        <v>940</v>
      </c>
      <c r="D482" s="68"/>
      <c r="E482" s="69"/>
      <c r="F482" s="70"/>
      <c r="G482" s="70"/>
      <c r="H482" s="70"/>
      <c r="I482" s="70">
        <f>SUM(G482:H482)+'BM 002'!I482</f>
        <v>0</v>
      </c>
      <c r="J482" s="70">
        <f t="shared" si="206"/>
        <v>0</v>
      </c>
      <c r="K482" s="71"/>
      <c r="L482" s="71">
        <f t="shared" si="205"/>
        <v>0</v>
      </c>
      <c r="M482" s="73">
        <f t="shared" ref="M482:R482" si="208">SUM(M483:M486)</f>
        <v>0</v>
      </c>
      <c r="N482" s="73">
        <f t="shared" si="208"/>
        <v>0</v>
      </c>
      <c r="O482" s="73">
        <f t="shared" si="208"/>
        <v>0</v>
      </c>
      <c r="P482" s="73">
        <f t="shared" si="208"/>
        <v>157288.71</v>
      </c>
      <c r="Q482" s="73">
        <f t="shared" si="208"/>
        <v>199379.17</v>
      </c>
      <c r="R482" s="73">
        <f t="shared" si="208"/>
        <v>199379.17</v>
      </c>
    </row>
    <row r="483" spans="2:18" s="34" customFormat="1" ht="34.799999999999997">
      <c r="B483" s="75" t="s">
        <v>941</v>
      </c>
      <c r="C483" s="76" t="s">
        <v>942</v>
      </c>
      <c r="D483" s="77" t="s">
        <v>82</v>
      </c>
      <c r="E483" s="93">
        <v>546.20000000000005</v>
      </c>
      <c r="F483" s="79"/>
      <c r="G483" s="79"/>
      <c r="H483" s="79"/>
      <c r="I483" s="79">
        <f>SUM(G483:H483)+'BM 002'!I483</f>
        <v>0</v>
      </c>
      <c r="J483" s="79">
        <f t="shared" si="206"/>
        <v>546.20000000000005</v>
      </c>
      <c r="K483" s="84">
        <v>71.55</v>
      </c>
      <c r="L483" s="81">
        <f t="shared" si="205"/>
        <v>90.696787870500003</v>
      </c>
      <c r="M483" s="82">
        <f>TRUNC(F483*L483,2)</f>
        <v>0</v>
      </c>
      <c r="N483" s="82">
        <f>TRUNC(G483*L483,2)</f>
        <v>0</v>
      </c>
      <c r="O483" s="82">
        <f>N483+'BM 002'!O483</f>
        <v>0</v>
      </c>
      <c r="P483" s="80">
        <f>E483*K483</f>
        <v>39080.61</v>
      </c>
      <c r="Q483" s="82">
        <f>TRUNC(E483*L483,2)</f>
        <v>49538.58</v>
      </c>
      <c r="R483" s="82">
        <f>Q483-O483</f>
        <v>49538.58</v>
      </c>
    </row>
    <row r="484" spans="2:18" s="34" customFormat="1" ht="34.799999999999997">
      <c r="B484" s="75" t="s">
        <v>943</v>
      </c>
      <c r="C484" s="76" t="s">
        <v>944</v>
      </c>
      <c r="D484" s="77" t="s">
        <v>124</v>
      </c>
      <c r="E484" s="93">
        <v>314</v>
      </c>
      <c r="F484" s="79"/>
      <c r="G484" s="79"/>
      <c r="H484" s="79"/>
      <c r="I484" s="79">
        <f>SUM(G484:H484)+'BM 002'!I484</f>
        <v>0</v>
      </c>
      <c r="J484" s="79">
        <f t="shared" si="206"/>
        <v>314</v>
      </c>
      <c r="K484" s="84">
        <v>120.15</v>
      </c>
      <c r="L484" s="81">
        <f t="shared" si="205"/>
        <v>152.30215321650002</v>
      </c>
      <c r="M484" s="82">
        <f>TRUNC(F484*L484,2)</f>
        <v>0</v>
      </c>
      <c r="N484" s="82">
        <f>TRUNC(G484*L484,2)</f>
        <v>0</v>
      </c>
      <c r="O484" s="82">
        <f>N484+'BM 002'!O484</f>
        <v>0</v>
      </c>
      <c r="P484" s="80">
        <f>E484*K484</f>
        <v>37727.1</v>
      </c>
      <c r="Q484" s="82">
        <f>TRUNC(E484*L484,2)</f>
        <v>47822.87</v>
      </c>
      <c r="R484" s="82">
        <f>Q484-O484</f>
        <v>47822.87</v>
      </c>
    </row>
    <row r="485" spans="2:18" s="34" customFormat="1" ht="34.799999999999997">
      <c r="B485" s="75" t="s">
        <v>945</v>
      </c>
      <c r="C485" s="76" t="s">
        <v>946</v>
      </c>
      <c r="D485" s="77" t="s">
        <v>82</v>
      </c>
      <c r="E485" s="78">
        <v>36.700000000000003</v>
      </c>
      <c r="F485" s="79"/>
      <c r="G485" s="79"/>
      <c r="H485" s="79"/>
      <c r="I485" s="79">
        <f>SUM(G485:H485)+'BM 002'!I485</f>
        <v>0</v>
      </c>
      <c r="J485" s="79">
        <f t="shared" si="206"/>
        <v>36.700000000000003</v>
      </c>
      <c r="K485" s="84">
        <v>149.85</v>
      </c>
      <c r="L485" s="81">
        <f t="shared" si="205"/>
        <v>189.94987648349999</v>
      </c>
      <c r="M485" s="82">
        <f>TRUNC(F485*L485,2)</f>
        <v>0</v>
      </c>
      <c r="N485" s="82">
        <f>TRUNC(G485*L485,2)</f>
        <v>0</v>
      </c>
      <c r="O485" s="82">
        <f>N485+'BM 002'!O485</f>
        <v>0</v>
      </c>
      <c r="P485" s="80">
        <f>E485*K485</f>
        <v>5499.4949999999999</v>
      </c>
      <c r="Q485" s="82">
        <f>TRUNC(E485*L485,2)</f>
        <v>6971.16</v>
      </c>
      <c r="R485" s="82">
        <f>Q485-O485</f>
        <v>6971.16</v>
      </c>
    </row>
    <row r="486" spans="2:18" s="34" customFormat="1" ht="34.799999999999997">
      <c r="B486" s="75" t="s">
        <v>947</v>
      </c>
      <c r="C486" s="76" t="s">
        <v>948</v>
      </c>
      <c r="D486" s="77" t="s">
        <v>82</v>
      </c>
      <c r="E486" s="93">
        <v>180.5</v>
      </c>
      <c r="F486" s="79"/>
      <c r="G486" s="79"/>
      <c r="H486" s="79"/>
      <c r="I486" s="79">
        <f>SUM(G486:H486)+'BM 002'!I486</f>
        <v>0</v>
      </c>
      <c r="J486" s="79">
        <f t="shared" si="206"/>
        <v>180.5</v>
      </c>
      <c r="K486" s="84">
        <v>415.41</v>
      </c>
      <c r="L486" s="81">
        <f t="shared" si="205"/>
        <v>526.57376169510007</v>
      </c>
      <c r="M486" s="82">
        <f>TRUNC(F486*L486,2)</f>
        <v>0</v>
      </c>
      <c r="N486" s="82">
        <f>TRUNC(G486*L486,2)</f>
        <v>0</v>
      </c>
      <c r="O486" s="82">
        <f>N486+'BM 002'!O486</f>
        <v>0</v>
      </c>
      <c r="P486" s="80">
        <f>E486*K486</f>
        <v>74981.505000000005</v>
      </c>
      <c r="Q486" s="82">
        <f>TRUNC(E486*L486,2)</f>
        <v>95046.56</v>
      </c>
      <c r="R486" s="82">
        <f>Q486-O486</f>
        <v>95046.56</v>
      </c>
    </row>
    <row r="487" spans="2:18" s="34" customFormat="1" ht="13.2">
      <c r="B487" s="66" t="s">
        <v>949</v>
      </c>
      <c r="C487" s="67" t="s">
        <v>950</v>
      </c>
      <c r="D487" s="68"/>
      <c r="E487" s="69"/>
      <c r="F487" s="70"/>
      <c r="G487" s="70"/>
      <c r="H487" s="70"/>
      <c r="I487" s="70">
        <f>SUM(G487:H487)+'BM 002'!I487</f>
        <v>0</v>
      </c>
      <c r="J487" s="70">
        <f t="shared" si="206"/>
        <v>0</v>
      </c>
      <c r="K487" s="71"/>
      <c r="L487" s="71">
        <f t="shared" si="205"/>
        <v>0</v>
      </c>
      <c r="M487" s="73">
        <f t="shared" ref="M487:R487" si="209">SUM(M488:M506)</f>
        <v>0</v>
      </c>
      <c r="N487" s="73">
        <f t="shared" si="209"/>
        <v>0</v>
      </c>
      <c r="O487" s="73">
        <f t="shared" si="209"/>
        <v>0</v>
      </c>
      <c r="P487" s="73">
        <f t="shared" si="209"/>
        <v>41266.641499999998</v>
      </c>
      <c r="Q487" s="73">
        <f t="shared" si="209"/>
        <v>52309.5</v>
      </c>
      <c r="R487" s="73">
        <f t="shared" si="209"/>
        <v>52309.5</v>
      </c>
    </row>
    <row r="488" spans="2:18" s="34" customFormat="1" ht="34.799999999999997">
      <c r="B488" s="75" t="s">
        <v>951</v>
      </c>
      <c r="C488" s="76" t="s">
        <v>952</v>
      </c>
      <c r="D488" s="77" t="s">
        <v>131</v>
      </c>
      <c r="E488" s="78">
        <v>362</v>
      </c>
      <c r="F488" s="79"/>
      <c r="G488" s="79"/>
      <c r="H488" s="79"/>
      <c r="I488" s="79">
        <f>SUM(G488:H488)+'BM 002'!I488</f>
        <v>0</v>
      </c>
      <c r="J488" s="79">
        <f t="shared" si="206"/>
        <v>362</v>
      </c>
      <c r="K488" s="84">
        <v>5.6295000000000002</v>
      </c>
      <c r="L488" s="81">
        <f t="shared" si="205"/>
        <v>7.1359548192450006</v>
      </c>
      <c r="M488" s="82">
        <f t="shared" ref="M488:M506" si="210">TRUNC(F488*L488,2)</f>
        <v>0</v>
      </c>
      <c r="N488" s="82">
        <f t="shared" ref="N488:N506" si="211">TRUNC(G488*L488,2)</f>
        <v>0</v>
      </c>
      <c r="O488" s="82">
        <f>N488+'BM 002'!O488</f>
        <v>0</v>
      </c>
      <c r="P488" s="80">
        <f t="shared" ref="P488:P506" si="212">E488*K488</f>
        <v>2037.8790000000001</v>
      </c>
      <c r="Q488" s="82">
        <f t="shared" ref="Q488:Q506" si="213">TRUNC(E488*L488,2)</f>
        <v>2583.21</v>
      </c>
      <c r="R488" s="82">
        <f t="shared" ref="R488:R506" si="214">Q488-O488</f>
        <v>2583.21</v>
      </c>
    </row>
    <row r="489" spans="2:18" s="34" customFormat="1" ht="34.799999999999997">
      <c r="B489" s="75" t="s">
        <v>953</v>
      </c>
      <c r="C489" s="76" t="s">
        <v>954</v>
      </c>
      <c r="D489" s="77" t="s">
        <v>131</v>
      </c>
      <c r="E489" s="78">
        <v>41</v>
      </c>
      <c r="F489" s="79"/>
      <c r="G489" s="79"/>
      <c r="H489" s="79"/>
      <c r="I489" s="79">
        <f>SUM(G489:H489)+'BM 002'!I489</f>
        <v>0</v>
      </c>
      <c r="J489" s="79">
        <f t="shared" si="206"/>
        <v>41</v>
      </c>
      <c r="K489" s="84">
        <v>12.771000000000001</v>
      </c>
      <c r="L489" s="81">
        <f t="shared" si="205"/>
        <v>16.188521004810003</v>
      </c>
      <c r="M489" s="82">
        <f t="shared" si="210"/>
        <v>0</v>
      </c>
      <c r="N489" s="82">
        <f t="shared" si="211"/>
        <v>0</v>
      </c>
      <c r="O489" s="82">
        <f>N489+'BM 002'!O489</f>
        <v>0</v>
      </c>
      <c r="P489" s="80">
        <f t="shared" si="212"/>
        <v>523.61099999999999</v>
      </c>
      <c r="Q489" s="82">
        <f t="shared" si="213"/>
        <v>663.72</v>
      </c>
      <c r="R489" s="82">
        <f t="shared" si="214"/>
        <v>663.72</v>
      </c>
    </row>
    <row r="490" spans="2:18" s="34" customFormat="1" ht="34.799999999999997">
      <c r="B490" s="75" t="s">
        <v>955</v>
      </c>
      <c r="C490" s="76" t="s">
        <v>956</v>
      </c>
      <c r="D490" s="77" t="s">
        <v>131</v>
      </c>
      <c r="E490" s="78">
        <v>4</v>
      </c>
      <c r="F490" s="79"/>
      <c r="G490" s="79"/>
      <c r="H490" s="79"/>
      <c r="I490" s="79">
        <f>SUM(G490:H490)+'BM 002'!I490</f>
        <v>0</v>
      </c>
      <c r="J490" s="79">
        <f t="shared" si="206"/>
        <v>4</v>
      </c>
      <c r="K490" s="84">
        <v>20.358000000000001</v>
      </c>
      <c r="L490" s="81">
        <f t="shared" si="205"/>
        <v>25.805803039380002</v>
      </c>
      <c r="M490" s="82">
        <f t="shared" si="210"/>
        <v>0</v>
      </c>
      <c r="N490" s="82">
        <f t="shared" si="211"/>
        <v>0</v>
      </c>
      <c r="O490" s="82">
        <f>N490+'BM 002'!O490</f>
        <v>0</v>
      </c>
      <c r="P490" s="80">
        <f t="shared" si="212"/>
        <v>81.432000000000002</v>
      </c>
      <c r="Q490" s="82">
        <f t="shared" si="213"/>
        <v>103.22</v>
      </c>
      <c r="R490" s="82">
        <f t="shared" si="214"/>
        <v>103.22</v>
      </c>
    </row>
    <row r="491" spans="2:18" s="34" customFormat="1" ht="34.799999999999997">
      <c r="B491" s="75" t="s">
        <v>957</v>
      </c>
      <c r="C491" s="76" t="s">
        <v>958</v>
      </c>
      <c r="D491" s="77" t="s">
        <v>131</v>
      </c>
      <c r="E491" s="78">
        <v>12</v>
      </c>
      <c r="F491" s="79"/>
      <c r="G491" s="79"/>
      <c r="H491" s="79"/>
      <c r="I491" s="79">
        <f>SUM(G491:H491)+'BM 002'!I491</f>
        <v>0</v>
      </c>
      <c r="J491" s="79">
        <f t="shared" si="206"/>
        <v>12</v>
      </c>
      <c r="K491" s="84">
        <v>68.418000000000006</v>
      </c>
      <c r="L491" s="81">
        <f t="shared" si="205"/>
        <v>86.726664325980011</v>
      </c>
      <c r="M491" s="82">
        <f t="shared" si="210"/>
        <v>0</v>
      </c>
      <c r="N491" s="82">
        <f t="shared" si="211"/>
        <v>0</v>
      </c>
      <c r="O491" s="82">
        <f>N491+'BM 002'!O491</f>
        <v>0</v>
      </c>
      <c r="P491" s="80">
        <f t="shared" si="212"/>
        <v>821.01600000000008</v>
      </c>
      <c r="Q491" s="82">
        <f t="shared" si="213"/>
        <v>1040.71</v>
      </c>
      <c r="R491" s="82">
        <f t="shared" si="214"/>
        <v>1040.71</v>
      </c>
    </row>
    <row r="492" spans="2:18" s="34" customFormat="1" ht="34.799999999999997">
      <c r="B492" s="75" t="s">
        <v>959</v>
      </c>
      <c r="C492" s="76" t="s">
        <v>960</v>
      </c>
      <c r="D492" s="77" t="s">
        <v>131</v>
      </c>
      <c r="E492" s="78">
        <v>106</v>
      </c>
      <c r="F492" s="79"/>
      <c r="G492" s="79"/>
      <c r="H492" s="79"/>
      <c r="I492" s="79">
        <f>SUM(G492:H492)+'BM 002'!I492</f>
        <v>0</v>
      </c>
      <c r="J492" s="79">
        <f t="shared" si="206"/>
        <v>106</v>
      </c>
      <c r="K492" s="84">
        <v>20.52</v>
      </c>
      <c r="L492" s="81">
        <f t="shared" si="205"/>
        <v>26.011154257200001</v>
      </c>
      <c r="M492" s="82">
        <f t="shared" si="210"/>
        <v>0</v>
      </c>
      <c r="N492" s="82">
        <f t="shared" si="211"/>
        <v>0</v>
      </c>
      <c r="O492" s="82">
        <f>N492+'BM 002'!O492</f>
        <v>0</v>
      </c>
      <c r="P492" s="80">
        <f t="shared" si="212"/>
        <v>2175.12</v>
      </c>
      <c r="Q492" s="82">
        <f t="shared" si="213"/>
        <v>2757.18</v>
      </c>
      <c r="R492" s="82">
        <f t="shared" si="214"/>
        <v>2757.18</v>
      </c>
    </row>
    <row r="493" spans="2:18" s="34" customFormat="1" ht="34.799999999999997">
      <c r="B493" s="75" t="s">
        <v>961</v>
      </c>
      <c r="C493" s="76" t="s">
        <v>962</v>
      </c>
      <c r="D493" s="77" t="s">
        <v>131</v>
      </c>
      <c r="E493" s="78">
        <v>14</v>
      </c>
      <c r="F493" s="79"/>
      <c r="G493" s="79"/>
      <c r="H493" s="79"/>
      <c r="I493" s="79">
        <f>SUM(G493:H493)+'BM 002'!I493</f>
        <v>0</v>
      </c>
      <c r="J493" s="79">
        <f t="shared" si="206"/>
        <v>14</v>
      </c>
      <c r="K493" s="84">
        <v>11.4885</v>
      </c>
      <c r="L493" s="81">
        <f t="shared" si="205"/>
        <v>14.562823863735002</v>
      </c>
      <c r="M493" s="82">
        <f t="shared" si="210"/>
        <v>0</v>
      </c>
      <c r="N493" s="82">
        <f t="shared" si="211"/>
        <v>0</v>
      </c>
      <c r="O493" s="82">
        <f>N493+'BM 002'!O493</f>
        <v>0</v>
      </c>
      <c r="P493" s="80">
        <f t="shared" si="212"/>
        <v>160.839</v>
      </c>
      <c r="Q493" s="82">
        <f t="shared" si="213"/>
        <v>203.87</v>
      </c>
      <c r="R493" s="82">
        <f t="shared" si="214"/>
        <v>203.87</v>
      </c>
    </row>
    <row r="494" spans="2:18" s="34" customFormat="1" ht="34.799999999999997">
      <c r="B494" s="75" t="s">
        <v>963</v>
      </c>
      <c r="C494" s="76" t="s">
        <v>964</v>
      </c>
      <c r="D494" s="77" t="s">
        <v>131</v>
      </c>
      <c r="E494" s="78">
        <v>6</v>
      </c>
      <c r="F494" s="79"/>
      <c r="G494" s="79"/>
      <c r="H494" s="79"/>
      <c r="I494" s="79">
        <f>SUM(G494:H494)+'BM 002'!I494</f>
        <v>0</v>
      </c>
      <c r="J494" s="79">
        <f t="shared" si="206"/>
        <v>6</v>
      </c>
      <c r="K494" s="84">
        <v>13.432499999999999</v>
      </c>
      <c r="L494" s="81">
        <f t="shared" si="205"/>
        <v>17.027038477575001</v>
      </c>
      <c r="M494" s="82">
        <f t="shared" si="210"/>
        <v>0</v>
      </c>
      <c r="N494" s="82">
        <f t="shared" si="211"/>
        <v>0</v>
      </c>
      <c r="O494" s="82">
        <f>N494+'BM 002'!O494</f>
        <v>0</v>
      </c>
      <c r="P494" s="80">
        <f t="shared" si="212"/>
        <v>80.594999999999999</v>
      </c>
      <c r="Q494" s="82">
        <f t="shared" si="213"/>
        <v>102.16</v>
      </c>
      <c r="R494" s="82">
        <f t="shared" si="214"/>
        <v>102.16</v>
      </c>
    </row>
    <row r="495" spans="2:18" s="34" customFormat="1" ht="23.4">
      <c r="B495" s="75" t="s">
        <v>965</v>
      </c>
      <c r="C495" s="76" t="s">
        <v>966</v>
      </c>
      <c r="D495" s="77" t="s">
        <v>131</v>
      </c>
      <c r="E495" s="78">
        <v>3</v>
      </c>
      <c r="F495" s="79"/>
      <c r="G495" s="79"/>
      <c r="H495" s="79"/>
      <c r="I495" s="79">
        <f>SUM(G495:H495)+'BM 002'!I495</f>
        <v>0</v>
      </c>
      <c r="J495" s="79">
        <f t="shared" si="206"/>
        <v>3</v>
      </c>
      <c r="K495" s="84">
        <v>42.214500000000001</v>
      </c>
      <c r="L495" s="81">
        <f t="shared" si="205"/>
        <v>53.511104843595007</v>
      </c>
      <c r="M495" s="82">
        <f t="shared" si="210"/>
        <v>0</v>
      </c>
      <c r="N495" s="82">
        <f t="shared" si="211"/>
        <v>0</v>
      </c>
      <c r="O495" s="82">
        <f>N495+'BM 002'!O495</f>
        <v>0</v>
      </c>
      <c r="P495" s="80">
        <f t="shared" si="212"/>
        <v>126.6435</v>
      </c>
      <c r="Q495" s="82">
        <f t="shared" si="213"/>
        <v>160.53</v>
      </c>
      <c r="R495" s="82">
        <f t="shared" si="214"/>
        <v>160.53</v>
      </c>
    </row>
    <row r="496" spans="2:18" s="34" customFormat="1" ht="34.799999999999997">
      <c r="B496" s="75" t="s">
        <v>967</v>
      </c>
      <c r="C496" s="76" t="s">
        <v>968</v>
      </c>
      <c r="D496" s="77" t="s">
        <v>131</v>
      </c>
      <c r="E496" s="78">
        <v>51</v>
      </c>
      <c r="F496" s="79"/>
      <c r="G496" s="79"/>
      <c r="H496" s="79"/>
      <c r="I496" s="79">
        <f>SUM(G496:H496)+'BM 002'!I496</f>
        <v>0</v>
      </c>
      <c r="J496" s="79">
        <f t="shared" si="206"/>
        <v>51</v>
      </c>
      <c r="K496" s="84">
        <v>15.1335</v>
      </c>
      <c r="L496" s="81">
        <f t="shared" si="205"/>
        <v>19.183226264685</v>
      </c>
      <c r="M496" s="82">
        <f t="shared" si="210"/>
        <v>0</v>
      </c>
      <c r="N496" s="82">
        <f t="shared" si="211"/>
        <v>0</v>
      </c>
      <c r="O496" s="82">
        <f>N496+'BM 002'!O496</f>
        <v>0</v>
      </c>
      <c r="P496" s="80">
        <f t="shared" si="212"/>
        <v>771.80849999999998</v>
      </c>
      <c r="Q496" s="82">
        <f t="shared" si="213"/>
        <v>978.34</v>
      </c>
      <c r="R496" s="82">
        <f t="shared" si="214"/>
        <v>978.34</v>
      </c>
    </row>
    <row r="497" spans="2:18" s="34" customFormat="1" ht="34.799999999999997">
      <c r="B497" s="75" t="s">
        <v>969</v>
      </c>
      <c r="C497" s="76" t="s">
        <v>970</v>
      </c>
      <c r="D497" s="77" t="s">
        <v>131</v>
      </c>
      <c r="E497" s="78">
        <v>8</v>
      </c>
      <c r="F497" s="79"/>
      <c r="G497" s="79"/>
      <c r="H497" s="79"/>
      <c r="I497" s="79">
        <f>SUM(G497:H497)+'BM 002'!I497</f>
        <v>0</v>
      </c>
      <c r="J497" s="79">
        <f t="shared" si="206"/>
        <v>8</v>
      </c>
      <c r="K497" s="84">
        <v>23.638500000000001</v>
      </c>
      <c r="L497" s="81">
        <f t="shared" si="205"/>
        <v>29.964165200235001</v>
      </c>
      <c r="M497" s="82">
        <f t="shared" si="210"/>
        <v>0</v>
      </c>
      <c r="N497" s="82">
        <f t="shared" si="211"/>
        <v>0</v>
      </c>
      <c r="O497" s="82">
        <f>N497+'BM 002'!O497</f>
        <v>0</v>
      </c>
      <c r="P497" s="80">
        <f t="shared" si="212"/>
        <v>189.108</v>
      </c>
      <c r="Q497" s="82">
        <f t="shared" si="213"/>
        <v>239.71</v>
      </c>
      <c r="R497" s="82">
        <f t="shared" si="214"/>
        <v>239.71</v>
      </c>
    </row>
    <row r="498" spans="2:18" s="34" customFormat="1" ht="34.799999999999997">
      <c r="B498" s="75" t="s">
        <v>971</v>
      </c>
      <c r="C498" s="76" t="s">
        <v>972</v>
      </c>
      <c r="D498" s="77" t="s">
        <v>131</v>
      </c>
      <c r="E498" s="78">
        <v>3</v>
      </c>
      <c r="F498" s="79"/>
      <c r="G498" s="79"/>
      <c r="H498" s="79"/>
      <c r="I498" s="79">
        <f>SUM(G498:H498)+'BM 002'!I498</f>
        <v>0</v>
      </c>
      <c r="J498" s="79">
        <f t="shared" si="206"/>
        <v>3</v>
      </c>
      <c r="K498" s="84">
        <v>32.656500000000001</v>
      </c>
      <c r="L498" s="81">
        <f t="shared" si="205"/>
        <v>41.395382992215005</v>
      </c>
      <c r="M498" s="82">
        <f t="shared" si="210"/>
        <v>0</v>
      </c>
      <c r="N498" s="82">
        <f t="shared" si="211"/>
        <v>0</v>
      </c>
      <c r="O498" s="82">
        <f>N498+'BM 002'!O498</f>
        <v>0</v>
      </c>
      <c r="P498" s="80">
        <f t="shared" si="212"/>
        <v>97.969500000000011</v>
      </c>
      <c r="Q498" s="82">
        <f t="shared" si="213"/>
        <v>124.18</v>
      </c>
      <c r="R498" s="82">
        <f t="shared" si="214"/>
        <v>124.18</v>
      </c>
    </row>
    <row r="499" spans="2:18" s="34" customFormat="1" ht="23.4">
      <c r="B499" s="75" t="s">
        <v>973</v>
      </c>
      <c r="C499" s="76" t="s">
        <v>974</v>
      </c>
      <c r="D499" s="77" t="s">
        <v>131</v>
      </c>
      <c r="E499" s="78">
        <v>14</v>
      </c>
      <c r="F499" s="79"/>
      <c r="G499" s="79"/>
      <c r="H499" s="79"/>
      <c r="I499" s="79">
        <f>SUM(G499:H499)+'BM 002'!I499</f>
        <v>0</v>
      </c>
      <c r="J499" s="79">
        <f t="shared" si="206"/>
        <v>14</v>
      </c>
      <c r="K499" s="84">
        <v>24.003</v>
      </c>
      <c r="L499" s="81">
        <f t="shared" si="205"/>
        <v>30.426205440330001</v>
      </c>
      <c r="M499" s="82">
        <f t="shared" si="210"/>
        <v>0</v>
      </c>
      <c r="N499" s="82">
        <f t="shared" si="211"/>
        <v>0</v>
      </c>
      <c r="O499" s="82">
        <f>N499+'BM 002'!O499</f>
        <v>0</v>
      </c>
      <c r="P499" s="80">
        <f t="shared" si="212"/>
        <v>336.04200000000003</v>
      </c>
      <c r="Q499" s="82">
        <f t="shared" si="213"/>
        <v>425.96</v>
      </c>
      <c r="R499" s="82">
        <f t="shared" si="214"/>
        <v>425.96</v>
      </c>
    </row>
    <row r="500" spans="2:18" s="34" customFormat="1" ht="13.2">
      <c r="B500" s="75" t="s">
        <v>975</v>
      </c>
      <c r="C500" s="76" t="s">
        <v>976</v>
      </c>
      <c r="D500" s="77" t="s">
        <v>131</v>
      </c>
      <c r="E500" s="78">
        <v>47</v>
      </c>
      <c r="F500" s="79"/>
      <c r="G500" s="79"/>
      <c r="H500" s="79"/>
      <c r="I500" s="79">
        <f>SUM(G500:H500)+'BM 002'!I500</f>
        <v>0</v>
      </c>
      <c r="J500" s="79">
        <f t="shared" si="206"/>
        <v>47</v>
      </c>
      <c r="K500" s="84">
        <v>54.7425</v>
      </c>
      <c r="L500" s="81">
        <f t="shared" si="205"/>
        <v>69.391599021675006</v>
      </c>
      <c r="M500" s="82">
        <f t="shared" si="210"/>
        <v>0</v>
      </c>
      <c r="N500" s="82">
        <f t="shared" si="211"/>
        <v>0</v>
      </c>
      <c r="O500" s="82">
        <f>N500+'BM 002'!O500</f>
        <v>0</v>
      </c>
      <c r="P500" s="80">
        <f t="shared" si="212"/>
        <v>2572.8975</v>
      </c>
      <c r="Q500" s="82">
        <f t="shared" si="213"/>
        <v>3261.4</v>
      </c>
      <c r="R500" s="82">
        <f t="shared" si="214"/>
        <v>3261.4</v>
      </c>
    </row>
    <row r="501" spans="2:18" s="34" customFormat="1" ht="13.2">
      <c r="B501" s="75" t="s">
        <v>977</v>
      </c>
      <c r="C501" s="76" t="s">
        <v>978</v>
      </c>
      <c r="D501" s="77" t="s">
        <v>131</v>
      </c>
      <c r="E501" s="78">
        <v>3</v>
      </c>
      <c r="F501" s="79"/>
      <c r="G501" s="79"/>
      <c r="H501" s="79"/>
      <c r="I501" s="79">
        <f>SUM(G501:H501)+'BM 002'!I501</f>
        <v>0</v>
      </c>
      <c r="J501" s="79">
        <f t="shared" si="206"/>
        <v>3</v>
      </c>
      <c r="K501" s="84">
        <v>79.393500000000003</v>
      </c>
      <c r="L501" s="81">
        <f t="shared" si="205"/>
        <v>100.63920933328501</v>
      </c>
      <c r="M501" s="82">
        <f t="shared" si="210"/>
        <v>0</v>
      </c>
      <c r="N501" s="82">
        <f t="shared" si="211"/>
        <v>0</v>
      </c>
      <c r="O501" s="82">
        <f>N501+'BM 002'!O501</f>
        <v>0</v>
      </c>
      <c r="P501" s="80">
        <f t="shared" si="212"/>
        <v>238.18049999999999</v>
      </c>
      <c r="Q501" s="82">
        <f t="shared" si="213"/>
        <v>301.91000000000003</v>
      </c>
      <c r="R501" s="82">
        <f t="shared" si="214"/>
        <v>301.91000000000003</v>
      </c>
    </row>
    <row r="502" spans="2:18" s="34" customFormat="1" ht="34.799999999999997">
      <c r="B502" s="75" t="s">
        <v>979</v>
      </c>
      <c r="C502" s="76" t="s">
        <v>980</v>
      </c>
      <c r="D502" s="77" t="s">
        <v>131</v>
      </c>
      <c r="E502" s="78">
        <v>3</v>
      </c>
      <c r="F502" s="79"/>
      <c r="G502" s="79"/>
      <c r="H502" s="79"/>
      <c r="I502" s="79">
        <f>SUM(G502:H502)+'BM 002'!I502</f>
        <v>0</v>
      </c>
      <c r="J502" s="79">
        <f t="shared" si="206"/>
        <v>3</v>
      </c>
      <c r="K502" s="84">
        <v>634.5</v>
      </c>
      <c r="L502" s="81">
        <f t="shared" si="205"/>
        <v>804.29226979500004</v>
      </c>
      <c r="M502" s="82">
        <f t="shared" si="210"/>
        <v>0</v>
      </c>
      <c r="N502" s="82">
        <f t="shared" si="211"/>
        <v>0</v>
      </c>
      <c r="O502" s="82">
        <f>N502+'BM 002'!O502</f>
        <v>0</v>
      </c>
      <c r="P502" s="80">
        <f t="shared" si="212"/>
        <v>1903.5</v>
      </c>
      <c r="Q502" s="82">
        <f t="shared" si="213"/>
        <v>2412.87</v>
      </c>
      <c r="R502" s="82">
        <f t="shared" si="214"/>
        <v>2412.87</v>
      </c>
    </row>
    <row r="503" spans="2:18" s="34" customFormat="1" ht="13.2">
      <c r="B503" s="75" t="s">
        <v>981</v>
      </c>
      <c r="C503" s="76" t="s">
        <v>982</v>
      </c>
      <c r="D503" s="77" t="s">
        <v>131</v>
      </c>
      <c r="E503" s="78">
        <v>6</v>
      </c>
      <c r="F503" s="79"/>
      <c r="G503" s="79"/>
      <c r="H503" s="79"/>
      <c r="I503" s="79">
        <f>SUM(G503:H503)+'BM 002'!I503</f>
        <v>0</v>
      </c>
      <c r="J503" s="79">
        <f t="shared" si="206"/>
        <v>6</v>
      </c>
      <c r="K503" s="84">
        <v>985</v>
      </c>
      <c r="L503" s="81">
        <f t="shared" si="205"/>
        <v>1248.5861083500001</v>
      </c>
      <c r="M503" s="82">
        <f t="shared" si="210"/>
        <v>0</v>
      </c>
      <c r="N503" s="82">
        <f t="shared" si="211"/>
        <v>0</v>
      </c>
      <c r="O503" s="82">
        <f>N503+'BM 002'!O503</f>
        <v>0</v>
      </c>
      <c r="P503" s="80">
        <f t="shared" si="212"/>
        <v>5910</v>
      </c>
      <c r="Q503" s="82">
        <f t="shared" si="213"/>
        <v>7491.51</v>
      </c>
      <c r="R503" s="82">
        <f t="shared" si="214"/>
        <v>7491.51</v>
      </c>
    </row>
    <row r="504" spans="2:18" s="34" customFormat="1" ht="13.2">
      <c r="B504" s="75" t="s">
        <v>983</v>
      </c>
      <c r="C504" s="76" t="s">
        <v>984</v>
      </c>
      <c r="D504" s="77" t="s">
        <v>131</v>
      </c>
      <c r="E504" s="78">
        <v>6</v>
      </c>
      <c r="F504" s="79"/>
      <c r="G504" s="79"/>
      <c r="H504" s="79"/>
      <c r="I504" s="79">
        <f>SUM(G504:H504)+'BM 002'!I504</f>
        <v>0</v>
      </c>
      <c r="J504" s="79">
        <f t="shared" si="206"/>
        <v>6</v>
      </c>
      <c r="K504" s="84">
        <v>895</v>
      </c>
      <c r="L504" s="81">
        <f t="shared" si="205"/>
        <v>1134.5020984499999</v>
      </c>
      <c r="M504" s="82">
        <f t="shared" si="210"/>
        <v>0</v>
      </c>
      <c r="N504" s="82">
        <f t="shared" si="211"/>
        <v>0</v>
      </c>
      <c r="O504" s="82">
        <f>N504+'BM 002'!O504</f>
        <v>0</v>
      </c>
      <c r="P504" s="80">
        <f t="shared" si="212"/>
        <v>5370</v>
      </c>
      <c r="Q504" s="82">
        <f t="shared" si="213"/>
        <v>6807.01</v>
      </c>
      <c r="R504" s="82">
        <f t="shared" si="214"/>
        <v>6807.01</v>
      </c>
    </row>
    <row r="505" spans="2:18" s="34" customFormat="1" ht="23.4">
      <c r="B505" s="75" t="s">
        <v>985</v>
      </c>
      <c r="C505" s="76" t="s">
        <v>986</v>
      </c>
      <c r="D505" s="77" t="s">
        <v>131</v>
      </c>
      <c r="E505" s="78">
        <v>6</v>
      </c>
      <c r="F505" s="79"/>
      <c r="G505" s="79"/>
      <c r="H505" s="79"/>
      <c r="I505" s="79">
        <f>SUM(G505:H505)+'BM 002'!I505</f>
        <v>0</v>
      </c>
      <c r="J505" s="79">
        <f t="shared" si="206"/>
        <v>6</v>
      </c>
      <c r="K505" s="84">
        <v>895</v>
      </c>
      <c r="L505" s="81">
        <f t="shared" si="205"/>
        <v>1134.5020984499999</v>
      </c>
      <c r="M505" s="82">
        <f t="shared" si="210"/>
        <v>0</v>
      </c>
      <c r="N505" s="82">
        <f t="shared" si="211"/>
        <v>0</v>
      </c>
      <c r="O505" s="82">
        <f>N505+'BM 002'!O505</f>
        <v>0</v>
      </c>
      <c r="P505" s="80">
        <f t="shared" si="212"/>
        <v>5370</v>
      </c>
      <c r="Q505" s="82">
        <f t="shared" si="213"/>
        <v>6807.01</v>
      </c>
      <c r="R505" s="82">
        <f t="shared" si="214"/>
        <v>6807.01</v>
      </c>
    </row>
    <row r="506" spans="2:18" s="34" customFormat="1" ht="23.4">
      <c r="B506" s="75" t="s">
        <v>987</v>
      </c>
      <c r="C506" s="76" t="s">
        <v>988</v>
      </c>
      <c r="D506" s="77" t="s">
        <v>131</v>
      </c>
      <c r="E506" s="78">
        <v>20</v>
      </c>
      <c r="F506" s="79"/>
      <c r="G506" s="79"/>
      <c r="H506" s="79"/>
      <c r="I506" s="79">
        <f>SUM(G506:H506)+'BM 002'!I506</f>
        <v>0</v>
      </c>
      <c r="J506" s="79">
        <f t="shared" si="206"/>
        <v>20</v>
      </c>
      <c r="K506" s="84">
        <v>625</v>
      </c>
      <c r="L506" s="81">
        <f t="shared" si="205"/>
        <v>792.25006875000008</v>
      </c>
      <c r="M506" s="82">
        <f t="shared" si="210"/>
        <v>0</v>
      </c>
      <c r="N506" s="82">
        <f t="shared" si="211"/>
        <v>0</v>
      </c>
      <c r="O506" s="82">
        <f>N506+'BM 002'!O506</f>
        <v>0</v>
      </c>
      <c r="P506" s="80">
        <f t="shared" si="212"/>
        <v>12500</v>
      </c>
      <c r="Q506" s="82">
        <f t="shared" si="213"/>
        <v>15845</v>
      </c>
      <c r="R506" s="82">
        <f t="shared" si="214"/>
        <v>15845</v>
      </c>
    </row>
    <row r="507" spans="2:18" s="34" customFormat="1" ht="13.2">
      <c r="B507" s="60" t="s">
        <v>989</v>
      </c>
      <c r="C507" s="61" t="s">
        <v>990</v>
      </c>
      <c r="D507" s="60"/>
      <c r="E507" s="62"/>
      <c r="F507" s="63"/>
      <c r="G507" s="63"/>
      <c r="H507" s="63"/>
      <c r="I507" s="63">
        <f>SUM(G507:H507)+'BM 002'!I507</f>
        <v>0</v>
      </c>
      <c r="J507" s="63">
        <f t="shared" si="206"/>
        <v>0</v>
      </c>
      <c r="K507" s="63"/>
      <c r="L507" s="63">
        <f t="shared" si="205"/>
        <v>0</v>
      </c>
      <c r="M507" s="63">
        <f t="shared" ref="M507:R507" si="215">SUM(M508,M520,M552,M554)</f>
        <v>0</v>
      </c>
      <c r="N507" s="63">
        <f t="shared" si="215"/>
        <v>0</v>
      </c>
      <c r="O507" s="63">
        <f t="shared" si="215"/>
        <v>0</v>
      </c>
      <c r="P507" s="63">
        <f t="shared" si="215"/>
        <v>248226.55</v>
      </c>
      <c r="Q507" s="63">
        <f t="shared" si="215"/>
        <v>314651.83</v>
      </c>
      <c r="R507" s="63">
        <f t="shared" si="215"/>
        <v>314651.83</v>
      </c>
    </row>
    <row r="508" spans="2:18" s="34" customFormat="1" ht="13.2">
      <c r="B508" s="66" t="s">
        <v>991</v>
      </c>
      <c r="C508" s="67" t="s">
        <v>992</v>
      </c>
      <c r="D508" s="68"/>
      <c r="E508" s="69"/>
      <c r="F508" s="70"/>
      <c r="G508" s="70"/>
      <c r="H508" s="70"/>
      <c r="I508" s="70">
        <f>SUM(G508:H508)+'BM 002'!I508</f>
        <v>0</v>
      </c>
      <c r="J508" s="70">
        <f t="shared" si="206"/>
        <v>0</v>
      </c>
      <c r="K508" s="71"/>
      <c r="L508" s="71">
        <f t="shared" si="205"/>
        <v>0</v>
      </c>
      <c r="M508" s="73">
        <f t="shared" ref="M508:R508" si="216">SUM(M509:M519)</f>
        <v>0</v>
      </c>
      <c r="N508" s="73">
        <f t="shared" si="216"/>
        <v>0</v>
      </c>
      <c r="O508" s="73">
        <f t="shared" si="216"/>
        <v>0</v>
      </c>
      <c r="P508" s="73">
        <f t="shared" si="216"/>
        <v>96780</v>
      </c>
      <c r="Q508" s="73">
        <f t="shared" si="216"/>
        <v>122678.3</v>
      </c>
      <c r="R508" s="73">
        <f t="shared" si="216"/>
        <v>122678.3</v>
      </c>
    </row>
    <row r="509" spans="2:18" s="34" customFormat="1" ht="13.2">
      <c r="B509" s="75" t="s">
        <v>993</v>
      </c>
      <c r="C509" s="76" t="s">
        <v>994</v>
      </c>
      <c r="D509" s="77" t="s">
        <v>124</v>
      </c>
      <c r="E509" s="93">
        <v>300</v>
      </c>
      <c r="F509" s="79"/>
      <c r="G509" s="79"/>
      <c r="H509" s="79"/>
      <c r="I509" s="79">
        <f>SUM(G509:H509)+'BM 002'!I509</f>
        <v>0</v>
      </c>
      <c r="J509" s="79">
        <f t="shared" si="206"/>
        <v>300</v>
      </c>
      <c r="K509" s="84">
        <v>18</v>
      </c>
      <c r="L509" s="81">
        <f t="shared" si="205"/>
        <v>22.816801980000001</v>
      </c>
      <c r="M509" s="82">
        <f t="shared" ref="M509:M519" si="217">TRUNC(F509*L509,2)</f>
        <v>0</v>
      </c>
      <c r="N509" s="82">
        <f t="shared" ref="N509:N519" si="218">TRUNC(G509*L509,2)</f>
        <v>0</v>
      </c>
      <c r="O509" s="82">
        <f>N509+'BM 002'!O509</f>
        <v>0</v>
      </c>
      <c r="P509" s="80">
        <f t="shared" ref="P509:P519" si="219">E509*K509</f>
        <v>5400</v>
      </c>
      <c r="Q509" s="82">
        <f t="shared" ref="Q509:Q519" si="220">TRUNC(E509*L509,2)</f>
        <v>6845.04</v>
      </c>
      <c r="R509" s="82">
        <f t="shared" ref="R509:R519" si="221">Q509-O509</f>
        <v>6845.04</v>
      </c>
    </row>
    <row r="510" spans="2:18" s="34" customFormat="1" ht="23.4">
      <c r="B510" s="75" t="s">
        <v>995</v>
      </c>
      <c r="C510" s="76" t="s">
        <v>996</v>
      </c>
      <c r="D510" s="77" t="s">
        <v>390</v>
      </c>
      <c r="E510" s="93">
        <v>60</v>
      </c>
      <c r="F510" s="79"/>
      <c r="G510" s="79"/>
      <c r="H510" s="79"/>
      <c r="I510" s="79">
        <f>SUM(G510:H510)+'BM 002'!I510</f>
        <v>0</v>
      </c>
      <c r="J510" s="79">
        <f t="shared" si="206"/>
        <v>60</v>
      </c>
      <c r="K510" s="84">
        <v>39</v>
      </c>
      <c r="L510" s="81">
        <f t="shared" si="205"/>
        <v>49.436404289999999</v>
      </c>
      <c r="M510" s="82">
        <f t="shared" si="217"/>
        <v>0</v>
      </c>
      <c r="N510" s="82">
        <f t="shared" si="218"/>
        <v>0</v>
      </c>
      <c r="O510" s="82">
        <f>N510+'BM 002'!O510</f>
        <v>0</v>
      </c>
      <c r="P510" s="80">
        <f t="shared" si="219"/>
        <v>2340</v>
      </c>
      <c r="Q510" s="82">
        <f t="shared" si="220"/>
        <v>2966.18</v>
      </c>
      <c r="R510" s="82">
        <f t="shared" si="221"/>
        <v>2966.18</v>
      </c>
    </row>
    <row r="511" spans="2:18" s="34" customFormat="1" ht="13.2">
      <c r="B511" s="75" t="s">
        <v>997</v>
      </c>
      <c r="C511" s="76" t="s">
        <v>998</v>
      </c>
      <c r="D511" s="77" t="s">
        <v>390</v>
      </c>
      <c r="E511" s="93">
        <v>60</v>
      </c>
      <c r="F511" s="79"/>
      <c r="G511" s="79"/>
      <c r="H511" s="79"/>
      <c r="I511" s="79">
        <f>SUM(G511:H511)+'BM 002'!I511</f>
        <v>0</v>
      </c>
      <c r="J511" s="79">
        <f t="shared" si="206"/>
        <v>60</v>
      </c>
      <c r="K511" s="84">
        <v>18</v>
      </c>
      <c r="L511" s="81">
        <f t="shared" si="205"/>
        <v>22.816801980000001</v>
      </c>
      <c r="M511" s="82">
        <f t="shared" si="217"/>
        <v>0</v>
      </c>
      <c r="N511" s="82">
        <f t="shared" si="218"/>
        <v>0</v>
      </c>
      <c r="O511" s="82">
        <f>N511+'BM 002'!O511</f>
        <v>0</v>
      </c>
      <c r="P511" s="80">
        <f t="shared" si="219"/>
        <v>1080</v>
      </c>
      <c r="Q511" s="82">
        <f t="shared" si="220"/>
        <v>1369</v>
      </c>
      <c r="R511" s="82">
        <f t="shared" si="221"/>
        <v>1369</v>
      </c>
    </row>
    <row r="512" spans="2:18" s="34" customFormat="1" ht="34.799999999999997">
      <c r="B512" s="75" t="s">
        <v>999</v>
      </c>
      <c r="C512" s="76" t="s">
        <v>1000</v>
      </c>
      <c r="D512" s="77" t="s">
        <v>124</v>
      </c>
      <c r="E512" s="93">
        <v>210</v>
      </c>
      <c r="F512" s="79"/>
      <c r="G512" s="79"/>
      <c r="H512" s="79"/>
      <c r="I512" s="79">
        <f>SUM(G512:H512)+'BM 002'!I512</f>
        <v>0</v>
      </c>
      <c r="J512" s="79">
        <f t="shared" si="206"/>
        <v>210</v>
      </c>
      <c r="K512" s="84">
        <v>40</v>
      </c>
      <c r="L512" s="81">
        <f t="shared" si="205"/>
        <v>50.704004400000002</v>
      </c>
      <c r="M512" s="82">
        <f t="shared" si="217"/>
        <v>0</v>
      </c>
      <c r="N512" s="82">
        <f t="shared" si="218"/>
        <v>0</v>
      </c>
      <c r="O512" s="82">
        <f>N512+'BM 002'!O512</f>
        <v>0</v>
      </c>
      <c r="P512" s="80">
        <f t="shared" si="219"/>
        <v>8400</v>
      </c>
      <c r="Q512" s="82">
        <f t="shared" si="220"/>
        <v>10647.84</v>
      </c>
      <c r="R512" s="82">
        <f t="shared" si="221"/>
        <v>10647.84</v>
      </c>
    </row>
    <row r="513" spans="2:18" s="34" customFormat="1" ht="34.799999999999997">
      <c r="B513" s="75" t="s">
        <v>1001</v>
      </c>
      <c r="C513" s="76" t="s">
        <v>1002</v>
      </c>
      <c r="D513" s="77" t="s">
        <v>124</v>
      </c>
      <c r="E513" s="93">
        <v>120</v>
      </c>
      <c r="F513" s="79"/>
      <c r="G513" s="79"/>
      <c r="H513" s="79"/>
      <c r="I513" s="79">
        <f>SUM(G513:H513)+'BM 002'!I513</f>
        <v>0</v>
      </c>
      <c r="J513" s="79">
        <f t="shared" si="206"/>
        <v>120</v>
      </c>
      <c r="K513" s="84">
        <v>75</v>
      </c>
      <c r="L513" s="81">
        <f t="shared" si="205"/>
        <v>95.070008250000001</v>
      </c>
      <c r="M513" s="82">
        <f t="shared" si="217"/>
        <v>0</v>
      </c>
      <c r="N513" s="82">
        <f t="shared" si="218"/>
        <v>0</v>
      </c>
      <c r="O513" s="82">
        <f>N513+'BM 002'!O513</f>
        <v>0</v>
      </c>
      <c r="P513" s="80">
        <f t="shared" si="219"/>
        <v>9000</v>
      </c>
      <c r="Q513" s="82">
        <f t="shared" si="220"/>
        <v>11408.4</v>
      </c>
      <c r="R513" s="82">
        <f t="shared" si="221"/>
        <v>11408.4</v>
      </c>
    </row>
    <row r="514" spans="2:18" s="34" customFormat="1" ht="34.799999999999997">
      <c r="B514" s="75" t="s">
        <v>1003</v>
      </c>
      <c r="C514" s="76" t="s">
        <v>1004</v>
      </c>
      <c r="D514" s="77" t="s">
        <v>124</v>
      </c>
      <c r="E514" s="93">
        <v>36</v>
      </c>
      <c r="F514" s="79"/>
      <c r="G514" s="79"/>
      <c r="H514" s="79"/>
      <c r="I514" s="79">
        <f>SUM(G514:H514)+'BM 002'!I514</f>
        <v>0</v>
      </c>
      <c r="J514" s="79">
        <f t="shared" si="206"/>
        <v>36</v>
      </c>
      <c r="K514" s="84">
        <v>130</v>
      </c>
      <c r="L514" s="81">
        <f t="shared" si="205"/>
        <v>164.78801430000001</v>
      </c>
      <c r="M514" s="82">
        <f t="shared" si="217"/>
        <v>0</v>
      </c>
      <c r="N514" s="82">
        <f t="shared" si="218"/>
        <v>0</v>
      </c>
      <c r="O514" s="82">
        <f>N514+'BM 002'!O514</f>
        <v>0</v>
      </c>
      <c r="P514" s="80">
        <f t="shared" si="219"/>
        <v>4680</v>
      </c>
      <c r="Q514" s="82">
        <f t="shared" si="220"/>
        <v>5932.36</v>
      </c>
      <c r="R514" s="82">
        <f t="shared" si="221"/>
        <v>5932.36</v>
      </c>
    </row>
    <row r="515" spans="2:18" s="34" customFormat="1" ht="34.799999999999997">
      <c r="B515" s="75" t="s">
        <v>1005</v>
      </c>
      <c r="C515" s="76" t="s">
        <v>1006</v>
      </c>
      <c r="D515" s="77" t="s">
        <v>124</v>
      </c>
      <c r="E515" s="93">
        <v>36</v>
      </c>
      <c r="F515" s="79"/>
      <c r="G515" s="79"/>
      <c r="H515" s="79"/>
      <c r="I515" s="79">
        <f>SUM(G515:H515)+'BM 002'!I515</f>
        <v>0</v>
      </c>
      <c r="J515" s="79">
        <f t="shared" si="206"/>
        <v>36</v>
      </c>
      <c r="K515" s="84">
        <v>180</v>
      </c>
      <c r="L515" s="81">
        <f t="shared" si="205"/>
        <v>228.16801980000002</v>
      </c>
      <c r="M515" s="82">
        <f t="shared" si="217"/>
        <v>0</v>
      </c>
      <c r="N515" s="82">
        <f t="shared" si="218"/>
        <v>0</v>
      </c>
      <c r="O515" s="82">
        <f>N515+'BM 002'!O515</f>
        <v>0</v>
      </c>
      <c r="P515" s="80">
        <f t="shared" si="219"/>
        <v>6480</v>
      </c>
      <c r="Q515" s="82">
        <f t="shared" si="220"/>
        <v>8214.0400000000009</v>
      </c>
      <c r="R515" s="82">
        <f t="shared" si="221"/>
        <v>8214.0400000000009</v>
      </c>
    </row>
    <row r="516" spans="2:18" s="34" customFormat="1" ht="34.799999999999997">
      <c r="B516" s="75" t="s">
        <v>1007</v>
      </c>
      <c r="C516" s="76" t="s">
        <v>1008</v>
      </c>
      <c r="D516" s="77" t="s">
        <v>124</v>
      </c>
      <c r="E516" s="93">
        <v>120</v>
      </c>
      <c r="F516" s="79"/>
      <c r="G516" s="79"/>
      <c r="H516" s="79"/>
      <c r="I516" s="79">
        <f>SUM(G516:H516)+'BM 002'!I516</f>
        <v>0</v>
      </c>
      <c r="J516" s="79">
        <f t="shared" si="206"/>
        <v>120</v>
      </c>
      <c r="K516" s="84">
        <v>110</v>
      </c>
      <c r="L516" s="81">
        <f t="shared" si="205"/>
        <v>139.4360121</v>
      </c>
      <c r="M516" s="82">
        <f t="shared" si="217"/>
        <v>0</v>
      </c>
      <c r="N516" s="82">
        <f t="shared" si="218"/>
        <v>0</v>
      </c>
      <c r="O516" s="82">
        <f>N516+'BM 002'!O516</f>
        <v>0</v>
      </c>
      <c r="P516" s="80">
        <f t="shared" si="219"/>
        <v>13200</v>
      </c>
      <c r="Q516" s="82">
        <f t="shared" si="220"/>
        <v>16732.32</v>
      </c>
      <c r="R516" s="82">
        <f t="shared" si="221"/>
        <v>16732.32</v>
      </c>
    </row>
    <row r="517" spans="2:18" s="34" customFormat="1" ht="34.799999999999997">
      <c r="B517" s="75" t="s">
        <v>1009</v>
      </c>
      <c r="C517" s="76" t="s">
        <v>1010</v>
      </c>
      <c r="D517" s="77" t="s">
        <v>124</v>
      </c>
      <c r="E517" s="93">
        <v>120</v>
      </c>
      <c r="F517" s="79"/>
      <c r="G517" s="79"/>
      <c r="H517" s="79"/>
      <c r="I517" s="79">
        <f>SUM(G517:H517)+'BM 002'!I517</f>
        <v>0</v>
      </c>
      <c r="J517" s="79">
        <f t="shared" si="206"/>
        <v>120</v>
      </c>
      <c r="K517" s="84">
        <v>50</v>
      </c>
      <c r="L517" s="81">
        <f t="shared" si="205"/>
        <v>63.380005500000003</v>
      </c>
      <c r="M517" s="82">
        <f t="shared" si="217"/>
        <v>0</v>
      </c>
      <c r="N517" s="82">
        <f t="shared" si="218"/>
        <v>0</v>
      </c>
      <c r="O517" s="82">
        <f>N517+'BM 002'!O517</f>
        <v>0</v>
      </c>
      <c r="P517" s="80">
        <f t="shared" si="219"/>
        <v>6000</v>
      </c>
      <c r="Q517" s="82">
        <f t="shared" si="220"/>
        <v>7605.6</v>
      </c>
      <c r="R517" s="82">
        <f t="shared" si="221"/>
        <v>7605.6</v>
      </c>
    </row>
    <row r="518" spans="2:18" s="34" customFormat="1" ht="34.799999999999997">
      <c r="B518" s="75" t="s">
        <v>1011</v>
      </c>
      <c r="C518" s="76" t="s">
        <v>1012</v>
      </c>
      <c r="D518" s="77" t="s">
        <v>124</v>
      </c>
      <c r="E518" s="93">
        <v>120</v>
      </c>
      <c r="F518" s="79"/>
      <c r="G518" s="79"/>
      <c r="H518" s="79"/>
      <c r="I518" s="79">
        <f>SUM(G518:H518)+'BM 002'!I518</f>
        <v>0</v>
      </c>
      <c r="J518" s="79">
        <f t="shared" si="206"/>
        <v>120</v>
      </c>
      <c r="K518" s="84">
        <v>60</v>
      </c>
      <c r="L518" s="81">
        <f t="shared" si="205"/>
        <v>76.056006600000003</v>
      </c>
      <c r="M518" s="82">
        <f t="shared" si="217"/>
        <v>0</v>
      </c>
      <c r="N518" s="82">
        <f t="shared" si="218"/>
        <v>0</v>
      </c>
      <c r="O518" s="82">
        <f>N518+'BM 002'!O518</f>
        <v>0</v>
      </c>
      <c r="P518" s="80">
        <f t="shared" si="219"/>
        <v>7200</v>
      </c>
      <c r="Q518" s="82">
        <f t="shared" si="220"/>
        <v>9126.7199999999993</v>
      </c>
      <c r="R518" s="82">
        <f t="shared" si="221"/>
        <v>9126.7199999999993</v>
      </c>
    </row>
    <row r="519" spans="2:18" s="34" customFormat="1" ht="46.2">
      <c r="B519" s="75" t="s">
        <v>1013</v>
      </c>
      <c r="C519" s="76" t="s">
        <v>1014</v>
      </c>
      <c r="D519" s="77" t="s">
        <v>124</v>
      </c>
      <c r="E519" s="78">
        <v>300</v>
      </c>
      <c r="F519" s="79"/>
      <c r="G519" s="79"/>
      <c r="H519" s="79"/>
      <c r="I519" s="79">
        <f>SUM(G519:H519)+'BM 002'!I519</f>
        <v>0</v>
      </c>
      <c r="J519" s="79">
        <f t="shared" si="206"/>
        <v>300</v>
      </c>
      <c r="K519" s="84">
        <v>110</v>
      </c>
      <c r="L519" s="81">
        <f t="shared" si="205"/>
        <v>139.4360121</v>
      </c>
      <c r="M519" s="82">
        <f t="shared" si="217"/>
        <v>0</v>
      </c>
      <c r="N519" s="82">
        <f t="shared" si="218"/>
        <v>0</v>
      </c>
      <c r="O519" s="82">
        <f>N519+'BM 002'!O519</f>
        <v>0</v>
      </c>
      <c r="P519" s="80">
        <f t="shared" si="219"/>
        <v>33000</v>
      </c>
      <c r="Q519" s="82">
        <f t="shared" si="220"/>
        <v>41830.800000000003</v>
      </c>
      <c r="R519" s="82">
        <f t="shared" si="221"/>
        <v>41830.800000000003</v>
      </c>
    </row>
    <row r="520" spans="2:18" s="34" customFormat="1" ht="13.2">
      <c r="B520" s="66" t="s">
        <v>1015</v>
      </c>
      <c r="C520" s="67" t="s">
        <v>1016</v>
      </c>
      <c r="D520" s="68"/>
      <c r="E520" s="69"/>
      <c r="F520" s="70"/>
      <c r="G520" s="70"/>
      <c r="H520" s="70"/>
      <c r="I520" s="70">
        <f>SUM(G520:H520)+'BM 002'!I520</f>
        <v>0</v>
      </c>
      <c r="J520" s="70">
        <f t="shared" si="206"/>
        <v>0</v>
      </c>
      <c r="K520" s="71"/>
      <c r="L520" s="71">
        <f t="shared" si="205"/>
        <v>0</v>
      </c>
      <c r="M520" s="73">
        <f t="shared" ref="M520:R520" si="222">SUM(M521:M551)</f>
        <v>0</v>
      </c>
      <c r="N520" s="73">
        <f t="shared" si="222"/>
        <v>0</v>
      </c>
      <c r="O520" s="73">
        <f t="shared" si="222"/>
        <v>0</v>
      </c>
      <c r="P520" s="73">
        <f t="shared" si="222"/>
        <v>88676.55</v>
      </c>
      <c r="Q520" s="73">
        <f t="shared" si="222"/>
        <v>112406.29000000001</v>
      </c>
      <c r="R520" s="73">
        <f t="shared" si="222"/>
        <v>112406.29000000001</v>
      </c>
    </row>
    <row r="521" spans="2:18" s="34" customFormat="1" ht="34.799999999999997">
      <c r="B521" s="75" t="s">
        <v>1017</v>
      </c>
      <c r="C521" s="76" t="s">
        <v>1018</v>
      </c>
      <c r="D521" s="77" t="s">
        <v>39</v>
      </c>
      <c r="E521" s="78">
        <v>10</v>
      </c>
      <c r="F521" s="79"/>
      <c r="G521" s="79"/>
      <c r="H521" s="79"/>
      <c r="I521" s="79">
        <f>SUM(G521:H521)+'BM 002'!I521</f>
        <v>0</v>
      </c>
      <c r="J521" s="79">
        <f t="shared" si="206"/>
        <v>10</v>
      </c>
      <c r="K521" s="84">
        <v>198</v>
      </c>
      <c r="L521" s="81">
        <f t="shared" si="205"/>
        <v>250.98482178</v>
      </c>
      <c r="M521" s="82">
        <f t="shared" ref="M521:M551" si="223">TRUNC(F521*L521,2)</f>
        <v>0</v>
      </c>
      <c r="N521" s="82">
        <f t="shared" ref="N521:N551" si="224">TRUNC(G521*L521,2)</f>
        <v>0</v>
      </c>
      <c r="O521" s="82">
        <f>N521+'BM 002'!O521</f>
        <v>0</v>
      </c>
      <c r="P521" s="80">
        <f t="shared" ref="P521:P551" si="225">E521*K521</f>
        <v>1980</v>
      </c>
      <c r="Q521" s="82">
        <f t="shared" ref="Q521:Q551" si="226">TRUNC(E521*L521,2)</f>
        <v>2509.84</v>
      </c>
      <c r="R521" s="82">
        <f t="shared" ref="R521:R551" si="227">Q521-O521</f>
        <v>2509.84</v>
      </c>
    </row>
    <row r="522" spans="2:18" s="34" customFormat="1" ht="34.799999999999997">
      <c r="B522" s="75" t="s">
        <v>1019</v>
      </c>
      <c r="C522" s="76" t="s">
        <v>1020</v>
      </c>
      <c r="D522" s="77" t="s">
        <v>39</v>
      </c>
      <c r="E522" s="78">
        <v>173</v>
      </c>
      <c r="F522" s="79"/>
      <c r="G522" s="79"/>
      <c r="H522" s="79"/>
      <c r="I522" s="79">
        <f>SUM(G522:H522)+'BM 002'!I522</f>
        <v>0</v>
      </c>
      <c r="J522" s="79">
        <f t="shared" si="206"/>
        <v>173</v>
      </c>
      <c r="K522" s="84">
        <v>18</v>
      </c>
      <c r="L522" s="81">
        <f t="shared" si="205"/>
        <v>22.816801980000001</v>
      </c>
      <c r="M522" s="82">
        <f t="shared" si="223"/>
        <v>0</v>
      </c>
      <c r="N522" s="82">
        <f t="shared" si="224"/>
        <v>0</v>
      </c>
      <c r="O522" s="82">
        <f>N522+'BM 002'!O522</f>
        <v>0</v>
      </c>
      <c r="P522" s="80">
        <f t="shared" si="225"/>
        <v>3114</v>
      </c>
      <c r="Q522" s="82">
        <f t="shared" si="226"/>
        <v>3947.3</v>
      </c>
      <c r="R522" s="82">
        <f t="shared" si="227"/>
        <v>3947.3</v>
      </c>
    </row>
    <row r="523" spans="2:18" s="34" customFormat="1" ht="34.799999999999997">
      <c r="B523" s="75" t="s">
        <v>1021</v>
      </c>
      <c r="C523" s="76" t="s">
        <v>1022</v>
      </c>
      <c r="D523" s="77" t="s">
        <v>39</v>
      </c>
      <c r="E523" s="78">
        <v>7</v>
      </c>
      <c r="F523" s="79"/>
      <c r="G523" s="79"/>
      <c r="H523" s="79"/>
      <c r="I523" s="79">
        <f>SUM(G523:H523)+'BM 002'!I523</f>
        <v>0</v>
      </c>
      <c r="J523" s="79">
        <f t="shared" si="206"/>
        <v>7</v>
      </c>
      <c r="K523" s="84">
        <v>69</v>
      </c>
      <c r="L523" s="81">
        <f t="shared" si="205"/>
        <v>87.464407590000008</v>
      </c>
      <c r="M523" s="82">
        <f t="shared" si="223"/>
        <v>0</v>
      </c>
      <c r="N523" s="82">
        <f t="shared" si="224"/>
        <v>0</v>
      </c>
      <c r="O523" s="82">
        <f>N523+'BM 002'!O523</f>
        <v>0</v>
      </c>
      <c r="P523" s="80">
        <f t="shared" si="225"/>
        <v>483</v>
      </c>
      <c r="Q523" s="82">
        <f t="shared" si="226"/>
        <v>612.25</v>
      </c>
      <c r="R523" s="82">
        <f t="shared" si="227"/>
        <v>612.25</v>
      </c>
    </row>
    <row r="524" spans="2:18" s="34" customFormat="1" ht="34.799999999999997">
      <c r="B524" s="75" t="s">
        <v>1023</v>
      </c>
      <c r="C524" s="76" t="s">
        <v>1024</v>
      </c>
      <c r="D524" s="77" t="s">
        <v>39</v>
      </c>
      <c r="E524" s="78">
        <v>30</v>
      </c>
      <c r="F524" s="79"/>
      <c r="G524" s="79"/>
      <c r="H524" s="79"/>
      <c r="I524" s="79">
        <f>SUM(G524:H524)+'BM 002'!I524</f>
        <v>0</v>
      </c>
      <c r="J524" s="79">
        <f t="shared" si="206"/>
        <v>30</v>
      </c>
      <c r="K524" s="84">
        <v>94.65</v>
      </c>
      <c r="L524" s="81">
        <f t="shared" si="205"/>
        <v>119.97835041150002</v>
      </c>
      <c r="M524" s="82">
        <f t="shared" si="223"/>
        <v>0</v>
      </c>
      <c r="N524" s="82">
        <f t="shared" si="224"/>
        <v>0</v>
      </c>
      <c r="O524" s="82">
        <f>N524+'BM 002'!O524</f>
        <v>0</v>
      </c>
      <c r="P524" s="80">
        <f t="shared" si="225"/>
        <v>2839.5</v>
      </c>
      <c r="Q524" s="82">
        <f t="shared" si="226"/>
        <v>3599.35</v>
      </c>
      <c r="R524" s="82">
        <f t="shared" si="227"/>
        <v>3599.35</v>
      </c>
    </row>
    <row r="525" spans="2:18" s="34" customFormat="1" ht="34.799999999999997">
      <c r="B525" s="75" t="s">
        <v>1025</v>
      </c>
      <c r="C525" s="76" t="s">
        <v>1026</v>
      </c>
      <c r="D525" s="77" t="s">
        <v>39</v>
      </c>
      <c r="E525" s="78">
        <v>40</v>
      </c>
      <c r="F525" s="79"/>
      <c r="G525" s="79"/>
      <c r="H525" s="79"/>
      <c r="I525" s="79">
        <f>SUM(G525:H525)+'BM 002'!I525</f>
        <v>0</v>
      </c>
      <c r="J525" s="79">
        <f t="shared" si="206"/>
        <v>40</v>
      </c>
      <c r="K525" s="84">
        <v>60.11</v>
      </c>
      <c r="L525" s="81">
        <f t="shared" si="205"/>
        <v>76.19544261210001</v>
      </c>
      <c r="M525" s="82">
        <f t="shared" si="223"/>
        <v>0</v>
      </c>
      <c r="N525" s="82">
        <f t="shared" si="224"/>
        <v>0</v>
      </c>
      <c r="O525" s="82">
        <f>N525+'BM 002'!O525</f>
        <v>0</v>
      </c>
      <c r="P525" s="80">
        <f t="shared" si="225"/>
        <v>2404.4</v>
      </c>
      <c r="Q525" s="82">
        <f t="shared" si="226"/>
        <v>3047.81</v>
      </c>
      <c r="R525" s="82">
        <f t="shared" si="227"/>
        <v>3047.81</v>
      </c>
    </row>
    <row r="526" spans="2:18" s="34" customFormat="1" ht="34.799999999999997">
      <c r="B526" s="75" t="s">
        <v>1027</v>
      </c>
      <c r="C526" s="76" t="s">
        <v>1028</v>
      </c>
      <c r="D526" s="77" t="s">
        <v>39</v>
      </c>
      <c r="E526" s="78">
        <v>50</v>
      </c>
      <c r="F526" s="79"/>
      <c r="G526" s="79"/>
      <c r="H526" s="79"/>
      <c r="I526" s="79">
        <f>SUM(G526:H526)+'BM 002'!I526</f>
        <v>0</v>
      </c>
      <c r="J526" s="79">
        <f t="shared" si="206"/>
        <v>50</v>
      </c>
      <c r="K526" s="84">
        <v>36.9</v>
      </c>
      <c r="L526" s="81">
        <f t="shared" si="205"/>
        <v>46.774444058999997</v>
      </c>
      <c r="M526" s="82">
        <f t="shared" si="223"/>
        <v>0</v>
      </c>
      <c r="N526" s="82">
        <f t="shared" si="224"/>
        <v>0</v>
      </c>
      <c r="O526" s="82">
        <f>N526+'BM 002'!O526</f>
        <v>0</v>
      </c>
      <c r="P526" s="80">
        <f t="shared" si="225"/>
        <v>1845</v>
      </c>
      <c r="Q526" s="82">
        <f t="shared" si="226"/>
        <v>2338.7199999999998</v>
      </c>
      <c r="R526" s="82">
        <f t="shared" si="227"/>
        <v>2338.7199999999998</v>
      </c>
    </row>
    <row r="527" spans="2:18" s="34" customFormat="1" ht="34.799999999999997">
      <c r="B527" s="75" t="s">
        <v>1029</v>
      </c>
      <c r="C527" s="76" t="s">
        <v>1030</v>
      </c>
      <c r="D527" s="77" t="s">
        <v>39</v>
      </c>
      <c r="E527" s="78">
        <v>50</v>
      </c>
      <c r="F527" s="79"/>
      <c r="G527" s="79"/>
      <c r="H527" s="79"/>
      <c r="I527" s="79">
        <f>SUM(G527:H527)+'BM 002'!I527</f>
        <v>0</v>
      </c>
      <c r="J527" s="79">
        <f t="shared" si="206"/>
        <v>50</v>
      </c>
      <c r="K527" s="84">
        <v>42.56</v>
      </c>
      <c r="L527" s="81">
        <f t="shared" si="205"/>
        <v>53.949060681600002</v>
      </c>
      <c r="M527" s="82">
        <f t="shared" si="223"/>
        <v>0</v>
      </c>
      <c r="N527" s="82">
        <f t="shared" si="224"/>
        <v>0</v>
      </c>
      <c r="O527" s="82">
        <f>N527+'BM 002'!O527</f>
        <v>0</v>
      </c>
      <c r="P527" s="80">
        <f t="shared" si="225"/>
        <v>2128</v>
      </c>
      <c r="Q527" s="82">
        <f t="shared" si="226"/>
        <v>2697.45</v>
      </c>
      <c r="R527" s="82">
        <f t="shared" si="227"/>
        <v>2697.45</v>
      </c>
    </row>
    <row r="528" spans="2:18" s="34" customFormat="1" ht="34.799999999999997">
      <c r="B528" s="75" t="s">
        <v>1031</v>
      </c>
      <c r="C528" s="76" t="s">
        <v>1032</v>
      </c>
      <c r="D528" s="77" t="s">
        <v>39</v>
      </c>
      <c r="E528" s="78">
        <v>20</v>
      </c>
      <c r="F528" s="79"/>
      <c r="G528" s="79"/>
      <c r="H528" s="79"/>
      <c r="I528" s="79">
        <f>SUM(G528:H528)+'BM 002'!I528</f>
        <v>0</v>
      </c>
      <c r="J528" s="79">
        <f t="shared" si="206"/>
        <v>20</v>
      </c>
      <c r="K528" s="84">
        <v>78.33</v>
      </c>
      <c r="L528" s="81">
        <f t="shared" si="205"/>
        <v>99.291116616300002</v>
      </c>
      <c r="M528" s="82">
        <f t="shared" si="223"/>
        <v>0</v>
      </c>
      <c r="N528" s="82">
        <f t="shared" si="224"/>
        <v>0</v>
      </c>
      <c r="O528" s="82">
        <f>N528+'BM 002'!O528</f>
        <v>0</v>
      </c>
      <c r="P528" s="80">
        <f t="shared" si="225"/>
        <v>1566.6</v>
      </c>
      <c r="Q528" s="82">
        <f t="shared" si="226"/>
        <v>1985.82</v>
      </c>
      <c r="R528" s="82">
        <f t="shared" si="227"/>
        <v>1985.82</v>
      </c>
    </row>
    <row r="529" spans="2:18" s="34" customFormat="1" ht="34.799999999999997">
      <c r="B529" s="75" t="s">
        <v>1033</v>
      </c>
      <c r="C529" s="76" t="s">
        <v>1034</v>
      </c>
      <c r="D529" s="77" t="s">
        <v>39</v>
      </c>
      <c r="E529" s="78">
        <v>10</v>
      </c>
      <c r="F529" s="79"/>
      <c r="G529" s="79"/>
      <c r="H529" s="79"/>
      <c r="I529" s="79">
        <f>SUM(G529:H529)+'BM 002'!I529</f>
        <v>0</v>
      </c>
      <c r="J529" s="79">
        <f t="shared" si="206"/>
        <v>10</v>
      </c>
      <c r="K529" s="84">
        <v>95</v>
      </c>
      <c r="L529" s="81">
        <f t="shared" si="205"/>
        <v>120.42201045</v>
      </c>
      <c r="M529" s="82">
        <f t="shared" si="223"/>
        <v>0</v>
      </c>
      <c r="N529" s="82">
        <f t="shared" si="224"/>
        <v>0</v>
      </c>
      <c r="O529" s="82">
        <f>N529+'BM 002'!O529</f>
        <v>0</v>
      </c>
      <c r="P529" s="80">
        <f t="shared" si="225"/>
        <v>950</v>
      </c>
      <c r="Q529" s="82">
        <f t="shared" si="226"/>
        <v>1204.22</v>
      </c>
      <c r="R529" s="82">
        <f t="shared" si="227"/>
        <v>1204.22</v>
      </c>
    </row>
    <row r="530" spans="2:18" s="34" customFormat="1" ht="34.799999999999997">
      <c r="B530" s="75" t="s">
        <v>1035</v>
      </c>
      <c r="C530" s="76" t="s">
        <v>1036</v>
      </c>
      <c r="D530" s="77" t="s">
        <v>39</v>
      </c>
      <c r="E530" s="78">
        <v>10</v>
      </c>
      <c r="F530" s="79"/>
      <c r="G530" s="79"/>
      <c r="H530" s="79"/>
      <c r="I530" s="79">
        <f>SUM(G530:H530)+'BM 002'!I530</f>
        <v>0</v>
      </c>
      <c r="J530" s="79">
        <f t="shared" si="206"/>
        <v>10</v>
      </c>
      <c r="K530" s="84">
        <v>128</v>
      </c>
      <c r="L530" s="81">
        <f t="shared" si="205"/>
        <v>162.25281408000001</v>
      </c>
      <c r="M530" s="82">
        <f t="shared" si="223"/>
        <v>0</v>
      </c>
      <c r="N530" s="82">
        <f t="shared" si="224"/>
        <v>0</v>
      </c>
      <c r="O530" s="82">
        <f>N530+'BM 002'!O530</f>
        <v>0</v>
      </c>
      <c r="P530" s="80">
        <f t="shared" si="225"/>
        <v>1280</v>
      </c>
      <c r="Q530" s="82">
        <f t="shared" si="226"/>
        <v>1622.52</v>
      </c>
      <c r="R530" s="82">
        <f t="shared" si="227"/>
        <v>1622.52</v>
      </c>
    </row>
    <row r="531" spans="2:18" s="34" customFormat="1" ht="23.4">
      <c r="B531" s="75" t="s">
        <v>1037</v>
      </c>
      <c r="C531" s="76" t="s">
        <v>1038</v>
      </c>
      <c r="D531" s="77" t="s">
        <v>39</v>
      </c>
      <c r="E531" s="78">
        <v>173</v>
      </c>
      <c r="F531" s="79"/>
      <c r="G531" s="79"/>
      <c r="H531" s="79"/>
      <c r="I531" s="79">
        <f>SUM(G531:H531)+'BM 002'!I531</f>
        <v>0</v>
      </c>
      <c r="J531" s="79">
        <f t="shared" si="206"/>
        <v>173</v>
      </c>
      <c r="K531" s="84">
        <v>60</v>
      </c>
      <c r="L531" s="81">
        <f t="shared" si="205"/>
        <v>76.056006600000003</v>
      </c>
      <c r="M531" s="82">
        <f t="shared" si="223"/>
        <v>0</v>
      </c>
      <c r="N531" s="82">
        <f t="shared" si="224"/>
        <v>0</v>
      </c>
      <c r="O531" s="82">
        <f>N531+'BM 002'!O531</f>
        <v>0</v>
      </c>
      <c r="P531" s="80">
        <f t="shared" si="225"/>
        <v>10380</v>
      </c>
      <c r="Q531" s="82">
        <f t="shared" si="226"/>
        <v>13157.68</v>
      </c>
      <c r="R531" s="82">
        <f t="shared" si="227"/>
        <v>13157.68</v>
      </c>
    </row>
    <row r="532" spans="2:18" s="34" customFormat="1" ht="34.799999999999997">
      <c r="B532" s="75" t="s">
        <v>1039</v>
      </c>
      <c r="C532" s="76" t="s">
        <v>1040</v>
      </c>
      <c r="D532" s="77" t="s">
        <v>39</v>
      </c>
      <c r="E532" s="78">
        <v>20</v>
      </c>
      <c r="F532" s="79"/>
      <c r="G532" s="79"/>
      <c r="H532" s="79"/>
      <c r="I532" s="79">
        <f>SUM(G532:H532)+'BM 002'!I532</f>
        <v>0</v>
      </c>
      <c r="J532" s="79">
        <f t="shared" si="206"/>
        <v>20</v>
      </c>
      <c r="K532" s="84">
        <v>85</v>
      </c>
      <c r="L532" s="81">
        <f t="shared" si="205"/>
        <v>107.74600935000001</v>
      </c>
      <c r="M532" s="82">
        <f t="shared" si="223"/>
        <v>0</v>
      </c>
      <c r="N532" s="82">
        <f t="shared" si="224"/>
        <v>0</v>
      </c>
      <c r="O532" s="82">
        <f>N532+'BM 002'!O532</f>
        <v>0</v>
      </c>
      <c r="P532" s="80">
        <f t="shared" si="225"/>
        <v>1700</v>
      </c>
      <c r="Q532" s="82">
        <f t="shared" si="226"/>
        <v>2154.92</v>
      </c>
      <c r="R532" s="82">
        <f t="shared" si="227"/>
        <v>2154.92</v>
      </c>
    </row>
    <row r="533" spans="2:18" s="34" customFormat="1" ht="34.799999999999997">
      <c r="B533" s="75" t="s">
        <v>1041</v>
      </c>
      <c r="C533" s="76" t="s">
        <v>1042</v>
      </c>
      <c r="D533" s="77" t="s">
        <v>39</v>
      </c>
      <c r="E533" s="78">
        <v>6</v>
      </c>
      <c r="F533" s="79"/>
      <c r="G533" s="79"/>
      <c r="H533" s="79"/>
      <c r="I533" s="79">
        <f>SUM(G533:H533)+'BM 002'!I533</f>
        <v>0</v>
      </c>
      <c r="J533" s="79">
        <f t="shared" si="206"/>
        <v>6</v>
      </c>
      <c r="K533" s="84">
        <v>285</v>
      </c>
      <c r="L533" s="81">
        <f t="shared" si="205"/>
        <v>361.26603134999999</v>
      </c>
      <c r="M533" s="82">
        <f t="shared" si="223"/>
        <v>0</v>
      </c>
      <c r="N533" s="82">
        <f t="shared" si="224"/>
        <v>0</v>
      </c>
      <c r="O533" s="82">
        <f>N533+'BM 002'!O533</f>
        <v>0</v>
      </c>
      <c r="P533" s="80">
        <f t="shared" si="225"/>
        <v>1710</v>
      </c>
      <c r="Q533" s="82">
        <f t="shared" si="226"/>
        <v>2167.59</v>
      </c>
      <c r="R533" s="82">
        <f t="shared" si="227"/>
        <v>2167.59</v>
      </c>
    </row>
    <row r="534" spans="2:18" s="34" customFormat="1" ht="34.799999999999997">
      <c r="B534" s="75" t="s">
        <v>1043</v>
      </c>
      <c r="C534" s="76" t="s">
        <v>1044</v>
      </c>
      <c r="D534" s="77" t="s">
        <v>39</v>
      </c>
      <c r="E534" s="78">
        <v>20</v>
      </c>
      <c r="F534" s="79"/>
      <c r="G534" s="79"/>
      <c r="H534" s="79"/>
      <c r="I534" s="79">
        <f>SUM(G534:H534)+'BM 002'!I534</f>
        <v>0</v>
      </c>
      <c r="J534" s="79">
        <f t="shared" si="206"/>
        <v>20</v>
      </c>
      <c r="K534" s="84">
        <v>38</v>
      </c>
      <c r="L534" s="81">
        <f t="shared" si="205"/>
        <v>48.168804180000002</v>
      </c>
      <c r="M534" s="82">
        <f t="shared" si="223"/>
        <v>0</v>
      </c>
      <c r="N534" s="82">
        <f t="shared" si="224"/>
        <v>0</v>
      </c>
      <c r="O534" s="82">
        <f>N534+'BM 002'!O534</f>
        <v>0</v>
      </c>
      <c r="P534" s="80">
        <f t="shared" si="225"/>
        <v>760</v>
      </c>
      <c r="Q534" s="82">
        <f t="shared" si="226"/>
        <v>963.37</v>
      </c>
      <c r="R534" s="82">
        <f t="shared" si="227"/>
        <v>963.37</v>
      </c>
    </row>
    <row r="535" spans="2:18" s="34" customFormat="1" ht="34.799999999999997">
      <c r="B535" s="75" t="s">
        <v>1045</v>
      </c>
      <c r="C535" s="76" t="s">
        <v>1046</v>
      </c>
      <c r="D535" s="77" t="s">
        <v>39</v>
      </c>
      <c r="E535" s="78">
        <v>10</v>
      </c>
      <c r="F535" s="79"/>
      <c r="G535" s="79"/>
      <c r="H535" s="79"/>
      <c r="I535" s="79">
        <f>SUM(G535:H535)+'BM 002'!I535</f>
        <v>0</v>
      </c>
      <c r="J535" s="79">
        <f t="shared" si="206"/>
        <v>10</v>
      </c>
      <c r="K535" s="84">
        <v>118</v>
      </c>
      <c r="L535" s="81">
        <f t="shared" si="205"/>
        <v>149.57681298</v>
      </c>
      <c r="M535" s="82">
        <f t="shared" si="223"/>
        <v>0</v>
      </c>
      <c r="N535" s="82">
        <f t="shared" si="224"/>
        <v>0</v>
      </c>
      <c r="O535" s="82">
        <f>N535+'BM 002'!O535</f>
        <v>0</v>
      </c>
      <c r="P535" s="80">
        <f t="shared" si="225"/>
        <v>1180</v>
      </c>
      <c r="Q535" s="82">
        <f t="shared" si="226"/>
        <v>1495.76</v>
      </c>
      <c r="R535" s="82">
        <f t="shared" si="227"/>
        <v>1495.76</v>
      </c>
    </row>
    <row r="536" spans="2:18" s="34" customFormat="1" ht="23.4">
      <c r="B536" s="75" t="s">
        <v>1047</v>
      </c>
      <c r="C536" s="76" t="s">
        <v>1048</v>
      </c>
      <c r="D536" s="77" t="s">
        <v>39</v>
      </c>
      <c r="E536" s="78">
        <v>10</v>
      </c>
      <c r="F536" s="79"/>
      <c r="G536" s="79"/>
      <c r="H536" s="79"/>
      <c r="I536" s="79">
        <f>SUM(G536:H536)+'BM 002'!I536</f>
        <v>0</v>
      </c>
      <c r="J536" s="79">
        <f t="shared" si="206"/>
        <v>10</v>
      </c>
      <c r="K536" s="84">
        <v>88.39</v>
      </c>
      <c r="L536" s="81">
        <f t="shared" si="205"/>
        <v>112.04317372290001</v>
      </c>
      <c r="M536" s="82">
        <f t="shared" si="223"/>
        <v>0</v>
      </c>
      <c r="N536" s="82">
        <f t="shared" si="224"/>
        <v>0</v>
      </c>
      <c r="O536" s="82">
        <f>N536+'BM 002'!O536</f>
        <v>0</v>
      </c>
      <c r="P536" s="80">
        <f t="shared" si="225"/>
        <v>883.9</v>
      </c>
      <c r="Q536" s="82">
        <f t="shared" si="226"/>
        <v>1120.43</v>
      </c>
      <c r="R536" s="82">
        <f t="shared" si="227"/>
        <v>1120.43</v>
      </c>
    </row>
    <row r="537" spans="2:18" s="34" customFormat="1" ht="23.4">
      <c r="B537" s="75" t="s">
        <v>1049</v>
      </c>
      <c r="C537" s="76" t="s">
        <v>1050</v>
      </c>
      <c r="D537" s="77" t="s">
        <v>39</v>
      </c>
      <c r="E537" s="78">
        <v>20</v>
      </c>
      <c r="F537" s="79"/>
      <c r="G537" s="79"/>
      <c r="H537" s="79"/>
      <c r="I537" s="79">
        <f>SUM(G537:H537)+'BM 002'!I537</f>
        <v>0</v>
      </c>
      <c r="J537" s="79">
        <f t="shared" si="206"/>
        <v>20</v>
      </c>
      <c r="K537" s="84">
        <v>45.21</v>
      </c>
      <c r="L537" s="81">
        <f t="shared" si="205"/>
        <v>57.308200973100007</v>
      </c>
      <c r="M537" s="82">
        <f t="shared" si="223"/>
        <v>0</v>
      </c>
      <c r="N537" s="82">
        <f t="shared" si="224"/>
        <v>0</v>
      </c>
      <c r="O537" s="82">
        <f>N537+'BM 002'!O537</f>
        <v>0</v>
      </c>
      <c r="P537" s="80">
        <f t="shared" si="225"/>
        <v>904.2</v>
      </c>
      <c r="Q537" s="82">
        <f t="shared" si="226"/>
        <v>1146.1600000000001</v>
      </c>
      <c r="R537" s="82">
        <f t="shared" si="227"/>
        <v>1146.1600000000001</v>
      </c>
    </row>
    <row r="538" spans="2:18" s="34" customFormat="1" ht="23.4">
      <c r="B538" s="75" t="s">
        <v>1051</v>
      </c>
      <c r="C538" s="76" t="s">
        <v>1052</v>
      </c>
      <c r="D538" s="77" t="s">
        <v>39</v>
      </c>
      <c r="E538" s="78">
        <v>10</v>
      </c>
      <c r="F538" s="79"/>
      <c r="G538" s="79"/>
      <c r="H538" s="79"/>
      <c r="I538" s="79">
        <f>SUM(G538:H538)+'BM 002'!I538</f>
        <v>0</v>
      </c>
      <c r="J538" s="79">
        <f t="shared" si="206"/>
        <v>10</v>
      </c>
      <c r="K538" s="84">
        <v>65.290000000000006</v>
      </c>
      <c r="L538" s="81">
        <f t="shared" si="205"/>
        <v>82.761611181900008</v>
      </c>
      <c r="M538" s="82">
        <f t="shared" si="223"/>
        <v>0</v>
      </c>
      <c r="N538" s="82">
        <f t="shared" si="224"/>
        <v>0</v>
      </c>
      <c r="O538" s="82">
        <f>N538+'BM 002'!O538</f>
        <v>0</v>
      </c>
      <c r="P538" s="80">
        <f t="shared" si="225"/>
        <v>652.90000000000009</v>
      </c>
      <c r="Q538" s="82">
        <f t="shared" si="226"/>
        <v>827.61</v>
      </c>
      <c r="R538" s="82">
        <f t="shared" si="227"/>
        <v>827.61</v>
      </c>
    </row>
    <row r="539" spans="2:18" s="34" customFormat="1" ht="34.799999999999997">
      <c r="B539" s="75" t="s">
        <v>1053</v>
      </c>
      <c r="C539" s="76" t="s">
        <v>1054</v>
      </c>
      <c r="D539" s="77" t="s">
        <v>39</v>
      </c>
      <c r="E539" s="78">
        <v>30</v>
      </c>
      <c r="F539" s="79"/>
      <c r="G539" s="79"/>
      <c r="H539" s="79"/>
      <c r="I539" s="79">
        <f>SUM(G539:H539)+'BM 002'!I539</f>
        <v>0</v>
      </c>
      <c r="J539" s="79">
        <f t="shared" si="206"/>
        <v>30</v>
      </c>
      <c r="K539" s="84">
        <v>80</v>
      </c>
      <c r="L539" s="81">
        <f t="shared" si="205"/>
        <v>101.4080088</v>
      </c>
      <c r="M539" s="82">
        <f t="shared" si="223"/>
        <v>0</v>
      </c>
      <c r="N539" s="82">
        <f t="shared" si="224"/>
        <v>0</v>
      </c>
      <c r="O539" s="82">
        <f>N539+'BM 002'!O539</f>
        <v>0</v>
      </c>
      <c r="P539" s="80">
        <f t="shared" si="225"/>
        <v>2400</v>
      </c>
      <c r="Q539" s="82">
        <f t="shared" si="226"/>
        <v>3042.24</v>
      </c>
      <c r="R539" s="82">
        <f t="shared" si="227"/>
        <v>3042.24</v>
      </c>
    </row>
    <row r="540" spans="2:18" s="34" customFormat="1" ht="23.4">
      <c r="B540" s="75" t="s">
        <v>1055</v>
      </c>
      <c r="C540" s="76" t="s">
        <v>1056</v>
      </c>
      <c r="D540" s="77" t="s">
        <v>39</v>
      </c>
      <c r="E540" s="78">
        <v>50</v>
      </c>
      <c r="F540" s="79"/>
      <c r="G540" s="79"/>
      <c r="H540" s="79"/>
      <c r="I540" s="79">
        <f>SUM(G540:H540)+'BM 002'!I540</f>
        <v>0</v>
      </c>
      <c r="J540" s="79">
        <f t="shared" si="206"/>
        <v>50</v>
      </c>
      <c r="K540" s="84">
        <v>120</v>
      </c>
      <c r="L540" s="81">
        <f t="shared" si="205"/>
        <v>152.11201320000001</v>
      </c>
      <c r="M540" s="82">
        <f t="shared" si="223"/>
        <v>0</v>
      </c>
      <c r="N540" s="82">
        <f t="shared" si="224"/>
        <v>0</v>
      </c>
      <c r="O540" s="82">
        <f>N540+'BM 002'!O540</f>
        <v>0</v>
      </c>
      <c r="P540" s="80">
        <f t="shared" si="225"/>
        <v>6000</v>
      </c>
      <c r="Q540" s="82">
        <f t="shared" si="226"/>
        <v>7605.6</v>
      </c>
      <c r="R540" s="82">
        <f t="shared" si="227"/>
        <v>7605.6</v>
      </c>
    </row>
    <row r="541" spans="2:18" s="34" customFormat="1" ht="23.4">
      <c r="B541" s="75" t="s">
        <v>1057</v>
      </c>
      <c r="C541" s="76" t="s">
        <v>1058</v>
      </c>
      <c r="D541" s="77" t="s">
        <v>39</v>
      </c>
      <c r="E541" s="78">
        <v>10</v>
      </c>
      <c r="F541" s="79"/>
      <c r="G541" s="79"/>
      <c r="H541" s="79"/>
      <c r="I541" s="79">
        <f>SUM(G541:H541)+'BM 002'!I541</f>
        <v>0</v>
      </c>
      <c r="J541" s="79">
        <f t="shared" si="206"/>
        <v>10</v>
      </c>
      <c r="K541" s="84">
        <v>137.9</v>
      </c>
      <c r="L541" s="81">
        <f t="shared" ref="L541:L590" si="228">K541*(1+$T$26)</f>
        <v>174.80205516900003</v>
      </c>
      <c r="M541" s="82">
        <f t="shared" si="223"/>
        <v>0</v>
      </c>
      <c r="N541" s="82">
        <f t="shared" si="224"/>
        <v>0</v>
      </c>
      <c r="O541" s="82">
        <f>N541+'BM 002'!O541</f>
        <v>0</v>
      </c>
      <c r="P541" s="80">
        <f t="shared" si="225"/>
        <v>1379</v>
      </c>
      <c r="Q541" s="82">
        <f t="shared" si="226"/>
        <v>1748.02</v>
      </c>
      <c r="R541" s="82">
        <f t="shared" si="227"/>
        <v>1748.02</v>
      </c>
    </row>
    <row r="542" spans="2:18" s="34" customFormat="1" ht="23.4">
      <c r="B542" s="75" t="s">
        <v>1059</v>
      </c>
      <c r="C542" s="76" t="s">
        <v>1060</v>
      </c>
      <c r="D542" s="77" t="s">
        <v>39</v>
      </c>
      <c r="E542" s="78">
        <v>20</v>
      </c>
      <c r="F542" s="79"/>
      <c r="G542" s="79"/>
      <c r="H542" s="79"/>
      <c r="I542" s="79">
        <f>SUM(G542:H542)+'BM 002'!I542</f>
        <v>0</v>
      </c>
      <c r="J542" s="79">
        <f t="shared" si="206"/>
        <v>20</v>
      </c>
      <c r="K542" s="84">
        <v>69</v>
      </c>
      <c r="L542" s="81">
        <f t="shared" si="228"/>
        <v>87.464407590000008</v>
      </c>
      <c r="M542" s="82">
        <f t="shared" si="223"/>
        <v>0</v>
      </c>
      <c r="N542" s="82">
        <f t="shared" si="224"/>
        <v>0</v>
      </c>
      <c r="O542" s="82">
        <f>N542+'BM 002'!O542</f>
        <v>0</v>
      </c>
      <c r="P542" s="80">
        <f t="shared" si="225"/>
        <v>1380</v>
      </c>
      <c r="Q542" s="82">
        <f t="shared" si="226"/>
        <v>1749.28</v>
      </c>
      <c r="R542" s="82">
        <f t="shared" si="227"/>
        <v>1749.28</v>
      </c>
    </row>
    <row r="543" spans="2:18" s="34" customFormat="1" ht="34.799999999999997">
      <c r="B543" s="75" t="s">
        <v>1061</v>
      </c>
      <c r="C543" s="76" t="s">
        <v>1062</v>
      </c>
      <c r="D543" s="77" t="s">
        <v>39</v>
      </c>
      <c r="E543" s="78">
        <v>10</v>
      </c>
      <c r="F543" s="79"/>
      <c r="G543" s="79"/>
      <c r="H543" s="79"/>
      <c r="I543" s="79">
        <f>SUM(G543:H543)+'BM 002'!I543</f>
        <v>0</v>
      </c>
      <c r="J543" s="79">
        <f t="shared" ref="J543:J590" si="229">E543-I543</f>
        <v>10</v>
      </c>
      <c r="K543" s="84">
        <v>180</v>
      </c>
      <c r="L543" s="81">
        <f t="shared" si="228"/>
        <v>228.16801980000002</v>
      </c>
      <c r="M543" s="82">
        <f t="shared" si="223"/>
        <v>0</v>
      </c>
      <c r="N543" s="82">
        <f t="shared" si="224"/>
        <v>0</v>
      </c>
      <c r="O543" s="82">
        <f>N543+'BM 002'!O543</f>
        <v>0</v>
      </c>
      <c r="P543" s="80">
        <f t="shared" si="225"/>
        <v>1800</v>
      </c>
      <c r="Q543" s="82">
        <f t="shared" si="226"/>
        <v>2281.6799999999998</v>
      </c>
      <c r="R543" s="82">
        <f t="shared" si="227"/>
        <v>2281.6799999999998</v>
      </c>
    </row>
    <row r="544" spans="2:18" s="34" customFormat="1" ht="57.6">
      <c r="B544" s="75" t="s">
        <v>1063</v>
      </c>
      <c r="C544" s="76" t="s">
        <v>1064</v>
      </c>
      <c r="D544" s="77" t="s">
        <v>39</v>
      </c>
      <c r="E544" s="78">
        <v>1</v>
      </c>
      <c r="F544" s="79"/>
      <c r="G544" s="79"/>
      <c r="H544" s="79"/>
      <c r="I544" s="79">
        <f>SUM(G544:H544)+'BM 002'!I544</f>
        <v>0</v>
      </c>
      <c r="J544" s="79">
        <f t="shared" si="229"/>
        <v>1</v>
      </c>
      <c r="K544" s="84">
        <v>320</v>
      </c>
      <c r="L544" s="81">
        <f t="shared" si="228"/>
        <v>405.63203520000002</v>
      </c>
      <c r="M544" s="82">
        <f t="shared" si="223"/>
        <v>0</v>
      </c>
      <c r="N544" s="82">
        <f t="shared" si="224"/>
        <v>0</v>
      </c>
      <c r="O544" s="82">
        <f>N544+'BM 002'!O544</f>
        <v>0</v>
      </c>
      <c r="P544" s="80">
        <f t="shared" si="225"/>
        <v>320</v>
      </c>
      <c r="Q544" s="82">
        <f t="shared" si="226"/>
        <v>405.63</v>
      </c>
      <c r="R544" s="82">
        <f t="shared" si="227"/>
        <v>405.63</v>
      </c>
    </row>
    <row r="545" spans="2:18" s="34" customFormat="1" ht="46.2">
      <c r="B545" s="75" t="s">
        <v>1065</v>
      </c>
      <c r="C545" s="76" t="s">
        <v>1066</v>
      </c>
      <c r="D545" s="77" t="s">
        <v>39</v>
      </c>
      <c r="E545" s="78">
        <v>1</v>
      </c>
      <c r="F545" s="79"/>
      <c r="G545" s="79"/>
      <c r="H545" s="79"/>
      <c r="I545" s="79">
        <f>SUM(G545:H545)+'BM 002'!I545</f>
        <v>0</v>
      </c>
      <c r="J545" s="79">
        <f t="shared" si="229"/>
        <v>1</v>
      </c>
      <c r="K545" s="84">
        <v>800</v>
      </c>
      <c r="L545" s="81">
        <f t="shared" si="228"/>
        <v>1014.080088</v>
      </c>
      <c r="M545" s="82">
        <f t="shared" si="223"/>
        <v>0</v>
      </c>
      <c r="N545" s="82">
        <f t="shared" si="224"/>
        <v>0</v>
      </c>
      <c r="O545" s="82">
        <f>N545+'BM 002'!O545</f>
        <v>0</v>
      </c>
      <c r="P545" s="80">
        <f t="shared" si="225"/>
        <v>800</v>
      </c>
      <c r="Q545" s="82">
        <f t="shared" si="226"/>
        <v>1014.08</v>
      </c>
      <c r="R545" s="82">
        <f t="shared" si="227"/>
        <v>1014.08</v>
      </c>
    </row>
    <row r="546" spans="2:18" s="34" customFormat="1" ht="13.2">
      <c r="B546" s="75" t="s">
        <v>1067</v>
      </c>
      <c r="C546" s="76" t="s">
        <v>1068</v>
      </c>
      <c r="D546" s="77" t="s">
        <v>39</v>
      </c>
      <c r="E546" s="78">
        <v>2</v>
      </c>
      <c r="F546" s="79"/>
      <c r="G546" s="79"/>
      <c r="H546" s="79"/>
      <c r="I546" s="79">
        <f>SUM(G546:H546)+'BM 002'!I546</f>
        <v>0</v>
      </c>
      <c r="J546" s="79">
        <f t="shared" si="229"/>
        <v>2</v>
      </c>
      <c r="K546" s="84">
        <v>605.34</v>
      </c>
      <c r="L546" s="81">
        <f t="shared" si="228"/>
        <v>767.32905058740005</v>
      </c>
      <c r="M546" s="82">
        <f t="shared" si="223"/>
        <v>0</v>
      </c>
      <c r="N546" s="82">
        <f t="shared" si="224"/>
        <v>0</v>
      </c>
      <c r="O546" s="82">
        <f>N546+'BM 002'!O546</f>
        <v>0</v>
      </c>
      <c r="P546" s="80">
        <f t="shared" si="225"/>
        <v>1210.68</v>
      </c>
      <c r="Q546" s="82">
        <f t="shared" si="226"/>
        <v>1534.65</v>
      </c>
      <c r="R546" s="82">
        <f t="shared" si="227"/>
        <v>1534.65</v>
      </c>
    </row>
    <row r="547" spans="2:18" s="34" customFormat="1" ht="13.2">
      <c r="B547" s="75" t="s">
        <v>1069</v>
      </c>
      <c r="C547" s="76" t="s">
        <v>1070</v>
      </c>
      <c r="D547" s="77" t="s">
        <v>39</v>
      </c>
      <c r="E547" s="78">
        <v>3</v>
      </c>
      <c r="F547" s="79"/>
      <c r="G547" s="79"/>
      <c r="H547" s="79"/>
      <c r="I547" s="79">
        <f>SUM(G547:H547)+'BM 002'!I547</f>
        <v>0</v>
      </c>
      <c r="J547" s="79">
        <f t="shared" si="229"/>
        <v>3</v>
      </c>
      <c r="K547" s="84">
        <v>311.79000000000002</v>
      </c>
      <c r="L547" s="81">
        <f t="shared" si="228"/>
        <v>395.22503829690004</v>
      </c>
      <c r="M547" s="82">
        <f t="shared" si="223"/>
        <v>0</v>
      </c>
      <c r="N547" s="82">
        <f t="shared" si="224"/>
        <v>0</v>
      </c>
      <c r="O547" s="82">
        <f>N547+'BM 002'!O547</f>
        <v>0</v>
      </c>
      <c r="P547" s="80">
        <f t="shared" si="225"/>
        <v>935.37000000000012</v>
      </c>
      <c r="Q547" s="82">
        <f t="shared" si="226"/>
        <v>1185.67</v>
      </c>
      <c r="R547" s="82">
        <f t="shared" si="227"/>
        <v>1185.67</v>
      </c>
    </row>
    <row r="548" spans="2:18" s="34" customFormat="1" ht="13.2">
      <c r="B548" s="75" t="s">
        <v>1071</v>
      </c>
      <c r="C548" s="76" t="s">
        <v>1072</v>
      </c>
      <c r="D548" s="77" t="s">
        <v>39</v>
      </c>
      <c r="E548" s="78">
        <v>2</v>
      </c>
      <c r="F548" s="79"/>
      <c r="G548" s="79"/>
      <c r="H548" s="79"/>
      <c r="I548" s="79">
        <f>SUM(G548:H548)+'BM 002'!I548</f>
        <v>0</v>
      </c>
      <c r="J548" s="79">
        <f t="shared" si="229"/>
        <v>2</v>
      </c>
      <c r="K548" s="84">
        <v>195</v>
      </c>
      <c r="L548" s="81">
        <f t="shared" si="228"/>
        <v>247.18202145000001</v>
      </c>
      <c r="M548" s="82">
        <f t="shared" si="223"/>
        <v>0</v>
      </c>
      <c r="N548" s="82">
        <f t="shared" si="224"/>
        <v>0</v>
      </c>
      <c r="O548" s="82">
        <f>N548+'BM 002'!O548</f>
        <v>0</v>
      </c>
      <c r="P548" s="80">
        <f t="shared" si="225"/>
        <v>390</v>
      </c>
      <c r="Q548" s="82">
        <f t="shared" si="226"/>
        <v>494.36</v>
      </c>
      <c r="R548" s="82">
        <f t="shared" si="227"/>
        <v>494.36</v>
      </c>
    </row>
    <row r="549" spans="2:18" s="34" customFormat="1" ht="34.799999999999997">
      <c r="B549" s="75" t="s">
        <v>1073</v>
      </c>
      <c r="C549" s="76" t="s">
        <v>1074</v>
      </c>
      <c r="D549" s="77" t="s">
        <v>39</v>
      </c>
      <c r="E549" s="78">
        <v>1</v>
      </c>
      <c r="F549" s="79"/>
      <c r="G549" s="79"/>
      <c r="H549" s="79"/>
      <c r="I549" s="79">
        <f>SUM(G549:H549)+'BM 002'!I549</f>
        <v>0</v>
      </c>
      <c r="J549" s="79">
        <f t="shared" si="229"/>
        <v>1</v>
      </c>
      <c r="K549" s="84">
        <v>1400</v>
      </c>
      <c r="L549" s="81">
        <f t="shared" si="228"/>
        <v>1774.6401540000002</v>
      </c>
      <c r="M549" s="82">
        <f t="shared" si="223"/>
        <v>0</v>
      </c>
      <c r="N549" s="82">
        <f t="shared" si="224"/>
        <v>0</v>
      </c>
      <c r="O549" s="82">
        <f>N549+'BM 002'!O549</f>
        <v>0</v>
      </c>
      <c r="P549" s="80">
        <f t="shared" si="225"/>
        <v>1400</v>
      </c>
      <c r="Q549" s="82">
        <f t="shared" si="226"/>
        <v>1774.64</v>
      </c>
      <c r="R549" s="82">
        <f t="shared" si="227"/>
        <v>1774.64</v>
      </c>
    </row>
    <row r="550" spans="2:18" s="34" customFormat="1" ht="46.2">
      <c r="B550" s="75" t="s">
        <v>1075</v>
      </c>
      <c r="C550" s="76" t="s">
        <v>1076</v>
      </c>
      <c r="D550" s="77" t="s">
        <v>39</v>
      </c>
      <c r="E550" s="78">
        <v>16</v>
      </c>
      <c r="F550" s="79"/>
      <c r="G550" s="79"/>
      <c r="H550" s="79"/>
      <c r="I550" s="79">
        <f>SUM(G550:H550)+'BM 002'!I550</f>
        <v>0</v>
      </c>
      <c r="J550" s="79">
        <f t="shared" si="229"/>
        <v>16</v>
      </c>
      <c r="K550" s="84">
        <v>1900</v>
      </c>
      <c r="L550" s="81">
        <f t="shared" si="228"/>
        <v>2408.4402090000003</v>
      </c>
      <c r="M550" s="82">
        <f t="shared" si="223"/>
        <v>0</v>
      </c>
      <c r="N550" s="82">
        <f t="shared" si="224"/>
        <v>0</v>
      </c>
      <c r="O550" s="82">
        <f>N550+'BM 002'!O550</f>
        <v>0</v>
      </c>
      <c r="P550" s="80">
        <f t="shared" si="225"/>
        <v>30400</v>
      </c>
      <c r="Q550" s="82">
        <f t="shared" si="226"/>
        <v>38535.040000000001</v>
      </c>
      <c r="R550" s="82">
        <f t="shared" si="227"/>
        <v>38535.040000000001</v>
      </c>
    </row>
    <row r="551" spans="2:18" s="34" customFormat="1" ht="34.799999999999997">
      <c r="B551" s="75" t="s">
        <v>1077</v>
      </c>
      <c r="C551" s="76" t="s">
        <v>1078</v>
      </c>
      <c r="D551" s="77" t="s">
        <v>39</v>
      </c>
      <c r="E551" s="78">
        <v>140</v>
      </c>
      <c r="F551" s="79"/>
      <c r="G551" s="79"/>
      <c r="H551" s="79"/>
      <c r="I551" s="79">
        <f>SUM(G551:H551)+'BM 002'!I551</f>
        <v>0</v>
      </c>
      <c r="J551" s="79">
        <f t="shared" si="229"/>
        <v>140</v>
      </c>
      <c r="K551" s="84">
        <v>25</v>
      </c>
      <c r="L551" s="81">
        <f t="shared" si="228"/>
        <v>31.690002750000001</v>
      </c>
      <c r="M551" s="82">
        <f t="shared" si="223"/>
        <v>0</v>
      </c>
      <c r="N551" s="82">
        <f t="shared" si="224"/>
        <v>0</v>
      </c>
      <c r="O551" s="82">
        <f>N551+'BM 002'!O551</f>
        <v>0</v>
      </c>
      <c r="P551" s="80">
        <f t="shared" si="225"/>
        <v>3500</v>
      </c>
      <c r="Q551" s="82">
        <f t="shared" si="226"/>
        <v>4436.6000000000004</v>
      </c>
      <c r="R551" s="82">
        <f t="shared" si="227"/>
        <v>4436.6000000000004</v>
      </c>
    </row>
    <row r="552" spans="2:18" s="34" customFormat="1" ht="13.2">
      <c r="B552" s="66" t="s">
        <v>1079</v>
      </c>
      <c r="C552" s="67" t="s">
        <v>1080</v>
      </c>
      <c r="D552" s="68"/>
      <c r="E552" s="69"/>
      <c r="F552" s="70"/>
      <c r="G552" s="70"/>
      <c r="H552" s="70"/>
      <c r="I552" s="70">
        <f>SUM(G552:H552)+'BM 002'!I552</f>
        <v>0</v>
      </c>
      <c r="J552" s="70">
        <f t="shared" si="229"/>
        <v>0</v>
      </c>
      <c r="K552" s="71"/>
      <c r="L552" s="71">
        <f t="shared" si="228"/>
        <v>0</v>
      </c>
      <c r="M552" s="73">
        <f t="shared" ref="M552:R552" si="230">SUM(M553:M553)</f>
        <v>0</v>
      </c>
      <c r="N552" s="73">
        <f t="shared" si="230"/>
        <v>0</v>
      </c>
      <c r="O552" s="73">
        <f t="shared" si="230"/>
        <v>0</v>
      </c>
      <c r="P552" s="73">
        <f t="shared" si="230"/>
        <v>7310</v>
      </c>
      <c r="Q552" s="73">
        <f t="shared" si="230"/>
        <v>9266.15</v>
      </c>
      <c r="R552" s="73">
        <f t="shared" si="230"/>
        <v>9266.15</v>
      </c>
    </row>
    <row r="553" spans="2:18" s="34" customFormat="1" ht="23.4">
      <c r="B553" s="75" t="s">
        <v>1081</v>
      </c>
      <c r="C553" s="76" t="s">
        <v>1082</v>
      </c>
      <c r="D553" s="77" t="s">
        <v>63</v>
      </c>
      <c r="E553" s="78">
        <v>43</v>
      </c>
      <c r="F553" s="79"/>
      <c r="G553" s="79"/>
      <c r="H553" s="79"/>
      <c r="I553" s="79">
        <f>SUM(G553:H553)+'BM 002'!I553</f>
        <v>0</v>
      </c>
      <c r="J553" s="79">
        <f t="shared" si="229"/>
        <v>43</v>
      </c>
      <c r="K553" s="84">
        <v>170</v>
      </c>
      <c r="L553" s="81">
        <f t="shared" si="228"/>
        <v>215.49201870000002</v>
      </c>
      <c r="M553" s="82">
        <f>TRUNC(F553*L553,2)</f>
        <v>0</v>
      </c>
      <c r="N553" s="82">
        <f>TRUNC(G553*L553,2)</f>
        <v>0</v>
      </c>
      <c r="O553" s="82">
        <f>N553+'BM 002'!O553</f>
        <v>0</v>
      </c>
      <c r="P553" s="80">
        <f>E553*K553</f>
        <v>7310</v>
      </c>
      <c r="Q553" s="82">
        <f>TRUNC(E553*L553,2)</f>
        <v>9266.15</v>
      </c>
      <c r="R553" s="82">
        <f>Q553-O553</f>
        <v>9266.15</v>
      </c>
    </row>
    <row r="554" spans="2:18" s="34" customFormat="1" ht="13.2">
      <c r="B554" s="66" t="s">
        <v>1083</v>
      </c>
      <c r="C554" s="67" t="s">
        <v>1084</v>
      </c>
      <c r="D554" s="68"/>
      <c r="E554" s="69"/>
      <c r="F554" s="70"/>
      <c r="G554" s="70"/>
      <c r="H554" s="70"/>
      <c r="I554" s="70">
        <f>SUM(G554:H554)+'BM 002'!I554</f>
        <v>0</v>
      </c>
      <c r="J554" s="70">
        <f t="shared" si="229"/>
        <v>0</v>
      </c>
      <c r="K554" s="71"/>
      <c r="L554" s="120">
        <f t="shared" si="228"/>
        <v>0</v>
      </c>
      <c r="M554" s="73">
        <f t="shared" ref="M554:R554" si="231">SUM(M555:M565)</f>
        <v>0</v>
      </c>
      <c r="N554" s="73">
        <f t="shared" si="231"/>
        <v>0</v>
      </c>
      <c r="O554" s="73">
        <f t="shared" si="231"/>
        <v>0</v>
      </c>
      <c r="P554" s="73">
        <f t="shared" si="231"/>
        <v>55460</v>
      </c>
      <c r="Q554" s="73">
        <f t="shared" si="231"/>
        <v>70301.090000000011</v>
      </c>
      <c r="R554" s="73">
        <f t="shared" si="231"/>
        <v>70301.090000000011</v>
      </c>
    </row>
    <row r="555" spans="2:18" s="34" customFormat="1" ht="23.4">
      <c r="B555" s="75" t="s">
        <v>1085</v>
      </c>
      <c r="C555" s="76" t="s">
        <v>1086</v>
      </c>
      <c r="D555" s="77" t="s">
        <v>131</v>
      </c>
      <c r="E555" s="78">
        <v>1</v>
      </c>
      <c r="F555" s="79"/>
      <c r="G555" s="79"/>
      <c r="H555" s="79"/>
      <c r="I555" s="79">
        <f>SUM(G555:H555)+'BM 002'!I555</f>
        <v>0</v>
      </c>
      <c r="J555" s="79">
        <f t="shared" si="229"/>
        <v>1</v>
      </c>
      <c r="K555" s="84">
        <v>5800</v>
      </c>
      <c r="L555" s="81">
        <f t="shared" si="228"/>
        <v>7352.0806380000004</v>
      </c>
      <c r="M555" s="82">
        <f t="shared" ref="M555:M565" si="232">TRUNC(F555*L555,2)</f>
        <v>0</v>
      </c>
      <c r="N555" s="82">
        <f t="shared" ref="N555:N565" si="233">TRUNC(G555*L555,2)</f>
        <v>0</v>
      </c>
      <c r="O555" s="82">
        <f>N555+'BM 002'!O555</f>
        <v>0</v>
      </c>
      <c r="P555" s="80">
        <f t="shared" ref="P555:P565" si="234">E555*K555</f>
        <v>5800</v>
      </c>
      <c r="Q555" s="82">
        <f t="shared" ref="Q555:Q565" si="235">TRUNC(E555*L555,2)</f>
        <v>7352.08</v>
      </c>
      <c r="R555" s="82">
        <f t="shared" ref="R555:R565" si="236">Q555-O555</f>
        <v>7352.08</v>
      </c>
    </row>
    <row r="556" spans="2:18" s="34" customFormat="1" ht="46.2">
      <c r="B556" s="75" t="s">
        <v>1087</v>
      </c>
      <c r="C556" s="76" t="s">
        <v>1088</v>
      </c>
      <c r="D556" s="77" t="s">
        <v>131</v>
      </c>
      <c r="E556" s="78">
        <v>1</v>
      </c>
      <c r="F556" s="79"/>
      <c r="G556" s="79"/>
      <c r="H556" s="79"/>
      <c r="I556" s="79">
        <f>SUM(G556:H556)+'BM 002'!I556</f>
        <v>0</v>
      </c>
      <c r="J556" s="79">
        <f t="shared" si="229"/>
        <v>1</v>
      </c>
      <c r="K556" s="84">
        <v>2950</v>
      </c>
      <c r="L556" s="81">
        <f t="shared" si="228"/>
        <v>3739.4203245000003</v>
      </c>
      <c r="M556" s="82">
        <f t="shared" si="232"/>
        <v>0</v>
      </c>
      <c r="N556" s="82">
        <f t="shared" si="233"/>
        <v>0</v>
      </c>
      <c r="O556" s="82">
        <f>N556+'BM 002'!O556</f>
        <v>0</v>
      </c>
      <c r="P556" s="80">
        <f t="shared" si="234"/>
        <v>2950</v>
      </c>
      <c r="Q556" s="82">
        <f t="shared" si="235"/>
        <v>3739.42</v>
      </c>
      <c r="R556" s="82">
        <f t="shared" si="236"/>
        <v>3739.42</v>
      </c>
    </row>
    <row r="557" spans="2:18" s="34" customFormat="1" ht="23.4">
      <c r="B557" s="75" t="s">
        <v>1089</v>
      </c>
      <c r="C557" s="76" t="s">
        <v>1090</v>
      </c>
      <c r="D557" s="77" t="s">
        <v>131</v>
      </c>
      <c r="E557" s="78">
        <v>1</v>
      </c>
      <c r="F557" s="79"/>
      <c r="G557" s="79"/>
      <c r="H557" s="79"/>
      <c r="I557" s="79">
        <f>SUM(G557:H557)+'BM 002'!I557</f>
        <v>0</v>
      </c>
      <c r="J557" s="79">
        <f t="shared" si="229"/>
        <v>1</v>
      </c>
      <c r="K557" s="84">
        <v>5100</v>
      </c>
      <c r="L557" s="81">
        <f t="shared" si="228"/>
        <v>6464.7605610000001</v>
      </c>
      <c r="M557" s="82">
        <f t="shared" si="232"/>
        <v>0</v>
      </c>
      <c r="N557" s="82">
        <f t="shared" si="233"/>
        <v>0</v>
      </c>
      <c r="O557" s="82">
        <f>N557+'BM 002'!O557</f>
        <v>0</v>
      </c>
      <c r="P557" s="80">
        <f t="shared" si="234"/>
        <v>5100</v>
      </c>
      <c r="Q557" s="82">
        <f t="shared" si="235"/>
        <v>6464.76</v>
      </c>
      <c r="R557" s="82">
        <f t="shared" si="236"/>
        <v>6464.76</v>
      </c>
    </row>
    <row r="558" spans="2:18" s="34" customFormat="1" ht="23.4">
      <c r="B558" s="75" t="s">
        <v>1091</v>
      </c>
      <c r="C558" s="76" t="s">
        <v>1092</v>
      </c>
      <c r="D558" s="77" t="s">
        <v>131</v>
      </c>
      <c r="E558" s="78">
        <v>1</v>
      </c>
      <c r="F558" s="79"/>
      <c r="G558" s="79"/>
      <c r="H558" s="79"/>
      <c r="I558" s="79">
        <f>SUM(G558:H558)+'BM 002'!I558</f>
        <v>0</v>
      </c>
      <c r="J558" s="79">
        <f t="shared" si="229"/>
        <v>1</v>
      </c>
      <c r="K558" s="84">
        <v>6200</v>
      </c>
      <c r="L558" s="81">
        <f t="shared" si="228"/>
        <v>7859.1206820000007</v>
      </c>
      <c r="M558" s="82">
        <f t="shared" si="232"/>
        <v>0</v>
      </c>
      <c r="N558" s="82">
        <f t="shared" si="233"/>
        <v>0</v>
      </c>
      <c r="O558" s="82">
        <f>N558+'BM 002'!O558</f>
        <v>0</v>
      </c>
      <c r="P558" s="80">
        <f t="shared" si="234"/>
        <v>6200</v>
      </c>
      <c r="Q558" s="82">
        <f t="shared" si="235"/>
        <v>7859.12</v>
      </c>
      <c r="R558" s="82">
        <f t="shared" si="236"/>
        <v>7859.12</v>
      </c>
    </row>
    <row r="559" spans="2:18" s="34" customFormat="1" ht="23.4">
      <c r="B559" s="75" t="s">
        <v>1093</v>
      </c>
      <c r="C559" s="76" t="s">
        <v>1094</v>
      </c>
      <c r="D559" s="77" t="s">
        <v>131</v>
      </c>
      <c r="E559" s="78">
        <v>15</v>
      </c>
      <c r="F559" s="79"/>
      <c r="G559" s="79"/>
      <c r="H559" s="79"/>
      <c r="I559" s="79">
        <f>SUM(G559:H559)+'BM 002'!I559</f>
        <v>0</v>
      </c>
      <c r="J559" s="79">
        <f t="shared" si="229"/>
        <v>15</v>
      </c>
      <c r="K559" s="84">
        <v>250</v>
      </c>
      <c r="L559" s="81">
        <f t="shared" si="228"/>
        <v>316.90002750000002</v>
      </c>
      <c r="M559" s="82">
        <f t="shared" si="232"/>
        <v>0</v>
      </c>
      <c r="N559" s="82">
        <f t="shared" si="233"/>
        <v>0</v>
      </c>
      <c r="O559" s="82">
        <f>N559+'BM 002'!O559</f>
        <v>0</v>
      </c>
      <c r="P559" s="80">
        <f t="shared" si="234"/>
        <v>3750</v>
      </c>
      <c r="Q559" s="82">
        <f t="shared" si="235"/>
        <v>4753.5</v>
      </c>
      <c r="R559" s="82">
        <f t="shared" si="236"/>
        <v>4753.5</v>
      </c>
    </row>
    <row r="560" spans="2:18" s="34" customFormat="1" ht="23.4">
      <c r="B560" s="75" t="s">
        <v>1095</v>
      </c>
      <c r="C560" s="76" t="s">
        <v>1096</v>
      </c>
      <c r="D560" s="77" t="s">
        <v>131</v>
      </c>
      <c r="E560" s="78">
        <v>1</v>
      </c>
      <c r="F560" s="79"/>
      <c r="G560" s="79"/>
      <c r="H560" s="79"/>
      <c r="I560" s="79">
        <f>SUM(G560:H560)+'BM 002'!I560</f>
        <v>0</v>
      </c>
      <c r="J560" s="79">
        <f t="shared" si="229"/>
        <v>1</v>
      </c>
      <c r="K560" s="84">
        <v>350</v>
      </c>
      <c r="L560" s="81">
        <f t="shared" si="228"/>
        <v>443.66003850000004</v>
      </c>
      <c r="M560" s="82">
        <f t="shared" si="232"/>
        <v>0</v>
      </c>
      <c r="N560" s="82">
        <f t="shared" si="233"/>
        <v>0</v>
      </c>
      <c r="O560" s="82">
        <f>N560+'BM 002'!O560</f>
        <v>0</v>
      </c>
      <c r="P560" s="80">
        <f t="shared" si="234"/>
        <v>350</v>
      </c>
      <c r="Q560" s="82">
        <f t="shared" si="235"/>
        <v>443.66</v>
      </c>
      <c r="R560" s="82">
        <f t="shared" si="236"/>
        <v>443.66</v>
      </c>
    </row>
    <row r="561" spans="2:18" s="34" customFormat="1" ht="13.2">
      <c r="B561" s="75" t="s">
        <v>1097</v>
      </c>
      <c r="C561" s="76" t="s">
        <v>1098</v>
      </c>
      <c r="D561" s="77" t="s">
        <v>131</v>
      </c>
      <c r="E561" s="78">
        <v>15</v>
      </c>
      <c r="F561" s="79"/>
      <c r="G561" s="79"/>
      <c r="H561" s="79"/>
      <c r="I561" s="79">
        <f>SUM(G561:H561)+'BM 002'!I561</f>
        <v>0</v>
      </c>
      <c r="J561" s="79">
        <f t="shared" si="229"/>
        <v>15</v>
      </c>
      <c r="K561" s="84">
        <v>260</v>
      </c>
      <c r="L561" s="81">
        <f t="shared" si="228"/>
        <v>329.57602860000003</v>
      </c>
      <c r="M561" s="82">
        <f t="shared" si="232"/>
        <v>0</v>
      </c>
      <c r="N561" s="82">
        <f t="shared" si="233"/>
        <v>0</v>
      </c>
      <c r="O561" s="82">
        <f>N561+'BM 002'!O561</f>
        <v>0</v>
      </c>
      <c r="P561" s="80">
        <f t="shared" si="234"/>
        <v>3900</v>
      </c>
      <c r="Q561" s="82">
        <f t="shared" si="235"/>
        <v>4943.6400000000003</v>
      </c>
      <c r="R561" s="82">
        <f t="shared" si="236"/>
        <v>4943.6400000000003</v>
      </c>
    </row>
    <row r="562" spans="2:18" s="34" customFormat="1" ht="23.4">
      <c r="B562" s="75" t="s">
        <v>1099</v>
      </c>
      <c r="C562" s="76" t="s">
        <v>1100</v>
      </c>
      <c r="D562" s="77" t="s">
        <v>131</v>
      </c>
      <c r="E562" s="78">
        <v>1</v>
      </c>
      <c r="F562" s="79"/>
      <c r="G562" s="79"/>
      <c r="H562" s="79"/>
      <c r="I562" s="79">
        <f>SUM(G562:H562)+'BM 002'!I562</f>
        <v>0</v>
      </c>
      <c r="J562" s="79">
        <f t="shared" si="229"/>
        <v>1</v>
      </c>
      <c r="K562" s="84">
        <v>360</v>
      </c>
      <c r="L562" s="81">
        <f t="shared" si="228"/>
        <v>456.33603960000005</v>
      </c>
      <c r="M562" s="82">
        <f t="shared" si="232"/>
        <v>0</v>
      </c>
      <c r="N562" s="82">
        <f t="shared" si="233"/>
        <v>0</v>
      </c>
      <c r="O562" s="82">
        <f>N562+'BM 002'!O562</f>
        <v>0</v>
      </c>
      <c r="P562" s="80">
        <f t="shared" si="234"/>
        <v>360</v>
      </c>
      <c r="Q562" s="82">
        <f t="shared" si="235"/>
        <v>456.33</v>
      </c>
      <c r="R562" s="82">
        <f t="shared" si="236"/>
        <v>456.33</v>
      </c>
    </row>
    <row r="563" spans="2:18" s="34" customFormat="1" ht="13.2">
      <c r="B563" s="75" t="s">
        <v>1101</v>
      </c>
      <c r="C563" s="76" t="s">
        <v>1102</v>
      </c>
      <c r="D563" s="77" t="s">
        <v>131</v>
      </c>
      <c r="E563" s="78">
        <v>2</v>
      </c>
      <c r="F563" s="79"/>
      <c r="G563" s="79"/>
      <c r="H563" s="79"/>
      <c r="I563" s="79">
        <f>SUM(G563:H563)+'BM 002'!I563</f>
        <v>0</v>
      </c>
      <c r="J563" s="79">
        <f t="shared" si="229"/>
        <v>2</v>
      </c>
      <c r="K563" s="84">
        <v>3650</v>
      </c>
      <c r="L563" s="81">
        <f t="shared" si="228"/>
        <v>4626.7404015000002</v>
      </c>
      <c r="M563" s="82">
        <f t="shared" si="232"/>
        <v>0</v>
      </c>
      <c r="N563" s="82">
        <f t="shared" si="233"/>
        <v>0</v>
      </c>
      <c r="O563" s="82">
        <f>N563+'BM 002'!O563</f>
        <v>0</v>
      </c>
      <c r="P563" s="80">
        <f t="shared" si="234"/>
        <v>7300</v>
      </c>
      <c r="Q563" s="82">
        <f t="shared" si="235"/>
        <v>9253.48</v>
      </c>
      <c r="R563" s="82">
        <f t="shared" si="236"/>
        <v>9253.48</v>
      </c>
    </row>
    <row r="564" spans="2:18" s="34" customFormat="1" ht="23.4">
      <c r="B564" s="75" t="s">
        <v>1103</v>
      </c>
      <c r="C564" s="76" t="s">
        <v>1104</v>
      </c>
      <c r="D564" s="77" t="s">
        <v>131</v>
      </c>
      <c r="E564" s="78">
        <v>60</v>
      </c>
      <c r="F564" s="79"/>
      <c r="G564" s="79"/>
      <c r="H564" s="79"/>
      <c r="I564" s="79">
        <f>SUM(G564:H564)+'BM 002'!I564</f>
        <v>0</v>
      </c>
      <c r="J564" s="79">
        <f t="shared" si="229"/>
        <v>60</v>
      </c>
      <c r="K564" s="84">
        <v>280</v>
      </c>
      <c r="L564" s="81">
        <f t="shared" si="228"/>
        <v>354.92803079999999</v>
      </c>
      <c r="M564" s="82">
        <f t="shared" si="232"/>
        <v>0</v>
      </c>
      <c r="N564" s="82">
        <f t="shared" si="233"/>
        <v>0</v>
      </c>
      <c r="O564" s="82">
        <f>N564+'BM 002'!O564</f>
        <v>0</v>
      </c>
      <c r="P564" s="80">
        <f t="shared" si="234"/>
        <v>16800</v>
      </c>
      <c r="Q564" s="82">
        <f t="shared" si="235"/>
        <v>21295.68</v>
      </c>
      <c r="R564" s="82">
        <f t="shared" si="236"/>
        <v>21295.68</v>
      </c>
    </row>
    <row r="565" spans="2:18" s="34" customFormat="1" ht="23.4">
      <c r="B565" s="75" t="s">
        <v>1105</v>
      </c>
      <c r="C565" s="76" t="s">
        <v>1106</v>
      </c>
      <c r="D565" s="77" t="s">
        <v>131</v>
      </c>
      <c r="E565" s="78">
        <v>10</v>
      </c>
      <c r="F565" s="79"/>
      <c r="G565" s="79"/>
      <c r="H565" s="79"/>
      <c r="I565" s="79">
        <f>SUM(G565:H565)+'BM 002'!I565</f>
        <v>0</v>
      </c>
      <c r="J565" s="79">
        <f t="shared" si="229"/>
        <v>10</v>
      </c>
      <c r="K565" s="84">
        <v>295</v>
      </c>
      <c r="L565" s="81">
        <f t="shared" si="228"/>
        <v>373.94203245</v>
      </c>
      <c r="M565" s="82">
        <f t="shared" si="232"/>
        <v>0</v>
      </c>
      <c r="N565" s="82">
        <f t="shared" si="233"/>
        <v>0</v>
      </c>
      <c r="O565" s="82">
        <f>N565+'BM 002'!O565</f>
        <v>0</v>
      </c>
      <c r="P565" s="80">
        <f t="shared" si="234"/>
        <v>2950</v>
      </c>
      <c r="Q565" s="82">
        <f t="shared" si="235"/>
        <v>3739.42</v>
      </c>
      <c r="R565" s="82">
        <f t="shared" si="236"/>
        <v>3739.42</v>
      </c>
    </row>
    <row r="566" spans="2:18" s="34" customFormat="1" ht="13.2">
      <c r="B566" s="60" t="s">
        <v>1107</v>
      </c>
      <c r="C566" s="61" t="s">
        <v>1108</v>
      </c>
      <c r="D566" s="60"/>
      <c r="E566" s="62"/>
      <c r="F566" s="63"/>
      <c r="G566" s="63"/>
      <c r="H566" s="63"/>
      <c r="I566" s="63">
        <f>SUM(G566:H566)+'BM 002'!I566</f>
        <v>0</v>
      </c>
      <c r="J566" s="63">
        <f t="shared" si="229"/>
        <v>0</v>
      </c>
      <c r="K566" s="63"/>
      <c r="L566" s="63">
        <f t="shared" si="228"/>
        <v>0</v>
      </c>
      <c r="M566" s="63">
        <f t="shared" ref="M566:R566" si="237">SUM(M567:M587)</f>
        <v>0</v>
      </c>
      <c r="N566" s="63">
        <f t="shared" si="237"/>
        <v>0</v>
      </c>
      <c r="O566" s="63">
        <f t="shared" si="237"/>
        <v>0</v>
      </c>
      <c r="P566" s="63">
        <f t="shared" si="237"/>
        <v>397499.3</v>
      </c>
      <c r="Q566" s="63">
        <f t="shared" si="237"/>
        <v>503870.0799999999</v>
      </c>
      <c r="R566" s="63">
        <f t="shared" si="237"/>
        <v>503870.0799999999</v>
      </c>
    </row>
    <row r="567" spans="2:18" s="34" customFormat="1" ht="46.2">
      <c r="B567" s="87" t="s">
        <v>1109</v>
      </c>
      <c r="C567" s="88" t="s">
        <v>1110</v>
      </c>
      <c r="D567" s="89" t="s">
        <v>63</v>
      </c>
      <c r="E567" s="92">
        <v>33</v>
      </c>
      <c r="F567" s="91"/>
      <c r="G567" s="91"/>
      <c r="H567" s="91"/>
      <c r="I567" s="91">
        <f>SUM(G567:H567)+'BM 002'!I567</f>
        <v>0</v>
      </c>
      <c r="J567" s="91">
        <f t="shared" si="229"/>
        <v>33</v>
      </c>
      <c r="K567" s="84">
        <v>540</v>
      </c>
      <c r="L567" s="81">
        <f t="shared" si="228"/>
        <v>684.50405940000007</v>
      </c>
      <c r="M567" s="82">
        <f t="shared" ref="M567:M587" si="238">TRUNC(F567*L567,2)</f>
        <v>0</v>
      </c>
      <c r="N567" s="82">
        <f t="shared" ref="N567:N587" si="239">TRUNC(G567*L567,2)</f>
        <v>0</v>
      </c>
      <c r="O567" s="82">
        <f>N567+'BM 002'!O567</f>
        <v>0</v>
      </c>
      <c r="P567" s="80">
        <f t="shared" ref="P567:P587" si="240">E567*K567</f>
        <v>17820</v>
      </c>
      <c r="Q567" s="82">
        <f t="shared" ref="Q567:Q587" si="241">TRUNC(E567*L567,2)</f>
        <v>22588.63</v>
      </c>
      <c r="R567" s="82">
        <f t="shared" ref="R567:R587" si="242">Q567-O567</f>
        <v>22588.63</v>
      </c>
    </row>
    <row r="568" spans="2:18" s="34" customFormat="1" ht="46.2">
      <c r="B568" s="87" t="s">
        <v>1111</v>
      </c>
      <c r="C568" s="88" t="s">
        <v>1112</v>
      </c>
      <c r="D568" s="89" t="s">
        <v>63</v>
      </c>
      <c r="E568" s="90">
        <f>56-E567</f>
        <v>23</v>
      </c>
      <c r="F568" s="91"/>
      <c r="G568" s="91"/>
      <c r="H568" s="91"/>
      <c r="I568" s="91">
        <f>SUM(G568:H568)+'BM 002'!I568</f>
        <v>0</v>
      </c>
      <c r="J568" s="91">
        <f t="shared" si="229"/>
        <v>23</v>
      </c>
      <c r="K568" s="80">
        <v>685</v>
      </c>
      <c r="L568" s="81">
        <f t="shared" si="228"/>
        <v>868.30607535000001</v>
      </c>
      <c r="M568" s="82">
        <f t="shared" si="238"/>
        <v>0</v>
      </c>
      <c r="N568" s="82">
        <f t="shared" si="239"/>
        <v>0</v>
      </c>
      <c r="O568" s="82">
        <f>N568+'BM 002'!O568</f>
        <v>0</v>
      </c>
      <c r="P568" s="80">
        <f t="shared" si="240"/>
        <v>15755</v>
      </c>
      <c r="Q568" s="82">
        <f t="shared" si="241"/>
        <v>19971.03</v>
      </c>
      <c r="R568" s="82">
        <f t="shared" si="242"/>
        <v>19971.03</v>
      </c>
    </row>
    <row r="569" spans="2:18" s="34" customFormat="1" ht="34.799999999999997">
      <c r="B569" s="87" t="s">
        <v>1113</v>
      </c>
      <c r="C569" s="88" t="s">
        <v>1114</v>
      </c>
      <c r="D569" s="89" t="s">
        <v>131</v>
      </c>
      <c r="E569" s="92">
        <v>17</v>
      </c>
      <c r="F569" s="91"/>
      <c r="G569" s="91"/>
      <c r="H569" s="91"/>
      <c r="I569" s="91">
        <f>SUM(G569:H569)+'BM 002'!I569</f>
        <v>0</v>
      </c>
      <c r="J569" s="91">
        <f t="shared" si="229"/>
        <v>17</v>
      </c>
      <c r="K569" s="84">
        <v>725</v>
      </c>
      <c r="L569" s="81">
        <f t="shared" si="228"/>
        <v>919.01007975000005</v>
      </c>
      <c r="M569" s="82">
        <f t="shared" si="238"/>
        <v>0</v>
      </c>
      <c r="N569" s="82">
        <f t="shared" si="239"/>
        <v>0</v>
      </c>
      <c r="O569" s="82">
        <f>N569+'BM 002'!O569</f>
        <v>0</v>
      </c>
      <c r="P569" s="80">
        <f t="shared" si="240"/>
        <v>12325</v>
      </c>
      <c r="Q569" s="82">
        <f t="shared" si="241"/>
        <v>15623.17</v>
      </c>
      <c r="R569" s="82">
        <f t="shared" si="242"/>
        <v>15623.17</v>
      </c>
    </row>
    <row r="570" spans="2:18" s="34" customFormat="1" ht="23.4">
      <c r="B570" s="87" t="s">
        <v>1115</v>
      </c>
      <c r="C570" s="88" t="s">
        <v>1116</v>
      </c>
      <c r="D570" s="89" t="s">
        <v>63</v>
      </c>
      <c r="E570" s="92">
        <v>56</v>
      </c>
      <c r="F570" s="91"/>
      <c r="G570" s="91"/>
      <c r="H570" s="91"/>
      <c r="I570" s="91">
        <f>SUM(G570:H570)+'BM 002'!I570</f>
        <v>0</v>
      </c>
      <c r="J570" s="91">
        <f t="shared" si="229"/>
        <v>56</v>
      </c>
      <c r="K570" s="84">
        <v>175</v>
      </c>
      <c r="L570" s="81">
        <f t="shared" si="228"/>
        <v>221.83001925000002</v>
      </c>
      <c r="M570" s="82">
        <f t="shared" si="238"/>
        <v>0</v>
      </c>
      <c r="N570" s="82">
        <f t="shared" si="239"/>
        <v>0</v>
      </c>
      <c r="O570" s="82">
        <f>N570+'BM 002'!O570</f>
        <v>0</v>
      </c>
      <c r="P570" s="80">
        <f t="shared" si="240"/>
        <v>9800</v>
      </c>
      <c r="Q570" s="82">
        <f t="shared" si="241"/>
        <v>12422.48</v>
      </c>
      <c r="R570" s="82">
        <f t="shared" si="242"/>
        <v>12422.48</v>
      </c>
    </row>
    <row r="571" spans="2:18" s="34" customFormat="1" ht="13.2">
      <c r="B571" s="87" t="s">
        <v>1117</v>
      </c>
      <c r="C571" s="88" t="s">
        <v>1118</v>
      </c>
      <c r="D571" s="89" t="s">
        <v>63</v>
      </c>
      <c r="E571" s="92">
        <v>11</v>
      </c>
      <c r="F571" s="91"/>
      <c r="G571" s="91"/>
      <c r="H571" s="91"/>
      <c r="I571" s="91">
        <f>SUM(G571:H571)+'BM 002'!I571</f>
        <v>0</v>
      </c>
      <c r="J571" s="91">
        <f t="shared" si="229"/>
        <v>11</v>
      </c>
      <c r="K571" s="84">
        <v>120</v>
      </c>
      <c r="L571" s="81">
        <f t="shared" si="228"/>
        <v>152.11201320000001</v>
      </c>
      <c r="M571" s="82">
        <f t="shared" si="238"/>
        <v>0</v>
      </c>
      <c r="N571" s="82">
        <f t="shared" si="239"/>
        <v>0</v>
      </c>
      <c r="O571" s="82">
        <f>N571+'BM 002'!O571</f>
        <v>0</v>
      </c>
      <c r="P571" s="80">
        <f t="shared" si="240"/>
        <v>1320</v>
      </c>
      <c r="Q571" s="82">
        <f t="shared" si="241"/>
        <v>1673.23</v>
      </c>
      <c r="R571" s="82">
        <f t="shared" si="242"/>
        <v>1673.23</v>
      </c>
    </row>
    <row r="572" spans="2:18" s="34" customFormat="1" ht="34.799999999999997">
      <c r="B572" s="87" t="s">
        <v>1119</v>
      </c>
      <c r="C572" s="88" t="s">
        <v>1120</v>
      </c>
      <c r="D572" s="89" t="s">
        <v>63</v>
      </c>
      <c r="E572" s="92">
        <v>20</v>
      </c>
      <c r="F572" s="91"/>
      <c r="G572" s="91"/>
      <c r="H572" s="91"/>
      <c r="I572" s="91">
        <f>SUM(G572:H572)+'BM 002'!I572</f>
        <v>0</v>
      </c>
      <c r="J572" s="91">
        <f t="shared" si="229"/>
        <v>20</v>
      </c>
      <c r="K572" s="84">
        <v>205</v>
      </c>
      <c r="L572" s="81">
        <f t="shared" si="228"/>
        <v>259.85802254999999</v>
      </c>
      <c r="M572" s="82">
        <f t="shared" si="238"/>
        <v>0</v>
      </c>
      <c r="N572" s="82">
        <f t="shared" si="239"/>
        <v>0</v>
      </c>
      <c r="O572" s="82">
        <f>N572+'BM 002'!O572</f>
        <v>0</v>
      </c>
      <c r="P572" s="80">
        <f t="shared" si="240"/>
        <v>4100</v>
      </c>
      <c r="Q572" s="82">
        <f t="shared" si="241"/>
        <v>5197.16</v>
      </c>
      <c r="R572" s="82">
        <f t="shared" si="242"/>
        <v>5197.16</v>
      </c>
    </row>
    <row r="573" spans="2:18" s="34" customFormat="1" ht="23.4">
      <c r="B573" s="87" t="s">
        <v>1121</v>
      </c>
      <c r="C573" s="88" t="s">
        <v>1122</v>
      </c>
      <c r="D573" s="89" t="s">
        <v>63</v>
      </c>
      <c r="E573" s="92">
        <v>39</v>
      </c>
      <c r="F573" s="91"/>
      <c r="G573" s="91"/>
      <c r="H573" s="91"/>
      <c r="I573" s="91">
        <f>SUM(G573:H573)+'BM 002'!I573</f>
        <v>0</v>
      </c>
      <c r="J573" s="91">
        <f t="shared" si="229"/>
        <v>39</v>
      </c>
      <c r="K573" s="84">
        <v>730</v>
      </c>
      <c r="L573" s="81">
        <f t="shared" si="228"/>
        <v>925.34808029999999</v>
      </c>
      <c r="M573" s="82">
        <f t="shared" si="238"/>
        <v>0</v>
      </c>
      <c r="N573" s="82">
        <f t="shared" si="239"/>
        <v>0</v>
      </c>
      <c r="O573" s="82">
        <f>N573+'BM 002'!O573</f>
        <v>0</v>
      </c>
      <c r="P573" s="80">
        <f t="shared" si="240"/>
        <v>28470</v>
      </c>
      <c r="Q573" s="82">
        <f t="shared" si="241"/>
        <v>36088.57</v>
      </c>
      <c r="R573" s="82">
        <f t="shared" si="242"/>
        <v>36088.57</v>
      </c>
    </row>
    <row r="574" spans="2:18" s="34" customFormat="1" ht="23.4">
      <c r="B574" s="87" t="s">
        <v>1123</v>
      </c>
      <c r="C574" s="88" t="s">
        <v>1124</v>
      </c>
      <c r="D574" s="89" t="s">
        <v>63</v>
      </c>
      <c r="E574" s="92">
        <v>6</v>
      </c>
      <c r="F574" s="91"/>
      <c r="G574" s="91"/>
      <c r="H574" s="91"/>
      <c r="I574" s="91">
        <f>SUM(G574:H574)+'BM 002'!I574</f>
        <v>0</v>
      </c>
      <c r="J574" s="91">
        <f t="shared" si="229"/>
        <v>6</v>
      </c>
      <c r="K574" s="84">
        <v>4500</v>
      </c>
      <c r="L574" s="81">
        <f t="shared" si="228"/>
        <v>5704.200495</v>
      </c>
      <c r="M574" s="82">
        <f t="shared" si="238"/>
        <v>0</v>
      </c>
      <c r="N574" s="82">
        <f t="shared" si="239"/>
        <v>0</v>
      </c>
      <c r="O574" s="82">
        <f>N574+'BM 002'!O574</f>
        <v>0</v>
      </c>
      <c r="P574" s="80">
        <f t="shared" si="240"/>
        <v>27000</v>
      </c>
      <c r="Q574" s="82">
        <f t="shared" si="241"/>
        <v>34225.199999999997</v>
      </c>
      <c r="R574" s="82">
        <f t="shared" si="242"/>
        <v>34225.199999999997</v>
      </c>
    </row>
    <row r="575" spans="2:18" s="34" customFormat="1" ht="34.799999999999997">
      <c r="B575" s="87" t="s">
        <v>1125</v>
      </c>
      <c r="C575" s="88" t="s">
        <v>1126</v>
      </c>
      <c r="D575" s="89" t="s">
        <v>63</v>
      </c>
      <c r="E575" s="92">
        <v>59</v>
      </c>
      <c r="F575" s="91"/>
      <c r="G575" s="91"/>
      <c r="H575" s="91"/>
      <c r="I575" s="91">
        <f>SUM(G575:H575)+'BM 002'!I575</f>
        <v>0</v>
      </c>
      <c r="J575" s="91">
        <f t="shared" si="229"/>
        <v>59</v>
      </c>
      <c r="K575" s="84">
        <v>745</v>
      </c>
      <c r="L575" s="81">
        <f t="shared" si="228"/>
        <v>944.36208195000006</v>
      </c>
      <c r="M575" s="82">
        <f t="shared" si="238"/>
        <v>0</v>
      </c>
      <c r="N575" s="82">
        <f t="shared" si="239"/>
        <v>0</v>
      </c>
      <c r="O575" s="82">
        <f>N575+'BM 002'!O575</f>
        <v>0</v>
      </c>
      <c r="P575" s="80">
        <f t="shared" si="240"/>
        <v>43955</v>
      </c>
      <c r="Q575" s="82">
        <f t="shared" si="241"/>
        <v>55717.36</v>
      </c>
      <c r="R575" s="82">
        <f t="shared" si="242"/>
        <v>55717.36</v>
      </c>
    </row>
    <row r="576" spans="2:18" s="34" customFormat="1" ht="23.4">
      <c r="B576" s="87" t="s">
        <v>1127</v>
      </c>
      <c r="C576" s="88" t="s">
        <v>1128</v>
      </c>
      <c r="D576" s="89" t="s">
        <v>63</v>
      </c>
      <c r="E576" s="92">
        <v>74</v>
      </c>
      <c r="F576" s="91"/>
      <c r="G576" s="91"/>
      <c r="H576" s="91"/>
      <c r="I576" s="91">
        <f>SUM(G576:H576)+'BM 002'!I576</f>
        <v>0</v>
      </c>
      <c r="J576" s="91">
        <f t="shared" si="229"/>
        <v>74</v>
      </c>
      <c r="K576" s="84">
        <v>250</v>
      </c>
      <c r="L576" s="81">
        <f t="shared" si="228"/>
        <v>316.90002750000002</v>
      </c>
      <c r="M576" s="82">
        <f t="shared" si="238"/>
        <v>0</v>
      </c>
      <c r="N576" s="82">
        <f t="shared" si="239"/>
        <v>0</v>
      </c>
      <c r="O576" s="82">
        <f>N576+'BM 002'!O576</f>
        <v>0</v>
      </c>
      <c r="P576" s="80">
        <f t="shared" si="240"/>
        <v>18500</v>
      </c>
      <c r="Q576" s="82">
        <f t="shared" si="241"/>
        <v>23450.6</v>
      </c>
      <c r="R576" s="82">
        <f t="shared" si="242"/>
        <v>23450.6</v>
      </c>
    </row>
    <row r="577" spans="1:23" s="34" customFormat="1" ht="23.4">
      <c r="B577" s="87" t="s">
        <v>1129</v>
      </c>
      <c r="C577" s="88" t="s">
        <v>1130</v>
      </c>
      <c r="D577" s="89" t="s">
        <v>63</v>
      </c>
      <c r="E577" s="92">
        <v>49</v>
      </c>
      <c r="F577" s="91"/>
      <c r="G577" s="91"/>
      <c r="H577" s="91"/>
      <c r="I577" s="91">
        <f>SUM(G577:H577)+'BM 002'!I577</f>
        <v>0</v>
      </c>
      <c r="J577" s="91">
        <f t="shared" si="229"/>
        <v>49</v>
      </c>
      <c r="K577" s="84">
        <v>250</v>
      </c>
      <c r="L577" s="81">
        <f t="shared" si="228"/>
        <v>316.90002750000002</v>
      </c>
      <c r="M577" s="82">
        <f t="shared" si="238"/>
        <v>0</v>
      </c>
      <c r="N577" s="82">
        <f t="shared" si="239"/>
        <v>0</v>
      </c>
      <c r="O577" s="82">
        <f>N577+'BM 002'!O577</f>
        <v>0</v>
      </c>
      <c r="P577" s="80">
        <f t="shared" si="240"/>
        <v>12250</v>
      </c>
      <c r="Q577" s="82">
        <f t="shared" si="241"/>
        <v>15528.1</v>
      </c>
      <c r="R577" s="82">
        <f t="shared" si="242"/>
        <v>15528.1</v>
      </c>
    </row>
    <row r="578" spans="1:23" s="34" customFormat="1" ht="23.4">
      <c r="B578" s="87" t="s">
        <v>1131</v>
      </c>
      <c r="C578" s="88" t="s">
        <v>1132</v>
      </c>
      <c r="D578" s="89" t="s">
        <v>63</v>
      </c>
      <c r="E578" s="92">
        <v>102</v>
      </c>
      <c r="F578" s="91"/>
      <c r="G578" s="91"/>
      <c r="H578" s="91"/>
      <c r="I578" s="91">
        <f>SUM(G578:H578)+'BM 002'!I578</f>
        <v>0</v>
      </c>
      <c r="J578" s="91">
        <f t="shared" si="229"/>
        <v>102</v>
      </c>
      <c r="K578" s="84">
        <v>200</v>
      </c>
      <c r="L578" s="81">
        <f t="shared" si="228"/>
        <v>253.52002200000001</v>
      </c>
      <c r="M578" s="82">
        <f t="shared" si="238"/>
        <v>0</v>
      </c>
      <c r="N578" s="82">
        <f t="shared" si="239"/>
        <v>0</v>
      </c>
      <c r="O578" s="82">
        <f>N578+'BM 002'!O578</f>
        <v>0</v>
      </c>
      <c r="P578" s="80">
        <f t="shared" si="240"/>
        <v>20400</v>
      </c>
      <c r="Q578" s="82">
        <f t="shared" si="241"/>
        <v>25859.040000000001</v>
      </c>
      <c r="R578" s="82">
        <f t="shared" si="242"/>
        <v>25859.040000000001</v>
      </c>
    </row>
    <row r="579" spans="1:23" s="34" customFormat="1" ht="13.2">
      <c r="B579" s="87" t="s">
        <v>1133</v>
      </c>
      <c r="C579" s="88" t="s">
        <v>1134</v>
      </c>
      <c r="D579" s="89" t="s">
        <v>63</v>
      </c>
      <c r="E579" s="92">
        <v>135</v>
      </c>
      <c r="F579" s="91"/>
      <c r="G579" s="91"/>
      <c r="H579" s="91"/>
      <c r="I579" s="91">
        <f>SUM(G579:H579)+'BM 002'!I579</f>
        <v>0</v>
      </c>
      <c r="J579" s="91">
        <f t="shared" si="229"/>
        <v>135</v>
      </c>
      <c r="K579" s="84">
        <v>85</v>
      </c>
      <c r="L579" s="81">
        <f t="shared" si="228"/>
        <v>107.74600935000001</v>
      </c>
      <c r="M579" s="82">
        <f t="shared" si="238"/>
        <v>0</v>
      </c>
      <c r="N579" s="82">
        <f t="shared" si="239"/>
        <v>0</v>
      </c>
      <c r="O579" s="82">
        <f>N579+'BM 002'!O579</f>
        <v>0</v>
      </c>
      <c r="P579" s="80">
        <f t="shared" si="240"/>
        <v>11475</v>
      </c>
      <c r="Q579" s="82">
        <f t="shared" si="241"/>
        <v>14545.71</v>
      </c>
      <c r="R579" s="82">
        <f t="shared" si="242"/>
        <v>14545.71</v>
      </c>
    </row>
    <row r="580" spans="1:23" s="34" customFormat="1" ht="34.799999999999997">
      <c r="B580" s="87" t="s">
        <v>1135</v>
      </c>
      <c r="C580" s="88" t="s">
        <v>1136</v>
      </c>
      <c r="D580" s="89" t="s">
        <v>79</v>
      </c>
      <c r="E580" s="92">
        <v>43.42</v>
      </c>
      <c r="F580" s="91"/>
      <c r="G580" s="91"/>
      <c r="H580" s="91"/>
      <c r="I580" s="91">
        <f>SUM(G580:H580)+'BM 002'!I580</f>
        <v>0</v>
      </c>
      <c r="J580" s="91">
        <f t="shared" si="229"/>
        <v>43.42</v>
      </c>
      <c r="K580" s="84">
        <v>2590</v>
      </c>
      <c r="L580" s="81">
        <f t="shared" si="228"/>
        <v>3283.0842849000001</v>
      </c>
      <c r="M580" s="82">
        <f t="shared" si="238"/>
        <v>0</v>
      </c>
      <c r="N580" s="82">
        <f t="shared" si="239"/>
        <v>0</v>
      </c>
      <c r="O580" s="82">
        <f>N580+'BM 002'!O580</f>
        <v>0</v>
      </c>
      <c r="P580" s="80">
        <f t="shared" si="240"/>
        <v>112457.8</v>
      </c>
      <c r="Q580" s="82">
        <f t="shared" si="241"/>
        <v>142551.51</v>
      </c>
      <c r="R580" s="82">
        <f t="shared" si="242"/>
        <v>142551.51</v>
      </c>
    </row>
    <row r="581" spans="1:23" s="34" customFormat="1" ht="23.4">
      <c r="B581" s="87" t="s">
        <v>1137</v>
      </c>
      <c r="C581" s="88" t="s">
        <v>1138</v>
      </c>
      <c r="D581" s="89" t="s">
        <v>79</v>
      </c>
      <c r="E581" s="92">
        <v>8.93</v>
      </c>
      <c r="F581" s="91"/>
      <c r="G581" s="91"/>
      <c r="H581" s="91"/>
      <c r="I581" s="91">
        <f>SUM(G581:H581)+'BM 002'!I581</f>
        <v>0</v>
      </c>
      <c r="J581" s="91">
        <f t="shared" si="229"/>
        <v>8.93</v>
      </c>
      <c r="K581" s="84">
        <v>950</v>
      </c>
      <c r="L581" s="81">
        <f t="shared" si="228"/>
        <v>1204.2201045000002</v>
      </c>
      <c r="M581" s="82">
        <f t="shared" si="238"/>
        <v>0</v>
      </c>
      <c r="N581" s="82">
        <f t="shared" si="239"/>
        <v>0</v>
      </c>
      <c r="O581" s="82">
        <f>N581+'BM 002'!O581</f>
        <v>0</v>
      </c>
      <c r="P581" s="80">
        <f t="shared" si="240"/>
        <v>8483.5</v>
      </c>
      <c r="Q581" s="82">
        <f t="shared" si="241"/>
        <v>10753.68</v>
      </c>
      <c r="R581" s="82">
        <f t="shared" si="242"/>
        <v>10753.68</v>
      </c>
    </row>
    <row r="582" spans="1:23" s="34" customFormat="1" ht="23.4">
      <c r="B582" s="87" t="s">
        <v>1139</v>
      </c>
      <c r="C582" s="88" t="s">
        <v>1140</v>
      </c>
      <c r="D582" s="89" t="s">
        <v>63</v>
      </c>
      <c r="E582" s="92">
        <v>1</v>
      </c>
      <c r="F582" s="91"/>
      <c r="G582" s="91"/>
      <c r="H582" s="91"/>
      <c r="I582" s="91">
        <f>SUM(G582:H582)+'BM 002'!I582</f>
        <v>0</v>
      </c>
      <c r="J582" s="91">
        <f t="shared" si="229"/>
        <v>1</v>
      </c>
      <c r="K582" s="84">
        <v>210</v>
      </c>
      <c r="L582" s="81">
        <f t="shared" si="228"/>
        <v>266.19602309999999</v>
      </c>
      <c r="M582" s="82">
        <f t="shared" si="238"/>
        <v>0</v>
      </c>
      <c r="N582" s="82">
        <f t="shared" si="239"/>
        <v>0</v>
      </c>
      <c r="O582" s="82">
        <f>N582+'BM 002'!O582</f>
        <v>0</v>
      </c>
      <c r="P582" s="80">
        <f t="shared" si="240"/>
        <v>210</v>
      </c>
      <c r="Q582" s="82">
        <f t="shared" si="241"/>
        <v>266.19</v>
      </c>
      <c r="R582" s="82">
        <f t="shared" si="242"/>
        <v>266.19</v>
      </c>
    </row>
    <row r="583" spans="1:23" s="34" customFormat="1" ht="34.799999999999997">
      <c r="B583" s="87" t="s">
        <v>1141</v>
      </c>
      <c r="C583" s="88" t="s">
        <v>1142</v>
      </c>
      <c r="D583" s="89" t="s">
        <v>63</v>
      </c>
      <c r="E583" s="92">
        <v>22</v>
      </c>
      <c r="F583" s="91"/>
      <c r="G583" s="91"/>
      <c r="H583" s="91"/>
      <c r="I583" s="91">
        <f>SUM(G583:H583)+'BM 002'!I583</f>
        <v>0</v>
      </c>
      <c r="J583" s="91">
        <f t="shared" si="229"/>
        <v>22</v>
      </c>
      <c r="K583" s="84">
        <v>490</v>
      </c>
      <c r="L583" s="81">
        <f t="shared" si="228"/>
        <v>621.12405390000004</v>
      </c>
      <c r="M583" s="82">
        <f t="shared" si="238"/>
        <v>0</v>
      </c>
      <c r="N583" s="82">
        <f t="shared" si="239"/>
        <v>0</v>
      </c>
      <c r="O583" s="82">
        <f>N583+'BM 002'!O583</f>
        <v>0</v>
      </c>
      <c r="P583" s="80">
        <f t="shared" si="240"/>
        <v>10780</v>
      </c>
      <c r="Q583" s="82">
        <f t="shared" si="241"/>
        <v>13664.72</v>
      </c>
      <c r="R583" s="82">
        <f t="shared" si="242"/>
        <v>13664.72</v>
      </c>
    </row>
    <row r="584" spans="1:23" ht="46.8">
      <c r="A584" s="34"/>
      <c r="B584" s="87" t="s">
        <v>1143</v>
      </c>
      <c r="C584" s="88" t="s">
        <v>1144</v>
      </c>
      <c r="D584" s="89" t="s">
        <v>63</v>
      </c>
      <c r="E584" s="92">
        <v>3</v>
      </c>
      <c r="F584" s="91"/>
      <c r="G584" s="91"/>
      <c r="H584" s="91"/>
      <c r="I584" s="91">
        <f>SUM(G584:H584)+'BM 002'!I584</f>
        <v>0</v>
      </c>
      <c r="J584" s="91">
        <f t="shared" si="229"/>
        <v>3</v>
      </c>
      <c r="K584" s="84">
        <v>2480</v>
      </c>
      <c r="L584" s="81">
        <f t="shared" si="228"/>
        <v>3143.6482728000001</v>
      </c>
      <c r="M584" s="82">
        <f t="shared" si="238"/>
        <v>0</v>
      </c>
      <c r="N584" s="82">
        <f t="shared" si="239"/>
        <v>0</v>
      </c>
      <c r="O584" s="82">
        <f>N584+'BM 002'!O584</f>
        <v>0</v>
      </c>
      <c r="P584" s="80">
        <f t="shared" si="240"/>
        <v>7440</v>
      </c>
      <c r="Q584" s="82">
        <f t="shared" si="241"/>
        <v>9430.94</v>
      </c>
      <c r="R584" s="82">
        <f t="shared" si="242"/>
        <v>9430.94</v>
      </c>
      <c r="S584" s="34"/>
      <c r="T584" s="34"/>
      <c r="U584" s="34"/>
      <c r="V584" s="34"/>
      <c r="W584" s="34"/>
    </row>
    <row r="585" spans="1:23">
      <c r="A585" s="34"/>
      <c r="B585" s="87" t="s">
        <v>1145</v>
      </c>
      <c r="C585" s="88" t="s">
        <v>1146</v>
      </c>
      <c r="D585" s="89" t="s">
        <v>63</v>
      </c>
      <c r="E585" s="92">
        <v>7</v>
      </c>
      <c r="F585" s="91"/>
      <c r="G585" s="91"/>
      <c r="H585" s="91"/>
      <c r="I585" s="91">
        <f>SUM(G585:H585)+'BM 002'!I585</f>
        <v>0</v>
      </c>
      <c r="J585" s="91">
        <f t="shared" si="229"/>
        <v>7</v>
      </c>
      <c r="K585" s="84">
        <v>950</v>
      </c>
      <c r="L585" s="81">
        <f t="shared" si="228"/>
        <v>1204.2201045000002</v>
      </c>
      <c r="M585" s="82">
        <f t="shared" si="238"/>
        <v>0</v>
      </c>
      <c r="N585" s="82">
        <f t="shared" si="239"/>
        <v>0</v>
      </c>
      <c r="O585" s="82">
        <f>N585+'BM 002'!O585</f>
        <v>0</v>
      </c>
      <c r="P585" s="80">
        <f t="shared" si="240"/>
        <v>6650</v>
      </c>
      <c r="Q585" s="82">
        <f t="shared" si="241"/>
        <v>8429.5400000000009</v>
      </c>
      <c r="R585" s="82">
        <f t="shared" si="242"/>
        <v>8429.5400000000009</v>
      </c>
      <c r="S585" s="34"/>
      <c r="T585" s="34"/>
      <c r="U585" s="34"/>
      <c r="V585" s="34"/>
      <c r="W585" s="34"/>
    </row>
    <row r="586" spans="1:23" ht="24">
      <c r="A586" s="34"/>
      <c r="B586" s="87" t="s">
        <v>1147</v>
      </c>
      <c r="C586" s="88" t="s">
        <v>1148</v>
      </c>
      <c r="D586" s="89" t="s">
        <v>63</v>
      </c>
      <c r="E586" s="92">
        <v>43</v>
      </c>
      <c r="F586" s="91"/>
      <c r="G586" s="91"/>
      <c r="H586" s="91"/>
      <c r="I586" s="91">
        <f>SUM(G586:H586)+'BM 002'!I586</f>
        <v>0</v>
      </c>
      <c r="J586" s="91">
        <f t="shared" si="229"/>
        <v>43</v>
      </c>
      <c r="K586" s="84">
        <v>300</v>
      </c>
      <c r="L586" s="81">
        <f t="shared" si="228"/>
        <v>380.280033</v>
      </c>
      <c r="M586" s="82">
        <f t="shared" si="238"/>
        <v>0</v>
      </c>
      <c r="N586" s="82">
        <f t="shared" si="239"/>
        <v>0</v>
      </c>
      <c r="O586" s="82">
        <f>N586+'BM 002'!O586</f>
        <v>0</v>
      </c>
      <c r="P586" s="80">
        <f t="shared" si="240"/>
        <v>12900</v>
      </c>
      <c r="Q586" s="82">
        <f t="shared" si="241"/>
        <v>16352.04</v>
      </c>
      <c r="R586" s="82">
        <f t="shared" si="242"/>
        <v>16352.04</v>
      </c>
      <c r="S586" s="34"/>
      <c r="T586" s="34"/>
      <c r="U586" s="34"/>
      <c r="V586" s="34"/>
      <c r="W586" s="34"/>
    </row>
    <row r="587" spans="1:23" ht="24">
      <c r="A587" s="34"/>
      <c r="B587" s="87" t="s">
        <v>1149</v>
      </c>
      <c r="C587" s="88" t="s">
        <v>1150</v>
      </c>
      <c r="D587" s="89" t="s">
        <v>63</v>
      </c>
      <c r="E587" s="92">
        <v>4</v>
      </c>
      <c r="F587" s="91"/>
      <c r="G587" s="91"/>
      <c r="H587" s="91"/>
      <c r="I587" s="91">
        <f>SUM(G587:H587)+'BM 002'!I587</f>
        <v>0</v>
      </c>
      <c r="J587" s="91">
        <f t="shared" si="229"/>
        <v>4</v>
      </c>
      <c r="K587" s="84">
        <v>3852</v>
      </c>
      <c r="L587" s="81">
        <f t="shared" si="228"/>
        <v>4882.7956237200005</v>
      </c>
      <c r="M587" s="82">
        <f t="shared" si="238"/>
        <v>0</v>
      </c>
      <c r="N587" s="82">
        <f t="shared" si="239"/>
        <v>0</v>
      </c>
      <c r="O587" s="82">
        <f>N587+'BM 002'!O587</f>
        <v>0</v>
      </c>
      <c r="P587" s="80">
        <f t="shared" si="240"/>
        <v>15408</v>
      </c>
      <c r="Q587" s="82">
        <f t="shared" si="241"/>
        <v>19531.18</v>
      </c>
      <c r="R587" s="82">
        <f t="shared" si="242"/>
        <v>19531.18</v>
      </c>
      <c r="S587" s="34"/>
      <c r="T587" s="34"/>
      <c r="U587" s="34"/>
      <c r="V587" s="34"/>
      <c r="W587" s="34"/>
    </row>
    <row r="588" spans="1:23">
      <c r="A588" s="34"/>
      <c r="B588" s="60" t="s">
        <v>1151</v>
      </c>
      <c r="C588" s="61" t="s">
        <v>1152</v>
      </c>
      <c r="D588" s="60"/>
      <c r="E588" s="62"/>
      <c r="F588" s="63"/>
      <c r="G588" s="63"/>
      <c r="H588" s="63"/>
      <c r="I588" s="63">
        <f>SUM(G588:H588)+'BM 002'!I588</f>
        <v>0</v>
      </c>
      <c r="J588" s="63">
        <f t="shared" si="229"/>
        <v>0</v>
      </c>
      <c r="K588" s="63"/>
      <c r="L588" s="63">
        <f t="shared" si="228"/>
        <v>0</v>
      </c>
      <c r="M588" s="63">
        <f t="shared" ref="M588:R588" si="243">SUM(M589:M590)</f>
        <v>0</v>
      </c>
      <c r="N588" s="63">
        <f t="shared" si="243"/>
        <v>0</v>
      </c>
      <c r="O588" s="63">
        <f t="shared" si="243"/>
        <v>0</v>
      </c>
      <c r="P588" s="63">
        <f t="shared" si="243"/>
        <v>30555.67</v>
      </c>
      <c r="Q588" s="63">
        <f t="shared" si="243"/>
        <v>38732.36</v>
      </c>
      <c r="R588" s="63">
        <f t="shared" si="243"/>
        <v>38732.36</v>
      </c>
      <c r="S588" s="34"/>
      <c r="T588" s="34"/>
      <c r="U588" s="34"/>
      <c r="V588" s="34"/>
      <c r="W588" s="34"/>
    </row>
    <row r="589" spans="1:23" s="122" customFormat="1" ht="13.8">
      <c r="A589" s="34"/>
      <c r="B589" s="75" t="s">
        <v>1153</v>
      </c>
      <c r="C589" s="76" t="s">
        <v>1154</v>
      </c>
      <c r="D589" s="121" t="s">
        <v>63</v>
      </c>
      <c r="E589" s="78">
        <v>1</v>
      </c>
      <c r="F589" s="79"/>
      <c r="G589" s="79"/>
      <c r="H589" s="79"/>
      <c r="I589" s="79">
        <f>SUM(G589:H589)+'BM 002'!I589</f>
        <v>0</v>
      </c>
      <c r="J589" s="79">
        <f t="shared" si="229"/>
        <v>1</v>
      </c>
      <c r="K589" s="84">
        <v>5076.55</v>
      </c>
      <c r="L589" s="81">
        <f t="shared" si="228"/>
        <v>6435.0353384205009</v>
      </c>
      <c r="M589" s="82">
        <f>TRUNC(F589*L589,2)</f>
        <v>0</v>
      </c>
      <c r="N589" s="82">
        <f>TRUNC(G589*L589,2)</f>
        <v>0</v>
      </c>
      <c r="O589" s="82">
        <f>N589+'BM 002'!O589</f>
        <v>0</v>
      </c>
      <c r="P589" s="80">
        <f>E589*K589</f>
        <v>5076.55</v>
      </c>
      <c r="Q589" s="82">
        <f>TRUNC(E589*L589,2)</f>
        <v>6435.03</v>
      </c>
      <c r="R589" s="82">
        <f>Q589-O589</f>
        <v>6435.03</v>
      </c>
      <c r="S589" s="34"/>
      <c r="T589" s="34"/>
      <c r="U589" s="34"/>
      <c r="V589" s="34"/>
      <c r="W589" s="34"/>
    </row>
    <row r="590" spans="1:23" s="122" customFormat="1" ht="13.8">
      <c r="A590" s="34"/>
      <c r="B590" s="75" t="s">
        <v>1155</v>
      </c>
      <c r="C590" s="76" t="s">
        <v>1156</v>
      </c>
      <c r="D590" s="77" t="s">
        <v>79</v>
      </c>
      <c r="E590" s="93">
        <v>6369.78</v>
      </c>
      <c r="F590" s="79"/>
      <c r="G590" s="79"/>
      <c r="H590" s="79"/>
      <c r="I590" s="79">
        <f>SUM(G590:H590)+'BM 002'!I590</f>
        <v>0</v>
      </c>
      <c r="J590" s="79">
        <f t="shared" si="229"/>
        <v>6369.78</v>
      </c>
      <c r="K590" s="123">
        <v>4</v>
      </c>
      <c r="L590" s="81">
        <f t="shared" si="228"/>
        <v>5.0704004400000002</v>
      </c>
      <c r="M590" s="82">
        <f>TRUNC(F590*L590,2)</f>
        <v>0</v>
      </c>
      <c r="N590" s="82">
        <f>TRUNC(G590*L590,2)</f>
        <v>0</v>
      </c>
      <c r="O590" s="82">
        <f>N590+'BM 002'!O590</f>
        <v>0</v>
      </c>
      <c r="P590" s="124">
        <f>E590*K590</f>
        <v>25479.119999999999</v>
      </c>
      <c r="Q590" s="82">
        <f>TRUNC(E590*L590,2)</f>
        <v>32297.33</v>
      </c>
      <c r="R590" s="82">
        <f>Q590-O590</f>
        <v>32297.33</v>
      </c>
      <c r="S590" s="34"/>
      <c r="T590" s="34"/>
      <c r="U590" s="34"/>
      <c r="V590" s="34"/>
      <c r="W590" s="34"/>
    </row>
    <row r="591" spans="1:23" s="122" customFormat="1" ht="13.8">
      <c r="A591" s="34"/>
      <c r="B591" s="125"/>
      <c r="C591" s="126"/>
      <c r="D591" s="127"/>
      <c r="E591" s="128"/>
      <c r="F591" s="128"/>
      <c r="G591" s="128"/>
      <c r="H591" s="128"/>
      <c r="I591" s="128"/>
      <c r="J591" s="128"/>
      <c r="K591" s="129"/>
      <c r="L591" s="129"/>
      <c r="M591" s="130"/>
      <c r="N591" s="130"/>
      <c r="O591" s="130"/>
      <c r="P591" s="130"/>
      <c r="Q591" s="130"/>
      <c r="R591" s="130"/>
      <c r="S591" s="34"/>
      <c r="T591" s="34"/>
      <c r="U591" s="34"/>
      <c r="V591" s="34"/>
      <c r="W591" s="34"/>
    </row>
    <row r="592" spans="1:23" s="122" customFormat="1" ht="31.5" customHeight="1">
      <c r="A592" s="2"/>
      <c r="B592" s="533" t="s">
        <v>1157</v>
      </c>
      <c r="C592" s="533"/>
      <c r="D592" s="533"/>
      <c r="E592" s="533"/>
      <c r="F592" s="533"/>
      <c r="G592" s="533"/>
      <c r="H592" s="533"/>
      <c r="I592" s="533"/>
      <c r="J592" s="533"/>
      <c r="K592" s="533"/>
      <c r="L592" s="533"/>
      <c r="M592" s="131">
        <f>M27+M46+M58+M88+M126+M134+M148+M162+M167+M171+M216+M225+M234+M319+M432+M447+M463+M491</f>
        <v>90715.67</v>
      </c>
      <c r="N592" s="132">
        <f>SUM(N27,N52,N62,N94,N131,N139,N155,N170,N175,N178,N215,N222,N225,N317,N328,N481,N507,N566,N588)</f>
        <v>567017.91999999993</v>
      </c>
      <c r="O592" s="132">
        <f>SUM(O27,O52,O62,O94,O131,O139,O155,O170,O175,O178,O215,O222,O225,O317,O328,O481,O507,O566,O588)</f>
        <v>2048777.91</v>
      </c>
      <c r="P592" s="132">
        <f>SUM(P27,P52,P62,P94,P131,P139,P155,P170,P175,P178,P215,P222,P225,P317,P328,P481,P507,P566,P588)</f>
        <v>20732092.142300002</v>
      </c>
      <c r="Q592" s="132">
        <f>SUM(Q27,Q52,Q62,Q94,Q131,Q139,Q155,Q170,Q175,Q178,Q215,Q222,Q225,Q317,Q328,Q481,Q507,Q566,Q588)</f>
        <v>26279999.999999993</v>
      </c>
      <c r="R592" s="132">
        <f>SUM(R27,R52,R62,R94,R131,R139,R155,R170,R175,R178,R215,R222,R225,R317,R328,R481,R507,R566,R588)</f>
        <v>24231222.089999996</v>
      </c>
      <c r="S592" s="2"/>
      <c r="T592" s="2"/>
      <c r="U592" s="2"/>
      <c r="V592" s="2"/>
      <c r="W592" s="2"/>
    </row>
    <row r="593" spans="1:23" s="122" customFormat="1" ht="31.5" customHeight="1">
      <c r="A593" s="2"/>
      <c r="B593" s="533" t="s">
        <v>1196</v>
      </c>
      <c r="C593" s="533"/>
      <c r="D593" s="533"/>
      <c r="E593" s="533"/>
      <c r="F593" s="533"/>
      <c r="G593" s="533"/>
      <c r="H593" s="533"/>
      <c r="I593" s="533"/>
      <c r="J593" s="533"/>
      <c r="K593" s="533"/>
      <c r="L593" s="533"/>
      <c r="M593" s="131"/>
      <c r="N593" s="133">
        <f>G618+G620+G621</f>
        <v>119528.5</v>
      </c>
      <c r="O593" s="131"/>
      <c r="P593" s="132"/>
      <c r="Q593" s="132"/>
      <c r="R593" s="134"/>
      <c r="S593" s="2"/>
      <c r="T593" s="2"/>
      <c r="U593" s="2"/>
      <c r="V593" s="2"/>
      <c r="W593" s="2"/>
    </row>
    <row r="594" spans="1:23" s="122" customFormat="1" ht="31.5" customHeight="1">
      <c r="A594" s="2"/>
      <c r="B594" s="533" t="s">
        <v>1159</v>
      </c>
      <c r="C594" s="533"/>
      <c r="D594" s="533"/>
      <c r="E594" s="533"/>
      <c r="F594" s="533"/>
      <c r="G594" s="533"/>
      <c r="H594" s="533"/>
      <c r="I594" s="533"/>
      <c r="J594" s="533"/>
      <c r="K594" s="533"/>
      <c r="L594" s="533"/>
      <c r="M594" s="131"/>
      <c r="N594" s="131"/>
      <c r="O594" s="131"/>
      <c r="P594" s="132"/>
      <c r="Q594" s="132"/>
      <c r="R594" s="134"/>
      <c r="S594" s="2"/>
      <c r="T594" s="2"/>
      <c r="U594" s="2"/>
      <c r="V594" s="2"/>
      <c r="W594" s="2"/>
    </row>
    <row r="595" spans="1:23" s="122" customFormat="1" ht="31.5" customHeight="1">
      <c r="A595" s="2"/>
      <c r="B595" s="533" t="s">
        <v>1160</v>
      </c>
      <c r="C595" s="533"/>
      <c r="D595" s="533"/>
      <c r="E595" s="533"/>
      <c r="F595" s="533"/>
      <c r="G595" s="533"/>
      <c r="H595" s="533"/>
      <c r="I595" s="533"/>
      <c r="J595" s="533"/>
      <c r="K595" s="533"/>
      <c r="L595" s="533"/>
      <c r="M595" s="131"/>
      <c r="N595" s="131"/>
      <c r="O595" s="131"/>
      <c r="P595" s="132"/>
      <c r="Q595" s="132"/>
      <c r="R595" s="134"/>
      <c r="S595" s="2"/>
      <c r="T595" s="2"/>
      <c r="U595" s="2"/>
      <c r="V595" s="2"/>
      <c r="W595" s="2"/>
    </row>
    <row r="596" spans="1:23" s="122" customFormat="1" ht="31.5" customHeight="1">
      <c r="A596" s="2"/>
      <c r="B596" s="533" t="s">
        <v>1161</v>
      </c>
      <c r="C596" s="533"/>
      <c r="D596" s="533"/>
      <c r="E596" s="533"/>
      <c r="F596" s="533"/>
      <c r="G596" s="533"/>
      <c r="H596" s="533"/>
      <c r="I596" s="533"/>
      <c r="J596" s="533"/>
      <c r="K596" s="533"/>
      <c r="L596" s="533"/>
      <c r="M596" s="131">
        <f>M28+M47+M59+M89+M127+M135+M149+M163+M168+M172+M217+M226+M235+M320+M433+M448+M464+M492</f>
        <v>6957.7800000000007</v>
      </c>
      <c r="N596" s="131">
        <f>N592-N593-N594-N595</f>
        <v>447489.41999999993</v>
      </c>
      <c r="O596" s="131" t="s">
        <v>1162</v>
      </c>
      <c r="P596" s="132">
        <f>P28+P47+P59+P89+P127+P135+P149+P163+P168+P172+P217+P226+P235+P320+P433+P448+P464+P492</f>
        <v>1855118.2200000002</v>
      </c>
      <c r="Q596" s="132" t="s">
        <v>1162</v>
      </c>
      <c r="R596" s="134" t="s">
        <v>1162</v>
      </c>
      <c r="S596" s="2"/>
      <c r="T596" s="2"/>
      <c r="U596" s="2"/>
      <c r="V596" s="2"/>
      <c r="W596" s="2"/>
    </row>
    <row r="597" spans="1:23" s="122" customFormat="1" ht="8.25" customHeight="1">
      <c r="D597" s="135"/>
      <c r="E597" s="136"/>
      <c r="F597" s="136"/>
      <c r="G597" s="136"/>
      <c r="H597" s="136"/>
      <c r="I597" s="136"/>
      <c r="J597" s="137"/>
      <c r="K597" s="137"/>
      <c r="L597" s="137"/>
      <c r="M597" s="137"/>
      <c r="N597" s="137"/>
      <c r="O597" s="138"/>
      <c r="P597" s="139"/>
      <c r="Q597" s="139"/>
      <c r="R597" s="137"/>
    </row>
    <row r="598" spans="1:23" s="122" customFormat="1" ht="15.75" customHeight="1">
      <c r="B598" s="140" t="s">
        <v>1163</v>
      </c>
      <c r="C598" s="141" t="s">
        <v>1164</v>
      </c>
      <c r="D598" s="534" t="s">
        <v>1165</v>
      </c>
      <c r="E598" s="534"/>
      <c r="F598" s="142" t="s">
        <v>1163</v>
      </c>
      <c r="G598" s="143" t="s">
        <v>1164</v>
      </c>
      <c r="H598" s="144"/>
      <c r="I598" s="534" t="s">
        <v>1165</v>
      </c>
      <c r="J598" s="534"/>
      <c r="K598" s="145"/>
      <c r="L598" s="142" t="s">
        <v>1166</v>
      </c>
      <c r="M598" s="142"/>
      <c r="N598" s="146"/>
      <c r="O598" s="535" t="s">
        <v>1167</v>
      </c>
      <c r="P598" s="535"/>
      <c r="Q598" s="535"/>
      <c r="R598" s="137"/>
    </row>
    <row r="599" spans="1:23" s="122" customFormat="1" ht="19.5" customHeight="1">
      <c r="B599" s="147" t="s">
        <v>1168</v>
      </c>
      <c r="C599" s="148" t="s">
        <v>1169</v>
      </c>
      <c r="D599" s="536">
        <f>TRUNC(35%*11%*N596,2)</f>
        <v>17228.34</v>
      </c>
      <c r="E599" s="536"/>
      <c r="F599" s="149" t="s">
        <v>1170</v>
      </c>
      <c r="G599" s="150"/>
      <c r="H599" s="151"/>
      <c r="I599" s="537"/>
      <c r="J599" s="537"/>
      <c r="K599" s="152"/>
      <c r="L599" s="149" t="s">
        <v>1171</v>
      </c>
      <c r="M599" s="150" t="e">
        <f>#REF!</f>
        <v>#REF!</v>
      </c>
      <c r="N599" s="150"/>
      <c r="O599" s="535"/>
      <c r="P599" s="535"/>
      <c r="Q599" s="535"/>
      <c r="R599" s="137"/>
    </row>
    <row r="600" spans="1:23" s="122" customFormat="1" ht="19.5" customHeight="1">
      <c r="B600" s="147" t="s">
        <v>1172</v>
      </c>
      <c r="C600" s="148" t="s">
        <v>1198</v>
      </c>
      <c r="D600" s="536">
        <f>E608</f>
        <v>15662.12</v>
      </c>
      <c r="E600" s="536"/>
      <c r="F600" s="149" t="s">
        <v>1174</v>
      </c>
      <c r="G600" s="150"/>
      <c r="H600" s="151"/>
      <c r="I600" s="537"/>
      <c r="J600" s="537"/>
      <c r="K600" s="152"/>
      <c r="L600" s="149" t="s">
        <v>1175</v>
      </c>
      <c r="M600" s="150" t="e">
        <f>#REF!</f>
        <v>#REF!</v>
      </c>
      <c r="N600" s="150"/>
      <c r="O600" s="538">
        <f>N596-D599-D600-D601-I599-I600-I601-N599-N600-N601</f>
        <v>414598.9599999999</v>
      </c>
      <c r="P600" s="538"/>
      <c r="Q600" s="538"/>
      <c r="R600" s="137"/>
    </row>
    <row r="601" spans="1:23" ht="19.5" customHeight="1">
      <c r="A601" s="122"/>
      <c r="B601" s="153" t="s">
        <v>1176</v>
      </c>
      <c r="C601" s="154">
        <v>0</v>
      </c>
      <c r="D601" s="539"/>
      <c r="E601" s="539"/>
      <c r="F601" s="155" t="s">
        <v>1177</v>
      </c>
      <c r="G601" s="156"/>
      <c r="H601" s="157"/>
      <c r="I601" s="540"/>
      <c r="J601" s="540"/>
      <c r="K601" s="159"/>
      <c r="L601" s="155" t="s">
        <v>1178</v>
      </c>
      <c r="M601" s="158"/>
      <c r="N601" s="158"/>
      <c r="O601" s="538"/>
      <c r="P601" s="538"/>
      <c r="Q601" s="538"/>
      <c r="R601" s="137"/>
      <c r="S601" s="122"/>
      <c r="T601" s="122"/>
      <c r="U601" s="122"/>
      <c r="V601" s="122"/>
      <c r="W601" s="122"/>
    </row>
    <row r="602" spans="1:23">
      <c r="A602" s="122"/>
      <c r="B602" s="122"/>
      <c r="C602" s="122"/>
      <c r="D602" s="135"/>
      <c r="E602" s="136"/>
      <c r="F602" s="136"/>
      <c r="G602" s="136"/>
      <c r="H602" s="136"/>
      <c r="I602" s="136"/>
      <c r="J602" s="137"/>
      <c r="K602" s="137"/>
      <c r="L602" s="137"/>
      <c r="M602" s="137"/>
      <c r="N602" s="137"/>
      <c r="O602" s="137"/>
      <c r="P602" s="139"/>
      <c r="Q602" s="139"/>
      <c r="R602" s="137"/>
      <c r="S602" s="122"/>
      <c r="T602" s="122"/>
      <c r="U602" s="122"/>
      <c r="V602" s="122"/>
      <c r="W602" s="122"/>
    </row>
    <row r="603" spans="1:23">
      <c r="A603" s="122"/>
      <c r="B603" s="122"/>
      <c r="C603" s="122"/>
      <c r="D603" s="135"/>
      <c r="E603" s="136"/>
      <c r="F603" s="136"/>
      <c r="G603" s="136"/>
      <c r="H603" s="136"/>
      <c r="I603" s="136"/>
      <c r="J603" s="137"/>
      <c r="K603" s="137"/>
      <c r="L603" s="137"/>
      <c r="M603" s="137"/>
      <c r="N603" s="137"/>
      <c r="O603" s="137"/>
      <c r="P603" s="139"/>
      <c r="Q603" s="139"/>
      <c r="R603" s="137"/>
      <c r="S603" s="122"/>
      <c r="T603" s="122"/>
      <c r="U603" s="122"/>
      <c r="V603" s="122"/>
      <c r="W603" s="122"/>
    </row>
    <row r="604" spans="1:23" ht="27.75" customHeight="1">
      <c r="A604" s="122"/>
      <c r="B604" s="122"/>
      <c r="C604" s="541" t="s">
        <v>1179</v>
      </c>
      <c r="D604" s="541"/>
      <c r="E604" s="541"/>
      <c r="F604" s="136"/>
      <c r="G604" s="136"/>
      <c r="H604" s="136"/>
      <c r="I604" s="136"/>
      <c r="J604" s="137"/>
      <c r="K604" s="137"/>
      <c r="L604" s="137"/>
      <c r="M604" s="137"/>
      <c r="N604" s="137"/>
      <c r="O604" s="137"/>
      <c r="P604" s="139"/>
      <c r="Q604" s="139"/>
      <c r="R604" s="137"/>
      <c r="S604" s="122"/>
      <c r="T604" s="122"/>
      <c r="U604" s="122"/>
      <c r="V604" s="122"/>
      <c r="W604" s="122"/>
    </row>
    <row r="605" spans="1:23" ht="24.75" customHeight="1">
      <c r="A605" s="122"/>
      <c r="B605" s="122"/>
      <c r="C605" s="542" t="s">
        <v>1180</v>
      </c>
      <c r="D605" s="542"/>
      <c r="E605" s="160">
        <f>N596</f>
        <v>447489.41999999993</v>
      </c>
      <c r="F605" s="136"/>
      <c r="G605" s="136"/>
      <c r="H605" s="136"/>
      <c r="I605" s="136"/>
      <c r="J605" s="137"/>
      <c r="K605" s="137"/>
      <c r="L605" s="137"/>
      <c r="M605" s="137"/>
      <c r="N605" s="137"/>
      <c r="O605" s="137"/>
      <c r="P605" s="139"/>
      <c r="Q605" s="139"/>
      <c r="R605" s="137"/>
      <c r="S605" s="122"/>
      <c r="T605" s="122"/>
      <c r="U605" s="122"/>
      <c r="V605" s="122"/>
      <c r="W605" s="122"/>
    </row>
    <row r="606" spans="1:23" ht="24.75" customHeight="1">
      <c r="A606" s="122"/>
      <c r="B606" s="122"/>
      <c r="C606" s="543" t="s">
        <v>1183</v>
      </c>
      <c r="D606" s="543"/>
      <c r="E606" s="162">
        <f>0.7*E605</f>
        <v>313242.59399999992</v>
      </c>
      <c r="F606" s="136"/>
      <c r="G606" s="136"/>
      <c r="H606" s="136"/>
      <c r="I606" s="136"/>
      <c r="J606" s="137"/>
      <c r="K606" s="137"/>
      <c r="L606" s="137"/>
      <c r="M606" s="137"/>
      <c r="N606" s="137"/>
      <c r="O606" s="137"/>
      <c r="P606" s="139"/>
      <c r="Q606" s="139"/>
      <c r="R606" s="137"/>
      <c r="S606" s="122"/>
      <c r="T606" s="122"/>
      <c r="U606" s="122"/>
      <c r="V606" s="122"/>
      <c r="W606" s="122"/>
    </row>
    <row r="607" spans="1:23" ht="24.75" customHeight="1">
      <c r="A607" s="122"/>
      <c r="B607" s="122"/>
      <c r="C607" s="543" t="s">
        <v>1184</v>
      </c>
      <c r="D607" s="543"/>
      <c r="E607" s="163">
        <f>E606/E605</f>
        <v>0.7</v>
      </c>
      <c r="F607" s="136"/>
      <c r="G607" s="136"/>
      <c r="H607" s="136"/>
      <c r="I607" s="136"/>
      <c r="J607" s="137"/>
      <c r="K607" s="137"/>
      <c r="L607" s="137"/>
      <c r="M607" s="137"/>
      <c r="N607" s="137"/>
      <c r="O607" s="137"/>
      <c r="P607" s="139"/>
      <c r="Q607" s="139"/>
      <c r="R607" s="137"/>
      <c r="S607" s="122"/>
      <c r="T607" s="122"/>
      <c r="U607" s="122"/>
      <c r="V607" s="122"/>
      <c r="W607" s="122"/>
    </row>
    <row r="608" spans="1:23" ht="24.75" customHeight="1">
      <c r="A608" s="122"/>
      <c r="B608" s="122"/>
      <c r="C608" s="545" t="s">
        <v>1185</v>
      </c>
      <c r="D608" s="545"/>
      <c r="E608" s="164">
        <f>TRUNC(E606*5%,2)</f>
        <v>15662.12</v>
      </c>
      <c r="F608" s="136"/>
      <c r="G608" s="136"/>
      <c r="H608" s="136"/>
      <c r="I608" s="136"/>
      <c r="J608" s="137"/>
      <c r="K608" s="137"/>
      <c r="L608" s="137"/>
      <c r="M608" s="137"/>
      <c r="N608" s="137"/>
      <c r="O608" s="137"/>
      <c r="P608" s="139"/>
      <c r="Q608" s="139"/>
      <c r="R608" s="137"/>
      <c r="S608" s="122"/>
      <c r="T608" s="122"/>
      <c r="U608" s="122"/>
      <c r="V608" s="122"/>
      <c r="W608" s="122"/>
    </row>
    <row r="610" spans="3:20" ht="19.5" customHeight="1">
      <c r="C610" s="546" t="s">
        <v>1186</v>
      </c>
      <c r="D610" s="546"/>
      <c r="E610" s="546"/>
      <c r="F610" s="546"/>
      <c r="G610" s="546"/>
      <c r="J610" s="4"/>
      <c r="N610" s="546" t="s">
        <v>1187</v>
      </c>
      <c r="O610" s="546"/>
      <c r="P610" s="546"/>
      <c r="Q610" s="546"/>
      <c r="R610" s="546"/>
      <c r="S610" s="5"/>
    </row>
    <row r="611" spans="3:20" ht="19.5" customHeight="1">
      <c r="C611" s="548" t="s">
        <v>1188</v>
      </c>
      <c r="D611" s="548"/>
      <c r="E611" s="168">
        <v>45390</v>
      </c>
      <c r="F611" s="166" t="s">
        <v>1189</v>
      </c>
      <c r="G611" s="167">
        <v>157132.10999999999</v>
      </c>
      <c r="J611" s="4"/>
      <c r="K611" s="4"/>
      <c r="N611" s="548" t="s">
        <v>1190</v>
      </c>
      <c r="O611" s="548"/>
      <c r="P611" s="168">
        <v>44973</v>
      </c>
      <c r="Q611" s="169" t="s">
        <v>1162</v>
      </c>
      <c r="R611" s="225"/>
      <c r="S611" s="6"/>
      <c r="T611" s="5"/>
    </row>
    <row r="612" spans="3:20" ht="19.5" customHeight="1">
      <c r="C612" s="549" t="s">
        <v>1191</v>
      </c>
      <c r="D612" s="549"/>
      <c r="E612" s="173">
        <v>45390</v>
      </c>
      <c r="F612" s="171" t="s">
        <v>1189</v>
      </c>
      <c r="G612" s="172">
        <v>12663.81</v>
      </c>
      <c r="J612" s="4"/>
      <c r="K612" s="4"/>
      <c r="N612" s="549" t="s">
        <v>1199</v>
      </c>
      <c r="O612" s="549"/>
      <c r="P612" s="173">
        <v>44973</v>
      </c>
      <c r="Q612" s="171" t="s">
        <v>1162</v>
      </c>
      <c r="R612" s="172">
        <v>354202.96</v>
      </c>
      <c r="S612" s="6"/>
      <c r="T612" s="5"/>
    </row>
    <row r="613" spans="3:20" ht="19.5" customHeight="1">
      <c r="C613" s="549" t="s">
        <v>1200</v>
      </c>
      <c r="D613" s="549"/>
      <c r="E613" s="173">
        <v>45421</v>
      </c>
      <c r="F613" s="171" t="s">
        <v>1189</v>
      </c>
      <c r="G613" s="172">
        <v>60499.5</v>
      </c>
      <c r="J613" s="4"/>
      <c r="K613" s="4"/>
      <c r="N613" s="549" t="s">
        <v>1201</v>
      </c>
      <c r="O613" s="549"/>
      <c r="P613" s="173"/>
      <c r="Q613" s="171"/>
      <c r="R613" s="172">
        <f>N593</f>
        <v>119528.5</v>
      </c>
      <c r="S613" s="6"/>
      <c r="T613" s="5"/>
    </row>
    <row r="614" spans="3:20" ht="19.5" customHeight="1">
      <c r="C614" s="549" t="s">
        <v>1202</v>
      </c>
      <c r="D614" s="549"/>
      <c r="E614" s="173">
        <v>45446</v>
      </c>
      <c r="F614" s="171" t="s">
        <v>1203</v>
      </c>
      <c r="G614" s="172">
        <v>60640</v>
      </c>
      <c r="J614" s="4"/>
      <c r="K614" s="4"/>
      <c r="N614" s="549" t="s">
        <v>1250</v>
      </c>
      <c r="O614" s="549"/>
      <c r="P614" s="173"/>
      <c r="Q614" s="171"/>
      <c r="R614" s="172"/>
      <c r="S614" s="6"/>
      <c r="T614" s="5"/>
    </row>
    <row r="615" spans="3:20" ht="19.5" customHeight="1">
      <c r="C615" s="549" t="s">
        <v>1204</v>
      </c>
      <c r="D615" s="549"/>
      <c r="E615" s="173">
        <v>45446</v>
      </c>
      <c r="F615" s="171" t="s">
        <v>1203</v>
      </c>
      <c r="G615" s="172">
        <v>15160</v>
      </c>
      <c r="J615" s="4"/>
      <c r="K615" s="4"/>
      <c r="N615" s="549"/>
      <c r="O615" s="549"/>
      <c r="P615" s="173"/>
      <c r="Q615" s="171"/>
      <c r="R615" s="172"/>
      <c r="S615" s="6"/>
      <c r="T615" s="5"/>
    </row>
    <row r="616" spans="3:20" ht="19.5" customHeight="1">
      <c r="C616" s="549" t="s">
        <v>1205</v>
      </c>
      <c r="D616" s="549"/>
      <c r="E616" s="173">
        <v>45447</v>
      </c>
      <c r="F616" s="171" t="s">
        <v>1203</v>
      </c>
      <c r="G616" s="172">
        <v>193505</v>
      </c>
      <c r="J616" s="4"/>
      <c r="K616" s="4"/>
      <c r="N616" s="549"/>
      <c r="O616" s="549"/>
      <c r="P616" s="173"/>
      <c r="Q616" s="171"/>
      <c r="R616" s="172"/>
      <c r="S616" s="6"/>
      <c r="T616" s="5"/>
    </row>
    <row r="617" spans="3:20" ht="19.5" customHeight="1">
      <c r="C617" s="549" t="s">
        <v>1206</v>
      </c>
      <c r="D617" s="549"/>
      <c r="E617" s="173">
        <v>45457</v>
      </c>
      <c r="F617" s="171" t="s">
        <v>1189</v>
      </c>
      <c r="G617" s="172">
        <v>101107.04</v>
      </c>
      <c r="J617" s="4"/>
      <c r="K617" s="4"/>
      <c r="N617" s="549"/>
      <c r="O617" s="549"/>
      <c r="P617" s="173"/>
      <c r="Q617" s="171"/>
      <c r="R617" s="172"/>
      <c r="S617" s="6"/>
      <c r="T617" s="5"/>
    </row>
    <row r="618" spans="3:20" ht="19.5" customHeight="1">
      <c r="C618" s="549" t="s">
        <v>1251</v>
      </c>
      <c r="D618" s="549"/>
      <c r="E618" s="173">
        <v>45462</v>
      </c>
      <c r="F618" s="171" t="s">
        <v>1203</v>
      </c>
      <c r="G618" s="172">
        <v>37190</v>
      </c>
      <c r="J618" s="4"/>
      <c r="K618" s="4"/>
      <c r="N618" s="549"/>
      <c r="O618" s="549"/>
      <c r="P618" s="173"/>
      <c r="Q618" s="171"/>
      <c r="R618" s="172"/>
      <c r="S618" s="6"/>
      <c r="T618" s="5"/>
    </row>
    <row r="619" spans="3:20" ht="19.5" customHeight="1">
      <c r="C619" s="549" t="s">
        <v>1252</v>
      </c>
      <c r="D619" s="549"/>
      <c r="E619" s="173">
        <v>45463</v>
      </c>
      <c r="F619" s="171" t="s">
        <v>1189</v>
      </c>
      <c r="G619" s="172">
        <v>21981.17</v>
      </c>
      <c r="J619" s="4"/>
      <c r="K619" s="4"/>
      <c r="N619" s="549"/>
      <c r="O619" s="549"/>
      <c r="P619" s="173"/>
      <c r="Q619" s="171"/>
      <c r="R619" s="172"/>
      <c r="S619" s="6"/>
      <c r="T619" s="5"/>
    </row>
    <row r="620" spans="3:20" ht="19.5" customHeight="1">
      <c r="C620" s="549" t="s">
        <v>1253</v>
      </c>
      <c r="D620" s="549"/>
      <c r="E620" s="173">
        <v>45463</v>
      </c>
      <c r="F620" s="171" t="s">
        <v>1203</v>
      </c>
      <c r="G620" s="172">
        <v>65870.5</v>
      </c>
      <c r="J620" s="4"/>
      <c r="K620" s="4"/>
      <c r="N620" s="549"/>
      <c r="O620" s="549"/>
      <c r="P620" s="173"/>
      <c r="Q620" s="171"/>
      <c r="R620" s="172"/>
      <c r="S620" s="6"/>
      <c r="T620" s="5"/>
    </row>
    <row r="621" spans="3:20" ht="19.5" customHeight="1">
      <c r="C621" s="549" t="s">
        <v>1254</v>
      </c>
      <c r="D621" s="549"/>
      <c r="E621" s="173">
        <v>45463</v>
      </c>
      <c r="F621" s="171" t="s">
        <v>1203</v>
      </c>
      <c r="G621" s="172">
        <v>16468</v>
      </c>
      <c r="J621" s="4"/>
      <c r="K621" s="4"/>
      <c r="N621" s="549"/>
      <c r="O621" s="549"/>
      <c r="P621" s="173"/>
      <c r="Q621" s="171"/>
      <c r="R621" s="172"/>
      <c r="S621" s="6"/>
      <c r="T621" s="5"/>
    </row>
    <row r="622" spans="3:20" ht="19.5" customHeight="1">
      <c r="C622" s="550"/>
      <c r="D622" s="550"/>
      <c r="E622" s="175"/>
      <c r="F622" s="176"/>
      <c r="G622" s="177"/>
      <c r="J622" s="4"/>
      <c r="K622" s="4"/>
      <c r="N622" s="550"/>
      <c r="O622" s="550"/>
      <c r="P622" s="175"/>
      <c r="Q622" s="176"/>
      <c r="R622" s="177"/>
      <c r="S622" s="6"/>
      <c r="T622" s="5"/>
    </row>
    <row r="623" spans="3:20" ht="19.5" customHeight="1">
      <c r="C623" s="179"/>
      <c r="D623" s="180"/>
      <c r="E623" s="180"/>
      <c r="F623" s="180"/>
      <c r="G623" s="181">
        <f>SUM(G611:G622)</f>
        <v>742217.13</v>
      </c>
      <c r="J623" s="4"/>
      <c r="K623" s="4"/>
      <c r="N623" s="179"/>
      <c r="O623" s="180"/>
      <c r="P623" s="180"/>
      <c r="Q623" s="180"/>
      <c r="R623" s="181">
        <f>SUM(R611:R622)</f>
        <v>473731.46</v>
      </c>
      <c r="S623" s="6"/>
      <c r="T623" s="5"/>
    </row>
    <row r="625" spans="3:18">
      <c r="R625" s="183"/>
    </row>
    <row r="626" spans="3:18" ht="28.8">
      <c r="C626" s="226" t="s">
        <v>1255</v>
      </c>
      <c r="D626" s="560" t="s">
        <v>1256</v>
      </c>
      <c r="E626" s="560"/>
      <c r="F626" s="560"/>
      <c r="G626" s="227" t="s">
        <v>1257</v>
      </c>
      <c r="H626" s="5"/>
      <c r="I626" s="228" t="s">
        <v>1258</v>
      </c>
      <c r="J626" s="229" t="s">
        <v>1259</v>
      </c>
    </row>
    <row r="627" spans="3:18">
      <c r="C627" s="230" t="s">
        <v>1260</v>
      </c>
      <c r="D627" s="564">
        <f>'BM 002'!N593+N593</f>
        <v>388833.5</v>
      </c>
      <c r="E627" s="564"/>
      <c r="F627" s="564"/>
      <c r="G627" s="232" t="s">
        <v>1261</v>
      </c>
      <c r="H627" s="2"/>
      <c r="I627" s="233">
        <f>SUMIF($F$611:$F$622,G627,$G$611:$G$622)</f>
        <v>388833.5</v>
      </c>
      <c r="J627" s="233">
        <f t="shared" ref="J627:J637" si="244">I627-D627</f>
        <v>0</v>
      </c>
    </row>
    <row r="628" spans="3:18">
      <c r="C628" s="234" t="s">
        <v>1262</v>
      </c>
      <c r="D628" s="561">
        <f>'BM 002'!N594</f>
        <v>84897.959999999992</v>
      </c>
      <c r="E628" s="561"/>
      <c r="F628" s="561"/>
      <c r="G628" s="235" t="s">
        <v>1263</v>
      </c>
      <c r="H628" s="2"/>
      <c r="I628" s="236">
        <f>SUMIF($F$611:$F$622,G628,$G$611:$G$622)</f>
        <v>353383.62999999995</v>
      </c>
      <c r="J628" s="236">
        <f t="shared" si="244"/>
        <v>268485.66999999993</v>
      </c>
    </row>
    <row r="629" spans="3:18">
      <c r="C629" s="234"/>
      <c r="D629" s="561"/>
      <c r="E629" s="561"/>
      <c r="F629" s="561"/>
      <c r="G629" s="235" t="s">
        <v>1264</v>
      </c>
      <c r="H629" s="2"/>
      <c r="I629" s="236">
        <f t="shared" ref="I629:I637" si="245">SUMIF($G$652:$G$690,G629,$H$652:$I$690)</f>
        <v>0</v>
      </c>
      <c r="J629" s="236">
        <f t="shared" si="244"/>
        <v>0</v>
      </c>
    </row>
    <row r="630" spans="3:18">
      <c r="C630" s="234"/>
      <c r="D630" s="561"/>
      <c r="E630" s="561"/>
      <c r="F630" s="561"/>
      <c r="G630" s="235" t="s">
        <v>1265</v>
      </c>
      <c r="H630" s="2"/>
      <c r="I630" s="236">
        <f t="shared" si="245"/>
        <v>0</v>
      </c>
      <c r="J630" s="236">
        <f t="shared" si="244"/>
        <v>0</v>
      </c>
    </row>
    <row r="631" spans="3:18">
      <c r="C631" s="234"/>
      <c r="D631" s="561"/>
      <c r="E631" s="561"/>
      <c r="F631" s="561"/>
      <c r="G631" s="237" t="s">
        <v>1266</v>
      </c>
      <c r="H631" s="2"/>
      <c r="I631" s="238">
        <f t="shared" si="245"/>
        <v>0</v>
      </c>
      <c r="J631" s="236">
        <f t="shared" si="244"/>
        <v>0</v>
      </c>
    </row>
    <row r="632" spans="3:18">
      <c r="C632" s="234"/>
      <c r="D632" s="561"/>
      <c r="E632" s="561"/>
      <c r="F632" s="561"/>
      <c r="G632" s="237" t="s">
        <v>1267</v>
      </c>
      <c r="H632" s="2"/>
      <c r="I632" s="238">
        <f t="shared" si="245"/>
        <v>0</v>
      </c>
      <c r="J632" s="236">
        <f t="shared" si="244"/>
        <v>0</v>
      </c>
    </row>
    <row r="633" spans="3:18">
      <c r="C633" s="234"/>
      <c r="D633" s="561"/>
      <c r="E633" s="561"/>
      <c r="F633" s="561"/>
      <c r="G633" s="237" t="s">
        <v>1268</v>
      </c>
      <c r="H633" s="2"/>
      <c r="I633" s="238">
        <f t="shared" si="245"/>
        <v>0</v>
      </c>
      <c r="J633" s="236">
        <f t="shared" si="244"/>
        <v>0</v>
      </c>
    </row>
    <row r="634" spans="3:18">
      <c r="C634" s="234"/>
      <c r="D634" s="561"/>
      <c r="E634" s="561"/>
      <c r="F634" s="561"/>
      <c r="G634" s="237" t="s">
        <v>1269</v>
      </c>
      <c r="H634" s="2"/>
      <c r="I634" s="238">
        <f t="shared" si="245"/>
        <v>0</v>
      </c>
      <c r="J634" s="236">
        <f t="shared" si="244"/>
        <v>0</v>
      </c>
    </row>
    <row r="635" spans="3:18">
      <c r="C635" s="234"/>
      <c r="D635" s="561"/>
      <c r="E635" s="561"/>
      <c r="F635" s="561"/>
      <c r="G635" s="237"/>
      <c r="H635" s="2"/>
      <c r="I635" s="238">
        <f t="shared" si="245"/>
        <v>0</v>
      </c>
      <c r="J635" s="236">
        <f t="shared" si="244"/>
        <v>0</v>
      </c>
    </row>
    <row r="636" spans="3:18">
      <c r="C636" s="234"/>
      <c r="D636" s="561"/>
      <c r="E636" s="561"/>
      <c r="F636" s="561"/>
      <c r="G636" s="237"/>
      <c r="H636" s="2"/>
      <c r="I636" s="238">
        <f t="shared" si="245"/>
        <v>0</v>
      </c>
      <c r="J636" s="236">
        <f t="shared" si="244"/>
        <v>0</v>
      </c>
    </row>
    <row r="637" spans="3:18">
      <c r="C637" s="239"/>
      <c r="D637" s="562"/>
      <c r="E637" s="562"/>
      <c r="F637" s="562"/>
      <c r="G637" s="240"/>
      <c r="H637" s="2"/>
      <c r="I637" s="241">
        <f t="shared" si="245"/>
        <v>0</v>
      </c>
      <c r="J637" s="241">
        <f t="shared" si="244"/>
        <v>0</v>
      </c>
    </row>
    <row r="638" spans="3:18">
      <c r="D638" s="563">
        <f>SUM(D627:F637)</f>
        <v>473731.45999999996</v>
      </c>
      <c r="E638" s="563"/>
      <c r="F638" s="563"/>
      <c r="H638" s="2"/>
      <c r="I638" s="242">
        <f>SUM(I627:I637)</f>
        <v>742217.12999999989</v>
      </c>
      <c r="J638" s="242">
        <f>SUM(J627:J637)</f>
        <v>268485.66999999993</v>
      </c>
    </row>
  </sheetData>
  <mergeCells count="123">
    <mergeCell ref="D636:F636"/>
    <mergeCell ref="D637:F637"/>
    <mergeCell ref="D638:F638"/>
    <mergeCell ref="D627:F627"/>
    <mergeCell ref="D628:F628"/>
    <mergeCell ref="D629:F629"/>
    <mergeCell ref="D630:F630"/>
    <mergeCell ref="D631:F631"/>
    <mergeCell ref="D632:F632"/>
    <mergeCell ref="D633:F633"/>
    <mergeCell ref="D634:F634"/>
    <mergeCell ref="D635:F635"/>
    <mergeCell ref="C619:D619"/>
    <mergeCell ref="N619:O619"/>
    <mergeCell ref="C620:D620"/>
    <mergeCell ref="N620:O620"/>
    <mergeCell ref="C621:D621"/>
    <mergeCell ref="N621:O621"/>
    <mergeCell ref="C622:D622"/>
    <mergeCell ref="N622:O622"/>
    <mergeCell ref="D626:F626"/>
    <mergeCell ref="C614:D614"/>
    <mergeCell ref="N614:O614"/>
    <mergeCell ref="C615:D615"/>
    <mergeCell ref="N615:O615"/>
    <mergeCell ref="C616:D616"/>
    <mergeCell ref="N616:O616"/>
    <mergeCell ref="C617:D617"/>
    <mergeCell ref="N617:O617"/>
    <mergeCell ref="C618:D618"/>
    <mergeCell ref="N618:O618"/>
    <mergeCell ref="C608:D608"/>
    <mergeCell ref="C610:G610"/>
    <mergeCell ref="N610:R610"/>
    <mergeCell ref="C611:D611"/>
    <mergeCell ref="N611:O611"/>
    <mergeCell ref="C612:D612"/>
    <mergeCell ref="N612:O612"/>
    <mergeCell ref="C613:D613"/>
    <mergeCell ref="N613:O613"/>
    <mergeCell ref="D600:E600"/>
    <mergeCell ref="I600:J600"/>
    <mergeCell ref="O600:Q601"/>
    <mergeCell ref="D601:E601"/>
    <mergeCell ref="I601:J601"/>
    <mergeCell ref="C604:E604"/>
    <mergeCell ref="C605:D605"/>
    <mergeCell ref="C606:D606"/>
    <mergeCell ref="C607:D607"/>
    <mergeCell ref="B592:L592"/>
    <mergeCell ref="B593:L593"/>
    <mergeCell ref="B594:L594"/>
    <mergeCell ref="B595:L595"/>
    <mergeCell ref="B596:L596"/>
    <mergeCell ref="D598:E598"/>
    <mergeCell ref="I598:J598"/>
    <mergeCell ref="O598:Q599"/>
    <mergeCell ref="D599:E599"/>
    <mergeCell ref="I599:J599"/>
    <mergeCell ref="B22:C22"/>
    <mergeCell ref="D22:J22"/>
    <mergeCell ref="L22:O22"/>
    <mergeCell ref="P22:R22"/>
    <mergeCell ref="B23:R23"/>
    <mergeCell ref="B25:B26"/>
    <mergeCell ref="C25:C26"/>
    <mergeCell ref="D25:D26"/>
    <mergeCell ref="E25:J25"/>
    <mergeCell ref="N25:R25"/>
    <mergeCell ref="B19:C19"/>
    <mergeCell ref="D19:J19"/>
    <mergeCell ref="L19:O19"/>
    <mergeCell ref="P19:R19"/>
    <mergeCell ref="B20:C20"/>
    <mergeCell ref="D20:J20"/>
    <mergeCell ref="L20:O20"/>
    <mergeCell ref="P20:R20"/>
    <mergeCell ref="B21:C21"/>
    <mergeCell ref="D21:J21"/>
    <mergeCell ref="L21:O21"/>
    <mergeCell ref="P21:R21"/>
    <mergeCell ref="B15:C15"/>
    <mergeCell ref="D15:G15"/>
    <mergeCell ref="I15:J15"/>
    <mergeCell ref="L15:N15"/>
    <mergeCell ref="P15:R15"/>
    <mergeCell ref="B16:R16"/>
    <mergeCell ref="B17:R17"/>
    <mergeCell ref="B18:C18"/>
    <mergeCell ref="D18:J18"/>
    <mergeCell ref="L18:O18"/>
    <mergeCell ref="P18:R18"/>
    <mergeCell ref="B13:C13"/>
    <mergeCell ref="D13:J13"/>
    <mergeCell ref="L13:O13"/>
    <mergeCell ref="P13:R13"/>
    <mergeCell ref="B14:C14"/>
    <mergeCell ref="D14:G14"/>
    <mergeCell ref="I14:J14"/>
    <mergeCell ref="L14:N14"/>
    <mergeCell ref="P14:R14"/>
    <mergeCell ref="B10:C10"/>
    <mergeCell ref="D10:J10"/>
    <mergeCell ref="L10:O10"/>
    <mergeCell ref="P10:R10"/>
    <mergeCell ref="B11:C11"/>
    <mergeCell ref="D11:J11"/>
    <mergeCell ref="L11:O11"/>
    <mergeCell ref="P11:R11"/>
    <mergeCell ref="B12:C12"/>
    <mergeCell ref="D12:G12"/>
    <mergeCell ref="I12:J12"/>
    <mergeCell ref="L12:N12"/>
    <mergeCell ref="P12:R12"/>
    <mergeCell ref="B2:R2"/>
    <mergeCell ref="B3:R3"/>
    <mergeCell ref="B4:R4"/>
    <mergeCell ref="B5:R5"/>
    <mergeCell ref="B6:R6"/>
    <mergeCell ref="B7:R7"/>
    <mergeCell ref="B8:R8"/>
    <mergeCell ref="B9:C9"/>
    <mergeCell ref="D9:R9"/>
  </mergeCells>
  <conditionalFormatting sqref="R27:R590">
    <cfRule type="cellIs" dxfId="11" priority="2" operator="lessThan">
      <formula>0</formula>
    </cfRule>
  </conditionalFormatting>
  <printOptions horizontalCentered="1"/>
  <pageMargins left="0.51180555555555596" right="0.51180555555555596" top="0.78749999999999998" bottom="1.1812499999999999" header="0.511811023622047" footer="0.511811023622047"/>
  <pageSetup paperSize="9" scale="36" fitToHeight="26" orientation="portrait" horizontalDpi="300" verticalDpi="300" r:id="rId1"/>
  <colBreaks count="1" manualBreakCount="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359"/>
  <sheetViews>
    <sheetView view="pageBreakPreview" zoomScale="75" zoomScaleNormal="80" zoomScalePageLayoutView="75" workbookViewId="0">
      <selection activeCell="I13" sqref="I13"/>
    </sheetView>
  </sheetViews>
  <sheetFormatPr defaultColWidth="8.88671875" defaultRowHeight="14.4"/>
  <cols>
    <col min="1" max="1" width="2.44140625" customWidth="1"/>
    <col min="2" max="2" width="32.88671875" customWidth="1"/>
    <col min="3" max="3" width="13.5546875" customWidth="1"/>
    <col min="4" max="4" width="9.44140625" customWidth="1"/>
    <col min="5" max="5" width="10.109375" customWidth="1"/>
    <col min="6" max="6" width="10.6640625" customWidth="1"/>
    <col min="7" max="8" width="9.44140625" customWidth="1"/>
    <col min="9" max="9" width="14.5546875" customWidth="1"/>
    <col min="10" max="10" width="10.88671875" customWidth="1"/>
    <col min="11" max="11" width="16.88671875" customWidth="1"/>
    <col min="12" max="12" width="25" customWidth="1"/>
    <col min="13" max="13" width="2.5546875" customWidth="1"/>
    <col min="14" max="14" width="6.5546875" customWidth="1"/>
    <col min="15" max="15" width="10.109375" customWidth="1"/>
    <col min="18" max="18" width="10.109375" customWidth="1"/>
  </cols>
  <sheetData>
    <row r="1" spans="2:12" ht="6" customHeight="1"/>
    <row r="2" spans="2:12" ht="29.25" customHeight="1">
      <c r="B2" s="551"/>
      <c r="C2" s="551"/>
      <c r="D2" s="551"/>
      <c r="E2" s="551"/>
      <c r="F2" s="551"/>
      <c r="G2" s="551"/>
      <c r="H2" s="551"/>
      <c r="I2" s="551"/>
      <c r="J2" s="551"/>
      <c r="K2" s="551"/>
      <c r="L2" s="551"/>
    </row>
    <row r="3" spans="2:12" ht="29.25" customHeight="1">
      <c r="B3" s="552" t="s">
        <v>4</v>
      </c>
      <c r="C3" s="552"/>
      <c r="D3" s="552"/>
      <c r="E3" s="552"/>
      <c r="F3" s="552"/>
      <c r="G3" s="552"/>
      <c r="H3" s="552"/>
      <c r="I3" s="552"/>
      <c r="J3" s="552"/>
      <c r="K3" s="552"/>
      <c r="L3" s="552"/>
    </row>
    <row r="4" spans="2:12" ht="29.25" customHeight="1">
      <c r="B4" s="553"/>
      <c r="C4" s="553"/>
      <c r="D4" s="553"/>
      <c r="E4" s="553"/>
      <c r="F4" s="553"/>
      <c r="G4" s="553"/>
      <c r="H4" s="553"/>
      <c r="I4" s="553"/>
      <c r="J4" s="553"/>
      <c r="K4" s="553"/>
      <c r="L4" s="553"/>
    </row>
    <row r="5" spans="2:12" ht="6" customHeight="1">
      <c r="B5" s="186"/>
      <c r="C5" s="186"/>
      <c r="D5" s="186"/>
      <c r="E5" s="186"/>
      <c r="F5" s="186"/>
      <c r="G5" s="186"/>
      <c r="H5" s="186"/>
      <c r="I5" s="186"/>
      <c r="J5" s="186"/>
      <c r="K5" s="186"/>
      <c r="L5" s="186"/>
    </row>
    <row r="6" spans="2:12" ht="22.8">
      <c r="B6" s="554" t="s">
        <v>1270</v>
      </c>
      <c r="C6" s="554"/>
      <c r="D6" s="554"/>
      <c r="E6" s="554"/>
      <c r="F6" s="554"/>
      <c r="G6" s="554"/>
      <c r="H6" s="554"/>
      <c r="I6" s="554"/>
      <c r="J6" s="554"/>
      <c r="K6" s="554"/>
      <c r="L6" s="554"/>
    </row>
    <row r="8" spans="2:12" ht="14.25" customHeight="1">
      <c r="B8" s="555" t="s">
        <v>1208</v>
      </c>
      <c r="C8" s="555"/>
      <c r="D8" s="555"/>
      <c r="E8" s="555"/>
      <c r="F8" s="555"/>
      <c r="G8" s="555"/>
      <c r="H8" s="555"/>
      <c r="I8" s="555"/>
      <c r="J8" s="555"/>
      <c r="K8" s="555"/>
      <c r="L8" s="555"/>
    </row>
    <row r="9" spans="2:12">
      <c r="B9" s="187" t="s">
        <v>1209</v>
      </c>
      <c r="C9" s="187"/>
      <c r="D9" s="187" t="s">
        <v>39</v>
      </c>
      <c r="E9" s="187" t="s">
        <v>1210</v>
      </c>
      <c r="F9" s="187" t="s">
        <v>1211</v>
      </c>
      <c r="G9" s="187" t="s">
        <v>1212</v>
      </c>
      <c r="H9" s="187" t="s">
        <v>1213</v>
      </c>
      <c r="I9" s="187" t="s">
        <v>1214</v>
      </c>
      <c r="J9" s="187" t="s">
        <v>1215</v>
      </c>
      <c r="K9" s="187" t="s">
        <v>1216</v>
      </c>
      <c r="L9" s="187" t="s">
        <v>1217</v>
      </c>
    </row>
    <row r="10" spans="2:12">
      <c r="B10" s="188" t="s">
        <v>1218</v>
      </c>
      <c r="C10" s="189" t="s">
        <v>1219</v>
      </c>
      <c r="D10" s="190" t="s">
        <v>1220</v>
      </c>
      <c r="E10" s="191"/>
      <c r="F10" s="192"/>
      <c r="G10" s="192"/>
      <c r="H10" s="191"/>
      <c r="I10" s="193">
        <f>20*0.0206</f>
        <v>0.41200000000000003</v>
      </c>
      <c r="J10" s="194"/>
      <c r="K10" s="195">
        <f>IF(E10*F10*G10&lt;&gt;0,E10*F10*G10,IF(E10*F10&lt;&gt;0,E10*F10,IF(F10*G10&lt;&gt;0,F10*G10,IF(E10*G10&lt;&gt;0,E10*G10,IF(E10&lt;&gt;0,E10,IF(F10&lt;&gt;0,F10,IF(G10&lt;&gt;0,G10,0)))))))*(IF(H10&lt;&gt;0,H10,1))+I10-J10</f>
        <v>0.41200000000000003</v>
      </c>
      <c r="L10" s="196"/>
    </row>
    <row r="11" spans="2:12">
      <c r="B11" s="197" t="s">
        <v>1218</v>
      </c>
      <c r="C11" s="189" t="s">
        <v>1240</v>
      </c>
      <c r="D11" s="190" t="s">
        <v>1226</v>
      </c>
      <c r="E11" s="199"/>
      <c r="F11" s="199"/>
      <c r="G11" s="199"/>
      <c r="H11" s="199"/>
      <c r="I11" s="193">
        <f>20*0.0358</f>
        <v>0.71599999999999997</v>
      </c>
      <c r="J11" s="201"/>
      <c r="K11" s="195">
        <f>IF(E11*F11*G11&lt;&gt;0,E11*F11*G11,IF(E11*F11&lt;&gt;0,E11*F11,IF(F11*G11&lt;&gt;0,F11*G11,IF(E11*G11&lt;&gt;0,E11*G11,IF(E11&lt;&gt;0,E11,IF(F11&lt;&gt;0,F11,IF(G11&lt;&gt;0,G11,0)))))))*(IF(H11&lt;&gt;0,H11,1))+I11-J11</f>
        <v>0.71599999999999997</v>
      </c>
      <c r="L11" s="196"/>
    </row>
    <row r="12" spans="2:12">
      <c r="B12" s="197" t="s">
        <v>1218</v>
      </c>
      <c r="C12" s="189" t="s">
        <v>1271</v>
      </c>
      <c r="D12" s="190" t="s">
        <v>1226</v>
      </c>
      <c r="E12" s="199"/>
      <c r="F12" s="199"/>
      <c r="G12" s="199"/>
      <c r="H12" s="199"/>
      <c r="I12" s="193">
        <f>20*0.0216</f>
        <v>0.43200000000000005</v>
      </c>
      <c r="J12" s="201"/>
      <c r="K12" s="195">
        <f>IF(E12*F12*G12&lt;&gt;0,E12*F12*G12,IF(E12*F12&lt;&gt;0,E12*F12,IF(F12*G12&lt;&gt;0,F12*G12,IF(E12*G12&lt;&gt;0,E12*G12,IF(E12&lt;&gt;0,E12,IF(F12&lt;&gt;0,F12,IF(G12&lt;&gt;0,G12,0)))))))*(IF(H12&lt;&gt;0,H12,1))+I12-J12</f>
        <v>0.43200000000000005</v>
      </c>
      <c r="L12" s="196"/>
    </row>
    <row r="13" spans="2:12">
      <c r="B13" s="202"/>
      <c r="C13" s="203"/>
      <c r="D13" s="203"/>
      <c r="E13" s="203"/>
      <c r="F13" s="203"/>
      <c r="G13" s="203"/>
      <c r="H13" s="204"/>
      <c r="I13" s="556" t="s">
        <v>1221</v>
      </c>
      <c r="J13" s="556"/>
      <c r="K13" s="206">
        <f>SUM(K10:K12)</f>
        <v>1.56</v>
      </c>
      <c r="L13" s="207"/>
    </row>
    <row r="14" spans="2:12">
      <c r="B14" s="208"/>
      <c r="C14" s="204"/>
      <c r="D14" s="204"/>
      <c r="E14" s="204"/>
      <c r="F14" s="204"/>
      <c r="G14" s="204"/>
      <c r="H14" s="209"/>
      <c r="I14" s="557" t="s">
        <v>1222</v>
      </c>
      <c r="J14" s="557"/>
      <c r="K14" s="211">
        <v>20</v>
      </c>
      <c r="L14" s="207"/>
    </row>
    <row r="15" spans="2:12">
      <c r="B15" s="208"/>
      <c r="C15" s="204"/>
      <c r="D15" s="204"/>
      <c r="E15" s="204"/>
      <c r="F15" s="204"/>
      <c r="G15" s="204"/>
      <c r="H15" s="558" t="s">
        <v>1223</v>
      </c>
      <c r="I15" s="558"/>
      <c r="J15" s="558"/>
      <c r="K15" s="212">
        <v>1.1279999999999999</v>
      </c>
      <c r="L15" s="207"/>
    </row>
    <row r="16" spans="2:12">
      <c r="B16" s="208"/>
      <c r="C16" s="204"/>
      <c r="D16" s="204"/>
      <c r="E16" s="204"/>
      <c r="F16" s="204"/>
      <c r="G16" s="204"/>
      <c r="H16" s="558" t="s">
        <v>1201</v>
      </c>
      <c r="I16" s="558"/>
      <c r="J16" s="558"/>
      <c r="K16" s="212">
        <f>IF(K13&gt;K14,K14,K13)-K15</f>
        <v>0.43200000000000016</v>
      </c>
      <c r="L16" s="207"/>
    </row>
    <row r="17" spans="2:12">
      <c r="B17" s="213"/>
      <c r="C17" s="214"/>
      <c r="D17" s="214"/>
      <c r="E17" s="214"/>
      <c r="F17" s="214"/>
      <c r="G17" s="214"/>
      <c r="H17" s="559" t="s">
        <v>1224</v>
      </c>
      <c r="I17" s="559"/>
      <c r="J17" s="559"/>
      <c r="K17" s="215">
        <f>IF(K13&gt;K14,K13-K14,0)</f>
        <v>0</v>
      </c>
      <c r="L17" s="209"/>
    </row>
    <row r="19" spans="2:12" ht="58.35" customHeight="1">
      <c r="B19" s="555" t="s">
        <v>1225</v>
      </c>
      <c r="C19" s="555"/>
      <c r="D19" s="555"/>
      <c r="E19" s="555"/>
      <c r="F19" s="555"/>
      <c r="G19" s="555"/>
      <c r="H19" s="555"/>
      <c r="I19" s="555"/>
      <c r="J19" s="555"/>
      <c r="K19" s="555"/>
      <c r="L19" s="555"/>
    </row>
    <row r="20" spans="2:12">
      <c r="B20" s="187" t="s">
        <v>1209</v>
      </c>
      <c r="C20" s="187"/>
      <c r="D20" s="187" t="s">
        <v>39</v>
      </c>
      <c r="E20" s="187" t="s">
        <v>1210</v>
      </c>
      <c r="F20" s="187" t="s">
        <v>1211</v>
      </c>
      <c r="G20" s="187" t="s">
        <v>1212</v>
      </c>
      <c r="H20" s="187" t="s">
        <v>1213</v>
      </c>
      <c r="I20" s="187" t="s">
        <v>1214</v>
      </c>
      <c r="J20" s="187" t="s">
        <v>1215</v>
      </c>
      <c r="K20" s="187" t="s">
        <v>1216</v>
      </c>
      <c r="L20" s="187" t="s">
        <v>1217</v>
      </c>
    </row>
    <row r="21" spans="2:12">
      <c r="B21" s="188" t="s">
        <v>1218</v>
      </c>
      <c r="C21" s="189" t="s">
        <v>1219</v>
      </c>
      <c r="D21" s="190" t="s">
        <v>1226</v>
      </c>
      <c r="E21" s="191"/>
      <c r="F21" s="192"/>
      <c r="G21" s="192"/>
      <c r="H21" s="191"/>
      <c r="I21" s="193">
        <v>2.06E-2</v>
      </c>
      <c r="J21" s="194"/>
      <c r="K21" s="195">
        <f>IF(E21*F21*G21&lt;&gt;0,E21*F21*G21,IF(E21*F21&lt;&gt;0,E21*F21,IF(F21*G21&lt;&gt;0,F21*G21,IF(E21*G21&lt;&gt;0,E21*G21,IF(E21&lt;&gt;0,E21,IF(F21&lt;&gt;0,F21,IF(G21&lt;&gt;0,G21,0)))))))*(IF(H21&lt;&gt;0,H21,1))+I21-J21</f>
        <v>2.06E-2</v>
      </c>
      <c r="L21" s="196"/>
    </row>
    <row r="22" spans="2:12">
      <c r="B22" s="197" t="s">
        <v>1218</v>
      </c>
      <c r="C22" s="189" t="s">
        <v>1240</v>
      </c>
      <c r="D22" s="190" t="s">
        <v>1226</v>
      </c>
      <c r="E22" s="199"/>
      <c r="F22" s="199"/>
      <c r="G22" s="199"/>
      <c r="H22" s="199"/>
      <c r="I22" s="193">
        <f>0.0239-0.004+0.0159</f>
        <v>3.5799999999999998E-2</v>
      </c>
      <c r="J22" s="201"/>
      <c r="K22" s="195">
        <f>IF(E22*F22*G22&lt;&gt;0,E22*F22*G22,IF(E22*F22&lt;&gt;0,E22*F22,IF(F22*G22&lt;&gt;0,F22*G22,IF(E22*G22&lt;&gt;0,E22*G22,IF(E22&lt;&gt;0,E22,IF(F22&lt;&gt;0,F22,IF(G22&lt;&gt;0,G22,0)))))))*(IF(H22&lt;&gt;0,H22,1))+I22-J22</f>
        <v>3.5799999999999998E-2</v>
      </c>
      <c r="L22" s="196"/>
    </row>
    <row r="23" spans="2:12">
      <c r="B23" s="197" t="s">
        <v>1218</v>
      </c>
      <c r="C23" s="189" t="s">
        <v>1271</v>
      </c>
      <c r="D23" s="190" t="s">
        <v>1226</v>
      </c>
      <c r="E23" s="199"/>
      <c r="F23" s="199"/>
      <c r="G23" s="199"/>
      <c r="H23" s="199"/>
      <c r="I23" s="193">
        <f>0.0166+0.005</f>
        <v>2.1600000000000001E-2</v>
      </c>
      <c r="J23" s="201"/>
      <c r="K23" s="195">
        <f>IF(E23*F23*G23&lt;&gt;0,E23*F23*G23,IF(E23*F23&lt;&gt;0,E23*F23,IF(F23*G23&lt;&gt;0,F23*G23,IF(E23*G23&lt;&gt;0,E23*G23,IF(E23&lt;&gt;0,E23,IF(F23&lt;&gt;0,F23,IF(G23&lt;&gt;0,G23,0)))))))*(IF(H23&lt;&gt;0,H23,1))+I23-J23</f>
        <v>2.1600000000000001E-2</v>
      </c>
      <c r="L23" s="196"/>
    </row>
    <row r="24" spans="2:12">
      <c r="B24" s="202"/>
      <c r="C24" s="203"/>
      <c r="D24" s="203"/>
      <c r="E24" s="203"/>
      <c r="F24" s="203"/>
      <c r="G24" s="203"/>
      <c r="H24" s="204"/>
      <c r="I24" s="556" t="s">
        <v>1221</v>
      </c>
      <c r="J24" s="556"/>
      <c r="K24" s="206">
        <f>SUM(K21:K23)</f>
        <v>7.8E-2</v>
      </c>
      <c r="L24" s="207"/>
    </row>
    <row r="25" spans="2:12">
      <c r="B25" s="208"/>
      <c r="C25" s="204"/>
      <c r="D25" s="204"/>
      <c r="E25" s="204"/>
      <c r="F25" s="204"/>
      <c r="G25" s="204"/>
      <c r="H25" s="209"/>
      <c r="I25" s="557" t="s">
        <v>1222</v>
      </c>
      <c r="J25" s="557"/>
      <c r="K25" s="211">
        <v>1</v>
      </c>
      <c r="L25" s="207"/>
    </row>
    <row r="26" spans="2:12">
      <c r="B26" s="208"/>
      <c r="C26" s="204"/>
      <c r="D26" s="204"/>
      <c r="E26" s="204"/>
      <c r="F26" s="204"/>
      <c r="G26" s="204"/>
      <c r="H26" s="558" t="s">
        <v>1223</v>
      </c>
      <c r="I26" s="558"/>
      <c r="J26" s="558"/>
      <c r="K26" s="212">
        <v>5.6399999999999999E-2</v>
      </c>
      <c r="L26" s="207"/>
    </row>
    <row r="27" spans="2:12">
      <c r="B27" s="208"/>
      <c r="C27" s="204"/>
      <c r="D27" s="204"/>
      <c r="E27" s="204"/>
      <c r="F27" s="204"/>
      <c r="G27" s="204"/>
      <c r="H27" s="558" t="s">
        <v>1201</v>
      </c>
      <c r="I27" s="558"/>
      <c r="J27" s="558"/>
      <c r="K27" s="212">
        <f>IF(K24&gt;K25,K25,K24)-K26</f>
        <v>2.1600000000000001E-2</v>
      </c>
      <c r="L27" s="207"/>
    </row>
    <row r="28" spans="2:12">
      <c r="B28" s="213"/>
      <c r="C28" s="214"/>
      <c r="D28" s="214"/>
      <c r="E28" s="214"/>
      <c r="F28" s="214"/>
      <c r="G28" s="214"/>
      <c r="H28" s="559" t="s">
        <v>1224</v>
      </c>
      <c r="I28" s="559"/>
      <c r="J28" s="559"/>
      <c r="K28" s="215">
        <f>IF(K24&gt;K25,K24-K25,0)</f>
        <v>0</v>
      </c>
      <c r="L28" s="209"/>
    </row>
    <row r="30" spans="2:12" ht="14.25" customHeight="1">
      <c r="B30" s="555" t="s">
        <v>1227</v>
      </c>
      <c r="C30" s="555"/>
      <c r="D30" s="555"/>
      <c r="E30" s="555"/>
      <c r="F30" s="555"/>
      <c r="G30" s="555"/>
      <c r="H30" s="555"/>
      <c r="I30" s="555"/>
      <c r="J30" s="555"/>
      <c r="K30" s="555"/>
      <c r="L30" s="555"/>
    </row>
    <row r="31" spans="2:12">
      <c r="B31" s="187" t="s">
        <v>1209</v>
      </c>
      <c r="C31" s="187"/>
      <c r="D31" s="187" t="s">
        <v>39</v>
      </c>
      <c r="E31" s="187" t="s">
        <v>1210</v>
      </c>
      <c r="F31" s="187" t="s">
        <v>1211</v>
      </c>
      <c r="G31" s="187" t="s">
        <v>1212</v>
      </c>
      <c r="H31" s="187" t="s">
        <v>1213</v>
      </c>
      <c r="I31" s="187" t="s">
        <v>1214</v>
      </c>
      <c r="J31" s="187" t="s">
        <v>1215</v>
      </c>
      <c r="K31" s="187" t="s">
        <v>1216</v>
      </c>
      <c r="L31" s="187" t="s">
        <v>1217</v>
      </c>
    </row>
    <row r="32" spans="2:12">
      <c r="B32" s="188" t="s">
        <v>1228</v>
      </c>
      <c r="C32" s="189" t="s">
        <v>1219</v>
      </c>
      <c r="D32" s="190" t="s">
        <v>39</v>
      </c>
      <c r="E32" s="191">
        <v>64</v>
      </c>
      <c r="F32" s="192"/>
      <c r="G32" s="192">
        <v>2</v>
      </c>
      <c r="H32" s="191"/>
      <c r="I32" s="191"/>
      <c r="J32" s="216"/>
      <c r="K32" s="217">
        <f>IF(E32*F32*G32&lt;&gt;0,E32*F32*G32,IF(E32*F32&lt;&gt;0,E32*F32,IF(F32*G32&lt;&gt;0,F32*G32,IF(E32*G32&lt;&gt;0,E32*G32,IF(E32&lt;&gt;0,E32,IF(F32&lt;&gt;0,F32,IF(G32&lt;&gt;0,G32,0)))))))*(IF(H32&lt;&gt;0,H32,1))+I32-J32</f>
        <v>128</v>
      </c>
      <c r="L32" s="218"/>
    </row>
    <row r="33" spans="2:12">
      <c r="B33" s="197"/>
      <c r="C33" s="189"/>
      <c r="D33" s="198"/>
      <c r="E33" s="199"/>
      <c r="F33" s="199"/>
      <c r="G33" s="199"/>
      <c r="H33" s="199"/>
      <c r="I33" s="199"/>
      <c r="J33" s="219"/>
      <c r="K33" s="217">
        <f>IF(E33*F33*G33&lt;&gt;0,E33*F33*G33,IF(E33*F33&lt;&gt;0,E33*F33,IF(F33*G33&lt;&gt;0,F33*G33,IF(E33*G33&lt;&gt;0,E33*G33,IF(E33&lt;&gt;0,E33,IF(F33&lt;&gt;0,F33,IF(G33&lt;&gt;0,G33,0)))))))*(IF(H33&lt;&gt;0,H33,1))+I33-J33</f>
        <v>0</v>
      </c>
      <c r="L33" s="218"/>
    </row>
    <row r="34" spans="2:12">
      <c r="B34" s="202"/>
      <c r="C34" s="203"/>
      <c r="D34" s="203"/>
      <c r="E34" s="203"/>
      <c r="F34" s="203"/>
      <c r="G34" s="203"/>
      <c r="H34" s="204"/>
      <c r="I34" s="556" t="s">
        <v>1221</v>
      </c>
      <c r="J34" s="556"/>
      <c r="K34" s="220">
        <f>SUM(K32:K33)</f>
        <v>128</v>
      </c>
      <c r="L34" s="207"/>
    </row>
    <row r="35" spans="2:12">
      <c r="B35" s="208"/>
      <c r="C35" s="204"/>
      <c r="D35" s="204"/>
      <c r="E35" s="204"/>
      <c r="F35" s="204"/>
      <c r="G35" s="204"/>
      <c r="H35" s="209"/>
      <c r="I35" s="557" t="s">
        <v>1222</v>
      </c>
      <c r="J35" s="557"/>
      <c r="K35" s="221">
        <v>128</v>
      </c>
      <c r="L35" s="207"/>
    </row>
    <row r="36" spans="2:12">
      <c r="B36" s="208"/>
      <c r="C36" s="204"/>
      <c r="D36" s="204"/>
      <c r="E36" s="204"/>
      <c r="F36" s="204"/>
      <c r="G36" s="204"/>
      <c r="H36" s="558" t="s">
        <v>1223</v>
      </c>
      <c r="I36" s="558"/>
      <c r="J36" s="558"/>
      <c r="K36" s="222"/>
      <c r="L36" s="207"/>
    </row>
    <row r="37" spans="2:12">
      <c r="B37" s="208"/>
      <c r="C37" s="204"/>
      <c r="D37" s="204"/>
      <c r="E37" s="204"/>
      <c r="F37" s="204"/>
      <c r="G37" s="204"/>
      <c r="H37" s="558" t="s">
        <v>1190</v>
      </c>
      <c r="I37" s="558"/>
      <c r="J37" s="558"/>
      <c r="K37" s="222">
        <f>IF(K34&gt;K35,K35,K34)-K36</f>
        <v>128</v>
      </c>
      <c r="L37" s="207"/>
    </row>
    <row r="38" spans="2:12">
      <c r="B38" s="213"/>
      <c r="C38" s="214"/>
      <c r="D38" s="214"/>
      <c r="E38" s="214"/>
      <c r="F38" s="214"/>
      <c r="G38" s="214"/>
      <c r="H38" s="559" t="s">
        <v>1224</v>
      </c>
      <c r="I38" s="559"/>
      <c r="J38" s="559"/>
      <c r="K38" s="223">
        <f>IF(K34&gt;K35,K34-K35,0)</f>
        <v>0</v>
      </c>
      <c r="L38" s="209"/>
    </row>
    <row r="40" spans="2:12" ht="14.25" customHeight="1">
      <c r="B40" s="555" t="s">
        <v>1229</v>
      </c>
      <c r="C40" s="555"/>
      <c r="D40" s="555"/>
      <c r="E40" s="555"/>
      <c r="F40" s="555"/>
      <c r="G40" s="555"/>
      <c r="H40" s="555"/>
      <c r="I40" s="555"/>
      <c r="J40" s="555"/>
      <c r="K40" s="555"/>
      <c r="L40" s="555"/>
    </row>
    <row r="41" spans="2:12">
      <c r="B41" s="187" t="s">
        <v>1209</v>
      </c>
      <c r="C41" s="187"/>
      <c r="D41" s="187" t="s">
        <v>39</v>
      </c>
      <c r="E41" s="187" t="s">
        <v>1210</v>
      </c>
      <c r="F41" s="187" t="s">
        <v>1211</v>
      </c>
      <c r="G41" s="187" t="s">
        <v>1212</v>
      </c>
      <c r="H41" s="187" t="s">
        <v>1213</v>
      </c>
      <c r="I41" s="187" t="s">
        <v>1214</v>
      </c>
      <c r="J41" s="187" t="s">
        <v>1215</v>
      </c>
      <c r="K41" s="187" t="s">
        <v>1216</v>
      </c>
      <c r="L41" s="187" t="s">
        <v>1217</v>
      </c>
    </row>
    <row r="42" spans="2:12">
      <c r="B42" s="188" t="s">
        <v>1228</v>
      </c>
      <c r="C42" s="189" t="s">
        <v>1219</v>
      </c>
      <c r="D42" s="190" t="s">
        <v>79</v>
      </c>
      <c r="E42" s="191">
        <f>30/4</f>
        <v>7.5</v>
      </c>
      <c r="F42" s="192">
        <v>4</v>
      </c>
      <c r="G42" s="192"/>
      <c r="H42" s="191"/>
      <c r="I42" s="191"/>
      <c r="J42" s="216"/>
      <c r="K42" s="217">
        <f>IF(E42*F42*G42&lt;&gt;0,E42*F42*G42,IF(E42*F42&lt;&gt;0,E42*F42,IF(F42*G42&lt;&gt;0,F42*G42,IF(E42*G42&lt;&gt;0,E42*G42,IF(E42&lt;&gt;0,E42,IF(F42&lt;&gt;0,F42,IF(G42&lt;&gt;0,G42,0)))))))*(IF(H42&lt;&gt;0,H42,1))+I42-J42</f>
        <v>30</v>
      </c>
      <c r="L42" s="218"/>
    </row>
    <row r="43" spans="2:12">
      <c r="B43" s="188" t="s">
        <v>1228</v>
      </c>
      <c r="C43" s="189" t="s">
        <v>1240</v>
      </c>
      <c r="D43" s="190" t="s">
        <v>79</v>
      </c>
      <c r="E43" s="191">
        <v>2.5</v>
      </c>
      <c r="F43" s="192">
        <v>4</v>
      </c>
      <c r="G43" s="192"/>
      <c r="H43" s="191"/>
      <c r="I43" s="191"/>
      <c r="J43" s="216"/>
      <c r="K43" s="217">
        <f>IF(E43*F43*G43&lt;&gt;0,E43*F43*G43,IF(E43*F43&lt;&gt;0,E43*F43,IF(F43*G43&lt;&gt;0,F43*G43,IF(E43*G43&lt;&gt;0,E43*G43,IF(E43&lt;&gt;0,E43,IF(F43&lt;&gt;0,F43,IF(G43&lt;&gt;0,G43,0)))))))*(IF(H43&lt;&gt;0,H43,1))+I43-J43</f>
        <v>10</v>
      </c>
      <c r="L43" s="218"/>
    </row>
    <row r="44" spans="2:12">
      <c r="B44" s="202"/>
      <c r="C44" s="203"/>
      <c r="D44" s="203"/>
      <c r="E44" s="203"/>
      <c r="F44" s="203"/>
      <c r="G44" s="203"/>
      <c r="H44" s="204"/>
      <c r="I44" s="556" t="s">
        <v>1221</v>
      </c>
      <c r="J44" s="556"/>
      <c r="K44" s="220">
        <f>SUM(K42:K43)</f>
        <v>40</v>
      </c>
      <c r="L44" s="207"/>
    </row>
    <row r="45" spans="2:12">
      <c r="B45" s="208"/>
      <c r="C45" s="204"/>
      <c r="D45" s="204"/>
      <c r="E45" s="204"/>
      <c r="F45" s="204"/>
      <c r="G45" s="204"/>
      <c r="H45" s="209"/>
      <c r="I45" s="557" t="s">
        <v>1222</v>
      </c>
      <c r="J45" s="557"/>
      <c r="K45" s="221">
        <v>40</v>
      </c>
      <c r="L45" s="207"/>
    </row>
    <row r="46" spans="2:12">
      <c r="B46" s="208"/>
      <c r="C46" s="204"/>
      <c r="D46" s="204"/>
      <c r="E46" s="204"/>
      <c r="F46" s="204"/>
      <c r="G46" s="204"/>
      <c r="H46" s="558" t="s">
        <v>1223</v>
      </c>
      <c r="I46" s="558"/>
      <c r="J46" s="558"/>
      <c r="K46" s="222">
        <v>30</v>
      </c>
      <c r="L46" s="207"/>
    </row>
    <row r="47" spans="2:12">
      <c r="B47" s="208"/>
      <c r="C47" s="204"/>
      <c r="D47" s="204"/>
      <c r="E47" s="204"/>
      <c r="F47" s="204"/>
      <c r="G47" s="204"/>
      <c r="H47" s="558" t="s">
        <v>1199</v>
      </c>
      <c r="I47" s="558"/>
      <c r="J47" s="558"/>
      <c r="K47" s="222">
        <f>IF(K44&gt;K45,K45,K44)-K46</f>
        <v>10</v>
      </c>
      <c r="L47" s="207"/>
    </row>
    <row r="48" spans="2:12">
      <c r="B48" s="213"/>
      <c r="C48" s="214"/>
      <c r="D48" s="214"/>
      <c r="E48" s="214"/>
      <c r="F48" s="214"/>
      <c r="G48" s="214"/>
      <c r="H48" s="559" t="s">
        <v>1224</v>
      </c>
      <c r="I48" s="559"/>
      <c r="J48" s="559"/>
      <c r="K48" s="223">
        <f>IF(K44&gt;K45,K44-K45,0)</f>
        <v>0</v>
      </c>
      <c r="L48" s="209"/>
    </row>
    <row r="50" spans="2:12" ht="14.25" customHeight="1">
      <c r="B50" s="555" t="s">
        <v>1230</v>
      </c>
      <c r="C50" s="555"/>
      <c r="D50" s="555"/>
      <c r="E50" s="555"/>
      <c r="F50" s="555"/>
      <c r="G50" s="555"/>
      <c r="H50" s="555"/>
      <c r="I50" s="555"/>
      <c r="J50" s="555"/>
      <c r="K50" s="555"/>
      <c r="L50" s="555"/>
    </row>
    <row r="51" spans="2:12">
      <c r="B51" s="187" t="s">
        <v>1209</v>
      </c>
      <c r="C51" s="187"/>
      <c r="D51" s="187" t="s">
        <v>39</v>
      </c>
      <c r="E51" s="187" t="s">
        <v>1210</v>
      </c>
      <c r="F51" s="187" t="s">
        <v>1211</v>
      </c>
      <c r="G51" s="187" t="s">
        <v>1212</v>
      </c>
      <c r="H51" s="187" t="s">
        <v>1213</v>
      </c>
      <c r="I51" s="187" t="s">
        <v>1214</v>
      </c>
      <c r="J51" s="187" t="s">
        <v>1215</v>
      </c>
      <c r="K51" s="187" t="s">
        <v>1216</v>
      </c>
      <c r="L51" s="187" t="s">
        <v>1217</v>
      </c>
    </row>
    <row r="52" spans="2:12">
      <c r="B52" s="188" t="s">
        <v>1228</v>
      </c>
      <c r="C52" s="189" t="s">
        <v>1219</v>
      </c>
      <c r="D52" s="190" t="s">
        <v>39</v>
      </c>
      <c r="E52" s="191">
        <f>48/4</f>
        <v>12</v>
      </c>
      <c r="F52" s="192">
        <v>4</v>
      </c>
      <c r="G52" s="192"/>
      <c r="H52" s="191"/>
      <c r="I52" s="191"/>
      <c r="J52" s="216"/>
      <c r="K52" s="217">
        <f>IF(E52*F52*G52&lt;&gt;0,E52*F52*G52,IF(E52*F52&lt;&gt;0,E52*F52,IF(F52*G52&lt;&gt;0,F52*G52,IF(E52*G52&lt;&gt;0,E52*G52,IF(E52&lt;&gt;0,E52,IF(F52&lt;&gt;0,F52,IF(G52&lt;&gt;0,G52,0)))))))*(IF(H52&lt;&gt;0,H52,1))+I52-J52</f>
        <v>48</v>
      </c>
      <c r="L52" s="218"/>
    </row>
    <row r="53" spans="2:12">
      <c r="B53" s="188" t="s">
        <v>1228</v>
      </c>
      <c r="C53" s="189" t="s">
        <v>1240</v>
      </c>
      <c r="D53" s="190" t="s">
        <v>39</v>
      </c>
      <c r="E53" s="191">
        <v>5</v>
      </c>
      <c r="F53" s="192">
        <v>4</v>
      </c>
      <c r="G53" s="192"/>
      <c r="H53" s="191"/>
      <c r="I53" s="191"/>
      <c r="J53" s="219"/>
      <c r="K53" s="217">
        <f>IF(E53*F53*G53&lt;&gt;0,E53*F53*G53,IF(E53*F53&lt;&gt;0,E53*F53,IF(F53*G53&lt;&gt;0,F53*G53,IF(E53*G53&lt;&gt;0,E53*G53,IF(E53&lt;&gt;0,E53,IF(F53&lt;&gt;0,F53,IF(G53&lt;&gt;0,G53,0)))))))*(IF(H53&lt;&gt;0,H53,1))+I53-J53</f>
        <v>20</v>
      </c>
      <c r="L53" s="218"/>
    </row>
    <row r="54" spans="2:12">
      <c r="B54" s="202"/>
      <c r="C54" s="203"/>
      <c r="D54" s="203"/>
      <c r="E54" s="203"/>
      <c r="F54" s="203"/>
      <c r="G54" s="203"/>
      <c r="H54" s="204"/>
      <c r="I54" s="556" t="s">
        <v>1221</v>
      </c>
      <c r="J54" s="556"/>
      <c r="K54" s="220">
        <f>SUM(K52:K53)</f>
        <v>68</v>
      </c>
      <c r="L54" s="207"/>
    </row>
    <row r="55" spans="2:12">
      <c r="B55" s="208"/>
      <c r="C55" s="204"/>
      <c r="D55" s="204"/>
      <c r="E55" s="204"/>
      <c r="F55" s="204"/>
      <c r="G55" s="204"/>
      <c r="H55" s="209"/>
      <c r="I55" s="557" t="s">
        <v>1222</v>
      </c>
      <c r="J55" s="557"/>
      <c r="K55" s="221">
        <v>68</v>
      </c>
      <c r="L55" s="207"/>
    </row>
    <row r="56" spans="2:12">
      <c r="B56" s="208"/>
      <c r="C56" s="204"/>
      <c r="D56" s="204"/>
      <c r="E56" s="204"/>
      <c r="F56" s="204"/>
      <c r="G56" s="204"/>
      <c r="H56" s="558" t="s">
        <v>1223</v>
      </c>
      <c r="I56" s="558"/>
      <c r="J56" s="558"/>
      <c r="K56" s="222">
        <v>48</v>
      </c>
      <c r="L56" s="207"/>
    </row>
    <row r="57" spans="2:12">
      <c r="B57" s="208"/>
      <c r="C57" s="204"/>
      <c r="D57" s="204"/>
      <c r="E57" s="204"/>
      <c r="F57" s="204"/>
      <c r="G57" s="204"/>
      <c r="H57" s="558" t="s">
        <v>1199</v>
      </c>
      <c r="I57" s="558"/>
      <c r="J57" s="558"/>
      <c r="K57" s="222">
        <f>IF(K54&gt;K55,K55,K54)-K56</f>
        <v>20</v>
      </c>
      <c r="L57" s="207"/>
    </row>
    <row r="58" spans="2:12">
      <c r="B58" s="213"/>
      <c r="C58" s="214"/>
      <c r="D58" s="214"/>
      <c r="E58" s="214"/>
      <c r="F58" s="214"/>
      <c r="G58" s="214"/>
      <c r="H58" s="559" t="s">
        <v>1224</v>
      </c>
      <c r="I58" s="559"/>
      <c r="J58" s="559"/>
      <c r="K58" s="223">
        <f>IF(K54&gt;K55,K54-K55,0)</f>
        <v>0</v>
      </c>
      <c r="L58" s="209"/>
    </row>
    <row r="60" spans="2:12" ht="14.25" customHeight="1">
      <c r="B60" s="555" t="s">
        <v>1231</v>
      </c>
      <c r="C60" s="555"/>
      <c r="D60" s="555"/>
      <c r="E60" s="555"/>
      <c r="F60" s="555"/>
      <c r="G60" s="555"/>
      <c r="H60" s="555"/>
      <c r="I60" s="555"/>
      <c r="J60" s="555"/>
      <c r="K60" s="555"/>
      <c r="L60" s="555"/>
    </row>
    <row r="61" spans="2:12">
      <c r="B61" s="187" t="s">
        <v>1209</v>
      </c>
      <c r="C61" s="187"/>
      <c r="D61" s="187" t="s">
        <v>39</v>
      </c>
      <c r="E61" s="187" t="s">
        <v>1210</v>
      </c>
      <c r="F61" s="187" t="s">
        <v>1211</v>
      </c>
      <c r="G61" s="187" t="s">
        <v>1212</v>
      </c>
      <c r="H61" s="187" t="s">
        <v>1213</v>
      </c>
      <c r="I61" s="187" t="s">
        <v>1214</v>
      </c>
      <c r="J61" s="187" t="s">
        <v>1215</v>
      </c>
      <c r="K61" s="187" t="s">
        <v>1216</v>
      </c>
      <c r="L61" s="187" t="s">
        <v>1217</v>
      </c>
    </row>
    <row r="62" spans="2:12">
      <c r="B62" s="188" t="s">
        <v>1228</v>
      </c>
      <c r="C62" s="189" t="s">
        <v>1219</v>
      </c>
      <c r="D62" s="190" t="s">
        <v>39</v>
      </c>
      <c r="E62" s="191">
        <v>15</v>
      </c>
      <c r="F62" s="192">
        <v>4</v>
      </c>
      <c r="G62" s="192"/>
      <c r="H62" s="191"/>
      <c r="I62" s="191"/>
      <c r="J62" s="216"/>
      <c r="K62" s="217">
        <f>IF(E62*F62*G62&lt;&gt;0,E62*F62*G62,IF(E62*F62&lt;&gt;0,E62*F62,IF(F62*G62&lt;&gt;0,F62*G62,IF(E62*G62&lt;&gt;0,E62*G62,IF(E62&lt;&gt;0,E62,IF(F62&lt;&gt;0,F62,IF(G62&lt;&gt;0,G62,0)))))))*(IF(H62&lt;&gt;0,H62,1))+I62-J62</f>
        <v>60</v>
      </c>
      <c r="L62" s="218"/>
    </row>
    <row r="63" spans="2:12">
      <c r="B63" s="197"/>
      <c r="C63" s="189"/>
      <c r="D63" s="198"/>
      <c r="E63" s="199"/>
      <c r="F63" s="199"/>
      <c r="G63" s="199"/>
      <c r="H63" s="199"/>
      <c r="I63" s="199"/>
      <c r="J63" s="219"/>
      <c r="K63" s="217">
        <f>IF(E63*F63*G63&lt;&gt;0,E63*F63*G63,IF(E63*F63&lt;&gt;0,E63*F63,IF(F63*G63&lt;&gt;0,F63*G63,IF(E63*G63&lt;&gt;0,E63*G63,IF(E63&lt;&gt;0,E63,IF(F63&lt;&gt;0,F63,IF(G63&lt;&gt;0,G63,0)))))))*(IF(H63&lt;&gt;0,H63,1))+I63-J63</f>
        <v>0</v>
      </c>
      <c r="L63" s="218"/>
    </row>
    <row r="64" spans="2:12">
      <c r="B64" s="202"/>
      <c r="C64" s="203"/>
      <c r="D64" s="203"/>
      <c r="E64" s="203"/>
      <c r="F64" s="203"/>
      <c r="G64" s="203"/>
      <c r="H64" s="204"/>
      <c r="I64" s="556" t="s">
        <v>1221</v>
      </c>
      <c r="J64" s="556"/>
      <c r="K64" s="220">
        <f>SUM(K62:K63)</f>
        <v>60</v>
      </c>
      <c r="L64" s="207"/>
    </row>
    <row r="65" spans="2:12">
      <c r="B65" s="208"/>
      <c r="C65" s="204"/>
      <c r="D65" s="204"/>
      <c r="E65" s="204"/>
      <c r="F65" s="204"/>
      <c r="G65" s="204"/>
      <c r="H65" s="209"/>
      <c r="I65" s="557" t="s">
        <v>1222</v>
      </c>
      <c r="J65" s="557"/>
      <c r="K65" s="221">
        <v>60</v>
      </c>
      <c r="L65" s="207"/>
    </row>
    <row r="66" spans="2:12">
      <c r="B66" s="208"/>
      <c r="C66" s="204"/>
      <c r="D66" s="204"/>
      <c r="E66" s="204"/>
      <c r="F66" s="204"/>
      <c r="G66" s="204"/>
      <c r="H66" s="558" t="s">
        <v>1223</v>
      </c>
      <c r="I66" s="558"/>
      <c r="J66" s="558"/>
      <c r="K66" s="222"/>
      <c r="L66" s="207"/>
    </row>
    <row r="67" spans="2:12">
      <c r="B67" s="208"/>
      <c r="C67" s="204"/>
      <c r="D67" s="204"/>
      <c r="E67" s="204"/>
      <c r="F67" s="204"/>
      <c r="G67" s="204"/>
      <c r="H67" s="558" t="s">
        <v>1190</v>
      </c>
      <c r="I67" s="558"/>
      <c r="J67" s="558"/>
      <c r="K67" s="222">
        <f>IF(K64&gt;K65,K65,K64)-K66</f>
        <v>60</v>
      </c>
      <c r="L67" s="207"/>
    </row>
    <row r="68" spans="2:12">
      <c r="B68" s="213"/>
      <c r="C68" s="214"/>
      <c r="D68" s="214"/>
      <c r="E68" s="214"/>
      <c r="F68" s="214"/>
      <c r="G68" s="214"/>
      <c r="H68" s="559" t="s">
        <v>1224</v>
      </c>
      <c r="I68" s="559"/>
      <c r="J68" s="559"/>
      <c r="K68" s="223">
        <f>IF(K64&gt;K65,K64-K65,0)</f>
        <v>0</v>
      </c>
      <c r="L68" s="209"/>
    </row>
    <row r="70" spans="2:12" ht="14.25" customHeight="1">
      <c r="B70" s="555" t="s">
        <v>1232</v>
      </c>
      <c r="C70" s="555"/>
      <c r="D70" s="555"/>
      <c r="E70" s="555"/>
      <c r="F70" s="555"/>
      <c r="G70" s="555"/>
      <c r="H70" s="555"/>
      <c r="I70" s="555"/>
      <c r="J70" s="555"/>
      <c r="K70" s="555"/>
      <c r="L70" s="555"/>
    </row>
    <row r="71" spans="2:12">
      <c r="B71" s="187" t="s">
        <v>1209</v>
      </c>
      <c r="C71" s="187"/>
      <c r="D71" s="187" t="s">
        <v>39</v>
      </c>
      <c r="E71" s="187" t="s">
        <v>1210</v>
      </c>
      <c r="F71" s="187" t="s">
        <v>1211</v>
      </c>
      <c r="G71" s="187" t="s">
        <v>1212</v>
      </c>
      <c r="H71" s="187" t="s">
        <v>1213</v>
      </c>
      <c r="I71" s="187" t="s">
        <v>1214</v>
      </c>
      <c r="J71" s="187" t="s">
        <v>1215</v>
      </c>
      <c r="K71" s="187" t="s">
        <v>1216</v>
      </c>
      <c r="L71" s="187" t="s">
        <v>1217</v>
      </c>
    </row>
    <row r="72" spans="2:12">
      <c r="B72" s="188" t="s">
        <v>1228</v>
      </c>
      <c r="C72" s="189" t="s">
        <v>1219</v>
      </c>
      <c r="D72" s="190" t="s">
        <v>39</v>
      </c>
      <c r="E72" s="191">
        <v>5</v>
      </c>
      <c r="F72" s="192">
        <v>4</v>
      </c>
      <c r="G72" s="192"/>
      <c r="H72" s="191"/>
      <c r="I72" s="191"/>
      <c r="J72" s="216"/>
      <c r="K72" s="217">
        <f>IF(E72*F72*G72&lt;&gt;0,E72*F72*G72,IF(E72*F72&lt;&gt;0,E72*F72,IF(F72*G72&lt;&gt;0,F72*G72,IF(E72*G72&lt;&gt;0,E72*G72,IF(E72&lt;&gt;0,E72,IF(F72&lt;&gt;0,F72,IF(G72&lt;&gt;0,G72,0)))))))*(IF(H72&lt;&gt;0,H72,1))+I72-J72</f>
        <v>20</v>
      </c>
      <c r="L72" s="218"/>
    </row>
    <row r="73" spans="2:12">
      <c r="B73" s="188" t="s">
        <v>1228</v>
      </c>
      <c r="C73" s="189" t="s">
        <v>1240</v>
      </c>
      <c r="D73" s="190" t="s">
        <v>39</v>
      </c>
      <c r="E73" s="191">
        <v>10</v>
      </c>
      <c r="F73" s="192">
        <v>4</v>
      </c>
      <c r="G73" s="192"/>
      <c r="H73" s="191"/>
      <c r="I73" s="191"/>
      <c r="J73" s="219"/>
      <c r="K73" s="217">
        <f>IF(E73*F73*G73&lt;&gt;0,E73*F73*G73,IF(E73*F73&lt;&gt;0,E73*F73,IF(F73*G73&lt;&gt;0,F73*G73,IF(E73*G73&lt;&gt;0,E73*G73,IF(E73&lt;&gt;0,E73,IF(F73&lt;&gt;0,F73,IF(G73&lt;&gt;0,G73,0)))))))*(IF(H73&lt;&gt;0,H73,1))+I73-J73</f>
        <v>40</v>
      </c>
      <c r="L73" s="218"/>
    </row>
    <row r="74" spans="2:12">
      <c r="B74" s="202"/>
      <c r="C74" s="203"/>
      <c r="D74" s="203"/>
      <c r="E74" s="203"/>
      <c r="F74" s="203"/>
      <c r="G74" s="203"/>
      <c r="H74" s="204"/>
      <c r="I74" s="556" t="s">
        <v>1221</v>
      </c>
      <c r="J74" s="556"/>
      <c r="K74" s="220">
        <f>SUM(K72:K73)</f>
        <v>60</v>
      </c>
      <c r="L74" s="207"/>
    </row>
    <row r="75" spans="2:12">
      <c r="B75" s="208"/>
      <c r="C75" s="204"/>
      <c r="D75" s="204"/>
      <c r="E75" s="204"/>
      <c r="F75" s="204"/>
      <c r="G75" s="204"/>
      <c r="H75" s="209"/>
      <c r="I75" s="557" t="s">
        <v>1222</v>
      </c>
      <c r="J75" s="557"/>
      <c r="K75" s="221">
        <v>60</v>
      </c>
      <c r="L75" s="207"/>
    </row>
    <row r="76" spans="2:12">
      <c r="B76" s="208"/>
      <c r="C76" s="204"/>
      <c r="D76" s="204"/>
      <c r="E76" s="204"/>
      <c r="F76" s="204"/>
      <c r="G76" s="204"/>
      <c r="H76" s="558" t="s">
        <v>1223</v>
      </c>
      <c r="I76" s="558"/>
      <c r="J76" s="558"/>
      <c r="K76" s="222">
        <v>20</v>
      </c>
      <c r="L76" s="207"/>
    </row>
    <row r="77" spans="2:12">
      <c r="B77" s="208"/>
      <c r="C77" s="204"/>
      <c r="D77" s="204"/>
      <c r="E77" s="204"/>
      <c r="F77" s="204"/>
      <c r="G77" s="204"/>
      <c r="H77" s="558" t="s">
        <v>1199</v>
      </c>
      <c r="I77" s="558"/>
      <c r="J77" s="558"/>
      <c r="K77" s="222">
        <f>IF(K74&gt;K75,K75,K74)-K76</f>
        <v>40</v>
      </c>
      <c r="L77" s="207"/>
    </row>
    <row r="78" spans="2:12">
      <c r="B78" s="213"/>
      <c r="C78" s="214"/>
      <c r="D78" s="214"/>
      <c r="E78" s="214"/>
      <c r="F78" s="214"/>
      <c r="G78" s="214"/>
      <c r="H78" s="559" t="s">
        <v>1224</v>
      </c>
      <c r="I78" s="559"/>
      <c r="J78" s="559"/>
      <c r="K78" s="223">
        <f>IF(K74&gt;K75,K74-K75,0)</f>
        <v>0</v>
      </c>
      <c r="L78" s="209"/>
    </row>
    <row r="80" spans="2:12" ht="14.25" customHeight="1">
      <c r="B80" s="555" t="s">
        <v>1233</v>
      </c>
      <c r="C80" s="555"/>
      <c r="D80" s="555"/>
      <c r="E80" s="555"/>
      <c r="F80" s="555"/>
      <c r="G80" s="555"/>
      <c r="H80" s="555"/>
      <c r="I80" s="555"/>
      <c r="J80" s="555"/>
      <c r="K80" s="555"/>
      <c r="L80" s="555"/>
    </row>
    <row r="81" spans="2:12">
      <c r="B81" s="187" t="s">
        <v>1209</v>
      </c>
      <c r="C81" s="187"/>
      <c r="D81" s="187" t="s">
        <v>39</v>
      </c>
      <c r="E81" s="187" t="s">
        <v>1210</v>
      </c>
      <c r="F81" s="187" t="s">
        <v>1211</v>
      </c>
      <c r="G81" s="187" t="s">
        <v>1212</v>
      </c>
      <c r="H81" s="187" t="s">
        <v>1213</v>
      </c>
      <c r="I81" s="187" t="s">
        <v>1214</v>
      </c>
      <c r="J81" s="187" t="s">
        <v>1215</v>
      </c>
      <c r="K81" s="187" t="s">
        <v>1216</v>
      </c>
      <c r="L81" s="187" t="s">
        <v>1217</v>
      </c>
    </row>
    <row r="82" spans="2:12">
      <c r="B82" s="188" t="s">
        <v>1228</v>
      </c>
      <c r="C82" s="189" t="s">
        <v>1219</v>
      </c>
      <c r="D82" s="190" t="s">
        <v>39</v>
      </c>
      <c r="E82" s="191">
        <v>5</v>
      </c>
      <c r="F82" s="192">
        <v>4</v>
      </c>
      <c r="G82" s="192"/>
      <c r="H82" s="191"/>
      <c r="I82" s="191"/>
      <c r="J82" s="216"/>
      <c r="K82" s="217">
        <f>IF(E82*F82*G82&lt;&gt;0,E82*F82*G82,IF(E82*F82&lt;&gt;0,E82*F82,IF(F82*G82&lt;&gt;0,F82*G82,IF(E82*G82&lt;&gt;0,E82*G82,IF(E82&lt;&gt;0,E82,IF(F82&lt;&gt;0,F82,IF(G82&lt;&gt;0,G82,0)))))))*(IF(H82&lt;&gt;0,H82,1))+I82-J82</f>
        <v>20</v>
      </c>
      <c r="L82" s="218"/>
    </row>
    <row r="83" spans="2:12">
      <c r="B83" s="188" t="s">
        <v>1228</v>
      </c>
      <c r="C83" s="189" t="s">
        <v>1219</v>
      </c>
      <c r="D83" s="190" t="s">
        <v>39</v>
      </c>
      <c r="E83" s="191">
        <v>7.5</v>
      </c>
      <c r="F83" s="192">
        <v>4</v>
      </c>
      <c r="G83" s="192"/>
      <c r="H83" s="191"/>
      <c r="I83" s="191"/>
      <c r="J83" s="216"/>
      <c r="K83" s="217">
        <f>IF(E83*F83*G83&lt;&gt;0,E83*F83*G83,IF(E83*F83&lt;&gt;0,E83*F83,IF(F83*G83&lt;&gt;0,F83*G83,IF(E83*G83&lt;&gt;0,E83*G83,IF(E83&lt;&gt;0,E83,IF(F83&lt;&gt;0,F83,IF(G83&lt;&gt;0,G83,0)))))))*(IF(H83&lt;&gt;0,H83,1))+I83-J83</f>
        <v>30</v>
      </c>
      <c r="L83" s="218"/>
    </row>
    <row r="84" spans="2:12">
      <c r="B84" s="202"/>
      <c r="C84" s="203"/>
      <c r="D84" s="203"/>
      <c r="E84" s="203"/>
      <c r="F84" s="203"/>
      <c r="G84" s="203"/>
      <c r="H84" s="204"/>
      <c r="I84" s="556" t="s">
        <v>1221</v>
      </c>
      <c r="J84" s="556"/>
      <c r="K84" s="220">
        <f>SUM(K82:K83)</f>
        <v>50</v>
      </c>
      <c r="L84" s="207"/>
    </row>
    <row r="85" spans="2:12">
      <c r="B85" s="208"/>
      <c r="C85" s="204"/>
      <c r="D85" s="204"/>
      <c r="E85" s="204"/>
      <c r="F85" s="204"/>
      <c r="G85" s="204"/>
      <c r="H85" s="209"/>
      <c r="I85" s="557" t="s">
        <v>1222</v>
      </c>
      <c r="J85" s="557"/>
      <c r="K85" s="221">
        <v>50</v>
      </c>
      <c r="L85" s="207"/>
    </row>
    <row r="86" spans="2:12">
      <c r="B86" s="208"/>
      <c r="C86" s="204"/>
      <c r="D86" s="204"/>
      <c r="E86" s="204"/>
      <c r="F86" s="204"/>
      <c r="G86" s="204"/>
      <c r="H86" s="558" t="s">
        <v>1223</v>
      </c>
      <c r="I86" s="558"/>
      <c r="J86" s="558"/>
      <c r="K86" s="222">
        <v>20</v>
      </c>
      <c r="L86" s="207"/>
    </row>
    <row r="87" spans="2:12">
      <c r="B87" s="208"/>
      <c r="C87" s="204"/>
      <c r="D87" s="204"/>
      <c r="E87" s="204"/>
      <c r="F87" s="204"/>
      <c r="G87" s="204"/>
      <c r="H87" s="558" t="s">
        <v>1199</v>
      </c>
      <c r="I87" s="558"/>
      <c r="J87" s="558"/>
      <c r="K87" s="222">
        <f>IF(K84&gt;K85,K85,K84)-K86</f>
        <v>30</v>
      </c>
      <c r="L87" s="207"/>
    </row>
    <row r="88" spans="2:12">
      <c r="B88" s="213"/>
      <c r="C88" s="214"/>
      <c r="D88" s="214"/>
      <c r="E88" s="214"/>
      <c r="F88" s="214"/>
      <c r="G88" s="214"/>
      <c r="H88" s="559" t="s">
        <v>1224</v>
      </c>
      <c r="I88" s="559"/>
      <c r="J88" s="559"/>
      <c r="K88" s="223">
        <f>IF(K84&gt;K85,K84-K85,0)</f>
        <v>0</v>
      </c>
      <c r="L88" s="209"/>
    </row>
    <row r="90" spans="2:12" ht="15" customHeight="1">
      <c r="B90" s="555" t="s">
        <v>1234</v>
      </c>
      <c r="C90" s="555"/>
      <c r="D90" s="555"/>
      <c r="E90" s="555"/>
      <c r="F90" s="555"/>
      <c r="G90" s="555"/>
      <c r="H90" s="555"/>
      <c r="I90" s="555"/>
      <c r="J90" s="555"/>
      <c r="K90" s="555"/>
      <c r="L90" s="555"/>
    </row>
    <row r="91" spans="2:12">
      <c r="B91" s="187" t="s">
        <v>1209</v>
      </c>
      <c r="C91" s="187"/>
      <c r="D91" s="187" t="s">
        <v>39</v>
      </c>
      <c r="E91" s="187" t="s">
        <v>1210</v>
      </c>
      <c r="F91" s="187" t="s">
        <v>1211</v>
      </c>
      <c r="G91" s="187" t="s">
        <v>1212</v>
      </c>
      <c r="H91" s="187" t="s">
        <v>1213</v>
      </c>
      <c r="I91" s="187" t="s">
        <v>1214</v>
      </c>
      <c r="J91" s="187" t="s">
        <v>1215</v>
      </c>
      <c r="K91" s="187" t="s">
        <v>1216</v>
      </c>
      <c r="L91" s="187" t="s">
        <v>1217</v>
      </c>
    </row>
    <row r="92" spans="2:12">
      <c r="B92" s="188" t="s">
        <v>1235</v>
      </c>
      <c r="C92" s="189" t="s">
        <v>1219</v>
      </c>
      <c r="D92" s="190" t="s">
        <v>169</v>
      </c>
      <c r="E92" s="191">
        <v>1616.87</v>
      </c>
      <c r="F92" s="192"/>
      <c r="G92" s="192">
        <v>0.75</v>
      </c>
      <c r="H92" s="191"/>
      <c r="I92" s="191"/>
      <c r="J92" s="216"/>
      <c r="K92" s="217">
        <f>IF(E92*F92*G92&lt;&gt;0,E92*F92*G92,IF(E92*F92&lt;&gt;0,E92*F92,IF(F92*G92&lt;&gt;0,F92*G92,IF(E92*G92&lt;&gt;0,E92*G92,IF(E92&lt;&gt;0,E92,IF(F92&lt;&gt;0,F92,IF(G92&lt;&gt;0,G92,0)))))))*(IF(H92&lt;&gt;0,H92,1))+I92-J92</f>
        <v>1212.6524999999999</v>
      </c>
      <c r="L92" s="218"/>
    </row>
    <row r="93" spans="2:12">
      <c r="B93" s="188" t="s">
        <v>1235</v>
      </c>
      <c r="C93" s="189" t="s">
        <v>1271</v>
      </c>
      <c r="D93" s="190" t="s">
        <v>169</v>
      </c>
      <c r="E93" s="199">
        <v>1616.87</v>
      </c>
      <c r="F93" s="199"/>
      <c r="G93" s="199">
        <v>0.25</v>
      </c>
      <c r="H93" s="199"/>
      <c r="I93" s="199"/>
      <c r="J93" s="219"/>
      <c r="K93" s="217">
        <f>IF(E93*F93*G93&lt;&gt;0,E93*F93*G93,IF(E93*F93&lt;&gt;0,E93*F93,IF(F93*G93&lt;&gt;0,F93*G93,IF(E93*G93&lt;&gt;0,E93*G93,IF(E93&lt;&gt;0,E93,IF(F93&lt;&gt;0,F93,IF(G93&lt;&gt;0,G93,0)))))))*(IF(H93&lt;&gt;0,H93,1))+I93-J93</f>
        <v>404.21749999999997</v>
      </c>
      <c r="L93" s="218"/>
    </row>
    <row r="94" spans="2:12">
      <c r="B94" s="197"/>
      <c r="C94" s="189"/>
      <c r="D94" s="198"/>
      <c r="E94" s="199"/>
      <c r="F94" s="199"/>
      <c r="G94" s="199"/>
      <c r="H94" s="199"/>
      <c r="I94" s="199"/>
      <c r="J94" s="219"/>
      <c r="K94" s="217">
        <f>IF(E94*F94*G94&lt;&gt;0,E94*F94*G94,IF(E94*F94&lt;&gt;0,E94*F94,IF(F94*G94&lt;&gt;0,F94*G94,IF(E94*G94&lt;&gt;0,E94*G94,IF(E94&lt;&gt;0,E94,IF(F94&lt;&gt;0,F94,IF(G94&lt;&gt;0,G94,0)))))))*(IF(H94&lt;&gt;0,H94,1))+I94-J94</f>
        <v>0</v>
      </c>
      <c r="L94" s="218"/>
    </row>
    <row r="95" spans="2:12">
      <c r="B95" s="202"/>
      <c r="C95" s="203"/>
      <c r="D95" s="203"/>
      <c r="E95" s="203"/>
      <c r="F95" s="203"/>
      <c r="G95" s="203"/>
      <c r="H95" s="204"/>
      <c r="I95" s="556" t="s">
        <v>1221</v>
      </c>
      <c r="J95" s="556"/>
      <c r="K95" s="220">
        <f>SUM(K92:K94)</f>
        <v>1616.87</v>
      </c>
      <c r="L95" s="207"/>
    </row>
    <row r="96" spans="2:12">
      <c r="B96" s="208"/>
      <c r="C96" s="204"/>
      <c r="D96" s="204"/>
      <c r="E96" s="204"/>
      <c r="F96" s="204"/>
      <c r="G96" s="204"/>
      <c r="H96" s="209"/>
      <c r="I96" s="557" t="s">
        <v>1222</v>
      </c>
      <c r="J96" s="557"/>
      <c r="K96" s="221">
        <v>4350</v>
      </c>
      <c r="L96" s="207"/>
    </row>
    <row r="97" spans="2:12">
      <c r="B97" s="208"/>
      <c r="C97" s="204"/>
      <c r="D97" s="204"/>
      <c r="E97" s="204"/>
      <c r="F97" s="204"/>
      <c r="G97" s="204"/>
      <c r="H97" s="558" t="s">
        <v>1223</v>
      </c>
      <c r="I97" s="558"/>
      <c r="J97" s="558"/>
      <c r="K97" s="222">
        <v>1212.6524999999999</v>
      </c>
      <c r="L97" s="207"/>
    </row>
    <row r="98" spans="2:12">
      <c r="B98" s="208"/>
      <c r="C98" s="204"/>
      <c r="D98" s="204"/>
      <c r="E98" s="204"/>
      <c r="F98" s="204"/>
      <c r="G98" s="204"/>
      <c r="H98" s="558" t="s">
        <v>1201</v>
      </c>
      <c r="I98" s="558"/>
      <c r="J98" s="558"/>
      <c r="K98" s="222">
        <f>IF(K95&gt;K96,K96,K95)-K97</f>
        <v>404.21749999999997</v>
      </c>
      <c r="L98" s="207"/>
    </row>
    <row r="99" spans="2:12">
      <c r="B99" s="213"/>
      <c r="C99" s="214"/>
      <c r="D99" s="214"/>
      <c r="E99" s="214"/>
      <c r="F99" s="214"/>
      <c r="G99" s="214"/>
      <c r="H99" s="559" t="s">
        <v>1224</v>
      </c>
      <c r="I99" s="559"/>
      <c r="J99" s="559"/>
      <c r="K99" s="223">
        <f>IF(K95&gt;K96,K95-K96,0)</f>
        <v>0</v>
      </c>
      <c r="L99" s="209"/>
    </row>
    <row r="100" spans="2:12" ht="15" customHeight="1"/>
    <row r="101" spans="2:12" ht="24" customHeight="1">
      <c r="B101" s="555" t="s">
        <v>1236</v>
      </c>
      <c r="C101" s="555"/>
      <c r="D101" s="555"/>
      <c r="E101" s="555"/>
      <c r="F101" s="555"/>
      <c r="G101" s="555"/>
      <c r="H101" s="555"/>
      <c r="I101" s="555"/>
      <c r="J101" s="555"/>
      <c r="K101" s="555"/>
      <c r="L101" s="555"/>
    </row>
    <row r="102" spans="2:12">
      <c r="B102" s="187" t="s">
        <v>1209</v>
      </c>
      <c r="C102" s="187"/>
      <c r="D102" s="187" t="s">
        <v>39</v>
      </c>
      <c r="E102" s="187" t="s">
        <v>1210</v>
      </c>
      <c r="F102" s="187" t="s">
        <v>1211</v>
      </c>
      <c r="G102" s="187" t="s">
        <v>1212</v>
      </c>
      <c r="H102" s="187" t="s">
        <v>1213</v>
      </c>
      <c r="I102" s="187" t="s">
        <v>1214</v>
      </c>
      <c r="J102" s="187" t="s">
        <v>1215</v>
      </c>
      <c r="K102" s="187" t="s">
        <v>1216</v>
      </c>
      <c r="L102" s="187" t="s">
        <v>1217</v>
      </c>
    </row>
    <row r="103" spans="2:12">
      <c r="B103" s="188" t="s">
        <v>1235</v>
      </c>
      <c r="C103" s="189" t="s">
        <v>1219</v>
      </c>
      <c r="D103" s="190" t="s">
        <v>169</v>
      </c>
      <c r="E103" s="191">
        <v>1616.87</v>
      </c>
      <c r="F103" s="192"/>
      <c r="G103" s="192">
        <v>0.75</v>
      </c>
      <c r="H103" s="191"/>
      <c r="I103" s="191"/>
      <c r="J103" s="216"/>
      <c r="K103" s="217">
        <f>IF(E103*F103*G103&lt;&gt;0,E103*F103*G103,IF(E103*F103&lt;&gt;0,E103*F103,IF(F103*G103&lt;&gt;0,F103*G103,IF(E103*G103&lt;&gt;0,E103*G103,IF(E103&lt;&gt;0,E103,IF(F103&lt;&gt;0,F103,IF(G103&lt;&gt;0,G103,0)))))))*(IF(H103&lt;&gt;0,H103,1))+I103-J103</f>
        <v>1212.6524999999999</v>
      </c>
      <c r="L103" s="218"/>
    </row>
    <row r="104" spans="2:12">
      <c r="B104" s="188" t="s">
        <v>1235</v>
      </c>
      <c r="C104" s="189" t="s">
        <v>1271</v>
      </c>
      <c r="D104" s="190" t="s">
        <v>169</v>
      </c>
      <c r="E104" s="199">
        <v>1616.87</v>
      </c>
      <c r="F104" s="199"/>
      <c r="G104" s="199">
        <v>0.25</v>
      </c>
      <c r="H104" s="199"/>
      <c r="I104" s="199"/>
      <c r="J104" s="219"/>
      <c r="K104" s="217">
        <f>IF(E104*F104*G104&lt;&gt;0,E104*F104*G104,IF(E104*F104&lt;&gt;0,E104*F104,IF(F104*G104&lt;&gt;0,F104*G104,IF(E104*G104&lt;&gt;0,E104*G104,IF(E104&lt;&gt;0,E104,IF(F104&lt;&gt;0,F104,IF(G104&lt;&gt;0,G104,0)))))))*(IF(H104&lt;&gt;0,H104,1))+I104-J104</f>
        <v>404.21749999999997</v>
      </c>
      <c r="L104" s="218"/>
    </row>
    <row r="105" spans="2:12">
      <c r="B105" s="197"/>
      <c r="C105" s="189"/>
      <c r="D105" s="198"/>
      <c r="E105" s="199"/>
      <c r="F105" s="199"/>
      <c r="G105" s="199"/>
      <c r="H105" s="199"/>
      <c r="I105" s="199"/>
      <c r="J105" s="219"/>
      <c r="K105" s="217">
        <f>IF(E105*F105*G105&lt;&gt;0,E105*F105*G105,IF(E105*F105&lt;&gt;0,E105*F105,IF(F105*G105&lt;&gt;0,F105*G105,IF(E105*G105&lt;&gt;0,E105*G105,IF(E105&lt;&gt;0,E105,IF(F105&lt;&gt;0,F105,IF(G105&lt;&gt;0,G105,0)))))))*(IF(H105&lt;&gt;0,H105,1))+I105-J105</f>
        <v>0</v>
      </c>
      <c r="L105" s="218"/>
    </row>
    <row r="106" spans="2:12">
      <c r="B106" s="202"/>
      <c r="C106" s="203"/>
      <c r="D106" s="203"/>
      <c r="E106" s="203"/>
      <c r="F106" s="203"/>
      <c r="G106" s="203"/>
      <c r="H106" s="204"/>
      <c r="I106" s="556" t="s">
        <v>1221</v>
      </c>
      <c r="J106" s="556"/>
      <c r="K106" s="220">
        <f>SUM(K103:K105)</f>
        <v>1616.87</v>
      </c>
      <c r="L106" s="207"/>
    </row>
    <row r="107" spans="2:12">
      <c r="B107" s="208"/>
      <c r="C107" s="204"/>
      <c r="D107" s="204"/>
      <c r="E107" s="204"/>
      <c r="F107" s="204"/>
      <c r="G107" s="204"/>
      <c r="H107" s="209"/>
      <c r="I107" s="557" t="s">
        <v>1222</v>
      </c>
      <c r="J107" s="557"/>
      <c r="K107" s="221">
        <v>3985</v>
      </c>
      <c r="L107" s="207"/>
    </row>
    <row r="108" spans="2:12">
      <c r="B108" s="208"/>
      <c r="C108" s="204"/>
      <c r="D108" s="204"/>
      <c r="E108" s="204"/>
      <c r="F108" s="204"/>
      <c r="G108" s="204"/>
      <c r="H108" s="558" t="s">
        <v>1223</v>
      </c>
      <c r="I108" s="558"/>
      <c r="J108" s="558"/>
      <c r="K108" s="222">
        <v>1212.6524999999999</v>
      </c>
      <c r="L108" s="207"/>
    </row>
    <row r="109" spans="2:12">
      <c r="B109" s="208"/>
      <c r="C109" s="204"/>
      <c r="D109" s="204"/>
      <c r="E109" s="204"/>
      <c r="F109" s="204"/>
      <c r="G109" s="204"/>
      <c r="H109" s="558" t="s">
        <v>1201</v>
      </c>
      <c r="I109" s="558"/>
      <c r="J109" s="558"/>
      <c r="K109" s="222">
        <f>IF(K106&gt;K107,K107,K106)-K108</f>
        <v>404.21749999999997</v>
      </c>
      <c r="L109" s="207"/>
    </row>
    <row r="110" spans="2:12" ht="15" customHeight="1">
      <c r="B110" s="213"/>
      <c r="C110" s="214"/>
      <c r="D110" s="214"/>
      <c r="E110" s="214"/>
      <c r="F110" s="214"/>
      <c r="G110" s="214"/>
      <c r="H110" s="559" t="s">
        <v>1224</v>
      </c>
      <c r="I110" s="559"/>
      <c r="J110" s="559"/>
      <c r="K110" s="223">
        <f>IF(K106&gt;K107,K106-K107,0)</f>
        <v>0</v>
      </c>
      <c r="L110" s="209"/>
    </row>
    <row r="112" spans="2:12" ht="14.25" customHeight="1">
      <c r="B112" s="555" t="s">
        <v>1237</v>
      </c>
      <c r="C112" s="555"/>
      <c r="D112" s="555"/>
      <c r="E112" s="555"/>
      <c r="F112" s="555"/>
      <c r="G112" s="555"/>
      <c r="H112" s="555"/>
      <c r="I112" s="555"/>
      <c r="J112" s="555"/>
      <c r="K112" s="555"/>
      <c r="L112" s="555"/>
    </row>
    <row r="113" spans="2:12">
      <c r="B113" s="187" t="s">
        <v>1209</v>
      </c>
      <c r="C113" s="187"/>
      <c r="D113" s="187" t="s">
        <v>39</v>
      </c>
      <c r="E113" s="187" t="s">
        <v>1210</v>
      </c>
      <c r="F113" s="187" t="s">
        <v>1211</v>
      </c>
      <c r="G113" s="187" t="s">
        <v>1212</v>
      </c>
      <c r="H113" s="187" t="s">
        <v>1213</v>
      </c>
      <c r="I113" s="187" t="s">
        <v>1214</v>
      </c>
      <c r="J113" s="187" t="s">
        <v>1215</v>
      </c>
      <c r="K113" s="187" t="s">
        <v>1216</v>
      </c>
      <c r="L113" s="187" t="s">
        <v>1217</v>
      </c>
    </row>
    <row r="114" spans="2:12">
      <c r="B114" s="188" t="s">
        <v>1238</v>
      </c>
      <c r="C114" s="189" t="s">
        <v>1219</v>
      </c>
      <c r="D114" s="190" t="s">
        <v>113</v>
      </c>
      <c r="E114" s="191"/>
      <c r="F114" s="192"/>
      <c r="G114" s="192"/>
      <c r="H114" s="191"/>
      <c r="I114" s="191">
        <v>8200</v>
      </c>
      <c r="J114" s="216"/>
      <c r="K114" s="217">
        <f>IF(E114*F114*G114&lt;&gt;0,E114*F114*G114,IF(E114*F114&lt;&gt;0,E114*F114,IF(F114*G114&lt;&gt;0,F114*G114,IF(E114*G114&lt;&gt;0,E114*G114,IF(E114&lt;&gt;0,E114,IF(F114&lt;&gt;0,F114,IF(G114&lt;&gt;0,G114,0)))))))*(IF(H114&lt;&gt;0,H114,1))+I114-J114</f>
        <v>8200</v>
      </c>
      <c r="L114" s="218"/>
    </row>
    <row r="115" spans="2:12">
      <c r="B115" s="188" t="s">
        <v>1235</v>
      </c>
      <c r="C115" s="189" t="s">
        <v>1271</v>
      </c>
      <c r="D115" s="190" t="s">
        <v>169</v>
      </c>
      <c r="E115" s="199">
        <v>1616.87</v>
      </c>
      <c r="F115" s="199"/>
      <c r="G115" s="199">
        <v>0.25</v>
      </c>
      <c r="H115" s="199">
        <v>30</v>
      </c>
      <c r="I115" s="199"/>
      <c r="J115" s="219"/>
      <c r="K115" s="217">
        <f>IF(E115*F115*G115&lt;&gt;0,E115*F115*G115,IF(E115*F115&lt;&gt;0,E115*F115,IF(F115*G115&lt;&gt;0,F115*G115,IF(E115*G115&lt;&gt;0,E115*G115,IF(E115&lt;&gt;0,E115,IF(F115&lt;&gt;0,F115,IF(G115&lt;&gt;0,G115,0)))))))*(IF(H115&lt;&gt;0,H115,1))+I115-J115</f>
        <v>12126.525</v>
      </c>
      <c r="L115" s="218"/>
    </row>
    <row r="116" spans="2:12">
      <c r="B116" s="197"/>
      <c r="C116" s="189"/>
      <c r="D116" s="198"/>
      <c r="E116" s="199"/>
      <c r="F116" s="199"/>
      <c r="G116" s="199"/>
      <c r="H116" s="199"/>
      <c r="I116" s="199"/>
      <c r="J116" s="219"/>
      <c r="K116" s="217">
        <f>IF(E116*F116*G116&lt;&gt;0,E116*F116*G116,IF(E116*F116&lt;&gt;0,E116*F116,IF(F116*G116&lt;&gt;0,F116*G116,IF(E116*G116&lt;&gt;0,E116*G116,IF(E116&lt;&gt;0,E116,IF(F116&lt;&gt;0,F116,IF(G116&lt;&gt;0,G116,0)))))))*(IF(H116&lt;&gt;0,H116,1))+I116-J116</f>
        <v>0</v>
      </c>
      <c r="L116" s="218"/>
    </row>
    <row r="117" spans="2:12">
      <c r="B117" s="202"/>
      <c r="C117" s="203"/>
      <c r="D117" s="203"/>
      <c r="E117" s="203"/>
      <c r="F117" s="203"/>
      <c r="G117" s="203"/>
      <c r="H117" s="204"/>
      <c r="I117" s="556" t="s">
        <v>1221</v>
      </c>
      <c r="J117" s="556"/>
      <c r="K117" s="220">
        <f>SUM(K114:K116)</f>
        <v>20326.525000000001</v>
      </c>
      <c r="L117" s="207"/>
    </row>
    <row r="118" spans="2:12">
      <c r="B118" s="208"/>
      <c r="C118" s="204"/>
      <c r="D118" s="204"/>
      <c r="E118" s="204"/>
      <c r="F118" s="204"/>
      <c r="G118" s="204"/>
      <c r="H118" s="209"/>
      <c r="I118" s="557" t="s">
        <v>1222</v>
      </c>
      <c r="J118" s="557"/>
      <c r="K118" s="221">
        <v>119550</v>
      </c>
      <c r="L118" s="207"/>
    </row>
    <row r="119" spans="2:12">
      <c r="B119" s="208"/>
      <c r="C119" s="204"/>
      <c r="D119" s="204"/>
      <c r="E119" s="204"/>
      <c r="F119" s="204"/>
      <c r="G119" s="204"/>
      <c r="H119" s="558" t="s">
        <v>1223</v>
      </c>
      <c r="I119" s="558"/>
      <c r="J119" s="558"/>
      <c r="K119" s="222">
        <v>8200</v>
      </c>
      <c r="L119" s="207"/>
    </row>
    <row r="120" spans="2:12">
      <c r="B120" s="208"/>
      <c r="C120" s="204"/>
      <c r="D120" s="204"/>
      <c r="E120" s="204"/>
      <c r="F120" s="204"/>
      <c r="G120" s="204"/>
      <c r="H120" s="558" t="s">
        <v>1201</v>
      </c>
      <c r="I120" s="558"/>
      <c r="J120" s="558"/>
      <c r="K120" s="222">
        <f>IF(K117&gt;K118,K118,K117)-K119</f>
        <v>12126.525000000001</v>
      </c>
      <c r="L120" s="207"/>
    </row>
    <row r="121" spans="2:12">
      <c r="B121" s="213"/>
      <c r="C121" s="214"/>
      <c r="D121" s="214"/>
      <c r="E121" s="214"/>
      <c r="F121" s="214"/>
      <c r="G121" s="214"/>
      <c r="H121" s="559" t="s">
        <v>1224</v>
      </c>
      <c r="I121" s="559"/>
      <c r="J121" s="559"/>
      <c r="K121" s="223">
        <f>IF(K117&gt;K118,K117-K118,0)</f>
        <v>0</v>
      </c>
      <c r="L121" s="209"/>
    </row>
    <row r="123" spans="2:12" ht="14.25" customHeight="1">
      <c r="B123" s="555" t="s">
        <v>1241</v>
      </c>
      <c r="C123" s="555"/>
      <c r="D123" s="555"/>
      <c r="E123" s="555"/>
      <c r="F123" s="555"/>
      <c r="G123" s="555"/>
      <c r="H123" s="555"/>
      <c r="I123" s="555"/>
      <c r="J123" s="555"/>
      <c r="K123" s="555"/>
      <c r="L123" s="555"/>
    </row>
    <row r="124" spans="2:12">
      <c r="B124" s="187" t="s">
        <v>1209</v>
      </c>
      <c r="C124" s="187"/>
      <c r="D124" s="187" t="s">
        <v>39</v>
      </c>
      <c r="E124" s="187" t="s">
        <v>1210</v>
      </c>
      <c r="F124" s="187" t="s">
        <v>1211</v>
      </c>
      <c r="G124" s="187" t="s">
        <v>1212</v>
      </c>
      <c r="H124" s="187" t="s">
        <v>1213</v>
      </c>
      <c r="I124" s="187" t="s">
        <v>1214</v>
      </c>
      <c r="J124" s="187" t="s">
        <v>1215</v>
      </c>
      <c r="K124" s="187" t="s">
        <v>1216</v>
      </c>
      <c r="L124" s="187" t="s">
        <v>1217</v>
      </c>
    </row>
    <row r="125" spans="2:12">
      <c r="B125" s="188" t="s">
        <v>117</v>
      </c>
      <c r="C125" s="189" t="s">
        <v>1240</v>
      </c>
      <c r="D125" s="190" t="s">
        <v>82</v>
      </c>
      <c r="E125" s="191">
        <v>10</v>
      </c>
      <c r="F125" s="192">
        <f>45/40</f>
        <v>1.125</v>
      </c>
      <c r="G125" s="192"/>
      <c r="H125" s="191">
        <v>147</v>
      </c>
      <c r="I125" s="191"/>
      <c r="J125" s="216"/>
      <c r="K125" s="217">
        <f>IF(E125*F125*G125&lt;&gt;0,E125*F125*G125,IF(E125*F125&lt;&gt;0,E125*F125,IF(F125*G125&lt;&gt;0,F125*G125,IF(E125*G125&lt;&gt;0,E125*G125,IF(E125&lt;&gt;0,E125,IF(F125&lt;&gt;0,F125,IF(G125&lt;&gt;0,G125,0)))))))*(IF(H125&lt;&gt;0,H125,1))+I125-J125</f>
        <v>1653.75</v>
      </c>
      <c r="L125" s="218"/>
    </row>
    <row r="126" spans="2:12">
      <c r="B126" s="188" t="s">
        <v>117</v>
      </c>
      <c r="C126" s="189" t="s">
        <v>1271</v>
      </c>
      <c r="D126" s="190" t="s">
        <v>82</v>
      </c>
      <c r="E126" s="191">
        <v>10</v>
      </c>
      <c r="F126" s="192">
        <f>45/40</f>
        <v>1.125</v>
      </c>
      <c r="G126" s="192"/>
      <c r="H126" s="191">
        <f>173-147</f>
        <v>26</v>
      </c>
      <c r="I126" s="191"/>
      <c r="J126" s="216"/>
      <c r="K126" s="217">
        <f>IF(E126*F126*G126&lt;&gt;0,E126*F126*G126,IF(E126*F126&lt;&gt;0,E126*F126,IF(F126*G126&lt;&gt;0,F126*G126,IF(E126*G126&lt;&gt;0,E126*G126,IF(E126&lt;&gt;0,E126,IF(F126&lt;&gt;0,F126,IF(G126&lt;&gt;0,G126,0)))))))*(IF(H126&lt;&gt;0,H126,1))+I126-J126</f>
        <v>292.5</v>
      </c>
      <c r="L126" s="218"/>
    </row>
    <row r="127" spans="2:12">
      <c r="B127" s="197"/>
      <c r="C127" s="189"/>
      <c r="D127" s="198"/>
      <c r="E127" s="199"/>
      <c r="F127" s="199"/>
      <c r="G127" s="199"/>
      <c r="H127" s="199"/>
      <c r="I127" s="199"/>
      <c r="J127" s="219"/>
      <c r="K127" s="217">
        <f>IF(E127*F127*G127&lt;&gt;0,E127*F127*G127,IF(E127*F127&lt;&gt;0,E127*F127,IF(F127*G127&lt;&gt;0,F127*G127,IF(E127*G127&lt;&gt;0,E127*G127,IF(E127&lt;&gt;0,E127,IF(F127&lt;&gt;0,F127,IF(G127&lt;&gt;0,G127,0)))))))*(IF(H127&lt;&gt;0,H127,1))+I127-J127</f>
        <v>0</v>
      </c>
      <c r="L127" s="218"/>
    </row>
    <row r="128" spans="2:12">
      <c r="B128" s="202"/>
      <c r="C128" s="203"/>
      <c r="D128" s="203"/>
      <c r="E128" s="203"/>
      <c r="F128" s="203"/>
      <c r="G128" s="203"/>
      <c r="H128" s="204"/>
      <c r="I128" s="556" t="s">
        <v>1221</v>
      </c>
      <c r="J128" s="556"/>
      <c r="K128" s="220">
        <f>SUM(K125:K127)</f>
        <v>1946.25</v>
      </c>
      <c r="L128" s="207"/>
    </row>
    <row r="129" spans="2:15">
      <c r="B129" s="208"/>
      <c r="C129" s="204"/>
      <c r="D129" s="204"/>
      <c r="E129" s="204"/>
      <c r="F129" s="204"/>
      <c r="G129" s="204"/>
      <c r="H129" s="209"/>
      <c r="I129" s="557" t="s">
        <v>1222</v>
      </c>
      <c r="J129" s="557"/>
      <c r="K129" s="221">
        <v>1837</v>
      </c>
      <c r="L129" s="207"/>
    </row>
    <row r="130" spans="2:15">
      <c r="B130" s="208"/>
      <c r="C130" s="204"/>
      <c r="D130" s="204"/>
      <c r="E130" s="204"/>
      <c r="F130" s="204"/>
      <c r="G130" s="204"/>
      <c r="H130" s="558" t="s">
        <v>1223</v>
      </c>
      <c r="I130" s="558"/>
      <c r="J130" s="558"/>
      <c r="K130" s="222">
        <v>1653.75</v>
      </c>
      <c r="L130" s="207"/>
    </row>
    <row r="131" spans="2:15">
      <c r="B131" s="208"/>
      <c r="C131" s="204"/>
      <c r="D131" s="204"/>
      <c r="E131" s="204"/>
      <c r="F131" s="204"/>
      <c r="G131" s="204"/>
      <c r="H131" s="558" t="s">
        <v>1199</v>
      </c>
      <c r="I131" s="558"/>
      <c r="J131" s="558"/>
      <c r="K131" s="222">
        <f>IF(K128&gt;K129,K129,K128)-K130</f>
        <v>183.25</v>
      </c>
      <c r="L131" s="207"/>
      <c r="O131" s="224"/>
    </row>
    <row r="132" spans="2:15">
      <c r="B132" s="213"/>
      <c r="C132" s="214"/>
      <c r="D132" s="214"/>
      <c r="E132" s="214"/>
      <c r="F132" s="214"/>
      <c r="G132" s="214"/>
      <c r="H132" s="559" t="s">
        <v>1224</v>
      </c>
      <c r="I132" s="559"/>
      <c r="J132" s="559"/>
      <c r="K132" s="223">
        <f>IF(K128&gt;K129,K128-K129,0)</f>
        <v>109.25</v>
      </c>
      <c r="L132" s="209"/>
    </row>
    <row r="134" spans="2:15" ht="14.25" customHeight="1">
      <c r="B134" s="555" t="s">
        <v>1242</v>
      </c>
      <c r="C134" s="555"/>
      <c r="D134" s="555"/>
      <c r="E134" s="555"/>
      <c r="F134" s="555"/>
      <c r="G134" s="555"/>
      <c r="H134" s="555"/>
      <c r="I134" s="555"/>
      <c r="J134" s="555"/>
      <c r="K134" s="555"/>
      <c r="L134" s="555"/>
    </row>
    <row r="135" spans="2:15">
      <c r="B135" s="187" t="s">
        <v>1209</v>
      </c>
      <c r="C135" s="187"/>
      <c r="D135" s="187" t="s">
        <v>39</v>
      </c>
      <c r="E135" s="187" t="s">
        <v>1210</v>
      </c>
      <c r="F135" s="187" t="s">
        <v>1211</v>
      </c>
      <c r="G135" s="187" t="s">
        <v>1212</v>
      </c>
      <c r="H135" s="187" t="s">
        <v>1213</v>
      </c>
      <c r="I135" s="187" t="s">
        <v>1214</v>
      </c>
      <c r="J135" s="187" t="s">
        <v>1215</v>
      </c>
      <c r="K135" s="187" t="s">
        <v>1216</v>
      </c>
      <c r="L135" s="187" t="s">
        <v>1217</v>
      </c>
    </row>
    <row r="136" spans="2:15">
      <c r="B136" s="188" t="s">
        <v>117</v>
      </c>
      <c r="C136" s="189" t="s">
        <v>1240</v>
      </c>
      <c r="D136" s="190" t="s">
        <v>110</v>
      </c>
      <c r="E136" s="191">
        <f>K131</f>
        <v>183.25</v>
      </c>
      <c r="F136" s="192">
        <v>0.16</v>
      </c>
      <c r="G136" s="192"/>
      <c r="H136" s="191"/>
      <c r="I136" s="191"/>
      <c r="J136" s="216"/>
      <c r="K136" s="217">
        <f>IF(E136*F136*G136&lt;&gt;0,E136*F136*G136,IF(E136*F136&lt;&gt;0,E136*F136,IF(F136*G136&lt;&gt;0,F136*G136,IF(E136*G136&lt;&gt;0,E136*G136,IF(E136&lt;&gt;0,E136,IF(F136&lt;&gt;0,F136,IF(G136&lt;&gt;0,G136,0)))))))*(IF(H136&lt;&gt;0,H136,1))+I136-J136</f>
        <v>29.32</v>
      </c>
      <c r="L136" s="218"/>
    </row>
    <row r="137" spans="2:15">
      <c r="B137" s="197"/>
      <c r="C137" s="189"/>
      <c r="D137" s="198"/>
      <c r="E137" s="199"/>
      <c r="F137" s="199"/>
      <c r="G137" s="199"/>
      <c r="H137" s="199"/>
      <c r="I137" s="199"/>
      <c r="J137" s="219"/>
      <c r="K137" s="217">
        <f>IF(E137*F137*G137&lt;&gt;0,E137*F137*G137,IF(E137*F137&lt;&gt;0,E137*F137,IF(F137*G137&lt;&gt;0,F137*G137,IF(E137*G137&lt;&gt;0,E137*G137,IF(E137&lt;&gt;0,E137,IF(F137&lt;&gt;0,F137,IF(G137&lt;&gt;0,G137,0)))))))*(IF(H137&lt;&gt;0,H137,1))+I137-J137</f>
        <v>0</v>
      </c>
      <c r="L137" s="218"/>
    </row>
    <row r="138" spans="2:15">
      <c r="B138" s="202"/>
      <c r="C138" s="203"/>
      <c r="D138" s="203"/>
      <c r="E138" s="203"/>
      <c r="F138" s="203"/>
      <c r="G138" s="203"/>
      <c r="H138" s="204"/>
      <c r="I138" s="556" t="s">
        <v>1221</v>
      </c>
      <c r="J138" s="556"/>
      <c r="K138" s="220">
        <f>SUM(K136:K137)</f>
        <v>29.32</v>
      </c>
      <c r="L138" s="207"/>
    </row>
    <row r="139" spans="2:15">
      <c r="B139" s="208"/>
      <c r="C139" s="204"/>
      <c r="D139" s="204"/>
      <c r="E139" s="204"/>
      <c r="F139" s="204"/>
      <c r="G139" s="204"/>
      <c r="H139" s="209"/>
      <c r="I139" s="557" t="s">
        <v>1222</v>
      </c>
      <c r="J139" s="557"/>
      <c r="K139" s="221">
        <v>293.92</v>
      </c>
      <c r="L139" s="207"/>
    </row>
    <row r="140" spans="2:15">
      <c r="B140" s="208"/>
      <c r="C140" s="204"/>
      <c r="D140" s="204"/>
      <c r="E140" s="204"/>
      <c r="F140" s="204"/>
      <c r="G140" s="204"/>
      <c r="H140" s="558" t="s">
        <v>1223</v>
      </c>
      <c r="I140" s="558"/>
      <c r="J140" s="558"/>
      <c r="K140" s="222"/>
      <c r="L140" s="207"/>
    </row>
    <row r="141" spans="2:15">
      <c r="B141" s="208"/>
      <c r="C141" s="204"/>
      <c r="D141" s="204"/>
      <c r="E141" s="204"/>
      <c r="F141" s="204"/>
      <c r="G141" s="204"/>
      <c r="H141" s="558" t="s">
        <v>1199</v>
      </c>
      <c r="I141" s="558"/>
      <c r="J141" s="558"/>
      <c r="K141" s="222">
        <f>IF(K138&gt;K139,K139,K138)-K140</f>
        <v>29.32</v>
      </c>
      <c r="L141" s="207"/>
    </row>
    <row r="142" spans="2:15">
      <c r="B142" s="213"/>
      <c r="C142" s="214"/>
      <c r="D142" s="214"/>
      <c r="E142" s="214"/>
      <c r="F142" s="214"/>
      <c r="G142" s="214"/>
      <c r="H142" s="559" t="s">
        <v>1224</v>
      </c>
      <c r="I142" s="559"/>
      <c r="J142" s="559"/>
      <c r="K142" s="223">
        <f>IF(K138&gt;K139,K138-K139,0)</f>
        <v>0</v>
      </c>
      <c r="L142" s="209"/>
    </row>
    <row r="144" spans="2:15" ht="14.25" customHeight="1">
      <c r="B144" s="555" t="s">
        <v>1243</v>
      </c>
      <c r="C144" s="555"/>
      <c r="D144" s="555"/>
      <c r="E144" s="555"/>
      <c r="F144" s="555"/>
      <c r="G144" s="555"/>
      <c r="H144" s="555"/>
      <c r="I144" s="555"/>
      <c r="J144" s="555"/>
      <c r="K144" s="555"/>
      <c r="L144" s="555"/>
    </row>
    <row r="145" spans="2:12">
      <c r="B145" s="187" t="s">
        <v>1209</v>
      </c>
      <c r="C145" s="187"/>
      <c r="D145" s="187" t="s">
        <v>39</v>
      </c>
      <c r="E145" s="187" t="s">
        <v>1210</v>
      </c>
      <c r="F145" s="187" t="s">
        <v>1211</v>
      </c>
      <c r="G145" s="187" t="s">
        <v>1212</v>
      </c>
      <c r="H145" s="187" t="s">
        <v>1213</v>
      </c>
      <c r="I145" s="187" t="s">
        <v>1214</v>
      </c>
      <c r="J145" s="187" t="s">
        <v>1215</v>
      </c>
      <c r="K145" s="187" t="s">
        <v>1216</v>
      </c>
      <c r="L145" s="187" t="s">
        <v>1217</v>
      </c>
    </row>
    <row r="146" spans="2:12">
      <c r="B146" s="188" t="s">
        <v>117</v>
      </c>
      <c r="C146" s="189" t="s">
        <v>1240</v>
      </c>
      <c r="D146" s="190" t="s">
        <v>113</v>
      </c>
      <c r="E146" s="191">
        <f>K131</f>
        <v>183.25</v>
      </c>
      <c r="F146" s="192">
        <v>0.16</v>
      </c>
      <c r="G146" s="192"/>
      <c r="H146" s="191">
        <v>30</v>
      </c>
      <c r="I146" s="191"/>
      <c r="J146" s="216"/>
      <c r="K146" s="217">
        <f>IF(E146*F146*G146&lt;&gt;0,E146*F146*G146,IF(E146*F146&lt;&gt;0,E146*F146,IF(F146*G146&lt;&gt;0,F146*G146,IF(E146*G146&lt;&gt;0,E146*G146,IF(E146&lt;&gt;0,E146,IF(F146&lt;&gt;0,F146,IF(G146&lt;&gt;0,G146,0)))))))*(IF(H146&lt;&gt;0,H146,1))+I146-J146</f>
        <v>879.6</v>
      </c>
      <c r="L146" s="218"/>
    </row>
    <row r="147" spans="2:12">
      <c r="B147" s="197"/>
      <c r="C147" s="189"/>
      <c r="D147" s="198"/>
      <c r="E147" s="199"/>
      <c r="F147" s="199"/>
      <c r="G147" s="199"/>
      <c r="H147" s="199"/>
      <c r="I147" s="199"/>
      <c r="J147" s="219"/>
      <c r="K147" s="217">
        <f>IF(E147*F147*G147&lt;&gt;0,E147*F147*G147,IF(E147*F147&lt;&gt;0,E147*F147,IF(F147*G147&lt;&gt;0,F147*G147,IF(E147*G147&lt;&gt;0,E147*G147,IF(E147&lt;&gt;0,E147,IF(F147&lt;&gt;0,F147,IF(G147&lt;&gt;0,G147,0)))))))*(IF(H147&lt;&gt;0,H147,1))+I147-J147</f>
        <v>0</v>
      </c>
      <c r="L147" s="218"/>
    </row>
    <row r="148" spans="2:12">
      <c r="B148" s="202"/>
      <c r="C148" s="203"/>
      <c r="D148" s="203"/>
      <c r="E148" s="203"/>
      <c r="F148" s="203"/>
      <c r="G148" s="203"/>
      <c r="H148" s="204"/>
      <c r="I148" s="556" t="s">
        <v>1221</v>
      </c>
      <c r="J148" s="556"/>
      <c r="K148" s="220">
        <f>SUM(K146:K147)</f>
        <v>879.6</v>
      </c>
      <c r="L148" s="207"/>
    </row>
    <row r="149" spans="2:12">
      <c r="B149" s="208"/>
      <c r="C149" s="204"/>
      <c r="D149" s="204"/>
      <c r="E149" s="204"/>
      <c r="F149" s="204"/>
      <c r="G149" s="204"/>
      <c r="H149" s="209"/>
      <c r="I149" s="557" t="s">
        <v>1222</v>
      </c>
      <c r="J149" s="557"/>
      <c r="K149" s="221">
        <v>8817.6</v>
      </c>
      <c r="L149" s="207"/>
    </row>
    <row r="150" spans="2:12">
      <c r="B150" s="208"/>
      <c r="C150" s="204"/>
      <c r="D150" s="204"/>
      <c r="E150" s="204"/>
      <c r="F150" s="204"/>
      <c r="G150" s="204"/>
      <c r="H150" s="558" t="s">
        <v>1223</v>
      </c>
      <c r="I150" s="558"/>
      <c r="J150" s="558"/>
      <c r="K150" s="222"/>
      <c r="L150" s="207"/>
    </row>
    <row r="151" spans="2:12">
      <c r="B151" s="208"/>
      <c r="C151" s="204"/>
      <c r="D151" s="204"/>
      <c r="E151" s="204"/>
      <c r="F151" s="204"/>
      <c r="G151" s="204"/>
      <c r="H151" s="558" t="s">
        <v>1199</v>
      </c>
      <c r="I151" s="558"/>
      <c r="J151" s="558"/>
      <c r="K151" s="222">
        <f>IF(K148&gt;K149,K149,K148)-K150</f>
        <v>879.6</v>
      </c>
      <c r="L151" s="207"/>
    </row>
    <row r="152" spans="2:12">
      <c r="B152" s="213"/>
      <c r="C152" s="214"/>
      <c r="D152" s="214"/>
      <c r="E152" s="214"/>
      <c r="F152" s="214"/>
      <c r="G152" s="214"/>
      <c r="H152" s="559" t="s">
        <v>1224</v>
      </c>
      <c r="I152" s="559"/>
      <c r="J152" s="559"/>
      <c r="K152" s="223">
        <f>IF(K148&gt;K149,K148-K149,0)</f>
        <v>0</v>
      </c>
      <c r="L152" s="209"/>
    </row>
    <row r="154" spans="2:12" ht="14.25" customHeight="1">
      <c r="B154" s="555" t="s">
        <v>1244</v>
      </c>
      <c r="C154" s="555"/>
      <c r="D154" s="555"/>
      <c r="E154" s="555"/>
      <c r="F154" s="555"/>
      <c r="G154" s="555"/>
      <c r="H154" s="555"/>
      <c r="I154" s="555"/>
      <c r="J154" s="555"/>
      <c r="K154" s="555"/>
      <c r="L154" s="555"/>
    </row>
    <row r="155" spans="2:12">
      <c r="B155" s="187" t="s">
        <v>1209</v>
      </c>
      <c r="C155" s="187"/>
      <c r="D155" s="187" t="s">
        <v>39</v>
      </c>
      <c r="E155" s="187" t="s">
        <v>1210</v>
      </c>
      <c r="F155" s="187" t="s">
        <v>1211</v>
      </c>
      <c r="G155" s="187" t="s">
        <v>1212</v>
      </c>
      <c r="H155" s="187" t="s">
        <v>1213</v>
      </c>
      <c r="I155" s="187" t="s">
        <v>1214</v>
      </c>
      <c r="J155" s="187" t="s">
        <v>1215</v>
      </c>
      <c r="K155" s="187" t="s">
        <v>1216</v>
      </c>
      <c r="L155" s="187" t="s">
        <v>1217</v>
      </c>
    </row>
    <row r="156" spans="2:12">
      <c r="B156" s="188" t="s">
        <v>117</v>
      </c>
      <c r="C156" s="189" t="s">
        <v>1240</v>
      </c>
      <c r="D156" s="190" t="s">
        <v>39</v>
      </c>
      <c r="E156" s="191"/>
      <c r="F156" s="192"/>
      <c r="G156" s="192"/>
      <c r="H156" s="191"/>
      <c r="I156" s="191">
        <v>40</v>
      </c>
      <c r="J156" s="216"/>
      <c r="K156" s="217">
        <f>IF(E156*F156*G156&lt;&gt;0,E156*F156*G156,IF(E156*F156&lt;&gt;0,E156*F156,IF(F156*G156&lt;&gt;0,F156*G156,IF(E156*G156&lt;&gt;0,E156*G156,IF(E156&lt;&gt;0,E156,IF(F156&lt;&gt;0,F156,IF(G156&lt;&gt;0,G156,0)))))))*(IF(H156&lt;&gt;0,H156,1))+I156-J156</f>
        <v>40</v>
      </c>
      <c r="L156" s="218"/>
    </row>
    <row r="157" spans="2:12">
      <c r="B157" s="188" t="s">
        <v>117</v>
      </c>
      <c r="C157" s="189" t="s">
        <v>1271</v>
      </c>
      <c r="D157" s="190" t="s">
        <v>39</v>
      </c>
      <c r="E157" s="191"/>
      <c r="F157" s="192"/>
      <c r="G157" s="192"/>
      <c r="H157" s="191"/>
      <c r="I157" s="191">
        <f>133</f>
        <v>133</v>
      </c>
      <c r="J157" s="216"/>
      <c r="K157" s="217">
        <f>IF(E157*F157*G157&lt;&gt;0,E157*F157*G157,IF(E157*F157&lt;&gt;0,E157*F157,IF(F157*G157&lt;&gt;0,F157*G157,IF(E157*G157&lt;&gt;0,E157*G157,IF(E157&lt;&gt;0,E157,IF(F157&lt;&gt;0,F157,IF(G157&lt;&gt;0,G157,0)))))))*(IF(H157&lt;&gt;0,H157,1))+I157-J157</f>
        <v>133</v>
      </c>
      <c r="L157" s="218"/>
    </row>
    <row r="158" spans="2:12">
      <c r="B158" s="197"/>
      <c r="C158" s="189"/>
      <c r="D158" s="198"/>
      <c r="E158" s="199"/>
      <c r="F158" s="199"/>
      <c r="G158" s="199"/>
      <c r="H158" s="199"/>
      <c r="I158" s="199"/>
      <c r="J158" s="219"/>
      <c r="K158" s="217">
        <f>IF(E158*F158*G158&lt;&gt;0,E158*F158*G158,IF(E158*F158&lt;&gt;0,E158*F158,IF(F158*G158&lt;&gt;0,F158*G158,IF(E158*G158&lt;&gt;0,E158*G158,IF(E158&lt;&gt;0,E158,IF(F158&lt;&gt;0,F158,IF(G158&lt;&gt;0,G158,0)))))))*(IF(H158&lt;&gt;0,H158,1))+I158-J158</f>
        <v>0</v>
      </c>
      <c r="L158" s="218"/>
    </row>
    <row r="159" spans="2:12">
      <c r="B159" s="202"/>
      <c r="C159" s="203"/>
      <c r="D159" s="203"/>
      <c r="E159" s="203"/>
      <c r="F159" s="203"/>
      <c r="G159" s="203"/>
      <c r="H159" s="204"/>
      <c r="I159" s="556" t="s">
        <v>1221</v>
      </c>
      <c r="J159" s="556"/>
      <c r="K159" s="220">
        <f>SUM(K156:K158)</f>
        <v>173</v>
      </c>
      <c r="L159" s="207"/>
    </row>
    <row r="160" spans="2:12">
      <c r="B160" s="208"/>
      <c r="C160" s="204"/>
      <c r="D160" s="204"/>
      <c r="E160" s="204"/>
      <c r="F160" s="204"/>
      <c r="G160" s="204"/>
      <c r="H160" s="209"/>
      <c r="I160" s="557" t="s">
        <v>1222</v>
      </c>
      <c r="J160" s="557"/>
      <c r="K160" s="221">
        <v>167</v>
      </c>
      <c r="L160" s="207"/>
    </row>
    <row r="161" spans="2:12">
      <c r="B161" s="208"/>
      <c r="C161" s="204"/>
      <c r="D161" s="204"/>
      <c r="E161" s="204"/>
      <c r="F161" s="204"/>
      <c r="G161" s="204"/>
      <c r="H161" s="558" t="s">
        <v>1223</v>
      </c>
      <c r="I161" s="558"/>
      <c r="J161" s="558"/>
      <c r="K161" s="222">
        <v>40</v>
      </c>
      <c r="L161" s="207"/>
    </row>
    <row r="162" spans="2:12">
      <c r="B162" s="208"/>
      <c r="C162" s="204"/>
      <c r="D162" s="204"/>
      <c r="E162" s="204"/>
      <c r="F162" s="204"/>
      <c r="G162" s="204"/>
      <c r="H162" s="558" t="s">
        <v>1199</v>
      </c>
      <c r="I162" s="558"/>
      <c r="J162" s="558"/>
      <c r="K162" s="222">
        <f>IF(K159&gt;K160,K160,K159)-K161</f>
        <v>127</v>
      </c>
      <c r="L162" s="207"/>
    </row>
    <row r="163" spans="2:12">
      <c r="B163" s="213"/>
      <c r="C163" s="214"/>
      <c r="D163" s="214"/>
      <c r="E163" s="214"/>
      <c r="F163" s="214"/>
      <c r="G163" s="214"/>
      <c r="H163" s="559" t="s">
        <v>1224</v>
      </c>
      <c r="I163" s="559"/>
      <c r="J163" s="559"/>
      <c r="K163" s="223">
        <f>IF(K159&gt;K160,K159-K160,0)</f>
        <v>6</v>
      </c>
      <c r="L163" s="209"/>
    </row>
    <row r="165" spans="2:12" ht="14.25" customHeight="1">
      <c r="B165" s="555" t="s">
        <v>1245</v>
      </c>
      <c r="C165" s="555"/>
      <c r="D165" s="555"/>
      <c r="E165" s="555"/>
      <c r="F165" s="555"/>
      <c r="G165" s="555"/>
      <c r="H165" s="555"/>
      <c r="I165" s="555"/>
      <c r="J165" s="555"/>
      <c r="K165" s="555"/>
      <c r="L165" s="555"/>
    </row>
    <row r="166" spans="2:12">
      <c r="B166" s="187" t="s">
        <v>1209</v>
      </c>
      <c r="C166" s="187"/>
      <c r="D166" s="187" t="s">
        <v>39</v>
      </c>
      <c r="E166" s="187" t="s">
        <v>1210</v>
      </c>
      <c r="F166" s="187" t="s">
        <v>1211</v>
      </c>
      <c r="G166" s="187" t="s">
        <v>1212</v>
      </c>
      <c r="H166" s="187" t="s">
        <v>1213</v>
      </c>
      <c r="I166" s="187" t="s">
        <v>1214</v>
      </c>
      <c r="J166" s="187" t="s">
        <v>1215</v>
      </c>
      <c r="K166" s="187" t="s">
        <v>1216</v>
      </c>
      <c r="L166" s="187" t="s">
        <v>1217</v>
      </c>
    </row>
    <row r="167" spans="2:12">
      <c r="B167" s="188" t="s">
        <v>1246</v>
      </c>
      <c r="C167" s="189" t="s">
        <v>1240</v>
      </c>
      <c r="D167" s="190" t="s">
        <v>39</v>
      </c>
      <c r="E167" s="191"/>
      <c r="F167" s="192"/>
      <c r="G167" s="192"/>
      <c r="H167" s="191"/>
      <c r="I167" s="191">
        <v>1</v>
      </c>
      <c r="J167" s="216"/>
      <c r="K167" s="217">
        <f>IF(E167*F167*G167&lt;&gt;0,E167*F167*G167,IF(E167*F167&lt;&gt;0,E167*F167,IF(F167*G167&lt;&gt;0,F167*G167,IF(E167*G167&lt;&gt;0,E167*G167,IF(E167&lt;&gt;0,E167,IF(F167&lt;&gt;0,F167,IF(G167&lt;&gt;0,G167,0)))))))*(IF(H167&lt;&gt;0,H167,1))+I167-J167</f>
        <v>1</v>
      </c>
      <c r="L167" s="218"/>
    </row>
    <row r="168" spans="2:12">
      <c r="B168" s="188" t="s">
        <v>1246</v>
      </c>
      <c r="C168" s="189" t="s">
        <v>1271</v>
      </c>
      <c r="D168" s="190" t="s">
        <v>39</v>
      </c>
      <c r="E168" s="191"/>
      <c r="F168" s="192"/>
      <c r="G168" s="192"/>
      <c r="H168" s="191"/>
      <c r="I168" s="191">
        <v>1</v>
      </c>
      <c r="J168" s="216"/>
      <c r="K168" s="217">
        <f>IF(E168*F168*G168&lt;&gt;0,E168*F168*G168,IF(E168*F168&lt;&gt;0,E168*F168,IF(F168*G168&lt;&gt;0,F168*G168,IF(E168*G168&lt;&gt;0,E168*G168,IF(E168&lt;&gt;0,E168,IF(F168&lt;&gt;0,F168,IF(G168&lt;&gt;0,G168,0)))))))*(IF(H168&lt;&gt;0,H168,1))+I168-J168</f>
        <v>1</v>
      </c>
      <c r="L168" s="218"/>
    </row>
    <row r="169" spans="2:12">
      <c r="B169" s="197"/>
      <c r="C169" s="189"/>
      <c r="D169" s="198"/>
      <c r="E169" s="199"/>
      <c r="F169" s="199"/>
      <c r="G169" s="199"/>
      <c r="H169" s="199"/>
      <c r="I169" s="199"/>
      <c r="J169" s="219"/>
      <c r="K169" s="217">
        <f>IF(E169*F169*G169&lt;&gt;0,E169*F169*G169,IF(E169*F169&lt;&gt;0,E169*F169,IF(F169*G169&lt;&gt;0,F169*G169,IF(E169*G169&lt;&gt;0,E169*G169,IF(E169&lt;&gt;0,E169,IF(F169&lt;&gt;0,F169,IF(G169&lt;&gt;0,G169,0)))))))*(IF(H169&lt;&gt;0,H169,1))+I169-J169</f>
        <v>0</v>
      </c>
      <c r="L169" s="218"/>
    </row>
    <row r="170" spans="2:12">
      <c r="B170" s="202"/>
      <c r="C170" s="203"/>
      <c r="D170" s="203"/>
      <c r="E170" s="203"/>
      <c r="F170" s="203"/>
      <c r="G170" s="203"/>
      <c r="H170" s="204"/>
      <c r="I170" s="556" t="s">
        <v>1221</v>
      </c>
      <c r="J170" s="556"/>
      <c r="K170" s="220">
        <f>SUM(K167:K169)</f>
        <v>2</v>
      </c>
      <c r="L170" s="207"/>
    </row>
    <row r="171" spans="2:12">
      <c r="B171" s="208"/>
      <c r="C171" s="204"/>
      <c r="D171" s="204"/>
      <c r="E171" s="204"/>
      <c r="F171" s="204"/>
      <c r="G171" s="204"/>
      <c r="H171" s="209"/>
      <c r="I171" s="557" t="s">
        <v>1222</v>
      </c>
      <c r="J171" s="557"/>
      <c r="K171" s="221">
        <v>2</v>
      </c>
      <c r="L171" s="207"/>
    </row>
    <row r="172" spans="2:12">
      <c r="B172" s="208"/>
      <c r="C172" s="204"/>
      <c r="D172" s="204"/>
      <c r="E172" s="204"/>
      <c r="F172" s="204"/>
      <c r="G172" s="204"/>
      <c r="H172" s="558" t="s">
        <v>1223</v>
      </c>
      <c r="I172" s="558"/>
      <c r="J172" s="558"/>
      <c r="K172" s="222">
        <v>1</v>
      </c>
      <c r="L172" s="207"/>
    </row>
    <row r="173" spans="2:12">
      <c r="B173" s="208"/>
      <c r="C173" s="204"/>
      <c r="D173" s="204"/>
      <c r="E173" s="204"/>
      <c r="F173" s="204"/>
      <c r="G173" s="204"/>
      <c r="H173" s="558" t="s">
        <v>1199</v>
      </c>
      <c r="I173" s="558"/>
      <c r="J173" s="558"/>
      <c r="K173" s="222">
        <f>IF(K170&gt;K171,K171,K170)-K172</f>
        <v>1</v>
      </c>
      <c r="L173" s="207"/>
    </row>
    <row r="174" spans="2:12">
      <c r="B174" s="213"/>
      <c r="C174" s="214"/>
      <c r="D174" s="214"/>
      <c r="E174" s="214"/>
      <c r="F174" s="214"/>
      <c r="G174" s="214"/>
      <c r="H174" s="559" t="s">
        <v>1224</v>
      </c>
      <c r="I174" s="559"/>
      <c r="J174" s="559"/>
      <c r="K174" s="223">
        <f>IF(K170&gt;K171,K170-K171,0)</f>
        <v>0</v>
      </c>
      <c r="L174" s="209"/>
    </row>
    <row r="176" spans="2:12" ht="14.25" customHeight="1">
      <c r="B176" s="555" t="s">
        <v>1272</v>
      </c>
      <c r="C176" s="555"/>
      <c r="D176" s="555"/>
      <c r="E176" s="555"/>
      <c r="F176" s="555"/>
      <c r="G176" s="555"/>
      <c r="H176" s="555"/>
      <c r="I176" s="555"/>
      <c r="J176" s="555"/>
      <c r="K176" s="555"/>
      <c r="L176" s="555"/>
    </row>
    <row r="177" spans="2:12">
      <c r="B177" s="187" t="s">
        <v>1209</v>
      </c>
      <c r="C177" s="187"/>
      <c r="D177" s="187" t="s">
        <v>39</v>
      </c>
      <c r="E177" s="187" t="s">
        <v>1210</v>
      </c>
      <c r="F177" s="187" t="s">
        <v>1211</v>
      </c>
      <c r="G177" s="187" t="s">
        <v>1212</v>
      </c>
      <c r="H177" s="187" t="s">
        <v>1213</v>
      </c>
      <c r="I177" s="187" t="s">
        <v>1214</v>
      </c>
      <c r="J177" s="187" t="s">
        <v>1215</v>
      </c>
      <c r="K177" s="187" t="s">
        <v>1216</v>
      </c>
      <c r="L177" s="187" t="s">
        <v>1217</v>
      </c>
    </row>
    <row r="178" spans="2:12">
      <c r="B178" s="188" t="s">
        <v>1273</v>
      </c>
      <c r="C178" s="189" t="s">
        <v>1271</v>
      </c>
      <c r="D178" s="190" t="s">
        <v>1274</v>
      </c>
      <c r="E178" s="191">
        <v>1014</v>
      </c>
      <c r="F178" s="243">
        <v>0.154</v>
      </c>
      <c r="G178" s="192">
        <v>1.1000000000000001</v>
      </c>
      <c r="H178" s="191"/>
      <c r="I178" s="191"/>
      <c r="J178" s="216"/>
      <c r="K178" s="217">
        <f>IF(E178*F178*G178&lt;&gt;0,E178*F178*G178,IF(E178*F178&lt;&gt;0,E178*F178,IF(F178*G178&lt;&gt;0,F178*G178,IF(E178*G178&lt;&gt;0,E178*G178,IF(E178&lt;&gt;0,E178,IF(F178&lt;&gt;0,F178,IF(G178&lt;&gt;0,G178,0)))))))*(IF(H178&lt;&gt;0,H178,1))+I178-J178</f>
        <v>171.77160000000001</v>
      </c>
      <c r="L178" s="218"/>
    </row>
    <row r="179" spans="2:12">
      <c r="B179" s="188" t="s">
        <v>1275</v>
      </c>
      <c r="C179" s="189" t="s">
        <v>1271</v>
      </c>
      <c r="D179" s="190" t="s">
        <v>1274</v>
      </c>
      <c r="E179" s="191"/>
      <c r="F179" s="243"/>
      <c r="G179" s="192"/>
      <c r="H179" s="191"/>
      <c r="I179" s="191"/>
      <c r="J179" s="216"/>
      <c r="K179" s="217">
        <f>IF(E179*F179*G179&lt;&gt;0,E179*F179*G179,IF(E179*F179&lt;&gt;0,E179*F179,IF(F179*G179&lt;&gt;0,F179*G179,IF(E179*G179&lt;&gt;0,E179*G179,IF(E179&lt;&gt;0,E179,IF(F179&lt;&gt;0,F179,IF(G179&lt;&gt;0,G179,0)))))))*(IF(H179&lt;&gt;0,H179,1))+I179-J179</f>
        <v>0</v>
      </c>
      <c r="L179" s="218"/>
    </row>
    <row r="180" spans="2:12">
      <c r="B180" s="197"/>
      <c r="C180" s="189"/>
      <c r="D180" s="198"/>
      <c r="E180" s="199"/>
      <c r="F180" s="244"/>
      <c r="G180" s="199"/>
      <c r="H180" s="199"/>
      <c r="I180" s="199"/>
      <c r="J180" s="219"/>
      <c r="K180" s="217">
        <f>IF(E180*F180*G180&lt;&gt;0,E180*F180*G180,IF(E180*F180&lt;&gt;0,E180*F180,IF(F180*G180&lt;&gt;0,F180*G180,IF(E180*G180&lt;&gt;0,E180*G180,IF(E180&lt;&gt;0,E180,IF(F180&lt;&gt;0,F180,IF(G180&lt;&gt;0,G180,0)))))))*(IF(H180&lt;&gt;0,H180,1))+I180-J180</f>
        <v>0</v>
      </c>
      <c r="L180" s="218"/>
    </row>
    <row r="181" spans="2:12">
      <c r="B181" s="202"/>
      <c r="C181" s="203"/>
      <c r="D181" s="203"/>
      <c r="E181" s="203"/>
      <c r="F181" s="203"/>
      <c r="G181" s="203"/>
      <c r="H181" s="204"/>
      <c r="I181" s="556" t="s">
        <v>1221</v>
      </c>
      <c r="J181" s="556"/>
      <c r="K181" s="220">
        <f>SUM(K178:K180)</f>
        <v>171.77160000000001</v>
      </c>
      <c r="L181" s="207"/>
    </row>
    <row r="182" spans="2:12">
      <c r="B182" s="208"/>
      <c r="C182" s="204"/>
      <c r="D182" s="204"/>
      <c r="E182" s="204"/>
      <c r="F182" s="204"/>
      <c r="G182" s="204"/>
      <c r="H182" s="209"/>
      <c r="I182" s="557" t="s">
        <v>1222</v>
      </c>
      <c r="J182" s="557"/>
      <c r="K182" s="221">
        <v>190.3</v>
      </c>
      <c r="L182" s="207"/>
    </row>
    <row r="183" spans="2:12">
      <c r="B183" s="208"/>
      <c r="C183" s="204"/>
      <c r="D183" s="204"/>
      <c r="E183" s="204"/>
      <c r="F183" s="204"/>
      <c r="G183" s="204"/>
      <c r="H183" s="558" t="s">
        <v>1223</v>
      </c>
      <c r="I183" s="558"/>
      <c r="J183" s="558"/>
      <c r="K183" s="222">
        <v>0</v>
      </c>
      <c r="L183" s="207"/>
    </row>
    <row r="184" spans="2:12">
      <c r="B184" s="208"/>
      <c r="C184" s="204"/>
      <c r="D184" s="204"/>
      <c r="E184" s="204"/>
      <c r="F184" s="204"/>
      <c r="G184" s="204"/>
      <c r="H184" s="558" t="s">
        <v>1201</v>
      </c>
      <c r="I184" s="558"/>
      <c r="J184" s="558"/>
      <c r="K184" s="222">
        <f>IF(K181&gt;K182,K182,K181)-K183</f>
        <v>171.77160000000001</v>
      </c>
      <c r="L184" s="207"/>
    </row>
    <row r="185" spans="2:12">
      <c r="B185" s="213"/>
      <c r="C185" s="214"/>
      <c r="D185" s="214"/>
      <c r="E185" s="214"/>
      <c r="F185" s="214"/>
      <c r="G185" s="214"/>
      <c r="H185" s="559" t="s">
        <v>1224</v>
      </c>
      <c r="I185" s="559"/>
      <c r="J185" s="559"/>
      <c r="K185" s="223">
        <f>IF(K181&gt;K182,K181-K182,0)</f>
        <v>0</v>
      </c>
      <c r="L185" s="209"/>
    </row>
    <row r="187" spans="2:12" ht="14.25" customHeight="1">
      <c r="B187" s="555" t="s">
        <v>1276</v>
      </c>
      <c r="C187" s="555"/>
      <c r="D187" s="555"/>
      <c r="E187" s="555"/>
      <c r="F187" s="555"/>
      <c r="G187" s="555"/>
      <c r="H187" s="555"/>
      <c r="I187" s="555"/>
      <c r="J187" s="555"/>
      <c r="K187" s="555"/>
      <c r="L187" s="555"/>
    </row>
    <row r="188" spans="2:12">
      <c r="B188" s="187" t="s">
        <v>1209</v>
      </c>
      <c r="C188" s="187"/>
      <c r="D188" s="187" t="s">
        <v>39</v>
      </c>
      <c r="E188" s="187" t="s">
        <v>1210</v>
      </c>
      <c r="F188" s="187" t="s">
        <v>1211</v>
      </c>
      <c r="G188" s="187" t="s">
        <v>1212</v>
      </c>
      <c r="H188" s="187" t="s">
        <v>1213</v>
      </c>
      <c r="I188" s="187" t="s">
        <v>1214</v>
      </c>
      <c r="J188" s="187" t="s">
        <v>1215</v>
      </c>
      <c r="K188" s="187" t="s">
        <v>1216</v>
      </c>
      <c r="L188" s="187" t="s">
        <v>1217</v>
      </c>
    </row>
    <row r="189" spans="2:12">
      <c r="B189" s="188" t="s">
        <v>1273</v>
      </c>
      <c r="C189" s="189" t="s">
        <v>1271</v>
      </c>
      <c r="D189" s="190" t="s">
        <v>1274</v>
      </c>
      <c r="E189" s="191">
        <v>333</v>
      </c>
      <c r="F189" s="243">
        <v>0.245</v>
      </c>
      <c r="G189" s="192">
        <v>1.1000000000000001</v>
      </c>
      <c r="H189" s="191"/>
      <c r="I189" s="191"/>
      <c r="J189" s="216"/>
      <c r="K189" s="217">
        <f>IF(E189*F189*G189&lt;&gt;0,E189*F189*G189,IF(E189*F189&lt;&gt;0,E189*F189,IF(F189*G189&lt;&gt;0,F189*G189,IF(E189*G189&lt;&gt;0,E189*G189,IF(E189&lt;&gt;0,E189,IF(F189&lt;&gt;0,F189,IF(G189&lt;&gt;0,G189,0)))))))*(IF(H189&lt;&gt;0,H189,1))+I189-J189</f>
        <v>89.743499999999997</v>
      </c>
      <c r="L189" s="218"/>
    </row>
    <row r="190" spans="2:12">
      <c r="B190" s="188" t="s">
        <v>1275</v>
      </c>
      <c r="C190" s="189" t="s">
        <v>1271</v>
      </c>
      <c r="D190" s="190" t="s">
        <v>1274</v>
      </c>
      <c r="E190" s="191"/>
      <c r="F190" s="192"/>
      <c r="G190" s="192"/>
      <c r="H190" s="191"/>
      <c r="I190" s="191"/>
      <c r="J190" s="216"/>
      <c r="K190" s="217">
        <f>IF(E190*F190*G190&lt;&gt;0,E190*F190*G190,IF(E190*F190&lt;&gt;0,E190*F190,IF(F190*G190&lt;&gt;0,F190*G190,IF(E190*G190&lt;&gt;0,E190*G190,IF(E190&lt;&gt;0,E190,IF(F190&lt;&gt;0,F190,IF(G190&lt;&gt;0,G190,0)))))))*(IF(H190&lt;&gt;0,H190,1))+I190-J190</f>
        <v>0</v>
      </c>
      <c r="L190" s="218"/>
    </row>
    <row r="191" spans="2:12">
      <c r="B191" s="197"/>
      <c r="C191" s="189"/>
      <c r="D191" s="198"/>
      <c r="E191" s="199"/>
      <c r="F191" s="199"/>
      <c r="G191" s="199"/>
      <c r="H191" s="199"/>
      <c r="I191" s="199"/>
      <c r="J191" s="219"/>
      <c r="K191" s="217">
        <f>IF(E191*F191*G191&lt;&gt;0,E191*F191*G191,IF(E191*F191&lt;&gt;0,E191*F191,IF(F191*G191&lt;&gt;0,F191*G191,IF(E191*G191&lt;&gt;0,E191*G191,IF(E191&lt;&gt;0,E191,IF(F191&lt;&gt;0,F191,IF(G191&lt;&gt;0,G191,0)))))))*(IF(H191&lt;&gt;0,H191,1))+I191-J191</f>
        <v>0</v>
      </c>
      <c r="L191" s="218"/>
    </row>
    <row r="192" spans="2:12">
      <c r="B192" s="202"/>
      <c r="C192" s="203"/>
      <c r="D192" s="203"/>
      <c r="E192" s="203"/>
      <c r="F192" s="203"/>
      <c r="G192" s="203"/>
      <c r="H192" s="204"/>
      <c r="I192" s="556" t="s">
        <v>1221</v>
      </c>
      <c r="J192" s="556"/>
      <c r="K192" s="220">
        <f>SUM(K189:K191)</f>
        <v>89.743499999999997</v>
      </c>
      <c r="L192" s="207"/>
    </row>
    <row r="193" spans="2:12">
      <c r="B193" s="208"/>
      <c r="C193" s="204"/>
      <c r="D193" s="204"/>
      <c r="E193" s="204"/>
      <c r="F193" s="204"/>
      <c r="G193" s="204"/>
      <c r="H193" s="209"/>
      <c r="I193" s="557" t="s">
        <v>1222</v>
      </c>
      <c r="J193" s="557"/>
      <c r="K193" s="221">
        <v>77</v>
      </c>
      <c r="L193" s="207"/>
    </row>
    <row r="194" spans="2:12">
      <c r="B194" s="208"/>
      <c r="C194" s="204"/>
      <c r="D194" s="204"/>
      <c r="E194" s="204"/>
      <c r="F194" s="204"/>
      <c r="G194" s="204"/>
      <c r="H194" s="558" t="s">
        <v>1223</v>
      </c>
      <c r="I194" s="558"/>
      <c r="J194" s="558"/>
      <c r="K194" s="222">
        <v>0</v>
      </c>
      <c r="L194" s="207"/>
    </row>
    <row r="195" spans="2:12">
      <c r="B195" s="208"/>
      <c r="C195" s="204"/>
      <c r="D195" s="204"/>
      <c r="E195" s="204"/>
      <c r="F195" s="204"/>
      <c r="G195" s="204"/>
      <c r="H195" s="558" t="s">
        <v>1201</v>
      </c>
      <c r="I195" s="558"/>
      <c r="J195" s="558"/>
      <c r="K195" s="222">
        <f>IF(K192&gt;K193,K193,K192)-K194</f>
        <v>77</v>
      </c>
      <c r="L195" s="207"/>
    </row>
    <row r="196" spans="2:12">
      <c r="B196" s="213"/>
      <c r="C196" s="214"/>
      <c r="D196" s="214"/>
      <c r="E196" s="214"/>
      <c r="F196" s="214"/>
      <c r="G196" s="214"/>
      <c r="H196" s="559" t="s">
        <v>1224</v>
      </c>
      <c r="I196" s="559"/>
      <c r="J196" s="559"/>
      <c r="K196" s="223">
        <f>IF(K192&gt;K193,K192-K193,0)</f>
        <v>12.743499999999997</v>
      </c>
      <c r="L196" s="209"/>
    </row>
    <row r="198" spans="2:12" ht="14.25" customHeight="1">
      <c r="B198" s="555" t="s">
        <v>1277</v>
      </c>
      <c r="C198" s="555"/>
      <c r="D198" s="555"/>
      <c r="E198" s="555"/>
      <c r="F198" s="555"/>
      <c r="G198" s="555"/>
      <c r="H198" s="555"/>
      <c r="I198" s="555"/>
      <c r="J198" s="555"/>
      <c r="K198" s="555"/>
      <c r="L198" s="555"/>
    </row>
    <row r="199" spans="2:12">
      <c r="B199" s="187" t="s">
        <v>1209</v>
      </c>
      <c r="C199" s="187"/>
      <c r="D199" s="187" t="s">
        <v>39</v>
      </c>
      <c r="E199" s="187" t="s">
        <v>1210</v>
      </c>
      <c r="F199" s="187" t="s">
        <v>1211</v>
      </c>
      <c r="G199" s="187" t="s">
        <v>1212</v>
      </c>
      <c r="H199" s="187" t="s">
        <v>1213</v>
      </c>
      <c r="I199" s="187" t="s">
        <v>1214</v>
      </c>
      <c r="J199" s="187" t="s">
        <v>1215</v>
      </c>
      <c r="K199" s="187" t="s">
        <v>1216</v>
      </c>
      <c r="L199" s="187" t="s">
        <v>1217</v>
      </c>
    </row>
    <row r="200" spans="2:12">
      <c r="B200" s="188" t="s">
        <v>1273</v>
      </c>
      <c r="C200" s="189" t="s">
        <v>1271</v>
      </c>
      <c r="D200" s="190" t="s">
        <v>1274</v>
      </c>
      <c r="E200" s="191">
        <v>938</v>
      </c>
      <c r="F200" s="243">
        <v>0.245</v>
      </c>
      <c r="G200" s="192">
        <v>1.1000000000000001</v>
      </c>
      <c r="H200" s="191"/>
      <c r="I200" s="191"/>
      <c r="J200" s="216"/>
      <c r="K200" s="217">
        <f>IF(E200*F200*G200&lt;&gt;0,E200*F200*G200,IF(E200*F200&lt;&gt;0,E200*F200,IF(F200*G200&lt;&gt;0,F200*G200,IF(E200*G200&lt;&gt;0,E200*G200,IF(E200&lt;&gt;0,E200,IF(F200&lt;&gt;0,F200,IF(G200&lt;&gt;0,G200,0)))))))*(IF(H200&lt;&gt;0,H200,1))+I200-J200</f>
        <v>252.79100000000003</v>
      </c>
      <c r="L200" s="218"/>
    </row>
    <row r="201" spans="2:12">
      <c r="B201" s="188" t="s">
        <v>1275</v>
      </c>
      <c r="C201" s="189" t="s">
        <v>1271</v>
      </c>
      <c r="D201" s="190" t="s">
        <v>1274</v>
      </c>
      <c r="E201" s="191"/>
      <c r="F201" s="192"/>
      <c r="G201" s="192"/>
      <c r="H201" s="191"/>
      <c r="I201" s="191"/>
      <c r="J201" s="216"/>
      <c r="K201" s="217">
        <f>IF(E201*F201*G201&lt;&gt;0,E201*F201*G201,IF(E201*F201&lt;&gt;0,E201*F201,IF(F201*G201&lt;&gt;0,F201*G201,IF(E201*G201&lt;&gt;0,E201*G201,IF(E201&lt;&gt;0,E201,IF(F201&lt;&gt;0,F201,IF(G201&lt;&gt;0,G201,0)))))))*(IF(H201&lt;&gt;0,H201,1))+I201-J201</f>
        <v>0</v>
      </c>
      <c r="L201" s="218"/>
    </row>
    <row r="202" spans="2:12">
      <c r="B202" s="197"/>
      <c r="C202" s="189"/>
      <c r="D202" s="198"/>
      <c r="E202" s="199"/>
      <c r="F202" s="199"/>
      <c r="G202" s="199"/>
      <c r="H202" s="199"/>
      <c r="I202" s="199"/>
      <c r="J202" s="219"/>
      <c r="K202" s="217">
        <f>IF(E202*F202*G202&lt;&gt;0,E202*F202*G202,IF(E202*F202&lt;&gt;0,E202*F202,IF(F202*G202&lt;&gt;0,F202*G202,IF(E202*G202&lt;&gt;0,E202*G202,IF(E202&lt;&gt;0,E202,IF(F202&lt;&gt;0,F202,IF(G202&lt;&gt;0,G202,0)))))))*(IF(H202&lt;&gt;0,H202,1))+I202-J202</f>
        <v>0</v>
      </c>
      <c r="L202" s="218"/>
    </row>
    <row r="203" spans="2:12">
      <c r="B203" s="202"/>
      <c r="C203" s="203"/>
      <c r="D203" s="203"/>
      <c r="E203" s="203"/>
      <c r="F203" s="203"/>
      <c r="G203" s="203"/>
      <c r="H203" s="204"/>
      <c r="I203" s="556" t="s">
        <v>1221</v>
      </c>
      <c r="J203" s="556"/>
      <c r="K203" s="220">
        <f>SUM(K200:K202)</f>
        <v>252.79100000000003</v>
      </c>
      <c r="L203" s="207"/>
    </row>
    <row r="204" spans="2:12">
      <c r="B204" s="208"/>
      <c r="C204" s="204"/>
      <c r="D204" s="204"/>
      <c r="E204" s="204"/>
      <c r="F204" s="204"/>
      <c r="G204" s="204"/>
      <c r="H204" s="209"/>
      <c r="I204" s="557" t="s">
        <v>1222</v>
      </c>
      <c r="J204" s="557"/>
      <c r="K204" s="221">
        <v>566.5</v>
      </c>
      <c r="L204" s="207"/>
    </row>
    <row r="205" spans="2:12">
      <c r="B205" s="208"/>
      <c r="C205" s="204"/>
      <c r="D205" s="204"/>
      <c r="E205" s="204"/>
      <c r="F205" s="204"/>
      <c r="G205" s="204"/>
      <c r="H205" s="558" t="s">
        <v>1223</v>
      </c>
      <c r="I205" s="558"/>
      <c r="J205" s="558"/>
      <c r="K205" s="222">
        <v>0</v>
      </c>
      <c r="L205" s="207"/>
    </row>
    <row r="206" spans="2:12">
      <c r="B206" s="208"/>
      <c r="C206" s="204"/>
      <c r="D206" s="204"/>
      <c r="E206" s="204"/>
      <c r="F206" s="204"/>
      <c r="G206" s="204"/>
      <c r="H206" s="558" t="s">
        <v>1201</v>
      </c>
      <c r="I206" s="558"/>
      <c r="J206" s="558"/>
      <c r="K206" s="222">
        <f>IF(K203&gt;K204,K204,K203)-K205</f>
        <v>252.79100000000003</v>
      </c>
      <c r="L206" s="207"/>
    </row>
    <row r="207" spans="2:12">
      <c r="B207" s="213"/>
      <c r="C207" s="214"/>
      <c r="D207" s="214"/>
      <c r="E207" s="214"/>
      <c r="F207" s="214"/>
      <c r="G207" s="214"/>
      <c r="H207" s="559" t="s">
        <v>1224</v>
      </c>
      <c r="I207" s="559"/>
      <c r="J207" s="559"/>
      <c r="K207" s="223">
        <f>IF(K203&gt;K204,K203-K204,0)</f>
        <v>0</v>
      </c>
      <c r="L207" s="209"/>
    </row>
    <row r="209" spans="2:12" ht="14.25" customHeight="1">
      <c r="B209" s="555" t="s">
        <v>1278</v>
      </c>
      <c r="C209" s="555"/>
      <c r="D209" s="555"/>
      <c r="E209" s="555"/>
      <c r="F209" s="555"/>
      <c r="G209" s="555"/>
      <c r="H209" s="555"/>
      <c r="I209" s="555"/>
      <c r="J209" s="555"/>
      <c r="K209" s="555"/>
      <c r="L209" s="555"/>
    </row>
    <row r="210" spans="2:12">
      <c r="B210" s="187" t="s">
        <v>1209</v>
      </c>
      <c r="C210" s="187"/>
      <c r="D210" s="187" t="s">
        <v>39</v>
      </c>
      <c r="E210" s="187" t="s">
        <v>1210</v>
      </c>
      <c r="F210" s="187" t="s">
        <v>1211</v>
      </c>
      <c r="G210" s="187" t="s">
        <v>1212</v>
      </c>
      <c r="H210" s="187" t="s">
        <v>1213</v>
      </c>
      <c r="I210" s="187" t="s">
        <v>1214</v>
      </c>
      <c r="J210" s="187" t="s">
        <v>1215</v>
      </c>
      <c r="K210" s="187" t="s">
        <v>1216</v>
      </c>
      <c r="L210" s="187" t="s">
        <v>1217</v>
      </c>
    </row>
    <row r="211" spans="2:12">
      <c r="B211" s="188" t="s">
        <v>1273</v>
      </c>
      <c r="C211" s="189" t="s">
        <v>1271</v>
      </c>
      <c r="D211" s="190" t="s">
        <v>1274</v>
      </c>
      <c r="E211" s="191">
        <v>737</v>
      </c>
      <c r="F211" s="243">
        <v>0.61699999999999999</v>
      </c>
      <c r="G211" s="192">
        <v>1.1000000000000001</v>
      </c>
      <c r="H211" s="191"/>
      <c r="I211" s="191"/>
      <c r="J211" s="216"/>
      <c r="K211" s="217">
        <f>IF(E211*F211*G211&lt;&gt;0,E211*F211*G211,IF(E211*F211&lt;&gt;0,E211*F211,IF(F211*G211&lt;&gt;0,F211*G211,IF(E211*G211&lt;&gt;0,E211*G211,IF(E211&lt;&gt;0,E211,IF(F211&lt;&gt;0,F211,IF(G211&lt;&gt;0,G211,0)))))))*(IF(H211&lt;&gt;0,H211,1))+I211-J211</f>
        <v>500.20190000000002</v>
      </c>
      <c r="L211" s="218"/>
    </row>
    <row r="212" spans="2:12">
      <c r="B212" s="188" t="s">
        <v>1275</v>
      </c>
      <c r="C212" s="189" t="s">
        <v>1271</v>
      </c>
      <c r="D212" s="190" t="s">
        <v>1274</v>
      </c>
      <c r="E212" s="191"/>
      <c r="F212" s="243"/>
      <c r="G212" s="192"/>
      <c r="H212" s="191"/>
      <c r="I212" s="191"/>
      <c r="J212" s="216"/>
      <c r="K212" s="217">
        <f>IF(E212*F212*G212&lt;&gt;0,E212*F212*G212,IF(E212*F212&lt;&gt;0,E212*F212,IF(F212*G212&lt;&gt;0,F212*G212,IF(E212*G212&lt;&gt;0,E212*G212,IF(E212&lt;&gt;0,E212,IF(F212&lt;&gt;0,F212,IF(G212&lt;&gt;0,G212,0)))))))*(IF(H212&lt;&gt;0,H212,1))+I212-J212</f>
        <v>0</v>
      </c>
      <c r="L212" s="218"/>
    </row>
    <row r="213" spans="2:12">
      <c r="B213" s="197"/>
      <c r="C213" s="189"/>
      <c r="D213" s="198"/>
      <c r="E213" s="199"/>
      <c r="F213" s="244"/>
      <c r="G213" s="199"/>
      <c r="H213" s="199"/>
      <c r="I213" s="199"/>
      <c r="J213" s="219"/>
      <c r="K213" s="217">
        <f>IF(E213*F213*G213&lt;&gt;0,E213*F213*G213,IF(E213*F213&lt;&gt;0,E213*F213,IF(F213*G213&lt;&gt;0,F213*G213,IF(E213*G213&lt;&gt;0,E213*G213,IF(E213&lt;&gt;0,E213,IF(F213&lt;&gt;0,F213,IF(G213&lt;&gt;0,G213,0)))))))*(IF(H213&lt;&gt;0,H213,1))+I213-J213</f>
        <v>0</v>
      </c>
      <c r="L213" s="218"/>
    </row>
    <row r="214" spans="2:12">
      <c r="B214" s="202"/>
      <c r="C214" s="203"/>
      <c r="D214" s="203"/>
      <c r="E214" s="203"/>
      <c r="F214" s="203"/>
      <c r="G214" s="203"/>
      <c r="H214" s="204"/>
      <c r="I214" s="556" t="s">
        <v>1221</v>
      </c>
      <c r="J214" s="556"/>
      <c r="K214" s="220">
        <f>SUM(K211:K213)</f>
        <v>500.20190000000002</v>
      </c>
      <c r="L214" s="207"/>
    </row>
    <row r="215" spans="2:12">
      <c r="B215" s="208"/>
      <c r="C215" s="204"/>
      <c r="D215" s="204"/>
      <c r="E215" s="204"/>
      <c r="F215" s="204"/>
      <c r="G215" s="204"/>
      <c r="H215" s="209"/>
      <c r="I215" s="557" t="s">
        <v>1222</v>
      </c>
      <c r="J215" s="557"/>
      <c r="K215" s="221">
        <v>1663.2</v>
      </c>
      <c r="L215" s="207"/>
    </row>
    <row r="216" spans="2:12">
      <c r="B216" s="208"/>
      <c r="C216" s="204"/>
      <c r="D216" s="204"/>
      <c r="E216" s="204"/>
      <c r="F216" s="204"/>
      <c r="G216" s="204"/>
      <c r="H216" s="558" t="s">
        <v>1223</v>
      </c>
      <c r="I216" s="558"/>
      <c r="J216" s="558"/>
      <c r="K216" s="222">
        <v>0</v>
      </c>
      <c r="L216" s="207"/>
    </row>
    <row r="217" spans="2:12">
      <c r="B217" s="208"/>
      <c r="C217" s="204"/>
      <c r="D217" s="204"/>
      <c r="E217" s="204"/>
      <c r="F217" s="204"/>
      <c r="G217" s="204"/>
      <c r="H217" s="558" t="s">
        <v>1201</v>
      </c>
      <c r="I217" s="558"/>
      <c r="J217" s="558"/>
      <c r="K217" s="222">
        <f>IF(K214&gt;K215,K215,K214)-K216</f>
        <v>500.20190000000002</v>
      </c>
      <c r="L217" s="207"/>
    </row>
    <row r="218" spans="2:12">
      <c r="B218" s="213"/>
      <c r="C218" s="214"/>
      <c r="D218" s="214"/>
      <c r="E218" s="214"/>
      <c r="F218" s="214"/>
      <c r="G218" s="214"/>
      <c r="H218" s="559" t="s">
        <v>1224</v>
      </c>
      <c r="I218" s="559"/>
      <c r="J218" s="559"/>
      <c r="K218" s="223">
        <f>IF(K214&gt;K215,K214-K215,0)</f>
        <v>0</v>
      </c>
      <c r="L218" s="209"/>
    </row>
    <row r="220" spans="2:12" ht="14.25" customHeight="1">
      <c r="B220" s="555" t="s">
        <v>1279</v>
      </c>
      <c r="C220" s="555"/>
      <c r="D220" s="555"/>
      <c r="E220" s="555"/>
      <c r="F220" s="555"/>
      <c r="G220" s="555"/>
      <c r="H220" s="555"/>
      <c r="I220" s="555"/>
      <c r="J220" s="555"/>
      <c r="K220" s="555"/>
      <c r="L220" s="555"/>
    </row>
    <row r="221" spans="2:12">
      <c r="B221" s="187" t="s">
        <v>1209</v>
      </c>
      <c r="C221" s="187"/>
      <c r="D221" s="187" t="s">
        <v>39</v>
      </c>
      <c r="E221" s="187" t="s">
        <v>1210</v>
      </c>
      <c r="F221" s="187" t="s">
        <v>1211</v>
      </c>
      <c r="G221" s="187" t="s">
        <v>1212</v>
      </c>
      <c r="H221" s="187" t="s">
        <v>1213</v>
      </c>
      <c r="I221" s="187" t="s">
        <v>1214</v>
      </c>
      <c r="J221" s="187" t="s">
        <v>1215</v>
      </c>
      <c r="K221" s="187" t="s">
        <v>1216</v>
      </c>
      <c r="L221" s="187" t="s">
        <v>1217</v>
      </c>
    </row>
    <row r="222" spans="2:12">
      <c r="B222" s="188" t="s">
        <v>1273</v>
      </c>
      <c r="C222" s="189" t="s">
        <v>1271</v>
      </c>
      <c r="D222" s="190" t="s">
        <v>1274</v>
      </c>
      <c r="E222" s="191">
        <v>3329</v>
      </c>
      <c r="F222" s="243">
        <v>0.96699999999999997</v>
      </c>
      <c r="G222" s="192">
        <v>1.1000000000000001</v>
      </c>
      <c r="H222" s="191"/>
      <c r="I222" s="191"/>
      <c r="J222" s="216"/>
      <c r="K222" s="217">
        <f>IF(E222*F222*G222&lt;&gt;0,E222*F222*G222,IF(E222*F222&lt;&gt;0,E222*F222,IF(F222*G222&lt;&gt;0,F222*G222,IF(E222*G222&lt;&gt;0,E222*G222,IF(E222&lt;&gt;0,E222,IF(F222&lt;&gt;0,F222,IF(G222&lt;&gt;0,G222,0)))))))*(IF(H222&lt;&gt;0,H222,1))+I222-J222</f>
        <v>3541.0573000000004</v>
      </c>
      <c r="L222" s="218"/>
    </row>
    <row r="223" spans="2:12">
      <c r="B223" s="188" t="s">
        <v>1275</v>
      </c>
      <c r="C223" s="189" t="s">
        <v>1271</v>
      </c>
      <c r="D223" s="190" t="s">
        <v>1274</v>
      </c>
      <c r="E223" s="191"/>
      <c r="F223" s="243"/>
      <c r="G223" s="192"/>
      <c r="H223" s="191"/>
      <c r="I223" s="191"/>
      <c r="J223" s="216"/>
      <c r="K223" s="217">
        <f>IF(E223*F223*G223&lt;&gt;0,E223*F223*G223,IF(E223*F223&lt;&gt;0,E223*F223,IF(F223*G223&lt;&gt;0,F223*G223,IF(E223*G223&lt;&gt;0,E223*G223,IF(E223&lt;&gt;0,E223,IF(F223&lt;&gt;0,F223,IF(G223&lt;&gt;0,G223,0)))))))*(IF(H223&lt;&gt;0,H223,1))+I223-J223</f>
        <v>0</v>
      </c>
      <c r="L223" s="218"/>
    </row>
    <row r="224" spans="2:12">
      <c r="B224" s="197"/>
      <c r="C224" s="189"/>
      <c r="D224" s="198"/>
      <c r="E224" s="199"/>
      <c r="F224" s="244"/>
      <c r="G224" s="199"/>
      <c r="H224" s="199"/>
      <c r="I224" s="199"/>
      <c r="J224" s="219"/>
      <c r="K224" s="217">
        <f>IF(E224*F224*G224&lt;&gt;0,E224*F224*G224,IF(E224*F224&lt;&gt;0,E224*F224,IF(F224*G224&lt;&gt;0,F224*G224,IF(E224*G224&lt;&gt;0,E224*G224,IF(E224&lt;&gt;0,E224,IF(F224&lt;&gt;0,F224,IF(G224&lt;&gt;0,G224,0)))))))*(IF(H224&lt;&gt;0,H224,1))+I224-J224</f>
        <v>0</v>
      </c>
      <c r="L224" s="218"/>
    </row>
    <row r="225" spans="2:12">
      <c r="B225" s="202"/>
      <c r="C225" s="203"/>
      <c r="D225" s="203"/>
      <c r="E225" s="203"/>
      <c r="F225" s="203"/>
      <c r="G225" s="203"/>
      <c r="H225" s="204"/>
      <c r="I225" s="556" t="s">
        <v>1221</v>
      </c>
      <c r="J225" s="556"/>
      <c r="K225" s="220">
        <f>SUM(K222:K224)</f>
        <v>3541.0573000000004</v>
      </c>
      <c r="L225" s="207"/>
    </row>
    <row r="226" spans="2:12">
      <c r="B226" s="208"/>
      <c r="C226" s="204"/>
      <c r="D226" s="204"/>
      <c r="E226" s="204"/>
      <c r="F226" s="204"/>
      <c r="G226" s="204"/>
      <c r="H226" s="209"/>
      <c r="I226" s="557" t="s">
        <v>1222</v>
      </c>
      <c r="J226" s="557"/>
      <c r="K226" s="221">
        <v>4944.5</v>
      </c>
      <c r="L226" s="207"/>
    </row>
    <row r="227" spans="2:12">
      <c r="B227" s="208"/>
      <c r="C227" s="204"/>
      <c r="D227" s="204"/>
      <c r="E227" s="204"/>
      <c r="F227" s="204"/>
      <c r="G227" s="204"/>
      <c r="H227" s="558" t="s">
        <v>1223</v>
      </c>
      <c r="I227" s="558"/>
      <c r="J227" s="558"/>
      <c r="K227" s="222">
        <v>0</v>
      </c>
      <c r="L227" s="207"/>
    </row>
    <row r="228" spans="2:12">
      <c r="B228" s="208"/>
      <c r="C228" s="204"/>
      <c r="D228" s="204"/>
      <c r="E228" s="204"/>
      <c r="F228" s="204"/>
      <c r="G228" s="204"/>
      <c r="H228" s="558" t="s">
        <v>1201</v>
      </c>
      <c r="I228" s="558"/>
      <c r="J228" s="558"/>
      <c r="K228" s="222">
        <f>IF(K225&gt;K226,K226,K225)-K227</f>
        <v>3541.0573000000004</v>
      </c>
      <c r="L228" s="207"/>
    </row>
    <row r="229" spans="2:12">
      <c r="B229" s="213"/>
      <c r="C229" s="214"/>
      <c r="D229" s="214"/>
      <c r="E229" s="214"/>
      <c r="F229" s="214"/>
      <c r="G229" s="214"/>
      <c r="H229" s="559" t="s">
        <v>1224</v>
      </c>
      <c r="I229" s="559"/>
      <c r="J229" s="559"/>
      <c r="K229" s="223">
        <f>IF(K225&gt;K226,K225-K226,0)</f>
        <v>0</v>
      </c>
      <c r="L229" s="209"/>
    </row>
    <row r="231" spans="2:12" ht="14.25" customHeight="1">
      <c r="B231" s="555" t="s">
        <v>1280</v>
      </c>
      <c r="C231" s="555"/>
      <c r="D231" s="555"/>
      <c r="E231" s="555"/>
      <c r="F231" s="555"/>
      <c r="G231" s="555"/>
      <c r="H231" s="555"/>
      <c r="I231" s="555"/>
      <c r="J231" s="555"/>
      <c r="K231" s="555"/>
      <c r="L231" s="555"/>
    </row>
    <row r="232" spans="2:12">
      <c r="B232" s="187" t="s">
        <v>1209</v>
      </c>
      <c r="C232" s="187"/>
      <c r="D232" s="187" t="s">
        <v>39</v>
      </c>
      <c r="E232" s="187" t="s">
        <v>1210</v>
      </c>
      <c r="F232" s="187" t="s">
        <v>1211</v>
      </c>
      <c r="G232" s="187" t="s">
        <v>1212</v>
      </c>
      <c r="H232" s="187" t="s">
        <v>1213</v>
      </c>
      <c r="I232" s="187" t="s">
        <v>1214</v>
      </c>
      <c r="J232" s="187" t="s">
        <v>1215</v>
      </c>
      <c r="K232" s="187" t="s">
        <v>1216</v>
      </c>
      <c r="L232" s="187" t="s">
        <v>1217</v>
      </c>
    </row>
    <row r="233" spans="2:12">
      <c r="B233" s="188" t="s">
        <v>1273</v>
      </c>
      <c r="C233" s="189" t="s">
        <v>1271</v>
      </c>
      <c r="D233" s="190" t="s">
        <v>1274</v>
      </c>
      <c r="E233" s="191"/>
      <c r="F233" s="243"/>
      <c r="G233" s="192"/>
      <c r="H233" s="191"/>
      <c r="I233" s="191"/>
      <c r="J233" s="216"/>
      <c r="K233" s="217">
        <f>IF(E233*F233*G233&lt;&gt;0,E233*F233*G233,IF(E233*F233&lt;&gt;0,E233*F233,IF(F233*G233&lt;&gt;0,F233*G233,IF(E233*G233&lt;&gt;0,E233*G233,IF(E233&lt;&gt;0,E233,IF(F233&lt;&gt;0,F233,IF(G233&lt;&gt;0,G233,0)))))))*(IF(H233&lt;&gt;0,H233,1))+I233-J233</f>
        <v>0</v>
      </c>
      <c r="L233" s="218"/>
    </row>
    <row r="234" spans="2:12">
      <c r="B234" s="188" t="s">
        <v>1275</v>
      </c>
      <c r="C234" s="189" t="s">
        <v>1271</v>
      </c>
      <c r="D234" s="190" t="s">
        <v>1274</v>
      </c>
      <c r="E234" s="191">
        <v>67</v>
      </c>
      <c r="F234" s="243">
        <v>1.5780000000000001</v>
      </c>
      <c r="G234" s="192">
        <v>1.1000000000000001</v>
      </c>
      <c r="H234" s="191"/>
      <c r="I234" s="191"/>
      <c r="J234" s="216"/>
      <c r="K234" s="217">
        <f>IF(E234*F234*G234&lt;&gt;0,E234*F234*G234,IF(E234*F234&lt;&gt;0,E234*F234,IF(F234*G234&lt;&gt;0,F234*G234,IF(E234*G234&lt;&gt;0,E234*G234,IF(E234&lt;&gt;0,E234,IF(F234&lt;&gt;0,F234,IF(G234&lt;&gt;0,G234,0)))))))*(IF(H234&lt;&gt;0,H234,1))+I234-J234</f>
        <v>116.29860000000001</v>
      </c>
      <c r="L234" s="218"/>
    </row>
    <row r="235" spans="2:12">
      <c r="B235" s="197"/>
      <c r="C235" s="189"/>
      <c r="D235" s="198"/>
      <c r="E235" s="199"/>
      <c r="F235" s="199"/>
      <c r="G235" s="199"/>
      <c r="H235" s="199"/>
      <c r="I235" s="199"/>
      <c r="J235" s="219"/>
      <c r="K235" s="217">
        <f>IF(E235*F235*G235&lt;&gt;0,E235*F235*G235,IF(E235*F235&lt;&gt;0,E235*F235,IF(F235*G235&lt;&gt;0,F235*G235,IF(E235*G235&lt;&gt;0,E235*G235,IF(E235&lt;&gt;0,E235,IF(F235&lt;&gt;0,F235,IF(G235&lt;&gt;0,G235,0)))))))*(IF(H235&lt;&gt;0,H235,1))+I235-J235</f>
        <v>0</v>
      </c>
      <c r="L235" s="218"/>
    </row>
    <row r="236" spans="2:12">
      <c r="B236" s="202"/>
      <c r="C236" s="203"/>
      <c r="D236" s="203"/>
      <c r="E236" s="203"/>
      <c r="F236" s="203"/>
      <c r="G236" s="203"/>
      <c r="H236" s="204"/>
      <c r="I236" s="556" t="s">
        <v>1221</v>
      </c>
      <c r="J236" s="556"/>
      <c r="K236" s="220">
        <f>SUM(K233:K235)</f>
        <v>116.29860000000001</v>
      </c>
      <c r="L236" s="207"/>
    </row>
    <row r="237" spans="2:12">
      <c r="B237" s="208"/>
      <c r="C237" s="204"/>
      <c r="D237" s="204"/>
      <c r="E237" s="204"/>
      <c r="F237" s="204"/>
      <c r="G237" s="204"/>
      <c r="H237" s="209"/>
      <c r="I237" s="557" t="s">
        <v>1222</v>
      </c>
      <c r="J237" s="557"/>
      <c r="K237" s="221">
        <v>115.5</v>
      </c>
      <c r="L237" s="207"/>
    </row>
    <row r="238" spans="2:12">
      <c r="B238" s="208"/>
      <c r="C238" s="204"/>
      <c r="D238" s="204"/>
      <c r="E238" s="204"/>
      <c r="F238" s="204"/>
      <c r="G238" s="204"/>
      <c r="H238" s="558" t="s">
        <v>1223</v>
      </c>
      <c r="I238" s="558"/>
      <c r="J238" s="558"/>
      <c r="K238" s="222">
        <v>0</v>
      </c>
      <c r="L238" s="207"/>
    </row>
    <row r="239" spans="2:12">
      <c r="B239" s="208"/>
      <c r="C239" s="204"/>
      <c r="D239" s="204"/>
      <c r="E239" s="204"/>
      <c r="F239" s="204"/>
      <c r="G239" s="204"/>
      <c r="H239" s="558" t="s">
        <v>1201</v>
      </c>
      <c r="I239" s="558"/>
      <c r="J239" s="558"/>
      <c r="K239" s="222">
        <f>IF(K236&gt;K237,K237,K236)-K238</f>
        <v>115.5</v>
      </c>
      <c r="L239" s="207"/>
    </row>
    <row r="240" spans="2:12">
      <c r="B240" s="213"/>
      <c r="C240" s="214"/>
      <c r="D240" s="214"/>
      <c r="E240" s="214"/>
      <c r="F240" s="214"/>
      <c r="G240" s="214"/>
      <c r="H240" s="559" t="s">
        <v>1224</v>
      </c>
      <c r="I240" s="559"/>
      <c r="J240" s="559"/>
      <c r="K240" s="223">
        <f>IF(K236&gt;K237,K236-K237,0)</f>
        <v>0.79860000000000753</v>
      </c>
      <c r="L240" s="209"/>
    </row>
    <row r="242" spans="2:12" ht="14.25" customHeight="1">
      <c r="B242" s="555" t="s">
        <v>1281</v>
      </c>
      <c r="C242" s="555"/>
      <c r="D242" s="555"/>
      <c r="E242" s="555"/>
      <c r="F242" s="555"/>
      <c r="G242" s="555"/>
      <c r="H242" s="555"/>
      <c r="I242" s="555"/>
      <c r="J242" s="555"/>
      <c r="K242" s="555"/>
      <c r="L242" s="555"/>
    </row>
    <row r="243" spans="2:12">
      <c r="B243" s="187" t="s">
        <v>1209</v>
      </c>
      <c r="C243" s="187"/>
      <c r="D243" s="187" t="s">
        <v>39</v>
      </c>
      <c r="E243" s="187" t="s">
        <v>1210</v>
      </c>
      <c r="F243" s="187" t="s">
        <v>1211</v>
      </c>
      <c r="G243" s="187" t="s">
        <v>1212</v>
      </c>
      <c r="H243" s="187" t="s">
        <v>1213</v>
      </c>
      <c r="I243" s="187" t="s">
        <v>1214</v>
      </c>
      <c r="J243" s="187" t="s">
        <v>1215</v>
      </c>
      <c r="K243" s="187" t="s">
        <v>1216</v>
      </c>
      <c r="L243" s="187" t="s">
        <v>1217</v>
      </c>
    </row>
    <row r="244" spans="2:12">
      <c r="B244" s="188" t="s">
        <v>1273</v>
      </c>
      <c r="C244" s="189" t="s">
        <v>1271</v>
      </c>
      <c r="D244" s="190" t="s">
        <v>1274</v>
      </c>
      <c r="E244" s="191">
        <v>369</v>
      </c>
      <c r="F244" s="243">
        <v>2.4660000000000002</v>
      </c>
      <c r="G244" s="192">
        <v>1.1000000000000001</v>
      </c>
      <c r="H244" s="191"/>
      <c r="I244" s="191"/>
      <c r="J244" s="216"/>
      <c r="K244" s="217">
        <f>IF(E244*F244*G244&lt;&gt;0,E244*F244*G244,IF(E244*F244&lt;&gt;0,E244*F244,IF(F244*G244&lt;&gt;0,F244*G244,IF(E244*G244&lt;&gt;0,E244*G244,IF(E244&lt;&gt;0,E244,IF(F244&lt;&gt;0,F244,IF(G244&lt;&gt;0,G244,0)))))))*(IF(H244&lt;&gt;0,H244,1))+I244-J244</f>
        <v>1000.9494000000002</v>
      </c>
      <c r="L244" s="245" t="s">
        <v>1282</v>
      </c>
    </row>
    <row r="245" spans="2:12">
      <c r="B245" s="188" t="s">
        <v>1273</v>
      </c>
      <c r="C245" s="189" t="s">
        <v>1271</v>
      </c>
      <c r="D245" s="190" t="s">
        <v>1274</v>
      </c>
      <c r="E245" s="191">
        <v>623</v>
      </c>
      <c r="F245" s="243">
        <v>3.8530000000000002</v>
      </c>
      <c r="G245" s="192">
        <v>1.1000000000000001</v>
      </c>
      <c r="H245" s="191"/>
      <c r="I245" s="191"/>
      <c r="J245" s="216"/>
      <c r="K245" s="217">
        <f>IF(E245*F245*G245&lt;&gt;0,E245*F245*G245,IF(E245*F245&lt;&gt;0,E245*F245,IF(F245*G245&lt;&gt;0,F245*G245,IF(E245*G245&lt;&gt;0,E245*G245,IF(E245&lt;&gt;0,E245,IF(F245&lt;&gt;0,F245,IF(G245&lt;&gt;0,G245,0)))))))*(IF(H245&lt;&gt;0,H245,1))+I245-J245</f>
        <v>2640.4609000000005</v>
      </c>
      <c r="L245" s="245" t="s">
        <v>1283</v>
      </c>
    </row>
    <row r="246" spans="2:12">
      <c r="B246" s="188" t="s">
        <v>1275</v>
      </c>
      <c r="C246" s="189" t="s">
        <v>1271</v>
      </c>
      <c r="D246" s="190" t="s">
        <v>1274</v>
      </c>
      <c r="E246" s="191"/>
      <c r="F246" s="243"/>
      <c r="G246" s="192"/>
      <c r="H246" s="191"/>
      <c r="I246" s="191"/>
      <c r="J246" s="216"/>
      <c r="K246" s="217">
        <f>IF(E246*F246*G246&lt;&gt;0,E246*F246*G246,IF(E246*F246&lt;&gt;0,E246*F246,IF(F246*G246&lt;&gt;0,F246*G246,IF(E246*G246&lt;&gt;0,E246*G246,IF(E246&lt;&gt;0,E246,IF(F246&lt;&gt;0,F246,IF(G246&lt;&gt;0,G246,0)))))))*(IF(H246&lt;&gt;0,H246,1))+I246-J246</f>
        <v>0</v>
      </c>
      <c r="L246" s="218"/>
    </row>
    <row r="247" spans="2:12">
      <c r="B247" s="197"/>
      <c r="C247" s="189"/>
      <c r="D247" s="198"/>
      <c r="E247" s="199"/>
      <c r="F247" s="244"/>
      <c r="G247" s="199"/>
      <c r="H247" s="199"/>
      <c r="I247" s="199"/>
      <c r="J247" s="219"/>
      <c r="K247" s="217">
        <f>IF(E247*F247*G247&lt;&gt;0,E247*F247*G247,IF(E247*F247&lt;&gt;0,E247*F247,IF(F247*G247&lt;&gt;0,F247*G247,IF(E247*G247&lt;&gt;0,E247*G247,IF(E247&lt;&gt;0,E247,IF(F247&lt;&gt;0,F247,IF(G247&lt;&gt;0,G247,0)))))))*(IF(H247&lt;&gt;0,H247,1))+I247-J247</f>
        <v>0</v>
      </c>
      <c r="L247" s="218"/>
    </row>
    <row r="248" spans="2:12">
      <c r="B248" s="202"/>
      <c r="C248" s="203"/>
      <c r="D248" s="203"/>
      <c r="E248" s="203"/>
      <c r="F248" s="203"/>
      <c r="G248" s="203"/>
      <c r="H248" s="204"/>
      <c r="I248" s="556" t="s">
        <v>1221</v>
      </c>
      <c r="J248" s="556"/>
      <c r="K248" s="220">
        <f>SUM(K244:K247)</f>
        <v>3641.4103000000005</v>
      </c>
      <c r="L248" s="207"/>
    </row>
    <row r="249" spans="2:12">
      <c r="B249" s="208"/>
      <c r="C249" s="204"/>
      <c r="D249" s="204"/>
      <c r="E249" s="204"/>
      <c r="F249" s="204"/>
      <c r="G249" s="204"/>
      <c r="H249" s="209"/>
      <c r="I249" s="557" t="s">
        <v>1222</v>
      </c>
      <c r="J249" s="557"/>
      <c r="K249" s="221">
        <v>7195.1</v>
      </c>
      <c r="L249" s="207"/>
    </row>
    <row r="250" spans="2:12">
      <c r="B250" s="208"/>
      <c r="C250" s="204"/>
      <c r="D250" s="204"/>
      <c r="E250" s="204"/>
      <c r="F250" s="204"/>
      <c r="G250" s="204"/>
      <c r="H250" s="558" t="s">
        <v>1223</v>
      </c>
      <c r="I250" s="558"/>
      <c r="J250" s="558"/>
      <c r="K250" s="222">
        <v>0</v>
      </c>
      <c r="L250" s="207"/>
    </row>
    <row r="251" spans="2:12">
      <c r="B251" s="208"/>
      <c r="C251" s="204"/>
      <c r="D251" s="204"/>
      <c r="E251" s="204"/>
      <c r="F251" s="204"/>
      <c r="G251" s="204"/>
      <c r="H251" s="558" t="s">
        <v>1201</v>
      </c>
      <c r="I251" s="558"/>
      <c r="J251" s="558"/>
      <c r="K251" s="222">
        <f>IF(K248&gt;K249,K249,K248)-K250</f>
        <v>3641.4103000000005</v>
      </c>
      <c r="L251" s="207"/>
    </row>
    <row r="252" spans="2:12">
      <c r="B252" s="213"/>
      <c r="C252" s="214"/>
      <c r="D252" s="214"/>
      <c r="E252" s="214"/>
      <c r="F252" s="214"/>
      <c r="G252" s="214"/>
      <c r="H252" s="559" t="s">
        <v>1224</v>
      </c>
      <c r="I252" s="559"/>
      <c r="J252" s="559"/>
      <c r="K252" s="223">
        <f>IF(K248&gt;K249,K248-K249,0)</f>
        <v>0</v>
      </c>
      <c r="L252" s="209"/>
    </row>
    <row r="254" spans="2:12" ht="14.25" customHeight="1">
      <c r="B254" s="555" t="s">
        <v>1284</v>
      </c>
      <c r="C254" s="555"/>
      <c r="D254" s="555"/>
      <c r="E254" s="555"/>
      <c r="F254" s="555"/>
      <c r="G254" s="555"/>
      <c r="H254" s="555"/>
      <c r="I254" s="555"/>
      <c r="J254" s="555"/>
      <c r="K254" s="555"/>
      <c r="L254" s="555"/>
    </row>
    <row r="255" spans="2:12">
      <c r="B255" s="187" t="s">
        <v>1209</v>
      </c>
      <c r="C255" s="187"/>
      <c r="D255" s="187" t="s">
        <v>39</v>
      </c>
      <c r="E255" s="187" t="s">
        <v>1210</v>
      </c>
      <c r="F255" s="187" t="s">
        <v>1211</v>
      </c>
      <c r="G255" s="187" t="s">
        <v>1212</v>
      </c>
      <c r="H255" s="187" t="s">
        <v>1213</v>
      </c>
      <c r="I255" s="187" t="s">
        <v>1214</v>
      </c>
      <c r="J255" s="187" t="s">
        <v>1215</v>
      </c>
      <c r="K255" s="187" t="s">
        <v>1216</v>
      </c>
      <c r="L255" s="187" t="s">
        <v>1217</v>
      </c>
    </row>
    <row r="256" spans="2:12">
      <c r="B256" s="188" t="s">
        <v>1285</v>
      </c>
      <c r="C256" s="189" t="s">
        <v>1271</v>
      </c>
      <c r="D256" s="190" t="s">
        <v>169</v>
      </c>
      <c r="E256" s="191">
        <v>1.9</v>
      </c>
      <c r="F256" s="243">
        <v>0.9</v>
      </c>
      <c r="G256" s="192">
        <v>0.7</v>
      </c>
      <c r="H256" s="191"/>
      <c r="I256" s="191">
        <v>1.1970000000000001</v>
      </c>
      <c r="J256" s="216"/>
      <c r="K256" s="217">
        <f t="shared" ref="K256:K272" si="0">IF(E256*F256*G256&lt;&gt;0,E256*F256*G256,IF(E256*F256&lt;&gt;0,E256*F256,IF(F256*G256&lt;&gt;0,F256*G256,IF(E256*G256&lt;&gt;0,E256*G256,IF(E256&lt;&gt;0,E256,IF(F256&lt;&gt;0,F256,IF(G256&lt;&gt;0,G256,0)))))))*(IF(H256&lt;&gt;0,H256,1))+I256-J256</f>
        <v>2.3940000000000001</v>
      </c>
      <c r="L256" s="218"/>
    </row>
    <row r="257" spans="2:12">
      <c r="B257" s="188" t="s">
        <v>1286</v>
      </c>
      <c r="C257" s="189" t="s">
        <v>1271</v>
      </c>
      <c r="D257" s="190" t="s">
        <v>169</v>
      </c>
      <c r="E257" s="191">
        <v>2.2000000000000002</v>
      </c>
      <c r="F257" s="243">
        <v>2.2000000000000002</v>
      </c>
      <c r="G257" s="192">
        <v>1.1000000000000001</v>
      </c>
      <c r="H257" s="191"/>
      <c r="I257" s="191">
        <v>5.3239999999999998</v>
      </c>
      <c r="J257" s="216"/>
      <c r="K257" s="217">
        <f t="shared" si="0"/>
        <v>10.648000000000001</v>
      </c>
      <c r="L257" s="218"/>
    </row>
    <row r="258" spans="2:12">
      <c r="B258" s="188" t="s">
        <v>1287</v>
      </c>
      <c r="C258" s="189" t="s">
        <v>1271</v>
      </c>
      <c r="D258" s="190" t="s">
        <v>169</v>
      </c>
      <c r="E258" s="191">
        <v>2.2000000000000002</v>
      </c>
      <c r="F258" s="243">
        <v>2.2000000000000002</v>
      </c>
      <c r="G258" s="192">
        <v>1.1000000000000001</v>
      </c>
      <c r="H258" s="191"/>
      <c r="I258" s="191">
        <v>5.3239999999999998</v>
      </c>
      <c r="J258" s="216"/>
      <c r="K258" s="217">
        <f t="shared" si="0"/>
        <v>10.648000000000001</v>
      </c>
      <c r="L258" s="218"/>
    </row>
    <row r="259" spans="2:12">
      <c r="B259" s="188" t="s">
        <v>1288</v>
      </c>
      <c r="C259" s="189" t="s">
        <v>1271</v>
      </c>
      <c r="D259" s="190" t="s">
        <v>169</v>
      </c>
      <c r="E259" s="191">
        <v>1.9</v>
      </c>
      <c r="F259" s="243">
        <v>0.9</v>
      </c>
      <c r="G259" s="192">
        <v>1</v>
      </c>
      <c r="H259" s="191"/>
      <c r="I259" s="191">
        <v>1.71</v>
      </c>
      <c r="J259" s="216"/>
      <c r="K259" s="217">
        <f t="shared" si="0"/>
        <v>3.42</v>
      </c>
      <c r="L259" s="218"/>
    </row>
    <row r="260" spans="2:12">
      <c r="B260" s="188" t="s">
        <v>1289</v>
      </c>
      <c r="C260" s="189" t="s">
        <v>1271</v>
      </c>
      <c r="D260" s="190" t="s">
        <v>169</v>
      </c>
      <c r="E260" s="191">
        <v>1</v>
      </c>
      <c r="F260" s="243">
        <v>1</v>
      </c>
      <c r="G260" s="192">
        <v>0.9</v>
      </c>
      <c r="H260" s="191"/>
      <c r="I260" s="191">
        <v>0.9</v>
      </c>
      <c r="J260" s="216"/>
      <c r="K260" s="217">
        <f t="shared" si="0"/>
        <v>1.8</v>
      </c>
      <c r="L260" s="218"/>
    </row>
    <row r="261" spans="2:12">
      <c r="B261" s="188" t="s">
        <v>1290</v>
      </c>
      <c r="C261" s="189" t="s">
        <v>1271</v>
      </c>
      <c r="D261" s="190" t="s">
        <v>169</v>
      </c>
      <c r="E261" s="191"/>
      <c r="F261" s="243"/>
      <c r="G261" s="192"/>
      <c r="H261" s="191"/>
      <c r="I261" s="191">
        <v>2.95614</v>
      </c>
      <c r="J261" s="216"/>
      <c r="K261" s="217">
        <f t="shared" si="0"/>
        <v>2.95614</v>
      </c>
      <c r="L261" s="218"/>
    </row>
    <row r="262" spans="2:12">
      <c r="B262" s="188" t="s">
        <v>1291</v>
      </c>
      <c r="C262" s="189" t="s">
        <v>1271</v>
      </c>
      <c r="D262" s="190" t="s">
        <v>169</v>
      </c>
      <c r="E262" s="191">
        <v>2.2000000000000002</v>
      </c>
      <c r="F262" s="243">
        <v>2.2000000000000002</v>
      </c>
      <c r="G262" s="192">
        <v>1.1000000000000001</v>
      </c>
      <c r="H262" s="191"/>
      <c r="I262" s="191"/>
      <c r="J262" s="216"/>
      <c r="K262" s="217">
        <f t="shared" si="0"/>
        <v>5.3240000000000016</v>
      </c>
      <c r="L262" s="218"/>
    </row>
    <row r="263" spans="2:12">
      <c r="B263" s="188" t="s">
        <v>1292</v>
      </c>
      <c r="C263" s="189" t="s">
        <v>1271</v>
      </c>
      <c r="D263" s="190" t="s">
        <v>169</v>
      </c>
      <c r="E263" s="191">
        <v>2.2000000000000002</v>
      </c>
      <c r="F263" s="243">
        <v>2.2000000000000002</v>
      </c>
      <c r="G263" s="192">
        <v>1.1000000000000001</v>
      </c>
      <c r="H263" s="191"/>
      <c r="I263" s="191"/>
      <c r="J263" s="216"/>
      <c r="K263" s="217">
        <f t="shared" si="0"/>
        <v>5.3240000000000016</v>
      </c>
      <c r="L263" s="218"/>
    </row>
    <row r="264" spans="2:12">
      <c r="B264" s="188" t="s">
        <v>1293</v>
      </c>
      <c r="C264" s="189" t="s">
        <v>1271</v>
      </c>
      <c r="D264" s="190" t="s">
        <v>169</v>
      </c>
      <c r="E264" s="191">
        <v>2.2000000000000002</v>
      </c>
      <c r="F264" s="243">
        <v>2.2000000000000002</v>
      </c>
      <c r="G264" s="192">
        <v>1.1000000000000001</v>
      </c>
      <c r="H264" s="191"/>
      <c r="I264" s="191"/>
      <c r="J264" s="216"/>
      <c r="K264" s="217">
        <f t="shared" si="0"/>
        <v>5.3240000000000016</v>
      </c>
      <c r="L264" s="218"/>
    </row>
    <row r="265" spans="2:12">
      <c r="B265" s="188" t="s">
        <v>1294</v>
      </c>
      <c r="C265" s="189" t="s">
        <v>1271</v>
      </c>
      <c r="D265" s="190" t="s">
        <v>169</v>
      </c>
      <c r="E265" s="191">
        <v>1</v>
      </c>
      <c r="F265" s="243">
        <v>1</v>
      </c>
      <c r="G265" s="192">
        <v>0.7</v>
      </c>
      <c r="H265" s="191"/>
      <c r="I265" s="191"/>
      <c r="J265" s="216"/>
      <c r="K265" s="217">
        <f t="shared" si="0"/>
        <v>0.7</v>
      </c>
      <c r="L265" s="218"/>
    </row>
    <row r="266" spans="2:12">
      <c r="B266" s="188" t="s">
        <v>1295</v>
      </c>
      <c r="C266" s="189" t="s">
        <v>1271</v>
      </c>
      <c r="D266" s="190" t="s">
        <v>169</v>
      </c>
      <c r="E266" s="191"/>
      <c r="F266" s="243"/>
      <c r="G266" s="192"/>
      <c r="H266" s="191"/>
      <c r="I266" s="191">
        <v>2.95614</v>
      </c>
      <c r="J266" s="216"/>
      <c r="K266" s="217">
        <f t="shared" si="0"/>
        <v>2.95614</v>
      </c>
      <c r="L266" s="218"/>
    </row>
    <row r="267" spans="2:12">
      <c r="B267" s="188" t="s">
        <v>1296</v>
      </c>
      <c r="C267" s="189" t="s">
        <v>1271</v>
      </c>
      <c r="D267" s="190" t="s">
        <v>169</v>
      </c>
      <c r="E267" s="191">
        <v>1.9</v>
      </c>
      <c r="F267" s="243">
        <v>0.9</v>
      </c>
      <c r="G267" s="192">
        <v>0.7</v>
      </c>
      <c r="H267" s="191"/>
      <c r="I267" s="191"/>
      <c r="J267" s="216"/>
      <c r="K267" s="217">
        <f t="shared" si="0"/>
        <v>1.1969999999999998</v>
      </c>
      <c r="L267" s="218"/>
    </row>
    <row r="268" spans="2:12">
      <c r="B268" s="188" t="s">
        <v>1297</v>
      </c>
      <c r="C268" s="189" t="s">
        <v>1271</v>
      </c>
      <c r="D268" s="190" t="s">
        <v>169</v>
      </c>
      <c r="E268" s="191">
        <v>3.4</v>
      </c>
      <c r="F268" s="243">
        <v>1</v>
      </c>
      <c r="G268" s="192">
        <v>1.2</v>
      </c>
      <c r="H268" s="191"/>
      <c r="I268" s="191"/>
      <c r="J268" s="216"/>
      <c r="K268" s="217">
        <f t="shared" si="0"/>
        <v>4.08</v>
      </c>
      <c r="L268" s="218"/>
    </row>
    <row r="269" spans="2:12">
      <c r="B269" s="188" t="s">
        <v>1298</v>
      </c>
      <c r="C269" s="189" t="s">
        <v>1271</v>
      </c>
      <c r="D269" s="190" t="s">
        <v>169</v>
      </c>
      <c r="E269" s="191">
        <v>3.4</v>
      </c>
      <c r="F269" s="243">
        <v>2.2000000000000002</v>
      </c>
      <c r="G269" s="192">
        <v>1.34</v>
      </c>
      <c r="H269" s="191"/>
      <c r="I269" s="191"/>
      <c r="J269" s="216"/>
      <c r="K269" s="217">
        <f t="shared" si="0"/>
        <v>10.023200000000001</v>
      </c>
      <c r="L269" s="218"/>
    </row>
    <row r="270" spans="2:12">
      <c r="B270" s="188" t="s">
        <v>1297</v>
      </c>
      <c r="C270" s="189" t="s">
        <v>1271</v>
      </c>
      <c r="D270" s="190" t="s">
        <v>169</v>
      </c>
      <c r="E270" s="191">
        <v>4.28</v>
      </c>
      <c r="F270" s="243">
        <v>0.7</v>
      </c>
      <c r="G270" s="192">
        <v>0.7</v>
      </c>
      <c r="H270" s="191"/>
      <c r="I270" s="191"/>
      <c r="J270" s="216"/>
      <c r="K270" s="217">
        <f t="shared" si="0"/>
        <v>2.0972</v>
      </c>
      <c r="L270" s="218"/>
    </row>
    <row r="271" spans="2:12">
      <c r="B271" s="188" t="s">
        <v>1299</v>
      </c>
      <c r="C271" s="189" t="s">
        <v>1271</v>
      </c>
      <c r="D271" s="190" t="s">
        <v>169</v>
      </c>
      <c r="E271" s="191">
        <v>6.17</v>
      </c>
      <c r="F271" s="243">
        <v>0.7</v>
      </c>
      <c r="G271" s="192">
        <v>0.7</v>
      </c>
      <c r="H271" s="191"/>
      <c r="I271" s="191"/>
      <c r="J271" s="216"/>
      <c r="K271" s="217">
        <f t="shared" si="0"/>
        <v>3.0232999999999999</v>
      </c>
      <c r="L271" s="218"/>
    </row>
    <row r="272" spans="2:12">
      <c r="B272" s="197"/>
      <c r="C272" s="189"/>
      <c r="D272" s="198"/>
      <c r="E272" s="199"/>
      <c r="F272" s="244"/>
      <c r="G272" s="199"/>
      <c r="H272" s="199"/>
      <c r="I272" s="199"/>
      <c r="J272" s="219"/>
      <c r="K272" s="217">
        <f t="shared" si="0"/>
        <v>0</v>
      </c>
      <c r="L272" s="218"/>
    </row>
    <row r="273" spans="2:12">
      <c r="B273" s="202"/>
      <c r="C273" s="203"/>
      <c r="D273" s="203"/>
      <c r="E273" s="203"/>
      <c r="F273" s="203"/>
      <c r="G273" s="203"/>
      <c r="H273" s="204"/>
      <c r="I273" s="556" t="s">
        <v>1221</v>
      </c>
      <c r="J273" s="556"/>
      <c r="K273" s="220">
        <f>SUM(K256:K272)</f>
        <v>71.914980000000014</v>
      </c>
      <c r="L273" s="207"/>
    </row>
    <row r="274" spans="2:12">
      <c r="B274" s="208"/>
      <c r="C274" s="204"/>
      <c r="D274" s="204"/>
      <c r="E274" s="204"/>
      <c r="F274" s="204"/>
      <c r="G274" s="204"/>
      <c r="H274" s="209"/>
      <c r="I274" s="557" t="s">
        <v>1222</v>
      </c>
      <c r="J274" s="557"/>
      <c r="K274" s="221">
        <v>213.07</v>
      </c>
      <c r="L274" s="207"/>
    </row>
    <row r="275" spans="2:12">
      <c r="B275" s="208"/>
      <c r="C275" s="204"/>
      <c r="D275" s="204"/>
      <c r="E275" s="204"/>
      <c r="F275" s="204"/>
      <c r="G275" s="204"/>
      <c r="H275" s="558" t="s">
        <v>1223</v>
      </c>
      <c r="I275" s="558"/>
      <c r="J275" s="558"/>
      <c r="K275" s="222">
        <v>0</v>
      </c>
      <c r="L275" s="207"/>
    </row>
    <row r="276" spans="2:12">
      <c r="B276" s="208"/>
      <c r="C276" s="204"/>
      <c r="D276" s="204"/>
      <c r="E276" s="204"/>
      <c r="F276" s="204"/>
      <c r="G276" s="204"/>
      <c r="H276" s="558" t="s">
        <v>1201</v>
      </c>
      <c r="I276" s="558"/>
      <c r="J276" s="558"/>
      <c r="K276" s="222">
        <f>IF(K273&gt;K274,K274,K273)-K275</f>
        <v>71.914980000000014</v>
      </c>
      <c r="L276" s="207"/>
    </row>
    <row r="277" spans="2:12">
      <c r="B277" s="213"/>
      <c r="C277" s="214"/>
      <c r="D277" s="214"/>
      <c r="E277" s="214"/>
      <c r="F277" s="214"/>
      <c r="G277" s="214"/>
      <c r="H277" s="559" t="s">
        <v>1224</v>
      </c>
      <c r="I277" s="559"/>
      <c r="J277" s="559"/>
      <c r="K277" s="223">
        <f>IF(K273&gt;K274,K273-K274,0)</f>
        <v>0</v>
      </c>
      <c r="L277" s="209"/>
    </row>
    <row r="279" spans="2:12" ht="14.25" customHeight="1">
      <c r="B279" s="555" t="s">
        <v>1300</v>
      </c>
      <c r="C279" s="555"/>
      <c r="D279" s="555"/>
      <c r="E279" s="555"/>
      <c r="F279" s="555"/>
      <c r="G279" s="555"/>
      <c r="H279" s="555"/>
      <c r="I279" s="555"/>
      <c r="J279" s="555"/>
      <c r="K279" s="555"/>
      <c r="L279" s="555"/>
    </row>
    <row r="280" spans="2:12">
      <c r="B280" s="187" t="s">
        <v>1209</v>
      </c>
      <c r="C280" s="187"/>
      <c r="D280" s="187" t="s">
        <v>39</v>
      </c>
      <c r="E280" s="187" t="s">
        <v>1210</v>
      </c>
      <c r="F280" s="187" t="s">
        <v>1211</v>
      </c>
      <c r="G280" s="187" t="s">
        <v>1212</v>
      </c>
      <c r="H280" s="187" t="s">
        <v>1213</v>
      </c>
      <c r="I280" s="187" t="s">
        <v>1214</v>
      </c>
      <c r="J280" s="187" t="s">
        <v>1215</v>
      </c>
      <c r="K280" s="187" t="s">
        <v>1216</v>
      </c>
      <c r="L280" s="187" t="s">
        <v>1217</v>
      </c>
    </row>
    <row r="281" spans="2:12">
      <c r="B281" s="188" t="s">
        <v>1301</v>
      </c>
      <c r="C281" s="189" t="s">
        <v>1271</v>
      </c>
      <c r="D281" s="190" t="s">
        <v>1274</v>
      </c>
      <c r="E281" s="191">
        <v>646</v>
      </c>
      <c r="F281" s="243">
        <v>0.154</v>
      </c>
      <c r="G281" s="192"/>
      <c r="H281" s="191">
        <v>1.1000000000000001</v>
      </c>
      <c r="I281" s="191"/>
      <c r="J281" s="216"/>
      <c r="K281" s="217">
        <f>IF(E281*F281*G281&lt;&gt;0,E281*F281*G281,IF(E281*F281&lt;&gt;0,E281*F281,IF(F281*G281&lt;&gt;0,F281*G281,IF(E281*G281&lt;&gt;0,E281*G281,IF(E281&lt;&gt;0,E281,IF(F281&lt;&gt;0,F281,IF(G281&lt;&gt;0,G281,0)))))))*(IF(H281&lt;&gt;0,H281,1))+I281-J281</f>
        <v>109.4324</v>
      </c>
      <c r="L281" s="218"/>
    </row>
    <row r="282" spans="2:12">
      <c r="B282" s="188" t="s">
        <v>1302</v>
      </c>
      <c r="C282" s="189" t="s">
        <v>1271</v>
      </c>
      <c r="D282" s="190" t="s">
        <v>1274</v>
      </c>
      <c r="E282" s="191">
        <v>348</v>
      </c>
      <c r="F282" s="243">
        <v>0.154</v>
      </c>
      <c r="G282" s="192"/>
      <c r="H282" s="191"/>
      <c r="I282" s="191"/>
      <c r="J282" s="216"/>
      <c r="K282" s="217">
        <f>IF(E282*F282*G282&lt;&gt;0,E282*F282*G282,IF(E282*F282&lt;&gt;0,E282*F282,IF(F282*G282&lt;&gt;0,F282*G282,IF(E282*G282&lt;&gt;0,E282*G282,IF(E282&lt;&gt;0,E282,IF(F282&lt;&gt;0,F282,IF(G282&lt;&gt;0,G282,0)))))))*(IF(H282&lt;&gt;0,H282,1))+I282-J282</f>
        <v>53.591999999999999</v>
      </c>
      <c r="L282" s="218"/>
    </row>
    <row r="283" spans="2:12">
      <c r="B283" s="197"/>
      <c r="C283" s="189"/>
      <c r="D283" s="198"/>
      <c r="E283" s="199"/>
      <c r="F283" s="244"/>
      <c r="G283" s="199"/>
      <c r="H283" s="199"/>
      <c r="I283" s="199"/>
      <c r="J283" s="219"/>
      <c r="K283" s="217">
        <f>IF(E283*F283*G283&lt;&gt;0,E283*F283*G283,IF(E283*F283&lt;&gt;0,E283*F283,IF(F283*G283&lt;&gt;0,F283*G283,IF(E283*G283&lt;&gt;0,E283*G283,IF(E283&lt;&gt;0,E283,IF(F283&lt;&gt;0,F283,IF(G283&lt;&gt;0,G283,0)))))))*(IF(H283&lt;&gt;0,H283,1))+I283-J283</f>
        <v>0</v>
      </c>
      <c r="L283" s="218"/>
    </row>
    <row r="284" spans="2:12">
      <c r="B284" s="202"/>
      <c r="C284" s="203"/>
      <c r="D284" s="203"/>
      <c r="E284" s="203"/>
      <c r="F284" s="203"/>
      <c r="G284" s="203"/>
      <c r="H284" s="204"/>
      <c r="I284" s="556" t="s">
        <v>1221</v>
      </c>
      <c r="J284" s="556"/>
      <c r="K284" s="220">
        <f>SUM(K281:K283)</f>
        <v>163.02440000000001</v>
      </c>
      <c r="L284" s="207"/>
    </row>
    <row r="285" spans="2:12">
      <c r="B285" s="208"/>
      <c r="C285" s="204"/>
      <c r="D285" s="204"/>
      <c r="E285" s="204"/>
      <c r="F285" s="204"/>
      <c r="G285" s="204"/>
      <c r="H285" s="209"/>
      <c r="I285" s="557" t="s">
        <v>1222</v>
      </c>
      <c r="J285" s="557"/>
      <c r="K285" s="221">
        <v>185.9</v>
      </c>
      <c r="L285" s="207"/>
    </row>
    <row r="286" spans="2:12">
      <c r="B286" s="208"/>
      <c r="C286" s="204"/>
      <c r="D286" s="204"/>
      <c r="E286" s="204"/>
      <c r="F286" s="204"/>
      <c r="G286" s="204"/>
      <c r="H286" s="558" t="s">
        <v>1223</v>
      </c>
      <c r="I286" s="558"/>
      <c r="J286" s="558"/>
      <c r="K286" s="222">
        <v>0</v>
      </c>
      <c r="L286" s="207"/>
    </row>
    <row r="287" spans="2:12">
      <c r="B287" s="208"/>
      <c r="C287" s="204"/>
      <c r="D287" s="204"/>
      <c r="E287" s="204"/>
      <c r="F287" s="204"/>
      <c r="G287" s="204"/>
      <c r="H287" s="558" t="s">
        <v>1201</v>
      </c>
      <c r="I287" s="558"/>
      <c r="J287" s="558"/>
      <c r="K287" s="222">
        <f>IF(K284&gt;K285,K285,K284)-K286</f>
        <v>163.02440000000001</v>
      </c>
      <c r="L287" s="207"/>
    </row>
    <row r="288" spans="2:12">
      <c r="B288" s="213"/>
      <c r="C288" s="214"/>
      <c r="D288" s="214"/>
      <c r="E288" s="214"/>
      <c r="F288" s="214"/>
      <c r="G288" s="214"/>
      <c r="H288" s="559" t="s">
        <v>1224</v>
      </c>
      <c r="I288" s="559"/>
      <c r="J288" s="559"/>
      <c r="K288" s="223">
        <f>IF(K284&gt;K285,K284-K285,0)</f>
        <v>0</v>
      </c>
      <c r="L288" s="209"/>
    </row>
    <row r="290" spans="2:12" ht="14.25" customHeight="1">
      <c r="B290" s="555" t="s">
        <v>1303</v>
      </c>
      <c r="C290" s="555"/>
      <c r="D290" s="555"/>
      <c r="E290" s="555"/>
      <c r="F290" s="555"/>
      <c r="G290" s="555"/>
      <c r="H290" s="555"/>
      <c r="I290" s="555"/>
      <c r="J290" s="555"/>
      <c r="K290" s="555"/>
      <c r="L290" s="555"/>
    </row>
    <row r="291" spans="2:12">
      <c r="B291" s="187" t="s">
        <v>1209</v>
      </c>
      <c r="C291" s="187"/>
      <c r="D291" s="187" t="s">
        <v>39</v>
      </c>
      <c r="E291" s="187" t="s">
        <v>1210</v>
      </c>
      <c r="F291" s="187" t="s">
        <v>1211</v>
      </c>
      <c r="G291" s="187" t="s">
        <v>1212</v>
      </c>
      <c r="H291" s="187" t="s">
        <v>1213</v>
      </c>
      <c r="I291" s="187" t="s">
        <v>1214</v>
      </c>
      <c r="J291" s="187" t="s">
        <v>1215</v>
      </c>
      <c r="K291" s="187" t="s">
        <v>1216</v>
      </c>
      <c r="L291" s="187" t="s">
        <v>1217</v>
      </c>
    </row>
    <row r="292" spans="2:12">
      <c r="B292" s="188" t="s">
        <v>1301</v>
      </c>
      <c r="C292" s="189" t="s">
        <v>1271</v>
      </c>
      <c r="D292" s="190" t="s">
        <v>1274</v>
      </c>
      <c r="E292" s="191">
        <v>257</v>
      </c>
      <c r="F292" s="243">
        <v>0.245</v>
      </c>
      <c r="G292" s="192"/>
      <c r="H292" s="191">
        <v>1.1000000000000001</v>
      </c>
      <c r="I292" s="191"/>
      <c r="J292" s="216"/>
      <c r="K292" s="217">
        <f>IF(E292*F292*G292&lt;&gt;0,E292*F292*G292,IF(E292*F292&lt;&gt;0,E292*F292,IF(F292*G292&lt;&gt;0,F292*G292,IF(E292*G292&lt;&gt;0,E292*G292,IF(E292&lt;&gt;0,E292,IF(F292&lt;&gt;0,F292,IF(G292&lt;&gt;0,G292,0)))))))*(IF(H292&lt;&gt;0,H292,1))+I292-J292</f>
        <v>69.261499999999998</v>
      </c>
      <c r="L292" s="218"/>
    </row>
    <row r="293" spans="2:12">
      <c r="B293" s="188" t="s">
        <v>1302</v>
      </c>
      <c r="C293" s="189" t="s">
        <v>1271</v>
      </c>
      <c r="D293" s="190" t="s">
        <v>1274</v>
      </c>
      <c r="E293" s="191">
        <v>642</v>
      </c>
      <c r="F293" s="243">
        <v>0.245</v>
      </c>
      <c r="G293" s="192"/>
      <c r="H293" s="191">
        <v>1.1000000000000001</v>
      </c>
      <c r="I293" s="191"/>
      <c r="J293" s="216"/>
      <c r="K293" s="217">
        <f>IF(E293*F293*G293&lt;&gt;0,E293*F293*G293,IF(E293*F293&lt;&gt;0,E293*F293,IF(F293*G293&lt;&gt;0,F293*G293,IF(E293*G293&lt;&gt;0,E293*G293,IF(E293&lt;&gt;0,E293,IF(F293&lt;&gt;0,F293,IF(G293&lt;&gt;0,G293,0)))))))*(IF(H293&lt;&gt;0,H293,1))+I293-J293</f>
        <v>173.01900000000001</v>
      </c>
      <c r="L293" s="218"/>
    </row>
    <row r="294" spans="2:12">
      <c r="B294" s="197"/>
      <c r="C294" s="189"/>
      <c r="D294" s="198"/>
      <c r="E294" s="199"/>
      <c r="F294" s="244"/>
      <c r="G294" s="199"/>
      <c r="H294" s="199"/>
      <c r="I294" s="199"/>
      <c r="J294" s="219"/>
      <c r="K294" s="217">
        <f>IF(E294*F294*G294&lt;&gt;0,E294*F294*G294,IF(E294*F294&lt;&gt;0,E294*F294,IF(F294*G294&lt;&gt;0,F294*G294,IF(E294*G294&lt;&gt;0,E294*G294,IF(E294&lt;&gt;0,E294,IF(F294&lt;&gt;0,F294,IF(G294&lt;&gt;0,G294,0)))))))*(IF(H294&lt;&gt;0,H294,1))+I294-J294</f>
        <v>0</v>
      </c>
      <c r="L294" s="218"/>
    </row>
    <row r="295" spans="2:12">
      <c r="B295" s="202"/>
      <c r="C295" s="203"/>
      <c r="D295" s="203"/>
      <c r="E295" s="203"/>
      <c r="F295" s="203"/>
      <c r="G295" s="203"/>
      <c r="H295" s="204"/>
      <c r="I295" s="556" t="s">
        <v>1221</v>
      </c>
      <c r="J295" s="556"/>
      <c r="K295" s="220">
        <f>SUM(K292:K294)</f>
        <v>242.28050000000002</v>
      </c>
      <c r="L295" s="207"/>
    </row>
    <row r="296" spans="2:12">
      <c r="B296" s="208"/>
      <c r="C296" s="204"/>
      <c r="D296" s="204"/>
      <c r="E296" s="204"/>
      <c r="F296" s="204"/>
      <c r="G296" s="204"/>
      <c r="H296" s="209"/>
      <c r="I296" s="557" t="s">
        <v>1222</v>
      </c>
      <c r="J296" s="557"/>
      <c r="K296" s="221">
        <v>199.1</v>
      </c>
      <c r="L296" s="207"/>
    </row>
    <row r="297" spans="2:12">
      <c r="B297" s="208"/>
      <c r="C297" s="204"/>
      <c r="D297" s="204"/>
      <c r="E297" s="204"/>
      <c r="F297" s="204"/>
      <c r="G297" s="204"/>
      <c r="H297" s="558" t="s">
        <v>1223</v>
      </c>
      <c r="I297" s="558"/>
      <c r="J297" s="558"/>
      <c r="K297" s="222">
        <v>0</v>
      </c>
      <c r="L297" s="207"/>
    </row>
    <row r="298" spans="2:12">
      <c r="B298" s="208"/>
      <c r="C298" s="204"/>
      <c r="D298" s="204"/>
      <c r="E298" s="204"/>
      <c r="F298" s="204"/>
      <c r="G298" s="204"/>
      <c r="H298" s="558" t="s">
        <v>1201</v>
      </c>
      <c r="I298" s="558"/>
      <c r="J298" s="558"/>
      <c r="K298" s="222">
        <f>IF(K295&gt;K296,K296,K295)-K297</f>
        <v>199.1</v>
      </c>
      <c r="L298" s="207"/>
    </row>
    <row r="299" spans="2:12">
      <c r="B299" s="213"/>
      <c r="C299" s="214"/>
      <c r="D299" s="214"/>
      <c r="E299" s="214"/>
      <c r="F299" s="214"/>
      <c r="G299" s="214"/>
      <c r="H299" s="559" t="s">
        <v>1224</v>
      </c>
      <c r="I299" s="559"/>
      <c r="J299" s="559"/>
      <c r="K299" s="223">
        <f>IF(K295&gt;K296,K295-K296,0)</f>
        <v>43.180500000000023</v>
      </c>
      <c r="L299" s="209"/>
    </row>
    <row r="301" spans="2:12" ht="14.25" customHeight="1">
      <c r="B301" s="555" t="s">
        <v>1304</v>
      </c>
      <c r="C301" s="555"/>
      <c r="D301" s="555"/>
      <c r="E301" s="555"/>
      <c r="F301" s="555"/>
      <c r="G301" s="555"/>
      <c r="H301" s="555"/>
      <c r="I301" s="555"/>
      <c r="J301" s="555"/>
      <c r="K301" s="555"/>
      <c r="L301" s="555"/>
    </row>
    <row r="302" spans="2:12">
      <c r="B302" s="187" t="s">
        <v>1209</v>
      </c>
      <c r="C302" s="187"/>
      <c r="D302" s="187" t="s">
        <v>39</v>
      </c>
      <c r="E302" s="187" t="s">
        <v>1210</v>
      </c>
      <c r="F302" s="187" t="s">
        <v>1211</v>
      </c>
      <c r="G302" s="187" t="s">
        <v>1212</v>
      </c>
      <c r="H302" s="187" t="s">
        <v>1213</v>
      </c>
      <c r="I302" s="187" t="s">
        <v>1214</v>
      </c>
      <c r="J302" s="187" t="s">
        <v>1215</v>
      </c>
      <c r="K302" s="187" t="s">
        <v>1216</v>
      </c>
      <c r="L302" s="187" t="s">
        <v>1217</v>
      </c>
    </row>
    <row r="303" spans="2:12">
      <c r="B303" s="188" t="s">
        <v>1301</v>
      </c>
      <c r="C303" s="189" t="s">
        <v>1271</v>
      </c>
      <c r="D303" s="190" t="s">
        <v>1274</v>
      </c>
      <c r="E303" s="191">
        <v>566</v>
      </c>
      <c r="F303" s="243">
        <v>0.39500000000000002</v>
      </c>
      <c r="G303" s="192"/>
      <c r="H303" s="191">
        <v>1.1000000000000001</v>
      </c>
      <c r="I303" s="191"/>
      <c r="J303" s="216"/>
      <c r="K303" s="217">
        <f>IF(E303*F303*G303&lt;&gt;0,E303*F303*G303,IF(E303*F303&lt;&gt;0,E303*F303,IF(F303*G303&lt;&gt;0,F303*G303,IF(E303*G303&lt;&gt;0,E303*G303,IF(E303&lt;&gt;0,E303,IF(F303&lt;&gt;0,F303,IF(G303&lt;&gt;0,G303,0)))))))*(IF(H303&lt;&gt;0,H303,1))+I303-J303</f>
        <v>245.92700000000005</v>
      </c>
      <c r="L303" s="218"/>
    </row>
    <row r="304" spans="2:12">
      <c r="B304" s="188" t="s">
        <v>1302</v>
      </c>
      <c r="C304" s="189" t="s">
        <v>1271</v>
      </c>
      <c r="D304" s="190" t="s">
        <v>1274</v>
      </c>
      <c r="E304" s="191">
        <v>641</v>
      </c>
      <c r="F304" s="243">
        <v>0.39500000000000002</v>
      </c>
      <c r="G304" s="192"/>
      <c r="H304" s="191"/>
      <c r="I304" s="191"/>
      <c r="J304" s="216"/>
      <c r="K304" s="217">
        <f>IF(E304*F304*G304&lt;&gt;0,E304*F304*G304,IF(E304*F304&lt;&gt;0,E304*F304,IF(F304*G304&lt;&gt;0,F304*G304,IF(E304*G304&lt;&gt;0,E304*G304,IF(E304&lt;&gt;0,E304,IF(F304&lt;&gt;0,F304,IF(G304&lt;&gt;0,G304,0)))))))*(IF(H304&lt;&gt;0,H304,1))+I304-J304</f>
        <v>253.19500000000002</v>
      </c>
      <c r="L304" s="218"/>
    </row>
    <row r="305" spans="2:12">
      <c r="B305" s="197"/>
      <c r="C305" s="189"/>
      <c r="D305" s="198"/>
      <c r="E305" s="199"/>
      <c r="F305" s="244"/>
      <c r="G305" s="199"/>
      <c r="H305" s="199"/>
      <c r="I305" s="199"/>
      <c r="J305" s="219"/>
      <c r="K305" s="217">
        <f>IF(E305*F305*G305&lt;&gt;0,E305*F305*G305,IF(E305*F305&lt;&gt;0,E305*F305,IF(F305*G305&lt;&gt;0,F305*G305,IF(E305*G305&lt;&gt;0,E305*G305,IF(E305&lt;&gt;0,E305,IF(F305&lt;&gt;0,F305,IF(G305&lt;&gt;0,G305,0)))))))*(IF(H305&lt;&gt;0,H305,1))+I305-J305</f>
        <v>0</v>
      </c>
      <c r="L305" s="218"/>
    </row>
    <row r="306" spans="2:12">
      <c r="B306" s="202"/>
      <c r="C306" s="203"/>
      <c r="D306" s="203"/>
      <c r="E306" s="203"/>
      <c r="F306" s="203"/>
      <c r="G306" s="203"/>
      <c r="H306" s="204"/>
      <c r="I306" s="556" t="s">
        <v>1221</v>
      </c>
      <c r="J306" s="556"/>
      <c r="K306" s="220">
        <f>SUM(K303:K305)</f>
        <v>499.12200000000007</v>
      </c>
      <c r="L306" s="207"/>
    </row>
    <row r="307" spans="2:12">
      <c r="B307" s="208"/>
      <c r="C307" s="204"/>
      <c r="D307" s="204"/>
      <c r="E307" s="204"/>
      <c r="F307" s="204"/>
      <c r="G307" s="204"/>
      <c r="H307" s="209"/>
      <c r="I307" s="557" t="s">
        <v>1222</v>
      </c>
      <c r="J307" s="557"/>
      <c r="K307" s="221">
        <v>378.4</v>
      </c>
      <c r="L307" s="207"/>
    </row>
    <row r="308" spans="2:12">
      <c r="B308" s="208"/>
      <c r="C308" s="204"/>
      <c r="D308" s="204"/>
      <c r="E308" s="204"/>
      <c r="F308" s="204"/>
      <c r="G308" s="204"/>
      <c r="H308" s="558" t="s">
        <v>1223</v>
      </c>
      <c r="I308" s="558"/>
      <c r="J308" s="558"/>
      <c r="K308" s="222">
        <v>0</v>
      </c>
      <c r="L308" s="207"/>
    </row>
    <row r="309" spans="2:12">
      <c r="B309" s="208"/>
      <c r="C309" s="204"/>
      <c r="D309" s="204"/>
      <c r="E309" s="204"/>
      <c r="F309" s="204"/>
      <c r="G309" s="204"/>
      <c r="H309" s="558" t="s">
        <v>1201</v>
      </c>
      <c r="I309" s="558"/>
      <c r="J309" s="558"/>
      <c r="K309" s="222">
        <f>IF(K306&gt;K307,K307,K306)-K308</f>
        <v>378.4</v>
      </c>
      <c r="L309" s="207"/>
    </row>
    <row r="310" spans="2:12">
      <c r="B310" s="213"/>
      <c r="C310" s="214"/>
      <c r="D310" s="214"/>
      <c r="E310" s="214"/>
      <c r="F310" s="214"/>
      <c r="G310" s="214"/>
      <c r="H310" s="559" t="s">
        <v>1224</v>
      </c>
      <c r="I310" s="559"/>
      <c r="J310" s="559"/>
      <c r="K310" s="223">
        <f>IF(K306&gt;K307,K306-K307,0)</f>
        <v>120.72200000000009</v>
      </c>
      <c r="L310" s="209"/>
    </row>
    <row r="312" spans="2:12" ht="14.25" customHeight="1">
      <c r="B312" s="555" t="s">
        <v>1305</v>
      </c>
      <c r="C312" s="555"/>
      <c r="D312" s="555"/>
      <c r="E312" s="555"/>
      <c r="F312" s="555"/>
      <c r="G312" s="555"/>
      <c r="H312" s="555"/>
      <c r="I312" s="555"/>
      <c r="J312" s="555"/>
      <c r="K312" s="555"/>
      <c r="L312" s="555"/>
    </row>
    <row r="313" spans="2:12">
      <c r="B313" s="187" t="s">
        <v>1209</v>
      </c>
      <c r="C313" s="187"/>
      <c r="D313" s="187" t="s">
        <v>39</v>
      </c>
      <c r="E313" s="187" t="s">
        <v>1210</v>
      </c>
      <c r="F313" s="187" t="s">
        <v>1211</v>
      </c>
      <c r="G313" s="187" t="s">
        <v>1212</v>
      </c>
      <c r="H313" s="187" t="s">
        <v>1213</v>
      </c>
      <c r="I313" s="187" t="s">
        <v>1214</v>
      </c>
      <c r="J313" s="187" t="s">
        <v>1215</v>
      </c>
      <c r="K313" s="187" t="s">
        <v>1216</v>
      </c>
      <c r="L313" s="187" t="s">
        <v>1217</v>
      </c>
    </row>
    <row r="314" spans="2:12">
      <c r="B314" s="188" t="s">
        <v>1301</v>
      </c>
      <c r="C314" s="189" t="s">
        <v>1271</v>
      </c>
      <c r="D314" s="190" t="s">
        <v>1274</v>
      </c>
      <c r="E314" s="191">
        <v>522</v>
      </c>
      <c r="F314" s="243">
        <v>0.61699999999999999</v>
      </c>
      <c r="G314" s="192"/>
      <c r="H314" s="191">
        <v>1.1000000000000001</v>
      </c>
      <c r="I314" s="191"/>
      <c r="J314" s="216"/>
      <c r="K314" s="217">
        <f>IF(E314*F314*G314&lt;&gt;0,E314*F314*G314,IF(E314*F314&lt;&gt;0,E314*F314,IF(F314*G314&lt;&gt;0,F314*G314,IF(E314*G314&lt;&gt;0,E314*G314,IF(E314&lt;&gt;0,E314,IF(F314&lt;&gt;0,F314,IF(G314&lt;&gt;0,G314,0)))))))*(IF(H314&lt;&gt;0,H314,1))+I314-J314</f>
        <v>354.28140000000002</v>
      </c>
      <c r="L314" s="218"/>
    </row>
    <row r="315" spans="2:12">
      <c r="B315" s="188" t="s">
        <v>1302</v>
      </c>
      <c r="C315" s="189" t="s">
        <v>1271</v>
      </c>
      <c r="D315" s="190" t="s">
        <v>1274</v>
      </c>
      <c r="E315" s="191">
        <v>150</v>
      </c>
      <c r="F315" s="243">
        <v>0.61699999999999999</v>
      </c>
      <c r="G315" s="192"/>
      <c r="H315" s="191">
        <v>1.1000000000000001</v>
      </c>
      <c r="I315" s="191"/>
      <c r="J315" s="216"/>
      <c r="K315" s="217"/>
      <c r="L315" s="218"/>
    </row>
    <row r="316" spans="2:12">
      <c r="B316" s="197"/>
      <c r="C316" s="189"/>
      <c r="D316" s="198"/>
      <c r="E316" s="199"/>
      <c r="F316" s="244"/>
      <c r="G316" s="199"/>
      <c r="H316" s="199"/>
      <c r="I316" s="199"/>
      <c r="J316" s="219"/>
      <c r="K316" s="217">
        <f>IF(E316*F316*G316&lt;&gt;0,E316*F316*G316,IF(E316*F316&lt;&gt;0,E316*F316,IF(F316*G316&lt;&gt;0,F316*G316,IF(E316*G316&lt;&gt;0,E316*G316,IF(E316&lt;&gt;0,E316,IF(F316&lt;&gt;0,F316,IF(G316&lt;&gt;0,G316,0)))))))*(IF(H316&lt;&gt;0,H316,1))+I316-J316</f>
        <v>0</v>
      </c>
      <c r="L316" s="218"/>
    </row>
    <row r="317" spans="2:12">
      <c r="B317" s="202"/>
      <c r="C317" s="203"/>
      <c r="D317" s="203"/>
      <c r="E317" s="203"/>
      <c r="F317" s="203"/>
      <c r="G317" s="203"/>
      <c r="H317" s="204"/>
      <c r="I317" s="556" t="s">
        <v>1221</v>
      </c>
      <c r="J317" s="556"/>
      <c r="K317" s="220">
        <f>SUM(K314:K316)</f>
        <v>354.28140000000002</v>
      </c>
      <c r="L317" s="207"/>
    </row>
    <row r="318" spans="2:12">
      <c r="B318" s="208"/>
      <c r="C318" s="204"/>
      <c r="D318" s="204"/>
      <c r="E318" s="204"/>
      <c r="F318" s="204"/>
      <c r="G318" s="204"/>
      <c r="H318" s="209"/>
      <c r="I318" s="557" t="s">
        <v>1222</v>
      </c>
      <c r="J318" s="557"/>
      <c r="K318" s="221">
        <v>445.5</v>
      </c>
      <c r="L318" s="207"/>
    </row>
    <row r="319" spans="2:12">
      <c r="B319" s="208"/>
      <c r="C319" s="204"/>
      <c r="D319" s="204"/>
      <c r="E319" s="204"/>
      <c r="F319" s="204"/>
      <c r="G319" s="204"/>
      <c r="H319" s="558" t="s">
        <v>1223</v>
      </c>
      <c r="I319" s="558"/>
      <c r="J319" s="558"/>
      <c r="K319" s="222">
        <v>0</v>
      </c>
      <c r="L319" s="207"/>
    </row>
    <row r="320" spans="2:12">
      <c r="B320" s="208"/>
      <c r="C320" s="204"/>
      <c r="D320" s="204"/>
      <c r="E320" s="204"/>
      <c r="F320" s="204"/>
      <c r="G320" s="204"/>
      <c r="H320" s="558" t="s">
        <v>1201</v>
      </c>
      <c r="I320" s="558"/>
      <c r="J320" s="558"/>
      <c r="K320" s="222">
        <f>IF(K317&gt;K318,K318,K317)-K319</f>
        <v>354.28140000000002</v>
      </c>
      <c r="L320" s="207"/>
    </row>
    <row r="321" spans="2:12">
      <c r="B321" s="213"/>
      <c r="C321" s="214"/>
      <c r="D321" s="214"/>
      <c r="E321" s="214"/>
      <c r="F321" s="214"/>
      <c r="G321" s="214"/>
      <c r="H321" s="559" t="s">
        <v>1224</v>
      </c>
      <c r="I321" s="559"/>
      <c r="J321" s="559"/>
      <c r="K321" s="223">
        <f>IF(K317&gt;K318,K317-K318,0)</f>
        <v>0</v>
      </c>
      <c r="L321" s="209"/>
    </row>
    <row r="323" spans="2:12" ht="14.25" customHeight="1">
      <c r="B323" s="555" t="s">
        <v>1306</v>
      </c>
      <c r="C323" s="555"/>
      <c r="D323" s="555"/>
      <c r="E323" s="555"/>
      <c r="F323" s="555"/>
      <c r="G323" s="555"/>
      <c r="H323" s="555"/>
      <c r="I323" s="555"/>
      <c r="J323" s="555"/>
      <c r="K323" s="555"/>
      <c r="L323" s="555"/>
    </row>
    <row r="324" spans="2:12">
      <c r="B324" s="187" t="s">
        <v>1209</v>
      </c>
      <c r="C324" s="187"/>
      <c r="D324" s="187" t="s">
        <v>39</v>
      </c>
      <c r="E324" s="187" t="s">
        <v>1210</v>
      </c>
      <c r="F324" s="187" t="s">
        <v>1211</v>
      </c>
      <c r="G324" s="187" t="s">
        <v>1212</v>
      </c>
      <c r="H324" s="187" t="s">
        <v>1213</v>
      </c>
      <c r="I324" s="187" t="s">
        <v>1214</v>
      </c>
      <c r="J324" s="187" t="s">
        <v>1215</v>
      </c>
      <c r="K324" s="187" t="s">
        <v>1216</v>
      </c>
      <c r="L324" s="187" t="s">
        <v>1217</v>
      </c>
    </row>
    <row r="325" spans="2:12">
      <c r="B325" s="188" t="s">
        <v>1301</v>
      </c>
      <c r="C325" s="189" t="s">
        <v>1271</v>
      </c>
      <c r="D325" s="190" t="s">
        <v>1274</v>
      </c>
      <c r="E325" s="191"/>
      <c r="F325" s="243"/>
      <c r="G325" s="192"/>
      <c r="H325" s="191"/>
      <c r="I325" s="191"/>
      <c r="J325" s="216"/>
      <c r="K325" s="217">
        <f>IF(E325*F325*G325&lt;&gt;0,E325*F325*G325,IF(E325*F325&lt;&gt;0,E325*F325,IF(F325*G325&lt;&gt;0,F325*G325,IF(E325*G325&lt;&gt;0,E325*G325,IF(E325&lt;&gt;0,E325,IF(F325&lt;&gt;0,F325,IF(G325&lt;&gt;0,G325,0)))))))*(IF(H325&lt;&gt;0,H325,1))+I325-J325</f>
        <v>0</v>
      </c>
      <c r="L325" s="218"/>
    </row>
    <row r="326" spans="2:12">
      <c r="B326" s="188" t="s">
        <v>1302</v>
      </c>
      <c r="C326" s="189" t="s">
        <v>1271</v>
      </c>
      <c r="D326" s="190" t="s">
        <v>1274</v>
      </c>
      <c r="E326" s="191">
        <v>287</v>
      </c>
      <c r="F326" s="243">
        <v>0.96299999999999997</v>
      </c>
      <c r="G326" s="192"/>
      <c r="H326" s="191">
        <v>1.1000000000000001</v>
      </c>
      <c r="I326" s="191"/>
      <c r="J326" s="216"/>
      <c r="K326" s="217">
        <f>IF(E326*F326*G326&lt;&gt;0,E326*F326*G326,IF(E326*F326&lt;&gt;0,E326*F326,IF(F326*G326&lt;&gt;0,F326*G326,IF(E326*G326&lt;&gt;0,E326*G326,IF(E326&lt;&gt;0,E326,IF(F326&lt;&gt;0,F326,IF(G326&lt;&gt;0,G326,0)))))))*(IF(H326&lt;&gt;0,H326,1))+I326-J326</f>
        <v>304.01909999999998</v>
      </c>
      <c r="L326" s="218"/>
    </row>
    <row r="327" spans="2:12">
      <c r="B327" s="197"/>
      <c r="C327" s="189"/>
      <c r="D327" s="198"/>
      <c r="E327" s="199"/>
      <c r="F327" s="244"/>
      <c r="G327" s="199"/>
      <c r="H327" s="199"/>
      <c r="I327" s="199"/>
      <c r="J327" s="219"/>
      <c r="K327" s="217">
        <f>IF(E327*F327*G327&lt;&gt;0,E327*F327*G327,IF(E327*F327&lt;&gt;0,E327*F327,IF(F327*G327&lt;&gt;0,F327*G327,IF(E327*G327&lt;&gt;0,E327*G327,IF(E327&lt;&gt;0,E327,IF(F327&lt;&gt;0,F327,IF(G327&lt;&gt;0,G327,0)))))))*(IF(H327&lt;&gt;0,H327,1))+I327-J327</f>
        <v>0</v>
      </c>
      <c r="L327" s="218"/>
    </row>
    <row r="328" spans="2:12">
      <c r="B328" s="202"/>
      <c r="C328" s="203"/>
      <c r="D328" s="203"/>
      <c r="E328" s="203"/>
      <c r="F328" s="203"/>
      <c r="G328" s="203"/>
      <c r="H328" s="204"/>
      <c r="I328" s="556" t="s">
        <v>1221</v>
      </c>
      <c r="J328" s="556"/>
      <c r="K328" s="220">
        <f>SUM(K325:K327)</f>
        <v>304.01909999999998</v>
      </c>
      <c r="L328" s="207"/>
    </row>
    <row r="329" spans="2:12">
      <c r="B329" s="208"/>
      <c r="C329" s="204"/>
      <c r="D329" s="204"/>
      <c r="E329" s="204"/>
      <c r="F329" s="204"/>
      <c r="G329" s="204"/>
      <c r="H329" s="209"/>
      <c r="I329" s="557" t="s">
        <v>1222</v>
      </c>
      <c r="J329" s="557"/>
      <c r="K329" s="221">
        <v>177.1</v>
      </c>
      <c r="L329" s="207"/>
    </row>
    <row r="330" spans="2:12">
      <c r="B330" s="208"/>
      <c r="C330" s="204"/>
      <c r="D330" s="204"/>
      <c r="E330" s="204"/>
      <c r="F330" s="204"/>
      <c r="G330" s="204"/>
      <c r="H330" s="558" t="s">
        <v>1223</v>
      </c>
      <c r="I330" s="558"/>
      <c r="J330" s="558"/>
      <c r="K330" s="222">
        <v>0</v>
      </c>
      <c r="L330" s="207"/>
    </row>
    <row r="331" spans="2:12">
      <c r="B331" s="208"/>
      <c r="C331" s="204"/>
      <c r="D331" s="204"/>
      <c r="E331" s="204"/>
      <c r="F331" s="204"/>
      <c r="G331" s="204"/>
      <c r="H331" s="558" t="s">
        <v>1201</v>
      </c>
      <c r="I331" s="558"/>
      <c r="J331" s="558"/>
      <c r="K331" s="222">
        <f>IF(K328&gt;K329,K329,K328)-K330</f>
        <v>177.1</v>
      </c>
      <c r="L331" s="207"/>
    </row>
    <row r="332" spans="2:12">
      <c r="B332" s="213"/>
      <c r="C332" s="214"/>
      <c r="D332" s="214"/>
      <c r="E332" s="214"/>
      <c r="F332" s="214"/>
      <c r="G332" s="214"/>
      <c r="H332" s="559" t="s">
        <v>1224</v>
      </c>
      <c r="I332" s="559"/>
      <c r="J332" s="559"/>
      <c r="K332" s="223">
        <f>IF(K328&gt;K329,K328-K329,0)</f>
        <v>126.91909999999999</v>
      </c>
      <c r="L332" s="209"/>
    </row>
    <row r="334" spans="2:12" ht="14.25" customHeight="1">
      <c r="B334" s="555" t="s">
        <v>1307</v>
      </c>
      <c r="C334" s="555"/>
      <c r="D334" s="555"/>
      <c r="E334" s="555"/>
      <c r="F334" s="555"/>
      <c r="G334" s="555"/>
      <c r="H334" s="555"/>
      <c r="I334" s="555"/>
      <c r="J334" s="555"/>
      <c r="K334" s="555"/>
      <c r="L334" s="555"/>
    </row>
    <row r="335" spans="2:12">
      <c r="B335" s="187" t="s">
        <v>1209</v>
      </c>
      <c r="C335" s="187"/>
      <c r="D335" s="187" t="s">
        <v>39</v>
      </c>
      <c r="E335" s="187" t="s">
        <v>1210</v>
      </c>
      <c r="F335" s="187" t="s">
        <v>1211</v>
      </c>
      <c r="G335" s="187" t="s">
        <v>1212</v>
      </c>
      <c r="H335" s="187" t="s">
        <v>1213</v>
      </c>
      <c r="I335" s="187" t="s">
        <v>1214</v>
      </c>
      <c r="J335" s="187" t="s">
        <v>1215</v>
      </c>
      <c r="K335" s="187" t="s">
        <v>1216</v>
      </c>
      <c r="L335" s="187" t="s">
        <v>1217</v>
      </c>
    </row>
    <row r="336" spans="2:12">
      <c r="B336" s="188" t="s">
        <v>1301</v>
      </c>
      <c r="C336" s="189" t="s">
        <v>1271</v>
      </c>
      <c r="D336" s="190" t="s">
        <v>1274</v>
      </c>
      <c r="E336" s="191"/>
      <c r="F336" s="243"/>
      <c r="G336" s="192"/>
      <c r="H336" s="191"/>
      <c r="I336" s="191"/>
      <c r="J336" s="216"/>
      <c r="K336" s="217">
        <f>IF(E336*F336*G336&lt;&gt;0,E336*F336*G336,IF(E336*F336&lt;&gt;0,E336*F336,IF(F336*G336&lt;&gt;0,F336*G336,IF(E336*G336&lt;&gt;0,E336*G336,IF(E336&lt;&gt;0,E336,IF(F336&lt;&gt;0,F336,IF(G336&lt;&gt;0,G336,0)))))))*(IF(H336&lt;&gt;0,H336,1))+I336-J336</f>
        <v>0</v>
      </c>
      <c r="L336" s="218"/>
    </row>
    <row r="337" spans="2:12">
      <c r="B337" s="188" t="s">
        <v>1302</v>
      </c>
      <c r="C337" s="189" t="s">
        <v>1271</v>
      </c>
      <c r="D337" s="190" t="s">
        <v>1274</v>
      </c>
      <c r="E337" s="191">
        <v>35.5</v>
      </c>
      <c r="F337" s="243">
        <v>1.5780000000000001</v>
      </c>
      <c r="G337" s="192"/>
      <c r="H337" s="191">
        <v>1.1000000000000001</v>
      </c>
      <c r="I337" s="191"/>
      <c r="J337" s="216"/>
      <c r="K337" s="217">
        <f>IF(E337*F337*G337&lt;&gt;0,E337*F337*G337,IF(E337*F337&lt;&gt;0,E337*F337,IF(F337*G337&lt;&gt;0,F337*G337,IF(E337*G337&lt;&gt;0,E337*G337,IF(E337&lt;&gt;0,E337,IF(F337&lt;&gt;0,F337,IF(G337&lt;&gt;0,G337,0)))))))*(IF(H337&lt;&gt;0,H337,1))+I337-J337</f>
        <v>61.620900000000013</v>
      </c>
      <c r="L337" s="218"/>
    </row>
    <row r="338" spans="2:12">
      <c r="B338" s="197"/>
      <c r="C338" s="189"/>
      <c r="D338" s="198"/>
      <c r="E338" s="199"/>
      <c r="F338" s="244"/>
      <c r="G338" s="199"/>
      <c r="H338" s="199"/>
      <c r="I338" s="199"/>
      <c r="J338" s="219"/>
      <c r="K338" s="217">
        <f>IF(E338*F338*G338&lt;&gt;0,E338*F338*G338,IF(E338*F338&lt;&gt;0,E338*F338,IF(F338*G338&lt;&gt;0,F338*G338,IF(E338*G338&lt;&gt;0,E338*G338,IF(E338&lt;&gt;0,E338,IF(F338&lt;&gt;0,F338,IF(G338&lt;&gt;0,G338,0)))))))*(IF(H338&lt;&gt;0,H338,1))+I338-J338</f>
        <v>0</v>
      </c>
      <c r="L338" s="218"/>
    </row>
    <row r="339" spans="2:12">
      <c r="B339" s="202"/>
      <c r="C339" s="203"/>
      <c r="D339" s="203"/>
      <c r="E339" s="203"/>
      <c r="F339" s="203"/>
      <c r="G339" s="203"/>
      <c r="H339" s="204"/>
      <c r="I339" s="556" t="s">
        <v>1221</v>
      </c>
      <c r="J339" s="556"/>
      <c r="K339" s="220">
        <f>SUM(K336:K338)</f>
        <v>61.620900000000013</v>
      </c>
      <c r="L339" s="207"/>
    </row>
    <row r="340" spans="2:12">
      <c r="B340" s="208"/>
      <c r="C340" s="204"/>
      <c r="D340" s="204"/>
      <c r="E340" s="204"/>
      <c r="F340" s="204"/>
      <c r="G340" s="204"/>
      <c r="H340" s="209"/>
      <c r="I340" s="557" t="s">
        <v>1222</v>
      </c>
      <c r="J340" s="557"/>
      <c r="K340" s="221">
        <v>61.6</v>
      </c>
      <c r="L340" s="207"/>
    </row>
    <row r="341" spans="2:12">
      <c r="B341" s="208"/>
      <c r="C341" s="204"/>
      <c r="D341" s="204"/>
      <c r="E341" s="204"/>
      <c r="F341" s="204"/>
      <c r="G341" s="204"/>
      <c r="H341" s="558" t="s">
        <v>1223</v>
      </c>
      <c r="I341" s="558"/>
      <c r="J341" s="558"/>
      <c r="K341" s="222">
        <v>0</v>
      </c>
      <c r="L341" s="207"/>
    </row>
    <row r="342" spans="2:12">
      <c r="B342" s="208"/>
      <c r="C342" s="204"/>
      <c r="D342" s="204"/>
      <c r="E342" s="204"/>
      <c r="F342" s="204"/>
      <c r="G342" s="204"/>
      <c r="H342" s="558" t="s">
        <v>1201</v>
      </c>
      <c r="I342" s="558"/>
      <c r="J342" s="558"/>
      <c r="K342" s="222">
        <f>IF(K339&gt;K340,K340,K339)-K341</f>
        <v>61.6</v>
      </c>
      <c r="L342" s="207"/>
    </row>
    <row r="343" spans="2:12">
      <c r="B343" s="213"/>
      <c r="C343" s="214"/>
      <c r="D343" s="214"/>
      <c r="E343" s="214"/>
      <c r="F343" s="214"/>
      <c r="G343" s="214"/>
      <c r="H343" s="559" t="s">
        <v>1224</v>
      </c>
      <c r="I343" s="559"/>
      <c r="J343" s="559"/>
      <c r="K343" s="223">
        <f>IF(K339&gt;K340,K339-K340,0)</f>
        <v>2.0900000000011687E-2</v>
      </c>
      <c r="L343" s="209"/>
    </row>
    <row r="345" spans="2:12" ht="14.25" customHeight="1">
      <c r="B345" s="555" t="s">
        <v>1308</v>
      </c>
      <c r="C345" s="555"/>
      <c r="D345" s="555"/>
      <c r="E345" s="555"/>
      <c r="F345" s="555"/>
      <c r="G345" s="555"/>
      <c r="H345" s="555"/>
      <c r="I345" s="555"/>
      <c r="J345" s="555"/>
      <c r="K345" s="555"/>
      <c r="L345" s="555"/>
    </row>
    <row r="346" spans="2:12">
      <c r="B346" s="187" t="s">
        <v>1209</v>
      </c>
      <c r="C346" s="187"/>
      <c r="D346" s="187" t="s">
        <v>39</v>
      </c>
      <c r="E346" s="187" t="s">
        <v>1210</v>
      </c>
      <c r="F346" s="187" t="s">
        <v>1211</v>
      </c>
      <c r="G346" s="187" t="s">
        <v>1212</v>
      </c>
      <c r="H346" s="187" t="s">
        <v>1213</v>
      </c>
      <c r="I346" s="187" t="s">
        <v>1214</v>
      </c>
      <c r="J346" s="187" t="s">
        <v>1215</v>
      </c>
      <c r="K346" s="187" t="s">
        <v>1216</v>
      </c>
      <c r="L346" s="187" t="s">
        <v>1217</v>
      </c>
    </row>
    <row r="347" spans="2:12">
      <c r="B347" s="188" t="s">
        <v>1309</v>
      </c>
      <c r="C347" s="189" t="s">
        <v>1271</v>
      </c>
      <c r="D347" s="190" t="s">
        <v>169</v>
      </c>
      <c r="E347" s="191">
        <v>5.18</v>
      </c>
      <c r="F347" s="243">
        <v>0.7</v>
      </c>
      <c r="G347" s="192">
        <v>0.7</v>
      </c>
      <c r="H347" s="191">
        <v>1</v>
      </c>
      <c r="I347" s="191"/>
      <c r="J347" s="216"/>
      <c r="K347" s="217">
        <f t="shared" ref="K347:K354" si="1">IF(E347*F347*G347&lt;&gt;0,E347*F347*G347,IF(E347*F347&lt;&gt;0,E347*F347,IF(F347*G347&lt;&gt;0,F347*G347,IF(E347*G347&lt;&gt;0,E347*G347,IF(E347&lt;&gt;0,E347,IF(F347&lt;&gt;0,F347,IF(G347&lt;&gt;0,G347,0)))))))*(IF(H347&lt;&gt;0,H347,1))+I347-J347</f>
        <v>2.5381999999999993</v>
      </c>
      <c r="L347" s="218"/>
    </row>
    <row r="348" spans="2:12">
      <c r="B348" s="188" t="s">
        <v>1310</v>
      </c>
      <c r="C348" s="189" t="s">
        <v>1271</v>
      </c>
      <c r="D348" s="190" t="s">
        <v>169</v>
      </c>
      <c r="E348" s="191">
        <v>6.94</v>
      </c>
      <c r="F348" s="243">
        <v>0.7</v>
      </c>
      <c r="G348" s="192">
        <v>0.7</v>
      </c>
      <c r="H348" s="191">
        <v>1</v>
      </c>
      <c r="I348" s="191"/>
      <c r="J348" s="216"/>
      <c r="K348" s="217">
        <f t="shared" si="1"/>
        <v>3.4005999999999994</v>
      </c>
      <c r="L348" s="218"/>
    </row>
    <row r="349" spans="2:12">
      <c r="B349" s="188" t="s">
        <v>1311</v>
      </c>
      <c r="C349" s="189" t="s">
        <v>1271</v>
      </c>
      <c r="D349" s="190" t="s">
        <v>169</v>
      </c>
      <c r="E349" s="191">
        <v>3.89</v>
      </c>
      <c r="F349" s="243">
        <v>0.2</v>
      </c>
      <c r="G349" s="192">
        <v>0.7</v>
      </c>
      <c r="H349" s="191">
        <v>1</v>
      </c>
      <c r="I349" s="191"/>
      <c r="J349" s="216"/>
      <c r="K349" s="217">
        <f t="shared" si="1"/>
        <v>0.54459999999999997</v>
      </c>
      <c r="L349" s="218"/>
    </row>
    <row r="350" spans="2:12">
      <c r="B350" s="188" t="s">
        <v>1312</v>
      </c>
      <c r="C350" s="189" t="s">
        <v>1271</v>
      </c>
      <c r="D350" s="190" t="s">
        <v>169</v>
      </c>
      <c r="E350" s="191">
        <v>2.33</v>
      </c>
      <c r="F350" s="243">
        <v>0.2</v>
      </c>
      <c r="G350" s="192">
        <v>0.7</v>
      </c>
      <c r="H350" s="191">
        <v>1</v>
      </c>
      <c r="I350" s="191"/>
      <c r="J350" s="216"/>
      <c r="K350" s="217">
        <f t="shared" si="1"/>
        <v>0.32619999999999999</v>
      </c>
      <c r="L350" s="218"/>
    </row>
    <row r="351" spans="2:12">
      <c r="B351" s="188" t="s">
        <v>1313</v>
      </c>
      <c r="C351" s="189" t="s">
        <v>1271</v>
      </c>
      <c r="D351" s="190" t="s">
        <v>169</v>
      </c>
      <c r="E351" s="191">
        <v>2.33</v>
      </c>
      <c r="F351" s="243">
        <v>0.2</v>
      </c>
      <c r="G351" s="192">
        <v>0.7</v>
      </c>
      <c r="H351" s="191">
        <v>1</v>
      </c>
      <c r="I351" s="191"/>
      <c r="J351" s="216"/>
      <c r="K351" s="217">
        <f t="shared" si="1"/>
        <v>0.32619999999999999</v>
      </c>
      <c r="L351" s="218"/>
    </row>
    <row r="352" spans="2:12">
      <c r="B352" s="188" t="s">
        <v>1314</v>
      </c>
      <c r="C352" s="189" t="s">
        <v>1271</v>
      </c>
      <c r="D352" s="190" t="s">
        <v>169</v>
      </c>
      <c r="E352" s="191">
        <v>4.93</v>
      </c>
      <c r="F352" s="243">
        <v>0.2</v>
      </c>
      <c r="G352" s="192">
        <v>0.7</v>
      </c>
      <c r="H352" s="191">
        <v>1</v>
      </c>
      <c r="I352" s="191"/>
      <c r="J352" s="216"/>
      <c r="K352" s="217">
        <f t="shared" si="1"/>
        <v>0.69019999999999992</v>
      </c>
      <c r="L352" s="218"/>
    </row>
    <row r="353" spans="2:12">
      <c r="B353" s="188" t="s">
        <v>1315</v>
      </c>
      <c r="C353" s="189" t="s">
        <v>1271</v>
      </c>
      <c r="D353" s="190" t="s">
        <v>169</v>
      </c>
      <c r="E353" s="191">
        <v>4.33</v>
      </c>
      <c r="F353" s="243">
        <v>0.2</v>
      </c>
      <c r="G353" s="192">
        <v>0.7</v>
      </c>
      <c r="H353" s="191">
        <v>1</v>
      </c>
      <c r="I353" s="191"/>
      <c r="J353" s="216"/>
      <c r="K353" s="217">
        <f t="shared" si="1"/>
        <v>0.60620000000000007</v>
      </c>
      <c r="L353" s="218"/>
    </row>
    <row r="354" spans="2:12">
      <c r="B354" s="197"/>
      <c r="C354" s="189"/>
      <c r="D354" s="198"/>
      <c r="E354" s="199"/>
      <c r="F354" s="244"/>
      <c r="G354" s="199"/>
      <c r="H354" s="199"/>
      <c r="I354" s="199"/>
      <c r="J354" s="219"/>
      <c r="K354" s="217">
        <f t="shared" si="1"/>
        <v>0</v>
      </c>
      <c r="L354" s="218"/>
    </row>
    <row r="355" spans="2:12">
      <c r="B355" s="202"/>
      <c r="C355" s="203"/>
      <c r="D355" s="203"/>
      <c r="E355" s="203"/>
      <c r="F355" s="203"/>
      <c r="G355" s="203"/>
      <c r="H355" s="204"/>
      <c r="I355" s="556" t="s">
        <v>1221</v>
      </c>
      <c r="J355" s="556"/>
      <c r="K355" s="220">
        <f>SUM(K347:K354)</f>
        <v>8.4321999999999981</v>
      </c>
      <c r="L355" s="207"/>
    </row>
    <row r="356" spans="2:12">
      <c r="B356" s="208"/>
      <c r="C356" s="204"/>
      <c r="D356" s="204"/>
      <c r="E356" s="204"/>
      <c r="F356" s="204"/>
      <c r="G356" s="204"/>
      <c r="H356" s="209"/>
      <c r="I356" s="557" t="s">
        <v>1222</v>
      </c>
      <c r="J356" s="557"/>
      <c r="K356" s="221">
        <v>22.99</v>
      </c>
      <c r="L356" s="207"/>
    </row>
    <row r="357" spans="2:12">
      <c r="B357" s="208"/>
      <c r="C357" s="204"/>
      <c r="D357" s="204"/>
      <c r="E357" s="204"/>
      <c r="F357" s="204"/>
      <c r="G357" s="204"/>
      <c r="H357" s="558" t="s">
        <v>1223</v>
      </c>
      <c r="I357" s="558"/>
      <c r="J357" s="558"/>
      <c r="K357" s="222">
        <v>0</v>
      </c>
      <c r="L357" s="207"/>
    </row>
    <row r="358" spans="2:12">
      <c r="B358" s="208"/>
      <c r="C358" s="204"/>
      <c r="D358" s="204"/>
      <c r="E358" s="204"/>
      <c r="F358" s="204"/>
      <c r="G358" s="204"/>
      <c r="H358" s="558" t="s">
        <v>1201</v>
      </c>
      <c r="I358" s="558"/>
      <c r="J358" s="558"/>
      <c r="K358" s="222">
        <f>IF(K355&gt;K356,K356,K355)-K357</f>
        <v>8.4321999999999981</v>
      </c>
      <c r="L358" s="207"/>
    </row>
    <row r="359" spans="2:12">
      <c r="B359" s="213"/>
      <c r="C359" s="214"/>
      <c r="D359" s="214"/>
      <c r="E359" s="214"/>
      <c r="F359" s="214"/>
      <c r="G359" s="214"/>
      <c r="H359" s="559" t="s">
        <v>1224</v>
      </c>
      <c r="I359" s="559"/>
      <c r="J359" s="559"/>
      <c r="K359" s="223">
        <f>IF(K355&gt;K356,K355-K356,0)</f>
        <v>0</v>
      </c>
      <c r="L359" s="209"/>
    </row>
  </sheetData>
  <mergeCells count="190">
    <mergeCell ref="H359:J359"/>
    <mergeCell ref="I340:J340"/>
    <mergeCell ref="H341:J341"/>
    <mergeCell ref="H342:J342"/>
    <mergeCell ref="H343:J343"/>
    <mergeCell ref="B345:L345"/>
    <mergeCell ref="I355:J355"/>
    <mergeCell ref="I356:J356"/>
    <mergeCell ref="H357:J357"/>
    <mergeCell ref="H358:J358"/>
    <mergeCell ref="H321:J321"/>
    <mergeCell ref="B323:L323"/>
    <mergeCell ref="I328:J328"/>
    <mergeCell ref="I329:J329"/>
    <mergeCell ref="H330:J330"/>
    <mergeCell ref="H331:J331"/>
    <mergeCell ref="H332:J332"/>
    <mergeCell ref="B334:L334"/>
    <mergeCell ref="I339:J339"/>
    <mergeCell ref="I307:J307"/>
    <mergeCell ref="H308:J308"/>
    <mergeCell ref="H309:J309"/>
    <mergeCell ref="H310:J310"/>
    <mergeCell ref="B312:L312"/>
    <mergeCell ref="I317:J317"/>
    <mergeCell ref="I318:J318"/>
    <mergeCell ref="H319:J319"/>
    <mergeCell ref="H320:J320"/>
    <mergeCell ref="H288:J288"/>
    <mergeCell ref="B290:L290"/>
    <mergeCell ref="I295:J295"/>
    <mergeCell ref="I296:J296"/>
    <mergeCell ref="H297:J297"/>
    <mergeCell ref="H298:J298"/>
    <mergeCell ref="H299:J299"/>
    <mergeCell ref="B301:L301"/>
    <mergeCell ref="I306:J306"/>
    <mergeCell ref="I274:J274"/>
    <mergeCell ref="H275:J275"/>
    <mergeCell ref="H276:J276"/>
    <mergeCell ref="H277:J277"/>
    <mergeCell ref="B279:L279"/>
    <mergeCell ref="I284:J284"/>
    <mergeCell ref="I285:J285"/>
    <mergeCell ref="H286:J286"/>
    <mergeCell ref="H287:J287"/>
    <mergeCell ref="H240:J240"/>
    <mergeCell ref="B242:L242"/>
    <mergeCell ref="I248:J248"/>
    <mergeCell ref="I249:J249"/>
    <mergeCell ref="H250:J250"/>
    <mergeCell ref="H251:J251"/>
    <mergeCell ref="H252:J252"/>
    <mergeCell ref="B254:L254"/>
    <mergeCell ref="I273:J273"/>
    <mergeCell ref="I226:J226"/>
    <mergeCell ref="H227:J227"/>
    <mergeCell ref="H228:J228"/>
    <mergeCell ref="H229:J229"/>
    <mergeCell ref="B231:L231"/>
    <mergeCell ref="I236:J236"/>
    <mergeCell ref="I237:J237"/>
    <mergeCell ref="H238:J238"/>
    <mergeCell ref="H239:J239"/>
    <mergeCell ref="H207:J207"/>
    <mergeCell ref="B209:L209"/>
    <mergeCell ref="I214:J214"/>
    <mergeCell ref="I215:J215"/>
    <mergeCell ref="H216:J216"/>
    <mergeCell ref="H217:J217"/>
    <mergeCell ref="H218:J218"/>
    <mergeCell ref="B220:L220"/>
    <mergeCell ref="I225:J225"/>
    <mergeCell ref="I193:J193"/>
    <mergeCell ref="H194:J194"/>
    <mergeCell ref="H195:J195"/>
    <mergeCell ref="H196:J196"/>
    <mergeCell ref="B198:L198"/>
    <mergeCell ref="I203:J203"/>
    <mergeCell ref="I204:J204"/>
    <mergeCell ref="H205:J205"/>
    <mergeCell ref="H206:J206"/>
    <mergeCell ref="H174:J174"/>
    <mergeCell ref="B176:L176"/>
    <mergeCell ref="I181:J181"/>
    <mergeCell ref="I182:J182"/>
    <mergeCell ref="H183:J183"/>
    <mergeCell ref="H184:J184"/>
    <mergeCell ref="H185:J185"/>
    <mergeCell ref="B187:L187"/>
    <mergeCell ref="I192:J192"/>
    <mergeCell ref="I160:J160"/>
    <mergeCell ref="H161:J161"/>
    <mergeCell ref="H162:J162"/>
    <mergeCell ref="H163:J163"/>
    <mergeCell ref="B165:L165"/>
    <mergeCell ref="I170:J170"/>
    <mergeCell ref="I171:J171"/>
    <mergeCell ref="H172:J172"/>
    <mergeCell ref="H173:J173"/>
    <mergeCell ref="H142:J142"/>
    <mergeCell ref="B144:L144"/>
    <mergeCell ref="I148:J148"/>
    <mergeCell ref="I149:J149"/>
    <mergeCell ref="H150:J150"/>
    <mergeCell ref="H151:J151"/>
    <mergeCell ref="H152:J152"/>
    <mergeCell ref="B154:L154"/>
    <mergeCell ref="I159:J159"/>
    <mergeCell ref="I129:J129"/>
    <mergeCell ref="H130:J130"/>
    <mergeCell ref="H131:J131"/>
    <mergeCell ref="H132:J132"/>
    <mergeCell ref="B134:L134"/>
    <mergeCell ref="I138:J138"/>
    <mergeCell ref="I139:J139"/>
    <mergeCell ref="H140:J140"/>
    <mergeCell ref="H141:J141"/>
    <mergeCell ref="H110:J110"/>
    <mergeCell ref="B112:L112"/>
    <mergeCell ref="I117:J117"/>
    <mergeCell ref="I118:J118"/>
    <mergeCell ref="H119:J119"/>
    <mergeCell ref="H120:J120"/>
    <mergeCell ref="H121:J121"/>
    <mergeCell ref="B123:L123"/>
    <mergeCell ref="I128:J128"/>
    <mergeCell ref="I96:J96"/>
    <mergeCell ref="H97:J97"/>
    <mergeCell ref="H98:J98"/>
    <mergeCell ref="H99:J99"/>
    <mergeCell ref="B101:L101"/>
    <mergeCell ref="I106:J106"/>
    <mergeCell ref="I107:J107"/>
    <mergeCell ref="H108:J108"/>
    <mergeCell ref="H109:J109"/>
    <mergeCell ref="H78:J78"/>
    <mergeCell ref="B80:L80"/>
    <mergeCell ref="I84:J84"/>
    <mergeCell ref="I85:J85"/>
    <mergeCell ref="H86:J86"/>
    <mergeCell ref="H87:J87"/>
    <mergeCell ref="H88:J88"/>
    <mergeCell ref="B90:L90"/>
    <mergeCell ref="I95:J95"/>
    <mergeCell ref="I65:J65"/>
    <mergeCell ref="H66:J66"/>
    <mergeCell ref="H67:J67"/>
    <mergeCell ref="H68:J68"/>
    <mergeCell ref="B70:L70"/>
    <mergeCell ref="I74:J74"/>
    <mergeCell ref="I75:J75"/>
    <mergeCell ref="H76:J76"/>
    <mergeCell ref="H77:J77"/>
    <mergeCell ref="H48:J48"/>
    <mergeCell ref="B50:L50"/>
    <mergeCell ref="I54:J54"/>
    <mergeCell ref="I55:J55"/>
    <mergeCell ref="H56:J56"/>
    <mergeCell ref="H57:J57"/>
    <mergeCell ref="H58:J58"/>
    <mergeCell ref="B60:L60"/>
    <mergeCell ref="I64:J64"/>
    <mergeCell ref="I35:J35"/>
    <mergeCell ref="H36:J36"/>
    <mergeCell ref="H37:J37"/>
    <mergeCell ref="H38:J38"/>
    <mergeCell ref="B40:L40"/>
    <mergeCell ref="I44:J44"/>
    <mergeCell ref="I45:J45"/>
    <mergeCell ref="H46:J46"/>
    <mergeCell ref="H47:J47"/>
    <mergeCell ref="H17:J17"/>
    <mergeCell ref="B19:L19"/>
    <mergeCell ref="I24:J24"/>
    <mergeCell ref="I25:J25"/>
    <mergeCell ref="H26:J26"/>
    <mergeCell ref="H27:J27"/>
    <mergeCell ref="H28:J28"/>
    <mergeCell ref="B30:L30"/>
    <mergeCell ref="I34:J34"/>
    <mergeCell ref="B2:L2"/>
    <mergeCell ref="B3:L3"/>
    <mergeCell ref="B4:L4"/>
    <mergeCell ref="B6:L6"/>
    <mergeCell ref="B8:L8"/>
    <mergeCell ref="I13:J13"/>
    <mergeCell ref="I14:J14"/>
    <mergeCell ref="H15:J15"/>
    <mergeCell ref="H16:J16"/>
  </mergeCells>
  <printOptions horizontalCentered="1"/>
  <pageMargins left="0.51180555555555596" right="0.51180555555555596" top="0.78749999999999998" bottom="0.98402777777777795" header="0.511811023622047" footer="0.511811023622047"/>
  <pageSetup paperSize="9" scale="56" fitToHeight="1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49"/>
  <sheetViews>
    <sheetView view="pageBreakPreview" topLeftCell="B635" zoomScale="75" zoomScaleNormal="70" zoomScalePageLayoutView="75" workbookViewId="0">
      <selection activeCell="D638" sqref="D638"/>
    </sheetView>
  </sheetViews>
  <sheetFormatPr defaultColWidth="9.109375" defaultRowHeight="14.4"/>
  <cols>
    <col min="1" max="1" width="3.6640625" style="2" hidden="1" customWidth="1"/>
    <col min="2" max="2" width="11.33203125" style="2" customWidth="1"/>
    <col min="3" max="3" width="40.33203125" style="2" customWidth="1"/>
    <col min="4" max="4" width="5.88671875" style="3" customWidth="1"/>
    <col min="5" max="5" width="15.33203125" style="4" customWidth="1"/>
    <col min="6" max="6" width="15.109375" style="4" customWidth="1"/>
    <col min="7" max="7" width="17" style="4" customWidth="1"/>
    <col min="8" max="8" width="4.44140625" style="4" hidden="1" customWidth="1"/>
    <col min="9" max="9" width="13" style="4" customWidth="1"/>
    <col min="10" max="10" width="14.33203125" style="5" customWidth="1"/>
    <col min="11" max="11" width="17" style="5" hidden="1" customWidth="1"/>
    <col min="12" max="12" width="15.88671875" style="5" customWidth="1"/>
    <col min="13" max="13" width="25.33203125" style="5" hidden="1" customWidth="1"/>
    <col min="14" max="15" width="23.5546875" style="5" customWidth="1"/>
    <col min="16" max="16" width="23.5546875" style="6" hidden="1" customWidth="1"/>
    <col min="17" max="17" width="23.5546875" style="6" customWidth="1"/>
    <col min="18" max="18" width="23.5546875" style="5" customWidth="1"/>
    <col min="19" max="19" width="3" style="2" customWidth="1"/>
    <col min="20" max="20" width="23.33203125" style="2" customWidth="1"/>
    <col min="21" max="21" width="22.6640625" style="2" customWidth="1"/>
    <col min="22" max="22" width="21.44140625" style="2" customWidth="1"/>
    <col min="23" max="23" width="17.109375" style="2" customWidth="1"/>
    <col min="24" max="16384" width="9.109375" style="2"/>
  </cols>
  <sheetData>
    <row r="1" spans="2:23" ht="6" customHeight="1"/>
    <row r="2" spans="2:23" ht="29.25" customHeight="1">
      <c r="B2" s="491"/>
      <c r="C2" s="491"/>
      <c r="D2" s="491"/>
      <c r="E2" s="491"/>
      <c r="F2" s="491"/>
      <c r="G2" s="491"/>
      <c r="H2" s="491"/>
      <c r="I2" s="491"/>
      <c r="J2" s="491"/>
      <c r="K2" s="491"/>
      <c r="L2" s="491"/>
      <c r="M2" s="491"/>
      <c r="N2" s="491"/>
      <c r="O2" s="491"/>
      <c r="P2" s="491"/>
      <c r="Q2" s="491"/>
      <c r="R2" s="491"/>
      <c r="S2" s="7"/>
    </row>
    <row r="3" spans="2:23" ht="29.25" customHeight="1">
      <c r="B3" s="492" t="s">
        <v>0</v>
      </c>
      <c r="C3" s="492"/>
      <c r="D3" s="492"/>
      <c r="E3" s="492"/>
      <c r="F3" s="492"/>
      <c r="G3" s="492"/>
      <c r="H3" s="492"/>
      <c r="I3" s="492"/>
      <c r="J3" s="492"/>
      <c r="K3" s="492"/>
      <c r="L3" s="492"/>
      <c r="M3" s="492"/>
      <c r="N3" s="492"/>
      <c r="O3" s="492"/>
      <c r="P3" s="492"/>
      <c r="Q3" s="492"/>
      <c r="R3" s="492"/>
      <c r="S3" s="7"/>
      <c r="W3" s="8"/>
    </row>
    <row r="4" spans="2:23" ht="29.25" customHeight="1">
      <c r="B4" s="493"/>
      <c r="C4" s="493"/>
      <c r="D4" s="493"/>
      <c r="E4" s="493"/>
      <c r="F4" s="493"/>
      <c r="G4" s="493"/>
      <c r="H4" s="493"/>
      <c r="I4" s="493"/>
      <c r="J4" s="493"/>
      <c r="K4" s="493"/>
      <c r="L4" s="493"/>
      <c r="M4" s="493"/>
      <c r="N4" s="493"/>
      <c r="O4" s="493"/>
      <c r="P4" s="493"/>
      <c r="Q4" s="493"/>
      <c r="R4" s="493"/>
      <c r="S4" s="9"/>
      <c r="T4" s="2">
        <v>12630000</v>
      </c>
    </row>
    <row r="5" spans="2:23" ht="8.25" customHeight="1">
      <c r="B5" s="494"/>
      <c r="C5" s="494"/>
      <c r="D5" s="494"/>
      <c r="E5" s="494"/>
      <c r="F5" s="494"/>
      <c r="G5" s="494"/>
      <c r="H5" s="494"/>
      <c r="I5" s="494"/>
      <c r="J5" s="494"/>
      <c r="K5" s="494"/>
      <c r="L5" s="494"/>
      <c r="M5" s="494"/>
      <c r="N5" s="494"/>
      <c r="O5" s="494"/>
      <c r="P5" s="494"/>
      <c r="Q5" s="494"/>
      <c r="R5" s="494"/>
      <c r="S5" s="9"/>
    </row>
    <row r="6" spans="2:23" ht="38.25" customHeight="1">
      <c r="B6" s="495" t="s">
        <v>1316</v>
      </c>
      <c r="C6" s="495"/>
      <c r="D6" s="495"/>
      <c r="E6" s="495"/>
      <c r="F6" s="495"/>
      <c r="G6" s="495"/>
      <c r="H6" s="495"/>
      <c r="I6" s="495"/>
      <c r="J6" s="495"/>
      <c r="K6" s="495"/>
      <c r="L6" s="495"/>
      <c r="M6" s="495"/>
      <c r="N6" s="495"/>
      <c r="O6" s="495"/>
      <c r="P6" s="495"/>
      <c r="Q6" s="495"/>
      <c r="R6" s="495"/>
      <c r="S6" s="7"/>
    </row>
    <row r="7" spans="2:23" ht="8.25" customHeight="1">
      <c r="B7" s="496"/>
      <c r="C7" s="496"/>
      <c r="D7" s="496"/>
      <c r="E7" s="496"/>
      <c r="F7" s="496"/>
      <c r="G7" s="496"/>
      <c r="H7" s="496"/>
      <c r="I7" s="496"/>
      <c r="J7" s="496"/>
      <c r="K7" s="496"/>
      <c r="L7" s="496"/>
      <c r="M7" s="496"/>
      <c r="N7" s="496"/>
      <c r="O7" s="496"/>
      <c r="P7" s="496"/>
      <c r="Q7" s="496"/>
      <c r="R7" s="496"/>
      <c r="S7" s="7"/>
    </row>
    <row r="8" spans="2:23" ht="25.5" customHeight="1">
      <c r="B8" s="497" t="s">
        <v>2</v>
      </c>
      <c r="C8" s="497"/>
      <c r="D8" s="497"/>
      <c r="E8" s="497"/>
      <c r="F8" s="497"/>
      <c r="G8" s="497"/>
      <c r="H8" s="497"/>
      <c r="I8" s="497"/>
      <c r="J8" s="497"/>
      <c r="K8" s="497"/>
      <c r="L8" s="497"/>
      <c r="M8" s="497"/>
      <c r="N8" s="497"/>
      <c r="O8" s="497"/>
      <c r="P8" s="497"/>
      <c r="Q8" s="497"/>
      <c r="R8" s="497"/>
      <c r="S8" s="7"/>
      <c r="T8" s="2">
        <f>480/30</f>
        <v>16</v>
      </c>
    </row>
    <row r="9" spans="2:23" s="10" customFormat="1" ht="31.5" customHeight="1">
      <c r="B9" s="498" t="s">
        <v>3</v>
      </c>
      <c r="C9" s="498"/>
      <c r="D9" s="499" t="s">
        <v>4</v>
      </c>
      <c r="E9" s="499"/>
      <c r="F9" s="499"/>
      <c r="G9" s="499"/>
      <c r="H9" s="499"/>
      <c r="I9" s="499"/>
      <c r="J9" s="499"/>
      <c r="K9" s="499"/>
      <c r="L9" s="499"/>
      <c r="M9" s="499"/>
      <c r="N9" s="499"/>
      <c r="O9" s="499"/>
      <c r="P9" s="499"/>
      <c r="Q9" s="499"/>
      <c r="R9" s="499"/>
      <c r="S9" s="11"/>
    </row>
    <row r="10" spans="2:23" s="10" customFormat="1" ht="31.5" customHeight="1">
      <c r="B10" s="498" t="s">
        <v>5</v>
      </c>
      <c r="C10" s="498"/>
      <c r="D10" s="500" t="s">
        <v>6</v>
      </c>
      <c r="E10" s="500"/>
      <c r="F10" s="500"/>
      <c r="G10" s="500"/>
      <c r="H10" s="500"/>
      <c r="I10" s="500"/>
      <c r="J10" s="500"/>
      <c r="K10" s="12"/>
      <c r="L10" s="501" t="s">
        <v>7</v>
      </c>
      <c r="M10" s="501"/>
      <c r="N10" s="501"/>
      <c r="O10" s="501"/>
      <c r="P10" s="502">
        <v>45383</v>
      </c>
      <c r="Q10" s="502"/>
      <c r="R10" s="502"/>
      <c r="S10" s="11"/>
    </row>
    <row r="11" spans="2:23" s="10" customFormat="1" ht="31.5" customHeight="1">
      <c r="B11" s="498" t="s">
        <v>8</v>
      </c>
      <c r="C11" s="498"/>
      <c r="D11" s="503" t="s">
        <v>9</v>
      </c>
      <c r="E11" s="503"/>
      <c r="F11" s="503"/>
      <c r="G11" s="503"/>
      <c r="H11" s="503"/>
      <c r="I11" s="503"/>
      <c r="J11" s="503"/>
      <c r="K11" s="12"/>
      <c r="L11" s="501" t="s">
        <v>10</v>
      </c>
      <c r="M11" s="501"/>
      <c r="N11" s="501"/>
      <c r="O11" s="501"/>
      <c r="P11" s="502">
        <f>P10+600</f>
        <v>45983</v>
      </c>
      <c r="Q11" s="502"/>
      <c r="R11" s="502"/>
      <c r="S11" s="11"/>
    </row>
    <row r="12" spans="2:23" s="10" customFormat="1" ht="36.75" customHeight="1">
      <c r="B12" s="504" t="s">
        <v>11</v>
      </c>
      <c r="C12" s="504"/>
      <c r="D12" s="505" t="s">
        <v>12</v>
      </c>
      <c r="E12" s="505"/>
      <c r="F12" s="505"/>
      <c r="G12" s="505"/>
      <c r="H12" s="13"/>
      <c r="I12" s="506"/>
      <c r="J12" s="506"/>
      <c r="K12" s="14"/>
      <c r="L12" s="507"/>
      <c r="M12" s="507"/>
      <c r="N12" s="507"/>
      <c r="O12" s="1" t="s">
        <v>13</v>
      </c>
      <c r="P12" s="502">
        <v>45383</v>
      </c>
      <c r="Q12" s="502"/>
      <c r="R12" s="502"/>
      <c r="S12" s="11"/>
      <c r="T12" s="15"/>
    </row>
    <row r="13" spans="2:23" s="10" customFormat="1" ht="31.5" customHeight="1">
      <c r="B13" s="508" t="s">
        <v>14</v>
      </c>
      <c r="C13" s="508"/>
      <c r="D13" s="509">
        <f>Q592</f>
        <v>26279999.999999993</v>
      </c>
      <c r="E13" s="509"/>
      <c r="F13" s="509"/>
      <c r="G13" s="509"/>
      <c r="H13" s="509"/>
      <c r="I13" s="509"/>
      <c r="J13" s="509"/>
      <c r="K13" s="16"/>
      <c r="L13" s="510" t="s">
        <v>15</v>
      </c>
      <c r="M13" s="510"/>
      <c r="N13" s="510"/>
      <c r="O13" s="510"/>
      <c r="P13" s="511" t="s">
        <v>16</v>
      </c>
      <c r="Q13" s="511"/>
      <c r="R13" s="511"/>
      <c r="S13" s="11"/>
    </row>
    <row r="14" spans="2:23" s="10" customFormat="1" ht="31.5" customHeight="1">
      <c r="B14" s="512" t="s">
        <v>17</v>
      </c>
      <c r="C14" s="512"/>
      <c r="D14" s="513"/>
      <c r="E14" s="513"/>
      <c r="F14" s="513"/>
      <c r="G14" s="513"/>
      <c r="H14" s="18"/>
      <c r="I14" s="514" t="s">
        <v>18</v>
      </c>
      <c r="J14" s="514"/>
      <c r="K14" s="17"/>
      <c r="L14" s="515"/>
      <c r="M14" s="515"/>
      <c r="N14" s="515"/>
      <c r="O14" s="19" t="s">
        <v>19</v>
      </c>
      <c r="P14" s="516"/>
      <c r="Q14" s="516"/>
      <c r="R14" s="516"/>
      <c r="S14" s="11"/>
      <c r="T14" s="15"/>
    </row>
    <row r="15" spans="2:23" s="10" customFormat="1" ht="31.5" customHeight="1">
      <c r="B15" s="517" t="s">
        <v>20</v>
      </c>
      <c r="C15" s="517"/>
      <c r="D15" s="518" t="s">
        <v>21</v>
      </c>
      <c r="E15" s="518"/>
      <c r="F15" s="518"/>
      <c r="G15" s="518"/>
      <c r="H15" s="20"/>
      <c r="I15" s="518" t="s">
        <v>18</v>
      </c>
      <c r="J15" s="518"/>
      <c r="K15" s="21"/>
      <c r="L15" s="519" t="s">
        <v>22</v>
      </c>
      <c r="M15" s="519"/>
      <c r="N15" s="519"/>
      <c r="O15" s="22" t="s">
        <v>19</v>
      </c>
      <c r="P15" s="520" t="s">
        <v>23</v>
      </c>
      <c r="Q15" s="520"/>
      <c r="R15" s="520"/>
      <c r="S15" s="11"/>
      <c r="T15" s="23">
        <f>D13</f>
        <v>26279999.999999993</v>
      </c>
      <c r="U15" s="24"/>
    </row>
    <row r="16" spans="2:23" s="10" customFormat="1" ht="6" customHeight="1">
      <c r="B16" s="521"/>
      <c r="C16" s="521"/>
      <c r="D16" s="521"/>
      <c r="E16" s="521"/>
      <c r="F16" s="521"/>
      <c r="G16" s="521"/>
      <c r="H16" s="521"/>
      <c r="I16" s="521"/>
      <c r="J16" s="521"/>
      <c r="K16" s="521"/>
      <c r="L16" s="521"/>
      <c r="M16" s="521"/>
      <c r="N16" s="521"/>
      <c r="O16" s="521"/>
      <c r="P16" s="521"/>
      <c r="Q16" s="521"/>
      <c r="R16" s="521"/>
      <c r="S16" s="11"/>
      <c r="T16" s="23"/>
      <c r="U16" s="25"/>
    </row>
    <row r="17" spans="1:23" s="10" customFormat="1" ht="27.75" customHeight="1">
      <c r="B17" s="497" t="s">
        <v>24</v>
      </c>
      <c r="C17" s="497"/>
      <c r="D17" s="497"/>
      <c r="E17" s="497"/>
      <c r="F17" s="497"/>
      <c r="G17" s="497"/>
      <c r="H17" s="497"/>
      <c r="I17" s="497"/>
      <c r="J17" s="497"/>
      <c r="K17" s="497"/>
      <c r="L17" s="497"/>
      <c r="M17" s="497"/>
      <c r="N17" s="497"/>
      <c r="O17" s="497"/>
      <c r="P17" s="497"/>
      <c r="Q17" s="497"/>
      <c r="R17" s="497"/>
      <c r="S17" s="11"/>
      <c r="T17" s="26"/>
      <c r="U17" s="27"/>
      <c r="W17" s="28"/>
    </row>
    <row r="18" spans="1:23" ht="43.5" customHeight="1">
      <c r="A18" s="10"/>
      <c r="B18" s="522" t="s">
        <v>25</v>
      </c>
      <c r="C18" s="522"/>
      <c r="D18" s="523" t="s">
        <v>4</v>
      </c>
      <c r="E18" s="523"/>
      <c r="F18" s="523"/>
      <c r="G18" s="523"/>
      <c r="H18" s="523"/>
      <c r="I18" s="523"/>
      <c r="J18" s="523"/>
      <c r="K18" s="29"/>
      <c r="L18" s="501" t="s">
        <v>26</v>
      </c>
      <c r="M18" s="501"/>
      <c r="N18" s="501"/>
      <c r="O18" s="501"/>
      <c r="P18" s="524">
        <f>N592</f>
        <v>704184.35</v>
      </c>
      <c r="Q18" s="524"/>
      <c r="R18" s="524"/>
      <c r="S18" s="30"/>
      <c r="T18" s="23">
        <f>T15-Q33-Q32</f>
        <v>23966799.799999993</v>
      </c>
      <c r="U18" s="31"/>
      <c r="V18" s="10"/>
      <c r="W18" s="28"/>
    </row>
    <row r="19" spans="1:23" ht="31.5" customHeight="1">
      <c r="A19" s="10"/>
      <c r="B19" s="522" t="s">
        <v>27</v>
      </c>
      <c r="C19" s="522"/>
      <c r="D19" s="525" t="s">
        <v>1317</v>
      </c>
      <c r="E19" s="525"/>
      <c r="F19" s="525"/>
      <c r="G19" s="525"/>
      <c r="H19" s="525"/>
      <c r="I19" s="525"/>
      <c r="J19" s="525"/>
      <c r="K19" s="29"/>
      <c r="L19" s="501" t="s">
        <v>29</v>
      </c>
      <c r="M19" s="501"/>
      <c r="N19" s="501"/>
      <c r="O19" s="501"/>
      <c r="P19" s="524">
        <f>P18-P20</f>
        <v>0</v>
      </c>
      <c r="Q19" s="524"/>
      <c r="R19" s="524"/>
      <c r="S19" s="30"/>
      <c r="T19" s="23">
        <f>P21-O33-O32</f>
        <v>2510538.9099999997</v>
      </c>
      <c r="U19" s="10"/>
      <c r="V19" s="10"/>
      <c r="W19" s="10"/>
    </row>
    <row r="20" spans="1:23" s="34" customFormat="1" ht="31.5" customHeight="1">
      <c r="A20" s="10"/>
      <c r="B20" s="526" t="s">
        <v>30</v>
      </c>
      <c r="C20" s="526"/>
      <c r="D20" s="523" t="s">
        <v>1318</v>
      </c>
      <c r="E20" s="523"/>
      <c r="F20" s="523"/>
      <c r="G20" s="523"/>
      <c r="H20" s="523"/>
      <c r="I20" s="523"/>
      <c r="J20" s="523"/>
      <c r="K20" s="29"/>
      <c r="L20" s="501" t="s">
        <v>32</v>
      </c>
      <c r="M20" s="501"/>
      <c r="N20" s="501"/>
      <c r="O20" s="501"/>
      <c r="P20" s="524">
        <f>N592</f>
        <v>704184.35</v>
      </c>
      <c r="Q20" s="524"/>
      <c r="R20" s="524"/>
      <c r="S20" s="30"/>
      <c r="T20" s="32">
        <f>T19/T18</f>
        <v>0.10475069391617317</v>
      </c>
      <c r="U20" s="24">
        <v>739429.5</v>
      </c>
      <c r="V20" s="10"/>
      <c r="W20" s="33"/>
    </row>
    <row r="21" spans="1:23" s="34" customFormat="1" ht="31.5" customHeight="1">
      <c r="A21" s="10"/>
      <c r="B21" s="526" t="s">
        <v>33</v>
      </c>
      <c r="C21" s="526"/>
      <c r="D21" s="527">
        <v>45504</v>
      </c>
      <c r="E21" s="527"/>
      <c r="F21" s="527"/>
      <c r="G21" s="527"/>
      <c r="H21" s="527"/>
      <c r="I21" s="527"/>
      <c r="J21" s="527"/>
      <c r="K21" s="35"/>
      <c r="L21" s="501" t="s">
        <v>34</v>
      </c>
      <c r="M21" s="501"/>
      <c r="N21" s="501"/>
      <c r="O21" s="501"/>
      <c r="P21" s="524">
        <f>P20+'BM 003'!P21:R21</f>
        <v>2752962.26</v>
      </c>
      <c r="Q21" s="524"/>
      <c r="R21" s="524"/>
      <c r="S21" s="36"/>
      <c r="T21" s="32">
        <f>T20-I33</f>
        <v>-4.9306083826833325E-5</v>
      </c>
      <c r="U21" s="32"/>
      <c r="V21" s="10"/>
      <c r="W21" s="10"/>
    </row>
    <row r="22" spans="1:23" s="34" customFormat="1" ht="31.5" customHeight="1">
      <c r="A22" s="10"/>
      <c r="B22" s="526" t="s">
        <v>35</v>
      </c>
      <c r="C22" s="526"/>
      <c r="D22" s="527">
        <v>45506</v>
      </c>
      <c r="E22" s="527"/>
      <c r="F22" s="527"/>
      <c r="G22" s="527"/>
      <c r="H22" s="527"/>
      <c r="I22" s="527"/>
      <c r="J22" s="527"/>
      <c r="K22" s="35"/>
      <c r="L22" s="501" t="s">
        <v>36</v>
      </c>
      <c r="M22" s="501"/>
      <c r="N22" s="501"/>
      <c r="O22" s="501"/>
      <c r="P22" s="524">
        <f>R592</f>
        <v>23527037.739999995</v>
      </c>
      <c r="Q22" s="524"/>
      <c r="R22" s="524"/>
      <c r="S22" s="36"/>
      <c r="T22" s="31"/>
      <c r="U22" s="37"/>
      <c r="V22" s="10"/>
      <c r="W22" s="10"/>
    </row>
    <row r="23" spans="1:23" s="34" customFormat="1" ht="9" customHeight="1">
      <c r="A23" s="10"/>
      <c r="B23" s="528"/>
      <c r="C23" s="528"/>
      <c r="D23" s="528"/>
      <c r="E23" s="528"/>
      <c r="F23" s="528"/>
      <c r="G23" s="528"/>
      <c r="H23" s="528"/>
      <c r="I23" s="528"/>
      <c r="J23" s="528"/>
      <c r="K23" s="528"/>
      <c r="L23" s="528"/>
      <c r="M23" s="528"/>
      <c r="N23" s="528"/>
      <c r="O23" s="528"/>
      <c r="P23" s="528"/>
      <c r="Q23" s="528"/>
      <c r="R23" s="528"/>
      <c r="S23" s="10"/>
      <c r="T23" s="10"/>
      <c r="U23" s="10"/>
      <c r="V23" s="10"/>
      <c r="W23" s="10"/>
    </row>
    <row r="24" spans="1:23" s="34" customFormat="1" ht="2.25" customHeight="1">
      <c r="A24" s="2"/>
      <c r="B24" s="38"/>
      <c r="C24" s="39"/>
      <c r="D24" s="40"/>
      <c r="E24" s="41"/>
      <c r="F24" s="42"/>
      <c r="G24" s="43"/>
      <c r="H24" s="43"/>
      <c r="I24" s="43"/>
      <c r="J24" s="39"/>
      <c r="K24" s="39"/>
      <c r="L24" s="39"/>
      <c r="M24" s="39"/>
      <c r="N24" s="39"/>
      <c r="O24" s="39"/>
      <c r="P24" s="44"/>
      <c r="Q24" s="44"/>
      <c r="R24" s="45"/>
      <c r="S24" s="2"/>
      <c r="T24" s="2"/>
      <c r="U24" s="2"/>
      <c r="V24" s="2"/>
      <c r="W24" s="2"/>
    </row>
    <row r="25" spans="1:23" s="34" customFormat="1" ht="18" customHeight="1">
      <c r="A25" s="2"/>
      <c r="B25" s="529" t="s">
        <v>37</v>
      </c>
      <c r="C25" s="530" t="s">
        <v>38</v>
      </c>
      <c r="D25" s="530" t="s">
        <v>39</v>
      </c>
      <c r="E25" s="531" t="s">
        <v>40</v>
      </c>
      <c r="F25" s="531"/>
      <c r="G25" s="531"/>
      <c r="H25" s="531"/>
      <c r="I25" s="531"/>
      <c r="J25" s="531"/>
      <c r="K25" s="48" t="s">
        <v>41</v>
      </c>
      <c r="L25" s="48" t="s">
        <v>42</v>
      </c>
      <c r="M25" s="48"/>
      <c r="N25" s="532" t="s">
        <v>43</v>
      </c>
      <c r="O25" s="532"/>
      <c r="P25" s="532"/>
      <c r="Q25" s="532"/>
      <c r="R25" s="532"/>
      <c r="S25" s="2"/>
      <c r="T25" s="49" t="s">
        <v>44</v>
      </c>
      <c r="U25" s="50">
        <v>20732092.140000001</v>
      </c>
      <c r="V25" s="51">
        <v>0.26760000016091001</v>
      </c>
      <c r="W25" s="2"/>
    </row>
    <row r="26" spans="1:23" s="34" customFormat="1" ht="43.5" customHeight="1">
      <c r="A26" s="2"/>
      <c r="B26" s="529"/>
      <c r="C26" s="530"/>
      <c r="D26" s="530"/>
      <c r="E26" s="52" t="s">
        <v>45</v>
      </c>
      <c r="F26" s="53" t="s">
        <v>46</v>
      </c>
      <c r="G26" s="53" t="s">
        <v>47</v>
      </c>
      <c r="H26" s="54"/>
      <c r="I26" s="55" t="s">
        <v>48</v>
      </c>
      <c r="J26" s="55" t="s">
        <v>49</v>
      </c>
      <c r="K26" s="56" t="s">
        <v>50</v>
      </c>
      <c r="L26" s="47" t="s">
        <v>50</v>
      </c>
      <c r="M26" s="48" t="s">
        <v>51</v>
      </c>
      <c r="N26" s="57" t="s">
        <v>52</v>
      </c>
      <c r="O26" s="57" t="s">
        <v>53</v>
      </c>
      <c r="P26" s="57" t="s">
        <v>54</v>
      </c>
      <c r="Q26" s="57" t="s">
        <v>55</v>
      </c>
      <c r="R26" s="58" t="s">
        <v>56</v>
      </c>
      <c r="S26" s="2"/>
      <c r="T26" s="59">
        <v>0.26760011</v>
      </c>
      <c r="U26" s="50">
        <v>5547907.8600000003</v>
      </c>
      <c r="V26" s="50">
        <v>26280000</v>
      </c>
      <c r="W26" s="2"/>
    </row>
    <row r="27" spans="1:23" s="34" customFormat="1" ht="13.2">
      <c r="B27" s="60" t="s">
        <v>57</v>
      </c>
      <c r="C27" s="61" t="s">
        <v>58</v>
      </c>
      <c r="D27" s="60"/>
      <c r="E27" s="62"/>
      <c r="F27" s="63"/>
      <c r="G27" s="63"/>
      <c r="H27" s="63"/>
      <c r="I27" s="63"/>
      <c r="J27" s="63"/>
      <c r="K27" s="63"/>
      <c r="L27" s="64"/>
      <c r="M27" s="63">
        <f t="shared" ref="M27:R27" si="0">M28+M30+M35+M43</f>
        <v>68914.86</v>
      </c>
      <c r="N27" s="63">
        <f t="shared" si="0"/>
        <v>68914.86</v>
      </c>
      <c r="O27" s="63">
        <f t="shared" si="0"/>
        <v>719097.65000000014</v>
      </c>
      <c r="P27" s="63">
        <f t="shared" si="0"/>
        <v>2403883</v>
      </c>
      <c r="Q27" s="63">
        <f t="shared" si="0"/>
        <v>3047162.2499999991</v>
      </c>
      <c r="R27" s="63">
        <f t="shared" si="0"/>
        <v>2328064.6</v>
      </c>
      <c r="U27" s="65"/>
    </row>
    <row r="28" spans="1:23" s="34" customFormat="1" ht="13.2">
      <c r="B28" s="66" t="s">
        <v>59</v>
      </c>
      <c r="C28" s="67" t="s">
        <v>60</v>
      </c>
      <c r="D28" s="68"/>
      <c r="E28" s="69"/>
      <c r="F28" s="70"/>
      <c r="G28" s="70"/>
      <c r="H28" s="70"/>
      <c r="I28" s="70"/>
      <c r="J28" s="70"/>
      <c r="K28" s="71"/>
      <c r="L28" s="72"/>
      <c r="M28" s="73">
        <f t="shared" ref="M28:R28" si="1">SUM(M29)</f>
        <v>0</v>
      </c>
      <c r="N28" s="73">
        <f t="shared" si="1"/>
        <v>0</v>
      </c>
      <c r="O28" s="73">
        <f t="shared" si="1"/>
        <v>41273.050000000003</v>
      </c>
      <c r="P28" s="73">
        <f t="shared" si="1"/>
        <v>32560</v>
      </c>
      <c r="Q28" s="73">
        <f t="shared" si="1"/>
        <v>41273.050000000003</v>
      </c>
      <c r="R28" s="73">
        <f t="shared" si="1"/>
        <v>0</v>
      </c>
      <c r="T28" s="74"/>
    </row>
    <row r="29" spans="1:23" s="34" customFormat="1" ht="13.2">
      <c r="B29" s="75" t="s">
        <v>61</v>
      </c>
      <c r="C29" s="76" t="s">
        <v>62</v>
      </c>
      <c r="D29" s="77" t="s">
        <v>63</v>
      </c>
      <c r="E29" s="78">
        <v>1</v>
      </c>
      <c r="F29" s="79"/>
      <c r="G29" s="79"/>
      <c r="H29" s="79"/>
      <c r="I29" s="79">
        <f>SUM(G29:H29)+'BM 003'!I29</f>
        <v>1</v>
      </c>
      <c r="J29" s="79">
        <f>E29-I29</f>
        <v>0</v>
      </c>
      <c r="K29" s="80">
        <v>32560</v>
      </c>
      <c r="L29" s="81">
        <f t="shared" ref="L29:L92" si="2">K29*(1+$T$26)</f>
        <v>41273.059581599999</v>
      </c>
      <c r="M29" s="82">
        <f>TRUNC(F29*L29,2)</f>
        <v>0</v>
      </c>
      <c r="N29" s="82">
        <f>TRUNC(G29*L29,2)</f>
        <v>0</v>
      </c>
      <c r="O29" s="82">
        <f>N29+'BM 003'!O29</f>
        <v>41273.050000000003</v>
      </c>
      <c r="P29" s="82">
        <f>E29*K29</f>
        <v>32560</v>
      </c>
      <c r="Q29" s="82">
        <f>TRUNC(E29*L29,2)</f>
        <v>41273.050000000003</v>
      </c>
      <c r="R29" s="82">
        <f>Q29-O29</f>
        <v>0</v>
      </c>
      <c r="T29" s="74"/>
    </row>
    <row r="30" spans="1:23" s="34" customFormat="1" ht="13.2">
      <c r="B30" s="66" t="s">
        <v>64</v>
      </c>
      <c r="C30" s="67" t="s">
        <v>65</v>
      </c>
      <c r="D30" s="68"/>
      <c r="E30" s="69"/>
      <c r="F30" s="70"/>
      <c r="G30" s="70"/>
      <c r="H30" s="70"/>
      <c r="I30" s="70">
        <f>SUM(G30:H30)+'BM 003'!I30</f>
        <v>0</v>
      </c>
      <c r="J30" s="70"/>
      <c r="K30" s="71"/>
      <c r="L30" s="71">
        <f t="shared" si="2"/>
        <v>0</v>
      </c>
      <c r="M30" s="73">
        <f t="shared" ref="M30:R30" si="3">SUM(M31:M34)</f>
        <v>61993.760000000002</v>
      </c>
      <c r="N30" s="73">
        <f t="shared" si="3"/>
        <v>61993.760000000002</v>
      </c>
      <c r="O30" s="73">
        <f t="shared" si="3"/>
        <v>242423.35</v>
      </c>
      <c r="P30" s="73">
        <f t="shared" si="3"/>
        <v>1872865.9</v>
      </c>
      <c r="Q30" s="73">
        <f t="shared" si="3"/>
        <v>2374044.9999999995</v>
      </c>
      <c r="R30" s="73">
        <f t="shared" si="3"/>
        <v>2131621.65</v>
      </c>
      <c r="T30" s="83"/>
    </row>
    <row r="31" spans="1:23" s="34" customFormat="1" ht="23.4">
      <c r="B31" s="75" t="s">
        <v>66</v>
      </c>
      <c r="C31" s="76" t="s">
        <v>67</v>
      </c>
      <c r="D31" s="77" t="s">
        <v>68</v>
      </c>
      <c r="E31" s="78">
        <v>20</v>
      </c>
      <c r="F31" s="79"/>
      <c r="G31" s="79"/>
      <c r="H31" s="79"/>
      <c r="I31" s="79">
        <f>SUM(G31:H31)+'BM 003'!I31</f>
        <v>0</v>
      </c>
      <c r="J31" s="79">
        <f t="shared" ref="J31:J94" si="4">E31-I31</f>
        <v>20</v>
      </c>
      <c r="K31" s="84">
        <v>1200</v>
      </c>
      <c r="L31" s="81">
        <f t="shared" si="2"/>
        <v>1521.120132</v>
      </c>
      <c r="M31" s="82">
        <f>TRUNC(F31*L31,2)</f>
        <v>0</v>
      </c>
      <c r="N31" s="82">
        <f>TRUNC(G31*L31,2)</f>
        <v>0</v>
      </c>
      <c r="O31" s="82">
        <f>N31+'BM 003'!O31</f>
        <v>0</v>
      </c>
      <c r="P31" s="82">
        <f>E31*K31</f>
        <v>24000</v>
      </c>
      <c r="Q31" s="82">
        <f>TRUNC(E31*L31,2)</f>
        <v>30422.400000000001</v>
      </c>
      <c r="R31" s="82">
        <f>Q31-O31</f>
        <v>30422.400000000001</v>
      </c>
    </row>
    <row r="32" spans="1:23" s="34" customFormat="1" ht="13.2">
      <c r="B32" s="75" t="s">
        <v>69</v>
      </c>
      <c r="C32" s="85" t="s">
        <v>70</v>
      </c>
      <c r="D32" s="77" t="s">
        <v>68</v>
      </c>
      <c r="E32" s="78">
        <v>20</v>
      </c>
      <c r="F32" s="86">
        <f>'M.C. MED. 04'!K17</f>
        <v>0.53600000000000003</v>
      </c>
      <c r="G32" s="86">
        <f>F32</f>
        <v>0.53600000000000003</v>
      </c>
      <c r="H32" s="79"/>
      <c r="I32" s="86">
        <f>SUM(G32:H32)+'BM 003'!I32</f>
        <v>2.0960000000000001</v>
      </c>
      <c r="J32" s="79">
        <f t="shared" si="4"/>
        <v>17.904</v>
      </c>
      <c r="K32" s="84">
        <v>51500.32</v>
      </c>
      <c r="L32" s="81">
        <f t="shared" si="2"/>
        <v>65281.811297035201</v>
      </c>
      <c r="M32" s="82">
        <f>TRUNC(F32*L32,2)</f>
        <v>34991.050000000003</v>
      </c>
      <c r="N32" s="82">
        <f>TRUNC(G32*L32,2)</f>
        <v>34991.050000000003</v>
      </c>
      <c r="O32" s="82">
        <f>N32+'BM 003'!O32</f>
        <v>136830.66</v>
      </c>
      <c r="P32" s="82">
        <f>E32*K32</f>
        <v>1030006.4</v>
      </c>
      <c r="Q32" s="82">
        <f>TRUNC(E32*L32,2)</f>
        <v>1305636.22</v>
      </c>
      <c r="R32" s="82">
        <f>Q32-O32</f>
        <v>1168805.56</v>
      </c>
    </row>
    <row r="33" spans="1:21" s="34" customFormat="1" ht="194.4">
      <c r="B33" s="75" t="s">
        <v>71</v>
      </c>
      <c r="C33" s="85" t="s">
        <v>72</v>
      </c>
      <c r="D33" s="77" t="s">
        <v>39</v>
      </c>
      <c r="E33" s="78">
        <v>1</v>
      </c>
      <c r="F33" s="86">
        <f>'M.C. MED. 04'!K29</f>
        <v>2.6800000000000004E-2</v>
      </c>
      <c r="G33" s="86">
        <f>F33</f>
        <v>2.6800000000000004E-2</v>
      </c>
      <c r="H33" s="79"/>
      <c r="I33" s="86">
        <f>SUM(G33:H33)+'BM 003'!I33</f>
        <v>0.1048</v>
      </c>
      <c r="J33" s="79">
        <f t="shared" si="4"/>
        <v>0.8952</v>
      </c>
      <c r="K33" s="84">
        <v>794859.5</v>
      </c>
      <c r="L33" s="81">
        <f t="shared" si="2"/>
        <v>1007563.9896345451</v>
      </c>
      <c r="M33" s="82">
        <f>TRUNC(F33*L33,2)</f>
        <v>27002.71</v>
      </c>
      <c r="N33" s="82">
        <f>TRUNC(G33*L33,2)</f>
        <v>27002.71</v>
      </c>
      <c r="O33" s="82">
        <f>N33+'BM 003'!O33</f>
        <v>105592.69</v>
      </c>
      <c r="P33" s="82">
        <f>E33*K33</f>
        <v>794859.5</v>
      </c>
      <c r="Q33" s="82">
        <f>TRUNC(E33*L33,2)</f>
        <v>1007563.98</v>
      </c>
      <c r="R33" s="82">
        <f>Q33-O33</f>
        <v>901971.29</v>
      </c>
    </row>
    <row r="34" spans="1:21" s="34" customFormat="1" ht="23.4">
      <c r="B34" s="75" t="s">
        <v>73</v>
      </c>
      <c r="C34" s="76" t="s">
        <v>74</v>
      </c>
      <c r="D34" s="77" t="s">
        <v>68</v>
      </c>
      <c r="E34" s="78">
        <v>20</v>
      </c>
      <c r="F34" s="79"/>
      <c r="G34" s="79"/>
      <c r="H34" s="79"/>
      <c r="I34" s="79">
        <f>SUM(G34:H34)+'BM 003'!I34</f>
        <v>0</v>
      </c>
      <c r="J34" s="79">
        <f t="shared" si="4"/>
        <v>20</v>
      </c>
      <c r="K34" s="84">
        <v>1200</v>
      </c>
      <c r="L34" s="81">
        <f t="shared" si="2"/>
        <v>1521.120132</v>
      </c>
      <c r="M34" s="82">
        <f>TRUNC(F34*L34,2)</f>
        <v>0</v>
      </c>
      <c r="N34" s="82">
        <f>TRUNC(G34*L34,2)</f>
        <v>0</v>
      </c>
      <c r="O34" s="82">
        <f>N34+'BM 003'!O34</f>
        <v>0</v>
      </c>
      <c r="P34" s="82">
        <f>E34*K34</f>
        <v>24000</v>
      </c>
      <c r="Q34" s="82">
        <f>TRUNC(E34*L34,2)</f>
        <v>30422.400000000001</v>
      </c>
      <c r="R34" s="82">
        <f>Q34-O34</f>
        <v>30422.400000000001</v>
      </c>
    </row>
    <row r="35" spans="1:21" s="34" customFormat="1" ht="13.2">
      <c r="B35" s="66" t="s">
        <v>75</v>
      </c>
      <c r="C35" s="67" t="s">
        <v>76</v>
      </c>
      <c r="D35" s="68"/>
      <c r="E35" s="69"/>
      <c r="F35" s="70"/>
      <c r="G35" s="70"/>
      <c r="H35" s="70"/>
      <c r="I35" s="70">
        <f>SUM(G35:H35)+'BM 003'!I35</f>
        <v>0</v>
      </c>
      <c r="J35" s="70">
        <f t="shared" si="4"/>
        <v>0</v>
      </c>
      <c r="K35" s="71"/>
      <c r="L35" s="71">
        <f t="shared" si="2"/>
        <v>0</v>
      </c>
      <c r="M35" s="73">
        <f t="shared" ref="M35:R35" si="5">SUM(M36:M42)</f>
        <v>6921.1</v>
      </c>
      <c r="N35" s="73">
        <f t="shared" si="5"/>
        <v>6921.1</v>
      </c>
      <c r="O35" s="73">
        <f t="shared" si="5"/>
        <v>352925.19</v>
      </c>
      <c r="P35" s="73">
        <f t="shared" si="5"/>
        <v>278420</v>
      </c>
      <c r="Q35" s="73">
        <f t="shared" si="5"/>
        <v>352925.19</v>
      </c>
      <c r="R35" s="73">
        <f t="shared" si="5"/>
        <v>0</v>
      </c>
    </row>
    <row r="36" spans="1:21" s="34" customFormat="1" ht="13.2">
      <c r="B36" s="87" t="s">
        <v>77</v>
      </c>
      <c r="C36" s="88" t="s">
        <v>78</v>
      </c>
      <c r="D36" s="89" t="s">
        <v>79</v>
      </c>
      <c r="E36" s="90">
        <v>128</v>
      </c>
      <c r="F36" s="91"/>
      <c r="G36" s="91"/>
      <c r="H36" s="91"/>
      <c r="I36" s="79">
        <f>SUM(G36:H36)+'BM 003'!I36</f>
        <v>128</v>
      </c>
      <c r="J36" s="91">
        <f t="shared" si="4"/>
        <v>0</v>
      </c>
      <c r="K36" s="80">
        <v>125</v>
      </c>
      <c r="L36" s="81">
        <f t="shared" si="2"/>
        <v>158.45001375000001</v>
      </c>
      <c r="M36" s="82">
        <f t="shared" ref="M36:M42" si="6">TRUNC(F36*L36,2)</f>
        <v>0</v>
      </c>
      <c r="N36" s="82">
        <f t="shared" ref="N36:N42" si="7">TRUNC(G36*L36,2)</f>
        <v>0</v>
      </c>
      <c r="O36" s="82">
        <f>N36+'BM 003'!O36</f>
        <v>20281.599999999999</v>
      </c>
      <c r="P36" s="82">
        <f t="shared" ref="P36:P42" si="8">E36*K36</f>
        <v>16000</v>
      </c>
      <c r="Q36" s="82">
        <f t="shared" ref="Q36:Q42" si="9">TRUNC(E36*L36,2)</f>
        <v>20281.599999999999</v>
      </c>
      <c r="R36" s="82">
        <f t="shared" ref="R36:R42" si="10">Q36-O36</f>
        <v>0</v>
      </c>
    </row>
    <row r="37" spans="1:21" s="34" customFormat="1" ht="46.2">
      <c r="B37" s="87" t="s">
        <v>80</v>
      </c>
      <c r="C37" s="76" t="s">
        <v>81</v>
      </c>
      <c r="D37" s="77" t="s">
        <v>82</v>
      </c>
      <c r="E37" s="78">
        <v>156</v>
      </c>
      <c r="F37" s="91">
        <v>78.000100000000003</v>
      </c>
      <c r="G37" s="91">
        <f>F37</f>
        <v>78.000100000000003</v>
      </c>
      <c r="H37" s="91"/>
      <c r="I37" s="79">
        <f>SUM(G37:H37)+'BM 003'!I37</f>
        <v>156.0001</v>
      </c>
      <c r="J37" s="91">
        <f t="shared" si="4"/>
        <v>-1.0000000000331966E-4</v>
      </c>
      <c r="K37" s="80">
        <v>70</v>
      </c>
      <c r="L37" s="81">
        <f t="shared" si="2"/>
        <v>88.732007699999997</v>
      </c>
      <c r="M37" s="82">
        <f t="shared" si="6"/>
        <v>6921.1</v>
      </c>
      <c r="N37" s="82">
        <f t="shared" si="7"/>
        <v>6921.1</v>
      </c>
      <c r="O37" s="82">
        <f>N37+'BM 003'!O37</f>
        <v>13842.19</v>
      </c>
      <c r="P37" s="82">
        <f t="shared" si="8"/>
        <v>10920</v>
      </c>
      <c r="Q37" s="82">
        <f t="shared" si="9"/>
        <v>13842.19</v>
      </c>
      <c r="R37" s="82">
        <f t="shared" si="10"/>
        <v>0</v>
      </c>
    </row>
    <row r="38" spans="1:21" s="34" customFormat="1" ht="34.799999999999997">
      <c r="B38" s="87" t="s">
        <v>83</v>
      </c>
      <c r="C38" s="88" t="s">
        <v>84</v>
      </c>
      <c r="D38" s="89" t="s">
        <v>79</v>
      </c>
      <c r="E38" s="92">
        <v>40</v>
      </c>
      <c r="F38" s="91"/>
      <c r="G38" s="91"/>
      <c r="H38" s="91"/>
      <c r="I38" s="79">
        <f>SUM(G38:H38)+'BM 003'!I38</f>
        <v>40</v>
      </c>
      <c r="J38" s="91">
        <f t="shared" si="4"/>
        <v>0</v>
      </c>
      <c r="K38" s="80">
        <v>1150</v>
      </c>
      <c r="L38" s="81">
        <f t="shared" si="2"/>
        <v>1457.7401265000001</v>
      </c>
      <c r="M38" s="82">
        <f t="shared" si="6"/>
        <v>0</v>
      </c>
      <c r="N38" s="82">
        <f t="shared" si="7"/>
        <v>0</v>
      </c>
      <c r="O38" s="82">
        <f>N38+'BM 003'!O38</f>
        <v>58309.599999999999</v>
      </c>
      <c r="P38" s="82">
        <f t="shared" si="8"/>
        <v>46000</v>
      </c>
      <c r="Q38" s="82">
        <f t="shared" si="9"/>
        <v>58309.599999999999</v>
      </c>
      <c r="R38" s="82">
        <f t="shared" si="10"/>
        <v>0</v>
      </c>
    </row>
    <row r="39" spans="1:21" s="34" customFormat="1" ht="23.4">
      <c r="B39" s="87" t="s">
        <v>85</v>
      </c>
      <c r="C39" s="88" t="s">
        <v>86</v>
      </c>
      <c r="D39" s="89" t="s">
        <v>79</v>
      </c>
      <c r="E39" s="92">
        <v>68</v>
      </c>
      <c r="F39" s="91"/>
      <c r="G39" s="91"/>
      <c r="H39" s="91"/>
      <c r="I39" s="79">
        <f>SUM(G39:H39)+'BM 003'!I39</f>
        <v>68</v>
      </c>
      <c r="J39" s="91">
        <f t="shared" si="4"/>
        <v>0</v>
      </c>
      <c r="K39" s="80">
        <v>1000</v>
      </c>
      <c r="L39" s="81">
        <f t="shared" si="2"/>
        <v>1267.6001100000001</v>
      </c>
      <c r="M39" s="82">
        <f t="shared" si="6"/>
        <v>0</v>
      </c>
      <c r="N39" s="82">
        <f t="shared" si="7"/>
        <v>0</v>
      </c>
      <c r="O39" s="82">
        <f>N39+'BM 003'!O39</f>
        <v>86196.800000000003</v>
      </c>
      <c r="P39" s="82">
        <f t="shared" si="8"/>
        <v>68000</v>
      </c>
      <c r="Q39" s="82">
        <f t="shared" si="9"/>
        <v>86196.800000000003</v>
      </c>
      <c r="R39" s="82">
        <f t="shared" si="10"/>
        <v>0</v>
      </c>
    </row>
    <row r="40" spans="1:21" s="34" customFormat="1" ht="34.799999999999997">
      <c r="B40" s="87" t="s">
        <v>87</v>
      </c>
      <c r="C40" s="88" t="s">
        <v>88</v>
      </c>
      <c r="D40" s="89" t="s">
        <v>79</v>
      </c>
      <c r="E40" s="92">
        <v>60</v>
      </c>
      <c r="F40" s="91"/>
      <c r="G40" s="91"/>
      <c r="H40" s="91"/>
      <c r="I40" s="79">
        <f>SUM(G40:H40)+'BM 003'!I40</f>
        <v>60</v>
      </c>
      <c r="J40" s="91">
        <f t="shared" si="4"/>
        <v>0</v>
      </c>
      <c r="K40" s="80">
        <v>600</v>
      </c>
      <c r="L40" s="81">
        <f t="shared" si="2"/>
        <v>760.56006600000001</v>
      </c>
      <c r="M40" s="82">
        <f t="shared" si="6"/>
        <v>0</v>
      </c>
      <c r="N40" s="82">
        <f t="shared" si="7"/>
        <v>0</v>
      </c>
      <c r="O40" s="82">
        <f>N40+'BM 003'!O40</f>
        <v>45633.599999999999</v>
      </c>
      <c r="P40" s="82">
        <f t="shared" si="8"/>
        <v>36000</v>
      </c>
      <c r="Q40" s="82">
        <f t="shared" si="9"/>
        <v>45633.599999999999</v>
      </c>
      <c r="R40" s="82">
        <f t="shared" si="10"/>
        <v>0</v>
      </c>
      <c r="T40" s="83"/>
      <c r="U40" s="83"/>
    </row>
    <row r="41" spans="1:21" s="34" customFormat="1" ht="34.799999999999997">
      <c r="B41" s="87" t="s">
        <v>89</v>
      </c>
      <c r="C41" s="76" t="s">
        <v>90</v>
      </c>
      <c r="D41" s="77" t="s">
        <v>79</v>
      </c>
      <c r="E41" s="78">
        <v>60</v>
      </c>
      <c r="F41" s="79"/>
      <c r="G41" s="91"/>
      <c r="H41" s="79"/>
      <c r="I41" s="79">
        <f>SUM(G41:H41)+'BM 003'!I41</f>
        <v>60</v>
      </c>
      <c r="J41" s="79">
        <f t="shared" si="4"/>
        <v>0</v>
      </c>
      <c r="K41" s="80">
        <v>1150</v>
      </c>
      <c r="L41" s="81">
        <f t="shared" si="2"/>
        <v>1457.7401265000001</v>
      </c>
      <c r="M41" s="82">
        <f t="shared" si="6"/>
        <v>0</v>
      </c>
      <c r="N41" s="82">
        <f t="shared" si="7"/>
        <v>0</v>
      </c>
      <c r="O41" s="82">
        <f>N41+'BM 003'!O41</f>
        <v>87464.4</v>
      </c>
      <c r="P41" s="82">
        <f t="shared" si="8"/>
        <v>69000</v>
      </c>
      <c r="Q41" s="82">
        <f t="shared" si="9"/>
        <v>87464.4</v>
      </c>
      <c r="R41" s="82">
        <f t="shared" si="10"/>
        <v>0</v>
      </c>
    </row>
    <row r="42" spans="1:21" s="34" customFormat="1" ht="34.200000000000003">
      <c r="B42" s="87" t="s">
        <v>91</v>
      </c>
      <c r="C42" s="184" t="s">
        <v>1195</v>
      </c>
      <c r="D42" s="77" t="s">
        <v>79</v>
      </c>
      <c r="E42" s="78">
        <v>50</v>
      </c>
      <c r="F42" s="79"/>
      <c r="G42" s="91"/>
      <c r="H42" s="79"/>
      <c r="I42" s="79">
        <f>SUM(G42:H42)+'BM 003'!I42</f>
        <v>50</v>
      </c>
      <c r="J42" s="79">
        <f t="shared" si="4"/>
        <v>0</v>
      </c>
      <c r="K42" s="80">
        <v>650</v>
      </c>
      <c r="L42" s="81">
        <f t="shared" si="2"/>
        <v>823.94007150000004</v>
      </c>
      <c r="M42" s="82">
        <f t="shared" si="6"/>
        <v>0</v>
      </c>
      <c r="N42" s="82">
        <f t="shared" si="7"/>
        <v>0</v>
      </c>
      <c r="O42" s="82">
        <f>N42+'BM 003'!O42</f>
        <v>41197</v>
      </c>
      <c r="P42" s="82">
        <f t="shared" si="8"/>
        <v>32500</v>
      </c>
      <c r="Q42" s="82">
        <f t="shared" si="9"/>
        <v>41197</v>
      </c>
      <c r="R42" s="82">
        <f t="shared" si="10"/>
        <v>0</v>
      </c>
    </row>
    <row r="43" spans="1:21" s="34" customFormat="1" ht="13.2">
      <c r="B43" s="66" t="s">
        <v>93</v>
      </c>
      <c r="C43" s="67" t="s">
        <v>94</v>
      </c>
      <c r="D43" s="68"/>
      <c r="E43" s="69"/>
      <c r="F43" s="70"/>
      <c r="G43" s="70"/>
      <c r="H43" s="70"/>
      <c r="I43" s="70">
        <f>SUM(G43:H43)+'BM 003'!I43</f>
        <v>0</v>
      </c>
      <c r="J43" s="70">
        <f t="shared" si="4"/>
        <v>0</v>
      </c>
      <c r="K43" s="71"/>
      <c r="L43" s="71">
        <f t="shared" si="2"/>
        <v>0</v>
      </c>
      <c r="M43" s="73">
        <f t="shared" ref="M43:R43" si="11">SUM(M44:M51)</f>
        <v>0</v>
      </c>
      <c r="N43" s="73">
        <f t="shared" si="11"/>
        <v>0</v>
      </c>
      <c r="O43" s="73">
        <f t="shared" si="11"/>
        <v>82476.06</v>
      </c>
      <c r="P43" s="73">
        <f t="shared" si="11"/>
        <v>220037.1</v>
      </c>
      <c r="Q43" s="73">
        <f t="shared" si="11"/>
        <v>278919.01</v>
      </c>
      <c r="R43" s="73">
        <f t="shared" si="11"/>
        <v>196442.95</v>
      </c>
    </row>
    <row r="44" spans="1:21" s="34" customFormat="1" ht="34.799999999999997">
      <c r="A44" s="83"/>
      <c r="B44" s="87" t="s">
        <v>95</v>
      </c>
      <c r="C44" s="76" t="s">
        <v>96</v>
      </c>
      <c r="D44" s="77" t="s">
        <v>79</v>
      </c>
      <c r="E44" s="93">
        <v>2573.3000000000002</v>
      </c>
      <c r="F44" s="79"/>
      <c r="G44" s="79"/>
      <c r="H44" s="79"/>
      <c r="I44" s="79">
        <f>SUM(G44:H44)+'BM 003'!I44</f>
        <v>2573.3000000000002</v>
      </c>
      <c r="J44" s="79">
        <f t="shared" si="4"/>
        <v>0</v>
      </c>
      <c r="K44" s="80">
        <v>2</v>
      </c>
      <c r="L44" s="81">
        <f t="shared" si="2"/>
        <v>2.5352002200000001</v>
      </c>
      <c r="M44" s="82">
        <f t="shared" ref="M44:M51" si="12">TRUNC(F44*L44,2)</f>
        <v>0</v>
      </c>
      <c r="N44" s="82">
        <f t="shared" ref="N44:N51" si="13">TRUNC(G44*L44,2)</f>
        <v>0</v>
      </c>
      <c r="O44" s="82">
        <f>N44+'BM 003'!O44</f>
        <v>6523.83</v>
      </c>
      <c r="P44" s="82">
        <f t="shared" ref="P44:P51" si="14">E44*K44</f>
        <v>5146.6000000000004</v>
      </c>
      <c r="Q44" s="82">
        <f t="shared" ref="Q44:Q51" si="15">TRUNC(E44*L44,2)</f>
        <v>6523.83</v>
      </c>
      <c r="R44" s="82">
        <f t="shared" ref="R44:R51" si="16">Q44-O44</f>
        <v>0</v>
      </c>
    </row>
    <row r="45" spans="1:21" s="34" customFormat="1" ht="23.4">
      <c r="B45" s="87" t="s">
        <v>97</v>
      </c>
      <c r="C45" s="88" t="s">
        <v>98</v>
      </c>
      <c r="D45" s="89" t="s">
        <v>99</v>
      </c>
      <c r="E45" s="90">
        <v>5.9</v>
      </c>
      <c r="F45" s="91"/>
      <c r="G45" s="91"/>
      <c r="H45" s="91"/>
      <c r="I45" s="79">
        <f>SUM(G45:H45)+'BM 003'!I45</f>
        <v>5.9</v>
      </c>
      <c r="J45" s="91">
        <f t="shared" si="4"/>
        <v>0</v>
      </c>
      <c r="K45" s="80">
        <v>55</v>
      </c>
      <c r="L45" s="81">
        <f t="shared" si="2"/>
        <v>69.71800605</v>
      </c>
      <c r="M45" s="82">
        <f t="shared" si="12"/>
        <v>0</v>
      </c>
      <c r="N45" s="82">
        <f t="shared" si="13"/>
        <v>0</v>
      </c>
      <c r="O45" s="82">
        <f>N45+'BM 003'!O45</f>
        <v>411.33</v>
      </c>
      <c r="P45" s="82">
        <f t="shared" si="14"/>
        <v>324.5</v>
      </c>
      <c r="Q45" s="82">
        <f t="shared" si="15"/>
        <v>411.33</v>
      </c>
      <c r="R45" s="82">
        <f t="shared" si="16"/>
        <v>0</v>
      </c>
    </row>
    <row r="46" spans="1:21" s="34" customFormat="1" ht="13.2">
      <c r="B46" s="87" t="s">
        <v>100</v>
      </c>
      <c r="C46" s="88" t="s">
        <v>101</v>
      </c>
      <c r="D46" s="89" t="s">
        <v>79</v>
      </c>
      <c r="E46" s="90">
        <v>88</v>
      </c>
      <c r="F46" s="91"/>
      <c r="G46" s="91"/>
      <c r="H46" s="91"/>
      <c r="I46" s="79">
        <f>SUM(G46:H46)+'BM 003'!I46</f>
        <v>88</v>
      </c>
      <c r="J46" s="91">
        <f t="shared" si="4"/>
        <v>0</v>
      </c>
      <c r="K46" s="80">
        <v>10</v>
      </c>
      <c r="L46" s="81">
        <f t="shared" si="2"/>
        <v>12.676001100000001</v>
      </c>
      <c r="M46" s="82">
        <f t="shared" si="12"/>
        <v>0</v>
      </c>
      <c r="N46" s="82">
        <f t="shared" si="13"/>
        <v>0</v>
      </c>
      <c r="O46" s="82">
        <f>N46+'BM 003'!O46</f>
        <v>1115.48</v>
      </c>
      <c r="P46" s="82">
        <f t="shared" si="14"/>
        <v>880</v>
      </c>
      <c r="Q46" s="82">
        <f t="shared" si="15"/>
        <v>1115.48</v>
      </c>
      <c r="R46" s="82">
        <f t="shared" si="16"/>
        <v>0</v>
      </c>
    </row>
    <row r="47" spans="1:21" s="34" customFormat="1" ht="34.799999999999997">
      <c r="B47" s="87" t="s">
        <v>102</v>
      </c>
      <c r="C47" s="88" t="s">
        <v>103</v>
      </c>
      <c r="D47" s="89" t="s">
        <v>99</v>
      </c>
      <c r="E47" s="90">
        <v>6.8</v>
      </c>
      <c r="F47" s="91"/>
      <c r="G47" s="91"/>
      <c r="H47" s="91"/>
      <c r="I47" s="79">
        <f>SUM(G47:H47)+'BM 003'!I47</f>
        <v>6.8</v>
      </c>
      <c r="J47" s="91">
        <f t="shared" si="4"/>
        <v>0</v>
      </c>
      <c r="K47" s="80">
        <v>220</v>
      </c>
      <c r="L47" s="81">
        <f t="shared" si="2"/>
        <v>278.8720242</v>
      </c>
      <c r="M47" s="82">
        <f t="shared" si="12"/>
        <v>0</v>
      </c>
      <c r="N47" s="82">
        <f t="shared" si="13"/>
        <v>0</v>
      </c>
      <c r="O47" s="82">
        <f>N47+'BM 003'!O47</f>
        <v>1896.32</v>
      </c>
      <c r="P47" s="82">
        <f t="shared" si="14"/>
        <v>1496</v>
      </c>
      <c r="Q47" s="82">
        <f t="shared" si="15"/>
        <v>1896.32</v>
      </c>
      <c r="R47" s="82">
        <f t="shared" si="16"/>
        <v>0</v>
      </c>
    </row>
    <row r="48" spans="1:21" s="34" customFormat="1" ht="23.4">
      <c r="B48" s="87" t="s">
        <v>104</v>
      </c>
      <c r="C48" s="88" t="s">
        <v>105</v>
      </c>
      <c r="D48" s="89" t="s">
        <v>79</v>
      </c>
      <c r="E48" s="90">
        <v>88</v>
      </c>
      <c r="F48" s="91"/>
      <c r="G48" s="91"/>
      <c r="H48" s="91"/>
      <c r="I48" s="79">
        <f>SUM(G48:H48)+'BM 003'!I48</f>
        <v>88</v>
      </c>
      <c r="J48" s="91">
        <f t="shared" si="4"/>
        <v>0</v>
      </c>
      <c r="K48" s="80">
        <v>15</v>
      </c>
      <c r="L48" s="81">
        <f t="shared" si="2"/>
        <v>19.014001650000001</v>
      </c>
      <c r="M48" s="82">
        <f t="shared" si="12"/>
        <v>0</v>
      </c>
      <c r="N48" s="82">
        <f t="shared" si="13"/>
        <v>0</v>
      </c>
      <c r="O48" s="82">
        <f>N48+'BM 003'!O48</f>
        <v>1673.23</v>
      </c>
      <c r="P48" s="80">
        <f t="shared" si="14"/>
        <v>1320</v>
      </c>
      <c r="Q48" s="82">
        <f t="shared" si="15"/>
        <v>1673.23</v>
      </c>
      <c r="R48" s="82">
        <f t="shared" si="16"/>
        <v>0</v>
      </c>
    </row>
    <row r="49" spans="2:20" s="34" customFormat="1" ht="23.4">
      <c r="B49" s="87" t="s">
        <v>106</v>
      </c>
      <c r="C49" s="76" t="s">
        <v>107</v>
      </c>
      <c r="D49" s="89" t="s">
        <v>99</v>
      </c>
      <c r="E49" s="90">
        <v>4350</v>
      </c>
      <c r="F49" s="91"/>
      <c r="G49" s="91"/>
      <c r="H49" s="91"/>
      <c r="I49" s="79">
        <f>SUM(G49:H49)+'BM 003'!I49</f>
        <v>1616.87</v>
      </c>
      <c r="J49" s="91">
        <f t="shared" si="4"/>
        <v>2733.13</v>
      </c>
      <c r="K49" s="80">
        <v>10</v>
      </c>
      <c r="L49" s="81">
        <f t="shared" si="2"/>
        <v>12.676001100000001</v>
      </c>
      <c r="M49" s="82">
        <f t="shared" si="12"/>
        <v>0</v>
      </c>
      <c r="N49" s="82">
        <f t="shared" si="13"/>
        <v>0</v>
      </c>
      <c r="O49" s="82">
        <f>N49+'BM 003'!O49</f>
        <v>20495.439999999999</v>
      </c>
      <c r="P49" s="80">
        <f t="shared" si="14"/>
        <v>43500</v>
      </c>
      <c r="Q49" s="82">
        <f t="shared" si="15"/>
        <v>55140.6</v>
      </c>
      <c r="R49" s="82">
        <f t="shared" si="16"/>
        <v>34645.160000000003</v>
      </c>
      <c r="T49" s="185">
        <v>20000</v>
      </c>
    </row>
    <row r="50" spans="2:20" s="34" customFormat="1" ht="57.6">
      <c r="B50" s="87" t="s">
        <v>108</v>
      </c>
      <c r="C50" s="76" t="s">
        <v>109</v>
      </c>
      <c r="D50" s="89" t="s">
        <v>110</v>
      </c>
      <c r="E50" s="90">
        <v>3985</v>
      </c>
      <c r="F50" s="91"/>
      <c r="G50" s="91"/>
      <c r="H50" s="91"/>
      <c r="I50" s="79">
        <f>SUM(G50:H50)+'BM 003'!I50</f>
        <v>1616.87</v>
      </c>
      <c r="J50" s="91">
        <f t="shared" si="4"/>
        <v>2368.13</v>
      </c>
      <c r="K50" s="80">
        <v>12</v>
      </c>
      <c r="L50" s="81">
        <f t="shared" si="2"/>
        <v>15.211201320000001</v>
      </c>
      <c r="M50" s="82">
        <f t="shared" si="12"/>
        <v>0</v>
      </c>
      <c r="N50" s="82">
        <f t="shared" si="13"/>
        <v>0</v>
      </c>
      <c r="O50" s="82">
        <f>N50+'BM 003'!O50</f>
        <v>24594.530000000002</v>
      </c>
      <c r="P50" s="80">
        <f t="shared" si="14"/>
        <v>47820</v>
      </c>
      <c r="Q50" s="82">
        <f t="shared" si="15"/>
        <v>60616.63</v>
      </c>
      <c r="R50" s="82">
        <f t="shared" si="16"/>
        <v>36022.099999999991</v>
      </c>
      <c r="T50" s="83"/>
    </row>
    <row r="51" spans="2:20" s="34" customFormat="1" ht="34.799999999999997">
      <c r="B51" s="87" t="s">
        <v>111</v>
      </c>
      <c r="C51" s="76" t="s">
        <v>112</v>
      </c>
      <c r="D51" s="89" t="s">
        <v>113</v>
      </c>
      <c r="E51" s="90">
        <f>E50*30</f>
        <v>119550</v>
      </c>
      <c r="F51" s="91"/>
      <c r="G51" s="91"/>
      <c r="H51" s="91"/>
      <c r="I51" s="79">
        <f>SUM(G51:H51)+'BM 003'!I51</f>
        <v>20326.525000000001</v>
      </c>
      <c r="J51" s="91">
        <f t="shared" si="4"/>
        <v>99223.475000000006</v>
      </c>
      <c r="K51" s="80">
        <v>1</v>
      </c>
      <c r="L51" s="81">
        <f t="shared" si="2"/>
        <v>1.2676001100000001</v>
      </c>
      <c r="M51" s="82">
        <f t="shared" si="12"/>
        <v>0</v>
      </c>
      <c r="N51" s="82">
        <f t="shared" si="13"/>
        <v>0</v>
      </c>
      <c r="O51" s="82">
        <f>N51+'BM 003'!O51</f>
        <v>25765.9</v>
      </c>
      <c r="P51" s="80">
        <f t="shared" si="14"/>
        <v>119550</v>
      </c>
      <c r="Q51" s="82">
        <f t="shared" si="15"/>
        <v>151541.59</v>
      </c>
      <c r="R51" s="82">
        <f t="shared" si="16"/>
        <v>125775.69</v>
      </c>
    </row>
    <row r="52" spans="2:20" s="34" customFormat="1" ht="13.2">
      <c r="B52" s="60" t="s">
        <v>114</v>
      </c>
      <c r="C52" s="61" t="s">
        <v>115</v>
      </c>
      <c r="D52" s="60"/>
      <c r="E52" s="62"/>
      <c r="F52" s="63"/>
      <c r="G52" s="63"/>
      <c r="H52" s="63"/>
      <c r="I52" s="63">
        <f>SUM(G52:H52)+'BM 003'!I52</f>
        <v>0</v>
      </c>
      <c r="J52" s="63">
        <f t="shared" si="4"/>
        <v>0</v>
      </c>
      <c r="K52" s="63"/>
      <c r="L52" s="63">
        <f t="shared" si="2"/>
        <v>0</v>
      </c>
      <c r="M52" s="63">
        <f t="shared" ref="M52:R52" si="17">M53</f>
        <v>0</v>
      </c>
      <c r="N52" s="63">
        <f t="shared" si="17"/>
        <v>0</v>
      </c>
      <c r="O52" s="63">
        <f t="shared" si="17"/>
        <v>1043334.3999999999</v>
      </c>
      <c r="P52" s="63">
        <f t="shared" si="17"/>
        <v>823958.14</v>
      </c>
      <c r="Q52" s="63">
        <f t="shared" si="17"/>
        <v>1044449.3999999999</v>
      </c>
      <c r="R52" s="63">
        <f t="shared" si="17"/>
        <v>1115</v>
      </c>
    </row>
    <row r="53" spans="2:20" s="34" customFormat="1" ht="13.2">
      <c r="B53" s="66" t="s">
        <v>116</v>
      </c>
      <c r="C53" s="67" t="s">
        <v>117</v>
      </c>
      <c r="D53" s="68"/>
      <c r="E53" s="69"/>
      <c r="F53" s="70"/>
      <c r="G53" s="70"/>
      <c r="H53" s="70"/>
      <c r="I53" s="70">
        <f>SUM(G53:H53)+'BM 003'!I53</f>
        <v>0</v>
      </c>
      <c r="J53" s="70">
        <f t="shared" si="4"/>
        <v>0</v>
      </c>
      <c r="K53" s="71"/>
      <c r="L53" s="71">
        <f t="shared" si="2"/>
        <v>0</v>
      </c>
      <c r="M53" s="73">
        <f t="shared" ref="M53:R53" si="18">SUM(M54:M61)</f>
        <v>0</v>
      </c>
      <c r="N53" s="73">
        <f t="shared" si="18"/>
        <v>0</v>
      </c>
      <c r="O53" s="73">
        <f t="shared" si="18"/>
        <v>1043334.3999999999</v>
      </c>
      <c r="P53" s="73">
        <f t="shared" si="18"/>
        <v>823958.14</v>
      </c>
      <c r="Q53" s="73">
        <f t="shared" si="18"/>
        <v>1044449.3999999999</v>
      </c>
      <c r="R53" s="73">
        <f t="shared" si="18"/>
        <v>1115</v>
      </c>
    </row>
    <row r="54" spans="2:20" s="34" customFormat="1" ht="34.799999999999997">
      <c r="B54" s="87" t="s">
        <v>118</v>
      </c>
      <c r="C54" s="88" t="s">
        <v>119</v>
      </c>
      <c r="D54" s="89" t="s">
        <v>82</v>
      </c>
      <c r="E54" s="92">
        <v>196.9</v>
      </c>
      <c r="F54" s="91"/>
      <c r="G54" s="91"/>
      <c r="H54" s="91"/>
      <c r="I54" s="79">
        <f>SUM(G54:H54)+'BM 003'!I54</f>
        <v>196.9</v>
      </c>
      <c r="J54" s="91">
        <f t="shared" si="4"/>
        <v>0</v>
      </c>
      <c r="K54" s="80">
        <v>75</v>
      </c>
      <c r="L54" s="81">
        <f t="shared" si="2"/>
        <v>95.070008250000001</v>
      </c>
      <c r="M54" s="82">
        <f t="shared" ref="M54:M61" si="19">TRUNC(F54*L54,2)</f>
        <v>0</v>
      </c>
      <c r="N54" s="82">
        <f t="shared" ref="N54:N61" si="20">TRUNC(G54*L54,2)</f>
        <v>0</v>
      </c>
      <c r="O54" s="82">
        <f>N54+'BM 003'!O54</f>
        <v>18719.28</v>
      </c>
      <c r="P54" s="80">
        <f t="shared" ref="P54:P61" si="21">E54*K54</f>
        <v>14767.5</v>
      </c>
      <c r="Q54" s="82">
        <f t="shared" ref="Q54:Q61" si="22">TRUNC(E54*L54,2)</f>
        <v>18719.28</v>
      </c>
      <c r="R54" s="82">
        <f t="shared" ref="R54:R61" si="23">Q54-O54</f>
        <v>0</v>
      </c>
    </row>
    <row r="55" spans="2:20" s="34" customFormat="1" ht="34.799999999999997">
      <c r="B55" s="87" t="s">
        <v>120</v>
      </c>
      <c r="C55" s="88" t="s">
        <v>121</v>
      </c>
      <c r="D55" s="89" t="s">
        <v>63</v>
      </c>
      <c r="E55" s="92">
        <v>1</v>
      </c>
      <c r="F55" s="91"/>
      <c r="G55" s="91"/>
      <c r="H55" s="91"/>
      <c r="I55" s="79">
        <f>SUM(G55:H55)+'BM 003'!I55</f>
        <v>1</v>
      </c>
      <c r="J55" s="91">
        <f t="shared" si="4"/>
        <v>0</v>
      </c>
      <c r="K55" s="80">
        <v>11000</v>
      </c>
      <c r="L55" s="81">
        <f t="shared" si="2"/>
        <v>13943.601210000001</v>
      </c>
      <c r="M55" s="82">
        <f t="shared" si="19"/>
        <v>0</v>
      </c>
      <c r="N55" s="82">
        <f t="shared" si="20"/>
        <v>0</v>
      </c>
      <c r="O55" s="82">
        <f>N55+'BM 003'!O55</f>
        <v>13943.6</v>
      </c>
      <c r="P55" s="80">
        <f t="shared" si="21"/>
        <v>11000</v>
      </c>
      <c r="Q55" s="82">
        <f t="shared" si="22"/>
        <v>13943.6</v>
      </c>
      <c r="R55" s="82">
        <f t="shared" si="23"/>
        <v>0</v>
      </c>
    </row>
    <row r="56" spans="2:20" s="34" customFormat="1" ht="46.2">
      <c r="B56" s="87" t="s">
        <v>122</v>
      </c>
      <c r="C56" s="88" t="s">
        <v>123</v>
      </c>
      <c r="D56" s="89" t="s">
        <v>124</v>
      </c>
      <c r="E56" s="90">
        <v>1837</v>
      </c>
      <c r="F56" s="91"/>
      <c r="G56" s="91"/>
      <c r="H56" s="91"/>
      <c r="I56" s="79">
        <f>SUM(G56:H56)+'BM 003'!I56</f>
        <v>1837</v>
      </c>
      <c r="J56" s="91">
        <f t="shared" si="4"/>
        <v>0</v>
      </c>
      <c r="K56" s="80">
        <v>405</v>
      </c>
      <c r="L56" s="81">
        <f t="shared" si="2"/>
        <v>513.37804455000003</v>
      </c>
      <c r="M56" s="82">
        <f t="shared" si="19"/>
        <v>0</v>
      </c>
      <c r="N56" s="82">
        <f t="shared" si="20"/>
        <v>0</v>
      </c>
      <c r="O56" s="82">
        <f>N56+'BM 003'!O56</f>
        <v>943075.46</v>
      </c>
      <c r="P56" s="80">
        <f t="shared" si="21"/>
        <v>743985</v>
      </c>
      <c r="Q56" s="82">
        <f t="shared" si="22"/>
        <v>943075.46</v>
      </c>
      <c r="R56" s="82">
        <f t="shared" si="23"/>
        <v>0</v>
      </c>
    </row>
    <row r="57" spans="2:20" s="34" customFormat="1" ht="46.2">
      <c r="B57" s="87" t="s">
        <v>125</v>
      </c>
      <c r="C57" s="88" t="s">
        <v>126</v>
      </c>
      <c r="D57" s="89" t="s">
        <v>110</v>
      </c>
      <c r="E57" s="90">
        <v>293.92</v>
      </c>
      <c r="F57" s="91"/>
      <c r="G57" s="91"/>
      <c r="H57" s="91"/>
      <c r="I57" s="79">
        <f>SUM(G57:H57)+'BM 003'!I57</f>
        <v>293.92</v>
      </c>
      <c r="J57" s="91">
        <f t="shared" si="4"/>
        <v>0</v>
      </c>
      <c r="K57" s="80">
        <v>12</v>
      </c>
      <c r="L57" s="81">
        <f t="shared" si="2"/>
        <v>15.211201320000001</v>
      </c>
      <c r="M57" s="82">
        <f t="shared" si="19"/>
        <v>0</v>
      </c>
      <c r="N57" s="82">
        <f t="shared" si="20"/>
        <v>0</v>
      </c>
      <c r="O57" s="82">
        <f>N57+'BM 003'!O57</f>
        <v>4470.87</v>
      </c>
      <c r="P57" s="80">
        <f t="shared" si="21"/>
        <v>3527.04</v>
      </c>
      <c r="Q57" s="82">
        <f t="shared" si="22"/>
        <v>4470.87</v>
      </c>
      <c r="R57" s="82">
        <f t="shared" si="23"/>
        <v>0</v>
      </c>
    </row>
    <row r="58" spans="2:20" s="34" customFormat="1" ht="34.799999999999997">
      <c r="B58" s="87" t="s">
        <v>127</v>
      </c>
      <c r="C58" s="88" t="s">
        <v>128</v>
      </c>
      <c r="D58" s="89" t="s">
        <v>113</v>
      </c>
      <c r="E58" s="90">
        <f>E57*30</f>
        <v>8817.6</v>
      </c>
      <c r="F58" s="91"/>
      <c r="G58" s="91"/>
      <c r="H58" s="91"/>
      <c r="I58" s="79">
        <f>SUM(G58:H58)+'BM 003'!I58</f>
        <v>7938.0000000000009</v>
      </c>
      <c r="J58" s="91">
        <f t="shared" si="4"/>
        <v>879.59999999999945</v>
      </c>
      <c r="K58" s="80">
        <v>1</v>
      </c>
      <c r="L58" s="81">
        <f t="shared" si="2"/>
        <v>1.2676001100000001</v>
      </c>
      <c r="M58" s="82">
        <f t="shared" si="19"/>
        <v>0</v>
      </c>
      <c r="N58" s="82">
        <f t="shared" si="20"/>
        <v>0</v>
      </c>
      <c r="O58" s="82">
        <f>N58+'BM 003'!O58</f>
        <v>10062.200000000001</v>
      </c>
      <c r="P58" s="80">
        <f t="shared" si="21"/>
        <v>8817.6</v>
      </c>
      <c r="Q58" s="82">
        <f t="shared" si="22"/>
        <v>11177.19</v>
      </c>
      <c r="R58" s="82">
        <f t="shared" si="23"/>
        <v>1114.9899999999998</v>
      </c>
    </row>
    <row r="59" spans="2:20" s="34" customFormat="1" ht="23.4">
      <c r="B59" s="87" t="s">
        <v>129</v>
      </c>
      <c r="C59" s="88" t="s">
        <v>130</v>
      </c>
      <c r="D59" s="89" t="s">
        <v>131</v>
      </c>
      <c r="E59" s="92">
        <v>167</v>
      </c>
      <c r="F59" s="91"/>
      <c r="G59" s="91"/>
      <c r="H59" s="91"/>
      <c r="I59" s="79">
        <f>SUM(G59:H59)+'BM 003'!I59</f>
        <v>167</v>
      </c>
      <c r="J59" s="91">
        <f t="shared" si="4"/>
        <v>0</v>
      </c>
      <c r="K59" s="80">
        <v>23</v>
      </c>
      <c r="L59" s="81">
        <f t="shared" si="2"/>
        <v>29.154802530000001</v>
      </c>
      <c r="M59" s="82">
        <f t="shared" si="19"/>
        <v>0</v>
      </c>
      <c r="N59" s="82">
        <f t="shared" si="20"/>
        <v>0</v>
      </c>
      <c r="O59" s="82">
        <f>N59+'BM 003'!O59</f>
        <v>4868.84</v>
      </c>
      <c r="P59" s="80">
        <f t="shared" si="21"/>
        <v>3841</v>
      </c>
      <c r="Q59" s="82">
        <f t="shared" si="22"/>
        <v>4868.8500000000004</v>
      </c>
      <c r="R59" s="82">
        <f t="shared" si="23"/>
        <v>1.0000000000218279E-2</v>
      </c>
    </row>
    <row r="60" spans="2:20" s="34" customFormat="1" ht="13.2">
      <c r="B60" s="87" t="s">
        <v>132</v>
      </c>
      <c r="C60" s="88" t="s">
        <v>133</v>
      </c>
      <c r="D60" s="89" t="s">
        <v>63</v>
      </c>
      <c r="E60" s="92">
        <v>2</v>
      </c>
      <c r="F60" s="91"/>
      <c r="G60" s="91"/>
      <c r="H60" s="91"/>
      <c r="I60" s="79">
        <f>SUM(G60:H60)+'BM 003'!I60</f>
        <v>2</v>
      </c>
      <c r="J60" s="91">
        <f t="shared" si="4"/>
        <v>0</v>
      </c>
      <c r="K60" s="80">
        <v>14000</v>
      </c>
      <c r="L60" s="81">
        <f t="shared" si="2"/>
        <v>17746.401540000003</v>
      </c>
      <c r="M60" s="82">
        <f t="shared" si="19"/>
        <v>0</v>
      </c>
      <c r="N60" s="82">
        <f t="shared" si="20"/>
        <v>0</v>
      </c>
      <c r="O60" s="82">
        <f>N60+'BM 003'!O60</f>
        <v>35492.800000000003</v>
      </c>
      <c r="P60" s="80">
        <f t="shared" si="21"/>
        <v>28000</v>
      </c>
      <c r="Q60" s="82">
        <f t="shared" si="22"/>
        <v>35492.800000000003</v>
      </c>
      <c r="R60" s="82">
        <f t="shared" si="23"/>
        <v>0</v>
      </c>
    </row>
    <row r="61" spans="2:20" s="34" customFormat="1" ht="13.2">
      <c r="B61" s="87" t="s">
        <v>134</v>
      </c>
      <c r="C61" s="88" t="s">
        <v>135</v>
      </c>
      <c r="D61" s="89" t="s">
        <v>63</v>
      </c>
      <c r="E61" s="92">
        <v>167</v>
      </c>
      <c r="F61" s="91"/>
      <c r="G61" s="91"/>
      <c r="H61" s="91"/>
      <c r="I61" s="79">
        <f>SUM(G61:H61)+'BM 003'!I61</f>
        <v>167</v>
      </c>
      <c r="J61" s="91">
        <f t="shared" si="4"/>
        <v>0</v>
      </c>
      <c r="K61" s="80">
        <v>60</v>
      </c>
      <c r="L61" s="81">
        <f t="shared" si="2"/>
        <v>76.056006600000003</v>
      </c>
      <c r="M61" s="82">
        <f t="shared" si="19"/>
        <v>0</v>
      </c>
      <c r="N61" s="82">
        <f t="shared" si="20"/>
        <v>0</v>
      </c>
      <c r="O61" s="82">
        <f>N61+'BM 003'!O61</f>
        <v>12701.35</v>
      </c>
      <c r="P61" s="80">
        <f t="shared" si="21"/>
        <v>10020</v>
      </c>
      <c r="Q61" s="82">
        <f t="shared" si="22"/>
        <v>12701.35</v>
      </c>
      <c r="R61" s="82">
        <f t="shared" si="23"/>
        <v>0</v>
      </c>
    </row>
    <row r="62" spans="2:20" s="34" customFormat="1" ht="15.75" customHeight="1">
      <c r="B62" s="60" t="s">
        <v>136</v>
      </c>
      <c r="C62" s="61" t="s">
        <v>137</v>
      </c>
      <c r="D62" s="60"/>
      <c r="E62" s="62"/>
      <c r="F62" s="63"/>
      <c r="G62" s="63"/>
      <c r="H62" s="63"/>
      <c r="I62" s="63">
        <f>SUM(G62:H62)+'BM 003'!I62</f>
        <v>0</v>
      </c>
      <c r="J62" s="63">
        <f t="shared" si="4"/>
        <v>0</v>
      </c>
      <c r="K62" s="63"/>
      <c r="L62" s="63">
        <f t="shared" si="2"/>
        <v>0</v>
      </c>
      <c r="M62" s="63">
        <f t="shared" ref="M62:R62" si="24">SUM(M63,M79)</f>
        <v>358647.96</v>
      </c>
      <c r="N62" s="63">
        <f t="shared" si="24"/>
        <v>358647.96</v>
      </c>
      <c r="O62" s="63">
        <f t="shared" si="24"/>
        <v>713908.68</v>
      </c>
      <c r="P62" s="63">
        <f t="shared" si="24"/>
        <v>621941.5</v>
      </c>
      <c r="Q62" s="63">
        <f t="shared" si="24"/>
        <v>788372.97</v>
      </c>
      <c r="R62" s="63">
        <f t="shared" si="24"/>
        <v>74464.289999999994</v>
      </c>
    </row>
    <row r="63" spans="2:20" s="34" customFormat="1" ht="13.2">
      <c r="B63" s="66" t="s">
        <v>138</v>
      </c>
      <c r="C63" s="67" t="s">
        <v>139</v>
      </c>
      <c r="D63" s="68"/>
      <c r="E63" s="69"/>
      <c r="F63" s="70"/>
      <c r="G63" s="70"/>
      <c r="H63" s="70"/>
      <c r="I63" s="70">
        <f>SUM(G63:H63)+'BM 003'!I63</f>
        <v>0</v>
      </c>
      <c r="J63" s="70">
        <f t="shared" si="4"/>
        <v>0</v>
      </c>
      <c r="K63" s="71"/>
      <c r="L63" s="71">
        <f t="shared" si="2"/>
        <v>0</v>
      </c>
      <c r="M63" s="73">
        <f t="shared" ref="M63:R63" si="25">SUM(M64:M78)</f>
        <v>305739.82</v>
      </c>
      <c r="N63" s="73">
        <f t="shared" si="25"/>
        <v>305739.82</v>
      </c>
      <c r="O63" s="73">
        <f t="shared" si="25"/>
        <v>574584.31000000006</v>
      </c>
      <c r="P63" s="73">
        <f t="shared" si="25"/>
        <v>471600.95</v>
      </c>
      <c r="Q63" s="73">
        <f t="shared" si="25"/>
        <v>597801.35</v>
      </c>
      <c r="R63" s="73">
        <f t="shared" si="25"/>
        <v>23217.039999999994</v>
      </c>
    </row>
    <row r="64" spans="2:20" s="34" customFormat="1" ht="23.4">
      <c r="B64" s="87" t="s">
        <v>140</v>
      </c>
      <c r="C64" s="88" t="s">
        <v>141</v>
      </c>
      <c r="D64" s="89" t="s">
        <v>110</v>
      </c>
      <c r="E64" s="90">
        <v>259.39</v>
      </c>
      <c r="F64" s="91">
        <v>129.69499999999999</v>
      </c>
      <c r="G64" s="91">
        <f t="shared" ref="G64:G78" si="26">F64</f>
        <v>129.69499999999999</v>
      </c>
      <c r="H64" s="91"/>
      <c r="I64" s="79">
        <f>SUM(G64:H64)+'BM 003'!I64</f>
        <v>259.39</v>
      </c>
      <c r="J64" s="91">
        <f t="shared" si="4"/>
        <v>0</v>
      </c>
      <c r="K64" s="80">
        <v>80</v>
      </c>
      <c r="L64" s="81">
        <f t="shared" si="2"/>
        <v>101.4080088</v>
      </c>
      <c r="M64" s="82">
        <f t="shared" ref="M64:M78" si="27">TRUNC(F64*L64,2)</f>
        <v>13152.11</v>
      </c>
      <c r="N64" s="82">
        <f t="shared" ref="N64:N78" si="28">TRUNC(G64*L64,2)</f>
        <v>13152.11</v>
      </c>
      <c r="O64" s="82">
        <f>N64+'BM 003'!O64</f>
        <v>26304.22</v>
      </c>
      <c r="P64" s="80">
        <f t="shared" ref="P64:P78" si="29">E64*K64</f>
        <v>20751.199999999997</v>
      </c>
      <c r="Q64" s="82">
        <f t="shared" ref="Q64:Q78" si="30">TRUNC(E64*L64,2)</f>
        <v>26304.22</v>
      </c>
      <c r="R64" s="82">
        <f t="shared" ref="R64:R78" si="31">Q64-O64</f>
        <v>0</v>
      </c>
    </row>
    <row r="65" spans="2:20" s="34" customFormat="1" ht="23.4">
      <c r="B65" s="87" t="s">
        <v>142</v>
      </c>
      <c r="C65" s="88" t="s">
        <v>143</v>
      </c>
      <c r="D65" s="89" t="s">
        <v>79</v>
      </c>
      <c r="E65" s="92">
        <v>72.260000000000005</v>
      </c>
      <c r="F65" s="91">
        <v>36.130000000000003</v>
      </c>
      <c r="G65" s="91">
        <f t="shared" si="26"/>
        <v>36.130000000000003</v>
      </c>
      <c r="H65" s="91"/>
      <c r="I65" s="79">
        <f>SUM(G65:H65)+'BM 003'!I65</f>
        <v>72.260000000000005</v>
      </c>
      <c r="J65" s="91">
        <f t="shared" si="4"/>
        <v>0</v>
      </c>
      <c r="K65" s="80">
        <v>30</v>
      </c>
      <c r="L65" s="81">
        <f t="shared" si="2"/>
        <v>38.028003300000002</v>
      </c>
      <c r="M65" s="82">
        <f t="shared" si="27"/>
        <v>1373.95</v>
      </c>
      <c r="N65" s="82">
        <f t="shared" si="28"/>
        <v>1373.95</v>
      </c>
      <c r="O65" s="82">
        <f>N65+'BM 003'!O65</f>
        <v>2747.9</v>
      </c>
      <c r="P65" s="80">
        <f t="shared" si="29"/>
        <v>2167.8000000000002</v>
      </c>
      <c r="Q65" s="82">
        <f t="shared" si="30"/>
        <v>2747.9</v>
      </c>
      <c r="R65" s="82">
        <f t="shared" si="31"/>
        <v>0</v>
      </c>
    </row>
    <row r="66" spans="2:20" s="34" customFormat="1" ht="23.4">
      <c r="B66" s="87" t="s">
        <v>144</v>
      </c>
      <c r="C66" s="88" t="s">
        <v>145</v>
      </c>
      <c r="D66" s="89" t="s">
        <v>110</v>
      </c>
      <c r="E66" s="92">
        <v>217.8</v>
      </c>
      <c r="F66" s="91">
        <v>145.93</v>
      </c>
      <c r="G66" s="91">
        <f t="shared" si="26"/>
        <v>145.93</v>
      </c>
      <c r="H66" s="91"/>
      <c r="I66" s="79">
        <f>SUM(G66:H66)+'BM 003'!I66</f>
        <v>217.8</v>
      </c>
      <c r="J66" s="91">
        <f t="shared" si="4"/>
        <v>0</v>
      </c>
      <c r="K66" s="80">
        <v>25</v>
      </c>
      <c r="L66" s="81">
        <f t="shared" si="2"/>
        <v>31.690002750000001</v>
      </c>
      <c r="M66" s="82">
        <f t="shared" si="27"/>
        <v>4624.5200000000004</v>
      </c>
      <c r="N66" s="82">
        <f t="shared" si="28"/>
        <v>4624.5200000000004</v>
      </c>
      <c r="O66" s="82">
        <f>N66+'BM 003'!O66</f>
        <v>6902.08</v>
      </c>
      <c r="P66" s="80">
        <f t="shared" si="29"/>
        <v>5445</v>
      </c>
      <c r="Q66" s="82">
        <f t="shared" si="30"/>
        <v>6902.08</v>
      </c>
      <c r="R66" s="82">
        <f t="shared" si="31"/>
        <v>0</v>
      </c>
    </row>
    <row r="67" spans="2:20" s="34" customFormat="1" ht="46.2">
      <c r="B67" s="87" t="s">
        <v>146</v>
      </c>
      <c r="C67" s="88" t="s">
        <v>126</v>
      </c>
      <c r="D67" s="89" t="s">
        <v>110</v>
      </c>
      <c r="E67" s="90">
        <v>140.80000000000001</v>
      </c>
      <c r="F67" s="91">
        <v>35.799999999999997</v>
      </c>
      <c r="G67" s="91">
        <f t="shared" si="26"/>
        <v>35.799999999999997</v>
      </c>
      <c r="H67" s="91"/>
      <c r="I67" s="79">
        <f>SUM(G67:H67)+'BM 003'!I67</f>
        <v>140.80000000000001</v>
      </c>
      <c r="J67" s="91">
        <f t="shared" si="4"/>
        <v>0</v>
      </c>
      <c r="K67" s="80">
        <v>12</v>
      </c>
      <c r="L67" s="81">
        <f t="shared" si="2"/>
        <v>15.211201320000001</v>
      </c>
      <c r="M67" s="82">
        <f t="shared" si="27"/>
        <v>544.55999999999995</v>
      </c>
      <c r="N67" s="82">
        <f t="shared" si="28"/>
        <v>544.55999999999995</v>
      </c>
      <c r="O67" s="82">
        <f>N67+'BM 003'!O67</f>
        <v>2141.73</v>
      </c>
      <c r="P67" s="80">
        <f t="shared" si="29"/>
        <v>1689.6000000000001</v>
      </c>
      <c r="Q67" s="82">
        <f t="shared" si="30"/>
        <v>2141.73</v>
      </c>
      <c r="R67" s="82">
        <f t="shared" si="31"/>
        <v>0</v>
      </c>
    </row>
    <row r="68" spans="2:20" s="34" customFormat="1" ht="34.799999999999997">
      <c r="B68" s="87" t="s">
        <v>147</v>
      </c>
      <c r="C68" s="88" t="s">
        <v>128</v>
      </c>
      <c r="D68" s="89" t="s">
        <v>113</v>
      </c>
      <c r="E68" s="90">
        <f>E64*30</f>
        <v>7781.7</v>
      </c>
      <c r="F68" s="91">
        <v>4631.7</v>
      </c>
      <c r="G68" s="91">
        <f t="shared" si="26"/>
        <v>4631.7</v>
      </c>
      <c r="H68" s="91"/>
      <c r="I68" s="79">
        <f>SUM(G68:H68)+'BM 003'!I68</f>
        <v>7781.7</v>
      </c>
      <c r="J68" s="91">
        <f t="shared" si="4"/>
        <v>0</v>
      </c>
      <c r="K68" s="80">
        <v>1</v>
      </c>
      <c r="L68" s="81">
        <f t="shared" si="2"/>
        <v>1.2676001100000001</v>
      </c>
      <c r="M68" s="82">
        <f t="shared" si="27"/>
        <v>5871.14</v>
      </c>
      <c r="N68" s="82">
        <f t="shared" si="28"/>
        <v>5871.14</v>
      </c>
      <c r="O68" s="82">
        <f>N68+'BM 003'!O68</f>
        <v>9864.08</v>
      </c>
      <c r="P68" s="80">
        <f t="shared" si="29"/>
        <v>7781.7</v>
      </c>
      <c r="Q68" s="82">
        <f t="shared" si="30"/>
        <v>9864.08</v>
      </c>
      <c r="R68" s="82">
        <f t="shared" si="31"/>
        <v>0</v>
      </c>
      <c r="T68" s="83"/>
    </row>
    <row r="69" spans="2:20" s="34" customFormat="1" ht="23.4">
      <c r="B69" s="87" t="s">
        <v>148</v>
      </c>
      <c r="C69" s="88" t="s">
        <v>149</v>
      </c>
      <c r="D69" s="89" t="s">
        <v>79</v>
      </c>
      <c r="E69" s="90">
        <v>233.48</v>
      </c>
      <c r="F69" s="91">
        <f>'M.C. MED. 04'!K227</f>
        <v>91.189200000000071</v>
      </c>
      <c r="G69" s="91">
        <f t="shared" si="26"/>
        <v>91.189200000000071</v>
      </c>
      <c r="H69" s="91"/>
      <c r="I69" s="79">
        <f>SUM(G69:H69)+'BM 003'!I69</f>
        <v>168.22920000000008</v>
      </c>
      <c r="J69" s="91">
        <f t="shared" si="4"/>
        <v>65.250799999999913</v>
      </c>
      <c r="K69" s="80">
        <v>35</v>
      </c>
      <c r="L69" s="81">
        <f t="shared" si="2"/>
        <v>44.366003849999998</v>
      </c>
      <c r="M69" s="82">
        <f t="shared" si="27"/>
        <v>4045.7</v>
      </c>
      <c r="N69" s="82">
        <f t="shared" si="28"/>
        <v>4045.7</v>
      </c>
      <c r="O69" s="82">
        <f>N69+'BM 003'!O69</f>
        <v>7463.65</v>
      </c>
      <c r="P69" s="80">
        <f t="shared" si="29"/>
        <v>8171.7999999999993</v>
      </c>
      <c r="Q69" s="82">
        <f t="shared" si="30"/>
        <v>10358.57</v>
      </c>
      <c r="R69" s="82">
        <f t="shared" si="31"/>
        <v>2894.92</v>
      </c>
    </row>
    <row r="70" spans="2:20" s="34" customFormat="1" ht="23.4">
      <c r="B70" s="87" t="s">
        <v>150</v>
      </c>
      <c r="C70" s="88" t="s">
        <v>151</v>
      </c>
      <c r="D70" s="89" t="s">
        <v>152</v>
      </c>
      <c r="E70" s="90">
        <v>190.3</v>
      </c>
      <c r="F70" s="91">
        <f>'M.C. MED. 04'!K238</f>
        <v>0</v>
      </c>
      <c r="G70" s="91">
        <f t="shared" si="26"/>
        <v>0</v>
      </c>
      <c r="H70" s="91"/>
      <c r="I70" s="79">
        <f>SUM(G70:H70)+'BM 003'!I70</f>
        <v>171.77160000000001</v>
      </c>
      <c r="J70" s="91">
        <f t="shared" si="4"/>
        <v>18.528400000000005</v>
      </c>
      <c r="K70" s="80">
        <v>20</v>
      </c>
      <c r="L70" s="81">
        <f t="shared" si="2"/>
        <v>25.352002200000001</v>
      </c>
      <c r="M70" s="82">
        <f t="shared" si="27"/>
        <v>0</v>
      </c>
      <c r="N70" s="82">
        <f t="shared" si="28"/>
        <v>0</v>
      </c>
      <c r="O70" s="82">
        <f>N70+'BM 003'!O70</f>
        <v>4354.75</v>
      </c>
      <c r="P70" s="80">
        <f t="shared" si="29"/>
        <v>3806</v>
      </c>
      <c r="Q70" s="82">
        <f t="shared" si="30"/>
        <v>4824.4799999999996</v>
      </c>
      <c r="R70" s="82">
        <f t="shared" si="31"/>
        <v>469.72999999999956</v>
      </c>
    </row>
    <row r="71" spans="2:20" s="34" customFormat="1" ht="34.799999999999997">
      <c r="B71" s="87" t="s">
        <v>153</v>
      </c>
      <c r="C71" s="88" t="s">
        <v>154</v>
      </c>
      <c r="D71" s="89" t="s">
        <v>152</v>
      </c>
      <c r="E71" s="90">
        <v>77</v>
      </c>
      <c r="F71" s="91">
        <f>'M.C. MED. 04'!K249</f>
        <v>0</v>
      </c>
      <c r="G71" s="91">
        <f t="shared" si="26"/>
        <v>0</v>
      </c>
      <c r="H71" s="91"/>
      <c r="I71" s="79">
        <f>SUM(G71:H71)+'BM 003'!I71</f>
        <v>77</v>
      </c>
      <c r="J71" s="91">
        <f t="shared" si="4"/>
        <v>0</v>
      </c>
      <c r="K71" s="80">
        <v>19</v>
      </c>
      <c r="L71" s="81">
        <f t="shared" si="2"/>
        <v>24.084402090000001</v>
      </c>
      <c r="M71" s="82">
        <f t="shared" si="27"/>
        <v>0</v>
      </c>
      <c r="N71" s="82">
        <f t="shared" si="28"/>
        <v>0</v>
      </c>
      <c r="O71" s="82">
        <f>N71+'BM 003'!O71</f>
        <v>1854.49</v>
      </c>
      <c r="P71" s="80">
        <f t="shared" si="29"/>
        <v>1463</v>
      </c>
      <c r="Q71" s="82">
        <f t="shared" si="30"/>
        <v>1854.49</v>
      </c>
      <c r="R71" s="82">
        <f t="shared" si="31"/>
        <v>0</v>
      </c>
    </row>
    <row r="72" spans="2:20" s="34" customFormat="1" ht="23.4">
      <c r="B72" s="87" t="s">
        <v>155</v>
      </c>
      <c r="C72" s="88" t="s">
        <v>156</v>
      </c>
      <c r="D72" s="89" t="s">
        <v>152</v>
      </c>
      <c r="E72" s="90">
        <v>566.5</v>
      </c>
      <c r="F72" s="91">
        <f>'M.C. MED. 04'!K260</f>
        <v>240.36650000000003</v>
      </c>
      <c r="G72" s="91">
        <f t="shared" si="26"/>
        <v>240.36650000000003</v>
      </c>
      <c r="H72" s="91"/>
      <c r="I72" s="79">
        <f>SUM(G72:H72)+'BM 003'!I72</f>
        <v>493.15750000000003</v>
      </c>
      <c r="J72" s="91">
        <f t="shared" si="4"/>
        <v>73.342499999999973</v>
      </c>
      <c r="K72" s="80">
        <v>17.5</v>
      </c>
      <c r="L72" s="81">
        <f t="shared" si="2"/>
        <v>22.183001924999999</v>
      </c>
      <c r="M72" s="82">
        <f t="shared" si="27"/>
        <v>5332.05</v>
      </c>
      <c r="N72" s="82">
        <f t="shared" si="28"/>
        <v>5332.05</v>
      </c>
      <c r="O72" s="82">
        <f>N72+'BM 003'!O72</f>
        <v>10939.71</v>
      </c>
      <c r="P72" s="80">
        <f t="shared" si="29"/>
        <v>9913.75</v>
      </c>
      <c r="Q72" s="82">
        <f t="shared" si="30"/>
        <v>12566.67</v>
      </c>
      <c r="R72" s="82">
        <f t="shared" si="31"/>
        <v>1626.9600000000009</v>
      </c>
    </row>
    <row r="73" spans="2:20" s="34" customFormat="1" ht="23.4">
      <c r="B73" s="87" t="s">
        <v>157</v>
      </c>
      <c r="C73" s="88" t="s">
        <v>158</v>
      </c>
      <c r="D73" s="89" t="s">
        <v>152</v>
      </c>
      <c r="E73" s="90">
        <v>1663.2</v>
      </c>
      <c r="F73" s="91">
        <f>'M.C. MED. 04'!K271+0.0003</f>
        <v>1162.9983999999999</v>
      </c>
      <c r="G73" s="91">
        <f t="shared" si="26"/>
        <v>1162.9983999999999</v>
      </c>
      <c r="H73" s="91"/>
      <c r="I73" s="79">
        <f>SUM(G73:H73)+'BM 003'!I73</f>
        <v>1663.2003</v>
      </c>
      <c r="J73" s="91">
        <f t="shared" si="4"/>
        <v>-2.9999999992469384E-4</v>
      </c>
      <c r="K73" s="80">
        <v>16</v>
      </c>
      <c r="L73" s="81">
        <f t="shared" si="2"/>
        <v>20.281601760000001</v>
      </c>
      <c r="M73" s="82">
        <f t="shared" si="27"/>
        <v>23587.47</v>
      </c>
      <c r="N73" s="82">
        <f t="shared" si="28"/>
        <v>23587.47</v>
      </c>
      <c r="O73" s="82">
        <f>N73+'BM 003'!O73</f>
        <v>33732.36</v>
      </c>
      <c r="P73" s="80">
        <f t="shared" si="29"/>
        <v>26611.200000000001</v>
      </c>
      <c r="Q73" s="82">
        <f t="shared" si="30"/>
        <v>33732.36</v>
      </c>
      <c r="R73" s="82">
        <f t="shared" si="31"/>
        <v>0</v>
      </c>
    </row>
    <row r="74" spans="2:20" s="34" customFormat="1" ht="23.4">
      <c r="B74" s="87" t="s">
        <v>159</v>
      </c>
      <c r="C74" s="88" t="s">
        <v>160</v>
      </c>
      <c r="D74" s="89" t="s">
        <v>152</v>
      </c>
      <c r="E74" s="90">
        <v>4944.5</v>
      </c>
      <c r="F74" s="91">
        <f>'M.C. MED. 04'!K282+0.0003</f>
        <v>1403.443</v>
      </c>
      <c r="G74" s="91">
        <f t="shared" si="26"/>
        <v>1403.443</v>
      </c>
      <c r="H74" s="91"/>
      <c r="I74" s="79">
        <f>SUM(G74:H74)+'BM 003'!I74</f>
        <v>4944.5003000000006</v>
      </c>
      <c r="J74" s="91">
        <f t="shared" si="4"/>
        <v>-3.0000000060681487E-4</v>
      </c>
      <c r="K74" s="80">
        <v>14.5</v>
      </c>
      <c r="L74" s="81">
        <f t="shared" si="2"/>
        <v>18.380201595000003</v>
      </c>
      <c r="M74" s="82">
        <f t="shared" si="27"/>
        <v>25795.56</v>
      </c>
      <c r="N74" s="82">
        <f t="shared" si="28"/>
        <v>25795.56</v>
      </c>
      <c r="O74" s="82">
        <f>N74+'BM 003'!O74</f>
        <v>90880.9</v>
      </c>
      <c r="P74" s="80">
        <f t="shared" si="29"/>
        <v>71695.25</v>
      </c>
      <c r="Q74" s="82">
        <f t="shared" si="30"/>
        <v>90880.9</v>
      </c>
      <c r="R74" s="82">
        <f t="shared" si="31"/>
        <v>0</v>
      </c>
    </row>
    <row r="75" spans="2:20" s="34" customFormat="1" ht="23.4">
      <c r="B75" s="87" t="s">
        <v>161</v>
      </c>
      <c r="C75" s="88" t="s">
        <v>162</v>
      </c>
      <c r="D75" s="89" t="s">
        <v>152</v>
      </c>
      <c r="E75" s="90">
        <v>115.5</v>
      </c>
      <c r="F75" s="91">
        <f>'M.C. MED. 04'!K293</f>
        <v>0</v>
      </c>
      <c r="G75" s="91">
        <f t="shared" si="26"/>
        <v>0</v>
      </c>
      <c r="H75" s="91"/>
      <c r="I75" s="79">
        <f>SUM(G75:H75)+'BM 003'!I75</f>
        <v>115.5</v>
      </c>
      <c r="J75" s="91">
        <f t="shared" si="4"/>
        <v>0</v>
      </c>
      <c r="K75" s="94">
        <v>14.5</v>
      </c>
      <c r="L75" s="81">
        <f t="shared" si="2"/>
        <v>18.380201595000003</v>
      </c>
      <c r="M75" s="82">
        <f t="shared" si="27"/>
        <v>0</v>
      </c>
      <c r="N75" s="82">
        <f t="shared" si="28"/>
        <v>0</v>
      </c>
      <c r="O75" s="82">
        <f>N75+'BM 003'!O75</f>
        <v>2122.91</v>
      </c>
      <c r="P75" s="94">
        <f t="shared" si="29"/>
        <v>1674.75</v>
      </c>
      <c r="Q75" s="82">
        <f t="shared" si="30"/>
        <v>2122.91</v>
      </c>
      <c r="R75" s="82">
        <f t="shared" si="31"/>
        <v>0</v>
      </c>
    </row>
    <row r="76" spans="2:20" s="34" customFormat="1" ht="23.4">
      <c r="B76" s="87" t="s">
        <v>163</v>
      </c>
      <c r="C76" s="88" t="s">
        <v>164</v>
      </c>
      <c r="D76" s="89" t="s">
        <v>152</v>
      </c>
      <c r="E76" s="90">
        <v>7195.1</v>
      </c>
      <c r="F76" s="91">
        <f>'M.C. MED. 04'!K305+0.0005</f>
        <v>3553.6902000000005</v>
      </c>
      <c r="G76" s="91">
        <f t="shared" si="26"/>
        <v>3553.6902000000005</v>
      </c>
      <c r="H76" s="91"/>
      <c r="I76" s="79">
        <f>SUM(G76:H76)+'BM 003'!I76</f>
        <v>7195.1005000000005</v>
      </c>
      <c r="J76" s="91">
        <f t="shared" si="4"/>
        <v>-5.0000000010186341E-4</v>
      </c>
      <c r="K76" s="80">
        <v>14</v>
      </c>
      <c r="L76" s="81">
        <f t="shared" si="2"/>
        <v>17.746401540000001</v>
      </c>
      <c r="M76" s="82">
        <f t="shared" si="27"/>
        <v>63065.21</v>
      </c>
      <c r="N76" s="82">
        <f t="shared" si="28"/>
        <v>63065.21</v>
      </c>
      <c r="O76" s="82">
        <f>N76+'BM 003'!O76</f>
        <v>127687.13</v>
      </c>
      <c r="P76" s="80">
        <f t="shared" si="29"/>
        <v>100731.40000000001</v>
      </c>
      <c r="Q76" s="82">
        <f t="shared" si="30"/>
        <v>127687.13</v>
      </c>
      <c r="R76" s="82">
        <f t="shared" si="31"/>
        <v>0</v>
      </c>
    </row>
    <row r="77" spans="2:20" s="34" customFormat="1" ht="34.799999999999997">
      <c r="B77" s="87" t="s">
        <v>165</v>
      </c>
      <c r="C77" s="88" t="s">
        <v>166</v>
      </c>
      <c r="D77" s="89" t="s">
        <v>79</v>
      </c>
      <c r="E77" s="90">
        <v>415.8</v>
      </c>
      <c r="F77" s="91">
        <f>TRUNC((I78/E78)*E77,2)-137.21</f>
        <v>250.08</v>
      </c>
      <c r="G77" s="91">
        <f t="shared" si="26"/>
        <v>250.08</v>
      </c>
      <c r="H77" s="91"/>
      <c r="I77" s="79">
        <f>SUM(G77:H77)+'BM 003'!I77</f>
        <v>387.29</v>
      </c>
      <c r="J77" s="91">
        <f t="shared" si="4"/>
        <v>28.509999999999991</v>
      </c>
      <c r="K77" s="80">
        <v>120</v>
      </c>
      <c r="L77" s="81">
        <f t="shared" si="2"/>
        <v>152.11201320000001</v>
      </c>
      <c r="M77" s="82">
        <f t="shared" si="27"/>
        <v>38040.17</v>
      </c>
      <c r="N77" s="82">
        <f t="shared" si="28"/>
        <v>38040.17</v>
      </c>
      <c r="O77" s="82">
        <f>N77+'BM 003'!O77</f>
        <v>58911.45</v>
      </c>
      <c r="P77" s="80">
        <f t="shared" si="29"/>
        <v>49896</v>
      </c>
      <c r="Q77" s="82">
        <f t="shared" si="30"/>
        <v>63248.17</v>
      </c>
      <c r="R77" s="82">
        <f t="shared" si="31"/>
        <v>4336.7200000000012</v>
      </c>
    </row>
    <row r="78" spans="2:20" s="34" customFormat="1" ht="34.799999999999997">
      <c r="B78" s="87" t="s">
        <v>167</v>
      </c>
      <c r="C78" s="88" t="s">
        <v>168</v>
      </c>
      <c r="D78" s="89" t="s">
        <v>169</v>
      </c>
      <c r="E78" s="92">
        <v>213.07</v>
      </c>
      <c r="F78" s="91">
        <f>'M.C. MED. 04'!K357</f>
        <v>126.54610000000007</v>
      </c>
      <c r="G78" s="91">
        <f t="shared" si="26"/>
        <v>126.54610000000007</v>
      </c>
      <c r="H78" s="91"/>
      <c r="I78" s="79">
        <f>SUM(G78:H78)+'BM 003'!I78</f>
        <v>198.46108000000009</v>
      </c>
      <c r="J78" s="91">
        <f t="shared" si="4"/>
        <v>14.608919999999898</v>
      </c>
      <c r="K78" s="95">
        <v>750</v>
      </c>
      <c r="L78" s="81">
        <f t="shared" si="2"/>
        <v>950.70008250000001</v>
      </c>
      <c r="M78" s="82">
        <f t="shared" si="27"/>
        <v>120307.38</v>
      </c>
      <c r="N78" s="82">
        <f t="shared" si="28"/>
        <v>120307.38</v>
      </c>
      <c r="O78" s="82">
        <f>N78+'BM 003'!O78</f>
        <v>188676.95</v>
      </c>
      <c r="P78" s="95">
        <f t="shared" si="29"/>
        <v>159802.5</v>
      </c>
      <c r="Q78" s="82">
        <f t="shared" si="30"/>
        <v>202565.66</v>
      </c>
      <c r="R78" s="82">
        <f t="shared" si="31"/>
        <v>13888.709999999992</v>
      </c>
    </row>
    <row r="79" spans="2:20" s="34" customFormat="1" ht="13.2">
      <c r="B79" s="66" t="s">
        <v>170</v>
      </c>
      <c r="C79" s="67" t="s">
        <v>171</v>
      </c>
      <c r="D79" s="68"/>
      <c r="E79" s="69"/>
      <c r="F79" s="70"/>
      <c r="G79" s="70"/>
      <c r="H79" s="70"/>
      <c r="I79" s="70">
        <f>SUM(G79:H79)+'BM 003'!I79</f>
        <v>0</v>
      </c>
      <c r="J79" s="70">
        <f t="shared" si="4"/>
        <v>0</v>
      </c>
      <c r="K79" s="71"/>
      <c r="L79" s="71">
        <f t="shared" si="2"/>
        <v>0</v>
      </c>
      <c r="M79" s="73">
        <f t="shared" ref="M79:R79" si="32">SUM(M80:M93)</f>
        <v>52908.140000000007</v>
      </c>
      <c r="N79" s="73">
        <f t="shared" si="32"/>
        <v>52908.140000000007</v>
      </c>
      <c r="O79" s="73">
        <f t="shared" si="32"/>
        <v>139324.37</v>
      </c>
      <c r="P79" s="73">
        <f t="shared" si="32"/>
        <v>150340.54999999999</v>
      </c>
      <c r="Q79" s="73">
        <f t="shared" si="32"/>
        <v>190571.62</v>
      </c>
      <c r="R79" s="73">
        <f t="shared" si="32"/>
        <v>51247.25</v>
      </c>
    </row>
    <row r="80" spans="2:20" s="34" customFormat="1" ht="23.4">
      <c r="B80" s="87" t="s">
        <v>172</v>
      </c>
      <c r="C80" s="88" t="s">
        <v>141</v>
      </c>
      <c r="D80" s="89" t="s">
        <v>110</v>
      </c>
      <c r="E80" s="90">
        <v>268.39999999999998</v>
      </c>
      <c r="F80" s="91">
        <v>85.89</v>
      </c>
      <c r="G80" s="91">
        <f t="shared" ref="G80:G86" si="33">F80</f>
        <v>85.89</v>
      </c>
      <c r="H80" s="91"/>
      <c r="I80" s="79">
        <f>SUM(G80:H80)+'BM 003'!I80</f>
        <v>182.51</v>
      </c>
      <c r="J80" s="91">
        <f t="shared" si="4"/>
        <v>85.889999999999986</v>
      </c>
      <c r="K80" s="80">
        <v>80</v>
      </c>
      <c r="L80" s="81">
        <f t="shared" si="2"/>
        <v>101.4080088</v>
      </c>
      <c r="M80" s="82">
        <f t="shared" ref="M80:M93" si="34">TRUNC(F80*L80,2)</f>
        <v>8709.93</v>
      </c>
      <c r="N80" s="82">
        <f t="shared" ref="N80:N93" si="35">TRUNC(G80*L80,2)</f>
        <v>8709.93</v>
      </c>
      <c r="O80" s="82">
        <f>N80+'BM 003'!O80</f>
        <v>18507.97</v>
      </c>
      <c r="P80" s="80">
        <f t="shared" ref="P80:P93" si="36">E80*K80</f>
        <v>21472</v>
      </c>
      <c r="Q80" s="82">
        <f t="shared" ref="Q80:Q93" si="37">TRUNC(E80*L80,2)</f>
        <v>27217.9</v>
      </c>
      <c r="R80" s="82">
        <f t="shared" ref="R80:R93" si="38">Q80-O80</f>
        <v>8709.93</v>
      </c>
    </row>
    <row r="81" spans="2:20" s="34" customFormat="1" ht="23.4">
      <c r="B81" s="87" t="s">
        <v>173</v>
      </c>
      <c r="C81" s="88" t="s">
        <v>145</v>
      </c>
      <c r="D81" s="89" t="s">
        <v>110</v>
      </c>
      <c r="E81" s="92">
        <v>111.1</v>
      </c>
      <c r="F81" s="91">
        <v>35.56</v>
      </c>
      <c r="G81" s="91">
        <f t="shared" si="33"/>
        <v>35.56</v>
      </c>
      <c r="H81" s="91"/>
      <c r="I81" s="79">
        <f>SUM(G81:H81)+'BM 003'!I81</f>
        <v>75.550000000000011</v>
      </c>
      <c r="J81" s="91">
        <f t="shared" si="4"/>
        <v>35.549999999999983</v>
      </c>
      <c r="K81" s="80">
        <v>25</v>
      </c>
      <c r="L81" s="81">
        <f t="shared" si="2"/>
        <v>31.690002750000001</v>
      </c>
      <c r="M81" s="82">
        <f t="shared" si="34"/>
        <v>1126.8900000000001</v>
      </c>
      <c r="N81" s="82">
        <f t="shared" si="35"/>
        <v>1126.8900000000001</v>
      </c>
      <c r="O81" s="82">
        <f>N81+'BM 003'!O81</f>
        <v>2394.17</v>
      </c>
      <c r="P81" s="80">
        <f t="shared" si="36"/>
        <v>2777.5</v>
      </c>
      <c r="Q81" s="82">
        <f t="shared" si="37"/>
        <v>3520.75</v>
      </c>
      <c r="R81" s="82">
        <f t="shared" si="38"/>
        <v>1126.58</v>
      </c>
    </row>
    <row r="82" spans="2:20" s="34" customFormat="1" ht="46.2">
      <c r="B82" s="87" t="s">
        <v>174</v>
      </c>
      <c r="C82" s="88" t="s">
        <v>126</v>
      </c>
      <c r="D82" s="89" t="s">
        <v>110</v>
      </c>
      <c r="E82" s="92">
        <v>268.39999999999998</v>
      </c>
      <c r="F82" s="91">
        <v>85.89</v>
      </c>
      <c r="G82" s="91">
        <f t="shared" si="33"/>
        <v>85.89</v>
      </c>
      <c r="H82" s="91"/>
      <c r="I82" s="79">
        <f>SUM(G82:H82)+'BM 003'!I82</f>
        <v>182.51</v>
      </c>
      <c r="J82" s="91">
        <f t="shared" si="4"/>
        <v>85.889999999999986</v>
      </c>
      <c r="K82" s="80">
        <v>10</v>
      </c>
      <c r="L82" s="81">
        <f t="shared" si="2"/>
        <v>12.676001100000001</v>
      </c>
      <c r="M82" s="82">
        <f t="shared" si="34"/>
        <v>1088.74</v>
      </c>
      <c r="N82" s="82">
        <f t="shared" si="35"/>
        <v>1088.74</v>
      </c>
      <c r="O82" s="82">
        <f>N82+'BM 003'!O82</f>
        <v>2313.4899999999998</v>
      </c>
      <c r="P82" s="80">
        <f t="shared" si="36"/>
        <v>2684</v>
      </c>
      <c r="Q82" s="82">
        <f t="shared" si="37"/>
        <v>3402.23</v>
      </c>
      <c r="R82" s="82">
        <f t="shared" si="38"/>
        <v>1088.7400000000002</v>
      </c>
    </row>
    <row r="83" spans="2:20" s="34" customFormat="1" ht="34.799999999999997">
      <c r="B83" s="87" t="s">
        <v>175</v>
      </c>
      <c r="C83" s="88" t="s">
        <v>128</v>
      </c>
      <c r="D83" s="89" t="s">
        <v>113</v>
      </c>
      <c r="E83" s="90">
        <f>E82*30</f>
        <v>8051.9999999999991</v>
      </c>
      <c r="F83" s="91">
        <v>2576.64</v>
      </c>
      <c r="G83" s="91">
        <f t="shared" si="33"/>
        <v>2576.64</v>
      </c>
      <c r="H83" s="91"/>
      <c r="I83" s="79">
        <f>SUM(G83:H83)+'BM 003'!I83</f>
        <v>5475.36</v>
      </c>
      <c r="J83" s="91">
        <f t="shared" si="4"/>
        <v>2576.6399999999994</v>
      </c>
      <c r="K83" s="80">
        <v>3</v>
      </c>
      <c r="L83" s="81">
        <f t="shared" si="2"/>
        <v>3.8028003300000002</v>
      </c>
      <c r="M83" s="82">
        <f t="shared" si="34"/>
        <v>9798.44</v>
      </c>
      <c r="N83" s="82">
        <f t="shared" si="35"/>
        <v>9798.44</v>
      </c>
      <c r="O83" s="82">
        <f>N83+'BM 003'!O83</f>
        <v>20821.690000000002</v>
      </c>
      <c r="P83" s="80">
        <f t="shared" si="36"/>
        <v>24155.999999999996</v>
      </c>
      <c r="Q83" s="82">
        <f t="shared" si="37"/>
        <v>30620.14</v>
      </c>
      <c r="R83" s="82">
        <f t="shared" si="38"/>
        <v>9798.4499999999971</v>
      </c>
    </row>
    <row r="84" spans="2:20" s="34" customFormat="1" ht="34.799999999999997">
      <c r="B84" s="87" t="s">
        <v>176</v>
      </c>
      <c r="C84" s="88" t="s">
        <v>177</v>
      </c>
      <c r="D84" s="89" t="s">
        <v>79</v>
      </c>
      <c r="E84" s="90">
        <v>243.1</v>
      </c>
      <c r="F84" s="91">
        <v>77.709999999999994</v>
      </c>
      <c r="G84" s="91">
        <f t="shared" si="33"/>
        <v>77.709999999999994</v>
      </c>
      <c r="H84" s="91"/>
      <c r="I84" s="79">
        <f>SUM(G84:H84)+'BM 003'!I84</f>
        <v>165.22</v>
      </c>
      <c r="J84" s="91">
        <f t="shared" si="4"/>
        <v>77.88</v>
      </c>
      <c r="K84" s="80">
        <v>35</v>
      </c>
      <c r="L84" s="81">
        <f t="shared" si="2"/>
        <v>44.366003849999998</v>
      </c>
      <c r="M84" s="82">
        <f t="shared" si="34"/>
        <v>3447.68</v>
      </c>
      <c r="N84" s="82">
        <f t="shared" si="35"/>
        <v>3447.68</v>
      </c>
      <c r="O84" s="82">
        <f>N84+'BM 003'!O84</f>
        <v>7330.1399999999994</v>
      </c>
      <c r="P84" s="80">
        <f t="shared" si="36"/>
        <v>8508.5</v>
      </c>
      <c r="Q84" s="82">
        <f t="shared" si="37"/>
        <v>10785.37</v>
      </c>
      <c r="R84" s="82">
        <f t="shared" si="38"/>
        <v>3455.2300000000014</v>
      </c>
    </row>
    <row r="85" spans="2:20" s="34" customFormat="1" ht="23.4">
      <c r="B85" s="87" t="s">
        <v>178</v>
      </c>
      <c r="C85" s="88" t="s">
        <v>151</v>
      </c>
      <c r="D85" s="89" t="s">
        <v>152</v>
      </c>
      <c r="E85" s="90">
        <v>185.9</v>
      </c>
      <c r="F85" s="91">
        <f>'M.C. MED. 04'!K369</f>
        <v>22.875599999999991</v>
      </c>
      <c r="G85" s="91">
        <f t="shared" si="33"/>
        <v>22.875599999999991</v>
      </c>
      <c r="H85" s="91"/>
      <c r="I85" s="79">
        <f>SUM(G85:H85)+'BM 003'!I85</f>
        <v>185.9</v>
      </c>
      <c r="J85" s="91">
        <f t="shared" si="4"/>
        <v>0</v>
      </c>
      <c r="K85" s="80">
        <v>20</v>
      </c>
      <c r="L85" s="81">
        <f t="shared" si="2"/>
        <v>25.352002200000001</v>
      </c>
      <c r="M85" s="82">
        <f t="shared" si="34"/>
        <v>579.94000000000005</v>
      </c>
      <c r="N85" s="82">
        <f t="shared" si="35"/>
        <v>579.94000000000005</v>
      </c>
      <c r="O85" s="82">
        <f>N85+'BM 003'!O85</f>
        <v>4712.93</v>
      </c>
      <c r="P85" s="80">
        <f t="shared" si="36"/>
        <v>3718</v>
      </c>
      <c r="Q85" s="82">
        <f t="shared" si="37"/>
        <v>4712.93</v>
      </c>
      <c r="R85" s="82">
        <f t="shared" si="38"/>
        <v>0</v>
      </c>
    </row>
    <row r="86" spans="2:20" s="34" customFormat="1" ht="23.4">
      <c r="B86" s="87" t="s">
        <v>179</v>
      </c>
      <c r="C86" s="88" t="s">
        <v>180</v>
      </c>
      <c r="D86" s="89" t="s">
        <v>152</v>
      </c>
      <c r="E86" s="90">
        <v>199.1</v>
      </c>
      <c r="F86" s="91"/>
      <c r="G86" s="91">
        <f t="shared" si="33"/>
        <v>0</v>
      </c>
      <c r="H86" s="91"/>
      <c r="I86" s="79">
        <f>SUM(G86:H86)+'BM 003'!I86</f>
        <v>199.1</v>
      </c>
      <c r="J86" s="91">
        <f t="shared" si="4"/>
        <v>0</v>
      </c>
      <c r="K86" s="80">
        <v>19</v>
      </c>
      <c r="L86" s="81">
        <f t="shared" si="2"/>
        <v>24.084402090000001</v>
      </c>
      <c r="M86" s="82">
        <f t="shared" si="34"/>
        <v>0</v>
      </c>
      <c r="N86" s="82">
        <f t="shared" si="35"/>
        <v>0</v>
      </c>
      <c r="O86" s="82">
        <f>N86+'BM 003'!O86</f>
        <v>4795.2</v>
      </c>
      <c r="P86" s="80">
        <f t="shared" si="36"/>
        <v>3782.9</v>
      </c>
      <c r="Q86" s="82">
        <f t="shared" si="37"/>
        <v>4795.2</v>
      </c>
      <c r="R86" s="82">
        <f t="shared" si="38"/>
        <v>0</v>
      </c>
    </row>
    <row r="87" spans="2:20" s="34" customFormat="1" ht="23.4">
      <c r="B87" s="87" t="s">
        <v>181</v>
      </c>
      <c r="C87" s="88" t="s">
        <v>156</v>
      </c>
      <c r="D87" s="89" t="s">
        <v>152</v>
      </c>
      <c r="E87" s="90">
        <v>378.4</v>
      </c>
      <c r="F87" s="91"/>
      <c r="G87" s="91"/>
      <c r="H87" s="91"/>
      <c r="I87" s="79">
        <f>SUM(G87:H87)+'BM 003'!I87</f>
        <v>378.4</v>
      </c>
      <c r="J87" s="91">
        <f t="shared" si="4"/>
        <v>0</v>
      </c>
      <c r="K87" s="80">
        <v>17.5</v>
      </c>
      <c r="L87" s="81">
        <f t="shared" si="2"/>
        <v>22.183001924999999</v>
      </c>
      <c r="M87" s="82">
        <f t="shared" si="34"/>
        <v>0</v>
      </c>
      <c r="N87" s="82">
        <f t="shared" si="35"/>
        <v>0</v>
      </c>
      <c r="O87" s="82">
        <f>N87+'BM 003'!O87</f>
        <v>8394.0400000000009</v>
      </c>
      <c r="P87" s="80">
        <f t="shared" si="36"/>
        <v>6622</v>
      </c>
      <c r="Q87" s="82">
        <f t="shared" si="37"/>
        <v>8394.0400000000009</v>
      </c>
      <c r="R87" s="82">
        <f t="shared" si="38"/>
        <v>0</v>
      </c>
    </row>
    <row r="88" spans="2:20" s="34" customFormat="1" ht="23.4">
      <c r="B88" s="87" t="s">
        <v>182</v>
      </c>
      <c r="C88" s="88" t="s">
        <v>158</v>
      </c>
      <c r="D88" s="89" t="s">
        <v>152</v>
      </c>
      <c r="E88" s="90">
        <v>445.5</v>
      </c>
      <c r="F88" s="91">
        <f>'M.C. MED. 04'!K402</f>
        <v>91.218699999999956</v>
      </c>
      <c r="G88" s="91">
        <f>F88</f>
        <v>91.218699999999956</v>
      </c>
      <c r="H88" s="91"/>
      <c r="I88" s="79">
        <f>SUM(G88:H88)+'BM 003'!I88</f>
        <v>445.50009999999997</v>
      </c>
      <c r="J88" s="91">
        <f t="shared" si="4"/>
        <v>-9.9999999974897946E-5</v>
      </c>
      <c r="K88" s="80">
        <v>16</v>
      </c>
      <c r="L88" s="81">
        <f t="shared" si="2"/>
        <v>20.281601760000001</v>
      </c>
      <c r="M88" s="82">
        <f t="shared" si="34"/>
        <v>1850.06</v>
      </c>
      <c r="N88" s="82">
        <f t="shared" si="35"/>
        <v>1850.06</v>
      </c>
      <c r="O88" s="82">
        <f>N88+'BM 003'!O88</f>
        <v>9035.4500000000007</v>
      </c>
      <c r="P88" s="80">
        <f t="shared" si="36"/>
        <v>7128</v>
      </c>
      <c r="Q88" s="82">
        <f t="shared" si="37"/>
        <v>9035.4500000000007</v>
      </c>
      <c r="R88" s="82">
        <f t="shared" si="38"/>
        <v>0</v>
      </c>
    </row>
    <row r="89" spans="2:20" s="34" customFormat="1" ht="23.4">
      <c r="B89" s="87" t="s">
        <v>183</v>
      </c>
      <c r="C89" s="88" t="s">
        <v>160</v>
      </c>
      <c r="D89" s="89" t="s">
        <v>152</v>
      </c>
      <c r="E89" s="90">
        <v>177.1</v>
      </c>
      <c r="F89" s="91"/>
      <c r="G89" s="91"/>
      <c r="H89" s="91"/>
      <c r="I89" s="79">
        <f>SUM(G89:H89)+'BM 003'!I89</f>
        <v>177.1</v>
      </c>
      <c r="J89" s="91">
        <f t="shared" si="4"/>
        <v>0</v>
      </c>
      <c r="K89" s="80">
        <v>14.5</v>
      </c>
      <c r="L89" s="81">
        <f t="shared" si="2"/>
        <v>18.380201595000003</v>
      </c>
      <c r="M89" s="82">
        <f t="shared" si="34"/>
        <v>0</v>
      </c>
      <c r="N89" s="82">
        <f t="shared" si="35"/>
        <v>0</v>
      </c>
      <c r="O89" s="82">
        <f>N89+'BM 003'!O89</f>
        <v>3255.13</v>
      </c>
      <c r="P89" s="80">
        <f t="shared" si="36"/>
        <v>2567.9499999999998</v>
      </c>
      <c r="Q89" s="82">
        <f t="shared" si="37"/>
        <v>3255.13</v>
      </c>
      <c r="R89" s="82">
        <f t="shared" si="38"/>
        <v>0</v>
      </c>
    </row>
    <row r="90" spans="2:20" s="34" customFormat="1" ht="23.4">
      <c r="B90" s="87" t="s">
        <v>184</v>
      </c>
      <c r="C90" s="88" t="s">
        <v>162</v>
      </c>
      <c r="D90" s="89" t="s">
        <v>152</v>
      </c>
      <c r="E90" s="90">
        <v>61.6</v>
      </c>
      <c r="F90" s="91"/>
      <c r="G90" s="91"/>
      <c r="H90" s="91"/>
      <c r="I90" s="79">
        <f>SUM(G90:H90)+'BM 003'!I90</f>
        <v>61.6</v>
      </c>
      <c r="J90" s="91">
        <f t="shared" si="4"/>
        <v>0</v>
      </c>
      <c r="K90" s="94">
        <v>14.5</v>
      </c>
      <c r="L90" s="81">
        <f t="shared" si="2"/>
        <v>18.380201595000003</v>
      </c>
      <c r="M90" s="82">
        <f t="shared" si="34"/>
        <v>0</v>
      </c>
      <c r="N90" s="82">
        <f t="shared" si="35"/>
        <v>0</v>
      </c>
      <c r="O90" s="82">
        <f>N90+'BM 003'!O90</f>
        <v>1132.22</v>
      </c>
      <c r="P90" s="80">
        <f t="shared" si="36"/>
        <v>893.2</v>
      </c>
      <c r="Q90" s="82">
        <f t="shared" si="37"/>
        <v>1132.22</v>
      </c>
      <c r="R90" s="82">
        <f t="shared" si="38"/>
        <v>0</v>
      </c>
    </row>
    <row r="91" spans="2:20" s="34" customFormat="1" ht="34.799999999999997">
      <c r="B91" s="87" t="s">
        <v>185</v>
      </c>
      <c r="C91" s="88" t="s">
        <v>186</v>
      </c>
      <c r="D91" s="89" t="s">
        <v>79</v>
      </c>
      <c r="E91" s="90">
        <v>299.2</v>
      </c>
      <c r="F91" s="91">
        <v>95</v>
      </c>
      <c r="G91" s="91">
        <f>F91</f>
        <v>95</v>
      </c>
      <c r="H91" s="91"/>
      <c r="I91" s="79">
        <f>SUM(G91:H91)+'BM 003'!I91</f>
        <v>202.70999999999998</v>
      </c>
      <c r="J91" s="91">
        <f t="shared" si="4"/>
        <v>96.490000000000009</v>
      </c>
      <c r="K91" s="80">
        <v>140</v>
      </c>
      <c r="L91" s="81">
        <f t="shared" si="2"/>
        <v>177.46401539999999</v>
      </c>
      <c r="M91" s="82">
        <f t="shared" si="34"/>
        <v>16859.080000000002</v>
      </c>
      <c r="N91" s="82">
        <f t="shared" si="35"/>
        <v>16859.080000000002</v>
      </c>
      <c r="O91" s="82">
        <f>N91+'BM 003'!O91</f>
        <v>35973.72</v>
      </c>
      <c r="P91" s="80">
        <f t="shared" si="36"/>
        <v>41888</v>
      </c>
      <c r="Q91" s="82">
        <f t="shared" si="37"/>
        <v>53097.23</v>
      </c>
      <c r="R91" s="82">
        <f t="shared" si="38"/>
        <v>17123.510000000002</v>
      </c>
    </row>
    <row r="92" spans="2:20" s="34" customFormat="1" ht="23.4">
      <c r="B92" s="87" t="s">
        <v>187</v>
      </c>
      <c r="C92" s="88" t="s">
        <v>188</v>
      </c>
      <c r="D92" s="89" t="s">
        <v>169</v>
      </c>
      <c r="E92" s="92">
        <v>22.99</v>
      </c>
      <c r="F92" s="91">
        <f>'M.C. MED. 04'!K454</f>
        <v>7.0972999999999971</v>
      </c>
      <c r="G92" s="91">
        <f>F92</f>
        <v>7.0972999999999971</v>
      </c>
      <c r="H92" s="91"/>
      <c r="I92" s="79">
        <f>SUM(G92:H92)+'BM 003'!I92</f>
        <v>15.529499999999995</v>
      </c>
      <c r="J92" s="91">
        <f t="shared" si="4"/>
        <v>7.4605000000000032</v>
      </c>
      <c r="K92" s="95">
        <v>750</v>
      </c>
      <c r="L92" s="81">
        <f t="shared" si="2"/>
        <v>950.70008250000001</v>
      </c>
      <c r="M92" s="82">
        <f t="shared" si="34"/>
        <v>6747.4</v>
      </c>
      <c r="N92" s="82">
        <f t="shared" si="35"/>
        <v>6747.4</v>
      </c>
      <c r="O92" s="82">
        <f>N92+'BM 003'!O92</f>
        <v>14763.89</v>
      </c>
      <c r="P92" s="80">
        <f t="shared" si="36"/>
        <v>17242.5</v>
      </c>
      <c r="Q92" s="82">
        <f t="shared" si="37"/>
        <v>21856.59</v>
      </c>
      <c r="R92" s="82">
        <f t="shared" si="38"/>
        <v>7092.7000000000007</v>
      </c>
      <c r="T92" s="83"/>
    </row>
    <row r="93" spans="2:20" s="34" customFormat="1" ht="23.4">
      <c r="B93" s="87" t="s">
        <v>189</v>
      </c>
      <c r="C93" s="88" t="s">
        <v>190</v>
      </c>
      <c r="D93" s="89" t="s">
        <v>63</v>
      </c>
      <c r="E93" s="92">
        <v>230</v>
      </c>
      <c r="F93" s="91">
        <f>155-84</f>
        <v>71</v>
      </c>
      <c r="G93" s="91">
        <f>F93</f>
        <v>71</v>
      </c>
      <c r="H93" s="91"/>
      <c r="I93" s="79">
        <f>SUM(G93:H93)+'BM 003'!I93</f>
        <v>155</v>
      </c>
      <c r="J93" s="91">
        <f t="shared" si="4"/>
        <v>75</v>
      </c>
      <c r="K93" s="80">
        <v>30</v>
      </c>
      <c r="L93" s="81">
        <f t="shared" ref="L93:L156" si="39">K93*(1+$T$26)</f>
        <v>38.028003300000002</v>
      </c>
      <c r="M93" s="82">
        <f t="shared" si="34"/>
        <v>2699.98</v>
      </c>
      <c r="N93" s="82">
        <f t="shared" si="35"/>
        <v>2699.98</v>
      </c>
      <c r="O93" s="82">
        <f>N93+'BM 003'!O93</f>
        <v>5894.33</v>
      </c>
      <c r="P93" s="80">
        <f t="shared" si="36"/>
        <v>6900</v>
      </c>
      <c r="Q93" s="82">
        <f t="shared" si="37"/>
        <v>8746.44</v>
      </c>
      <c r="R93" s="82">
        <f t="shared" si="38"/>
        <v>2852.1100000000006</v>
      </c>
    </row>
    <row r="94" spans="2:20" s="34" customFormat="1" ht="13.2">
      <c r="B94" s="60" t="s">
        <v>191</v>
      </c>
      <c r="C94" s="61" t="s">
        <v>192</v>
      </c>
      <c r="D94" s="60"/>
      <c r="E94" s="62"/>
      <c r="F94" s="63"/>
      <c r="G94" s="63"/>
      <c r="H94" s="63"/>
      <c r="I94" s="63">
        <f>SUM(G94:H94)+'BM 003'!I94</f>
        <v>0</v>
      </c>
      <c r="J94" s="63">
        <f t="shared" si="4"/>
        <v>0</v>
      </c>
      <c r="K94" s="63"/>
      <c r="L94" s="63">
        <f t="shared" si="39"/>
        <v>0</v>
      </c>
      <c r="M94" s="63">
        <f t="shared" ref="M94:R94" si="40">SUM(M95,M107,M120)</f>
        <v>276621.52999999997</v>
      </c>
      <c r="N94" s="63">
        <f t="shared" si="40"/>
        <v>276621.52999999997</v>
      </c>
      <c r="O94" s="63">
        <f t="shared" si="40"/>
        <v>276621.52999999997</v>
      </c>
      <c r="P94" s="63">
        <f t="shared" si="40"/>
        <v>4541959.5</v>
      </c>
      <c r="Q94" s="63">
        <f t="shared" si="40"/>
        <v>5757388.21</v>
      </c>
      <c r="R94" s="63">
        <f t="shared" si="40"/>
        <v>5480766.6799999997</v>
      </c>
    </row>
    <row r="95" spans="2:20" s="34" customFormat="1" ht="13.2">
      <c r="B95" s="66" t="s">
        <v>193</v>
      </c>
      <c r="C95" s="67" t="s">
        <v>194</v>
      </c>
      <c r="D95" s="68"/>
      <c r="E95" s="69"/>
      <c r="F95" s="70"/>
      <c r="G95" s="70"/>
      <c r="H95" s="70"/>
      <c r="I95" s="70">
        <f>SUM(G95:H95)+'BM 003'!I95</f>
        <v>0</v>
      </c>
      <c r="J95" s="70">
        <f t="shared" ref="J95:J158" si="41">E95-I95</f>
        <v>0</v>
      </c>
      <c r="K95" s="71"/>
      <c r="L95" s="71">
        <f t="shared" si="39"/>
        <v>0</v>
      </c>
      <c r="M95" s="73">
        <f t="shared" ref="M95:R95" si="42">SUM(M96:M106)</f>
        <v>51382.490000000005</v>
      </c>
      <c r="N95" s="73">
        <f t="shared" si="42"/>
        <v>51382.490000000005</v>
      </c>
      <c r="O95" s="73">
        <f t="shared" si="42"/>
        <v>51382.490000000005</v>
      </c>
      <c r="P95" s="73">
        <f t="shared" si="42"/>
        <v>1372038.75</v>
      </c>
      <c r="Q95" s="73">
        <f t="shared" si="42"/>
        <v>1739196.42</v>
      </c>
      <c r="R95" s="73">
        <f t="shared" si="42"/>
        <v>1687813.9300000002</v>
      </c>
    </row>
    <row r="96" spans="2:20" s="34" customFormat="1" ht="34.799999999999997">
      <c r="B96" s="87" t="s">
        <v>195</v>
      </c>
      <c r="C96" s="88" t="s">
        <v>196</v>
      </c>
      <c r="D96" s="89" t="s">
        <v>79</v>
      </c>
      <c r="E96" s="92">
        <v>3575</v>
      </c>
      <c r="F96" s="91"/>
      <c r="G96" s="91"/>
      <c r="H96" s="91"/>
      <c r="I96" s="79">
        <f>SUM(G96:H96)+'BM 003'!I96</f>
        <v>0</v>
      </c>
      <c r="J96" s="91">
        <f t="shared" si="41"/>
        <v>3575</v>
      </c>
      <c r="K96" s="80">
        <v>130</v>
      </c>
      <c r="L96" s="81">
        <f t="shared" si="39"/>
        <v>164.78801430000001</v>
      </c>
      <c r="M96" s="82">
        <f t="shared" ref="M96:M106" si="43">TRUNC(F96*L96,2)</f>
        <v>0</v>
      </c>
      <c r="N96" s="82">
        <f t="shared" ref="N96:N106" si="44">TRUNC(G96*L96,2)</f>
        <v>0</v>
      </c>
      <c r="O96" s="82">
        <f>N96+'BM 003'!O96</f>
        <v>0</v>
      </c>
      <c r="P96" s="80">
        <f t="shared" ref="P96:P106" si="45">E96*K96</f>
        <v>464750</v>
      </c>
      <c r="Q96" s="82">
        <f t="shared" ref="Q96:Q106" si="46">TRUNC(E96*L96,2)</f>
        <v>589117.15</v>
      </c>
      <c r="R96" s="82">
        <f t="shared" ref="R96:R106" si="47">Q96-O96</f>
        <v>589117.15</v>
      </c>
    </row>
    <row r="97" spans="2:20" s="34" customFormat="1" ht="46.2">
      <c r="B97" s="87" t="s">
        <v>197</v>
      </c>
      <c r="C97" s="88" t="s">
        <v>198</v>
      </c>
      <c r="D97" s="89" t="s">
        <v>152</v>
      </c>
      <c r="E97" s="90">
        <v>2130.6999999999998</v>
      </c>
      <c r="F97" s="91">
        <f>'M.C. MED. 04'!K465</f>
        <v>185.32</v>
      </c>
      <c r="G97" s="91">
        <f t="shared" ref="G97:G104" si="48">F97</f>
        <v>185.32</v>
      </c>
      <c r="H97" s="91"/>
      <c r="I97" s="79">
        <f>SUM(G97:H97)+'BM 003'!I97</f>
        <v>185.32</v>
      </c>
      <c r="J97" s="91">
        <f t="shared" si="41"/>
        <v>1945.3799999999999</v>
      </c>
      <c r="K97" s="80">
        <v>20</v>
      </c>
      <c r="L97" s="81">
        <f t="shared" si="39"/>
        <v>25.352002200000001</v>
      </c>
      <c r="M97" s="82">
        <f t="shared" si="43"/>
        <v>4698.2299999999996</v>
      </c>
      <c r="N97" s="82">
        <f t="shared" si="44"/>
        <v>4698.2299999999996</v>
      </c>
      <c r="O97" s="82">
        <f>N97+'BM 003'!O97</f>
        <v>4698.2299999999996</v>
      </c>
      <c r="P97" s="80">
        <f t="shared" si="45"/>
        <v>42614</v>
      </c>
      <c r="Q97" s="82">
        <f t="shared" si="46"/>
        <v>54017.51</v>
      </c>
      <c r="R97" s="82">
        <f t="shared" si="47"/>
        <v>49319.28</v>
      </c>
    </row>
    <row r="98" spans="2:20" s="34" customFormat="1" ht="46.2">
      <c r="B98" s="87" t="s">
        <v>199</v>
      </c>
      <c r="C98" s="88" t="s">
        <v>200</v>
      </c>
      <c r="D98" s="89" t="s">
        <v>152</v>
      </c>
      <c r="E98" s="90">
        <v>3031.6</v>
      </c>
      <c r="F98" s="91">
        <f>'M.C. MED. 04'!K476</f>
        <v>235.27</v>
      </c>
      <c r="G98" s="91">
        <f t="shared" si="48"/>
        <v>235.27</v>
      </c>
      <c r="H98" s="91"/>
      <c r="I98" s="79">
        <f>SUM(G98:H98)+'BM 003'!I98</f>
        <v>235.27</v>
      </c>
      <c r="J98" s="91">
        <f t="shared" si="41"/>
        <v>2796.33</v>
      </c>
      <c r="K98" s="80">
        <v>19</v>
      </c>
      <c r="L98" s="81">
        <f t="shared" si="39"/>
        <v>24.084402090000001</v>
      </c>
      <c r="M98" s="82">
        <f t="shared" si="43"/>
        <v>5666.33</v>
      </c>
      <c r="N98" s="82">
        <f t="shared" si="44"/>
        <v>5666.33</v>
      </c>
      <c r="O98" s="82">
        <f>N98+'BM 003'!O98</f>
        <v>5666.33</v>
      </c>
      <c r="P98" s="80">
        <f t="shared" si="45"/>
        <v>57600.4</v>
      </c>
      <c r="Q98" s="82">
        <f t="shared" si="46"/>
        <v>73014.27</v>
      </c>
      <c r="R98" s="82">
        <f t="shared" si="47"/>
        <v>67347.94</v>
      </c>
    </row>
    <row r="99" spans="2:20" s="34" customFormat="1" ht="46.2">
      <c r="B99" s="87" t="s">
        <v>201</v>
      </c>
      <c r="C99" s="88" t="s">
        <v>202</v>
      </c>
      <c r="D99" s="89" t="s">
        <v>152</v>
      </c>
      <c r="E99" s="90">
        <v>5608.9</v>
      </c>
      <c r="F99" s="91">
        <f>'M.C. MED. 04'!K487</f>
        <v>365.84</v>
      </c>
      <c r="G99" s="91">
        <f t="shared" si="48"/>
        <v>365.84</v>
      </c>
      <c r="H99" s="91"/>
      <c r="I99" s="79">
        <f>SUM(G99:H99)+'BM 003'!I99</f>
        <v>365.84</v>
      </c>
      <c r="J99" s="91">
        <f t="shared" si="41"/>
        <v>5243.0599999999995</v>
      </c>
      <c r="K99" s="80">
        <v>17.5</v>
      </c>
      <c r="L99" s="81">
        <f t="shared" si="39"/>
        <v>22.183001924999999</v>
      </c>
      <c r="M99" s="82">
        <f t="shared" si="43"/>
        <v>8115.42</v>
      </c>
      <c r="N99" s="82">
        <f t="shared" si="44"/>
        <v>8115.42</v>
      </c>
      <c r="O99" s="82">
        <f>N99+'BM 003'!O99</f>
        <v>8115.42</v>
      </c>
      <c r="P99" s="80">
        <f t="shared" si="45"/>
        <v>98155.75</v>
      </c>
      <c r="Q99" s="82">
        <f t="shared" si="46"/>
        <v>124422.23</v>
      </c>
      <c r="R99" s="82">
        <f t="shared" si="47"/>
        <v>116306.81</v>
      </c>
    </row>
    <row r="100" spans="2:20" s="34" customFormat="1" ht="46.2">
      <c r="B100" s="87" t="s">
        <v>203</v>
      </c>
      <c r="C100" s="88" t="s">
        <v>204</v>
      </c>
      <c r="D100" s="89" t="s">
        <v>152</v>
      </c>
      <c r="E100" s="90">
        <v>4215.2</v>
      </c>
      <c r="F100" s="91">
        <f>'M.C. MED. 04'!K498</f>
        <v>122.84</v>
      </c>
      <c r="G100" s="91">
        <f t="shared" si="48"/>
        <v>122.84</v>
      </c>
      <c r="H100" s="91"/>
      <c r="I100" s="79">
        <f>SUM(G100:H100)+'BM 003'!I100</f>
        <v>122.84</v>
      </c>
      <c r="J100" s="91">
        <f t="shared" si="41"/>
        <v>4092.3599999999997</v>
      </c>
      <c r="K100" s="80">
        <v>16</v>
      </c>
      <c r="L100" s="81">
        <f t="shared" si="39"/>
        <v>20.281601760000001</v>
      </c>
      <c r="M100" s="82">
        <f t="shared" si="43"/>
        <v>2491.39</v>
      </c>
      <c r="N100" s="82">
        <f t="shared" si="44"/>
        <v>2491.39</v>
      </c>
      <c r="O100" s="82">
        <f>N100+'BM 003'!O100</f>
        <v>2491.39</v>
      </c>
      <c r="P100" s="80">
        <f t="shared" si="45"/>
        <v>67443.199999999997</v>
      </c>
      <c r="Q100" s="82">
        <f t="shared" si="46"/>
        <v>85491</v>
      </c>
      <c r="R100" s="82">
        <f t="shared" si="47"/>
        <v>82999.61</v>
      </c>
    </row>
    <row r="101" spans="2:20" s="34" customFormat="1" ht="46.2">
      <c r="B101" s="87" t="s">
        <v>205</v>
      </c>
      <c r="C101" s="88" t="s">
        <v>206</v>
      </c>
      <c r="D101" s="89" t="s">
        <v>152</v>
      </c>
      <c r="E101" s="90">
        <v>3267</v>
      </c>
      <c r="F101" s="91">
        <f>'M.C. MED. 04'!K509</f>
        <v>170.54</v>
      </c>
      <c r="G101" s="91">
        <f t="shared" si="48"/>
        <v>170.54</v>
      </c>
      <c r="H101" s="91"/>
      <c r="I101" s="79">
        <f>SUM(G101:H101)+'BM 003'!I101</f>
        <v>170.54</v>
      </c>
      <c r="J101" s="91">
        <f t="shared" si="41"/>
        <v>3096.46</v>
      </c>
      <c r="K101" s="80">
        <v>14.5</v>
      </c>
      <c r="L101" s="81">
        <f t="shared" si="39"/>
        <v>18.380201595000003</v>
      </c>
      <c r="M101" s="82">
        <f t="shared" si="43"/>
        <v>3134.55</v>
      </c>
      <c r="N101" s="82">
        <f t="shared" si="44"/>
        <v>3134.55</v>
      </c>
      <c r="O101" s="82">
        <f>N101+'BM 003'!O101</f>
        <v>3134.55</v>
      </c>
      <c r="P101" s="80">
        <f t="shared" si="45"/>
        <v>47371.5</v>
      </c>
      <c r="Q101" s="82">
        <f t="shared" si="46"/>
        <v>60048.11</v>
      </c>
      <c r="R101" s="82">
        <f t="shared" si="47"/>
        <v>56913.56</v>
      </c>
      <c r="T101" s="96"/>
    </row>
    <row r="102" spans="2:20" s="34" customFormat="1" ht="46.2">
      <c r="B102" s="87" t="s">
        <v>207</v>
      </c>
      <c r="C102" s="88" t="s">
        <v>208</v>
      </c>
      <c r="D102" s="89" t="s">
        <v>152</v>
      </c>
      <c r="E102" s="90">
        <v>8421.6</v>
      </c>
      <c r="F102" s="91">
        <f>'M.C. MED. 04'!K520</f>
        <v>793.26</v>
      </c>
      <c r="G102" s="91">
        <f t="shared" si="48"/>
        <v>793.26</v>
      </c>
      <c r="H102" s="91"/>
      <c r="I102" s="79">
        <f>SUM(G102:H102)+'BM 003'!I102</f>
        <v>793.26</v>
      </c>
      <c r="J102" s="91">
        <f t="shared" si="41"/>
        <v>7628.34</v>
      </c>
      <c r="K102" s="94">
        <v>14.5</v>
      </c>
      <c r="L102" s="81">
        <f t="shared" si="39"/>
        <v>18.380201595000003</v>
      </c>
      <c r="M102" s="82">
        <f t="shared" si="43"/>
        <v>14580.27</v>
      </c>
      <c r="N102" s="82">
        <f t="shared" si="44"/>
        <v>14580.27</v>
      </c>
      <c r="O102" s="82">
        <f>N102+'BM 003'!O102</f>
        <v>14580.27</v>
      </c>
      <c r="P102" s="80">
        <f t="shared" si="45"/>
        <v>122113.20000000001</v>
      </c>
      <c r="Q102" s="82">
        <f t="shared" si="46"/>
        <v>154790.70000000001</v>
      </c>
      <c r="R102" s="82">
        <f t="shared" si="47"/>
        <v>140210.43000000002</v>
      </c>
      <c r="T102" s="96"/>
    </row>
    <row r="103" spans="2:20" s="34" customFormat="1" ht="46.2">
      <c r="B103" s="87" t="s">
        <v>209</v>
      </c>
      <c r="C103" s="88" t="s">
        <v>210</v>
      </c>
      <c r="D103" s="89" t="s">
        <v>152</v>
      </c>
      <c r="E103" s="92">
        <v>7144.5</v>
      </c>
      <c r="F103" s="91">
        <f>'M.C. MED. 04'!K531</f>
        <v>461.14</v>
      </c>
      <c r="G103" s="91">
        <f t="shared" si="48"/>
        <v>461.14</v>
      </c>
      <c r="H103" s="91"/>
      <c r="I103" s="79">
        <f>SUM(G103:H103)+'BM 003'!I103</f>
        <v>461.14</v>
      </c>
      <c r="J103" s="91">
        <f t="shared" si="41"/>
        <v>6683.36</v>
      </c>
      <c r="K103" s="80">
        <v>14</v>
      </c>
      <c r="L103" s="81">
        <f t="shared" si="39"/>
        <v>17.746401540000001</v>
      </c>
      <c r="M103" s="82">
        <f t="shared" si="43"/>
        <v>8183.57</v>
      </c>
      <c r="N103" s="82">
        <f t="shared" si="44"/>
        <v>8183.57</v>
      </c>
      <c r="O103" s="82">
        <f>N103+'BM 003'!O103</f>
        <v>8183.57</v>
      </c>
      <c r="P103" s="80">
        <f t="shared" si="45"/>
        <v>100023</v>
      </c>
      <c r="Q103" s="82">
        <f t="shared" si="46"/>
        <v>126789.16</v>
      </c>
      <c r="R103" s="82">
        <f t="shared" si="47"/>
        <v>118605.59</v>
      </c>
      <c r="T103" s="96"/>
    </row>
    <row r="104" spans="2:20" s="34" customFormat="1" ht="46.2">
      <c r="B104" s="87" t="s">
        <v>211</v>
      </c>
      <c r="C104" s="88" t="s">
        <v>212</v>
      </c>
      <c r="D104" s="89" t="s">
        <v>152</v>
      </c>
      <c r="E104" s="92">
        <v>6531.8</v>
      </c>
      <c r="F104" s="91">
        <f>'M.C. MED. 04'!K542</f>
        <v>254.29</v>
      </c>
      <c r="G104" s="91">
        <f t="shared" si="48"/>
        <v>254.29</v>
      </c>
      <c r="H104" s="91"/>
      <c r="I104" s="79">
        <f>SUM(G104:H104)+'BM 003'!I104</f>
        <v>254.29</v>
      </c>
      <c r="J104" s="91">
        <f t="shared" si="41"/>
        <v>6277.51</v>
      </c>
      <c r="K104" s="95">
        <v>14</v>
      </c>
      <c r="L104" s="81">
        <f t="shared" si="39"/>
        <v>17.746401540000001</v>
      </c>
      <c r="M104" s="82">
        <f t="shared" si="43"/>
        <v>4512.7299999999996</v>
      </c>
      <c r="N104" s="82">
        <f t="shared" si="44"/>
        <v>4512.7299999999996</v>
      </c>
      <c r="O104" s="82">
        <f>N104+'BM 003'!O104</f>
        <v>4512.7299999999996</v>
      </c>
      <c r="P104" s="80">
        <f t="shared" si="45"/>
        <v>91445.2</v>
      </c>
      <c r="Q104" s="82">
        <f t="shared" si="46"/>
        <v>115915.94</v>
      </c>
      <c r="R104" s="82">
        <f t="shared" si="47"/>
        <v>111403.21</v>
      </c>
      <c r="T104" s="96"/>
    </row>
    <row r="105" spans="2:20" s="34" customFormat="1" ht="23.4">
      <c r="B105" s="87" t="s">
        <v>213</v>
      </c>
      <c r="C105" s="88" t="s">
        <v>190</v>
      </c>
      <c r="D105" s="89" t="s">
        <v>63</v>
      </c>
      <c r="E105" s="92">
        <v>240</v>
      </c>
      <c r="F105" s="91"/>
      <c r="G105" s="91"/>
      <c r="H105" s="91"/>
      <c r="I105" s="79">
        <f>SUM(G105:H105)+'BM 003'!I105</f>
        <v>0</v>
      </c>
      <c r="J105" s="91">
        <f t="shared" si="41"/>
        <v>240</v>
      </c>
      <c r="K105" s="80">
        <v>30</v>
      </c>
      <c r="L105" s="81">
        <f t="shared" si="39"/>
        <v>38.028003300000002</v>
      </c>
      <c r="M105" s="82">
        <f t="shared" si="43"/>
        <v>0</v>
      </c>
      <c r="N105" s="82">
        <f t="shared" si="44"/>
        <v>0</v>
      </c>
      <c r="O105" s="82">
        <f>N105+'BM 003'!O105</f>
        <v>0</v>
      </c>
      <c r="P105" s="80">
        <f t="shared" si="45"/>
        <v>7200</v>
      </c>
      <c r="Q105" s="82">
        <f t="shared" si="46"/>
        <v>9126.7199999999993</v>
      </c>
      <c r="R105" s="82">
        <f t="shared" si="47"/>
        <v>9126.7199999999993</v>
      </c>
      <c r="T105" s="96"/>
    </row>
    <row r="106" spans="2:20" s="34" customFormat="1" ht="23.4">
      <c r="B106" s="87" t="s">
        <v>214</v>
      </c>
      <c r="C106" s="88" t="s">
        <v>215</v>
      </c>
      <c r="D106" s="89" t="s">
        <v>169</v>
      </c>
      <c r="E106" s="92">
        <v>364.43</v>
      </c>
      <c r="F106" s="91"/>
      <c r="G106" s="91"/>
      <c r="H106" s="91"/>
      <c r="I106" s="79">
        <f>SUM(G106:H106)+'BM 003'!I106</f>
        <v>0</v>
      </c>
      <c r="J106" s="91">
        <f t="shared" si="41"/>
        <v>364.43</v>
      </c>
      <c r="K106" s="95">
        <v>750</v>
      </c>
      <c r="L106" s="81">
        <f t="shared" si="39"/>
        <v>950.70008250000001</v>
      </c>
      <c r="M106" s="82">
        <f t="shared" si="43"/>
        <v>0</v>
      </c>
      <c r="N106" s="82">
        <f t="shared" si="44"/>
        <v>0</v>
      </c>
      <c r="O106" s="82">
        <f>N106+'BM 003'!O106</f>
        <v>0</v>
      </c>
      <c r="P106" s="80">
        <f t="shared" si="45"/>
        <v>273322.5</v>
      </c>
      <c r="Q106" s="82">
        <f t="shared" si="46"/>
        <v>346463.63</v>
      </c>
      <c r="R106" s="82">
        <f t="shared" si="47"/>
        <v>346463.63</v>
      </c>
      <c r="T106" s="96"/>
    </row>
    <row r="107" spans="2:20" s="34" customFormat="1" ht="13.2">
      <c r="B107" s="66" t="s">
        <v>216</v>
      </c>
      <c r="C107" s="67" t="s">
        <v>217</v>
      </c>
      <c r="D107" s="68"/>
      <c r="E107" s="69"/>
      <c r="F107" s="70"/>
      <c r="G107" s="70"/>
      <c r="H107" s="70"/>
      <c r="I107" s="70">
        <f>SUM(G107:H107)+'BM 003'!I107</f>
        <v>0</v>
      </c>
      <c r="J107" s="70">
        <f t="shared" si="41"/>
        <v>0</v>
      </c>
      <c r="K107" s="71"/>
      <c r="L107" s="71">
        <f t="shared" si="39"/>
        <v>0</v>
      </c>
      <c r="M107" s="73">
        <f t="shared" ref="M107:R107" si="49">SUM(M108:M119)</f>
        <v>225239.03999999998</v>
      </c>
      <c r="N107" s="73">
        <f t="shared" si="49"/>
        <v>225239.03999999998</v>
      </c>
      <c r="O107" s="73">
        <f t="shared" si="49"/>
        <v>225239.03999999998</v>
      </c>
      <c r="P107" s="73">
        <f t="shared" si="49"/>
        <v>951249.7</v>
      </c>
      <c r="Q107" s="73">
        <f t="shared" si="49"/>
        <v>1205804.17</v>
      </c>
      <c r="R107" s="73">
        <f t="shared" si="49"/>
        <v>980565.12999999989</v>
      </c>
      <c r="T107" s="96"/>
    </row>
    <row r="108" spans="2:20" s="34" customFormat="1" ht="46.2">
      <c r="B108" s="87" t="s">
        <v>218</v>
      </c>
      <c r="C108" s="88" t="s">
        <v>219</v>
      </c>
      <c r="D108" s="89" t="s">
        <v>79</v>
      </c>
      <c r="E108" s="92">
        <v>2299</v>
      </c>
      <c r="F108" s="91">
        <f>TRUNC(0.16*E108)</f>
        <v>367</v>
      </c>
      <c r="G108" s="91">
        <f t="shared" ref="G108:G119" si="50">F108</f>
        <v>367</v>
      </c>
      <c r="H108" s="91"/>
      <c r="I108" s="79">
        <f>SUM(G108:H108)+'BM 003'!I108</f>
        <v>367</v>
      </c>
      <c r="J108" s="91">
        <f t="shared" si="41"/>
        <v>1932</v>
      </c>
      <c r="K108" s="80">
        <v>60</v>
      </c>
      <c r="L108" s="81">
        <f t="shared" si="39"/>
        <v>76.056006600000003</v>
      </c>
      <c r="M108" s="82">
        <f t="shared" ref="M108:M119" si="51">TRUNC(F108*L108,2)</f>
        <v>27912.55</v>
      </c>
      <c r="N108" s="82">
        <f t="shared" ref="N108:N119" si="52">TRUNC(G108*L108,2)</f>
        <v>27912.55</v>
      </c>
      <c r="O108" s="82">
        <f>N108+'BM 003'!O108</f>
        <v>27912.55</v>
      </c>
      <c r="P108" s="80">
        <f t="shared" ref="P108:P119" si="53">E108*K108</f>
        <v>137940</v>
      </c>
      <c r="Q108" s="82">
        <f t="shared" ref="Q108:Q119" si="54">TRUNC(E108*L108,2)</f>
        <v>174852.75</v>
      </c>
      <c r="R108" s="82">
        <f t="shared" ref="R108:R119" si="55">Q108-O108</f>
        <v>146940.20000000001</v>
      </c>
      <c r="T108" s="96"/>
    </row>
    <row r="109" spans="2:20" s="34" customFormat="1" ht="46.2">
      <c r="B109" s="87" t="s">
        <v>220</v>
      </c>
      <c r="C109" s="88" t="s">
        <v>198</v>
      </c>
      <c r="D109" s="89" t="s">
        <v>152</v>
      </c>
      <c r="E109" s="90">
        <v>347.6</v>
      </c>
      <c r="F109" s="91">
        <f>'M.C. MED. 04'!K567</f>
        <v>19.37</v>
      </c>
      <c r="G109" s="91">
        <f t="shared" si="50"/>
        <v>19.37</v>
      </c>
      <c r="H109" s="91"/>
      <c r="I109" s="79">
        <f>SUM(G109:H109)+'BM 003'!I109</f>
        <v>19.37</v>
      </c>
      <c r="J109" s="91">
        <f t="shared" si="41"/>
        <v>328.23</v>
      </c>
      <c r="K109" s="80">
        <v>20</v>
      </c>
      <c r="L109" s="81">
        <f t="shared" si="39"/>
        <v>25.352002200000001</v>
      </c>
      <c r="M109" s="82">
        <f t="shared" si="51"/>
        <v>491.06</v>
      </c>
      <c r="N109" s="82">
        <f t="shared" si="52"/>
        <v>491.06</v>
      </c>
      <c r="O109" s="82">
        <f>N109+'BM 003'!O109</f>
        <v>491.06</v>
      </c>
      <c r="P109" s="80">
        <f t="shared" si="53"/>
        <v>6952</v>
      </c>
      <c r="Q109" s="82">
        <f t="shared" si="54"/>
        <v>8812.35</v>
      </c>
      <c r="R109" s="82">
        <f t="shared" si="55"/>
        <v>8321.2900000000009</v>
      </c>
      <c r="T109" s="96"/>
    </row>
    <row r="110" spans="2:20" s="34" customFormat="1" ht="46.2">
      <c r="B110" s="87" t="s">
        <v>221</v>
      </c>
      <c r="C110" s="88" t="s">
        <v>222</v>
      </c>
      <c r="D110" s="89" t="s">
        <v>152</v>
      </c>
      <c r="E110" s="90">
        <v>3626.7</v>
      </c>
      <c r="F110" s="91">
        <f>'M.C. MED. 04'!K577</f>
        <v>662.86</v>
      </c>
      <c r="G110" s="91">
        <f t="shared" si="50"/>
        <v>662.86</v>
      </c>
      <c r="H110" s="91"/>
      <c r="I110" s="79">
        <f>SUM(G110:H110)+'BM 003'!I110</f>
        <v>662.86</v>
      </c>
      <c r="J110" s="91">
        <f t="shared" si="41"/>
        <v>2963.8399999999997</v>
      </c>
      <c r="K110" s="80">
        <v>19</v>
      </c>
      <c r="L110" s="81">
        <f t="shared" si="39"/>
        <v>24.084402090000001</v>
      </c>
      <c r="M110" s="82">
        <f t="shared" si="51"/>
        <v>15964.58</v>
      </c>
      <c r="N110" s="82">
        <f t="shared" si="52"/>
        <v>15964.58</v>
      </c>
      <c r="O110" s="82">
        <f>N110+'BM 003'!O110</f>
        <v>15964.58</v>
      </c>
      <c r="P110" s="80">
        <f t="shared" si="53"/>
        <v>68907.3</v>
      </c>
      <c r="Q110" s="82">
        <f t="shared" si="54"/>
        <v>87346.9</v>
      </c>
      <c r="R110" s="82">
        <f t="shared" si="55"/>
        <v>71382.319999999992</v>
      </c>
      <c r="T110" s="96"/>
    </row>
    <row r="111" spans="2:20" s="34" customFormat="1" ht="46.2">
      <c r="B111" s="87" t="s">
        <v>223</v>
      </c>
      <c r="C111" s="88" t="s">
        <v>202</v>
      </c>
      <c r="D111" s="89" t="s">
        <v>152</v>
      </c>
      <c r="E111" s="90">
        <v>1762.2</v>
      </c>
      <c r="F111" s="91">
        <f>'M.C. MED. 04'!K587</f>
        <v>307.79000000000002</v>
      </c>
      <c r="G111" s="91">
        <f t="shared" si="50"/>
        <v>307.79000000000002</v>
      </c>
      <c r="H111" s="91"/>
      <c r="I111" s="79">
        <f>SUM(G111:H111)+'BM 003'!I111</f>
        <v>307.79000000000002</v>
      </c>
      <c r="J111" s="91">
        <f t="shared" si="41"/>
        <v>1454.41</v>
      </c>
      <c r="K111" s="80">
        <v>17.5</v>
      </c>
      <c r="L111" s="81">
        <f t="shared" si="39"/>
        <v>22.183001924999999</v>
      </c>
      <c r="M111" s="82">
        <f t="shared" si="51"/>
        <v>6827.7</v>
      </c>
      <c r="N111" s="82">
        <f t="shared" si="52"/>
        <v>6827.7</v>
      </c>
      <c r="O111" s="82">
        <f>N111+'BM 003'!O111</f>
        <v>6827.7</v>
      </c>
      <c r="P111" s="80">
        <f t="shared" si="53"/>
        <v>30838.5</v>
      </c>
      <c r="Q111" s="82">
        <f t="shared" si="54"/>
        <v>39090.879999999997</v>
      </c>
      <c r="R111" s="82">
        <f t="shared" si="55"/>
        <v>32263.179999999997</v>
      </c>
    </row>
    <row r="112" spans="2:20" s="34" customFormat="1" ht="46.2">
      <c r="B112" s="87" t="s">
        <v>224</v>
      </c>
      <c r="C112" s="88" t="s">
        <v>204</v>
      </c>
      <c r="D112" s="89" t="s">
        <v>152</v>
      </c>
      <c r="E112" s="90">
        <v>542.29999999999995</v>
      </c>
      <c r="F112" s="91">
        <f>'M.C. MED. 04'!K597</f>
        <v>30.6</v>
      </c>
      <c r="G112" s="91">
        <f t="shared" si="50"/>
        <v>30.6</v>
      </c>
      <c r="H112" s="91"/>
      <c r="I112" s="79">
        <f>SUM(G112:H112)+'BM 003'!I112</f>
        <v>30.6</v>
      </c>
      <c r="J112" s="91">
        <f t="shared" si="41"/>
        <v>511.69999999999993</v>
      </c>
      <c r="K112" s="80">
        <v>16</v>
      </c>
      <c r="L112" s="81">
        <f t="shared" si="39"/>
        <v>20.281601760000001</v>
      </c>
      <c r="M112" s="82">
        <f t="shared" si="51"/>
        <v>620.61</v>
      </c>
      <c r="N112" s="82">
        <f t="shared" si="52"/>
        <v>620.61</v>
      </c>
      <c r="O112" s="82">
        <f>N112+'BM 003'!O112</f>
        <v>620.61</v>
      </c>
      <c r="P112" s="80">
        <f t="shared" si="53"/>
        <v>8676.7999999999993</v>
      </c>
      <c r="Q112" s="82">
        <f t="shared" si="54"/>
        <v>10998.71</v>
      </c>
      <c r="R112" s="82">
        <f t="shared" si="55"/>
        <v>10378.099999999999</v>
      </c>
      <c r="T112" s="83"/>
    </row>
    <row r="113" spans="2:20" s="34" customFormat="1" ht="46.2">
      <c r="B113" s="87" t="s">
        <v>225</v>
      </c>
      <c r="C113" s="88" t="s">
        <v>206</v>
      </c>
      <c r="D113" s="89" t="s">
        <v>152</v>
      </c>
      <c r="E113" s="90">
        <v>3532.1</v>
      </c>
      <c r="F113" s="91">
        <f>'M.C. MED. 04'!K607</f>
        <v>98.46</v>
      </c>
      <c r="G113" s="91">
        <f t="shared" si="50"/>
        <v>98.46</v>
      </c>
      <c r="H113" s="91"/>
      <c r="I113" s="79">
        <f>SUM(G113:H113)+'BM 003'!I113</f>
        <v>98.46</v>
      </c>
      <c r="J113" s="91">
        <f t="shared" si="41"/>
        <v>3433.64</v>
      </c>
      <c r="K113" s="80">
        <v>14.5</v>
      </c>
      <c r="L113" s="81">
        <f t="shared" si="39"/>
        <v>18.380201595000003</v>
      </c>
      <c r="M113" s="82">
        <f t="shared" si="51"/>
        <v>1809.71</v>
      </c>
      <c r="N113" s="82">
        <f t="shared" si="52"/>
        <v>1809.71</v>
      </c>
      <c r="O113" s="82">
        <f>N113+'BM 003'!O113</f>
        <v>1809.71</v>
      </c>
      <c r="P113" s="80">
        <f t="shared" si="53"/>
        <v>51215.45</v>
      </c>
      <c r="Q113" s="82">
        <f t="shared" si="54"/>
        <v>64920.71</v>
      </c>
      <c r="R113" s="82">
        <f t="shared" si="55"/>
        <v>63111</v>
      </c>
      <c r="T113" s="83"/>
    </row>
    <row r="114" spans="2:20" s="34" customFormat="1" ht="46.2">
      <c r="B114" s="87" t="s">
        <v>226</v>
      </c>
      <c r="C114" s="88" t="s">
        <v>208</v>
      </c>
      <c r="D114" s="89" t="s">
        <v>152</v>
      </c>
      <c r="E114" s="90">
        <v>7313.9</v>
      </c>
      <c r="F114" s="91">
        <f>'M.C. MED. 04'!K617</f>
        <v>3092.24</v>
      </c>
      <c r="G114" s="91">
        <f t="shared" si="50"/>
        <v>3092.24</v>
      </c>
      <c r="H114" s="91"/>
      <c r="I114" s="79">
        <f>SUM(G114:H114)+'BM 003'!I114</f>
        <v>3092.24</v>
      </c>
      <c r="J114" s="91">
        <f t="shared" si="41"/>
        <v>4221.66</v>
      </c>
      <c r="K114" s="94">
        <v>14.5</v>
      </c>
      <c r="L114" s="81">
        <f t="shared" si="39"/>
        <v>18.380201595000003</v>
      </c>
      <c r="M114" s="82">
        <f t="shared" si="51"/>
        <v>56835.99</v>
      </c>
      <c r="N114" s="82">
        <f t="shared" si="52"/>
        <v>56835.99</v>
      </c>
      <c r="O114" s="82">
        <f>N114+'BM 003'!O114</f>
        <v>56835.99</v>
      </c>
      <c r="P114" s="80">
        <f t="shared" si="53"/>
        <v>106051.54999999999</v>
      </c>
      <c r="Q114" s="82">
        <f t="shared" si="54"/>
        <v>134430.95000000001</v>
      </c>
      <c r="R114" s="82">
        <f t="shared" si="55"/>
        <v>77594.960000000021</v>
      </c>
      <c r="T114" s="83"/>
    </row>
    <row r="115" spans="2:20" s="34" customFormat="1" ht="46.2">
      <c r="B115" s="87" t="s">
        <v>227</v>
      </c>
      <c r="C115" s="88" t="s">
        <v>210</v>
      </c>
      <c r="D115" s="89" t="s">
        <v>152</v>
      </c>
      <c r="E115" s="92">
        <v>4513.3</v>
      </c>
      <c r="F115" s="91">
        <f>'M.C. MED. 04'!K627</f>
        <v>1478.5</v>
      </c>
      <c r="G115" s="91">
        <f t="shared" si="50"/>
        <v>1478.5</v>
      </c>
      <c r="H115" s="91"/>
      <c r="I115" s="79">
        <f>SUM(G115:H115)+'BM 003'!I115</f>
        <v>1478.5</v>
      </c>
      <c r="J115" s="91">
        <f t="shared" si="41"/>
        <v>3034.8</v>
      </c>
      <c r="K115" s="80">
        <v>14</v>
      </c>
      <c r="L115" s="81">
        <f t="shared" si="39"/>
        <v>17.746401540000001</v>
      </c>
      <c r="M115" s="82">
        <f t="shared" si="51"/>
        <v>26238.05</v>
      </c>
      <c r="N115" s="82">
        <f t="shared" si="52"/>
        <v>26238.05</v>
      </c>
      <c r="O115" s="82">
        <f>N115+'BM 003'!O115</f>
        <v>26238.05</v>
      </c>
      <c r="P115" s="80">
        <f t="shared" si="53"/>
        <v>63186.200000000004</v>
      </c>
      <c r="Q115" s="82">
        <f t="shared" si="54"/>
        <v>80094.83</v>
      </c>
      <c r="R115" s="82">
        <f t="shared" si="55"/>
        <v>53856.78</v>
      </c>
      <c r="T115" s="83"/>
    </row>
    <row r="116" spans="2:20" s="34" customFormat="1" ht="46.2">
      <c r="B116" s="87" t="s">
        <v>228</v>
      </c>
      <c r="C116" s="88" t="s">
        <v>212</v>
      </c>
      <c r="D116" s="89" t="s">
        <v>152</v>
      </c>
      <c r="E116" s="92">
        <v>14626.7</v>
      </c>
      <c r="F116" s="91">
        <f>'M.C. MED. 04'!K637</f>
        <v>2163.2199999999998</v>
      </c>
      <c r="G116" s="91">
        <f t="shared" si="50"/>
        <v>2163.2199999999998</v>
      </c>
      <c r="H116" s="91"/>
      <c r="I116" s="79">
        <f>SUM(G116:H116)+'BM 003'!I116</f>
        <v>2163.2199999999998</v>
      </c>
      <c r="J116" s="91">
        <f t="shared" si="41"/>
        <v>12463.480000000001</v>
      </c>
      <c r="K116" s="95">
        <v>14</v>
      </c>
      <c r="L116" s="81">
        <f t="shared" si="39"/>
        <v>17.746401540000001</v>
      </c>
      <c r="M116" s="82">
        <f t="shared" si="51"/>
        <v>38389.370000000003</v>
      </c>
      <c r="N116" s="82">
        <f t="shared" si="52"/>
        <v>38389.370000000003</v>
      </c>
      <c r="O116" s="82">
        <f>N116+'BM 003'!O116</f>
        <v>38389.370000000003</v>
      </c>
      <c r="P116" s="80">
        <f t="shared" si="53"/>
        <v>204773.80000000002</v>
      </c>
      <c r="Q116" s="82">
        <f t="shared" si="54"/>
        <v>259571.29</v>
      </c>
      <c r="R116" s="82">
        <f t="shared" si="55"/>
        <v>221181.92</v>
      </c>
      <c r="T116" s="83"/>
    </row>
    <row r="117" spans="2:20" s="34" customFormat="1" ht="22.8">
      <c r="B117" s="87" t="s">
        <v>229</v>
      </c>
      <c r="C117" s="88" t="s">
        <v>230</v>
      </c>
      <c r="D117" s="89" t="s">
        <v>231</v>
      </c>
      <c r="E117" s="92">
        <v>3177.02</v>
      </c>
      <c r="F117" s="91">
        <f>TRUNC(0.16*E108)</f>
        <v>367</v>
      </c>
      <c r="G117" s="91">
        <f t="shared" si="50"/>
        <v>367</v>
      </c>
      <c r="H117" s="91"/>
      <c r="I117" s="79">
        <f>SUM(G117:H117)+'BM 003'!I117</f>
        <v>367</v>
      </c>
      <c r="J117" s="91">
        <f t="shared" si="41"/>
        <v>2810.02</v>
      </c>
      <c r="K117" s="80">
        <v>30</v>
      </c>
      <c r="L117" s="81">
        <f t="shared" si="39"/>
        <v>38.028003300000002</v>
      </c>
      <c r="M117" s="82">
        <f t="shared" si="51"/>
        <v>13956.27</v>
      </c>
      <c r="N117" s="82">
        <f t="shared" si="52"/>
        <v>13956.27</v>
      </c>
      <c r="O117" s="82">
        <f>N117+'BM 003'!O117</f>
        <v>13956.27</v>
      </c>
      <c r="P117" s="80">
        <f t="shared" si="53"/>
        <v>95310.6</v>
      </c>
      <c r="Q117" s="82">
        <f t="shared" si="54"/>
        <v>120815.72</v>
      </c>
      <c r="R117" s="82">
        <f t="shared" si="55"/>
        <v>106859.45</v>
      </c>
      <c r="T117" s="83"/>
    </row>
    <row r="118" spans="2:20" s="34" customFormat="1" ht="23.4">
      <c r="B118" s="87" t="s">
        <v>232</v>
      </c>
      <c r="C118" s="88" t="s">
        <v>190</v>
      </c>
      <c r="D118" s="89" t="s">
        <v>63</v>
      </c>
      <c r="E118" s="92">
        <v>240</v>
      </c>
      <c r="F118" s="91">
        <v>40</v>
      </c>
      <c r="G118" s="91">
        <f t="shared" si="50"/>
        <v>40</v>
      </c>
      <c r="H118" s="91"/>
      <c r="I118" s="79">
        <f>SUM(G118:H118)+'BM 003'!I118</f>
        <v>40</v>
      </c>
      <c r="J118" s="91">
        <f t="shared" si="41"/>
        <v>200</v>
      </c>
      <c r="K118" s="80">
        <v>30</v>
      </c>
      <c r="L118" s="81">
        <f t="shared" si="39"/>
        <v>38.028003300000002</v>
      </c>
      <c r="M118" s="82">
        <f t="shared" si="51"/>
        <v>1521.12</v>
      </c>
      <c r="N118" s="82">
        <f t="shared" si="52"/>
        <v>1521.12</v>
      </c>
      <c r="O118" s="82">
        <f>N118+'BM 003'!O118</f>
        <v>1521.12</v>
      </c>
      <c r="P118" s="80">
        <f t="shared" si="53"/>
        <v>7200</v>
      </c>
      <c r="Q118" s="82">
        <f t="shared" si="54"/>
        <v>9126.7199999999993</v>
      </c>
      <c r="R118" s="82">
        <f t="shared" si="55"/>
        <v>7605.5999999999995</v>
      </c>
      <c r="T118" s="83"/>
    </row>
    <row r="119" spans="2:20" s="34" customFormat="1" ht="23.4">
      <c r="B119" s="87" t="s">
        <v>233</v>
      </c>
      <c r="C119" s="88" t="s">
        <v>215</v>
      </c>
      <c r="D119" s="89" t="s">
        <v>169</v>
      </c>
      <c r="E119" s="92">
        <v>226.93</v>
      </c>
      <c r="F119" s="91">
        <f>'M.C. MED. 04'!K684</f>
        <v>36.47</v>
      </c>
      <c r="G119" s="91">
        <f t="shared" si="50"/>
        <v>36.47</v>
      </c>
      <c r="H119" s="91"/>
      <c r="I119" s="79">
        <f>SUM(G119:H119)+'BM 003'!I119</f>
        <v>36.47</v>
      </c>
      <c r="J119" s="91">
        <f t="shared" si="41"/>
        <v>190.46</v>
      </c>
      <c r="K119" s="95">
        <v>750</v>
      </c>
      <c r="L119" s="81">
        <f t="shared" si="39"/>
        <v>950.70008250000001</v>
      </c>
      <c r="M119" s="82">
        <f t="shared" si="51"/>
        <v>34672.03</v>
      </c>
      <c r="N119" s="82">
        <f t="shared" si="52"/>
        <v>34672.03</v>
      </c>
      <c r="O119" s="82">
        <f>N119+'BM 003'!O119</f>
        <v>34672.03</v>
      </c>
      <c r="P119" s="80">
        <f t="shared" si="53"/>
        <v>170197.5</v>
      </c>
      <c r="Q119" s="82">
        <f t="shared" si="54"/>
        <v>215742.36</v>
      </c>
      <c r="R119" s="82">
        <f t="shared" si="55"/>
        <v>181070.33</v>
      </c>
      <c r="T119" s="83"/>
    </row>
    <row r="120" spans="2:20" s="34" customFormat="1" ht="13.2">
      <c r="B120" s="66" t="s">
        <v>234</v>
      </c>
      <c r="C120" s="67" t="s">
        <v>235</v>
      </c>
      <c r="D120" s="68"/>
      <c r="E120" s="69"/>
      <c r="F120" s="70"/>
      <c r="G120" s="70"/>
      <c r="H120" s="70"/>
      <c r="I120" s="70">
        <f>SUM(G120:H120)+'BM 003'!I120</f>
        <v>0</v>
      </c>
      <c r="J120" s="70">
        <f t="shared" si="41"/>
        <v>0</v>
      </c>
      <c r="K120" s="71"/>
      <c r="L120" s="71">
        <f t="shared" si="39"/>
        <v>0</v>
      </c>
      <c r="M120" s="73">
        <f t="shared" ref="M120:R120" si="56">SUM(M121:M130)</f>
        <v>0</v>
      </c>
      <c r="N120" s="73">
        <f t="shared" si="56"/>
        <v>0</v>
      </c>
      <c r="O120" s="73">
        <f t="shared" si="56"/>
        <v>0</v>
      </c>
      <c r="P120" s="73">
        <f t="shared" si="56"/>
        <v>2218671.0499999998</v>
      </c>
      <c r="Q120" s="73">
        <f t="shared" si="56"/>
        <v>2812387.62</v>
      </c>
      <c r="R120" s="73">
        <f t="shared" si="56"/>
        <v>2812387.62</v>
      </c>
      <c r="T120" s="83"/>
    </row>
    <row r="121" spans="2:20" s="34" customFormat="1" ht="57.6">
      <c r="B121" s="87" t="s">
        <v>236</v>
      </c>
      <c r="C121" s="88" t="s">
        <v>237</v>
      </c>
      <c r="D121" s="89" t="s">
        <v>79</v>
      </c>
      <c r="E121" s="92">
        <v>770.47</v>
      </c>
      <c r="F121" s="91"/>
      <c r="G121" s="91"/>
      <c r="H121" s="91"/>
      <c r="I121" s="79">
        <f>SUM(G121:H121)+'BM 003'!I121</f>
        <v>0</v>
      </c>
      <c r="J121" s="91">
        <f t="shared" si="41"/>
        <v>770.47</v>
      </c>
      <c r="K121" s="80">
        <v>130</v>
      </c>
      <c r="L121" s="81">
        <f t="shared" si="39"/>
        <v>164.78801430000001</v>
      </c>
      <c r="M121" s="82">
        <f t="shared" ref="M121:M130" si="57">TRUNC(F121*L121,2)</f>
        <v>0</v>
      </c>
      <c r="N121" s="82">
        <f t="shared" ref="N121:N130" si="58">TRUNC(G121*L121,2)</f>
        <v>0</v>
      </c>
      <c r="O121" s="82">
        <f>N121+'BM 003'!O121</f>
        <v>0</v>
      </c>
      <c r="P121" s="80">
        <f t="shared" ref="P121:P130" si="59">E121*K121</f>
        <v>100161.1</v>
      </c>
      <c r="Q121" s="82">
        <f t="shared" ref="Q121:Q130" si="60">TRUNC(E121*L121,2)</f>
        <v>126964.22</v>
      </c>
      <c r="R121" s="82">
        <f t="shared" ref="R121:R130" si="61">Q121-O121</f>
        <v>126964.22</v>
      </c>
      <c r="T121" s="83"/>
    </row>
    <row r="122" spans="2:20" s="34" customFormat="1" ht="69">
      <c r="B122" s="87" t="s">
        <v>238</v>
      </c>
      <c r="C122" s="88" t="s">
        <v>239</v>
      </c>
      <c r="D122" s="89" t="s">
        <v>79</v>
      </c>
      <c r="E122" s="92">
        <v>7163.62</v>
      </c>
      <c r="F122" s="91"/>
      <c r="G122" s="91"/>
      <c r="H122" s="91"/>
      <c r="I122" s="79">
        <f>SUM(G122:H122)+'BM 003'!I122</f>
        <v>0</v>
      </c>
      <c r="J122" s="91">
        <f t="shared" si="41"/>
        <v>7163.62</v>
      </c>
      <c r="K122" s="80">
        <v>130</v>
      </c>
      <c r="L122" s="81">
        <f t="shared" si="39"/>
        <v>164.78801430000001</v>
      </c>
      <c r="M122" s="82">
        <f t="shared" si="57"/>
        <v>0</v>
      </c>
      <c r="N122" s="82">
        <f t="shared" si="58"/>
        <v>0</v>
      </c>
      <c r="O122" s="82">
        <f>N122+'BM 003'!O122</f>
        <v>0</v>
      </c>
      <c r="P122" s="80">
        <f t="shared" si="59"/>
        <v>931270.6</v>
      </c>
      <c r="Q122" s="82">
        <f t="shared" si="60"/>
        <v>1180478.71</v>
      </c>
      <c r="R122" s="82">
        <f t="shared" si="61"/>
        <v>1180478.71</v>
      </c>
      <c r="T122" s="83"/>
    </row>
    <row r="123" spans="2:20" s="34" customFormat="1" ht="46.2">
      <c r="B123" s="87" t="s">
        <v>240</v>
      </c>
      <c r="C123" s="88" t="s">
        <v>241</v>
      </c>
      <c r="D123" s="89" t="s">
        <v>152</v>
      </c>
      <c r="E123" s="92">
        <v>2362.8000000000002</v>
      </c>
      <c r="F123" s="91"/>
      <c r="G123" s="91"/>
      <c r="H123" s="91"/>
      <c r="I123" s="79">
        <f>SUM(G123:H123)+'BM 003'!I123</f>
        <v>0</v>
      </c>
      <c r="J123" s="91">
        <f t="shared" si="41"/>
        <v>2362.8000000000002</v>
      </c>
      <c r="K123" s="80">
        <v>19</v>
      </c>
      <c r="L123" s="81">
        <f t="shared" si="39"/>
        <v>24.084402090000001</v>
      </c>
      <c r="M123" s="82">
        <f t="shared" si="57"/>
        <v>0</v>
      </c>
      <c r="N123" s="82">
        <f t="shared" si="58"/>
        <v>0</v>
      </c>
      <c r="O123" s="82">
        <f>N123+'BM 003'!O123</f>
        <v>0</v>
      </c>
      <c r="P123" s="80">
        <f t="shared" si="59"/>
        <v>44893.200000000004</v>
      </c>
      <c r="Q123" s="82">
        <f t="shared" si="60"/>
        <v>56906.62</v>
      </c>
      <c r="R123" s="82">
        <f t="shared" si="61"/>
        <v>56906.62</v>
      </c>
      <c r="T123" s="83"/>
    </row>
    <row r="124" spans="2:20" s="34" customFormat="1" ht="46.2">
      <c r="B124" s="87" t="s">
        <v>242</v>
      </c>
      <c r="C124" s="88" t="s">
        <v>243</v>
      </c>
      <c r="D124" s="89" t="s">
        <v>152</v>
      </c>
      <c r="E124" s="90">
        <v>602.79999999999995</v>
      </c>
      <c r="F124" s="91"/>
      <c r="G124" s="91"/>
      <c r="H124" s="91"/>
      <c r="I124" s="79">
        <f>SUM(G124:H124)+'BM 003'!I124</f>
        <v>0</v>
      </c>
      <c r="J124" s="91">
        <f t="shared" si="41"/>
        <v>602.79999999999995</v>
      </c>
      <c r="K124" s="80">
        <v>17.5</v>
      </c>
      <c r="L124" s="81">
        <f t="shared" si="39"/>
        <v>22.183001924999999</v>
      </c>
      <c r="M124" s="82">
        <f t="shared" si="57"/>
        <v>0</v>
      </c>
      <c r="N124" s="82">
        <f t="shared" si="58"/>
        <v>0</v>
      </c>
      <c r="O124" s="82">
        <f>N124+'BM 003'!O124</f>
        <v>0</v>
      </c>
      <c r="P124" s="80">
        <f t="shared" si="59"/>
        <v>10549</v>
      </c>
      <c r="Q124" s="82">
        <f t="shared" si="60"/>
        <v>13371.91</v>
      </c>
      <c r="R124" s="82">
        <f t="shared" si="61"/>
        <v>13371.91</v>
      </c>
      <c r="T124" s="83"/>
    </row>
    <row r="125" spans="2:20" s="34" customFormat="1" ht="46.2">
      <c r="B125" s="87" t="s">
        <v>244</v>
      </c>
      <c r="C125" s="88" t="s">
        <v>245</v>
      </c>
      <c r="D125" s="89" t="s">
        <v>152</v>
      </c>
      <c r="E125" s="90">
        <v>3562.9</v>
      </c>
      <c r="F125" s="91"/>
      <c r="G125" s="91"/>
      <c r="H125" s="91"/>
      <c r="I125" s="79">
        <f>SUM(G125:H125)+'BM 003'!I125</f>
        <v>0</v>
      </c>
      <c r="J125" s="91">
        <f t="shared" si="41"/>
        <v>3562.9</v>
      </c>
      <c r="K125" s="80">
        <v>16</v>
      </c>
      <c r="L125" s="81">
        <f t="shared" si="39"/>
        <v>20.281601760000001</v>
      </c>
      <c r="M125" s="82">
        <f t="shared" si="57"/>
        <v>0</v>
      </c>
      <c r="N125" s="82">
        <f t="shared" si="58"/>
        <v>0</v>
      </c>
      <c r="O125" s="82">
        <f>N125+'BM 003'!O125</f>
        <v>0</v>
      </c>
      <c r="P125" s="80">
        <f t="shared" si="59"/>
        <v>57006.400000000001</v>
      </c>
      <c r="Q125" s="82">
        <f t="shared" si="60"/>
        <v>72261.31</v>
      </c>
      <c r="R125" s="82">
        <f t="shared" si="61"/>
        <v>72261.31</v>
      </c>
    </row>
    <row r="126" spans="2:20" s="34" customFormat="1" ht="46.2">
      <c r="B126" s="87" t="s">
        <v>246</v>
      </c>
      <c r="C126" s="88" t="s">
        <v>247</v>
      </c>
      <c r="D126" s="89" t="s">
        <v>152</v>
      </c>
      <c r="E126" s="90">
        <v>8278.6</v>
      </c>
      <c r="F126" s="91"/>
      <c r="G126" s="91"/>
      <c r="H126" s="91"/>
      <c r="I126" s="79">
        <f>SUM(G126:H126)+'BM 003'!I126</f>
        <v>0</v>
      </c>
      <c r="J126" s="91">
        <f t="shared" si="41"/>
        <v>8278.6</v>
      </c>
      <c r="K126" s="80">
        <v>14.5</v>
      </c>
      <c r="L126" s="81">
        <f t="shared" si="39"/>
        <v>18.380201595000003</v>
      </c>
      <c r="M126" s="82">
        <f t="shared" si="57"/>
        <v>0</v>
      </c>
      <c r="N126" s="82">
        <f t="shared" si="58"/>
        <v>0</v>
      </c>
      <c r="O126" s="82">
        <f>N126+'BM 003'!O126</f>
        <v>0</v>
      </c>
      <c r="P126" s="80">
        <f t="shared" si="59"/>
        <v>120039.70000000001</v>
      </c>
      <c r="Q126" s="82">
        <f t="shared" si="60"/>
        <v>152162.32999999999</v>
      </c>
      <c r="R126" s="82">
        <f t="shared" si="61"/>
        <v>152162.32999999999</v>
      </c>
    </row>
    <row r="127" spans="2:20" s="34" customFormat="1" ht="46.2">
      <c r="B127" s="87" t="s">
        <v>248</v>
      </c>
      <c r="C127" s="88" t="s">
        <v>249</v>
      </c>
      <c r="D127" s="89" t="s">
        <v>152</v>
      </c>
      <c r="E127" s="90">
        <v>8114.7</v>
      </c>
      <c r="F127" s="91"/>
      <c r="G127" s="91"/>
      <c r="H127" s="91"/>
      <c r="I127" s="79">
        <f>SUM(G127:H127)+'BM 003'!I127</f>
        <v>0</v>
      </c>
      <c r="J127" s="91">
        <f t="shared" si="41"/>
        <v>8114.7</v>
      </c>
      <c r="K127" s="94">
        <v>14.5</v>
      </c>
      <c r="L127" s="81">
        <f t="shared" si="39"/>
        <v>18.380201595000003</v>
      </c>
      <c r="M127" s="82">
        <f t="shared" si="57"/>
        <v>0</v>
      </c>
      <c r="N127" s="82">
        <f t="shared" si="58"/>
        <v>0</v>
      </c>
      <c r="O127" s="82">
        <f>N127+'BM 003'!O127</f>
        <v>0</v>
      </c>
      <c r="P127" s="80">
        <f t="shared" si="59"/>
        <v>117663.15</v>
      </c>
      <c r="Q127" s="82">
        <f t="shared" si="60"/>
        <v>149149.82</v>
      </c>
      <c r="R127" s="82">
        <f t="shared" si="61"/>
        <v>149149.82</v>
      </c>
    </row>
    <row r="128" spans="2:20" s="34" customFormat="1" ht="46.2">
      <c r="B128" s="87" t="s">
        <v>250</v>
      </c>
      <c r="C128" s="88" t="s">
        <v>251</v>
      </c>
      <c r="D128" s="89" t="s">
        <v>152</v>
      </c>
      <c r="E128" s="90">
        <v>11554.4</v>
      </c>
      <c r="F128" s="91"/>
      <c r="G128" s="91"/>
      <c r="H128" s="91"/>
      <c r="I128" s="79">
        <f>SUM(G128:H128)+'BM 003'!I128</f>
        <v>0</v>
      </c>
      <c r="J128" s="91">
        <f t="shared" si="41"/>
        <v>11554.4</v>
      </c>
      <c r="K128" s="80">
        <v>14</v>
      </c>
      <c r="L128" s="81">
        <f t="shared" si="39"/>
        <v>17.746401540000001</v>
      </c>
      <c r="M128" s="82">
        <f t="shared" si="57"/>
        <v>0</v>
      </c>
      <c r="N128" s="82">
        <f t="shared" si="58"/>
        <v>0</v>
      </c>
      <c r="O128" s="82">
        <f>N128+'BM 003'!O128</f>
        <v>0</v>
      </c>
      <c r="P128" s="80">
        <f t="shared" si="59"/>
        <v>161761.60000000001</v>
      </c>
      <c r="Q128" s="82">
        <f t="shared" si="60"/>
        <v>205049.02</v>
      </c>
      <c r="R128" s="82">
        <f t="shared" si="61"/>
        <v>205049.02</v>
      </c>
    </row>
    <row r="129" spans="2:21" s="34" customFormat="1" ht="57.6">
      <c r="B129" s="87" t="s">
        <v>252</v>
      </c>
      <c r="C129" s="88" t="s">
        <v>253</v>
      </c>
      <c r="D129" s="89" t="s">
        <v>152</v>
      </c>
      <c r="E129" s="90">
        <v>5166.7</v>
      </c>
      <c r="F129" s="91"/>
      <c r="G129" s="91"/>
      <c r="H129" s="91"/>
      <c r="I129" s="79">
        <f>SUM(G129:H129)+'BM 003'!I129</f>
        <v>0</v>
      </c>
      <c r="J129" s="91">
        <f t="shared" si="41"/>
        <v>5166.7</v>
      </c>
      <c r="K129" s="80">
        <v>14</v>
      </c>
      <c r="L129" s="81">
        <f t="shared" si="39"/>
        <v>17.746401540000001</v>
      </c>
      <c r="M129" s="82">
        <f t="shared" si="57"/>
        <v>0</v>
      </c>
      <c r="N129" s="82">
        <f t="shared" si="58"/>
        <v>0</v>
      </c>
      <c r="O129" s="82">
        <f>N129+'BM 003'!O129</f>
        <v>0</v>
      </c>
      <c r="P129" s="80">
        <f t="shared" si="59"/>
        <v>72333.8</v>
      </c>
      <c r="Q129" s="82">
        <f t="shared" si="60"/>
        <v>91690.33</v>
      </c>
      <c r="R129" s="82">
        <f t="shared" si="61"/>
        <v>91690.33</v>
      </c>
    </row>
    <row r="130" spans="2:21" s="34" customFormat="1" ht="23.4">
      <c r="B130" s="87" t="s">
        <v>254</v>
      </c>
      <c r="C130" s="88" t="s">
        <v>215</v>
      </c>
      <c r="D130" s="89" t="s">
        <v>169</v>
      </c>
      <c r="E130" s="92">
        <v>803.99</v>
      </c>
      <c r="F130" s="91"/>
      <c r="G130" s="91"/>
      <c r="H130" s="91"/>
      <c r="I130" s="79">
        <f>SUM(G130:H130)+'BM 003'!I130</f>
        <v>0</v>
      </c>
      <c r="J130" s="91">
        <f t="shared" si="41"/>
        <v>803.99</v>
      </c>
      <c r="K130" s="95">
        <v>750</v>
      </c>
      <c r="L130" s="81">
        <f t="shared" si="39"/>
        <v>950.70008250000001</v>
      </c>
      <c r="M130" s="82">
        <f t="shared" si="57"/>
        <v>0</v>
      </c>
      <c r="N130" s="82">
        <f t="shared" si="58"/>
        <v>0</v>
      </c>
      <c r="O130" s="82">
        <f>N130+'BM 003'!O130</f>
        <v>0</v>
      </c>
      <c r="P130" s="80">
        <f t="shared" si="59"/>
        <v>602992.5</v>
      </c>
      <c r="Q130" s="82">
        <f t="shared" si="60"/>
        <v>764353.35</v>
      </c>
      <c r="R130" s="82">
        <f t="shared" si="61"/>
        <v>764353.35</v>
      </c>
      <c r="T130" s="83"/>
      <c r="U130" s="83"/>
    </row>
    <row r="131" spans="2:21" s="34" customFormat="1" ht="17.399999999999999">
      <c r="B131" s="60" t="s">
        <v>255</v>
      </c>
      <c r="C131" s="61" t="s">
        <v>256</v>
      </c>
      <c r="D131" s="60"/>
      <c r="E131" s="62"/>
      <c r="F131" s="63"/>
      <c r="G131" s="63"/>
      <c r="H131" s="63"/>
      <c r="I131" s="63">
        <f>SUM(G131:H131)+'BM 003'!I131</f>
        <v>0</v>
      </c>
      <c r="J131" s="63">
        <f t="shared" si="41"/>
        <v>0</v>
      </c>
      <c r="K131" s="63"/>
      <c r="L131" s="63">
        <f t="shared" si="39"/>
        <v>0</v>
      </c>
      <c r="M131" s="63">
        <f t="shared" ref="M131:R131" si="62">SUM(M132:M138)</f>
        <v>0</v>
      </c>
      <c r="N131" s="63">
        <f t="shared" si="62"/>
        <v>0</v>
      </c>
      <c r="O131" s="63">
        <f t="shared" si="62"/>
        <v>0</v>
      </c>
      <c r="P131" s="63">
        <f t="shared" si="62"/>
        <v>1701680.9500000002</v>
      </c>
      <c r="Q131" s="63">
        <f t="shared" si="62"/>
        <v>2157050.9299999997</v>
      </c>
      <c r="R131" s="63">
        <f t="shared" si="62"/>
        <v>2157050.9299999997</v>
      </c>
      <c r="T131" s="97"/>
    </row>
    <row r="132" spans="2:21" s="34" customFormat="1" ht="23.4">
      <c r="B132" s="87" t="s">
        <v>257</v>
      </c>
      <c r="C132" s="98" t="s">
        <v>258</v>
      </c>
      <c r="D132" s="99" t="s">
        <v>169</v>
      </c>
      <c r="E132" s="100">
        <v>261.60000000000002</v>
      </c>
      <c r="F132" s="101"/>
      <c r="G132" s="101"/>
      <c r="H132" s="101"/>
      <c r="I132" s="79">
        <f>SUM(G132:H132)+'BM 003'!I132</f>
        <v>0</v>
      </c>
      <c r="J132" s="101">
        <f t="shared" si="41"/>
        <v>261.60000000000002</v>
      </c>
      <c r="K132" s="102">
        <v>620</v>
      </c>
      <c r="L132" s="81">
        <f t="shared" si="39"/>
        <v>785.91206820000002</v>
      </c>
      <c r="M132" s="82">
        <f t="shared" ref="M132:M138" si="63">TRUNC(F132*L132,2)</f>
        <v>0</v>
      </c>
      <c r="N132" s="82">
        <f t="shared" ref="N132:N138" si="64">TRUNC(G132*L132,2)</f>
        <v>0</v>
      </c>
      <c r="O132" s="82">
        <f>N132+'BM 003'!O132</f>
        <v>0</v>
      </c>
      <c r="P132" s="80">
        <f t="shared" ref="P132:P138" si="65">E132*K132</f>
        <v>162192</v>
      </c>
      <c r="Q132" s="82">
        <f t="shared" ref="Q132:Q138" si="66">TRUNC(E132*L132,2)</f>
        <v>205594.59</v>
      </c>
      <c r="R132" s="82">
        <f t="shared" ref="R132:R138" si="67">Q132-O132</f>
        <v>205594.59</v>
      </c>
    </row>
    <row r="133" spans="2:21" s="34" customFormat="1" ht="34.799999999999997">
      <c r="B133" s="87" t="s">
        <v>259</v>
      </c>
      <c r="C133" s="88" t="s">
        <v>260</v>
      </c>
      <c r="D133" s="89" t="s">
        <v>82</v>
      </c>
      <c r="E133" s="90">
        <v>3852</v>
      </c>
      <c r="F133" s="91"/>
      <c r="G133" s="91"/>
      <c r="H133" s="91"/>
      <c r="I133" s="79">
        <f>SUM(G133:H133)+'BM 003'!I133</f>
        <v>0</v>
      </c>
      <c r="J133" s="91">
        <f t="shared" si="41"/>
        <v>3852</v>
      </c>
      <c r="K133" s="84">
        <v>20</v>
      </c>
      <c r="L133" s="81">
        <f t="shared" si="39"/>
        <v>25.352002200000001</v>
      </c>
      <c r="M133" s="82">
        <f t="shared" si="63"/>
        <v>0</v>
      </c>
      <c r="N133" s="82">
        <f t="shared" si="64"/>
        <v>0</v>
      </c>
      <c r="O133" s="82">
        <f>N133+'BM 003'!O133</f>
        <v>0</v>
      </c>
      <c r="P133" s="80">
        <f t="shared" si="65"/>
        <v>77040</v>
      </c>
      <c r="Q133" s="82">
        <f t="shared" si="66"/>
        <v>97655.91</v>
      </c>
      <c r="R133" s="82">
        <f t="shared" si="67"/>
        <v>97655.91</v>
      </c>
    </row>
    <row r="134" spans="2:21" s="34" customFormat="1" ht="46.2">
      <c r="B134" s="87" t="s">
        <v>261</v>
      </c>
      <c r="C134" s="88" t="s">
        <v>262</v>
      </c>
      <c r="D134" s="89" t="s">
        <v>110</v>
      </c>
      <c r="E134" s="92">
        <v>112</v>
      </c>
      <c r="F134" s="91"/>
      <c r="G134" s="91"/>
      <c r="H134" s="91"/>
      <c r="I134" s="79">
        <f>SUM(G134:H134)+'BM 003'!I134</f>
        <v>0</v>
      </c>
      <c r="J134" s="91">
        <f t="shared" si="41"/>
        <v>112</v>
      </c>
      <c r="K134" s="84">
        <v>650</v>
      </c>
      <c r="L134" s="81">
        <f t="shared" si="39"/>
        <v>823.94007150000004</v>
      </c>
      <c r="M134" s="82">
        <f t="shared" si="63"/>
        <v>0</v>
      </c>
      <c r="N134" s="82">
        <f t="shared" si="64"/>
        <v>0</v>
      </c>
      <c r="O134" s="82">
        <f>N134+'BM 003'!O134</f>
        <v>0</v>
      </c>
      <c r="P134" s="80">
        <f t="shared" si="65"/>
        <v>72800</v>
      </c>
      <c r="Q134" s="82">
        <f t="shared" si="66"/>
        <v>92281.279999999999</v>
      </c>
      <c r="R134" s="82">
        <f t="shared" si="67"/>
        <v>92281.279999999999</v>
      </c>
    </row>
    <row r="135" spans="2:21" s="34" customFormat="1" ht="69">
      <c r="B135" s="87" t="s">
        <v>263</v>
      </c>
      <c r="C135" s="88" t="s">
        <v>264</v>
      </c>
      <c r="D135" s="89" t="s">
        <v>79</v>
      </c>
      <c r="E135" s="90">
        <v>15102.2</v>
      </c>
      <c r="F135" s="91"/>
      <c r="G135" s="91"/>
      <c r="H135" s="91"/>
      <c r="I135" s="79">
        <f>SUM(G135:H135)+'BM 003'!I135</f>
        <v>0</v>
      </c>
      <c r="J135" s="91">
        <f t="shared" si="41"/>
        <v>15102.2</v>
      </c>
      <c r="K135" s="84">
        <v>79.5</v>
      </c>
      <c r="L135" s="81">
        <f t="shared" si="39"/>
        <v>100.77420874500001</v>
      </c>
      <c r="M135" s="82">
        <f t="shared" si="63"/>
        <v>0</v>
      </c>
      <c r="N135" s="82">
        <f t="shared" si="64"/>
        <v>0</v>
      </c>
      <c r="O135" s="82">
        <f>N135+'BM 003'!O135</f>
        <v>0</v>
      </c>
      <c r="P135" s="80">
        <f t="shared" si="65"/>
        <v>1200624.9000000001</v>
      </c>
      <c r="Q135" s="82">
        <f t="shared" si="66"/>
        <v>1521912.25</v>
      </c>
      <c r="R135" s="82">
        <f t="shared" si="67"/>
        <v>1521912.25</v>
      </c>
    </row>
    <row r="136" spans="2:21" s="34" customFormat="1" ht="57.6">
      <c r="B136" s="87" t="s">
        <v>265</v>
      </c>
      <c r="C136" s="88" t="s">
        <v>266</v>
      </c>
      <c r="D136" s="89" t="s">
        <v>79</v>
      </c>
      <c r="E136" s="90">
        <v>772</v>
      </c>
      <c r="F136" s="91"/>
      <c r="G136" s="91"/>
      <c r="H136" s="91"/>
      <c r="I136" s="79">
        <f>SUM(G136:H136)+'BM 003'!I136</f>
        <v>0</v>
      </c>
      <c r="J136" s="91">
        <f t="shared" si="41"/>
        <v>772</v>
      </c>
      <c r="K136" s="84">
        <v>150</v>
      </c>
      <c r="L136" s="81">
        <f t="shared" si="39"/>
        <v>190.1400165</v>
      </c>
      <c r="M136" s="82">
        <f t="shared" si="63"/>
        <v>0</v>
      </c>
      <c r="N136" s="82">
        <f t="shared" si="64"/>
        <v>0</v>
      </c>
      <c r="O136" s="82">
        <f>N136+'BM 003'!O136</f>
        <v>0</v>
      </c>
      <c r="P136" s="80">
        <f t="shared" si="65"/>
        <v>115800</v>
      </c>
      <c r="Q136" s="82">
        <f t="shared" si="66"/>
        <v>146788.09</v>
      </c>
      <c r="R136" s="82">
        <f t="shared" si="67"/>
        <v>146788.09</v>
      </c>
    </row>
    <row r="137" spans="2:21" s="34" customFormat="1" ht="46.2">
      <c r="B137" s="87" t="s">
        <v>267</v>
      </c>
      <c r="C137" s="88" t="s">
        <v>268</v>
      </c>
      <c r="D137" s="89" t="s">
        <v>79</v>
      </c>
      <c r="E137" s="90">
        <v>210.05</v>
      </c>
      <c r="F137" s="91"/>
      <c r="G137" s="91"/>
      <c r="H137" s="91"/>
      <c r="I137" s="79">
        <f>SUM(G137:H137)+'BM 003'!I137</f>
        <v>0</v>
      </c>
      <c r="J137" s="91">
        <f t="shared" si="41"/>
        <v>210.05</v>
      </c>
      <c r="K137" s="84">
        <v>165</v>
      </c>
      <c r="L137" s="81">
        <f t="shared" si="39"/>
        <v>209.15401815000001</v>
      </c>
      <c r="M137" s="82">
        <f t="shared" si="63"/>
        <v>0</v>
      </c>
      <c r="N137" s="82">
        <f t="shared" si="64"/>
        <v>0</v>
      </c>
      <c r="O137" s="82">
        <f>N137+'BM 003'!O137</f>
        <v>0</v>
      </c>
      <c r="P137" s="80">
        <f t="shared" si="65"/>
        <v>34658.25</v>
      </c>
      <c r="Q137" s="82">
        <f t="shared" si="66"/>
        <v>43932.800000000003</v>
      </c>
      <c r="R137" s="82">
        <f t="shared" si="67"/>
        <v>43932.800000000003</v>
      </c>
    </row>
    <row r="138" spans="2:21" s="34" customFormat="1" ht="23.4">
      <c r="B138" s="87" t="s">
        <v>269</v>
      </c>
      <c r="C138" s="88" t="s">
        <v>270</v>
      </c>
      <c r="D138" s="89" t="s">
        <v>124</v>
      </c>
      <c r="E138" s="90">
        <v>550.94000000000005</v>
      </c>
      <c r="F138" s="91"/>
      <c r="G138" s="91"/>
      <c r="H138" s="91"/>
      <c r="I138" s="79">
        <f>SUM(G138:H138)+'BM 003'!I138</f>
        <v>0</v>
      </c>
      <c r="J138" s="91">
        <f t="shared" si="41"/>
        <v>550.94000000000005</v>
      </c>
      <c r="K138" s="84">
        <v>70</v>
      </c>
      <c r="L138" s="81">
        <f t="shared" si="39"/>
        <v>88.732007699999997</v>
      </c>
      <c r="M138" s="82">
        <f t="shared" si="63"/>
        <v>0</v>
      </c>
      <c r="N138" s="82">
        <f t="shared" si="64"/>
        <v>0</v>
      </c>
      <c r="O138" s="82">
        <f>N138+'BM 003'!O138</f>
        <v>0</v>
      </c>
      <c r="P138" s="80">
        <f t="shared" si="65"/>
        <v>38565.800000000003</v>
      </c>
      <c r="Q138" s="82">
        <f t="shared" si="66"/>
        <v>48886.01</v>
      </c>
      <c r="R138" s="82">
        <f t="shared" si="67"/>
        <v>48886.01</v>
      </c>
    </row>
    <row r="139" spans="2:21" s="34" customFormat="1" ht="13.2">
      <c r="B139" s="60" t="s">
        <v>271</v>
      </c>
      <c r="C139" s="61" t="s">
        <v>272</v>
      </c>
      <c r="D139" s="60"/>
      <c r="E139" s="62"/>
      <c r="F139" s="63"/>
      <c r="G139" s="63"/>
      <c r="H139" s="63"/>
      <c r="I139" s="63">
        <f>SUM(G139:H139)+'BM 003'!I139</f>
        <v>0</v>
      </c>
      <c r="J139" s="63">
        <f t="shared" si="41"/>
        <v>0</v>
      </c>
      <c r="K139" s="63"/>
      <c r="L139" s="63">
        <f t="shared" si="39"/>
        <v>0</v>
      </c>
      <c r="M139" s="63">
        <f t="shared" ref="M139:R139" si="68">SUM(M140,M148)</f>
        <v>0</v>
      </c>
      <c r="N139" s="63">
        <f t="shared" si="68"/>
        <v>0</v>
      </c>
      <c r="O139" s="63">
        <f t="shared" si="68"/>
        <v>0</v>
      </c>
      <c r="P139" s="63">
        <f t="shared" si="68"/>
        <v>2433803.8377</v>
      </c>
      <c r="Q139" s="63">
        <f t="shared" si="68"/>
        <v>3085089.94</v>
      </c>
      <c r="R139" s="63">
        <f t="shared" si="68"/>
        <v>3085089.94</v>
      </c>
    </row>
    <row r="140" spans="2:21" s="34" customFormat="1" ht="13.2">
      <c r="B140" s="66" t="s">
        <v>273</v>
      </c>
      <c r="C140" s="67" t="s">
        <v>274</v>
      </c>
      <c r="D140" s="68"/>
      <c r="E140" s="69"/>
      <c r="F140" s="70"/>
      <c r="G140" s="70"/>
      <c r="H140" s="70"/>
      <c r="I140" s="70">
        <f>SUM(G140:H140)+'BM 003'!I140</f>
        <v>0</v>
      </c>
      <c r="J140" s="70">
        <f t="shared" si="41"/>
        <v>0</v>
      </c>
      <c r="K140" s="71"/>
      <c r="L140" s="71">
        <f t="shared" si="39"/>
        <v>0</v>
      </c>
      <c r="M140" s="73">
        <f t="shared" ref="M140:R140" si="69">SUM(M141:M147)</f>
        <v>0</v>
      </c>
      <c r="N140" s="73">
        <f t="shared" si="69"/>
        <v>0</v>
      </c>
      <c r="O140" s="73">
        <f t="shared" si="69"/>
        <v>0</v>
      </c>
      <c r="P140" s="73">
        <f t="shared" si="69"/>
        <v>1345103.6276999998</v>
      </c>
      <c r="Q140" s="73">
        <f t="shared" si="69"/>
        <v>1705053.47</v>
      </c>
      <c r="R140" s="73">
        <f t="shared" si="69"/>
        <v>1705053.47</v>
      </c>
    </row>
    <row r="141" spans="2:21" s="34" customFormat="1" ht="46.2">
      <c r="B141" s="87" t="s">
        <v>275</v>
      </c>
      <c r="C141" s="88" t="s">
        <v>276</v>
      </c>
      <c r="D141" s="89" t="s">
        <v>79</v>
      </c>
      <c r="E141" s="90">
        <f>E135*2-E149</f>
        <v>26012.79</v>
      </c>
      <c r="F141" s="91"/>
      <c r="G141" s="91"/>
      <c r="H141" s="91"/>
      <c r="I141" s="79">
        <f>SUM(G141:H141)+'BM 003'!I141</f>
        <v>0</v>
      </c>
      <c r="J141" s="91">
        <f t="shared" si="41"/>
        <v>26012.79</v>
      </c>
      <c r="K141" s="84">
        <v>4.5</v>
      </c>
      <c r="L141" s="81">
        <f t="shared" si="39"/>
        <v>5.7042004950000003</v>
      </c>
      <c r="M141" s="82">
        <f t="shared" ref="M141:M147" si="70">TRUNC(F141*L141,2)</f>
        <v>0</v>
      </c>
      <c r="N141" s="82">
        <f t="shared" ref="N141:N147" si="71">TRUNC(G141*L141,2)</f>
        <v>0</v>
      </c>
      <c r="O141" s="82">
        <f>N141+'BM 003'!O141</f>
        <v>0</v>
      </c>
      <c r="P141" s="80">
        <f t="shared" ref="P141:P147" si="72">E141*K141</f>
        <v>117057.55500000001</v>
      </c>
      <c r="Q141" s="82">
        <f t="shared" ref="Q141:Q147" si="73">TRUNC(E141*L141,2)</f>
        <v>148382.16</v>
      </c>
      <c r="R141" s="82">
        <f t="shared" ref="R141:R147" si="74">Q141-O141</f>
        <v>148382.16</v>
      </c>
    </row>
    <row r="142" spans="2:21" s="34" customFormat="1" ht="69">
      <c r="B142" s="87" t="s">
        <v>277</v>
      </c>
      <c r="C142" s="88" t="s">
        <v>278</v>
      </c>
      <c r="D142" s="89" t="s">
        <v>79</v>
      </c>
      <c r="E142" s="90">
        <f>E145+E146</f>
        <v>462.83</v>
      </c>
      <c r="F142" s="91"/>
      <c r="G142" s="91"/>
      <c r="H142" s="91"/>
      <c r="I142" s="79">
        <f>SUM(G142:H142)+'BM 003'!I142</f>
        <v>0</v>
      </c>
      <c r="J142" s="91">
        <f t="shared" si="41"/>
        <v>462.83</v>
      </c>
      <c r="K142" s="84">
        <v>30</v>
      </c>
      <c r="L142" s="81">
        <f t="shared" si="39"/>
        <v>38.028003300000002</v>
      </c>
      <c r="M142" s="82">
        <f t="shared" si="70"/>
        <v>0</v>
      </c>
      <c r="N142" s="82">
        <f t="shared" si="71"/>
        <v>0</v>
      </c>
      <c r="O142" s="82">
        <f>N142+'BM 003'!O142</f>
        <v>0</v>
      </c>
      <c r="P142" s="80">
        <f t="shared" si="72"/>
        <v>13884.9</v>
      </c>
      <c r="Q142" s="82">
        <f t="shared" si="73"/>
        <v>17600.5</v>
      </c>
      <c r="R142" s="82">
        <f t="shared" si="74"/>
        <v>17600.5</v>
      </c>
    </row>
    <row r="143" spans="2:21" s="34" customFormat="1" ht="69">
      <c r="B143" s="87" t="s">
        <v>279</v>
      </c>
      <c r="C143" s="88" t="s">
        <v>280</v>
      </c>
      <c r="D143" s="89" t="s">
        <v>79</v>
      </c>
      <c r="E143" s="90">
        <f>E141-E142-E147</f>
        <v>25418.329999999998</v>
      </c>
      <c r="F143" s="91"/>
      <c r="G143" s="91"/>
      <c r="H143" s="91"/>
      <c r="I143" s="79">
        <f>SUM(G143:H143)+'BM 003'!I143</f>
        <v>0</v>
      </c>
      <c r="J143" s="91">
        <f t="shared" si="41"/>
        <v>25418.329999999998</v>
      </c>
      <c r="K143" s="84">
        <v>33.65</v>
      </c>
      <c r="L143" s="81">
        <f t="shared" si="39"/>
        <v>42.654743701500003</v>
      </c>
      <c r="M143" s="82">
        <f t="shared" si="70"/>
        <v>0</v>
      </c>
      <c r="N143" s="82">
        <f t="shared" si="71"/>
        <v>0</v>
      </c>
      <c r="O143" s="82">
        <f>N143+'BM 003'!O143</f>
        <v>0</v>
      </c>
      <c r="P143" s="80">
        <f t="shared" si="72"/>
        <v>855326.80449999985</v>
      </c>
      <c r="Q143" s="82">
        <f t="shared" si="73"/>
        <v>1084212.3500000001</v>
      </c>
      <c r="R143" s="82">
        <f t="shared" si="74"/>
        <v>1084212.3500000001</v>
      </c>
    </row>
    <row r="144" spans="2:21" s="34" customFormat="1" ht="23.4">
      <c r="B144" s="87" t="s">
        <v>281</v>
      </c>
      <c r="C144" s="88" t="s">
        <v>282</v>
      </c>
      <c r="D144" s="89" t="s">
        <v>79</v>
      </c>
      <c r="E144" s="90">
        <v>1328.83</v>
      </c>
      <c r="F144" s="91"/>
      <c r="G144" s="91"/>
      <c r="H144" s="91"/>
      <c r="I144" s="79">
        <f>SUM(G144:H144)+'BM 003'!I144</f>
        <v>0</v>
      </c>
      <c r="J144" s="91">
        <f t="shared" si="41"/>
        <v>1328.83</v>
      </c>
      <c r="K144" s="84">
        <v>162.54</v>
      </c>
      <c r="L144" s="81">
        <f t="shared" si="39"/>
        <v>206.0357218794</v>
      </c>
      <c r="M144" s="82">
        <f t="shared" si="70"/>
        <v>0</v>
      </c>
      <c r="N144" s="82">
        <f t="shared" si="71"/>
        <v>0</v>
      </c>
      <c r="O144" s="82">
        <f>N144+'BM 003'!O144</f>
        <v>0</v>
      </c>
      <c r="P144" s="80">
        <f t="shared" si="72"/>
        <v>215988.02819999997</v>
      </c>
      <c r="Q144" s="82">
        <f t="shared" si="73"/>
        <v>273786.44</v>
      </c>
      <c r="R144" s="82">
        <f t="shared" si="74"/>
        <v>273786.44</v>
      </c>
    </row>
    <row r="145" spans="2:18" s="34" customFormat="1" ht="46.2">
      <c r="B145" s="87" t="s">
        <v>283</v>
      </c>
      <c r="C145" s="88" t="s">
        <v>284</v>
      </c>
      <c r="D145" s="89" t="s">
        <v>79</v>
      </c>
      <c r="E145" s="92">
        <v>392.83</v>
      </c>
      <c r="F145" s="91"/>
      <c r="G145" s="91"/>
      <c r="H145" s="91"/>
      <c r="I145" s="79">
        <f>SUM(G145:H145)+'BM 003'!I145</f>
        <v>0</v>
      </c>
      <c r="J145" s="91">
        <f t="shared" si="41"/>
        <v>392.83</v>
      </c>
      <c r="K145" s="84">
        <v>148</v>
      </c>
      <c r="L145" s="81">
        <f t="shared" si="39"/>
        <v>187.60481628000002</v>
      </c>
      <c r="M145" s="82">
        <f t="shared" si="70"/>
        <v>0</v>
      </c>
      <c r="N145" s="82">
        <f t="shared" si="71"/>
        <v>0</v>
      </c>
      <c r="O145" s="82">
        <f>N145+'BM 003'!O145</f>
        <v>0</v>
      </c>
      <c r="P145" s="80">
        <f t="shared" si="72"/>
        <v>58138.84</v>
      </c>
      <c r="Q145" s="82">
        <f t="shared" si="73"/>
        <v>73696.789999999994</v>
      </c>
      <c r="R145" s="82">
        <f t="shared" si="74"/>
        <v>73696.789999999994</v>
      </c>
    </row>
    <row r="146" spans="2:18" s="34" customFormat="1" ht="13.2">
      <c r="B146" s="87" t="s">
        <v>285</v>
      </c>
      <c r="C146" s="88" t="s">
        <v>286</v>
      </c>
      <c r="D146" s="89" t="s">
        <v>79</v>
      </c>
      <c r="E146" s="92">
        <v>70</v>
      </c>
      <c r="F146" s="91"/>
      <c r="G146" s="91"/>
      <c r="H146" s="91"/>
      <c r="I146" s="79">
        <f>SUM(G146:H146)+'BM 003'!I146</f>
        <v>0</v>
      </c>
      <c r="J146" s="91">
        <f t="shared" si="41"/>
        <v>70</v>
      </c>
      <c r="K146" s="84">
        <v>740</v>
      </c>
      <c r="L146" s="81">
        <f t="shared" si="39"/>
        <v>938.0240814</v>
      </c>
      <c r="M146" s="82">
        <f t="shared" si="70"/>
        <v>0</v>
      </c>
      <c r="N146" s="82">
        <f t="shared" si="71"/>
        <v>0</v>
      </c>
      <c r="O146" s="82">
        <f>N146+'BM 003'!O146</f>
        <v>0</v>
      </c>
      <c r="P146" s="80">
        <f t="shared" si="72"/>
        <v>51800</v>
      </c>
      <c r="Q146" s="82">
        <f t="shared" si="73"/>
        <v>65661.679999999993</v>
      </c>
      <c r="R146" s="82">
        <f t="shared" si="74"/>
        <v>65661.679999999993</v>
      </c>
    </row>
    <row r="147" spans="2:18" s="34" customFormat="1" ht="13.2">
      <c r="B147" s="87" t="s">
        <v>287</v>
      </c>
      <c r="C147" s="88" t="s">
        <v>288</v>
      </c>
      <c r="D147" s="89" t="s">
        <v>79</v>
      </c>
      <c r="E147" s="90">
        <v>131.63</v>
      </c>
      <c r="F147" s="91"/>
      <c r="G147" s="91"/>
      <c r="H147" s="91"/>
      <c r="I147" s="79">
        <f>SUM(G147:H147)+'BM 003'!I147</f>
        <v>0</v>
      </c>
      <c r="J147" s="91">
        <f t="shared" si="41"/>
        <v>131.63</v>
      </c>
      <c r="K147" s="80">
        <v>250</v>
      </c>
      <c r="L147" s="81">
        <f t="shared" si="39"/>
        <v>316.90002750000002</v>
      </c>
      <c r="M147" s="82">
        <f t="shared" si="70"/>
        <v>0</v>
      </c>
      <c r="N147" s="82">
        <f t="shared" si="71"/>
        <v>0</v>
      </c>
      <c r="O147" s="82">
        <f>N147+'BM 003'!O147</f>
        <v>0</v>
      </c>
      <c r="P147" s="80">
        <f t="shared" si="72"/>
        <v>32907.5</v>
      </c>
      <c r="Q147" s="82">
        <f t="shared" si="73"/>
        <v>41713.550000000003</v>
      </c>
      <c r="R147" s="82">
        <f t="shared" si="74"/>
        <v>41713.550000000003</v>
      </c>
    </row>
    <row r="148" spans="2:18" s="34" customFormat="1" ht="13.2">
      <c r="B148" s="66" t="s">
        <v>289</v>
      </c>
      <c r="C148" s="67" t="s">
        <v>290</v>
      </c>
      <c r="D148" s="68"/>
      <c r="E148" s="69"/>
      <c r="F148" s="70"/>
      <c r="G148" s="70"/>
      <c r="H148" s="70"/>
      <c r="I148" s="70">
        <f>SUM(G148:H148)+'BM 003'!I148</f>
        <v>0</v>
      </c>
      <c r="J148" s="70">
        <f t="shared" si="41"/>
        <v>0</v>
      </c>
      <c r="K148" s="71"/>
      <c r="L148" s="71">
        <f t="shared" si="39"/>
        <v>0</v>
      </c>
      <c r="M148" s="73">
        <f t="shared" ref="M148:R148" si="75">SUM(M149:M154)</f>
        <v>0</v>
      </c>
      <c r="N148" s="73">
        <f t="shared" si="75"/>
        <v>0</v>
      </c>
      <c r="O148" s="73">
        <f t="shared" si="75"/>
        <v>0</v>
      </c>
      <c r="P148" s="73">
        <f t="shared" si="75"/>
        <v>1088700.21</v>
      </c>
      <c r="Q148" s="73">
        <f t="shared" si="75"/>
        <v>1380036.47</v>
      </c>
      <c r="R148" s="73">
        <f t="shared" si="75"/>
        <v>1380036.47</v>
      </c>
    </row>
    <row r="149" spans="2:18" s="34" customFormat="1" ht="57.6">
      <c r="B149" s="87" t="s">
        <v>291</v>
      </c>
      <c r="C149" s="88" t="s">
        <v>292</v>
      </c>
      <c r="D149" s="89" t="s">
        <v>79</v>
      </c>
      <c r="E149" s="90">
        <f>E151+E152+E153+E154</f>
        <v>4191.6100000000006</v>
      </c>
      <c r="F149" s="91"/>
      <c r="G149" s="91"/>
      <c r="H149" s="91"/>
      <c r="I149" s="79">
        <f>SUM(G149:H149)+'BM 003'!I149</f>
        <v>0</v>
      </c>
      <c r="J149" s="91">
        <f t="shared" si="41"/>
        <v>4191.6100000000006</v>
      </c>
      <c r="K149" s="84">
        <v>12</v>
      </c>
      <c r="L149" s="81">
        <f t="shared" si="39"/>
        <v>15.211201320000001</v>
      </c>
      <c r="M149" s="82">
        <f t="shared" ref="M149:M154" si="76">TRUNC(F149*L149,2)</f>
        <v>0</v>
      </c>
      <c r="N149" s="82">
        <f t="shared" ref="N149:N154" si="77">TRUNC(G149*L149,2)</f>
        <v>0</v>
      </c>
      <c r="O149" s="82">
        <f>N149+'BM 003'!O149</f>
        <v>0</v>
      </c>
      <c r="P149" s="80">
        <f t="shared" ref="P149:P154" si="78">E149*K149</f>
        <v>50299.320000000007</v>
      </c>
      <c r="Q149" s="82">
        <f t="shared" ref="Q149:Q154" si="79">TRUNC(E149*L149,2)</f>
        <v>63759.42</v>
      </c>
      <c r="R149" s="82">
        <f t="shared" ref="R149:R154" si="80">Q149-O149</f>
        <v>63759.42</v>
      </c>
    </row>
    <row r="150" spans="2:18" s="34" customFormat="1" ht="69">
      <c r="B150" s="87" t="s">
        <v>293</v>
      </c>
      <c r="C150" s="88" t="s">
        <v>294</v>
      </c>
      <c r="D150" s="89" t="s">
        <v>79</v>
      </c>
      <c r="E150" s="90">
        <f>E149</f>
        <v>4191.6100000000006</v>
      </c>
      <c r="F150" s="91"/>
      <c r="G150" s="91"/>
      <c r="H150" s="91"/>
      <c r="I150" s="79">
        <f>SUM(G150:H150)+'BM 003'!I150</f>
        <v>0</v>
      </c>
      <c r="J150" s="91">
        <f t="shared" si="41"/>
        <v>4191.6100000000006</v>
      </c>
      <c r="K150" s="84">
        <v>62</v>
      </c>
      <c r="L150" s="81">
        <f t="shared" si="39"/>
        <v>78.591206819999996</v>
      </c>
      <c r="M150" s="82">
        <f t="shared" si="76"/>
        <v>0</v>
      </c>
      <c r="N150" s="82">
        <f t="shared" si="77"/>
        <v>0</v>
      </c>
      <c r="O150" s="82">
        <f>N150+'BM 003'!O150</f>
        <v>0</v>
      </c>
      <c r="P150" s="80">
        <f t="shared" si="78"/>
        <v>259879.82000000004</v>
      </c>
      <c r="Q150" s="82">
        <f t="shared" si="79"/>
        <v>329423.68</v>
      </c>
      <c r="R150" s="82">
        <f t="shared" si="80"/>
        <v>329423.68</v>
      </c>
    </row>
    <row r="151" spans="2:18" s="34" customFormat="1" ht="23.4">
      <c r="B151" s="87" t="s">
        <v>295</v>
      </c>
      <c r="C151" s="88" t="s">
        <v>296</v>
      </c>
      <c r="D151" s="89" t="s">
        <v>79</v>
      </c>
      <c r="E151" s="90">
        <v>120.2</v>
      </c>
      <c r="F151" s="91"/>
      <c r="G151" s="91"/>
      <c r="H151" s="91"/>
      <c r="I151" s="79">
        <f>SUM(G151:H151)+'BM 003'!I151</f>
        <v>0</v>
      </c>
      <c r="J151" s="91">
        <f t="shared" si="41"/>
        <v>120.2</v>
      </c>
      <c r="K151" s="84">
        <v>178</v>
      </c>
      <c r="L151" s="81">
        <f t="shared" si="39"/>
        <v>225.63281958000002</v>
      </c>
      <c r="M151" s="82">
        <f t="shared" si="76"/>
        <v>0</v>
      </c>
      <c r="N151" s="82">
        <f t="shared" si="77"/>
        <v>0</v>
      </c>
      <c r="O151" s="82">
        <f>N151+'BM 003'!O151</f>
        <v>0</v>
      </c>
      <c r="P151" s="80">
        <f t="shared" si="78"/>
        <v>21395.600000000002</v>
      </c>
      <c r="Q151" s="82">
        <f t="shared" si="79"/>
        <v>27121.06</v>
      </c>
      <c r="R151" s="82">
        <f t="shared" si="80"/>
        <v>27121.06</v>
      </c>
    </row>
    <row r="152" spans="2:18" s="34" customFormat="1" ht="23.4">
      <c r="B152" s="87" t="s">
        <v>297</v>
      </c>
      <c r="C152" s="88" t="s">
        <v>298</v>
      </c>
      <c r="D152" s="89" t="s">
        <v>79</v>
      </c>
      <c r="E152" s="90">
        <v>52.6</v>
      </c>
      <c r="F152" s="91"/>
      <c r="G152" s="91"/>
      <c r="H152" s="91"/>
      <c r="I152" s="79">
        <f>SUM(G152:H152)+'BM 003'!I152</f>
        <v>0</v>
      </c>
      <c r="J152" s="91">
        <f t="shared" si="41"/>
        <v>52.6</v>
      </c>
      <c r="K152" s="84">
        <v>182</v>
      </c>
      <c r="L152" s="81">
        <f t="shared" si="39"/>
        <v>230.70322002</v>
      </c>
      <c r="M152" s="82">
        <f t="shared" si="76"/>
        <v>0</v>
      </c>
      <c r="N152" s="82">
        <f t="shared" si="77"/>
        <v>0</v>
      </c>
      <c r="O152" s="82">
        <f>N152+'BM 003'!O152</f>
        <v>0</v>
      </c>
      <c r="P152" s="80">
        <f t="shared" si="78"/>
        <v>9573.2000000000007</v>
      </c>
      <c r="Q152" s="82">
        <f t="shared" si="79"/>
        <v>12134.98</v>
      </c>
      <c r="R152" s="82">
        <f t="shared" si="80"/>
        <v>12134.98</v>
      </c>
    </row>
    <row r="153" spans="2:18" s="34" customFormat="1" ht="23.4">
      <c r="B153" s="87" t="s">
        <v>299</v>
      </c>
      <c r="C153" s="88" t="s">
        <v>300</v>
      </c>
      <c r="D153" s="89" t="s">
        <v>79</v>
      </c>
      <c r="E153" s="90">
        <v>2811.38</v>
      </c>
      <c r="F153" s="91"/>
      <c r="G153" s="91"/>
      <c r="H153" s="91"/>
      <c r="I153" s="79">
        <f>SUM(G153:H153)+'BM 003'!I153</f>
        <v>0</v>
      </c>
      <c r="J153" s="91">
        <f t="shared" si="41"/>
        <v>2811.38</v>
      </c>
      <c r="K153" s="84">
        <v>177</v>
      </c>
      <c r="L153" s="81">
        <f t="shared" si="39"/>
        <v>224.36521947</v>
      </c>
      <c r="M153" s="82">
        <f t="shared" si="76"/>
        <v>0</v>
      </c>
      <c r="N153" s="82">
        <f t="shared" si="77"/>
        <v>0</v>
      </c>
      <c r="O153" s="82">
        <f>N153+'BM 003'!O153</f>
        <v>0</v>
      </c>
      <c r="P153" s="80">
        <f t="shared" si="78"/>
        <v>497614.26</v>
      </c>
      <c r="Q153" s="82">
        <f t="shared" si="79"/>
        <v>630775.89</v>
      </c>
      <c r="R153" s="82">
        <f t="shared" si="80"/>
        <v>630775.89</v>
      </c>
    </row>
    <row r="154" spans="2:18" s="34" customFormat="1" ht="23.4">
      <c r="B154" s="87" t="s">
        <v>301</v>
      </c>
      <c r="C154" s="88" t="s">
        <v>302</v>
      </c>
      <c r="D154" s="89" t="s">
        <v>79</v>
      </c>
      <c r="E154" s="90">
        <v>1207.43</v>
      </c>
      <c r="F154" s="91"/>
      <c r="G154" s="91"/>
      <c r="H154" s="91"/>
      <c r="I154" s="79">
        <f>SUM(G154:H154)+'BM 003'!I154</f>
        <v>0</v>
      </c>
      <c r="J154" s="91">
        <f t="shared" si="41"/>
        <v>1207.43</v>
      </c>
      <c r="K154" s="84">
        <v>207</v>
      </c>
      <c r="L154" s="81">
        <f t="shared" si="39"/>
        <v>262.39322277000002</v>
      </c>
      <c r="M154" s="82">
        <f t="shared" si="76"/>
        <v>0</v>
      </c>
      <c r="N154" s="82">
        <f t="shared" si="77"/>
        <v>0</v>
      </c>
      <c r="O154" s="82">
        <f>N154+'BM 003'!O154</f>
        <v>0</v>
      </c>
      <c r="P154" s="80">
        <f t="shared" si="78"/>
        <v>249938.01</v>
      </c>
      <c r="Q154" s="82">
        <f t="shared" si="79"/>
        <v>316821.44</v>
      </c>
      <c r="R154" s="82">
        <f t="shared" si="80"/>
        <v>316821.44</v>
      </c>
    </row>
    <row r="155" spans="2:18" s="34" customFormat="1" ht="13.2">
      <c r="B155" s="60" t="s">
        <v>303</v>
      </c>
      <c r="C155" s="61" t="s">
        <v>304</v>
      </c>
      <c r="D155" s="60"/>
      <c r="E155" s="62"/>
      <c r="F155" s="63"/>
      <c r="G155" s="63"/>
      <c r="H155" s="63"/>
      <c r="I155" s="63">
        <f>SUM(G155:H155)+'BM 003'!I155</f>
        <v>0</v>
      </c>
      <c r="J155" s="63">
        <f t="shared" si="41"/>
        <v>0</v>
      </c>
      <c r="K155" s="63"/>
      <c r="L155" s="63">
        <f t="shared" si="39"/>
        <v>0</v>
      </c>
      <c r="M155" s="63">
        <f t="shared" ref="M155:R155" si="81">SUM(M156,M165)</f>
        <v>0</v>
      </c>
      <c r="N155" s="63">
        <f t="shared" si="81"/>
        <v>0</v>
      </c>
      <c r="O155" s="63">
        <f t="shared" si="81"/>
        <v>0</v>
      </c>
      <c r="P155" s="63">
        <f t="shared" si="81"/>
        <v>800757.83000000007</v>
      </c>
      <c r="Q155" s="63">
        <f t="shared" si="81"/>
        <v>1015040.66</v>
      </c>
      <c r="R155" s="63">
        <f t="shared" si="81"/>
        <v>1015040.66</v>
      </c>
    </row>
    <row r="156" spans="2:18" s="34" customFormat="1" ht="13.2">
      <c r="B156" s="66" t="s">
        <v>305</v>
      </c>
      <c r="C156" s="67" t="s">
        <v>306</v>
      </c>
      <c r="D156" s="68"/>
      <c r="E156" s="69"/>
      <c r="F156" s="70"/>
      <c r="G156" s="70"/>
      <c r="H156" s="70"/>
      <c r="I156" s="70">
        <f>SUM(G156:H156)+'BM 003'!I156</f>
        <v>0</v>
      </c>
      <c r="J156" s="70">
        <f t="shared" si="41"/>
        <v>0</v>
      </c>
      <c r="K156" s="71"/>
      <c r="L156" s="71">
        <f t="shared" si="39"/>
        <v>0</v>
      </c>
      <c r="M156" s="73">
        <f t="shared" ref="M156:R156" si="82">SUM(M157:M164)</f>
        <v>0</v>
      </c>
      <c r="N156" s="73">
        <f t="shared" si="82"/>
        <v>0</v>
      </c>
      <c r="O156" s="73">
        <f t="shared" si="82"/>
        <v>0</v>
      </c>
      <c r="P156" s="73">
        <f t="shared" si="82"/>
        <v>737633.33000000007</v>
      </c>
      <c r="Q156" s="73">
        <f t="shared" si="82"/>
        <v>935024.05</v>
      </c>
      <c r="R156" s="73">
        <f t="shared" si="82"/>
        <v>935024.05</v>
      </c>
    </row>
    <row r="157" spans="2:18" s="34" customFormat="1" ht="57.6">
      <c r="B157" s="87" t="s">
        <v>307</v>
      </c>
      <c r="C157" s="88" t="s">
        <v>308</v>
      </c>
      <c r="D157" s="89" t="s">
        <v>79</v>
      </c>
      <c r="E157" s="103">
        <v>7166.75</v>
      </c>
      <c r="F157" s="84"/>
      <c r="G157" s="84"/>
      <c r="H157" s="84"/>
      <c r="I157" s="79">
        <f>SUM(G157:H157)+'BM 003'!I157</f>
        <v>0</v>
      </c>
      <c r="J157" s="84">
        <f t="shared" si="41"/>
        <v>7166.75</v>
      </c>
      <c r="K157" s="84">
        <v>42.2</v>
      </c>
      <c r="L157" s="81">
        <f t="shared" ref="L157:L220" si="83">K157*(1+$T$26)</f>
        <v>53.492724642000006</v>
      </c>
      <c r="M157" s="82">
        <f t="shared" ref="M157:M164" si="84">TRUNC(F157*L157,2)</f>
        <v>0</v>
      </c>
      <c r="N157" s="82">
        <f t="shared" ref="N157:N164" si="85">TRUNC(G157*L157,2)</f>
        <v>0</v>
      </c>
      <c r="O157" s="82">
        <f>N157+'BM 003'!O157</f>
        <v>0</v>
      </c>
      <c r="P157" s="80">
        <f t="shared" ref="P157:P164" si="86">E157*K157</f>
        <v>302436.85000000003</v>
      </c>
      <c r="Q157" s="82">
        <f t="shared" ref="Q157:Q164" si="87">TRUNC(E157*L157,2)</f>
        <v>383368.98</v>
      </c>
      <c r="R157" s="82">
        <f t="shared" ref="R157:R164" si="88">Q157-O157</f>
        <v>383368.98</v>
      </c>
    </row>
    <row r="158" spans="2:18" s="34" customFormat="1" ht="46.2">
      <c r="B158" s="87" t="s">
        <v>309</v>
      </c>
      <c r="C158" s="88" t="s">
        <v>310</v>
      </c>
      <c r="D158" s="89" t="s">
        <v>79</v>
      </c>
      <c r="E158" s="104">
        <v>520.1</v>
      </c>
      <c r="F158" s="80"/>
      <c r="G158" s="80"/>
      <c r="H158" s="80"/>
      <c r="I158" s="79">
        <f>SUM(G158:H158)+'BM 003'!I158</f>
        <v>0</v>
      </c>
      <c r="J158" s="80">
        <f t="shared" si="41"/>
        <v>520.1</v>
      </c>
      <c r="K158" s="105">
        <v>35.200000000000003</v>
      </c>
      <c r="L158" s="81">
        <f t="shared" si="83"/>
        <v>44.619523872000009</v>
      </c>
      <c r="M158" s="82">
        <f t="shared" si="84"/>
        <v>0</v>
      </c>
      <c r="N158" s="82">
        <f t="shared" si="85"/>
        <v>0</v>
      </c>
      <c r="O158" s="82">
        <f>N158+'BM 003'!O158</f>
        <v>0</v>
      </c>
      <c r="P158" s="80">
        <f t="shared" si="86"/>
        <v>18307.520000000004</v>
      </c>
      <c r="Q158" s="82">
        <f t="shared" si="87"/>
        <v>23206.61</v>
      </c>
      <c r="R158" s="82">
        <f t="shared" si="88"/>
        <v>23206.61</v>
      </c>
    </row>
    <row r="159" spans="2:18" s="34" customFormat="1" ht="34.799999999999997">
      <c r="B159" s="87" t="s">
        <v>311</v>
      </c>
      <c r="C159" s="88" t="s">
        <v>312</v>
      </c>
      <c r="D159" s="89" t="s">
        <v>79</v>
      </c>
      <c r="E159" s="103">
        <v>1225.0999999999999</v>
      </c>
      <c r="F159" s="84"/>
      <c r="G159" s="84"/>
      <c r="H159" s="84"/>
      <c r="I159" s="79">
        <f>SUM(G159:H159)+'BM 003'!I159</f>
        <v>0</v>
      </c>
      <c r="J159" s="84">
        <f t="shared" ref="J159:J222" si="89">E159-I159</f>
        <v>1225.0999999999999</v>
      </c>
      <c r="K159" s="105">
        <v>60</v>
      </c>
      <c r="L159" s="81">
        <f t="shared" si="83"/>
        <v>76.056006600000003</v>
      </c>
      <c r="M159" s="82">
        <f t="shared" si="84"/>
        <v>0</v>
      </c>
      <c r="N159" s="82">
        <f t="shared" si="85"/>
        <v>0</v>
      </c>
      <c r="O159" s="82">
        <f>N159+'BM 003'!O159</f>
        <v>0</v>
      </c>
      <c r="P159" s="80">
        <f t="shared" si="86"/>
        <v>73506</v>
      </c>
      <c r="Q159" s="82">
        <f t="shared" si="87"/>
        <v>93176.21</v>
      </c>
      <c r="R159" s="82">
        <f t="shared" si="88"/>
        <v>93176.21</v>
      </c>
    </row>
    <row r="160" spans="2:18" s="34" customFormat="1" ht="46.2">
      <c r="B160" s="87" t="s">
        <v>313</v>
      </c>
      <c r="C160" s="88" t="s">
        <v>284</v>
      </c>
      <c r="D160" s="89" t="s">
        <v>79</v>
      </c>
      <c r="E160" s="106">
        <v>937</v>
      </c>
      <c r="F160" s="84"/>
      <c r="G160" s="84"/>
      <c r="H160" s="84"/>
      <c r="I160" s="79">
        <f>SUM(G160:H160)+'BM 003'!I160</f>
        <v>0</v>
      </c>
      <c r="J160" s="84">
        <f t="shared" si="89"/>
        <v>937</v>
      </c>
      <c r="K160" s="105">
        <v>158</v>
      </c>
      <c r="L160" s="81">
        <f t="shared" si="83"/>
        <v>200.28081738</v>
      </c>
      <c r="M160" s="82">
        <f t="shared" si="84"/>
        <v>0</v>
      </c>
      <c r="N160" s="82">
        <f t="shared" si="85"/>
        <v>0</v>
      </c>
      <c r="O160" s="82">
        <f>N160+'BM 003'!O160</f>
        <v>0</v>
      </c>
      <c r="P160" s="80">
        <f t="shared" si="86"/>
        <v>148046</v>
      </c>
      <c r="Q160" s="82">
        <f t="shared" si="87"/>
        <v>187663.12</v>
      </c>
      <c r="R160" s="82">
        <f t="shared" si="88"/>
        <v>187663.12</v>
      </c>
    </row>
    <row r="161" spans="2:18" s="34" customFormat="1" ht="46.2">
      <c r="B161" s="87" t="s">
        <v>314</v>
      </c>
      <c r="C161" s="88" t="s">
        <v>315</v>
      </c>
      <c r="D161" s="89" t="s">
        <v>79</v>
      </c>
      <c r="E161" s="106">
        <v>720.69</v>
      </c>
      <c r="F161" s="84"/>
      <c r="G161" s="84"/>
      <c r="H161" s="84"/>
      <c r="I161" s="79">
        <f>SUM(G161:H161)+'BM 003'!I161</f>
        <v>0</v>
      </c>
      <c r="J161" s="84">
        <f t="shared" si="89"/>
        <v>720.69</v>
      </c>
      <c r="K161" s="84">
        <v>185</v>
      </c>
      <c r="L161" s="81">
        <f t="shared" si="83"/>
        <v>234.50602035</v>
      </c>
      <c r="M161" s="82">
        <f t="shared" si="84"/>
        <v>0</v>
      </c>
      <c r="N161" s="82">
        <f t="shared" si="85"/>
        <v>0</v>
      </c>
      <c r="O161" s="82">
        <f>N161+'BM 003'!O161</f>
        <v>0</v>
      </c>
      <c r="P161" s="80">
        <f t="shared" si="86"/>
        <v>133327.65000000002</v>
      </c>
      <c r="Q161" s="82">
        <f t="shared" si="87"/>
        <v>169006.14</v>
      </c>
      <c r="R161" s="82">
        <f t="shared" si="88"/>
        <v>169006.14</v>
      </c>
    </row>
    <row r="162" spans="2:18" s="34" customFormat="1" ht="23.4">
      <c r="B162" s="87" t="s">
        <v>316</v>
      </c>
      <c r="C162" s="88" t="s">
        <v>317</v>
      </c>
      <c r="D162" s="89" t="s">
        <v>79</v>
      </c>
      <c r="E162" s="103">
        <v>50.69</v>
      </c>
      <c r="F162" s="84"/>
      <c r="G162" s="84"/>
      <c r="H162" s="84"/>
      <c r="I162" s="79">
        <f>SUM(G162:H162)+'BM 003'!I162</f>
        <v>0</v>
      </c>
      <c r="J162" s="84">
        <f t="shared" si="89"/>
        <v>50.69</v>
      </c>
      <c r="K162" s="84">
        <v>765</v>
      </c>
      <c r="L162" s="81">
        <f t="shared" si="83"/>
        <v>969.71408415000008</v>
      </c>
      <c r="M162" s="82">
        <f t="shared" si="84"/>
        <v>0</v>
      </c>
      <c r="N162" s="82">
        <f t="shared" si="85"/>
        <v>0</v>
      </c>
      <c r="O162" s="82">
        <f>N162+'BM 003'!O162</f>
        <v>0</v>
      </c>
      <c r="P162" s="80">
        <f t="shared" si="86"/>
        <v>38777.85</v>
      </c>
      <c r="Q162" s="82">
        <f t="shared" si="87"/>
        <v>49154.8</v>
      </c>
      <c r="R162" s="82">
        <f t="shared" si="88"/>
        <v>49154.8</v>
      </c>
    </row>
    <row r="163" spans="2:18" s="34" customFormat="1" ht="23.4">
      <c r="B163" s="87" t="s">
        <v>318</v>
      </c>
      <c r="C163" s="88" t="s">
        <v>319</v>
      </c>
      <c r="D163" s="89" t="s">
        <v>124</v>
      </c>
      <c r="E163" s="106">
        <v>36</v>
      </c>
      <c r="F163" s="84"/>
      <c r="G163" s="84"/>
      <c r="H163" s="84"/>
      <c r="I163" s="79">
        <f>SUM(G163:H163)+'BM 003'!I163</f>
        <v>0</v>
      </c>
      <c r="J163" s="84">
        <f t="shared" si="89"/>
        <v>36</v>
      </c>
      <c r="K163" s="84">
        <v>134</v>
      </c>
      <c r="L163" s="81">
        <f t="shared" si="83"/>
        <v>169.85841474</v>
      </c>
      <c r="M163" s="82">
        <f t="shared" si="84"/>
        <v>0</v>
      </c>
      <c r="N163" s="82">
        <f t="shared" si="85"/>
        <v>0</v>
      </c>
      <c r="O163" s="82">
        <f>N163+'BM 003'!O163</f>
        <v>0</v>
      </c>
      <c r="P163" s="80">
        <f t="shared" si="86"/>
        <v>4824</v>
      </c>
      <c r="Q163" s="82">
        <f t="shared" si="87"/>
        <v>6114.9</v>
      </c>
      <c r="R163" s="82">
        <f t="shared" si="88"/>
        <v>6114.9</v>
      </c>
    </row>
    <row r="164" spans="2:18" s="34" customFormat="1" ht="13.2">
      <c r="B164" s="87" t="s">
        <v>320</v>
      </c>
      <c r="C164" s="88" t="s">
        <v>321</v>
      </c>
      <c r="D164" s="89" t="s">
        <v>124</v>
      </c>
      <c r="E164" s="106">
        <v>123.54</v>
      </c>
      <c r="F164" s="84"/>
      <c r="G164" s="84"/>
      <c r="H164" s="84"/>
      <c r="I164" s="79">
        <f>SUM(G164:H164)+'BM 003'!I164</f>
        <v>0</v>
      </c>
      <c r="J164" s="84">
        <f t="shared" si="89"/>
        <v>123.54</v>
      </c>
      <c r="K164" s="84">
        <v>149</v>
      </c>
      <c r="L164" s="81">
        <f t="shared" si="83"/>
        <v>188.87241639000001</v>
      </c>
      <c r="M164" s="82">
        <f t="shared" si="84"/>
        <v>0</v>
      </c>
      <c r="N164" s="82">
        <f t="shared" si="85"/>
        <v>0</v>
      </c>
      <c r="O164" s="82">
        <f>N164+'BM 003'!O164</f>
        <v>0</v>
      </c>
      <c r="P164" s="80">
        <f t="shared" si="86"/>
        <v>18407.46</v>
      </c>
      <c r="Q164" s="82">
        <f t="shared" si="87"/>
        <v>23333.29</v>
      </c>
      <c r="R164" s="82">
        <f t="shared" si="88"/>
        <v>23333.29</v>
      </c>
    </row>
    <row r="165" spans="2:18" s="34" customFormat="1" ht="13.2">
      <c r="B165" s="66" t="s">
        <v>322</v>
      </c>
      <c r="C165" s="67" t="s">
        <v>323</v>
      </c>
      <c r="D165" s="68"/>
      <c r="E165" s="69"/>
      <c r="F165" s="70"/>
      <c r="G165" s="70"/>
      <c r="H165" s="70"/>
      <c r="I165" s="70">
        <f>SUM(G165:H165)+'BM 003'!I165</f>
        <v>0</v>
      </c>
      <c r="J165" s="70">
        <f t="shared" si="89"/>
        <v>0</v>
      </c>
      <c r="K165" s="71"/>
      <c r="L165" s="71">
        <f t="shared" si="83"/>
        <v>0</v>
      </c>
      <c r="M165" s="73">
        <f t="shared" ref="M165:R165" si="90">SUM(M166:M169)</f>
        <v>0</v>
      </c>
      <c r="N165" s="73">
        <f t="shared" si="90"/>
        <v>0</v>
      </c>
      <c r="O165" s="73">
        <f t="shared" si="90"/>
        <v>0</v>
      </c>
      <c r="P165" s="73">
        <f t="shared" si="90"/>
        <v>63124.5</v>
      </c>
      <c r="Q165" s="73">
        <f t="shared" si="90"/>
        <v>80016.61</v>
      </c>
      <c r="R165" s="73">
        <f t="shared" si="90"/>
        <v>80016.61</v>
      </c>
    </row>
    <row r="166" spans="2:18" s="34" customFormat="1" ht="34.799999999999997">
      <c r="B166" s="87" t="s">
        <v>324</v>
      </c>
      <c r="C166" s="88" t="s">
        <v>325</v>
      </c>
      <c r="D166" s="89" t="s">
        <v>79</v>
      </c>
      <c r="E166" s="90">
        <v>290.89999999999998</v>
      </c>
      <c r="F166" s="91"/>
      <c r="G166" s="91"/>
      <c r="H166" s="91"/>
      <c r="I166" s="79">
        <f>SUM(G166:H166)+'BM 003'!I166</f>
        <v>0</v>
      </c>
      <c r="J166" s="91">
        <f t="shared" si="89"/>
        <v>290.89999999999998</v>
      </c>
      <c r="K166" s="84">
        <v>105</v>
      </c>
      <c r="L166" s="81">
        <f t="shared" si="83"/>
        <v>133.09801155</v>
      </c>
      <c r="M166" s="82">
        <f>TRUNC(F166*L166,2)</f>
        <v>0</v>
      </c>
      <c r="N166" s="82">
        <f>TRUNC(G166*L166,2)</f>
        <v>0</v>
      </c>
      <c r="O166" s="82">
        <f>N166+'BM 003'!O166</f>
        <v>0</v>
      </c>
      <c r="P166" s="80">
        <f>E166*K166</f>
        <v>30544.499999999996</v>
      </c>
      <c r="Q166" s="82">
        <f>TRUNC(E166*L166,2)</f>
        <v>38718.21</v>
      </c>
      <c r="R166" s="82">
        <f>Q166-O166</f>
        <v>38718.21</v>
      </c>
    </row>
    <row r="167" spans="2:18" s="34" customFormat="1" ht="34.799999999999997">
      <c r="B167" s="87" t="s">
        <v>326</v>
      </c>
      <c r="C167" s="88" t="s">
        <v>327</v>
      </c>
      <c r="D167" s="89" t="s">
        <v>79</v>
      </c>
      <c r="E167" s="90">
        <v>230</v>
      </c>
      <c r="F167" s="91"/>
      <c r="G167" s="91"/>
      <c r="H167" s="91"/>
      <c r="I167" s="79">
        <f>SUM(G167:H167)+'BM 003'!I167</f>
        <v>0</v>
      </c>
      <c r="J167" s="91">
        <f t="shared" si="89"/>
        <v>230</v>
      </c>
      <c r="K167" s="84">
        <v>90</v>
      </c>
      <c r="L167" s="81">
        <f t="shared" si="83"/>
        <v>114.08400990000001</v>
      </c>
      <c r="M167" s="82">
        <f>TRUNC(F167*L167,2)</f>
        <v>0</v>
      </c>
      <c r="N167" s="82">
        <f>TRUNC(G167*L167,2)</f>
        <v>0</v>
      </c>
      <c r="O167" s="82">
        <f>N167+'BM 003'!O167</f>
        <v>0</v>
      </c>
      <c r="P167" s="80">
        <f>E167*K167</f>
        <v>20700</v>
      </c>
      <c r="Q167" s="82">
        <f>TRUNC(E167*L167,2)</f>
        <v>26239.32</v>
      </c>
      <c r="R167" s="82">
        <f>Q167-O167</f>
        <v>26239.32</v>
      </c>
    </row>
    <row r="168" spans="2:18" s="34" customFormat="1" ht="23.4">
      <c r="B168" s="87" t="s">
        <v>328</v>
      </c>
      <c r="C168" s="88" t="s">
        <v>329</v>
      </c>
      <c r="D168" s="89" t="s">
        <v>82</v>
      </c>
      <c r="E168" s="90">
        <v>72</v>
      </c>
      <c r="F168" s="91"/>
      <c r="G168" s="91"/>
      <c r="H168" s="91"/>
      <c r="I168" s="79">
        <f>SUM(G168:H168)+'BM 003'!I168</f>
        <v>0</v>
      </c>
      <c r="J168" s="91">
        <f t="shared" si="89"/>
        <v>72</v>
      </c>
      <c r="K168" s="84">
        <v>120</v>
      </c>
      <c r="L168" s="81">
        <f t="shared" si="83"/>
        <v>152.11201320000001</v>
      </c>
      <c r="M168" s="82">
        <f>TRUNC(F168*L168,2)</f>
        <v>0</v>
      </c>
      <c r="N168" s="82">
        <f>TRUNC(G168*L168,2)</f>
        <v>0</v>
      </c>
      <c r="O168" s="82">
        <f>N168+'BM 003'!O168</f>
        <v>0</v>
      </c>
      <c r="P168" s="80">
        <f>E168*K168</f>
        <v>8640</v>
      </c>
      <c r="Q168" s="82">
        <f>TRUNC(E168*L168,2)</f>
        <v>10952.06</v>
      </c>
      <c r="R168" s="82">
        <f>Q168-O168</f>
        <v>10952.06</v>
      </c>
    </row>
    <row r="169" spans="2:18" s="34" customFormat="1" ht="34.799999999999997">
      <c r="B169" s="87" t="s">
        <v>330</v>
      </c>
      <c r="C169" s="88" t="s">
        <v>331</v>
      </c>
      <c r="D169" s="89" t="s">
        <v>82</v>
      </c>
      <c r="E169" s="90">
        <v>72</v>
      </c>
      <c r="F169" s="91"/>
      <c r="G169" s="91"/>
      <c r="H169" s="91"/>
      <c r="I169" s="79">
        <f>SUM(G169:H169)+'BM 003'!I169</f>
        <v>0</v>
      </c>
      <c r="J169" s="91">
        <f t="shared" si="89"/>
        <v>72</v>
      </c>
      <c r="K169" s="84">
        <v>45</v>
      </c>
      <c r="L169" s="81">
        <f t="shared" si="83"/>
        <v>57.042004950000006</v>
      </c>
      <c r="M169" s="82">
        <f>TRUNC(F169*L169,2)</f>
        <v>0</v>
      </c>
      <c r="N169" s="82">
        <f>TRUNC(G169*L169,2)</f>
        <v>0</v>
      </c>
      <c r="O169" s="82">
        <f>N169+'BM 003'!O169</f>
        <v>0</v>
      </c>
      <c r="P169" s="80">
        <f>E169*K169</f>
        <v>3240</v>
      </c>
      <c r="Q169" s="82">
        <f>TRUNC(E169*L169,2)</f>
        <v>4107.0200000000004</v>
      </c>
      <c r="R169" s="82">
        <f>Q169-O169</f>
        <v>4107.0200000000004</v>
      </c>
    </row>
    <row r="170" spans="2:18" s="34" customFormat="1" ht="13.2">
      <c r="B170" s="60" t="s">
        <v>332</v>
      </c>
      <c r="C170" s="61" t="s">
        <v>333</v>
      </c>
      <c r="D170" s="60"/>
      <c r="E170" s="62"/>
      <c r="F170" s="63"/>
      <c r="G170" s="63"/>
      <c r="H170" s="63"/>
      <c r="I170" s="63">
        <f>SUM(G170:H170)+'BM 003'!I170</f>
        <v>0</v>
      </c>
      <c r="J170" s="63">
        <f t="shared" si="89"/>
        <v>0</v>
      </c>
      <c r="K170" s="63"/>
      <c r="L170" s="63">
        <f t="shared" si="83"/>
        <v>0</v>
      </c>
      <c r="M170" s="63">
        <f t="shared" ref="M170:R170" si="91">SUM(M171:M174)</f>
        <v>0</v>
      </c>
      <c r="N170" s="63">
        <f t="shared" si="91"/>
        <v>0</v>
      </c>
      <c r="O170" s="63">
        <f t="shared" si="91"/>
        <v>0</v>
      </c>
      <c r="P170" s="63">
        <f t="shared" si="91"/>
        <v>584904.20000000007</v>
      </c>
      <c r="Q170" s="63">
        <f t="shared" si="91"/>
        <v>741424.62000000011</v>
      </c>
      <c r="R170" s="63">
        <f t="shared" si="91"/>
        <v>741424.62000000011</v>
      </c>
    </row>
    <row r="171" spans="2:18" s="34" customFormat="1" ht="46.2">
      <c r="B171" s="87" t="s">
        <v>334</v>
      </c>
      <c r="C171" s="88" t="s">
        <v>335</v>
      </c>
      <c r="D171" s="89" t="s">
        <v>79</v>
      </c>
      <c r="E171" s="90">
        <v>3789.02</v>
      </c>
      <c r="F171" s="91"/>
      <c r="G171" s="91"/>
      <c r="H171" s="91"/>
      <c r="I171" s="79">
        <f>SUM(G171:H171)+'BM 003'!I171</f>
        <v>0</v>
      </c>
      <c r="J171" s="91">
        <f t="shared" si="89"/>
        <v>3789.02</v>
      </c>
      <c r="K171" s="84">
        <v>70</v>
      </c>
      <c r="L171" s="81">
        <f t="shared" si="83"/>
        <v>88.732007699999997</v>
      </c>
      <c r="M171" s="82">
        <f>TRUNC(F171*L171,2)</f>
        <v>0</v>
      </c>
      <c r="N171" s="82">
        <f>TRUNC(G171*L171,2)</f>
        <v>0</v>
      </c>
      <c r="O171" s="82">
        <f>N171+'BM 003'!O171</f>
        <v>0</v>
      </c>
      <c r="P171" s="80">
        <f>E171*K171</f>
        <v>265231.40000000002</v>
      </c>
      <c r="Q171" s="82">
        <f>TRUNC(E171*L171,2)</f>
        <v>336207.35</v>
      </c>
      <c r="R171" s="82">
        <f>Q171-O171</f>
        <v>336207.35</v>
      </c>
    </row>
    <row r="172" spans="2:18" s="34" customFormat="1" ht="23.4">
      <c r="B172" s="87" t="s">
        <v>336</v>
      </c>
      <c r="C172" s="88" t="s">
        <v>337</v>
      </c>
      <c r="D172" s="89" t="s">
        <v>79</v>
      </c>
      <c r="E172" s="90">
        <v>184.68</v>
      </c>
      <c r="F172" s="91"/>
      <c r="G172" s="91"/>
      <c r="H172" s="91"/>
      <c r="I172" s="79">
        <f>SUM(G172:H172)+'BM 003'!I172</f>
        <v>0</v>
      </c>
      <c r="J172" s="91">
        <f t="shared" si="89"/>
        <v>184.68</v>
      </c>
      <c r="K172" s="84">
        <v>735</v>
      </c>
      <c r="L172" s="81">
        <f t="shared" si="83"/>
        <v>931.68608085000005</v>
      </c>
      <c r="M172" s="82">
        <f>TRUNC(F172*L172,2)</f>
        <v>0</v>
      </c>
      <c r="N172" s="82">
        <f>TRUNC(G172*L172,2)</f>
        <v>0</v>
      </c>
      <c r="O172" s="82">
        <f>N172+'BM 003'!O172</f>
        <v>0</v>
      </c>
      <c r="P172" s="80">
        <f>E172*K172</f>
        <v>135739.80000000002</v>
      </c>
      <c r="Q172" s="82">
        <f>TRUNC(E172*L172,2)</f>
        <v>172063.78</v>
      </c>
      <c r="R172" s="82">
        <f>Q172-O172</f>
        <v>172063.78</v>
      </c>
    </row>
    <row r="173" spans="2:18" s="34" customFormat="1" ht="46.2">
      <c r="B173" s="87" t="s">
        <v>338</v>
      </c>
      <c r="C173" s="88" t="s">
        <v>339</v>
      </c>
      <c r="D173" s="89" t="s">
        <v>79</v>
      </c>
      <c r="E173" s="90">
        <v>798.6</v>
      </c>
      <c r="F173" s="91"/>
      <c r="G173" s="91"/>
      <c r="H173" s="91"/>
      <c r="I173" s="79">
        <f>SUM(G173:H173)+'BM 003'!I173</f>
        <v>0</v>
      </c>
      <c r="J173" s="91">
        <f t="shared" si="89"/>
        <v>798.6</v>
      </c>
      <c r="K173" s="84">
        <v>125</v>
      </c>
      <c r="L173" s="81">
        <f t="shared" si="83"/>
        <v>158.45001375000001</v>
      </c>
      <c r="M173" s="82">
        <f>TRUNC(F173*L173,2)</f>
        <v>0</v>
      </c>
      <c r="N173" s="82">
        <f>TRUNC(G173*L173,2)</f>
        <v>0</v>
      </c>
      <c r="O173" s="82">
        <f>N173+'BM 003'!O173</f>
        <v>0</v>
      </c>
      <c r="P173" s="80">
        <f>E173*K173</f>
        <v>99825</v>
      </c>
      <c r="Q173" s="82">
        <f>TRUNC(E173*L173,2)</f>
        <v>126538.18</v>
      </c>
      <c r="R173" s="82">
        <f>Q173-O173</f>
        <v>126538.18</v>
      </c>
    </row>
    <row r="174" spans="2:18" s="34" customFormat="1" ht="57.6">
      <c r="B174" s="87" t="s">
        <v>340</v>
      </c>
      <c r="C174" s="88" t="s">
        <v>341</v>
      </c>
      <c r="D174" s="89" t="s">
        <v>79</v>
      </c>
      <c r="E174" s="90">
        <v>489</v>
      </c>
      <c r="F174" s="91"/>
      <c r="G174" s="91"/>
      <c r="H174" s="91"/>
      <c r="I174" s="79">
        <f>SUM(G174:H174)+'BM 003'!I174</f>
        <v>0</v>
      </c>
      <c r="J174" s="91">
        <f t="shared" si="89"/>
        <v>489</v>
      </c>
      <c r="K174" s="84">
        <v>172</v>
      </c>
      <c r="L174" s="81">
        <f t="shared" si="83"/>
        <v>218.02721892</v>
      </c>
      <c r="M174" s="82">
        <f>TRUNC(F174*L174,2)</f>
        <v>0</v>
      </c>
      <c r="N174" s="82">
        <f>TRUNC(G174*L174,2)</f>
        <v>0</v>
      </c>
      <c r="O174" s="82">
        <f>N174+'BM 003'!O174</f>
        <v>0</v>
      </c>
      <c r="P174" s="80">
        <f>E174*K174</f>
        <v>84108</v>
      </c>
      <c r="Q174" s="82">
        <f>TRUNC(E174*L174,2)</f>
        <v>106615.31</v>
      </c>
      <c r="R174" s="82">
        <f>Q174-O174</f>
        <v>106615.31</v>
      </c>
    </row>
    <row r="175" spans="2:18" s="34" customFormat="1" ht="13.2">
      <c r="B175" s="60" t="s">
        <v>342</v>
      </c>
      <c r="C175" s="61" t="s">
        <v>343</v>
      </c>
      <c r="D175" s="60"/>
      <c r="E175" s="62"/>
      <c r="F175" s="63"/>
      <c r="G175" s="63"/>
      <c r="H175" s="63"/>
      <c r="I175" s="63">
        <f>SUM(G175:H175)+'BM 003'!I175</f>
        <v>0</v>
      </c>
      <c r="J175" s="63">
        <f t="shared" si="89"/>
        <v>0</v>
      </c>
      <c r="K175" s="63"/>
      <c r="L175" s="63">
        <f t="shared" si="83"/>
        <v>0</v>
      </c>
      <c r="M175" s="63">
        <f t="shared" ref="M175:R175" si="92">SUM(M176:M177)</f>
        <v>0</v>
      </c>
      <c r="N175" s="63">
        <f t="shared" si="92"/>
        <v>0</v>
      </c>
      <c r="O175" s="63">
        <f t="shared" si="92"/>
        <v>0</v>
      </c>
      <c r="P175" s="63">
        <f t="shared" si="92"/>
        <v>260085</v>
      </c>
      <c r="Q175" s="63">
        <f t="shared" si="92"/>
        <v>329683.77</v>
      </c>
      <c r="R175" s="63">
        <f t="shared" si="92"/>
        <v>329683.77</v>
      </c>
    </row>
    <row r="176" spans="2:18" s="34" customFormat="1" ht="34.799999999999997">
      <c r="B176" s="87" t="s">
        <v>344</v>
      </c>
      <c r="C176" s="88" t="s">
        <v>345</v>
      </c>
      <c r="D176" s="89" t="s">
        <v>79</v>
      </c>
      <c r="E176" s="90">
        <v>1785</v>
      </c>
      <c r="F176" s="91"/>
      <c r="G176" s="91"/>
      <c r="H176" s="91"/>
      <c r="I176" s="79">
        <f>SUM(G176:H176)+'BM 003'!I176</f>
        <v>0</v>
      </c>
      <c r="J176" s="91">
        <f t="shared" si="89"/>
        <v>1785</v>
      </c>
      <c r="K176" s="84">
        <v>125</v>
      </c>
      <c r="L176" s="81">
        <f t="shared" si="83"/>
        <v>158.45001375000001</v>
      </c>
      <c r="M176" s="82">
        <f>TRUNC(F176*L176,2)</f>
        <v>0</v>
      </c>
      <c r="N176" s="82">
        <f>TRUNC(G176*L176,2)</f>
        <v>0</v>
      </c>
      <c r="O176" s="82">
        <f>N176+'BM 003'!O176</f>
        <v>0</v>
      </c>
      <c r="P176" s="80">
        <f>E176*K176</f>
        <v>223125</v>
      </c>
      <c r="Q176" s="82">
        <f>TRUNC(E176*L176,2)</f>
        <v>282833.27</v>
      </c>
      <c r="R176" s="82">
        <f>Q176-O176</f>
        <v>282833.27</v>
      </c>
    </row>
    <row r="177" spans="2:18" s="34" customFormat="1" ht="34.799999999999997">
      <c r="B177" s="75" t="s">
        <v>346</v>
      </c>
      <c r="C177" s="76" t="s">
        <v>347</v>
      </c>
      <c r="D177" s="77" t="s">
        <v>79</v>
      </c>
      <c r="E177" s="93">
        <v>880</v>
      </c>
      <c r="F177" s="79"/>
      <c r="G177" s="79"/>
      <c r="H177" s="79"/>
      <c r="I177" s="79">
        <f>SUM(G177:H177)+'BM 003'!I177</f>
        <v>0</v>
      </c>
      <c r="J177" s="79">
        <f t="shared" si="89"/>
        <v>880</v>
      </c>
      <c r="K177" s="84">
        <v>42</v>
      </c>
      <c r="L177" s="81">
        <f t="shared" si="83"/>
        <v>53.239204620000002</v>
      </c>
      <c r="M177" s="82">
        <f>TRUNC(F177*L177,2)</f>
        <v>0</v>
      </c>
      <c r="N177" s="82">
        <f>TRUNC(G177*L177,2)</f>
        <v>0</v>
      </c>
      <c r="O177" s="82">
        <f>N177+'BM 003'!O177</f>
        <v>0</v>
      </c>
      <c r="P177" s="80">
        <f>E177*K177</f>
        <v>36960</v>
      </c>
      <c r="Q177" s="82">
        <f>TRUNC(E177*L177,2)</f>
        <v>46850.5</v>
      </c>
      <c r="R177" s="82">
        <f>Q177-O177</f>
        <v>46850.5</v>
      </c>
    </row>
    <row r="178" spans="2:18" s="34" customFormat="1" ht="13.2">
      <c r="B178" s="60" t="s">
        <v>348</v>
      </c>
      <c r="C178" s="61" t="s">
        <v>349</v>
      </c>
      <c r="D178" s="60"/>
      <c r="E178" s="62"/>
      <c r="F178" s="63"/>
      <c r="G178" s="63"/>
      <c r="H178" s="63"/>
      <c r="I178" s="63">
        <f>SUM(G178:H178)+'BM 003'!I178</f>
        <v>0</v>
      </c>
      <c r="J178" s="63">
        <f t="shared" si="89"/>
        <v>0</v>
      </c>
      <c r="K178" s="63"/>
      <c r="L178" s="63">
        <f t="shared" si="83"/>
        <v>0</v>
      </c>
      <c r="M178" s="63">
        <f t="shared" ref="M178:R178" si="93">SUM(M179,M205)</f>
        <v>0</v>
      </c>
      <c r="N178" s="63">
        <f t="shared" si="93"/>
        <v>0</v>
      </c>
      <c r="O178" s="63">
        <f t="shared" si="93"/>
        <v>0</v>
      </c>
      <c r="P178" s="63">
        <f t="shared" si="93"/>
        <v>3144051.95</v>
      </c>
      <c r="Q178" s="63">
        <f t="shared" si="93"/>
        <v>3985400.4499999997</v>
      </c>
      <c r="R178" s="63">
        <f t="shared" si="93"/>
        <v>3985400.4499999997</v>
      </c>
    </row>
    <row r="179" spans="2:18" s="34" customFormat="1" ht="13.2">
      <c r="B179" s="66" t="s">
        <v>350</v>
      </c>
      <c r="C179" s="67" t="s">
        <v>351</v>
      </c>
      <c r="D179" s="68"/>
      <c r="E179" s="69"/>
      <c r="F179" s="70"/>
      <c r="G179" s="70"/>
      <c r="H179" s="70"/>
      <c r="I179" s="70">
        <f>SUM(G179:H179)+'BM 003'!I179</f>
        <v>0</v>
      </c>
      <c r="J179" s="70">
        <f t="shared" si="89"/>
        <v>0</v>
      </c>
      <c r="K179" s="71"/>
      <c r="L179" s="71">
        <f t="shared" si="83"/>
        <v>0</v>
      </c>
      <c r="M179" s="73">
        <f t="shared" ref="M179:R179" si="94">SUM(M180:M204)</f>
        <v>0</v>
      </c>
      <c r="N179" s="73">
        <f t="shared" si="94"/>
        <v>0</v>
      </c>
      <c r="O179" s="73">
        <f t="shared" si="94"/>
        <v>0</v>
      </c>
      <c r="P179" s="73">
        <f t="shared" si="94"/>
        <v>2156515.4</v>
      </c>
      <c r="Q179" s="73">
        <f t="shared" si="94"/>
        <v>2733599.05</v>
      </c>
      <c r="R179" s="73">
        <f t="shared" si="94"/>
        <v>2733599.05</v>
      </c>
    </row>
    <row r="180" spans="2:18" s="34" customFormat="1" ht="114.6">
      <c r="B180" s="75" t="s">
        <v>352</v>
      </c>
      <c r="C180" s="88" t="s">
        <v>353</v>
      </c>
      <c r="D180" s="89" t="s">
        <v>63</v>
      </c>
      <c r="E180" s="92">
        <v>56</v>
      </c>
      <c r="F180" s="91"/>
      <c r="G180" s="91"/>
      <c r="H180" s="91"/>
      <c r="I180" s="79">
        <f>SUM(G180:H180)+'BM 003'!I180</f>
        <v>0</v>
      </c>
      <c r="J180" s="91">
        <f t="shared" si="89"/>
        <v>56</v>
      </c>
      <c r="K180" s="84">
        <v>3125</v>
      </c>
      <c r="L180" s="81">
        <f t="shared" si="83"/>
        <v>3961.25034375</v>
      </c>
      <c r="M180" s="82">
        <f t="shared" ref="M180:M204" si="95">TRUNC(F180*L180,2)</f>
        <v>0</v>
      </c>
      <c r="N180" s="82">
        <f t="shared" ref="N180:N204" si="96">TRUNC(G180*L180,2)</f>
        <v>0</v>
      </c>
      <c r="O180" s="82">
        <f>N180+'BM 003'!O180</f>
        <v>0</v>
      </c>
      <c r="P180" s="80">
        <f t="shared" ref="P180:P204" si="97">E180*K180</f>
        <v>175000</v>
      </c>
      <c r="Q180" s="82">
        <f t="shared" ref="Q180:Q204" si="98">TRUNC(E180*L180,2)</f>
        <v>221830.01</v>
      </c>
      <c r="R180" s="82">
        <f t="shared" ref="R180:R204" si="99">Q180-O180</f>
        <v>221830.01</v>
      </c>
    </row>
    <row r="181" spans="2:18" s="34" customFormat="1" ht="103.2">
      <c r="B181" s="75" t="s">
        <v>354</v>
      </c>
      <c r="C181" s="88" t="s">
        <v>355</v>
      </c>
      <c r="D181" s="89" t="s">
        <v>63</v>
      </c>
      <c r="E181" s="92">
        <v>51</v>
      </c>
      <c r="F181" s="91"/>
      <c r="G181" s="91"/>
      <c r="H181" s="91"/>
      <c r="I181" s="79">
        <f>SUM(G181:H181)+'BM 003'!I181</f>
        <v>0</v>
      </c>
      <c r="J181" s="91">
        <f t="shared" si="89"/>
        <v>51</v>
      </c>
      <c r="K181" s="84">
        <v>3580</v>
      </c>
      <c r="L181" s="81">
        <f t="shared" si="83"/>
        <v>4538.0083937999998</v>
      </c>
      <c r="M181" s="82">
        <f t="shared" si="95"/>
        <v>0</v>
      </c>
      <c r="N181" s="82">
        <f t="shared" si="96"/>
        <v>0</v>
      </c>
      <c r="O181" s="82">
        <f>N181+'BM 003'!O181</f>
        <v>0</v>
      </c>
      <c r="P181" s="80">
        <f t="shared" si="97"/>
        <v>182580</v>
      </c>
      <c r="Q181" s="82">
        <f t="shared" si="98"/>
        <v>231438.42</v>
      </c>
      <c r="R181" s="82">
        <f t="shared" si="99"/>
        <v>231438.42</v>
      </c>
    </row>
    <row r="182" spans="2:18" s="34" customFormat="1" ht="114.6">
      <c r="B182" s="75" t="s">
        <v>356</v>
      </c>
      <c r="C182" s="88" t="s">
        <v>357</v>
      </c>
      <c r="D182" s="89" t="s">
        <v>63</v>
      </c>
      <c r="E182" s="92">
        <v>11</v>
      </c>
      <c r="F182" s="91"/>
      <c r="G182" s="91"/>
      <c r="H182" s="91"/>
      <c r="I182" s="79">
        <f>SUM(G182:H182)+'BM 003'!I182</f>
        <v>0</v>
      </c>
      <c r="J182" s="91">
        <f t="shared" si="89"/>
        <v>11</v>
      </c>
      <c r="K182" s="84">
        <v>3995</v>
      </c>
      <c r="L182" s="81">
        <f t="shared" si="83"/>
        <v>5064.0624394500001</v>
      </c>
      <c r="M182" s="82">
        <f t="shared" si="95"/>
        <v>0</v>
      </c>
      <c r="N182" s="82">
        <f t="shared" si="96"/>
        <v>0</v>
      </c>
      <c r="O182" s="82">
        <f>N182+'BM 003'!O182</f>
        <v>0</v>
      </c>
      <c r="P182" s="80">
        <f t="shared" si="97"/>
        <v>43945</v>
      </c>
      <c r="Q182" s="82">
        <f t="shared" si="98"/>
        <v>55704.68</v>
      </c>
      <c r="R182" s="82">
        <f t="shared" si="99"/>
        <v>55704.68</v>
      </c>
    </row>
    <row r="183" spans="2:18" s="34" customFormat="1" ht="80.400000000000006">
      <c r="B183" s="75" t="s">
        <v>358</v>
      </c>
      <c r="C183" s="88" t="s">
        <v>359</v>
      </c>
      <c r="D183" s="89" t="s">
        <v>63</v>
      </c>
      <c r="E183" s="92">
        <v>2</v>
      </c>
      <c r="F183" s="91"/>
      <c r="G183" s="91"/>
      <c r="H183" s="91"/>
      <c r="I183" s="79">
        <f>SUM(G183:H183)+'BM 003'!I183</f>
        <v>0</v>
      </c>
      <c r="J183" s="91">
        <f t="shared" si="89"/>
        <v>2</v>
      </c>
      <c r="K183" s="84">
        <v>4100</v>
      </c>
      <c r="L183" s="81">
        <f t="shared" si="83"/>
        <v>5197.1604510000006</v>
      </c>
      <c r="M183" s="82">
        <f t="shared" si="95"/>
        <v>0</v>
      </c>
      <c r="N183" s="82">
        <f t="shared" si="96"/>
        <v>0</v>
      </c>
      <c r="O183" s="82">
        <f>N183+'BM 003'!O183</f>
        <v>0</v>
      </c>
      <c r="P183" s="80">
        <f t="shared" si="97"/>
        <v>8200</v>
      </c>
      <c r="Q183" s="82">
        <f t="shared" si="98"/>
        <v>10394.32</v>
      </c>
      <c r="R183" s="82">
        <f t="shared" si="99"/>
        <v>10394.32</v>
      </c>
    </row>
    <row r="184" spans="2:18" s="34" customFormat="1" ht="126">
      <c r="B184" s="75" t="s">
        <v>360</v>
      </c>
      <c r="C184" s="88" t="s">
        <v>361</v>
      </c>
      <c r="D184" s="89" t="s">
        <v>63</v>
      </c>
      <c r="E184" s="92">
        <v>24</v>
      </c>
      <c r="F184" s="91"/>
      <c r="G184" s="91"/>
      <c r="H184" s="91"/>
      <c r="I184" s="79">
        <f>SUM(G184:H184)+'BM 003'!I184</f>
        <v>0</v>
      </c>
      <c r="J184" s="91">
        <f t="shared" si="89"/>
        <v>24</v>
      </c>
      <c r="K184" s="84">
        <v>4425</v>
      </c>
      <c r="L184" s="81">
        <f t="shared" si="83"/>
        <v>5609.1304867500003</v>
      </c>
      <c r="M184" s="82">
        <f t="shared" si="95"/>
        <v>0</v>
      </c>
      <c r="N184" s="82">
        <f t="shared" si="96"/>
        <v>0</v>
      </c>
      <c r="O184" s="82">
        <f>N184+'BM 003'!O184</f>
        <v>0</v>
      </c>
      <c r="P184" s="80">
        <f t="shared" si="97"/>
        <v>106200</v>
      </c>
      <c r="Q184" s="82">
        <f t="shared" si="98"/>
        <v>134619.13</v>
      </c>
      <c r="R184" s="82">
        <f t="shared" si="99"/>
        <v>134619.13</v>
      </c>
    </row>
    <row r="185" spans="2:18" s="34" customFormat="1" ht="126">
      <c r="B185" s="75" t="s">
        <v>362</v>
      </c>
      <c r="C185" s="88" t="s">
        <v>363</v>
      </c>
      <c r="D185" s="89" t="s">
        <v>63</v>
      </c>
      <c r="E185" s="92">
        <v>8</v>
      </c>
      <c r="F185" s="91"/>
      <c r="G185" s="91"/>
      <c r="H185" s="91"/>
      <c r="I185" s="79">
        <f>SUM(G185:H185)+'BM 003'!I185</f>
        <v>0</v>
      </c>
      <c r="J185" s="91">
        <f t="shared" si="89"/>
        <v>8</v>
      </c>
      <c r="K185" s="84">
        <v>4495</v>
      </c>
      <c r="L185" s="81">
        <f t="shared" si="83"/>
        <v>5697.8624944500007</v>
      </c>
      <c r="M185" s="82">
        <f t="shared" si="95"/>
        <v>0</v>
      </c>
      <c r="N185" s="82">
        <f t="shared" si="96"/>
        <v>0</v>
      </c>
      <c r="O185" s="82">
        <f>N185+'BM 003'!O185</f>
        <v>0</v>
      </c>
      <c r="P185" s="80">
        <f t="shared" si="97"/>
        <v>35960</v>
      </c>
      <c r="Q185" s="82">
        <f t="shared" si="98"/>
        <v>45582.89</v>
      </c>
      <c r="R185" s="82">
        <f t="shared" si="99"/>
        <v>45582.89</v>
      </c>
    </row>
    <row r="186" spans="2:18" s="34" customFormat="1" ht="57.6">
      <c r="B186" s="75" t="s">
        <v>364</v>
      </c>
      <c r="C186" s="88" t="s">
        <v>365</v>
      </c>
      <c r="D186" s="89" t="s">
        <v>63</v>
      </c>
      <c r="E186" s="92">
        <v>3</v>
      </c>
      <c r="F186" s="91"/>
      <c r="G186" s="91"/>
      <c r="H186" s="91"/>
      <c r="I186" s="79">
        <f>SUM(G186:H186)+'BM 003'!I186</f>
        <v>0</v>
      </c>
      <c r="J186" s="91">
        <f t="shared" si="89"/>
        <v>3</v>
      </c>
      <c r="K186" s="84">
        <v>8550</v>
      </c>
      <c r="L186" s="81">
        <f t="shared" si="83"/>
        <v>10837.9809405</v>
      </c>
      <c r="M186" s="82">
        <f t="shared" si="95"/>
        <v>0</v>
      </c>
      <c r="N186" s="82">
        <f t="shared" si="96"/>
        <v>0</v>
      </c>
      <c r="O186" s="82">
        <f>N186+'BM 003'!O186</f>
        <v>0</v>
      </c>
      <c r="P186" s="80">
        <f t="shared" si="97"/>
        <v>25650</v>
      </c>
      <c r="Q186" s="82">
        <f t="shared" si="98"/>
        <v>32513.94</v>
      </c>
      <c r="R186" s="82">
        <f t="shared" si="99"/>
        <v>32513.94</v>
      </c>
    </row>
    <row r="187" spans="2:18" s="34" customFormat="1" ht="137.4">
      <c r="B187" s="75" t="s">
        <v>366</v>
      </c>
      <c r="C187" s="88" t="s">
        <v>367</v>
      </c>
      <c r="D187" s="89" t="s">
        <v>63</v>
      </c>
      <c r="E187" s="92">
        <v>2</v>
      </c>
      <c r="F187" s="91"/>
      <c r="G187" s="91"/>
      <c r="H187" s="91"/>
      <c r="I187" s="79">
        <f>SUM(G187:H187)+'BM 003'!I187</f>
        <v>0</v>
      </c>
      <c r="J187" s="91">
        <f t="shared" si="89"/>
        <v>2</v>
      </c>
      <c r="K187" s="84">
        <v>6750</v>
      </c>
      <c r="L187" s="81">
        <f t="shared" si="83"/>
        <v>8556.3007424999996</v>
      </c>
      <c r="M187" s="82">
        <f t="shared" si="95"/>
        <v>0</v>
      </c>
      <c r="N187" s="82">
        <f t="shared" si="96"/>
        <v>0</v>
      </c>
      <c r="O187" s="82">
        <f>N187+'BM 003'!O187</f>
        <v>0</v>
      </c>
      <c r="P187" s="80">
        <f t="shared" si="97"/>
        <v>13500</v>
      </c>
      <c r="Q187" s="82">
        <f t="shared" si="98"/>
        <v>17112.599999999999</v>
      </c>
      <c r="R187" s="82">
        <f t="shared" si="99"/>
        <v>17112.599999999999</v>
      </c>
    </row>
    <row r="188" spans="2:18" s="34" customFormat="1" ht="46.2">
      <c r="B188" s="75" t="s">
        <v>368</v>
      </c>
      <c r="C188" s="88" t="s">
        <v>369</v>
      </c>
      <c r="D188" s="89" t="s">
        <v>63</v>
      </c>
      <c r="E188" s="92">
        <v>18</v>
      </c>
      <c r="F188" s="91"/>
      <c r="G188" s="91"/>
      <c r="H188" s="91"/>
      <c r="I188" s="79">
        <f>SUM(G188:H188)+'BM 003'!I188</f>
        <v>0</v>
      </c>
      <c r="J188" s="91">
        <f t="shared" si="89"/>
        <v>18</v>
      </c>
      <c r="K188" s="84">
        <v>2490</v>
      </c>
      <c r="L188" s="81">
        <f t="shared" si="83"/>
        <v>3156.3242739000002</v>
      </c>
      <c r="M188" s="82">
        <f t="shared" si="95"/>
        <v>0</v>
      </c>
      <c r="N188" s="82">
        <f t="shared" si="96"/>
        <v>0</v>
      </c>
      <c r="O188" s="82">
        <f>N188+'BM 003'!O188</f>
        <v>0</v>
      </c>
      <c r="P188" s="80">
        <f t="shared" si="97"/>
        <v>44820</v>
      </c>
      <c r="Q188" s="82">
        <f t="shared" si="98"/>
        <v>56813.83</v>
      </c>
      <c r="R188" s="82">
        <f t="shared" si="99"/>
        <v>56813.83</v>
      </c>
    </row>
    <row r="189" spans="2:18" s="34" customFormat="1" ht="57.6">
      <c r="B189" s="75" t="s">
        <v>370</v>
      </c>
      <c r="C189" s="88" t="s">
        <v>371</v>
      </c>
      <c r="D189" s="89" t="s">
        <v>63</v>
      </c>
      <c r="E189" s="92">
        <v>1</v>
      </c>
      <c r="F189" s="91"/>
      <c r="G189" s="91"/>
      <c r="H189" s="91"/>
      <c r="I189" s="79">
        <f>SUM(G189:H189)+'BM 003'!I189</f>
        <v>0</v>
      </c>
      <c r="J189" s="91">
        <f t="shared" si="89"/>
        <v>1</v>
      </c>
      <c r="K189" s="84">
        <v>5950</v>
      </c>
      <c r="L189" s="81">
        <f t="shared" si="83"/>
        <v>7542.2206544999999</v>
      </c>
      <c r="M189" s="82">
        <f t="shared" si="95"/>
        <v>0</v>
      </c>
      <c r="N189" s="82">
        <f t="shared" si="96"/>
        <v>0</v>
      </c>
      <c r="O189" s="82">
        <f>N189+'BM 003'!O189</f>
        <v>0</v>
      </c>
      <c r="P189" s="80">
        <f t="shared" si="97"/>
        <v>5950</v>
      </c>
      <c r="Q189" s="82">
        <f t="shared" si="98"/>
        <v>7542.22</v>
      </c>
      <c r="R189" s="82">
        <f t="shared" si="99"/>
        <v>7542.22</v>
      </c>
    </row>
    <row r="190" spans="2:18" s="34" customFormat="1" ht="57.6">
      <c r="B190" s="75" t="s">
        <v>372</v>
      </c>
      <c r="C190" s="88" t="s">
        <v>373</v>
      </c>
      <c r="D190" s="89" t="s">
        <v>63</v>
      </c>
      <c r="E190" s="92">
        <v>1</v>
      </c>
      <c r="F190" s="91"/>
      <c r="G190" s="91"/>
      <c r="H190" s="91"/>
      <c r="I190" s="79">
        <f>SUM(G190:H190)+'BM 003'!I190</f>
        <v>0</v>
      </c>
      <c r="J190" s="91">
        <f t="shared" si="89"/>
        <v>1</v>
      </c>
      <c r="K190" s="84">
        <v>5950</v>
      </c>
      <c r="L190" s="81">
        <f t="shared" si="83"/>
        <v>7542.2206544999999</v>
      </c>
      <c r="M190" s="82">
        <f t="shared" si="95"/>
        <v>0</v>
      </c>
      <c r="N190" s="82">
        <f t="shared" si="96"/>
        <v>0</v>
      </c>
      <c r="O190" s="82">
        <f>N190+'BM 003'!O190</f>
        <v>0</v>
      </c>
      <c r="P190" s="80">
        <f t="shared" si="97"/>
        <v>5950</v>
      </c>
      <c r="Q190" s="82">
        <f t="shared" si="98"/>
        <v>7542.22</v>
      </c>
      <c r="R190" s="82">
        <f t="shared" si="99"/>
        <v>7542.22</v>
      </c>
    </row>
    <row r="191" spans="2:18" s="34" customFormat="1" ht="57.6">
      <c r="B191" s="75" t="s">
        <v>374</v>
      </c>
      <c r="C191" s="88" t="s">
        <v>375</v>
      </c>
      <c r="D191" s="89" t="s">
        <v>79</v>
      </c>
      <c r="E191" s="92">
        <v>184.04</v>
      </c>
      <c r="F191" s="91"/>
      <c r="G191" s="91"/>
      <c r="H191" s="91"/>
      <c r="I191" s="79">
        <f>SUM(G191:H191)+'BM 003'!I191</f>
        <v>0</v>
      </c>
      <c r="J191" s="91">
        <f t="shared" si="89"/>
        <v>184.04</v>
      </c>
      <c r="K191" s="84">
        <v>1265</v>
      </c>
      <c r="L191" s="81">
        <f t="shared" si="83"/>
        <v>1603.5141391500001</v>
      </c>
      <c r="M191" s="82">
        <f t="shared" si="95"/>
        <v>0</v>
      </c>
      <c r="N191" s="82">
        <f t="shared" si="96"/>
        <v>0</v>
      </c>
      <c r="O191" s="82">
        <f>N191+'BM 003'!O191</f>
        <v>0</v>
      </c>
      <c r="P191" s="80">
        <f t="shared" si="97"/>
        <v>232810.59999999998</v>
      </c>
      <c r="Q191" s="82">
        <f t="shared" si="98"/>
        <v>295110.74</v>
      </c>
      <c r="R191" s="82">
        <f t="shared" si="99"/>
        <v>295110.74</v>
      </c>
    </row>
    <row r="192" spans="2:18" s="34" customFormat="1" ht="46.2">
      <c r="B192" s="75" t="s">
        <v>376</v>
      </c>
      <c r="C192" s="88" t="s">
        <v>377</v>
      </c>
      <c r="D192" s="89" t="s">
        <v>79</v>
      </c>
      <c r="E192" s="92">
        <v>53.96</v>
      </c>
      <c r="F192" s="91"/>
      <c r="G192" s="91"/>
      <c r="H192" s="91"/>
      <c r="I192" s="79">
        <f>SUM(G192:H192)+'BM 003'!I192</f>
        <v>0</v>
      </c>
      <c r="J192" s="91">
        <f t="shared" si="89"/>
        <v>53.96</v>
      </c>
      <c r="K192" s="84">
        <v>1080</v>
      </c>
      <c r="L192" s="81">
        <f t="shared" si="83"/>
        <v>1369.0081188000001</v>
      </c>
      <c r="M192" s="82">
        <f t="shared" si="95"/>
        <v>0</v>
      </c>
      <c r="N192" s="82">
        <f t="shared" si="96"/>
        <v>0</v>
      </c>
      <c r="O192" s="82">
        <f>N192+'BM 003'!O192</f>
        <v>0</v>
      </c>
      <c r="P192" s="80">
        <f t="shared" si="97"/>
        <v>58276.800000000003</v>
      </c>
      <c r="Q192" s="82">
        <f t="shared" si="98"/>
        <v>73871.67</v>
      </c>
      <c r="R192" s="82">
        <f t="shared" si="99"/>
        <v>73871.67</v>
      </c>
    </row>
    <row r="193" spans="2:18" s="34" customFormat="1" ht="57.6">
      <c r="B193" s="75" t="s">
        <v>378</v>
      </c>
      <c r="C193" s="88" t="s">
        <v>379</v>
      </c>
      <c r="D193" s="89" t="s">
        <v>79</v>
      </c>
      <c r="E193" s="92">
        <v>130.29</v>
      </c>
      <c r="F193" s="91"/>
      <c r="G193" s="91"/>
      <c r="H193" s="91"/>
      <c r="I193" s="79">
        <f>SUM(G193:H193)+'BM 003'!I193</f>
        <v>0</v>
      </c>
      <c r="J193" s="91">
        <f t="shared" si="89"/>
        <v>130.29</v>
      </c>
      <c r="K193" s="84">
        <v>1220</v>
      </c>
      <c r="L193" s="81">
        <f t="shared" si="83"/>
        <v>1546.4721342</v>
      </c>
      <c r="M193" s="82">
        <f t="shared" si="95"/>
        <v>0</v>
      </c>
      <c r="N193" s="82">
        <f t="shared" si="96"/>
        <v>0</v>
      </c>
      <c r="O193" s="82">
        <f>N193+'BM 003'!O193</f>
        <v>0</v>
      </c>
      <c r="P193" s="80">
        <f t="shared" si="97"/>
        <v>158953.79999999999</v>
      </c>
      <c r="Q193" s="82">
        <f t="shared" si="98"/>
        <v>201489.85</v>
      </c>
      <c r="R193" s="82">
        <f t="shared" si="99"/>
        <v>201489.85</v>
      </c>
    </row>
    <row r="194" spans="2:18" s="34" customFormat="1" ht="57.6">
      <c r="B194" s="75" t="s">
        <v>380</v>
      </c>
      <c r="C194" s="88" t="s">
        <v>381</v>
      </c>
      <c r="D194" s="89" t="s">
        <v>79</v>
      </c>
      <c r="E194" s="92">
        <v>27.88</v>
      </c>
      <c r="F194" s="91"/>
      <c r="G194" s="91"/>
      <c r="H194" s="91"/>
      <c r="I194" s="79">
        <f>SUM(G194:H194)+'BM 003'!I194</f>
        <v>0</v>
      </c>
      <c r="J194" s="91">
        <f t="shared" si="89"/>
        <v>27.88</v>
      </c>
      <c r="K194" s="84">
        <v>2180</v>
      </c>
      <c r="L194" s="81">
        <f t="shared" si="83"/>
        <v>2763.3682398000001</v>
      </c>
      <c r="M194" s="82">
        <f t="shared" si="95"/>
        <v>0</v>
      </c>
      <c r="N194" s="82">
        <f t="shared" si="96"/>
        <v>0</v>
      </c>
      <c r="O194" s="82">
        <f>N194+'BM 003'!O194</f>
        <v>0</v>
      </c>
      <c r="P194" s="80">
        <f t="shared" si="97"/>
        <v>60778.400000000001</v>
      </c>
      <c r="Q194" s="82">
        <f t="shared" si="98"/>
        <v>77042.7</v>
      </c>
      <c r="R194" s="82">
        <f t="shared" si="99"/>
        <v>77042.7</v>
      </c>
    </row>
    <row r="195" spans="2:18" s="34" customFormat="1" ht="46.2">
      <c r="B195" s="75" t="s">
        <v>382</v>
      </c>
      <c r="C195" s="88" t="s">
        <v>383</v>
      </c>
      <c r="D195" s="89" t="s">
        <v>79</v>
      </c>
      <c r="E195" s="92">
        <v>24.23</v>
      </c>
      <c r="F195" s="91"/>
      <c r="G195" s="91"/>
      <c r="H195" s="91"/>
      <c r="I195" s="79">
        <f>SUM(G195:H195)+'BM 003'!I195</f>
        <v>0</v>
      </c>
      <c r="J195" s="91">
        <f t="shared" si="89"/>
        <v>24.23</v>
      </c>
      <c r="K195" s="84">
        <v>1170</v>
      </c>
      <c r="L195" s="81">
        <f t="shared" si="83"/>
        <v>1483.0921287000001</v>
      </c>
      <c r="M195" s="82">
        <f t="shared" si="95"/>
        <v>0</v>
      </c>
      <c r="N195" s="82">
        <f t="shared" si="96"/>
        <v>0</v>
      </c>
      <c r="O195" s="82">
        <f>N195+'BM 003'!O195</f>
        <v>0</v>
      </c>
      <c r="P195" s="80">
        <f t="shared" si="97"/>
        <v>28349.100000000002</v>
      </c>
      <c r="Q195" s="82">
        <f t="shared" si="98"/>
        <v>35935.32</v>
      </c>
      <c r="R195" s="82">
        <f t="shared" si="99"/>
        <v>35935.32</v>
      </c>
    </row>
    <row r="196" spans="2:18" s="34" customFormat="1" ht="57.6">
      <c r="B196" s="75" t="s">
        <v>384</v>
      </c>
      <c r="C196" s="88" t="s">
        <v>385</v>
      </c>
      <c r="D196" s="89" t="s">
        <v>79</v>
      </c>
      <c r="E196" s="92">
        <v>93.13</v>
      </c>
      <c r="F196" s="91"/>
      <c r="G196" s="91"/>
      <c r="H196" s="91"/>
      <c r="I196" s="79">
        <f>SUM(G196:H196)+'BM 003'!I196</f>
        <v>0</v>
      </c>
      <c r="J196" s="91">
        <f t="shared" si="89"/>
        <v>93.13</v>
      </c>
      <c r="K196" s="84">
        <v>1190</v>
      </c>
      <c r="L196" s="81">
        <f t="shared" si="83"/>
        <v>1508.4441309000001</v>
      </c>
      <c r="M196" s="82">
        <f t="shared" si="95"/>
        <v>0</v>
      </c>
      <c r="N196" s="82">
        <f t="shared" si="96"/>
        <v>0</v>
      </c>
      <c r="O196" s="82">
        <f>N196+'BM 003'!O196</f>
        <v>0</v>
      </c>
      <c r="P196" s="80">
        <f t="shared" si="97"/>
        <v>110824.7</v>
      </c>
      <c r="Q196" s="82">
        <f t="shared" si="98"/>
        <v>140481.4</v>
      </c>
      <c r="R196" s="82">
        <f t="shared" si="99"/>
        <v>140481.4</v>
      </c>
    </row>
    <row r="197" spans="2:18" s="34" customFormat="1" ht="91.8">
      <c r="B197" s="75" t="s">
        <v>386</v>
      </c>
      <c r="C197" s="88" t="s">
        <v>387</v>
      </c>
      <c r="D197" s="89" t="s">
        <v>79</v>
      </c>
      <c r="E197" s="92">
        <v>570.20000000000005</v>
      </c>
      <c r="F197" s="91"/>
      <c r="G197" s="91"/>
      <c r="H197" s="91"/>
      <c r="I197" s="79">
        <f>SUM(G197:H197)+'BM 003'!I197</f>
        <v>0</v>
      </c>
      <c r="J197" s="91">
        <f t="shared" si="89"/>
        <v>570.20000000000005</v>
      </c>
      <c r="K197" s="84">
        <v>1190</v>
      </c>
      <c r="L197" s="81">
        <f t="shared" si="83"/>
        <v>1508.4441309000001</v>
      </c>
      <c r="M197" s="82">
        <f t="shared" si="95"/>
        <v>0</v>
      </c>
      <c r="N197" s="82">
        <f t="shared" si="96"/>
        <v>0</v>
      </c>
      <c r="O197" s="82">
        <f>N197+'BM 003'!O197</f>
        <v>0</v>
      </c>
      <c r="P197" s="80">
        <f t="shared" si="97"/>
        <v>678538</v>
      </c>
      <c r="Q197" s="82">
        <f t="shared" si="98"/>
        <v>860114.84</v>
      </c>
      <c r="R197" s="82">
        <f t="shared" si="99"/>
        <v>860114.84</v>
      </c>
    </row>
    <row r="198" spans="2:18" s="34" customFormat="1" ht="23.4">
      <c r="B198" s="75" t="s">
        <v>388</v>
      </c>
      <c r="C198" s="88" t="s">
        <v>389</v>
      </c>
      <c r="D198" s="89" t="s">
        <v>390</v>
      </c>
      <c r="E198" s="92">
        <v>4</v>
      </c>
      <c r="F198" s="91"/>
      <c r="G198" s="91"/>
      <c r="H198" s="91"/>
      <c r="I198" s="79">
        <f>SUM(G198:H198)+'BM 003'!I198</f>
        <v>0</v>
      </c>
      <c r="J198" s="91">
        <f t="shared" si="89"/>
        <v>4</v>
      </c>
      <c r="K198" s="84">
        <v>1780</v>
      </c>
      <c r="L198" s="81">
        <f t="shared" si="83"/>
        <v>2256.3281958000002</v>
      </c>
      <c r="M198" s="82">
        <f t="shared" si="95"/>
        <v>0</v>
      </c>
      <c r="N198" s="82">
        <f t="shared" si="96"/>
        <v>0</v>
      </c>
      <c r="O198" s="82">
        <f>N198+'BM 003'!O198</f>
        <v>0</v>
      </c>
      <c r="P198" s="80">
        <f t="shared" si="97"/>
        <v>7120</v>
      </c>
      <c r="Q198" s="82">
        <f t="shared" si="98"/>
        <v>9025.31</v>
      </c>
      <c r="R198" s="82">
        <f t="shared" si="99"/>
        <v>9025.31</v>
      </c>
    </row>
    <row r="199" spans="2:18" s="34" customFormat="1" ht="23.4">
      <c r="B199" s="75" t="s">
        <v>391</v>
      </c>
      <c r="C199" s="88" t="s">
        <v>392</v>
      </c>
      <c r="D199" s="89" t="s">
        <v>390</v>
      </c>
      <c r="E199" s="92">
        <v>1</v>
      </c>
      <c r="F199" s="91"/>
      <c r="G199" s="91"/>
      <c r="H199" s="91"/>
      <c r="I199" s="79">
        <f>SUM(G199:H199)+'BM 003'!I199</f>
        <v>0</v>
      </c>
      <c r="J199" s="91">
        <f t="shared" si="89"/>
        <v>1</v>
      </c>
      <c r="K199" s="84">
        <v>840</v>
      </c>
      <c r="L199" s="81">
        <f t="shared" si="83"/>
        <v>1064.7840924</v>
      </c>
      <c r="M199" s="82">
        <f t="shared" si="95"/>
        <v>0</v>
      </c>
      <c r="N199" s="82">
        <f t="shared" si="96"/>
        <v>0</v>
      </c>
      <c r="O199" s="82">
        <f>N199+'BM 003'!O199</f>
        <v>0</v>
      </c>
      <c r="P199" s="80">
        <f t="shared" si="97"/>
        <v>840</v>
      </c>
      <c r="Q199" s="82">
        <f t="shared" si="98"/>
        <v>1064.78</v>
      </c>
      <c r="R199" s="82">
        <f t="shared" si="99"/>
        <v>1064.78</v>
      </c>
    </row>
    <row r="200" spans="2:18" s="34" customFormat="1" ht="23.4">
      <c r="B200" s="75" t="s">
        <v>393</v>
      </c>
      <c r="C200" s="88" t="s">
        <v>394</v>
      </c>
      <c r="D200" s="89" t="s">
        <v>390</v>
      </c>
      <c r="E200" s="92">
        <v>6</v>
      </c>
      <c r="F200" s="91"/>
      <c r="G200" s="91"/>
      <c r="H200" s="91"/>
      <c r="I200" s="79">
        <f>SUM(G200:H200)+'BM 003'!I200</f>
        <v>0</v>
      </c>
      <c r="J200" s="91">
        <f t="shared" si="89"/>
        <v>6</v>
      </c>
      <c r="K200" s="84">
        <v>2190</v>
      </c>
      <c r="L200" s="81">
        <f t="shared" si="83"/>
        <v>2776.0442409000002</v>
      </c>
      <c r="M200" s="82">
        <f t="shared" si="95"/>
        <v>0</v>
      </c>
      <c r="N200" s="82">
        <f t="shared" si="96"/>
        <v>0</v>
      </c>
      <c r="O200" s="82">
        <f>N200+'BM 003'!O200</f>
        <v>0</v>
      </c>
      <c r="P200" s="80">
        <f t="shared" si="97"/>
        <v>13140</v>
      </c>
      <c r="Q200" s="82">
        <f t="shared" si="98"/>
        <v>16656.259999999998</v>
      </c>
      <c r="R200" s="82">
        <f t="shared" si="99"/>
        <v>16656.259999999998</v>
      </c>
    </row>
    <row r="201" spans="2:18" s="34" customFormat="1" ht="46.2">
      <c r="B201" s="75" t="s">
        <v>395</v>
      </c>
      <c r="C201" s="88" t="s">
        <v>396</v>
      </c>
      <c r="D201" s="89" t="s">
        <v>390</v>
      </c>
      <c r="E201" s="92">
        <v>24</v>
      </c>
      <c r="F201" s="91"/>
      <c r="G201" s="91"/>
      <c r="H201" s="91"/>
      <c r="I201" s="79">
        <f>SUM(G201:H201)+'BM 003'!I201</f>
        <v>0</v>
      </c>
      <c r="J201" s="91">
        <f t="shared" si="89"/>
        <v>24</v>
      </c>
      <c r="K201" s="84">
        <v>1950</v>
      </c>
      <c r="L201" s="81">
        <f t="shared" si="83"/>
        <v>2471.8202145</v>
      </c>
      <c r="M201" s="82">
        <f t="shared" si="95"/>
        <v>0</v>
      </c>
      <c r="N201" s="82">
        <f t="shared" si="96"/>
        <v>0</v>
      </c>
      <c r="O201" s="82">
        <f>N201+'BM 003'!O201</f>
        <v>0</v>
      </c>
      <c r="P201" s="80">
        <f t="shared" si="97"/>
        <v>46800</v>
      </c>
      <c r="Q201" s="82">
        <f t="shared" si="98"/>
        <v>59323.68</v>
      </c>
      <c r="R201" s="82">
        <f t="shared" si="99"/>
        <v>59323.68</v>
      </c>
    </row>
    <row r="202" spans="2:18" s="34" customFormat="1" ht="34.799999999999997">
      <c r="B202" s="75" t="s">
        <v>397</v>
      </c>
      <c r="C202" s="88" t="s">
        <v>398</v>
      </c>
      <c r="D202" s="89" t="s">
        <v>79</v>
      </c>
      <c r="E202" s="92">
        <v>17.82</v>
      </c>
      <c r="F202" s="91"/>
      <c r="G202" s="91"/>
      <c r="H202" s="91"/>
      <c r="I202" s="79">
        <f>SUM(G202:H202)+'BM 003'!I202</f>
        <v>0</v>
      </c>
      <c r="J202" s="91">
        <f t="shared" si="89"/>
        <v>17.82</v>
      </c>
      <c r="K202" s="84">
        <v>950</v>
      </c>
      <c r="L202" s="81">
        <f t="shared" si="83"/>
        <v>1204.2201045000002</v>
      </c>
      <c r="M202" s="82">
        <f t="shared" si="95"/>
        <v>0</v>
      </c>
      <c r="N202" s="82">
        <f t="shared" si="96"/>
        <v>0</v>
      </c>
      <c r="O202" s="82">
        <f>N202+'BM 003'!O202</f>
        <v>0</v>
      </c>
      <c r="P202" s="80">
        <f t="shared" si="97"/>
        <v>16929</v>
      </c>
      <c r="Q202" s="82">
        <f t="shared" si="98"/>
        <v>21459.200000000001</v>
      </c>
      <c r="R202" s="82">
        <f t="shared" si="99"/>
        <v>21459.200000000001</v>
      </c>
    </row>
    <row r="203" spans="2:18" s="34" customFormat="1" ht="46.2">
      <c r="B203" s="75" t="s">
        <v>399</v>
      </c>
      <c r="C203" s="88" t="s">
        <v>400</v>
      </c>
      <c r="D203" s="89" t="s">
        <v>63</v>
      </c>
      <c r="E203" s="92">
        <v>18</v>
      </c>
      <c r="F203" s="91"/>
      <c r="G203" s="91"/>
      <c r="H203" s="91"/>
      <c r="I203" s="79">
        <f>SUM(G203:H203)+'BM 003'!I203</f>
        <v>0</v>
      </c>
      <c r="J203" s="91">
        <f t="shared" si="89"/>
        <v>18</v>
      </c>
      <c r="K203" s="84">
        <v>2480</v>
      </c>
      <c r="L203" s="81">
        <f t="shared" si="83"/>
        <v>3143.6482728000001</v>
      </c>
      <c r="M203" s="82">
        <f t="shared" si="95"/>
        <v>0</v>
      </c>
      <c r="N203" s="82">
        <f t="shared" si="96"/>
        <v>0</v>
      </c>
      <c r="O203" s="82">
        <f>N203+'BM 003'!O203</f>
        <v>0</v>
      </c>
      <c r="P203" s="80">
        <f t="shared" si="97"/>
        <v>44640</v>
      </c>
      <c r="Q203" s="82">
        <f t="shared" si="98"/>
        <v>56585.66</v>
      </c>
      <c r="R203" s="82">
        <f t="shared" si="99"/>
        <v>56585.66</v>
      </c>
    </row>
    <row r="204" spans="2:18" s="34" customFormat="1" ht="46.2">
      <c r="B204" s="75" t="s">
        <v>401</v>
      </c>
      <c r="C204" s="88" t="s">
        <v>402</v>
      </c>
      <c r="D204" s="89" t="s">
        <v>63</v>
      </c>
      <c r="E204" s="92">
        <v>47</v>
      </c>
      <c r="F204" s="91"/>
      <c r="G204" s="91"/>
      <c r="H204" s="91"/>
      <c r="I204" s="79">
        <f>SUM(G204:H204)+'BM 003'!I204</f>
        <v>0</v>
      </c>
      <c r="J204" s="91">
        <f t="shared" si="89"/>
        <v>47</v>
      </c>
      <c r="K204" s="84">
        <v>1080</v>
      </c>
      <c r="L204" s="81">
        <f t="shared" si="83"/>
        <v>1369.0081188000001</v>
      </c>
      <c r="M204" s="82">
        <f t="shared" si="95"/>
        <v>0</v>
      </c>
      <c r="N204" s="82">
        <f t="shared" si="96"/>
        <v>0</v>
      </c>
      <c r="O204" s="82">
        <f>N204+'BM 003'!O204</f>
        <v>0</v>
      </c>
      <c r="P204" s="80">
        <f t="shared" si="97"/>
        <v>50760</v>
      </c>
      <c r="Q204" s="82">
        <f t="shared" si="98"/>
        <v>64343.38</v>
      </c>
      <c r="R204" s="82">
        <f t="shared" si="99"/>
        <v>64343.38</v>
      </c>
    </row>
    <row r="205" spans="2:18" s="34" customFormat="1" ht="13.2">
      <c r="B205" s="66" t="s">
        <v>403</v>
      </c>
      <c r="C205" s="67" t="s">
        <v>404</v>
      </c>
      <c r="D205" s="68"/>
      <c r="E205" s="69"/>
      <c r="F205" s="70"/>
      <c r="G205" s="70"/>
      <c r="H205" s="70"/>
      <c r="I205" s="70">
        <f>SUM(G205:H205)+'BM 003'!I205</f>
        <v>0</v>
      </c>
      <c r="J205" s="70">
        <f t="shared" si="89"/>
        <v>0</v>
      </c>
      <c r="K205" s="71"/>
      <c r="L205" s="71">
        <f t="shared" si="83"/>
        <v>0</v>
      </c>
      <c r="M205" s="73">
        <f t="shared" ref="M205:R205" si="100">SUM(M206:M214)</f>
        <v>0</v>
      </c>
      <c r="N205" s="73">
        <f t="shared" si="100"/>
        <v>0</v>
      </c>
      <c r="O205" s="73">
        <f t="shared" si="100"/>
        <v>0</v>
      </c>
      <c r="P205" s="73">
        <f t="shared" si="100"/>
        <v>987536.55</v>
      </c>
      <c r="Q205" s="73">
        <f t="shared" si="100"/>
        <v>1251801.3999999999</v>
      </c>
      <c r="R205" s="73">
        <f t="shared" si="100"/>
        <v>1251801.3999999999</v>
      </c>
    </row>
    <row r="206" spans="2:18" s="34" customFormat="1" ht="46.2">
      <c r="B206" s="87" t="s">
        <v>405</v>
      </c>
      <c r="C206" s="88" t="s">
        <v>406</v>
      </c>
      <c r="D206" s="89" t="s">
        <v>124</v>
      </c>
      <c r="E206" s="92">
        <v>158.59</v>
      </c>
      <c r="F206" s="91"/>
      <c r="G206" s="91"/>
      <c r="H206" s="91"/>
      <c r="I206" s="79">
        <f>SUM(G206:H206)+'BM 003'!I206</f>
        <v>0</v>
      </c>
      <c r="J206" s="91">
        <f t="shared" si="89"/>
        <v>158.59</v>
      </c>
      <c r="K206" s="84">
        <v>415</v>
      </c>
      <c r="L206" s="81">
        <f t="shared" si="83"/>
        <v>526.05404565000003</v>
      </c>
      <c r="M206" s="82">
        <f t="shared" ref="M206:M214" si="101">TRUNC(F206*L206,2)</f>
        <v>0</v>
      </c>
      <c r="N206" s="82">
        <f t="shared" ref="N206:N214" si="102">TRUNC(G206*L206,2)</f>
        <v>0</v>
      </c>
      <c r="O206" s="82">
        <f>N206+'BM 003'!O206</f>
        <v>0</v>
      </c>
      <c r="P206" s="80">
        <f t="shared" ref="P206:P214" si="103">E206*K206</f>
        <v>65814.850000000006</v>
      </c>
      <c r="Q206" s="82">
        <f t="shared" ref="Q206:Q214" si="104">TRUNC(E206*L206,2)</f>
        <v>83426.91</v>
      </c>
      <c r="R206" s="82">
        <f t="shared" ref="R206:R214" si="105">Q206-O206</f>
        <v>83426.91</v>
      </c>
    </row>
    <row r="207" spans="2:18" s="34" customFormat="1" ht="13.2">
      <c r="B207" s="87" t="s">
        <v>407</v>
      </c>
      <c r="C207" s="88" t="s">
        <v>408</v>
      </c>
      <c r="D207" s="89" t="s">
        <v>124</v>
      </c>
      <c r="E207" s="92">
        <v>198.52</v>
      </c>
      <c r="F207" s="91"/>
      <c r="G207" s="91"/>
      <c r="H207" s="91"/>
      <c r="I207" s="79">
        <f>SUM(G207:H207)+'BM 003'!I207</f>
        <v>0</v>
      </c>
      <c r="J207" s="91">
        <f t="shared" si="89"/>
        <v>198.52</v>
      </c>
      <c r="K207" s="84">
        <v>455</v>
      </c>
      <c r="L207" s="81">
        <f t="shared" si="83"/>
        <v>576.75805005000007</v>
      </c>
      <c r="M207" s="82">
        <f t="shared" si="101"/>
        <v>0</v>
      </c>
      <c r="N207" s="82">
        <f t="shared" si="102"/>
        <v>0</v>
      </c>
      <c r="O207" s="82">
        <f>N207+'BM 003'!O207</f>
        <v>0</v>
      </c>
      <c r="P207" s="80">
        <f t="shared" si="103"/>
        <v>90326.6</v>
      </c>
      <c r="Q207" s="82">
        <f t="shared" si="104"/>
        <v>114498</v>
      </c>
      <c r="R207" s="82">
        <f t="shared" si="105"/>
        <v>114498</v>
      </c>
    </row>
    <row r="208" spans="2:18" s="34" customFormat="1" ht="23.4">
      <c r="B208" s="87" t="s">
        <v>409</v>
      </c>
      <c r="C208" s="88" t="s">
        <v>410</v>
      </c>
      <c r="D208" s="89" t="s">
        <v>124</v>
      </c>
      <c r="E208" s="92">
        <v>129.65</v>
      </c>
      <c r="F208" s="91"/>
      <c r="G208" s="91"/>
      <c r="H208" s="91"/>
      <c r="I208" s="79">
        <f>SUM(G208:H208)+'BM 003'!I208</f>
        <v>0</v>
      </c>
      <c r="J208" s="91">
        <f t="shared" si="89"/>
        <v>129.65</v>
      </c>
      <c r="K208" s="84">
        <v>745</v>
      </c>
      <c r="L208" s="81">
        <f t="shared" si="83"/>
        <v>944.36208195000006</v>
      </c>
      <c r="M208" s="82">
        <f t="shared" si="101"/>
        <v>0</v>
      </c>
      <c r="N208" s="82">
        <f t="shared" si="102"/>
        <v>0</v>
      </c>
      <c r="O208" s="82">
        <f>N208+'BM 003'!O208</f>
        <v>0</v>
      </c>
      <c r="P208" s="80">
        <f t="shared" si="103"/>
        <v>96589.25</v>
      </c>
      <c r="Q208" s="82">
        <f t="shared" si="104"/>
        <v>122436.54</v>
      </c>
      <c r="R208" s="82">
        <f t="shared" si="105"/>
        <v>122436.54</v>
      </c>
    </row>
    <row r="209" spans="1:23" s="34" customFormat="1" ht="23.4">
      <c r="B209" s="87" t="s">
        <v>411</v>
      </c>
      <c r="C209" s="88" t="s">
        <v>412</v>
      </c>
      <c r="D209" s="89" t="s">
        <v>124</v>
      </c>
      <c r="E209" s="92">
        <v>98.74</v>
      </c>
      <c r="F209" s="91"/>
      <c r="G209" s="91"/>
      <c r="H209" s="91"/>
      <c r="I209" s="79">
        <f>SUM(G209:H209)+'BM 003'!I209</f>
        <v>0</v>
      </c>
      <c r="J209" s="91">
        <f t="shared" si="89"/>
        <v>98.74</v>
      </c>
      <c r="K209" s="84">
        <v>855</v>
      </c>
      <c r="L209" s="81">
        <f t="shared" si="83"/>
        <v>1083.7980940500001</v>
      </c>
      <c r="M209" s="82">
        <f t="shared" si="101"/>
        <v>0</v>
      </c>
      <c r="N209" s="82">
        <f t="shared" si="102"/>
        <v>0</v>
      </c>
      <c r="O209" s="82">
        <f>N209+'BM 003'!O209</f>
        <v>0</v>
      </c>
      <c r="P209" s="80">
        <f t="shared" si="103"/>
        <v>84422.7</v>
      </c>
      <c r="Q209" s="82">
        <f t="shared" si="104"/>
        <v>107014.22</v>
      </c>
      <c r="R209" s="82">
        <f t="shared" si="105"/>
        <v>107014.22</v>
      </c>
    </row>
    <row r="210" spans="1:23" s="34" customFormat="1" ht="69">
      <c r="B210" s="87" t="s">
        <v>413</v>
      </c>
      <c r="C210" s="88" t="s">
        <v>414</v>
      </c>
      <c r="D210" s="89" t="s">
        <v>82</v>
      </c>
      <c r="E210" s="92">
        <v>12</v>
      </c>
      <c r="F210" s="91"/>
      <c r="G210" s="91"/>
      <c r="H210" s="91"/>
      <c r="I210" s="79">
        <f>SUM(G210:H210)+'BM 003'!I210</f>
        <v>0</v>
      </c>
      <c r="J210" s="91">
        <f t="shared" si="89"/>
        <v>12</v>
      </c>
      <c r="K210" s="84">
        <v>1650</v>
      </c>
      <c r="L210" s="81">
        <f t="shared" si="83"/>
        <v>2091.5401815</v>
      </c>
      <c r="M210" s="82">
        <f t="shared" si="101"/>
        <v>0</v>
      </c>
      <c r="N210" s="82">
        <f t="shared" si="102"/>
        <v>0</v>
      </c>
      <c r="O210" s="82">
        <f>N210+'BM 003'!O210</f>
        <v>0</v>
      </c>
      <c r="P210" s="80">
        <f t="shared" si="103"/>
        <v>19800</v>
      </c>
      <c r="Q210" s="82">
        <f t="shared" si="104"/>
        <v>25098.48</v>
      </c>
      <c r="R210" s="82">
        <f t="shared" si="105"/>
        <v>25098.48</v>
      </c>
    </row>
    <row r="211" spans="1:23" s="34" customFormat="1" ht="13.2">
      <c r="B211" s="87" t="s">
        <v>415</v>
      </c>
      <c r="C211" s="88" t="s">
        <v>416</v>
      </c>
      <c r="D211" s="89" t="s">
        <v>79</v>
      </c>
      <c r="E211" s="92">
        <v>72.650000000000006</v>
      </c>
      <c r="F211" s="91"/>
      <c r="G211" s="91"/>
      <c r="H211" s="91"/>
      <c r="I211" s="79">
        <f>SUM(G211:H211)+'BM 003'!I211</f>
        <v>0</v>
      </c>
      <c r="J211" s="91">
        <f t="shared" si="89"/>
        <v>72.650000000000006</v>
      </c>
      <c r="K211" s="84">
        <v>485</v>
      </c>
      <c r="L211" s="81">
        <f t="shared" si="83"/>
        <v>614.78605334999997</v>
      </c>
      <c r="M211" s="82">
        <f t="shared" si="101"/>
        <v>0</v>
      </c>
      <c r="N211" s="82">
        <f t="shared" si="102"/>
        <v>0</v>
      </c>
      <c r="O211" s="82">
        <f>N211+'BM 003'!O211</f>
        <v>0</v>
      </c>
      <c r="P211" s="80">
        <f t="shared" si="103"/>
        <v>35235.25</v>
      </c>
      <c r="Q211" s="82">
        <f t="shared" si="104"/>
        <v>44664.2</v>
      </c>
      <c r="R211" s="82">
        <f t="shared" si="105"/>
        <v>44664.2</v>
      </c>
    </row>
    <row r="212" spans="1:23" s="34" customFormat="1" ht="23.4">
      <c r="B212" s="87" t="s">
        <v>417</v>
      </c>
      <c r="C212" s="88" t="s">
        <v>418</v>
      </c>
      <c r="D212" s="89" t="s">
        <v>79</v>
      </c>
      <c r="E212" s="92">
        <v>51.22</v>
      </c>
      <c r="F212" s="91"/>
      <c r="G212" s="91"/>
      <c r="H212" s="91"/>
      <c r="I212" s="79">
        <f>SUM(G212:H212)+'BM 003'!I212</f>
        <v>0</v>
      </c>
      <c r="J212" s="91">
        <f t="shared" si="89"/>
        <v>51.22</v>
      </c>
      <c r="K212" s="84">
        <v>1350</v>
      </c>
      <c r="L212" s="81">
        <f t="shared" si="83"/>
        <v>1711.2601485</v>
      </c>
      <c r="M212" s="82">
        <f t="shared" si="101"/>
        <v>0</v>
      </c>
      <c r="N212" s="82">
        <f t="shared" si="102"/>
        <v>0</v>
      </c>
      <c r="O212" s="82">
        <f>N212+'BM 003'!O212</f>
        <v>0</v>
      </c>
      <c r="P212" s="80">
        <f t="shared" si="103"/>
        <v>69147</v>
      </c>
      <c r="Q212" s="82">
        <f t="shared" si="104"/>
        <v>87650.74</v>
      </c>
      <c r="R212" s="82">
        <f t="shared" si="105"/>
        <v>87650.74</v>
      </c>
    </row>
    <row r="213" spans="1:23" s="34" customFormat="1" ht="46.2">
      <c r="B213" s="87" t="s">
        <v>419</v>
      </c>
      <c r="C213" s="88" t="s">
        <v>420</v>
      </c>
      <c r="D213" s="89" t="s">
        <v>79</v>
      </c>
      <c r="E213" s="92">
        <v>98</v>
      </c>
      <c r="F213" s="91"/>
      <c r="G213" s="91"/>
      <c r="H213" s="91"/>
      <c r="I213" s="79">
        <f>SUM(G213:H213)+'BM 003'!I213</f>
        <v>0</v>
      </c>
      <c r="J213" s="91">
        <f t="shared" si="89"/>
        <v>98</v>
      </c>
      <c r="K213" s="84">
        <v>498</v>
      </c>
      <c r="L213" s="81">
        <f t="shared" si="83"/>
        <v>631.26485478000006</v>
      </c>
      <c r="M213" s="82">
        <f t="shared" si="101"/>
        <v>0</v>
      </c>
      <c r="N213" s="82">
        <f t="shared" si="102"/>
        <v>0</v>
      </c>
      <c r="O213" s="82">
        <f>N213+'BM 003'!O213</f>
        <v>0</v>
      </c>
      <c r="P213" s="80">
        <f t="shared" si="103"/>
        <v>48804</v>
      </c>
      <c r="Q213" s="82">
        <f t="shared" si="104"/>
        <v>61863.95</v>
      </c>
      <c r="R213" s="82">
        <f t="shared" si="105"/>
        <v>61863.95</v>
      </c>
    </row>
    <row r="214" spans="1:23" s="107" customFormat="1" ht="34.799999999999997">
      <c r="A214" s="34"/>
      <c r="B214" s="87" t="s">
        <v>421</v>
      </c>
      <c r="C214" s="88" t="s">
        <v>422</v>
      </c>
      <c r="D214" s="89" t="s">
        <v>79</v>
      </c>
      <c r="E214" s="92">
        <v>342.22</v>
      </c>
      <c r="F214" s="91"/>
      <c r="G214" s="91"/>
      <c r="H214" s="91"/>
      <c r="I214" s="79">
        <f>SUM(G214:H214)+'BM 003'!I214</f>
        <v>0</v>
      </c>
      <c r="J214" s="91">
        <f t="shared" si="89"/>
        <v>342.22</v>
      </c>
      <c r="K214" s="84">
        <v>1395</v>
      </c>
      <c r="L214" s="81">
        <f t="shared" si="83"/>
        <v>1768.3021534500001</v>
      </c>
      <c r="M214" s="82">
        <f t="shared" si="101"/>
        <v>0</v>
      </c>
      <c r="N214" s="82">
        <f t="shared" si="102"/>
        <v>0</v>
      </c>
      <c r="O214" s="82">
        <f>N214+'BM 003'!O214</f>
        <v>0</v>
      </c>
      <c r="P214" s="80">
        <f t="shared" si="103"/>
        <v>477396.9</v>
      </c>
      <c r="Q214" s="82">
        <f t="shared" si="104"/>
        <v>605148.36</v>
      </c>
      <c r="R214" s="82">
        <f t="shared" si="105"/>
        <v>605148.36</v>
      </c>
      <c r="S214" s="34"/>
      <c r="T214" s="34"/>
      <c r="U214" s="34"/>
      <c r="V214" s="34"/>
      <c r="W214" s="34"/>
    </row>
    <row r="215" spans="1:23" s="34" customFormat="1" ht="13.2">
      <c r="B215" s="60" t="s">
        <v>423</v>
      </c>
      <c r="C215" s="61" t="s">
        <v>424</v>
      </c>
      <c r="D215" s="60"/>
      <c r="E215" s="62"/>
      <c r="F215" s="63"/>
      <c r="G215" s="63"/>
      <c r="H215" s="63"/>
      <c r="I215" s="63">
        <f>SUM(G215:H215)+'BM 003'!I215</f>
        <v>0</v>
      </c>
      <c r="J215" s="63">
        <f t="shared" si="89"/>
        <v>0</v>
      </c>
      <c r="K215" s="63"/>
      <c r="L215" s="63">
        <f t="shared" si="83"/>
        <v>0</v>
      </c>
      <c r="M215" s="63">
        <f t="shared" ref="M215:R215" si="106">SUM(M216:M221)</f>
        <v>0</v>
      </c>
      <c r="N215" s="63">
        <f t="shared" si="106"/>
        <v>0</v>
      </c>
      <c r="O215" s="63">
        <f t="shared" si="106"/>
        <v>0</v>
      </c>
      <c r="P215" s="63">
        <f t="shared" si="106"/>
        <v>1326910.8099999998</v>
      </c>
      <c r="Q215" s="63">
        <f t="shared" si="106"/>
        <v>1681992.2700000003</v>
      </c>
      <c r="R215" s="63">
        <f t="shared" si="106"/>
        <v>1681992.2700000003</v>
      </c>
    </row>
    <row r="216" spans="1:23" s="34" customFormat="1" ht="23.4">
      <c r="B216" s="87" t="s">
        <v>425</v>
      </c>
      <c r="C216" s="88" t="s">
        <v>426</v>
      </c>
      <c r="D216" s="89" t="s">
        <v>79</v>
      </c>
      <c r="E216" s="90">
        <f>E143+E147</f>
        <v>25549.96</v>
      </c>
      <c r="F216" s="91"/>
      <c r="G216" s="91"/>
      <c r="H216" s="91"/>
      <c r="I216" s="79">
        <f>SUM(G216:H216)+'BM 003'!I216</f>
        <v>0</v>
      </c>
      <c r="J216" s="91">
        <f t="shared" si="89"/>
        <v>25549.96</v>
      </c>
      <c r="K216" s="84">
        <v>16</v>
      </c>
      <c r="L216" s="81">
        <f t="shared" si="83"/>
        <v>20.281601760000001</v>
      </c>
      <c r="M216" s="82">
        <f t="shared" ref="M216:M221" si="107">TRUNC(F216*L216,2)</f>
        <v>0</v>
      </c>
      <c r="N216" s="82">
        <f t="shared" ref="N216:N221" si="108">TRUNC(G216*L216,2)</f>
        <v>0</v>
      </c>
      <c r="O216" s="82">
        <f>N216+'BM 003'!O216</f>
        <v>0</v>
      </c>
      <c r="P216" s="80">
        <f t="shared" ref="P216:P221" si="109">E216*K216</f>
        <v>408799.36</v>
      </c>
      <c r="Q216" s="82">
        <f t="shared" ref="Q216:Q221" si="110">TRUNC(E216*L216,2)</f>
        <v>518194.11</v>
      </c>
      <c r="R216" s="82">
        <f t="shared" ref="R216:R221" si="111">Q216-O216</f>
        <v>518194.11</v>
      </c>
    </row>
    <row r="217" spans="1:23" s="34" customFormat="1" ht="23.4">
      <c r="B217" s="87" t="s">
        <v>427</v>
      </c>
      <c r="C217" s="88" t="s">
        <v>428</v>
      </c>
      <c r="D217" s="89" t="s">
        <v>79</v>
      </c>
      <c r="E217" s="90">
        <f>E171</f>
        <v>3789.02</v>
      </c>
      <c r="F217" s="91"/>
      <c r="G217" s="91"/>
      <c r="H217" s="91"/>
      <c r="I217" s="79">
        <f>SUM(G217:H217)+'BM 003'!I217</f>
        <v>0</v>
      </c>
      <c r="J217" s="91">
        <f t="shared" si="89"/>
        <v>3789.02</v>
      </c>
      <c r="K217" s="84">
        <v>25</v>
      </c>
      <c r="L217" s="81">
        <f t="shared" si="83"/>
        <v>31.690002750000001</v>
      </c>
      <c r="M217" s="82">
        <f t="shared" si="107"/>
        <v>0</v>
      </c>
      <c r="N217" s="82">
        <f t="shared" si="108"/>
        <v>0</v>
      </c>
      <c r="O217" s="82">
        <f>N217+'BM 003'!O217</f>
        <v>0</v>
      </c>
      <c r="P217" s="80">
        <f t="shared" si="109"/>
        <v>94725.5</v>
      </c>
      <c r="Q217" s="82">
        <f t="shared" si="110"/>
        <v>120074.05</v>
      </c>
      <c r="R217" s="82">
        <f t="shared" si="111"/>
        <v>120074.05</v>
      </c>
    </row>
    <row r="218" spans="1:23" s="34" customFormat="1" ht="23.4">
      <c r="B218" s="87" t="s">
        <v>429</v>
      </c>
      <c r="C218" s="88" t="s">
        <v>430</v>
      </c>
      <c r="D218" s="89" t="s">
        <v>79</v>
      </c>
      <c r="E218" s="90">
        <f>E216</f>
        <v>25549.96</v>
      </c>
      <c r="F218" s="91"/>
      <c r="G218" s="91"/>
      <c r="H218" s="91"/>
      <c r="I218" s="79">
        <f>SUM(G218:H218)+'BM 003'!I218</f>
        <v>0</v>
      </c>
      <c r="J218" s="91">
        <f t="shared" si="89"/>
        <v>25549.96</v>
      </c>
      <c r="K218" s="84">
        <v>4.5</v>
      </c>
      <c r="L218" s="81">
        <f t="shared" si="83"/>
        <v>5.7042004950000003</v>
      </c>
      <c r="M218" s="82">
        <f t="shared" si="107"/>
        <v>0</v>
      </c>
      <c r="N218" s="82">
        <f t="shared" si="108"/>
        <v>0</v>
      </c>
      <c r="O218" s="82">
        <f>N218+'BM 003'!O218</f>
        <v>0</v>
      </c>
      <c r="P218" s="80">
        <f t="shared" si="109"/>
        <v>114974.81999999999</v>
      </c>
      <c r="Q218" s="82">
        <f t="shared" si="110"/>
        <v>145742.09</v>
      </c>
      <c r="R218" s="82">
        <f t="shared" si="111"/>
        <v>145742.09</v>
      </c>
    </row>
    <row r="219" spans="1:23" s="34" customFormat="1" ht="23.4">
      <c r="B219" s="87" t="s">
        <v>431</v>
      </c>
      <c r="C219" s="88" t="s">
        <v>432</v>
      </c>
      <c r="D219" s="89" t="s">
        <v>79</v>
      </c>
      <c r="E219" s="90">
        <f>E217</f>
        <v>3789.02</v>
      </c>
      <c r="F219" s="91"/>
      <c r="G219" s="91"/>
      <c r="H219" s="91"/>
      <c r="I219" s="79">
        <f>SUM(G219:H219)+'BM 003'!I219</f>
        <v>0</v>
      </c>
      <c r="J219" s="91">
        <f t="shared" si="89"/>
        <v>3789.02</v>
      </c>
      <c r="K219" s="84">
        <v>5</v>
      </c>
      <c r="L219" s="81">
        <f t="shared" si="83"/>
        <v>6.3380005500000003</v>
      </c>
      <c r="M219" s="82">
        <f t="shared" si="107"/>
        <v>0</v>
      </c>
      <c r="N219" s="82">
        <f t="shared" si="108"/>
        <v>0</v>
      </c>
      <c r="O219" s="82">
        <f>N219+'BM 003'!O219</f>
        <v>0</v>
      </c>
      <c r="P219" s="80">
        <f t="shared" si="109"/>
        <v>18945.099999999999</v>
      </c>
      <c r="Q219" s="82">
        <f t="shared" si="110"/>
        <v>24014.81</v>
      </c>
      <c r="R219" s="82">
        <f t="shared" si="111"/>
        <v>24014.81</v>
      </c>
    </row>
    <row r="220" spans="1:23" s="34" customFormat="1" ht="23.4">
      <c r="B220" s="87" t="s">
        <v>433</v>
      </c>
      <c r="C220" s="88" t="s">
        <v>434</v>
      </c>
      <c r="D220" s="89" t="s">
        <v>79</v>
      </c>
      <c r="E220" s="90">
        <f>E216</f>
        <v>25549.96</v>
      </c>
      <c r="F220" s="91"/>
      <c r="G220" s="91"/>
      <c r="H220" s="91"/>
      <c r="I220" s="79">
        <f>SUM(G220:H220)+'BM 003'!I220</f>
        <v>0</v>
      </c>
      <c r="J220" s="91">
        <f t="shared" si="89"/>
        <v>25549.96</v>
      </c>
      <c r="K220" s="84">
        <v>23.5</v>
      </c>
      <c r="L220" s="81">
        <f t="shared" si="83"/>
        <v>29.788602585</v>
      </c>
      <c r="M220" s="82">
        <f t="shared" si="107"/>
        <v>0</v>
      </c>
      <c r="N220" s="82">
        <f t="shared" si="108"/>
        <v>0</v>
      </c>
      <c r="O220" s="82">
        <f>N220+'BM 003'!O220</f>
        <v>0</v>
      </c>
      <c r="P220" s="80">
        <f t="shared" si="109"/>
        <v>600424.05999999994</v>
      </c>
      <c r="Q220" s="82">
        <f t="shared" si="110"/>
        <v>761097.6</v>
      </c>
      <c r="R220" s="82">
        <f t="shared" si="111"/>
        <v>761097.6</v>
      </c>
    </row>
    <row r="221" spans="1:23" s="34" customFormat="1" ht="23.4">
      <c r="B221" s="87" t="s">
        <v>435</v>
      </c>
      <c r="C221" s="88" t="s">
        <v>436</v>
      </c>
      <c r="D221" s="89" t="s">
        <v>79</v>
      </c>
      <c r="E221" s="90">
        <f>E219</f>
        <v>3789.02</v>
      </c>
      <c r="F221" s="91"/>
      <c r="G221" s="91"/>
      <c r="H221" s="91"/>
      <c r="I221" s="79">
        <f>SUM(G221:H221)+'BM 003'!I221</f>
        <v>0</v>
      </c>
      <c r="J221" s="91">
        <f t="shared" si="89"/>
        <v>3789.02</v>
      </c>
      <c r="K221" s="84">
        <v>23.5</v>
      </c>
      <c r="L221" s="81">
        <f t="shared" ref="L221:L284" si="112">K221*(1+$T$26)</f>
        <v>29.788602585</v>
      </c>
      <c r="M221" s="82">
        <f t="shared" si="107"/>
        <v>0</v>
      </c>
      <c r="N221" s="82">
        <f t="shared" si="108"/>
        <v>0</v>
      </c>
      <c r="O221" s="82">
        <f>N221+'BM 003'!O221</f>
        <v>0</v>
      </c>
      <c r="P221" s="80">
        <f t="shared" si="109"/>
        <v>89041.97</v>
      </c>
      <c r="Q221" s="82">
        <f t="shared" si="110"/>
        <v>112869.61</v>
      </c>
      <c r="R221" s="82">
        <f t="shared" si="111"/>
        <v>112869.61</v>
      </c>
    </row>
    <row r="222" spans="1:23" s="34" customFormat="1" ht="13.2">
      <c r="A222" s="107"/>
      <c r="B222" s="60" t="s">
        <v>437</v>
      </c>
      <c r="C222" s="61" t="s">
        <v>438</v>
      </c>
      <c r="D222" s="60"/>
      <c r="E222" s="62"/>
      <c r="F222" s="63"/>
      <c r="G222" s="63"/>
      <c r="H222" s="63"/>
      <c r="I222" s="63">
        <f>SUM(G222:H222)+'BM 003'!I222</f>
        <v>0</v>
      </c>
      <c r="J222" s="63">
        <f t="shared" si="89"/>
        <v>0</v>
      </c>
      <c r="K222" s="63"/>
      <c r="L222" s="63">
        <f t="shared" si="112"/>
        <v>0</v>
      </c>
      <c r="M222" s="63">
        <f t="shared" ref="M222:R222" si="113">SUM(M223:M224)</f>
        <v>0</v>
      </c>
      <c r="N222" s="63">
        <f t="shared" si="113"/>
        <v>0</v>
      </c>
      <c r="O222" s="63">
        <f t="shared" si="113"/>
        <v>0</v>
      </c>
      <c r="P222" s="63">
        <f t="shared" si="113"/>
        <v>13739.5</v>
      </c>
      <c r="Q222" s="63">
        <f t="shared" si="113"/>
        <v>17416.18</v>
      </c>
      <c r="R222" s="63">
        <f t="shared" si="113"/>
        <v>17416.18</v>
      </c>
      <c r="S222" s="107"/>
      <c r="T222" s="107"/>
      <c r="U222" s="107"/>
      <c r="V222" s="107"/>
      <c r="W222" s="107"/>
    </row>
    <row r="223" spans="1:23" s="34" customFormat="1" ht="13.2">
      <c r="B223" s="87" t="s">
        <v>439</v>
      </c>
      <c r="C223" s="88" t="s">
        <v>440</v>
      </c>
      <c r="D223" s="89" t="s">
        <v>124</v>
      </c>
      <c r="E223" s="90">
        <v>199.3</v>
      </c>
      <c r="F223" s="91"/>
      <c r="G223" s="91"/>
      <c r="H223" s="91"/>
      <c r="I223" s="79">
        <f>SUM(G223:H223)+'BM 003'!I223</f>
        <v>0</v>
      </c>
      <c r="J223" s="91">
        <f t="shared" ref="J223:J286" si="114">E223-I223</f>
        <v>199.3</v>
      </c>
      <c r="K223" s="84">
        <v>25</v>
      </c>
      <c r="L223" s="81">
        <f t="shared" si="112"/>
        <v>31.690002750000001</v>
      </c>
      <c r="M223" s="82">
        <f>TRUNC(F223*L223,2)</f>
        <v>0</v>
      </c>
      <c r="N223" s="82">
        <f>TRUNC(G223*L223,2)</f>
        <v>0</v>
      </c>
      <c r="O223" s="82">
        <f>N223+'BM 003'!O223</f>
        <v>0</v>
      </c>
      <c r="P223" s="80">
        <f>E223*K223</f>
        <v>4982.5</v>
      </c>
      <c r="Q223" s="82">
        <f>TRUNC(E223*L223,2)</f>
        <v>6315.81</v>
      </c>
      <c r="R223" s="82">
        <f>Q223-O223</f>
        <v>6315.81</v>
      </c>
    </row>
    <row r="224" spans="1:23" s="34" customFormat="1" ht="23.4">
      <c r="B224" s="87" t="s">
        <v>441</v>
      </c>
      <c r="C224" s="88" t="s">
        <v>442</v>
      </c>
      <c r="D224" s="89" t="s">
        <v>124</v>
      </c>
      <c r="E224" s="92">
        <v>250.2</v>
      </c>
      <c r="F224" s="91"/>
      <c r="G224" s="91"/>
      <c r="H224" s="91"/>
      <c r="I224" s="79">
        <f>SUM(G224:H224)+'BM 003'!I224</f>
        <v>0</v>
      </c>
      <c r="J224" s="91">
        <f t="shared" si="114"/>
        <v>250.2</v>
      </c>
      <c r="K224" s="84">
        <v>35</v>
      </c>
      <c r="L224" s="81">
        <f t="shared" si="112"/>
        <v>44.366003849999998</v>
      </c>
      <c r="M224" s="82">
        <f>TRUNC(F224*L224,2)</f>
        <v>0</v>
      </c>
      <c r="N224" s="82">
        <f>TRUNC(G224*L224,2)</f>
        <v>0</v>
      </c>
      <c r="O224" s="82">
        <f>N224+'BM 003'!O224</f>
        <v>0</v>
      </c>
      <c r="P224" s="80">
        <f>E224*K224</f>
        <v>8757</v>
      </c>
      <c r="Q224" s="82">
        <f>TRUNC(E224*L224,2)</f>
        <v>11100.37</v>
      </c>
      <c r="R224" s="82">
        <f>Q224-O224</f>
        <v>11100.37</v>
      </c>
    </row>
    <row r="225" spans="2:20" s="34" customFormat="1" ht="13.2">
      <c r="B225" s="60" t="s">
        <v>443</v>
      </c>
      <c r="C225" s="61" t="s">
        <v>444</v>
      </c>
      <c r="D225" s="60"/>
      <c r="E225" s="62"/>
      <c r="F225" s="63"/>
      <c r="G225" s="63"/>
      <c r="H225" s="63"/>
      <c r="I225" s="63">
        <f>SUM(G225:H225)+'BM 003'!I225</f>
        <v>0</v>
      </c>
      <c r="J225" s="63">
        <f t="shared" si="114"/>
        <v>0</v>
      </c>
      <c r="K225" s="63"/>
      <c r="L225" s="63">
        <f t="shared" si="112"/>
        <v>0</v>
      </c>
      <c r="M225" s="63">
        <f t="shared" ref="M225:R225" si="115">SUM(M226,M240,M255,M291,M296,M307,M315)</f>
        <v>0</v>
      </c>
      <c r="N225" s="63">
        <f t="shared" si="115"/>
        <v>0</v>
      </c>
      <c r="O225" s="63">
        <f t="shared" si="115"/>
        <v>0</v>
      </c>
      <c r="P225" s="63">
        <f t="shared" si="115"/>
        <v>679789.94300000009</v>
      </c>
      <c r="Q225" s="63">
        <f t="shared" si="115"/>
        <v>861701.45999999985</v>
      </c>
      <c r="R225" s="63">
        <f t="shared" si="115"/>
        <v>861701.45999999985</v>
      </c>
    </row>
    <row r="226" spans="2:20" s="34" customFormat="1" ht="24">
      <c r="B226" s="66" t="s">
        <v>445</v>
      </c>
      <c r="C226" s="67" t="s">
        <v>446</v>
      </c>
      <c r="D226" s="68"/>
      <c r="E226" s="69"/>
      <c r="F226" s="70"/>
      <c r="G226" s="70"/>
      <c r="H226" s="70"/>
      <c r="I226" s="70">
        <f>SUM(G226:H226)+'BM 003'!I226</f>
        <v>0</v>
      </c>
      <c r="J226" s="70">
        <f t="shared" si="114"/>
        <v>0</v>
      </c>
      <c r="K226" s="71"/>
      <c r="L226" s="71">
        <f t="shared" si="112"/>
        <v>0</v>
      </c>
      <c r="M226" s="73">
        <f t="shared" ref="M226:R226" si="116">SUM(M227:M239)</f>
        <v>0</v>
      </c>
      <c r="N226" s="73">
        <f t="shared" si="116"/>
        <v>0</v>
      </c>
      <c r="O226" s="73">
        <f t="shared" si="116"/>
        <v>0</v>
      </c>
      <c r="P226" s="73">
        <f t="shared" si="116"/>
        <v>135121.34</v>
      </c>
      <c r="Q226" s="73">
        <f t="shared" si="116"/>
        <v>171279.75999999998</v>
      </c>
      <c r="R226" s="73">
        <f t="shared" si="116"/>
        <v>171279.75999999998</v>
      </c>
    </row>
    <row r="227" spans="2:20" s="34" customFormat="1" ht="23.4">
      <c r="B227" s="87" t="s">
        <v>447</v>
      </c>
      <c r="C227" s="88" t="s">
        <v>448</v>
      </c>
      <c r="D227" s="89" t="s">
        <v>82</v>
      </c>
      <c r="E227" s="90">
        <v>787.32</v>
      </c>
      <c r="F227" s="91"/>
      <c r="G227" s="91"/>
      <c r="H227" s="91"/>
      <c r="I227" s="91">
        <f>SUM(G227:H227)+'BM 003'!I227</f>
        <v>0</v>
      </c>
      <c r="J227" s="91">
        <f t="shared" si="114"/>
        <v>787.32</v>
      </c>
      <c r="K227" s="80">
        <v>70</v>
      </c>
      <c r="L227" s="81">
        <f t="shared" si="112"/>
        <v>88.732007699999997</v>
      </c>
      <c r="M227" s="82">
        <f t="shared" ref="M227:M239" si="117">TRUNC(F227*L227,2)</f>
        <v>0</v>
      </c>
      <c r="N227" s="82">
        <f t="shared" ref="N227:N239" si="118">TRUNC(G227*L227,2)</f>
        <v>0</v>
      </c>
      <c r="O227" s="82">
        <f>N227+'BM 003'!O227</f>
        <v>0</v>
      </c>
      <c r="P227" s="80">
        <f t="shared" ref="P227:P239" si="119">E227*K227</f>
        <v>55112.4</v>
      </c>
      <c r="Q227" s="82">
        <f t="shared" ref="Q227:Q239" si="120">TRUNC(E227*L227,2)</f>
        <v>69860.479999999996</v>
      </c>
      <c r="R227" s="82">
        <f t="shared" ref="R227:R239" si="121">Q227-O227</f>
        <v>69860.479999999996</v>
      </c>
    </row>
    <row r="228" spans="2:20" s="34" customFormat="1" ht="23.4">
      <c r="B228" s="87" t="s">
        <v>449</v>
      </c>
      <c r="C228" s="88" t="s">
        <v>450</v>
      </c>
      <c r="D228" s="89" t="s">
        <v>39</v>
      </c>
      <c r="E228" s="90">
        <v>30</v>
      </c>
      <c r="F228" s="91"/>
      <c r="G228" s="91"/>
      <c r="H228" s="91"/>
      <c r="I228" s="91">
        <f>SUM(G228:H228)+'BM 003'!I228</f>
        <v>0</v>
      </c>
      <c r="J228" s="91">
        <f t="shared" si="114"/>
        <v>30</v>
      </c>
      <c r="K228" s="80">
        <v>49.5</v>
      </c>
      <c r="L228" s="81">
        <f t="shared" si="112"/>
        <v>62.746205445000001</v>
      </c>
      <c r="M228" s="82">
        <f t="shared" si="117"/>
        <v>0</v>
      </c>
      <c r="N228" s="82">
        <f t="shared" si="118"/>
        <v>0</v>
      </c>
      <c r="O228" s="82">
        <f>N228+'BM 003'!O228</f>
        <v>0</v>
      </c>
      <c r="P228" s="80">
        <f t="shared" si="119"/>
        <v>1485</v>
      </c>
      <c r="Q228" s="82">
        <f t="shared" si="120"/>
        <v>1882.38</v>
      </c>
      <c r="R228" s="82">
        <f t="shared" si="121"/>
        <v>1882.38</v>
      </c>
    </row>
    <row r="229" spans="2:20" s="34" customFormat="1" ht="23.4">
      <c r="B229" s="87" t="s">
        <v>451</v>
      </c>
      <c r="C229" s="88" t="s">
        <v>452</v>
      </c>
      <c r="D229" s="89" t="s">
        <v>39</v>
      </c>
      <c r="E229" s="90">
        <v>38</v>
      </c>
      <c r="F229" s="91"/>
      <c r="G229" s="91"/>
      <c r="H229" s="91"/>
      <c r="I229" s="91">
        <f>SUM(G229:H229)+'BM 003'!I229</f>
        <v>0</v>
      </c>
      <c r="J229" s="91">
        <f t="shared" si="114"/>
        <v>38</v>
      </c>
      <c r="K229" s="80">
        <v>43.8</v>
      </c>
      <c r="L229" s="81">
        <f t="shared" si="112"/>
        <v>55.520884817999999</v>
      </c>
      <c r="M229" s="82">
        <f t="shared" si="117"/>
        <v>0</v>
      </c>
      <c r="N229" s="82">
        <f t="shared" si="118"/>
        <v>0</v>
      </c>
      <c r="O229" s="82">
        <f>N229+'BM 003'!O229</f>
        <v>0</v>
      </c>
      <c r="P229" s="80">
        <f t="shared" si="119"/>
        <v>1664.3999999999999</v>
      </c>
      <c r="Q229" s="82">
        <f t="shared" si="120"/>
        <v>2109.79</v>
      </c>
      <c r="R229" s="82">
        <f t="shared" si="121"/>
        <v>2109.79</v>
      </c>
    </row>
    <row r="230" spans="2:20" s="34" customFormat="1" ht="23.4">
      <c r="B230" s="87" t="s">
        <v>453</v>
      </c>
      <c r="C230" s="88" t="s">
        <v>454</v>
      </c>
      <c r="D230" s="89" t="s">
        <v>39</v>
      </c>
      <c r="E230" s="90">
        <v>24</v>
      </c>
      <c r="F230" s="91"/>
      <c r="G230" s="91"/>
      <c r="H230" s="91"/>
      <c r="I230" s="91">
        <f>SUM(G230:H230)+'BM 003'!I230</f>
        <v>0</v>
      </c>
      <c r="J230" s="91">
        <f t="shared" si="114"/>
        <v>24</v>
      </c>
      <c r="K230" s="80">
        <v>40</v>
      </c>
      <c r="L230" s="81">
        <f t="shared" si="112"/>
        <v>50.704004400000002</v>
      </c>
      <c r="M230" s="82">
        <f t="shared" si="117"/>
        <v>0</v>
      </c>
      <c r="N230" s="82">
        <f t="shared" si="118"/>
        <v>0</v>
      </c>
      <c r="O230" s="82">
        <f>N230+'BM 003'!O230</f>
        <v>0</v>
      </c>
      <c r="P230" s="80">
        <f t="shared" si="119"/>
        <v>960</v>
      </c>
      <c r="Q230" s="82">
        <f t="shared" si="120"/>
        <v>1216.8900000000001</v>
      </c>
      <c r="R230" s="82">
        <f t="shared" si="121"/>
        <v>1216.8900000000001</v>
      </c>
    </row>
    <row r="231" spans="2:20" s="34" customFormat="1" ht="23.4">
      <c r="B231" s="87" t="s">
        <v>455</v>
      </c>
      <c r="C231" s="88" t="s">
        <v>456</v>
      </c>
      <c r="D231" s="89" t="s">
        <v>39</v>
      </c>
      <c r="E231" s="90">
        <v>30</v>
      </c>
      <c r="F231" s="91"/>
      <c r="G231" s="91"/>
      <c r="H231" s="91"/>
      <c r="I231" s="91">
        <f>SUM(G231:H231)+'BM 003'!I231</f>
        <v>0</v>
      </c>
      <c r="J231" s="91">
        <f t="shared" si="114"/>
        <v>30</v>
      </c>
      <c r="K231" s="80">
        <v>50</v>
      </c>
      <c r="L231" s="81">
        <f t="shared" si="112"/>
        <v>63.380005500000003</v>
      </c>
      <c r="M231" s="82">
        <f t="shared" si="117"/>
        <v>0</v>
      </c>
      <c r="N231" s="82">
        <f t="shared" si="118"/>
        <v>0</v>
      </c>
      <c r="O231" s="82">
        <f>N231+'BM 003'!O231</f>
        <v>0</v>
      </c>
      <c r="P231" s="80">
        <f t="shared" si="119"/>
        <v>1500</v>
      </c>
      <c r="Q231" s="82">
        <f t="shared" si="120"/>
        <v>1901.4</v>
      </c>
      <c r="R231" s="82">
        <f t="shared" si="121"/>
        <v>1901.4</v>
      </c>
    </row>
    <row r="232" spans="2:20" s="34" customFormat="1" ht="23.4">
      <c r="B232" s="87" t="s">
        <v>457</v>
      </c>
      <c r="C232" s="88" t="s">
        <v>458</v>
      </c>
      <c r="D232" s="89" t="s">
        <v>39</v>
      </c>
      <c r="E232" s="90">
        <v>400</v>
      </c>
      <c r="F232" s="91"/>
      <c r="G232" s="91"/>
      <c r="H232" s="91"/>
      <c r="I232" s="91">
        <f>SUM(G232:H232)+'BM 003'!I232</f>
        <v>0</v>
      </c>
      <c r="J232" s="91">
        <f t="shared" si="114"/>
        <v>400</v>
      </c>
      <c r="K232" s="80">
        <v>9.7100000000000009</v>
      </c>
      <c r="L232" s="81">
        <f t="shared" si="112"/>
        <v>12.308397068100001</v>
      </c>
      <c r="M232" s="82">
        <f t="shared" si="117"/>
        <v>0</v>
      </c>
      <c r="N232" s="82">
        <f t="shared" si="118"/>
        <v>0</v>
      </c>
      <c r="O232" s="82">
        <f>N232+'BM 003'!O232</f>
        <v>0</v>
      </c>
      <c r="P232" s="80">
        <f t="shared" si="119"/>
        <v>3884.0000000000005</v>
      </c>
      <c r="Q232" s="82">
        <f t="shared" si="120"/>
        <v>4923.3500000000004</v>
      </c>
      <c r="R232" s="82">
        <f t="shared" si="121"/>
        <v>4923.3500000000004</v>
      </c>
    </row>
    <row r="233" spans="2:20" s="34" customFormat="1" ht="34.799999999999997">
      <c r="B233" s="87" t="s">
        <v>459</v>
      </c>
      <c r="C233" s="88" t="s">
        <v>460</v>
      </c>
      <c r="D233" s="89" t="s">
        <v>82</v>
      </c>
      <c r="E233" s="90">
        <v>53.61</v>
      </c>
      <c r="F233" s="91"/>
      <c r="G233" s="91"/>
      <c r="H233" s="91"/>
      <c r="I233" s="91">
        <f>SUM(G233:H233)+'BM 003'!I233</f>
        <v>0</v>
      </c>
      <c r="J233" s="91">
        <f t="shared" si="114"/>
        <v>53.61</v>
      </c>
      <c r="K233" s="80">
        <v>95</v>
      </c>
      <c r="L233" s="81">
        <f t="shared" si="112"/>
        <v>120.42201045</v>
      </c>
      <c r="M233" s="82">
        <f t="shared" si="117"/>
        <v>0</v>
      </c>
      <c r="N233" s="82">
        <f t="shared" si="118"/>
        <v>0</v>
      </c>
      <c r="O233" s="82">
        <f>N233+'BM 003'!O233</f>
        <v>0</v>
      </c>
      <c r="P233" s="80">
        <f t="shared" si="119"/>
        <v>5092.95</v>
      </c>
      <c r="Q233" s="82">
        <f t="shared" si="120"/>
        <v>6455.82</v>
      </c>
      <c r="R233" s="82">
        <f t="shared" si="121"/>
        <v>6455.82</v>
      </c>
    </row>
    <row r="234" spans="2:20" s="34" customFormat="1" ht="46.2">
      <c r="B234" s="87" t="s">
        <v>461</v>
      </c>
      <c r="C234" s="88" t="s">
        <v>462</v>
      </c>
      <c r="D234" s="89" t="s">
        <v>82</v>
      </c>
      <c r="E234" s="90">
        <v>91.42</v>
      </c>
      <c r="F234" s="91"/>
      <c r="G234" s="91"/>
      <c r="H234" s="91"/>
      <c r="I234" s="91">
        <f>SUM(G234:H234)+'BM 003'!I234</f>
        <v>0</v>
      </c>
      <c r="J234" s="91">
        <f t="shared" si="114"/>
        <v>91.42</v>
      </c>
      <c r="K234" s="80">
        <v>15</v>
      </c>
      <c r="L234" s="81">
        <f t="shared" si="112"/>
        <v>19.014001650000001</v>
      </c>
      <c r="M234" s="82">
        <f t="shared" si="117"/>
        <v>0</v>
      </c>
      <c r="N234" s="82">
        <f t="shared" si="118"/>
        <v>0</v>
      </c>
      <c r="O234" s="82">
        <f>N234+'BM 003'!O234</f>
        <v>0</v>
      </c>
      <c r="P234" s="80">
        <f t="shared" si="119"/>
        <v>1371.3</v>
      </c>
      <c r="Q234" s="82">
        <f t="shared" si="120"/>
        <v>1738.26</v>
      </c>
      <c r="R234" s="82">
        <f t="shared" si="121"/>
        <v>1738.26</v>
      </c>
    </row>
    <row r="235" spans="2:20" s="34" customFormat="1" ht="46.2">
      <c r="B235" s="87" t="s">
        <v>463</v>
      </c>
      <c r="C235" s="88" t="s">
        <v>464</v>
      </c>
      <c r="D235" s="89" t="s">
        <v>82</v>
      </c>
      <c r="E235" s="90">
        <v>8549.7900000000009</v>
      </c>
      <c r="F235" s="91"/>
      <c r="G235" s="91"/>
      <c r="H235" s="91"/>
      <c r="I235" s="91">
        <f>SUM(G235:H235)+'BM 003'!I235</f>
        <v>0</v>
      </c>
      <c r="J235" s="91">
        <f t="shared" si="114"/>
        <v>8549.7900000000009</v>
      </c>
      <c r="K235" s="80">
        <v>6</v>
      </c>
      <c r="L235" s="81">
        <f t="shared" si="112"/>
        <v>7.6056006600000003</v>
      </c>
      <c r="M235" s="82">
        <f t="shared" si="117"/>
        <v>0</v>
      </c>
      <c r="N235" s="82">
        <f t="shared" si="118"/>
        <v>0</v>
      </c>
      <c r="O235" s="82">
        <f>N235+'BM 003'!O235</f>
        <v>0</v>
      </c>
      <c r="P235" s="80">
        <f t="shared" si="119"/>
        <v>51298.740000000005</v>
      </c>
      <c r="Q235" s="82">
        <f t="shared" si="120"/>
        <v>65026.28</v>
      </c>
      <c r="R235" s="82">
        <f t="shared" si="121"/>
        <v>65026.28</v>
      </c>
    </row>
    <row r="236" spans="2:20" s="34" customFormat="1" ht="46.2">
      <c r="B236" s="87" t="s">
        <v>465</v>
      </c>
      <c r="C236" s="88" t="s">
        <v>466</v>
      </c>
      <c r="D236" s="89" t="s">
        <v>82</v>
      </c>
      <c r="E236" s="90">
        <v>98.51</v>
      </c>
      <c r="F236" s="91"/>
      <c r="G236" s="91"/>
      <c r="H236" s="91"/>
      <c r="I236" s="91">
        <f>SUM(G236:H236)+'BM 003'!I236</f>
        <v>0</v>
      </c>
      <c r="J236" s="91">
        <f t="shared" si="114"/>
        <v>98.51</v>
      </c>
      <c r="K236" s="80">
        <v>20</v>
      </c>
      <c r="L236" s="81">
        <f t="shared" si="112"/>
        <v>25.352002200000001</v>
      </c>
      <c r="M236" s="82">
        <f t="shared" si="117"/>
        <v>0</v>
      </c>
      <c r="N236" s="82">
        <f t="shared" si="118"/>
        <v>0</v>
      </c>
      <c r="O236" s="82">
        <f>N236+'BM 003'!O236</f>
        <v>0</v>
      </c>
      <c r="P236" s="80">
        <f t="shared" si="119"/>
        <v>1970.2</v>
      </c>
      <c r="Q236" s="82">
        <f t="shared" si="120"/>
        <v>2497.42</v>
      </c>
      <c r="R236" s="82">
        <f t="shared" si="121"/>
        <v>2497.42</v>
      </c>
      <c r="T236" s="83"/>
    </row>
    <row r="237" spans="2:20" s="34" customFormat="1" ht="23.4">
      <c r="B237" s="87" t="s">
        <v>467</v>
      </c>
      <c r="C237" s="88" t="s">
        <v>468</v>
      </c>
      <c r="D237" s="89" t="s">
        <v>39</v>
      </c>
      <c r="E237" s="90">
        <v>836</v>
      </c>
      <c r="F237" s="91"/>
      <c r="G237" s="91"/>
      <c r="H237" s="91"/>
      <c r="I237" s="91">
        <f>SUM(G237:H237)+'BM 003'!I237</f>
        <v>0</v>
      </c>
      <c r="J237" s="91">
        <f t="shared" si="114"/>
        <v>836</v>
      </c>
      <c r="K237" s="80">
        <v>8</v>
      </c>
      <c r="L237" s="81">
        <f t="shared" si="112"/>
        <v>10.14080088</v>
      </c>
      <c r="M237" s="82">
        <f t="shared" si="117"/>
        <v>0</v>
      </c>
      <c r="N237" s="82">
        <f t="shared" si="118"/>
        <v>0</v>
      </c>
      <c r="O237" s="82">
        <f>N237+'BM 003'!O237</f>
        <v>0</v>
      </c>
      <c r="P237" s="80">
        <f t="shared" si="119"/>
        <v>6688</v>
      </c>
      <c r="Q237" s="82">
        <f t="shared" si="120"/>
        <v>8477.7000000000007</v>
      </c>
      <c r="R237" s="82">
        <f t="shared" si="121"/>
        <v>8477.7000000000007</v>
      </c>
      <c r="T237" s="83"/>
    </row>
    <row r="238" spans="2:20" s="34" customFormat="1" ht="34.799999999999997">
      <c r="B238" s="87" t="s">
        <v>469</v>
      </c>
      <c r="C238" s="88" t="s">
        <v>470</v>
      </c>
      <c r="D238" s="89" t="s">
        <v>39</v>
      </c>
      <c r="E238" s="90">
        <v>1359</v>
      </c>
      <c r="F238" s="91"/>
      <c r="G238" s="91"/>
      <c r="H238" s="91"/>
      <c r="I238" s="91">
        <f>SUM(G238:H238)+'BM 003'!I238</f>
        <v>0</v>
      </c>
      <c r="J238" s="91">
        <f t="shared" si="114"/>
        <v>1359</v>
      </c>
      <c r="K238" s="80">
        <v>3</v>
      </c>
      <c r="L238" s="81">
        <f t="shared" si="112"/>
        <v>3.8028003300000002</v>
      </c>
      <c r="M238" s="82">
        <f t="shared" si="117"/>
        <v>0</v>
      </c>
      <c r="N238" s="82">
        <f t="shared" si="118"/>
        <v>0</v>
      </c>
      <c r="O238" s="82">
        <f>N238+'BM 003'!O238</f>
        <v>0</v>
      </c>
      <c r="P238" s="80">
        <f t="shared" si="119"/>
        <v>4077</v>
      </c>
      <c r="Q238" s="82">
        <f t="shared" si="120"/>
        <v>5168</v>
      </c>
      <c r="R238" s="82">
        <f t="shared" si="121"/>
        <v>5168</v>
      </c>
      <c r="T238" s="83"/>
    </row>
    <row r="239" spans="2:20" s="34" customFormat="1" ht="34.799999999999997">
      <c r="B239" s="87" t="s">
        <v>471</v>
      </c>
      <c r="C239" s="88" t="s">
        <v>472</v>
      </c>
      <c r="D239" s="89" t="s">
        <v>39</v>
      </c>
      <c r="E239" s="90">
        <v>5</v>
      </c>
      <c r="F239" s="91"/>
      <c r="G239" s="91"/>
      <c r="H239" s="91"/>
      <c r="I239" s="91">
        <f>SUM(G239:H239)+'BM 003'!I239</f>
        <v>0</v>
      </c>
      <c r="J239" s="91">
        <f t="shared" si="114"/>
        <v>5</v>
      </c>
      <c r="K239" s="80">
        <v>3.47</v>
      </c>
      <c r="L239" s="81">
        <f t="shared" si="112"/>
        <v>4.3985723817000002</v>
      </c>
      <c r="M239" s="82">
        <f t="shared" si="117"/>
        <v>0</v>
      </c>
      <c r="N239" s="82">
        <f t="shared" si="118"/>
        <v>0</v>
      </c>
      <c r="O239" s="82">
        <f>N239+'BM 003'!O239</f>
        <v>0</v>
      </c>
      <c r="P239" s="80">
        <f t="shared" si="119"/>
        <v>17.350000000000001</v>
      </c>
      <c r="Q239" s="82">
        <f t="shared" si="120"/>
        <v>21.99</v>
      </c>
      <c r="R239" s="82">
        <f t="shared" si="121"/>
        <v>21.99</v>
      </c>
      <c r="T239" s="83"/>
    </row>
    <row r="240" spans="2:20" s="34" customFormat="1" ht="13.2">
      <c r="B240" s="66" t="s">
        <v>473</v>
      </c>
      <c r="C240" s="67" t="s">
        <v>474</v>
      </c>
      <c r="D240" s="68"/>
      <c r="E240" s="69"/>
      <c r="F240" s="70"/>
      <c r="G240" s="70"/>
      <c r="H240" s="70"/>
      <c r="I240" s="70">
        <f>SUM(G240:H240)+'BM 003'!I240</f>
        <v>0</v>
      </c>
      <c r="J240" s="70">
        <f t="shared" si="114"/>
        <v>0</v>
      </c>
      <c r="K240" s="71"/>
      <c r="L240" s="71">
        <f t="shared" si="112"/>
        <v>0</v>
      </c>
      <c r="M240" s="73">
        <f t="shared" ref="M240:R240" si="122">SUM(M241:M254)</f>
        <v>0</v>
      </c>
      <c r="N240" s="73">
        <f t="shared" si="122"/>
        <v>0</v>
      </c>
      <c r="O240" s="73">
        <f t="shared" si="122"/>
        <v>0</v>
      </c>
      <c r="P240" s="73">
        <f t="shared" si="122"/>
        <v>310727.75299999997</v>
      </c>
      <c r="Q240" s="73">
        <f t="shared" si="122"/>
        <v>393878.46999999991</v>
      </c>
      <c r="R240" s="73">
        <f t="shared" si="122"/>
        <v>393878.46999999991</v>
      </c>
      <c r="T240" s="83"/>
    </row>
    <row r="241" spans="2:20" s="34" customFormat="1" ht="23.4">
      <c r="B241" s="87" t="s">
        <v>475</v>
      </c>
      <c r="C241" s="88" t="s">
        <v>476</v>
      </c>
      <c r="D241" s="89" t="s">
        <v>82</v>
      </c>
      <c r="E241" s="90">
        <v>1000</v>
      </c>
      <c r="F241" s="91"/>
      <c r="G241" s="91"/>
      <c r="H241" s="91"/>
      <c r="I241" s="91">
        <f>SUM(G241:H241)+'BM 003'!I241</f>
        <v>0</v>
      </c>
      <c r="J241" s="91">
        <f t="shared" si="114"/>
        <v>1000</v>
      </c>
      <c r="K241" s="80">
        <v>15</v>
      </c>
      <c r="L241" s="81">
        <f t="shared" si="112"/>
        <v>19.014001650000001</v>
      </c>
      <c r="M241" s="82">
        <f t="shared" ref="M241:M254" si="123">TRUNC(F241*L241,2)</f>
        <v>0</v>
      </c>
      <c r="N241" s="82">
        <f t="shared" ref="N241:N254" si="124">TRUNC(G241*L241,2)</f>
        <v>0</v>
      </c>
      <c r="O241" s="82">
        <f>N241+'BM 003'!O241</f>
        <v>0</v>
      </c>
      <c r="P241" s="80">
        <f t="shared" ref="P241:P254" si="125">E241*K241</f>
        <v>15000</v>
      </c>
      <c r="Q241" s="82">
        <f t="shared" ref="Q241:Q254" si="126">TRUNC(E241*L241,2)</f>
        <v>19014</v>
      </c>
      <c r="R241" s="82">
        <f t="shared" ref="R241:R254" si="127">Q241-O241</f>
        <v>19014</v>
      </c>
      <c r="T241" s="83"/>
    </row>
    <row r="242" spans="2:20" s="34" customFormat="1" ht="46.2">
      <c r="B242" s="87" t="s">
        <v>477</v>
      </c>
      <c r="C242" s="88" t="s">
        <v>478</v>
      </c>
      <c r="D242" s="89" t="s">
        <v>124</v>
      </c>
      <c r="E242" s="90">
        <v>9216.66</v>
      </c>
      <c r="F242" s="91"/>
      <c r="G242" s="91"/>
      <c r="H242" s="91"/>
      <c r="I242" s="91">
        <f>SUM(G242:H242)+'BM 003'!I242</f>
        <v>0</v>
      </c>
      <c r="J242" s="91">
        <f t="shared" si="114"/>
        <v>9216.66</v>
      </c>
      <c r="K242" s="80">
        <v>3.5</v>
      </c>
      <c r="L242" s="81">
        <f t="shared" si="112"/>
        <v>4.4366003850000002</v>
      </c>
      <c r="M242" s="82">
        <f t="shared" si="123"/>
        <v>0</v>
      </c>
      <c r="N242" s="82">
        <f t="shared" si="124"/>
        <v>0</v>
      </c>
      <c r="O242" s="82">
        <f>N242+'BM 003'!O242</f>
        <v>0</v>
      </c>
      <c r="P242" s="80">
        <f t="shared" si="125"/>
        <v>32258.309999999998</v>
      </c>
      <c r="Q242" s="82">
        <f t="shared" si="126"/>
        <v>40890.629999999997</v>
      </c>
      <c r="R242" s="82">
        <f t="shared" si="127"/>
        <v>40890.629999999997</v>
      </c>
    </row>
    <row r="243" spans="2:20" s="34" customFormat="1" ht="57.6">
      <c r="B243" s="87" t="s">
        <v>479</v>
      </c>
      <c r="C243" s="88" t="s">
        <v>480</v>
      </c>
      <c r="D243" s="89" t="s">
        <v>82</v>
      </c>
      <c r="E243" s="90">
        <v>16088.53</v>
      </c>
      <c r="F243" s="91"/>
      <c r="G243" s="91"/>
      <c r="H243" s="91"/>
      <c r="I243" s="91">
        <f>SUM(G243:H243)+'BM 003'!I243</f>
        <v>0</v>
      </c>
      <c r="J243" s="91">
        <f t="shared" si="114"/>
        <v>16088.53</v>
      </c>
      <c r="K243" s="80">
        <v>4.5</v>
      </c>
      <c r="L243" s="81">
        <f t="shared" si="112"/>
        <v>5.7042004950000003</v>
      </c>
      <c r="M243" s="82">
        <f t="shared" si="123"/>
        <v>0</v>
      </c>
      <c r="N243" s="82">
        <f t="shared" si="124"/>
        <v>0</v>
      </c>
      <c r="O243" s="82">
        <f>N243+'BM 003'!O243</f>
        <v>0</v>
      </c>
      <c r="P243" s="80">
        <f t="shared" si="125"/>
        <v>72398.385000000009</v>
      </c>
      <c r="Q243" s="82">
        <f t="shared" si="126"/>
        <v>91772.2</v>
      </c>
      <c r="R243" s="82">
        <f t="shared" si="127"/>
        <v>91772.2</v>
      </c>
    </row>
    <row r="244" spans="2:20" s="34" customFormat="1" ht="34.799999999999997">
      <c r="B244" s="87" t="s">
        <v>481</v>
      </c>
      <c r="C244" s="88" t="s">
        <v>482</v>
      </c>
      <c r="D244" s="89" t="s">
        <v>82</v>
      </c>
      <c r="E244" s="90">
        <v>1366.87</v>
      </c>
      <c r="F244" s="91"/>
      <c r="G244" s="91"/>
      <c r="H244" s="91"/>
      <c r="I244" s="91">
        <f>SUM(G244:H244)+'BM 003'!I244</f>
        <v>0</v>
      </c>
      <c r="J244" s="91">
        <f t="shared" si="114"/>
        <v>1366.87</v>
      </c>
      <c r="K244" s="80">
        <v>7</v>
      </c>
      <c r="L244" s="81">
        <f t="shared" si="112"/>
        <v>8.8732007700000004</v>
      </c>
      <c r="M244" s="82">
        <f t="shared" si="123"/>
        <v>0</v>
      </c>
      <c r="N244" s="82">
        <f t="shared" si="124"/>
        <v>0</v>
      </c>
      <c r="O244" s="82">
        <f>N244+'BM 003'!O244</f>
        <v>0</v>
      </c>
      <c r="P244" s="80">
        <f t="shared" si="125"/>
        <v>9568.09</v>
      </c>
      <c r="Q244" s="82">
        <f t="shared" si="126"/>
        <v>12128.51</v>
      </c>
      <c r="R244" s="82">
        <f t="shared" si="127"/>
        <v>12128.51</v>
      </c>
    </row>
    <row r="245" spans="2:20" s="34" customFormat="1" ht="57.6">
      <c r="B245" s="87" t="s">
        <v>483</v>
      </c>
      <c r="C245" s="88" t="s">
        <v>484</v>
      </c>
      <c r="D245" s="89" t="s">
        <v>82</v>
      </c>
      <c r="E245" s="90">
        <v>337.73</v>
      </c>
      <c r="F245" s="91"/>
      <c r="G245" s="91"/>
      <c r="H245" s="91"/>
      <c r="I245" s="91">
        <f>SUM(G245:H245)+'BM 003'!I245</f>
        <v>0</v>
      </c>
      <c r="J245" s="91">
        <f t="shared" si="114"/>
        <v>337.73</v>
      </c>
      <c r="K245" s="80">
        <v>10</v>
      </c>
      <c r="L245" s="81">
        <f t="shared" si="112"/>
        <v>12.676001100000001</v>
      </c>
      <c r="M245" s="82">
        <f t="shared" si="123"/>
        <v>0</v>
      </c>
      <c r="N245" s="82">
        <f t="shared" si="124"/>
        <v>0</v>
      </c>
      <c r="O245" s="82">
        <f>N245+'BM 003'!O245</f>
        <v>0</v>
      </c>
      <c r="P245" s="80">
        <f t="shared" si="125"/>
        <v>3377.3</v>
      </c>
      <c r="Q245" s="82">
        <f t="shared" si="126"/>
        <v>4281.0600000000004</v>
      </c>
      <c r="R245" s="82">
        <f t="shared" si="127"/>
        <v>4281.0600000000004</v>
      </c>
    </row>
    <row r="246" spans="2:20" s="34" customFormat="1" ht="34.799999999999997">
      <c r="B246" s="87" t="s">
        <v>485</v>
      </c>
      <c r="C246" s="88" t="s">
        <v>486</v>
      </c>
      <c r="D246" s="89" t="s">
        <v>82</v>
      </c>
      <c r="E246" s="90">
        <v>584.41</v>
      </c>
      <c r="F246" s="91"/>
      <c r="G246" s="91"/>
      <c r="H246" s="91"/>
      <c r="I246" s="91">
        <f>SUM(G246:H246)+'BM 003'!I246</f>
        <v>0</v>
      </c>
      <c r="J246" s="91">
        <f t="shared" si="114"/>
        <v>584.41</v>
      </c>
      <c r="K246" s="80">
        <v>11</v>
      </c>
      <c r="L246" s="81">
        <f t="shared" si="112"/>
        <v>13.943601210000001</v>
      </c>
      <c r="M246" s="82">
        <f t="shared" si="123"/>
        <v>0</v>
      </c>
      <c r="N246" s="82">
        <f t="shared" si="124"/>
        <v>0</v>
      </c>
      <c r="O246" s="82">
        <f>N246+'BM 003'!O246</f>
        <v>0</v>
      </c>
      <c r="P246" s="80">
        <f t="shared" si="125"/>
        <v>6428.5099999999993</v>
      </c>
      <c r="Q246" s="82">
        <f t="shared" si="126"/>
        <v>8148.77</v>
      </c>
      <c r="R246" s="82">
        <f t="shared" si="127"/>
        <v>8148.77</v>
      </c>
    </row>
    <row r="247" spans="2:20" s="34" customFormat="1" ht="34.799999999999997">
      <c r="B247" s="87" t="s">
        <v>487</v>
      </c>
      <c r="C247" s="88" t="s">
        <v>488</v>
      </c>
      <c r="D247" s="89" t="s">
        <v>82</v>
      </c>
      <c r="E247" s="90">
        <v>746.42</v>
      </c>
      <c r="F247" s="91"/>
      <c r="G247" s="91"/>
      <c r="H247" s="91"/>
      <c r="I247" s="91">
        <f>SUM(G247:H247)+'BM 003'!I247</f>
        <v>0</v>
      </c>
      <c r="J247" s="91">
        <f t="shared" si="114"/>
        <v>746.42</v>
      </c>
      <c r="K247" s="80">
        <v>18</v>
      </c>
      <c r="L247" s="81">
        <f t="shared" si="112"/>
        <v>22.816801980000001</v>
      </c>
      <c r="M247" s="82">
        <f t="shared" si="123"/>
        <v>0</v>
      </c>
      <c r="N247" s="82">
        <f t="shared" si="124"/>
        <v>0</v>
      </c>
      <c r="O247" s="82">
        <f>N247+'BM 003'!O247</f>
        <v>0</v>
      </c>
      <c r="P247" s="80">
        <f t="shared" si="125"/>
        <v>13435.56</v>
      </c>
      <c r="Q247" s="82">
        <f t="shared" si="126"/>
        <v>17030.91</v>
      </c>
      <c r="R247" s="82">
        <f t="shared" si="127"/>
        <v>17030.91</v>
      </c>
    </row>
    <row r="248" spans="2:20" s="34" customFormat="1" ht="34.799999999999997">
      <c r="B248" s="87" t="s">
        <v>489</v>
      </c>
      <c r="C248" s="88" t="s">
        <v>490</v>
      </c>
      <c r="D248" s="89" t="s">
        <v>82</v>
      </c>
      <c r="E248" s="90">
        <v>396.45</v>
      </c>
      <c r="F248" s="91"/>
      <c r="G248" s="91"/>
      <c r="H248" s="91"/>
      <c r="I248" s="91">
        <f>SUM(G248:H248)+'BM 003'!I248</f>
        <v>0</v>
      </c>
      <c r="J248" s="91">
        <f t="shared" si="114"/>
        <v>396.45</v>
      </c>
      <c r="K248" s="80">
        <v>25</v>
      </c>
      <c r="L248" s="81">
        <f t="shared" si="112"/>
        <v>31.690002750000001</v>
      </c>
      <c r="M248" s="82">
        <f t="shared" si="123"/>
        <v>0</v>
      </c>
      <c r="N248" s="82">
        <f t="shared" si="124"/>
        <v>0</v>
      </c>
      <c r="O248" s="82">
        <f>N248+'BM 003'!O248</f>
        <v>0</v>
      </c>
      <c r="P248" s="80">
        <f t="shared" si="125"/>
        <v>9911.25</v>
      </c>
      <c r="Q248" s="82">
        <f t="shared" si="126"/>
        <v>12563.5</v>
      </c>
      <c r="R248" s="82">
        <f t="shared" si="127"/>
        <v>12563.5</v>
      </c>
    </row>
    <row r="249" spans="2:20" s="34" customFormat="1" ht="57.6">
      <c r="B249" s="87" t="s">
        <v>491</v>
      </c>
      <c r="C249" s="88" t="s">
        <v>492</v>
      </c>
      <c r="D249" s="89" t="s">
        <v>82</v>
      </c>
      <c r="E249" s="90">
        <v>326.43</v>
      </c>
      <c r="F249" s="91"/>
      <c r="G249" s="91"/>
      <c r="H249" s="91"/>
      <c r="I249" s="91">
        <f>SUM(G249:H249)+'BM 003'!I249</f>
        <v>0</v>
      </c>
      <c r="J249" s="91">
        <f t="shared" si="114"/>
        <v>326.43</v>
      </c>
      <c r="K249" s="80">
        <v>40</v>
      </c>
      <c r="L249" s="81">
        <f t="shared" si="112"/>
        <v>50.704004400000002</v>
      </c>
      <c r="M249" s="82">
        <f t="shared" si="123"/>
        <v>0</v>
      </c>
      <c r="N249" s="82">
        <f t="shared" si="124"/>
        <v>0</v>
      </c>
      <c r="O249" s="82">
        <f>N249+'BM 003'!O249</f>
        <v>0</v>
      </c>
      <c r="P249" s="80">
        <f t="shared" si="125"/>
        <v>13057.2</v>
      </c>
      <c r="Q249" s="82">
        <f t="shared" si="126"/>
        <v>16551.3</v>
      </c>
      <c r="R249" s="82">
        <f t="shared" si="127"/>
        <v>16551.3</v>
      </c>
    </row>
    <row r="250" spans="2:20" s="34" customFormat="1" ht="46.2">
      <c r="B250" s="87" t="s">
        <v>493</v>
      </c>
      <c r="C250" s="88" t="s">
        <v>494</v>
      </c>
      <c r="D250" s="89" t="s">
        <v>82</v>
      </c>
      <c r="E250" s="90">
        <v>49.87</v>
      </c>
      <c r="F250" s="91"/>
      <c r="G250" s="91"/>
      <c r="H250" s="91"/>
      <c r="I250" s="91">
        <f>SUM(G250:H250)+'BM 003'!I250</f>
        <v>0</v>
      </c>
      <c r="J250" s="91">
        <f t="shared" si="114"/>
        <v>49.87</v>
      </c>
      <c r="K250" s="80">
        <v>125</v>
      </c>
      <c r="L250" s="81">
        <f t="shared" si="112"/>
        <v>158.45001375000001</v>
      </c>
      <c r="M250" s="82">
        <f t="shared" si="123"/>
        <v>0</v>
      </c>
      <c r="N250" s="82">
        <f t="shared" si="124"/>
        <v>0</v>
      </c>
      <c r="O250" s="82">
        <f>N250+'BM 003'!O250</f>
        <v>0</v>
      </c>
      <c r="P250" s="80">
        <f t="shared" si="125"/>
        <v>6233.75</v>
      </c>
      <c r="Q250" s="82">
        <f t="shared" si="126"/>
        <v>7901.9</v>
      </c>
      <c r="R250" s="82">
        <f t="shared" si="127"/>
        <v>7901.9</v>
      </c>
    </row>
    <row r="251" spans="2:20" s="34" customFormat="1" ht="46.2">
      <c r="B251" s="87" t="s">
        <v>495</v>
      </c>
      <c r="C251" s="88" t="s">
        <v>496</v>
      </c>
      <c r="D251" s="89" t="s">
        <v>82</v>
      </c>
      <c r="E251" s="90">
        <v>49.87</v>
      </c>
      <c r="F251" s="91"/>
      <c r="G251" s="91"/>
      <c r="H251" s="91"/>
      <c r="I251" s="91">
        <f>SUM(G251:H251)+'BM 003'!I251</f>
        <v>0</v>
      </c>
      <c r="J251" s="91">
        <f t="shared" si="114"/>
        <v>49.87</v>
      </c>
      <c r="K251" s="80">
        <v>170</v>
      </c>
      <c r="L251" s="81">
        <f t="shared" si="112"/>
        <v>215.49201870000002</v>
      </c>
      <c r="M251" s="82">
        <f t="shared" si="123"/>
        <v>0</v>
      </c>
      <c r="N251" s="82">
        <f t="shared" si="124"/>
        <v>0</v>
      </c>
      <c r="O251" s="82">
        <f>N251+'BM 003'!O251</f>
        <v>0</v>
      </c>
      <c r="P251" s="80">
        <f t="shared" si="125"/>
        <v>8477.9</v>
      </c>
      <c r="Q251" s="82">
        <f t="shared" si="126"/>
        <v>10746.58</v>
      </c>
      <c r="R251" s="82">
        <f t="shared" si="127"/>
        <v>10746.58</v>
      </c>
    </row>
    <row r="252" spans="2:20" s="34" customFormat="1" ht="46.2">
      <c r="B252" s="87" t="s">
        <v>497</v>
      </c>
      <c r="C252" s="88" t="s">
        <v>498</v>
      </c>
      <c r="D252" s="89" t="s">
        <v>82</v>
      </c>
      <c r="E252" s="90">
        <v>149.6</v>
      </c>
      <c r="F252" s="91"/>
      <c r="G252" s="91"/>
      <c r="H252" s="91"/>
      <c r="I252" s="91">
        <f>SUM(G252:H252)+'BM 003'!I252</f>
        <v>0</v>
      </c>
      <c r="J252" s="91">
        <f t="shared" si="114"/>
        <v>149.6</v>
      </c>
      <c r="K252" s="80">
        <v>290</v>
      </c>
      <c r="L252" s="81">
        <f t="shared" si="112"/>
        <v>367.6040319</v>
      </c>
      <c r="M252" s="82">
        <f t="shared" si="123"/>
        <v>0</v>
      </c>
      <c r="N252" s="82">
        <f t="shared" si="124"/>
        <v>0</v>
      </c>
      <c r="O252" s="82">
        <f>N252+'BM 003'!O252</f>
        <v>0</v>
      </c>
      <c r="P252" s="80">
        <f t="shared" si="125"/>
        <v>43384</v>
      </c>
      <c r="Q252" s="82">
        <f t="shared" si="126"/>
        <v>54993.56</v>
      </c>
      <c r="R252" s="82">
        <f t="shared" si="127"/>
        <v>54993.56</v>
      </c>
    </row>
    <row r="253" spans="2:20" s="34" customFormat="1" ht="23.4">
      <c r="B253" s="87" t="s">
        <v>499</v>
      </c>
      <c r="C253" s="88" t="s">
        <v>500</v>
      </c>
      <c r="D253" s="89" t="s">
        <v>82</v>
      </c>
      <c r="E253" s="90">
        <v>4482.08</v>
      </c>
      <c r="F253" s="91"/>
      <c r="G253" s="91"/>
      <c r="H253" s="91"/>
      <c r="I253" s="91">
        <f>SUM(G253:H253)+'BM 003'!I253</f>
        <v>0</v>
      </c>
      <c r="J253" s="91">
        <f t="shared" si="114"/>
        <v>4482.08</v>
      </c>
      <c r="K253" s="80">
        <v>9</v>
      </c>
      <c r="L253" s="81">
        <f t="shared" si="112"/>
        <v>11.408400990000001</v>
      </c>
      <c r="M253" s="82">
        <f t="shared" si="123"/>
        <v>0</v>
      </c>
      <c r="N253" s="82">
        <f t="shared" si="124"/>
        <v>0</v>
      </c>
      <c r="O253" s="82">
        <f>N253+'BM 003'!O253</f>
        <v>0</v>
      </c>
      <c r="P253" s="80">
        <f t="shared" si="125"/>
        <v>40338.720000000001</v>
      </c>
      <c r="Q253" s="82">
        <f t="shared" si="126"/>
        <v>51133.36</v>
      </c>
      <c r="R253" s="82">
        <f t="shared" si="127"/>
        <v>51133.36</v>
      </c>
    </row>
    <row r="254" spans="2:20" s="34" customFormat="1" ht="23.4">
      <c r="B254" s="87" t="s">
        <v>501</v>
      </c>
      <c r="C254" s="88" t="s">
        <v>502</v>
      </c>
      <c r="D254" s="89" t="s">
        <v>82</v>
      </c>
      <c r="E254" s="90">
        <v>3350.7979999999998</v>
      </c>
      <c r="F254" s="91"/>
      <c r="G254" s="91"/>
      <c r="H254" s="91"/>
      <c r="I254" s="91">
        <f>SUM(G254:H254)+'BM 003'!I254</f>
        <v>0</v>
      </c>
      <c r="J254" s="91">
        <f t="shared" si="114"/>
        <v>3350.7979999999998</v>
      </c>
      <c r="K254" s="80">
        <v>11</v>
      </c>
      <c r="L254" s="81">
        <f t="shared" si="112"/>
        <v>13.943601210000001</v>
      </c>
      <c r="M254" s="82">
        <f t="shared" si="123"/>
        <v>0</v>
      </c>
      <c r="N254" s="82">
        <f t="shared" si="124"/>
        <v>0</v>
      </c>
      <c r="O254" s="82">
        <f>N254+'BM 003'!O254</f>
        <v>0</v>
      </c>
      <c r="P254" s="80">
        <f t="shared" si="125"/>
        <v>36858.777999999998</v>
      </c>
      <c r="Q254" s="82">
        <f t="shared" si="126"/>
        <v>46722.19</v>
      </c>
      <c r="R254" s="82">
        <f t="shared" si="127"/>
        <v>46722.19</v>
      </c>
    </row>
    <row r="255" spans="2:20" s="34" customFormat="1" ht="13.2">
      <c r="B255" s="66" t="s">
        <v>503</v>
      </c>
      <c r="C255" s="67" t="s">
        <v>504</v>
      </c>
      <c r="D255" s="68"/>
      <c r="E255" s="69"/>
      <c r="F255" s="70"/>
      <c r="G255" s="70"/>
      <c r="H255" s="70"/>
      <c r="I255" s="70">
        <f>SUM(G255:H255)+'BM 003'!I255</f>
        <v>0</v>
      </c>
      <c r="J255" s="70">
        <f t="shared" si="114"/>
        <v>0</v>
      </c>
      <c r="K255" s="71"/>
      <c r="L255" s="71">
        <f t="shared" si="112"/>
        <v>0</v>
      </c>
      <c r="M255" s="73">
        <f t="shared" ref="M255:R255" si="128">SUM(M256:M290)</f>
        <v>0</v>
      </c>
      <c r="N255" s="73">
        <f t="shared" si="128"/>
        <v>0</v>
      </c>
      <c r="O255" s="73">
        <f t="shared" si="128"/>
        <v>0</v>
      </c>
      <c r="P255" s="73">
        <f t="shared" si="128"/>
        <v>65111</v>
      </c>
      <c r="Q255" s="73">
        <f t="shared" si="128"/>
        <v>82534.59</v>
      </c>
      <c r="R255" s="73">
        <f t="shared" si="128"/>
        <v>82534.59</v>
      </c>
    </row>
    <row r="256" spans="2:20" s="34" customFormat="1" ht="46.2">
      <c r="B256" s="87" t="s">
        <v>505</v>
      </c>
      <c r="C256" s="88" t="s">
        <v>506</v>
      </c>
      <c r="D256" s="89" t="s">
        <v>131</v>
      </c>
      <c r="E256" s="90">
        <v>3</v>
      </c>
      <c r="F256" s="91"/>
      <c r="G256" s="91"/>
      <c r="H256" s="91"/>
      <c r="I256" s="91">
        <f>SUM(G256:H256)+'BM 003'!I256</f>
        <v>0</v>
      </c>
      <c r="J256" s="91">
        <f t="shared" si="114"/>
        <v>3</v>
      </c>
      <c r="K256" s="80">
        <v>1080</v>
      </c>
      <c r="L256" s="81">
        <f t="shared" si="112"/>
        <v>1369.0081188000001</v>
      </c>
      <c r="M256" s="82">
        <f t="shared" ref="M256:M290" si="129">TRUNC(F256*L256,2)</f>
        <v>0</v>
      </c>
      <c r="N256" s="82">
        <f t="shared" ref="N256:N290" si="130">TRUNC(G256*L256,2)</f>
        <v>0</v>
      </c>
      <c r="O256" s="82">
        <f>N256+'BM 003'!O256</f>
        <v>0</v>
      </c>
      <c r="P256" s="80">
        <f t="shared" ref="P256:P290" si="131">E256*K256</f>
        <v>3240</v>
      </c>
      <c r="Q256" s="82">
        <f t="shared" ref="Q256:Q290" si="132">TRUNC(E256*L256,2)</f>
        <v>4107.0200000000004</v>
      </c>
      <c r="R256" s="82">
        <f t="shared" ref="R256:R290" si="133">Q256-O256</f>
        <v>4107.0200000000004</v>
      </c>
    </row>
    <row r="257" spans="2:18" s="34" customFormat="1" ht="46.2">
      <c r="B257" s="87" t="s">
        <v>507</v>
      </c>
      <c r="C257" s="88" t="s">
        <v>508</v>
      </c>
      <c r="D257" s="89" t="s">
        <v>131</v>
      </c>
      <c r="E257" s="90">
        <v>1</v>
      </c>
      <c r="F257" s="91"/>
      <c r="G257" s="91"/>
      <c r="H257" s="91"/>
      <c r="I257" s="91">
        <f>SUM(G257:H257)+'BM 003'!I257</f>
        <v>0</v>
      </c>
      <c r="J257" s="91">
        <f t="shared" si="114"/>
        <v>1</v>
      </c>
      <c r="K257" s="80">
        <v>1200</v>
      </c>
      <c r="L257" s="81">
        <f t="shared" si="112"/>
        <v>1521.120132</v>
      </c>
      <c r="M257" s="82">
        <f t="shared" si="129"/>
        <v>0</v>
      </c>
      <c r="N257" s="82">
        <f t="shared" si="130"/>
        <v>0</v>
      </c>
      <c r="O257" s="82">
        <f>N257+'BM 003'!O257</f>
        <v>0</v>
      </c>
      <c r="P257" s="80">
        <f t="shared" si="131"/>
        <v>1200</v>
      </c>
      <c r="Q257" s="82">
        <f t="shared" si="132"/>
        <v>1521.12</v>
      </c>
      <c r="R257" s="82">
        <f t="shared" si="133"/>
        <v>1521.12</v>
      </c>
    </row>
    <row r="258" spans="2:18" s="34" customFormat="1" ht="46.2">
      <c r="B258" s="87" t="s">
        <v>509</v>
      </c>
      <c r="C258" s="88" t="s">
        <v>510</v>
      </c>
      <c r="D258" s="89" t="s">
        <v>131</v>
      </c>
      <c r="E258" s="90">
        <v>4</v>
      </c>
      <c r="F258" s="91"/>
      <c r="G258" s="91"/>
      <c r="H258" s="91"/>
      <c r="I258" s="91">
        <f>SUM(G258:H258)+'BM 003'!I258</f>
        <v>0</v>
      </c>
      <c r="J258" s="91">
        <f t="shared" si="114"/>
        <v>4</v>
      </c>
      <c r="K258" s="80">
        <v>1890</v>
      </c>
      <c r="L258" s="81">
        <f t="shared" si="112"/>
        <v>2395.7642079000002</v>
      </c>
      <c r="M258" s="82">
        <f t="shared" si="129"/>
        <v>0</v>
      </c>
      <c r="N258" s="82">
        <f t="shared" si="130"/>
        <v>0</v>
      </c>
      <c r="O258" s="82">
        <f>N258+'BM 003'!O258</f>
        <v>0</v>
      </c>
      <c r="P258" s="80">
        <f t="shared" si="131"/>
        <v>7560</v>
      </c>
      <c r="Q258" s="82">
        <f t="shared" si="132"/>
        <v>9583.0499999999993</v>
      </c>
      <c r="R258" s="82">
        <f t="shared" si="133"/>
        <v>9583.0499999999993</v>
      </c>
    </row>
    <row r="259" spans="2:18" s="34" customFormat="1" ht="34.799999999999997">
      <c r="B259" s="87" t="s">
        <v>511</v>
      </c>
      <c r="C259" s="88" t="s">
        <v>512</v>
      </c>
      <c r="D259" s="89" t="s">
        <v>131</v>
      </c>
      <c r="E259" s="90">
        <v>19</v>
      </c>
      <c r="F259" s="91"/>
      <c r="G259" s="91"/>
      <c r="H259" s="91"/>
      <c r="I259" s="91">
        <f>SUM(G259:H259)+'BM 003'!I259</f>
        <v>0</v>
      </c>
      <c r="J259" s="91">
        <f t="shared" si="114"/>
        <v>19</v>
      </c>
      <c r="K259" s="80">
        <v>1000</v>
      </c>
      <c r="L259" s="81">
        <f t="shared" si="112"/>
        <v>1267.6001100000001</v>
      </c>
      <c r="M259" s="82">
        <f t="shared" si="129"/>
        <v>0</v>
      </c>
      <c r="N259" s="82">
        <f t="shared" si="130"/>
        <v>0</v>
      </c>
      <c r="O259" s="82">
        <f>N259+'BM 003'!O259</f>
        <v>0</v>
      </c>
      <c r="P259" s="80">
        <f t="shared" si="131"/>
        <v>19000</v>
      </c>
      <c r="Q259" s="82">
        <f t="shared" si="132"/>
        <v>24084.400000000001</v>
      </c>
      <c r="R259" s="82">
        <f t="shared" si="133"/>
        <v>24084.400000000001</v>
      </c>
    </row>
    <row r="260" spans="2:18" s="34" customFormat="1" ht="34.799999999999997">
      <c r="B260" s="87" t="s">
        <v>513</v>
      </c>
      <c r="C260" s="88" t="s">
        <v>514</v>
      </c>
      <c r="D260" s="89" t="s">
        <v>131</v>
      </c>
      <c r="E260" s="90">
        <v>2</v>
      </c>
      <c r="F260" s="91"/>
      <c r="G260" s="91"/>
      <c r="H260" s="91"/>
      <c r="I260" s="91">
        <f>SUM(G260:H260)+'BM 003'!I260</f>
        <v>0</v>
      </c>
      <c r="J260" s="91">
        <f t="shared" si="114"/>
        <v>2</v>
      </c>
      <c r="K260" s="80">
        <v>1400</v>
      </c>
      <c r="L260" s="81">
        <f t="shared" si="112"/>
        <v>1774.6401540000002</v>
      </c>
      <c r="M260" s="82">
        <f t="shared" si="129"/>
        <v>0</v>
      </c>
      <c r="N260" s="82">
        <f t="shared" si="130"/>
        <v>0</v>
      </c>
      <c r="O260" s="82">
        <f>N260+'BM 003'!O260</f>
        <v>0</v>
      </c>
      <c r="P260" s="80">
        <f t="shared" si="131"/>
        <v>2800</v>
      </c>
      <c r="Q260" s="82">
        <f t="shared" si="132"/>
        <v>3549.28</v>
      </c>
      <c r="R260" s="82">
        <f t="shared" si="133"/>
        <v>3549.28</v>
      </c>
    </row>
    <row r="261" spans="2:18" s="34" customFormat="1" ht="23.4">
      <c r="B261" s="87" t="s">
        <v>515</v>
      </c>
      <c r="C261" s="88" t="s">
        <v>516</v>
      </c>
      <c r="D261" s="89" t="s">
        <v>131</v>
      </c>
      <c r="E261" s="90">
        <v>2</v>
      </c>
      <c r="F261" s="91"/>
      <c r="G261" s="91"/>
      <c r="H261" s="91"/>
      <c r="I261" s="91">
        <f>SUM(G261:H261)+'BM 003'!I261</f>
        <v>0</v>
      </c>
      <c r="J261" s="91">
        <f t="shared" si="114"/>
        <v>2</v>
      </c>
      <c r="K261" s="80">
        <v>800</v>
      </c>
      <c r="L261" s="81">
        <f t="shared" si="112"/>
        <v>1014.080088</v>
      </c>
      <c r="M261" s="82">
        <f t="shared" si="129"/>
        <v>0</v>
      </c>
      <c r="N261" s="82">
        <f t="shared" si="130"/>
        <v>0</v>
      </c>
      <c r="O261" s="82">
        <f>N261+'BM 003'!O261</f>
        <v>0</v>
      </c>
      <c r="P261" s="80">
        <f t="shared" si="131"/>
        <v>1600</v>
      </c>
      <c r="Q261" s="82">
        <f t="shared" si="132"/>
        <v>2028.16</v>
      </c>
      <c r="R261" s="82">
        <f t="shared" si="133"/>
        <v>2028.16</v>
      </c>
    </row>
    <row r="262" spans="2:18" s="34" customFormat="1" ht="23.4">
      <c r="B262" s="87" t="s">
        <v>517</v>
      </c>
      <c r="C262" s="88" t="s">
        <v>518</v>
      </c>
      <c r="D262" s="89" t="s">
        <v>131</v>
      </c>
      <c r="E262" s="90">
        <v>1</v>
      </c>
      <c r="F262" s="91"/>
      <c r="G262" s="91"/>
      <c r="H262" s="91"/>
      <c r="I262" s="91">
        <f>SUM(G262:H262)+'BM 003'!I262</f>
        <v>0</v>
      </c>
      <c r="J262" s="91">
        <f t="shared" si="114"/>
        <v>1</v>
      </c>
      <c r="K262" s="80">
        <v>1200</v>
      </c>
      <c r="L262" s="81">
        <f t="shared" si="112"/>
        <v>1521.120132</v>
      </c>
      <c r="M262" s="82">
        <f t="shared" si="129"/>
        <v>0</v>
      </c>
      <c r="N262" s="82">
        <f t="shared" si="130"/>
        <v>0</v>
      </c>
      <c r="O262" s="82">
        <f>N262+'BM 003'!O262</f>
        <v>0</v>
      </c>
      <c r="P262" s="80">
        <f t="shared" si="131"/>
        <v>1200</v>
      </c>
      <c r="Q262" s="82">
        <f t="shared" si="132"/>
        <v>1521.12</v>
      </c>
      <c r="R262" s="82">
        <f t="shared" si="133"/>
        <v>1521.12</v>
      </c>
    </row>
    <row r="263" spans="2:18" s="34" customFormat="1" ht="23.4">
      <c r="B263" s="87" t="s">
        <v>519</v>
      </c>
      <c r="C263" s="88" t="s">
        <v>520</v>
      </c>
      <c r="D263" s="89" t="s">
        <v>131</v>
      </c>
      <c r="E263" s="90">
        <v>2</v>
      </c>
      <c r="F263" s="91"/>
      <c r="G263" s="91"/>
      <c r="H263" s="91"/>
      <c r="I263" s="91">
        <f>SUM(G263:H263)+'BM 003'!I263</f>
        <v>0</v>
      </c>
      <c r="J263" s="91">
        <f t="shared" si="114"/>
        <v>2</v>
      </c>
      <c r="K263" s="80">
        <v>2100</v>
      </c>
      <c r="L263" s="81">
        <f t="shared" si="112"/>
        <v>2661.960231</v>
      </c>
      <c r="M263" s="82">
        <f t="shared" si="129"/>
        <v>0</v>
      </c>
      <c r="N263" s="82">
        <f t="shared" si="130"/>
        <v>0</v>
      </c>
      <c r="O263" s="82">
        <f>N263+'BM 003'!O263</f>
        <v>0</v>
      </c>
      <c r="P263" s="80">
        <f t="shared" si="131"/>
        <v>4200</v>
      </c>
      <c r="Q263" s="82">
        <f t="shared" si="132"/>
        <v>5323.92</v>
      </c>
      <c r="R263" s="82">
        <f t="shared" si="133"/>
        <v>5323.92</v>
      </c>
    </row>
    <row r="264" spans="2:18" s="34" customFormat="1" ht="34.799999999999997">
      <c r="B264" s="87" t="s">
        <v>521</v>
      </c>
      <c r="C264" s="88" t="s">
        <v>522</v>
      </c>
      <c r="D264" s="89" t="s">
        <v>131</v>
      </c>
      <c r="E264" s="90">
        <v>16</v>
      </c>
      <c r="F264" s="91"/>
      <c r="G264" s="91"/>
      <c r="H264" s="91"/>
      <c r="I264" s="91">
        <f>SUM(G264:H264)+'BM 003'!I264</f>
        <v>0</v>
      </c>
      <c r="J264" s="91">
        <f t="shared" si="114"/>
        <v>16</v>
      </c>
      <c r="K264" s="80">
        <v>180</v>
      </c>
      <c r="L264" s="81">
        <f t="shared" si="112"/>
        <v>228.16801980000002</v>
      </c>
      <c r="M264" s="82">
        <f t="shared" si="129"/>
        <v>0</v>
      </c>
      <c r="N264" s="82">
        <f t="shared" si="130"/>
        <v>0</v>
      </c>
      <c r="O264" s="82">
        <f>N264+'BM 003'!O264</f>
        <v>0</v>
      </c>
      <c r="P264" s="80">
        <f t="shared" si="131"/>
        <v>2880</v>
      </c>
      <c r="Q264" s="82">
        <f t="shared" si="132"/>
        <v>3650.68</v>
      </c>
      <c r="R264" s="82">
        <f t="shared" si="133"/>
        <v>3650.68</v>
      </c>
    </row>
    <row r="265" spans="2:18" s="34" customFormat="1" ht="34.799999999999997">
      <c r="B265" s="87" t="s">
        <v>523</v>
      </c>
      <c r="C265" s="88" t="s">
        <v>524</v>
      </c>
      <c r="D265" s="89" t="s">
        <v>131</v>
      </c>
      <c r="E265" s="90">
        <v>8</v>
      </c>
      <c r="F265" s="91"/>
      <c r="G265" s="91"/>
      <c r="H265" s="91"/>
      <c r="I265" s="91">
        <f>SUM(G265:H265)+'BM 003'!I265</f>
        <v>0</v>
      </c>
      <c r="J265" s="91">
        <f t="shared" si="114"/>
        <v>8</v>
      </c>
      <c r="K265" s="80">
        <v>260</v>
      </c>
      <c r="L265" s="81">
        <f t="shared" si="112"/>
        <v>329.57602860000003</v>
      </c>
      <c r="M265" s="82">
        <f t="shared" si="129"/>
        <v>0</v>
      </c>
      <c r="N265" s="82">
        <f t="shared" si="130"/>
        <v>0</v>
      </c>
      <c r="O265" s="82">
        <f>N265+'BM 003'!O265</f>
        <v>0</v>
      </c>
      <c r="P265" s="80">
        <f t="shared" si="131"/>
        <v>2080</v>
      </c>
      <c r="Q265" s="82">
        <f t="shared" si="132"/>
        <v>2636.6</v>
      </c>
      <c r="R265" s="82">
        <f t="shared" si="133"/>
        <v>2636.6</v>
      </c>
    </row>
    <row r="266" spans="2:18" s="34" customFormat="1" ht="23.4">
      <c r="B266" s="87" t="s">
        <v>525</v>
      </c>
      <c r="C266" s="88" t="s">
        <v>526</v>
      </c>
      <c r="D266" s="89" t="s">
        <v>131</v>
      </c>
      <c r="E266" s="90">
        <v>1</v>
      </c>
      <c r="F266" s="91"/>
      <c r="G266" s="91"/>
      <c r="H266" s="91"/>
      <c r="I266" s="91">
        <f>SUM(G266:H266)+'BM 003'!I266</f>
        <v>0</v>
      </c>
      <c r="J266" s="91">
        <f t="shared" si="114"/>
        <v>1</v>
      </c>
      <c r="K266" s="80">
        <v>180</v>
      </c>
      <c r="L266" s="81">
        <f t="shared" si="112"/>
        <v>228.16801980000002</v>
      </c>
      <c r="M266" s="82">
        <f t="shared" si="129"/>
        <v>0</v>
      </c>
      <c r="N266" s="82">
        <f t="shared" si="130"/>
        <v>0</v>
      </c>
      <c r="O266" s="82">
        <f>N266+'BM 003'!O266</f>
        <v>0</v>
      </c>
      <c r="P266" s="80">
        <f t="shared" si="131"/>
        <v>180</v>
      </c>
      <c r="Q266" s="82">
        <f t="shared" si="132"/>
        <v>228.16</v>
      </c>
      <c r="R266" s="82">
        <f t="shared" si="133"/>
        <v>228.16</v>
      </c>
    </row>
    <row r="267" spans="2:18" s="34" customFormat="1" ht="23.4">
      <c r="B267" s="87" t="s">
        <v>527</v>
      </c>
      <c r="C267" s="88" t="s">
        <v>528</v>
      </c>
      <c r="D267" s="89" t="s">
        <v>131</v>
      </c>
      <c r="E267" s="90">
        <v>4</v>
      </c>
      <c r="F267" s="91"/>
      <c r="G267" s="91"/>
      <c r="H267" s="91"/>
      <c r="I267" s="91">
        <f>SUM(G267:H267)+'BM 003'!I267</f>
        <v>0</v>
      </c>
      <c r="J267" s="91">
        <f t="shared" si="114"/>
        <v>4</v>
      </c>
      <c r="K267" s="80">
        <v>180</v>
      </c>
      <c r="L267" s="81">
        <f t="shared" si="112"/>
        <v>228.16801980000002</v>
      </c>
      <c r="M267" s="82">
        <f t="shared" si="129"/>
        <v>0</v>
      </c>
      <c r="N267" s="82">
        <f t="shared" si="130"/>
        <v>0</v>
      </c>
      <c r="O267" s="82">
        <f>N267+'BM 003'!O267</f>
        <v>0</v>
      </c>
      <c r="P267" s="80">
        <f t="shared" si="131"/>
        <v>720</v>
      </c>
      <c r="Q267" s="82">
        <f t="shared" si="132"/>
        <v>912.67</v>
      </c>
      <c r="R267" s="82">
        <f t="shared" si="133"/>
        <v>912.67</v>
      </c>
    </row>
    <row r="268" spans="2:18" s="34" customFormat="1" ht="23.4">
      <c r="B268" s="87" t="s">
        <v>529</v>
      </c>
      <c r="C268" s="88" t="s">
        <v>530</v>
      </c>
      <c r="D268" s="89" t="s">
        <v>131</v>
      </c>
      <c r="E268" s="90">
        <v>11</v>
      </c>
      <c r="F268" s="91"/>
      <c r="G268" s="91"/>
      <c r="H268" s="91"/>
      <c r="I268" s="91">
        <f>SUM(G268:H268)+'BM 003'!I268</f>
        <v>0</v>
      </c>
      <c r="J268" s="91">
        <f t="shared" si="114"/>
        <v>11</v>
      </c>
      <c r="K268" s="80">
        <v>280</v>
      </c>
      <c r="L268" s="81">
        <f t="shared" si="112"/>
        <v>354.92803079999999</v>
      </c>
      <c r="M268" s="82">
        <f t="shared" si="129"/>
        <v>0</v>
      </c>
      <c r="N268" s="82">
        <f t="shared" si="130"/>
        <v>0</v>
      </c>
      <c r="O268" s="82">
        <f>N268+'BM 003'!O268</f>
        <v>0</v>
      </c>
      <c r="P268" s="80">
        <f t="shared" si="131"/>
        <v>3080</v>
      </c>
      <c r="Q268" s="82">
        <f t="shared" si="132"/>
        <v>3904.2</v>
      </c>
      <c r="R268" s="82">
        <f t="shared" si="133"/>
        <v>3904.2</v>
      </c>
    </row>
    <row r="269" spans="2:18" s="34" customFormat="1" ht="23.4">
      <c r="B269" s="87" t="s">
        <v>531</v>
      </c>
      <c r="C269" s="88" t="s">
        <v>532</v>
      </c>
      <c r="D269" s="89" t="s">
        <v>131</v>
      </c>
      <c r="E269" s="90">
        <v>4</v>
      </c>
      <c r="F269" s="91"/>
      <c r="G269" s="91"/>
      <c r="H269" s="91"/>
      <c r="I269" s="91">
        <f>SUM(G269:H269)+'BM 003'!I269</f>
        <v>0</v>
      </c>
      <c r="J269" s="91">
        <f t="shared" si="114"/>
        <v>4</v>
      </c>
      <c r="K269" s="80">
        <v>380</v>
      </c>
      <c r="L269" s="81">
        <f t="shared" si="112"/>
        <v>481.68804180000001</v>
      </c>
      <c r="M269" s="82">
        <f t="shared" si="129"/>
        <v>0</v>
      </c>
      <c r="N269" s="82">
        <f t="shared" si="130"/>
        <v>0</v>
      </c>
      <c r="O269" s="82">
        <f>N269+'BM 003'!O269</f>
        <v>0</v>
      </c>
      <c r="P269" s="80">
        <f t="shared" si="131"/>
        <v>1520</v>
      </c>
      <c r="Q269" s="82">
        <f t="shared" si="132"/>
        <v>1926.75</v>
      </c>
      <c r="R269" s="82">
        <f t="shared" si="133"/>
        <v>1926.75</v>
      </c>
    </row>
    <row r="270" spans="2:18" s="34" customFormat="1" ht="23.4">
      <c r="B270" s="87" t="s">
        <v>533</v>
      </c>
      <c r="C270" s="88" t="s">
        <v>534</v>
      </c>
      <c r="D270" s="89" t="s">
        <v>131</v>
      </c>
      <c r="E270" s="90">
        <v>1</v>
      </c>
      <c r="F270" s="91"/>
      <c r="G270" s="91"/>
      <c r="H270" s="91"/>
      <c r="I270" s="91">
        <f>SUM(G270:H270)+'BM 003'!I270</f>
        <v>0</v>
      </c>
      <c r="J270" s="91">
        <f t="shared" si="114"/>
        <v>1</v>
      </c>
      <c r="K270" s="80">
        <v>600</v>
      </c>
      <c r="L270" s="81">
        <f t="shared" si="112"/>
        <v>760.56006600000001</v>
      </c>
      <c r="M270" s="82">
        <f t="shared" si="129"/>
        <v>0</v>
      </c>
      <c r="N270" s="82">
        <f t="shared" si="130"/>
        <v>0</v>
      </c>
      <c r="O270" s="82">
        <f>N270+'BM 003'!O270</f>
        <v>0</v>
      </c>
      <c r="P270" s="80">
        <f t="shared" si="131"/>
        <v>600</v>
      </c>
      <c r="Q270" s="82">
        <f t="shared" si="132"/>
        <v>760.56</v>
      </c>
      <c r="R270" s="82">
        <f t="shared" si="133"/>
        <v>760.56</v>
      </c>
    </row>
    <row r="271" spans="2:18" s="34" customFormat="1" ht="13.2">
      <c r="B271" s="87" t="s">
        <v>535</v>
      </c>
      <c r="C271" s="88" t="s">
        <v>536</v>
      </c>
      <c r="D271" s="89" t="s">
        <v>131</v>
      </c>
      <c r="E271" s="90">
        <v>1</v>
      </c>
      <c r="F271" s="91"/>
      <c r="G271" s="91"/>
      <c r="H271" s="91"/>
      <c r="I271" s="91">
        <f>SUM(G271:H271)+'BM 003'!I271</f>
        <v>0</v>
      </c>
      <c r="J271" s="91">
        <f t="shared" si="114"/>
        <v>1</v>
      </c>
      <c r="K271" s="80">
        <v>350</v>
      </c>
      <c r="L271" s="81">
        <f t="shared" si="112"/>
        <v>443.66003850000004</v>
      </c>
      <c r="M271" s="82">
        <f t="shared" si="129"/>
        <v>0</v>
      </c>
      <c r="N271" s="82">
        <f t="shared" si="130"/>
        <v>0</v>
      </c>
      <c r="O271" s="82">
        <f>N271+'BM 003'!O271</f>
        <v>0</v>
      </c>
      <c r="P271" s="80">
        <f t="shared" si="131"/>
        <v>350</v>
      </c>
      <c r="Q271" s="82">
        <f t="shared" si="132"/>
        <v>443.66</v>
      </c>
      <c r="R271" s="82">
        <f t="shared" si="133"/>
        <v>443.66</v>
      </c>
    </row>
    <row r="272" spans="2:18" s="34" customFormat="1" ht="13.2">
      <c r="B272" s="87" t="s">
        <v>537</v>
      </c>
      <c r="C272" s="88" t="s">
        <v>538</v>
      </c>
      <c r="D272" s="89" t="s">
        <v>131</v>
      </c>
      <c r="E272" s="90">
        <v>6</v>
      </c>
      <c r="F272" s="91"/>
      <c r="G272" s="91"/>
      <c r="H272" s="91"/>
      <c r="I272" s="91">
        <f>SUM(G272:H272)+'BM 003'!I272</f>
        <v>0</v>
      </c>
      <c r="J272" s="91">
        <f t="shared" si="114"/>
        <v>6</v>
      </c>
      <c r="K272" s="80">
        <v>450</v>
      </c>
      <c r="L272" s="81">
        <f t="shared" si="112"/>
        <v>570.4200495</v>
      </c>
      <c r="M272" s="82">
        <f t="shared" si="129"/>
        <v>0</v>
      </c>
      <c r="N272" s="82">
        <f t="shared" si="130"/>
        <v>0</v>
      </c>
      <c r="O272" s="82">
        <f>N272+'BM 003'!O272</f>
        <v>0</v>
      </c>
      <c r="P272" s="80">
        <f t="shared" si="131"/>
        <v>2700</v>
      </c>
      <c r="Q272" s="82">
        <f t="shared" si="132"/>
        <v>3422.52</v>
      </c>
      <c r="R272" s="82">
        <f t="shared" si="133"/>
        <v>3422.52</v>
      </c>
    </row>
    <row r="273" spans="2:18" s="34" customFormat="1" ht="23.4">
      <c r="B273" s="87" t="s">
        <v>539</v>
      </c>
      <c r="C273" s="88" t="s">
        <v>540</v>
      </c>
      <c r="D273" s="89" t="s">
        <v>131</v>
      </c>
      <c r="E273" s="90">
        <v>1</v>
      </c>
      <c r="F273" s="91"/>
      <c r="G273" s="91"/>
      <c r="H273" s="91"/>
      <c r="I273" s="91">
        <f>SUM(G273:H273)+'BM 003'!I273</f>
        <v>0</v>
      </c>
      <c r="J273" s="91">
        <f t="shared" si="114"/>
        <v>1</v>
      </c>
      <c r="K273" s="80">
        <v>750</v>
      </c>
      <c r="L273" s="81">
        <f t="shared" si="112"/>
        <v>950.70008250000001</v>
      </c>
      <c r="M273" s="82">
        <f t="shared" si="129"/>
        <v>0</v>
      </c>
      <c r="N273" s="82">
        <f t="shared" si="130"/>
        <v>0</v>
      </c>
      <c r="O273" s="82">
        <f>N273+'BM 003'!O273</f>
        <v>0</v>
      </c>
      <c r="P273" s="80">
        <f t="shared" si="131"/>
        <v>750</v>
      </c>
      <c r="Q273" s="82">
        <f t="shared" si="132"/>
        <v>950.7</v>
      </c>
      <c r="R273" s="82">
        <f t="shared" si="133"/>
        <v>950.7</v>
      </c>
    </row>
    <row r="274" spans="2:18" s="34" customFormat="1" ht="34.799999999999997">
      <c r="B274" s="87" t="s">
        <v>541</v>
      </c>
      <c r="C274" s="88" t="s">
        <v>542</v>
      </c>
      <c r="D274" s="89" t="s">
        <v>131</v>
      </c>
      <c r="E274" s="90">
        <v>7</v>
      </c>
      <c r="F274" s="91"/>
      <c r="G274" s="91"/>
      <c r="H274" s="91"/>
      <c r="I274" s="91">
        <f>SUM(G274:H274)+'BM 003'!I274</f>
        <v>0</v>
      </c>
      <c r="J274" s="91">
        <f t="shared" si="114"/>
        <v>7</v>
      </c>
      <c r="K274" s="80">
        <v>20</v>
      </c>
      <c r="L274" s="81">
        <f t="shared" si="112"/>
        <v>25.352002200000001</v>
      </c>
      <c r="M274" s="82">
        <f t="shared" si="129"/>
        <v>0</v>
      </c>
      <c r="N274" s="82">
        <f t="shared" si="130"/>
        <v>0</v>
      </c>
      <c r="O274" s="82">
        <f>N274+'BM 003'!O274</f>
        <v>0</v>
      </c>
      <c r="P274" s="80">
        <f t="shared" si="131"/>
        <v>140</v>
      </c>
      <c r="Q274" s="82">
        <f t="shared" si="132"/>
        <v>177.46</v>
      </c>
      <c r="R274" s="82">
        <f t="shared" si="133"/>
        <v>177.46</v>
      </c>
    </row>
    <row r="275" spans="2:18" s="34" customFormat="1" ht="34.799999999999997">
      <c r="B275" s="87" t="s">
        <v>543</v>
      </c>
      <c r="C275" s="88" t="s">
        <v>544</v>
      </c>
      <c r="D275" s="89" t="s">
        <v>131</v>
      </c>
      <c r="E275" s="90">
        <v>17</v>
      </c>
      <c r="F275" s="91"/>
      <c r="G275" s="91"/>
      <c r="H275" s="91"/>
      <c r="I275" s="91">
        <f>SUM(G275:H275)+'BM 003'!I275</f>
        <v>0</v>
      </c>
      <c r="J275" s="91">
        <f t="shared" si="114"/>
        <v>17</v>
      </c>
      <c r="K275" s="80">
        <v>20</v>
      </c>
      <c r="L275" s="81">
        <f t="shared" si="112"/>
        <v>25.352002200000001</v>
      </c>
      <c r="M275" s="82">
        <f t="shared" si="129"/>
        <v>0</v>
      </c>
      <c r="N275" s="82">
        <f t="shared" si="130"/>
        <v>0</v>
      </c>
      <c r="O275" s="82">
        <f>N275+'BM 003'!O275</f>
        <v>0</v>
      </c>
      <c r="P275" s="80">
        <f t="shared" si="131"/>
        <v>340</v>
      </c>
      <c r="Q275" s="82">
        <f t="shared" si="132"/>
        <v>430.98</v>
      </c>
      <c r="R275" s="82">
        <f t="shared" si="133"/>
        <v>430.98</v>
      </c>
    </row>
    <row r="276" spans="2:18" s="34" customFormat="1" ht="34.799999999999997">
      <c r="B276" s="87" t="s">
        <v>545</v>
      </c>
      <c r="C276" s="88" t="s">
        <v>546</v>
      </c>
      <c r="D276" s="89" t="s">
        <v>131</v>
      </c>
      <c r="E276" s="90">
        <v>71</v>
      </c>
      <c r="F276" s="91"/>
      <c r="G276" s="91"/>
      <c r="H276" s="91"/>
      <c r="I276" s="91">
        <f>SUM(G276:H276)+'BM 003'!I276</f>
        <v>0</v>
      </c>
      <c r="J276" s="91">
        <f t="shared" si="114"/>
        <v>71</v>
      </c>
      <c r="K276" s="80">
        <v>20</v>
      </c>
      <c r="L276" s="81">
        <f t="shared" si="112"/>
        <v>25.352002200000001</v>
      </c>
      <c r="M276" s="82">
        <f t="shared" si="129"/>
        <v>0</v>
      </c>
      <c r="N276" s="82">
        <f t="shared" si="130"/>
        <v>0</v>
      </c>
      <c r="O276" s="82">
        <f>N276+'BM 003'!O276</f>
        <v>0</v>
      </c>
      <c r="P276" s="80">
        <f t="shared" si="131"/>
        <v>1420</v>
      </c>
      <c r="Q276" s="82">
        <f t="shared" si="132"/>
        <v>1799.99</v>
      </c>
      <c r="R276" s="82">
        <f t="shared" si="133"/>
        <v>1799.99</v>
      </c>
    </row>
    <row r="277" spans="2:18" s="34" customFormat="1" ht="34.799999999999997">
      <c r="B277" s="87" t="s">
        <v>547</v>
      </c>
      <c r="C277" s="88" t="s">
        <v>548</v>
      </c>
      <c r="D277" s="89" t="s">
        <v>131</v>
      </c>
      <c r="E277" s="90">
        <v>179</v>
      </c>
      <c r="F277" s="91"/>
      <c r="G277" s="91"/>
      <c r="H277" s="91"/>
      <c r="I277" s="91">
        <f>SUM(G277:H277)+'BM 003'!I277</f>
        <v>0</v>
      </c>
      <c r="J277" s="91">
        <f t="shared" si="114"/>
        <v>179</v>
      </c>
      <c r="K277" s="80">
        <v>20</v>
      </c>
      <c r="L277" s="81">
        <f t="shared" si="112"/>
        <v>25.352002200000001</v>
      </c>
      <c r="M277" s="82">
        <f t="shared" si="129"/>
        <v>0</v>
      </c>
      <c r="N277" s="82">
        <f t="shared" si="130"/>
        <v>0</v>
      </c>
      <c r="O277" s="82">
        <f>N277+'BM 003'!O277</f>
        <v>0</v>
      </c>
      <c r="P277" s="80">
        <f t="shared" si="131"/>
        <v>3580</v>
      </c>
      <c r="Q277" s="82">
        <f t="shared" si="132"/>
        <v>4538</v>
      </c>
      <c r="R277" s="82">
        <f t="shared" si="133"/>
        <v>4538</v>
      </c>
    </row>
    <row r="278" spans="2:18" s="34" customFormat="1" ht="34.799999999999997">
      <c r="B278" s="87" t="s">
        <v>549</v>
      </c>
      <c r="C278" s="88" t="s">
        <v>550</v>
      </c>
      <c r="D278" s="89" t="s">
        <v>131</v>
      </c>
      <c r="E278" s="90">
        <v>1</v>
      </c>
      <c r="F278" s="91"/>
      <c r="G278" s="91"/>
      <c r="H278" s="91"/>
      <c r="I278" s="91">
        <f>SUM(G278:H278)+'BM 003'!I278</f>
        <v>0</v>
      </c>
      <c r="J278" s="91">
        <f t="shared" si="114"/>
        <v>1</v>
      </c>
      <c r="K278" s="80">
        <v>25</v>
      </c>
      <c r="L278" s="81">
        <f t="shared" si="112"/>
        <v>31.690002750000001</v>
      </c>
      <c r="M278" s="82">
        <f t="shared" si="129"/>
        <v>0</v>
      </c>
      <c r="N278" s="82">
        <f t="shared" si="130"/>
        <v>0</v>
      </c>
      <c r="O278" s="82">
        <f>N278+'BM 003'!O278</f>
        <v>0</v>
      </c>
      <c r="P278" s="80">
        <f t="shared" si="131"/>
        <v>25</v>
      </c>
      <c r="Q278" s="82">
        <f t="shared" si="132"/>
        <v>31.69</v>
      </c>
      <c r="R278" s="82">
        <f t="shared" si="133"/>
        <v>31.69</v>
      </c>
    </row>
    <row r="279" spans="2:18" s="34" customFormat="1" ht="34.799999999999997">
      <c r="B279" s="87" t="s">
        <v>551</v>
      </c>
      <c r="C279" s="88" t="s">
        <v>552</v>
      </c>
      <c r="D279" s="89" t="s">
        <v>131</v>
      </c>
      <c r="E279" s="90">
        <v>8</v>
      </c>
      <c r="F279" s="91"/>
      <c r="G279" s="91"/>
      <c r="H279" s="91"/>
      <c r="I279" s="91">
        <f>SUM(G279:H279)+'BM 003'!I279</f>
        <v>0</v>
      </c>
      <c r="J279" s="91">
        <f t="shared" si="114"/>
        <v>8</v>
      </c>
      <c r="K279" s="80">
        <v>25</v>
      </c>
      <c r="L279" s="81">
        <f t="shared" si="112"/>
        <v>31.690002750000001</v>
      </c>
      <c r="M279" s="82">
        <f t="shared" si="129"/>
        <v>0</v>
      </c>
      <c r="N279" s="82">
        <f t="shared" si="130"/>
        <v>0</v>
      </c>
      <c r="O279" s="82">
        <f>N279+'BM 003'!O279</f>
        <v>0</v>
      </c>
      <c r="P279" s="80">
        <f t="shared" si="131"/>
        <v>200</v>
      </c>
      <c r="Q279" s="82">
        <f t="shared" si="132"/>
        <v>253.52</v>
      </c>
      <c r="R279" s="82">
        <f t="shared" si="133"/>
        <v>253.52</v>
      </c>
    </row>
    <row r="280" spans="2:18" s="34" customFormat="1" ht="34.799999999999997">
      <c r="B280" s="87" t="s">
        <v>553</v>
      </c>
      <c r="C280" s="88" t="s">
        <v>554</v>
      </c>
      <c r="D280" s="89" t="s">
        <v>131</v>
      </c>
      <c r="E280" s="90">
        <v>14</v>
      </c>
      <c r="F280" s="91"/>
      <c r="G280" s="91"/>
      <c r="H280" s="91"/>
      <c r="I280" s="91">
        <f>SUM(G280:H280)+'BM 003'!I280</f>
        <v>0</v>
      </c>
      <c r="J280" s="91">
        <f t="shared" si="114"/>
        <v>14</v>
      </c>
      <c r="K280" s="80">
        <v>25</v>
      </c>
      <c r="L280" s="81">
        <f t="shared" si="112"/>
        <v>31.690002750000001</v>
      </c>
      <c r="M280" s="82">
        <f t="shared" si="129"/>
        <v>0</v>
      </c>
      <c r="N280" s="82">
        <f t="shared" si="130"/>
        <v>0</v>
      </c>
      <c r="O280" s="82">
        <f>N280+'BM 003'!O280</f>
        <v>0</v>
      </c>
      <c r="P280" s="80">
        <f t="shared" si="131"/>
        <v>350</v>
      </c>
      <c r="Q280" s="82">
        <f t="shared" si="132"/>
        <v>443.66</v>
      </c>
      <c r="R280" s="82">
        <f t="shared" si="133"/>
        <v>443.66</v>
      </c>
    </row>
    <row r="281" spans="2:18" s="34" customFormat="1" ht="34.799999999999997">
      <c r="B281" s="87" t="s">
        <v>555</v>
      </c>
      <c r="C281" s="88" t="s">
        <v>556</v>
      </c>
      <c r="D281" s="89" t="s">
        <v>131</v>
      </c>
      <c r="E281" s="90">
        <v>5</v>
      </c>
      <c r="F281" s="91"/>
      <c r="G281" s="91"/>
      <c r="H281" s="91"/>
      <c r="I281" s="91">
        <f>SUM(G281:H281)+'BM 003'!I281</f>
        <v>0</v>
      </c>
      <c r="J281" s="91">
        <f t="shared" si="114"/>
        <v>5</v>
      </c>
      <c r="K281" s="80">
        <v>30</v>
      </c>
      <c r="L281" s="81">
        <f t="shared" si="112"/>
        <v>38.028003300000002</v>
      </c>
      <c r="M281" s="82">
        <f t="shared" si="129"/>
        <v>0</v>
      </c>
      <c r="N281" s="82">
        <f t="shared" si="130"/>
        <v>0</v>
      </c>
      <c r="O281" s="82">
        <f>N281+'BM 003'!O281</f>
        <v>0</v>
      </c>
      <c r="P281" s="80">
        <f t="shared" si="131"/>
        <v>150</v>
      </c>
      <c r="Q281" s="82">
        <f t="shared" si="132"/>
        <v>190.14</v>
      </c>
      <c r="R281" s="82">
        <f t="shared" si="133"/>
        <v>190.14</v>
      </c>
    </row>
    <row r="282" spans="2:18" s="34" customFormat="1" ht="34.799999999999997">
      <c r="B282" s="87" t="s">
        <v>557</v>
      </c>
      <c r="C282" s="88" t="s">
        <v>558</v>
      </c>
      <c r="D282" s="89" t="s">
        <v>131</v>
      </c>
      <c r="E282" s="90">
        <v>4</v>
      </c>
      <c r="F282" s="91"/>
      <c r="G282" s="91"/>
      <c r="H282" s="91"/>
      <c r="I282" s="91">
        <f>SUM(G282:H282)+'BM 003'!I282</f>
        <v>0</v>
      </c>
      <c r="J282" s="91">
        <f t="shared" si="114"/>
        <v>4</v>
      </c>
      <c r="K282" s="80">
        <v>40</v>
      </c>
      <c r="L282" s="81">
        <f t="shared" si="112"/>
        <v>50.704004400000002</v>
      </c>
      <c r="M282" s="82">
        <f t="shared" si="129"/>
        <v>0</v>
      </c>
      <c r="N282" s="82">
        <f t="shared" si="130"/>
        <v>0</v>
      </c>
      <c r="O282" s="82">
        <f>N282+'BM 003'!O282</f>
        <v>0</v>
      </c>
      <c r="P282" s="80">
        <f t="shared" si="131"/>
        <v>160</v>
      </c>
      <c r="Q282" s="82">
        <f t="shared" si="132"/>
        <v>202.81</v>
      </c>
      <c r="R282" s="82">
        <f t="shared" si="133"/>
        <v>202.81</v>
      </c>
    </row>
    <row r="283" spans="2:18" s="34" customFormat="1" ht="34.799999999999997">
      <c r="B283" s="87" t="s">
        <v>559</v>
      </c>
      <c r="C283" s="88" t="s">
        <v>560</v>
      </c>
      <c r="D283" s="89" t="s">
        <v>131</v>
      </c>
      <c r="E283" s="90">
        <v>4</v>
      </c>
      <c r="F283" s="91"/>
      <c r="G283" s="91"/>
      <c r="H283" s="91"/>
      <c r="I283" s="91">
        <f>SUM(G283:H283)+'BM 003'!I283</f>
        <v>0</v>
      </c>
      <c r="J283" s="91">
        <f t="shared" si="114"/>
        <v>4</v>
      </c>
      <c r="K283" s="80">
        <v>50</v>
      </c>
      <c r="L283" s="81">
        <f t="shared" si="112"/>
        <v>63.380005500000003</v>
      </c>
      <c r="M283" s="82">
        <f t="shared" si="129"/>
        <v>0</v>
      </c>
      <c r="N283" s="82">
        <f t="shared" si="130"/>
        <v>0</v>
      </c>
      <c r="O283" s="82">
        <f>N283+'BM 003'!O283</f>
        <v>0</v>
      </c>
      <c r="P283" s="80">
        <f t="shared" si="131"/>
        <v>200</v>
      </c>
      <c r="Q283" s="82">
        <f t="shared" si="132"/>
        <v>253.52</v>
      </c>
      <c r="R283" s="82">
        <f t="shared" si="133"/>
        <v>253.52</v>
      </c>
    </row>
    <row r="284" spans="2:18" s="34" customFormat="1" ht="34.799999999999997">
      <c r="B284" s="87" t="s">
        <v>561</v>
      </c>
      <c r="C284" s="88" t="s">
        <v>562</v>
      </c>
      <c r="D284" s="89" t="s">
        <v>131</v>
      </c>
      <c r="E284" s="90">
        <v>1</v>
      </c>
      <c r="F284" s="91"/>
      <c r="G284" s="91"/>
      <c r="H284" s="91"/>
      <c r="I284" s="91">
        <f>SUM(G284:H284)+'BM 003'!I284</f>
        <v>0</v>
      </c>
      <c r="J284" s="91">
        <f t="shared" si="114"/>
        <v>1</v>
      </c>
      <c r="K284" s="80">
        <v>80</v>
      </c>
      <c r="L284" s="81">
        <f t="shared" si="112"/>
        <v>101.4080088</v>
      </c>
      <c r="M284" s="82">
        <f t="shared" si="129"/>
        <v>0</v>
      </c>
      <c r="N284" s="82">
        <f t="shared" si="130"/>
        <v>0</v>
      </c>
      <c r="O284" s="82">
        <f>N284+'BM 003'!O284</f>
        <v>0</v>
      </c>
      <c r="P284" s="80">
        <f t="shared" si="131"/>
        <v>80</v>
      </c>
      <c r="Q284" s="82">
        <f t="shared" si="132"/>
        <v>101.4</v>
      </c>
      <c r="R284" s="82">
        <f t="shared" si="133"/>
        <v>101.4</v>
      </c>
    </row>
    <row r="285" spans="2:18" s="34" customFormat="1" ht="34.799999999999997">
      <c r="B285" s="87" t="s">
        <v>563</v>
      </c>
      <c r="C285" s="88" t="s">
        <v>564</v>
      </c>
      <c r="D285" s="89" t="s">
        <v>131</v>
      </c>
      <c r="E285" s="90">
        <v>9</v>
      </c>
      <c r="F285" s="91"/>
      <c r="G285" s="91"/>
      <c r="H285" s="91"/>
      <c r="I285" s="91">
        <f>SUM(G285:H285)+'BM 003'!I285</f>
        <v>0</v>
      </c>
      <c r="J285" s="91">
        <f t="shared" si="114"/>
        <v>9</v>
      </c>
      <c r="K285" s="80">
        <v>89</v>
      </c>
      <c r="L285" s="81">
        <f t="shared" ref="L285:L348" si="134">K285*(1+$T$26)</f>
        <v>112.81640979000001</v>
      </c>
      <c r="M285" s="82">
        <f t="shared" si="129"/>
        <v>0</v>
      </c>
      <c r="N285" s="82">
        <f t="shared" si="130"/>
        <v>0</v>
      </c>
      <c r="O285" s="82">
        <f>N285+'BM 003'!O285</f>
        <v>0</v>
      </c>
      <c r="P285" s="80">
        <f t="shared" si="131"/>
        <v>801</v>
      </c>
      <c r="Q285" s="82">
        <f t="shared" si="132"/>
        <v>1015.34</v>
      </c>
      <c r="R285" s="82">
        <f t="shared" si="133"/>
        <v>1015.34</v>
      </c>
    </row>
    <row r="286" spans="2:18" s="34" customFormat="1" ht="34.799999999999997">
      <c r="B286" s="87" t="s">
        <v>565</v>
      </c>
      <c r="C286" s="88" t="s">
        <v>566</v>
      </c>
      <c r="D286" s="89" t="s">
        <v>131</v>
      </c>
      <c r="E286" s="90">
        <v>4</v>
      </c>
      <c r="F286" s="91"/>
      <c r="G286" s="91"/>
      <c r="H286" s="91"/>
      <c r="I286" s="91">
        <f>SUM(G286:H286)+'BM 003'!I286</f>
        <v>0</v>
      </c>
      <c r="J286" s="91">
        <f t="shared" si="114"/>
        <v>4</v>
      </c>
      <c r="K286" s="80">
        <v>89</v>
      </c>
      <c r="L286" s="81">
        <f t="shared" si="134"/>
        <v>112.81640979000001</v>
      </c>
      <c r="M286" s="82">
        <f t="shared" si="129"/>
        <v>0</v>
      </c>
      <c r="N286" s="82">
        <f t="shared" si="130"/>
        <v>0</v>
      </c>
      <c r="O286" s="82">
        <f>N286+'BM 003'!O286</f>
        <v>0</v>
      </c>
      <c r="P286" s="80">
        <f t="shared" si="131"/>
        <v>356</v>
      </c>
      <c r="Q286" s="82">
        <f t="shared" si="132"/>
        <v>451.26</v>
      </c>
      <c r="R286" s="82">
        <f t="shared" si="133"/>
        <v>451.26</v>
      </c>
    </row>
    <row r="287" spans="2:18" s="34" customFormat="1" ht="34.799999999999997">
      <c r="B287" s="87" t="s">
        <v>567</v>
      </c>
      <c r="C287" s="88" t="s">
        <v>568</v>
      </c>
      <c r="D287" s="89" t="s">
        <v>131</v>
      </c>
      <c r="E287" s="90">
        <v>12</v>
      </c>
      <c r="F287" s="91"/>
      <c r="G287" s="91"/>
      <c r="H287" s="91"/>
      <c r="I287" s="91">
        <f>SUM(G287:H287)+'BM 003'!I287</f>
        <v>0</v>
      </c>
      <c r="J287" s="91">
        <f t="shared" ref="J287:J350" si="135">E287-I287</f>
        <v>12</v>
      </c>
      <c r="K287" s="80">
        <v>89</v>
      </c>
      <c r="L287" s="81">
        <f t="shared" si="134"/>
        <v>112.81640979000001</v>
      </c>
      <c r="M287" s="82">
        <f t="shared" si="129"/>
        <v>0</v>
      </c>
      <c r="N287" s="82">
        <f t="shared" si="130"/>
        <v>0</v>
      </c>
      <c r="O287" s="82">
        <f>N287+'BM 003'!O287</f>
        <v>0</v>
      </c>
      <c r="P287" s="80">
        <f t="shared" si="131"/>
        <v>1068</v>
      </c>
      <c r="Q287" s="82">
        <f t="shared" si="132"/>
        <v>1353.79</v>
      </c>
      <c r="R287" s="82">
        <f t="shared" si="133"/>
        <v>1353.79</v>
      </c>
    </row>
    <row r="288" spans="2:18" s="34" customFormat="1" ht="34.799999999999997">
      <c r="B288" s="87" t="s">
        <v>569</v>
      </c>
      <c r="C288" s="88" t="s">
        <v>570</v>
      </c>
      <c r="D288" s="89" t="s">
        <v>131</v>
      </c>
      <c r="E288" s="90">
        <v>4</v>
      </c>
      <c r="F288" s="91"/>
      <c r="G288" s="91"/>
      <c r="H288" s="91"/>
      <c r="I288" s="91">
        <f>SUM(G288:H288)+'BM 003'!I288</f>
        <v>0</v>
      </c>
      <c r="J288" s="91">
        <f t="shared" si="135"/>
        <v>4</v>
      </c>
      <c r="K288" s="80">
        <v>89</v>
      </c>
      <c r="L288" s="81">
        <f t="shared" si="134"/>
        <v>112.81640979000001</v>
      </c>
      <c r="M288" s="82">
        <f t="shared" si="129"/>
        <v>0</v>
      </c>
      <c r="N288" s="82">
        <f t="shared" si="130"/>
        <v>0</v>
      </c>
      <c r="O288" s="82">
        <f>N288+'BM 003'!O288</f>
        <v>0</v>
      </c>
      <c r="P288" s="80">
        <f t="shared" si="131"/>
        <v>356</v>
      </c>
      <c r="Q288" s="82">
        <f t="shared" si="132"/>
        <v>451.26</v>
      </c>
      <c r="R288" s="82">
        <f t="shared" si="133"/>
        <v>451.26</v>
      </c>
    </row>
    <row r="289" spans="2:18" s="34" customFormat="1" ht="34.799999999999997">
      <c r="B289" s="87" t="s">
        <v>571</v>
      </c>
      <c r="C289" s="88" t="s">
        <v>572</v>
      </c>
      <c r="D289" s="89" t="s">
        <v>131</v>
      </c>
      <c r="E289" s="90">
        <v>1</v>
      </c>
      <c r="F289" s="91"/>
      <c r="G289" s="91"/>
      <c r="H289" s="91"/>
      <c r="I289" s="91">
        <f>SUM(G289:H289)+'BM 003'!I289</f>
        <v>0</v>
      </c>
      <c r="J289" s="91">
        <f t="shared" si="135"/>
        <v>1</v>
      </c>
      <c r="K289" s="80">
        <v>110</v>
      </c>
      <c r="L289" s="81">
        <f t="shared" si="134"/>
        <v>139.4360121</v>
      </c>
      <c r="M289" s="82">
        <f t="shared" si="129"/>
        <v>0</v>
      </c>
      <c r="N289" s="82">
        <f t="shared" si="130"/>
        <v>0</v>
      </c>
      <c r="O289" s="82">
        <f>N289+'BM 003'!O289</f>
        <v>0</v>
      </c>
      <c r="P289" s="80">
        <f t="shared" si="131"/>
        <v>110</v>
      </c>
      <c r="Q289" s="82">
        <f t="shared" si="132"/>
        <v>139.43</v>
      </c>
      <c r="R289" s="82">
        <f t="shared" si="133"/>
        <v>139.43</v>
      </c>
    </row>
    <row r="290" spans="2:18" s="34" customFormat="1" ht="34.799999999999997">
      <c r="B290" s="87" t="s">
        <v>573</v>
      </c>
      <c r="C290" s="88" t="s">
        <v>574</v>
      </c>
      <c r="D290" s="89" t="s">
        <v>131</v>
      </c>
      <c r="E290" s="90">
        <v>1</v>
      </c>
      <c r="F290" s="91"/>
      <c r="G290" s="91"/>
      <c r="H290" s="91"/>
      <c r="I290" s="91">
        <f>SUM(G290:H290)+'BM 003'!I290</f>
        <v>0</v>
      </c>
      <c r="J290" s="91">
        <f t="shared" si="135"/>
        <v>1</v>
      </c>
      <c r="K290" s="80">
        <v>115</v>
      </c>
      <c r="L290" s="81">
        <f t="shared" si="134"/>
        <v>145.77401265</v>
      </c>
      <c r="M290" s="82">
        <f t="shared" si="129"/>
        <v>0</v>
      </c>
      <c r="N290" s="82">
        <f t="shared" si="130"/>
        <v>0</v>
      </c>
      <c r="O290" s="82">
        <f>N290+'BM 003'!O290</f>
        <v>0</v>
      </c>
      <c r="P290" s="80">
        <f t="shared" si="131"/>
        <v>115</v>
      </c>
      <c r="Q290" s="82">
        <f t="shared" si="132"/>
        <v>145.77000000000001</v>
      </c>
      <c r="R290" s="82">
        <f t="shared" si="133"/>
        <v>145.77000000000001</v>
      </c>
    </row>
    <row r="291" spans="2:18" s="34" customFormat="1" ht="13.2">
      <c r="B291" s="66" t="s">
        <v>575</v>
      </c>
      <c r="C291" s="67" t="s">
        <v>576</v>
      </c>
      <c r="D291" s="68"/>
      <c r="E291" s="69"/>
      <c r="F291" s="70"/>
      <c r="G291" s="70"/>
      <c r="H291" s="70"/>
      <c r="I291" s="70">
        <f>SUM(G291:H291)+'BM 003'!I291</f>
        <v>0</v>
      </c>
      <c r="J291" s="70">
        <f t="shared" si="135"/>
        <v>0</v>
      </c>
      <c r="K291" s="71"/>
      <c r="L291" s="71">
        <f t="shared" si="134"/>
        <v>0</v>
      </c>
      <c r="M291" s="73">
        <f t="shared" ref="M291:R291" si="136">SUM(M292:M295)</f>
        <v>0</v>
      </c>
      <c r="N291" s="73">
        <f t="shared" si="136"/>
        <v>0</v>
      </c>
      <c r="O291" s="73">
        <f t="shared" si="136"/>
        <v>0</v>
      </c>
      <c r="P291" s="73">
        <f t="shared" si="136"/>
        <v>100820.55</v>
      </c>
      <c r="Q291" s="73">
        <f t="shared" si="136"/>
        <v>127800.12</v>
      </c>
      <c r="R291" s="73">
        <f t="shared" si="136"/>
        <v>127800.12</v>
      </c>
    </row>
    <row r="292" spans="2:18" s="34" customFormat="1" ht="34.799999999999997">
      <c r="B292" s="87" t="s">
        <v>577</v>
      </c>
      <c r="C292" s="88" t="s">
        <v>578</v>
      </c>
      <c r="D292" s="89" t="s">
        <v>131</v>
      </c>
      <c r="E292" s="90">
        <v>55</v>
      </c>
      <c r="F292" s="91"/>
      <c r="G292" s="91"/>
      <c r="H292" s="91"/>
      <c r="I292" s="91">
        <f>SUM(G292:H292)+'BM 003'!I292</f>
        <v>0</v>
      </c>
      <c r="J292" s="91">
        <f t="shared" si="135"/>
        <v>55</v>
      </c>
      <c r="K292" s="80">
        <v>164.81</v>
      </c>
      <c r="L292" s="81">
        <f t="shared" si="134"/>
        <v>208.91317412910001</v>
      </c>
      <c r="M292" s="82">
        <f>TRUNC(F292*L292,2)</f>
        <v>0</v>
      </c>
      <c r="N292" s="82">
        <f>TRUNC(G292*L292,2)</f>
        <v>0</v>
      </c>
      <c r="O292" s="82">
        <f>N292+'BM 003'!O292</f>
        <v>0</v>
      </c>
      <c r="P292" s="80">
        <f>E292*K292</f>
        <v>9064.5499999999993</v>
      </c>
      <c r="Q292" s="82">
        <f>TRUNC(E292*L292,2)</f>
        <v>11490.22</v>
      </c>
      <c r="R292" s="82">
        <f>Q292-O292</f>
        <v>11490.22</v>
      </c>
    </row>
    <row r="293" spans="2:18" s="34" customFormat="1" ht="23.4">
      <c r="B293" s="87" t="s">
        <v>579</v>
      </c>
      <c r="C293" s="88" t="s">
        <v>580</v>
      </c>
      <c r="D293" s="89" t="s">
        <v>131</v>
      </c>
      <c r="E293" s="90">
        <v>887</v>
      </c>
      <c r="F293" s="91"/>
      <c r="G293" s="91"/>
      <c r="H293" s="91"/>
      <c r="I293" s="91">
        <f>SUM(G293:H293)+'BM 003'!I293</f>
        <v>0</v>
      </c>
      <c r="J293" s="91">
        <f t="shared" si="135"/>
        <v>887</v>
      </c>
      <c r="K293" s="80">
        <v>98</v>
      </c>
      <c r="L293" s="81">
        <f t="shared" si="134"/>
        <v>124.22481078000001</v>
      </c>
      <c r="M293" s="82">
        <f>TRUNC(F293*L293,2)</f>
        <v>0</v>
      </c>
      <c r="N293" s="82">
        <f>TRUNC(G293*L293,2)</f>
        <v>0</v>
      </c>
      <c r="O293" s="82">
        <f>N293+'BM 003'!O293</f>
        <v>0</v>
      </c>
      <c r="P293" s="80">
        <f>E293*K293</f>
        <v>86926</v>
      </c>
      <c r="Q293" s="82">
        <f>TRUNC(E293*L293,2)</f>
        <v>110187.4</v>
      </c>
      <c r="R293" s="82">
        <f>Q293-O293</f>
        <v>110187.4</v>
      </c>
    </row>
    <row r="294" spans="2:18" s="34" customFormat="1" ht="23.4">
      <c r="B294" s="87" t="s">
        <v>581</v>
      </c>
      <c r="C294" s="88" t="s">
        <v>582</v>
      </c>
      <c r="D294" s="89" t="s">
        <v>131</v>
      </c>
      <c r="E294" s="90">
        <v>15</v>
      </c>
      <c r="F294" s="91"/>
      <c r="G294" s="91"/>
      <c r="H294" s="91"/>
      <c r="I294" s="91">
        <f>SUM(G294:H294)+'BM 003'!I294</f>
        <v>0</v>
      </c>
      <c r="J294" s="91">
        <f t="shared" si="135"/>
        <v>15</v>
      </c>
      <c r="K294" s="80">
        <v>130</v>
      </c>
      <c r="L294" s="81">
        <f t="shared" si="134"/>
        <v>164.78801430000001</v>
      </c>
      <c r="M294" s="82">
        <f>TRUNC(F294*L294,2)</f>
        <v>0</v>
      </c>
      <c r="N294" s="82">
        <f>TRUNC(G294*L294,2)</f>
        <v>0</v>
      </c>
      <c r="O294" s="82">
        <f>N294+'BM 003'!O294</f>
        <v>0</v>
      </c>
      <c r="P294" s="80">
        <f>E294*K294</f>
        <v>1950</v>
      </c>
      <c r="Q294" s="82">
        <f>TRUNC(E294*L294,2)</f>
        <v>2471.8200000000002</v>
      </c>
      <c r="R294" s="82">
        <f>Q294-O294</f>
        <v>2471.8200000000002</v>
      </c>
    </row>
    <row r="295" spans="2:18" s="34" customFormat="1" ht="23.4">
      <c r="B295" s="87" t="s">
        <v>583</v>
      </c>
      <c r="C295" s="88" t="s">
        <v>584</v>
      </c>
      <c r="D295" s="89" t="s">
        <v>131</v>
      </c>
      <c r="E295" s="90">
        <v>32</v>
      </c>
      <c r="F295" s="91"/>
      <c r="G295" s="91"/>
      <c r="H295" s="91"/>
      <c r="I295" s="91">
        <f>SUM(G295:H295)+'BM 003'!I295</f>
        <v>0</v>
      </c>
      <c r="J295" s="91">
        <f t="shared" si="135"/>
        <v>32</v>
      </c>
      <c r="K295" s="80">
        <v>90</v>
      </c>
      <c r="L295" s="81">
        <f t="shared" si="134"/>
        <v>114.08400990000001</v>
      </c>
      <c r="M295" s="82">
        <f>TRUNC(F295*L295,2)</f>
        <v>0</v>
      </c>
      <c r="N295" s="82">
        <f>TRUNC(G295*L295,2)</f>
        <v>0</v>
      </c>
      <c r="O295" s="82">
        <f>N295+'BM 003'!O295</f>
        <v>0</v>
      </c>
      <c r="P295" s="80">
        <f>E295*K295</f>
        <v>2880</v>
      </c>
      <c r="Q295" s="82">
        <f>TRUNC(E295*L295,2)</f>
        <v>3650.68</v>
      </c>
      <c r="R295" s="82">
        <f>Q295-O295</f>
        <v>3650.68</v>
      </c>
    </row>
    <row r="296" spans="2:18" s="34" customFormat="1" ht="13.2">
      <c r="B296" s="66" t="s">
        <v>585</v>
      </c>
      <c r="C296" s="67" t="s">
        <v>586</v>
      </c>
      <c r="D296" s="68"/>
      <c r="E296" s="69"/>
      <c r="F296" s="70"/>
      <c r="G296" s="70"/>
      <c r="H296" s="70"/>
      <c r="I296" s="70">
        <f>SUM(G296:H296)+'BM 003'!I296</f>
        <v>0</v>
      </c>
      <c r="J296" s="70">
        <f t="shared" si="135"/>
        <v>0</v>
      </c>
      <c r="K296" s="71"/>
      <c r="L296" s="71">
        <f t="shared" si="134"/>
        <v>0</v>
      </c>
      <c r="M296" s="73">
        <f t="shared" ref="M296:R296" si="137">SUM(M297:M306)</f>
        <v>0</v>
      </c>
      <c r="N296" s="73">
        <f t="shared" si="137"/>
        <v>0</v>
      </c>
      <c r="O296" s="73">
        <f t="shared" si="137"/>
        <v>0</v>
      </c>
      <c r="P296" s="73">
        <f t="shared" si="137"/>
        <v>16787.3</v>
      </c>
      <c r="Q296" s="73">
        <f t="shared" si="137"/>
        <v>21279.56</v>
      </c>
      <c r="R296" s="73">
        <f t="shared" si="137"/>
        <v>21279.56</v>
      </c>
    </row>
    <row r="297" spans="2:18" s="34" customFormat="1" ht="46.2">
      <c r="B297" s="87" t="s">
        <v>587</v>
      </c>
      <c r="C297" s="88" t="s">
        <v>588</v>
      </c>
      <c r="D297" s="89" t="s">
        <v>131</v>
      </c>
      <c r="E297" s="90">
        <v>79</v>
      </c>
      <c r="F297" s="91"/>
      <c r="G297" s="91"/>
      <c r="H297" s="91"/>
      <c r="I297" s="91">
        <f>SUM(G297:H297)+'BM 003'!I297</f>
        <v>0</v>
      </c>
      <c r="J297" s="91">
        <f t="shared" si="135"/>
        <v>79</v>
      </c>
      <c r="K297" s="80">
        <v>32</v>
      </c>
      <c r="L297" s="81">
        <f t="shared" si="134"/>
        <v>40.563203520000002</v>
      </c>
      <c r="M297" s="82">
        <f t="shared" ref="M297:M306" si="138">TRUNC(F297*L297,2)</f>
        <v>0</v>
      </c>
      <c r="N297" s="82">
        <f t="shared" ref="N297:N306" si="139">TRUNC(G297*L297,2)</f>
        <v>0</v>
      </c>
      <c r="O297" s="82">
        <f>N297+'BM 003'!O297</f>
        <v>0</v>
      </c>
      <c r="P297" s="80">
        <f t="shared" ref="P297:P306" si="140">E297*K297</f>
        <v>2528</v>
      </c>
      <c r="Q297" s="82">
        <f t="shared" ref="Q297:Q306" si="141">TRUNC(E297*L297,2)</f>
        <v>3204.49</v>
      </c>
      <c r="R297" s="82">
        <f t="shared" ref="R297:R306" si="142">Q297-O297</f>
        <v>3204.49</v>
      </c>
    </row>
    <row r="298" spans="2:18" s="34" customFormat="1" ht="46.2">
      <c r="B298" s="87" t="s">
        <v>589</v>
      </c>
      <c r="C298" s="88" t="s">
        <v>590</v>
      </c>
      <c r="D298" s="89" t="s">
        <v>131</v>
      </c>
      <c r="E298" s="90">
        <v>73</v>
      </c>
      <c r="F298" s="91"/>
      <c r="G298" s="91"/>
      <c r="H298" s="91"/>
      <c r="I298" s="91">
        <f>SUM(G298:H298)+'BM 003'!I298</f>
        <v>0</v>
      </c>
      <c r="J298" s="91">
        <f t="shared" si="135"/>
        <v>73</v>
      </c>
      <c r="K298" s="80">
        <v>38</v>
      </c>
      <c r="L298" s="81">
        <f t="shared" si="134"/>
        <v>48.168804180000002</v>
      </c>
      <c r="M298" s="82">
        <f t="shared" si="138"/>
        <v>0</v>
      </c>
      <c r="N298" s="82">
        <f t="shared" si="139"/>
        <v>0</v>
      </c>
      <c r="O298" s="82">
        <f>N298+'BM 003'!O298</f>
        <v>0</v>
      </c>
      <c r="P298" s="80">
        <f t="shared" si="140"/>
        <v>2774</v>
      </c>
      <c r="Q298" s="82">
        <f t="shared" si="141"/>
        <v>3516.32</v>
      </c>
      <c r="R298" s="82">
        <f t="shared" si="142"/>
        <v>3516.32</v>
      </c>
    </row>
    <row r="299" spans="2:18" s="34" customFormat="1" ht="46.2">
      <c r="B299" s="87" t="s">
        <v>591</v>
      </c>
      <c r="C299" s="88" t="s">
        <v>592</v>
      </c>
      <c r="D299" s="89" t="s">
        <v>131</v>
      </c>
      <c r="E299" s="90">
        <v>34</v>
      </c>
      <c r="F299" s="91"/>
      <c r="G299" s="91"/>
      <c r="H299" s="91"/>
      <c r="I299" s="91">
        <f>SUM(G299:H299)+'BM 003'!I299</f>
        <v>0</v>
      </c>
      <c r="J299" s="91">
        <f t="shared" si="135"/>
        <v>34</v>
      </c>
      <c r="K299" s="80">
        <v>58.95</v>
      </c>
      <c r="L299" s="81">
        <f t="shared" si="134"/>
        <v>74.725026484500006</v>
      </c>
      <c r="M299" s="82">
        <f t="shared" si="138"/>
        <v>0</v>
      </c>
      <c r="N299" s="82">
        <f t="shared" si="139"/>
        <v>0</v>
      </c>
      <c r="O299" s="82">
        <f>N299+'BM 003'!O299</f>
        <v>0</v>
      </c>
      <c r="P299" s="80">
        <f t="shared" si="140"/>
        <v>2004.3000000000002</v>
      </c>
      <c r="Q299" s="82">
        <f t="shared" si="141"/>
        <v>2540.65</v>
      </c>
      <c r="R299" s="82">
        <f t="shared" si="142"/>
        <v>2540.65</v>
      </c>
    </row>
    <row r="300" spans="2:18" s="34" customFormat="1" ht="46.2">
      <c r="B300" s="87" t="s">
        <v>593</v>
      </c>
      <c r="C300" s="88" t="s">
        <v>594</v>
      </c>
      <c r="D300" s="89" t="s">
        <v>131</v>
      </c>
      <c r="E300" s="90">
        <v>55</v>
      </c>
      <c r="F300" s="91"/>
      <c r="G300" s="91"/>
      <c r="H300" s="91"/>
      <c r="I300" s="91">
        <f>SUM(G300:H300)+'BM 003'!I300</f>
        <v>0</v>
      </c>
      <c r="J300" s="91">
        <f t="shared" si="135"/>
        <v>55</v>
      </c>
      <c r="K300" s="80">
        <v>50</v>
      </c>
      <c r="L300" s="81">
        <f t="shared" si="134"/>
        <v>63.380005500000003</v>
      </c>
      <c r="M300" s="82">
        <f t="shared" si="138"/>
        <v>0</v>
      </c>
      <c r="N300" s="82">
        <f t="shared" si="139"/>
        <v>0</v>
      </c>
      <c r="O300" s="82">
        <f>N300+'BM 003'!O300</f>
        <v>0</v>
      </c>
      <c r="P300" s="80">
        <f t="shared" si="140"/>
        <v>2750</v>
      </c>
      <c r="Q300" s="82">
        <f t="shared" si="141"/>
        <v>3485.9</v>
      </c>
      <c r="R300" s="82">
        <f t="shared" si="142"/>
        <v>3485.9</v>
      </c>
    </row>
    <row r="301" spans="2:18" s="34" customFormat="1" ht="46.2">
      <c r="B301" s="87" t="s">
        <v>595</v>
      </c>
      <c r="C301" s="88" t="s">
        <v>596</v>
      </c>
      <c r="D301" s="89" t="s">
        <v>131</v>
      </c>
      <c r="E301" s="90">
        <v>41</v>
      </c>
      <c r="F301" s="91"/>
      <c r="G301" s="91"/>
      <c r="H301" s="91"/>
      <c r="I301" s="91">
        <f>SUM(G301:H301)+'BM 003'!I301</f>
        <v>0</v>
      </c>
      <c r="J301" s="91">
        <f t="shared" si="135"/>
        <v>41</v>
      </c>
      <c r="K301" s="80">
        <v>52</v>
      </c>
      <c r="L301" s="81">
        <f t="shared" si="134"/>
        <v>65.915205720000003</v>
      </c>
      <c r="M301" s="82">
        <f t="shared" si="138"/>
        <v>0</v>
      </c>
      <c r="N301" s="82">
        <f t="shared" si="139"/>
        <v>0</v>
      </c>
      <c r="O301" s="82">
        <f>N301+'BM 003'!O301</f>
        <v>0</v>
      </c>
      <c r="P301" s="80">
        <f t="shared" si="140"/>
        <v>2132</v>
      </c>
      <c r="Q301" s="82">
        <f t="shared" si="141"/>
        <v>2702.52</v>
      </c>
      <c r="R301" s="82">
        <f t="shared" si="142"/>
        <v>2702.52</v>
      </c>
    </row>
    <row r="302" spans="2:18" s="34" customFormat="1" ht="34.799999999999997">
      <c r="B302" s="87" t="s">
        <v>597</v>
      </c>
      <c r="C302" s="88" t="s">
        <v>598</v>
      </c>
      <c r="D302" s="89" t="s">
        <v>131</v>
      </c>
      <c r="E302" s="90">
        <v>3</v>
      </c>
      <c r="F302" s="91"/>
      <c r="G302" s="91"/>
      <c r="H302" s="91"/>
      <c r="I302" s="91">
        <f>SUM(G302:H302)+'BM 003'!I302</f>
        <v>0</v>
      </c>
      <c r="J302" s="91">
        <f t="shared" si="135"/>
        <v>3</v>
      </c>
      <c r="K302" s="80">
        <v>51</v>
      </c>
      <c r="L302" s="81">
        <f t="shared" si="134"/>
        <v>64.647605609999999</v>
      </c>
      <c r="M302" s="82">
        <f t="shared" si="138"/>
        <v>0</v>
      </c>
      <c r="N302" s="82">
        <f t="shared" si="139"/>
        <v>0</v>
      </c>
      <c r="O302" s="82">
        <f>N302+'BM 003'!O302</f>
        <v>0</v>
      </c>
      <c r="P302" s="80">
        <f t="shared" si="140"/>
        <v>153</v>
      </c>
      <c r="Q302" s="82">
        <f t="shared" si="141"/>
        <v>193.94</v>
      </c>
      <c r="R302" s="82">
        <f t="shared" si="142"/>
        <v>193.94</v>
      </c>
    </row>
    <row r="303" spans="2:18" s="34" customFormat="1" ht="34.799999999999997">
      <c r="B303" s="87" t="s">
        <v>599</v>
      </c>
      <c r="C303" s="88" t="s">
        <v>600</v>
      </c>
      <c r="D303" s="89" t="s">
        <v>131</v>
      </c>
      <c r="E303" s="90">
        <v>1</v>
      </c>
      <c r="F303" s="91"/>
      <c r="G303" s="91"/>
      <c r="H303" s="91"/>
      <c r="I303" s="91">
        <f>SUM(G303:H303)+'BM 003'!I303</f>
        <v>0</v>
      </c>
      <c r="J303" s="91">
        <f t="shared" si="135"/>
        <v>1</v>
      </c>
      <c r="K303" s="80">
        <v>60</v>
      </c>
      <c r="L303" s="81">
        <f t="shared" si="134"/>
        <v>76.056006600000003</v>
      </c>
      <c r="M303" s="82">
        <f t="shared" si="138"/>
        <v>0</v>
      </c>
      <c r="N303" s="82">
        <f t="shared" si="139"/>
        <v>0</v>
      </c>
      <c r="O303" s="82">
        <f>N303+'BM 003'!O303</f>
        <v>0</v>
      </c>
      <c r="P303" s="80">
        <f t="shared" si="140"/>
        <v>60</v>
      </c>
      <c r="Q303" s="82">
        <f t="shared" si="141"/>
        <v>76.05</v>
      </c>
      <c r="R303" s="82">
        <f t="shared" si="142"/>
        <v>76.05</v>
      </c>
    </row>
    <row r="304" spans="2:18" s="34" customFormat="1" ht="34.799999999999997">
      <c r="B304" s="87" t="s">
        <v>601</v>
      </c>
      <c r="C304" s="88" t="s">
        <v>602</v>
      </c>
      <c r="D304" s="89" t="s">
        <v>131</v>
      </c>
      <c r="E304" s="90">
        <v>15</v>
      </c>
      <c r="F304" s="91"/>
      <c r="G304" s="91"/>
      <c r="H304" s="91"/>
      <c r="I304" s="91">
        <f>SUM(G304:H304)+'BM 003'!I304</f>
        <v>0</v>
      </c>
      <c r="J304" s="91">
        <f t="shared" si="135"/>
        <v>15</v>
      </c>
      <c r="K304" s="80">
        <v>230</v>
      </c>
      <c r="L304" s="81">
        <f t="shared" si="134"/>
        <v>291.54802530000001</v>
      </c>
      <c r="M304" s="82">
        <f t="shared" si="138"/>
        <v>0</v>
      </c>
      <c r="N304" s="82">
        <f t="shared" si="139"/>
        <v>0</v>
      </c>
      <c r="O304" s="82">
        <f>N304+'BM 003'!O304</f>
        <v>0</v>
      </c>
      <c r="P304" s="80">
        <f t="shared" si="140"/>
        <v>3450</v>
      </c>
      <c r="Q304" s="82">
        <f t="shared" si="141"/>
        <v>4373.22</v>
      </c>
      <c r="R304" s="82">
        <f t="shared" si="142"/>
        <v>4373.22</v>
      </c>
    </row>
    <row r="305" spans="2:18" s="34" customFormat="1" ht="34.799999999999997">
      <c r="B305" s="87" t="s">
        <v>603</v>
      </c>
      <c r="C305" s="88" t="s">
        <v>604</v>
      </c>
      <c r="D305" s="89" t="s">
        <v>131</v>
      </c>
      <c r="E305" s="90">
        <v>5</v>
      </c>
      <c r="F305" s="91"/>
      <c r="G305" s="91"/>
      <c r="H305" s="91"/>
      <c r="I305" s="91">
        <f>SUM(G305:H305)+'BM 003'!I305</f>
        <v>0</v>
      </c>
      <c r="J305" s="91">
        <f t="shared" si="135"/>
        <v>5</v>
      </c>
      <c r="K305" s="80">
        <v>140</v>
      </c>
      <c r="L305" s="81">
        <f t="shared" si="134"/>
        <v>177.46401539999999</v>
      </c>
      <c r="M305" s="82">
        <f t="shared" si="138"/>
        <v>0</v>
      </c>
      <c r="N305" s="82">
        <f t="shared" si="139"/>
        <v>0</v>
      </c>
      <c r="O305" s="82">
        <f>N305+'BM 003'!O305</f>
        <v>0</v>
      </c>
      <c r="P305" s="80">
        <f t="shared" si="140"/>
        <v>700</v>
      </c>
      <c r="Q305" s="82">
        <f t="shared" si="141"/>
        <v>887.32</v>
      </c>
      <c r="R305" s="82">
        <f t="shared" si="142"/>
        <v>887.32</v>
      </c>
    </row>
    <row r="306" spans="2:18" s="34" customFormat="1" ht="46.2">
      <c r="B306" s="87" t="s">
        <v>605</v>
      </c>
      <c r="C306" s="88" t="s">
        <v>606</v>
      </c>
      <c r="D306" s="89" t="s">
        <v>131</v>
      </c>
      <c r="E306" s="90">
        <v>4</v>
      </c>
      <c r="F306" s="91"/>
      <c r="G306" s="91"/>
      <c r="H306" s="91"/>
      <c r="I306" s="91">
        <f>SUM(G306:H306)+'BM 003'!I306</f>
        <v>0</v>
      </c>
      <c r="J306" s="91">
        <f t="shared" si="135"/>
        <v>4</v>
      </c>
      <c r="K306" s="80">
        <v>59</v>
      </c>
      <c r="L306" s="81">
        <f t="shared" si="134"/>
        <v>74.78840649</v>
      </c>
      <c r="M306" s="82">
        <f t="shared" si="138"/>
        <v>0</v>
      </c>
      <c r="N306" s="82">
        <f t="shared" si="139"/>
        <v>0</v>
      </c>
      <c r="O306" s="82">
        <f>N306+'BM 003'!O306</f>
        <v>0</v>
      </c>
      <c r="P306" s="80">
        <f t="shared" si="140"/>
        <v>236</v>
      </c>
      <c r="Q306" s="82">
        <f t="shared" si="141"/>
        <v>299.14999999999998</v>
      </c>
      <c r="R306" s="82">
        <f t="shared" si="142"/>
        <v>299.14999999999998</v>
      </c>
    </row>
    <row r="307" spans="2:18" s="34" customFormat="1" ht="13.2">
      <c r="B307" s="66" t="s">
        <v>607</v>
      </c>
      <c r="C307" s="67" t="s">
        <v>608</v>
      </c>
      <c r="D307" s="68"/>
      <c r="E307" s="69"/>
      <c r="F307" s="70"/>
      <c r="G307" s="70"/>
      <c r="H307" s="70"/>
      <c r="I307" s="70">
        <f>SUM(G307:H307)+'BM 003'!I307</f>
        <v>0</v>
      </c>
      <c r="J307" s="70">
        <f t="shared" si="135"/>
        <v>0</v>
      </c>
      <c r="K307" s="71"/>
      <c r="L307" s="71">
        <f t="shared" si="134"/>
        <v>0</v>
      </c>
      <c r="M307" s="73">
        <f t="shared" ref="M307:R307" si="143">SUM(M308:M314)</f>
        <v>0</v>
      </c>
      <c r="N307" s="73">
        <f t="shared" si="143"/>
        <v>0</v>
      </c>
      <c r="O307" s="73">
        <f t="shared" si="143"/>
        <v>0</v>
      </c>
      <c r="P307" s="73">
        <f t="shared" si="143"/>
        <v>50562</v>
      </c>
      <c r="Q307" s="73">
        <f t="shared" si="143"/>
        <v>64092.350000000006</v>
      </c>
      <c r="R307" s="73">
        <f t="shared" si="143"/>
        <v>64092.350000000006</v>
      </c>
    </row>
    <row r="308" spans="2:18" s="34" customFormat="1" ht="46.2">
      <c r="B308" s="87" t="s">
        <v>609</v>
      </c>
      <c r="C308" s="88" t="s">
        <v>610</v>
      </c>
      <c r="D308" s="89" t="s">
        <v>131</v>
      </c>
      <c r="E308" s="90">
        <v>202</v>
      </c>
      <c r="F308" s="91"/>
      <c r="G308" s="91"/>
      <c r="H308" s="91"/>
      <c r="I308" s="91">
        <f>SUM(G308:H308)+'BM 003'!I308</f>
        <v>0</v>
      </c>
      <c r="J308" s="91">
        <f t="shared" si="135"/>
        <v>202</v>
      </c>
      <c r="K308" s="80">
        <v>38</v>
      </c>
      <c r="L308" s="81">
        <f t="shared" si="134"/>
        <v>48.168804180000002</v>
      </c>
      <c r="M308" s="82">
        <f t="shared" ref="M308:M314" si="144">TRUNC(F308*L308,2)</f>
        <v>0</v>
      </c>
      <c r="N308" s="82">
        <f t="shared" ref="N308:N314" si="145">TRUNC(G308*L308,2)</f>
        <v>0</v>
      </c>
      <c r="O308" s="82">
        <f>N308+'BM 003'!O308</f>
        <v>0</v>
      </c>
      <c r="P308" s="80">
        <f t="shared" ref="P308:P314" si="146">E308*K308</f>
        <v>7676</v>
      </c>
      <c r="Q308" s="82">
        <f t="shared" ref="Q308:Q314" si="147">TRUNC(E308*L308,2)</f>
        <v>9730.09</v>
      </c>
      <c r="R308" s="82">
        <f t="shared" ref="R308:R314" si="148">Q308-O308</f>
        <v>9730.09</v>
      </c>
    </row>
    <row r="309" spans="2:18" s="34" customFormat="1" ht="46.2">
      <c r="B309" s="87" t="s">
        <v>611</v>
      </c>
      <c r="C309" s="88" t="s">
        <v>612</v>
      </c>
      <c r="D309" s="89" t="s">
        <v>131</v>
      </c>
      <c r="E309" s="90">
        <v>508</v>
      </c>
      <c r="F309" s="91"/>
      <c r="G309" s="91"/>
      <c r="H309" s="91"/>
      <c r="I309" s="91">
        <f>SUM(G309:H309)+'BM 003'!I309</f>
        <v>0</v>
      </c>
      <c r="J309" s="91">
        <f t="shared" si="135"/>
        <v>508</v>
      </c>
      <c r="K309" s="80">
        <v>40</v>
      </c>
      <c r="L309" s="81">
        <f t="shared" si="134"/>
        <v>50.704004400000002</v>
      </c>
      <c r="M309" s="82">
        <f t="shared" si="144"/>
        <v>0</v>
      </c>
      <c r="N309" s="82">
        <f t="shared" si="145"/>
        <v>0</v>
      </c>
      <c r="O309" s="82">
        <f>N309+'BM 003'!O309</f>
        <v>0</v>
      </c>
      <c r="P309" s="80">
        <f t="shared" si="146"/>
        <v>20320</v>
      </c>
      <c r="Q309" s="82">
        <f t="shared" si="147"/>
        <v>25757.63</v>
      </c>
      <c r="R309" s="82">
        <f t="shared" si="148"/>
        <v>25757.63</v>
      </c>
    </row>
    <row r="310" spans="2:18" s="34" customFormat="1" ht="34.799999999999997">
      <c r="B310" s="87" t="s">
        <v>613</v>
      </c>
      <c r="C310" s="88" t="s">
        <v>614</v>
      </c>
      <c r="D310" s="89" t="s">
        <v>131</v>
      </c>
      <c r="E310" s="90">
        <v>52</v>
      </c>
      <c r="F310" s="91"/>
      <c r="G310" s="91"/>
      <c r="H310" s="91"/>
      <c r="I310" s="91">
        <f>SUM(G310:H310)+'BM 003'!I310</f>
        <v>0</v>
      </c>
      <c r="J310" s="91">
        <f t="shared" si="135"/>
        <v>52</v>
      </c>
      <c r="K310" s="80">
        <v>65</v>
      </c>
      <c r="L310" s="81">
        <f t="shared" si="134"/>
        <v>82.394007150000007</v>
      </c>
      <c r="M310" s="82">
        <f t="shared" si="144"/>
        <v>0</v>
      </c>
      <c r="N310" s="82">
        <f t="shared" si="145"/>
        <v>0</v>
      </c>
      <c r="O310" s="82">
        <f>N310+'BM 003'!O310</f>
        <v>0</v>
      </c>
      <c r="P310" s="80">
        <f t="shared" si="146"/>
        <v>3380</v>
      </c>
      <c r="Q310" s="82">
        <f t="shared" si="147"/>
        <v>4284.4799999999996</v>
      </c>
      <c r="R310" s="82">
        <f t="shared" si="148"/>
        <v>4284.4799999999996</v>
      </c>
    </row>
    <row r="311" spans="2:18" s="34" customFormat="1" ht="46.2">
      <c r="B311" s="87" t="s">
        <v>615</v>
      </c>
      <c r="C311" s="88" t="s">
        <v>610</v>
      </c>
      <c r="D311" s="89" t="s">
        <v>131</v>
      </c>
      <c r="E311" s="90">
        <v>2</v>
      </c>
      <c r="F311" s="91"/>
      <c r="G311" s="91"/>
      <c r="H311" s="91"/>
      <c r="I311" s="91">
        <f>SUM(G311:H311)+'BM 003'!I311</f>
        <v>0</v>
      </c>
      <c r="J311" s="91">
        <f t="shared" si="135"/>
        <v>2</v>
      </c>
      <c r="K311" s="80">
        <v>38</v>
      </c>
      <c r="L311" s="81">
        <f t="shared" si="134"/>
        <v>48.168804180000002</v>
      </c>
      <c r="M311" s="82">
        <f t="shared" si="144"/>
        <v>0</v>
      </c>
      <c r="N311" s="82">
        <f t="shared" si="145"/>
        <v>0</v>
      </c>
      <c r="O311" s="82">
        <f>N311+'BM 003'!O311</f>
        <v>0</v>
      </c>
      <c r="P311" s="80">
        <f t="shared" si="146"/>
        <v>76</v>
      </c>
      <c r="Q311" s="82">
        <f t="shared" si="147"/>
        <v>96.33</v>
      </c>
      <c r="R311" s="82">
        <f t="shared" si="148"/>
        <v>96.33</v>
      </c>
    </row>
    <row r="312" spans="2:18" s="34" customFormat="1" ht="23.4">
      <c r="B312" s="87" t="s">
        <v>616</v>
      </c>
      <c r="C312" s="88" t="s">
        <v>617</v>
      </c>
      <c r="D312" s="89" t="s">
        <v>131</v>
      </c>
      <c r="E312" s="90">
        <v>201</v>
      </c>
      <c r="F312" s="91"/>
      <c r="G312" s="91"/>
      <c r="H312" s="91"/>
      <c r="I312" s="91">
        <f>SUM(G312:H312)+'BM 003'!I312</f>
        <v>0</v>
      </c>
      <c r="J312" s="91">
        <f t="shared" si="135"/>
        <v>201</v>
      </c>
      <c r="K312" s="80">
        <v>30</v>
      </c>
      <c r="L312" s="81">
        <f t="shared" si="134"/>
        <v>38.028003300000002</v>
      </c>
      <c r="M312" s="82">
        <f t="shared" si="144"/>
        <v>0</v>
      </c>
      <c r="N312" s="82">
        <f t="shared" si="145"/>
        <v>0</v>
      </c>
      <c r="O312" s="82">
        <f>N312+'BM 003'!O312</f>
        <v>0</v>
      </c>
      <c r="P312" s="80">
        <f t="shared" si="146"/>
        <v>6030</v>
      </c>
      <c r="Q312" s="82">
        <f t="shared" si="147"/>
        <v>7643.62</v>
      </c>
      <c r="R312" s="82">
        <f t="shared" si="148"/>
        <v>7643.62</v>
      </c>
    </row>
    <row r="313" spans="2:18" s="34" customFormat="1" ht="23.4">
      <c r="B313" s="87" t="s">
        <v>618</v>
      </c>
      <c r="C313" s="88" t="s">
        <v>619</v>
      </c>
      <c r="D313" s="89" t="s">
        <v>131</v>
      </c>
      <c r="E313" s="90">
        <v>12</v>
      </c>
      <c r="F313" s="91"/>
      <c r="G313" s="91"/>
      <c r="H313" s="91"/>
      <c r="I313" s="91">
        <f>SUM(G313:H313)+'BM 003'!I313</f>
        <v>0</v>
      </c>
      <c r="J313" s="91">
        <f t="shared" si="135"/>
        <v>12</v>
      </c>
      <c r="K313" s="80">
        <v>40</v>
      </c>
      <c r="L313" s="81">
        <f t="shared" si="134"/>
        <v>50.704004400000002</v>
      </c>
      <c r="M313" s="82">
        <f t="shared" si="144"/>
        <v>0</v>
      </c>
      <c r="N313" s="82">
        <f t="shared" si="145"/>
        <v>0</v>
      </c>
      <c r="O313" s="82">
        <f>N313+'BM 003'!O313</f>
        <v>0</v>
      </c>
      <c r="P313" s="80">
        <f t="shared" si="146"/>
        <v>480</v>
      </c>
      <c r="Q313" s="82">
        <f t="shared" si="147"/>
        <v>608.44000000000005</v>
      </c>
      <c r="R313" s="82">
        <f t="shared" si="148"/>
        <v>608.44000000000005</v>
      </c>
    </row>
    <row r="314" spans="2:18" s="34" customFormat="1" ht="23.4">
      <c r="B314" s="87" t="s">
        <v>620</v>
      </c>
      <c r="C314" s="88" t="s">
        <v>621</v>
      </c>
      <c r="D314" s="89" t="s">
        <v>131</v>
      </c>
      <c r="E314" s="90">
        <v>180</v>
      </c>
      <c r="F314" s="91"/>
      <c r="G314" s="91"/>
      <c r="H314" s="91"/>
      <c r="I314" s="91">
        <f>SUM(G314:H314)+'BM 003'!I314</f>
        <v>0</v>
      </c>
      <c r="J314" s="91">
        <f t="shared" si="135"/>
        <v>180</v>
      </c>
      <c r="K314" s="80">
        <v>70</v>
      </c>
      <c r="L314" s="81">
        <f t="shared" si="134"/>
        <v>88.732007699999997</v>
      </c>
      <c r="M314" s="82">
        <f t="shared" si="144"/>
        <v>0</v>
      </c>
      <c r="N314" s="82">
        <f t="shared" si="145"/>
        <v>0</v>
      </c>
      <c r="O314" s="82">
        <f>N314+'BM 003'!O314</f>
        <v>0</v>
      </c>
      <c r="P314" s="80">
        <f t="shared" si="146"/>
        <v>12600</v>
      </c>
      <c r="Q314" s="82">
        <f t="shared" si="147"/>
        <v>15971.76</v>
      </c>
      <c r="R314" s="82">
        <f t="shared" si="148"/>
        <v>15971.76</v>
      </c>
    </row>
    <row r="315" spans="2:18" s="34" customFormat="1" ht="26.25" customHeight="1">
      <c r="B315" s="66" t="s">
        <v>622</v>
      </c>
      <c r="C315" s="67" t="s">
        <v>623</v>
      </c>
      <c r="D315" s="68"/>
      <c r="E315" s="69"/>
      <c r="F315" s="70"/>
      <c r="G315" s="70"/>
      <c r="H315" s="70"/>
      <c r="I315" s="70">
        <f>SUM(G315:H315)+'BM 003'!I315</f>
        <v>0</v>
      </c>
      <c r="J315" s="70">
        <f t="shared" si="135"/>
        <v>0</v>
      </c>
      <c r="K315" s="71"/>
      <c r="L315" s="71">
        <f t="shared" si="134"/>
        <v>0</v>
      </c>
      <c r="M315" s="73">
        <f t="shared" ref="M315:R315" si="149">SUM(M316)</f>
        <v>0</v>
      </c>
      <c r="N315" s="73">
        <f t="shared" si="149"/>
        <v>0</v>
      </c>
      <c r="O315" s="73">
        <f t="shared" si="149"/>
        <v>0</v>
      </c>
      <c r="P315" s="73">
        <f t="shared" si="149"/>
        <v>660</v>
      </c>
      <c r="Q315" s="73">
        <f t="shared" si="149"/>
        <v>836.61</v>
      </c>
      <c r="R315" s="73">
        <f t="shared" si="149"/>
        <v>836.61</v>
      </c>
    </row>
    <row r="316" spans="2:18" s="34" customFormat="1" ht="13.2">
      <c r="B316" s="75" t="s">
        <v>624</v>
      </c>
      <c r="C316" s="76" t="s">
        <v>625</v>
      </c>
      <c r="D316" s="77" t="s">
        <v>131</v>
      </c>
      <c r="E316" s="78">
        <v>3</v>
      </c>
      <c r="F316" s="79"/>
      <c r="G316" s="79"/>
      <c r="H316" s="79"/>
      <c r="I316" s="79">
        <f>SUM(G316:H316)+'BM 003'!I316</f>
        <v>0</v>
      </c>
      <c r="J316" s="79">
        <f t="shared" si="135"/>
        <v>3</v>
      </c>
      <c r="K316" s="84">
        <v>220</v>
      </c>
      <c r="L316" s="81">
        <f t="shared" si="134"/>
        <v>278.8720242</v>
      </c>
      <c r="M316" s="82">
        <f>TRUNC(F316*L316,2)</f>
        <v>0</v>
      </c>
      <c r="N316" s="82">
        <f>TRUNC(G316*L316,2)</f>
        <v>0</v>
      </c>
      <c r="O316" s="82">
        <f>N316+'BM 003'!O316</f>
        <v>0</v>
      </c>
      <c r="P316" s="80">
        <f>E316*K316</f>
        <v>660</v>
      </c>
      <c r="Q316" s="82">
        <f>TRUNC(E316*L316,2)</f>
        <v>836.61</v>
      </c>
      <c r="R316" s="82">
        <f>Q316-O316</f>
        <v>836.61</v>
      </c>
    </row>
    <row r="317" spans="2:18" s="34" customFormat="1" ht="13.2">
      <c r="B317" s="60" t="s">
        <v>626</v>
      </c>
      <c r="C317" s="61" t="s">
        <v>627</v>
      </c>
      <c r="D317" s="60"/>
      <c r="E317" s="62"/>
      <c r="F317" s="63"/>
      <c r="G317" s="63"/>
      <c r="H317" s="63"/>
      <c r="I317" s="63">
        <f>SUM(G317:H317)+'BM 003'!I317</f>
        <v>0</v>
      </c>
      <c r="J317" s="63">
        <f t="shared" si="135"/>
        <v>0</v>
      </c>
      <c r="K317" s="63"/>
      <c r="L317" s="63">
        <f t="shared" si="134"/>
        <v>0</v>
      </c>
      <c r="M317" s="63">
        <f t="shared" ref="M317:R317" si="150">SUM(M318:M327)</f>
        <v>0</v>
      </c>
      <c r="N317" s="63">
        <f t="shared" si="150"/>
        <v>0</v>
      </c>
      <c r="O317" s="63">
        <f t="shared" si="150"/>
        <v>0</v>
      </c>
      <c r="P317" s="63">
        <f t="shared" si="150"/>
        <v>37271.68</v>
      </c>
      <c r="Q317" s="63">
        <f t="shared" si="150"/>
        <v>47245.569999999992</v>
      </c>
      <c r="R317" s="63">
        <f t="shared" si="150"/>
        <v>47245.569999999992</v>
      </c>
    </row>
    <row r="318" spans="2:18" s="34" customFormat="1" ht="23.4">
      <c r="B318" s="75" t="s">
        <v>628</v>
      </c>
      <c r="C318" s="76" t="s">
        <v>629</v>
      </c>
      <c r="D318" s="77" t="s">
        <v>82</v>
      </c>
      <c r="E318" s="93">
        <v>170</v>
      </c>
      <c r="F318" s="79"/>
      <c r="G318" s="79"/>
      <c r="H318" s="79"/>
      <c r="I318" s="79">
        <f>SUM(G318:H318)+'BM 003'!I318</f>
        <v>0</v>
      </c>
      <c r="J318" s="79">
        <f t="shared" si="135"/>
        <v>170</v>
      </c>
      <c r="K318" s="80">
        <v>100</v>
      </c>
      <c r="L318" s="81">
        <f t="shared" si="134"/>
        <v>126.76001100000001</v>
      </c>
      <c r="M318" s="82">
        <f t="shared" ref="M318:M327" si="151">TRUNC(F318*L318,2)</f>
        <v>0</v>
      </c>
      <c r="N318" s="82">
        <f t="shared" ref="N318:N327" si="152">TRUNC(G318*L318,2)</f>
        <v>0</v>
      </c>
      <c r="O318" s="82">
        <f>N318+'BM 003'!O318</f>
        <v>0</v>
      </c>
      <c r="P318" s="80">
        <f t="shared" ref="P318:P327" si="153">E318*K318</f>
        <v>17000</v>
      </c>
      <c r="Q318" s="82">
        <f t="shared" ref="Q318:Q327" si="154">TRUNC(E318*L318,2)</f>
        <v>21549.200000000001</v>
      </c>
      <c r="R318" s="82">
        <f t="shared" ref="R318:R327" si="155">Q318-O318</f>
        <v>21549.200000000001</v>
      </c>
    </row>
    <row r="319" spans="2:18" s="34" customFormat="1" ht="23.4">
      <c r="B319" s="75" t="s">
        <v>630</v>
      </c>
      <c r="C319" s="76" t="s">
        <v>631</v>
      </c>
      <c r="D319" s="77" t="s">
        <v>131</v>
      </c>
      <c r="E319" s="93">
        <v>1</v>
      </c>
      <c r="F319" s="79"/>
      <c r="G319" s="79"/>
      <c r="H319" s="79"/>
      <c r="I319" s="79">
        <f>SUM(G319:H319)+'BM 003'!I319</f>
        <v>0</v>
      </c>
      <c r="J319" s="79">
        <f t="shared" si="135"/>
        <v>1</v>
      </c>
      <c r="K319" s="80">
        <v>1300</v>
      </c>
      <c r="L319" s="81">
        <f t="shared" si="134"/>
        <v>1647.8801430000001</v>
      </c>
      <c r="M319" s="82">
        <f t="shared" si="151"/>
        <v>0</v>
      </c>
      <c r="N319" s="82">
        <f t="shared" si="152"/>
        <v>0</v>
      </c>
      <c r="O319" s="82">
        <f>N319+'BM 003'!O319</f>
        <v>0</v>
      </c>
      <c r="P319" s="80">
        <f t="shared" si="153"/>
        <v>1300</v>
      </c>
      <c r="Q319" s="82">
        <f t="shared" si="154"/>
        <v>1647.88</v>
      </c>
      <c r="R319" s="82">
        <f t="shared" si="155"/>
        <v>1647.88</v>
      </c>
    </row>
    <row r="320" spans="2:18" s="34" customFormat="1" ht="23.4">
      <c r="B320" s="75" t="s">
        <v>632</v>
      </c>
      <c r="C320" s="76" t="s">
        <v>633</v>
      </c>
      <c r="D320" s="77" t="s">
        <v>82</v>
      </c>
      <c r="E320" s="93">
        <v>250</v>
      </c>
      <c r="F320" s="79"/>
      <c r="G320" s="79"/>
      <c r="H320" s="79"/>
      <c r="I320" s="79">
        <f>SUM(G320:H320)+'BM 003'!I320</f>
        <v>0</v>
      </c>
      <c r="J320" s="79">
        <f t="shared" si="135"/>
        <v>250</v>
      </c>
      <c r="K320" s="80">
        <v>38</v>
      </c>
      <c r="L320" s="81">
        <f t="shared" si="134"/>
        <v>48.168804180000002</v>
      </c>
      <c r="M320" s="82">
        <f t="shared" si="151"/>
        <v>0</v>
      </c>
      <c r="N320" s="82">
        <f t="shared" si="152"/>
        <v>0</v>
      </c>
      <c r="O320" s="82">
        <f>N320+'BM 003'!O320</f>
        <v>0</v>
      </c>
      <c r="P320" s="80">
        <f t="shared" si="153"/>
        <v>9500</v>
      </c>
      <c r="Q320" s="82">
        <f t="shared" si="154"/>
        <v>12042.2</v>
      </c>
      <c r="R320" s="82">
        <f t="shared" si="155"/>
        <v>12042.2</v>
      </c>
    </row>
    <row r="321" spans="2:18" s="34" customFormat="1" ht="13.2">
      <c r="B321" s="75" t="s">
        <v>634</v>
      </c>
      <c r="C321" s="76" t="s">
        <v>635</v>
      </c>
      <c r="D321" s="77" t="s">
        <v>39</v>
      </c>
      <c r="E321" s="78">
        <v>20</v>
      </c>
      <c r="F321" s="79"/>
      <c r="G321" s="79"/>
      <c r="H321" s="79"/>
      <c r="I321" s="79">
        <f>SUM(G321:H321)+'BM 003'!I321</f>
        <v>0</v>
      </c>
      <c r="J321" s="79">
        <f t="shared" si="135"/>
        <v>20</v>
      </c>
      <c r="K321" s="84">
        <v>42</v>
      </c>
      <c r="L321" s="81">
        <f t="shared" si="134"/>
        <v>53.239204620000002</v>
      </c>
      <c r="M321" s="82">
        <f t="shared" si="151"/>
        <v>0</v>
      </c>
      <c r="N321" s="82">
        <f t="shared" si="152"/>
        <v>0</v>
      </c>
      <c r="O321" s="82">
        <f>N321+'BM 003'!O321</f>
        <v>0</v>
      </c>
      <c r="P321" s="80">
        <f t="shared" si="153"/>
        <v>840</v>
      </c>
      <c r="Q321" s="82">
        <f t="shared" si="154"/>
        <v>1064.78</v>
      </c>
      <c r="R321" s="82">
        <f t="shared" si="155"/>
        <v>1064.78</v>
      </c>
    </row>
    <row r="322" spans="2:18" s="34" customFormat="1" ht="23.4">
      <c r="B322" s="75" t="s">
        <v>636</v>
      </c>
      <c r="C322" s="76" t="s">
        <v>637</v>
      </c>
      <c r="D322" s="77" t="s">
        <v>39</v>
      </c>
      <c r="E322" s="78">
        <v>30</v>
      </c>
      <c r="F322" s="79"/>
      <c r="G322" s="79"/>
      <c r="H322" s="79"/>
      <c r="I322" s="79">
        <f>SUM(G322:H322)+'BM 003'!I322</f>
        <v>0</v>
      </c>
      <c r="J322" s="79">
        <f t="shared" si="135"/>
        <v>30</v>
      </c>
      <c r="K322" s="84">
        <v>25</v>
      </c>
      <c r="L322" s="81">
        <f t="shared" si="134"/>
        <v>31.690002750000001</v>
      </c>
      <c r="M322" s="82">
        <f t="shared" si="151"/>
        <v>0</v>
      </c>
      <c r="N322" s="82">
        <f t="shared" si="152"/>
        <v>0</v>
      </c>
      <c r="O322" s="82">
        <f>N322+'BM 003'!O322</f>
        <v>0</v>
      </c>
      <c r="P322" s="80">
        <f t="shared" si="153"/>
        <v>750</v>
      </c>
      <c r="Q322" s="82">
        <f t="shared" si="154"/>
        <v>950.7</v>
      </c>
      <c r="R322" s="82">
        <f t="shared" si="155"/>
        <v>950.7</v>
      </c>
    </row>
    <row r="323" spans="2:18" s="34" customFormat="1" ht="46.2">
      <c r="B323" s="75" t="s">
        <v>638</v>
      </c>
      <c r="C323" s="76" t="s">
        <v>639</v>
      </c>
      <c r="D323" s="77" t="s">
        <v>39</v>
      </c>
      <c r="E323" s="78">
        <v>2</v>
      </c>
      <c r="F323" s="79"/>
      <c r="G323" s="79"/>
      <c r="H323" s="79"/>
      <c r="I323" s="79">
        <f>SUM(G323:H323)+'BM 003'!I323</f>
        <v>0</v>
      </c>
      <c r="J323" s="79">
        <f t="shared" si="135"/>
        <v>2</v>
      </c>
      <c r="K323" s="84">
        <v>1800</v>
      </c>
      <c r="L323" s="81">
        <f t="shared" si="134"/>
        <v>2281.680198</v>
      </c>
      <c r="M323" s="82">
        <f t="shared" si="151"/>
        <v>0</v>
      </c>
      <c r="N323" s="82">
        <f t="shared" si="152"/>
        <v>0</v>
      </c>
      <c r="O323" s="82">
        <f>N323+'BM 003'!O323</f>
        <v>0</v>
      </c>
      <c r="P323" s="80">
        <f t="shared" si="153"/>
        <v>3600</v>
      </c>
      <c r="Q323" s="82">
        <f t="shared" si="154"/>
        <v>4563.3599999999997</v>
      </c>
      <c r="R323" s="82">
        <f t="shared" si="155"/>
        <v>4563.3599999999997</v>
      </c>
    </row>
    <row r="324" spans="2:18" s="34" customFormat="1" ht="23.4">
      <c r="B324" s="75" t="s">
        <v>640</v>
      </c>
      <c r="C324" s="76" t="s">
        <v>641</v>
      </c>
      <c r="D324" s="77" t="s">
        <v>39</v>
      </c>
      <c r="E324" s="78">
        <v>17</v>
      </c>
      <c r="F324" s="79"/>
      <c r="G324" s="79"/>
      <c r="H324" s="79"/>
      <c r="I324" s="79">
        <f>SUM(G324:H324)+'BM 003'!I324</f>
        <v>0</v>
      </c>
      <c r="J324" s="79">
        <f t="shared" si="135"/>
        <v>17</v>
      </c>
      <c r="K324" s="84">
        <v>160</v>
      </c>
      <c r="L324" s="81">
        <f t="shared" si="134"/>
        <v>202.81601760000001</v>
      </c>
      <c r="M324" s="82">
        <f t="shared" si="151"/>
        <v>0</v>
      </c>
      <c r="N324" s="82">
        <f t="shared" si="152"/>
        <v>0</v>
      </c>
      <c r="O324" s="82">
        <f>N324+'BM 003'!O324</f>
        <v>0</v>
      </c>
      <c r="P324" s="80">
        <f t="shared" si="153"/>
        <v>2720</v>
      </c>
      <c r="Q324" s="82">
        <f t="shared" si="154"/>
        <v>3447.87</v>
      </c>
      <c r="R324" s="82">
        <f t="shared" si="155"/>
        <v>3447.87</v>
      </c>
    </row>
    <row r="325" spans="2:18" s="34" customFormat="1" ht="13.2">
      <c r="B325" s="75" t="s">
        <v>642</v>
      </c>
      <c r="C325" s="76" t="s">
        <v>643</v>
      </c>
      <c r="D325" s="77" t="s">
        <v>39</v>
      </c>
      <c r="E325" s="78">
        <v>100</v>
      </c>
      <c r="F325" s="79"/>
      <c r="G325" s="79"/>
      <c r="H325" s="79"/>
      <c r="I325" s="79">
        <f>SUM(G325:H325)+'BM 003'!I325</f>
        <v>0</v>
      </c>
      <c r="J325" s="79">
        <f t="shared" si="135"/>
        <v>100</v>
      </c>
      <c r="K325" s="84">
        <v>5.27</v>
      </c>
      <c r="L325" s="81">
        <f t="shared" si="134"/>
        <v>6.6802525796999994</v>
      </c>
      <c r="M325" s="82">
        <f t="shared" si="151"/>
        <v>0</v>
      </c>
      <c r="N325" s="82">
        <f t="shared" si="152"/>
        <v>0</v>
      </c>
      <c r="O325" s="82">
        <f>N325+'BM 003'!O325</f>
        <v>0</v>
      </c>
      <c r="P325" s="80">
        <f t="shared" si="153"/>
        <v>527</v>
      </c>
      <c r="Q325" s="82">
        <f t="shared" si="154"/>
        <v>668.02</v>
      </c>
      <c r="R325" s="82">
        <f t="shared" si="155"/>
        <v>668.02</v>
      </c>
    </row>
    <row r="326" spans="2:18" s="34" customFormat="1" ht="23.25" customHeight="1">
      <c r="B326" s="75" t="s">
        <v>644</v>
      </c>
      <c r="C326" s="76" t="s">
        <v>645</v>
      </c>
      <c r="D326" s="77" t="s">
        <v>124</v>
      </c>
      <c r="E326" s="78">
        <v>12</v>
      </c>
      <c r="F326" s="79"/>
      <c r="G326" s="79"/>
      <c r="H326" s="79"/>
      <c r="I326" s="79">
        <f>SUM(G326:H326)+'BM 003'!I326</f>
        <v>0</v>
      </c>
      <c r="J326" s="79">
        <f t="shared" si="135"/>
        <v>12</v>
      </c>
      <c r="K326" s="84">
        <v>15.39</v>
      </c>
      <c r="L326" s="81">
        <f t="shared" si="134"/>
        <v>19.5083656929</v>
      </c>
      <c r="M326" s="82">
        <f t="shared" si="151"/>
        <v>0</v>
      </c>
      <c r="N326" s="82">
        <f t="shared" si="152"/>
        <v>0</v>
      </c>
      <c r="O326" s="82">
        <f>N326+'BM 003'!O326</f>
        <v>0</v>
      </c>
      <c r="P326" s="80">
        <f t="shared" si="153"/>
        <v>184.68</v>
      </c>
      <c r="Q326" s="82">
        <f t="shared" si="154"/>
        <v>234.1</v>
      </c>
      <c r="R326" s="82">
        <f t="shared" si="155"/>
        <v>234.1</v>
      </c>
    </row>
    <row r="327" spans="2:18" s="34" customFormat="1" ht="23.4">
      <c r="B327" s="75" t="s">
        <v>646</v>
      </c>
      <c r="C327" s="76" t="s">
        <v>647</v>
      </c>
      <c r="D327" s="77" t="s">
        <v>39</v>
      </c>
      <c r="E327" s="78">
        <v>17</v>
      </c>
      <c r="F327" s="79"/>
      <c r="G327" s="79"/>
      <c r="H327" s="79"/>
      <c r="I327" s="79">
        <f>SUM(G327:H327)+'BM 003'!I327</f>
        <v>0</v>
      </c>
      <c r="J327" s="79">
        <f t="shared" si="135"/>
        <v>17</v>
      </c>
      <c r="K327" s="84">
        <v>50</v>
      </c>
      <c r="L327" s="81">
        <f t="shared" si="134"/>
        <v>63.380005500000003</v>
      </c>
      <c r="M327" s="82">
        <f t="shared" si="151"/>
        <v>0</v>
      </c>
      <c r="N327" s="82">
        <f t="shared" si="152"/>
        <v>0</v>
      </c>
      <c r="O327" s="82">
        <f>N327+'BM 003'!O327</f>
        <v>0</v>
      </c>
      <c r="P327" s="80">
        <f t="shared" si="153"/>
        <v>850</v>
      </c>
      <c r="Q327" s="82">
        <f t="shared" si="154"/>
        <v>1077.46</v>
      </c>
      <c r="R327" s="82">
        <f t="shared" si="155"/>
        <v>1077.46</v>
      </c>
    </row>
    <row r="328" spans="2:18" s="34" customFormat="1" ht="13.2">
      <c r="B328" s="60" t="s">
        <v>648</v>
      </c>
      <c r="C328" s="61" t="s">
        <v>649</v>
      </c>
      <c r="D328" s="60"/>
      <c r="E328" s="62"/>
      <c r="F328" s="63"/>
      <c r="G328" s="63"/>
      <c r="H328" s="63"/>
      <c r="I328" s="63">
        <f>SUM(G328:H328)+'BM 003'!I328</f>
        <v>0</v>
      </c>
      <c r="J328" s="63">
        <f t="shared" si="135"/>
        <v>0</v>
      </c>
      <c r="K328" s="63"/>
      <c r="L328" s="63">
        <f t="shared" si="134"/>
        <v>0</v>
      </c>
      <c r="M328" s="63">
        <f t="shared" ref="M328:R328" si="156">SUM(M329,M337,M395,M406,M474)</f>
        <v>0</v>
      </c>
      <c r="N328" s="63">
        <f t="shared" si="156"/>
        <v>0</v>
      </c>
      <c r="O328" s="63">
        <f t="shared" si="156"/>
        <v>0</v>
      </c>
      <c r="P328" s="63">
        <f t="shared" si="156"/>
        <v>482517.43010000006</v>
      </c>
      <c r="Q328" s="63">
        <f t="shared" si="156"/>
        <v>611638.38000000012</v>
      </c>
      <c r="R328" s="63">
        <f t="shared" si="156"/>
        <v>611638.38000000012</v>
      </c>
    </row>
    <row r="329" spans="2:18" s="34" customFormat="1" ht="13.2">
      <c r="B329" s="66" t="s">
        <v>650</v>
      </c>
      <c r="C329" s="67" t="s">
        <v>651</v>
      </c>
      <c r="D329" s="68"/>
      <c r="E329" s="69"/>
      <c r="F329" s="70"/>
      <c r="G329" s="70"/>
      <c r="H329" s="70"/>
      <c r="I329" s="70">
        <f>SUM(G329:H329)+'BM 003'!I329</f>
        <v>0</v>
      </c>
      <c r="J329" s="70">
        <f t="shared" si="135"/>
        <v>0</v>
      </c>
      <c r="K329" s="71"/>
      <c r="L329" s="71">
        <f t="shared" si="134"/>
        <v>0</v>
      </c>
      <c r="M329" s="73">
        <f t="shared" ref="M329:R329" si="157">SUM(M330:M336)</f>
        <v>0</v>
      </c>
      <c r="N329" s="73">
        <f t="shared" si="157"/>
        <v>0</v>
      </c>
      <c r="O329" s="73">
        <f t="shared" si="157"/>
        <v>0</v>
      </c>
      <c r="P329" s="73">
        <f t="shared" si="157"/>
        <v>39545.715000000004</v>
      </c>
      <c r="Q329" s="73">
        <f t="shared" si="157"/>
        <v>50128.12</v>
      </c>
      <c r="R329" s="73">
        <f t="shared" si="157"/>
        <v>50128.12</v>
      </c>
    </row>
    <row r="330" spans="2:18" s="34" customFormat="1" ht="23.4">
      <c r="B330" s="75" t="s">
        <v>652</v>
      </c>
      <c r="C330" s="76" t="s">
        <v>653</v>
      </c>
      <c r="D330" s="77" t="s">
        <v>82</v>
      </c>
      <c r="E330" s="90">
        <v>9.3800000000000008</v>
      </c>
      <c r="F330" s="91"/>
      <c r="G330" s="91"/>
      <c r="H330" s="91"/>
      <c r="I330" s="91">
        <f>SUM(G330:H330)+'BM 003'!I330</f>
        <v>0</v>
      </c>
      <c r="J330" s="91">
        <f t="shared" si="135"/>
        <v>9.3800000000000008</v>
      </c>
      <c r="K330" s="80">
        <v>6.5</v>
      </c>
      <c r="L330" s="81">
        <f t="shared" si="134"/>
        <v>8.2394007150000004</v>
      </c>
      <c r="M330" s="82">
        <f t="shared" ref="M330:M336" si="158">TRUNC(F330*L330,2)</f>
        <v>0</v>
      </c>
      <c r="N330" s="82">
        <f t="shared" ref="N330:N336" si="159">TRUNC(G330*L330,2)</f>
        <v>0</v>
      </c>
      <c r="O330" s="82">
        <f>N330+'BM 003'!O330</f>
        <v>0</v>
      </c>
      <c r="P330" s="80">
        <f t="shared" ref="P330:P336" si="160">E330*K330</f>
        <v>60.970000000000006</v>
      </c>
      <c r="Q330" s="82">
        <f t="shared" ref="Q330:Q336" si="161">TRUNC(E330*L330,2)</f>
        <v>77.28</v>
      </c>
      <c r="R330" s="82">
        <f t="shared" ref="R330:R336" si="162">Q330-O330</f>
        <v>77.28</v>
      </c>
    </row>
    <row r="331" spans="2:18" s="34" customFormat="1" ht="23.4">
      <c r="B331" s="75" t="s">
        <v>654</v>
      </c>
      <c r="C331" s="76" t="s">
        <v>655</v>
      </c>
      <c r="D331" s="77" t="s">
        <v>82</v>
      </c>
      <c r="E331" s="90">
        <v>1074.94</v>
      </c>
      <c r="F331" s="91"/>
      <c r="G331" s="91"/>
      <c r="H331" s="91"/>
      <c r="I331" s="91">
        <f>SUM(G331:H331)+'BM 003'!I331</f>
        <v>0</v>
      </c>
      <c r="J331" s="91">
        <f t="shared" si="135"/>
        <v>1074.94</v>
      </c>
      <c r="K331" s="80">
        <v>8</v>
      </c>
      <c r="L331" s="81">
        <f t="shared" si="134"/>
        <v>10.14080088</v>
      </c>
      <c r="M331" s="82">
        <f t="shared" si="158"/>
        <v>0</v>
      </c>
      <c r="N331" s="82">
        <f t="shared" si="159"/>
        <v>0</v>
      </c>
      <c r="O331" s="82">
        <f>N331+'BM 003'!O331</f>
        <v>0</v>
      </c>
      <c r="P331" s="80">
        <f t="shared" si="160"/>
        <v>8599.52</v>
      </c>
      <c r="Q331" s="82">
        <f t="shared" si="161"/>
        <v>10900.75</v>
      </c>
      <c r="R331" s="82">
        <f t="shared" si="162"/>
        <v>10900.75</v>
      </c>
    </row>
    <row r="332" spans="2:18" s="34" customFormat="1" ht="23.4">
      <c r="B332" s="75" t="s">
        <v>656</v>
      </c>
      <c r="C332" s="76" t="s">
        <v>657</v>
      </c>
      <c r="D332" s="77" t="s">
        <v>82</v>
      </c>
      <c r="E332" s="93">
        <v>17.41</v>
      </c>
      <c r="F332" s="79"/>
      <c r="G332" s="79"/>
      <c r="H332" s="79"/>
      <c r="I332" s="79">
        <f>SUM(G332:H332)+'BM 003'!I332</f>
        <v>0</v>
      </c>
      <c r="J332" s="79">
        <f t="shared" si="135"/>
        <v>17.41</v>
      </c>
      <c r="K332" s="80">
        <v>17.5</v>
      </c>
      <c r="L332" s="81">
        <f t="shared" si="134"/>
        <v>22.183001924999999</v>
      </c>
      <c r="M332" s="82">
        <f t="shared" si="158"/>
        <v>0</v>
      </c>
      <c r="N332" s="82">
        <f t="shared" si="159"/>
        <v>0</v>
      </c>
      <c r="O332" s="82">
        <f>N332+'BM 003'!O332</f>
        <v>0</v>
      </c>
      <c r="P332" s="80">
        <f t="shared" si="160"/>
        <v>304.67500000000001</v>
      </c>
      <c r="Q332" s="82">
        <f t="shared" si="161"/>
        <v>386.2</v>
      </c>
      <c r="R332" s="82">
        <f t="shared" si="162"/>
        <v>386.2</v>
      </c>
    </row>
    <row r="333" spans="2:18" s="34" customFormat="1" ht="23.4">
      <c r="B333" s="75" t="s">
        <v>658</v>
      </c>
      <c r="C333" s="76" t="s">
        <v>659</v>
      </c>
      <c r="D333" s="77" t="s">
        <v>82</v>
      </c>
      <c r="E333" s="93">
        <v>471.41</v>
      </c>
      <c r="F333" s="79"/>
      <c r="G333" s="79"/>
      <c r="H333" s="79"/>
      <c r="I333" s="79">
        <f>SUM(G333:H333)+'BM 003'!I333</f>
        <v>0</v>
      </c>
      <c r="J333" s="79">
        <f t="shared" si="135"/>
        <v>471.41</v>
      </c>
      <c r="K333" s="80">
        <v>23.5</v>
      </c>
      <c r="L333" s="81">
        <f t="shared" si="134"/>
        <v>29.788602585</v>
      </c>
      <c r="M333" s="82">
        <f t="shared" si="158"/>
        <v>0</v>
      </c>
      <c r="N333" s="82">
        <f t="shared" si="159"/>
        <v>0</v>
      </c>
      <c r="O333" s="82">
        <f>N333+'BM 003'!O333</f>
        <v>0</v>
      </c>
      <c r="P333" s="80">
        <f t="shared" si="160"/>
        <v>11078.135</v>
      </c>
      <c r="Q333" s="82">
        <f t="shared" si="161"/>
        <v>14042.64</v>
      </c>
      <c r="R333" s="82">
        <f t="shared" si="162"/>
        <v>14042.64</v>
      </c>
    </row>
    <row r="334" spans="2:18" s="34" customFormat="1" ht="23.4">
      <c r="B334" s="75" t="s">
        <v>660</v>
      </c>
      <c r="C334" s="76" t="s">
        <v>661</v>
      </c>
      <c r="D334" s="77" t="s">
        <v>82</v>
      </c>
      <c r="E334" s="93">
        <v>25.81</v>
      </c>
      <c r="F334" s="79"/>
      <c r="G334" s="79"/>
      <c r="H334" s="79"/>
      <c r="I334" s="79">
        <f>SUM(G334:H334)+'BM 003'!I334</f>
        <v>0</v>
      </c>
      <c r="J334" s="79">
        <f t="shared" si="135"/>
        <v>25.81</v>
      </c>
      <c r="K334" s="80">
        <v>27.5</v>
      </c>
      <c r="L334" s="81">
        <f t="shared" si="134"/>
        <v>34.859003025</v>
      </c>
      <c r="M334" s="82">
        <f t="shared" si="158"/>
        <v>0</v>
      </c>
      <c r="N334" s="82">
        <f t="shared" si="159"/>
        <v>0</v>
      </c>
      <c r="O334" s="82">
        <f>N334+'BM 003'!O334</f>
        <v>0</v>
      </c>
      <c r="P334" s="80">
        <f t="shared" si="160"/>
        <v>709.77499999999998</v>
      </c>
      <c r="Q334" s="82">
        <f t="shared" si="161"/>
        <v>899.71</v>
      </c>
      <c r="R334" s="82">
        <f t="shared" si="162"/>
        <v>899.71</v>
      </c>
    </row>
    <row r="335" spans="2:18" s="34" customFormat="1" ht="23.4">
      <c r="B335" s="75" t="s">
        <v>662</v>
      </c>
      <c r="C335" s="76" t="s">
        <v>663</v>
      </c>
      <c r="D335" s="77" t="s">
        <v>124</v>
      </c>
      <c r="E335" s="93">
        <v>165.66</v>
      </c>
      <c r="F335" s="79"/>
      <c r="G335" s="79"/>
      <c r="H335" s="79"/>
      <c r="I335" s="79">
        <f>SUM(G335:H335)+'BM 003'!I335</f>
        <v>0</v>
      </c>
      <c r="J335" s="79">
        <f t="shared" si="135"/>
        <v>165.66</v>
      </c>
      <c r="K335" s="80">
        <v>41</v>
      </c>
      <c r="L335" s="81">
        <f t="shared" si="134"/>
        <v>51.971604510000006</v>
      </c>
      <c r="M335" s="82">
        <f t="shared" si="158"/>
        <v>0</v>
      </c>
      <c r="N335" s="82">
        <f t="shared" si="159"/>
        <v>0</v>
      </c>
      <c r="O335" s="82">
        <f>N335+'BM 003'!O335</f>
        <v>0</v>
      </c>
      <c r="P335" s="80">
        <f t="shared" si="160"/>
        <v>6792.0599999999995</v>
      </c>
      <c r="Q335" s="82">
        <f t="shared" si="161"/>
        <v>8609.61</v>
      </c>
      <c r="R335" s="82">
        <f t="shared" si="162"/>
        <v>8609.61</v>
      </c>
    </row>
    <row r="336" spans="2:18" s="34" customFormat="1" ht="23.4">
      <c r="B336" s="75" t="s">
        <v>664</v>
      </c>
      <c r="C336" s="76" t="s">
        <v>665</v>
      </c>
      <c r="D336" s="77" t="s">
        <v>124</v>
      </c>
      <c r="E336" s="93">
        <v>162.16999999999999</v>
      </c>
      <c r="F336" s="79"/>
      <c r="G336" s="79"/>
      <c r="H336" s="79"/>
      <c r="I336" s="79">
        <f>SUM(G336:H336)+'BM 003'!I336</f>
        <v>0</v>
      </c>
      <c r="J336" s="79">
        <f t="shared" si="135"/>
        <v>162.16999999999999</v>
      </c>
      <c r="K336" s="80">
        <v>74</v>
      </c>
      <c r="L336" s="81">
        <f t="shared" si="134"/>
        <v>93.802408140000011</v>
      </c>
      <c r="M336" s="82">
        <f t="shared" si="158"/>
        <v>0</v>
      </c>
      <c r="N336" s="82">
        <f t="shared" si="159"/>
        <v>0</v>
      </c>
      <c r="O336" s="82">
        <f>N336+'BM 003'!O336</f>
        <v>0</v>
      </c>
      <c r="P336" s="80">
        <f t="shared" si="160"/>
        <v>12000.58</v>
      </c>
      <c r="Q336" s="82">
        <f t="shared" si="161"/>
        <v>15211.93</v>
      </c>
      <c r="R336" s="82">
        <f t="shared" si="162"/>
        <v>15211.93</v>
      </c>
    </row>
    <row r="337" spans="2:18" s="34" customFormat="1" ht="24">
      <c r="B337" s="66" t="s">
        <v>666</v>
      </c>
      <c r="C337" s="67" t="s">
        <v>667</v>
      </c>
      <c r="D337" s="68"/>
      <c r="E337" s="69"/>
      <c r="F337" s="70"/>
      <c r="G337" s="70"/>
      <c r="H337" s="70"/>
      <c r="I337" s="70">
        <f>SUM(G337:H337)+'BM 003'!I337</f>
        <v>0</v>
      </c>
      <c r="J337" s="70">
        <f t="shared" si="135"/>
        <v>0</v>
      </c>
      <c r="K337" s="71"/>
      <c r="L337" s="71">
        <f t="shared" si="134"/>
        <v>0</v>
      </c>
      <c r="M337" s="73">
        <f t="shared" ref="M337:R337" si="163">SUM(M338:M394)</f>
        <v>0</v>
      </c>
      <c r="N337" s="73">
        <f t="shared" si="163"/>
        <v>0</v>
      </c>
      <c r="O337" s="73">
        <f t="shared" si="163"/>
        <v>0</v>
      </c>
      <c r="P337" s="73">
        <f t="shared" si="163"/>
        <v>49585.86</v>
      </c>
      <c r="Q337" s="73">
        <f t="shared" si="163"/>
        <v>62854.749999999985</v>
      </c>
      <c r="R337" s="73">
        <f t="shared" si="163"/>
        <v>62854.749999999985</v>
      </c>
    </row>
    <row r="338" spans="2:18" s="34" customFormat="1" ht="46.2">
      <c r="B338" s="75" t="s">
        <v>668</v>
      </c>
      <c r="C338" s="76" t="s">
        <v>669</v>
      </c>
      <c r="D338" s="77" t="s">
        <v>131</v>
      </c>
      <c r="E338" s="93">
        <v>2</v>
      </c>
      <c r="F338" s="79"/>
      <c r="G338" s="79"/>
      <c r="H338" s="79"/>
      <c r="I338" s="79">
        <f>SUM(G338:H338)+'BM 003'!I338</f>
        <v>0</v>
      </c>
      <c r="J338" s="79">
        <f t="shared" si="135"/>
        <v>2</v>
      </c>
      <c r="K338" s="80">
        <v>119</v>
      </c>
      <c r="L338" s="81">
        <f t="shared" si="134"/>
        <v>150.84441309000002</v>
      </c>
      <c r="M338" s="82">
        <f t="shared" ref="M338:M369" si="164">TRUNC(F338*L338,2)</f>
        <v>0</v>
      </c>
      <c r="N338" s="82">
        <f t="shared" ref="N338:N369" si="165">TRUNC(G338*L338,2)</f>
        <v>0</v>
      </c>
      <c r="O338" s="82">
        <f>N338+'BM 003'!O338</f>
        <v>0</v>
      </c>
      <c r="P338" s="80">
        <f t="shared" ref="P338:P369" si="166">E338*K338</f>
        <v>238</v>
      </c>
      <c r="Q338" s="82">
        <f t="shared" ref="Q338:Q369" si="167">TRUNC(E338*L338,2)</f>
        <v>301.68</v>
      </c>
      <c r="R338" s="82">
        <f t="shared" ref="R338:R369" si="168">Q338-O338</f>
        <v>301.68</v>
      </c>
    </row>
    <row r="339" spans="2:18" s="34" customFormat="1" ht="46.2">
      <c r="B339" s="75" t="s">
        <v>670</v>
      </c>
      <c r="C339" s="76" t="s">
        <v>671</v>
      </c>
      <c r="D339" s="77" t="s">
        <v>131</v>
      </c>
      <c r="E339" s="93">
        <v>12</v>
      </c>
      <c r="F339" s="79"/>
      <c r="G339" s="79"/>
      <c r="H339" s="79"/>
      <c r="I339" s="79">
        <f>SUM(G339:H339)+'BM 003'!I339</f>
        <v>0</v>
      </c>
      <c r="J339" s="79">
        <f t="shared" si="135"/>
        <v>12</v>
      </c>
      <c r="K339" s="80">
        <v>215</v>
      </c>
      <c r="L339" s="81">
        <f t="shared" si="134"/>
        <v>272.53402364999999</v>
      </c>
      <c r="M339" s="82">
        <f t="shared" si="164"/>
        <v>0</v>
      </c>
      <c r="N339" s="82">
        <f t="shared" si="165"/>
        <v>0</v>
      </c>
      <c r="O339" s="82">
        <f>N339+'BM 003'!O339</f>
        <v>0</v>
      </c>
      <c r="P339" s="80">
        <f t="shared" si="166"/>
        <v>2580</v>
      </c>
      <c r="Q339" s="82">
        <f t="shared" si="167"/>
        <v>3270.4</v>
      </c>
      <c r="R339" s="82">
        <f t="shared" si="168"/>
        <v>3270.4</v>
      </c>
    </row>
    <row r="340" spans="2:18" s="34" customFormat="1" ht="23.4">
      <c r="B340" s="75" t="s">
        <v>672</v>
      </c>
      <c r="C340" s="76" t="s">
        <v>673</v>
      </c>
      <c r="D340" s="77" t="s">
        <v>131</v>
      </c>
      <c r="E340" s="93">
        <v>15</v>
      </c>
      <c r="F340" s="79"/>
      <c r="G340" s="79"/>
      <c r="H340" s="79"/>
      <c r="I340" s="79">
        <f>SUM(G340:H340)+'BM 003'!I340</f>
        <v>0</v>
      </c>
      <c r="J340" s="79">
        <f t="shared" si="135"/>
        <v>15</v>
      </c>
      <c r="K340" s="80">
        <v>98</v>
      </c>
      <c r="L340" s="81">
        <f t="shared" si="134"/>
        <v>124.22481078000001</v>
      </c>
      <c r="M340" s="82">
        <f t="shared" si="164"/>
        <v>0</v>
      </c>
      <c r="N340" s="82">
        <f t="shared" si="165"/>
        <v>0</v>
      </c>
      <c r="O340" s="82">
        <f>N340+'BM 003'!O340</f>
        <v>0</v>
      </c>
      <c r="P340" s="80">
        <f t="shared" si="166"/>
        <v>1470</v>
      </c>
      <c r="Q340" s="82">
        <f t="shared" si="167"/>
        <v>1863.37</v>
      </c>
      <c r="R340" s="82">
        <f t="shared" si="168"/>
        <v>1863.37</v>
      </c>
    </row>
    <row r="341" spans="2:18" s="34" customFormat="1" ht="34.799999999999997">
      <c r="B341" s="75" t="s">
        <v>674</v>
      </c>
      <c r="C341" s="76" t="s">
        <v>675</v>
      </c>
      <c r="D341" s="77" t="s">
        <v>131</v>
      </c>
      <c r="E341" s="93">
        <v>5</v>
      </c>
      <c r="F341" s="79"/>
      <c r="G341" s="79"/>
      <c r="H341" s="79"/>
      <c r="I341" s="79">
        <f>SUM(G341:H341)+'BM 003'!I341</f>
        <v>0</v>
      </c>
      <c r="J341" s="79">
        <f t="shared" si="135"/>
        <v>5</v>
      </c>
      <c r="K341" s="80">
        <v>52</v>
      </c>
      <c r="L341" s="81">
        <f t="shared" si="134"/>
        <v>65.915205720000003</v>
      </c>
      <c r="M341" s="82">
        <f t="shared" si="164"/>
        <v>0</v>
      </c>
      <c r="N341" s="82">
        <f t="shared" si="165"/>
        <v>0</v>
      </c>
      <c r="O341" s="82">
        <f>N341+'BM 003'!O341</f>
        <v>0</v>
      </c>
      <c r="P341" s="80">
        <f t="shared" si="166"/>
        <v>260</v>
      </c>
      <c r="Q341" s="82">
        <f t="shared" si="167"/>
        <v>329.57</v>
      </c>
      <c r="R341" s="82">
        <f t="shared" si="168"/>
        <v>329.57</v>
      </c>
    </row>
    <row r="342" spans="2:18" s="34" customFormat="1" ht="34.799999999999997">
      <c r="B342" s="75" t="s">
        <v>676</v>
      </c>
      <c r="C342" s="76" t="s">
        <v>677</v>
      </c>
      <c r="D342" s="77" t="s">
        <v>131</v>
      </c>
      <c r="E342" s="93">
        <v>160</v>
      </c>
      <c r="F342" s="79"/>
      <c r="G342" s="79"/>
      <c r="H342" s="79"/>
      <c r="I342" s="79">
        <f>SUM(G342:H342)+'BM 003'!I342</f>
        <v>0</v>
      </c>
      <c r="J342" s="79">
        <f t="shared" si="135"/>
        <v>160</v>
      </c>
      <c r="K342" s="80">
        <v>105.95</v>
      </c>
      <c r="L342" s="81">
        <f t="shared" si="134"/>
        <v>134.30223165450002</v>
      </c>
      <c r="M342" s="82">
        <f t="shared" si="164"/>
        <v>0</v>
      </c>
      <c r="N342" s="82">
        <f t="shared" si="165"/>
        <v>0</v>
      </c>
      <c r="O342" s="82">
        <f>N342+'BM 003'!O342</f>
        <v>0</v>
      </c>
      <c r="P342" s="80">
        <f t="shared" si="166"/>
        <v>16952</v>
      </c>
      <c r="Q342" s="82">
        <f t="shared" si="167"/>
        <v>21488.35</v>
      </c>
      <c r="R342" s="82">
        <f t="shared" si="168"/>
        <v>21488.35</v>
      </c>
    </row>
    <row r="343" spans="2:18" s="34" customFormat="1" ht="23.4">
      <c r="B343" s="75" t="s">
        <v>678</v>
      </c>
      <c r="C343" s="76" t="s">
        <v>679</v>
      </c>
      <c r="D343" s="77" t="s">
        <v>131</v>
      </c>
      <c r="E343" s="93">
        <v>11</v>
      </c>
      <c r="F343" s="79"/>
      <c r="G343" s="79"/>
      <c r="H343" s="79"/>
      <c r="I343" s="79">
        <f>SUM(G343:H343)+'BM 003'!I343</f>
        <v>0</v>
      </c>
      <c r="J343" s="79">
        <f t="shared" si="135"/>
        <v>11</v>
      </c>
      <c r="K343" s="80">
        <v>485</v>
      </c>
      <c r="L343" s="81">
        <f t="shared" si="134"/>
        <v>614.78605334999997</v>
      </c>
      <c r="M343" s="82">
        <f t="shared" si="164"/>
        <v>0</v>
      </c>
      <c r="N343" s="82">
        <f t="shared" si="165"/>
        <v>0</v>
      </c>
      <c r="O343" s="82">
        <f>N343+'BM 003'!O343</f>
        <v>0</v>
      </c>
      <c r="P343" s="80">
        <f t="shared" si="166"/>
        <v>5335</v>
      </c>
      <c r="Q343" s="82">
        <f t="shared" si="167"/>
        <v>6762.64</v>
      </c>
      <c r="R343" s="82">
        <f t="shared" si="168"/>
        <v>6762.64</v>
      </c>
    </row>
    <row r="344" spans="2:18" s="34" customFormat="1" ht="34.799999999999997">
      <c r="B344" s="75" t="s">
        <v>680</v>
      </c>
      <c r="C344" s="88" t="s">
        <v>681</v>
      </c>
      <c r="D344" s="89" t="s">
        <v>131</v>
      </c>
      <c r="E344" s="90">
        <v>3</v>
      </c>
      <c r="F344" s="91"/>
      <c r="G344" s="91"/>
      <c r="H344" s="91"/>
      <c r="I344" s="91">
        <f>SUM(G344:H344)+'BM 003'!I344</f>
        <v>0</v>
      </c>
      <c r="J344" s="91">
        <f t="shared" si="135"/>
        <v>3</v>
      </c>
      <c r="K344" s="80">
        <v>165</v>
      </c>
      <c r="L344" s="81">
        <f t="shared" si="134"/>
        <v>209.15401815000001</v>
      </c>
      <c r="M344" s="82">
        <f t="shared" si="164"/>
        <v>0</v>
      </c>
      <c r="N344" s="82">
        <f t="shared" si="165"/>
        <v>0</v>
      </c>
      <c r="O344" s="82">
        <f>N344+'BM 003'!O344</f>
        <v>0</v>
      </c>
      <c r="P344" s="80">
        <f t="shared" si="166"/>
        <v>495</v>
      </c>
      <c r="Q344" s="82">
        <f t="shared" si="167"/>
        <v>627.46</v>
      </c>
      <c r="R344" s="82">
        <f t="shared" si="168"/>
        <v>627.46</v>
      </c>
    </row>
    <row r="345" spans="2:18" s="34" customFormat="1" ht="23.4">
      <c r="B345" s="75" t="s">
        <v>682</v>
      </c>
      <c r="C345" s="88" t="s">
        <v>683</v>
      </c>
      <c r="D345" s="89" t="s">
        <v>131</v>
      </c>
      <c r="E345" s="90">
        <v>1</v>
      </c>
      <c r="F345" s="91"/>
      <c r="G345" s="91"/>
      <c r="H345" s="91"/>
      <c r="I345" s="91">
        <f>SUM(G345:H345)+'BM 003'!I345</f>
        <v>0</v>
      </c>
      <c r="J345" s="91">
        <f t="shared" si="135"/>
        <v>1</v>
      </c>
      <c r="K345" s="80">
        <v>169</v>
      </c>
      <c r="L345" s="81">
        <f t="shared" si="134"/>
        <v>214.22441859</v>
      </c>
      <c r="M345" s="82">
        <f t="shared" si="164"/>
        <v>0</v>
      </c>
      <c r="N345" s="82">
        <f t="shared" si="165"/>
        <v>0</v>
      </c>
      <c r="O345" s="82">
        <f>N345+'BM 003'!O345</f>
        <v>0</v>
      </c>
      <c r="P345" s="80">
        <f t="shared" si="166"/>
        <v>169</v>
      </c>
      <c r="Q345" s="82">
        <f t="shared" si="167"/>
        <v>214.22</v>
      </c>
      <c r="R345" s="82">
        <f t="shared" si="168"/>
        <v>214.22</v>
      </c>
    </row>
    <row r="346" spans="2:18" s="34" customFormat="1" ht="23.4">
      <c r="B346" s="75" t="s">
        <v>684</v>
      </c>
      <c r="C346" s="88" t="s">
        <v>685</v>
      </c>
      <c r="D346" s="89" t="s">
        <v>131</v>
      </c>
      <c r="E346" s="90">
        <v>1</v>
      </c>
      <c r="F346" s="91"/>
      <c r="G346" s="91"/>
      <c r="H346" s="91"/>
      <c r="I346" s="91">
        <f>SUM(G346:H346)+'BM 003'!I346</f>
        <v>0</v>
      </c>
      <c r="J346" s="91">
        <f t="shared" si="135"/>
        <v>1</v>
      </c>
      <c r="K346" s="80">
        <v>99</v>
      </c>
      <c r="L346" s="81">
        <f t="shared" si="134"/>
        <v>125.49241089</v>
      </c>
      <c r="M346" s="82">
        <f t="shared" si="164"/>
        <v>0</v>
      </c>
      <c r="N346" s="82">
        <f t="shared" si="165"/>
        <v>0</v>
      </c>
      <c r="O346" s="82">
        <f>N346+'BM 003'!O346</f>
        <v>0</v>
      </c>
      <c r="P346" s="80">
        <f t="shared" si="166"/>
        <v>99</v>
      </c>
      <c r="Q346" s="82">
        <f t="shared" si="167"/>
        <v>125.49</v>
      </c>
      <c r="R346" s="82">
        <f t="shared" si="168"/>
        <v>125.49</v>
      </c>
    </row>
    <row r="347" spans="2:18" s="34" customFormat="1" ht="23.4">
      <c r="B347" s="75" t="s">
        <v>686</v>
      </c>
      <c r="C347" s="88" t="s">
        <v>687</v>
      </c>
      <c r="D347" s="89" t="s">
        <v>131</v>
      </c>
      <c r="E347" s="90">
        <v>1</v>
      </c>
      <c r="F347" s="91"/>
      <c r="G347" s="91"/>
      <c r="H347" s="91"/>
      <c r="I347" s="91">
        <f>SUM(G347:H347)+'BM 003'!I347</f>
        <v>0</v>
      </c>
      <c r="J347" s="91">
        <f t="shared" si="135"/>
        <v>1</v>
      </c>
      <c r="K347" s="80">
        <v>265</v>
      </c>
      <c r="L347" s="81">
        <f t="shared" si="134"/>
        <v>335.91402915000003</v>
      </c>
      <c r="M347" s="82">
        <f t="shared" si="164"/>
        <v>0</v>
      </c>
      <c r="N347" s="82">
        <f t="shared" si="165"/>
        <v>0</v>
      </c>
      <c r="O347" s="82">
        <f>N347+'BM 003'!O347</f>
        <v>0</v>
      </c>
      <c r="P347" s="80">
        <f t="shared" si="166"/>
        <v>265</v>
      </c>
      <c r="Q347" s="82">
        <f t="shared" si="167"/>
        <v>335.91</v>
      </c>
      <c r="R347" s="82">
        <f t="shared" si="168"/>
        <v>335.91</v>
      </c>
    </row>
    <row r="348" spans="2:18" s="34" customFormat="1" ht="57.6">
      <c r="B348" s="75" t="s">
        <v>688</v>
      </c>
      <c r="C348" s="88" t="s">
        <v>689</v>
      </c>
      <c r="D348" s="89" t="s">
        <v>131</v>
      </c>
      <c r="E348" s="90">
        <v>16</v>
      </c>
      <c r="F348" s="91"/>
      <c r="G348" s="91"/>
      <c r="H348" s="91"/>
      <c r="I348" s="91">
        <f>SUM(G348:H348)+'BM 003'!I348</f>
        <v>0</v>
      </c>
      <c r="J348" s="91">
        <f t="shared" si="135"/>
        <v>16</v>
      </c>
      <c r="K348" s="80">
        <v>9.8000000000000007</v>
      </c>
      <c r="L348" s="81">
        <f t="shared" si="134"/>
        <v>12.422481078000002</v>
      </c>
      <c r="M348" s="82">
        <f t="shared" si="164"/>
        <v>0</v>
      </c>
      <c r="N348" s="82">
        <f t="shared" si="165"/>
        <v>0</v>
      </c>
      <c r="O348" s="82">
        <f>N348+'BM 003'!O348</f>
        <v>0</v>
      </c>
      <c r="P348" s="80">
        <f t="shared" si="166"/>
        <v>156.80000000000001</v>
      </c>
      <c r="Q348" s="82">
        <f t="shared" si="167"/>
        <v>198.75</v>
      </c>
      <c r="R348" s="82">
        <f t="shared" si="168"/>
        <v>198.75</v>
      </c>
    </row>
    <row r="349" spans="2:18" s="34" customFormat="1" ht="57.6">
      <c r="B349" s="75" t="s">
        <v>690</v>
      </c>
      <c r="C349" s="88" t="s">
        <v>691</v>
      </c>
      <c r="D349" s="89" t="s">
        <v>131</v>
      </c>
      <c r="E349" s="90">
        <v>4</v>
      </c>
      <c r="F349" s="91"/>
      <c r="G349" s="91"/>
      <c r="H349" s="91"/>
      <c r="I349" s="91">
        <f>SUM(G349:H349)+'BM 003'!I349</f>
        <v>0</v>
      </c>
      <c r="J349" s="91">
        <f t="shared" si="135"/>
        <v>4</v>
      </c>
      <c r="K349" s="80">
        <v>12.5</v>
      </c>
      <c r="L349" s="81">
        <f t="shared" ref="L349:L412" si="169">K349*(1+$T$26)</f>
        <v>15.845001375000001</v>
      </c>
      <c r="M349" s="82">
        <f t="shared" si="164"/>
        <v>0</v>
      </c>
      <c r="N349" s="82">
        <f t="shared" si="165"/>
        <v>0</v>
      </c>
      <c r="O349" s="82">
        <f>N349+'BM 003'!O349</f>
        <v>0</v>
      </c>
      <c r="P349" s="80">
        <f t="shared" si="166"/>
        <v>50</v>
      </c>
      <c r="Q349" s="82">
        <f t="shared" si="167"/>
        <v>63.38</v>
      </c>
      <c r="R349" s="82">
        <f t="shared" si="168"/>
        <v>63.38</v>
      </c>
    </row>
    <row r="350" spans="2:18" s="34" customFormat="1" ht="57.6">
      <c r="B350" s="75" t="s">
        <v>692</v>
      </c>
      <c r="C350" s="88" t="s">
        <v>693</v>
      </c>
      <c r="D350" s="89" t="s">
        <v>131</v>
      </c>
      <c r="E350" s="90">
        <v>2</v>
      </c>
      <c r="F350" s="91"/>
      <c r="G350" s="91"/>
      <c r="H350" s="91"/>
      <c r="I350" s="91">
        <f>SUM(G350:H350)+'BM 003'!I350</f>
        <v>0</v>
      </c>
      <c r="J350" s="91">
        <f t="shared" si="135"/>
        <v>2</v>
      </c>
      <c r="K350" s="80">
        <v>28</v>
      </c>
      <c r="L350" s="81">
        <f t="shared" si="169"/>
        <v>35.492803080000002</v>
      </c>
      <c r="M350" s="82">
        <f t="shared" si="164"/>
        <v>0</v>
      </c>
      <c r="N350" s="82">
        <f t="shared" si="165"/>
        <v>0</v>
      </c>
      <c r="O350" s="82">
        <f>N350+'BM 003'!O350</f>
        <v>0</v>
      </c>
      <c r="P350" s="80">
        <f t="shared" si="166"/>
        <v>56</v>
      </c>
      <c r="Q350" s="82">
        <f t="shared" si="167"/>
        <v>70.98</v>
      </c>
      <c r="R350" s="82">
        <f t="shared" si="168"/>
        <v>70.98</v>
      </c>
    </row>
    <row r="351" spans="2:18" s="34" customFormat="1" ht="57.6">
      <c r="B351" s="75" t="s">
        <v>694</v>
      </c>
      <c r="C351" s="88" t="s">
        <v>695</v>
      </c>
      <c r="D351" s="89" t="s">
        <v>131</v>
      </c>
      <c r="E351" s="90">
        <v>30</v>
      </c>
      <c r="F351" s="91"/>
      <c r="G351" s="91"/>
      <c r="H351" s="91"/>
      <c r="I351" s="91">
        <f>SUM(G351:H351)+'BM 003'!I351</f>
        <v>0</v>
      </c>
      <c r="J351" s="91">
        <f t="shared" ref="J351:J414" si="170">E351-I351</f>
        <v>30</v>
      </c>
      <c r="K351" s="80">
        <v>38</v>
      </c>
      <c r="L351" s="81">
        <f t="shared" si="169"/>
        <v>48.168804180000002</v>
      </c>
      <c r="M351" s="82">
        <f t="shared" si="164"/>
        <v>0</v>
      </c>
      <c r="N351" s="82">
        <f t="shared" si="165"/>
        <v>0</v>
      </c>
      <c r="O351" s="82">
        <f>N351+'BM 003'!O351</f>
        <v>0</v>
      </c>
      <c r="P351" s="80">
        <f t="shared" si="166"/>
        <v>1140</v>
      </c>
      <c r="Q351" s="82">
        <f t="shared" si="167"/>
        <v>1445.06</v>
      </c>
      <c r="R351" s="82">
        <f t="shared" si="168"/>
        <v>1445.06</v>
      </c>
    </row>
    <row r="352" spans="2:18" s="34" customFormat="1" ht="46.2">
      <c r="B352" s="75" t="s">
        <v>696</v>
      </c>
      <c r="C352" s="88" t="s">
        <v>697</v>
      </c>
      <c r="D352" s="89" t="s">
        <v>131</v>
      </c>
      <c r="E352" s="90">
        <v>320</v>
      </c>
      <c r="F352" s="91"/>
      <c r="G352" s="91"/>
      <c r="H352" s="91"/>
      <c r="I352" s="91">
        <f>SUM(G352:H352)+'BM 003'!I352</f>
        <v>0</v>
      </c>
      <c r="J352" s="91">
        <f t="shared" si="170"/>
        <v>320</v>
      </c>
      <c r="K352" s="80">
        <v>5.33</v>
      </c>
      <c r="L352" s="81">
        <f t="shared" si="169"/>
        <v>6.7563085863000003</v>
      </c>
      <c r="M352" s="82">
        <f t="shared" si="164"/>
        <v>0</v>
      </c>
      <c r="N352" s="82">
        <f t="shared" si="165"/>
        <v>0</v>
      </c>
      <c r="O352" s="82">
        <f>N352+'BM 003'!O352</f>
        <v>0</v>
      </c>
      <c r="P352" s="80">
        <f t="shared" si="166"/>
        <v>1705.6</v>
      </c>
      <c r="Q352" s="82">
        <f t="shared" si="167"/>
        <v>2162.0100000000002</v>
      </c>
      <c r="R352" s="82">
        <f t="shared" si="168"/>
        <v>2162.0100000000002</v>
      </c>
    </row>
    <row r="353" spans="2:18" s="34" customFormat="1" ht="23.4">
      <c r="B353" s="75" t="s">
        <v>698</v>
      </c>
      <c r="C353" s="88" t="s">
        <v>699</v>
      </c>
      <c r="D353" s="89" t="s">
        <v>131</v>
      </c>
      <c r="E353" s="90">
        <v>12</v>
      </c>
      <c r="F353" s="91"/>
      <c r="G353" s="91"/>
      <c r="H353" s="91"/>
      <c r="I353" s="91">
        <f>SUM(G353:H353)+'BM 003'!I353</f>
        <v>0</v>
      </c>
      <c r="J353" s="91">
        <f t="shared" si="170"/>
        <v>12</v>
      </c>
      <c r="K353" s="80">
        <v>4.92</v>
      </c>
      <c r="L353" s="81">
        <f t="shared" si="169"/>
        <v>6.2365925412000003</v>
      </c>
      <c r="M353" s="82">
        <f t="shared" si="164"/>
        <v>0</v>
      </c>
      <c r="N353" s="82">
        <f t="shared" si="165"/>
        <v>0</v>
      </c>
      <c r="O353" s="82">
        <f>N353+'BM 003'!O353</f>
        <v>0</v>
      </c>
      <c r="P353" s="80">
        <f t="shared" si="166"/>
        <v>59.04</v>
      </c>
      <c r="Q353" s="82">
        <f t="shared" si="167"/>
        <v>74.83</v>
      </c>
      <c r="R353" s="82">
        <f t="shared" si="168"/>
        <v>74.83</v>
      </c>
    </row>
    <row r="354" spans="2:18" s="34" customFormat="1" ht="23.4">
      <c r="B354" s="75" t="s">
        <v>700</v>
      </c>
      <c r="C354" s="88" t="s">
        <v>701</v>
      </c>
      <c r="D354" s="89" t="s">
        <v>131</v>
      </c>
      <c r="E354" s="90">
        <v>1</v>
      </c>
      <c r="F354" s="91"/>
      <c r="G354" s="91"/>
      <c r="H354" s="91"/>
      <c r="I354" s="91">
        <f>SUM(G354:H354)+'BM 003'!I354</f>
        <v>0</v>
      </c>
      <c r="J354" s="91">
        <f t="shared" si="170"/>
        <v>1</v>
      </c>
      <c r="K354" s="80">
        <v>5.49</v>
      </c>
      <c r="L354" s="81">
        <f t="shared" si="169"/>
        <v>6.9591246039000003</v>
      </c>
      <c r="M354" s="82">
        <f t="shared" si="164"/>
        <v>0</v>
      </c>
      <c r="N354" s="82">
        <f t="shared" si="165"/>
        <v>0</v>
      </c>
      <c r="O354" s="82">
        <f>N354+'BM 003'!O354</f>
        <v>0</v>
      </c>
      <c r="P354" s="80">
        <f t="shared" si="166"/>
        <v>5.49</v>
      </c>
      <c r="Q354" s="82">
        <f t="shared" si="167"/>
        <v>6.95</v>
      </c>
      <c r="R354" s="82">
        <f t="shared" si="168"/>
        <v>6.95</v>
      </c>
    </row>
    <row r="355" spans="2:18" s="34" customFormat="1" ht="23.4">
      <c r="B355" s="75" t="s">
        <v>702</v>
      </c>
      <c r="C355" s="88" t="s">
        <v>703</v>
      </c>
      <c r="D355" s="89" t="s">
        <v>131</v>
      </c>
      <c r="E355" s="90">
        <v>1</v>
      </c>
      <c r="F355" s="91"/>
      <c r="G355" s="91"/>
      <c r="H355" s="91"/>
      <c r="I355" s="91">
        <f>SUM(G355:H355)+'BM 003'!I355</f>
        <v>0</v>
      </c>
      <c r="J355" s="91">
        <f t="shared" si="170"/>
        <v>1</v>
      </c>
      <c r="K355" s="80">
        <v>8.5</v>
      </c>
      <c r="L355" s="81">
        <f t="shared" si="169"/>
        <v>10.774600935</v>
      </c>
      <c r="M355" s="82">
        <f t="shared" si="164"/>
        <v>0</v>
      </c>
      <c r="N355" s="82">
        <f t="shared" si="165"/>
        <v>0</v>
      </c>
      <c r="O355" s="82">
        <f>N355+'BM 003'!O355</f>
        <v>0</v>
      </c>
      <c r="P355" s="80">
        <f t="shared" si="166"/>
        <v>8.5</v>
      </c>
      <c r="Q355" s="82">
        <f t="shared" si="167"/>
        <v>10.77</v>
      </c>
      <c r="R355" s="82">
        <f t="shared" si="168"/>
        <v>10.77</v>
      </c>
    </row>
    <row r="356" spans="2:18" s="34" customFormat="1" ht="23.4">
      <c r="B356" s="75" t="s">
        <v>704</v>
      </c>
      <c r="C356" s="88" t="s">
        <v>705</v>
      </c>
      <c r="D356" s="89" t="s">
        <v>131</v>
      </c>
      <c r="E356" s="90">
        <v>1</v>
      </c>
      <c r="F356" s="91"/>
      <c r="G356" s="91"/>
      <c r="H356" s="91"/>
      <c r="I356" s="91">
        <f>SUM(G356:H356)+'BM 003'!I356</f>
        <v>0</v>
      </c>
      <c r="J356" s="91">
        <f t="shared" si="170"/>
        <v>1</v>
      </c>
      <c r="K356" s="80">
        <v>14.47</v>
      </c>
      <c r="L356" s="81">
        <f t="shared" si="169"/>
        <v>18.3421735917</v>
      </c>
      <c r="M356" s="82">
        <f t="shared" si="164"/>
        <v>0</v>
      </c>
      <c r="N356" s="82">
        <f t="shared" si="165"/>
        <v>0</v>
      </c>
      <c r="O356" s="82">
        <f>N356+'BM 003'!O356</f>
        <v>0</v>
      </c>
      <c r="P356" s="80">
        <f t="shared" si="166"/>
        <v>14.47</v>
      </c>
      <c r="Q356" s="82">
        <f t="shared" si="167"/>
        <v>18.34</v>
      </c>
      <c r="R356" s="82">
        <f t="shared" si="168"/>
        <v>18.34</v>
      </c>
    </row>
    <row r="357" spans="2:18" s="34" customFormat="1" ht="23.4">
      <c r="B357" s="75" t="s">
        <v>706</v>
      </c>
      <c r="C357" s="88" t="s">
        <v>707</v>
      </c>
      <c r="D357" s="89" t="s">
        <v>131</v>
      </c>
      <c r="E357" s="90">
        <v>4</v>
      </c>
      <c r="F357" s="91"/>
      <c r="G357" s="91"/>
      <c r="H357" s="91"/>
      <c r="I357" s="91">
        <f>SUM(G357:H357)+'BM 003'!I357</f>
        <v>0</v>
      </c>
      <c r="J357" s="91">
        <f t="shared" si="170"/>
        <v>4</v>
      </c>
      <c r="K357" s="80">
        <v>31.9</v>
      </c>
      <c r="L357" s="81">
        <f t="shared" si="169"/>
        <v>40.436443509</v>
      </c>
      <c r="M357" s="82">
        <f t="shared" si="164"/>
        <v>0</v>
      </c>
      <c r="N357" s="82">
        <f t="shared" si="165"/>
        <v>0</v>
      </c>
      <c r="O357" s="82">
        <f>N357+'BM 003'!O357</f>
        <v>0</v>
      </c>
      <c r="P357" s="80">
        <f t="shared" si="166"/>
        <v>127.6</v>
      </c>
      <c r="Q357" s="82">
        <f t="shared" si="167"/>
        <v>161.74</v>
      </c>
      <c r="R357" s="82">
        <f t="shared" si="168"/>
        <v>161.74</v>
      </c>
    </row>
    <row r="358" spans="2:18" s="34" customFormat="1" ht="23.4">
      <c r="B358" s="75" t="s">
        <v>708</v>
      </c>
      <c r="C358" s="88" t="s">
        <v>709</v>
      </c>
      <c r="D358" s="89" t="s">
        <v>131</v>
      </c>
      <c r="E358" s="90">
        <v>1</v>
      </c>
      <c r="F358" s="91"/>
      <c r="G358" s="91"/>
      <c r="H358" s="91"/>
      <c r="I358" s="91">
        <f>SUM(G358:H358)+'BM 003'!I358</f>
        <v>0</v>
      </c>
      <c r="J358" s="91">
        <f t="shared" si="170"/>
        <v>1</v>
      </c>
      <c r="K358" s="80">
        <v>11.22</v>
      </c>
      <c r="L358" s="81">
        <f t="shared" si="169"/>
        <v>14.222473234200001</v>
      </c>
      <c r="M358" s="82">
        <f t="shared" si="164"/>
        <v>0</v>
      </c>
      <c r="N358" s="82">
        <f t="shared" si="165"/>
        <v>0</v>
      </c>
      <c r="O358" s="82">
        <f>N358+'BM 003'!O358</f>
        <v>0</v>
      </c>
      <c r="P358" s="80">
        <f t="shared" si="166"/>
        <v>11.22</v>
      </c>
      <c r="Q358" s="82">
        <f t="shared" si="167"/>
        <v>14.22</v>
      </c>
      <c r="R358" s="82">
        <f t="shared" si="168"/>
        <v>14.22</v>
      </c>
    </row>
    <row r="359" spans="2:18" s="34" customFormat="1" ht="23.4">
      <c r="B359" s="75" t="s">
        <v>710</v>
      </c>
      <c r="C359" s="88" t="s">
        <v>711</v>
      </c>
      <c r="D359" s="89" t="s">
        <v>131</v>
      </c>
      <c r="E359" s="90">
        <v>57</v>
      </c>
      <c r="F359" s="91"/>
      <c r="G359" s="91"/>
      <c r="H359" s="91"/>
      <c r="I359" s="91">
        <f>SUM(G359:H359)+'BM 003'!I359</f>
        <v>0</v>
      </c>
      <c r="J359" s="91">
        <f t="shared" si="170"/>
        <v>57</v>
      </c>
      <c r="K359" s="80">
        <v>14.54</v>
      </c>
      <c r="L359" s="81">
        <f t="shared" si="169"/>
        <v>18.430905599399999</v>
      </c>
      <c r="M359" s="82">
        <f t="shared" si="164"/>
        <v>0</v>
      </c>
      <c r="N359" s="82">
        <f t="shared" si="165"/>
        <v>0</v>
      </c>
      <c r="O359" s="82">
        <f>N359+'BM 003'!O359</f>
        <v>0</v>
      </c>
      <c r="P359" s="80">
        <f t="shared" si="166"/>
        <v>828.78</v>
      </c>
      <c r="Q359" s="82">
        <f t="shared" si="167"/>
        <v>1050.56</v>
      </c>
      <c r="R359" s="82">
        <f t="shared" si="168"/>
        <v>1050.56</v>
      </c>
    </row>
    <row r="360" spans="2:18" s="34" customFormat="1" ht="23.4">
      <c r="B360" s="75" t="s">
        <v>712</v>
      </c>
      <c r="C360" s="88" t="s">
        <v>713</v>
      </c>
      <c r="D360" s="89" t="s">
        <v>131</v>
      </c>
      <c r="E360" s="90">
        <v>1</v>
      </c>
      <c r="F360" s="91"/>
      <c r="G360" s="91"/>
      <c r="H360" s="91"/>
      <c r="I360" s="91">
        <f>SUM(G360:H360)+'BM 003'!I360</f>
        <v>0</v>
      </c>
      <c r="J360" s="91">
        <f t="shared" si="170"/>
        <v>1</v>
      </c>
      <c r="K360" s="80">
        <v>16.8</v>
      </c>
      <c r="L360" s="81">
        <f t="shared" si="169"/>
        <v>21.295681848000001</v>
      </c>
      <c r="M360" s="82">
        <f t="shared" si="164"/>
        <v>0</v>
      </c>
      <c r="N360" s="82">
        <f t="shared" si="165"/>
        <v>0</v>
      </c>
      <c r="O360" s="82">
        <f>N360+'BM 003'!O360</f>
        <v>0</v>
      </c>
      <c r="P360" s="80">
        <f t="shared" si="166"/>
        <v>16.8</v>
      </c>
      <c r="Q360" s="82">
        <f t="shared" si="167"/>
        <v>21.29</v>
      </c>
      <c r="R360" s="82">
        <f t="shared" si="168"/>
        <v>21.29</v>
      </c>
    </row>
    <row r="361" spans="2:18" s="34" customFormat="1" ht="46.2">
      <c r="B361" s="75" t="s">
        <v>714</v>
      </c>
      <c r="C361" s="88" t="s">
        <v>715</v>
      </c>
      <c r="D361" s="89" t="s">
        <v>131</v>
      </c>
      <c r="E361" s="90">
        <v>1</v>
      </c>
      <c r="F361" s="91"/>
      <c r="G361" s="91"/>
      <c r="H361" s="91"/>
      <c r="I361" s="91">
        <f>SUM(G361:H361)+'BM 003'!I361</f>
        <v>0</v>
      </c>
      <c r="J361" s="91">
        <f t="shared" si="170"/>
        <v>1</v>
      </c>
      <c r="K361" s="80">
        <v>25</v>
      </c>
      <c r="L361" s="81">
        <f t="shared" si="169"/>
        <v>31.690002750000001</v>
      </c>
      <c r="M361" s="82">
        <f t="shared" si="164"/>
        <v>0</v>
      </c>
      <c r="N361" s="82">
        <f t="shared" si="165"/>
        <v>0</v>
      </c>
      <c r="O361" s="82">
        <f>N361+'BM 003'!O361</f>
        <v>0</v>
      </c>
      <c r="P361" s="80">
        <f t="shared" si="166"/>
        <v>25</v>
      </c>
      <c r="Q361" s="82">
        <f t="shared" si="167"/>
        <v>31.69</v>
      </c>
      <c r="R361" s="82">
        <f t="shared" si="168"/>
        <v>31.69</v>
      </c>
    </row>
    <row r="362" spans="2:18" s="34" customFormat="1" ht="34.799999999999997">
      <c r="B362" s="75" t="s">
        <v>716</v>
      </c>
      <c r="C362" s="88" t="s">
        <v>717</v>
      </c>
      <c r="D362" s="89" t="s">
        <v>131</v>
      </c>
      <c r="E362" s="90">
        <v>24</v>
      </c>
      <c r="F362" s="91"/>
      <c r="G362" s="91"/>
      <c r="H362" s="91"/>
      <c r="I362" s="91">
        <f>SUM(G362:H362)+'BM 003'!I362</f>
        <v>0</v>
      </c>
      <c r="J362" s="91">
        <f t="shared" si="170"/>
        <v>24</v>
      </c>
      <c r="K362" s="80">
        <v>5.37</v>
      </c>
      <c r="L362" s="81">
        <f t="shared" si="169"/>
        <v>6.8070125907000003</v>
      </c>
      <c r="M362" s="82">
        <f t="shared" si="164"/>
        <v>0</v>
      </c>
      <c r="N362" s="82">
        <f t="shared" si="165"/>
        <v>0</v>
      </c>
      <c r="O362" s="82">
        <f>N362+'BM 003'!O362</f>
        <v>0</v>
      </c>
      <c r="P362" s="80">
        <f t="shared" si="166"/>
        <v>128.88</v>
      </c>
      <c r="Q362" s="82">
        <f t="shared" si="167"/>
        <v>163.36000000000001</v>
      </c>
      <c r="R362" s="82">
        <f t="shared" si="168"/>
        <v>163.36000000000001</v>
      </c>
    </row>
    <row r="363" spans="2:18" s="34" customFormat="1" ht="34.799999999999997">
      <c r="B363" s="75" t="s">
        <v>718</v>
      </c>
      <c r="C363" s="88" t="s">
        <v>719</v>
      </c>
      <c r="D363" s="89" t="s">
        <v>131</v>
      </c>
      <c r="E363" s="90">
        <v>2</v>
      </c>
      <c r="F363" s="91"/>
      <c r="G363" s="91"/>
      <c r="H363" s="91"/>
      <c r="I363" s="91">
        <f>SUM(G363:H363)+'BM 003'!I363</f>
        <v>0</v>
      </c>
      <c r="J363" s="91">
        <f t="shared" si="170"/>
        <v>2</v>
      </c>
      <c r="K363" s="80">
        <v>8.76</v>
      </c>
      <c r="L363" s="81">
        <f t="shared" si="169"/>
        <v>11.104176963600001</v>
      </c>
      <c r="M363" s="82">
        <f t="shared" si="164"/>
        <v>0</v>
      </c>
      <c r="N363" s="82">
        <f t="shared" si="165"/>
        <v>0</v>
      </c>
      <c r="O363" s="82">
        <f>N363+'BM 003'!O363</f>
        <v>0</v>
      </c>
      <c r="P363" s="80">
        <f t="shared" si="166"/>
        <v>17.52</v>
      </c>
      <c r="Q363" s="82">
        <f t="shared" si="167"/>
        <v>22.2</v>
      </c>
      <c r="R363" s="82">
        <f t="shared" si="168"/>
        <v>22.2</v>
      </c>
    </row>
    <row r="364" spans="2:18" s="34" customFormat="1" ht="34.799999999999997">
      <c r="B364" s="75" t="s">
        <v>720</v>
      </c>
      <c r="C364" s="88" t="s">
        <v>721</v>
      </c>
      <c r="D364" s="89" t="s">
        <v>131</v>
      </c>
      <c r="E364" s="90">
        <v>4</v>
      </c>
      <c r="F364" s="91"/>
      <c r="G364" s="91"/>
      <c r="H364" s="91"/>
      <c r="I364" s="91">
        <f>SUM(G364:H364)+'BM 003'!I364</f>
        <v>0</v>
      </c>
      <c r="J364" s="91">
        <f t="shared" si="170"/>
        <v>4</v>
      </c>
      <c r="K364" s="80">
        <v>11.55</v>
      </c>
      <c r="L364" s="81">
        <f t="shared" si="169"/>
        <v>14.640781270500002</v>
      </c>
      <c r="M364" s="82">
        <f t="shared" si="164"/>
        <v>0</v>
      </c>
      <c r="N364" s="82">
        <f t="shared" si="165"/>
        <v>0</v>
      </c>
      <c r="O364" s="82">
        <f>N364+'BM 003'!O364</f>
        <v>0</v>
      </c>
      <c r="P364" s="80">
        <f t="shared" si="166"/>
        <v>46.2</v>
      </c>
      <c r="Q364" s="82">
        <f t="shared" si="167"/>
        <v>58.56</v>
      </c>
      <c r="R364" s="82">
        <f t="shared" si="168"/>
        <v>58.56</v>
      </c>
    </row>
    <row r="365" spans="2:18" s="34" customFormat="1" ht="34.799999999999997">
      <c r="B365" s="75" t="s">
        <v>722</v>
      </c>
      <c r="C365" s="88" t="s">
        <v>723</v>
      </c>
      <c r="D365" s="89" t="s">
        <v>131</v>
      </c>
      <c r="E365" s="90">
        <v>2</v>
      </c>
      <c r="F365" s="91"/>
      <c r="G365" s="91"/>
      <c r="H365" s="91"/>
      <c r="I365" s="91">
        <f>SUM(G365:H365)+'BM 003'!I365</f>
        <v>0</v>
      </c>
      <c r="J365" s="91">
        <f t="shared" si="170"/>
        <v>2</v>
      </c>
      <c r="K365" s="80">
        <v>34.32</v>
      </c>
      <c r="L365" s="81">
        <f t="shared" si="169"/>
        <v>43.504035775200002</v>
      </c>
      <c r="M365" s="82">
        <f t="shared" si="164"/>
        <v>0</v>
      </c>
      <c r="N365" s="82">
        <f t="shared" si="165"/>
        <v>0</v>
      </c>
      <c r="O365" s="82">
        <f>N365+'BM 003'!O365</f>
        <v>0</v>
      </c>
      <c r="P365" s="80">
        <f t="shared" si="166"/>
        <v>68.64</v>
      </c>
      <c r="Q365" s="82">
        <f t="shared" si="167"/>
        <v>87</v>
      </c>
      <c r="R365" s="82">
        <f t="shared" si="168"/>
        <v>87</v>
      </c>
    </row>
    <row r="366" spans="2:18" s="34" customFormat="1" ht="34.799999999999997">
      <c r="B366" s="75" t="s">
        <v>724</v>
      </c>
      <c r="C366" s="88" t="s">
        <v>725</v>
      </c>
      <c r="D366" s="89" t="s">
        <v>131</v>
      </c>
      <c r="E366" s="90">
        <v>3</v>
      </c>
      <c r="F366" s="91"/>
      <c r="G366" s="91"/>
      <c r="H366" s="91"/>
      <c r="I366" s="91">
        <f>SUM(G366:H366)+'BM 003'!I366</f>
        <v>0</v>
      </c>
      <c r="J366" s="91">
        <f t="shared" si="170"/>
        <v>3</v>
      </c>
      <c r="K366" s="80">
        <v>71.75</v>
      </c>
      <c r="L366" s="81">
        <f t="shared" si="169"/>
        <v>90.950307892500007</v>
      </c>
      <c r="M366" s="82">
        <f t="shared" si="164"/>
        <v>0</v>
      </c>
      <c r="N366" s="82">
        <f t="shared" si="165"/>
        <v>0</v>
      </c>
      <c r="O366" s="82">
        <f>N366+'BM 003'!O366</f>
        <v>0</v>
      </c>
      <c r="P366" s="80">
        <f t="shared" si="166"/>
        <v>215.25</v>
      </c>
      <c r="Q366" s="82">
        <f t="shared" si="167"/>
        <v>272.85000000000002</v>
      </c>
      <c r="R366" s="82">
        <f t="shared" si="168"/>
        <v>272.85000000000002</v>
      </c>
    </row>
    <row r="367" spans="2:18" s="34" customFormat="1" ht="46.2">
      <c r="B367" s="75" t="s">
        <v>726</v>
      </c>
      <c r="C367" s="88" t="s">
        <v>727</v>
      </c>
      <c r="D367" s="89" t="s">
        <v>131</v>
      </c>
      <c r="E367" s="90">
        <v>1</v>
      </c>
      <c r="F367" s="91"/>
      <c r="G367" s="91"/>
      <c r="H367" s="91"/>
      <c r="I367" s="91">
        <f>SUM(G367:H367)+'BM 003'!I367</f>
        <v>0</v>
      </c>
      <c r="J367" s="91">
        <f t="shared" si="170"/>
        <v>1</v>
      </c>
      <c r="K367" s="80">
        <v>14.38</v>
      </c>
      <c r="L367" s="81">
        <f t="shared" si="169"/>
        <v>18.228089581800003</v>
      </c>
      <c r="M367" s="82">
        <f t="shared" si="164"/>
        <v>0</v>
      </c>
      <c r="N367" s="82">
        <f t="shared" si="165"/>
        <v>0</v>
      </c>
      <c r="O367" s="82">
        <f>N367+'BM 003'!O367</f>
        <v>0</v>
      </c>
      <c r="P367" s="80">
        <f t="shared" si="166"/>
        <v>14.38</v>
      </c>
      <c r="Q367" s="82">
        <f t="shared" si="167"/>
        <v>18.22</v>
      </c>
      <c r="R367" s="82">
        <f t="shared" si="168"/>
        <v>18.22</v>
      </c>
    </row>
    <row r="368" spans="2:18" s="34" customFormat="1" ht="23.4">
      <c r="B368" s="75" t="s">
        <v>728</v>
      </c>
      <c r="C368" s="88" t="s">
        <v>729</v>
      </c>
      <c r="D368" s="89" t="s">
        <v>131</v>
      </c>
      <c r="E368" s="90">
        <v>22</v>
      </c>
      <c r="F368" s="91"/>
      <c r="G368" s="91"/>
      <c r="H368" s="91"/>
      <c r="I368" s="91">
        <f>SUM(G368:H368)+'BM 003'!I368</f>
        <v>0</v>
      </c>
      <c r="J368" s="91">
        <f t="shared" si="170"/>
        <v>22</v>
      </c>
      <c r="K368" s="80">
        <v>14.99</v>
      </c>
      <c r="L368" s="81">
        <f t="shared" si="169"/>
        <v>19.0013256489</v>
      </c>
      <c r="M368" s="82">
        <f t="shared" si="164"/>
        <v>0</v>
      </c>
      <c r="N368" s="82">
        <f t="shared" si="165"/>
        <v>0</v>
      </c>
      <c r="O368" s="82">
        <f>N368+'BM 003'!O368</f>
        <v>0</v>
      </c>
      <c r="P368" s="80">
        <f t="shared" si="166"/>
        <v>329.78000000000003</v>
      </c>
      <c r="Q368" s="82">
        <f t="shared" si="167"/>
        <v>418.02</v>
      </c>
      <c r="R368" s="82">
        <f t="shared" si="168"/>
        <v>418.02</v>
      </c>
    </row>
    <row r="369" spans="2:18" s="34" customFormat="1" ht="23.4">
      <c r="B369" s="75" t="s">
        <v>730</v>
      </c>
      <c r="C369" s="88" t="s">
        <v>731</v>
      </c>
      <c r="D369" s="89" t="s">
        <v>131</v>
      </c>
      <c r="E369" s="90">
        <v>289</v>
      </c>
      <c r="F369" s="91"/>
      <c r="G369" s="91"/>
      <c r="H369" s="91"/>
      <c r="I369" s="91">
        <f>SUM(G369:H369)+'BM 003'!I369</f>
        <v>0</v>
      </c>
      <c r="J369" s="91">
        <f t="shared" si="170"/>
        <v>289</v>
      </c>
      <c r="K369" s="80">
        <v>13.04</v>
      </c>
      <c r="L369" s="81">
        <f t="shared" si="169"/>
        <v>16.529505434400001</v>
      </c>
      <c r="M369" s="82">
        <f t="shared" si="164"/>
        <v>0</v>
      </c>
      <c r="N369" s="82">
        <f t="shared" si="165"/>
        <v>0</v>
      </c>
      <c r="O369" s="82">
        <f>N369+'BM 003'!O369</f>
        <v>0</v>
      </c>
      <c r="P369" s="80">
        <f t="shared" si="166"/>
        <v>3768.56</v>
      </c>
      <c r="Q369" s="82">
        <f t="shared" si="167"/>
        <v>4777.0200000000004</v>
      </c>
      <c r="R369" s="82">
        <f t="shared" si="168"/>
        <v>4777.0200000000004</v>
      </c>
    </row>
    <row r="370" spans="2:18" s="34" customFormat="1" ht="34.799999999999997">
      <c r="B370" s="75" t="s">
        <v>732</v>
      </c>
      <c r="C370" s="88" t="s">
        <v>733</v>
      </c>
      <c r="D370" s="89" t="s">
        <v>131</v>
      </c>
      <c r="E370" s="90">
        <v>7</v>
      </c>
      <c r="F370" s="91"/>
      <c r="G370" s="91"/>
      <c r="H370" s="91"/>
      <c r="I370" s="91">
        <f>SUM(G370:H370)+'BM 003'!I370</f>
        <v>0</v>
      </c>
      <c r="J370" s="91">
        <f t="shared" si="170"/>
        <v>7</v>
      </c>
      <c r="K370" s="80">
        <v>3.95</v>
      </c>
      <c r="L370" s="81">
        <f t="shared" si="169"/>
        <v>5.0070204345000002</v>
      </c>
      <c r="M370" s="82">
        <f t="shared" ref="M370:M394" si="171">TRUNC(F370*L370,2)</f>
        <v>0</v>
      </c>
      <c r="N370" s="82">
        <f t="shared" ref="N370:N394" si="172">TRUNC(G370*L370,2)</f>
        <v>0</v>
      </c>
      <c r="O370" s="82">
        <f>N370+'BM 003'!O370</f>
        <v>0</v>
      </c>
      <c r="P370" s="80">
        <f t="shared" ref="P370:P394" si="173">E370*K370</f>
        <v>27.650000000000002</v>
      </c>
      <c r="Q370" s="82">
        <f t="shared" ref="Q370:Q394" si="174">TRUNC(E370*L370,2)</f>
        <v>35.04</v>
      </c>
      <c r="R370" s="82">
        <f t="shared" ref="R370:R394" si="175">Q370-O370</f>
        <v>35.04</v>
      </c>
    </row>
    <row r="371" spans="2:18" s="34" customFormat="1" ht="34.799999999999997">
      <c r="B371" s="75" t="s">
        <v>734</v>
      </c>
      <c r="C371" s="88" t="s">
        <v>735</v>
      </c>
      <c r="D371" s="89" t="s">
        <v>131</v>
      </c>
      <c r="E371" s="90">
        <v>270</v>
      </c>
      <c r="F371" s="91"/>
      <c r="G371" s="91"/>
      <c r="H371" s="91"/>
      <c r="I371" s="91">
        <f>SUM(G371:H371)+'BM 003'!I371</f>
        <v>0</v>
      </c>
      <c r="J371" s="91">
        <f t="shared" si="170"/>
        <v>270</v>
      </c>
      <c r="K371" s="80">
        <v>4.67</v>
      </c>
      <c r="L371" s="81">
        <f t="shared" si="169"/>
        <v>5.9196925137000003</v>
      </c>
      <c r="M371" s="82">
        <f t="shared" si="171"/>
        <v>0</v>
      </c>
      <c r="N371" s="82">
        <f t="shared" si="172"/>
        <v>0</v>
      </c>
      <c r="O371" s="82">
        <f>N371+'BM 003'!O371</f>
        <v>0</v>
      </c>
      <c r="P371" s="80">
        <f t="shared" si="173"/>
        <v>1260.9000000000001</v>
      </c>
      <c r="Q371" s="82">
        <f t="shared" si="174"/>
        <v>1598.31</v>
      </c>
      <c r="R371" s="82">
        <f t="shared" si="175"/>
        <v>1598.31</v>
      </c>
    </row>
    <row r="372" spans="2:18" s="34" customFormat="1" ht="34.799999999999997">
      <c r="B372" s="75" t="s">
        <v>736</v>
      </c>
      <c r="C372" s="88" t="s">
        <v>737</v>
      </c>
      <c r="D372" s="89" t="s">
        <v>131</v>
      </c>
      <c r="E372" s="90">
        <v>3</v>
      </c>
      <c r="F372" s="91"/>
      <c r="G372" s="91"/>
      <c r="H372" s="91"/>
      <c r="I372" s="91">
        <f>SUM(G372:H372)+'BM 003'!I372</f>
        <v>0</v>
      </c>
      <c r="J372" s="91">
        <f t="shared" si="170"/>
        <v>3</v>
      </c>
      <c r="K372" s="80">
        <v>7.2</v>
      </c>
      <c r="L372" s="81">
        <f t="shared" si="169"/>
        <v>9.1267207920000004</v>
      </c>
      <c r="M372" s="82">
        <f t="shared" si="171"/>
        <v>0</v>
      </c>
      <c r="N372" s="82">
        <f t="shared" si="172"/>
        <v>0</v>
      </c>
      <c r="O372" s="82">
        <f>N372+'BM 003'!O372</f>
        <v>0</v>
      </c>
      <c r="P372" s="80">
        <f t="shared" si="173"/>
        <v>21.6</v>
      </c>
      <c r="Q372" s="82">
        <f t="shared" si="174"/>
        <v>27.38</v>
      </c>
      <c r="R372" s="82">
        <f t="shared" si="175"/>
        <v>27.38</v>
      </c>
    </row>
    <row r="373" spans="2:18" s="34" customFormat="1" ht="34.799999999999997">
      <c r="B373" s="75" t="s">
        <v>738</v>
      </c>
      <c r="C373" s="76" t="s">
        <v>739</v>
      </c>
      <c r="D373" s="77" t="s">
        <v>131</v>
      </c>
      <c r="E373" s="93">
        <v>128</v>
      </c>
      <c r="F373" s="79"/>
      <c r="G373" s="79"/>
      <c r="H373" s="79"/>
      <c r="I373" s="79">
        <f>SUM(G373:H373)+'BM 003'!I373</f>
        <v>0</v>
      </c>
      <c r="J373" s="79">
        <f t="shared" si="170"/>
        <v>128</v>
      </c>
      <c r="K373" s="80">
        <v>11.5</v>
      </c>
      <c r="L373" s="81">
        <f t="shared" si="169"/>
        <v>14.577401265000001</v>
      </c>
      <c r="M373" s="82">
        <f t="shared" si="171"/>
        <v>0</v>
      </c>
      <c r="N373" s="82">
        <f t="shared" si="172"/>
        <v>0</v>
      </c>
      <c r="O373" s="82">
        <f>N373+'BM 003'!O373</f>
        <v>0</v>
      </c>
      <c r="P373" s="80">
        <f t="shared" si="173"/>
        <v>1472</v>
      </c>
      <c r="Q373" s="82">
        <f t="shared" si="174"/>
        <v>1865.9</v>
      </c>
      <c r="R373" s="82">
        <f t="shared" si="175"/>
        <v>1865.9</v>
      </c>
    </row>
    <row r="374" spans="2:18" s="34" customFormat="1" ht="34.799999999999997">
      <c r="B374" s="75" t="s">
        <v>740</v>
      </c>
      <c r="C374" s="76" t="s">
        <v>741</v>
      </c>
      <c r="D374" s="77" t="s">
        <v>131</v>
      </c>
      <c r="E374" s="93">
        <v>4</v>
      </c>
      <c r="F374" s="79"/>
      <c r="G374" s="79"/>
      <c r="H374" s="79"/>
      <c r="I374" s="79">
        <f>SUM(G374:H374)+'BM 003'!I374</f>
        <v>0</v>
      </c>
      <c r="J374" s="79">
        <f t="shared" si="170"/>
        <v>4</v>
      </c>
      <c r="K374" s="80">
        <v>12.42</v>
      </c>
      <c r="L374" s="81">
        <f t="shared" si="169"/>
        <v>15.743593366200001</v>
      </c>
      <c r="M374" s="82">
        <f t="shared" si="171"/>
        <v>0</v>
      </c>
      <c r="N374" s="82">
        <f t="shared" si="172"/>
        <v>0</v>
      </c>
      <c r="O374" s="82">
        <f>N374+'BM 003'!O374</f>
        <v>0</v>
      </c>
      <c r="P374" s="80">
        <f t="shared" si="173"/>
        <v>49.68</v>
      </c>
      <c r="Q374" s="82">
        <f t="shared" si="174"/>
        <v>62.97</v>
      </c>
      <c r="R374" s="82">
        <f t="shared" si="175"/>
        <v>62.97</v>
      </c>
    </row>
    <row r="375" spans="2:18" s="34" customFormat="1" ht="34.799999999999997">
      <c r="B375" s="75" t="s">
        <v>742</v>
      </c>
      <c r="C375" s="76" t="s">
        <v>743</v>
      </c>
      <c r="D375" s="77" t="s">
        <v>131</v>
      </c>
      <c r="E375" s="93">
        <v>31</v>
      </c>
      <c r="F375" s="79"/>
      <c r="G375" s="79"/>
      <c r="H375" s="79"/>
      <c r="I375" s="79">
        <f>SUM(G375:H375)+'BM 003'!I375</f>
        <v>0</v>
      </c>
      <c r="J375" s="79">
        <f t="shared" si="170"/>
        <v>31</v>
      </c>
      <c r="K375" s="80">
        <v>35.909999999999997</v>
      </c>
      <c r="L375" s="81">
        <f t="shared" si="169"/>
        <v>45.519519950099998</v>
      </c>
      <c r="M375" s="82">
        <f t="shared" si="171"/>
        <v>0</v>
      </c>
      <c r="N375" s="82">
        <f t="shared" si="172"/>
        <v>0</v>
      </c>
      <c r="O375" s="82">
        <f>N375+'BM 003'!O375</f>
        <v>0</v>
      </c>
      <c r="P375" s="80">
        <f t="shared" si="173"/>
        <v>1113.2099999999998</v>
      </c>
      <c r="Q375" s="82">
        <f t="shared" si="174"/>
        <v>1411.1</v>
      </c>
      <c r="R375" s="82">
        <f t="shared" si="175"/>
        <v>1411.1</v>
      </c>
    </row>
    <row r="376" spans="2:18" s="34" customFormat="1" ht="46.2">
      <c r="B376" s="75" t="s">
        <v>744</v>
      </c>
      <c r="C376" s="76" t="s">
        <v>745</v>
      </c>
      <c r="D376" s="77" t="s">
        <v>131</v>
      </c>
      <c r="E376" s="93">
        <v>20</v>
      </c>
      <c r="F376" s="79"/>
      <c r="G376" s="79"/>
      <c r="H376" s="79"/>
      <c r="I376" s="79">
        <f>SUM(G376:H376)+'BM 003'!I376</f>
        <v>0</v>
      </c>
      <c r="J376" s="79">
        <f t="shared" si="170"/>
        <v>20</v>
      </c>
      <c r="K376" s="80">
        <v>90</v>
      </c>
      <c r="L376" s="81">
        <f t="shared" si="169"/>
        <v>114.08400990000001</v>
      </c>
      <c r="M376" s="82">
        <f t="shared" si="171"/>
        <v>0</v>
      </c>
      <c r="N376" s="82">
        <f t="shared" si="172"/>
        <v>0</v>
      </c>
      <c r="O376" s="82">
        <f>N376+'BM 003'!O376</f>
        <v>0</v>
      </c>
      <c r="P376" s="80">
        <f t="shared" si="173"/>
        <v>1800</v>
      </c>
      <c r="Q376" s="82">
        <f t="shared" si="174"/>
        <v>2281.6799999999998</v>
      </c>
      <c r="R376" s="82">
        <f t="shared" si="175"/>
        <v>2281.6799999999998</v>
      </c>
    </row>
    <row r="377" spans="2:18" s="34" customFormat="1" ht="13.2">
      <c r="B377" s="75" t="s">
        <v>746</v>
      </c>
      <c r="C377" s="76" t="s">
        <v>747</v>
      </c>
      <c r="D377" s="77" t="s">
        <v>131</v>
      </c>
      <c r="E377" s="93">
        <v>20</v>
      </c>
      <c r="F377" s="79"/>
      <c r="G377" s="79"/>
      <c r="H377" s="79"/>
      <c r="I377" s="79">
        <f>SUM(G377:H377)+'BM 003'!I377</f>
        <v>0</v>
      </c>
      <c r="J377" s="79">
        <f t="shared" si="170"/>
        <v>20</v>
      </c>
      <c r="K377" s="80">
        <v>5.14</v>
      </c>
      <c r="L377" s="81">
        <f t="shared" si="169"/>
        <v>6.5154645654000003</v>
      </c>
      <c r="M377" s="82">
        <f t="shared" si="171"/>
        <v>0</v>
      </c>
      <c r="N377" s="82">
        <f t="shared" si="172"/>
        <v>0</v>
      </c>
      <c r="O377" s="82">
        <f>N377+'BM 003'!O377</f>
        <v>0</v>
      </c>
      <c r="P377" s="80">
        <f t="shared" si="173"/>
        <v>102.8</v>
      </c>
      <c r="Q377" s="82">
        <f t="shared" si="174"/>
        <v>130.30000000000001</v>
      </c>
      <c r="R377" s="82">
        <f t="shared" si="175"/>
        <v>130.30000000000001</v>
      </c>
    </row>
    <row r="378" spans="2:18" s="34" customFormat="1" ht="13.2">
      <c r="B378" s="75" t="s">
        <v>748</v>
      </c>
      <c r="C378" s="76" t="s">
        <v>749</v>
      </c>
      <c r="D378" s="77" t="s">
        <v>131</v>
      </c>
      <c r="E378" s="93">
        <v>17</v>
      </c>
      <c r="F378" s="79"/>
      <c r="G378" s="79"/>
      <c r="H378" s="79"/>
      <c r="I378" s="79">
        <f>SUM(G378:H378)+'BM 003'!I378</f>
        <v>0</v>
      </c>
      <c r="J378" s="79">
        <f t="shared" si="170"/>
        <v>17</v>
      </c>
      <c r="K378" s="80">
        <v>11.25</v>
      </c>
      <c r="L378" s="81">
        <f t="shared" si="169"/>
        <v>14.260501237500002</v>
      </c>
      <c r="M378" s="82">
        <f t="shared" si="171"/>
        <v>0</v>
      </c>
      <c r="N378" s="82">
        <f t="shared" si="172"/>
        <v>0</v>
      </c>
      <c r="O378" s="82">
        <f>N378+'BM 003'!O378</f>
        <v>0</v>
      </c>
      <c r="P378" s="80">
        <f t="shared" si="173"/>
        <v>191.25</v>
      </c>
      <c r="Q378" s="82">
        <f t="shared" si="174"/>
        <v>242.42</v>
      </c>
      <c r="R378" s="82">
        <f t="shared" si="175"/>
        <v>242.42</v>
      </c>
    </row>
    <row r="379" spans="2:18" s="34" customFormat="1" ht="13.2">
      <c r="B379" s="75" t="s">
        <v>750</v>
      </c>
      <c r="C379" s="76" t="s">
        <v>751</v>
      </c>
      <c r="D379" s="77" t="s">
        <v>131</v>
      </c>
      <c r="E379" s="93">
        <v>1</v>
      </c>
      <c r="F379" s="79"/>
      <c r="G379" s="79"/>
      <c r="H379" s="79"/>
      <c r="I379" s="79">
        <f>SUM(G379:H379)+'BM 003'!I379</f>
        <v>0</v>
      </c>
      <c r="J379" s="79">
        <f t="shared" si="170"/>
        <v>1</v>
      </c>
      <c r="K379" s="80">
        <v>12.27</v>
      </c>
      <c r="L379" s="81">
        <f t="shared" si="169"/>
        <v>15.5534533497</v>
      </c>
      <c r="M379" s="82">
        <f t="shared" si="171"/>
        <v>0</v>
      </c>
      <c r="N379" s="82">
        <f t="shared" si="172"/>
        <v>0</v>
      </c>
      <c r="O379" s="82">
        <f>N379+'BM 003'!O379</f>
        <v>0</v>
      </c>
      <c r="P379" s="80">
        <f t="shared" si="173"/>
        <v>12.27</v>
      </c>
      <c r="Q379" s="82">
        <f t="shared" si="174"/>
        <v>15.55</v>
      </c>
      <c r="R379" s="82">
        <f t="shared" si="175"/>
        <v>15.55</v>
      </c>
    </row>
    <row r="380" spans="2:18" s="34" customFormat="1" ht="13.2">
      <c r="B380" s="75" t="s">
        <v>752</v>
      </c>
      <c r="C380" s="76" t="s">
        <v>753</v>
      </c>
      <c r="D380" s="77" t="s">
        <v>131</v>
      </c>
      <c r="E380" s="93">
        <v>12</v>
      </c>
      <c r="F380" s="79"/>
      <c r="G380" s="79"/>
      <c r="H380" s="79"/>
      <c r="I380" s="79">
        <f>SUM(G380:H380)+'BM 003'!I380</f>
        <v>0</v>
      </c>
      <c r="J380" s="79">
        <f t="shared" si="170"/>
        <v>12</v>
      </c>
      <c r="K380" s="80">
        <v>22.03</v>
      </c>
      <c r="L380" s="81">
        <f t="shared" si="169"/>
        <v>27.925230423300004</v>
      </c>
      <c r="M380" s="82">
        <f t="shared" si="171"/>
        <v>0</v>
      </c>
      <c r="N380" s="82">
        <f t="shared" si="172"/>
        <v>0</v>
      </c>
      <c r="O380" s="82">
        <f>N380+'BM 003'!O380</f>
        <v>0</v>
      </c>
      <c r="P380" s="80">
        <f t="shared" si="173"/>
        <v>264.36</v>
      </c>
      <c r="Q380" s="82">
        <f t="shared" si="174"/>
        <v>335.1</v>
      </c>
      <c r="R380" s="82">
        <f t="shared" si="175"/>
        <v>335.1</v>
      </c>
    </row>
    <row r="381" spans="2:18" s="34" customFormat="1" ht="13.2">
      <c r="B381" s="75" t="s">
        <v>754</v>
      </c>
      <c r="C381" s="76" t="s">
        <v>755</v>
      </c>
      <c r="D381" s="77" t="s">
        <v>131</v>
      </c>
      <c r="E381" s="93">
        <v>16</v>
      </c>
      <c r="F381" s="79"/>
      <c r="G381" s="79"/>
      <c r="H381" s="79"/>
      <c r="I381" s="79">
        <f>SUM(G381:H381)+'BM 003'!I381</f>
        <v>0</v>
      </c>
      <c r="J381" s="79">
        <f t="shared" si="170"/>
        <v>16</v>
      </c>
      <c r="K381" s="80">
        <v>32.380000000000003</v>
      </c>
      <c r="L381" s="81">
        <f t="shared" si="169"/>
        <v>41.044891561800007</v>
      </c>
      <c r="M381" s="82">
        <f t="shared" si="171"/>
        <v>0</v>
      </c>
      <c r="N381" s="82">
        <f t="shared" si="172"/>
        <v>0</v>
      </c>
      <c r="O381" s="82">
        <f>N381+'BM 003'!O381</f>
        <v>0</v>
      </c>
      <c r="P381" s="80">
        <f t="shared" si="173"/>
        <v>518.08000000000004</v>
      </c>
      <c r="Q381" s="82">
        <f t="shared" si="174"/>
        <v>656.71</v>
      </c>
      <c r="R381" s="82">
        <f t="shared" si="175"/>
        <v>656.71</v>
      </c>
    </row>
    <row r="382" spans="2:18" s="34" customFormat="1" ht="23.4">
      <c r="B382" s="75" t="s">
        <v>756</v>
      </c>
      <c r="C382" s="76" t="s">
        <v>757</v>
      </c>
      <c r="D382" s="77" t="s">
        <v>131</v>
      </c>
      <c r="E382" s="93">
        <v>16</v>
      </c>
      <c r="F382" s="79"/>
      <c r="G382" s="79"/>
      <c r="H382" s="79"/>
      <c r="I382" s="79">
        <f>SUM(G382:H382)+'BM 003'!I382</f>
        <v>0</v>
      </c>
      <c r="J382" s="79">
        <f t="shared" si="170"/>
        <v>16</v>
      </c>
      <c r="K382" s="80">
        <v>12.35</v>
      </c>
      <c r="L382" s="81">
        <f t="shared" si="169"/>
        <v>15.6548613585</v>
      </c>
      <c r="M382" s="82">
        <f t="shared" si="171"/>
        <v>0</v>
      </c>
      <c r="N382" s="82">
        <f t="shared" si="172"/>
        <v>0</v>
      </c>
      <c r="O382" s="82">
        <f>N382+'BM 003'!O382</f>
        <v>0</v>
      </c>
      <c r="P382" s="80">
        <f t="shared" si="173"/>
        <v>197.6</v>
      </c>
      <c r="Q382" s="82">
        <f t="shared" si="174"/>
        <v>250.47</v>
      </c>
      <c r="R382" s="82">
        <f t="shared" si="175"/>
        <v>250.47</v>
      </c>
    </row>
    <row r="383" spans="2:18" s="34" customFormat="1" ht="34.799999999999997">
      <c r="B383" s="75" t="s">
        <v>758</v>
      </c>
      <c r="C383" s="76" t="s">
        <v>759</v>
      </c>
      <c r="D383" s="77" t="s">
        <v>131</v>
      </c>
      <c r="E383" s="93">
        <v>3</v>
      </c>
      <c r="F383" s="79"/>
      <c r="G383" s="79"/>
      <c r="H383" s="79"/>
      <c r="I383" s="79">
        <f>SUM(G383:H383)+'BM 003'!I383</f>
        <v>0</v>
      </c>
      <c r="J383" s="79">
        <f t="shared" si="170"/>
        <v>3</v>
      </c>
      <c r="K383" s="80">
        <v>12.27</v>
      </c>
      <c r="L383" s="81">
        <f t="shared" si="169"/>
        <v>15.5534533497</v>
      </c>
      <c r="M383" s="82">
        <f t="shared" si="171"/>
        <v>0</v>
      </c>
      <c r="N383" s="82">
        <f t="shared" si="172"/>
        <v>0</v>
      </c>
      <c r="O383" s="82">
        <f>N383+'BM 003'!O383</f>
        <v>0</v>
      </c>
      <c r="P383" s="80">
        <f t="shared" si="173"/>
        <v>36.81</v>
      </c>
      <c r="Q383" s="82">
        <f t="shared" si="174"/>
        <v>46.66</v>
      </c>
      <c r="R383" s="82">
        <f t="shared" si="175"/>
        <v>46.66</v>
      </c>
    </row>
    <row r="384" spans="2:18" s="34" customFormat="1" ht="23.4">
      <c r="B384" s="75" t="s">
        <v>760</v>
      </c>
      <c r="C384" s="76" t="s">
        <v>761</v>
      </c>
      <c r="D384" s="77" t="s">
        <v>131</v>
      </c>
      <c r="E384" s="93">
        <v>34</v>
      </c>
      <c r="F384" s="79"/>
      <c r="G384" s="79"/>
      <c r="H384" s="79"/>
      <c r="I384" s="79">
        <f>SUM(G384:H384)+'BM 003'!I384</f>
        <v>0</v>
      </c>
      <c r="J384" s="79">
        <f t="shared" si="170"/>
        <v>34</v>
      </c>
      <c r="K384" s="80">
        <v>18.5</v>
      </c>
      <c r="L384" s="81">
        <f t="shared" si="169"/>
        <v>23.450602035000003</v>
      </c>
      <c r="M384" s="82">
        <f t="shared" si="171"/>
        <v>0</v>
      </c>
      <c r="N384" s="82">
        <f t="shared" si="172"/>
        <v>0</v>
      </c>
      <c r="O384" s="82">
        <f>N384+'BM 003'!O384</f>
        <v>0</v>
      </c>
      <c r="P384" s="80">
        <f t="shared" si="173"/>
        <v>629</v>
      </c>
      <c r="Q384" s="82">
        <f t="shared" si="174"/>
        <v>797.32</v>
      </c>
      <c r="R384" s="82">
        <f t="shared" si="175"/>
        <v>797.32</v>
      </c>
    </row>
    <row r="385" spans="2:18" s="34" customFormat="1" ht="23.4">
      <c r="B385" s="75" t="s">
        <v>762</v>
      </c>
      <c r="C385" s="76" t="s">
        <v>763</v>
      </c>
      <c r="D385" s="77" t="s">
        <v>131</v>
      </c>
      <c r="E385" s="93">
        <v>2</v>
      </c>
      <c r="F385" s="79"/>
      <c r="G385" s="79"/>
      <c r="H385" s="79"/>
      <c r="I385" s="79">
        <f>SUM(G385:H385)+'BM 003'!I385</f>
        <v>0</v>
      </c>
      <c r="J385" s="79">
        <f t="shared" si="170"/>
        <v>2</v>
      </c>
      <c r="K385" s="80">
        <v>24.61</v>
      </c>
      <c r="L385" s="81">
        <f t="shared" si="169"/>
        <v>31.195638707100002</v>
      </c>
      <c r="M385" s="82">
        <f t="shared" si="171"/>
        <v>0</v>
      </c>
      <c r="N385" s="82">
        <f t="shared" si="172"/>
        <v>0</v>
      </c>
      <c r="O385" s="82">
        <f>N385+'BM 003'!O385</f>
        <v>0</v>
      </c>
      <c r="P385" s="80">
        <f t="shared" si="173"/>
        <v>49.22</v>
      </c>
      <c r="Q385" s="82">
        <f t="shared" si="174"/>
        <v>62.39</v>
      </c>
      <c r="R385" s="82">
        <f t="shared" si="175"/>
        <v>62.39</v>
      </c>
    </row>
    <row r="386" spans="2:18" s="34" customFormat="1" ht="34.799999999999997">
      <c r="B386" s="75" t="s">
        <v>764</v>
      </c>
      <c r="C386" s="76" t="s">
        <v>765</v>
      </c>
      <c r="D386" s="77" t="s">
        <v>131</v>
      </c>
      <c r="E386" s="93">
        <v>9</v>
      </c>
      <c r="F386" s="79"/>
      <c r="G386" s="79"/>
      <c r="H386" s="79"/>
      <c r="I386" s="79">
        <f>SUM(G386:H386)+'BM 003'!I386</f>
        <v>0</v>
      </c>
      <c r="J386" s="79">
        <f t="shared" si="170"/>
        <v>9</v>
      </c>
      <c r="K386" s="80">
        <v>26.08</v>
      </c>
      <c r="L386" s="81">
        <f t="shared" si="169"/>
        <v>33.059010868800002</v>
      </c>
      <c r="M386" s="82">
        <f t="shared" si="171"/>
        <v>0</v>
      </c>
      <c r="N386" s="82">
        <f t="shared" si="172"/>
        <v>0</v>
      </c>
      <c r="O386" s="82">
        <f>N386+'BM 003'!O386</f>
        <v>0</v>
      </c>
      <c r="P386" s="80">
        <f t="shared" si="173"/>
        <v>234.71999999999997</v>
      </c>
      <c r="Q386" s="82">
        <f t="shared" si="174"/>
        <v>297.52999999999997</v>
      </c>
      <c r="R386" s="82">
        <f t="shared" si="175"/>
        <v>297.52999999999997</v>
      </c>
    </row>
    <row r="387" spans="2:18" s="34" customFormat="1" ht="23.4">
      <c r="B387" s="75" t="s">
        <v>766</v>
      </c>
      <c r="C387" s="88" t="s">
        <v>767</v>
      </c>
      <c r="D387" s="89" t="s">
        <v>131</v>
      </c>
      <c r="E387" s="90">
        <v>1</v>
      </c>
      <c r="F387" s="91"/>
      <c r="G387" s="91"/>
      <c r="H387" s="91"/>
      <c r="I387" s="91">
        <f>SUM(G387:H387)+'BM 003'!I387</f>
        <v>0</v>
      </c>
      <c r="J387" s="91">
        <f t="shared" si="170"/>
        <v>1</v>
      </c>
      <c r="K387" s="80">
        <v>40</v>
      </c>
      <c r="L387" s="81">
        <f t="shared" si="169"/>
        <v>50.704004400000002</v>
      </c>
      <c r="M387" s="82">
        <f t="shared" si="171"/>
        <v>0</v>
      </c>
      <c r="N387" s="82">
        <f t="shared" si="172"/>
        <v>0</v>
      </c>
      <c r="O387" s="82">
        <f>N387+'BM 003'!O387</f>
        <v>0</v>
      </c>
      <c r="P387" s="80">
        <f t="shared" si="173"/>
        <v>40</v>
      </c>
      <c r="Q387" s="82">
        <f t="shared" si="174"/>
        <v>50.7</v>
      </c>
      <c r="R387" s="82">
        <f t="shared" si="175"/>
        <v>50.7</v>
      </c>
    </row>
    <row r="388" spans="2:18" s="34" customFormat="1" ht="46.2">
      <c r="B388" s="75" t="s">
        <v>768</v>
      </c>
      <c r="C388" s="88" t="s">
        <v>769</v>
      </c>
      <c r="D388" s="89" t="s">
        <v>131</v>
      </c>
      <c r="E388" s="90">
        <v>29</v>
      </c>
      <c r="F388" s="91"/>
      <c r="G388" s="91"/>
      <c r="H388" s="91"/>
      <c r="I388" s="91">
        <f>SUM(G388:H388)+'BM 003'!I388</f>
        <v>0</v>
      </c>
      <c r="J388" s="91">
        <f t="shared" si="170"/>
        <v>29</v>
      </c>
      <c r="K388" s="80">
        <v>17.22</v>
      </c>
      <c r="L388" s="81">
        <f t="shared" si="169"/>
        <v>21.828073894199999</v>
      </c>
      <c r="M388" s="82">
        <f t="shared" si="171"/>
        <v>0</v>
      </c>
      <c r="N388" s="82">
        <f t="shared" si="172"/>
        <v>0</v>
      </c>
      <c r="O388" s="82">
        <f>N388+'BM 003'!O388</f>
        <v>0</v>
      </c>
      <c r="P388" s="80">
        <f t="shared" si="173"/>
        <v>499.38</v>
      </c>
      <c r="Q388" s="82">
        <f t="shared" si="174"/>
        <v>633.01</v>
      </c>
      <c r="R388" s="82">
        <f t="shared" si="175"/>
        <v>633.01</v>
      </c>
    </row>
    <row r="389" spans="2:18" s="34" customFormat="1" ht="23.4">
      <c r="B389" s="75" t="s">
        <v>770</v>
      </c>
      <c r="C389" s="76" t="s">
        <v>771</v>
      </c>
      <c r="D389" s="77" t="s">
        <v>131</v>
      </c>
      <c r="E389" s="93">
        <v>207</v>
      </c>
      <c r="F389" s="79"/>
      <c r="G389" s="79"/>
      <c r="H389" s="79"/>
      <c r="I389" s="79">
        <f>SUM(G389:H389)+'BM 003'!I389</f>
        <v>0</v>
      </c>
      <c r="J389" s="79">
        <f t="shared" si="170"/>
        <v>207</v>
      </c>
      <c r="K389" s="80">
        <v>6.59</v>
      </c>
      <c r="L389" s="81">
        <f t="shared" si="169"/>
        <v>8.3534847248999995</v>
      </c>
      <c r="M389" s="82">
        <f t="shared" si="171"/>
        <v>0</v>
      </c>
      <c r="N389" s="82">
        <f t="shared" si="172"/>
        <v>0</v>
      </c>
      <c r="O389" s="82">
        <f>N389+'BM 003'!O389</f>
        <v>0</v>
      </c>
      <c r="P389" s="80">
        <f t="shared" si="173"/>
        <v>1364.1299999999999</v>
      </c>
      <c r="Q389" s="82">
        <f t="shared" si="174"/>
        <v>1729.17</v>
      </c>
      <c r="R389" s="82">
        <f t="shared" si="175"/>
        <v>1729.17</v>
      </c>
    </row>
    <row r="390" spans="2:18" s="34" customFormat="1" ht="23.4">
      <c r="B390" s="75" t="s">
        <v>772</v>
      </c>
      <c r="C390" s="76" t="s">
        <v>773</v>
      </c>
      <c r="D390" s="77" t="s">
        <v>131</v>
      </c>
      <c r="E390" s="93">
        <v>50</v>
      </c>
      <c r="F390" s="79"/>
      <c r="G390" s="79"/>
      <c r="H390" s="79"/>
      <c r="I390" s="79">
        <f>SUM(G390:H390)+'BM 003'!I390</f>
        <v>0</v>
      </c>
      <c r="J390" s="79">
        <f t="shared" si="170"/>
        <v>50</v>
      </c>
      <c r="K390" s="80">
        <v>22.07</v>
      </c>
      <c r="L390" s="81">
        <f t="shared" si="169"/>
        <v>27.9759344277</v>
      </c>
      <c r="M390" s="82">
        <f t="shared" si="171"/>
        <v>0</v>
      </c>
      <c r="N390" s="82">
        <f t="shared" si="172"/>
        <v>0</v>
      </c>
      <c r="O390" s="82">
        <f>N390+'BM 003'!O390</f>
        <v>0</v>
      </c>
      <c r="P390" s="80">
        <f t="shared" si="173"/>
        <v>1103.5</v>
      </c>
      <c r="Q390" s="82">
        <f t="shared" si="174"/>
        <v>1398.79</v>
      </c>
      <c r="R390" s="82">
        <f t="shared" si="175"/>
        <v>1398.79</v>
      </c>
    </row>
    <row r="391" spans="2:18" s="34" customFormat="1" ht="23.4">
      <c r="B391" s="75" t="s">
        <v>774</v>
      </c>
      <c r="C391" s="76" t="s">
        <v>775</v>
      </c>
      <c r="D391" s="77" t="s">
        <v>131</v>
      </c>
      <c r="E391" s="93">
        <v>1</v>
      </c>
      <c r="F391" s="79"/>
      <c r="G391" s="79"/>
      <c r="H391" s="79"/>
      <c r="I391" s="79">
        <f>SUM(G391:H391)+'BM 003'!I391</f>
        <v>0</v>
      </c>
      <c r="J391" s="79">
        <f t="shared" si="170"/>
        <v>1</v>
      </c>
      <c r="K391" s="80">
        <v>19.649999999999999</v>
      </c>
      <c r="L391" s="81">
        <f t="shared" si="169"/>
        <v>24.908342161499998</v>
      </c>
      <c r="M391" s="82">
        <f t="shared" si="171"/>
        <v>0</v>
      </c>
      <c r="N391" s="82">
        <f t="shared" si="172"/>
        <v>0</v>
      </c>
      <c r="O391" s="82">
        <f>N391+'BM 003'!O391</f>
        <v>0</v>
      </c>
      <c r="P391" s="80">
        <f t="shared" si="173"/>
        <v>19.649999999999999</v>
      </c>
      <c r="Q391" s="82">
        <f t="shared" si="174"/>
        <v>24.9</v>
      </c>
      <c r="R391" s="82">
        <f t="shared" si="175"/>
        <v>24.9</v>
      </c>
    </row>
    <row r="392" spans="2:18" s="34" customFormat="1" ht="23.4">
      <c r="B392" s="75" t="s">
        <v>776</v>
      </c>
      <c r="C392" s="76" t="s">
        <v>777</v>
      </c>
      <c r="D392" s="77" t="s">
        <v>131</v>
      </c>
      <c r="E392" s="93">
        <v>19</v>
      </c>
      <c r="F392" s="79"/>
      <c r="G392" s="79"/>
      <c r="H392" s="79"/>
      <c r="I392" s="79">
        <f>SUM(G392:H392)+'BM 003'!I392</f>
        <v>0</v>
      </c>
      <c r="J392" s="79">
        <f t="shared" si="170"/>
        <v>19</v>
      </c>
      <c r="K392" s="80">
        <v>41.43</v>
      </c>
      <c r="L392" s="81">
        <f t="shared" si="169"/>
        <v>52.516672557300005</v>
      </c>
      <c r="M392" s="82">
        <f t="shared" si="171"/>
        <v>0</v>
      </c>
      <c r="N392" s="82">
        <f t="shared" si="172"/>
        <v>0</v>
      </c>
      <c r="O392" s="82">
        <f>N392+'BM 003'!O392</f>
        <v>0</v>
      </c>
      <c r="P392" s="80">
        <f t="shared" si="173"/>
        <v>787.17</v>
      </c>
      <c r="Q392" s="82">
        <f t="shared" si="174"/>
        <v>997.81</v>
      </c>
      <c r="R392" s="82">
        <f t="shared" si="175"/>
        <v>997.81</v>
      </c>
    </row>
    <row r="393" spans="2:18" s="34" customFormat="1" ht="46.2">
      <c r="B393" s="75" t="s">
        <v>778</v>
      </c>
      <c r="C393" s="76" t="s">
        <v>779</v>
      </c>
      <c r="D393" s="77" t="s">
        <v>131</v>
      </c>
      <c r="E393" s="93">
        <v>12</v>
      </c>
      <c r="F393" s="79"/>
      <c r="G393" s="79"/>
      <c r="H393" s="79"/>
      <c r="I393" s="79">
        <f>SUM(G393:H393)+'BM 003'!I393</f>
        <v>0</v>
      </c>
      <c r="J393" s="79">
        <f t="shared" si="170"/>
        <v>12</v>
      </c>
      <c r="K393" s="80">
        <v>76.31</v>
      </c>
      <c r="L393" s="81">
        <f t="shared" si="169"/>
        <v>96.730564394100014</v>
      </c>
      <c r="M393" s="82">
        <f t="shared" si="171"/>
        <v>0</v>
      </c>
      <c r="N393" s="82">
        <f t="shared" si="172"/>
        <v>0</v>
      </c>
      <c r="O393" s="82">
        <f>N393+'BM 003'!O393</f>
        <v>0</v>
      </c>
      <c r="P393" s="80">
        <f t="shared" si="173"/>
        <v>915.72</v>
      </c>
      <c r="Q393" s="82">
        <f t="shared" si="174"/>
        <v>1160.76</v>
      </c>
      <c r="R393" s="82">
        <f t="shared" si="175"/>
        <v>1160.76</v>
      </c>
    </row>
    <row r="394" spans="2:18" s="34" customFormat="1" ht="34.799999999999997">
      <c r="B394" s="75" t="s">
        <v>780</v>
      </c>
      <c r="C394" s="76" t="s">
        <v>781</v>
      </c>
      <c r="D394" s="77" t="s">
        <v>131</v>
      </c>
      <c r="E394" s="93">
        <v>3</v>
      </c>
      <c r="F394" s="79"/>
      <c r="G394" s="79"/>
      <c r="H394" s="79"/>
      <c r="I394" s="79">
        <f>SUM(G394:H394)+'BM 003'!I394</f>
        <v>0</v>
      </c>
      <c r="J394" s="79">
        <f t="shared" si="170"/>
        <v>3</v>
      </c>
      <c r="K394" s="80">
        <v>72.55</v>
      </c>
      <c r="L394" s="81">
        <f t="shared" si="169"/>
        <v>91.964387980500007</v>
      </c>
      <c r="M394" s="82">
        <f t="shared" si="171"/>
        <v>0</v>
      </c>
      <c r="N394" s="82">
        <f t="shared" si="172"/>
        <v>0</v>
      </c>
      <c r="O394" s="82">
        <f>N394+'BM 003'!O394</f>
        <v>0</v>
      </c>
      <c r="P394" s="80">
        <f t="shared" si="173"/>
        <v>217.64999999999998</v>
      </c>
      <c r="Q394" s="82">
        <f t="shared" si="174"/>
        <v>275.89</v>
      </c>
      <c r="R394" s="82">
        <f t="shared" si="175"/>
        <v>275.89</v>
      </c>
    </row>
    <row r="395" spans="2:18" s="34" customFormat="1" ht="24">
      <c r="B395" s="66" t="s">
        <v>782</v>
      </c>
      <c r="C395" s="67" t="s">
        <v>783</v>
      </c>
      <c r="D395" s="68"/>
      <c r="E395" s="69"/>
      <c r="F395" s="70"/>
      <c r="G395" s="70"/>
      <c r="H395" s="70"/>
      <c r="I395" s="70">
        <f>SUM(G395:H395)+'BM 003'!I395</f>
        <v>0</v>
      </c>
      <c r="J395" s="70">
        <f t="shared" si="170"/>
        <v>0</v>
      </c>
      <c r="K395" s="71"/>
      <c r="L395" s="71">
        <f t="shared" si="169"/>
        <v>0</v>
      </c>
      <c r="M395" s="73">
        <f t="shared" ref="M395:R395" si="176">SUM(M396:M405)</f>
        <v>0</v>
      </c>
      <c r="N395" s="73">
        <f t="shared" si="176"/>
        <v>0</v>
      </c>
      <c r="O395" s="73">
        <f t="shared" si="176"/>
        <v>0</v>
      </c>
      <c r="P395" s="73">
        <f t="shared" si="176"/>
        <v>131062.87509999999</v>
      </c>
      <c r="Q395" s="73">
        <f t="shared" si="176"/>
        <v>166135.25</v>
      </c>
      <c r="R395" s="73">
        <f t="shared" si="176"/>
        <v>166135.25</v>
      </c>
    </row>
    <row r="396" spans="2:18" s="34" customFormat="1" ht="34.799999999999997">
      <c r="B396" s="75" t="s">
        <v>784</v>
      </c>
      <c r="C396" s="76" t="s">
        <v>785</v>
      </c>
      <c r="D396" s="77" t="s">
        <v>82</v>
      </c>
      <c r="E396" s="108">
        <v>867.48</v>
      </c>
      <c r="F396" s="109"/>
      <c r="G396" s="109"/>
      <c r="H396" s="109"/>
      <c r="I396" s="109">
        <f>SUM(G396:H396)+'BM 003'!I396</f>
        <v>0</v>
      </c>
      <c r="J396" s="109">
        <f t="shared" si="170"/>
        <v>867.48</v>
      </c>
      <c r="K396" s="80">
        <v>24.65</v>
      </c>
      <c r="L396" s="81">
        <f t="shared" si="169"/>
        <v>31.246342711499999</v>
      </c>
      <c r="M396" s="82">
        <f t="shared" ref="M396:M405" si="177">TRUNC(F396*L396,2)</f>
        <v>0</v>
      </c>
      <c r="N396" s="82">
        <f t="shared" ref="N396:N405" si="178">TRUNC(G396*L396,2)</f>
        <v>0</v>
      </c>
      <c r="O396" s="82">
        <f>N396+'BM 003'!O396</f>
        <v>0</v>
      </c>
      <c r="P396" s="80">
        <f t="shared" ref="P396:P405" si="179">E396*K396</f>
        <v>21383.381999999998</v>
      </c>
      <c r="Q396" s="82">
        <f t="shared" ref="Q396:Q405" si="180">TRUNC(E396*L396,2)</f>
        <v>27105.57</v>
      </c>
      <c r="R396" s="82">
        <f t="shared" ref="R396:R405" si="181">Q396-O396</f>
        <v>27105.57</v>
      </c>
    </row>
    <row r="397" spans="2:18" s="34" customFormat="1" ht="23.4">
      <c r="B397" s="75" t="s">
        <v>786</v>
      </c>
      <c r="C397" s="76" t="s">
        <v>653</v>
      </c>
      <c r="D397" s="77" t="s">
        <v>82</v>
      </c>
      <c r="E397" s="110">
        <v>18.04</v>
      </c>
      <c r="F397" s="111"/>
      <c r="G397" s="111"/>
      <c r="H397" s="111"/>
      <c r="I397" s="111">
        <f>SUM(G397:H397)+'BM 003'!I397</f>
        <v>0</v>
      </c>
      <c r="J397" s="111">
        <f t="shared" si="170"/>
        <v>18.04</v>
      </c>
      <c r="K397" s="80">
        <v>6.5</v>
      </c>
      <c r="L397" s="81">
        <f t="shared" si="169"/>
        <v>8.2394007150000004</v>
      </c>
      <c r="M397" s="82">
        <f t="shared" si="177"/>
        <v>0</v>
      </c>
      <c r="N397" s="82">
        <f t="shared" si="178"/>
        <v>0</v>
      </c>
      <c r="O397" s="82">
        <f>N397+'BM 003'!O397</f>
        <v>0</v>
      </c>
      <c r="P397" s="80">
        <f t="shared" si="179"/>
        <v>117.25999999999999</v>
      </c>
      <c r="Q397" s="82">
        <f t="shared" si="180"/>
        <v>148.63</v>
      </c>
      <c r="R397" s="82">
        <f t="shared" si="181"/>
        <v>148.63</v>
      </c>
    </row>
    <row r="398" spans="2:18" s="34" customFormat="1" ht="23.4">
      <c r="B398" s="75" t="s">
        <v>787</v>
      </c>
      <c r="C398" s="76" t="s">
        <v>655</v>
      </c>
      <c r="D398" s="77" t="s">
        <v>82</v>
      </c>
      <c r="E398" s="110">
        <v>739.18</v>
      </c>
      <c r="F398" s="111"/>
      <c r="G398" s="111"/>
      <c r="H398" s="111"/>
      <c r="I398" s="111">
        <f>SUM(G398:H398)+'BM 003'!I398</f>
        <v>0</v>
      </c>
      <c r="J398" s="111">
        <f t="shared" si="170"/>
        <v>739.18</v>
      </c>
      <c r="K398" s="80">
        <v>8</v>
      </c>
      <c r="L398" s="81">
        <f t="shared" si="169"/>
        <v>10.14080088</v>
      </c>
      <c r="M398" s="82">
        <f t="shared" si="177"/>
        <v>0</v>
      </c>
      <c r="N398" s="82">
        <f t="shared" si="178"/>
        <v>0</v>
      </c>
      <c r="O398" s="82">
        <f>N398+'BM 003'!O398</f>
        <v>0</v>
      </c>
      <c r="P398" s="80">
        <f t="shared" si="179"/>
        <v>5913.44</v>
      </c>
      <c r="Q398" s="82">
        <f t="shared" si="180"/>
        <v>7495.87</v>
      </c>
      <c r="R398" s="82">
        <f t="shared" si="181"/>
        <v>7495.87</v>
      </c>
    </row>
    <row r="399" spans="2:18" s="34" customFormat="1" ht="23.4">
      <c r="B399" s="75" t="s">
        <v>788</v>
      </c>
      <c r="C399" s="76" t="s">
        <v>659</v>
      </c>
      <c r="D399" s="77" t="s">
        <v>82</v>
      </c>
      <c r="E399" s="112">
        <v>19.510000000000002</v>
      </c>
      <c r="F399" s="113"/>
      <c r="G399" s="113"/>
      <c r="H399" s="113"/>
      <c r="I399" s="113">
        <f>SUM(G399:H399)+'BM 003'!I399</f>
        <v>0</v>
      </c>
      <c r="J399" s="113">
        <f t="shared" si="170"/>
        <v>19.510000000000002</v>
      </c>
      <c r="K399" s="80">
        <v>23.5</v>
      </c>
      <c r="L399" s="81">
        <f t="shared" si="169"/>
        <v>29.788602585</v>
      </c>
      <c r="M399" s="82">
        <f t="shared" si="177"/>
        <v>0</v>
      </c>
      <c r="N399" s="82">
        <f t="shared" si="178"/>
        <v>0</v>
      </c>
      <c r="O399" s="82">
        <f>N399+'BM 003'!O399</f>
        <v>0</v>
      </c>
      <c r="P399" s="80">
        <f t="shared" si="179"/>
        <v>458.48500000000001</v>
      </c>
      <c r="Q399" s="82">
        <f t="shared" si="180"/>
        <v>581.16999999999996</v>
      </c>
      <c r="R399" s="82">
        <f t="shared" si="181"/>
        <v>581.16999999999996</v>
      </c>
    </row>
    <row r="400" spans="2:18" s="34" customFormat="1" ht="34.799999999999997">
      <c r="B400" s="75" t="s">
        <v>789</v>
      </c>
      <c r="C400" s="76" t="s">
        <v>790</v>
      </c>
      <c r="D400" s="77" t="s">
        <v>82</v>
      </c>
      <c r="E400" s="108">
        <v>609.66</v>
      </c>
      <c r="F400" s="109"/>
      <c r="G400" s="109"/>
      <c r="H400" s="109"/>
      <c r="I400" s="109">
        <f>SUM(G400:H400)+'BM 003'!I400</f>
        <v>0</v>
      </c>
      <c r="J400" s="109">
        <f t="shared" si="170"/>
        <v>609.66</v>
      </c>
      <c r="K400" s="80">
        <v>27.5</v>
      </c>
      <c r="L400" s="81">
        <f t="shared" si="169"/>
        <v>34.859003025</v>
      </c>
      <c r="M400" s="82">
        <f t="shared" si="177"/>
        <v>0</v>
      </c>
      <c r="N400" s="82">
        <f t="shared" si="178"/>
        <v>0</v>
      </c>
      <c r="O400" s="82">
        <f>N400+'BM 003'!O400</f>
        <v>0</v>
      </c>
      <c r="P400" s="80">
        <f t="shared" si="179"/>
        <v>16765.649999999998</v>
      </c>
      <c r="Q400" s="82">
        <f t="shared" si="180"/>
        <v>21252.13</v>
      </c>
      <c r="R400" s="82">
        <f t="shared" si="181"/>
        <v>21252.13</v>
      </c>
    </row>
    <row r="401" spans="2:18" s="34" customFormat="1" ht="34.799999999999997">
      <c r="B401" s="75" t="s">
        <v>791</v>
      </c>
      <c r="C401" s="76" t="s">
        <v>792</v>
      </c>
      <c r="D401" s="77" t="s">
        <v>82</v>
      </c>
      <c r="E401" s="114">
        <v>307.39999999999998</v>
      </c>
      <c r="F401" s="82"/>
      <c r="G401" s="82"/>
      <c r="H401" s="82"/>
      <c r="I401" s="82">
        <f>SUM(G401:H401)+'BM 003'!I401</f>
        <v>0</v>
      </c>
      <c r="J401" s="82">
        <f t="shared" si="170"/>
        <v>307.39999999999998</v>
      </c>
      <c r="K401" s="80">
        <v>74</v>
      </c>
      <c r="L401" s="81">
        <f t="shared" si="169"/>
        <v>93.802408140000011</v>
      </c>
      <c r="M401" s="82">
        <f t="shared" si="177"/>
        <v>0</v>
      </c>
      <c r="N401" s="82">
        <f t="shared" si="178"/>
        <v>0</v>
      </c>
      <c r="O401" s="82">
        <f>N401+'BM 003'!O401</f>
        <v>0</v>
      </c>
      <c r="P401" s="80">
        <f t="shared" si="179"/>
        <v>22747.599999999999</v>
      </c>
      <c r="Q401" s="82">
        <f t="shared" si="180"/>
        <v>28834.86</v>
      </c>
      <c r="R401" s="82">
        <f t="shared" si="181"/>
        <v>28834.86</v>
      </c>
    </row>
    <row r="402" spans="2:18" s="34" customFormat="1" ht="34.799999999999997">
      <c r="B402" s="75" t="s">
        <v>793</v>
      </c>
      <c r="C402" s="76" t="s">
        <v>794</v>
      </c>
      <c r="D402" s="77" t="s">
        <v>82</v>
      </c>
      <c r="E402" s="114">
        <v>340.33</v>
      </c>
      <c r="F402" s="82"/>
      <c r="G402" s="82"/>
      <c r="H402" s="82"/>
      <c r="I402" s="82">
        <f>SUM(G402:H402)+'BM 003'!I402</f>
        <v>0</v>
      </c>
      <c r="J402" s="82">
        <f t="shared" si="170"/>
        <v>340.33</v>
      </c>
      <c r="K402" s="80">
        <v>34.57</v>
      </c>
      <c r="L402" s="81">
        <f t="shared" si="169"/>
        <v>43.820935802699999</v>
      </c>
      <c r="M402" s="82">
        <f t="shared" si="177"/>
        <v>0</v>
      </c>
      <c r="N402" s="82">
        <f t="shared" si="178"/>
        <v>0</v>
      </c>
      <c r="O402" s="82">
        <f>N402+'BM 003'!O402</f>
        <v>0</v>
      </c>
      <c r="P402" s="80">
        <f t="shared" si="179"/>
        <v>11765.2081</v>
      </c>
      <c r="Q402" s="82">
        <f t="shared" si="180"/>
        <v>14913.57</v>
      </c>
      <c r="R402" s="82">
        <f t="shared" si="181"/>
        <v>14913.57</v>
      </c>
    </row>
    <row r="403" spans="2:18" s="34" customFormat="1" ht="23.4">
      <c r="B403" s="75" t="s">
        <v>795</v>
      </c>
      <c r="C403" s="76" t="s">
        <v>796</v>
      </c>
      <c r="D403" s="77" t="s">
        <v>82</v>
      </c>
      <c r="E403" s="114">
        <v>52.07</v>
      </c>
      <c r="F403" s="82"/>
      <c r="G403" s="82"/>
      <c r="H403" s="82"/>
      <c r="I403" s="82">
        <f>SUM(G403:H403)+'BM 003'!I403</f>
        <v>0</v>
      </c>
      <c r="J403" s="82">
        <f t="shared" si="170"/>
        <v>52.07</v>
      </c>
      <c r="K403" s="80">
        <v>165</v>
      </c>
      <c r="L403" s="81">
        <f t="shared" si="169"/>
        <v>209.15401815000001</v>
      </c>
      <c r="M403" s="82">
        <f t="shared" si="177"/>
        <v>0</v>
      </c>
      <c r="N403" s="82">
        <f t="shared" si="178"/>
        <v>0</v>
      </c>
      <c r="O403" s="82">
        <f>N403+'BM 003'!O403</f>
        <v>0</v>
      </c>
      <c r="P403" s="80">
        <f t="shared" si="179"/>
        <v>8591.5499999999993</v>
      </c>
      <c r="Q403" s="82">
        <f t="shared" si="180"/>
        <v>10890.64</v>
      </c>
      <c r="R403" s="82">
        <f t="shared" si="181"/>
        <v>10890.64</v>
      </c>
    </row>
    <row r="404" spans="2:18" s="34" customFormat="1" ht="23.4">
      <c r="B404" s="75" t="s">
        <v>797</v>
      </c>
      <c r="C404" s="76" t="s">
        <v>796</v>
      </c>
      <c r="D404" s="77" t="s">
        <v>82</v>
      </c>
      <c r="E404" s="114">
        <v>3.02</v>
      </c>
      <c r="F404" s="82"/>
      <c r="G404" s="82"/>
      <c r="H404" s="82"/>
      <c r="I404" s="82">
        <f>SUM(G404:H404)+'BM 003'!I404</f>
        <v>0</v>
      </c>
      <c r="J404" s="82">
        <f t="shared" si="170"/>
        <v>3.02</v>
      </c>
      <c r="K404" s="80">
        <v>165</v>
      </c>
      <c r="L404" s="81">
        <f t="shared" si="169"/>
        <v>209.15401815000001</v>
      </c>
      <c r="M404" s="82">
        <f t="shared" si="177"/>
        <v>0</v>
      </c>
      <c r="N404" s="82">
        <f t="shared" si="178"/>
        <v>0</v>
      </c>
      <c r="O404" s="82">
        <f>N404+'BM 003'!O404</f>
        <v>0</v>
      </c>
      <c r="P404" s="80">
        <f t="shared" si="179"/>
        <v>498.3</v>
      </c>
      <c r="Q404" s="82">
        <f t="shared" si="180"/>
        <v>631.64</v>
      </c>
      <c r="R404" s="82">
        <f t="shared" si="181"/>
        <v>631.64</v>
      </c>
    </row>
    <row r="405" spans="2:18" s="34" customFormat="1" ht="23.4">
      <c r="B405" s="75" t="s">
        <v>798</v>
      </c>
      <c r="C405" s="76" t="s">
        <v>799</v>
      </c>
      <c r="D405" s="77" t="s">
        <v>82</v>
      </c>
      <c r="E405" s="114">
        <v>658.8</v>
      </c>
      <c r="F405" s="82"/>
      <c r="G405" s="82"/>
      <c r="H405" s="82"/>
      <c r="I405" s="82">
        <f>SUM(G405:H405)+'BM 003'!I405</f>
        <v>0</v>
      </c>
      <c r="J405" s="82">
        <f t="shared" si="170"/>
        <v>658.8</v>
      </c>
      <c r="K405" s="80">
        <v>65</v>
      </c>
      <c r="L405" s="81">
        <f t="shared" si="169"/>
        <v>82.394007150000007</v>
      </c>
      <c r="M405" s="82">
        <f t="shared" si="177"/>
        <v>0</v>
      </c>
      <c r="N405" s="82">
        <f t="shared" si="178"/>
        <v>0</v>
      </c>
      <c r="O405" s="82">
        <f>N405+'BM 003'!O405</f>
        <v>0</v>
      </c>
      <c r="P405" s="80">
        <f t="shared" si="179"/>
        <v>42822</v>
      </c>
      <c r="Q405" s="82">
        <f t="shared" si="180"/>
        <v>54281.17</v>
      </c>
      <c r="R405" s="82">
        <f t="shared" si="181"/>
        <v>54281.17</v>
      </c>
    </row>
    <row r="406" spans="2:18" s="34" customFormat="1" ht="36">
      <c r="B406" s="66" t="s">
        <v>800</v>
      </c>
      <c r="C406" s="115" t="s">
        <v>801</v>
      </c>
      <c r="D406" s="116"/>
      <c r="E406" s="117"/>
      <c r="F406" s="118"/>
      <c r="G406" s="118"/>
      <c r="H406" s="118"/>
      <c r="I406" s="118">
        <f>SUM(G406:H406)+'BM 003'!I406</f>
        <v>0</v>
      </c>
      <c r="J406" s="118">
        <f t="shared" si="170"/>
        <v>0</v>
      </c>
      <c r="K406" s="119"/>
      <c r="L406" s="119">
        <f t="shared" si="169"/>
        <v>0</v>
      </c>
      <c r="M406" s="73">
        <f t="shared" ref="M406:R406" si="182">SUM(M407:M473)</f>
        <v>0</v>
      </c>
      <c r="N406" s="73">
        <f t="shared" si="182"/>
        <v>0</v>
      </c>
      <c r="O406" s="73">
        <f t="shared" si="182"/>
        <v>0</v>
      </c>
      <c r="P406" s="73">
        <f t="shared" si="182"/>
        <v>84729.980000000025</v>
      </c>
      <c r="Q406" s="73">
        <f t="shared" si="182"/>
        <v>107403.37000000007</v>
      </c>
      <c r="R406" s="73">
        <f t="shared" si="182"/>
        <v>107403.37000000007</v>
      </c>
    </row>
    <row r="407" spans="2:18" s="34" customFormat="1" ht="46.2">
      <c r="B407" s="75" t="s">
        <v>802</v>
      </c>
      <c r="C407" s="76" t="s">
        <v>803</v>
      </c>
      <c r="D407" s="77" t="s">
        <v>131</v>
      </c>
      <c r="E407" s="93">
        <v>209</v>
      </c>
      <c r="F407" s="79"/>
      <c r="G407" s="79"/>
      <c r="H407" s="79"/>
      <c r="I407" s="79">
        <f>SUM(G407:H407)+'BM 003'!I407</f>
        <v>0</v>
      </c>
      <c r="J407" s="79">
        <f t="shared" si="170"/>
        <v>209</v>
      </c>
      <c r="K407" s="80">
        <v>15.61</v>
      </c>
      <c r="L407" s="81">
        <f t="shared" si="169"/>
        <v>19.787237717100002</v>
      </c>
      <c r="M407" s="82">
        <f t="shared" ref="M407:M438" si="183">TRUNC(F407*L407,2)</f>
        <v>0</v>
      </c>
      <c r="N407" s="82">
        <f t="shared" ref="N407:N438" si="184">TRUNC(G407*L407,2)</f>
        <v>0</v>
      </c>
      <c r="O407" s="82">
        <f>N407+'BM 003'!O407</f>
        <v>0</v>
      </c>
      <c r="P407" s="80">
        <f t="shared" ref="P407:P438" si="185">E407*K407</f>
        <v>3262.49</v>
      </c>
      <c r="Q407" s="82">
        <f t="shared" ref="Q407:Q438" si="186">TRUNC(E407*L407,2)</f>
        <v>4135.53</v>
      </c>
      <c r="R407" s="82">
        <f t="shared" ref="R407:R438" si="187">Q407-O407</f>
        <v>4135.53</v>
      </c>
    </row>
    <row r="408" spans="2:18" s="34" customFormat="1" ht="46.2">
      <c r="B408" s="75" t="s">
        <v>804</v>
      </c>
      <c r="C408" s="76" t="s">
        <v>805</v>
      </c>
      <c r="D408" s="77" t="s">
        <v>131</v>
      </c>
      <c r="E408" s="93">
        <v>127</v>
      </c>
      <c r="F408" s="79"/>
      <c r="G408" s="79"/>
      <c r="H408" s="79"/>
      <c r="I408" s="79">
        <f>SUM(G408:H408)+'BM 003'!I408</f>
        <v>0</v>
      </c>
      <c r="J408" s="79">
        <f t="shared" si="170"/>
        <v>127</v>
      </c>
      <c r="K408" s="80">
        <v>13.73</v>
      </c>
      <c r="L408" s="81">
        <f t="shared" si="169"/>
        <v>17.404149510300002</v>
      </c>
      <c r="M408" s="82">
        <f t="shared" si="183"/>
        <v>0</v>
      </c>
      <c r="N408" s="82">
        <f t="shared" si="184"/>
        <v>0</v>
      </c>
      <c r="O408" s="82">
        <f>N408+'BM 003'!O408</f>
        <v>0</v>
      </c>
      <c r="P408" s="80">
        <f t="shared" si="185"/>
        <v>1743.71</v>
      </c>
      <c r="Q408" s="82">
        <f t="shared" si="186"/>
        <v>2210.3200000000002</v>
      </c>
      <c r="R408" s="82">
        <f t="shared" si="187"/>
        <v>2210.3200000000002</v>
      </c>
    </row>
    <row r="409" spans="2:18" s="34" customFormat="1" ht="34.799999999999997">
      <c r="B409" s="75" t="s">
        <v>806</v>
      </c>
      <c r="C409" s="76" t="s">
        <v>807</v>
      </c>
      <c r="D409" s="77" t="s">
        <v>131</v>
      </c>
      <c r="E409" s="93">
        <v>286</v>
      </c>
      <c r="F409" s="79"/>
      <c r="G409" s="79"/>
      <c r="H409" s="79"/>
      <c r="I409" s="79">
        <f>SUM(G409:H409)+'BM 003'!I409</f>
        <v>0</v>
      </c>
      <c r="J409" s="79">
        <f t="shared" si="170"/>
        <v>286</v>
      </c>
      <c r="K409" s="80">
        <v>46.17</v>
      </c>
      <c r="L409" s="81">
        <f t="shared" si="169"/>
        <v>58.525097078700007</v>
      </c>
      <c r="M409" s="82">
        <f t="shared" si="183"/>
        <v>0</v>
      </c>
      <c r="N409" s="82">
        <f t="shared" si="184"/>
        <v>0</v>
      </c>
      <c r="O409" s="82">
        <f>N409+'BM 003'!O409</f>
        <v>0</v>
      </c>
      <c r="P409" s="80">
        <f t="shared" si="185"/>
        <v>13204.62</v>
      </c>
      <c r="Q409" s="82">
        <f t="shared" si="186"/>
        <v>16738.169999999998</v>
      </c>
      <c r="R409" s="82">
        <f t="shared" si="187"/>
        <v>16738.169999999998</v>
      </c>
    </row>
    <row r="410" spans="2:18" s="34" customFormat="1" ht="34.799999999999997">
      <c r="B410" s="75" t="s">
        <v>808</v>
      </c>
      <c r="C410" s="76" t="s">
        <v>809</v>
      </c>
      <c r="D410" s="77" t="s">
        <v>131</v>
      </c>
      <c r="E410" s="93">
        <v>2</v>
      </c>
      <c r="F410" s="79"/>
      <c r="G410" s="79"/>
      <c r="H410" s="79"/>
      <c r="I410" s="79">
        <f>SUM(G410:H410)+'BM 003'!I410</f>
        <v>0</v>
      </c>
      <c r="J410" s="79">
        <f t="shared" si="170"/>
        <v>2</v>
      </c>
      <c r="K410" s="80">
        <v>95</v>
      </c>
      <c r="L410" s="81">
        <f t="shared" si="169"/>
        <v>120.42201045</v>
      </c>
      <c r="M410" s="82">
        <f t="shared" si="183"/>
        <v>0</v>
      </c>
      <c r="N410" s="82">
        <f t="shared" si="184"/>
        <v>0</v>
      </c>
      <c r="O410" s="82">
        <f>N410+'BM 003'!O410</f>
        <v>0</v>
      </c>
      <c r="P410" s="80">
        <f t="shared" si="185"/>
        <v>190</v>
      </c>
      <c r="Q410" s="82">
        <f t="shared" si="186"/>
        <v>240.84</v>
      </c>
      <c r="R410" s="82">
        <f t="shared" si="187"/>
        <v>240.84</v>
      </c>
    </row>
    <row r="411" spans="2:18" s="34" customFormat="1" ht="34.799999999999997">
      <c r="B411" s="75" t="s">
        <v>810</v>
      </c>
      <c r="C411" s="76" t="s">
        <v>811</v>
      </c>
      <c r="D411" s="77" t="s">
        <v>131</v>
      </c>
      <c r="E411" s="93">
        <v>4</v>
      </c>
      <c r="F411" s="79"/>
      <c r="G411" s="79"/>
      <c r="H411" s="79"/>
      <c r="I411" s="79">
        <f>SUM(G411:H411)+'BM 003'!I411</f>
        <v>0</v>
      </c>
      <c r="J411" s="79">
        <f t="shared" si="170"/>
        <v>4</v>
      </c>
      <c r="K411" s="80">
        <v>240</v>
      </c>
      <c r="L411" s="81">
        <f t="shared" si="169"/>
        <v>304.22402640000001</v>
      </c>
      <c r="M411" s="82">
        <f t="shared" si="183"/>
        <v>0</v>
      </c>
      <c r="N411" s="82">
        <f t="shared" si="184"/>
        <v>0</v>
      </c>
      <c r="O411" s="82">
        <f>N411+'BM 003'!O411</f>
        <v>0</v>
      </c>
      <c r="P411" s="80">
        <f t="shared" si="185"/>
        <v>960</v>
      </c>
      <c r="Q411" s="82">
        <f t="shared" si="186"/>
        <v>1216.8900000000001</v>
      </c>
      <c r="R411" s="82">
        <f t="shared" si="187"/>
        <v>1216.8900000000001</v>
      </c>
    </row>
    <row r="412" spans="2:18" s="34" customFormat="1" ht="46.2">
      <c r="B412" s="75" t="s">
        <v>812</v>
      </c>
      <c r="C412" s="76" t="s">
        <v>813</v>
      </c>
      <c r="D412" s="77" t="s">
        <v>131</v>
      </c>
      <c r="E412" s="93">
        <v>412</v>
      </c>
      <c r="F412" s="79"/>
      <c r="G412" s="79"/>
      <c r="H412" s="79"/>
      <c r="I412" s="79">
        <f>SUM(G412:H412)+'BM 003'!I412</f>
        <v>0</v>
      </c>
      <c r="J412" s="79">
        <f t="shared" si="170"/>
        <v>412</v>
      </c>
      <c r="K412" s="80">
        <v>8.31</v>
      </c>
      <c r="L412" s="81">
        <f t="shared" si="169"/>
        <v>10.533756914100001</v>
      </c>
      <c r="M412" s="82">
        <f t="shared" si="183"/>
        <v>0</v>
      </c>
      <c r="N412" s="82">
        <f t="shared" si="184"/>
        <v>0</v>
      </c>
      <c r="O412" s="82">
        <f>N412+'BM 003'!O412</f>
        <v>0</v>
      </c>
      <c r="P412" s="80">
        <f t="shared" si="185"/>
        <v>3423.7200000000003</v>
      </c>
      <c r="Q412" s="82">
        <f t="shared" si="186"/>
        <v>4339.8999999999996</v>
      </c>
      <c r="R412" s="82">
        <f t="shared" si="187"/>
        <v>4339.8999999999996</v>
      </c>
    </row>
    <row r="413" spans="2:18" s="34" customFormat="1" ht="34.799999999999997">
      <c r="B413" s="75" t="s">
        <v>814</v>
      </c>
      <c r="C413" s="76" t="s">
        <v>815</v>
      </c>
      <c r="D413" s="77" t="s">
        <v>131</v>
      </c>
      <c r="E413" s="93">
        <v>2</v>
      </c>
      <c r="F413" s="79"/>
      <c r="G413" s="79"/>
      <c r="H413" s="79"/>
      <c r="I413" s="79">
        <f>SUM(G413:H413)+'BM 003'!I413</f>
        <v>0</v>
      </c>
      <c r="J413" s="79">
        <f t="shared" si="170"/>
        <v>2</v>
      </c>
      <c r="K413" s="80">
        <v>29</v>
      </c>
      <c r="L413" s="81">
        <f t="shared" ref="L413:L476" si="188">K413*(1+$T$26)</f>
        <v>36.760403190000005</v>
      </c>
      <c r="M413" s="82">
        <f t="shared" si="183"/>
        <v>0</v>
      </c>
      <c r="N413" s="82">
        <f t="shared" si="184"/>
        <v>0</v>
      </c>
      <c r="O413" s="82">
        <f>N413+'BM 003'!O413</f>
        <v>0</v>
      </c>
      <c r="P413" s="80">
        <f t="shared" si="185"/>
        <v>58</v>
      </c>
      <c r="Q413" s="82">
        <f t="shared" si="186"/>
        <v>73.52</v>
      </c>
      <c r="R413" s="82">
        <f t="shared" si="187"/>
        <v>73.52</v>
      </c>
    </row>
    <row r="414" spans="2:18" s="34" customFormat="1" ht="46.2">
      <c r="B414" s="75" t="s">
        <v>816</v>
      </c>
      <c r="C414" s="76" t="s">
        <v>817</v>
      </c>
      <c r="D414" s="77" t="s">
        <v>131</v>
      </c>
      <c r="E414" s="93">
        <v>115</v>
      </c>
      <c r="F414" s="79"/>
      <c r="G414" s="79"/>
      <c r="H414" s="79"/>
      <c r="I414" s="79">
        <f>SUM(G414:H414)+'BM 003'!I414</f>
        <v>0</v>
      </c>
      <c r="J414" s="79">
        <f t="shared" si="170"/>
        <v>115</v>
      </c>
      <c r="K414" s="80">
        <v>9.2899999999999991</v>
      </c>
      <c r="L414" s="81">
        <f t="shared" si="188"/>
        <v>11.7760050219</v>
      </c>
      <c r="M414" s="82">
        <f t="shared" si="183"/>
        <v>0</v>
      </c>
      <c r="N414" s="82">
        <f t="shared" si="184"/>
        <v>0</v>
      </c>
      <c r="O414" s="82">
        <f>N414+'BM 003'!O414</f>
        <v>0</v>
      </c>
      <c r="P414" s="80">
        <f t="shared" si="185"/>
        <v>1068.3499999999999</v>
      </c>
      <c r="Q414" s="82">
        <f t="shared" si="186"/>
        <v>1354.24</v>
      </c>
      <c r="R414" s="82">
        <f t="shared" si="187"/>
        <v>1354.24</v>
      </c>
    </row>
    <row r="415" spans="2:18" s="34" customFormat="1" ht="46.2">
      <c r="B415" s="75" t="s">
        <v>818</v>
      </c>
      <c r="C415" s="76" t="s">
        <v>819</v>
      </c>
      <c r="D415" s="77" t="s">
        <v>131</v>
      </c>
      <c r="E415" s="93">
        <v>158</v>
      </c>
      <c r="F415" s="79"/>
      <c r="G415" s="79"/>
      <c r="H415" s="79"/>
      <c r="I415" s="79">
        <f>SUM(G415:H415)+'BM 003'!I415</f>
        <v>0</v>
      </c>
      <c r="J415" s="79">
        <f t="shared" ref="J415:J478" si="189">E415-I415</f>
        <v>158</v>
      </c>
      <c r="K415" s="80">
        <v>14.75</v>
      </c>
      <c r="L415" s="81">
        <f t="shared" si="188"/>
        <v>18.6971016225</v>
      </c>
      <c r="M415" s="82">
        <f t="shared" si="183"/>
        <v>0</v>
      </c>
      <c r="N415" s="82">
        <f t="shared" si="184"/>
        <v>0</v>
      </c>
      <c r="O415" s="82">
        <f>N415+'BM 003'!O415</f>
        <v>0</v>
      </c>
      <c r="P415" s="80">
        <f t="shared" si="185"/>
        <v>2330.5</v>
      </c>
      <c r="Q415" s="82">
        <f t="shared" si="186"/>
        <v>2954.14</v>
      </c>
      <c r="R415" s="82">
        <f t="shared" si="187"/>
        <v>2954.14</v>
      </c>
    </row>
    <row r="416" spans="2:18" s="34" customFormat="1" ht="46.2">
      <c r="B416" s="75" t="s">
        <v>820</v>
      </c>
      <c r="C416" s="76" t="s">
        <v>821</v>
      </c>
      <c r="D416" s="77" t="s">
        <v>131</v>
      </c>
      <c r="E416" s="93">
        <v>28</v>
      </c>
      <c r="F416" s="79"/>
      <c r="G416" s="79"/>
      <c r="H416" s="79"/>
      <c r="I416" s="79">
        <f>SUM(G416:H416)+'BM 003'!I416</f>
        <v>0</v>
      </c>
      <c r="J416" s="79">
        <f t="shared" si="189"/>
        <v>28</v>
      </c>
      <c r="K416" s="80">
        <v>29.5</v>
      </c>
      <c r="L416" s="81">
        <f t="shared" si="188"/>
        <v>37.394203245</v>
      </c>
      <c r="M416" s="82">
        <f t="shared" si="183"/>
        <v>0</v>
      </c>
      <c r="N416" s="82">
        <f t="shared" si="184"/>
        <v>0</v>
      </c>
      <c r="O416" s="82">
        <f>N416+'BM 003'!O416</f>
        <v>0</v>
      </c>
      <c r="P416" s="80">
        <f t="shared" si="185"/>
        <v>826</v>
      </c>
      <c r="Q416" s="82">
        <f t="shared" si="186"/>
        <v>1047.03</v>
      </c>
      <c r="R416" s="82">
        <f t="shared" si="187"/>
        <v>1047.03</v>
      </c>
    </row>
    <row r="417" spans="2:18" s="34" customFormat="1" ht="22.5" customHeight="1">
      <c r="B417" s="75" t="s">
        <v>822</v>
      </c>
      <c r="C417" s="76" t="s">
        <v>823</v>
      </c>
      <c r="D417" s="77" t="s">
        <v>131</v>
      </c>
      <c r="E417" s="93">
        <v>37</v>
      </c>
      <c r="F417" s="79"/>
      <c r="G417" s="79"/>
      <c r="H417" s="79"/>
      <c r="I417" s="79">
        <f>SUM(G417:H417)+'BM 003'!I417</f>
        <v>0</v>
      </c>
      <c r="J417" s="79">
        <f t="shared" si="189"/>
        <v>37</v>
      </c>
      <c r="K417" s="80">
        <v>34.119999999999997</v>
      </c>
      <c r="L417" s="81">
        <f t="shared" si="188"/>
        <v>43.250515753199998</v>
      </c>
      <c r="M417" s="82">
        <f t="shared" si="183"/>
        <v>0</v>
      </c>
      <c r="N417" s="82">
        <f t="shared" si="184"/>
        <v>0</v>
      </c>
      <c r="O417" s="82">
        <f>N417+'BM 003'!O417</f>
        <v>0</v>
      </c>
      <c r="P417" s="80">
        <f t="shared" si="185"/>
        <v>1262.4399999999998</v>
      </c>
      <c r="Q417" s="82">
        <f t="shared" si="186"/>
        <v>1600.26</v>
      </c>
      <c r="R417" s="82">
        <f t="shared" si="187"/>
        <v>1600.26</v>
      </c>
    </row>
    <row r="418" spans="2:18" s="34" customFormat="1" ht="34.799999999999997">
      <c r="B418" s="75" t="s">
        <v>824</v>
      </c>
      <c r="C418" s="76" t="s">
        <v>825</v>
      </c>
      <c r="D418" s="77" t="s">
        <v>131</v>
      </c>
      <c r="E418" s="93">
        <v>77</v>
      </c>
      <c r="F418" s="79"/>
      <c r="G418" s="79"/>
      <c r="H418" s="79"/>
      <c r="I418" s="79">
        <f>SUM(G418:H418)+'BM 003'!I418</f>
        <v>0</v>
      </c>
      <c r="J418" s="79">
        <f t="shared" si="189"/>
        <v>77</v>
      </c>
      <c r="K418" s="80">
        <v>42</v>
      </c>
      <c r="L418" s="81">
        <f t="shared" si="188"/>
        <v>53.239204620000002</v>
      </c>
      <c r="M418" s="82">
        <f t="shared" si="183"/>
        <v>0</v>
      </c>
      <c r="N418" s="82">
        <f t="shared" si="184"/>
        <v>0</v>
      </c>
      <c r="O418" s="82">
        <f>N418+'BM 003'!O418</f>
        <v>0</v>
      </c>
      <c r="P418" s="80">
        <f t="shared" si="185"/>
        <v>3234</v>
      </c>
      <c r="Q418" s="82">
        <f t="shared" si="186"/>
        <v>4099.41</v>
      </c>
      <c r="R418" s="82">
        <f t="shared" si="187"/>
        <v>4099.41</v>
      </c>
    </row>
    <row r="419" spans="2:18" s="34" customFormat="1" ht="34.799999999999997">
      <c r="B419" s="75" t="s">
        <v>826</v>
      </c>
      <c r="C419" s="76" t="s">
        <v>827</v>
      </c>
      <c r="D419" s="77" t="s">
        <v>131</v>
      </c>
      <c r="E419" s="93">
        <v>1</v>
      </c>
      <c r="F419" s="79"/>
      <c r="G419" s="79"/>
      <c r="H419" s="79"/>
      <c r="I419" s="79">
        <f>SUM(G419:H419)+'BM 003'!I419</f>
        <v>0</v>
      </c>
      <c r="J419" s="79">
        <f t="shared" si="189"/>
        <v>1</v>
      </c>
      <c r="K419" s="80">
        <v>88</v>
      </c>
      <c r="L419" s="81">
        <f t="shared" si="188"/>
        <v>111.54880968000001</v>
      </c>
      <c r="M419" s="82">
        <f t="shared" si="183"/>
        <v>0</v>
      </c>
      <c r="N419" s="82">
        <f t="shared" si="184"/>
        <v>0</v>
      </c>
      <c r="O419" s="82">
        <f>N419+'BM 003'!O419</f>
        <v>0</v>
      </c>
      <c r="P419" s="80">
        <f t="shared" si="185"/>
        <v>88</v>
      </c>
      <c r="Q419" s="82">
        <f t="shared" si="186"/>
        <v>111.54</v>
      </c>
      <c r="R419" s="82">
        <f t="shared" si="187"/>
        <v>111.54</v>
      </c>
    </row>
    <row r="420" spans="2:18" s="34" customFormat="1" ht="34.799999999999997">
      <c r="B420" s="75" t="s">
        <v>828</v>
      </c>
      <c r="C420" s="76" t="s">
        <v>829</v>
      </c>
      <c r="D420" s="77" t="s">
        <v>131</v>
      </c>
      <c r="E420" s="93">
        <v>4</v>
      </c>
      <c r="F420" s="79"/>
      <c r="G420" s="79"/>
      <c r="H420" s="79"/>
      <c r="I420" s="79">
        <f>SUM(G420:H420)+'BM 003'!I420</f>
        <v>0</v>
      </c>
      <c r="J420" s="79">
        <f t="shared" si="189"/>
        <v>4</v>
      </c>
      <c r="K420" s="80">
        <v>235</v>
      </c>
      <c r="L420" s="81">
        <f t="shared" si="188"/>
        <v>297.88602585000001</v>
      </c>
      <c r="M420" s="82">
        <f t="shared" si="183"/>
        <v>0</v>
      </c>
      <c r="N420" s="82">
        <f t="shared" si="184"/>
        <v>0</v>
      </c>
      <c r="O420" s="82">
        <f>N420+'BM 003'!O420</f>
        <v>0</v>
      </c>
      <c r="P420" s="80">
        <f t="shared" si="185"/>
        <v>940</v>
      </c>
      <c r="Q420" s="82">
        <f t="shared" si="186"/>
        <v>1191.54</v>
      </c>
      <c r="R420" s="82">
        <f t="shared" si="187"/>
        <v>1191.54</v>
      </c>
    </row>
    <row r="421" spans="2:18" s="34" customFormat="1" ht="57.6">
      <c r="B421" s="75" t="s">
        <v>830</v>
      </c>
      <c r="C421" s="76" t="s">
        <v>831</v>
      </c>
      <c r="D421" s="77" t="s">
        <v>131</v>
      </c>
      <c r="E421" s="93">
        <v>326</v>
      </c>
      <c r="F421" s="79"/>
      <c r="G421" s="79"/>
      <c r="H421" s="79"/>
      <c r="I421" s="79">
        <f>SUM(G421:H421)+'BM 003'!I421</f>
        <v>0</v>
      </c>
      <c r="J421" s="79">
        <f t="shared" si="189"/>
        <v>326</v>
      </c>
      <c r="K421" s="80">
        <v>9.08</v>
      </c>
      <c r="L421" s="81">
        <f t="shared" si="188"/>
        <v>11.509808998800001</v>
      </c>
      <c r="M421" s="82">
        <f t="shared" si="183"/>
        <v>0</v>
      </c>
      <c r="N421" s="82">
        <f t="shared" si="184"/>
        <v>0</v>
      </c>
      <c r="O421" s="82">
        <f>N421+'BM 003'!O421</f>
        <v>0</v>
      </c>
      <c r="P421" s="80">
        <f t="shared" si="185"/>
        <v>2960.08</v>
      </c>
      <c r="Q421" s="82">
        <f t="shared" si="186"/>
        <v>3752.19</v>
      </c>
      <c r="R421" s="82">
        <f t="shared" si="187"/>
        <v>3752.19</v>
      </c>
    </row>
    <row r="422" spans="2:18" s="34" customFormat="1" ht="46.2">
      <c r="B422" s="75" t="s">
        <v>832</v>
      </c>
      <c r="C422" s="76" t="s">
        <v>833</v>
      </c>
      <c r="D422" s="77" t="s">
        <v>131</v>
      </c>
      <c r="E422" s="93">
        <v>166</v>
      </c>
      <c r="F422" s="79"/>
      <c r="G422" s="79"/>
      <c r="H422" s="79"/>
      <c r="I422" s="79">
        <f>SUM(G422:H422)+'BM 003'!I422</f>
        <v>0</v>
      </c>
      <c r="J422" s="79">
        <f t="shared" si="189"/>
        <v>166</v>
      </c>
      <c r="K422" s="80">
        <v>9.4600000000000009</v>
      </c>
      <c r="L422" s="81">
        <f t="shared" si="188"/>
        <v>11.991497040600002</v>
      </c>
      <c r="M422" s="82">
        <f t="shared" si="183"/>
        <v>0</v>
      </c>
      <c r="N422" s="82">
        <f t="shared" si="184"/>
        <v>0</v>
      </c>
      <c r="O422" s="82">
        <f>N422+'BM 003'!O422</f>
        <v>0</v>
      </c>
      <c r="P422" s="80">
        <f t="shared" si="185"/>
        <v>1570.3600000000001</v>
      </c>
      <c r="Q422" s="82">
        <f t="shared" si="186"/>
        <v>1990.58</v>
      </c>
      <c r="R422" s="82">
        <f t="shared" si="187"/>
        <v>1990.58</v>
      </c>
    </row>
    <row r="423" spans="2:18" s="34" customFormat="1" ht="13.2">
      <c r="B423" s="75" t="s">
        <v>834</v>
      </c>
      <c r="C423" s="76" t="s">
        <v>747</v>
      </c>
      <c r="D423" s="77" t="s">
        <v>131</v>
      </c>
      <c r="E423" s="93">
        <v>96</v>
      </c>
      <c r="F423" s="79"/>
      <c r="G423" s="79"/>
      <c r="H423" s="79"/>
      <c r="I423" s="79">
        <f>SUM(G423:H423)+'BM 003'!I423</f>
        <v>0</v>
      </c>
      <c r="J423" s="79">
        <f t="shared" si="189"/>
        <v>96</v>
      </c>
      <c r="K423" s="80">
        <v>5.14</v>
      </c>
      <c r="L423" s="81">
        <f t="shared" si="188"/>
        <v>6.5154645654000003</v>
      </c>
      <c r="M423" s="82">
        <f t="shared" si="183"/>
        <v>0</v>
      </c>
      <c r="N423" s="82">
        <f t="shared" si="184"/>
        <v>0</v>
      </c>
      <c r="O423" s="82">
        <f>N423+'BM 003'!O423</f>
        <v>0</v>
      </c>
      <c r="P423" s="80">
        <f t="shared" si="185"/>
        <v>493.43999999999994</v>
      </c>
      <c r="Q423" s="82">
        <f t="shared" si="186"/>
        <v>625.48</v>
      </c>
      <c r="R423" s="82">
        <f t="shared" si="187"/>
        <v>625.48</v>
      </c>
    </row>
    <row r="424" spans="2:18" s="34" customFormat="1" ht="46.2">
      <c r="B424" s="75" t="s">
        <v>835</v>
      </c>
      <c r="C424" s="76" t="s">
        <v>836</v>
      </c>
      <c r="D424" s="77" t="s">
        <v>131</v>
      </c>
      <c r="E424" s="93">
        <v>26</v>
      </c>
      <c r="F424" s="79"/>
      <c r="G424" s="79"/>
      <c r="H424" s="79"/>
      <c r="I424" s="79">
        <f>SUM(G424:H424)+'BM 003'!I424</f>
        <v>0</v>
      </c>
      <c r="J424" s="79">
        <f t="shared" si="189"/>
        <v>26</v>
      </c>
      <c r="K424" s="80">
        <v>21.35</v>
      </c>
      <c r="L424" s="81">
        <f t="shared" si="188"/>
        <v>27.063262348500004</v>
      </c>
      <c r="M424" s="82">
        <f t="shared" si="183"/>
        <v>0</v>
      </c>
      <c r="N424" s="82">
        <f t="shared" si="184"/>
        <v>0</v>
      </c>
      <c r="O424" s="82">
        <f>N424+'BM 003'!O424</f>
        <v>0</v>
      </c>
      <c r="P424" s="80">
        <f t="shared" si="185"/>
        <v>555.1</v>
      </c>
      <c r="Q424" s="82">
        <f t="shared" si="186"/>
        <v>703.64</v>
      </c>
      <c r="R424" s="82">
        <f t="shared" si="187"/>
        <v>703.64</v>
      </c>
    </row>
    <row r="425" spans="2:18" s="34" customFormat="1" ht="46.2">
      <c r="B425" s="75" t="s">
        <v>837</v>
      </c>
      <c r="C425" s="76" t="s">
        <v>838</v>
      </c>
      <c r="D425" s="77" t="s">
        <v>131</v>
      </c>
      <c r="E425" s="93">
        <v>86</v>
      </c>
      <c r="F425" s="79"/>
      <c r="G425" s="79"/>
      <c r="H425" s="79"/>
      <c r="I425" s="79">
        <f>SUM(G425:H425)+'BM 003'!I425</f>
        <v>0</v>
      </c>
      <c r="J425" s="79">
        <f t="shared" si="189"/>
        <v>86</v>
      </c>
      <c r="K425" s="80">
        <v>25.91</v>
      </c>
      <c r="L425" s="81">
        <f t="shared" si="188"/>
        <v>32.843518850100004</v>
      </c>
      <c r="M425" s="82">
        <f t="shared" si="183"/>
        <v>0</v>
      </c>
      <c r="N425" s="82">
        <f t="shared" si="184"/>
        <v>0</v>
      </c>
      <c r="O425" s="82">
        <f>N425+'BM 003'!O425</f>
        <v>0</v>
      </c>
      <c r="P425" s="80">
        <f t="shared" si="185"/>
        <v>2228.2600000000002</v>
      </c>
      <c r="Q425" s="82">
        <f t="shared" si="186"/>
        <v>2824.54</v>
      </c>
      <c r="R425" s="82">
        <f t="shared" si="187"/>
        <v>2824.54</v>
      </c>
    </row>
    <row r="426" spans="2:18" s="34" customFormat="1" ht="34.799999999999997">
      <c r="B426" s="75" t="s">
        <v>839</v>
      </c>
      <c r="C426" s="76" t="s">
        <v>840</v>
      </c>
      <c r="D426" s="77" t="s">
        <v>131</v>
      </c>
      <c r="E426" s="93">
        <v>19</v>
      </c>
      <c r="F426" s="79"/>
      <c r="G426" s="79"/>
      <c r="H426" s="79"/>
      <c r="I426" s="79">
        <f>SUM(G426:H426)+'BM 003'!I426</f>
        <v>0</v>
      </c>
      <c r="J426" s="79">
        <f t="shared" si="189"/>
        <v>19</v>
      </c>
      <c r="K426" s="80">
        <v>100.92</v>
      </c>
      <c r="L426" s="81">
        <f t="shared" si="188"/>
        <v>127.9262031012</v>
      </c>
      <c r="M426" s="82">
        <f t="shared" si="183"/>
        <v>0</v>
      </c>
      <c r="N426" s="82">
        <f t="shared" si="184"/>
        <v>0</v>
      </c>
      <c r="O426" s="82">
        <f>N426+'BM 003'!O426</f>
        <v>0</v>
      </c>
      <c r="P426" s="80">
        <f t="shared" si="185"/>
        <v>1917.48</v>
      </c>
      <c r="Q426" s="82">
        <f t="shared" si="186"/>
        <v>2430.59</v>
      </c>
      <c r="R426" s="82">
        <f t="shared" si="187"/>
        <v>2430.59</v>
      </c>
    </row>
    <row r="427" spans="2:18" s="34" customFormat="1" ht="34.799999999999997">
      <c r="B427" s="75" t="s">
        <v>841</v>
      </c>
      <c r="C427" s="76" t="s">
        <v>842</v>
      </c>
      <c r="D427" s="77" t="s">
        <v>131</v>
      </c>
      <c r="E427" s="93">
        <v>1</v>
      </c>
      <c r="F427" s="79"/>
      <c r="G427" s="79"/>
      <c r="H427" s="79"/>
      <c r="I427" s="79">
        <f>SUM(G427:H427)+'BM 003'!I427</f>
        <v>0</v>
      </c>
      <c r="J427" s="79">
        <f t="shared" si="189"/>
        <v>1</v>
      </c>
      <c r="K427" s="80">
        <v>135</v>
      </c>
      <c r="L427" s="81">
        <f t="shared" si="188"/>
        <v>171.12601485000002</v>
      </c>
      <c r="M427" s="82">
        <f t="shared" si="183"/>
        <v>0</v>
      </c>
      <c r="N427" s="82">
        <f t="shared" si="184"/>
        <v>0</v>
      </c>
      <c r="O427" s="82">
        <f>N427+'BM 003'!O427</f>
        <v>0</v>
      </c>
      <c r="P427" s="80">
        <f t="shared" si="185"/>
        <v>135</v>
      </c>
      <c r="Q427" s="82">
        <f t="shared" si="186"/>
        <v>171.12</v>
      </c>
      <c r="R427" s="82">
        <f t="shared" si="187"/>
        <v>171.12</v>
      </c>
    </row>
    <row r="428" spans="2:18" s="34" customFormat="1" ht="46.2">
      <c r="B428" s="75" t="s">
        <v>843</v>
      </c>
      <c r="C428" s="76" t="s">
        <v>844</v>
      </c>
      <c r="D428" s="77" t="s">
        <v>131</v>
      </c>
      <c r="E428" s="93">
        <v>38</v>
      </c>
      <c r="F428" s="79"/>
      <c r="G428" s="79"/>
      <c r="H428" s="79"/>
      <c r="I428" s="79">
        <f>SUM(G428:H428)+'BM 003'!I428</f>
        <v>0</v>
      </c>
      <c r="J428" s="79">
        <f t="shared" si="189"/>
        <v>38</v>
      </c>
      <c r="K428" s="80">
        <v>9.08</v>
      </c>
      <c r="L428" s="81">
        <f t="shared" si="188"/>
        <v>11.509808998800001</v>
      </c>
      <c r="M428" s="82">
        <f t="shared" si="183"/>
        <v>0</v>
      </c>
      <c r="N428" s="82">
        <f t="shared" si="184"/>
        <v>0</v>
      </c>
      <c r="O428" s="82">
        <f>N428+'BM 003'!O428</f>
        <v>0</v>
      </c>
      <c r="P428" s="80">
        <f t="shared" si="185"/>
        <v>345.04</v>
      </c>
      <c r="Q428" s="82">
        <f t="shared" si="186"/>
        <v>437.37</v>
      </c>
      <c r="R428" s="82">
        <f t="shared" si="187"/>
        <v>437.37</v>
      </c>
    </row>
    <row r="429" spans="2:18" s="34" customFormat="1" ht="46.2">
      <c r="B429" s="75" t="s">
        <v>845</v>
      </c>
      <c r="C429" s="76" t="s">
        <v>846</v>
      </c>
      <c r="D429" s="77" t="s">
        <v>131</v>
      </c>
      <c r="E429" s="93">
        <v>38</v>
      </c>
      <c r="F429" s="79"/>
      <c r="G429" s="79"/>
      <c r="H429" s="79"/>
      <c r="I429" s="79">
        <f>SUM(G429:H429)+'BM 003'!I429</f>
        <v>0</v>
      </c>
      <c r="J429" s="79">
        <f t="shared" si="189"/>
        <v>38</v>
      </c>
      <c r="K429" s="80">
        <v>25.03</v>
      </c>
      <c r="L429" s="81">
        <f t="shared" si="188"/>
        <v>31.728030753300004</v>
      </c>
      <c r="M429" s="82">
        <f t="shared" si="183"/>
        <v>0</v>
      </c>
      <c r="N429" s="82">
        <f t="shared" si="184"/>
        <v>0</v>
      </c>
      <c r="O429" s="82">
        <f>N429+'BM 003'!O429</f>
        <v>0</v>
      </c>
      <c r="P429" s="80">
        <f t="shared" si="185"/>
        <v>951.1400000000001</v>
      </c>
      <c r="Q429" s="82">
        <f t="shared" si="186"/>
        <v>1205.6600000000001</v>
      </c>
      <c r="R429" s="82">
        <f t="shared" si="187"/>
        <v>1205.6600000000001</v>
      </c>
    </row>
    <row r="430" spans="2:18" s="34" customFormat="1" ht="46.2">
      <c r="B430" s="75" t="s">
        <v>847</v>
      </c>
      <c r="C430" s="76" t="s">
        <v>848</v>
      </c>
      <c r="D430" s="77" t="s">
        <v>131</v>
      </c>
      <c r="E430" s="93">
        <v>9</v>
      </c>
      <c r="F430" s="79"/>
      <c r="G430" s="79"/>
      <c r="H430" s="79"/>
      <c r="I430" s="79">
        <f>SUM(G430:H430)+'BM 003'!I430</f>
        <v>0</v>
      </c>
      <c r="J430" s="79">
        <f t="shared" si="189"/>
        <v>9</v>
      </c>
      <c r="K430" s="80">
        <v>38.549999999999997</v>
      </c>
      <c r="L430" s="81">
        <f t="shared" si="188"/>
        <v>48.865984240499998</v>
      </c>
      <c r="M430" s="82">
        <f t="shared" si="183"/>
        <v>0</v>
      </c>
      <c r="N430" s="82">
        <f t="shared" si="184"/>
        <v>0</v>
      </c>
      <c r="O430" s="82">
        <f>N430+'BM 003'!O430</f>
        <v>0</v>
      </c>
      <c r="P430" s="80">
        <f t="shared" si="185"/>
        <v>346.95</v>
      </c>
      <c r="Q430" s="82">
        <f t="shared" si="186"/>
        <v>439.79</v>
      </c>
      <c r="R430" s="82">
        <f t="shared" si="187"/>
        <v>439.79</v>
      </c>
    </row>
    <row r="431" spans="2:18" s="34" customFormat="1" ht="57.6">
      <c r="B431" s="75" t="s">
        <v>849</v>
      </c>
      <c r="C431" s="76" t="s">
        <v>850</v>
      </c>
      <c r="D431" s="77" t="s">
        <v>131</v>
      </c>
      <c r="E431" s="93">
        <v>24</v>
      </c>
      <c r="F431" s="79"/>
      <c r="G431" s="79"/>
      <c r="H431" s="79"/>
      <c r="I431" s="79">
        <f>SUM(G431:H431)+'BM 003'!I431</f>
        <v>0</v>
      </c>
      <c r="J431" s="79">
        <f t="shared" si="189"/>
        <v>24</v>
      </c>
      <c r="K431" s="80">
        <v>48.29</v>
      </c>
      <c r="L431" s="81">
        <f t="shared" si="188"/>
        <v>61.212409311900004</v>
      </c>
      <c r="M431" s="82">
        <f t="shared" si="183"/>
        <v>0</v>
      </c>
      <c r="N431" s="82">
        <f t="shared" si="184"/>
        <v>0</v>
      </c>
      <c r="O431" s="82">
        <f>N431+'BM 003'!O431</f>
        <v>0</v>
      </c>
      <c r="P431" s="80">
        <f t="shared" si="185"/>
        <v>1158.96</v>
      </c>
      <c r="Q431" s="82">
        <f t="shared" si="186"/>
        <v>1469.09</v>
      </c>
      <c r="R431" s="82">
        <f t="shared" si="187"/>
        <v>1469.09</v>
      </c>
    </row>
    <row r="432" spans="2:18" s="34" customFormat="1" ht="23.4">
      <c r="B432" s="75" t="s">
        <v>851</v>
      </c>
      <c r="C432" s="76" t="s">
        <v>852</v>
      </c>
      <c r="D432" s="77" t="s">
        <v>131</v>
      </c>
      <c r="E432" s="93">
        <v>64</v>
      </c>
      <c r="F432" s="79"/>
      <c r="G432" s="79"/>
      <c r="H432" s="79"/>
      <c r="I432" s="79">
        <f>SUM(G432:H432)+'BM 003'!I432</f>
        <v>0</v>
      </c>
      <c r="J432" s="79">
        <f t="shared" si="189"/>
        <v>64</v>
      </c>
      <c r="K432" s="80">
        <v>28.98</v>
      </c>
      <c r="L432" s="81">
        <f t="shared" si="188"/>
        <v>36.735051187800003</v>
      </c>
      <c r="M432" s="82">
        <f t="shared" si="183"/>
        <v>0</v>
      </c>
      <c r="N432" s="82">
        <f t="shared" si="184"/>
        <v>0</v>
      </c>
      <c r="O432" s="82">
        <f>N432+'BM 003'!O432</f>
        <v>0</v>
      </c>
      <c r="P432" s="80">
        <f t="shared" si="185"/>
        <v>1854.72</v>
      </c>
      <c r="Q432" s="82">
        <f t="shared" si="186"/>
        <v>2351.04</v>
      </c>
      <c r="R432" s="82">
        <f t="shared" si="187"/>
        <v>2351.04</v>
      </c>
    </row>
    <row r="433" spans="2:18" s="34" customFormat="1" ht="23.4">
      <c r="B433" s="75" t="s">
        <v>853</v>
      </c>
      <c r="C433" s="76" t="s">
        <v>854</v>
      </c>
      <c r="D433" s="77" t="s">
        <v>131</v>
      </c>
      <c r="E433" s="93">
        <v>69</v>
      </c>
      <c r="F433" s="79"/>
      <c r="G433" s="79"/>
      <c r="H433" s="79"/>
      <c r="I433" s="79">
        <f>SUM(G433:H433)+'BM 003'!I433</f>
        <v>0</v>
      </c>
      <c r="J433" s="79">
        <f t="shared" si="189"/>
        <v>69</v>
      </c>
      <c r="K433" s="80">
        <v>44.64</v>
      </c>
      <c r="L433" s="81">
        <f t="shared" si="188"/>
        <v>56.585668910400003</v>
      </c>
      <c r="M433" s="82">
        <f t="shared" si="183"/>
        <v>0</v>
      </c>
      <c r="N433" s="82">
        <f t="shared" si="184"/>
        <v>0</v>
      </c>
      <c r="O433" s="82">
        <f>N433+'BM 003'!O433</f>
        <v>0</v>
      </c>
      <c r="P433" s="80">
        <f t="shared" si="185"/>
        <v>3080.16</v>
      </c>
      <c r="Q433" s="82">
        <f t="shared" si="186"/>
        <v>3904.41</v>
      </c>
      <c r="R433" s="82">
        <f t="shared" si="187"/>
        <v>3904.41</v>
      </c>
    </row>
    <row r="434" spans="2:18" s="34" customFormat="1" ht="23.4">
      <c r="B434" s="75" t="s">
        <v>855</v>
      </c>
      <c r="C434" s="76" t="s">
        <v>856</v>
      </c>
      <c r="D434" s="77" t="s">
        <v>131</v>
      </c>
      <c r="E434" s="93">
        <v>1</v>
      </c>
      <c r="F434" s="79"/>
      <c r="G434" s="79"/>
      <c r="H434" s="79"/>
      <c r="I434" s="79">
        <f>SUM(G434:H434)+'BM 003'!I434</f>
        <v>0</v>
      </c>
      <c r="J434" s="79">
        <f t="shared" si="189"/>
        <v>1</v>
      </c>
      <c r="K434" s="80">
        <v>51.15</v>
      </c>
      <c r="L434" s="81">
        <f t="shared" si="188"/>
        <v>64.837745626499995</v>
      </c>
      <c r="M434" s="82">
        <f t="shared" si="183"/>
        <v>0</v>
      </c>
      <c r="N434" s="82">
        <f t="shared" si="184"/>
        <v>0</v>
      </c>
      <c r="O434" s="82">
        <f>N434+'BM 003'!O434</f>
        <v>0</v>
      </c>
      <c r="P434" s="80">
        <f t="shared" si="185"/>
        <v>51.15</v>
      </c>
      <c r="Q434" s="82">
        <f t="shared" si="186"/>
        <v>64.83</v>
      </c>
      <c r="R434" s="82">
        <f t="shared" si="187"/>
        <v>64.83</v>
      </c>
    </row>
    <row r="435" spans="2:18" s="34" customFormat="1" ht="23.4">
      <c r="B435" s="75" t="s">
        <v>857</v>
      </c>
      <c r="C435" s="76" t="s">
        <v>858</v>
      </c>
      <c r="D435" s="77" t="s">
        <v>131</v>
      </c>
      <c r="E435" s="93">
        <v>52</v>
      </c>
      <c r="F435" s="79"/>
      <c r="G435" s="79"/>
      <c r="H435" s="79"/>
      <c r="I435" s="79">
        <f>SUM(G435:H435)+'BM 003'!I435</f>
        <v>0</v>
      </c>
      <c r="J435" s="79">
        <f t="shared" si="189"/>
        <v>52</v>
      </c>
      <c r="K435" s="80">
        <v>140</v>
      </c>
      <c r="L435" s="81">
        <f t="shared" si="188"/>
        <v>177.46401539999999</v>
      </c>
      <c r="M435" s="82">
        <f t="shared" si="183"/>
        <v>0</v>
      </c>
      <c r="N435" s="82">
        <f t="shared" si="184"/>
        <v>0</v>
      </c>
      <c r="O435" s="82">
        <f>N435+'BM 003'!O435</f>
        <v>0</v>
      </c>
      <c r="P435" s="80">
        <f t="shared" si="185"/>
        <v>7280</v>
      </c>
      <c r="Q435" s="82">
        <f t="shared" si="186"/>
        <v>9228.1200000000008</v>
      </c>
      <c r="R435" s="82">
        <f t="shared" si="187"/>
        <v>9228.1200000000008</v>
      </c>
    </row>
    <row r="436" spans="2:18" s="34" customFormat="1" ht="34.799999999999997">
      <c r="B436" s="75" t="s">
        <v>859</v>
      </c>
      <c r="C436" s="76" t="s">
        <v>860</v>
      </c>
      <c r="D436" s="77" t="s">
        <v>131</v>
      </c>
      <c r="E436" s="93">
        <v>68</v>
      </c>
      <c r="F436" s="79"/>
      <c r="G436" s="79"/>
      <c r="H436" s="79"/>
      <c r="I436" s="79">
        <f>SUM(G436:H436)+'BM 003'!I436</f>
        <v>0</v>
      </c>
      <c r="J436" s="79">
        <f t="shared" si="189"/>
        <v>68</v>
      </c>
      <c r="K436" s="80">
        <v>80</v>
      </c>
      <c r="L436" s="81">
        <f t="shared" si="188"/>
        <v>101.4080088</v>
      </c>
      <c r="M436" s="82">
        <f t="shared" si="183"/>
        <v>0</v>
      </c>
      <c r="N436" s="82">
        <f t="shared" si="184"/>
        <v>0</v>
      </c>
      <c r="O436" s="82">
        <f>N436+'BM 003'!O436</f>
        <v>0</v>
      </c>
      <c r="P436" s="80">
        <f t="shared" si="185"/>
        <v>5440</v>
      </c>
      <c r="Q436" s="82">
        <f t="shared" si="186"/>
        <v>6895.74</v>
      </c>
      <c r="R436" s="82">
        <f t="shared" si="187"/>
        <v>6895.74</v>
      </c>
    </row>
    <row r="437" spans="2:18" s="34" customFormat="1" ht="23.4">
      <c r="B437" s="75" t="s">
        <v>861</v>
      </c>
      <c r="C437" s="76" t="s">
        <v>862</v>
      </c>
      <c r="D437" s="77" t="s">
        <v>131</v>
      </c>
      <c r="E437" s="93">
        <v>10</v>
      </c>
      <c r="F437" s="79"/>
      <c r="G437" s="79"/>
      <c r="H437" s="79"/>
      <c r="I437" s="79">
        <f>SUM(G437:H437)+'BM 003'!I437</f>
        <v>0</v>
      </c>
      <c r="J437" s="79">
        <f t="shared" si="189"/>
        <v>10</v>
      </c>
      <c r="K437" s="80">
        <v>18.14</v>
      </c>
      <c r="L437" s="81">
        <f t="shared" si="188"/>
        <v>22.994265995400003</v>
      </c>
      <c r="M437" s="82">
        <f t="shared" si="183"/>
        <v>0</v>
      </c>
      <c r="N437" s="82">
        <f t="shared" si="184"/>
        <v>0</v>
      </c>
      <c r="O437" s="82">
        <f>N437+'BM 003'!O437</f>
        <v>0</v>
      </c>
      <c r="P437" s="80">
        <f t="shared" si="185"/>
        <v>181.4</v>
      </c>
      <c r="Q437" s="82">
        <f t="shared" si="186"/>
        <v>229.94</v>
      </c>
      <c r="R437" s="82">
        <f t="shared" si="187"/>
        <v>229.94</v>
      </c>
    </row>
    <row r="438" spans="2:18" s="34" customFormat="1" ht="23.4">
      <c r="B438" s="75" t="s">
        <v>863</v>
      </c>
      <c r="C438" s="76" t="s">
        <v>864</v>
      </c>
      <c r="D438" s="77" t="s">
        <v>131</v>
      </c>
      <c r="E438" s="93">
        <v>54</v>
      </c>
      <c r="F438" s="79"/>
      <c r="G438" s="79"/>
      <c r="H438" s="79"/>
      <c r="I438" s="79">
        <f>SUM(G438:H438)+'BM 003'!I438</f>
        <v>0</v>
      </c>
      <c r="J438" s="79">
        <f t="shared" si="189"/>
        <v>54</v>
      </c>
      <c r="K438" s="80">
        <v>21.55</v>
      </c>
      <c r="L438" s="81">
        <f t="shared" si="188"/>
        <v>27.316782370500004</v>
      </c>
      <c r="M438" s="82">
        <f t="shared" si="183"/>
        <v>0</v>
      </c>
      <c r="N438" s="82">
        <f t="shared" si="184"/>
        <v>0</v>
      </c>
      <c r="O438" s="82">
        <f>N438+'BM 003'!O438</f>
        <v>0</v>
      </c>
      <c r="P438" s="80">
        <f t="shared" si="185"/>
        <v>1163.7</v>
      </c>
      <c r="Q438" s="82">
        <f t="shared" si="186"/>
        <v>1475.1</v>
      </c>
      <c r="R438" s="82">
        <f t="shared" si="187"/>
        <v>1475.1</v>
      </c>
    </row>
    <row r="439" spans="2:18" s="34" customFormat="1" ht="23.4">
      <c r="B439" s="75" t="s">
        <v>865</v>
      </c>
      <c r="C439" s="76" t="s">
        <v>866</v>
      </c>
      <c r="D439" s="77" t="s">
        <v>131</v>
      </c>
      <c r="E439" s="93">
        <v>7</v>
      </c>
      <c r="F439" s="79"/>
      <c r="G439" s="79"/>
      <c r="H439" s="79"/>
      <c r="I439" s="79">
        <f>SUM(G439:H439)+'BM 003'!I439</f>
        <v>0</v>
      </c>
      <c r="J439" s="79">
        <f t="shared" si="189"/>
        <v>7</v>
      </c>
      <c r="K439" s="80">
        <v>22.95</v>
      </c>
      <c r="L439" s="81">
        <f t="shared" si="188"/>
        <v>29.0914225245</v>
      </c>
      <c r="M439" s="82">
        <f t="shared" ref="M439:M470" si="190">TRUNC(F439*L439,2)</f>
        <v>0</v>
      </c>
      <c r="N439" s="82">
        <f t="shared" ref="N439:N473" si="191">TRUNC(G439*L439,2)</f>
        <v>0</v>
      </c>
      <c r="O439" s="82">
        <f>N439+'BM 003'!O439</f>
        <v>0</v>
      </c>
      <c r="P439" s="80">
        <f t="shared" ref="P439:P464" si="192">E439*K439</f>
        <v>160.65</v>
      </c>
      <c r="Q439" s="82">
        <f t="shared" ref="Q439:Q473" si="193">TRUNC(E439*L439,2)</f>
        <v>203.63</v>
      </c>
      <c r="R439" s="82">
        <f t="shared" ref="R439:R470" si="194">Q439-O439</f>
        <v>203.63</v>
      </c>
    </row>
    <row r="440" spans="2:18" s="34" customFormat="1" ht="23.4">
      <c r="B440" s="75" t="s">
        <v>867</v>
      </c>
      <c r="C440" s="76" t="s">
        <v>868</v>
      </c>
      <c r="D440" s="77" t="s">
        <v>131</v>
      </c>
      <c r="E440" s="93">
        <v>48</v>
      </c>
      <c r="F440" s="79"/>
      <c r="G440" s="79"/>
      <c r="H440" s="79"/>
      <c r="I440" s="79">
        <f>SUM(G440:H440)+'BM 003'!I440</f>
        <v>0</v>
      </c>
      <c r="J440" s="79">
        <f t="shared" si="189"/>
        <v>48</v>
      </c>
      <c r="K440" s="80">
        <v>49</v>
      </c>
      <c r="L440" s="81">
        <f t="shared" si="188"/>
        <v>62.112405390000006</v>
      </c>
      <c r="M440" s="82">
        <f t="shared" si="190"/>
        <v>0</v>
      </c>
      <c r="N440" s="82">
        <f t="shared" si="191"/>
        <v>0</v>
      </c>
      <c r="O440" s="82">
        <f>N440+'BM 003'!O440</f>
        <v>0</v>
      </c>
      <c r="P440" s="80">
        <f t="shared" si="192"/>
        <v>2352</v>
      </c>
      <c r="Q440" s="82">
        <f t="shared" si="193"/>
        <v>2981.39</v>
      </c>
      <c r="R440" s="82">
        <f t="shared" si="194"/>
        <v>2981.39</v>
      </c>
    </row>
    <row r="441" spans="2:18" s="34" customFormat="1" ht="23.4">
      <c r="B441" s="75" t="s">
        <v>869</v>
      </c>
      <c r="C441" s="76" t="s">
        <v>870</v>
      </c>
      <c r="D441" s="77" t="s">
        <v>131</v>
      </c>
      <c r="E441" s="93">
        <v>1</v>
      </c>
      <c r="F441" s="79"/>
      <c r="G441" s="79"/>
      <c r="H441" s="79"/>
      <c r="I441" s="79">
        <f>SUM(G441:H441)+'BM 003'!I441</f>
        <v>0</v>
      </c>
      <c r="J441" s="79">
        <f t="shared" si="189"/>
        <v>1</v>
      </c>
      <c r="K441" s="80">
        <v>37.4</v>
      </c>
      <c r="L441" s="81">
        <f t="shared" si="188"/>
        <v>47.408244113999999</v>
      </c>
      <c r="M441" s="82">
        <f t="shared" si="190"/>
        <v>0</v>
      </c>
      <c r="N441" s="82">
        <f t="shared" si="191"/>
        <v>0</v>
      </c>
      <c r="O441" s="82">
        <f>N441+'BM 003'!O441</f>
        <v>0</v>
      </c>
      <c r="P441" s="80">
        <f t="shared" si="192"/>
        <v>37.4</v>
      </c>
      <c r="Q441" s="82">
        <f t="shared" si="193"/>
        <v>47.4</v>
      </c>
      <c r="R441" s="82">
        <f t="shared" si="194"/>
        <v>47.4</v>
      </c>
    </row>
    <row r="442" spans="2:18" s="34" customFormat="1" ht="23.4">
      <c r="B442" s="75" t="s">
        <v>871</v>
      </c>
      <c r="C442" s="76" t="s">
        <v>872</v>
      </c>
      <c r="D442" s="77" t="s">
        <v>131</v>
      </c>
      <c r="E442" s="93">
        <v>2</v>
      </c>
      <c r="F442" s="79"/>
      <c r="G442" s="79"/>
      <c r="H442" s="79"/>
      <c r="I442" s="79">
        <f>SUM(G442:H442)+'BM 003'!I442</f>
        <v>0</v>
      </c>
      <c r="J442" s="79">
        <f t="shared" si="189"/>
        <v>2</v>
      </c>
      <c r="K442" s="80">
        <v>78.239999999999995</v>
      </c>
      <c r="L442" s="81">
        <f t="shared" si="188"/>
        <v>99.177032606400005</v>
      </c>
      <c r="M442" s="82">
        <f t="shared" si="190"/>
        <v>0</v>
      </c>
      <c r="N442" s="82">
        <f t="shared" si="191"/>
        <v>0</v>
      </c>
      <c r="O442" s="82">
        <f>N442+'BM 003'!O442</f>
        <v>0</v>
      </c>
      <c r="P442" s="80">
        <f t="shared" si="192"/>
        <v>156.47999999999999</v>
      </c>
      <c r="Q442" s="82">
        <f t="shared" si="193"/>
        <v>198.35</v>
      </c>
      <c r="R442" s="82">
        <f t="shared" si="194"/>
        <v>198.35</v>
      </c>
    </row>
    <row r="443" spans="2:18" s="34" customFormat="1" ht="23.4">
      <c r="B443" s="75" t="s">
        <v>873</v>
      </c>
      <c r="C443" s="76" t="s">
        <v>874</v>
      </c>
      <c r="D443" s="77" t="s">
        <v>131</v>
      </c>
      <c r="E443" s="93">
        <v>1</v>
      </c>
      <c r="F443" s="79"/>
      <c r="G443" s="79"/>
      <c r="H443" s="79"/>
      <c r="I443" s="79">
        <f>SUM(G443:H443)+'BM 003'!I443</f>
        <v>0</v>
      </c>
      <c r="J443" s="79">
        <f t="shared" si="189"/>
        <v>1</v>
      </c>
      <c r="K443" s="80">
        <v>155</v>
      </c>
      <c r="L443" s="81">
        <f t="shared" si="188"/>
        <v>196.47801705000001</v>
      </c>
      <c r="M443" s="82">
        <f t="shared" si="190"/>
        <v>0</v>
      </c>
      <c r="N443" s="82">
        <f t="shared" si="191"/>
        <v>0</v>
      </c>
      <c r="O443" s="82">
        <f>N443+'BM 003'!O443</f>
        <v>0</v>
      </c>
      <c r="P443" s="80">
        <f t="shared" si="192"/>
        <v>155</v>
      </c>
      <c r="Q443" s="82">
        <f t="shared" si="193"/>
        <v>196.47</v>
      </c>
      <c r="R443" s="82">
        <f t="shared" si="194"/>
        <v>196.47</v>
      </c>
    </row>
    <row r="444" spans="2:18" s="34" customFormat="1" ht="23.4">
      <c r="B444" s="75" t="s">
        <v>875</v>
      </c>
      <c r="C444" s="76" t="s">
        <v>876</v>
      </c>
      <c r="D444" s="77" t="s">
        <v>131</v>
      </c>
      <c r="E444" s="93">
        <v>17</v>
      </c>
      <c r="F444" s="79"/>
      <c r="G444" s="79"/>
      <c r="H444" s="79"/>
      <c r="I444" s="79">
        <f>SUM(G444:H444)+'BM 003'!I444</f>
        <v>0</v>
      </c>
      <c r="J444" s="79">
        <f t="shared" si="189"/>
        <v>17</v>
      </c>
      <c r="K444" s="80">
        <v>8.85</v>
      </c>
      <c r="L444" s="81">
        <f t="shared" si="188"/>
        <v>11.2182609735</v>
      </c>
      <c r="M444" s="82">
        <f t="shared" si="190"/>
        <v>0</v>
      </c>
      <c r="N444" s="82">
        <f t="shared" si="191"/>
        <v>0</v>
      </c>
      <c r="O444" s="82">
        <f>N444+'BM 003'!O444</f>
        <v>0</v>
      </c>
      <c r="P444" s="80">
        <f t="shared" si="192"/>
        <v>150.44999999999999</v>
      </c>
      <c r="Q444" s="82">
        <f t="shared" si="193"/>
        <v>190.71</v>
      </c>
      <c r="R444" s="82">
        <f t="shared" si="194"/>
        <v>190.71</v>
      </c>
    </row>
    <row r="445" spans="2:18" s="34" customFormat="1" ht="34.799999999999997">
      <c r="B445" s="75" t="s">
        <v>877</v>
      </c>
      <c r="C445" s="76" t="s">
        <v>878</v>
      </c>
      <c r="D445" s="77" t="s">
        <v>131</v>
      </c>
      <c r="E445" s="93">
        <v>3</v>
      </c>
      <c r="F445" s="79"/>
      <c r="G445" s="79"/>
      <c r="H445" s="79"/>
      <c r="I445" s="79">
        <f>SUM(G445:H445)+'BM 003'!I445</f>
        <v>0</v>
      </c>
      <c r="J445" s="79">
        <f t="shared" si="189"/>
        <v>3</v>
      </c>
      <c r="K445" s="80">
        <v>7.63</v>
      </c>
      <c r="L445" s="81">
        <f t="shared" si="188"/>
        <v>9.6717888392999996</v>
      </c>
      <c r="M445" s="82">
        <f t="shared" si="190"/>
        <v>0</v>
      </c>
      <c r="N445" s="82">
        <f t="shared" si="191"/>
        <v>0</v>
      </c>
      <c r="O445" s="82">
        <f>N445+'BM 003'!O445</f>
        <v>0</v>
      </c>
      <c r="P445" s="80">
        <f t="shared" si="192"/>
        <v>22.89</v>
      </c>
      <c r="Q445" s="82">
        <f t="shared" si="193"/>
        <v>29.01</v>
      </c>
      <c r="R445" s="82">
        <f t="shared" si="194"/>
        <v>29.01</v>
      </c>
    </row>
    <row r="446" spans="2:18" s="34" customFormat="1" ht="23.4">
      <c r="B446" s="75" t="s">
        <v>879</v>
      </c>
      <c r="C446" s="88" t="s">
        <v>711</v>
      </c>
      <c r="D446" s="89" t="s">
        <v>131</v>
      </c>
      <c r="E446" s="90">
        <v>82</v>
      </c>
      <c r="F446" s="91"/>
      <c r="G446" s="91"/>
      <c r="H446" s="91"/>
      <c r="I446" s="91">
        <f>SUM(G446:H446)+'BM 003'!I446</f>
        <v>0</v>
      </c>
      <c r="J446" s="91">
        <f t="shared" si="189"/>
        <v>82</v>
      </c>
      <c r="K446" s="80">
        <v>14.54</v>
      </c>
      <c r="L446" s="81">
        <f t="shared" si="188"/>
        <v>18.430905599399999</v>
      </c>
      <c r="M446" s="82">
        <f t="shared" si="190"/>
        <v>0</v>
      </c>
      <c r="N446" s="82">
        <f t="shared" si="191"/>
        <v>0</v>
      </c>
      <c r="O446" s="82">
        <f>N446+'BM 003'!O446</f>
        <v>0</v>
      </c>
      <c r="P446" s="80">
        <f t="shared" si="192"/>
        <v>1192.28</v>
      </c>
      <c r="Q446" s="82">
        <f t="shared" si="193"/>
        <v>1511.33</v>
      </c>
      <c r="R446" s="82">
        <f t="shared" si="194"/>
        <v>1511.33</v>
      </c>
    </row>
    <row r="447" spans="2:18" s="34" customFormat="1" ht="23.4">
      <c r="B447" s="75" t="s">
        <v>880</v>
      </c>
      <c r="C447" s="76" t="s">
        <v>881</v>
      </c>
      <c r="D447" s="77" t="s">
        <v>131</v>
      </c>
      <c r="E447" s="93">
        <v>5</v>
      </c>
      <c r="F447" s="79"/>
      <c r="G447" s="79"/>
      <c r="H447" s="79"/>
      <c r="I447" s="79">
        <f>SUM(G447:H447)+'BM 003'!I447</f>
        <v>0</v>
      </c>
      <c r="J447" s="79">
        <f t="shared" si="189"/>
        <v>5</v>
      </c>
      <c r="K447" s="80">
        <v>19.91</v>
      </c>
      <c r="L447" s="81">
        <f t="shared" si="188"/>
        <v>25.2379181901</v>
      </c>
      <c r="M447" s="82">
        <f t="shared" si="190"/>
        <v>0</v>
      </c>
      <c r="N447" s="82">
        <f t="shared" si="191"/>
        <v>0</v>
      </c>
      <c r="O447" s="82">
        <f>N447+'BM 003'!O447</f>
        <v>0</v>
      </c>
      <c r="P447" s="80">
        <f t="shared" si="192"/>
        <v>99.55</v>
      </c>
      <c r="Q447" s="82">
        <f t="shared" si="193"/>
        <v>126.18</v>
      </c>
      <c r="R447" s="82">
        <f t="shared" si="194"/>
        <v>126.18</v>
      </c>
    </row>
    <row r="448" spans="2:18" s="34" customFormat="1" ht="23.4">
      <c r="B448" s="75" t="s">
        <v>882</v>
      </c>
      <c r="C448" s="76" t="s">
        <v>883</v>
      </c>
      <c r="D448" s="77" t="s">
        <v>131</v>
      </c>
      <c r="E448" s="93">
        <v>1</v>
      </c>
      <c r="F448" s="79"/>
      <c r="G448" s="79"/>
      <c r="H448" s="79"/>
      <c r="I448" s="79">
        <f>SUM(G448:H448)+'BM 003'!I448</f>
        <v>0</v>
      </c>
      <c r="J448" s="79">
        <f t="shared" si="189"/>
        <v>1</v>
      </c>
      <c r="K448" s="80">
        <v>25.24</v>
      </c>
      <c r="L448" s="81">
        <f t="shared" si="188"/>
        <v>31.994226776399998</v>
      </c>
      <c r="M448" s="82">
        <f t="shared" si="190"/>
        <v>0</v>
      </c>
      <c r="N448" s="82">
        <f t="shared" si="191"/>
        <v>0</v>
      </c>
      <c r="O448" s="82">
        <f>N448+'BM 003'!O448</f>
        <v>0</v>
      </c>
      <c r="P448" s="80">
        <f t="shared" si="192"/>
        <v>25.24</v>
      </c>
      <c r="Q448" s="82">
        <f t="shared" si="193"/>
        <v>31.99</v>
      </c>
      <c r="R448" s="82">
        <f t="shared" si="194"/>
        <v>31.99</v>
      </c>
    </row>
    <row r="449" spans="2:18" s="34" customFormat="1" ht="46.2">
      <c r="B449" s="75" t="s">
        <v>884</v>
      </c>
      <c r="C449" s="76" t="s">
        <v>885</v>
      </c>
      <c r="D449" s="77" t="s">
        <v>131</v>
      </c>
      <c r="E449" s="93">
        <v>79</v>
      </c>
      <c r="F449" s="79"/>
      <c r="G449" s="79"/>
      <c r="H449" s="79"/>
      <c r="I449" s="79">
        <f>SUM(G449:H449)+'BM 003'!I449</f>
        <v>0</v>
      </c>
      <c r="J449" s="79">
        <f t="shared" si="189"/>
        <v>79</v>
      </c>
      <c r="K449" s="80">
        <v>13.15</v>
      </c>
      <c r="L449" s="81">
        <f t="shared" si="188"/>
        <v>16.6689414465</v>
      </c>
      <c r="M449" s="82">
        <f t="shared" si="190"/>
        <v>0</v>
      </c>
      <c r="N449" s="82">
        <f t="shared" si="191"/>
        <v>0</v>
      </c>
      <c r="O449" s="82">
        <f>N449+'BM 003'!O449</f>
        <v>0</v>
      </c>
      <c r="P449" s="80">
        <f t="shared" si="192"/>
        <v>1038.8500000000001</v>
      </c>
      <c r="Q449" s="82">
        <f t="shared" si="193"/>
        <v>1316.84</v>
      </c>
      <c r="R449" s="82">
        <f t="shared" si="194"/>
        <v>1316.84</v>
      </c>
    </row>
    <row r="450" spans="2:18" s="34" customFormat="1" ht="23.4">
      <c r="B450" s="75" t="s">
        <v>886</v>
      </c>
      <c r="C450" s="76" t="s">
        <v>757</v>
      </c>
      <c r="D450" s="77" t="s">
        <v>131</v>
      </c>
      <c r="E450" s="93">
        <v>1</v>
      </c>
      <c r="F450" s="79"/>
      <c r="G450" s="79"/>
      <c r="H450" s="79"/>
      <c r="I450" s="79">
        <f>SUM(G450:H450)+'BM 003'!I450</f>
        <v>0</v>
      </c>
      <c r="J450" s="79">
        <f t="shared" si="189"/>
        <v>1</v>
      </c>
      <c r="K450" s="80">
        <v>12.35</v>
      </c>
      <c r="L450" s="81">
        <f t="shared" si="188"/>
        <v>15.6548613585</v>
      </c>
      <c r="M450" s="82">
        <f t="shared" si="190"/>
        <v>0</v>
      </c>
      <c r="N450" s="82">
        <f t="shared" si="191"/>
        <v>0</v>
      </c>
      <c r="O450" s="82">
        <f>N450+'BM 003'!O450</f>
        <v>0</v>
      </c>
      <c r="P450" s="80">
        <f t="shared" si="192"/>
        <v>12.35</v>
      </c>
      <c r="Q450" s="82">
        <f t="shared" si="193"/>
        <v>15.65</v>
      </c>
      <c r="R450" s="82">
        <f t="shared" si="194"/>
        <v>15.65</v>
      </c>
    </row>
    <row r="451" spans="2:18" s="34" customFormat="1" ht="23.4">
      <c r="B451" s="75" t="s">
        <v>887</v>
      </c>
      <c r="C451" s="76" t="s">
        <v>761</v>
      </c>
      <c r="D451" s="77" t="s">
        <v>131</v>
      </c>
      <c r="E451" s="93">
        <v>3</v>
      </c>
      <c r="F451" s="79"/>
      <c r="G451" s="79"/>
      <c r="H451" s="79"/>
      <c r="I451" s="79">
        <f>SUM(G451:H451)+'BM 003'!I451</f>
        <v>0</v>
      </c>
      <c r="J451" s="79">
        <f t="shared" si="189"/>
        <v>3</v>
      </c>
      <c r="K451" s="80">
        <v>18.5</v>
      </c>
      <c r="L451" s="81">
        <f t="shared" si="188"/>
        <v>23.450602035000003</v>
      </c>
      <c r="M451" s="82">
        <f t="shared" si="190"/>
        <v>0</v>
      </c>
      <c r="N451" s="82">
        <f t="shared" si="191"/>
        <v>0</v>
      </c>
      <c r="O451" s="82">
        <f>N451+'BM 003'!O451</f>
        <v>0</v>
      </c>
      <c r="P451" s="80">
        <f t="shared" si="192"/>
        <v>55.5</v>
      </c>
      <c r="Q451" s="82">
        <f t="shared" si="193"/>
        <v>70.349999999999994</v>
      </c>
      <c r="R451" s="82">
        <f t="shared" si="194"/>
        <v>70.349999999999994</v>
      </c>
    </row>
    <row r="452" spans="2:18" s="34" customFormat="1" ht="23.4">
      <c r="B452" s="75" t="s">
        <v>888</v>
      </c>
      <c r="C452" s="76" t="s">
        <v>771</v>
      </c>
      <c r="D452" s="77" t="s">
        <v>131</v>
      </c>
      <c r="E452" s="93">
        <v>77</v>
      </c>
      <c r="F452" s="79"/>
      <c r="G452" s="79"/>
      <c r="H452" s="79"/>
      <c r="I452" s="79">
        <f>SUM(G452:H452)+'BM 003'!I452</f>
        <v>0</v>
      </c>
      <c r="J452" s="79">
        <f t="shared" si="189"/>
        <v>77</v>
      </c>
      <c r="K452" s="80">
        <v>6.59</v>
      </c>
      <c r="L452" s="81">
        <f t="shared" si="188"/>
        <v>8.3534847248999995</v>
      </c>
      <c r="M452" s="82">
        <f t="shared" si="190"/>
        <v>0</v>
      </c>
      <c r="N452" s="82">
        <f t="shared" si="191"/>
        <v>0</v>
      </c>
      <c r="O452" s="82">
        <f>N452+'BM 003'!O452</f>
        <v>0</v>
      </c>
      <c r="P452" s="80">
        <f t="shared" si="192"/>
        <v>507.43</v>
      </c>
      <c r="Q452" s="82">
        <f t="shared" si="193"/>
        <v>643.21</v>
      </c>
      <c r="R452" s="82">
        <f t="shared" si="194"/>
        <v>643.21</v>
      </c>
    </row>
    <row r="453" spans="2:18" s="34" customFormat="1" ht="23.4">
      <c r="B453" s="75" t="s">
        <v>889</v>
      </c>
      <c r="C453" s="76" t="s">
        <v>773</v>
      </c>
      <c r="D453" s="77" t="s">
        <v>131</v>
      </c>
      <c r="E453" s="93">
        <v>3</v>
      </c>
      <c r="F453" s="79"/>
      <c r="G453" s="79"/>
      <c r="H453" s="79"/>
      <c r="I453" s="79">
        <f>SUM(G453:H453)+'BM 003'!I453</f>
        <v>0</v>
      </c>
      <c r="J453" s="79">
        <f t="shared" si="189"/>
        <v>3</v>
      </c>
      <c r="K453" s="80">
        <v>22.07</v>
      </c>
      <c r="L453" s="81">
        <f t="shared" si="188"/>
        <v>27.9759344277</v>
      </c>
      <c r="M453" s="82">
        <f t="shared" si="190"/>
        <v>0</v>
      </c>
      <c r="N453" s="82">
        <f t="shared" si="191"/>
        <v>0</v>
      </c>
      <c r="O453" s="82">
        <f>N453+'BM 003'!O453</f>
        <v>0</v>
      </c>
      <c r="P453" s="80">
        <f t="shared" si="192"/>
        <v>66.210000000000008</v>
      </c>
      <c r="Q453" s="82">
        <f t="shared" si="193"/>
        <v>83.92</v>
      </c>
      <c r="R453" s="82">
        <f t="shared" si="194"/>
        <v>83.92</v>
      </c>
    </row>
    <row r="454" spans="2:18" s="34" customFormat="1" ht="23.4">
      <c r="B454" s="75" t="s">
        <v>890</v>
      </c>
      <c r="C454" s="88" t="s">
        <v>711</v>
      </c>
      <c r="D454" s="89" t="s">
        <v>131</v>
      </c>
      <c r="E454" s="90">
        <v>14</v>
      </c>
      <c r="F454" s="91"/>
      <c r="G454" s="91"/>
      <c r="H454" s="91"/>
      <c r="I454" s="91">
        <f>SUM(G454:H454)+'BM 003'!I454</f>
        <v>0</v>
      </c>
      <c r="J454" s="91">
        <f t="shared" si="189"/>
        <v>14</v>
      </c>
      <c r="K454" s="80">
        <v>14.54</v>
      </c>
      <c r="L454" s="81">
        <f t="shared" si="188"/>
        <v>18.430905599399999</v>
      </c>
      <c r="M454" s="82">
        <f t="shared" si="190"/>
        <v>0</v>
      </c>
      <c r="N454" s="82">
        <f t="shared" si="191"/>
        <v>0</v>
      </c>
      <c r="O454" s="82">
        <f>N454+'BM 003'!O454</f>
        <v>0</v>
      </c>
      <c r="P454" s="80">
        <f t="shared" si="192"/>
        <v>203.56</v>
      </c>
      <c r="Q454" s="82">
        <f t="shared" si="193"/>
        <v>258.02999999999997</v>
      </c>
      <c r="R454" s="82">
        <f t="shared" si="194"/>
        <v>258.02999999999997</v>
      </c>
    </row>
    <row r="455" spans="2:18" s="34" customFormat="1" ht="46.2">
      <c r="B455" s="75" t="s">
        <v>891</v>
      </c>
      <c r="C455" s="76" t="s">
        <v>892</v>
      </c>
      <c r="D455" s="77" t="s">
        <v>131</v>
      </c>
      <c r="E455" s="93">
        <v>91</v>
      </c>
      <c r="F455" s="79"/>
      <c r="G455" s="79"/>
      <c r="H455" s="79"/>
      <c r="I455" s="79">
        <f>SUM(G455:H455)+'BM 003'!I455</f>
        <v>0</v>
      </c>
      <c r="J455" s="79">
        <f t="shared" si="189"/>
        <v>91</v>
      </c>
      <c r="K455" s="80">
        <v>22.83</v>
      </c>
      <c r="L455" s="81">
        <f t="shared" si="188"/>
        <v>28.9393105113</v>
      </c>
      <c r="M455" s="82">
        <f t="shared" si="190"/>
        <v>0</v>
      </c>
      <c r="N455" s="82">
        <f t="shared" si="191"/>
        <v>0</v>
      </c>
      <c r="O455" s="82">
        <f>N455+'BM 003'!O455</f>
        <v>0</v>
      </c>
      <c r="P455" s="80">
        <f t="shared" si="192"/>
        <v>2077.5299999999997</v>
      </c>
      <c r="Q455" s="82">
        <f t="shared" si="193"/>
        <v>2633.47</v>
      </c>
      <c r="R455" s="82">
        <f t="shared" si="194"/>
        <v>2633.47</v>
      </c>
    </row>
    <row r="456" spans="2:18" s="34" customFormat="1" ht="46.2">
      <c r="B456" s="75" t="s">
        <v>893</v>
      </c>
      <c r="C456" s="76" t="s">
        <v>894</v>
      </c>
      <c r="D456" s="77" t="s">
        <v>131</v>
      </c>
      <c r="E456" s="93">
        <v>26</v>
      </c>
      <c r="F456" s="79"/>
      <c r="G456" s="79"/>
      <c r="H456" s="79"/>
      <c r="I456" s="79">
        <f>SUM(G456:H456)+'BM 003'!I456</f>
        <v>0</v>
      </c>
      <c r="J456" s="79">
        <f t="shared" si="189"/>
        <v>26</v>
      </c>
      <c r="K456" s="80">
        <v>42.22</v>
      </c>
      <c r="L456" s="81">
        <f t="shared" si="188"/>
        <v>53.518076644200001</v>
      </c>
      <c r="M456" s="82">
        <f t="shared" si="190"/>
        <v>0</v>
      </c>
      <c r="N456" s="82">
        <f t="shared" si="191"/>
        <v>0</v>
      </c>
      <c r="O456" s="82">
        <f>N456+'BM 003'!O456</f>
        <v>0</v>
      </c>
      <c r="P456" s="80">
        <f t="shared" si="192"/>
        <v>1097.72</v>
      </c>
      <c r="Q456" s="82">
        <f t="shared" si="193"/>
        <v>1391.46</v>
      </c>
      <c r="R456" s="82">
        <f t="shared" si="194"/>
        <v>1391.46</v>
      </c>
    </row>
    <row r="457" spans="2:18" s="34" customFormat="1" ht="23.4">
      <c r="B457" s="75" t="s">
        <v>895</v>
      </c>
      <c r="C457" s="76" t="s">
        <v>896</v>
      </c>
      <c r="D457" s="77" t="s">
        <v>131</v>
      </c>
      <c r="E457" s="93">
        <v>46</v>
      </c>
      <c r="F457" s="79"/>
      <c r="G457" s="79"/>
      <c r="H457" s="79"/>
      <c r="I457" s="79">
        <f>SUM(G457:H457)+'BM 003'!I457</f>
        <v>0</v>
      </c>
      <c r="J457" s="79">
        <f t="shared" si="189"/>
        <v>46</v>
      </c>
      <c r="K457" s="80">
        <v>110</v>
      </c>
      <c r="L457" s="81">
        <f t="shared" si="188"/>
        <v>139.4360121</v>
      </c>
      <c r="M457" s="82">
        <f t="shared" si="190"/>
        <v>0</v>
      </c>
      <c r="N457" s="82">
        <f t="shared" si="191"/>
        <v>0</v>
      </c>
      <c r="O457" s="82">
        <f>N457+'BM 003'!O457</f>
        <v>0</v>
      </c>
      <c r="P457" s="80">
        <f t="shared" si="192"/>
        <v>5060</v>
      </c>
      <c r="Q457" s="82">
        <f t="shared" si="193"/>
        <v>6414.05</v>
      </c>
      <c r="R457" s="82">
        <f t="shared" si="194"/>
        <v>6414.05</v>
      </c>
    </row>
    <row r="458" spans="2:18" s="34" customFormat="1" ht="34.799999999999997">
      <c r="B458" s="75" t="s">
        <v>897</v>
      </c>
      <c r="C458" s="76" t="s">
        <v>898</v>
      </c>
      <c r="D458" s="77" t="s">
        <v>131</v>
      </c>
      <c r="E458" s="93">
        <v>11</v>
      </c>
      <c r="F458" s="79"/>
      <c r="G458" s="79"/>
      <c r="H458" s="79"/>
      <c r="I458" s="79">
        <f>SUM(G458:H458)+'BM 003'!I458</f>
        <v>0</v>
      </c>
      <c r="J458" s="79">
        <f t="shared" si="189"/>
        <v>11</v>
      </c>
      <c r="K458" s="80">
        <v>35.5</v>
      </c>
      <c r="L458" s="81">
        <f t="shared" si="188"/>
        <v>44.999803905</v>
      </c>
      <c r="M458" s="82">
        <f t="shared" si="190"/>
        <v>0</v>
      </c>
      <c r="N458" s="82">
        <f t="shared" si="191"/>
        <v>0</v>
      </c>
      <c r="O458" s="82">
        <f>N458+'BM 003'!O458</f>
        <v>0</v>
      </c>
      <c r="P458" s="80">
        <f t="shared" si="192"/>
        <v>390.5</v>
      </c>
      <c r="Q458" s="82">
        <f t="shared" si="193"/>
        <v>494.99</v>
      </c>
      <c r="R458" s="82">
        <f t="shared" si="194"/>
        <v>494.99</v>
      </c>
    </row>
    <row r="459" spans="2:18" s="34" customFormat="1" ht="46.2">
      <c r="B459" s="75" t="s">
        <v>899</v>
      </c>
      <c r="C459" s="76" t="s">
        <v>900</v>
      </c>
      <c r="D459" s="77" t="s">
        <v>131</v>
      </c>
      <c r="E459" s="93">
        <v>12</v>
      </c>
      <c r="F459" s="79"/>
      <c r="G459" s="79"/>
      <c r="H459" s="79"/>
      <c r="I459" s="79">
        <f>SUM(G459:H459)+'BM 003'!I459</f>
        <v>0</v>
      </c>
      <c r="J459" s="79">
        <f t="shared" si="189"/>
        <v>12</v>
      </c>
      <c r="K459" s="80">
        <v>37.299999999999997</v>
      </c>
      <c r="L459" s="81">
        <f t="shared" si="188"/>
        <v>47.281484102999997</v>
      </c>
      <c r="M459" s="82">
        <f t="shared" si="190"/>
        <v>0</v>
      </c>
      <c r="N459" s="82">
        <f t="shared" si="191"/>
        <v>0</v>
      </c>
      <c r="O459" s="82">
        <f>N459+'BM 003'!O459</f>
        <v>0</v>
      </c>
      <c r="P459" s="80">
        <f t="shared" si="192"/>
        <v>447.59999999999997</v>
      </c>
      <c r="Q459" s="82">
        <f t="shared" si="193"/>
        <v>567.37</v>
      </c>
      <c r="R459" s="82">
        <f t="shared" si="194"/>
        <v>567.37</v>
      </c>
    </row>
    <row r="460" spans="2:18" s="34" customFormat="1" ht="46.2">
      <c r="B460" s="75" t="s">
        <v>901</v>
      </c>
      <c r="C460" s="76" t="s">
        <v>902</v>
      </c>
      <c r="D460" s="77" t="s">
        <v>131</v>
      </c>
      <c r="E460" s="93">
        <v>2</v>
      </c>
      <c r="F460" s="79"/>
      <c r="G460" s="79"/>
      <c r="H460" s="79"/>
      <c r="I460" s="79">
        <f>SUM(G460:H460)+'BM 003'!I460</f>
        <v>0</v>
      </c>
      <c r="J460" s="79">
        <f t="shared" si="189"/>
        <v>2</v>
      </c>
      <c r="K460" s="80">
        <v>42.5</v>
      </c>
      <c r="L460" s="81">
        <f t="shared" si="188"/>
        <v>53.873004675000004</v>
      </c>
      <c r="M460" s="82">
        <f t="shared" si="190"/>
        <v>0</v>
      </c>
      <c r="N460" s="82">
        <f t="shared" si="191"/>
        <v>0</v>
      </c>
      <c r="O460" s="82">
        <f>N460+'BM 003'!O460</f>
        <v>0</v>
      </c>
      <c r="P460" s="80">
        <f t="shared" si="192"/>
        <v>85</v>
      </c>
      <c r="Q460" s="82">
        <f t="shared" si="193"/>
        <v>107.74</v>
      </c>
      <c r="R460" s="82">
        <f t="shared" si="194"/>
        <v>107.74</v>
      </c>
    </row>
    <row r="461" spans="2:18" s="34" customFormat="1" ht="23.4">
      <c r="B461" s="75" t="s">
        <v>903</v>
      </c>
      <c r="C461" s="76" t="s">
        <v>904</v>
      </c>
      <c r="D461" s="77" t="s">
        <v>131</v>
      </c>
      <c r="E461" s="93">
        <v>6</v>
      </c>
      <c r="F461" s="79"/>
      <c r="G461" s="79"/>
      <c r="H461" s="79"/>
      <c r="I461" s="79">
        <f>SUM(G461:H461)+'BM 003'!I461</f>
        <v>0</v>
      </c>
      <c r="J461" s="79">
        <f t="shared" si="189"/>
        <v>6</v>
      </c>
      <c r="K461" s="80">
        <v>68</v>
      </c>
      <c r="L461" s="81">
        <f t="shared" si="188"/>
        <v>86.196807480000004</v>
      </c>
      <c r="M461" s="82">
        <f t="shared" si="190"/>
        <v>0</v>
      </c>
      <c r="N461" s="82">
        <f t="shared" si="191"/>
        <v>0</v>
      </c>
      <c r="O461" s="82">
        <f>N461+'BM 003'!O461</f>
        <v>0</v>
      </c>
      <c r="P461" s="80">
        <f t="shared" si="192"/>
        <v>408</v>
      </c>
      <c r="Q461" s="82">
        <f t="shared" si="193"/>
        <v>517.17999999999995</v>
      </c>
      <c r="R461" s="82">
        <f t="shared" si="194"/>
        <v>517.17999999999995</v>
      </c>
    </row>
    <row r="462" spans="2:18" s="34" customFormat="1" ht="46.2">
      <c r="B462" s="75" t="s">
        <v>905</v>
      </c>
      <c r="C462" s="76" t="s">
        <v>906</v>
      </c>
      <c r="D462" s="77" t="s">
        <v>131</v>
      </c>
      <c r="E462" s="93">
        <v>3</v>
      </c>
      <c r="F462" s="79"/>
      <c r="G462" s="79"/>
      <c r="H462" s="79"/>
      <c r="I462" s="79">
        <f>SUM(G462:H462)+'BM 003'!I462</f>
        <v>0</v>
      </c>
      <c r="J462" s="79">
        <f t="shared" si="189"/>
        <v>3</v>
      </c>
      <c r="K462" s="80">
        <v>36.61</v>
      </c>
      <c r="L462" s="81">
        <f t="shared" si="188"/>
        <v>46.406840027100003</v>
      </c>
      <c r="M462" s="82">
        <f t="shared" si="190"/>
        <v>0</v>
      </c>
      <c r="N462" s="82">
        <f t="shared" si="191"/>
        <v>0</v>
      </c>
      <c r="O462" s="82">
        <f>N462+'BM 003'!O462</f>
        <v>0</v>
      </c>
      <c r="P462" s="80">
        <f t="shared" si="192"/>
        <v>109.83</v>
      </c>
      <c r="Q462" s="82">
        <f t="shared" si="193"/>
        <v>139.22</v>
      </c>
      <c r="R462" s="82">
        <f t="shared" si="194"/>
        <v>139.22</v>
      </c>
    </row>
    <row r="463" spans="2:18" s="34" customFormat="1" ht="46.2">
      <c r="B463" s="75" t="s">
        <v>907</v>
      </c>
      <c r="C463" s="76" t="s">
        <v>908</v>
      </c>
      <c r="D463" s="77" t="s">
        <v>131</v>
      </c>
      <c r="E463" s="93">
        <v>3</v>
      </c>
      <c r="F463" s="79"/>
      <c r="G463" s="79"/>
      <c r="H463" s="79"/>
      <c r="I463" s="79">
        <f>SUM(G463:H463)+'BM 003'!I463</f>
        <v>0</v>
      </c>
      <c r="J463" s="79">
        <f t="shared" si="189"/>
        <v>3</v>
      </c>
      <c r="K463" s="82">
        <v>11.81</v>
      </c>
      <c r="L463" s="81">
        <f t="shared" si="188"/>
        <v>14.970357299100002</v>
      </c>
      <c r="M463" s="82">
        <f t="shared" si="190"/>
        <v>0</v>
      </c>
      <c r="N463" s="82">
        <f t="shared" si="191"/>
        <v>0</v>
      </c>
      <c r="O463" s="82">
        <f>N463+'BM 003'!O463</f>
        <v>0</v>
      </c>
      <c r="P463" s="82">
        <f t="shared" si="192"/>
        <v>35.43</v>
      </c>
      <c r="Q463" s="82">
        <f t="shared" si="193"/>
        <v>44.91</v>
      </c>
      <c r="R463" s="82">
        <f t="shared" si="194"/>
        <v>44.91</v>
      </c>
    </row>
    <row r="464" spans="2:18" s="34" customFormat="1" ht="34.799999999999997">
      <c r="B464" s="75" t="s">
        <v>909</v>
      </c>
      <c r="C464" s="76" t="s">
        <v>910</v>
      </c>
      <c r="D464" s="77" t="s">
        <v>131</v>
      </c>
      <c r="E464" s="93">
        <v>72</v>
      </c>
      <c r="F464" s="79"/>
      <c r="G464" s="79"/>
      <c r="H464" s="79"/>
      <c r="I464" s="79">
        <f>SUM(G464:H464)+'BM 003'!I464</f>
        <v>0</v>
      </c>
      <c r="J464" s="79">
        <f t="shared" si="189"/>
        <v>72</v>
      </c>
      <c r="K464" s="82">
        <v>13</v>
      </c>
      <c r="L464" s="81">
        <f t="shared" si="188"/>
        <v>16.478801430000001</v>
      </c>
      <c r="M464" s="82">
        <f t="shared" si="190"/>
        <v>0</v>
      </c>
      <c r="N464" s="82">
        <f t="shared" si="191"/>
        <v>0</v>
      </c>
      <c r="O464" s="82">
        <f>N464+'BM 003'!O464</f>
        <v>0</v>
      </c>
      <c r="P464" s="82">
        <f t="shared" si="192"/>
        <v>936</v>
      </c>
      <c r="Q464" s="82">
        <f t="shared" si="193"/>
        <v>1186.47</v>
      </c>
      <c r="R464" s="82">
        <f t="shared" si="194"/>
        <v>1186.47</v>
      </c>
    </row>
    <row r="465" spans="2:18" s="34" customFormat="1" ht="13.2">
      <c r="B465" s="75" t="s">
        <v>911</v>
      </c>
      <c r="C465" s="76"/>
      <c r="D465" s="77"/>
      <c r="E465" s="93"/>
      <c r="F465" s="79"/>
      <c r="G465" s="79"/>
      <c r="H465" s="79"/>
      <c r="I465" s="79">
        <f>SUM(G465:H465)+'BM 003'!I465</f>
        <v>0</v>
      </c>
      <c r="J465" s="79">
        <f t="shared" si="189"/>
        <v>0</v>
      </c>
      <c r="K465" s="82"/>
      <c r="L465" s="81">
        <f t="shared" si="188"/>
        <v>0</v>
      </c>
      <c r="M465" s="82">
        <f t="shared" si="190"/>
        <v>0</v>
      </c>
      <c r="N465" s="82">
        <f t="shared" si="191"/>
        <v>0</v>
      </c>
      <c r="O465" s="82">
        <f>N465+'BM 003'!O465</f>
        <v>0</v>
      </c>
      <c r="P465" s="82"/>
      <c r="Q465" s="82">
        <f t="shared" si="193"/>
        <v>0</v>
      </c>
      <c r="R465" s="82">
        <f t="shared" si="194"/>
        <v>0</v>
      </c>
    </row>
    <row r="466" spans="2:18" s="34" customFormat="1" ht="34.799999999999997">
      <c r="B466" s="75" t="s">
        <v>912</v>
      </c>
      <c r="C466" s="76" t="s">
        <v>733</v>
      </c>
      <c r="D466" s="77" t="s">
        <v>131</v>
      </c>
      <c r="E466" s="93">
        <v>8</v>
      </c>
      <c r="F466" s="79"/>
      <c r="G466" s="79"/>
      <c r="H466" s="79"/>
      <c r="I466" s="79">
        <f>SUM(G466:H466)+'BM 003'!I466</f>
        <v>0</v>
      </c>
      <c r="J466" s="79">
        <f t="shared" si="189"/>
        <v>8</v>
      </c>
      <c r="K466" s="82">
        <v>3.95</v>
      </c>
      <c r="L466" s="81">
        <f t="shared" si="188"/>
        <v>5.0070204345000002</v>
      </c>
      <c r="M466" s="82">
        <f t="shared" si="190"/>
        <v>0</v>
      </c>
      <c r="N466" s="82">
        <f t="shared" si="191"/>
        <v>0</v>
      </c>
      <c r="O466" s="82">
        <f>N466+'BM 003'!O466</f>
        <v>0</v>
      </c>
      <c r="P466" s="82">
        <f t="shared" ref="P466:P473" si="195">E466*K466</f>
        <v>31.6</v>
      </c>
      <c r="Q466" s="82">
        <f t="shared" si="193"/>
        <v>40.049999999999997</v>
      </c>
      <c r="R466" s="82">
        <f t="shared" si="194"/>
        <v>40.049999999999997</v>
      </c>
    </row>
    <row r="467" spans="2:18" s="34" customFormat="1" ht="34.799999999999997">
      <c r="B467" s="75" t="s">
        <v>913</v>
      </c>
      <c r="C467" s="88" t="s">
        <v>735</v>
      </c>
      <c r="D467" s="89" t="s">
        <v>131</v>
      </c>
      <c r="E467" s="90">
        <v>238</v>
      </c>
      <c r="F467" s="91"/>
      <c r="G467" s="91"/>
      <c r="H467" s="91"/>
      <c r="I467" s="91">
        <f>SUM(G467:H467)+'BM 003'!I467</f>
        <v>0</v>
      </c>
      <c r="J467" s="91">
        <f t="shared" si="189"/>
        <v>238</v>
      </c>
      <c r="K467" s="80">
        <v>4.67</v>
      </c>
      <c r="L467" s="81">
        <f t="shared" si="188"/>
        <v>5.9196925137000003</v>
      </c>
      <c r="M467" s="82">
        <f t="shared" si="190"/>
        <v>0</v>
      </c>
      <c r="N467" s="82">
        <f t="shared" si="191"/>
        <v>0</v>
      </c>
      <c r="O467" s="82">
        <f>N467+'BM 003'!O467</f>
        <v>0</v>
      </c>
      <c r="P467" s="80">
        <f t="shared" si="195"/>
        <v>1111.46</v>
      </c>
      <c r="Q467" s="82">
        <f t="shared" si="193"/>
        <v>1408.88</v>
      </c>
      <c r="R467" s="82">
        <f t="shared" si="194"/>
        <v>1408.88</v>
      </c>
    </row>
    <row r="468" spans="2:18" s="34" customFormat="1" ht="34.799999999999997">
      <c r="B468" s="75" t="s">
        <v>914</v>
      </c>
      <c r="C468" s="76" t="s">
        <v>739</v>
      </c>
      <c r="D468" s="77" t="s">
        <v>131</v>
      </c>
      <c r="E468" s="93">
        <v>30</v>
      </c>
      <c r="F468" s="79"/>
      <c r="G468" s="79"/>
      <c r="H468" s="79"/>
      <c r="I468" s="79">
        <f>SUM(G468:H468)+'BM 003'!I468</f>
        <v>0</v>
      </c>
      <c r="J468" s="79">
        <f t="shared" si="189"/>
        <v>30</v>
      </c>
      <c r="K468" s="80">
        <v>11.5</v>
      </c>
      <c r="L468" s="81">
        <f t="shared" si="188"/>
        <v>14.577401265000001</v>
      </c>
      <c r="M468" s="82">
        <f t="shared" si="190"/>
        <v>0</v>
      </c>
      <c r="N468" s="82">
        <f t="shared" si="191"/>
        <v>0</v>
      </c>
      <c r="O468" s="82">
        <f>N468+'BM 003'!O468</f>
        <v>0</v>
      </c>
      <c r="P468" s="80">
        <f t="shared" si="195"/>
        <v>345</v>
      </c>
      <c r="Q468" s="82">
        <f t="shared" si="193"/>
        <v>437.32</v>
      </c>
      <c r="R468" s="82">
        <f t="shared" si="194"/>
        <v>437.32</v>
      </c>
    </row>
    <row r="469" spans="2:18" s="34" customFormat="1" ht="34.799999999999997">
      <c r="B469" s="75" t="s">
        <v>915</v>
      </c>
      <c r="C469" s="76" t="s">
        <v>916</v>
      </c>
      <c r="D469" s="77" t="s">
        <v>131</v>
      </c>
      <c r="E469" s="93">
        <v>1</v>
      </c>
      <c r="F469" s="79"/>
      <c r="G469" s="79"/>
      <c r="H469" s="79"/>
      <c r="I469" s="79">
        <f>SUM(G469:H469)+'BM 003'!I469</f>
        <v>0</v>
      </c>
      <c r="J469" s="79">
        <f t="shared" si="189"/>
        <v>1</v>
      </c>
      <c r="K469" s="80">
        <v>10.5</v>
      </c>
      <c r="L469" s="81">
        <f t="shared" si="188"/>
        <v>13.309801155000001</v>
      </c>
      <c r="M469" s="82">
        <f t="shared" si="190"/>
        <v>0</v>
      </c>
      <c r="N469" s="82">
        <f t="shared" si="191"/>
        <v>0</v>
      </c>
      <c r="O469" s="82">
        <f>N469+'BM 003'!O469</f>
        <v>0</v>
      </c>
      <c r="P469" s="80">
        <f t="shared" si="195"/>
        <v>10.5</v>
      </c>
      <c r="Q469" s="82">
        <f t="shared" si="193"/>
        <v>13.3</v>
      </c>
      <c r="R469" s="82">
        <f t="shared" si="194"/>
        <v>13.3</v>
      </c>
    </row>
    <row r="470" spans="2:18" s="34" customFormat="1" ht="34.799999999999997">
      <c r="B470" s="75" t="s">
        <v>917</v>
      </c>
      <c r="C470" s="76" t="s">
        <v>918</v>
      </c>
      <c r="D470" s="77" t="s">
        <v>131</v>
      </c>
      <c r="E470" s="93">
        <v>1</v>
      </c>
      <c r="F470" s="79"/>
      <c r="G470" s="79"/>
      <c r="H470" s="79"/>
      <c r="I470" s="79">
        <f>SUM(G470:H470)+'BM 003'!I470</f>
        <v>0</v>
      </c>
      <c r="J470" s="79">
        <f t="shared" si="189"/>
        <v>1</v>
      </c>
      <c r="K470" s="80">
        <v>10.14</v>
      </c>
      <c r="L470" s="81">
        <f t="shared" si="188"/>
        <v>12.853465115400001</v>
      </c>
      <c r="M470" s="82">
        <f t="shared" si="190"/>
        <v>0</v>
      </c>
      <c r="N470" s="82">
        <f t="shared" si="191"/>
        <v>0</v>
      </c>
      <c r="O470" s="82">
        <f>N470+'BM 003'!O470</f>
        <v>0</v>
      </c>
      <c r="P470" s="80">
        <f t="shared" si="195"/>
        <v>10.14</v>
      </c>
      <c r="Q470" s="82">
        <f t="shared" si="193"/>
        <v>12.85</v>
      </c>
      <c r="R470" s="82">
        <f t="shared" si="194"/>
        <v>12.85</v>
      </c>
    </row>
    <row r="471" spans="2:18" s="34" customFormat="1" ht="34.799999999999997">
      <c r="B471" s="75" t="s">
        <v>919</v>
      </c>
      <c r="C471" s="88" t="s">
        <v>717</v>
      </c>
      <c r="D471" s="89" t="s">
        <v>131</v>
      </c>
      <c r="E471" s="90">
        <v>238</v>
      </c>
      <c r="F471" s="91"/>
      <c r="G471" s="91"/>
      <c r="H471" s="91"/>
      <c r="I471" s="91">
        <f>SUM(G471:H471)+'BM 003'!I471</f>
        <v>0</v>
      </c>
      <c r="J471" s="91">
        <f t="shared" si="189"/>
        <v>238</v>
      </c>
      <c r="K471" s="80">
        <v>8</v>
      </c>
      <c r="L471" s="81">
        <f t="shared" si="188"/>
        <v>10.14080088</v>
      </c>
      <c r="M471" s="82">
        <f t="shared" ref="M471:M473" si="196">TRUNC(F471*L471,2)</f>
        <v>0</v>
      </c>
      <c r="N471" s="82">
        <f t="shared" si="191"/>
        <v>0</v>
      </c>
      <c r="O471" s="82">
        <f>N471+'BM 003'!O471</f>
        <v>0</v>
      </c>
      <c r="P471" s="80">
        <f t="shared" si="195"/>
        <v>1904</v>
      </c>
      <c r="Q471" s="82">
        <f t="shared" si="193"/>
        <v>2413.5100000000002</v>
      </c>
      <c r="R471" s="82">
        <f t="shared" ref="R471:R473" si="197">Q471-O471</f>
        <v>2413.5100000000002</v>
      </c>
    </row>
    <row r="472" spans="2:18" s="34" customFormat="1" ht="34.799999999999997">
      <c r="B472" s="75" t="s">
        <v>920</v>
      </c>
      <c r="C472" s="88" t="s">
        <v>921</v>
      </c>
      <c r="D472" s="89" t="s">
        <v>131</v>
      </c>
      <c r="E472" s="90">
        <v>6</v>
      </c>
      <c r="F472" s="91"/>
      <c r="G472" s="91"/>
      <c r="H472" s="91"/>
      <c r="I472" s="91">
        <f>SUM(G472:H472)+'BM 003'!I472</f>
        <v>0</v>
      </c>
      <c r="J472" s="91">
        <f t="shared" si="189"/>
        <v>6</v>
      </c>
      <c r="K472" s="80">
        <v>7.51</v>
      </c>
      <c r="L472" s="81">
        <f t="shared" si="188"/>
        <v>9.5196768260999995</v>
      </c>
      <c r="M472" s="82">
        <f t="shared" si="196"/>
        <v>0</v>
      </c>
      <c r="N472" s="82">
        <f t="shared" si="191"/>
        <v>0</v>
      </c>
      <c r="O472" s="82">
        <f>N472+'BM 003'!O472</f>
        <v>0</v>
      </c>
      <c r="P472" s="80">
        <f t="shared" si="195"/>
        <v>45.06</v>
      </c>
      <c r="Q472" s="82">
        <f t="shared" si="193"/>
        <v>57.11</v>
      </c>
      <c r="R472" s="82">
        <f t="shared" si="197"/>
        <v>57.11</v>
      </c>
    </row>
    <row r="473" spans="2:18" s="34" customFormat="1" ht="34.799999999999997">
      <c r="B473" s="87" t="s">
        <v>922</v>
      </c>
      <c r="C473" s="88" t="s">
        <v>721</v>
      </c>
      <c r="D473" s="89" t="s">
        <v>131</v>
      </c>
      <c r="E473" s="90">
        <v>8</v>
      </c>
      <c r="F473" s="91"/>
      <c r="G473" s="91"/>
      <c r="H473" s="91"/>
      <c r="I473" s="91">
        <f>SUM(G473:H473)+'BM 003'!I473</f>
        <v>0</v>
      </c>
      <c r="J473" s="91">
        <f t="shared" si="189"/>
        <v>8</v>
      </c>
      <c r="K473" s="80">
        <v>10.5</v>
      </c>
      <c r="L473" s="81">
        <f t="shared" si="188"/>
        <v>13.309801155000001</v>
      </c>
      <c r="M473" s="82">
        <f t="shared" si="196"/>
        <v>0</v>
      </c>
      <c r="N473" s="82">
        <f t="shared" si="191"/>
        <v>0</v>
      </c>
      <c r="O473" s="82">
        <f>N473+'BM 003'!O473</f>
        <v>0</v>
      </c>
      <c r="P473" s="80">
        <f t="shared" si="195"/>
        <v>84</v>
      </c>
      <c r="Q473" s="82">
        <f t="shared" si="193"/>
        <v>106.47</v>
      </c>
      <c r="R473" s="82">
        <f t="shared" si="197"/>
        <v>106.47</v>
      </c>
    </row>
    <row r="474" spans="2:18" s="34" customFormat="1" ht="24">
      <c r="B474" s="66" t="s">
        <v>923</v>
      </c>
      <c r="C474" s="67" t="s">
        <v>924</v>
      </c>
      <c r="D474" s="68"/>
      <c r="E474" s="69"/>
      <c r="F474" s="70"/>
      <c r="G474" s="70"/>
      <c r="H474" s="70"/>
      <c r="I474" s="70">
        <f>SUM(G474:H474)+'BM 003'!I474</f>
        <v>0</v>
      </c>
      <c r="J474" s="70">
        <f t="shared" si="189"/>
        <v>0</v>
      </c>
      <c r="K474" s="71"/>
      <c r="L474" s="71">
        <f t="shared" si="188"/>
        <v>0</v>
      </c>
      <c r="M474" s="73">
        <f t="shared" ref="M474:R474" si="198">SUM(M475:M480)</f>
        <v>0</v>
      </c>
      <c r="N474" s="73">
        <f t="shared" si="198"/>
        <v>0</v>
      </c>
      <c r="O474" s="73">
        <f t="shared" si="198"/>
        <v>0</v>
      </c>
      <c r="P474" s="73">
        <f t="shared" si="198"/>
        <v>177593</v>
      </c>
      <c r="Q474" s="73">
        <f t="shared" si="198"/>
        <v>225116.89</v>
      </c>
      <c r="R474" s="73">
        <f t="shared" si="198"/>
        <v>225116.89</v>
      </c>
    </row>
    <row r="475" spans="2:18" s="34" customFormat="1" ht="23.4">
      <c r="B475" s="87" t="s">
        <v>925</v>
      </c>
      <c r="C475" s="88" t="s">
        <v>926</v>
      </c>
      <c r="D475" s="89" t="s">
        <v>131</v>
      </c>
      <c r="E475" s="90">
        <v>1</v>
      </c>
      <c r="F475" s="91"/>
      <c r="G475" s="91"/>
      <c r="H475" s="91"/>
      <c r="I475" s="91">
        <f>SUM(G475:H475)+'BM 003'!I475</f>
        <v>0</v>
      </c>
      <c r="J475" s="91">
        <f t="shared" si="189"/>
        <v>1</v>
      </c>
      <c r="K475" s="80">
        <v>40</v>
      </c>
      <c r="L475" s="81">
        <f t="shared" si="188"/>
        <v>50.704004400000002</v>
      </c>
      <c r="M475" s="82">
        <f t="shared" ref="M475:M480" si="199">TRUNC(F475*L475,2)</f>
        <v>0</v>
      </c>
      <c r="N475" s="82">
        <f t="shared" ref="N475:N480" si="200">TRUNC(G475*L475,2)</f>
        <v>0</v>
      </c>
      <c r="O475" s="82">
        <f>N475+'BM 003'!O475</f>
        <v>0</v>
      </c>
      <c r="P475" s="80">
        <f t="shared" ref="P475:P480" si="201">E475*K475</f>
        <v>40</v>
      </c>
      <c r="Q475" s="82">
        <f t="shared" ref="Q475:Q480" si="202">TRUNC(E475*L475,2)</f>
        <v>50.7</v>
      </c>
      <c r="R475" s="82">
        <f t="shared" ref="R475:R480" si="203">Q475-O475</f>
        <v>50.7</v>
      </c>
    </row>
    <row r="476" spans="2:18" s="34" customFormat="1" ht="23.4">
      <c r="B476" s="87" t="s">
        <v>927</v>
      </c>
      <c r="C476" s="88" t="s">
        <v>928</v>
      </c>
      <c r="D476" s="89" t="s">
        <v>131</v>
      </c>
      <c r="E476" s="90">
        <v>69</v>
      </c>
      <c r="F476" s="91"/>
      <c r="G476" s="91"/>
      <c r="H476" s="91"/>
      <c r="I476" s="91">
        <f>SUM(G476:H476)+'BM 003'!I476</f>
        <v>0</v>
      </c>
      <c r="J476" s="91">
        <f t="shared" si="189"/>
        <v>69</v>
      </c>
      <c r="K476" s="80">
        <v>62</v>
      </c>
      <c r="L476" s="81">
        <f t="shared" si="188"/>
        <v>78.591206819999996</v>
      </c>
      <c r="M476" s="82">
        <f t="shared" si="199"/>
        <v>0</v>
      </c>
      <c r="N476" s="82">
        <f t="shared" si="200"/>
        <v>0</v>
      </c>
      <c r="O476" s="82">
        <f>N476+'BM 003'!O476</f>
        <v>0</v>
      </c>
      <c r="P476" s="80">
        <f t="shared" si="201"/>
        <v>4278</v>
      </c>
      <c r="Q476" s="82">
        <f t="shared" si="202"/>
        <v>5422.79</v>
      </c>
      <c r="R476" s="82">
        <f t="shared" si="203"/>
        <v>5422.79</v>
      </c>
    </row>
    <row r="477" spans="2:18" s="34" customFormat="1" ht="34.799999999999997">
      <c r="B477" s="87" t="s">
        <v>929</v>
      </c>
      <c r="C477" s="88" t="s">
        <v>930</v>
      </c>
      <c r="D477" s="89" t="s">
        <v>131</v>
      </c>
      <c r="E477" s="90">
        <v>3</v>
      </c>
      <c r="F477" s="91"/>
      <c r="G477" s="91"/>
      <c r="H477" s="91"/>
      <c r="I477" s="91">
        <f>SUM(G477:H477)+'BM 003'!I477</f>
        <v>0</v>
      </c>
      <c r="J477" s="91">
        <f t="shared" si="189"/>
        <v>3</v>
      </c>
      <c r="K477" s="80">
        <v>25</v>
      </c>
      <c r="L477" s="81">
        <f t="shared" ref="L477:L540" si="204">K477*(1+$T$26)</f>
        <v>31.690002750000001</v>
      </c>
      <c r="M477" s="82">
        <f t="shared" si="199"/>
        <v>0</v>
      </c>
      <c r="N477" s="82">
        <f t="shared" si="200"/>
        <v>0</v>
      </c>
      <c r="O477" s="82">
        <f>N477+'BM 003'!O477</f>
        <v>0</v>
      </c>
      <c r="P477" s="80">
        <f t="shared" si="201"/>
        <v>75</v>
      </c>
      <c r="Q477" s="82">
        <f t="shared" si="202"/>
        <v>95.07</v>
      </c>
      <c r="R477" s="82">
        <f t="shared" si="203"/>
        <v>95.07</v>
      </c>
    </row>
    <row r="478" spans="2:18" s="34" customFormat="1" ht="34.799999999999997">
      <c r="B478" s="87" t="s">
        <v>931</v>
      </c>
      <c r="C478" s="88" t="s">
        <v>932</v>
      </c>
      <c r="D478" s="89" t="s">
        <v>131</v>
      </c>
      <c r="E478" s="90">
        <v>2</v>
      </c>
      <c r="F478" s="91"/>
      <c r="G478" s="91"/>
      <c r="H478" s="91"/>
      <c r="I478" s="91">
        <f>SUM(G478:H478)+'BM 003'!I478</f>
        <v>0</v>
      </c>
      <c r="J478" s="91">
        <f t="shared" si="189"/>
        <v>2</v>
      </c>
      <c r="K478" s="80">
        <v>2100</v>
      </c>
      <c r="L478" s="81">
        <f t="shared" si="204"/>
        <v>2661.960231</v>
      </c>
      <c r="M478" s="82">
        <f t="shared" si="199"/>
        <v>0</v>
      </c>
      <c r="N478" s="82">
        <f t="shared" si="200"/>
        <v>0</v>
      </c>
      <c r="O478" s="82">
        <f>N478+'BM 003'!O478</f>
        <v>0</v>
      </c>
      <c r="P478" s="80">
        <f t="shared" si="201"/>
        <v>4200</v>
      </c>
      <c r="Q478" s="82">
        <f t="shared" si="202"/>
        <v>5323.92</v>
      </c>
      <c r="R478" s="82">
        <f t="shared" si="203"/>
        <v>5323.92</v>
      </c>
    </row>
    <row r="479" spans="2:18" s="34" customFormat="1" ht="34.799999999999997">
      <c r="B479" s="87" t="s">
        <v>933</v>
      </c>
      <c r="C479" s="88" t="s">
        <v>934</v>
      </c>
      <c r="D479" s="89" t="s">
        <v>131</v>
      </c>
      <c r="E479" s="90">
        <v>6</v>
      </c>
      <c r="F479" s="91"/>
      <c r="G479" s="91"/>
      <c r="H479" s="91"/>
      <c r="I479" s="91">
        <f>SUM(G479:H479)+'BM 003'!I479</f>
        <v>0</v>
      </c>
      <c r="J479" s="91">
        <f t="shared" ref="J479:J542" si="205">E479-I479</f>
        <v>6</v>
      </c>
      <c r="K479" s="80">
        <v>9000</v>
      </c>
      <c r="L479" s="81">
        <f t="shared" si="204"/>
        <v>11408.40099</v>
      </c>
      <c r="M479" s="82">
        <f t="shared" si="199"/>
        <v>0</v>
      </c>
      <c r="N479" s="82">
        <f t="shared" si="200"/>
        <v>0</v>
      </c>
      <c r="O479" s="82">
        <f>N479+'BM 003'!O479</f>
        <v>0</v>
      </c>
      <c r="P479" s="80">
        <f t="shared" si="201"/>
        <v>54000</v>
      </c>
      <c r="Q479" s="82">
        <f t="shared" si="202"/>
        <v>68450.399999999994</v>
      </c>
      <c r="R479" s="82">
        <f t="shared" si="203"/>
        <v>68450.399999999994</v>
      </c>
    </row>
    <row r="480" spans="2:18" s="34" customFormat="1" ht="23.4">
      <c r="B480" s="87" t="s">
        <v>935</v>
      </c>
      <c r="C480" s="88" t="s">
        <v>936</v>
      </c>
      <c r="D480" s="89" t="s">
        <v>131</v>
      </c>
      <c r="E480" s="90">
        <v>1</v>
      </c>
      <c r="F480" s="91"/>
      <c r="G480" s="91"/>
      <c r="H480" s="91"/>
      <c r="I480" s="91">
        <f>SUM(G480:H480)+'BM 003'!I480</f>
        <v>0</v>
      </c>
      <c r="J480" s="91">
        <f t="shared" si="205"/>
        <v>1</v>
      </c>
      <c r="K480" s="80">
        <v>115000</v>
      </c>
      <c r="L480" s="81">
        <f t="shared" si="204"/>
        <v>145774.01265000002</v>
      </c>
      <c r="M480" s="82">
        <f t="shared" si="199"/>
        <v>0</v>
      </c>
      <c r="N480" s="82">
        <f t="shared" si="200"/>
        <v>0</v>
      </c>
      <c r="O480" s="82">
        <f>N480+'BM 003'!O480</f>
        <v>0</v>
      </c>
      <c r="P480" s="80">
        <f t="shared" si="201"/>
        <v>115000</v>
      </c>
      <c r="Q480" s="82">
        <f t="shared" si="202"/>
        <v>145774.01</v>
      </c>
      <c r="R480" s="82">
        <f t="shared" si="203"/>
        <v>145774.01</v>
      </c>
    </row>
    <row r="481" spans="2:18" s="34" customFormat="1" ht="13.2">
      <c r="B481" s="60" t="s">
        <v>937</v>
      </c>
      <c r="C481" s="61" t="s">
        <v>938</v>
      </c>
      <c r="D481" s="60"/>
      <c r="E481" s="62"/>
      <c r="F481" s="63"/>
      <c r="G481" s="63"/>
      <c r="H481" s="63"/>
      <c r="I481" s="63">
        <f>SUM(G481:H481)+'BM 003'!I481</f>
        <v>0</v>
      </c>
      <c r="J481" s="63">
        <f t="shared" si="205"/>
        <v>0</v>
      </c>
      <c r="K481" s="63"/>
      <c r="L481" s="63">
        <f t="shared" si="204"/>
        <v>0</v>
      </c>
      <c r="M481" s="63">
        <f t="shared" ref="M481:R481" si="206">SUM(M482,M487)</f>
        <v>0</v>
      </c>
      <c r="N481" s="63">
        <f t="shared" si="206"/>
        <v>0</v>
      </c>
      <c r="O481" s="63">
        <f t="shared" si="206"/>
        <v>0</v>
      </c>
      <c r="P481" s="63">
        <f t="shared" si="206"/>
        <v>198555.35149999999</v>
      </c>
      <c r="Q481" s="63">
        <f t="shared" si="206"/>
        <v>251688.67</v>
      </c>
      <c r="R481" s="63">
        <f t="shared" si="206"/>
        <v>251688.67</v>
      </c>
    </row>
    <row r="482" spans="2:18" s="34" customFormat="1" ht="13.2">
      <c r="B482" s="66" t="s">
        <v>939</v>
      </c>
      <c r="C482" s="67" t="s">
        <v>940</v>
      </c>
      <c r="D482" s="68"/>
      <c r="E482" s="69"/>
      <c r="F482" s="70"/>
      <c r="G482" s="70"/>
      <c r="H482" s="70"/>
      <c r="I482" s="70">
        <f>SUM(G482:H482)+'BM 003'!I482</f>
        <v>0</v>
      </c>
      <c r="J482" s="70">
        <f t="shared" si="205"/>
        <v>0</v>
      </c>
      <c r="K482" s="71"/>
      <c r="L482" s="71">
        <f t="shared" si="204"/>
        <v>0</v>
      </c>
      <c r="M482" s="73">
        <f t="shared" ref="M482:R482" si="207">SUM(M483:M486)</f>
        <v>0</v>
      </c>
      <c r="N482" s="73">
        <f t="shared" si="207"/>
        <v>0</v>
      </c>
      <c r="O482" s="73">
        <f t="shared" si="207"/>
        <v>0</v>
      </c>
      <c r="P482" s="73">
        <f t="shared" si="207"/>
        <v>157288.71</v>
      </c>
      <c r="Q482" s="73">
        <f t="shared" si="207"/>
        <v>199379.17</v>
      </c>
      <c r="R482" s="73">
        <f t="shared" si="207"/>
        <v>199379.17</v>
      </c>
    </row>
    <row r="483" spans="2:18" s="34" customFormat="1" ht="46.2">
      <c r="B483" s="75" t="s">
        <v>941</v>
      </c>
      <c r="C483" s="76" t="s">
        <v>942</v>
      </c>
      <c r="D483" s="77" t="s">
        <v>82</v>
      </c>
      <c r="E483" s="93">
        <v>546.20000000000005</v>
      </c>
      <c r="F483" s="79"/>
      <c r="G483" s="79"/>
      <c r="H483" s="79"/>
      <c r="I483" s="79">
        <f>SUM(G483:H483)+'BM 003'!I483</f>
        <v>0</v>
      </c>
      <c r="J483" s="79">
        <f t="shared" si="205"/>
        <v>546.20000000000005</v>
      </c>
      <c r="K483" s="84">
        <v>71.55</v>
      </c>
      <c r="L483" s="81">
        <f t="shared" si="204"/>
        <v>90.696787870500003</v>
      </c>
      <c r="M483" s="82">
        <f>TRUNC(F483*L483,2)</f>
        <v>0</v>
      </c>
      <c r="N483" s="82">
        <f>TRUNC(G483*L483,2)</f>
        <v>0</v>
      </c>
      <c r="O483" s="82">
        <f>N483+'BM 003'!O483</f>
        <v>0</v>
      </c>
      <c r="P483" s="80">
        <f>E483*K483</f>
        <v>39080.61</v>
      </c>
      <c r="Q483" s="82">
        <f>TRUNC(E483*L483,2)</f>
        <v>49538.58</v>
      </c>
      <c r="R483" s="82">
        <f>Q483-O483</f>
        <v>49538.58</v>
      </c>
    </row>
    <row r="484" spans="2:18" s="34" customFormat="1" ht="46.2">
      <c r="B484" s="75" t="s">
        <v>943</v>
      </c>
      <c r="C484" s="76" t="s">
        <v>944</v>
      </c>
      <c r="D484" s="77" t="s">
        <v>124</v>
      </c>
      <c r="E484" s="93">
        <v>314</v>
      </c>
      <c r="F484" s="79"/>
      <c r="G484" s="79"/>
      <c r="H484" s="79"/>
      <c r="I484" s="79">
        <f>SUM(G484:H484)+'BM 003'!I484</f>
        <v>0</v>
      </c>
      <c r="J484" s="79">
        <f t="shared" si="205"/>
        <v>314</v>
      </c>
      <c r="K484" s="84">
        <v>120.15</v>
      </c>
      <c r="L484" s="81">
        <f t="shared" si="204"/>
        <v>152.30215321650002</v>
      </c>
      <c r="M484" s="82">
        <f>TRUNC(F484*L484,2)</f>
        <v>0</v>
      </c>
      <c r="N484" s="82">
        <f>TRUNC(G484*L484,2)</f>
        <v>0</v>
      </c>
      <c r="O484" s="82">
        <f>N484+'BM 003'!O484</f>
        <v>0</v>
      </c>
      <c r="P484" s="80">
        <f>E484*K484</f>
        <v>37727.1</v>
      </c>
      <c r="Q484" s="82">
        <f>TRUNC(E484*L484,2)</f>
        <v>47822.87</v>
      </c>
      <c r="R484" s="82">
        <f>Q484-O484</f>
        <v>47822.87</v>
      </c>
    </row>
    <row r="485" spans="2:18" s="34" customFormat="1" ht="46.2">
      <c r="B485" s="75" t="s">
        <v>945</v>
      </c>
      <c r="C485" s="76" t="s">
        <v>946</v>
      </c>
      <c r="D485" s="77" t="s">
        <v>82</v>
      </c>
      <c r="E485" s="78">
        <v>36.700000000000003</v>
      </c>
      <c r="F485" s="79"/>
      <c r="G485" s="79"/>
      <c r="H485" s="79"/>
      <c r="I485" s="79">
        <f>SUM(G485:H485)+'BM 003'!I485</f>
        <v>0</v>
      </c>
      <c r="J485" s="79">
        <f t="shared" si="205"/>
        <v>36.700000000000003</v>
      </c>
      <c r="K485" s="84">
        <v>149.85</v>
      </c>
      <c r="L485" s="81">
        <f t="shared" si="204"/>
        <v>189.94987648349999</v>
      </c>
      <c r="M485" s="82">
        <f>TRUNC(F485*L485,2)</f>
        <v>0</v>
      </c>
      <c r="N485" s="82">
        <f>TRUNC(G485*L485,2)</f>
        <v>0</v>
      </c>
      <c r="O485" s="82">
        <f>N485+'BM 003'!O485</f>
        <v>0</v>
      </c>
      <c r="P485" s="80">
        <f>E485*K485</f>
        <v>5499.4949999999999</v>
      </c>
      <c r="Q485" s="82">
        <f>TRUNC(E485*L485,2)</f>
        <v>6971.16</v>
      </c>
      <c r="R485" s="82">
        <f>Q485-O485</f>
        <v>6971.16</v>
      </c>
    </row>
    <row r="486" spans="2:18" s="34" customFormat="1" ht="46.2">
      <c r="B486" s="75" t="s">
        <v>947</v>
      </c>
      <c r="C486" s="76" t="s">
        <v>948</v>
      </c>
      <c r="D486" s="77" t="s">
        <v>82</v>
      </c>
      <c r="E486" s="93">
        <v>180.5</v>
      </c>
      <c r="F486" s="79"/>
      <c r="G486" s="79"/>
      <c r="H486" s="79"/>
      <c r="I486" s="79">
        <f>SUM(G486:H486)+'BM 003'!I486</f>
        <v>0</v>
      </c>
      <c r="J486" s="79">
        <f t="shared" si="205"/>
        <v>180.5</v>
      </c>
      <c r="K486" s="84">
        <v>415.41</v>
      </c>
      <c r="L486" s="81">
        <f t="shared" si="204"/>
        <v>526.57376169510007</v>
      </c>
      <c r="M486" s="82">
        <f>TRUNC(F486*L486,2)</f>
        <v>0</v>
      </c>
      <c r="N486" s="82">
        <f>TRUNC(G486*L486,2)</f>
        <v>0</v>
      </c>
      <c r="O486" s="82">
        <f>N486+'BM 003'!O486</f>
        <v>0</v>
      </c>
      <c r="P486" s="80">
        <f>E486*K486</f>
        <v>74981.505000000005</v>
      </c>
      <c r="Q486" s="82">
        <f>TRUNC(E486*L486,2)</f>
        <v>95046.56</v>
      </c>
      <c r="R486" s="82">
        <f>Q486-O486</f>
        <v>95046.56</v>
      </c>
    </row>
    <row r="487" spans="2:18" s="34" customFormat="1" ht="13.2">
      <c r="B487" s="66" t="s">
        <v>949</v>
      </c>
      <c r="C487" s="67" t="s">
        <v>950</v>
      </c>
      <c r="D487" s="68"/>
      <c r="E487" s="69"/>
      <c r="F487" s="70"/>
      <c r="G487" s="70"/>
      <c r="H487" s="70"/>
      <c r="I487" s="70">
        <f>SUM(G487:H487)+'BM 003'!I487</f>
        <v>0</v>
      </c>
      <c r="J487" s="70">
        <f t="shared" si="205"/>
        <v>0</v>
      </c>
      <c r="K487" s="71"/>
      <c r="L487" s="71">
        <f t="shared" si="204"/>
        <v>0</v>
      </c>
      <c r="M487" s="73">
        <f t="shared" ref="M487:R487" si="208">SUM(M488:M506)</f>
        <v>0</v>
      </c>
      <c r="N487" s="73">
        <f t="shared" si="208"/>
        <v>0</v>
      </c>
      <c r="O487" s="73">
        <f t="shared" si="208"/>
        <v>0</v>
      </c>
      <c r="P487" s="73">
        <f t="shared" si="208"/>
        <v>41266.641499999998</v>
      </c>
      <c r="Q487" s="73">
        <f t="shared" si="208"/>
        <v>52309.5</v>
      </c>
      <c r="R487" s="73">
        <f t="shared" si="208"/>
        <v>52309.5</v>
      </c>
    </row>
    <row r="488" spans="2:18" s="34" customFormat="1" ht="34.799999999999997">
      <c r="B488" s="75" t="s">
        <v>951</v>
      </c>
      <c r="C488" s="76" t="s">
        <v>952</v>
      </c>
      <c r="D488" s="77" t="s">
        <v>131</v>
      </c>
      <c r="E488" s="78">
        <v>362</v>
      </c>
      <c r="F488" s="79"/>
      <c r="G488" s="79"/>
      <c r="H488" s="79"/>
      <c r="I488" s="79">
        <f>SUM(G488:H488)+'BM 003'!I488</f>
        <v>0</v>
      </c>
      <c r="J488" s="79">
        <f t="shared" si="205"/>
        <v>362</v>
      </c>
      <c r="K488" s="84">
        <v>5.6295000000000002</v>
      </c>
      <c r="L488" s="81">
        <f t="shared" si="204"/>
        <v>7.1359548192450006</v>
      </c>
      <c r="M488" s="82">
        <f t="shared" ref="M488:M506" si="209">TRUNC(F488*L488,2)</f>
        <v>0</v>
      </c>
      <c r="N488" s="82">
        <f t="shared" ref="N488:N506" si="210">TRUNC(G488*L488,2)</f>
        <v>0</v>
      </c>
      <c r="O488" s="82">
        <f>N488+'BM 003'!O488</f>
        <v>0</v>
      </c>
      <c r="P488" s="80">
        <f t="shared" ref="P488:P506" si="211">E488*K488</f>
        <v>2037.8790000000001</v>
      </c>
      <c r="Q488" s="82">
        <f t="shared" ref="Q488:Q506" si="212">TRUNC(E488*L488,2)</f>
        <v>2583.21</v>
      </c>
      <c r="R488" s="82">
        <f t="shared" ref="R488:R506" si="213">Q488-O488</f>
        <v>2583.21</v>
      </c>
    </row>
    <row r="489" spans="2:18" s="34" customFormat="1" ht="34.799999999999997">
      <c r="B489" s="75" t="s">
        <v>953</v>
      </c>
      <c r="C489" s="76" t="s">
        <v>954</v>
      </c>
      <c r="D489" s="77" t="s">
        <v>131</v>
      </c>
      <c r="E489" s="78">
        <v>41</v>
      </c>
      <c r="F489" s="79"/>
      <c r="G489" s="79"/>
      <c r="H489" s="79"/>
      <c r="I489" s="79">
        <f>SUM(G489:H489)+'BM 003'!I489</f>
        <v>0</v>
      </c>
      <c r="J489" s="79">
        <f t="shared" si="205"/>
        <v>41</v>
      </c>
      <c r="K489" s="84">
        <v>12.771000000000001</v>
      </c>
      <c r="L489" s="81">
        <f t="shared" si="204"/>
        <v>16.188521004810003</v>
      </c>
      <c r="M489" s="82">
        <f t="shared" si="209"/>
        <v>0</v>
      </c>
      <c r="N489" s="82">
        <f t="shared" si="210"/>
        <v>0</v>
      </c>
      <c r="O489" s="82">
        <f>N489+'BM 003'!O489</f>
        <v>0</v>
      </c>
      <c r="P489" s="80">
        <f t="shared" si="211"/>
        <v>523.61099999999999</v>
      </c>
      <c r="Q489" s="82">
        <f t="shared" si="212"/>
        <v>663.72</v>
      </c>
      <c r="R489" s="82">
        <f t="shared" si="213"/>
        <v>663.72</v>
      </c>
    </row>
    <row r="490" spans="2:18" s="34" customFormat="1" ht="34.799999999999997">
      <c r="B490" s="75" t="s">
        <v>955</v>
      </c>
      <c r="C490" s="76" t="s">
        <v>956</v>
      </c>
      <c r="D490" s="77" t="s">
        <v>131</v>
      </c>
      <c r="E490" s="78">
        <v>4</v>
      </c>
      <c r="F490" s="79"/>
      <c r="G490" s="79"/>
      <c r="H490" s="79"/>
      <c r="I490" s="79">
        <f>SUM(G490:H490)+'BM 003'!I490</f>
        <v>0</v>
      </c>
      <c r="J490" s="79">
        <f t="shared" si="205"/>
        <v>4</v>
      </c>
      <c r="K490" s="84">
        <v>20.358000000000001</v>
      </c>
      <c r="L490" s="81">
        <f t="shared" si="204"/>
        <v>25.805803039380002</v>
      </c>
      <c r="M490" s="82">
        <f t="shared" si="209"/>
        <v>0</v>
      </c>
      <c r="N490" s="82">
        <f t="shared" si="210"/>
        <v>0</v>
      </c>
      <c r="O490" s="82">
        <f>N490+'BM 003'!O490</f>
        <v>0</v>
      </c>
      <c r="P490" s="80">
        <f t="shared" si="211"/>
        <v>81.432000000000002</v>
      </c>
      <c r="Q490" s="82">
        <f t="shared" si="212"/>
        <v>103.22</v>
      </c>
      <c r="R490" s="82">
        <f t="shared" si="213"/>
        <v>103.22</v>
      </c>
    </row>
    <row r="491" spans="2:18" s="34" customFormat="1" ht="34.799999999999997">
      <c r="B491" s="75" t="s">
        <v>957</v>
      </c>
      <c r="C491" s="76" t="s">
        <v>958</v>
      </c>
      <c r="D491" s="77" t="s">
        <v>131</v>
      </c>
      <c r="E491" s="78">
        <v>12</v>
      </c>
      <c r="F491" s="79"/>
      <c r="G491" s="79"/>
      <c r="H491" s="79"/>
      <c r="I491" s="79">
        <f>SUM(G491:H491)+'BM 003'!I491</f>
        <v>0</v>
      </c>
      <c r="J491" s="79">
        <f t="shared" si="205"/>
        <v>12</v>
      </c>
      <c r="K491" s="84">
        <v>68.418000000000006</v>
      </c>
      <c r="L491" s="81">
        <f t="shared" si="204"/>
        <v>86.726664325980011</v>
      </c>
      <c r="M491" s="82">
        <f t="shared" si="209"/>
        <v>0</v>
      </c>
      <c r="N491" s="82">
        <f t="shared" si="210"/>
        <v>0</v>
      </c>
      <c r="O491" s="82">
        <f>N491+'BM 003'!O491</f>
        <v>0</v>
      </c>
      <c r="P491" s="80">
        <f t="shared" si="211"/>
        <v>821.01600000000008</v>
      </c>
      <c r="Q491" s="82">
        <f t="shared" si="212"/>
        <v>1040.71</v>
      </c>
      <c r="R491" s="82">
        <f t="shared" si="213"/>
        <v>1040.71</v>
      </c>
    </row>
    <row r="492" spans="2:18" s="34" customFormat="1" ht="46.2">
      <c r="B492" s="75" t="s">
        <v>959</v>
      </c>
      <c r="C492" s="76" t="s">
        <v>960</v>
      </c>
      <c r="D492" s="77" t="s">
        <v>131</v>
      </c>
      <c r="E492" s="78">
        <v>106</v>
      </c>
      <c r="F492" s="79"/>
      <c r="G492" s="79"/>
      <c r="H492" s="79"/>
      <c r="I492" s="79">
        <f>SUM(G492:H492)+'BM 003'!I492</f>
        <v>0</v>
      </c>
      <c r="J492" s="79">
        <f t="shared" si="205"/>
        <v>106</v>
      </c>
      <c r="K492" s="84">
        <v>20.52</v>
      </c>
      <c r="L492" s="81">
        <f t="shared" si="204"/>
        <v>26.011154257200001</v>
      </c>
      <c r="M492" s="82">
        <f t="shared" si="209"/>
        <v>0</v>
      </c>
      <c r="N492" s="82">
        <f t="shared" si="210"/>
        <v>0</v>
      </c>
      <c r="O492" s="82">
        <f>N492+'BM 003'!O492</f>
        <v>0</v>
      </c>
      <c r="P492" s="80">
        <f t="shared" si="211"/>
        <v>2175.12</v>
      </c>
      <c r="Q492" s="82">
        <f t="shared" si="212"/>
        <v>2757.18</v>
      </c>
      <c r="R492" s="82">
        <f t="shared" si="213"/>
        <v>2757.18</v>
      </c>
    </row>
    <row r="493" spans="2:18" s="34" customFormat="1" ht="46.2">
      <c r="B493" s="75" t="s">
        <v>961</v>
      </c>
      <c r="C493" s="76" t="s">
        <v>962</v>
      </c>
      <c r="D493" s="77" t="s">
        <v>131</v>
      </c>
      <c r="E493" s="78">
        <v>14</v>
      </c>
      <c r="F493" s="79"/>
      <c r="G493" s="79"/>
      <c r="H493" s="79"/>
      <c r="I493" s="79">
        <f>SUM(G493:H493)+'BM 003'!I493</f>
        <v>0</v>
      </c>
      <c r="J493" s="79">
        <f t="shared" si="205"/>
        <v>14</v>
      </c>
      <c r="K493" s="84">
        <v>11.4885</v>
      </c>
      <c r="L493" s="81">
        <f t="shared" si="204"/>
        <v>14.562823863735002</v>
      </c>
      <c r="M493" s="82">
        <f t="shared" si="209"/>
        <v>0</v>
      </c>
      <c r="N493" s="82">
        <f t="shared" si="210"/>
        <v>0</v>
      </c>
      <c r="O493" s="82">
        <f>N493+'BM 003'!O493</f>
        <v>0</v>
      </c>
      <c r="P493" s="80">
        <f t="shared" si="211"/>
        <v>160.839</v>
      </c>
      <c r="Q493" s="82">
        <f t="shared" si="212"/>
        <v>203.87</v>
      </c>
      <c r="R493" s="82">
        <f t="shared" si="213"/>
        <v>203.87</v>
      </c>
    </row>
    <row r="494" spans="2:18" s="34" customFormat="1" ht="46.2">
      <c r="B494" s="75" t="s">
        <v>963</v>
      </c>
      <c r="C494" s="76" t="s">
        <v>964</v>
      </c>
      <c r="D494" s="77" t="s">
        <v>131</v>
      </c>
      <c r="E494" s="78">
        <v>6</v>
      </c>
      <c r="F494" s="79"/>
      <c r="G494" s="79"/>
      <c r="H494" s="79"/>
      <c r="I494" s="79">
        <f>SUM(G494:H494)+'BM 003'!I494</f>
        <v>0</v>
      </c>
      <c r="J494" s="79">
        <f t="shared" si="205"/>
        <v>6</v>
      </c>
      <c r="K494" s="84">
        <v>13.432499999999999</v>
      </c>
      <c r="L494" s="81">
        <f t="shared" si="204"/>
        <v>17.027038477575001</v>
      </c>
      <c r="M494" s="82">
        <f t="shared" si="209"/>
        <v>0</v>
      </c>
      <c r="N494" s="82">
        <f t="shared" si="210"/>
        <v>0</v>
      </c>
      <c r="O494" s="82">
        <f>N494+'BM 003'!O494</f>
        <v>0</v>
      </c>
      <c r="P494" s="80">
        <f t="shared" si="211"/>
        <v>80.594999999999999</v>
      </c>
      <c r="Q494" s="82">
        <f t="shared" si="212"/>
        <v>102.16</v>
      </c>
      <c r="R494" s="82">
        <f t="shared" si="213"/>
        <v>102.16</v>
      </c>
    </row>
    <row r="495" spans="2:18" s="34" customFormat="1" ht="23.4">
      <c r="B495" s="75" t="s">
        <v>965</v>
      </c>
      <c r="C495" s="76" t="s">
        <v>966</v>
      </c>
      <c r="D495" s="77" t="s">
        <v>131</v>
      </c>
      <c r="E495" s="78">
        <v>3</v>
      </c>
      <c r="F495" s="79"/>
      <c r="G495" s="79"/>
      <c r="H495" s="79"/>
      <c r="I495" s="79">
        <f>SUM(G495:H495)+'BM 003'!I495</f>
        <v>0</v>
      </c>
      <c r="J495" s="79">
        <f t="shared" si="205"/>
        <v>3</v>
      </c>
      <c r="K495" s="84">
        <v>42.214500000000001</v>
      </c>
      <c r="L495" s="81">
        <f t="shared" si="204"/>
        <v>53.511104843595007</v>
      </c>
      <c r="M495" s="82">
        <f t="shared" si="209"/>
        <v>0</v>
      </c>
      <c r="N495" s="82">
        <f t="shared" si="210"/>
        <v>0</v>
      </c>
      <c r="O495" s="82">
        <f>N495+'BM 003'!O495</f>
        <v>0</v>
      </c>
      <c r="P495" s="80">
        <f t="shared" si="211"/>
        <v>126.6435</v>
      </c>
      <c r="Q495" s="82">
        <f t="shared" si="212"/>
        <v>160.53</v>
      </c>
      <c r="R495" s="82">
        <f t="shared" si="213"/>
        <v>160.53</v>
      </c>
    </row>
    <row r="496" spans="2:18" s="34" customFormat="1" ht="34.799999999999997">
      <c r="B496" s="75" t="s">
        <v>967</v>
      </c>
      <c r="C496" s="76" t="s">
        <v>968</v>
      </c>
      <c r="D496" s="77" t="s">
        <v>131</v>
      </c>
      <c r="E496" s="78">
        <v>51</v>
      </c>
      <c r="F496" s="79"/>
      <c r="G496" s="79"/>
      <c r="H496" s="79"/>
      <c r="I496" s="79">
        <f>SUM(G496:H496)+'BM 003'!I496</f>
        <v>0</v>
      </c>
      <c r="J496" s="79">
        <f t="shared" si="205"/>
        <v>51</v>
      </c>
      <c r="K496" s="84">
        <v>15.1335</v>
      </c>
      <c r="L496" s="81">
        <f t="shared" si="204"/>
        <v>19.183226264685</v>
      </c>
      <c r="M496" s="82">
        <f t="shared" si="209"/>
        <v>0</v>
      </c>
      <c r="N496" s="82">
        <f t="shared" si="210"/>
        <v>0</v>
      </c>
      <c r="O496" s="82">
        <f>N496+'BM 003'!O496</f>
        <v>0</v>
      </c>
      <c r="P496" s="80">
        <f t="shared" si="211"/>
        <v>771.80849999999998</v>
      </c>
      <c r="Q496" s="82">
        <f t="shared" si="212"/>
        <v>978.34</v>
      </c>
      <c r="R496" s="82">
        <f t="shared" si="213"/>
        <v>978.34</v>
      </c>
    </row>
    <row r="497" spans="2:18" s="34" customFormat="1" ht="34.799999999999997">
      <c r="B497" s="75" t="s">
        <v>969</v>
      </c>
      <c r="C497" s="76" t="s">
        <v>970</v>
      </c>
      <c r="D497" s="77" t="s">
        <v>131</v>
      </c>
      <c r="E497" s="78">
        <v>8</v>
      </c>
      <c r="F497" s="79"/>
      <c r="G497" s="79"/>
      <c r="H497" s="79"/>
      <c r="I497" s="79">
        <f>SUM(G497:H497)+'BM 003'!I497</f>
        <v>0</v>
      </c>
      <c r="J497" s="79">
        <f t="shared" si="205"/>
        <v>8</v>
      </c>
      <c r="K497" s="84">
        <v>23.638500000000001</v>
      </c>
      <c r="L497" s="81">
        <f t="shared" si="204"/>
        <v>29.964165200235001</v>
      </c>
      <c r="M497" s="82">
        <f t="shared" si="209"/>
        <v>0</v>
      </c>
      <c r="N497" s="82">
        <f t="shared" si="210"/>
        <v>0</v>
      </c>
      <c r="O497" s="82">
        <f>N497+'BM 003'!O497</f>
        <v>0</v>
      </c>
      <c r="P497" s="80">
        <f t="shared" si="211"/>
        <v>189.108</v>
      </c>
      <c r="Q497" s="82">
        <f t="shared" si="212"/>
        <v>239.71</v>
      </c>
      <c r="R497" s="82">
        <f t="shared" si="213"/>
        <v>239.71</v>
      </c>
    </row>
    <row r="498" spans="2:18" s="34" customFormat="1" ht="34.799999999999997">
      <c r="B498" s="75" t="s">
        <v>971</v>
      </c>
      <c r="C498" s="76" t="s">
        <v>972</v>
      </c>
      <c r="D498" s="77" t="s">
        <v>131</v>
      </c>
      <c r="E498" s="78">
        <v>3</v>
      </c>
      <c r="F498" s="79"/>
      <c r="G498" s="79"/>
      <c r="H498" s="79"/>
      <c r="I498" s="79">
        <f>SUM(G498:H498)+'BM 003'!I498</f>
        <v>0</v>
      </c>
      <c r="J498" s="79">
        <f t="shared" si="205"/>
        <v>3</v>
      </c>
      <c r="K498" s="84">
        <v>32.656500000000001</v>
      </c>
      <c r="L498" s="81">
        <f t="shared" si="204"/>
        <v>41.395382992215005</v>
      </c>
      <c r="M498" s="82">
        <f t="shared" si="209"/>
        <v>0</v>
      </c>
      <c r="N498" s="82">
        <f t="shared" si="210"/>
        <v>0</v>
      </c>
      <c r="O498" s="82">
        <f>N498+'BM 003'!O498</f>
        <v>0</v>
      </c>
      <c r="P498" s="80">
        <f t="shared" si="211"/>
        <v>97.969500000000011</v>
      </c>
      <c r="Q498" s="82">
        <f t="shared" si="212"/>
        <v>124.18</v>
      </c>
      <c r="R498" s="82">
        <f t="shared" si="213"/>
        <v>124.18</v>
      </c>
    </row>
    <row r="499" spans="2:18" s="34" customFormat="1" ht="23.4">
      <c r="B499" s="75" t="s">
        <v>973</v>
      </c>
      <c r="C499" s="76" t="s">
        <v>974</v>
      </c>
      <c r="D499" s="77" t="s">
        <v>131</v>
      </c>
      <c r="E499" s="78">
        <v>14</v>
      </c>
      <c r="F499" s="79"/>
      <c r="G499" s="79"/>
      <c r="H499" s="79"/>
      <c r="I499" s="79">
        <f>SUM(G499:H499)+'BM 003'!I499</f>
        <v>0</v>
      </c>
      <c r="J499" s="79">
        <f t="shared" si="205"/>
        <v>14</v>
      </c>
      <c r="K499" s="84">
        <v>24.003</v>
      </c>
      <c r="L499" s="81">
        <f t="shared" si="204"/>
        <v>30.426205440330001</v>
      </c>
      <c r="M499" s="82">
        <f t="shared" si="209"/>
        <v>0</v>
      </c>
      <c r="N499" s="82">
        <f t="shared" si="210"/>
        <v>0</v>
      </c>
      <c r="O499" s="82">
        <f>N499+'BM 003'!O499</f>
        <v>0</v>
      </c>
      <c r="P499" s="80">
        <f t="shared" si="211"/>
        <v>336.04200000000003</v>
      </c>
      <c r="Q499" s="82">
        <f t="shared" si="212"/>
        <v>425.96</v>
      </c>
      <c r="R499" s="82">
        <f t="shared" si="213"/>
        <v>425.96</v>
      </c>
    </row>
    <row r="500" spans="2:18" s="34" customFormat="1" ht="23.4">
      <c r="B500" s="75" t="s">
        <v>975</v>
      </c>
      <c r="C500" s="76" t="s">
        <v>976</v>
      </c>
      <c r="D500" s="77" t="s">
        <v>131</v>
      </c>
      <c r="E500" s="78">
        <v>47</v>
      </c>
      <c r="F500" s="79"/>
      <c r="G500" s="79"/>
      <c r="H500" s="79"/>
      <c r="I500" s="79">
        <f>SUM(G500:H500)+'BM 003'!I500</f>
        <v>0</v>
      </c>
      <c r="J500" s="79">
        <f t="shared" si="205"/>
        <v>47</v>
      </c>
      <c r="K500" s="84">
        <v>54.7425</v>
      </c>
      <c r="L500" s="81">
        <f t="shared" si="204"/>
        <v>69.391599021675006</v>
      </c>
      <c r="M500" s="82">
        <f t="shared" si="209"/>
        <v>0</v>
      </c>
      <c r="N500" s="82">
        <f t="shared" si="210"/>
        <v>0</v>
      </c>
      <c r="O500" s="82">
        <f>N500+'BM 003'!O500</f>
        <v>0</v>
      </c>
      <c r="P500" s="80">
        <f t="shared" si="211"/>
        <v>2572.8975</v>
      </c>
      <c r="Q500" s="82">
        <f t="shared" si="212"/>
        <v>3261.4</v>
      </c>
      <c r="R500" s="82">
        <f t="shared" si="213"/>
        <v>3261.4</v>
      </c>
    </row>
    <row r="501" spans="2:18" s="34" customFormat="1" ht="23.4">
      <c r="B501" s="75" t="s">
        <v>977</v>
      </c>
      <c r="C501" s="76" t="s">
        <v>978</v>
      </c>
      <c r="D501" s="77" t="s">
        <v>131</v>
      </c>
      <c r="E501" s="78">
        <v>3</v>
      </c>
      <c r="F501" s="79"/>
      <c r="G501" s="79"/>
      <c r="H501" s="79"/>
      <c r="I501" s="79">
        <f>SUM(G501:H501)+'BM 003'!I501</f>
        <v>0</v>
      </c>
      <c r="J501" s="79">
        <f t="shared" si="205"/>
        <v>3</v>
      </c>
      <c r="K501" s="84">
        <v>79.393500000000003</v>
      </c>
      <c r="L501" s="81">
        <f t="shared" si="204"/>
        <v>100.63920933328501</v>
      </c>
      <c r="M501" s="82">
        <f t="shared" si="209"/>
        <v>0</v>
      </c>
      <c r="N501" s="82">
        <f t="shared" si="210"/>
        <v>0</v>
      </c>
      <c r="O501" s="82">
        <f>N501+'BM 003'!O501</f>
        <v>0</v>
      </c>
      <c r="P501" s="80">
        <f t="shared" si="211"/>
        <v>238.18049999999999</v>
      </c>
      <c r="Q501" s="82">
        <f t="shared" si="212"/>
        <v>301.91000000000003</v>
      </c>
      <c r="R501" s="82">
        <f t="shared" si="213"/>
        <v>301.91000000000003</v>
      </c>
    </row>
    <row r="502" spans="2:18" s="34" customFormat="1" ht="34.799999999999997">
      <c r="B502" s="75" t="s">
        <v>979</v>
      </c>
      <c r="C502" s="76" t="s">
        <v>980</v>
      </c>
      <c r="D502" s="77" t="s">
        <v>131</v>
      </c>
      <c r="E502" s="78">
        <v>3</v>
      </c>
      <c r="F502" s="79"/>
      <c r="G502" s="79"/>
      <c r="H502" s="79"/>
      <c r="I502" s="79">
        <f>SUM(G502:H502)+'BM 003'!I502</f>
        <v>0</v>
      </c>
      <c r="J502" s="79">
        <f t="shared" si="205"/>
        <v>3</v>
      </c>
      <c r="K502" s="84">
        <v>634.5</v>
      </c>
      <c r="L502" s="81">
        <f t="shared" si="204"/>
        <v>804.29226979500004</v>
      </c>
      <c r="M502" s="82">
        <f t="shared" si="209"/>
        <v>0</v>
      </c>
      <c r="N502" s="82">
        <f t="shared" si="210"/>
        <v>0</v>
      </c>
      <c r="O502" s="82">
        <f>N502+'BM 003'!O502</f>
        <v>0</v>
      </c>
      <c r="P502" s="80">
        <f t="shared" si="211"/>
        <v>1903.5</v>
      </c>
      <c r="Q502" s="82">
        <f t="shared" si="212"/>
        <v>2412.87</v>
      </c>
      <c r="R502" s="82">
        <f t="shared" si="213"/>
        <v>2412.87</v>
      </c>
    </row>
    <row r="503" spans="2:18" s="34" customFormat="1" ht="23.4">
      <c r="B503" s="75" t="s">
        <v>981</v>
      </c>
      <c r="C503" s="76" t="s">
        <v>982</v>
      </c>
      <c r="D503" s="77" t="s">
        <v>131</v>
      </c>
      <c r="E503" s="78">
        <v>6</v>
      </c>
      <c r="F503" s="79"/>
      <c r="G503" s="79"/>
      <c r="H503" s="79"/>
      <c r="I503" s="79">
        <f>SUM(G503:H503)+'BM 003'!I503</f>
        <v>0</v>
      </c>
      <c r="J503" s="79">
        <f t="shared" si="205"/>
        <v>6</v>
      </c>
      <c r="K503" s="84">
        <v>985</v>
      </c>
      <c r="L503" s="81">
        <f t="shared" si="204"/>
        <v>1248.5861083500001</v>
      </c>
      <c r="M503" s="82">
        <f t="shared" si="209"/>
        <v>0</v>
      </c>
      <c r="N503" s="82">
        <f t="shared" si="210"/>
        <v>0</v>
      </c>
      <c r="O503" s="82">
        <f>N503+'BM 003'!O503</f>
        <v>0</v>
      </c>
      <c r="P503" s="80">
        <f t="shared" si="211"/>
        <v>5910</v>
      </c>
      <c r="Q503" s="82">
        <f t="shared" si="212"/>
        <v>7491.51</v>
      </c>
      <c r="R503" s="82">
        <f t="shared" si="213"/>
        <v>7491.51</v>
      </c>
    </row>
    <row r="504" spans="2:18" s="34" customFormat="1" ht="23.4">
      <c r="B504" s="75" t="s">
        <v>983</v>
      </c>
      <c r="C504" s="76" t="s">
        <v>984</v>
      </c>
      <c r="D504" s="77" t="s">
        <v>131</v>
      </c>
      <c r="E504" s="78">
        <v>6</v>
      </c>
      <c r="F504" s="79"/>
      <c r="G504" s="79"/>
      <c r="H504" s="79"/>
      <c r="I504" s="79">
        <f>SUM(G504:H504)+'BM 003'!I504</f>
        <v>0</v>
      </c>
      <c r="J504" s="79">
        <f t="shared" si="205"/>
        <v>6</v>
      </c>
      <c r="K504" s="84">
        <v>895</v>
      </c>
      <c r="L504" s="81">
        <f t="shared" si="204"/>
        <v>1134.5020984499999</v>
      </c>
      <c r="M504" s="82">
        <f t="shared" si="209"/>
        <v>0</v>
      </c>
      <c r="N504" s="82">
        <f t="shared" si="210"/>
        <v>0</v>
      </c>
      <c r="O504" s="82">
        <f>N504+'BM 003'!O504</f>
        <v>0</v>
      </c>
      <c r="P504" s="80">
        <f t="shared" si="211"/>
        <v>5370</v>
      </c>
      <c r="Q504" s="82">
        <f t="shared" si="212"/>
        <v>6807.01</v>
      </c>
      <c r="R504" s="82">
        <f t="shared" si="213"/>
        <v>6807.01</v>
      </c>
    </row>
    <row r="505" spans="2:18" s="34" customFormat="1" ht="23.4">
      <c r="B505" s="75" t="s">
        <v>985</v>
      </c>
      <c r="C505" s="76" t="s">
        <v>986</v>
      </c>
      <c r="D505" s="77" t="s">
        <v>131</v>
      </c>
      <c r="E505" s="78">
        <v>6</v>
      </c>
      <c r="F505" s="79"/>
      <c r="G505" s="79"/>
      <c r="H505" s="79"/>
      <c r="I505" s="79">
        <f>SUM(G505:H505)+'BM 003'!I505</f>
        <v>0</v>
      </c>
      <c r="J505" s="79">
        <f t="shared" si="205"/>
        <v>6</v>
      </c>
      <c r="K505" s="84">
        <v>895</v>
      </c>
      <c r="L505" s="81">
        <f t="shared" si="204"/>
        <v>1134.5020984499999</v>
      </c>
      <c r="M505" s="82">
        <f t="shared" si="209"/>
        <v>0</v>
      </c>
      <c r="N505" s="82">
        <f t="shared" si="210"/>
        <v>0</v>
      </c>
      <c r="O505" s="82">
        <f>N505+'BM 003'!O505</f>
        <v>0</v>
      </c>
      <c r="P505" s="80">
        <f t="shared" si="211"/>
        <v>5370</v>
      </c>
      <c r="Q505" s="82">
        <f t="shared" si="212"/>
        <v>6807.01</v>
      </c>
      <c r="R505" s="82">
        <f t="shared" si="213"/>
        <v>6807.01</v>
      </c>
    </row>
    <row r="506" spans="2:18" s="34" customFormat="1" ht="34.799999999999997">
      <c r="B506" s="75" t="s">
        <v>987</v>
      </c>
      <c r="C506" s="76" t="s">
        <v>988</v>
      </c>
      <c r="D506" s="77" t="s">
        <v>131</v>
      </c>
      <c r="E506" s="78">
        <v>20</v>
      </c>
      <c r="F506" s="79"/>
      <c r="G506" s="79"/>
      <c r="H506" s="79"/>
      <c r="I506" s="79">
        <f>SUM(G506:H506)+'BM 003'!I506</f>
        <v>0</v>
      </c>
      <c r="J506" s="79">
        <f t="shared" si="205"/>
        <v>20</v>
      </c>
      <c r="K506" s="84">
        <v>625</v>
      </c>
      <c r="L506" s="81">
        <f t="shared" si="204"/>
        <v>792.25006875000008</v>
      </c>
      <c r="M506" s="82">
        <f t="shared" si="209"/>
        <v>0</v>
      </c>
      <c r="N506" s="82">
        <f t="shared" si="210"/>
        <v>0</v>
      </c>
      <c r="O506" s="82">
        <f>N506+'BM 003'!O506</f>
        <v>0</v>
      </c>
      <c r="P506" s="80">
        <f t="shared" si="211"/>
        <v>12500</v>
      </c>
      <c r="Q506" s="82">
        <f t="shared" si="212"/>
        <v>15845</v>
      </c>
      <c r="R506" s="82">
        <f t="shared" si="213"/>
        <v>15845</v>
      </c>
    </row>
    <row r="507" spans="2:18" s="34" customFormat="1" ht="13.2">
      <c r="B507" s="60" t="s">
        <v>989</v>
      </c>
      <c r="C507" s="61" t="s">
        <v>990</v>
      </c>
      <c r="D507" s="60"/>
      <c r="E507" s="62"/>
      <c r="F507" s="63"/>
      <c r="G507" s="63"/>
      <c r="H507" s="63"/>
      <c r="I507" s="63">
        <f>SUM(G507:H507)+'BM 003'!I507</f>
        <v>0</v>
      </c>
      <c r="J507" s="63">
        <f t="shared" si="205"/>
        <v>0</v>
      </c>
      <c r="K507" s="63"/>
      <c r="L507" s="63">
        <f t="shared" si="204"/>
        <v>0</v>
      </c>
      <c r="M507" s="63">
        <f t="shared" ref="M507:R507" si="214">SUM(M508,M520,M552,M554)</f>
        <v>0</v>
      </c>
      <c r="N507" s="63">
        <f t="shared" si="214"/>
        <v>0</v>
      </c>
      <c r="O507" s="63">
        <f t="shared" si="214"/>
        <v>0</v>
      </c>
      <c r="P507" s="63">
        <f t="shared" si="214"/>
        <v>248226.55</v>
      </c>
      <c r="Q507" s="63">
        <f t="shared" si="214"/>
        <v>314651.83</v>
      </c>
      <c r="R507" s="63">
        <f t="shared" si="214"/>
        <v>314651.83</v>
      </c>
    </row>
    <row r="508" spans="2:18" s="34" customFormat="1" ht="13.2">
      <c r="B508" s="66" t="s">
        <v>991</v>
      </c>
      <c r="C508" s="67" t="s">
        <v>992</v>
      </c>
      <c r="D508" s="68"/>
      <c r="E508" s="69"/>
      <c r="F508" s="70"/>
      <c r="G508" s="70"/>
      <c r="H508" s="70"/>
      <c r="I508" s="70">
        <f>SUM(G508:H508)+'BM 003'!I508</f>
        <v>0</v>
      </c>
      <c r="J508" s="70">
        <f t="shared" si="205"/>
        <v>0</v>
      </c>
      <c r="K508" s="71"/>
      <c r="L508" s="71">
        <f t="shared" si="204"/>
        <v>0</v>
      </c>
      <c r="M508" s="73">
        <f t="shared" ref="M508:R508" si="215">SUM(M509:M519)</f>
        <v>0</v>
      </c>
      <c r="N508" s="73">
        <f t="shared" si="215"/>
        <v>0</v>
      </c>
      <c r="O508" s="73">
        <f t="shared" si="215"/>
        <v>0</v>
      </c>
      <c r="P508" s="73">
        <f t="shared" si="215"/>
        <v>96780</v>
      </c>
      <c r="Q508" s="73">
        <f t="shared" si="215"/>
        <v>122678.3</v>
      </c>
      <c r="R508" s="73">
        <f t="shared" si="215"/>
        <v>122678.3</v>
      </c>
    </row>
    <row r="509" spans="2:18" s="34" customFormat="1" ht="23.4">
      <c r="B509" s="75" t="s">
        <v>993</v>
      </c>
      <c r="C509" s="76" t="s">
        <v>994</v>
      </c>
      <c r="D509" s="77" t="s">
        <v>124</v>
      </c>
      <c r="E509" s="93">
        <v>300</v>
      </c>
      <c r="F509" s="79"/>
      <c r="G509" s="79"/>
      <c r="H509" s="79"/>
      <c r="I509" s="79">
        <f>SUM(G509:H509)+'BM 003'!I509</f>
        <v>0</v>
      </c>
      <c r="J509" s="79">
        <f t="shared" si="205"/>
        <v>300</v>
      </c>
      <c r="K509" s="84">
        <v>18</v>
      </c>
      <c r="L509" s="81">
        <f t="shared" si="204"/>
        <v>22.816801980000001</v>
      </c>
      <c r="M509" s="82">
        <f t="shared" ref="M509:M519" si="216">TRUNC(F509*L509,2)</f>
        <v>0</v>
      </c>
      <c r="N509" s="82">
        <f t="shared" ref="N509:N519" si="217">TRUNC(G509*L509,2)</f>
        <v>0</v>
      </c>
      <c r="O509" s="82">
        <f>N509+'BM 003'!O509</f>
        <v>0</v>
      </c>
      <c r="P509" s="80">
        <f t="shared" ref="P509:P519" si="218">E509*K509</f>
        <v>5400</v>
      </c>
      <c r="Q509" s="82">
        <f t="shared" ref="Q509:Q519" si="219">TRUNC(E509*L509,2)</f>
        <v>6845.04</v>
      </c>
      <c r="R509" s="82">
        <f t="shared" ref="R509:R519" si="220">Q509-O509</f>
        <v>6845.04</v>
      </c>
    </row>
    <row r="510" spans="2:18" s="34" customFormat="1" ht="34.799999999999997">
      <c r="B510" s="75" t="s">
        <v>995</v>
      </c>
      <c r="C510" s="76" t="s">
        <v>996</v>
      </c>
      <c r="D510" s="77" t="s">
        <v>390</v>
      </c>
      <c r="E510" s="93">
        <v>60</v>
      </c>
      <c r="F510" s="79"/>
      <c r="G510" s="79"/>
      <c r="H510" s="79"/>
      <c r="I510" s="79">
        <f>SUM(G510:H510)+'BM 003'!I510</f>
        <v>0</v>
      </c>
      <c r="J510" s="79">
        <f t="shared" si="205"/>
        <v>60</v>
      </c>
      <c r="K510" s="84">
        <v>39</v>
      </c>
      <c r="L510" s="81">
        <f t="shared" si="204"/>
        <v>49.436404289999999</v>
      </c>
      <c r="M510" s="82">
        <f t="shared" si="216"/>
        <v>0</v>
      </c>
      <c r="N510" s="82">
        <f t="shared" si="217"/>
        <v>0</v>
      </c>
      <c r="O510" s="82">
        <f>N510+'BM 003'!O510</f>
        <v>0</v>
      </c>
      <c r="P510" s="80">
        <f t="shared" si="218"/>
        <v>2340</v>
      </c>
      <c r="Q510" s="82">
        <f t="shared" si="219"/>
        <v>2966.18</v>
      </c>
      <c r="R510" s="82">
        <f t="shared" si="220"/>
        <v>2966.18</v>
      </c>
    </row>
    <row r="511" spans="2:18" s="34" customFormat="1" ht="13.2">
      <c r="B511" s="75" t="s">
        <v>997</v>
      </c>
      <c r="C511" s="76" t="s">
        <v>998</v>
      </c>
      <c r="D511" s="77" t="s">
        <v>390</v>
      </c>
      <c r="E511" s="93">
        <v>60</v>
      </c>
      <c r="F511" s="79"/>
      <c r="G511" s="79"/>
      <c r="H511" s="79"/>
      <c r="I511" s="79">
        <f>SUM(G511:H511)+'BM 003'!I511</f>
        <v>0</v>
      </c>
      <c r="J511" s="79">
        <f t="shared" si="205"/>
        <v>60</v>
      </c>
      <c r="K511" s="84">
        <v>18</v>
      </c>
      <c r="L511" s="81">
        <f t="shared" si="204"/>
        <v>22.816801980000001</v>
      </c>
      <c r="M511" s="82">
        <f t="shared" si="216"/>
        <v>0</v>
      </c>
      <c r="N511" s="82">
        <f t="shared" si="217"/>
        <v>0</v>
      </c>
      <c r="O511" s="82">
        <f>N511+'BM 003'!O511</f>
        <v>0</v>
      </c>
      <c r="P511" s="80">
        <f t="shared" si="218"/>
        <v>1080</v>
      </c>
      <c r="Q511" s="82">
        <f t="shared" si="219"/>
        <v>1369</v>
      </c>
      <c r="R511" s="82">
        <f t="shared" si="220"/>
        <v>1369</v>
      </c>
    </row>
    <row r="512" spans="2:18" s="34" customFormat="1" ht="46.2">
      <c r="B512" s="75" t="s">
        <v>999</v>
      </c>
      <c r="C512" s="76" t="s">
        <v>1000</v>
      </c>
      <c r="D512" s="77" t="s">
        <v>124</v>
      </c>
      <c r="E512" s="93">
        <v>210</v>
      </c>
      <c r="F512" s="79"/>
      <c r="G512" s="79"/>
      <c r="H512" s="79"/>
      <c r="I512" s="79">
        <f>SUM(G512:H512)+'BM 003'!I512</f>
        <v>0</v>
      </c>
      <c r="J512" s="79">
        <f t="shared" si="205"/>
        <v>210</v>
      </c>
      <c r="K512" s="84">
        <v>40</v>
      </c>
      <c r="L512" s="81">
        <f t="shared" si="204"/>
        <v>50.704004400000002</v>
      </c>
      <c r="M512" s="82">
        <f t="shared" si="216"/>
        <v>0</v>
      </c>
      <c r="N512" s="82">
        <f t="shared" si="217"/>
        <v>0</v>
      </c>
      <c r="O512" s="82">
        <f>N512+'BM 003'!O512</f>
        <v>0</v>
      </c>
      <c r="P512" s="80">
        <f t="shared" si="218"/>
        <v>8400</v>
      </c>
      <c r="Q512" s="82">
        <f t="shared" si="219"/>
        <v>10647.84</v>
      </c>
      <c r="R512" s="82">
        <f t="shared" si="220"/>
        <v>10647.84</v>
      </c>
    </row>
    <row r="513" spans="2:18" s="34" customFormat="1" ht="46.2">
      <c r="B513" s="75" t="s">
        <v>1001</v>
      </c>
      <c r="C513" s="76" t="s">
        <v>1002</v>
      </c>
      <c r="D513" s="77" t="s">
        <v>124</v>
      </c>
      <c r="E513" s="93">
        <v>120</v>
      </c>
      <c r="F513" s="79"/>
      <c r="G513" s="79"/>
      <c r="H513" s="79"/>
      <c r="I513" s="79">
        <f>SUM(G513:H513)+'BM 003'!I513</f>
        <v>0</v>
      </c>
      <c r="J513" s="79">
        <f t="shared" si="205"/>
        <v>120</v>
      </c>
      <c r="K513" s="84">
        <v>75</v>
      </c>
      <c r="L513" s="81">
        <f t="shared" si="204"/>
        <v>95.070008250000001</v>
      </c>
      <c r="M513" s="82">
        <f t="shared" si="216"/>
        <v>0</v>
      </c>
      <c r="N513" s="82">
        <f t="shared" si="217"/>
        <v>0</v>
      </c>
      <c r="O513" s="82">
        <f>N513+'BM 003'!O513</f>
        <v>0</v>
      </c>
      <c r="P513" s="80">
        <f t="shared" si="218"/>
        <v>9000</v>
      </c>
      <c r="Q513" s="82">
        <f t="shared" si="219"/>
        <v>11408.4</v>
      </c>
      <c r="R513" s="82">
        <f t="shared" si="220"/>
        <v>11408.4</v>
      </c>
    </row>
    <row r="514" spans="2:18" s="34" customFormat="1" ht="46.2">
      <c r="B514" s="75" t="s">
        <v>1003</v>
      </c>
      <c r="C514" s="76" t="s">
        <v>1004</v>
      </c>
      <c r="D514" s="77" t="s">
        <v>124</v>
      </c>
      <c r="E514" s="93">
        <v>36</v>
      </c>
      <c r="F514" s="79"/>
      <c r="G514" s="79"/>
      <c r="H514" s="79"/>
      <c r="I514" s="79">
        <f>SUM(G514:H514)+'BM 003'!I514</f>
        <v>0</v>
      </c>
      <c r="J514" s="79">
        <f t="shared" si="205"/>
        <v>36</v>
      </c>
      <c r="K514" s="84">
        <v>130</v>
      </c>
      <c r="L514" s="81">
        <f t="shared" si="204"/>
        <v>164.78801430000001</v>
      </c>
      <c r="M514" s="82">
        <f t="shared" si="216"/>
        <v>0</v>
      </c>
      <c r="N514" s="82">
        <f t="shared" si="217"/>
        <v>0</v>
      </c>
      <c r="O514" s="82">
        <f>N514+'BM 003'!O514</f>
        <v>0</v>
      </c>
      <c r="P514" s="80">
        <f t="shared" si="218"/>
        <v>4680</v>
      </c>
      <c r="Q514" s="82">
        <f t="shared" si="219"/>
        <v>5932.36</v>
      </c>
      <c r="R514" s="82">
        <f t="shared" si="220"/>
        <v>5932.36</v>
      </c>
    </row>
    <row r="515" spans="2:18" s="34" customFormat="1" ht="46.2">
      <c r="B515" s="75" t="s">
        <v>1005</v>
      </c>
      <c r="C515" s="76" t="s">
        <v>1006</v>
      </c>
      <c r="D515" s="77" t="s">
        <v>124</v>
      </c>
      <c r="E515" s="93">
        <v>36</v>
      </c>
      <c r="F515" s="79"/>
      <c r="G515" s="79"/>
      <c r="H515" s="79"/>
      <c r="I515" s="79">
        <f>SUM(G515:H515)+'BM 003'!I515</f>
        <v>0</v>
      </c>
      <c r="J515" s="79">
        <f t="shared" si="205"/>
        <v>36</v>
      </c>
      <c r="K515" s="84">
        <v>180</v>
      </c>
      <c r="L515" s="81">
        <f t="shared" si="204"/>
        <v>228.16801980000002</v>
      </c>
      <c r="M515" s="82">
        <f t="shared" si="216"/>
        <v>0</v>
      </c>
      <c r="N515" s="82">
        <f t="shared" si="217"/>
        <v>0</v>
      </c>
      <c r="O515" s="82">
        <f>N515+'BM 003'!O515</f>
        <v>0</v>
      </c>
      <c r="P515" s="80">
        <f t="shared" si="218"/>
        <v>6480</v>
      </c>
      <c r="Q515" s="82">
        <f t="shared" si="219"/>
        <v>8214.0400000000009</v>
      </c>
      <c r="R515" s="82">
        <f t="shared" si="220"/>
        <v>8214.0400000000009</v>
      </c>
    </row>
    <row r="516" spans="2:18" s="34" customFormat="1" ht="46.2">
      <c r="B516" s="75" t="s">
        <v>1007</v>
      </c>
      <c r="C516" s="76" t="s">
        <v>1008</v>
      </c>
      <c r="D516" s="77" t="s">
        <v>124</v>
      </c>
      <c r="E516" s="93">
        <v>120</v>
      </c>
      <c r="F516" s="79"/>
      <c r="G516" s="79"/>
      <c r="H516" s="79"/>
      <c r="I516" s="79">
        <f>SUM(G516:H516)+'BM 003'!I516</f>
        <v>0</v>
      </c>
      <c r="J516" s="79">
        <f t="shared" si="205"/>
        <v>120</v>
      </c>
      <c r="K516" s="84">
        <v>110</v>
      </c>
      <c r="L516" s="81">
        <f t="shared" si="204"/>
        <v>139.4360121</v>
      </c>
      <c r="M516" s="82">
        <f t="shared" si="216"/>
        <v>0</v>
      </c>
      <c r="N516" s="82">
        <f t="shared" si="217"/>
        <v>0</v>
      </c>
      <c r="O516" s="82">
        <f>N516+'BM 003'!O516</f>
        <v>0</v>
      </c>
      <c r="P516" s="80">
        <f t="shared" si="218"/>
        <v>13200</v>
      </c>
      <c r="Q516" s="82">
        <f t="shared" si="219"/>
        <v>16732.32</v>
      </c>
      <c r="R516" s="82">
        <f t="shared" si="220"/>
        <v>16732.32</v>
      </c>
    </row>
    <row r="517" spans="2:18" s="34" customFormat="1" ht="46.2">
      <c r="B517" s="75" t="s">
        <v>1009</v>
      </c>
      <c r="C517" s="76" t="s">
        <v>1010</v>
      </c>
      <c r="D517" s="77" t="s">
        <v>124</v>
      </c>
      <c r="E517" s="93">
        <v>120</v>
      </c>
      <c r="F517" s="79"/>
      <c r="G517" s="79"/>
      <c r="H517" s="79"/>
      <c r="I517" s="79">
        <f>SUM(G517:H517)+'BM 003'!I517</f>
        <v>0</v>
      </c>
      <c r="J517" s="79">
        <f t="shared" si="205"/>
        <v>120</v>
      </c>
      <c r="K517" s="84">
        <v>50</v>
      </c>
      <c r="L517" s="81">
        <f t="shared" si="204"/>
        <v>63.380005500000003</v>
      </c>
      <c r="M517" s="82">
        <f t="shared" si="216"/>
        <v>0</v>
      </c>
      <c r="N517" s="82">
        <f t="shared" si="217"/>
        <v>0</v>
      </c>
      <c r="O517" s="82">
        <f>N517+'BM 003'!O517</f>
        <v>0</v>
      </c>
      <c r="P517" s="80">
        <f t="shared" si="218"/>
        <v>6000</v>
      </c>
      <c r="Q517" s="82">
        <f t="shared" si="219"/>
        <v>7605.6</v>
      </c>
      <c r="R517" s="82">
        <f t="shared" si="220"/>
        <v>7605.6</v>
      </c>
    </row>
    <row r="518" spans="2:18" s="34" customFormat="1" ht="46.2">
      <c r="B518" s="75" t="s">
        <v>1011</v>
      </c>
      <c r="C518" s="76" t="s">
        <v>1012</v>
      </c>
      <c r="D518" s="77" t="s">
        <v>124</v>
      </c>
      <c r="E518" s="93">
        <v>120</v>
      </c>
      <c r="F518" s="79"/>
      <c r="G518" s="79"/>
      <c r="H518" s="79"/>
      <c r="I518" s="79">
        <f>SUM(G518:H518)+'BM 003'!I518</f>
        <v>0</v>
      </c>
      <c r="J518" s="79">
        <f t="shared" si="205"/>
        <v>120</v>
      </c>
      <c r="K518" s="84">
        <v>60</v>
      </c>
      <c r="L518" s="81">
        <f t="shared" si="204"/>
        <v>76.056006600000003</v>
      </c>
      <c r="M518" s="82">
        <f t="shared" si="216"/>
        <v>0</v>
      </c>
      <c r="N518" s="82">
        <f t="shared" si="217"/>
        <v>0</v>
      </c>
      <c r="O518" s="82">
        <f>N518+'BM 003'!O518</f>
        <v>0</v>
      </c>
      <c r="P518" s="80">
        <f t="shared" si="218"/>
        <v>7200</v>
      </c>
      <c r="Q518" s="82">
        <f t="shared" si="219"/>
        <v>9126.7199999999993</v>
      </c>
      <c r="R518" s="82">
        <f t="shared" si="220"/>
        <v>9126.7199999999993</v>
      </c>
    </row>
    <row r="519" spans="2:18" s="34" customFormat="1" ht="57.6">
      <c r="B519" s="75" t="s">
        <v>1013</v>
      </c>
      <c r="C519" s="76" t="s">
        <v>1014</v>
      </c>
      <c r="D519" s="77" t="s">
        <v>124</v>
      </c>
      <c r="E519" s="78">
        <v>300</v>
      </c>
      <c r="F519" s="79"/>
      <c r="G519" s="79"/>
      <c r="H519" s="79"/>
      <c r="I519" s="79">
        <f>SUM(G519:H519)+'BM 003'!I519</f>
        <v>0</v>
      </c>
      <c r="J519" s="79">
        <f t="shared" si="205"/>
        <v>300</v>
      </c>
      <c r="K519" s="84">
        <v>110</v>
      </c>
      <c r="L519" s="81">
        <f t="shared" si="204"/>
        <v>139.4360121</v>
      </c>
      <c r="M519" s="82">
        <f t="shared" si="216"/>
        <v>0</v>
      </c>
      <c r="N519" s="82">
        <f t="shared" si="217"/>
        <v>0</v>
      </c>
      <c r="O519" s="82">
        <f>N519+'BM 003'!O519</f>
        <v>0</v>
      </c>
      <c r="P519" s="80">
        <f t="shared" si="218"/>
        <v>33000</v>
      </c>
      <c r="Q519" s="82">
        <f t="shared" si="219"/>
        <v>41830.800000000003</v>
      </c>
      <c r="R519" s="82">
        <f t="shared" si="220"/>
        <v>41830.800000000003</v>
      </c>
    </row>
    <row r="520" spans="2:18" s="34" customFormat="1" ht="24">
      <c r="B520" s="66" t="s">
        <v>1015</v>
      </c>
      <c r="C520" s="67" t="s">
        <v>1016</v>
      </c>
      <c r="D520" s="68"/>
      <c r="E520" s="69"/>
      <c r="F520" s="70"/>
      <c r="G520" s="70"/>
      <c r="H520" s="70"/>
      <c r="I520" s="70">
        <f>SUM(G520:H520)+'BM 003'!I520</f>
        <v>0</v>
      </c>
      <c r="J520" s="70">
        <f t="shared" si="205"/>
        <v>0</v>
      </c>
      <c r="K520" s="71"/>
      <c r="L520" s="71">
        <f t="shared" si="204"/>
        <v>0</v>
      </c>
      <c r="M520" s="73">
        <f t="shared" ref="M520:R520" si="221">SUM(M521:M551)</f>
        <v>0</v>
      </c>
      <c r="N520" s="73">
        <f t="shared" si="221"/>
        <v>0</v>
      </c>
      <c r="O520" s="73">
        <f t="shared" si="221"/>
        <v>0</v>
      </c>
      <c r="P520" s="73">
        <f t="shared" si="221"/>
        <v>88676.55</v>
      </c>
      <c r="Q520" s="73">
        <f t="shared" si="221"/>
        <v>112406.29000000001</v>
      </c>
      <c r="R520" s="73">
        <f t="shared" si="221"/>
        <v>112406.29000000001</v>
      </c>
    </row>
    <row r="521" spans="2:18" s="34" customFormat="1" ht="46.2">
      <c r="B521" s="75" t="s">
        <v>1017</v>
      </c>
      <c r="C521" s="76" t="s">
        <v>1018</v>
      </c>
      <c r="D521" s="77" t="s">
        <v>39</v>
      </c>
      <c r="E521" s="78">
        <v>10</v>
      </c>
      <c r="F521" s="79"/>
      <c r="G521" s="79"/>
      <c r="H521" s="79"/>
      <c r="I521" s="79">
        <f>SUM(G521:H521)+'BM 003'!I521</f>
        <v>0</v>
      </c>
      <c r="J521" s="79">
        <f t="shared" si="205"/>
        <v>10</v>
      </c>
      <c r="K521" s="84">
        <v>198</v>
      </c>
      <c r="L521" s="81">
        <f t="shared" si="204"/>
        <v>250.98482178</v>
      </c>
      <c r="M521" s="82">
        <f t="shared" ref="M521:M551" si="222">TRUNC(F521*L521,2)</f>
        <v>0</v>
      </c>
      <c r="N521" s="82">
        <f t="shared" ref="N521:N551" si="223">TRUNC(G521*L521,2)</f>
        <v>0</v>
      </c>
      <c r="O521" s="82">
        <f>N521+'BM 003'!O521</f>
        <v>0</v>
      </c>
      <c r="P521" s="80">
        <f t="shared" ref="P521:P551" si="224">E521*K521</f>
        <v>1980</v>
      </c>
      <c r="Q521" s="82">
        <f t="shared" ref="Q521:Q551" si="225">TRUNC(E521*L521,2)</f>
        <v>2509.84</v>
      </c>
      <c r="R521" s="82">
        <f t="shared" ref="R521:R551" si="226">Q521-O521</f>
        <v>2509.84</v>
      </c>
    </row>
    <row r="522" spans="2:18" s="34" customFormat="1" ht="46.2">
      <c r="B522" s="75" t="s">
        <v>1019</v>
      </c>
      <c r="C522" s="76" t="s">
        <v>1020</v>
      </c>
      <c r="D522" s="77" t="s">
        <v>39</v>
      </c>
      <c r="E522" s="78">
        <v>173</v>
      </c>
      <c r="F522" s="79"/>
      <c r="G522" s="79"/>
      <c r="H522" s="79"/>
      <c r="I522" s="79">
        <f>SUM(G522:H522)+'BM 003'!I522</f>
        <v>0</v>
      </c>
      <c r="J522" s="79">
        <f t="shared" si="205"/>
        <v>173</v>
      </c>
      <c r="K522" s="84">
        <v>18</v>
      </c>
      <c r="L522" s="81">
        <f t="shared" si="204"/>
        <v>22.816801980000001</v>
      </c>
      <c r="M522" s="82">
        <f t="shared" si="222"/>
        <v>0</v>
      </c>
      <c r="N522" s="82">
        <f t="shared" si="223"/>
        <v>0</v>
      </c>
      <c r="O522" s="82">
        <f>N522+'BM 003'!O522</f>
        <v>0</v>
      </c>
      <c r="P522" s="80">
        <f t="shared" si="224"/>
        <v>3114</v>
      </c>
      <c r="Q522" s="82">
        <f t="shared" si="225"/>
        <v>3947.3</v>
      </c>
      <c r="R522" s="82">
        <f t="shared" si="226"/>
        <v>3947.3</v>
      </c>
    </row>
    <row r="523" spans="2:18" s="34" customFormat="1" ht="46.2">
      <c r="B523" s="75" t="s">
        <v>1021</v>
      </c>
      <c r="C523" s="76" t="s">
        <v>1022</v>
      </c>
      <c r="D523" s="77" t="s">
        <v>39</v>
      </c>
      <c r="E523" s="78">
        <v>7</v>
      </c>
      <c r="F523" s="79"/>
      <c r="G523" s="79"/>
      <c r="H523" s="79"/>
      <c r="I523" s="79">
        <f>SUM(G523:H523)+'BM 003'!I523</f>
        <v>0</v>
      </c>
      <c r="J523" s="79">
        <f t="shared" si="205"/>
        <v>7</v>
      </c>
      <c r="K523" s="84">
        <v>69</v>
      </c>
      <c r="L523" s="81">
        <f t="shared" si="204"/>
        <v>87.464407590000008</v>
      </c>
      <c r="M523" s="82">
        <f t="shared" si="222"/>
        <v>0</v>
      </c>
      <c r="N523" s="82">
        <f t="shared" si="223"/>
        <v>0</v>
      </c>
      <c r="O523" s="82">
        <f>N523+'BM 003'!O523</f>
        <v>0</v>
      </c>
      <c r="P523" s="80">
        <f t="shared" si="224"/>
        <v>483</v>
      </c>
      <c r="Q523" s="82">
        <f t="shared" si="225"/>
        <v>612.25</v>
      </c>
      <c r="R523" s="82">
        <f t="shared" si="226"/>
        <v>612.25</v>
      </c>
    </row>
    <row r="524" spans="2:18" s="34" customFormat="1" ht="46.2">
      <c r="B524" s="75" t="s">
        <v>1023</v>
      </c>
      <c r="C524" s="76" t="s">
        <v>1024</v>
      </c>
      <c r="D524" s="77" t="s">
        <v>39</v>
      </c>
      <c r="E524" s="78">
        <v>30</v>
      </c>
      <c r="F524" s="79"/>
      <c r="G524" s="79"/>
      <c r="H524" s="79"/>
      <c r="I524" s="79">
        <f>SUM(G524:H524)+'BM 003'!I524</f>
        <v>0</v>
      </c>
      <c r="J524" s="79">
        <f t="shared" si="205"/>
        <v>30</v>
      </c>
      <c r="K524" s="84">
        <v>94.65</v>
      </c>
      <c r="L524" s="81">
        <f t="shared" si="204"/>
        <v>119.97835041150002</v>
      </c>
      <c r="M524" s="82">
        <f t="shared" si="222"/>
        <v>0</v>
      </c>
      <c r="N524" s="82">
        <f t="shared" si="223"/>
        <v>0</v>
      </c>
      <c r="O524" s="82">
        <f>N524+'BM 003'!O524</f>
        <v>0</v>
      </c>
      <c r="P524" s="80">
        <f t="shared" si="224"/>
        <v>2839.5</v>
      </c>
      <c r="Q524" s="82">
        <f t="shared" si="225"/>
        <v>3599.35</v>
      </c>
      <c r="R524" s="82">
        <f t="shared" si="226"/>
        <v>3599.35</v>
      </c>
    </row>
    <row r="525" spans="2:18" s="34" customFormat="1" ht="46.2">
      <c r="B525" s="75" t="s">
        <v>1025</v>
      </c>
      <c r="C525" s="76" t="s">
        <v>1026</v>
      </c>
      <c r="D525" s="77" t="s">
        <v>39</v>
      </c>
      <c r="E525" s="78">
        <v>40</v>
      </c>
      <c r="F525" s="79"/>
      <c r="G525" s="79"/>
      <c r="H525" s="79"/>
      <c r="I525" s="79">
        <f>SUM(G525:H525)+'BM 003'!I525</f>
        <v>0</v>
      </c>
      <c r="J525" s="79">
        <f t="shared" si="205"/>
        <v>40</v>
      </c>
      <c r="K525" s="84">
        <v>60.11</v>
      </c>
      <c r="L525" s="81">
        <f t="shared" si="204"/>
        <v>76.19544261210001</v>
      </c>
      <c r="M525" s="82">
        <f t="shared" si="222"/>
        <v>0</v>
      </c>
      <c r="N525" s="82">
        <f t="shared" si="223"/>
        <v>0</v>
      </c>
      <c r="O525" s="82">
        <f>N525+'BM 003'!O525</f>
        <v>0</v>
      </c>
      <c r="P525" s="80">
        <f t="shared" si="224"/>
        <v>2404.4</v>
      </c>
      <c r="Q525" s="82">
        <f t="shared" si="225"/>
        <v>3047.81</v>
      </c>
      <c r="R525" s="82">
        <f t="shared" si="226"/>
        <v>3047.81</v>
      </c>
    </row>
    <row r="526" spans="2:18" s="34" customFormat="1" ht="46.2">
      <c r="B526" s="75" t="s">
        <v>1027</v>
      </c>
      <c r="C526" s="76" t="s">
        <v>1028</v>
      </c>
      <c r="D526" s="77" t="s">
        <v>39</v>
      </c>
      <c r="E526" s="78">
        <v>50</v>
      </c>
      <c r="F526" s="79"/>
      <c r="G526" s="79"/>
      <c r="H526" s="79"/>
      <c r="I526" s="79">
        <f>SUM(G526:H526)+'BM 003'!I526</f>
        <v>0</v>
      </c>
      <c r="J526" s="79">
        <f t="shared" si="205"/>
        <v>50</v>
      </c>
      <c r="K526" s="84">
        <v>36.9</v>
      </c>
      <c r="L526" s="81">
        <f t="shared" si="204"/>
        <v>46.774444058999997</v>
      </c>
      <c r="M526" s="82">
        <f t="shared" si="222"/>
        <v>0</v>
      </c>
      <c r="N526" s="82">
        <f t="shared" si="223"/>
        <v>0</v>
      </c>
      <c r="O526" s="82">
        <f>N526+'BM 003'!O526</f>
        <v>0</v>
      </c>
      <c r="P526" s="80">
        <f t="shared" si="224"/>
        <v>1845</v>
      </c>
      <c r="Q526" s="82">
        <f t="shared" si="225"/>
        <v>2338.7199999999998</v>
      </c>
      <c r="R526" s="82">
        <f t="shared" si="226"/>
        <v>2338.7199999999998</v>
      </c>
    </row>
    <row r="527" spans="2:18" s="34" customFormat="1" ht="46.2">
      <c r="B527" s="75" t="s">
        <v>1029</v>
      </c>
      <c r="C527" s="76" t="s">
        <v>1030</v>
      </c>
      <c r="D527" s="77" t="s">
        <v>39</v>
      </c>
      <c r="E527" s="78">
        <v>50</v>
      </c>
      <c r="F527" s="79"/>
      <c r="G527" s="79"/>
      <c r="H527" s="79"/>
      <c r="I527" s="79">
        <f>SUM(G527:H527)+'BM 003'!I527</f>
        <v>0</v>
      </c>
      <c r="J527" s="79">
        <f t="shared" si="205"/>
        <v>50</v>
      </c>
      <c r="K527" s="84">
        <v>42.56</v>
      </c>
      <c r="L527" s="81">
        <f t="shared" si="204"/>
        <v>53.949060681600002</v>
      </c>
      <c r="M527" s="82">
        <f t="shared" si="222"/>
        <v>0</v>
      </c>
      <c r="N527" s="82">
        <f t="shared" si="223"/>
        <v>0</v>
      </c>
      <c r="O527" s="82">
        <f>N527+'BM 003'!O527</f>
        <v>0</v>
      </c>
      <c r="P527" s="80">
        <f t="shared" si="224"/>
        <v>2128</v>
      </c>
      <c r="Q527" s="82">
        <f t="shared" si="225"/>
        <v>2697.45</v>
      </c>
      <c r="R527" s="82">
        <f t="shared" si="226"/>
        <v>2697.45</v>
      </c>
    </row>
    <row r="528" spans="2:18" s="34" customFormat="1" ht="34.799999999999997">
      <c r="B528" s="75" t="s">
        <v>1031</v>
      </c>
      <c r="C528" s="76" t="s">
        <v>1032</v>
      </c>
      <c r="D528" s="77" t="s">
        <v>39</v>
      </c>
      <c r="E528" s="78">
        <v>20</v>
      </c>
      <c r="F528" s="79"/>
      <c r="G528" s="79"/>
      <c r="H528" s="79"/>
      <c r="I528" s="79">
        <f>SUM(G528:H528)+'BM 003'!I528</f>
        <v>0</v>
      </c>
      <c r="J528" s="79">
        <f t="shared" si="205"/>
        <v>20</v>
      </c>
      <c r="K528" s="84">
        <v>78.33</v>
      </c>
      <c r="L528" s="81">
        <f t="shared" si="204"/>
        <v>99.291116616300002</v>
      </c>
      <c r="M528" s="82">
        <f t="shared" si="222"/>
        <v>0</v>
      </c>
      <c r="N528" s="82">
        <f t="shared" si="223"/>
        <v>0</v>
      </c>
      <c r="O528" s="82">
        <f>N528+'BM 003'!O528</f>
        <v>0</v>
      </c>
      <c r="P528" s="80">
        <f t="shared" si="224"/>
        <v>1566.6</v>
      </c>
      <c r="Q528" s="82">
        <f t="shared" si="225"/>
        <v>1985.82</v>
      </c>
      <c r="R528" s="82">
        <f t="shared" si="226"/>
        <v>1985.82</v>
      </c>
    </row>
    <row r="529" spans="2:18" s="34" customFormat="1" ht="34.799999999999997">
      <c r="B529" s="75" t="s">
        <v>1033</v>
      </c>
      <c r="C529" s="76" t="s">
        <v>1034</v>
      </c>
      <c r="D529" s="77" t="s">
        <v>39</v>
      </c>
      <c r="E529" s="78">
        <v>10</v>
      </c>
      <c r="F529" s="79"/>
      <c r="G529" s="79"/>
      <c r="H529" s="79"/>
      <c r="I529" s="79">
        <f>SUM(G529:H529)+'BM 003'!I529</f>
        <v>0</v>
      </c>
      <c r="J529" s="79">
        <f t="shared" si="205"/>
        <v>10</v>
      </c>
      <c r="K529" s="84">
        <v>95</v>
      </c>
      <c r="L529" s="81">
        <f t="shared" si="204"/>
        <v>120.42201045</v>
      </c>
      <c r="M529" s="82">
        <f t="shared" si="222"/>
        <v>0</v>
      </c>
      <c r="N529" s="82">
        <f t="shared" si="223"/>
        <v>0</v>
      </c>
      <c r="O529" s="82">
        <f>N529+'BM 003'!O529</f>
        <v>0</v>
      </c>
      <c r="P529" s="80">
        <f t="shared" si="224"/>
        <v>950</v>
      </c>
      <c r="Q529" s="82">
        <f t="shared" si="225"/>
        <v>1204.22</v>
      </c>
      <c r="R529" s="82">
        <f t="shared" si="226"/>
        <v>1204.22</v>
      </c>
    </row>
    <row r="530" spans="2:18" s="34" customFormat="1" ht="34.799999999999997">
      <c r="B530" s="75" t="s">
        <v>1035</v>
      </c>
      <c r="C530" s="76" t="s">
        <v>1036</v>
      </c>
      <c r="D530" s="77" t="s">
        <v>39</v>
      </c>
      <c r="E530" s="78">
        <v>10</v>
      </c>
      <c r="F530" s="79"/>
      <c r="G530" s="79"/>
      <c r="H530" s="79"/>
      <c r="I530" s="79">
        <f>SUM(G530:H530)+'BM 003'!I530</f>
        <v>0</v>
      </c>
      <c r="J530" s="79">
        <f t="shared" si="205"/>
        <v>10</v>
      </c>
      <c r="K530" s="84">
        <v>128</v>
      </c>
      <c r="L530" s="81">
        <f t="shared" si="204"/>
        <v>162.25281408000001</v>
      </c>
      <c r="M530" s="82">
        <f t="shared" si="222"/>
        <v>0</v>
      </c>
      <c r="N530" s="82">
        <f t="shared" si="223"/>
        <v>0</v>
      </c>
      <c r="O530" s="82">
        <f>N530+'BM 003'!O530</f>
        <v>0</v>
      </c>
      <c r="P530" s="80">
        <f t="shared" si="224"/>
        <v>1280</v>
      </c>
      <c r="Q530" s="82">
        <f t="shared" si="225"/>
        <v>1622.52</v>
      </c>
      <c r="R530" s="82">
        <f t="shared" si="226"/>
        <v>1622.52</v>
      </c>
    </row>
    <row r="531" spans="2:18" s="34" customFormat="1" ht="23.4">
      <c r="B531" s="75" t="s">
        <v>1037</v>
      </c>
      <c r="C531" s="76" t="s">
        <v>1038</v>
      </c>
      <c r="D531" s="77" t="s">
        <v>39</v>
      </c>
      <c r="E531" s="78">
        <v>173</v>
      </c>
      <c r="F531" s="79"/>
      <c r="G531" s="79"/>
      <c r="H531" s="79"/>
      <c r="I531" s="79">
        <f>SUM(G531:H531)+'BM 003'!I531</f>
        <v>0</v>
      </c>
      <c r="J531" s="79">
        <f t="shared" si="205"/>
        <v>173</v>
      </c>
      <c r="K531" s="84">
        <v>60</v>
      </c>
      <c r="L531" s="81">
        <f t="shared" si="204"/>
        <v>76.056006600000003</v>
      </c>
      <c r="M531" s="82">
        <f t="shared" si="222"/>
        <v>0</v>
      </c>
      <c r="N531" s="82">
        <f t="shared" si="223"/>
        <v>0</v>
      </c>
      <c r="O531" s="82">
        <f>N531+'BM 003'!O531</f>
        <v>0</v>
      </c>
      <c r="P531" s="80">
        <f t="shared" si="224"/>
        <v>10380</v>
      </c>
      <c r="Q531" s="82">
        <f t="shared" si="225"/>
        <v>13157.68</v>
      </c>
      <c r="R531" s="82">
        <f t="shared" si="226"/>
        <v>13157.68</v>
      </c>
    </row>
    <row r="532" spans="2:18" s="34" customFormat="1" ht="46.2">
      <c r="B532" s="75" t="s">
        <v>1039</v>
      </c>
      <c r="C532" s="76" t="s">
        <v>1040</v>
      </c>
      <c r="D532" s="77" t="s">
        <v>39</v>
      </c>
      <c r="E532" s="78">
        <v>20</v>
      </c>
      <c r="F532" s="79"/>
      <c r="G532" s="79"/>
      <c r="H532" s="79"/>
      <c r="I532" s="79">
        <f>SUM(G532:H532)+'BM 003'!I532</f>
        <v>0</v>
      </c>
      <c r="J532" s="79">
        <f t="shared" si="205"/>
        <v>20</v>
      </c>
      <c r="K532" s="84">
        <v>85</v>
      </c>
      <c r="L532" s="81">
        <f t="shared" si="204"/>
        <v>107.74600935000001</v>
      </c>
      <c r="M532" s="82">
        <f t="shared" si="222"/>
        <v>0</v>
      </c>
      <c r="N532" s="82">
        <f t="shared" si="223"/>
        <v>0</v>
      </c>
      <c r="O532" s="82">
        <f>N532+'BM 003'!O532</f>
        <v>0</v>
      </c>
      <c r="P532" s="80">
        <f t="shared" si="224"/>
        <v>1700</v>
      </c>
      <c r="Q532" s="82">
        <f t="shared" si="225"/>
        <v>2154.92</v>
      </c>
      <c r="R532" s="82">
        <f t="shared" si="226"/>
        <v>2154.92</v>
      </c>
    </row>
    <row r="533" spans="2:18" s="34" customFormat="1" ht="46.2">
      <c r="B533" s="75" t="s">
        <v>1041</v>
      </c>
      <c r="C533" s="76" t="s">
        <v>1042</v>
      </c>
      <c r="D533" s="77" t="s">
        <v>39</v>
      </c>
      <c r="E533" s="78">
        <v>6</v>
      </c>
      <c r="F533" s="79"/>
      <c r="G533" s="79"/>
      <c r="H533" s="79"/>
      <c r="I533" s="79">
        <f>SUM(G533:H533)+'BM 003'!I533</f>
        <v>0</v>
      </c>
      <c r="J533" s="79">
        <f t="shared" si="205"/>
        <v>6</v>
      </c>
      <c r="K533" s="84">
        <v>285</v>
      </c>
      <c r="L533" s="81">
        <f t="shared" si="204"/>
        <v>361.26603134999999</v>
      </c>
      <c r="M533" s="82">
        <f t="shared" si="222"/>
        <v>0</v>
      </c>
      <c r="N533" s="82">
        <f t="shared" si="223"/>
        <v>0</v>
      </c>
      <c r="O533" s="82">
        <f>N533+'BM 003'!O533</f>
        <v>0</v>
      </c>
      <c r="P533" s="80">
        <f t="shared" si="224"/>
        <v>1710</v>
      </c>
      <c r="Q533" s="82">
        <f t="shared" si="225"/>
        <v>2167.59</v>
      </c>
      <c r="R533" s="82">
        <f t="shared" si="226"/>
        <v>2167.59</v>
      </c>
    </row>
    <row r="534" spans="2:18" s="34" customFormat="1" ht="34.799999999999997">
      <c r="B534" s="75" t="s">
        <v>1043</v>
      </c>
      <c r="C534" s="76" t="s">
        <v>1044</v>
      </c>
      <c r="D534" s="77" t="s">
        <v>39</v>
      </c>
      <c r="E534" s="78">
        <v>20</v>
      </c>
      <c r="F534" s="79"/>
      <c r="G534" s="79"/>
      <c r="H534" s="79"/>
      <c r="I534" s="79">
        <f>SUM(G534:H534)+'BM 003'!I534</f>
        <v>0</v>
      </c>
      <c r="J534" s="79">
        <f t="shared" si="205"/>
        <v>20</v>
      </c>
      <c r="K534" s="84">
        <v>38</v>
      </c>
      <c r="L534" s="81">
        <f t="shared" si="204"/>
        <v>48.168804180000002</v>
      </c>
      <c r="M534" s="82">
        <f t="shared" si="222"/>
        <v>0</v>
      </c>
      <c r="N534" s="82">
        <f t="shared" si="223"/>
        <v>0</v>
      </c>
      <c r="O534" s="82">
        <f>N534+'BM 003'!O534</f>
        <v>0</v>
      </c>
      <c r="P534" s="80">
        <f t="shared" si="224"/>
        <v>760</v>
      </c>
      <c r="Q534" s="82">
        <f t="shared" si="225"/>
        <v>963.37</v>
      </c>
      <c r="R534" s="82">
        <f t="shared" si="226"/>
        <v>963.37</v>
      </c>
    </row>
    <row r="535" spans="2:18" s="34" customFormat="1" ht="34.799999999999997">
      <c r="B535" s="75" t="s">
        <v>1045</v>
      </c>
      <c r="C535" s="76" t="s">
        <v>1046</v>
      </c>
      <c r="D535" s="77" t="s">
        <v>39</v>
      </c>
      <c r="E535" s="78">
        <v>10</v>
      </c>
      <c r="F535" s="79"/>
      <c r="G535" s="79"/>
      <c r="H535" s="79"/>
      <c r="I535" s="79">
        <f>SUM(G535:H535)+'BM 003'!I535</f>
        <v>0</v>
      </c>
      <c r="J535" s="79">
        <f t="shared" si="205"/>
        <v>10</v>
      </c>
      <c r="K535" s="84">
        <v>118</v>
      </c>
      <c r="L535" s="81">
        <f t="shared" si="204"/>
        <v>149.57681298</v>
      </c>
      <c r="M535" s="82">
        <f t="shared" si="222"/>
        <v>0</v>
      </c>
      <c r="N535" s="82">
        <f t="shared" si="223"/>
        <v>0</v>
      </c>
      <c r="O535" s="82">
        <f>N535+'BM 003'!O535</f>
        <v>0</v>
      </c>
      <c r="P535" s="80">
        <f t="shared" si="224"/>
        <v>1180</v>
      </c>
      <c r="Q535" s="82">
        <f t="shared" si="225"/>
        <v>1495.76</v>
      </c>
      <c r="R535" s="82">
        <f t="shared" si="226"/>
        <v>1495.76</v>
      </c>
    </row>
    <row r="536" spans="2:18" s="34" customFormat="1" ht="23.4">
      <c r="B536" s="75" t="s">
        <v>1047</v>
      </c>
      <c r="C536" s="76" t="s">
        <v>1048</v>
      </c>
      <c r="D536" s="77" t="s">
        <v>39</v>
      </c>
      <c r="E536" s="78">
        <v>10</v>
      </c>
      <c r="F536" s="79"/>
      <c r="G536" s="79"/>
      <c r="H536" s="79"/>
      <c r="I536" s="79">
        <f>SUM(G536:H536)+'BM 003'!I536</f>
        <v>0</v>
      </c>
      <c r="J536" s="79">
        <f t="shared" si="205"/>
        <v>10</v>
      </c>
      <c r="K536" s="84">
        <v>88.39</v>
      </c>
      <c r="L536" s="81">
        <f t="shared" si="204"/>
        <v>112.04317372290001</v>
      </c>
      <c r="M536" s="82">
        <f t="shared" si="222"/>
        <v>0</v>
      </c>
      <c r="N536" s="82">
        <f t="shared" si="223"/>
        <v>0</v>
      </c>
      <c r="O536" s="82">
        <f>N536+'BM 003'!O536</f>
        <v>0</v>
      </c>
      <c r="P536" s="80">
        <f t="shared" si="224"/>
        <v>883.9</v>
      </c>
      <c r="Q536" s="82">
        <f t="shared" si="225"/>
        <v>1120.43</v>
      </c>
      <c r="R536" s="82">
        <f t="shared" si="226"/>
        <v>1120.43</v>
      </c>
    </row>
    <row r="537" spans="2:18" s="34" customFormat="1" ht="23.4">
      <c r="B537" s="75" t="s">
        <v>1049</v>
      </c>
      <c r="C537" s="76" t="s">
        <v>1050</v>
      </c>
      <c r="D537" s="77" t="s">
        <v>39</v>
      </c>
      <c r="E537" s="78">
        <v>20</v>
      </c>
      <c r="F537" s="79"/>
      <c r="G537" s="79"/>
      <c r="H537" s="79"/>
      <c r="I537" s="79">
        <f>SUM(G537:H537)+'BM 003'!I537</f>
        <v>0</v>
      </c>
      <c r="J537" s="79">
        <f t="shared" si="205"/>
        <v>20</v>
      </c>
      <c r="K537" s="84">
        <v>45.21</v>
      </c>
      <c r="L537" s="81">
        <f t="shared" si="204"/>
        <v>57.308200973100007</v>
      </c>
      <c r="M537" s="82">
        <f t="shared" si="222"/>
        <v>0</v>
      </c>
      <c r="N537" s="82">
        <f t="shared" si="223"/>
        <v>0</v>
      </c>
      <c r="O537" s="82">
        <f>N537+'BM 003'!O537</f>
        <v>0</v>
      </c>
      <c r="P537" s="80">
        <f t="shared" si="224"/>
        <v>904.2</v>
      </c>
      <c r="Q537" s="82">
        <f t="shared" si="225"/>
        <v>1146.1600000000001</v>
      </c>
      <c r="R537" s="82">
        <f t="shared" si="226"/>
        <v>1146.1600000000001</v>
      </c>
    </row>
    <row r="538" spans="2:18" s="34" customFormat="1" ht="23.4">
      <c r="B538" s="75" t="s">
        <v>1051</v>
      </c>
      <c r="C538" s="76" t="s">
        <v>1052</v>
      </c>
      <c r="D538" s="77" t="s">
        <v>39</v>
      </c>
      <c r="E538" s="78">
        <v>10</v>
      </c>
      <c r="F538" s="79"/>
      <c r="G538" s="79"/>
      <c r="H538" s="79"/>
      <c r="I538" s="79">
        <f>SUM(G538:H538)+'BM 003'!I538</f>
        <v>0</v>
      </c>
      <c r="J538" s="79">
        <f t="shared" si="205"/>
        <v>10</v>
      </c>
      <c r="K538" s="84">
        <v>65.290000000000006</v>
      </c>
      <c r="L538" s="81">
        <f t="shared" si="204"/>
        <v>82.761611181900008</v>
      </c>
      <c r="M538" s="82">
        <f t="shared" si="222"/>
        <v>0</v>
      </c>
      <c r="N538" s="82">
        <f t="shared" si="223"/>
        <v>0</v>
      </c>
      <c r="O538" s="82">
        <f>N538+'BM 003'!O538</f>
        <v>0</v>
      </c>
      <c r="P538" s="80">
        <f t="shared" si="224"/>
        <v>652.90000000000009</v>
      </c>
      <c r="Q538" s="82">
        <f t="shared" si="225"/>
        <v>827.61</v>
      </c>
      <c r="R538" s="82">
        <f t="shared" si="226"/>
        <v>827.61</v>
      </c>
    </row>
    <row r="539" spans="2:18" s="34" customFormat="1" ht="46.2">
      <c r="B539" s="75" t="s">
        <v>1053</v>
      </c>
      <c r="C539" s="76" t="s">
        <v>1054</v>
      </c>
      <c r="D539" s="77" t="s">
        <v>39</v>
      </c>
      <c r="E539" s="78">
        <v>30</v>
      </c>
      <c r="F539" s="79"/>
      <c r="G539" s="79"/>
      <c r="H539" s="79"/>
      <c r="I539" s="79">
        <f>SUM(G539:H539)+'BM 003'!I539</f>
        <v>0</v>
      </c>
      <c r="J539" s="79">
        <f t="shared" si="205"/>
        <v>30</v>
      </c>
      <c r="K539" s="84">
        <v>80</v>
      </c>
      <c r="L539" s="81">
        <f t="shared" si="204"/>
        <v>101.4080088</v>
      </c>
      <c r="M539" s="82">
        <f t="shared" si="222"/>
        <v>0</v>
      </c>
      <c r="N539" s="82">
        <f t="shared" si="223"/>
        <v>0</v>
      </c>
      <c r="O539" s="82">
        <f>N539+'BM 003'!O539</f>
        <v>0</v>
      </c>
      <c r="P539" s="80">
        <f t="shared" si="224"/>
        <v>2400</v>
      </c>
      <c r="Q539" s="82">
        <f t="shared" si="225"/>
        <v>3042.24</v>
      </c>
      <c r="R539" s="82">
        <f t="shared" si="226"/>
        <v>3042.24</v>
      </c>
    </row>
    <row r="540" spans="2:18" s="34" customFormat="1" ht="34.799999999999997">
      <c r="B540" s="75" t="s">
        <v>1055</v>
      </c>
      <c r="C540" s="76" t="s">
        <v>1056</v>
      </c>
      <c r="D540" s="77" t="s">
        <v>39</v>
      </c>
      <c r="E540" s="78">
        <v>50</v>
      </c>
      <c r="F540" s="79"/>
      <c r="G540" s="79"/>
      <c r="H540" s="79"/>
      <c r="I540" s="79">
        <f>SUM(G540:H540)+'BM 003'!I540</f>
        <v>0</v>
      </c>
      <c r="J540" s="79">
        <f t="shared" si="205"/>
        <v>50</v>
      </c>
      <c r="K540" s="84">
        <v>120</v>
      </c>
      <c r="L540" s="81">
        <f t="shared" si="204"/>
        <v>152.11201320000001</v>
      </c>
      <c r="M540" s="82">
        <f t="shared" si="222"/>
        <v>0</v>
      </c>
      <c r="N540" s="82">
        <f t="shared" si="223"/>
        <v>0</v>
      </c>
      <c r="O540" s="82">
        <f>N540+'BM 003'!O540</f>
        <v>0</v>
      </c>
      <c r="P540" s="80">
        <f t="shared" si="224"/>
        <v>6000</v>
      </c>
      <c r="Q540" s="82">
        <f t="shared" si="225"/>
        <v>7605.6</v>
      </c>
      <c r="R540" s="82">
        <f t="shared" si="226"/>
        <v>7605.6</v>
      </c>
    </row>
    <row r="541" spans="2:18" s="34" customFormat="1" ht="34.799999999999997">
      <c r="B541" s="75" t="s">
        <v>1057</v>
      </c>
      <c r="C541" s="76" t="s">
        <v>1058</v>
      </c>
      <c r="D541" s="77" t="s">
        <v>39</v>
      </c>
      <c r="E541" s="78">
        <v>10</v>
      </c>
      <c r="F541" s="79"/>
      <c r="G541" s="79"/>
      <c r="H541" s="79"/>
      <c r="I541" s="79">
        <f>SUM(G541:H541)+'BM 003'!I541</f>
        <v>0</v>
      </c>
      <c r="J541" s="79">
        <f t="shared" si="205"/>
        <v>10</v>
      </c>
      <c r="K541" s="84">
        <v>137.9</v>
      </c>
      <c r="L541" s="81">
        <f t="shared" ref="L541:L590" si="227">K541*(1+$T$26)</f>
        <v>174.80205516900003</v>
      </c>
      <c r="M541" s="82">
        <f t="shared" si="222"/>
        <v>0</v>
      </c>
      <c r="N541" s="82">
        <f t="shared" si="223"/>
        <v>0</v>
      </c>
      <c r="O541" s="82">
        <f>N541+'BM 003'!O541</f>
        <v>0</v>
      </c>
      <c r="P541" s="80">
        <f t="shared" si="224"/>
        <v>1379</v>
      </c>
      <c r="Q541" s="82">
        <f t="shared" si="225"/>
        <v>1748.02</v>
      </c>
      <c r="R541" s="82">
        <f t="shared" si="226"/>
        <v>1748.02</v>
      </c>
    </row>
    <row r="542" spans="2:18" s="34" customFormat="1" ht="23.4">
      <c r="B542" s="75" t="s">
        <v>1059</v>
      </c>
      <c r="C542" s="76" t="s">
        <v>1060</v>
      </c>
      <c r="D542" s="77" t="s">
        <v>39</v>
      </c>
      <c r="E542" s="78">
        <v>20</v>
      </c>
      <c r="F542" s="79"/>
      <c r="G542" s="79"/>
      <c r="H542" s="79"/>
      <c r="I542" s="79">
        <f>SUM(G542:H542)+'BM 003'!I542</f>
        <v>0</v>
      </c>
      <c r="J542" s="79">
        <f t="shared" si="205"/>
        <v>20</v>
      </c>
      <c r="K542" s="84">
        <v>69</v>
      </c>
      <c r="L542" s="81">
        <f t="shared" si="227"/>
        <v>87.464407590000008</v>
      </c>
      <c r="M542" s="82">
        <f t="shared" si="222"/>
        <v>0</v>
      </c>
      <c r="N542" s="82">
        <f t="shared" si="223"/>
        <v>0</v>
      </c>
      <c r="O542" s="82">
        <f>N542+'BM 003'!O542</f>
        <v>0</v>
      </c>
      <c r="P542" s="80">
        <f t="shared" si="224"/>
        <v>1380</v>
      </c>
      <c r="Q542" s="82">
        <f t="shared" si="225"/>
        <v>1749.28</v>
      </c>
      <c r="R542" s="82">
        <f t="shared" si="226"/>
        <v>1749.28</v>
      </c>
    </row>
    <row r="543" spans="2:18" s="34" customFormat="1" ht="46.2">
      <c r="B543" s="75" t="s">
        <v>1061</v>
      </c>
      <c r="C543" s="76" t="s">
        <v>1062</v>
      </c>
      <c r="D543" s="77" t="s">
        <v>39</v>
      </c>
      <c r="E543" s="78">
        <v>10</v>
      </c>
      <c r="F543" s="79"/>
      <c r="G543" s="79"/>
      <c r="H543" s="79"/>
      <c r="I543" s="79">
        <f>SUM(G543:H543)+'BM 003'!I543</f>
        <v>0</v>
      </c>
      <c r="J543" s="79">
        <f t="shared" ref="J543:J590" si="228">E543-I543</f>
        <v>10</v>
      </c>
      <c r="K543" s="84">
        <v>180</v>
      </c>
      <c r="L543" s="81">
        <f t="shared" si="227"/>
        <v>228.16801980000002</v>
      </c>
      <c r="M543" s="82">
        <f t="shared" si="222"/>
        <v>0</v>
      </c>
      <c r="N543" s="82">
        <f t="shared" si="223"/>
        <v>0</v>
      </c>
      <c r="O543" s="82">
        <f>N543+'BM 003'!O543</f>
        <v>0</v>
      </c>
      <c r="P543" s="80">
        <f t="shared" si="224"/>
        <v>1800</v>
      </c>
      <c r="Q543" s="82">
        <f t="shared" si="225"/>
        <v>2281.6799999999998</v>
      </c>
      <c r="R543" s="82">
        <f t="shared" si="226"/>
        <v>2281.6799999999998</v>
      </c>
    </row>
    <row r="544" spans="2:18" s="34" customFormat="1" ht="69">
      <c r="B544" s="75" t="s">
        <v>1063</v>
      </c>
      <c r="C544" s="76" t="s">
        <v>1064</v>
      </c>
      <c r="D544" s="77" t="s">
        <v>39</v>
      </c>
      <c r="E544" s="78">
        <v>1</v>
      </c>
      <c r="F544" s="79"/>
      <c r="G544" s="79"/>
      <c r="H544" s="79"/>
      <c r="I544" s="79">
        <f>SUM(G544:H544)+'BM 003'!I544</f>
        <v>0</v>
      </c>
      <c r="J544" s="79">
        <f t="shared" si="228"/>
        <v>1</v>
      </c>
      <c r="K544" s="84">
        <v>320</v>
      </c>
      <c r="L544" s="81">
        <f t="shared" si="227"/>
        <v>405.63203520000002</v>
      </c>
      <c r="M544" s="82">
        <f t="shared" si="222"/>
        <v>0</v>
      </c>
      <c r="N544" s="82">
        <f t="shared" si="223"/>
        <v>0</v>
      </c>
      <c r="O544" s="82">
        <f>N544+'BM 003'!O544</f>
        <v>0</v>
      </c>
      <c r="P544" s="80">
        <f t="shared" si="224"/>
        <v>320</v>
      </c>
      <c r="Q544" s="82">
        <f t="shared" si="225"/>
        <v>405.63</v>
      </c>
      <c r="R544" s="82">
        <f t="shared" si="226"/>
        <v>405.63</v>
      </c>
    </row>
    <row r="545" spans="2:18" s="34" customFormat="1" ht="57.6">
      <c r="B545" s="75" t="s">
        <v>1065</v>
      </c>
      <c r="C545" s="76" t="s">
        <v>1066</v>
      </c>
      <c r="D545" s="77" t="s">
        <v>39</v>
      </c>
      <c r="E545" s="78">
        <v>1</v>
      </c>
      <c r="F545" s="79"/>
      <c r="G545" s="79"/>
      <c r="H545" s="79"/>
      <c r="I545" s="79">
        <f>SUM(G545:H545)+'BM 003'!I545</f>
        <v>0</v>
      </c>
      <c r="J545" s="79">
        <f t="shared" si="228"/>
        <v>1</v>
      </c>
      <c r="K545" s="84">
        <v>800</v>
      </c>
      <c r="L545" s="81">
        <f t="shared" si="227"/>
        <v>1014.080088</v>
      </c>
      <c r="M545" s="82">
        <f t="shared" si="222"/>
        <v>0</v>
      </c>
      <c r="N545" s="82">
        <f t="shared" si="223"/>
        <v>0</v>
      </c>
      <c r="O545" s="82">
        <f>N545+'BM 003'!O545</f>
        <v>0</v>
      </c>
      <c r="P545" s="80">
        <f t="shared" si="224"/>
        <v>800</v>
      </c>
      <c r="Q545" s="82">
        <f t="shared" si="225"/>
        <v>1014.08</v>
      </c>
      <c r="R545" s="82">
        <f t="shared" si="226"/>
        <v>1014.08</v>
      </c>
    </row>
    <row r="546" spans="2:18" s="34" customFormat="1" ht="23.4">
      <c r="B546" s="75" t="s">
        <v>1067</v>
      </c>
      <c r="C546" s="76" t="s">
        <v>1068</v>
      </c>
      <c r="D546" s="77" t="s">
        <v>39</v>
      </c>
      <c r="E546" s="78">
        <v>2</v>
      </c>
      <c r="F546" s="79"/>
      <c r="G546" s="79"/>
      <c r="H546" s="79"/>
      <c r="I546" s="79">
        <f>SUM(G546:H546)+'BM 003'!I546</f>
        <v>0</v>
      </c>
      <c r="J546" s="79">
        <f t="shared" si="228"/>
        <v>2</v>
      </c>
      <c r="K546" s="84">
        <v>605.34</v>
      </c>
      <c r="L546" s="81">
        <f t="shared" si="227"/>
        <v>767.32905058740005</v>
      </c>
      <c r="M546" s="82">
        <f t="shared" si="222"/>
        <v>0</v>
      </c>
      <c r="N546" s="82">
        <f t="shared" si="223"/>
        <v>0</v>
      </c>
      <c r="O546" s="82">
        <f>N546+'BM 003'!O546</f>
        <v>0</v>
      </c>
      <c r="P546" s="80">
        <f t="shared" si="224"/>
        <v>1210.68</v>
      </c>
      <c r="Q546" s="82">
        <f t="shared" si="225"/>
        <v>1534.65</v>
      </c>
      <c r="R546" s="82">
        <f t="shared" si="226"/>
        <v>1534.65</v>
      </c>
    </row>
    <row r="547" spans="2:18" s="34" customFormat="1" ht="23.4">
      <c r="B547" s="75" t="s">
        <v>1069</v>
      </c>
      <c r="C547" s="76" t="s">
        <v>1070</v>
      </c>
      <c r="D547" s="77" t="s">
        <v>39</v>
      </c>
      <c r="E547" s="78">
        <v>3</v>
      </c>
      <c r="F547" s="79"/>
      <c r="G547" s="79"/>
      <c r="H547" s="79"/>
      <c r="I547" s="79">
        <f>SUM(G547:H547)+'BM 003'!I547</f>
        <v>0</v>
      </c>
      <c r="J547" s="79">
        <f t="shared" si="228"/>
        <v>3</v>
      </c>
      <c r="K547" s="84">
        <v>311.79000000000002</v>
      </c>
      <c r="L547" s="81">
        <f t="shared" si="227"/>
        <v>395.22503829690004</v>
      </c>
      <c r="M547" s="82">
        <f t="shared" si="222"/>
        <v>0</v>
      </c>
      <c r="N547" s="82">
        <f t="shared" si="223"/>
        <v>0</v>
      </c>
      <c r="O547" s="82">
        <f>N547+'BM 003'!O547</f>
        <v>0</v>
      </c>
      <c r="P547" s="80">
        <f t="shared" si="224"/>
        <v>935.37000000000012</v>
      </c>
      <c r="Q547" s="82">
        <f t="shared" si="225"/>
        <v>1185.67</v>
      </c>
      <c r="R547" s="82">
        <f t="shared" si="226"/>
        <v>1185.67</v>
      </c>
    </row>
    <row r="548" spans="2:18" s="34" customFormat="1" ht="23.4">
      <c r="B548" s="75" t="s">
        <v>1071</v>
      </c>
      <c r="C548" s="76" t="s">
        <v>1072</v>
      </c>
      <c r="D548" s="77" t="s">
        <v>39</v>
      </c>
      <c r="E548" s="78">
        <v>2</v>
      </c>
      <c r="F548" s="79"/>
      <c r="G548" s="79"/>
      <c r="H548" s="79"/>
      <c r="I548" s="79">
        <f>SUM(G548:H548)+'BM 003'!I548</f>
        <v>0</v>
      </c>
      <c r="J548" s="79">
        <f t="shared" si="228"/>
        <v>2</v>
      </c>
      <c r="K548" s="84">
        <v>195</v>
      </c>
      <c r="L548" s="81">
        <f t="shared" si="227"/>
        <v>247.18202145000001</v>
      </c>
      <c r="M548" s="82">
        <f t="shared" si="222"/>
        <v>0</v>
      </c>
      <c r="N548" s="82">
        <f t="shared" si="223"/>
        <v>0</v>
      </c>
      <c r="O548" s="82">
        <f>N548+'BM 003'!O548</f>
        <v>0</v>
      </c>
      <c r="P548" s="80">
        <f t="shared" si="224"/>
        <v>390</v>
      </c>
      <c r="Q548" s="82">
        <f t="shared" si="225"/>
        <v>494.36</v>
      </c>
      <c r="R548" s="82">
        <f t="shared" si="226"/>
        <v>494.36</v>
      </c>
    </row>
    <row r="549" spans="2:18" s="34" customFormat="1" ht="46.2">
      <c r="B549" s="75" t="s">
        <v>1073</v>
      </c>
      <c r="C549" s="76" t="s">
        <v>1074</v>
      </c>
      <c r="D549" s="77" t="s">
        <v>39</v>
      </c>
      <c r="E549" s="78">
        <v>1</v>
      </c>
      <c r="F549" s="79"/>
      <c r="G549" s="79"/>
      <c r="H549" s="79"/>
      <c r="I549" s="79">
        <f>SUM(G549:H549)+'BM 003'!I549</f>
        <v>0</v>
      </c>
      <c r="J549" s="79">
        <f t="shared" si="228"/>
        <v>1</v>
      </c>
      <c r="K549" s="84">
        <v>1400</v>
      </c>
      <c r="L549" s="81">
        <f t="shared" si="227"/>
        <v>1774.6401540000002</v>
      </c>
      <c r="M549" s="82">
        <f t="shared" si="222"/>
        <v>0</v>
      </c>
      <c r="N549" s="82">
        <f t="shared" si="223"/>
        <v>0</v>
      </c>
      <c r="O549" s="82">
        <f>N549+'BM 003'!O549</f>
        <v>0</v>
      </c>
      <c r="P549" s="80">
        <f t="shared" si="224"/>
        <v>1400</v>
      </c>
      <c r="Q549" s="82">
        <f t="shared" si="225"/>
        <v>1774.64</v>
      </c>
      <c r="R549" s="82">
        <f t="shared" si="226"/>
        <v>1774.64</v>
      </c>
    </row>
    <row r="550" spans="2:18" s="34" customFormat="1" ht="46.2">
      <c r="B550" s="75" t="s">
        <v>1075</v>
      </c>
      <c r="C550" s="76" t="s">
        <v>1076</v>
      </c>
      <c r="D550" s="77" t="s">
        <v>39</v>
      </c>
      <c r="E550" s="78">
        <v>16</v>
      </c>
      <c r="F550" s="79"/>
      <c r="G550" s="79"/>
      <c r="H550" s="79"/>
      <c r="I550" s="79">
        <f>SUM(G550:H550)+'BM 003'!I550</f>
        <v>0</v>
      </c>
      <c r="J550" s="79">
        <f t="shared" si="228"/>
        <v>16</v>
      </c>
      <c r="K550" s="84">
        <v>1900</v>
      </c>
      <c r="L550" s="81">
        <f t="shared" si="227"/>
        <v>2408.4402090000003</v>
      </c>
      <c r="M550" s="82">
        <f t="shared" si="222"/>
        <v>0</v>
      </c>
      <c r="N550" s="82">
        <f t="shared" si="223"/>
        <v>0</v>
      </c>
      <c r="O550" s="82">
        <f>N550+'BM 003'!O550</f>
        <v>0</v>
      </c>
      <c r="P550" s="80">
        <f t="shared" si="224"/>
        <v>30400</v>
      </c>
      <c r="Q550" s="82">
        <f t="shared" si="225"/>
        <v>38535.040000000001</v>
      </c>
      <c r="R550" s="82">
        <f t="shared" si="226"/>
        <v>38535.040000000001</v>
      </c>
    </row>
    <row r="551" spans="2:18" s="34" customFormat="1" ht="34.799999999999997">
      <c r="B551" s="75" t="s">
        <v>1077</v>
      </c>
      <c r="C551" s="76" t="s">
        <v>1078</v>
      </c>
      <c r="D551" s="77" t="s">
        <v>39</v>
      </c>
      <c r="E551" s="78">
        <v>140</v>
      </c>
      <c r="F551" s="79"/>
      <c r="G551" s="79"/>
      <c r="H551" s="79"/>
      <c r="I551" s="79">
        <f>SUM(G551:H551)+'BM 003'!I551</f>
        <v>0</v>
      </c>
      <c r="J551" s="79">
        <f t="shared" si="228"/>
        <v>140</v>
      </c>
      <c r="K551" s="84">
        <v>25</v>
      </c>
      <c r="L551" s="81">
        <f t="shared" si="227"/>
        <v>31.690002750000001</v>
      </c>
      <c r="M551" s="82">
        <f t="shared" si="222"/>
        <v>0</v>
      </c>
      <c r="N551" s="82">
        <f t="shared" si="223"/>
        <v>0</v>
      </c>
      <c r="O551" s="82">
        <f>N551+'BM 003'!O551</f>
        <v>0</v>
      </c>
      <c r="P551" s="80">
        <f t="shared" si="224"/>
        <v>3500</v>
      </c>
      <c r="Q551" s="82">
        <f t="shared" si="225"/>
        <v>4436.6000000000004</v>
      </c>
      <c r="R551" s="82">
        <f t="shared" si="226"/>
        <v>4436.6000000000004</v>
      </c>
    </row>
    <row r="552" spans="2:18" s="34" customFormat="1" ht="13.2">
      <c r="B552" s="66" t="s">
        <v>1079</v>
      </c>
      <c r="C552" s="67" t="s">
        <v>1080</v>
      </c>
      <c r="D552" s="68"/>
      <c r="E552" s="69"/>
      <c r="F552" s="70"/>
      <c r="G552" s="70"/>
      <c r="H552" s="70"/>
      <c r="I552" s="70">
        <f>SUM(G552:H552)+'BM 003'!I552</f>
        <v>0</v>
      </c>
      <c r="J552" s="70">
        <f t="shared" si="228"/>
        <v>0</v>
      </c>
      <c r="K552" s="71"/>
      <c r="L552" s="71">
        <f t="shared" si="227"/>
        <v>0</v>
      </c>
      <c r="M552" s="73">
        <f t="shared" ref="M552:R552" si="229">SUM(M553:M553)</f>
        <v>0</v>
      </c>
      <c r="N552" s="73">
        <f t="shared" si="229"/>
        <v>0</v>
      </c>
      <c r="O552" s="73">
        <f t="shared" si="229"/>
        <v>0</v>
      </c>
      <c r="P552" s="73">
        <f t="shared" si="229"/>
        <v>7310</v>
      </c>
      <c r="Q552" s="73">
        <f t="shared" si="229"/>
        <v>9266.15</v>
      </c>
      <c r="R552" s="73">
        <f t="shared" si="229"/>
        <v>9266.15</v>
      </c>
    </row>
    <row r="553" spans="2:18" s="34" customFormat="1" ht="34.799999999999997">
      <c r="B553" s="75" t="s">
        <v>1081</v>
      </c>
      <c r="C553" s="76" t="s">
        <v>1082</v>
      </c>
      <c r="D553" s="77" t="s">
        <v>63</v>
      </c>
      <c r="E553" s="78">
        <v>43</v>
      </c>
      <c r="F553" s="79"/>
      <c r="G553" s="79"/>
      <c r="H553" s="79"/>
      <c r="I553" s="79">
        <f>SUM(G553:H553)+'BM 003'!I553</f>
        <v>0</v>
      </c>
      <c r="J553" s="79">
        <f t="shared" si="228"/>
        <v>43</v>
      </c>
      <c r="K553" s="84">
        <v>170</v>
      </c>
      <c r="L553" s="81">
        <f t="shared" si="227"/>
        <v>215.49201870000002</v>
      </c>
      <c r="M553" s="82">
        <f>TRUNC(F553*L553,2)</f>
        <v>0</v>
      </c>
      <c r="N553" s="82">
        <f>TRUNC(G553*L553,2)</f>
        <v>0</v>
      </c>
      <c r="O553" s="82">
        <f>N553+'BM 003'!O553</f>
        <v>0</v>
      </c>
      <c r="P553" s="80">
        <f>E553*K553</f>
        <v>7310</v>
      </c>
      <c r="Q553" s="82">
        <f>TRUNC(E553*L553,2)</f>
        <v>9266.15</v>
      </c>
      <c r="R553" s="82">
        <f>Q553-O553</f>
        <v>9266.15</v>
      </c>
    </row>
    <row r="554" spans="2:18" s="34" customFormat="1" ht="13.2">
      <c r="B554" s="66" t="s">
        <v>1083</v>
      </c>
      <c r="C554" s="67" t="s">
        <v>1084</v>
      </c>
      <c r="D554" s="68"/>
      <c r="E554" s="69"/>
      <c r="F554" s="70"/>
      <c r="G554" s="70"/>
      <c r="H554" s="70"/>
      <c r="I554" s="70">
        <f>SUM(G554:H554)+'BM 003'!I554</f>
        <v>0</v>
      </c>
      <c r="J554" s="70">
        <f t="shared" si="228"/>
        <v>0</v>
      </c>
      <c r="K554" s="71"/>
      <c r="L554" s="120">
        <f t="shared" si="227"/>
        <v>0</v>
      </c>
      <c r="M554" s="73">
        <f t="shared" ref="M554:R554" si="230">SUM(M555:M565)</f>
        <v>0</v>
      </c>
      <c r="N554" s="73">
        <f t="shared" si="230"/>
        <v>0</v>
      </c>
      <c r="O554" s="73">
        <f t="shared" si="230"/>
        <v>0</v>
      </c>
      <c r="P554" s="73">
        <f t="shared" si="230"/>
        <v>55460</v>
      </c>
      <c r="Q554" s="73">
        <f t="shared" si="230"/>
        <v>70301.090000000011</v>
      </c>
      <c r="R554" s="73">
        <f t="shared" si="230"/>
        <v>70301.090000000011</v>
      </c>
    </row>
    <row r="555" spans="2:18" s="34" customFormat="1" ht="23.4">
      <c r="B555" s="75" t="s">
        <v>1085</v>
      </c>
      <c r="C555" s="76" t="s">
        <v>1086</v>
      </c>
      <c r="D555" s="77" t="s">
        <v>131</v>
      </c>
      <c r="E555" s="78">
        <v>1</v>
      </c>
      <c r="F555" s="79"/>
      <c r="G555" s="79"/>
      <c r="H555" s="79"/>
      <c r="I555" s="79">
        <f>SUM(G555:H555)+'BM 003'!I555</f>
        <v>0</v>
      </c>
      <c r="J555" s="79">
        <f t="shared" si="228"/>
        <v>1</v>
      </c>
      <c r="K555" s="84">
        <v>5800</v>
      </c>
      <c r="L555" s="81">
        <f t="shared" si="227"/>
        <v>7352.0806380000004</v>
      </c>
      <c r="M555" s="82">
        <f t="shared" ref="M555:M565" si="231">TRUNC(F555*L555,2)</f>
        <v>0</v>
      </c>
      <c r="N555" s="82">
        <f t="shared" ref="N555:N565" si="232">TRUNC(G555*L555,2)</f>
        <v>0</v>
      </c>
      <c r="O555" s="82">
        <f>N555+'BM 003'!O555</f>
        <v>0</v>
      </c>
      <c r="P555" s="80">
        <f t="shared" ref="P555:P565" si="233">E555*K555</f>
        <v>5800</v>
      </c>
      <c r="Q555" s="82">
        <f t="shared" ref="Q555:Q565" si="234">TRUNC(E555*L555,2)</f>
        <v>7352.08</v>
      </c>
      <c r="R555" s="82">
        <f t="shared" ref="R555:R565" si="235">Q555-O555</f>
        <v>7352.08</v>
      </c>
    </row>
    <row r="556" spans="2:18" s="34" customFormat="1" ht="57.6">
      <c r="B556" s="75" t="s">
        <v>1087</v>
      </c>
      <c r="C556" s="76" t="s">
        <v>1088</v>
      </c>
      <c r="D556" s="77" t="s">
        <v>131</v>
      </c>
      <c r="E556" s="78">
        <v>1</v>
      </c>
      <c r="F556" s="79"/>
      <c r="G556" s="79"/>
      <c r="H556" s="79"/>
      <c r="I556" s="79">
        <f>SUM(G556:H556)+'BM 003'!I556</f>
        <v>0</v>
      </c>
      <c r="J556" s="79">
        <f t="shared" si="228"/>
        <v>1</v>
      </c>
      <c r="K556" s="84">
        <v>2950</v>
      </c>
      <c r="L556" s="81">
        <f t="shared" si="227"/>
        <v>3739.4203245000003</v>
      </c>
      <c r="M556" s="82">
        <f t="shared" si="231"/>
        <v>0</v>
      </c>
      <c r="N556" s="82">
        <f t="shared" si="232"/>
        <v>0</v>
      </c>
      <c r="O556" s="82">
        <f>N556+'BM 003'!O556</f>
        <v>0</v>
      </c>
      <c r="P556" s="80">
        <f t="shared" si="233"/>
        <v>2950</v>
      </c>
      <c r="Q556" s="82">
        <f t="shared" si="234"/>
        <v>3739.42</v>
      </c>
      <c r="R556" s="82">
        <f t="shared" si="235"/>
        <v>3739.42</v>
      </c>
    </row>
    <row r="557" spans="2:18" s="34" customFormat="1" ht="34.799999999999997">
      <c r="B557" s="75" t="s">
        <v>1089</v>
      </c>
      <c r="C557" s="76" t="s">
        <v>1090</v>
      </c>
      <c r="D557" s="77" t="s">
        <v>131</v>
      </c>
      <c r="E557" s="78">
        <v>1</v>
      </c>
      <c r="F557" s="79"/>
      <c r="G557" s="79"/>
      <c r="H557" s="79"/>
      <c r="I557" s="79">
        <f>SUM(G557:H557)+'BM 003'!I557</f>
        <v>0</v>
      </c>
      <c r="J557" s="79">
        <f t="shared" si="228"/>
        <v>1</v>
      </c>
      <c r="K557" s="84">
        <v>5100</v>
      </c>
      <c r="L557" s="81">
        <f t="shared" si="227"/>
        <v>6464.7605610000001</v>
      </c>
      <c r="M557" s="82">
        <f t="shared" si="231"/>
        <v>0</v>
      </c>
      <c r="N557" s="82">
        <f t="shared" si="232"/>
        <v>0</v>
      </c>
      <c r="O557" s="82">
        <f>N557+'BM 003'!O557</f>
        <v>0</v>
      </c>
      <c r="P557" s="80">
        <f t="shared" si="233"/>
        <v>5100</v>
      </c>
      <c r="Q557" s="82">
        <f t="shared" si="234"/>
        <v>6464.76</v>
      </c>
      <c r="R557" s="82">
        <f t="shared" si="235"/>
        <v>6464.76</v>
      </c>
    </row>
    <row r="558" spans="2:18" s="34" customFormat="1" ht="34.799999999999997">
      <c r="B558" s="75" t="s">
        <v>1091</v>
      </c>
      <c r="C558" s="76" t="s">
        <v>1092</v>
      </c>
      <c r="D558" s="77" t="s">
        <v>131</v>
      </c>
      <c r="E558" s="78">
        <v>1</v>
      </c>
      <c r="F558" s="79"/>
      <c r="G558" s="79"/>
      <c r="H558" s="79"/>
      <c r="I558" s="79">
        <f>SUM(G558:H558)+'BM 003'!I558</f>
        <v>0</v>
      </c>
      <c r="J558" s="79">
        <f t="shared" si="228"/>
        <v>1</v>
      </c>
      <c r="K558" s="84">
        <v>6200</v>
      </c>
      <c r="L558" s="81">
        <f t="shared" si="227"/>
        <v>7859.1206820000007</v>
      </c>
      <c r="M558" s="82">
        <f t="shared" si="231"/>
        <v>0</v>
      </c>
      <c r="N558" s="82">
        <f t="shared" si="232"/>
        <v>0</v>
      </c>
      <c r="O558" s="82">
        <f>N558+'BM 003'!O558</f>
        <v>0</v>
      </c>
      <c r="P558" s="80">
        <f t="shared" si="233"/>
        <v>6200</v>
      </c>
      <c r="Q558" s="82">
        <f t="shared" si="234"/>
        <v>7859.12</v>
      </c>
      <c r="R558" s="82">
        <f t="shared" si="235"/>
        <v>7859.12</v>
      </c>
    </row>
    <row r="559" spans="2:18" s="34" customFormat="1" ht="23.4">
      <c r="B559" s="75" t="s">
        <v>1093</v>
      </c>
      <c r="C559" s="76" t="s">
        <v>1094</v>
      </c>
      <c r="D559" s="77" t="s">
        <v>131</v>
      </c>
      <c r="E559" s="78">
        <v>15</v>
      </c>
      <c r="F559" s="79"/>
      <c r="G559" s="79"/>
      <c r="H559" s="79"/>
      <c r="I559" s="79">
        <f>SUM(G559:H559)+'BM 003'!I559</f>
        <v>0</v>
      </c>
      <c r="J559" s="79">
        <f t="shared" si="228"/>
        <v>15</v>
      </c>
      <c r="K559" s="84">
        <v>250</v>
      </c>
      <c r="L559" s="81">
        <f t="shared" si="227"/>
        <v>316.90002750000002</v>
      </c>
      <c r="M559" s="82">
        <f t="shared" si="231"/>
        <v>0</v>
      </c>
      <c r="N559" s="82">
        <f t="shared" si="232"/>
        <v>0</v>
      </c>
      <c r="O559" s="82">
        <f>N559+'BM 003'!O559</f>
        <v>0</v>
      </c>
      <c r="P559" s="80">
        <f t="shared" si="233"/>
        <v>3750</v>
      </c>
      <c r="Q559" s="82">
        <f t="shared" si="234"/>
        <v>4753.5</v>
      </c>
      <c r="R559" s="82">
        <f t="shared" si="235"/>
        <v>4753.5</v>
      </c>
    </row>
    <row r="560" spans="2:18" s="34" customFormat="1" ht="23.4">
      <c r="B560" s="75" t="s">
        <v>1095</v>
      </c>
      <c r="C560" s="76" t="s">
        <v>1096</v>
      </c>
      <c r="D560" s="77" t="s">
        <v>131</v>
      </c>
      <c r="E560" s="78">
        <v>1</v>
      </c>
      <c r="F560" s="79"/>
      <c r="G560" s="79"/>
      <c r="H560" s="79"/>
      <c r="I560" s="79">
        <f>SUM(G560:H560)+'BM 003'!I560</f>
        <v>0</v>
      </c>
      <c r="J560" s="79">
        <f t="shared" si="228"/>
        <v>1</v>
      </c>
      <c r="K560" s="84">
        <v>350</v>
      </c>
      <c r="L560" s="81">
        <f t="shared" si="227"/>
        <v>443.66003850000004</v>
      </c>
      <c r="M560" s="82">
        <f t="shared" si="231"/>
        <v>0</v>
      </c>
      <c r="N560" s="82">
        <f t="shared" si="232"/>
        <v>0</v>
      </c>
      <c r="O560" s="82">
        <f>N560+'BM 003'!O560</f>
        <v>0</v>
      </c>
      <c r="P560" s="80">
        <f t="shared" si="233"/>
        <v>350</v>
      </c>
      <c r="Q560" s="82">
        <f t="shared" si="234"/>
        <v>443.66</v>
      </c>
      <c r="R560" s="82">
        <f t="shared" si="235"/>
        <v>443.66</v>
      </c>
    </row>
    <row r="561" spans="2:18" s="34" customFormat="1" ht="23.4">
      <c r="B561" s="75" t="s">
        <v>1097</v>
      </c>
      <c r="C561" s="76" t="s">
        <v>1098</v>
      </c>
      <c r="D561" s="77" t="s">
        <v>131</v>
      </c>
      <c r="E561" s="78">
        <v>15</v>
      </c>
      <c r="F561" s="79"/>
      <c r="G561" s="79"/>
      <c r="H561" s="79"/>
      <c r="I561" s="79">
        <f>SUM(G561:H561)+'BM 003'!I561</f>
        <v>0</v>
      </c>
      <c r="J561" s="79">
        <f t="shared" si="228"/>
        <v>15</v>
      </c>
      <c r="K561" s="84">
        <v>260</v>
      </c>
      <c r="L561" s="81">
        <f t="shared" si="227"/>
        <v>329.57602860000003</v>
      </c>
      <c r="M561" s="82">
        <f t="shared" si="231"/>
        <v>0</v>
      </c>
      <c r="N561" s="82">
        <f t="shared" si="232"/>
        <v>0</v>
      </c>
      <c r="O561" s="82">
        <f>N561+'BM 003'!O561</f>
        <v>0</v>
      </c>
      <c r="P561" s="80">
        <f t="shared" si="233"/>
        <v>3900</v>
      </c>
      <c r="Q561" s="82">
        <f t="shared" si="234"/>
        <v>4943.6400000000003</v>
      </c>
      <c r="R561" s="82">
        <f t="shared" si="235"/>
        <v>4943.6400000000003</v>
      </c>
    </row>
    <row r="562" spans="2:18" s="34" customFormat="1" ht="23.4">
      <c r="B562" s="75" t="s">
        <v>1099</v>
      </c>
      <c r="C562" s="76" t="s">
        <v>1100</v>
      </c>
      <c r="D562" s="77" t="s">
        <v>131</v>
      </c>
      <c r="E562" s="78">
        <v>1</v>
      </c>
      <c r="F562" s="79"/>
      <c r="G562" s="79"/>
      <c r="H562" s="79"/>
      <c r="I562" s="79">
        <f>SUM(G562:H562)+'BM 003'!I562</f>
        <v>0</v>
      </c>
      <c r="J562" s="79">
        <f t="shared" si="228"/>
        <v>1</v>
      </c>
      <c r="K562" s="84">
        <v>360</v>
      </c>
      <c r="L562" s="81">
        <f t="shared" si="227"/>
        <v>456.33603960000005</v>
      </c>
      <c r="M562" s="82">
        <f t="shared" si="231"/>
        <v>0</v>
      </c>
      <c r="N562" s="82">
        <f t="shared" si="232"/>
        <v>0</v>
      </c>
      <c r="O562" s="82">
        <f>N562+'BM 003'!O562</f>
        <v>0</v>
      </c>
      <c r="P562" s="80">
        <f t="shared" si="233"/>
        <v>360</v>
      </c>
      <c r="Q562" s="82">
        <f t="shared" si="234"/>
        <v>456.33</v>
      </c>
      <c r="R562" s="82">
        <f t="shared" si="235"/>
        <v>456.33</v>
      </c>
    </row>
    <row r="563" spans="2:18" s="34" customFormat="1" ht="13.2">
      <c r="B563" s="75" t="s">
        <v>1101</v>
      </c>
      <c r="C563" s="76" t="s">
        <v>1102</v>
      </c>
      <c r="D563" s="77" t="s">
        <v>131</v>
      </c>
      <c r="E563" s="78">
        <v>2</v>
      </c>
      <c r="F563" s="79"/>
      <c r="G563" s="79"/>
      <c r="H563" s="79"/>
      <c r="I563" s="79">
        <f>SUM(G563:H563)+'BM 003'!I563</f>
        <v>0</v>
      </c>
      <c r="J563" s="79">
        <f t="shared" si="228"/>
        <v>2</v>
      </c>
      <c r="K563" s="84">
        <v>3650</v>
      </c>
      <c r="L563" s="81">
        <f t="shared" si="227"/>
        <v>4626.7404015000002</v>
      </c>
      <c r="M563" s="82">
        <f t="shared" si="231"/>
        <v>0</v>
      </c>
      <c r="N563" s="82">
        <f t="shared" si="232"/>
        <v>0</v>
      </c>
      <c r="O563" s="82">
        <f>N563+'BM 003'!O563</f>
        <v>0</v>
      </c>
      <c r="P563" s="80">
        <f t="shared" si="233"/>
        <v>7300</v>
      </c>
      <c r="Q563" s="82">
        <f t="shared" si="234"/>
        <v>9253.48</v>
      </c>
      <c r="R563" s="82">
        <f t="shared" si="235"/>
        <v>9253.48</v>
      </c>
    </row>
    <row r="564" spans="2:18" s="34" customFormat="1" ht="23.4">
      <c r="B564" s="75" t="s">
        <v>1103</v>
      </c>
      <c r="C564" s="76" t="s">
        <v>1104</v>
      </c>
      <c r="D564" s="77" t="s">
        <v>131</v>
      </c>
      <c r="E564" s="78">
        <v>60</v>
      </c>
      <c r="F564" s="79"/>
      <c r="G564" s="79"/>
      <c r="H564" s="79"/>
      <c r="I564" s="79">
        <f>SUM(G564:H564)+'BM 003'!I564</f>
        <v>0</v>
      </c>
      <c r="J564" s="79">
        <f t="shared" si="228"/>
        <v>60</v>
      </c>
      <c r="K564" s="84">
        <v>280</v>
      </c>
      <c r="L564" s="81">
        <f t="shared" si="227"/>
        <v>354.92803079999999</v>
      </c>
      <c r="M564" s="82">
        <f t="shared" si="231"/>
        <v>0</v>
      </c>
      <c r="N564" s="82">
        <f t="shared" si="232"/>
        <v>0</v>
      </c>
      <c r="O564" s="82">
        <f>N564+'BM 003'!O564</f>
        <v>0</v>
      </c>
      <c r="P564" s="80">
        <f t="shared" si="233"/>
        <v>16800</v>
      </c>
      <c r="Q564" s="82">
        <f t="shared" si="234"/>
        <v>21295.68</v>
      </c>
      <c r="R564" s="82">
        <f t="shared" si="235"/>
        <v>21295.68</v>
      </c>
    </row>
    <row r="565" spans="2:18" s="34" customFormat="1" ht="34.799999999999997">
      <c r="B565" s="75" t="s">
        <v>1105</v>
      </c>
      <c r="C565" s="76" t="s">
        <v>1106</v>
      </c>
      <c r="D565" s="77" t="s">
        <v>131</v>
      </c>
      <c r="E565" s="78">
        <v>10</v>
      </c>
      <c r="F565" s="79"/>
      <c r="G565" s="79"/>
      <c r="H565" s="79"/>
      <c r="I565" s="79">
        <f>SUM(G565:H565)+'BM 003'!I565</f>
        <v>0</v>
      </c>
      <c r="J565" s="79">
        <f t="shared" si="228"/>
        <v>10</v>
      </c>
      <c r="K565" s="84">
        <v>295</v>
      </c>
      <c r="L565" s="81">
        <f t="shared" si="227"/>
        <v>373.94203245</v>
      </c>
      <c r="M565" s="82">
        <f t="shared" si="231"/>
        <v>0</v>
      </c>
      <c r="N565" s="82">
        <f t="shared" si="232"/>
        <v>0</v>
      </c>
      <c r="O565" s="82">
        <f>N565+'BM 003'!O565</f>
        <v>0</v>
      </c>
      <c r="P565" s="80">
        <f t="shared" si="233"/>
        <v>2950</v>
      </c>
      <c r="Q565" s="82">
        <f t="shared" si="234"/>
        <v>3739.42</v>
      </c>
      <c r="R565" s="82">
        <f t="shared" si="235"/>
        <v>3739.42</v>
      </c>
    </row>
    <row r="566" spans="2:18" s="34" customFormat="1" ht="13.2">
      <c r="B566" s="60" t="s">
        <v>1107</v>
      </c>
      <c r="C566" s="61" t="s">
        <v>1108</v>
      </c>
      <c r="D566" s="60"/>
      <c r="E566" s="62"/>
      <c r="F566" s="63"/>
      <c r="G566" s="63"/>
      <c r="H566" s="63"/>
      <c r="I566" s="63">
        <f>SUM(G566:H566)+'BM 003'!I566</f>
        <v>0</v>
      </c>
      <c r="J566" s="63">
        <f t="shared" si="228"/>
        <v>0</v>
      </c>
      <c r="K566" s="63"/>
      <c r="L566" s="63">
        <f t="shared" si="227"/>
        <v>0</v>
      </c>
      <c r="M566" s="63">
        <f t="shared" ref="M566:R566" si="236">SUM(M567:M587)</f>
        <v>0</v>
      </c>
      <c r="N566" s="63">
        <f t="shared" si="236"/>
        <v>0</v>
      </c>
      <c r="O566" s="63">
        <f t="shared" si="236"/>
        <v>0</v>
      </c>
      <c r="P566" s="63">
        <f t="shared" si="236"/>
        <v>397499.3</v>
      </c>
      <c r="Q566" s="63">
        <f t="shared" si="236"/>
        <v>503870.0799999999</v>
      </c>
      <c r="R566" s="63">
        <f t="shared" si="236"/>
        <v>503870.0799999999</v>
      </c>
    </row>
    <row r="567" spans="2:18" s="34" customFormat="1" ht="57.6">
      <c r="B567" s="87" t="s">
        <v>1109</v>
      </c>
      <c r="C567" s="88" t="s">
        <v>1110</v>
      </c>
      <c r="D567" s="89" t="s">
        <v>63</v>
      </c>
      <c r="E567" s="92">
        <v>33</v>
      </c>
      <c r="F567" s="91"/>
      <c r="G567" s="91"/>
      <c r="H567" s="91"/>
      <c r="I567" s="91">
        <f>SUM(G567:H567)+'BM 003'!I567</f>
        <v>0</v>
      </c>
      <c r="J567" s="91">
        <f t="shared" si="228"/>
        <v>33</v>
      </c>
      <c r="K567" s="84">
        <v>540</v>
      </c>
      <c r="L567" s="81">
        <f t="shared" si="227"/>
        <v>684.50405940000007</v>
      </c>
      <c r="M567" s="82">
        <f t="shared" ref="M567:M587" si="237">TRUNC(F567*L567,2)</f>
        <v>0</v>
      </c>
      <c r="N567" s="82">
        <f t="shared" ref="N567:N587" si="238">TRUNC(G567*L567,2)</f>
        <v>0</v>
      </c>
      <c r="O567" s="82">
        <f>N567+'BM 003'!O567</f>
        <v>0</v>
      </c>
      <c r="P567" s="80">
        <f t="shared" ref="P567:P587" si="239">E567*K567</f>
        <v>17820</v>
      </c>
      <c r="Q567" s="82">
        <f t="shared" ref="Q567:Q587" si="240">TRUNC(E567*L567,2)</f>
        <v>22588.63</v>
      </c>
      <c r="R567" s="82">
        <f t="shared" ref="R567:R587" si="241">Q567-O567</f>
        <v>22588.63</v>
      </c>
    </row>
    <row r="568" spans="2:18" s="34" customFormat="1" ht="57.6">
      <c r="B568" s="87" t="s">
        <v>1111</v>
      </c>
      <c r="C568" s="88" t="s">
        <v>1112</v>
      </c>
      <c r="D568" s="89" t="s">
        <v>63</v>
      </c>
      <c r="E568" s="90">
        <f>56-E567</f>
        <v>23</v>
      </c>
      <c r="F568" s="91"/>
      <c r="G568" s="91"/>
      <c r="H568" s="91"/>
      <c r="I568" s="91">
        <f>SUM(G568:H568)+'BM 003'!I568</f>
        <v>0</v>
      </c>
      <c r="J568" s="91">
        <f t="shared" si="228"/>
        <v>23</v>
      </c>
      <c r="K568" s="80">
        <v>685</v>
      </c>
      <c r="L568" s="81">
        <f t="shared" si="227"/>
        <v>868.30607535000001</v>
      </c>
      <c r="M568" s="82">
        <f t="shared" si="237"/>
        <v>0</v>
      </c>
      <c r="N568" s="82">
        <f t="shared" si="238"/>
        <v>0</v>
      </c>
      <c r="O568" s="82">
        <f>N568+'BM 003'!O568</f>
        <v>0</v>
      </c>
      <c r="P568" s="80">
        <f t="shared" si="239"/>
        <v>15755</v>
      </c>
      <c r="Q568" s="82">
        <f t="shared" si="240"/>
        <v>19971.03</v>
      </c>
      <c r="R568" s="82">
        <f t="shared" si="241"/>
        <v>19971.03</v>
      </c>
    </row>
    <row r="569" spans="2:18" s="34" customFormat="1" ht="34.799999999999997">
      <c r="B569" s="87" t="s">
        <v>1113</v>
      </c>
      <c r="C569" s="88" t="s">
        <v>1114</v>
      </c>
      <c r="D569" s="89" t="s">
        <v>131</v>
      </c>
      <c r="E569" s="92">
        <v>17</v>
      </c>
      <c r="F569" s="91"/>
      <c r="G569" s="91"/>
      <c r="H569" s="91"/>
      <c r="I569" s="91">
        <f>SUM(G569:H569)+'BM 003'!I569</f>
        <v>0</v>
      </c>
      <c r="J569" s="91">
        <f t="shared" si="228"/>
        <v>17</v>
      </c>
      <c r="K569" s="84">
        <v>725</v>
      </c>
      <c r="L569" s="81">
        <f t="shared" si="227"/>
        <v>919.01007975000005</v>
      </c>
      <c r="M569" s="82">
        <f t="shared" si="237"/>
        <v>0</v>
      </c>
      <c r="N569" s="82">
        <f t="shared" si="238"/>
        <v>0</v>
      </c>
      <c r="O569" s="82">
        <f>N569+'BM 003'!O569</f>
        <v>0</v>
      </c>
      <c r="P569" s="80">
        <f t="shared" si="239"/>
        <v>12325</v>
      </c>
      <c r="Q569" s="82">
        <f t="shared" si="240"/>
        <v>15623.17</v>
      </c>
      <c r="R569" s="82">
        <f t="shared" si="241"/>
        <v>15623.17</v>
      </c>
    </row>
    <row r="570" spans="2:18" s="34" customFormat="1" ht="23.4">
      <c r="B570" s="87" t="s">
        <v>1115</v>
      </c>
      <c r="C570" s="88" t="s">
        <v>1116</v>
      </c>
      <c r="D570" s="89" t="s">
        <v>63</v>
      </c>
      <c r="E570" s="92">
        <v>56</v>
      </c>
      <c r="F570" s="91"/>
      <c r="G570" s="91"/>
      <c r="H570" s="91"/>
      <c r="I570" s="91">
        <f>SUM(G570:H570)+'BM 003'!I570</f>
        <v>0</v>
      </c>
      <c r="J570" s="91">
        <f t="shared" si="228"/>
        <v>56</v>
      </c>
      <c r="K570" s="84">
        <v>175</v>
      </c>
      <c r="L570" s="81">
        <f t="shared" si="227"/>
        <v>221.83001925000002</v>
      </c>
      <c r="M570" s="82">
        <f t="shared" si="237"/>
        <v>0</v>
      </c>
      <c r="N570" s="82">
        <f t="shared" si="238"/>
        <v>0</v>
      </c>
      <c r="O570" s="82">
        <f>N570+'BM 003'!O570</f>
        <v>0</v>
      </c>
      <c r="P570" s="80">
        <f t="shared" si="239"/>
        <v>9800</v>
      </c>
      <c r="Q570" s="82">
        <f t="shared" si="240"/>
        <v>12422.48</v>
      </c>
      <c r="R570" s="82">
        <f t="shared" si="241"/>
        <v>12422.48</v>
      </c>
    </row>
    <row r="571" spans="2:18" s="34" customFormat="1" ht="23.4">
      <c r="B571" s="87" t="s">
        <v>1117</v>
      </c>
      <c r="C571" s="88" t="s">
        <v>1118</v>
      </c>
      <c r="D571" s="89" t="s">
        <v>63</v>
      </c>
      <c r="E571" s="92">
        <v>11</v>
      </c>
      <c r="F571" s="91"/>
      <c r="G571" s="91"/>
      <c r="H571" s="91"/>
      <c r="I571" s="91">
        <f>SUM(G571:H571)+'BM 003'!I571</f>
        <v>0</v>
      </c>
      <c r="J571" s="91">
        <f t="shared" si="228"/>
        <v>11</v>
      </c>
      <c r="K571" s="84">
        <v>120</v>
      </c>
      <c r="L571" s="81">
        <f t="shared" si="227"/>
        <v>152.11201320000001</v>
      </c>
      <c r="M571" s="82">
        <f t="shared" si="237"/>
        <v>0</v>
      </c>
      <c r="N571" s="82">
        <f t="shared" si="238"/>
        <v>0</v>
      </c>
      <c r="O571" s="82">
        <f>N571+'BM 003'!O571</f>
        <v>0</v>
      </c>
      <c r="P571" s="80">
        <f t="shared" si="239"/>
        <v>1320</v>
      </c>
      <c r="Q571" s="82">
        <f t="shared" si="240"/>
        <v>1673.23</v>
      </c>
      <c r="R571" s="82">
        <f t="shared" si="241"/>
        <v>1673.23</v>
      </c>
    </row>
    <row r="572" spans="2:18" s="34" customFormat="1" ht="46.2">
      <c r="B572" s="87" t="s">
        <v>1119</v>
      </c>
      <c r="C572" s="88" t="s">
        <v>1120</v>
      </c>
      <c r="D572" s="89" t="s">
        <v>63</v>
      </c>
      <c r="E572" s="92">
        <v>20</v>
      </c>
      <c r="F572" s="91"/>
      <c r="G572" s="91"/>
      <c r="H572" s="91"/>
      <c r="I572" s="91">
        <f>SUM(G572:H572)+'BM 003'!I572</f>
        <v>0</v>
      </c>
      <c r="J572" s="91">
        <f t="shared" si="228"/>
        <v>20</v>
      </c>
      <c r="K572" s="84">
        <v>205</v>
      </c>
      <c r="L572" s="81">
        <f t="shared" si="227"/>
        <v>259.85802254999999</v>
      </c>
      <c r="M572" s="82">
        <f t="shared" si="237"/>
        <v>0</v>
      </c>
      <c r="N572" s="82">
        <f t="shared" si="238"/>
        <v>0</v>
      </c>
      <c r="O572" s="82">
        <f>N572+'BM 003'!O572</f>
        <v>0</v>
      </c>
      <c r="P572" s="80">
        <f t="shared" si="239"/>
        <v>4100</v>
      </c>
      <c r="Q572" s="82">
        <f t="shared" si="240"/>
        <v>5197.16</v>
      </c>
      <c r="R572" s="82">
        <f t="shared" si="241"/>
        <v>5197.16</v>
      </c>
    </row>
    <row r="573" spans="2:18" s="34" customFormat="1" ht="23.4">
      <c r="B573" s="87" t="s">
        <v>1121</v>
      </c>
      <c r="C573" s="88" t="s">
        <v>1122</v>
      </c>
      <c r="D573" s="89" t="s">
        <v>63</v>
      </c>
      <c r="E573" s="92">
        <v>39</v>
      </c>
      <c r="F573" s="91"/>
      <c r="G573" s="91"/>
      <c r="H573" s="91"/>
      <c r="I573" s="91">
        <f>SUM(G573:H573)+'BM 003'!I573</f>
        <v>0</v>
      </c>
      <c r="J573" s="91">
        <f t="shared" si="228"/>
        <v>39</v>
      </c>
      <c r="K573" s="84">
        <v>730</v>
      </c>
      <c r="L573" s="81">
        <f t="shared" si="227"/>
        <v>925.34808029999999</v>
      </c>
      <c r="M573" s="82">
        <f t="shared" si="237"/>
        <v>0</v>
      </c>
      <c r="N573" s="82">
        <f t="shared" si="238"/>
        <v>0</v>
      </c>
      <c r="O573" s="82">
        <f>N573+'BM 003'!O573</f>
        <v>0</v>
      </c>
      <c r="P573" s="80">
        <f t="shared" si="239"/>
        <v>28470</v>
      </c>
      <c r="Q573" s="82">
        <f t="shared" si="240"/>
        <v>36088.57</v>
      </c>
      <c r="R573" s="82">
        <f t="shared" si="241"/>
        <v>36088.57</v>
      </c>
    </row>
    <row r="574" spans="2:18" s="34" customFormat="1" ht="23.4">
      <c r="B574" s="87" t="s">
        <v>1123</v>
      </c>
      <c r="C574" s="88" t="s">
        <v>1124</v>
      </c>
      <c r="D574" s="89" t="s">
        <v>63</v>
      </c>
      <c r="E574" s="92">
        <v>6</v>
      </c>
      <c r="F574" s="91"/>
      <c r="G574" s="91"/>
      <c r="H574" s="91"/>
      <c r="I574" s="91">
        <f>SUM(G574:H574)+'BM 003'!I574</f>
        <v>0</v>
      </c>
      <c r="J574" s="91">
        <f t="shared" si="228"/>
        <v>6</v>
      </c>
      <c r="K574" s="84">
        <v>4500</v>
      </c>
      <c r="L574" s="81">
        <f t="shared" si="227"/>
        <v>5704.200495</v>
      </c>
      <c r="M574" s="82">
        <f t="shared" si="237"/>
        <v>0</v>
      </c>
      <c r="N574" s="82">
        <f t="shared" si="238"/>
        <v>0</v>
      </c>
      <c r="O574" s="82">
        <f>N574+'BM 003'!O574</f>
        <v>0</v>
      </c>
      <c r="P574" s="80">
        <f t="shared" si="239"/>
        <v>27000</v>
      </c>
      <c r="Q574" s="82">
        <f t="shared" si="240"/>
        <v>34225.199999999997</v>
      </c>
      <c r="R574" s="82">
        <f t="shared" si="241"/>
        <v>34225.199999999997</v>
      </c>
    </row>
    <row r="575" spans="2:18" s="34" customFormat="1" ht="46.2">
      <c r="B575" s="87" t="s">
        <v>1125</v>
      </c>
      <c r="C575" s="88" t="s">
        <v>1126</v>
      </c>
      <c r="D575" s="89" t="s">
        <v>63</v>
      </c>
      <c r="E575" s="92">
        <v>59</v>
      </c>
      <c r="F575" s="91"/>
      <c r="G575" s="91"/>
      <c r="H575" s="91"/>
      <c r="I575" s="91">
        <f>SUM(G575:H575)+'BM 003'!I575</f>
        <v>0</v>
      </c>
      <c r="J575" s="91">
        <f t="shared" si="228"/>
        <v>59</v>
      </c>
      <c r="K575" s="84">
        <v>745</v>
      </c>
      <c r="L575" s="81">
        <f t="shared" si="227"/>
        <v>944.36208195000006</v>
      </c>
      <c r="M575" s="82">
        <f t="shared" si="237"/>
        <v>0</v>
      </c>
      <c r="N575" s="82">
        <f t="shared" si="238"/>
        <v>0</v>
      </c>
      <c r="O575" s="82">
        <f>N575+'BM 003'!O575</f>
        <v>0</v>
      </c>
      <c r="P575" s="80">
        <f t="shared" si="239"/>
        <v>43955</v>
      </c>
      <c r="Q575" s="82">
        <f t="shared" si="240"/>
        <v>55717.36</v>
      </c>
      <c r="R575" s="82">
        <f t="shared" si="241"/>
        <v>55717.36</v>
      </c>
    </row>
    <row r="576" spans="2:18" s="34" customFormat="1" ht="23.4">
      <c r="B576" s="87" t="s">
        <v>1127</v>
      </c>
      <c r="C576" s="88" t="s">
        <v>1128</v>
      </c>
      <c r="D576" s="89" t="s">
        <v>63</v>
      </c>
      <c r="E576" s="92">
        <v>74</v>
      </c>
      <c r="F576" s="91"/>
      <c r="G576" s="91"/>
      <c r="H576" s="91"/>
      <c r="I576" s="91">
        <f>SUM(G576:H576)+'BM 003'!I576</f>
        <v>0</v>
      </c>
      <c r="J576" s="91">
        <f t="shared" si="228"/>
        <v>74</v>
      </c>
      <c r="K576" s="84">
        <v>250</v>
      </c>
      <c r="L576" s="81">
        <f t="shared" si="227"/>
        <v>316.90002750000002</v>
      </c>
      <c r="M576" s="82">
        <f t="shared" si="237"/>
        <v>0</v>
      </c>
      <c r="N576" s="82">
        <f t="shared" si="238"/>
        <v>0</v>
      </c>
      <c r="O576" s="82">
        <f>N576+'BM 003'!O576</f>
        <v>0</v>
      </c>
      <c r="P576" s="80">
        <f t="shared" si="239"/>
        <v>18500</v>
      </c>
      <c r="Q576" s="82">
        <f t="shared" si="240"/>
        <v>23450.6</v>
      </c>
      <c r="R576" s="82">
        <f t="shared" si="241"/>
        <v>23450.6</v>
      </c>
    </row>
    <row r="577" spans="1:23" s="34" customFormat="1" ht="23.4">
      <c r="B577" s="87" t="s">
        <v>1129</v>
      </c>
      <c r="C577" s="88" t="s">
        <v>1130</v>
      </c>
      <c r="D577" s="89" t="s">
        <v>63</v>
      </c>
      <c r="E577" s="92">
        <v>49</v>
      </c>
      <c r="F577" s="91"/>
      <c r="G577" s="91"/>
      <c r="H577" s="91"/>
      <c r="I577" s="91">
        <f>SUM(G577:H577)+'BM 003'!I577</f>
        <v>0</v>
      </c>
      <c r="J577" s="91">
        <f t="shared" si="228"/>
        <v>49</v>
      </c>
      <c r="K577" s="84">
        <v>250</v>
      </c>
      <c r="L577" s="81">
        <f t="shared" si="227"/>
        <v>316.90002750000002</v>
      </c>
      <c r="M577" s="82">
        <f t="shared" si="237"/>
        <v>0</v>
      </c>
      <c r="N577" s="82">
        <f t="shared" si="238"/>
        <v>0</v>
      </c>
      <c r="O577" s="82">
        <f>N577+'BM 003'!O577</f>
        <v>0</v>
      </c>
      <c r="P577" s="80">
        <f t="shared" si="239"/>
        <v>12250</v>
      </c>
      <c r="Q577" s="82">
        <f t="shared" si="240"/>
        <v>15528.1</v>
      </c>
      <c r="R577" s="82">
        <f t="shared" si="241"/>
        <v>15528.1</v>
      </c>
    </row>
    <row r="578" spans="1:23" s="34" customFormat="1" ht="23.4">
      <c r="B578" s="87" t="s">
        <v>1131</v>
      </c>
      <c r="C578" s="88" t="s">
        <v>1132</v>
      </c>
      <c r="D578" s="89" t="s">
        <v>63</v>
      </c>
      <c r="E578" s="92">
        <v>102</v>
      </c>
      <c r="F578" s="91"/>
      <c r="G578" s="91"/>
      <c r="H578" s="91"/>
      <c r="I578" s="91">
        <f>SUM(G578:H578)+'BM 003'!I578</f>
        <v>0</v>
      </c>
      <c r="J578" s="91">
        <f t="shared" si="228"/>
        <v>102</v>
      </c>
      <c r="K578" s="84">
        <v>200</v>
      </c>
      <c r="L578" s="81">
        <f t="shared" si="227"/>
        <v>253.52002200000001</v>
      </c>
      <c r="M578" s="82">
        <f t="shared" si="237"/>
        <v>0</v>
      </c>
      <c r="N578" s="82">
        <f t="shared" si="238"/>
        <v>0</v>
      </c>
      <c r="O578" s="82">
        <f>N578+'BM 003'!O578</f>
        <v>0</v>
      </c>
      <c r="P578" s="80">
        <f t="shared" si="239"/>
        <v>20400</v>
      </c>
      <c r="Q578" s="82">
        <f t="shared" si="240"/>
        <v>25859.040000000001</v>
      </c>
      <c r="R578" s="82">
        <f t="shared" si="241"/>
        <v>25859.040000000001</v>
      </c>
    </row>
    <row r="579" spans="1:23" s="34" customFormat="1" ht="13.2">
      <c r="B579" s="87" t="s">
        <v>1133</v>
      </c>
      <c r="C579" s="88" t="s">
        <v>1134</v>
      </c>
      <c r="D579" s="89" t="s">
        <v>63</v>
      </c>
      <c r="E579" s="92">
        <v>135</v>
      </c>
      <c r="F579" s="91"/>
      <c r="G579" s="91"/>
      <c r="H579" s="91"/>
      <c r="I579" s="91">
        <f>SUM(G579:H579)+'BM 003'!I579</f>
        <v>0</v>
      </c>
      <c r="J579" s="91">
        <f t="shared" si="228"/>
        <v>135</v>
      </c>
      <c r="K579" s="84">
        <v>85</v>
      </c>
      <c r="L579" s="81">
        <f t="shared" si="227"/>
        <v>107.74600935000001</v>
      </c>
      <c r="M579" s="82">
        <f t="shared" si="237"/>
        <v>0</v>
      </c>
      <c r="N579" s="82">
        <f t="shared" si="238"/>
        <v>0</v>
      </c>
      <c r="O579" s="82">
        <f>N579+'BM 003'!O579</f>
        <v>0</v>
      </c>
      <c r="P579" s="80">
        <f t="shared" si="239"/>
        <v>11475</v>
      </c>
      <c r="Q579" s="82">
        <f t="shared" si="240"/>
        <v>14545.71</v>
      </c>
      <c r="R579" s="82">
        <f t="shared" si="241"/>
        <v>14545.71</v>
      </c>
    </row>
    <row r="580" spans="1:23" s="34" customFormat="1" ht="34.799999999999997">
      <c r="B580" s="87" t="s">
        <v>1135</v>
      </c>
      <c r="C580" s="88" t="s">
        <v>1136</v>
      </c>
      <c r="D580" s="89" t="s">
        <v>79</v>
      </c>
      <c r="E580" s="92">
        <v>43.42</v>
      </c>
      <c r="F580" s="91"/>
      <c r="G580" s="91"/>
      <c r="H580" s="91"/>
      <c r="I580" s="91">
        <f>SUM(G580:H580)+'BM 003'!I580</f>
        <v>0</v>
      </c>
      <c r="J580" s="91">
        <f t="shared" si="228"/>
        <v>43.42</v>
      </c>
      <c r="K580" s="84">
        <v>2590</v>
      </c>
      <c r="L580" s="81">
        <f t="shared" si="227"/>
        <v>3283.0842849000001</v>
      </c>
      <c r="M580" s="82">
        <f t="shared" si="237"/>
        <v>0</v>
      </c>
      <c r="N580" s="82">
        <f t="shared" si="238"/>
        <v>0</v>
      </c>
      <c r="O580" s="82">
        <f>N580+'BM 003'!O580</f>
        <v>0</v>
      </c>
      <c r="P580" s="80">
        <f t="shared" si="239"/>
        <v>112457.8</v>
      </c>
      <c r="Q580" s="82">
        <f t="shared" si="240"/>
        <v>142551.51</v>
      </c>
      <c r="R580" s="82">
        <f t="shared" si="241"/>
        <v>142551.51</v>
      </c>
    </row>
    <row r="581" spans="1:23" s="34" customFormat="1" ht="34.799999999999997">
      <c r="B581" s="87" t="s">
        <v>1137</v>
      </c>
      <c r="C581" s="88" t="s">
        <v>1138</v>
      </c>
      <c r="D581" s="89" t="s">
        <v>79</v>
      </c>
      <c r="E581" s="92">
        <v>8.93</v>
      </c>
      <c r="F581" s="91"/>
      <c r="G581" s="91"/>
      <c r="H581" s="91"/>
      <c r="I581" s="91">
        <f>SUM(G581:H581)+'BM 003'!I581</f>
        <v>0</v>
      </c>
      <c r="J581" s="91">
        <f t="shared" si="228"/>
        <v>8.93</v>
      </c>
      <c r="K581" s="84">
        <v>950</v>
      </c>
      <c r="L581" s="81">
        <f t="shared" si="227"/>
        <v>1204.2201045000002</v>
      </c>
      <c r="M581" s="82">
        <f t="shared" si="237"/>
        <v>0</v>
      </c>
      <c r="N581" s="82">
        <f t="shared" si="238"/>
        <v>0</v>
      </c>
      <c r="O581" s="82">
        <f>N581+'BM 003'!O581</f>
        <v>0</v>
      </c>
      <c r="P581" s="80">
        <f t="shared" si="239"/>
        <v>8483.5</v>
      </c>
      <c r="Q581" s="82">
        <f t="shared" si="240"/>
        <v>10753.68</v>
      </c>
      <c r="R581" s="82">
        <f t="shared" si="241"/>
        <v>10753.68</v>
      </c>
    </row>
    <row r="582" spans="1:23" s="34" customFormat="1" ht="23.4">
      <c r="B582" s="87" t="s">
        <v>1139</v>
      </c>
      <c r="C582" s="88" t="s">
        <v>1140</v>
      </c>
      <c r="D582" s="89" t="s">
        <v>63</v>
      </c>
      <c r="E582" s="92">
        <v>1</v>
      </c>
      <c r="F582" s="91"/>
      <c r="G582" s="91"/>
      <c r="H582" s="91"/>
      <c r="I582" s="91">
        <f>SUM(G582:H582)+'BM 003'!I582</f>
        <v>0</v>
      </c>
      <c r="J582" s="91">
        <f t="shared" si="228"/>
        <v>1</v>
      </c>
      <c r="K582" s="84">
        <v>210</v>
      </c>
      <c r="L582" s="81">
        <f t="shared" si="227"/>
        <v>266.19602309999999</v>
      </c>
      <c r="M582" s="82">
        <f t="shared" si="237"/>
        <v>0</v>
      </c>
      <c r="N582" s="82">
        <f t="shared" si="238"/>
        <v>0</v>
      </c>
      <c r="O582" s="82">
        <f>N582+'BM 003'!O582</f>
        <v>0</v>
      </c>
      <c r="P582" s="80">
        <f t="shared" si="239"/>
        <v>210</v>
      </c>
      <c r="Q582" s="82">
        <f t="shared" si="240"/>
        <v>266.19</v>
      </c>
      <c r="R582" s="82">
        <f t="shared" si="241"/>
        <v>266.19</v>
      </c>
    </row>
    <row r="583" spans="1:23" s="34" customFormat="1" ht="34.799999999999997">
      <c r="B583" s="87" t="s">
        <v>1141</v>
      </c>
      <c r="C583" s="88" t="s">
        <v>1142</v>
      </c>
      <c r="D583" s="89" t="s">
        <v>63</v>
      </c>
      <c r="E583" s="92">
        <v>22</v>
      </c>
      <c r="F583" s="91"/>
      <c r="G583" s="91"/>
      <c r="H583" s="91"/>
      <c r="I583" s="91">
        <f>SUM(G583:H583)+'BM 003'!I583</f>
        <v>0</v>
      </c>
      <c r="J583" s="91">
        <f t="shared" si="228"/>
        <v>22</v>
      </c>
      <c r="K583" s="84">
        <v>490</v>
      </c>
      <c r="L583" s="81">
        <f t="shared" si="227"/>
        <v>621.12405390000004</v>
      </c>
      <c r="M583" s="82">
        <f t="shared" si="237"/>
        <v>0</v>
      </c>
      <c r="N583" s="82">
        <f t="shared" si="238"/>
        <v>0</v>
      </c>
      <c r="O583" s="82">
        <f>N583+'BM 003'!O583</f>
        <v>0</v>
      </c>
      <c r="P583" s="80">
        <f t="shared" si="239"/>
        <v>10780</v>
      </c>
      <c r="Q583" s="82">
        <f t="shared" si="240"/>
        <v>13664.72</v>
      </c>
      <c r="R583" s="82">
        <f t="shared" si="241"/>
        <v>13664.72</v>
      </c>
    </row>
    <row r="584" spans="1:23" ht="58.2">
      <c r="A584" s="34"/>
      <c r="B584" s="87" t="s">
        <v>1143</v>
      </c>
      <c r="C584" s="88" t="s">
        <v>1144</v>
      </c>
      <c r="D584" s="89" t="s">
        <v>63</v>
      </c>
      <c r="E584" s="92">
        <v>3</v>
      </c>
      <c r="F584" s="91"/>
      <c r="G584" s="91"/>
      <c r="H584" s="91"/>
      <c r="I584" s="91">
        <f>SUM(G584:H584)+'BM 003'!I584</f>
        <v>0</v>
      </c>
      <c r="J584" s="91">
        <f t="shared" si="228"/>
        <v>3</v>
      </c>
      <c r="K584" s="84">
        <v>2480</v>
      </c>
      <c r="L584" s="81">
        <f t="shared" si="227"/>
        <v>3143.6482728000001</v>
      </c>
      <c r="M584" s="82">
        <f t="shared" si="237"/>
        <v>0</v>
      </c>
      <c r="N584" s="82">
        <f t="shared" si="238"/>
        <v>0</v>
      </c>
      <c r="O584" s="82">
        <f>N584+'BM 003'!O584</f>
        <v>0</v>
      </c>
      <c r="P584" s="80">
        <f t="shared" si="239"/>
        <v>7440</v>
      </c>
      <c r="Q584" s="82">
        <f t="shared" si="240"/>
        <v>9430.94</v>
      </c>
      <c r="R584" s="82">
        <f t="shared" si="241"/>
        <v>9430.94</v>
      </c>
      <c r="S584" s="34"/>
      <c r="T584" s="34"/>
      <c r="U584" s="34"/>
      <c r="V584" s="34"/>
      <c r="W584" s="34"/>
    </row>
    <row r="585" spans="1:23" ht="24">
      <c r="A585" s="34"/>
      <c r="B585" s="87" t="s">
        <v>1145</v>
      </c>
      <c r="C585" s="88" t="s">
        <v>1146</v>
      </c>
      <c r="D585" s="89" t="s">
        <v>63</v>
      </c>
      <c r="E585" s="92">
        <v>7</v>
      </c>
      <c r="F585" s="91"/>
      <c r="G585" s="91"/>
      <c r="H585" s="91"/>
      <c r="I585" s="91">
        <f>SUM(G585:H585)+'BM 003'!I585</f>
        <v>0</v>
      </c>
      <c r="J585" s="91">
        <f t="shared" si="228"/>
        <v>7</v>
      </c>
      <c r="K585" s="84">
        <v>950</v>
      </c>
      <c r="L585" s="81">
        <f t="shared" si="227"/>
        <v>1204.2201045000002</v>
      </c>
      <c r="M585" s="82">
        <f t="shared" si="237"/>
        <v>0</v>
      </c>
      <c r="N585" s="82">
        <f t="shared" si="238"/>
        <v>0</v>
      </c>
      <c r="O585" s="82">
        <f>N585+'BM 003'!O585</f>
        <v>0</v>
      </c>
      <c r="P585" s="80">
        <f t="shared" si="239"/>
        <v>6650</v>
      </c>
      <c r="Q585" s="82">
        <f t="shared" si="240"/>
        <v>8429.5400000000009</v>
      </c>
      <c r="R585" s="82">
        <f t="shared" si="241"/>
        <v>8429.5400000000009</v>
      </c>
      <c r="S585" s="34"/>
      <c r="T585" s="34"/>
      <c r="U585" s="34"/>
      <c r="V585" s="34"/>
      <c r="W585" s="34"/>
    </row>
    <row r="586" spans="1:23" ht="35.4">
      <c r="A586" s="34"/>
      <c r="B586" s="87" t="s">
        <v>1147</v>
      </c>
      <c r="C586" s="88" t="s">
        <v>1148</v>
      </c>
      <c r="D586" s="89" t="s">
        <v>63</v>
      </c>
      <c r="E586" s="92">
        <v>43</v>
      </c>
      <c r="F586" s="91"/>
      <c r="G586" s="91"/>
      <c r="H586" s="91"/>
      <c r="I586" s="91">
        <f>SUM(G586:H586)+'BM 003'!I586</f>
        <v>0</v>
      </c>
      <c r="J586" s="91">
        <f t="shared" si="228"/>
        <v>43</v>
      </c>
      <c r="K586" s="84">
        <v>300</v>
      </c>
      <c r="L586" s="81">
        <f t="shared" si="227"/>
        <v>380.280033</v>
      </c>
      <c r="M586" s="82">
        <f t="shared" si="237"/>
        <v>0</v>
      </c>
      <c r="N586" s="82">
        <f t="shared" si="238"/>
        <v>0</v>
      </c>
      <c r="O586" s="82">
        <f>N586+'BM 003'!O586</f>
        <v>0</v>
      </c>
      <c r="P586" s="80">
        <f t="shared" si="239"/>
        <v>12900</v>
      </c>
      <c r="Q586" s="82">
        <f t="shared" si="240"/>
        <v>16352.04</v>
      </c>
      <c r="R586" s="82">
        <f t="shared" si="241"/>
        <v>16352.04</v>
      </c>
      <c r="S586" s="34"/>
      <c r="T586" s="34"/>
      <c r="U586" s="34"/>
      <c r="V586" s="34"/>
      <c r="W586" s="34"/>
    </row>
    <row r="587" spans="1:23" ht="35.4">
      <c r="A587" s="34"/>
      <c r="B587" s="87" t="s">
        <v>1149</v>
      </c>
      <c r="C587" s="88" t="s">
        <v>1150</v>
      </c>
      <c r="D587" s="89" t="s">
        <v>63</v>
      </c>
      <c r="E587" s="92">
        <v>4</v>
      </c>
      <c r="F587" s="91"/>
      <c r="G587" s="91"/>
      <c r="H587" s="91"/>
      <c r="I587" s="91">
        <f>SUM(G587:H587)+'BM 003'!I587</f>
        <v>0</v>
      </c>
      <c r="J587" s="91">
        <f t="shared" si="228"/>
        <v>4</v>
      </c>
      <c r="K587" s="84">
        <v>3852</v>
      </c>
      <c r="L587" s="81">
        <f t="shared" si="227"/>
        <v>4882.7956237200005</v>
      </c>
      <c r="M587" s="82">
        <f t="shared" si="237"/>
        <v>0</v>
      </c>
      <c r="N587" s="82">
        <f t="shared" si="238"/>
        <v>0</v>
      </c>
      <c r="O587" s="82">
        <f>N587+'BM 003'!O587</f>
        <v>0</v>
      </c>
      <c r="P587" s="80">
        <f t="shared" si="239"/>
        <v>15408</v>
      </c>
      <c r="Q587" s="82">
        <f t="shared" si="240"/>
        <v>19531.18</v>
      </c>
      <c r="R587" s="82">
        <f t="shared" si="241"/>
        <v>19531.18</v>
      </c>
      <c r="S587" s="34"/>
      <c r="T587" s="34"/>
      <c r="U587" s="34"/>
      <c r="V587" s="34"/>
      <c r="W587" s="34"/>
    </row>
    <row r="588" spans="1:23">
      <c r="A588" s="34"/>
      <c r="B588" s="60" t="s">
        <v>1151</v>
      </c>
      <c r="C588" s="61" t="s">
        <v>1152</v>
      </c>
      <c r="D588" s="60"/>
      <c r="E588" s="62"/>
      <c r="F588" s="63"/>
      <c r="G588" s="63"/>
      <c r="H588" s="63"/>
      <c r="I588" s="63">
        <f>SUM(G588:H588)+'BM 003'!I588</f>
        <v>0</v>
      </c>
      <c r="J588" s="63">
        <f t="shared" si="228"/>
        <v>0</v>
      </c>
      <c r="K588" s="63"/>
      <c r="L588" s="63">
        <f t="shared" si="227"/>
        <v>0</v>
      </c>
      <c r="M588" s="63">
        <f t="shared" ref="M588:R588" si="242">SUM(M589:M590)</f>
        <v>0</v>
      </c>
      <c r="N588" s="63">
        <f t="shared" si="242"/>
        <v>0</v>
      </c>
      <c r="O588" s="63">
        <f t="shared" si="242"/>
        <v>0</v>
      </c>
      <c r="P588" s="63">
        <f t="shared" si="242"/>
        <v>30555.67</v>
      </c>
      <c r="Q588" s="63">
        <f t="shared" si="242"/>
        <v>38732.36</v>
      </c>
      <c r="R588" s="63">
        <f t="shared" si="242"/>
        <v>38732.36</v>
      </c>
      <c r="S588" s="34"/>
      <c r="T588" s="34"/>
      <c r="U588" s="34"/>
      <c r="V588" s="34"/>
      <c r="W588" s="34"/>
    </row>
    <row r="589" spans="1:23" s="122" customFormat="1" ht="23.4">
      <c r="A589" s="34"/>
      <c r="B589" s="75" t="s">
        <v>1153</v>
      </c>
      <c r="C589" s="76" t="s">
        <v>1154</v>
      </c>
      <c r="D589" s="121" t="s">
        <v>63</v>
      </c>
      <c r="E589" s="78">
        <v>1</v>
      </c>
      <c r="F589" s="79"/>
      <c r="G589" s="79"/>
      <c r="H589" s="79"/>
      <c r="I589" s="79">
        <f>SUM(G589:H589)+'BM 003'!I589</f>
        <v>0</v>
      </c>
      <c r="J589" s="79">
        <f t="shared" si="228"/>
        <v>1</v>
      </c>
      <c r="K589" s="84">
        <v>5076.55</v>
      </c>
      <c r="L589" s="81">
        <f t="shared" si="227"/>
        <v>6435.0353384205009</v>
      </c>
      <c r="M589" s="82">
        <f>TRUNC(F589*L589,2)</f>
        <v>0</v>
      </c>
      <c r="N589" s="82">
        <f>TRUNC(G589*L589,2)</f>
        <v>0</v>
      </c>
      <c r="O589" s="82">
        <f>N589+'BM 003'!O589</f>
        <v>0</v>
      </c>
      <c r="P589" s="80">
        <f>E589*K589</f>
        <v>5076.55</v>
      </c>
      <c r="Q589" s="82">
        <f>TRUNC(E589*L589,2)</f>
        <v>6435.03</v>
      </c>
      <c r="R589" s="82">
        <f>Q589-O589</f>
        <v>6435.03</v>
      </c>
      <c r="S589" s="34"/>
      <c r="T589" s="34"/>
      <c r="U589" s="34"/>
      <c r="V589" s="34"/>
      <c r="W589" s="34"/>
    </row>
    <row r="590" spans="1:23" s="122" customFormat="1" ht="13.8">
      <c r="A590" s="34"/>
      <c r="B590" s="75" t="s">
        <v>1155</v>
      </c>
      <c r="C590" s="76" t="s">
        <v>1156</v>
      </c>
      <c r="D590" s="77" t="s">
        <v>79</v>
      </c>
      <c r="E590" s="93">
        <v>6369.78</v>
      </c>
      <c r="F590" s="79"/>
      <c r="G590" s="79"/>
      <c r="H590" s="79"/>
      <c r="I590" s="79">
        <f>SUM(G590:H590)+'BM 003'!I590</f>
        <v>0</v>
      </c>
      <c r="J590" s="79">
        <f t="shared" si="228"/>
        <v>6369.78</v>
      </c>
      <c r="K590" s="123">
        <v>4</v>
      </c>
      <c r="L590" s="81">
        <f t="shared" si="227"/>
        <v>5.0704004400000002</v>
      </c>
      <c r="M590" s="82">
        <f>TRUNC(F590*L590,2)</f>
        <v>0</v>
      </c>
      <c r="N590" s="82">
        <f>TRUNC(G590*L590,2)</f>
        <v>0</v>
      </c>
      <c r="O590" s="82">
        <f>N590+'BM 003'!O590</f>
        <v>0</v>
      </c>
      <c r="P590" s="124">
        <f>E590*K590</f>
        <v>25479.119999999999</v>
      </c>
      <c r="Q590" s="82">
        <f>TRUNC(E590*L590,2)</f>
        <v>32297.33</v>
      </c>
      <c r="R590" s="82">
        <f>Q590-O590</f>
        <v>32297.33</v>
      </c>
      <c r="S590" s="34"/>
      <c r="T590" s="34"/>
      <c r="U590" s="34"/>
      <c r="V590" s="34"/>
      <c r="W590" s="34"/>
    </row>
    <row r="591" spans="1:23" s="122" customFormat="1" ht="13.8">
      <c r="A591" s="34"/>
      <c r="B591" s="125"/>
      <c r="C591" s="126"/>
      <c r="D591" s="127"/>
      <c r="E591" s="128"/>
      <c r="F591" s="128"/>
      <c r="G591" s="128"/>
      <c r="H591" s="128"/>
      <c r="I591" s="128"/>
      <c r="J591" s="128"/>
      <c r="K591" s="129"/>
      <c r="L591" s="129"/>
      <c r="M591" s="130"/>
      <c r="N591" s="130"/>
      <c r="O591" s="130"/>
      <c r="P591" s="130"/>
      <c r="Q591" s="130"/>
      <c r="R591" s="130"/>
      <c r="S591" s="34"/>
      <c r="T591" s="34"/>
      <c r="U591" s="34"/>
      <c r="V591" s="34"/>
      <c r="W591" s="34"/>
    </row>
    <row r="592" spans="1:23" s="122" customFormat="1" ht="31.5" customHeight="1">
      <c r="A592" s="2"/>
      <c r="B592" s="533" t="s">
        <v>1157</v>
      </c>
      <c r="C592" s="533"/>
      <c r="D592" s="533"/>
      <c r="E592" s="533"/>
      <c r="F592" s="533"/>
      <c r="G592" s="533"/>
      <c r="H592" s="533"/>
      <c r="I592" s="533"/>
      <c r="J592" s="533"/>
      <c r="K592" s="533"/>
      <c r="L592" s="533"/>
      <c r="M592" s="131">
        <f>M27+M46+M58+M88+M126+M134+M148+M162+M167+M171+M216+M225+M234+M319+M432+M447+M463+M491</f>
        <v>70764.92</v>
      </c>
      <c r="N592" s="132">
        <f>SUM(N27,N52,N62,N94,N131,N139,N155,N170,N175,N178,N215,N222,N225,N317,N328,N481,N507,N566,N588)</f>
        <v>704184.35</v>
      </c>
      <c r="O592" s="132">
        <f>SUM(O27,O52,O62,O94,O131,O139,O155,O170,O175,O178,O215,O222,O225,O317,O328,O481,O507,O566,O588)</f>
        <v>2752962.26</v>
      </c>
      <c r="P592" s="132">
        <f>SUM(P27,P52,P62,P94,P131,P139,P155,P170,P175,P178,P215,P222,P225,P317,P328,P481,P507,P566,P588)</f>
        <v>20732092.142300002</v>
      </c>
      <c r="Q592" s="132">
        <f>SUM(Q27,Q52,Q62,Q94,Q131,Q139,Q155,Q170,Q175,Q178,Q215,Q222,Q225,Q317,Q328,Q481,Q507,Q566,Q588)</f>
        <v>26279999.999999993</v>
      </c>
      <c r="R592" s="132">
        <f>SUM(R27,R52,R62,R94,R131,R139,R155,R170,R175,R178,R215,R222,R225,R317,R328,R481,R507,R566,R588)</f>
        <v>23527037.739999995</v>
      </c>
      <c r="S592" s="2"/>
      <c r="T592" s="2"/>
      <c r="U592" s="2"/>
      <c r="V592" s="2"/>
      <c r="W592" s="2"/>
    </row>
    <row r="593" spans="1:23" s="122" customFormat="1" ht="31.5" customHeight="1">
      <c r="A593" s="2"/>
      <c r="B593" s="533" t="s">
        <v>1196</v>
      </c>
      <c r="C593" s="533"/>
      <c r="D593" s="533"/>
      <c r="E593" s="533"/>
      <c r="F593" s="533"/>
      <c r="G593" s="533"/>
      <c r="H593" s="533"/>
      <c r="I593" s="533"/>
      <c r="J593" s="533"/>
      <c r="K593" s="533"/>
      <c r="L593" s="533"/>
      <c r="M593" s="131"/>
      <c r="N593" s="133"/>
      <c r="O593" s="131"/>
      <c r="P593" s="132"/>
      <c r="Q593" s="132"/>
      <c r="R593" s="134"/>
      <c r="S593" s="2"/>
      <c r="T593" s="2"/>
      <c r="U593" s="2"/>
      <c r="V593" s="2"/>
      <c r="W593" s="2"/>
    </row>
    <row r="594" spans="1:23" s="122" customFormat="1" ht="31.5" customHeight="1">
      <c r="A594" s="2"/>
      <c r="B594" s="533" t="s">
        <v>1319</v>
      </c>
      <c r="C594" s="533"/>
      <c r="D594" s="533"/>
      <c r="E594" s="533"/>
      <c r="F594" s="533"/>
      <c r="G594" s="533"/>
      <c r="H594" s="533"/>
      <c r="I594" s="533"/>
      <c r="J594" s="533"/>
      <c r="K594" s="533"/>
      <c r="L594" s="533"/>
      <c r="M594" s="131"/>
      <c r="N594" s="133">
        <f>TRUNC(0.35*SUM(N70:N76,N85:N90,N97:N104,N109:N116),2)</f>
        <v>111569.44</v>
      </c>
      <c r="O594" s="131"/>
      <c r="P594" s="132"/>
      <c r="Q594" s="132"/>
      <c r="R594" s="134"/>
      <c r="S594" s="2"/>
      <c r="T594" s="2"/>
      <c r="U594" s="2"/>
      <c r="V594" s="2"/>
      <c r="W594" s="2"/>
    </row>
    <row r="595" spans="1:23" s="122" customFormat="1" ht="31.5" customHeight="1">
      <c r="A595" s="2"/>
      <c r="B595" s="533" t="s">
        <v>1320</v>
      </c>
      <c r="C595" s="533"/>
      <c r="D595" s="533"/>
      <c r="E595" s="533"/>
      <c r="F595" s="533"/>
      <c r="G595" s="533"/>
      <c r="H595" s="533"/>
      <c r="I595" s="533"/>
      <c r="J595" s="533"/>
      <c r="K595" s="533"/>
      <c r="L595" s="533"/>
      <c r="M595" s="131"/>
      <c r="N595" s="133">
        <v>43780</v>
      </c>
      <c r="O595" s="131"/>
      <c r="P595" s="132"/>
      <c r="Q595" s="132"/>
      <c r="R595" s="134"/>
      <c r="S595" s="2"/>
      <c r="T595" s="2"/>
      <c r="U595" s="2"/>
      <c r="V595" s="2"/>
      <c r="W595" s="2"/>
    </row>
    <row r="596" spans="1:23" s="122" customFormat="1" ht="31.5" customHeight="1">
      <c r="A596" s="2"/>
      <c r="B596" s="533" t="s">
        <v>1161</v>
      </c>
      <c r="C596" s="533"/>
      <c r="D596" s="533"/>
      <c r="E596" s="533"/>
      <c r="F596" s="533"/>
      <c r="G596" s="533"/>
      <c r="H596" s="533"/>
      <c r="I596" s="533"/>
      <c r="J596" s="533"/>
      <c r="K596" s="533"/>
      <c r="L596" s="533"/>
      <c r="M596" s="131">
        <f>M28+M47+M59+M89+M127+M135+M149+M163+M168+M172+M217+M226+M235+M320+M433+M448+M464+M492</f>
        <v>0</v>
      </c>
      <c r="N596" s="131">
        <f>N592-N593-N594-N595</f>
        <v>548834.90999999992</v>
      </c>
      <c r="O596" s="131" t="s">
        <v>1162</v>
      </c>
      <c r="P596" s="132">
        <f>P28+P47+P59+P89+P127+P135+P149+P163+P168+P172+P217+P226+P235+P320+P433+P448+P464+P492</f>
        <v>1855118.2200000002</v>
      </c>
      <c r="Q596" s="132" t="s">
        <v>1162</v>
      </c>
      <c r="R596" s="134" t="s">
        <v>1162</v>
      </c>
      <c r="S596" s="2"/>
      <c r="T596" s="2"/>
      <c r="U596" s="2"/>
      <c r="V596" s="2"/>
      <c r="W596" s="2"/>
    </row>
    <row r="597" spans="1:23" s="122" customFormat="1" ht="8.25" customHeight="1">
      <c r="D597" s="135"/>
      <c r="E597" s="136"/>
      <c r="F597" s="136"/>
      <c r="G597" s="136"/>
      <c r="H597" s="136"/>
      <c r="I597" s="136"/>
      <c r="J597" s="137"/>
      <c r="K597" s="137"/>
      <c r="L597" s="137"/>
      <c r="M597" s="137"/>
      <c r="N597" s="137"/>
      <c r="O597" s="138"/>
      <c r="P597" s="139"/>
      <c r="Q597" s="139"/>
      <c r="R597" s="137"/>
    </row>
    <row r="598" spans="1:23" s="122" customFormat="1" ht="15.75" customHeight="1">
      <c r="B598" s="140" t="s">
        <v>1163</v>
      </c>
      <c r="C598" s="141" t="s">
        <v>1164</v>
      </c>
      <c r="D598" s="534" t="s">
        <v>1165</v>
      </c>
      <c r="E598" s="534"/>
      <c r="F598" s="142" t="s">
        <v>1163</v>
      </c>
      <c r="G598" s="143" t="s">
        <v>1164</v>
      </c>
      <c r="H598" s="144"/>
      <c r="I598" s="534" t="s">
        <v>1165</v>
      </c>
      <c r="J598" s="534"/>
      <c r="K598" s="145"/>
      <c r="L598" s="142" t="s">
        <v>1166</v>
      </c>
      <c r="M598" s="142"/>
      <c r="N598" s="146"/>
      <c r="O598" s="535" t="s">
        <v>1167</v>
      </c>
      <c r="P598" s="535"/>
      <c r="Q598" s="535"/>
      <c r="R598" s="137"/>
    </row>
    <row r="599" spans="1:23" s="122" customFormat="1" ht="19.5" customHeight="1">
      <c r="B599" s="147" t="s">
        <v>1168</v>
      </c>
      <c r="C599" s="148" t="s">
        <v>1169</v>
      </c>
      <c r="D599" s="536">
        <f>TRUNC(35%*11%*N596,2)</f>
        <v>21130.14</v>
      </c>
      <c r="E599" s="536"/>
      <c r="F599" s="149" t="s">
        <v>1170</v>
      </c>
      <c r="G599" s="150"/>
      <c r="H599" s="151"/>
      <c r="I599" s="537"/>
      <c r="J599" s="537"/>
      <c r="K599" s="152"/>
      <c r="L599" s="149" t="s">
        <v>1171</v>
      </c>
      <c r="M599" s="150" t="e">
        <f>#REF!</f>
        <v>#REF!</v>
      </c>
      <c r="N599" s="150"/>
      <c r="O599" s="535"/>
      <c r="P599" s="535"/>
      <c r="Q599" s="535"/>
      <c r="R599" s="137"/>
    </row>
    <row r="600" spans="1:23" s="122" customFormat="1" ht="19.5" customHeight="1">
      <c r="B600" s="147" t="s">
        <v>1172</v>
      </c>
      <c r="C600" s="148" t="s">
        <v>1198</v>
      </c>
      <c r="D600" s="536">
        <f>E608</f>
        <v>19209.22</v>
      </c>
      <c r="E600" s="536"/>
      <c r="F600" s="149" t="s">
        <v>1174</v>
      </c>
      <c r="G600" s="150"/>
      <c r="H600" s="151"/>
      <c r="I600" s="537"/>
      <c r="J600" s="537"/>
      <c r="K600" s="152"/>
      <c r="L600" s="149" t="s">
        <v>1175</v>
      </c>
      <c r="M600" s="150" t="e">
        <f>#REF!</f>
        <v>#REF!</v>
      </c>
      <c r="N600" s="150"/>
      <c r="O600" s="538">
        <f>N596-D599-D600-D601-I599-I600-I601-N599-N600-N601</f>
        <v>508495.54999999993</v>
      </c>
      <c r="P600" s="538"/>
      <c r="Q600" s="538"/>
      <c r="R600" s="137"/>
    </row>
    <row r="601" spans="1:23" ht="19.5" customHeight="1">
      <c r="A601" s="122"/>
      <c r="B601" s="153" t="s">
        <v>1176</v>
      </c>
      <c r="C601" s="154">
        <v>0</v>
      </c>
      <c r="D601" s="539"/>
      <c r="E601" s="539"/>
      <c r="F601" s="155" t="s">
        <v>1177</v>
      </c>
      <c r="G601" s="156"/>
      <c r="H601" s="157"/>
      <c r="I601" s="540"/>
      <c r="J601" s="540"/>
      <c r="K601" s="159"/>
      <c r="L601" s="155" t="s">
        <v>1178</v>
      </c>
      <c r="M601" s="158"/>
      <c r="N601" s="158"/>
      <c r="O601" s="538"/>
      <c r="P601" s="538"/>
      <c r="Q601" s="538"/>
      <c r="R601" s="137"/>
      <c r="S601" s="122"/>
      <c r="T601" s="122"/>
      <c r="U601" s="122"/>
      <c r="V601" s="122"/>
      <c r="W601" s="122"/>
    </row>
    <row r="602" spans="1:23">
      <c r="A602" s="122"/>
      <c r="B602" s="122"/>
      <c r="C602" s="122"/>
      <c r="D602" s="135"/>
      <c r="E602" s="136"/>
      <c r="F602" s="136"/>
      <c r="G602" s="136"/>
      <c r="H602" s="136"/>
      <c r="I602" s="136"/>
      <c r="J602" s="137"/>
      <c r="K602" s="137"/>
      <c r="L602" s="137"/>
      <c r="M602" s="137"/>
      <c r="N602" s="137"/>
      <c r="O602" s="137"/>
      <c r="P602" s="139"/>
      <c r="Q602" s="139"/>
      <c r="R602" s="137"/>
      <c r="S602" s="122"/>
      <c r="T602" s="122"/>
      <c r="U602" s="122"/>
      <c r="V602" s="122"/>
      <c r="W602" s="122"/>
    </row>
    <row r="603" spans="1:23">
      <c r="A603" s="122"/>
      <c r="B603" s="122"/>
      <c r="C603" s="122"/>
      <c r="D603" s="135"/>
      <c r="E603" s="136"/>
      <c r="F603" s="136"/>
      <c r="G603" s="136"/>
      <c r="H603" s="136"/>
      <c r="I603" s="136"/>
      <c r="J603" s="137"/>
      <c r="K603" s="137"/>
      <c r="L603" s="137"/>
      <c r="M603" s="137"/>
      <c r="N603" s="137"/>
      <c r="O603" s="137"/>
      <c r="P603" s="139"/>
      <c r="Q603" s="139"/>
      <c r="R603" s="137"/>
      <c r="S603" s="122"/>
      <c r="T603" s="122"/>
      <c r="U603" s="122"/>
      <c r="V603" s="122"/>
      <c r="W603" s="122"/>
    </row>
    <row r="604" spans="1:23" ht="27.75" customHeight="1">
      <c r="A604" s="122"/>
      <c r="B604" s="122"/>
      <c r="C604" s="541" t="s">
        <v>1179</v>
      </c>
      <c r="D604" s="541"/>
      <c r="E604" s="541"/>
      <c r="F604" s="136"/>
      <c r="G604" s="136"/>
      <c r="H604" s="136"/>
      <c r="I604" s="136"/>
      <c r="J604" s="137"/>
      <c r="K604" s="137"/>
      <c r="L604" s="137"/>
      <c r="M604" s="137"/>
      <c r="N604" s="137"/>
      <c r="O604" s="137"/>
      <c r="P604" s="139"/>
      <c r="Q604" s="139"/>
      <c r="R604" s="137"/>
      <c r="S604" s="122"/>
      <c r="T604" s="122"/>
      <c r="U604" s="122"/>
      <c r="V604" s="122"/>
      <c r="W604" s="122"/>
    </row>
    <row r="605" spans="1:23" ht="24.75" customHeight="1">
      <c r="A605" s="122"/>
      <c r="B605" s="122"/>
      <c r="C605" s="542" t="s">
        <v>1180</v>
      </c>
      <c r="D605" s="542"/>
      <c r="E605" s="160">
        <f>N596</f>
        <v>548834.90999999992</v>
      </c>
      <c r="F605" s="136"/>
      <c r="G605" s="136"/>
      <c r="H605" s="136"/>
      <c r="I605" s="136"/>
      <c r="J605" s="137"/>
      <c r="K605" s="137"/>
      <c r="L605" s="137"/>
      <c r="M605" s="137"/>
      <c r="N605" s="137"/>
      <c r="O605" s="137"/>
      <c r="P605" s="139"/>
      <c r="Q605" s="139"/>
      <c r="R605" s="137"/>
      <c r="S605" s="122"/>
      <c r="T605" s="122"/>
      <c r="U605" s="122"/>
      <c r="V605" s="122"/>
      <c r="W605" s="122"/>
    </row>
    <row r="606" spans="1:23" ht="24.75" customHeight="1">
      <c r="A606" s="122"/>
      <c r="B606" s="122"/>
      <c r="C606" s="543" t="s">
        <v>1183</v>
      </c>
      <c r="D606" s="543"/>
      <c r="E606" s="162">
        <f>0.7*E605</f>
        <v>384184.43699999992</v>
      </c>
      <c r="F606" s="136"/>
      <c r="G606" s="136"/>
      <c r="H606" s="136"/>
      <c r="I606" s="136"/>
      <c r="J606" s="137"/>
      <c r="K606" s="137"/>
      <c r="L606" s="137"/>
      <c r="M606" s="137"/>
      <c r="N606" s="137"/>
      <c r="O606" s="137"/>
      <c r="P606" s="139"/>
      <c r="Q606" s="139"/>
      <c r="R606" s="137"/>
      <c r="S606" s="122"/>
      <c r="T606" s="122"/>
      <c r="U606" s="122"/>
      <c r="V606" s="122"/>
      <c r="W606" s="122"/>
    </row>
    <row r="607" spans="1:23" ht="24.75" customHeight="1">
      <c r="A607" s="122"/>
      <c r="B607" s="122"/>
      <c r="C607" s="543" t="s">
        <v>1184</v>
      </c>
      <c r="D607" s="543"/>
      <c r="E607" s="163">
        <f>E606/E605</f>
        <v>0.7</v>
      </c>
      <c r="F607" s="136"/>
      <c r="G607" s="136"/>
      <c r="H607" s="136"/>
      <c r="I607" s="136"/>
      <c r="J607" s="137"/>
      <c r="K607" s="137"/>
      <c r="L607" s="137"/>
      <c r="M607" s="137"/>
      <c r="N607" s="137"/>
      <c r="O607" s="137"/>
      <c r="P607" s="139"/>
      <c r="Q607" s="139"/>
      <c r="R607" s="137"/>
      <c r="S607" s="122"/>
      <c r="T607" s="122"/>
      <c r="U607" s="122"/>
      <c r="V607" s="122"/>
      <c r="W607" s="122"/>
    </row>
    <row r="608" spans="1:23" ht="24.75" customHeight="1">
      <c r="A608" s="122"/>
      <c r="B608" s="122"/>
      <c r="C608" s="545" t="s">
        <v>1185</v>
      </c>
      <c r="D608" s="545"/>
      <c r="E608" s="164">
        <f>TRUNC(E606*5%,2)</f>
        <v>19209.22</v>
      </c>
      <c r="F608" s="136"/>
      <c r="G608" s="136"/>
      <c r="H608" s="136"/>
      <c r="I608" s="136"/>
      <c r="J608" s="137"/>
      <c r="K608" s="137"/>
      <c r="L608" s="137"/>
      <c r="M608" s="137"/>
      <c r="N608" s="137"/>
      <c r="O608" s="137"/>
      <c r="P608" s="139"/>
      <c r="Q608" s="139"/>
      <c r="R608" s="137"/>
      <c r="S608" s="122"/>
      <c r="T608" s="122"/>
      <c r="U608" s="122"/>
      <c r="V608" s="122"/>
      <c r="W608" s="122"/>
    </row>
    <row r="610" spans="3:20" ht="19.5" customHeight="1">
      <c r="C610" s="546" t="s">
        <v>1186</v>
      </c>
      <c r="D610" s="546"/>
      <c r="E610" s="546"/>
      <c r="F610" s="546"/>
      <c r="G610" s="546"/>
      <c r="J610" s="4"/>
      <c r="N610" s="546" t="s">
        <v>1187</v>
      </c>
      <c r="O610" s="546"/>
      <c r="P610" s="546"/>
      <c r="Q610" s="546"/>
      <c r="R610" s="546"/>
      <c r="S610" s="5"/>
    </row>
    <row r="611" spans="3:20" ht="19.5" customHeight="1">
      <c r="C611" s="548" t="s">
        <v>1188</v>
      </c>
      <c r="D611" s="548"/>
      <c r="E611" s="168">
        <v>45390</v>
      </c>
      <c r="F611" s="166" t="s">
        <v>1189</v>
      </c>
      <c r="G611" s="167">
        <v>157132.10999999999</v>
      </c>
      <c r="J611" s="4"/>
      <c r="K611" s="4"/>
      <c r="N611" s="548" t="s">
        <v>1190</v>
      </c>
      <c r="O611" s="548"/>
      <c r="P611" s="168">
        <v>44973</v>
      </c>
      <c r="Q611" s="169" t="s">
        <v>1162</v>
      </c>
      <c r="R611" s="225"/>
      <c r="S611" s="6"/>
      <c r="T611" s="5"/>
    </row>
    <row r="612" spans="3:20" ht="19.5" customHeight="1">
      <c r="C612" s="549" t="s">
        <v>1191</v>
      </c>
      <c r="D612" s="549"/>
      <c r="E612" s="173">
        <v>45390</v>
      </c>
      <c r="F612" s="171" t="s">
        <v>1189</v>
      </c>
      <c r="G612" s="172">
        <v>12663.81</v>
      </c>
      <c r="J612" s="4"/>
      <c r="K612" s="4"/>
      <c r="N612" s="549" t="s">
        <v>1199</v>
      </c>
      <c r="O612" s="549"/>
      <c r="P612" s="173">
        <v>44973</v>
      </c>
      <c r="Q612" s="171" t="s">
        <v>1162</v>
      </c>
      <c r="R612" s="172">
        <v>354202.96</v>
      </c>
      <c r="S612" s="6"/>
      <c r="T612" s="5"/>
    </row>
    <row r="613" spans="3:20" ht="19.5" customHeight="1">
      <c r="C613" s="549" t="s">
        <v>1200</v>
      </c>
      <c r="D613" s="549"/>
      <c r="E613" s="173">
        <v>45421</v>
      </c>
      <c r="F613" s="171" t="s">
        <v>1189</v>
      </c>
      <c r="G613" s="172">
        <v>60499.5</v>
      </c>
      <c r="J613" s="4"/>
      <c r="K613" s="4"/>
      <c r="N613" s="549" t="s">
        <v>1201</v>
      </c>
      <c r="O613" s="549"/>
      <c r="P613" s="173"/>
      <c r="Q613" s="171"/>
      <c r="R613" s="172">
        <v>119528.5</v>
      </c>
      <c r="S613" s="6"/>
      <c r="T613" s="5"/>
    </row>
    <row r="614" spans="3:20" ht="19.5" customHeight="1">
      <c r="C614" s="549" t="s">
        <v>1202</v>
      </c>
      <c r="D614" s="549"/>
      <c r="E614" s="173">
        <v>45446</v>
      </c>
      <c r="F614" s="171" t="s">
        <v>1203</v>
      </c>
      <c r="G614" s="172">
        <v>60640</v>
      </c>
      <c r="J614" s="4"/>
      <c r="K614" s="4"/>
      <c r="N614" s="549" t="s">
        <v>1250</v>
      </c>
      <c r="O614" s="549"/>
      <c r="P614" s="173"/>
      <c r="Q614" s="171"/>
      <c r="R614" s="172">
        <v>155349.44</v>
      </c>
      <c r="S614" s="6"/>
      <c r="T614" s="5"/>
    </row>
    <row r="615" spans="3:20" ht="19.5" customHeight="1">
      <c r="C615" s="549" t="s">
        <v>1204</v>
      </c>
      <c r="D615" s="549"/>
      <c r="E615" s="173">
        <v>45446</v>
      </c>
      <c r="F615" s="171" t="s">
        <v>1203</v>
      </c>
      <c r="G615" s="172">
        <v>15160</v>
      </c>
      <c r="J615" s="4"/>
      <c r="K615" s="4"/>
      <c r="N615" s="549"/>
      <c r="O615" s="549"/>
      <c r="P615" s="173"/>
      <c r="Q615" s="171"/>
      <c r="R615" s="172"/>
      <c r="S615" s="6"/>
      <c r="T615" s="5"/>
    </row>
    <row r="616" spans="3:20" ht="19.5" customHeight="1">
      <c r="C616" s="549" t="s">
        <v>1205</v>
      </c>
      <c r="D616" s="549"/>
      <c r="E616" s="173">
        <v>45447</v>
      </c>
      <c r="F616" s="171" t="s">
        <v>1203</v>
      </c>
      <c r="G616" s="172">
        <v>193505</v>
      </c>
      <c r="J616" s="4"/>
      <c r="K616" s="4"/>
      <c r="N616" s="549"/>
      <c r="O616" s="549"/>
      <c r="P616" s="173"/>
      <c r="Q616" s="171"/>
      <c r="R616" s="172"/>
      <c r="S616" s="6"/>
      <c r="T616" s="5"/>
    </row>
    <row r="617" spans="3:20" ht="19.5" customHeight="1">
      <c r="C617" s="549" t="s">
        <v>1206</v>
      </c>
      <c r="D617" s="549"/>
      <c r="E617" s="173">
        <v>45457</v>
      </c>
      <c r="F617" s="171" t="s">
        <v>1189</v>
      </c>
      <c r="G617" s="172">
        <v>101107.04</v>
      </c>
      <c r="J617" s="4"/>
      <c r="K617" s="4"/>
      <c r="N617" s="549"/>
      <c r="O617" s="549"/>
      <c r="P617" s="173"/>
      <c r="Q617" s="171"/>
      <c r="R617" s="172"/>
      <c r="S617" s="6"/>
      <c r="T617" s="5"/>
    </row>
    <row r="618" spans="3:20" ht="19.5" customHeight="1">
      <c r="C618" s="549" t="s">
        <v>1251</v>
      </c>
      <c r="D618" s="549"/>
      <c r="E618" s="173">
        <v>45462</v>
      </c>
      <c r="F618" s="171" t="s">
        <v>1203</v>
      </c>
      <c r="G618" s="172">
        <v>37190</v>
      </c>
      <c r="J618" s="4"/>
      <c r="K618" s="4"/>
      <c r="N618" s="549"/>
      <c r="O618" s="549"/>
      <c r="P618" s="173"/>
      <c r="Q618" s="171"/>
      <c r="R618" s="172"/>
      <c r="S618" s="6"/>
      <c r="T618" s="5"/>
    </row>
    <row r="619" spans="3:20" ht="19.5" customHeight="1">
      <c r="C619" s="549" t="s">
        <v>1252</v>
      </c>
      <c r="D619" s="549"/>
      <c r="E619" s="173">
        <v>45463</v>
      </c>
      <c r="F619" s="171" t="s">
        <v>1189</v>
      </c>
      <c r="G619" s="172">
        <v>21981.17</v>
      </c>
      <c r="J619" s="4"/>
      <c r="K619" s="4"/>
      <c r="N619" s="549"/>
      <c r="O619" s="549"/>
      <c r="P619" s="173"/>
      <c r="Q619" s="171"/>
      <c r="R619" s="172"/>
      <c r="S619" s="6"/>
      <c r="T619" s="5"/>
    </row>
    <row r="620" spans="3:20" ht="19.5" customHeight="1">
      <c r="C620" s="549" t="s">
        <v>1253</v>
      </c>
      <c r="D620" s="549"/>
      <c r="E620" s="173">
        <v>45463</v>
      </c>
      <c r="F620" s="171" t="s">
        <v>1203</v>
      </c>
      <c r="G620" s="172">
        <v>65870.5</v>
      </c>
      <c r="J620" s="4"/>
      <c r="K620" s="4"/>
      <c r="N620" s="550"/>
      <c r="O620" s="550"/>
      <c r="P620" s="175"/>
      <c r="Q620" s="176"/>
      <c r="R620" s="177"/>
      <c r="S620" s="6"/>
      <c r="T620" s="5"/>
    </row>
    <row r="621" spans="3:20" ht="19.5" customHeight="1">
      <c r="C621" s="549" t="s">
        <v>1254</v>
      </c>
      <c r="D621" s="549"/>
      <c r="E621" s="173">
        <v>45463</v>
      </c>
      <c r="F621" s="171" t="s">
        <v>1203</v>
      </c>
      <c r="G621" s="172">
        <v>16468</v>
      </c>
      <c r="J621" s="4"/>
      <c r="K621" s="4"/>
      <c r="N621" s="179"/>
      <c r="O621" s="180"/>
      <c r="P621" s="180"/>
      <c r="Q621" s="180"/>
      <c r="R621" s="181">
        <f>SUM(R611:R620)</f>
        <v>629080.9</v>
      </c>
      <c r="S621" s="6"/>
      <c r="T621" s="5"/>
    </row>
    <row r="622" spans="3:20" ht="19.5" customHeight="1">
      <c r="C622" s="549" t="s">
        <v>1321</v>
      </c>
      <c r="D622" s="549"/>
      <c r="E622" s="173">
        <v>45502</v>
      </c>
      <c r="F622" s="171" t="s">
        <v>1189</v>
      </c>
      <c r="G622" s="172">
        <v>75035.899999999994</v>
      </c>
      <c r="J622" s="4"/>
      <c r="K622" s="4"/>
      <c r="S622" s="6"/>
      <c r="T622" s="5"/>
    </row>
    <row r="623" spans="3:20" ht="19.5" customHeight="1">
      <c r="C623" s="549" t="s">
        <v>1322</v>
      </c>
      <c r="D623" s="549"/>
      <c r="E623" s="173">
        <v>45503</v>
      </c>
      <c r="F623" s="171" t="s">
        <v>1189</v>
      </c>
      <c r="G623" s="172">
        <v>3201.96</v>
      </c>
      <c r="J623" s="4"/>
      <c r="K623" s="4"/>
      <c r="R623" s="183"/>
      <c r="S623" s="6"/>
      <c r="T623" s="5"/>
    </row>
    <row r="624" spans="3:20" ht="19.5" customHeight="1">
      <c r="C624" s="549" t="s">
        <v>1323</v>
      </c>
      <c r="D624" s="549"/>
      <c r="E624" s="173">
        <v>45506</v>
      </c>
      <c r="F624" s="171" t="s">
        <v>1324</v>
      </c>
      <c r="G624" s="172">
        <v>43780</v>
      </c>
      <c r="J624" s="4"/>
      <c r="K624" s="4"/>
      <c r="S624" s="6"/>
      <c r="T624" s="5"/>
    </row>
    <row r="625" spans="3:20" ht="19.5" customHeight="1">
      <c r="C625" s="549" t="s">
        <v>1325</v>
      </c>
      <c r="D625" s="549"/>
      <c r="E625" s="173">
        <v>45510</v>
      </c>
      <c r="F625" s="171" t="s">
        <v>1189</v>
      </c>
      <c r="G625" s="172">
        <v>13904.88</v>
      </c>
      <c r="J625" s="4"/>
      <c r="K625" s="4"/>
      <c r="S625" s="6"/>
      <c r="T625" s="5"/>
    </row>
    <row r="626" spans="3:20" ht="19.5" customHeight="1">
      <c r="C626" s="549" t="s">
        <v>1326</v>
      </c>
      <c r="D626" s="549"/>
      <c r="E626" s="173">
        <v>45516</v>
      </c>
      <c r="F626" s="171" t="s">
        <v>1189</v>
      </c>
      <c r="G626" s="172">
        <v>171.67</v>
      </c>
      <c r="J626" s="4"/>
      <c r="K626" s="4"/>
      <c r="S626" s="6"/>
      <c r="T626" s="5"/>
    </row>
    <row r="627" spans="3:20" ht="19.5" customHeight="1">
      <c r="C627" s="549" t="s">
        <v>1327</v>
      </c>
      <c r="D627" s="549"/>
      <c r="E627" s="173">
        <v>45516</v>
      </c>
      <c r="F627" s="171" t="s">
        <v>1189</v>
      </c>
      <c r="G627" s="172">
        <v>29223.439999999999</v>
      </c>
      <c r="J627" s="4"/>
      <c r="K627" s="4"/>
      <c r="S627" s="6"/>
      <c r="T627" s="5"/>
    </row>
    <row r="628" spans="3:20" ht="19.5" customHeight="1">
      <c r="C628" s="549" t="s">
        <v>1328</v>
      </c>
      <c r="D628" s="549"/>
      <c r="E628" s="173">
        <v>45518</v>
      </c>
      <c r="F628" s="171" t="s">
        <v>1189</v>
      </c>
      <c r="G628" s="172">
        <v>7038.13</v>
      </c>
      <c r="J628" s="4"/>
      <c r="K628" s="4"/>
      <c r="S628" s="6"/>
      <c r="T628" s="5"/>
    </row>
    <row r="629" spans="3:20" ht="19.5" customHeight="1">
      <c r="C629" s="549"/>
      <c r="D629" s="549"/>
      <c r="E629" s="173"/>
      <c r="F629" s="171"/>
      <c r="G629" s="172"/>
      <c r="J629" s="4"/>
      <c r="K629" s="4"/>
      <c r="S629" s="6"/>
      <c r="T629" s="5"/>
    </row>
    <row r="630" spans="3:20" ht="19.5" customHeight="1">
      <c r="C630" s="549"/>
      <c r="D630" s="549"/>
      <c r="E630" s="173"/>
      <c r="F630" s="171"/>
      <c r="G630" s="172"/>
      <c r="J630" s="4"/>
      <c r="K630" s="4"/>
      <c r="S630" s="6"/>
      <c r="T630" s="5"/>
    </row>
    <row r="631" spans="3:20" ht="19.5" customHeight="1">
      <c r="C631" s="549"/>
      <c r="D631" s="549"/>
      <c r="E631" s="173"/>
      <c r="F631" s="171"/>
      <c r="G631" s="172"/>
      <c r="J631" s="4"/>
      <c r="K631" s="4"/>
      <c r="S631" s="6"/>
      <c r="T631" s="5"/>
    </row>
    <row r="632" spans="3:20" ht="19.5" customHeight="1">
      <c r="C632" s="549"/>
      <c r="D632" s="549"/>
      <c r="E632" s="173"/>
      <c r="F632" s="171"/>
      <c r="G632" s="172"/>
      <c r="J632" s="4"/>
      <c r="K632" s="4"/>
      <c r="S632" s="6"/>
      <c r="T632" s="5"/>
    </row>
    <row r="633" spans="3:20" ht="19.5" customHeight="1">
      <c r="C633" s="550"/>
      <c r="D633" s="550"/>
      <c r="E633" s="175"/>
      <c r="F633" s="176"/>
      <c r="G633" s="177"/>
      <c r="J633" s="4"/>
      <c r="K633" s="4"/>
      <c r="S633" s="6"/>
      <c r="T633" s="5"/>
    </row>
    <row r="634" spans="3:20" ht="19.5" customHeight="1">
      <c r="C634" s="179"/>
      <c r="D634" s="180"/>
      <c r="E634" s="180"/>
      <c r="F634" s="180"/>
      <c r="G634" s="181">
        <f>SUM(G611:G633)</f>
        <v>914573.11</v>
      </c>
      <c r="J634" s="4"/>
      <c r="K634" s="4"/>
      <c r="S634" s="6"/>
      <c r="T634" s="5"/>
    </row>
    <row r="637" spans="3:20" ht="28.8">
      <c r="C637" s="226" t="s">
        <v>1255</v>
      </c>
      <c r="D637" s="560" t="s">
        <v>1256</v>
      </c>
      <c r="E637" s="560"/>
      <c r="F637" s="560"/>
      <c r="G637" s="227" t="s">
        <v>1257</v>
      </c>
      <c r="H637" s="5"/>
      <c r="I637" s="228" t="s">
        <v>1258</v>
      </c>
      <c r="J637" s="229" t="s">
        <v>1259</v>
      </c>
    </row>
    <row r="638" spans="3:20">
      <c r="C638" s="230" t="s">
        <v>1260</v>
      </c>
      <c r="D638" s="564">
        <f>'BM 003'!D627:F627+N593</f>
        <v>388833.5</v>
      </c>
      <c r="E638" s="564"/>
      <c r="F638" s="564"/>
      <c r="G638" s="232" t="s">
        <v>1261</v>
      </c>
      <c r="H638" s="2"/>
      <c r="I638" s="233">
        <f>SUMIF($F$611:$F$633,G638,$G$611:$G$633)</f>
        <v>388833.5</v>
      </c>
      <c r="J638" s="233">
        <f t="shared" ref="J638:J648" si="243">I638-D638</f>
        <v>0</v>
      </c>
    </row>
    <row r="639" spans="3:20">
      <c r="C639" s="234" t="s">
        <v>1329</v>
      </c>
      <c r="D639" s="561">
        <f>'BM 003'!D628:F628+N594</f>
        <v>196467.4</v>
      </c>
      <c r="E639" s="561"/>
      <c r="F639" s="561"/>
      <c r="G639" s="235" t="s">
        <v>1263</v>
      </c>
      <c r="H639" s="2"/>
      <c r="I639" s="236">
        <f>SUMIF($F$611:$F$633,G639,$G$611:$G$633)</f>
        <v>481959.60999999993</v>
      </c>
      <c r="J639" s="236">
        <f t="shared" si="243"/>
        <v>285492.20999999996</v>
      </c>
    </row>
    <row r="640" spans="3:20">
      <c r="C640" s="234" t="s">
        <v>1330</v>
      </c>
      <c r="D640" s="561">
        <f>N595</f>
        <v>43780</v>
      </c>
      <c r="E640" s="561"/>
      <c r="F640" s="561"/>
      <c r="G640" s="235" t="s">
        <v>1331</v>
      </c>
      <c r="H640" s="2"/>
      <c r="I640" s="236">
        <f>SUMIF($F$611:$F$633,G640,$G$611:$G$633)</f>
        <v>43780</v>
      </c>
      <c r="J640" s="236">
        <f t="shared" si="243"/>
        <v>0</v>
      </c>
    </row>
    <row r="641" spans="3:10">
      <c r="C641" s="234"/>
      <c r="D641" s="561"/>
      <c r="E641" s="561"/>
      <c r="F641" s="561"/>
      <c r="G641" s="235" t="s">
        <v>1265</v>
      </c>
      <c r="H641" s="2"/>
      <c r="I641" s="236">
        <f t="shared" ref="I641:I648" si="244">SUMIF($G$663:$G$701,G641,$H$663:$I$701)</f>
        <v>0</v>
      </c>
      <c r="J641" s="236">
        <f t="shared" si="243"/>
        <v>0</v>
      </c>
    </row>
    <row r="642" spans="3:10">
      <c r="C642" s="234"/>
      <c r="D642" s="561"/>
      <c r="E642" s="561"/>
      <c r="F642" s="561"/>
      <c r="G642" s="237" t="s">
        <v>1266</v>
      </c>
      <c r="H642" s="2"/>
      <c r="I642" s="238">
        <f t="shared" si="244"/>
        <v>0</v>
      </c>
      <c r="J642" s="236">
        <f t="shared" si="243"/>
        <v>0</v>
      </c>
    </row>
    <row r="643" spans="3:10">
      <c r="C643" s="234"/>
      <c r="D643" s="561"/>
      <c r="E643" s="561"/>
      <c r="F643" s="561"/>
      <c r="G643" s="237" t="s">
        <v>1267</v>
      </c>
      <c r="H643" s="2"/>
      <c r="I643" s="238">
        <f t="shared" si="244"/>
        <v>0</v>
      </c>
      <c r="J643" s="236">
        <f t="shared" si="243"/>
        <v>0</v>
      </c>
    </row>
    <row r="644" spans="3:10">
      <c r="C644" s="234"/>
      <c r="D644" s="561"/>
      <c r="E644" s="561"/>
      <c r="F644" s="561"/>
      <c r="G644" s="237" t="s">
        <v>1268</v>
      </c>
      <c r="H644" s="2"/>
      <c r="I644" s="238">
        <f t="shared" si="244"/>
        <v>0</v>
      </c>
      <c r="J644" s="236">
        <f t="shared" si="243"/>
        <v>0</v>
      </c>
    </row>
    <row r="645" spans="3:10">
      <c r="C645" s="234"/>
      <c r="D645" s="561"/>
      <c r="E645" s="561"/>
      <c r="F645" s="561"/>
      <c r="G645" s="237" t="s">
        <v>1269</v>
      </c>
      <c r="H645" s="2"/>
      <c r="I645" s="238">
        <f t="shared" si="244"/>
        <v>0</v>
      </c>
      <c r="J645" s="236">
        <f t="shared" si="243"/>
        <v>0</v>
      </c>
    </row>
    <row r="646" spans="3:10">
      <c r="C646" s="234"/>
      <c r="D646" s="561"/>
      <c r="E646" s="561"/>
      <c r="F646" s="561"/>
      <c r="G646" s="237"/>
      <c r="H646" s="2"/>
      <c r="I646" s="238">
        <f t="shared" si="244"/>
        <v>0</v>
      </c>
      <c r="J646" s="236">
        <f t="shared" si="243"/>
        <v>0</v>
      </c>
    </row>
    <row r="647" spans="3:10">
      <c r="C647" s="234"/>
      <c r="D647" s="561"/>
      <c r="E647" s="561"/>
      <c r="F647" s="561"/>
      <c r="G647" s="237"/>
      <c r="H647" s="2"/>
      <c r="I647" s="238">
        <f t="shared" si="244"/>
        <v>0</v>
      </c>
      <c r="J647" s="236">
        <f t="shared" si="243"/>
        <v>0</v>
      </c>
    </row>
    <row r="648" spans="3:10">
      <c r="C648" s="239"/>
      <c r="D648" s="562"/>
      <c r="E648" s="562"/>
      <c r="F648" s="562"/>
      <c r="G648" s="240"/>
      <c r="H648" s="2"/>
      <c r="I648" s="241">
        <f t="shared" si="244"/>
        <v>0</v>
      </c>
      <c r="J648" s="241">
        <f t="shared" si="243"/>
        <v>0</v>
      </c>
    </row>
    <row r="649" spans="3:10">
      <c r="D649" s="563">
        <f>SUM(D638:F648)</f>
        <v>629080.9</v>
      </c>
      <c r="E649" s="563"/>
      <c r="F649" s="563"/>
      <c r="H649" s="2"/>
      <c r="I649" s="242">
        <f>SUM(I638:I648)</f>
        <v>914573.10999999987</v>
      </c>
      <c r="J649" s="242">
        <f>SUM(J638:J648)</f>
        <v>285492.20999999996</v>
      </c>
    </row>
  </sheetData>
  <mergeCells count="132">
    <mergeCell ref="D647:F647"/>
    <mergeCell ref="D648:F648"/>
    <mergeCell ref="D649:F649"/>
    <mergeCell ref="D638:F638"/>
    <mergeCell ref="D639:F639"/>
    <mergeCell ref="D640:F640"/>
    <mergeCell ref="D641:F641"/>
    <mergeCell ref="D642:F642"/>
    <mergeCell ref="D643:F643"/>
    <mergeCell ref="D644:F644"/>
    <mergeCell ref="D645:F645"/>
    <mergeCell ref="D646:F646"/>
    <mergeCell ref="C626:D626"/>
    <mergeCell ref="C627:D627"/>
    <mergeCell ref="C628:D628"/>
    <mergeCell ref="C629:D629"/>
    <mergeCell ref="C630:D630"/>
    <mergeCell ref="C631:D631"/>
    <mergeCell ref="C632:D632"/>
    <mergeCell ref="C633:D633"/>
    <mergeCell ref="D637:F637"/>
    <mergeCell ref="C619:D619"/>
    <mergeCell ref="N619:O619"/>
    <mergeCell ref="C620:D620"/>
    <mergeCell ref="N620:O620"/>
    <mergeCell ref="C621:D621"/>
    <mergeCell ref="C622:D622"/>
    <mergeCell ref="C623:D623"/>
    <mergeCell ref="C624:D624"/>
    <mergeCell ref="C625:D625"/>
    <mergeCell ref="C614:D614"/>
    <mergeCell ref="N614:O614"/>
    <mergeCell ref="C615:D615"/>
    <mergeCell ref="N615:O615"/>
    <mergeCell ref="C616:D616"/>
    <mergeCell ref="N616:O616"/>
    <mergeCell ref="C617:D617"/>
    <mergeCell ref="N617:O617"/>
    <mergeCell ref="C618:D618"/>
    <mergeCell ref="N618:O618"/>
    <mergeCell ref="C608:D608"/>
    <mergeCell ref="C610:G610"/>
    <mergeCell ref="N610:R610"/>
    <mergeCell ref="C611:D611"/>
    <mergeCell ref="N611:O611"/>
    <mergeCell ref="C612:D612"/>
    <mergeCell ref="N612:O612"/>
    <mergeCell ref="C613:D613"/>
    <mergeCell ref="N613:O613"/>
    <mergeCell ref="D600:E600"/>
    <mergeCell ref="I600:J600"/>
    <mergeCell ref="O600:Q601"/>
    <mergeCell ref="D601:E601"/>
    <mergeCell ref="I601:J601"/>
    <mergeCell ref="C604:E604"/>
    <mergeCell ref="C605:D605"/>
    <mergeCell ref="C606:D606"/>
    <mergeCell ref="C607:D607"/>
    <mergeCell ref="B592:L592"/>
    <mergeCell ref="B593:L593"/>
    <mergeCell ref="B594:L594"/>
    <mergeCell ref="B595:L595"/>
    <mergeCell ref="B596:L596"/>
    <mergeCell ref="D598:E598"/>
    <mergeCell ref="I598:J598"/>
    <mergeCell ref="O598:Q599"/>
    <mergeCell ref="D599:E599"/>
    <mergeCell ref="I599:J599"/>
    <mergeCell ref="B22:C22"/>
    <mergeCell ref="D22:J22"/>
    <mergeCell ref="L22:O22"/>
    <mergeCell ref="P22:R22"/>
    <mergeCell ref="B23:R23"/>
    <mergeCell ref="B25:B26"/>
    <mergeCell ref="C25:C26"/>
    <mergeCell ref="D25:D26"/>
    <mergeCell ref="E25:J25"/>
    <mergeCell ref="N25:R25"/>
    <mergeCell ref="B19:C19"/>
    <mergeCell ref="D19:J19"/>
    <mergeCell ref="L19:O19"/>
    <mergeCell ref="P19:R19"/>
    <mergeCell ref="B20:C20"/>
    <mergeCell ref="D20:J20"/>
    <mergeCell ref="L20:O20"/>
    <mergeCell ref="P20:R20"/>
    <mergeCell ref="B21:C21"/>
    <mergeCell ref="D21:J21"/>
    <mergeCell ref="L21:O21"/>
    <mergeCell ref="P21:R21"/>
    <mergeCell ref="B15:C15"/>
    <mergeCell ref="D15:G15"/>
    <mergeCell ref="I15:J15"/>
    <mergeCell ref="L15:N15"/>
    <mergeCell ref="P15:R15"/>
    <mergeCell ref="B16:R16"/>
    <mergeCell ref="B17:R17"/>
    <mergeCell ref="B18:C18"/>
    <mergeCell ref="D18:J18"/>
    <mergeCell ref="L18:O18"/>
    <mergeCell ref="P18:R18"/>
    <mergeCell ref="B13:C13"/>
    <mergeCell ref="D13:J13"/>
    <mergeCell ref="L13:O13"/>
    <mergeCell ref="P13:R13"/>
    <mergeCell ref="B14:C14"/>
    <mergeCell ref="D14:G14"/>
    <mergeCell ref="I14:J14"/>
    <mergeCell ref="L14:N14"/>
    <mergeCell ref="P14:R14"/>
    <mergeCell ref="B10:C10"/>
    <mergeCell ref="D10:J10"/>
    <mergeCell ref="L10:O10"/>
    <mergeCell ref="P10:R10"/>
    <mergeCell ref="B11:C11"/>
    <mergeCell ref="D11:J11"/>
    <mergeCell ref="L11:O11"/>
    <mergeCell ref="P11:R11"/>
    <mergeCell ref="B12:C12"/>
    <mergeCell ref="D12:G12"/>
    <mergeCell ref="I12:J12"/>
    <mergeCell ref="L12:N12"/>
    <mergeCell ref="P12:R12"/>
    <mergeCell ref="B2:R2"/>
    <mergeCell ref="B3:R3"/>
    <mergeCell ref="B4:R4"/>
    <mergeCell ref="B5:R5"/>
    <mergeCell ref="B6:R6"/>
    <mergeCell ref="B7:R7"/>
    <mergeCell ref="B8:R8"/>
    <mergeCell ref="B9:C9"/>
    <mergeCell ref="D9:R9"/>
  </mergeCells>
  <conditionalFormatting sqref="R27:R590">
    <cfRule type="cellIs" dxfId="10" priority="2" operator="lessThan">
      <formula>0</formula>
    </cfRule>
  </conditionalFormatting>
  <printOptions horizontalCentered="1"/>
  <pageMargins left="0.51180555555555596" right="0.51180555555555596" top="0.78749999999999998" bottom="1.1812499999999999" header="0.511811023622047" footer="0.511811023622047"/>
  <pageSetup paperSize="9" scale="38" fitToHeight="26" orientation="portrait" horizontalDpi="300" verticalDpi="300" r:id="rId1"/>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O685"/>
  <sheetViews>
    <sheetView view="pageBreakPreview" topLeftCell="A10" zoomScale="75" zoomScaleNormal="80" zoomScalePageLayoutView="75" workbookViewId="0">
      <selection activeCell="H30" sqref="H30"/>
    </sheetView>
  </sheetViews>
  <sheetFormatPr defaultColWidth="8.88671875" defaultRowHeight="14.4"/>
  <cols>
    <col min="1" max="1" width="2.44140625" customWidth="1"/>
    <col min="2" max="2" width="32.88671875" customWidth="1"/>
    <col min="3" max="3" width="13.5546875" customWidth="1"/>
    <col min="4" max="4" width="9.44140625" customWidth="1"/>
    <col min="5" max="5" width="10.109375" customWidth="1"/>
    <col min="6" max="6" width="10.6640625" customWidth="1"/>
    <col min="7" max="8" width="9.44140625" customWidth="1"/>
    <col min="9" max="9" width="14.5546875" customWidth="1"/>
    <col min="10" max="10" width="10.88671875" customWidth="1"/>
    <col min="11" max="11" width="16.88671875" customWidth="1"/>
    <col min="12" max="12" width="25" customWidth="1"/>
    <col min="13" max="13" width="2.5546875" customWidth="1"/>
    <col min="14" max="14" width="6.5546875" customWidth="1"/>
    <col min="15" max="15" width="10.109375" customWidth="1"/>
    <col min="18" max="18" width="10.109375" customWidth="1"/>
  </cols>
  <sheetData>
    <row r="1" spans="2:12" ht="6" customHeight="1"/>
    <row r="2" spans="2:12" ht="29.25" customHeight="1">
      <c r="B2" s="551"/>
      <c r="C2" s="551"/>
      <c r="D2" s="551"/>
      <c r="E2" s="551"/>
      <c r="F2" s="551"/>
      <c r="G2" s="551"/>
      <c r="H2" s="551"/>
      <c r="I2" s="551"/>
      <c r="J2" s="551"/>
      <c r="K2" s="551"/>
      <c r="L2" s="551"/>
    </row>
    <row r="3" spans="2:12" ht="29.25" customHeight="1">
      <c r="B3" s="552" t="s">
        <v>4</v>
      </c>
      <c r="C3" s="552"/>
      <c r="D3" s="552"/>
      <c r="E3" s="552"/>
      <c r="F3" s="552"/>
      <c r="G3" s="552"/>
      <c r="H3" s="552"/>
      <c r="I3" s="552"/>
      <c r="J3" s="552"/>
      <c r="K3" s="552"/>
      <c r="L3" s="552"/>
    </row>
    <row r="4" spans="2:12" ht="29.25" customHeight="1">
      <c r="B4" s="553"/>
      <c r="C4" s="553"/>
      <c r="D4" s="553"/>
      <c r="E4" s="553"/>
      <c r="F4" s="553"/>
      <c r="G4" s="553"/>
      <c r="H4" s="553"/>
      <c r="I4" s="553"/>
      <c r="J4" s="553"/>
      <c r="K4" s="553"/>
      <c r="L4" s="553"/>
    </row>
    <row r="5" spans="2:12" ht="6" customHeight="1">
      <c r="B5" s="186"/>
      <c r="C5" s="186"/>
      <c r="D5" s="186"/>
      <c r="E5" s="186"/>
      <c r="F5" s="186"/>
      <c r="G5" s="186"/>
      <c r="H5" s="186"/>
      <c r="I5" s="186"/>
      <c r="J5" s="186"/>
      <c r="K5" s="186"/>
      <c r="L5" s="186"/>
    </row>
    <row r="6" spans="2:12" ht="22.8">
      <c r="B6" s="554" t="s">
        <v>1332</v>
      </c>
      <c r="C6" s="554"/>
      <c r="D6" s="554"/>
      <c r="E6" s="554"/>
      <c r="F6" s="554"/>
      <c r="G6" s="554"/>
      <c r="H6" s="554"/>
      <c r="I6" s="554"/>
      <c r="J6" s="554"/>
      <c r="K6" s="554"/>
      <c r="L6" s="554"/>
    </row>
    <row r="8" spans="2:12" ht="14.25" customHeight="1">
      <c r="B8" s="555" t="s">
        <v>1208</v>
      </c>
      <c r="C8" s="555"/>
      <c r="D8" s="555"/>
      <c r="E8" s="555"/>
      <c r="F8" s="555"/>
      <c r="G8" s="555"/>
      <c r="H8" s="555"/>
      <c r="I8" s="555"/>
      <c r="J8" s="555"/>
      <c r="K8" s="555"/>
      <c r="L8" s="555"/>
    </row>
    <row r="9" spans="2:12">
      <c r="B9" s="187" t="s">
        <v>1209</v>
      </c>
      <c r="C9" s="187"/>
      <c r="D9" s="187" t="s">
        <v>39</v>
      </c>
      <c r="E9" s="187" t="s">
        <v>1210</v>
      </c>
      <c r="F9" s="187" t="s">
        <v>1211</v>
      </c>
      <c r="G9" s="187" t="s">
        <v>1212</v>
      </c>
      <c r="H9" s="187" t="s">
        <v>1213</v>
      </c>
      <c r="I9" s="187" t="s">
        <v>1214</v>
      </c>
      <c r="J9" s="187" t="s">
        <v>1215</v>
      </c>
      <c r="K9" s="187" t="s">
        <v>1216</v>
      </c>
      <c r="L9" s="187" t="s">
        <v>1217</v>
      </c>
    </row>
    <row r="10" spans="2:12">
      <c r="B10" s="188" t="s">
        <v>1218</v>
      </c>
      <c r="C10" s="189" t="s">
        <v>1219</v>
      </c>
      <c r="D10" s="190" t="s">
        <v>1220</v>
      </c>
      <c r="E10" s="191"/>
      <c r="F10" s="192"/>
      <c r="G10" s="192"/>
      <c r="H10" s="191"/>
      <c r="I10" s="193">
        <f>20*0.0206</f>
        <v>0.41200000000000003</v>
      </c>
      <c r="J10" s="194"/>
      <c r="K10" s="195">
        <f>IF(E10*F10*G10&lt;&gt;0,E10*F10*G10,IF(E10*F10&lt;&gt;0,E10*F10,IF(F10*G10&lt;&gt;0,F10*G10,IF(E10*G10&lt;&gt;0,E10*G10,IF(E10&lt;&gt;0,E10,IF(F10&lt;&gt;0,F10,IF(G10&lt;&gt;0,G10,0)))))))*(IF(H10&lt;&gt;0,H10,1))+I10-J10</f>
        <v>0.41200000000000003</v>
      </c>
      <c r="L10" s="196"/>
    </row>
    <row r="11" spans="2:12">
      <c r="B11" s="197" t="s">
        <v>1218</v>
      </c>
      <c r="C11" s="189" t="s">
        <v>1240</v>
      </c>
      <c r="D11" s="190" t="s">
        <v>1226</v>
      </c>
      <c r="E11" s="199"/>
      <c r="F11" s="199"/>
      <c r="G11" s="199"/>
      <c r="H11" s="199"/>
      <c r="I11" s="193">
        <f>20*0.0358</f>
        <v>0.71599999999999997</v>
      </c>
      <c r="J11" s="201"/>
      <c r="K11" s="195">
        <f>IF(E11*F11*G11&lt;&gt;0,E11*F11*G11,IF(E11*F11&lt;&gt;0,E11*F11,IF(F11*G11&lt;&gt;0,F11*G11,IF(E11*G11&lt;&gt;0,E11*G11,IF(E11&lt;&gt;0,E11,IF(F11&lt;&gt;0,F11,IF(G11&lt;&gt;0,G11,0)))))))*(IF(H11&lt;&gt;0,H11,1))+I11-J11</f>
        <v>0.71599999999999997</v>
      </c>
      <c r="L11" s="196"/>
    </row>
    <row r="12" spans="2:12">
      <c r="B12" s="197" t="s">
        <v>1218</v>
      </c>
      <c r="C12" s="189" t="s">
        <v>1271</v>
      </c>
      <c r="D12" s="190" t="s">
        <v>1226</v>
      </c>
      <c r="E12" s="199"/>
      <c r="F12" s="199"/>
      <c r="G12" s="199"/>
      <c r="H12" s="199"/>
      <c r="I12" s="193">
        <f>20*0.0216</f>
        <v>0.43200000000000005</v>
      </c>
      <c r="J12" s="201"/>
      <c r="K12" s="195">
        <f>IF(E12*F12*G12&lt;&gt;0,E12*F12*G12,IF(E12*F12&lt;&gt;0,E12*F12,IF(F12*G12&lt;&gt;0,F12*G12,IF(E12*G12&lt;&gt;0,E12*G12,IF(E12&lt;&gt;0,E12,IF(F12&lt;&gt;0,F12,IF(G12&lt;&gt;0,G12,0)))))))*(IF(H12&lt;&gt;0,H12,1))+I12-J12</f>
        <v>0.43200000000000005</v>
      </c>
      <c r="L12" s="196"/>
    </row>
    <row r="13" spans="2:12">
      <c r="B13" s="197" t="s">
        <v>1218</v>
      </c>
      <c r="C13" s="189" t="s">
        <v>1333</v>
      </c>
      <c r="D13" s="190" t="s">
        <v>1226</v>
      </c>
      <c r="E13" s="199"/>
      <c r="F13" s="199"/>
      <c r="G13" s="199"/>
      <c r="H13" s="199"/>
      <c r="I13" s="193">
        <f>20*0.0268</f>
        <v>0.53600000000000003</v>
      </c>
      <c r="J13" s="201"/>
      <c r="K13" s="195">
        <f>IF(E13*F13*G13&lt;&gt;0,E13*F13*G13,IF(E13*F13&lt;&gt;0,E13*F13,IF(F13*G13&lt;&gt;0,F13*G13,IF(E13*G13&lt;&gt;0,E13*G13,IF(E13&lt;&gt;0,E13,IF(F13&lt;&gt;0,F13,IF(G13&lt;&gt;0,G13,0)))))))*(IF(H13&lt;&gt;0,H13,1))+I13-J13</f>
        <v>0.53600000000000003</v>
      </c>
      <c r="L13" s="196"/>
    </row>
    <row r="14" spans="2:12">
      <c r="B14" s="202"/>
      <c r="C14" s="203"/>
      <c r="D14" s="203"/>
      <c r="E14" s="203"/>
      <c r="F14" s="203"/>
      <c r="G14" s="203"/>
      <c r="H14" s="204"/>
      <c r="I14" s="556" t="s">
        <v>1221</v>
      </c>
      <c r="J14" s="556"/>
      <c r="K14" s="206">
        <f>SUM(K10:K13)</f>
        <v>2.0960000000000001</v>
      </c>
      <c r="L14" s="207"/>
    </row>
    <row r="15" spans="2:12">
      <c r="B15" s="208"/>
      <c r="C15" s="204"/>
      <c r="D15" s="204"/>
      <c r="E15" s="204"/>
      <c r="F15" s="204"/>
      <c r="G15" s="204"/>
      <c r="H15" s="209"/>
      <c r="I15" s="557" t="s">
        <v>1222</v>
      </c>
      <c r="J15" s="557"/>
      <c r="K15" s="211">
        <v>20</v>
      </c>
      <c r="L15" s="207"/>
    </row>
    <row r="16" spans="2:12">
      <c r="B16" s="208"/>
      <c r="C16" s="204"/>
      <c r="D16" s="204"/>
      <c r="E16" s="204"/>
      <c r="F16" s="204"/>
      <c r="G16" s="204"/>
      <c r="H16" s="558" t="s">
        <v>1223</v>
      </c>
      <c r="I16" s="558"/>
      <c r="J16" s="558"/>
      <c r="K16" s="212">
        <v>1.56</v>
      </c>
      <c r="L16" s="207"/>
    </row>
    <row r="17" spans="2:12">
      <c r="B17" s="208"/>
      <c r="C17" s="204"/>
      <c r="D17" s="204"/>
      <c r="E17" s="204"/>
      <c r="F17" s="204"/>
      <c r="G17" s="204"/>
      <c r="H17" s="558" t="s">
        <v>1201</v>
      </c>
      <c r="I17" s="558"/>
      <c r="J17" s="558"/>
      <c r="K17" s="212">
        <f>IF(K14&gt;K15,K15,K14)-K16</f>
        <v>0.53600000000000003</v>
      </c>
      <c r="L17" s="207"/>
    </row>
    <row r="18" spans="2:12">
      <c r="B18" s="213"/>
      <c r="C18" s="214"/>
      <c r="D18" s="214"/>
      <c r="E18" s="214"/>
      <c r="F18" s="214"/>
      <c r="G18" s="214"/>
      <c r="H18" s="559" t="s">
        <v>1224</v>
      </c>
      <c r="I18" s="559"/>
      <c r="J18" s="559"/>
      <c r="K18" s="215">
        <f>IF(K14&gt;K15,K14-K15,0)</f>
        <v>0</v>
      </c>
      <c r="L18" s="209"/>
    </row>
    <row r="20" spans="2:12" ht="58.35" customHeight="1">
      <c r="B20" s="555" t="s">
        <v>1225</v>
      </c>
      <c r="C20" s="555"/>
      <c r="D20" s="555"/>
      <c r="E20" s="555"/>
      <c r="F20" s="555"/>
      <c r="G20" s="555"/>
      <c r="H20" s="555"/>
      <c r="I20" s="555"/>
      <c r="J20" s="555"/>
      <c r="K20" s="555"/>
      <c r="L20" s="555"/>
    </row>
    <row r="21" spans="2:12">
      <c r="B21" s="187" t="s">
        <v>1209</v>
      </c>
      <c r="C21" s="187"/>
      <c r="D21" s="187" t="s">
        <v>39</v>
      </c>
      <c r="E21" s="187" t="s">
        <v>1210</v>
      </c>
      <c r="F21" s="187" t="s">
        <v>1211</v>
      </c>
      <c r="G21" s="187" t="s">
        <v>1212</v>
      </c>
      <c r="H21" s="187" t="s">
        <v>1213</v>
      </c>
      <c r="I21" s="187" t="s">
        <v>1214</v>
      </c>
      <c r="J21" s="187" t="s">
        <v>1215</v>
      </c>
      <c r="K21" s="187" t="s">
        <v>1216</v>
      </c>
      <c r="L21" s="187" t="s">
        <v>1217</v>
      </c>
    </row>
    <row r="22" spans="2:12">
      <c r="B22" s="188" t="s">
        <v>1218</v>
      </c>
      <c r="C22" s="189" t="s">
        <v>1219</v>
      </c>
      <c r="D22" s="190" t="s">
        <v>1226</v>
      </c>
      <c r="E22" s="191"/>
      <c r="F22" s="192"/>
      <c r="G22" s="192"/>
      <c r="H22" s="191"/>
      <c r="I22" s="193">
        <v>2.06E-2</v>
      </c>
      <c r="J22" s="194"/>
      <c r="K22" s="195">
        <f>IF(E22*F22*G22&lt;&gt;0,E22*F22*G22,IF(E22*F22&lt;&gt;0,E22*F22,IF(F22*G22&lt;&gt;0,F22*G22,IF(E22*G22&lt;&gt;0,E22*G22,IF(E22&lt;&gt;0,E22,IF(F22&lt;&gt;0,F22,IF(G22&lt;&gt;0,G22,0)))))))*(IF(H22&lt;&gt;0,H22,1))+I22-J22</f>
        <v>2.06E-2</v>
      </c>
      <c r="L22" s="196"/>
    </row>
    <row r="23" spans="2:12">
      <c r="B23" s="197" t="s">
        <v>1218</v>
      </c>
      <c r="C23" s="189" t="s">
        <v>1240</v>
      </c>
      <c r="D23" s="190" t="s">
        <v>1226</v>
      </c>
      <c r="E23" s="199"/>
      <c r="F23" s="199"/>
      <c r="G23" s="199"/>
      <c r="H23" s="199"/>
      <c r="I23" s="193">
        <f>0.0239-0.004+0.0159</f>
        <v>3.5799999999999998E-2</v>
      </c>
      <c r="J23" s="201"/>
      <c r="K23" s="195">
        <f>IF(E23*F23*G23&lt;&gt;0,E23*F23*G23,IF(E23*F23&lt;&gt;0,E23*F23,IF(F23*G23&lt;&gt;0,F23*G23,IF(E23*G23&lt;&gt;0,E23*G23,IF(E23&lt;&gt;0,E23,IF(F23&lt;&gt;0,F23,IF(G23&lt;&gt;0,G23,0)))))))*(IF(H23&lt;&gt;0,H23,1))+I23-J23</f>
        <v>3.5799999999999998E-2</v>
      </c>
      <c r="L23" s="196"/>
    </row>
    <row r="24" spans="2:12">
      <c r="B24" s="197" t="s">
        <v>1218</v>
      </c>
      <c r="C24" s="189" t="s">
        <v>1271</v>
      </c>
      <c r="D24" s="190" t="s">
        <v>1226</v>
      </c>
      <c r="E24" s="199"/>
      <c r="F24" s="199"/>
      <c r="G24" s="199"/>
      <c r="H24" s="199"/>
      <c r="I24" s="193">
        <f>0.0166+0.005</f>
        <v>2.1600000000000001E-2</v>
      </c>
      <c r="J24" s="201"/>
      <c r="K24" s="195">
        <f>IF(E24*F24*G24&lt;&gt;0,E24*F24*G24,IF(E24*F24&lt;&gt;0,E24*F24,IF(F24*G24&lt;&gt;0,F24*G24,IF(E24*G24&lt;&gt;0,E24*G24,IF(E24&lt;&gt;0,E24,IF(F24&lt;&gt;0,F24,IF(G24&lt;&gt;0,G24,0)))))))*(IF(H24&lt;&gt;0,H24,1))+I24-J24</f>
        <v>2.1600000000000001E-2</v>
      </c>
      <c r="L24" s="196"/>
    </row>
    <row r="25" spans="2:12">
      <c r="B25" s="197" t="s">
        <v>1218</v>
      </c>
      <c r="C25" s="189" t="s">
        <v>1333</v>
      </c>
      <c r="D25" s="190" t="s">
        <v>1226</v>
      </c>
      <c r="E25" s="199"/>
      <c r="F25" s="199"/>
      <c r="G25" s="199"/>
      <c r="H25" s="199"/>
      <c r="I25" s="193">
        <v>2.6800000000000001E-2</v>
      </c>
      <c r="J25" s="201"/>
      <c r="K25" s="195">
        <f>IF(E25*F25*G25&lt;&gt;0,E25*F25*G25,IF(E25*F25&lt;&gt;0,E25*F25,IF(F25*G25&lt;&gt;0,F25*G25,IF(E25*G25&lt;&gt;0,E25*G25,IF(E25&lt;&gt;0,E25,IF(F25&lt;&gt;0,F25,IF(G25&lt;&gt;0,G25,0)))))))*(IF(H25&lt;&gt;0,H25,1))+I25-J25</f>
        <v>2.6800000000000001E-2</v>
      </c>
      <c r="L25" s="196"/>
    </row>
    <row r="26" spans="2:12">
      <c r="B26" s="202"/>
      <c r="C26" s="203"/>
      <c r="D26" s="203"/>
      <c r="E26" s="203"/>
      <c r="F26" s="203"/>
      <c r="G26" s="203"/>
      <c r="H26" s="204"/>
      <c r="I26" s="556" t="s">
        <v>1221</v>
      </c>
      <c r="J26" s="556"/>
      <c r="K26" s="206">
        <f>SUM(K22:K25)</f>
        <v>0.1048</v>
      </c>
      <c r="L26" s="207"/>
    </row>
    <row r="27" spans="2:12">
      <c r="B27" s="208"/>
      <c r="C27" s="204"/>
      <c r="D27" s="204"/>
      <c r="E27" s="204"/>
      <c r="F27" s="204"/>
      <c r="G27" s="204"/>
      <c r="H27" s="209"/>
      <c r="I27" s="557" t="s">
        <v>1222</v>
      </c>
      <c r="J27" s="557"/>
      <c r="K27" s="211">
        <v>1</v>
      </c>
      <c r="L27" s="207"/>
    </row>
    <row r="28" spans="2:12">
      <c r="B28" s="208"/>
      <c r="C28" s="204"/>
      <c r="D28" s="204"/>
      <c r="E28" s="204"/>
      <c r="F28" s="204"/>
      <c r="G28" s="204"/>
      <c r="H28" s="558" t="s">
        <v>1223</v>
      </c>
      <c r="I28" s="558"/>
      <c r="J28" s="558"/>
      <c r="K28" s="212">
        <v>7.8E-2</v>
      </c>
      <c r="L28" s="207"/>
    </row>
    <row r="29" spans="2:12">
      <c r="B29" s="208"/>
      <c r="C29" s="204"/>
      <c r="D29" s="204"/>
      <c r="E29" s="204"/>
      <c r="F29" s="204"/>
      <c r="G29" s="204"/>
      <c r="H29" s="558" t="s">
        <v>1201</v>
      </c>
      <c r="I29" s="558"/>
      <c r="J29" s="558"/>
      <c r="K29" s="212">
        <f>IF(K26&gt;K27,K27,K26)-K28</f>
        <v>2.6800000000000004E-2</v>
      </c>
      <c r="L29" s="207"/>
    </row>
    <row r="30" spans="2:12">
      <c r="B30" s="213"/>
      <c r="C30" s="214"/>
      <c r="D30" s="214"/>
      <c r="E30" s="214"/>
      <c r="F30" s="214"/>
      <c r="G30" s="214"/>
      <c r="H30" s="559" t="s">
        <v>1224</v>
      </c>
      <c r="I30" s="559"/>
      <c r="J30" s="559"/>
      <c r="K30" s="215">
        <f>IF(K26&gt;K27,K26-K27,0)</f>
        <v>0</v>
      </c>
      <c r="L30" s="209"/>
    </row>
    <row r="32" spans="2:12" ht="14.25" customHeight="1">
      <c r="B32" s="555" t="s">
        <v>1227</v>
      </c>
      <c r="C32" s="555"/>
      <c r="D32" s="555"/>
      <c r="E32" s="555"/>
      <c r="F32" s="555"/>
      <c r="G32" s="555"/>
      <c r="H32" s="555"/>
      <c r="I32" s="555"/>
      <c r="J32" s="555"/>
      <c r="K32" s="555"/>
      <c r="L32" s="555"/>
    </row>
    <row r="33" spans="2:12">
      <c r="B33" s="187" t="s">
        <v>1209</v>
      </c>
      <c r="C33" s="187"/>
      <c r="D33" s="187" t="s">
        <v>39</v>
      </c>
      <c r="E33" s="187" t="s">
        <v>1210</v>
      </c>
      <c r="F33" s="187" t="s">
        <v>1211</v>
      </c>
      <c r="G33" s="187" t="s">
        <v>1212</v>
      </c>
      <c r="H33" s="187" t="s">
        <v>1213</v>
      </c>
      <c r="I33" s="187" t="s">
        <v>1214</v>
      </c>
      <c r="J33" s="187" t="s">
        <v>1215</v>
      </c>
      <c r="K33" s="187" t="s">
        <v>1216</v>
      </c>
      <c r="L33" s="187" t="s">
        <v>1217</v>
      </c>
    </row>
    <row r="34" spans="2:12">
      <c r="B34" s="188" t="s">
        <v>1228</v>
      </c>
      <c r="C34" s="189" t="s">
        <v>1219</v>
      </c>
      <c r="D34" s="190" t="s">
        <v>39</v>
      </c>
      <c r="E34" s="191">
        <v>64</v>
      </c>
      <c r="F34" s="192"/>
      <c r="G34" s="192">
        <v>2</v>
      </c>
      <c r="H34" s="191"/>
      <c r="I34" s="191"/>
      <c r="J34" s="216"/>
      <c r="K34" s="217">
        <f>IF(E34*F34*G34&lt;&gt;0,E34*F34*G34,IF(E34*F34&lt;&gt;0,E34*F34,IF(F34*G34&lt;&gt;0,F34*G34,IF(E34*G34&lt;&gt;0,E34*G34,IF(E34&lt;&gt;0,E34,IF(F34&lt;&gt;0,F34,IF(G34&lt;&gt;0,G34,0)))))))*(IF(H34&lt;&gt;0,H34,1))+I34-J34</f>
        <v>128</v>
      </c>
      <c r="L34" s="218"/>
    </row>
    <row r="35" spans="2:12">
      <c r="B35" s="197"/>
      <c r="C35" s="189"/>
      <c r="D35" s="198"/>
      <c r="E35" s="199"/>
      <c r="F35" s="199"/>
      <c r="G35" s="199"/>
      <c r="H35" s="199"/>
      <c r="I35" s="199"/>
      <c r="J35" s="219"/>
      <c r="K35" s="217">
        <f>IF(E35*F35*G35&lt;&gt;0,E35*F35*G35,IF(E35*F35&lt;&gt;0,E35*F35,IF(F35*G35&lt;&gt;0,F35*G35,IF(E35*G35&lt;&gt;0,E35*G35,IF(E35&lt;&gt;0,E35,IF(F35&lt;&gt;0,F35,IF(G35&lt;&gt;0,G35,0)))))))*(IF(H35&lt;&gt;0,H35,1))+I35-J35</f>
        <v>0</v>
      </c>
      <c r="L35" s="218"/>
    </row>
    <row r="36" spans="2:12">
      <c r="B36" s="202"/>
      <c r="C36" s="203"/>
      <c r="D36" s="203"/>
      <c r="E36" s="203"/>
      <c r="F36" s="203"/>
      <c r="G36" s="203"/>
      <c r="H36" s="204"/>
      <c r="I36" s="556" t="s">
        <v>1221</v>
      </c>
      <c r="J36" s="556"/>
      <c r="K36" s="220">
        <f>SUM(K34:K35)</f>
        <v>128</v>
      </c>
      <c r="L36" s="207"/>
    </row>
    <row r="37" spans="2:12">
      <c r="B37" s="208"/>
      <c r="C37" s="204"/>
      <c r="D37" s="204"/>
      <c r="E37" s="204"/>
      <c r="F37" s="204"/>
      <c r="G37" s="204"/>
      <c r="H37" s="209"/>
      <c r="I37" s="557" t="s">
        <v>1222</v>
      </c>
      <c r="J37" s="557"/>
      <c r="K37" s="221">
        <v>128</v>
      </c>
      <c r="L37" s="207"/>
    </row>
    <row r="38" spans="2:12">
      <c r="B38" s="208"/>
      <c r="C38" s="204"/>
      <c r="D38" s="204"/>
      <c r="E38" s="204"/>
      <c r="F38" s="204"/>
      <c r="G38" s="204"/>
      <c r="H38" s="558" t="s">
        <v>1223</v>
      </c>
      <c r="I38" s="558"/>
      <c r="J38" s="558"/>
      <c r="K38" s="222"/>
      <c r="L38" s="207"/>
    </row>
    <row r="39" spans="2:12">
      <c r="B39" s="208"/>
      <c r="C39" s="204"/>
      <c r="D39" s="204"/>
      <c r="E39" s="204"/>
      <c r="F39" s="204"/>
      <c r="G39" s="204"/>
      <c r="H39" s="558" t="s">
        <v>1190</v>
      </c>
      <c r="I39" s="558"/>
      <c r="J39" s="558"/>
      <c r="K39" s="222">
        <f>IF(K36&gt;K37,K37,K36)-K38</f>
        <v>128</v>
      </c>
      <c r="L39" s="207"/>
    </row>
    <row r="40" spans="2:12">
      <c r="B40" s="213"/>
      <c r="C40" s="214"/>
      <c r="D40" s="214"/>
      <c r="E40" s="214"/>
      <c r="F40" s="214"/>
      <c r="G40" s="214"/>
      <c r="H40" s="559" t="s">
        <v>1224</v>
      </c>
      <c r="I40" s="559"/>
      <c r="J40" s="559"/>
      <c r="K40" s="223">
        <f>IF(K36&gt;K37,K36-K37,0)</f>
        <v>0</v>
      </c>
      <c r="L40" s="209"/>
    </row>
    <row r="42" spans="2:12" ht="14.25" customHeight="1">
      <c r="B42" s="555" t="s">
        <v>1229</v>
      </c>
      <c r="C42" s="555"/>
      <c r="D42" s="555"/>
      <c r="E42" s="555"/>
      <c r="F42" s="555"/>
      <c r="G42" s="555"/>
      <c r="H42" s="555"/>
      <c r="I42" s="555"/>
      <c r="J42" s="555"/>
      <c r="K42" s="555"/>
      <c r="L42" s="555"/>
    </row>
    <row r="43" spans="2:12">
      <c r="B43" s="187" t="s">
        <v>1209</v>
      </c>
      <c r="C43" s="187"/>
      <c r="D43" s="187" t="s">
        <v>39</v>
      </c>
      <c r="E43" s="187" t="s">
        <v>1210</v>
      </c>
      <c r="F43" s="187" t="s">
        <v>1211</v>
      </c>
      <c r="G43" s="187" t="s">
        <v>1212</v>
      </c>
      <c r="H43" s="187" t="s">
        <v>1213</v>
      </c>
      <c r="I43" s="187" t="s">
        <v>1214</v>
      </c>
      <c r="J43" s="187" t="s">
        <v>1215</v>
      </c>
      <c r="K43" s="187" t="s">
        <v>1216</v>
      </c>
      <c r="L43" s="187" t="s">
        <v>1217</v>
      </c>
    </row>
    <row r="44" spans="2:12">
      <c r="B44" s="188" t="s">
        <v>1228</v>
      </c>
      <c r="C44" s="189" t="s">
        <v>1219</v>
      </c>
      <c r="D44" s="190" t="s">
        <v>79</v>
      </c>
      <c r="E44" s="191">
        <f>30/4</f>
        <v>7.5</v>
      </c>
      <c r="F44" s="192">
        <v>4</v>
      </c>
      <c r="G44" s="192"/>
      <c r="H44" s="191"/>
      <c r="I44" s="191"/>
      <c r="J44" s="216"/>
      <c r="K44" s="217">
        <f>IF(E44*F44*G44&lt;&gt;0,E44*F44*G44,IF(E44*F44&lt;&gt;0,E44*F44,IF(F44*G44&lt;&gt;0,F44*G44,IF(E44*G44&lt;&gt;0,E44*G44,IF(E44&lt;&gt;0,E44,IF(F44&lt;&gt;0,F44,IF(G44&lt;&gt;0,G44,0)))))))*(IF(H44&lt;&gt;0,H44,1))+I44-J44</f>
        <v>30</v>
      </c>
      <c r="L44" s="218"/>
    </row>
    <row r="45" spans="2:12">
      <c r="B45" s="188" t="s">
        <v>1228</v>
      </c>
      <c r="C45" s="189" t="s">
        <v>1240</v>
      </c>
      <c r="D45" s="190" t="s">
        <v>79</v>
      </c>
      <c r="E45" s="191">
        <v>2.5</v>
      </c>
      <c r="F45" s="192">
        <v>4</v>
      </c>
      <c r="G45" s="192"/>
      <c r="H45" s="191"/>
      <c r="I45" s="191"/>
      <c r="J45" s="216"/>
      <c r="K45" s="217">
        <f>IF(E45*F45*G45&lt;&gt;0,E45*F45*G45,IF(E45*F45&lt;&gt;0,E45*F45,IF(F45*G45&lt;&gt;0,F45*G45,IF(E45*G45&lt;&gt;0,E45*G45,IF(E45&lt;&gt;0,E45,IF(F45&lt;&gt;0,F45,IF(G45&lt;&gt;0,G45,0)))))))*(IF(H45&lt;&gt;0,H45,1))+I45-J45</f>
        <v>10</v>
      </c>
      <c r="L45" s="218"/>
    </row>
    <row r="46" spans="2:12">
      <c r="B46" s="202"/>
      <c r="C46" s="203"/>
      <c r="D46" s="203"/>
      <c r="E46" s="203"/>
      <c r="F46" s="203"/>
      <c r="G46" s="203"/>
      <c r="H46" s="204"/>
      <c r="I46" s="556" t="s">
        <v>1221</v>
      </c>
      <c r="J46" s="556"/>
      <c r="K46" s="220">
        <f>SUM(K44:K45)</f>
        <v>40</v>
      </c>
      <c r="L46" s="207"/>
    </row>
    <row r="47" spans="2:12">
      <c r="B47" s="208"/>
      <c r="C47" s="204"/>
      <c r="D47" s="204"/>
      <c r="E47" s="204"/>
      <c r="F47" s="204"/>
      <c r="G47" s="204"/>
      <c r="H47" s="209"/>
      <c r="I47" s="557" t="s">
        <v>1222</v>
      </c>
      <c r="J47" s="557"/>
      <c r="K47" s="221">
        <v>40</v>
      </c>
      <c r="L47" s="207"/>
    </row>
    <row r="48" spans="2:12">
      <c r="B48" s="208"/>
      <c r="C48" s="204"/>
      <c r="D48" s="204"/>
      <c r="E48" s="204"/>
      <c r="F48" s="204"/>
      <c r="G48" s="204"/>
      <c r="H48" s="558" t="s">
        <v>1223</v>
      </c>
      <c r="I48" s="558"/>
      <c r="J48" s="558"/>
      <c r="K48" s="222">
        <v>30</v>
      </c>
      <c r="L48" s="207"/>
    </row>
    <row r="49" spans="2:12">
      <c r="B49" s="208"/>
      <c r="C49" s="204"/>
      <c r="D49" s="204"/>
      <c r="E49" s="204"/>
      <c r="F49" s="204"/>
      <c r="G49" s="204"/>
      <c r="H49" s="558" t="s">
        <v>1199</v>
      </c>
      <c r="I49" s="558"/>
      <c r="J49" s="558"/>
      <c r="K49" s="222">
        <f>IF(K46&gt;K47,K47,K46)-K48</f>
        <v>10</v>
      </c>
      <c r="L49" s="207"/>
    </row>
    <row r="50" spans="2:12">
      <c r="B50" s="213"/>
      <c r="C50" s="214"/>
      <c r="D50" s="214"/>
      <c r="E50" s="214"/>
      <c r="F50" s="214"/>
      <c r="G50" s="214"/>
      <c r="H50" s="559" t="s">
        <v>1224</v>
      </c>
      <c r="I50" s="559"/>
      <c r="J50" s="559"/>
      <c r="K50" s="223">
        <f>IF(K46&gt;K47,K46-K47,0)</f>
        <v>0</v>
      </c>
      <c r="L50" s="209"/>
    </row>
    <row r="52" spans="2:12" ht="14.25" customHeight="1">
      <c r="B52" s="555" t="s">
        <v>1230</v>
      </c>
      <c r="C52" s="555"/>
      <c r="D52" s="555"/>
      <c r="E52" s="555"/>
      <c r="F52" s="555"/>
      <c r="G52" s="555"/>
      <c r="H52" s="555"/>
      <c r="I52" s="555"/>
      <c r="J52" s="555"/>
      <c r="K52" s="555"/>
      <c r="L52" s="555"/>
    </row>
    <row r="53" spans="2:12">
      <c r="B53" s="187" t="s">
        <v>1209</v>
      </c>
      <c r="C53" s="187"/>
      <c r="D53" s="187" t="s">
        <v>39</v>
      </c>
      <c r="E53" s="187" t="s">
        <v>1210</v>
      </c>
      <c r="F53" s="187" t="s">
        <v>1211</v>
      </c>
      <c r="G53" s="187" t="s">
        <v>1212</v>
      </c>
      <c r="H53" s="187" t="s">
        <v>1213</v>
      </c>
      <c r="I53" s="187" t="s">
        <v>1214</v>
      </c>
      <c r="J53" s="187" t="s">
        <v>1215</v>
      </c>
      <c r="K53" s="187" t="s">
        <v>1216</v>
      </c>
      <c r="L53" s="187" t="s">
        <v>1217</v>
      </c>
    </row>
    <row r="54" spans="2:12">
      <c r="B54" s="188" t="s">
        <v>1228</v>
      </c>
      <c r="C54" s="189" t="s">
        <v>1219</v>
      </c>
      <c r="D54" s="190" t="s">
        <v>39</v>
      </c>
      <c r="E54" s="191">
        <f>48/4</f>
        <v>12</v>
      </c>
      <c r="F54" s="192">
        <v>4</v>
      </c>
      <c r="G54" s="192"/>
      <c r="H54" s="191"/>
      <c r="I54" s="191"/>
      <c r="J54" s="216"/>
      <c r="K54" s="217">
        <f>IF(E54*F54*G54&lt;&gt;0,E54*F54*G54,IF(E54*F54&lt;&gt;0,E54*F54,IF(F54*G54&lt;&gt;0,F54*G54,IF(E54*G54&lt;&gt;0,E54*G54,IF(E54&lt;&gt;0,E54,IF(F54&lt;&gt;0,F54,IF(G54&lt;&gt;0,G54,0)))))))*(IF(H54&lt;&gt;0,H54,1))+I54-J54</f>
        <v>48</v>
      </c>
      <c r="L54" s="218"/>
    </row>
    <row r="55" spans="2:12">
      <c r="B55" s="188" t="s">
        <v>1228</v>
      </c>
      <c r="C55" s="189" t="s">
        <v>1240</v>
      </c>
      <c r="D55" s="190" t="s">
        <v>39</v>
      </c>
      <c r="E55" s="191">
        <v>5</v>
      </c>
      <c r="F55" s="192">
        <v>4</v>
      </c>
      <c r="G55" s="192"/>
      <c r="H55" s="191"/>
      <c r="I55" s="191"/>
      <c r="J55" s="219"/>
      <c r="K55" s="217">
        <f>IF(E55*F55*G55&lt;&gt;0,E55*F55*G55,IF(E55*F55&lt;&gt;0,E55*F55,IF(F55*G55&lt;&gt;0,F55*G55,IF(E55*G55&lt;&gt;0,E55*G55,IF(E55&lt;&gt;0,E55,IF(F55&lt;&gt;0,F55,IF(G55&lt;&gt;0,G55,0)))))))*(IF(H55&lt;&gt;0,H55,1))+I55-J55</f>
        <v>20</v>
      </c>
      <c r="L55" s="218"/>
    </row>
    <row r="56" spans="2:12">
      <c r="B56" s="202"/>
      <c r="C56" s="203"/>
      <c r="D56" s="203"/>
      <c r="E56" s="203"/>
      <c r="F56" s="203"/>
      <c r="G56" s="203"/>
      <c r="H56" s="204"/>
      <c r="I56" s="556" t="s">
        <v>1221</v>
      </c>
      <c r="J56" s="556"/>
      <c r="K56" s="220">
        <f>SUM(K54:K55)</f>
        <v>68</v>
      </c>
      <c r="L56" s="207"/>
    </row>
    <row r="57" spans="2:12">
      <c r="B57" s="208"/>
      <c r="C57" s="204"/>
      <c r="D57" s="204"/>
      <c r="E57" s="204"/>
      <c r="F57" s="204"/>
      <c r="G57" s="204"/>
      <c r="H57" s="209"/>
      <c r="I57" s="557" t="s">
        <v>1222</v>
      </c>
      <c r="J57" s="557"/>
      <c r="K57" s="221">
        <v>68</v>
      </c>
      <c r="L57" s="207"/>
    </row>
    <row r="58" spans="2:12">
      <c r="B58" s="208"/>
      <c r="C58" s="204"/>
      <c r="D58" s="204"/>
      <c r="E58" s="204"/>
      <c r="F58" s="204"/>
      <c r="G58" s="204"/>
      <c r="H58" s="558" t="s">
        <v>1223</v>
      </c>
      <c r="I58" s="558"/>
      <c r="J58" s="558"/>
      <c r="K58" s="222">
        <v>48</v>
      </c>
      <c r="L58" s="207"/>
    </row>
    <row r="59" spans="2:12">
      <c r="B59" s="208"/>
      <c r="C59" s="204"/>
      <c r="D59" s="204"/>
      <c r="E59" s="204"/>
      <c r="F59" s="204"/>
      <c r="G59" s="204"/>
      <c r="H59" s="558" t="s">
        <v>1199</v>
      </c>
      <c r="I59" s="558"/>
      <c r="J59" s="558"/>
      <c r="K59" s="222">
        <f>IF(K56&gt;K57,K57,K56)-K58</f>
        <v>20</v>
      </c>
      <c r="L59" s="207"/>
    </row>
    <row r="60" spans="2:12">
      <c r="B60" s="213"/>
      <c r="C60" s="214"/>
      <c r="D60" s="214"/>
      <c r="E60" s="214"/>
      <c r="F60" s="214"/>
      <c r="G60" s="214"/>
      <c r="H60" s="559" t="s">
        <v>1224</v>
      </c>
      <c r="I60" s="559"/>
      <c r="J60" s="559"/>
      <c r="K60" s="223">
        <f>IF(K56&gt;K57,K56-K57,0)</f>
        <v>0</v>
      </c>
      <c r="L60" s="209"/>
    </row>
    <row r="62" spans="2:12" ht="14.25" customHeight="1">
      <c r="B62" s="555" t="s">
        <v>1231</v>
      </c>
      <c r="C62" s="555"/>
      <c r="D62" s="555"/>
      <c r="E62" s="555"/>
      <c r="F62" s="555"/>
      <c r="G62" s="555"/>
      <c r="H62" s="555"/>
      <c r="I62" s="555"/>
      <c r="J62" s="555"/>
      <c r="K62" s="555"/>
      <c r="L62" s="555"/>
    </row>
    <row r="63" spans="2:12">
      <c r="B63" s="187" t="s">
        <v>1209</v>
      </c>
      <c r="C63" s="187"/>
      <c r="D63" s="187" t="s">
        <v>39</v>
      </c>
      <c r="E63" s="187" t="s">
        <v>1210</v>
      </c>
      <c r="F63" s="187" t="s">
        <v>1211</v>
      </c>
      <c r="G63" s="187" t="s">
        <v>1212</v>
      </c>
      <c r="H63" s="187" t="s">
        <v>1213</v>
      </c>
      <c r="I63" s="187" t="s">
        <v>1214</v>
      </c>
      <c r="J63" s="187" t="s">
        <v>1215</v>
      </c>
      <c r="K63" s="187" t="s">
        <v>1216</v>
      </c>
      <c r="L63" s="187" t="s">
        <v>1217</v>
      </c>
    </row>
    <row r="64" spans="2:12">
      <c r="B64" s="188" t="s">
        <v>1228</v>
      </c>
      <c r="C64" s="189" t="s">
        <v>1219</v>
      </c>
      <c r="D64" s="190" t="s">
        <v>39</v>
      </c>
      <c r="E64" s="191">
        <v>15</v>
      </c>
      <c r="F64" s="192">
        <v>4</v>
      </c>
      <c r="G64" s="192"/>
      <c r="H64" s="191"/>
      <c r="I64" s="191"/>
      <c r="J64" s="216"/>
      <c r="K64" s="217">
        <f>IF(E64*F64*G64&lt;&gt;0,E64*F64*G64,IF(E64*F64&lt;&gt;0,E64*F64,IF(F64*G64&lt;&gt;0,F64*G64,IF(E64*G64&lt;&gt;0,E64*G64,IF(E64&lt;&gt;0,E64,IF(F64&lt;&gt;0,F64,IF(G64&lt;&gt;0,G64,0)))))))*(IF(H64&lt;&gt;0,H64,1))+I64-J64</f>
        <v>60</v>
      </c>
      <c r="L64" s="218"/>
    </row>
    <row r="65" spans="2:12">
      <c r="B65" s="197"/>
      <c r="C65" s="189"/>
      <c r="D65" s="198"/>
      <c r="E65" s="199"/>
      <c r="F65" s="199"/>
      <c r="G65" s="199"/>
      <c r="H65" s="199"/>
      <c r="I65" s="199"/>
      <c r="J65" s="219"/>
      <c r="K65" s="217">
        <f>IF(E65*F65*G65&lt;&gt;0,E65*F65*G65,IF(E65*F65&lt;&gt;0,E65*F65,IF(F65*G65&lt;&gt;0,F65*G65,IF(E65*G65&lt;&gt;0,E65*G65,IF(E65&lt;&gt;0,E65,IF(F65&lt;&gt;0,F65,IF(G65&lt;&gt;0,G65,0)))))))*(IF(H65&lt;&gt;0,H65,1))+I65-J65</f>
        <v>0</v>
      </c>
      <c r="L65" s="218"/>
    </row>
    <row r="66" spans="2:12">
      <c r="B66" s="202"/>
      <c r="C66" s="203"/>
      <c r="D66" s="203"/>
      <c r="E66" s="203"/>
      <c r="F66" s="203"/>
      <c r="G66" s="203"/>
      <c r="H66" s="204"/>
      <c r="I66" s="556" t="s">
        <v>1221</v>
      </c>
      <c r="J66" s="556"/>
      <c r="K66" s="220">
        <f>SUM(K64:K65)</f>
        <v>60</v>
      </c>
      <c r="L66" s="207"/>
    </row>
    <row r="67" spans="2:12">
      <c r="B67" s="208"/>
      <c r="C67" s="204"/>
      <c r="D67" s="204"/>
      <c r="E67" s="204"/>
      <c r="F67" s="204"/>
      <c r="G67" s="204"/>
      <c r="H67" s="209"/>
      <c r="I67" s="557" t="s">
        <v>1222</v>
      </c>
      <c r="J67" s="557"/>
      <c r="K67" s="221">
        <v>60</v>
      </c>
      <c r="L67" s="207"/>
    </row>
    <row r="68" spans="2:12">
      <c r="B68" s="208"/>
      <c r="C68" s="204"/>
      <c r="D68" s="204"/>
      <c r="E68" s="204"/>
      <c r="F68" s="204"/>
      <c r="G68" s="204"/>
      <c r="H68" s="558" t="s">
        <v>1223</v>
      </c>
      <c r="I68" s="558"/>
      <c r="J68" s="558"/>
      <c r="K68" s="222"/>
      <c r="L68" s="207"/>
    </row>
    <row r="69" spans="2:12">
      <c r="B69" s="208"/>
      <c r="C69" s="204"/>
      <c r="D69" s="204"/>
      <c r="E69" s="204"/>
      <c r="F69" s="204"/>
      <c r="G69" s="204"/>
      <c r="H69" s="558" t="s">
        <v>1190</v>
      </c>
      <c r="I69" s="558"/>
      <c r="J69" s="558"/>
      <c r="K69" s="222">
        <f>IF(K66&gt;K67,K67,K66)-K68</f>
        <v>60</v>
      </c>
      <c r="L69" s="207"/>
    </row>
    <row r="70" spans="2:12">
      <c r="B70" s="213"/>
      <c r="C70" s="214"/>
      <c r="D70" s="214"/>
      <c r="E70" s="214"/>
      <c r="F70" s="214"/>
      <c r="G70" s="214"/>
      <c r="H70" s="559" t="s">
        <v>1224</v>
      </c>
      <c r="I70" s="559"/>
      <c r="J70" s="559"/>
      <c r="K70" s="223">
        <f>IF(K66&gt;K67,K66-K67,0)</f>
        <v>0</v>
      </c>
      <c r="L70" s="209"/>
    </row>
    <row r="72" spans="2:12" ht="14.25" customHeight="1">
      <c r="B72" s="555" t="s">
        <v>1232</v>
      </c>
      <c r="C72" s="555"/>
      <c r="D72" s="555"/>
      <c r="E72" s="555"/>
      <c r="F72" s="555"/>
      <c r="G72" s="555"/>
      <c r="H72" s="555"/>
      <c r="I72" s="555"/>
      <c r="J72" s="555"/>
      <c r="K72" s="555"/>
      <c r="L72" s="555"/>
    </row>
    <row r="73" spans="2:12">
      <c r="B73" s="187" t="s">
        <v>1209</v>
      </c>
      <c r="C73" s="187"/>
      <c r="D73" s="187" t="s">
        <v>39</v>
      </c>
      <c r="E73" s="187" t="s">
        <v>1210</v>
      </c>
      <c r="F73" s="187" t="s">
        <v>1211</v>
      </c>
      <c r="G73" s="187" t="s">
        <v>1212</v>
      </c>
      <c r="H73" s="187" t="s">
        <v>1213</v>
      </c>
      <c r="I73" s="187" t="s">
        <v>1214</v>
      </c>
      <c r="J73" s="187" t="s">
        <v>1215</v>
      </c>
      <c r="K73" s="187" t="s">
        <v>1216</v>
      </c>
      <c r="L73" s="187" t="s">
        <v>1217</v>
      </c>
    </row>
    <row r="74" spans="2:12">
      <c r="B74" s="188" t="s">
        <v>1228</v>
      </c>
      <c r="C74" s="189" t="s">
        <v>1219</v>
      </c>
      <c r="D74" s="190" t="s">
        <v>39</v>
      </c>
      <c r="E74" s="191">
        <v>5</v>
      </c>
      <c r="F74" s="192">
        <v>4</v>
      </c>
      <c r="G74" s="192"/>
      <c r="H74" s="191"/>
      <c r="I74" s="191"/>
      <c r="J74" s="216"/>
      <c r="K74" s="217">
        <f>IF(E74*F74*G74&lt;&gt;0,E74*F74*G74,IF(E74*F74&lt;&gt;0,E74*F74,IF(F74*G74&lt;&gt;0,F74*G74,IF(E74*G74&lt;&gt;0,E74*G74,IF(E74&lt;&gt;0,E74,IF(F74&lt;&gt;0,F74,IF(G74&lt;&gt;0,G74,0)))))))*(IF(H74&lt;&gt;0,H74,1))+I74-J74</f>
        <v>20</v>
      </c>
      <c r="L74" s="218"/>
    </row>
    <row r="75" spans="2:12">
      <c r="B75" s="188" t="s">
        <v>1228</v>
      </c>
      <c r="C75" s="189" t="s">
        <v>1240</v>
      </c>
      <c r="D75" s="190" t="s">
        <v>39</v>
      </c>
      <c r="E75" s="191">
        <v>10</v>
      </c>
      <c r="F75" s="192">
        <v>4</v>
      </c>
      <c r="G75" s="192"/>
      <c r="H75" s="191"/>
      <c r="I75" s="191"/>
      <c r="J75" s="219"/>
      <c r="K75" s="217">
        <f>IF(E75*F75*G75&lt;&gt;0,E75*F75*G75,IF(E75*F75&lt;&gt;0,E75*F75,IF(F75*G75&lt;&gt;0,F75*G75,IF(E75*G75&lt;&gt;0,E75*G75,IF(E75&lt;&gt;0,E75,IF(F75&lt;&gt;0,F75,IF(G75&lt;&gt;0,G75,0)))))))*(IF(H75&lt;&gt;0,H75,1))+I75-J75</f>
        <v>40</v>
      </c>
      <c r="L75" s="218"/>
    </row>
    <row r="76" spans="2:12">
      <c r="B76" s="202"/>
      <c r="C76" s="203"/>
      <c r="D76" s="203"/>
      <c r="E76" s="203"/>
      <c r="F76" s="203"/>
      <c r="G76" s="203"/>
      <c r="H76" s="204"/>
      <c r="I76" s="556" t="s">
        <v>1221</v>
      </c>
      <c r="J76" s="556"/>
      <c r="K76" s="220">
        <f>SUM(K74:K75)</f>
        <v>60</v>
      </c>
      <c r="L76" s="207"/>
    </row>
    <row r="77" spans="2:12">
      <c r="B77" s="208"/>
      <c r="C77" s="204"/>
      <c r="D77" s="204"/>
      <c r="E77" s="204"/>
      <c r="F77" s="204"/>
      <c r="G77" s="204"/>
      <c r="H77" s="209"/>
      <c r="I77" s="557" t="s">
        <v>1222</v>
      </c>
      <c r="J77" s="557"/>
      <c r="K77" s="221">
        <v>60</v>
      </c>
      <c r="L77" s="207"/>
    </row>
    <row r="78" spans="2:12">
      <c r="B78" s="208"/>
      <c r="C78" s="204"/>
      <c r="D78" s="204"/>
      <c r="E78" s="204"/>
      <c r="F78" s="204"/>
      <c r="G78" s="204"/>
      <c r="H78" s="558" t="s">
        <v>1223</v>
      </c>
      <c r="I78" s="558"/>
      <c r="J78" s="558"/>
      <c r="K78" s="222">
        <v>20</v>
      </c>
      <c r="L78" s="207"/>
    </row>
    <row r="79" spans="2:12">
      <c r="B79" s="208"/>
      <c r="C79" s="204"/>
      <c r="D79" s="204"/>
      <c r="E79" s="204"/>
      <c r="F79" s="204"/>
      <c r="G79" s="204"/>
      <c r="H79" s="558" t="s">
        <v>1199</v>
      </c>
      <c r="I79" s="558"/>
      <c r="J79" s="558"/>
      <c r="K79" s="222">
        <f>IF(K76&gt;K77,K77,K76)-K78</f>
        <v>40</v>
      </c>
      <c r="L79" s="207"/>
    </row>
    <row r="80" spans="2:12">
      <c r="B80" s="213"/>
      <c r="C80" s="214"/>
      <c r="D80" s="214"/>
      <c r="E80" s="214"/>
      <c r="F80" s="214"/>
      <c r="G80" s="214"/>
      <c r="H80" s="559" t="s">
        <v>1224</v>
      </c>
      <c r="I80" s="559"/>
      <c r="J80" s="559"/>
      <c r="K80" s="223">
        <f>IF(K76&gt;K77,K76-K77,0)</f>
        <v>0</v>
      </c>
      <c r="L80" s="209"/>
    </row>
    <row r="82" spans="2:12" ht="14.25" customHeight="1">
      <c r="B82" s="555" t="s">
        <v>1233</v>
      </c>
      <c r="C82" s="555"/>
      <c r="D82" s="555"/>
      <c r="E82" s="555"/>
      <c r="F82" s="555"/>
      <c r="G82" s="555"/>
      <c r="H82" s="555"/>
      <c r="I82" s="555"/>
      <c r="J82" s="555"/>
      <c r="K82" s="555"/>
      <c r="L82" s="555"/>
    </row>
    <row r="83" spans="2:12">
      <c r="B83" s="187" t="s">
        <v>1209</v>
      </c>
      <c r="C83" s="187"/>
      <c r="D83" s="187" t="s">
        <v>39</v>
      </c>
      <c r="E83" s="187" t="s">
        <v>1210</v>
      </c>
      <c r="F83" s="187" t="s">
        <v>1211</v>
      </c>
      <c r="G83" s="187" t="s">
        <v>1212</v>
      </c>
      <c r="H83" s="187" t="s">
        <v>1213</v>
      </c>
      <c r="I83" s="187" t="s">
        <v>1214</v>
      </c>
      <c r="J83" s="187" t="s">
        <v>1215</v>
      </c>
      <c r="K83" s="187" t="s">
        <v>1216</v>
      </c>
      <c r="L83" s="187" t="s">
        <v>1217</v>
      </c>
    </row>
    <row r="84" spans="2:12">
      <c r="B84" s="188" t="s">
        <v>1228</v>
      </c>
      <c r="C84" s="189" t="s">
        <v>1219</v>
      </c>
      <c r="D84" s="190" t="s">
        <v>39</v>
      </c>
      <c r="E84" s="191">
        <v>5</v>
      </c>
      <c r="F84" s="192">
        <v>4</v>
      </c>
      <c r="G84" s="192"/>
      <c r="H84" s="191"/>
      <c r="I84" s="191"/>
      <c r="J84" s="216"/>
      <c r="K84" s="217">
        <f>IF(E84*F84*G84&lt;&gt;0,E84*F84*G84,IF(E84*F84&lt;&gt;0,E84*F84,IF(F84*G84&lt;&gt;0,F84*G84,IF(E84*G84&lt;&gt;0,E84*G84,IF(E84&lt;&gt;0,E84,IF(F84&lt;&gt;0,F84,IF(G84&lt;&gt;0,G84,0)))))))*(IF(H84&lt;&gt;0,H84,1))+I84-J84</f>
        <v>20</v>
      </c>
      <c r="L84" s="218"/>
    </row>
    <row r="85" spans="2:12">
      <c r="B85" s="188" t="s">
        <v>1228</v>
      </c>
      <c r="C85" s="189" t="s">
        <v>1219</v>
      </c>
      <c r="D85" s="190" t="s">
        <v>39</v>
      </c>
      <c r="E85" s="191">
        <v>7.5</v>
      </c>
      <c r="F85" s="192">
        <v>4</v>
      </c>
      <c r="G85" s="192"/>
      <c r="H85" s="191"/>
      <c r="I85" s="191"/>
      <c r="J85" s="216"/>
      <c r="K85" s="217">
        <f>IF(E85*F85*G85&lt;&gt;0,E85*F85*G85,IF(E85*F85&lt;&gt;0,E85*F85,IF(F85*G85&lt;&gt;0,F85*G85,IF(E85*G85&lt;&gt;0,E85*G85,IF(E85&lt;&gt;0,E85,IF(F85&lt;&gt;0,F85,IF(G85&lt;&gt;0,G85,0)))))))*(IF(H85&lt;&gt;0,H85,1))+I85-J85</f>
        <v>30</v>
      </c>
      <c r="L85" s="218"/>
    </row>
    <row r="86" spans="2:12">
      <c r="B86" s="202"/>
      <c r="C86" s="203"/>
      <c r="D86" s="203"/>
      <c r="E86" s="203"/>
      <c r="F86" s="203"/>
      <c r="G86" s="203"/>
      <c r="H86" s="204"/>
      <c r="I86" s="556" t="s">
        <v>1221</v>
      </c>
      <c r="J86" s="556"/>
      <c r="K86" s="220">
        <f>SUM(K84:K85)</f>
        <v>50</v>
      </c>
      <c r="L86" s="207"/>
    </row>
    <row r="87" spans="2:12">
      <c r="B87" s="208"/>
      <c r="C87" s="204"/>
      <c r="D87" s="204"/>
      <c r="E87" s="204"/>
      <c r="F87" s="204"/>
      <c r="G87" s="204"/>
      <c r="H87" s="209"/>
      <c r="I87" s="557" t="s">
        <v>1222</v>
      </c>
      <c r="J87" s="557"/>
      <c r="K87" s="221">
        <v>50</v>
      </c>
      <c r="L87" s="207"/>
    </row>
    <row r="88" spans="2:12">
      <c r="B88" s="208"/>
      <c r="C88" s="204"/>
      <c r="D88" s="204"/>
      <c r="E88" s="204"/>
      <c r="F88" s="204"/>
      <c r="G88" s="204"/>
      <c r="H88" s="558" t="s">
        <v>1223</v>
      </c>
      <c r="I88" s="558"/>
      <c r="J88" s="558"/>
      <c r="K88" s="222">
        <v>20</v>
      </c>
      <c r="L88" s="207"/>
    </row>
    <row r="89" spans="2:12">
      <c r="B89" s="208"/>
      <c r="C89" s="204"/>
      <c r="D89" s="204"/>
      <c r="E89" s="204"/>
      <c r="F89" s="204"/>
      <c r="G89" s="204"/>
      <c r="H89" s="558" t="s">
        <v>1199</v>
      </c>
      <c r="I89" s="558"/>
      <c r="J89" s="558"/>
      <c r="K89" s="222">
        <f>IF(K86&gt;K87,K87,K86)-K88</f>
        <v>30</v>
      </c>
      <c r="L89" s="207"/>
    </row>
    <row r="90" spans="2:12">
      <c r="B90" s="213"/>
      <c r="C90" s="214"/>
      <c r="D90" s="214"/>
      <c r="E90" s="214"/>
      <c r="F90" s="214"/>
      <c r="G90" s="214"/>
      <c r="H90" s="559" t="s">
        <v>1224</v>
      </c>
      <c r="I90" s="559"/>
      <c r="J90" s="559"/>
      <c r="K90" s="223">
        <f>IF(K86&gt;K87,K86-K87,0)</f>
        <v>0</v>
      </c>
      <c r="L90" s="209"/>
    </row>
    <row r="92" spans="2:12" ht="15" customHeight="1">
      <c r="B92" s="555" t="s">
        <v>1234</v>
      </c>
      <c r="C92" s="555"/>
      <c r="D92" s="555"/>
      <c r="E92" s="555"/>
      <c r="F92" s="555"/>
      <c r="G92" s="555"/>
      <c r="H92" s="555"/>
      <c r="I92" s="555"/>
      <c r="J92" s="555"/>
      <c r="K92" s="555"/>
      <c r="L92" s="555"/>
    </row>
    <row r="93" spans="2:12">
      <c r="B93" s="187" t="s">
        <v>1209</v>
      </c>
      <c r="C93" s="187"/>
      <c r="D93" s="187" t="s">
        <v>39</v>
      </c>
      <c r="E93" s="187" t="s">
        <v>1210</v>
      </c>
      <c r="F93" s="187" t="s">
        <v>1211</v>
      </c>
      <c r="G93" s="187" t="s">
        <v>1212</v>
      </c>
      <c r="H93" s="187" t="s">
        <v>1213</v>
      </c>
      <c r="I93" s="187" t="s">
        <v>1214</v>
      </c>
      <c r="J93" s="187" t="s">
        <v>1215</v>
      </c>
      <c r="K93" s="187" t="s">
        <v>1216</v>
      </c>
      <c r="L93" s="187" t="s">
        <v>1217</v>
      </c>
    </row>
    <row r="94" spans="2:12">
      <c r="B94" s="188" t="s">
        <v>1235</v>
      </c>
      <c r="C94" s="189" t="s">
        <v>1219</v>
      </c>
      <c r="D94" s="190" t="s">
        <v>169</v>
      </c>
      <c r="E94" s="191">
        <v>1616.87</v>
      </c>
      <c r="F94" s="192"/>
      <c r="G94" s="192">
        <v>0.75</v>
      </c>
      <c r="H94" s="191"/>
      <c r="I94" s="191"/>
      <c r="J94" s="216"/>
      <c r="K94" s="217">
        <f>IF(E94*F94*G94&lt;&gt;0,E94*F94*G94,IF(E94*F94&lt;&gt;0,E94*F94,IF(F94*G94&lt;&gt;0,F94*G94,IF(E94*G94&lt;&gt;0,E94*G94,IF(E94&lt;&gt;0,E94,IF(F94&lt;&gt;0,F94,IF(G94&lt;&gt;0,G94,0)))))))*(IF(H94&lt;&gt;0,H94,1))+I94-J94</f>
        <v>1212.6524999999999</v>
      </c>
      <c r="L94" s="218"/>
    </row>
    <row r="95" spans="2:12">
      <c r="B95" s="188" t="s">
        <v>1235</v>
      </c>
      <c r="C95" s="189" t="s">
        <v>1271</v>
      </c>
      <c r="D95" s="190" t="s">
        <v>169</v>
      </c>
      <c r="E95" s="199">
        <v>1616.87</v>
      </c>
      <c r="F95" s="199"/>
      <c r="G95" s="199">
        <v>0.25</v>
      </c>
      <c r="H95" s="199"/>
      <c r="I95" s="199"/>
      <c r="J95" s="219"/>
      <c r="K95" s="217">
        <f>IF(E95*F95*G95&lt;&gt;0,E95*F95*G95,IF(E95*F95&lt;&gt;0,E95*F95,IF(F95*G95&lt;&gt;0,F95*G95,IF(E95*G95&lt;&gt;0,E95*G95,IF(E95&lt;&gt;0,E95,IF(F95&lt;&gt;0,F95,IF(G95&lt;&gt;0,G95,0)))))))*(IF(H95&lt;&gt;0,H95,1))+I95-J95</f>
        <v>404.21749999999997</v>
      </c>
      <c r="L95" s="218"/>
    </row>
    <row r="96" spans="2:12">
      <c r="B96" s="197"/>
      <c r="C96" s="189"/>
      <c r="D96" s="198"/>
      <c r="E96" s="199"/>
      <c r="F96" s="199"/>
      <c r="G96" s="199"/>
      <c r="H96" s="199"/>
      <c r="I96" s="199"/>
      <c r="J96" s="219"/>
      <c r="K96" s="217">
        <f>IF(E96*F96*G96&lt;&gt;0,E96*F96*G96,IF(E96*F96&lt;&gt;0,E96*F96,IF(F96*G96&lt;&gt;0,F96*G96,IF(E96*G96&lt;&gt;0,E96*G96,IF(E96&lt;&gt;0,E96,IF(F96&lt;&gt;0,F96,IF(G96&lt;&gt;0,G96,0)))))))*(IF(H96&lt;&gt;0,H96,1))+I96-J96</f>
        <v>0</v>
      </c>
      <c r="L96" s="218"/>
    </row>
    <row r="97" spans="2:12">
      <c r="B97" s="202"/>
      <c r="C97" s="203"/>
      <c r="D97" s="203"/>
      <c r="E97" s="203"/>
      <c r="F97" s="203"/>
      <c r="G97" s="203"/>
      <c r="H97" s="204"/>
      <c r="I97" s="556" t="s">
        <v>1221</v>
      </c>
      <c r="J97" s="556"/>
      <c r="K97" s="220">
        <f>SUM(K94:K96)</f>
        <v>1616.87</v>
      </c>
      <c r="L97" s="207"/>
    </row>
    <row r="98" spans="2:12">
      <c r="B98" s="208"/>
      <c r="C98" s="204"/>
      <c r="D98" s="204"/>
      <c r="E98" s="204"/>
      <c r="F98" s="204"/>
      <c r="G98" s="204"/>
      <c r="H98" s="209"/>
      <c r="I98" s="557" t="s">
        <v>1222</v>
      </c>
      <c r="J98" s="557"/>
      <c r="K98" s="221">
        <v>4350</v>
      </c>
      <c r="L98" s="207"/>
    </row>
    <row r="99" spans="2:12">
      <c r="B99" s="208"/>
      <c r="C99" s="204"/>
      <c r="D99" s="204"/>
      <c r="E99" s="204"/>
      <c r="F99" s="204"/>
      <c r="G99" s="204"/>
      <c r="H99" s="558" t="s">
        <v>1223</v>
      </c>
      <c r="I99" s="558"/>
      <c r="J99" s="558"/>
      <c r="K99" s="222">
        <v>1212.6524999999999</v>
      </c>
      <c r="L99" s="207"/>
    </row>
    <row r="100" spans="2:12">
      <c r="B100" s="208"/>
      <c r="C100" s="204"/>
      <c r="D100" s="204"/>
      <c r="E100" s="204"/>
      <c r="F100" s="204"/>
      <c r="G100" s="204"/>
      <c r="H100" s="558" t="s">
        <v>1201</v>
      </c>
      <c r="I100" s="558"/>
      <c r="J100" s="558"/>
      <c r="K100" s="222">
        <f>IF(K97&gt;K98,K98,K97)-K99</f>
        <v>404.21749999999997</v>
      </c>
      <c r="L100" s="207"/>
    </row>
    <row r="101" spans="2:12">
      <c r="B101" s="213"/>
      <c r="C101" s="214"/>
      <c r="D101" s="214"/>
      <c r="E101" s="214"/>
      <c r="F101" s="214"/>
      <c r="G101" s="214"/>
      <c r="H101" s="559" t="s">
        <v>1224</v>
      </c>
      <c r="I101" s="559"/>
      <c r="J101" s="559"/>
      <c r="K101" s="223">
        <f>IF(K97&gt;K98,K97-K98,0)</f>
        <v>0</v>
      </c>
      <c r="L101" s="209"/>
    </row>
    <row r="102" spans="2:12" ht="15" customHeight="1"/>
    <row r="103" spans="2:12" ht="24" customHeight="1">
      <c r="B103" s="555" t="s">
        <v>1236</v>
      </c>
      <c r="C103" s="555"/>
      <c r="D103" s="555"/>
      <c r="E103" s="555"/>
      <c r="F103" s="555"/>
      <c r="G103" s="555"/>
      <c r="H103" s="555"/>
      <c r="I103" s="555"/>
      <c r="J103" s="555"/>
      <c r="K103" s="555"/>
      <c r="L103" s="555"/>
    </row>
    <row r="104" spans="2:12">
      <c r="B104" s="187" t="s">
        <v>1209</v>
      </c>
      <c r="C104" s="187"/>
      <c r="D104" s="187" t="s">
        <v>39</v>
      </c>
      <c r="E104" s="187" t="s">
        <v>1210</v>
      </c>
      <c r="F104" s="187" t="s">
        <v>1211</v>
      </c>
      <c r="G104" s="187" t="s">
        <v>1212</v>
      </c>
      <c r="H104" s="187" t="s">
        <v>1213</v>
      </c>
      <c r="I104" s="187" t="s">
        <v>1214</v>
      </c>
      <c r="J104" s="187" t="s">
        <v>1215</v>
      </c>
      <c r="K104" s="187" t="s">
        <v>1216</v>
      </c>
      <c r="L104" s="187" t="s">
        <v>1217</v>
      </c>
    </row>
    <row r="105" spans="2:12">
      <c r="B105" s="188" t="s">
        <v>1235</v>
      </c>
      <c r="C105" s="189" t="s">
        <v>1219</v>
      </c>
      <c r="D105" s="190" t="s">
        <v>169</v>
      </c>
      <c r="E105" s="191">
        <v>1616.87</v>
      </c>
      <c r="F105" s="192"/>
      <c r="G105" s="192">
        <v>0.75</v>
      </c>
      <c r="H105" s="191"/>
      <c r="I105" s="191"/>
      <c r="J105" s="216"/>
      <c r="K105" s="217">
        <f>IF(E105*F105*G105&lt;&gt;0,E105*F105*G105,IF(E105*F105&lt;&gt;0,E105*F105,IF(F105*G105&lt;&gt;0,F105*G105,IF(E105*G105&lt;&gt;0,E105*G105,IF(E105&lt;&gt;0,E105,IF(F105&lt;&gt;0,F105,IF(G105&lt;&gt;0,G105,0)))))))*(IF(H105&lt;&gt;0,H105,1))+I105-J105</f>
        <v>1212.6524999999999</v>
      </c>
      <c r="L105" s="218"/>
    </row>
    <row r="106" spans="2:12">
      <c r="B106" s="188" t="s">
        <v>1235</v>
      </c>
      <c r="C106" s="189" t="s">
        <v>1271</v>
      </c>
      <c r="D106" s="190" t="s">
        <v>169</v>
      </c>
      <c r="E106" s="199">
        <v>1616.87</v>
      </c>
      <c r="F106" s="199"/>
      <c r="G106" s="199">
        <v>0.25</v>
      </c>
      <c r="H106" s="199"/>
      <c r="I106" s="199"/>
      <c r="J106" s="219"/>
      <c r="K106" s="217">
        <f>IF(E106*F106*G106&lt;&gt;0,E106*F106*G106,IF(E106*F106&lt;&gt;0,E106*F106,IF(F106*G106&lt;&gt;0,F106*G106,IF(E106*G106&lt;&gt;0,E106*G106,IF(E106&lt;&gt;0,E106,IF(F106&lt;&gt;0,F106,IF(G106&lt;&gt;0,G106,0)))))))*(IF(H106&lt;&gt;0,H106,1))+I106-J106</f>
        <v>404.21749999999997</v>
      </c>
      <c r="L106" s="218"/>
    </row>
    <row r="107" spans="2:12">
      <c r="B107" s="197"/>
      <c r="C107" s="189"/>
      <c r="D107" s="198"/>
      <c r="E107" s="199"/>
      <c r="F107" s="199"/>
      <c r="G107" s="199"/>
      <c r="H107" s="199"/>
      <c r="I107" s="199"/>
      <c r="J107" s="219"/>
      <c r="K107" s="217">
        <f>IF(E107*F107*G107&lt;&gt;0,E107*F107*G107,IF(E107*F107&lt;&gt;0,E107*F107,IF(F107*G107&lt;&gt;0,F107*G107,IF(E107*G107&lt;&gt;0,E107*G107,IF(E107&lt;&gt;0,E107,IF(F107&lt;&gt;0,F107,IF(G107&lt;&gt;0,G107,0)))))))*(IF(H107&lt;&gt;0,H107,1))+I107-J107</f>
        <v>0</v>
      </c>
      <c r="L107" s="218"/>
    </row>
    <row r="108" spans="2:12">
      <c r="B108" s="202"/>
      <c r="C108" s="203"/>
      <c r="D108" s="203"/>
      <c r="E108" s="203"/>
      <c r="F108" s="203"/>
      <c r="G108" s="203"/>
      <c r="H108" s="204"/>
      <c r="I108" s="556" t="s">
        <v>1221</v>
      </c>
      <c r="J108" s="556"/>
      <c r="K108" s="220">
        <f>SUM(K105:K107)</f>
        <v>1616.87</v>
      </c>
      <c r="L108" s="207"/>
    </row>
    <row r="109" spans="2:12">
      <c r="B109" s="208"/>
      <c r="C109" s="204"/>
      <c r="D109" s="204"/>
      <c r="E109" s="204"/>
      <c r="F109" s="204"/>
      <c r="G109" s="204"/>
      <c r="H109" s="209"/>
      <c r="I109" s="557" t="s">
        <v>1222</v>
      </c>
      <c r="J109" s="557"/>
      <c r="K109" s="221">
        <v>3985</v>
      </c>
      <c r="L109" s="207"/>
    </row>
    <row r="110" spans="2:12">
      <c r="B110" s="208"/>
      <c r="C110" s="204"/>
      <c r="D110" s="204"/>
      <c r="E110" s="204"/>
      <c r="F110" s="204"/>
      <c r="G110" s="204"/>
      <c r="H110" s="558" t="s">
        <v>1223</v>
      </c>
      <c r="I110" s="558"/>
      <c r="J110" s="558"/>
      <c r="K110" s="222">
        <v>1212.6524999999999</v>
      </c>
      <c r="L110" s="207"/>
    </row>
    <row r="111" spans="2:12">
      <c r="B111" s="208"/>
      <c r="C111" s="204"/>
      <c r="D111" s="204"/>
      <c r="E111" s="204"/>
      <c r="F111" s="204"/>
      <c r="G111" s="204"/>
      <c r="H111" s="558" t="s">
        <v>1201</v>
      </c>
      <c r="I111" s="558"/>
      <c r="J111" s="558"/>
      <c r="K111" s="222">
        <f>IF(K108&gt;K109,K109,K108)-K110</f>
        <v>404.21749999999997</v>
      </c>
      <c r="L111" s="207"/>
    </row>
    <row r="112" spans="2:12" ht="15" customHeight="1">
      <c r="B112" s="213"/>
      <c r="C112" s="214"/>
      <c r="D112" s="214"/>
      <c r="E112" s="214"/>
      <c r="F112" s="214"/>
      <c r="G112" s="214"/>
      <c r="H112" s="559" t="s">
        <v>1224</v>
      </c>
      <c r="I112" s="559"/>
      <c r="J112" s="559"/>
      <c r="K112" s="223">
        <f>IF(K108&gt;K109,K108-K109,0)</f>
        <v>0</v>
      </c>
      <c r="L112" s="209"/>
    </row>
    <row r="114" spans="2:12" ht="14.25" customHeight="1">
      <c r="B114" s="555" t="s">
        <v>1237</v>
      </c>
      <c r="C114" s="555"/>
      <c r="D114" s="555"/>
      <c r="E114" s="555"/>
      <c r="F114" s="555"/>
      <c r="G114" s="555"/>
      <c r="H114" s="555"/>
      <c r="I114" s="555"/>
      <c r="J114" s="555"/>
      <c r="K114" s="555"/>
      <c r="L114" s="555"/>
    </row>
    <row r="115" spans="2:12">
      <c r="B115" s="187" t="s">
        <v>1209</v>
      </c>
      <c r="C115" s="187"/>
      <c r="D115" s="187" t="s">
        <v>39</v>
      </c>
      <c r="E115" s="187" t="s">
        <v>1210</v>
      </c>
      <c r="F115" s="187" t="s">
        <v>1211</v>
      </c>
      <c r="G115" s="187" t="s">
        <v>1212</v>
      </c>
      <c r="H115" s="187" t="s">
        <v>1213</v>
      </c>
      <c r="I115" s="187" t="s">
        <v>1214</v>
      </c>
      <c r="J115" s="187" t="s">
        <v>1215</v>
      </c>
      <c r="K115" s="187" t="s">
        <v>1216</v>
      </c>
      <c r="L115" s="187" t="s">
        <v>1217</v>
      </c>
    </row>
    <row r="116" spans="2:12">
      <c r="B116" s="188" t="s">
        <v>1238</v>
      </c>
      <c r="C116" s="189" t="s">
        <v>1219</v>
      </c>
      <c r="D116" s="190" t="s">
        <v>113</v>
      </c>
      <c r="E116" s="191"/>
      <c r="F116" s="192"/>
      <c r="G116" s="192"/>
      <c r="H116" s="191"/>
      <c r="I116" s="191">
        <v>8200</v>
      </c>
      <c r="J116" s="216"/>
      <c r="K116" s="217">
        <f>IF(E116*F116*G116&lt;&gt;0,E116*F116*G116,IF(E116*F116&lt;&gt;0,E116*F116,IF(F116*G116&lt;&gt;0,F116*G116,IF(E116*G116&lt;&gt;0,E116*G116,IF(E116&lt;&gt;0,E116,IF(F116&lt;&gt;0,F116,IF(G116&lt;&gt;0,G116,0)))))))*(IF(H116&lt;&gt;0,H116,1))+I116-J116</f>
        <v>8200</v>
      </c>
      <c r="L116" s="218"/>
    </row>
    <row r="117" spans="2:12">
      <c r="B117" s="188" t="s">
        <v>1235</v>
      </c>
      <c r="C117" s="189" t="s">
        <v>1271</v>
      </c>
      <c r="D117" s="190" t="s">
        <v>169</v>
      </c>
      <c r="E117" s="199">
        <v>1616.87</v>
      </c>
      <c r="F117" s="199"/>
      <c r="G117" s="199">
        <v>0.25</v>
      </c>
      <c r="H117" s="199">
        <v>30</v>
      </c>
      <c r="I117" s="199"/>
      <c r="J117" s="219"/>
      <c r="K117" s="217">
        <f>IF(E117*F117*G117&lt;&gt;0,E117*F117*G117,IF(E117*F117&lt;&gt;0,E117*F117,IF(F117*G117&lt;&gt;0,F117*G117,IF(E117*G117&lt;&gt;0,E117*G117,IF(E117&lt;&gt;0,E117,IF(F117&lt;&gt;0,F117,IF(G117&lt;&gt;0,G117,0)))))))*(IF(H117&lt;&gt;0,H117,1))+I117-J117</f>
        <v>12126.525</v>
      </c>
      <c r="L117" s="218"/>
    </row>
    <row r="118" spans="2:12">
      <c r="B118" s="197"/>
      <c r="C118" s="189"/>
      <c r="D118" s="198"/>
      <c r="E118" s="199"/>
      <c r="F118" s="199"/>
      <c r="G118" s="199"/>
      <c r="H118" s="199"/>
      <c r="I118" s="199"/>
      <c r="J118" s="219"/>
      <c r="K118" s="217">
        <f>IF(E118*F118*G118&lt;&gt;0,E118*F118*G118,IF(E118*F118&lt;&gt;0,E118*F118,IF(F118*G118&lt;&gt;0,F118*G118,IF(E118*G118&lt;&gt;0,E118*G118,IF(E118&lt;&gt;0,E118,IF(F118&lt;&gt;0,F118,IF(G118&lt;&gt;0,G118,0)))))))*(IF(H118&lt;&gt;0,H118,1))+I118-J118</f>
        <v>0</v>
      </c>
      <c r="L118" s="218"/>
    </row>
    <row r="119" spans="2:12">
      <c r="B119" s="202"/>
      <c r="C119" s="203"/>
      <c r="D119" s="203"/>
      <c r="E119" s="203"/>
      <c r="F119" s="203"/>
      <c r="G119" s="203"/>
      <c r="H119" s="204"/>
      <c r="I119" s="556" t="s">
        <v>1221</v>
      </c>
      <c r="J119" s="556"/>
      <c r="K119" s="220">
        <f>SUM(K116:K118)</f>
        <v>20326.525000000001</v>
      </c>
      <c r="L119" s="207"/>
    </row>
    <row r="120" spans="2:12">
      <c r="B120" s="208"/>
      <c r="C120" s="204"/>
      <c r="D120" s="204"/>
      <c r="E120" s="204"/>
      <c r="F120" s="204"/>
      <c r="G120" s="204"/>
      <c r="H120" s="209"/>
      <c r="I120" s="557" t="s">
        <v>1222</v>
      </c>
      <c r="J120" s="557"/>
      <c r="K120" s="221">
        <v>119550</v>
      </c>
      <c r="L120" s="207"/>
    </row>
    <row r="121" spans="2:12">
      <c r="B121" s="208"/>
      <c r="C121" s="204"/>
      <c r="D121" s="204"/>
      <c r="E121" s="204"/>
      <c r="F121" s="204"/>
      <c r="G121" s="204"/>
      <c r="H121" s="558" t="s">
        <v>1223</v>
      </c>
      <c r="I121" s="558"/>
      <c r="J121" s="558"/>
      <c r="K121" s="222">
        <v>8200</v>
      </c>
      <c r="L121" s="207"/>
    </row>
    <row r="122" spans="2:12">
      <c r="B122" s="208"/>
      <c r="C122" s="204"/>
      <c r="D122" s="204"/>
      <c r="E122" s="204"/>
      <c r="F122" s="204"/>
      <c r="G122" s="204"/>
      <c r="H122" s="558" t="s">
        <v>1201</v>
      </c>
      <c r="I122" s="558"/>
      <c r="J122" s="558"/>
      <c r="K122" s="222">
        <f>IF(K119&gt;K120,K120,K119)-K121</f>
        <v>12126.525000000001</v>
      </c>
      <c r="L122" s="207"/>
    </row>
    <row r="123" spans="2:12">
      <c r="B123" s="213"/>
      <c r="C123" s="214"/>
      <c r="D123" s="214"/>
      <c r="E123" s="214"/>
      <c r="F123" s="214"/>
      <c r="G123" s="214"/>
      <c r="H123" s="559" t="s">
        <v>1224</v>
      </c>
      <c r="I123" s="559"/>
      <c r="J123" s="559"/>
      <c r="K123" s="223">
        <f>IF(K119&gt;K120,K119-K120,0)</f>
        <v>0</v>
      </c>
      <c r="L123" s="209"/>
    </row>
    <row r="125" spans="2:12" ht="14.25" customHeight="1">
      <c r="B125" s="555" t="s">
        <v>1241</v>
      </c>
      <c r="C125" s="555"/>
      <c r="D125" s="555"/>
      <c r="E125" s="555"/>
      <c r="F125" s="555"/>
      <c r="G125" s="555"/>
      <c r="H125" s="555"/>
      <c r="I125" s="555"/>
      <c r="J125" s="555"/>
      <c r="K125" s="555"/>
      <c r="L125" s="555"/>
    </row>
    <row r="126" spans="2:12">
      <c r="B126" s="187" t="s">
        <v>1209</v>
      </c>
      <c r="C126" s="187"/>
      <c r="D126" s="187" t="s">
        <v>39</v>
      </c>
      <c r="E126" s="187" t="s">
        <v>1210</v>
      </c>
      <c r="F126" s="187" t="s">
        <v>1211</v>
      </c>
      <c r="G126" s="187" t="s">
        <v>1212</v>
      </c>
      <c r="H126" s="187" t="s">
        <v>1213</v>
      </c>
      <c r="I126" s="187" t="s">
        <v>1214</v>
      </c>
      <c r="J126" s="187" t="s">
        <v>1215</v>
      </c>
      <c r="K126" s="187" t="s">
        <v>1216</v>
      </c>
      <c r="L126" s="187" t="s">
        <v>1217</v>
      </c>
    </row>
    <row r="127" spans="2:12">
      <c r="B127" s="188" t="s">
        <v>117</v>
      </c>
      <c r="C127" s="189" t="s">
        <v>1240</v>
      </c>
      <c r="D127" s="190" t="s">
        <v>82</v>
      </c>
      <c r="E127" s="191">
        <v>10</v>
      </c>
      <c r="F127" s="192">
        <f>45/40</f>
        <v>1.125</v>
      </c>
      <c r="G127" s="192"/>
      <c r="H127" s="191">
        <v>147</v>
      </c>
      <c r="I127" s="191"/>
      <c r="J127" s="216"/>
      <c r="K127" s="217">
        <f>IF(E127*F127*G127&lt;&gt;0,E127*F127*G127,IF(E127*F127&lt;&gt;0,E127*F127,IF(F127*G127&lt;&gt;0,F127*G127,IF(E127*G127&lt;&gt;0,E127*G127,IF(E127&lt;&gt;0,E127,IF(F127&lt;&gt;0,F127,IF(G127&lt;&gt;0,G127,0)))))))*(IF(H127&lt;&gt;0,H127,1))+I127-J127</f>
        <v>1653.75</v>
      </c>
      <c r="L127" s="218"/>
    </row>
    <row r="128" spans="2:12">
      <c r="B128" s="188" t="s">
        <v>117</v>
      </c>
      <c r="C128" s="189" t="s">
        <v>1271</v>
      </c>
      <c r="D128" s="190" t="s">
        <v>82</v>
      </c>
      <c r="E128" s="191">
        <v>10</v>
      </c>
      <c r="F128" s="192">
        <f>45/40</f>
        <v>1.125</v>
      </c>
      <c r="G128" s="192"/>
      <c r="H128" s="191">
        <f>173-147</f>
        <v>26</v>
      </c>
      <c r="I128" s="191"/>
      <c r="J128" s="216"/>
      <c r="K128" s="217">
        <f>IF(E128*F128*G128&lt;&gt;0,E128*F128*G128,IF(E128*F128&lt;&gt;0,E128*F128,IF(F128*G128&lt;&gt;0,F128*G128,IF(E128*G128&lt;&gt;0,E128*G128,IF(E128&lt;&gt;0,E128,IF(F128&lt;&gt;0,F128,IF(G128&lt;&gt;0,G128,0)))))))*(IF(H128&lt;&gt;0,H128,1))+I128-J128</f>
        <v>292.5</v>
      </c>
      <c r="L128" s="218"/>
    </row>
    <row r="129" spans="2:15">
      <c r="B129" s="197"/>
      <c r="C129" s="189"/>
      <c r="D129" s="198"/>
      <c r="E129" s="199"/>
      <c r="F129" s="199"/>
      <c r="G129" s="199"/>
      <c r="H129" s="199"/>
      <c r="I129" s="199"/>
      <c r="J129" s="219"/>
      <c r="K129" s="217">
        <f>IF(E129*F129*G129&lt;&gt;0,E129*F129*G129,IF(E129*F129&lt;&gt;0,E129*F129,IF(F129*G129&lt;&gt;0,F129*G129,IF(E129*G129&lt;&gt;0,E129*G129,IF(E129&lt;&gt;0,E129,IF(F129&lt;&gt;0,F129,IF(G129&lt;&gt;0,G129,0)))))))*(IF(H129&lt;&gt;0,H129,1))+I129-J129</f>
        <v>0</v>
      </c>
      <c r="L129" s="218"/>
    </row>
    <row r="130" spans="2:15">
      <c r="B130" s="202"/>
      <c r="C130" s="203"/>
      <c r="D130" s="203"/>
      <c r="E130" s="203"/>
      <c r="F130" s="203"/>
      <c r="G130" s="203"/>
      <c r="H130" s="204"/>
      <c r="I130" s="556" t="s">
        <v>1221</v>
      </c>
      <c r="J130" s="556"/>
      <c r="K130" s="220">
        <f>SUM(K127:K129)</f>
        <v>1946.25</v>
      </c>
      <c r="L130" s="207"/>
    </row>
    <row r="131" spans="2:15">
      <c r="B131" s="208"/>
      <c r="C131" s="204"/>
      <c r="D131" s="204"/>
      <c r="E131" s="204"/>
      <c r="F131" s="204"/>
      <c r="G131" s="204"/>
      <c r="H131" s="209"/>
      <c r="I131" s="557" t="s">
        <v>1222</v>
      </c>
      <c r="J131" s="557"/>
      <c r="K131" s="221">
        <v>1837</v>
      </c>
      <c r="L131" s="207"/>
    </row>
    <row r="132" spans="2:15">
      <c r="B132" s="208"/>
      <c r="C132" s="204"/>
      <c r="D132" s="204"/>
      <c r="E132" s="204"/>
      <c r="F132" s="204"/>
      <c r="G132" s="204"/>
      <c r="H132" s="558" t="s">
        <v>1223</v>
      </c>
      <c r="I132" s="558"/>
      <c r="J132" s="558"/>
      <c r="K132" s="222">
        <v>1653.75</v>
      </c>
      <c r="L132" s="207"/>
    </row>
    <row r="133" spans="2:15">
      <c r="B133" s="208"/>
      <c r="C133" s="204"/>
      <c r="D133" s="204"/>
      <c r="E133" s="204"/>
      <c r="F133" s="204"/>
      <c r="G133" s="204"/>
      <c r="H133" s="558" t="s">
        <v>1199</v>
      </c>
      <c r="I133" s="558"/>
      <c r="J133" s="558"/>
      <c r="K133" s="222">
        <f>IF(K130&gt;K131,K131,K130)-K132</f>
        <v>183.25</v>
      </c>
      <c r="L133" s="207"/>
      <c r="O133" s="224"/>
    </row>
    <row r="134" spans="2:15">
      <c r="B134" s="213"/>
      <c r="C134" s="214"/>
      <c r="D134" s="214"/>
      <c r="E134" s="214"/>
      <c r="F134" s="214"/>
      <c r="G134" s="214"/>
      <c r="H134" s="559" t="s">
        <v>1224</v>
      </c>
      <c r="I134" s="559"/>
      <c r="J134" s="559"/>
      <c r="K134" s="223">
        <f>IF(K130&gt;K131,K130-K131,0)</f>
        <v>109.25</v>
      </c>
      <c r="L134" s="209"/>
    </row>
    <row r="136" spans="2:15" ht="14.25" customHeight="1">
      <c r="B136" s="555" t="s">
        <v>1242</v>
      </c>
      <c r="C136" s="555"/>
      <c r="D136" s="555"/>
      <c r="E136" s="555"/>
      <c r="F136" s="555"/>
      <c r="G136" s="555"/>
      <c r="H136" s="555"/>
      <c r="I136" s="555"/>
      <c r="J136" s="555"/>
      <c r="K136" s="555"/>
      <c r="L136" s="555"/>
    </row>
    <row r="137" spans="2:15">
      <c r="B137" s="187" t="s">
        <v>1209</v>
      </c>
      <c r="C137" s="187"/>
      <c r="D137" s="187" t="s">
        <v>39</v>
      </c>
      <c r="E137" s="187" t="s">
        <v>1210</v>
      </c>
      <c r="F137" s="187" t="s">
        <v>1211</v>
      </c>
      <c r="G137" s="187" t="s">
        <v>1212</v>
      </c>
      <c r="H137" s="187" t="s">
        <v>1213</v>
      </c>
      <c r="I137" s="187" t="s">
        <v>1214</v>
      </c>
      <c r="J137" s="187" t="s">
        <v>1215</v>
      </c>
      <c r="K137" s="187" t="s">
        <v>1216</v>
      </c>
      <c r="L137" s="187" t="s">
        <v>1217</v>
      </c>
    </row>
    <row r="138" spans="2:15">
      <c r="B138" s="188" t="s">
        <v>117</v>
      </c>
      <c r="C138" s="189" t="s">
        <v>1240</v>
      </c>
      <c r="D138" s="190" t="s">
        <v>110</v>
      </c>
      <c r="E138" s="191">
        <f>K133</f>
        <v>183.25</v>
      </c>
      <c r="F138" s="192">
        <v>0.16</v>
      </c>
      <c r="G138" s="192"/>
      <c r="H138" s="191"/>
      <c r="I138" s="191"/>
      <c r="J138" s="216"/>
      <c r="K138" s="217">
        <f>IF(E138*F138*G138&lt;&gt;0,E138*F138*G138,IF(E138*F138&lt;&gt;0,E138*F138,IF(F138*G138&lt;&gt;0,F138*G138,IF(E138*G138&lt;&gt;0,E138*G138,IF(E138&lt;&gt;0,E138,IF(F138&lt;&gt;0,F138,IF(G138&lt;&gt;0,G138,0)))))))*(IF(H138&lt;&gt;0,H138,1))+I138-J138</f>
        <v>29.32</v>
      </c>
      <c r="L138" s="218"/>
    </row>
    <row r="139" spans="2:15">
      <c r="B139" s="197"/>
      <c r="C139" s="189"/>
      <c r="D139" s="198"/>
      <c r="E139" s="199"/>
      <c r="F139" s="199"/>
      <c r="G139" s="199"/>
      <c r="H139" s="199"/>
      <c r="I139" s="199"/>
      <c r="J139" s="219"/>
      <c r="K139" s="217">
        <f>IF(E139*F139*G139&lt;&gt;0,E139*F139*G139,IF(E139*F139&lt;&gt;0,E139*F139,IF(F139*G139&lt;&gt;0,F139*G139,IF(E139*G139&lt;&gt;0,E139*G139,IF(E139&lt;&gt;0,E139,IF(F139&lt;&gt;0,F139,IF(G139&lt;&gt;0,G139,0)))))))*(IF(H139&lt;&gt;0,H139,1))+I139-J139</f>
        <v>0</v>
      </c>
      <c r="L139" s="218"/>
    </row>
    <row r="140" spans="2:15">
      <c r="B140" s="202"/>
      <c r="C140" s="203"/>
      <c r="D140" s="203"/>
      <c r="E140" s="203"/>
      <c r="F140" s="203"/>
      <c r="G140" s="203"/>
      <c r="H140" s="204"/>
      <c r="I140" s="556" t="s">
        <v>1221</v>
      </c>
      <c r="J140" s="556"/>
      <c r="K140" s="220">
        <f>SUM(K138:K139)</f>
        <v>29.32</v>
      </c>
      <c r="L140" s="207"/>
    </row>
    <row r="141" spans="2:15">
      <c r="B141" s="208"/>
      <c r="C141" s="204"/>
      <c r="D141" s="204"/>
      <c r="E141" s="204"/>
      <c r="F141" s="204"/>
      <c r="G141" s="204"/>
      <c r="H141" s="209"/>
      <c r="I141" s="557" t="s">
        <v>1222</v>
      </c>
      <c r="J141" s="557"/>
      <c r="K141" s="221">
        <v>293.92</v>
      </c>
      <c r="L141" s="207"/>
    </row>
    <row r="142" spans="2:15">
      <c r="B142" s="208"/>
      <c r="C142" s="204"/>
      <c r="D142" s="204"/>
      <c r="E142" s="204"/>
      <c r="F142" s="204"/>
      <c r="G142" s="204"/>
      <c r="H142" s="558" t="s">
        <v>1223</v>
      </c>
      <c r="I142" s="558"/>
      <c r="J142" s="558"/>
      <c r="K142" s="222"/>
      <c r="L142" s="207"/>
    </row>
    <row r="143" spans="2:15">
      <c r="B143" s="208"/>
      <c r="C143" s="204"/>
      <c r="D143" s="204"/>
      <c r="E143" s="204"/>
      <c r="F143" s="204"/>
      <c r="G143" s="204"/>
      <c r="H143" s="558" t="s">
        <v>1199</v>
      </c>
      <c r="I143" s="558"/>
      <c r="J143" s="558"/>
      <c r="K143" s="222">
        <f>IF(K140&gt;K141,K141,K140)-K142</f>
        <v>29.32</v>
      </c>
      <c r="L143" s="207"/>
    </row>
    <row r="144" spans="2:15">
      <c r="B144" s="213"/>
      <c r="C144" s="214"/>
      <c r="D144" s="214"/>
      <c r="E144" s="214"/>
      <c r="F144" s="214"/>
      <c r="G144" s="214"/>
      <c r="H144" s="559" t="s">
        <v>1224</v>
      </c>
      <c r="I144" s="559"/>
      <c r="J144" s="559"/>
      <c r="K144" s="223">
        <f>IF(K140&gt;K141,K140-K141,0)</f>
        <v>0</v>
      </c>
      <c r="L144" s="209"/>
    </row>
    <row r="146" spans="2:12" ht="14.25" customHeight="1">
      <c r="B146" s="555" t="s">
        <v>1243</v>
      </c>
      <c r="C146" s="555"/>
      <c r="D146" s="555"/>
      <c r="E146" s="555"/>
      <c r="F146" s="555"/>
      <c r="G146" s="555"/>
      <c r="H146" s="555"/>
      <c r="I146" s="555"/>
      <c r="J146" s="555"/>
      <c r="K146" s="555"/>
      <c r="L146" s="555"/>
    </row>
    <row r="147" spans="2:12">
      <c r="B147" s="187" t="s">
        <v>1209</v>
      </c>
      <c r="C147" s="187"/>
      <c r="D147" s="187" t="s">
        <v>39</v>
      </c>
      <c r="E147" s="187" t="s">
        <v>1210</v>
      </c>
      <c r="F147" s="187" t="s">
        <v>1211</v>
      </c>
      <c r="G147" s="187" t="s">
        <v>1212</v>
      </c>
      <c r="H147" s="187" t="s">
        <v>1213</v>
      </c>
      <c r="I147" s="187" t="s">
        <v>1214</v>
      </c>
      <c r="J147" s="187" t="s">
        <v>1215</v>
      </c>
      <c r="K147" s="187" t="s">
        <v>1216</v>
      </c>
      <c r="L147" s="187" t="s">
        <v>1217</v>
      </c>
    </row>
    <row r="148" spans="2:12">
      <c r="B148" s="188" t="s">
        <v>117</v>
      </c>
      <c r="C148" s="189" t="s">
        <v>1240</v>
      </c>
      <c r="D148" s="190" t="s">
        <v>113</v>
      </c>
      <c r="E148" s="191">
        <f>K133</f>
        <v>183.25</v>
      </c>
      <c r="F148" s="192">
        <v>0.16</v>
      </c>
      <c r="G148" s="192"/>
      <c r="H148" s="191">
        <v>30</v>
      </c>
      <c r="I148" s="191"/>
      <c r="J148" s="216"/>
      <c r="K148" s="217">
        <f>IF(E148*F148*G148&lt;&gt;0,E148*F148*G148,IF(E148*F148&lt;&gt;0,E148*F148,IF(F148*G148&lt;&gt;0,F148*G148,IF(E148*G148&lt;&gt;0,E148*G148,IF(E148&lt;&gt;0,E148,IF(F148&lt;&gt;0,F148,IF(G148&lt;&gt;0,G148,0)))))))*(IF(H148&lt;&gt;0,H148,1))+I148-J148</f>
        <v>879.6</v>
      </c>
      <c r="L148" s="218"/>
    </row>
    <row r="149" spans="2:12">
      <c r="B149" s="197"/>
      <c r="C149" s="189"/>
      <c r="D149" s="198"/>
      <c r="E149" s="199"/>
      <c r="F149" s="199"/>
      <c r="G149" s="199"/>
      <c r="H149" s="199"/>
      <c r="I149" s="199"/>
      <c r="J149" s="219"/>
      <c r="K149" s="217">
        <f>IF(E149*F149*G149&lt;&gt;0,E149*F149*G149,IF(E149*F149&lt;&gt;0,E149*F149,IF(F149*G149&lt;&gt;0,F149*G149,IF(E149*G149&lt;&gt;0,E149*G149,IF(E149&lt;&gt;0,E149,IF(F149&lt;&gt;0,F149,IF(G149&lt;&gt;0,G149,0)))))))*(IF(H149&lt;&gt;0,H149,1))+I149-J149</f>
        <v>0</v>
      </c>
      <c r="L149" s="218"/>
    </row>
    <row r="150" spans="2:12">
      <c r="B150" s="202"/>
      <c r="C150" s="203"/>
      <c r="D150" s="203"/>
      <c r="E150" s="203"/>
      <c r="F150" s="203"/>
      <c r="G150" s="203"/>
      <c r="H150" s="204"/>
      <c r="I150" s="556" t="s">
        <v>1221</v>
      </c>
      <c r="J150" s="556"/>
      <c r="K150" s="220">
        <f>SUM(K148:K149)</f>
        <v>879.6</v>
      </c>
      <c r="L150" s="207"/>
    </row>
    <row r="151" spans="2:12">
      <c r="B151" s="208"/>
      <c r="C151" s="204"/>
      <c r="D151" s="204"/>
      <c r="E151" s="204"/>
      <c r="F151" s="204"/>
      <c r="G151" s="204"/>
      <c r="H151" s="209"/>
      <c r="I151" s="557" t="s">
        <v>1222</v>
      </c>
      <c r="J151" s="557"/>
      <c r="K151" s="221">
        <v>8817.6</v>
      </c>
      <c r="L151" s="207"/>
    </row>
    <row r="152" spans="2:12">
      <c r="B152" s="208"/>
      <c r="C152" s="204"/>
      <c r="D152" s="204"/>
      <c r="E152" s="204"/>
      <c r="F152" s="204"/>
      <c r="G152" s="204"/>
      <c r="H152" s="558" t="s">
        <v>1223</v>
      </c>
      <c r="I152" s="558"/>
      <c r="J152" s="558"/>
      <c r="K152" s="222"/>
      <c r="L152" s="207"/>
    </row>
    <row r="153" spans="2:12">
      <c r="B153" s="208"/>
      <c r="C153" s="204"/>
      <c r="D153" s="204"/>
      <c r="E153" s="204"/>
      <c r="F153" s="204"/>
      <c r="G153" s="204"/>
      <c r="H153" s="558" t="s">
        <v>1199</v>
      </c>
      <c r="I153" s="558"/>
      <c r="J153" s="558"/>
      <c r="K153" s="222">
        <f>IF(K150&gt;K151,K151,K150)-K152</f>
        <v>879.6</v>
      </c>
      <c r="L153" s="207"/>
    </row>
    <row r="154" spans="2:12">
      <c r="B154" s="213"/>
      <c r="C154" s="214"/>
      <c r="D154" s="214"/>
      <c r="E154" s="214"/>
      <c r="F154" s="214"/>
      <c r="G154" s="214"/>
      <c r="H154" s="559" t="s">
        <v>1224</v>
      </c>
      <c r="I154" s="559"/>
      <c r="J154" s="559"/>
      <c r="K154" s="223">
        <f>IF(K150&gt;K151,K150-K151,0)</f>
        <v>0</v>
      </c>
      <c r="L154" s="209"/>
    </row>
    <row r="156" spans="2:12" ht="14.25" customHeight="1">
      <c r="B156" s="555" t="s">
        <v>1244</v>
      </c>
      <c r="C156" s="555"/>
      <c r="D156" s="555"/>
      <c r="E156" s="555"/>
      <c r="F156" s="555"/>
      <c r="G156" s="555"/>
      <c r="H156" s="555"/>
      <c r="I156" s="555"/>
      <c r="J156" s="555"/>
      <c r="K156" s="555"/>
      <c r="L156" s="555"/>
    </row>
    <row r="157" spans="2:12">
      <c r="B157" s="187" t="s">
        <v>1209</v>
      </c>
      <c r="C157" s="187"/>
      <c r="D157" s="187" t="s">
        <v>39</v>
      </c>
      <c r="E157" s="187" t="s">
        <v>1210</v>
      </c>
      <c r="F157" s="187" t="s">
        <v>1211</v>
      </c>
      <c r="G157" s="187" t="s">
        <v>1212</v>
      </c>
      <c r="H157" s="187" t="s">
        <v>1213</v>
      </c>
      <c r="I157" s="187" t="s">
        <v>1214</v>
      </c>
      <c r="J157" s="187" t="s">
        <v>1215</v>
      </c>
      <c r="K157" s="187" t="s">
        <v>1216</v>
      </c>
      <c r="L157" s="187" t="s">
        <v>1217</v>
      </c>
    </row>
    <row r="158" spans="2:12">
      <c r="B158" s="188" t="s">
        <v>117</v>
      </c>
      <c r="C158" s="189" t="s">
        <v>1240</v>
      </c>
      <c r="D158" s="190" t="s">
        <v>39</v>
      </c>
      <c r="E158" s="191"/>
      <c r="F158" s="192"/>
      <c r="G158" s="192"/>
      <c r="H158" s="191"/>
      <c r="I158" s="191">
        <v>40</v>
      </c>
      <c r="J158" s="216"/>
      <c r="K158" s="217">
        <f>IF(E158*F158*G158&lt;&gt;0,E158*F158*G158,IF(E158*F158&lt;&gt;0,E158*F158,IF(F158*G158&lt;&gt;0,F158*G158,IF(E158*G158&lt;&gt;0,E158*G158,IF(E158&lt;&gt;0,E158,IF(F158&lt;&gt;0,F158,IF(G158&lt;&gt;0,G158,0)))))))*(IF(H158&lt;&gt;0,H158,1))+I158-J158</f>
        <v>40</v>
      </c>
      <c r="L158" s="218"/>
    </row>
    <row r="159" spans="2:12">
      <c r="B159" s="188" t="s">
        <v>117</v>
      </c>
      <c r="C159" s="189" t="s">
        <v>1271</v>
      </c>
      <c r="D159" s="190" t="s">
        <v>39</v>
      </c>
      <c r="E159" s="191"/>
      <c r="F159" s="192"/>
      <c r="G159" s="192"/>
      <c r="H159" s="191"/>
      <c r="I159" s="191">
        <f>133</f>
        <v>133</v>
      </c>
      <c r="J159" s="216"/>
      <c r="K159" s="217">
        <f>IF(E159*F159*G159&lt;&gt;0,E159*F159*G159,IF(E159*F159&lt;&gt;0,E159*F159,IF(F159*G159&lt;&gt;0,F159*G159,IF(E159*G159&lt;&gt;0,E159*G159,IF(E159&lt;&gt;0,E159,IF(F159&lt;&gt;0,F159,IF(G159&lt;&gt;0,G159,0)))))))*(IF(H159&lt;&gt;0,H159,1))+I159-J159</f>
        <v>133</v>
      </c>
      <c r="L159" s="218"/>
    </row>
    <row r="160" spans="2:12">
      <c r="B160" s="197"/>
      <c r="C160" s="189"/>
      <c r="D160" s="198"/>
      <c r="E160" s="199"/>
      <c r="F160" s="199"/>
      <c r="G160" s="199"/>
      <c r="H160" s="199"/>
      <c r="I160" s="199"/>
      <c r="J160" s="219"/>
      <c r="K160" s="217">
        <f>IF(E160*F160*G160&lt;&gt;0,E160*F160*G160,IF(E160*F160&lt;&gt;0,E160*F160,IF(F160*G160&lt;&gt;0,F160*G160,IF(E160*G160&lt;&gt;0,E160*G160,IF(E160&lt;&gt;0,E160,IF(F160&lt;&gt;0,F160,IF(G160&lt;&gt;0,G160,0)))))))*(IF(H160&lt;&gt;0,H160,1))+I160-J160</f>
        <v>0</v>
      </c>
      <c r="L160" s="218"/>
    </row>
    <row r="161" spans="2:12">
      <c r="B161" s="202"/>
      <c r="C161" s="203"/>
      <c r="D161" s="203"/>
      <c r="E161" s="203"/>
      <c r="F161" s="203"/>
      <c r="G161" s="203"/>
      <c r="H161" s="204"/>
      <c r="I161" s="556" t="s">
        <v>1221</v>
      </c>
      <c r="J161" s="556"/>
      <c r="K161" s="220">
        <f>SUM(K158:K160)</f>
        <v>173</v>
      </c>
      <c r="L161" s="207"/>
    </row>
    <row r="162" spans="2:12">
      <c r="B162" s="208"/>
      <c r="C162" s="204"/>
      <c r="D162" s="204"/>
      <c r="E162" s="204"/>
      <c r="F162" s="204"/>
      <c r="G162" s="204"/>
      <c r="H162" s="209"/>
      <c r="I162" s="557" t="s">
        <v>1222</v>
      </c>
      <c r="J162" s="557"/>
      <c r="K162" s="221">
        <v>167</v>
      </c>
      <c r="L162" s="207"/>
    </row>
    <row r="163" spans="2:12">
      <c r="B163" s="208"/>
      <c r="C163" s="204"/>
      <c r="D163" s="204"/>
      <c r="E163" s="204"/>
      <c r="F163" s="204"/>
      <c r="G163" s="204"/>
      <c r="H163" s="558" t="s">
        <v>1223</v>
      </c>
      <c r="I163" s="558"/>
      <c r="J163" s="558"/>
      <c r="K163" s="222">
        <v>40</v>
      </c>
      <c r="L163" s="207"/>
    </row>
    <row r="164" spans="2:12">
      <c r="B164" s="208"/>
      <c r="C164" s="204"/>
      <c r="D164" s="204"/>
      <c r="E164" s="204"/>
      <c r="F164" s="204"/>
      <c r="G164" s="204"/>
      <c r="H164" s="558" t="s">
        <v>1199</v>
      </c>
      <c r="I164" s="558"/>
      <c r="J164" s="558"/>
      <c r="K164" s="222">
        <f>IF(K161&gt;K162,K162,K161)-K163</f>
        <v>127</v>
      </c>
      <c r="L164" s="207"/>
    </row>
    <row r="165" spans="2:12">
      <c r="B165" s="213"/>
      <c r="C165" s="214"/>
      <c r="D165" s="214"/>
      <c r="E165" s="214"/>
      <c r="F165" s="214"/>
      <c r="G165" s="214"/>
      <c r="H165" s="559" t="s">
        <v>1224</v>
      </c>
      <c r="I165" s="559"/>
      <c r="J165" s="559"/>
      <c r="K165" s="223">
        <f>IF(K161&gt;K162,K161-K162,0)</f>
        <v>6</v>
      </c>
      <c r="L165" s="209"/>
    </row>
    <row r="167" spans="2:12" ht="14.25" customHeight="1">
      <c r="B167" s="555" t="s">
        <v>1245</v>
      </c>
      <c r="C167" s="555"/>
      <c r="D167" s="555"/>
      <c r="E167" s="555"/>
      <c r="F167" s="555"/>
      <c r="G167" s="555"/>
      <c r="H167" s="555"/>
      <c r="I167" s="555"/>
      <c r="J167" s="555"/>
      <c r="K167" s="555"/>
      <c r="L167" s="555"/>
    </row>
    <row r="168" spans="2:12">
      <c r="B168" s="187" t="s">
        <v>1209</v>
      </c>
      <c r="C168" s="187"/>
      <c r="D168" s="187" t="s">
        <v>39</v>
      </c>
      <c r="E168" s="187" t="s">
        <v>1210</v>
      </c>
      <c r="F168" s="187" t="s">
        <v>1211</v>
      </c>
      <c r="G168" s="187" t="s">
        <v>1212</v>
      </c>
      <c r="H168" s="187" t="s">
        <v>1213</v>
      </c>
      <c r="I168" s="187" t="s">
        <v>1214</v>
      </c>
      <c r="J168" s="187" t="s">
        <v>1215</v>
      </c>
      <c r="K168" s="187" t="s">
        <v>1216</v>
      </c>
      <c r="L168" s="187" t="s">
        <v>1217</v>
      </c>
    </row>
    <row r="169" spans="2:12">
      <c r="B169" s="188" t="s">
        <v>1246</v>
      </c>
      <c r="C169" s="189" t="s">
        <v>1240</v>
      </c>
      <c r="D169" s="190" t="s">
        <v>39</v>
      </c>
      <c r="E169" s="191"/>
      <c r="F169" s="192"/>
      <c r="G169" s="192"/>
      <c r="H169" s="191"/>
      <c r="I169" s="191">
        <v>1</v>
      </c>
      <c r="J169" s="216"/>
      <c r="K169" s="217">
        <f>IF(E169*F169*G169&lt;&gt;0,E169*F169*G169,IF(E169*F169&lt;&gt;0,E169*F169,IF(F169*G169&lt;&gt;0,F169*G169,IF(E169*G169&lt;&gt;0,E169*G169,IF(E169&lt;&gt;0,E169,IF(F169&lt;&gt;0,F169,IF(G169&lt;&gt;0,G169,0)))))))*(IF(H169&lt;&gt;0,H169,1))+I169-J169</f>
        <v>1</v>
      </c>
      <c r="L169" s="218"/>
    </row>
    <row r="170" spans="2:12">
      <c r="B170" s="188" t="s">
        <v>1246</v>
      </c>
      <c r="C170" s="189" t="s">
        <v>1271</v>
      </c>
      <c r="D170" s="190" t="s">
        <v>39</v>
      </c>
      <c r="E170" s="191"/>
      <c r="F170" s="192"/>
      <c r="G170" s="192"/>
      <c r="H170" s="191"/>
      <c r="I170" s="191">
        <v>1</v>
      </c>
      <c r="J170" s="216"/>
      <c r="K170" s="217">
        <f>IF(E170*F170*G170&lt;&gt;0,E170*F170*G170,IF(E170*F170&lt;&gt;0,E170*F170,IF(F170*G170&lt;&gt;0,F170*G170,IF(E170*G170&lt;&gt;0,E170*G170,IF(E170&lt;&gt;0,E170,IF(F170&lt;&gt;0,F170,IF(G170&lt;&gt;0,G170,0)))))))*(IF(H170&lt;&gt;0,H170,1))+I170-J170</f>
        <v>1</v>
      </c>
      <c r="L170" s="218"/>
    </row>
    <row r="171" spans="2:12">
      <c r="B171" s="197"/>
      <c r="C171" s="189"/>
      <c r="D171" s="198"/>
      <c r="E171" s="199"/>
      <c r="F171" s="199"/>
      <c r="G171" s="199"/>
      <c r="H171" s="199"/>
      <c r="I171" s="199"/>
      <c r="J171" s="219"/>
      <c r="K171" s="217">
        <f>IF(E171*F171*G171&lt;&gt;0,E171*F171*G171,IF(E171*F171&lt;&gt;0,E171*F171,IF(F171*G171&lt;&gt;0,F171*G171,IF(E171*G171&lt;&gt;0,E171*G171,IF(E171&lt;&gt;0,E171,IF(F171&lt;&gt;0,F171,IF(G171&lt;&gt;0,G171,0)))))))*(IF(H171&lt;&gt;0,H171,1))+I171-J171</f>
        <v>0</v>
      </c>
      <c r="L171" s="218"/>
    </row>
    <row r="172" spans="2:12">
      <c r="B172" s="202"/>
      <c r="C172" s="203"/>
      <c r="D172" s="203"/>
      <c r="E172" s="203"/>
      <c r="F172" s="203"/>
      <c r="G172" s="203"/>
      <c r="H172" s="204"/>
      <c r="I172" s="556" t="s">
        <v>1221</v>
      </c>
      <c r="J172" s="556"/>
      <c r="K172" s="220">
        <f>SUM(K169:K171)</f>
        <v>2</v>
      </c>
      <c r="L172" s="207"/>
    </row>
    <row r="173" spans="2:12">
      <c r="B173" s="208"/>
      <c r="C173" s="204"/>
      <c r="D173" s="204"/>
      <c r="E173" s="204"/>
      <c r="F173" s="204"/>
      <c r="G173" s="204"/>
      <c r="H173" s="209"/>
      <c r="I173" s="557" t="s">
        <v>1222</v>
      </c>
      <c r="J173" s="557"/>
      <c r="K173" s="221">
        <v>2</v>
      </c>
      <c r="L173" s="207"/>
    </row>
    <row r="174" spans="2:12">
      <c r="B174" s="208"/>
      <c r="C174" s="204"/>
      <c r="D174" s="204"/>
      <c r="E174" s="204"/>
      <c r="F174" s="204"/>
      <c r="G174" s="204"/>
      <c r="H174" s="558" t="s">
        <v>1223</v>
      </c>
      <c r="I174" s="558"/>
      <c r="J174" s="558"/>
      <c r="K174" s="222">
        <v>1</v>
      </c>
      <c r="L174" s="207"/>
    </row>
    <row r="175" spans="2:12">
      <c r="B175" s="208"/>
      <c r="C175" s="204"/>
      <c r="D175" s="204"/>
      <c r="E175" s="204"/>
      <c r="F175" s="204"/>
      <c r="G175" s="204"/>
      <c r="H175" s="558" t="s">
        <v>1199</v>
      </c>
      <c r="I175" s="558"/>
      <c r="J175" s="558"/>
      <c r="K175" s="222">
        <f>IF(K172&gt;K173,K173,K172)-K174</f>
        <v>1</v>
      </c>
      <c r="L175" s="207"/>
    </row>
    <row r="176" spans="2:12">
      <c r="B176" s="213"/>
      <c r="C176" s="214"/>
      <c r="D176" s="214"/>
      <c r="E176" s="214"/>
      <c r="F176" s="214"/>
      <c r="G176" s="214"/>
      <c r="H176" s="559" t="s">
        <v>1224</v>
      </c>
      <c r="I176" s="559"/>
      <c r="J176" s="559"/>
      <c r="K176" s="223">
        <f>IF(K172&gt;K173,K172-K173,0)</f>
        <v>0</v>
      </c>
      <c r="L176" s="209"/>
    </row>
    <row r="178" spans="2:12" ht="14.25" customHeight="1">
      <c r="B178" s="555" t="s">
        <v>1334</v>
      </c>
      <c r="C178" s="555"/>
      <c r="D178" s="555"/>
      <c r="E178" s="555"/>
      <c r="F178" s="555"/>
      <c r="G178" s="555"/>
      <c r="H178" s="555"/>
      <c r="I178" s="555"/>
      <c r="J178" s="555"/>
      <c r="K178" s="555"/>
      <c r="L178" s="555"/>
    </row>
    <row r="179" spans="2:12">
      <c r="B179" s="187" t="s">
        <v>1209</v>
      </c>
      <c r="C179" s="187"/>
      <c r="D179" s="187" t="s">
        <v>39</v>
      </c>
      <c r="E179" s="187" t="s">
        <v>1210</v>
      </c>
      <c r="F179" s="187" t="s">
        <v>1211</v>
      </c>
      <c r="G179" s="187" t="s">
        <v>1212</v>
      </c>
      <c r="H179" s="187" t="s">
        <v>1213</v>
      </c>
      <c r="I179" s="187" t="s">
        <v>1214</v>
      </c>
      <c r="J179" s="187" t="s">
        <v>1215</v>
      </c>
      <c r="K179" s="187" t="s">
        <v>1216</v>
      </c>
      <c r="L179" s="187" t="s">
        <v>1217</v>
      </c>
    </row>
    <row r="180" spans="2:12">
      <c r="B180" s="197" t="s">
        <v>1285</v>
      </c>
      <c r="C180" s="189" t="s">
        <v>1271</v>
      </c>
      <c r="D180" s="198" t="s">
        <v>1335</v>
      </c>
      <c r="E180" s="199">
        <v>1.9</v>
      </c>
      <c r="F180" s="199">
        <v>0.9</v>
      </c>
      <c r="G180" s="199"/>
      <c r="H180" s="199"/>
      <c r="I180" s="199"/>
      <c r="J180" s="219"/>
      <c r="K180" s="217">
        <f t="shared" ref="K180:K223" si="0">IF(E180*F180*G180&lt;&gt;0,E180*F180*G180,IF(E180*F180&lt;&gt;0,E180*F180,IF(F180*G180&lt;&gt;0,F180*G180,IF(E180*G180&lt;&gt;0,E180*G180,IF(E180&lt;&gt;0,E180,IF(F180&lt;&gt;0,F180,IF(G180&lt;&gt;0,G180,0)))))))*(IF(H180&lt;&gt;0,H180,1))+I180-J180</f>
        <v>1.71</v>
      </c>
      <c r="L180" s="218"/>
    </row>
    <row r="181" spans="2:12">
      <c r="B181" s="197" t="s">
        <v>1286</v>
      </c>
      <c r="C181" s="189" t="s">
        <v>1271</v>
      </c>
      <c r="D181" s="198" t="s">
        <v>1335</v>
      </c>
      <c r="E181" s="199">
        <v>2.2000000000000002</v>
      </c>
      <c r="F181" s="199">
        <v>2.2000000000000002</v>
      </c>
      <c r="G181" s="199"/>
      <c r="H181" s="199"/>
      <c r="I181" s="199"/>
      <c r="J181" s="219"/>
      <c r="K181" s="217">
        <f t="shared" si="0"/>
        <v>4.8400000000000007</v>
      </c>
      <c r="L181" s="218"/>
    </row>
    <row r="182" spans="2:12">
      <c r="B182" s="197" t="s">
        <v>1287</v>
      </c>
      <c r="C182" s="189" t="s">
        <v>1271</v>
      </c>
      <c r="D182" s="198" t="s">
        <v>1335</v>
      </c>
      <c r="E182" s="199">
        <v>2.2000000000000002</v>
      </c>
      <c r="F182" s="199">
        <v>2.2000000000000002</v>
      </c>
      <c r="G182" s="199"/>
      <c r="H182" s="199"/>
      <c r="I182" s="199"/>
      <c r="J182" s="219"/>
      <c r="K182" s="217">
        <f t="shared" si="0"/>
        <v>4.8400000000000007</v>
      </c>
      <c r="L182" s="218"/>
    </row>
    <row r="183" spans="2:12">
      <c r="B183" s="197" t="s">
        <v>1288</v>
      </c>
      <c r="C183" s="189" t="s">
        <v>1271</v>
      </c>
      <c r="D183" s="198" t="s">
        <v>1335</v>
      </c>
      <c r="E183" s="199">
        <v>1.9</v>
      </c>
      <c r="F183" s="199">
        <v>0.9</v>
      </c>
      <c r="G183" s="199"/>
      <c r="H183" s="199"/>
      <c r="I183" s="199"/>
      <c r="J183" s="219"/>
      <c r="K183" s="217">
        <f t="shared" si="0"/>
        <v>1.71</v>
      </c>
      <c r="L183" s="218"/>
    </row>
    <row r="184" spans="2:12">
      <c r="B184" s="197" t="s">
        <v>1289</v>
      </c>
      <c r="C184" s="189" t="s">
        <v>1271</v>
      </c>
      <c r="D184" s="198" t="s">
        <v>1335</v>
      </c>
      <c r="E184" s="199">
        <v>1</v>
      </c>
      <c r="F184" s="199">
        <v>1</v>
      </c>
      <c r="G184" s="199"/>
      <c r="H184" s="199"/>
      <c r="I184" s="199"/>
      <c r="J184" s="219"/>
      <c r="K184" s="217">
        <f t="shared" si="0"/>
        <v>1</v>
      </c>
      <c r="L184" s="218"/>
    </row>
    <row r="185" spans="2:12">
      <c r="B185" s="197" t="s">
        <v>1290</v>
      </c>
      <c r="C185" s="189" t="s">
        <v>1271</v>
      </c>
      <c r="D185" s="198" t="s">
        <v>1335</v>
      </c>
      <c r="E185" s="199"/>
      <c r="F185" s="199"/>
      <c r="G185" s="199"/>
      <c r="H185" s="199"/>
      <c r="I185" s="199">
        <v>3.29</v>
      </c>
      <c r="J185" s="219"/>
      <c r="K185" s="217">
        <f t="shared" si="0"/>
        <v>3.29</v>
      </c>
      <c r="L185" s="218"/>
    </row>
    <row r="186" spans="2:12">
      <c r="B186" s="197" t="s">
        <v>1291</v>
      </c>
      <c r="C186" s="189" t="s">
        <v>1271</v>
      </c>
      <c r="D186" s="198" t="s">
        <v>1335</v>
      </c>
      <c r="E186" s="199">
        <v>2.2000000000000002</v>
      </c>
      <c r="F186" s="199">
        <v>2.2000000000000002</v>
      </c>
      <c r="G186" s="199"/>
      <c r="H186" s="199"/>
      <c r="I186" s="199"/>
      <c r="J186" s="219"/>
      <c r="K186" s="217">
        <f t="shared" si="0"/>
        <v>4.8400000000000007</v>
      </c>
      <c r="L186" s="218"/>
    </row>
    <row r="187" spans="2:12">
      <c r="B187" s="197" t="s">
        <v>1292</v>
      </c>
      <c r="C187" s="189" t="s">
        <v>1271</v>
      </c>
      <c r="D187" s="198" t="s">
        <v>1335</v>
      </c>
      <c r="E187" s="199">
        <v>2.2000000000000002</v>
      </c>
      <c r="F187" s="199">
        <v>2.2000000000000002</v>
      </c>
      <c r="G187" s="199"/>
      <c r="H187" s="199"/>
      <c r="I187" s="199"/>
      <c r="J187" s="219"/>
      <c r="K187" s="217">
        <f t="shared" si="0"/>
        <v>4.8400000000000007</v>
      </c>
      <c r="L187" s="218"/>
    </row>
    <row r="188" spans="2:12">
      <c r="B188" s="197" t="s">
        <v>1293</v>
      </c>
      <c r="C188" s="189" t="s">
        <v>1271</v>
      </c>
      <c r="D188" s="198" t="s">
        <v>1335</v>
      </c>
      <c r="E188" s="199">
        <v>2.2000000000000002</v>
      </c>
      <c r="F188" s="199">
        <v>2.2000000000000002</v>
      </c>
      <c r="G188" s="199"/>
      <c r="H188" s="199"/>
      <c r="I188" s="199"/>
      <c r="J188" s="219"/>
      <c r="K188" s="217">
        <f t="shared" si="0"/>
        <v>4.8400000000000007</v>
      </c>
      <c r="L188" s="218"/>
    </row>
    <row r="189" spans="2:12">
      <c r="B189" s="197" t="s">
        <v>1294</v>
      </c>
      <c r="C189" s="189" t="s">
        <v>1271</v>
      </c>
      <c r="D189" s="198" t="s">
        <v>1335</v>
      </c>
      <c r="E189" s="199">
        <v>1</v>
      </c>
      <c r="F189" s="199">
        <v>1</v>
      </c>
      <c r="G189" s="199"/>
      <c r="H189" s="199"/>
      <c r="I189" s="199"/>
      <c r="J189" s="219"/>
      <c r="K189" s="217">
        <f t="shared" si="0"/>
        <v>1</v>
      </c>
      <c r="L189" s="218"/>
    </row>
    <row r="190" spans="2:12">
      <c r="B190" s="197" t="s">
        <v>1295</v>
      </c>
      <c r="C190" s="189" t="s">
        <v>1271</v>
      </c>
      <c r="D190" s="198" t="s">
        <v>1335</v>
      </c>
      <c r="E190" s="199"/>
      <c r="F190" s="199"/>
      <c r="G190" s="199"/>
      <c r="H190" s="199"/>
      <c r="I190" s="199">
        <v>3.29</v>
      </c>
      <c r="J190" s="219"/>
      <c r="K190" s="217">
        <f t="shared" si="0"/>
        <v>3.29</v>
      </c>
      <c r="L190" s="218"/>
    </row>
    <row r="191" spans="2:12">
      <c r="B191" s="197" t="s">
        <v>1336</v>
      </c>
      <c r="C191" s="189" t="s">
        <v>1271</v>
      </c>
      <c r="D191" s="198" t="s">
        <v>1335</v>
      </c>
      <c r="E191" s="199">
        <v>2.2000000000000002</v>
      </c>
      <c r="F191" s="199">
        <v>2.2000000000000002</v>
      </c>
      <c r="G191" s="199"/>
      <c r="H191" s="199"/>
      <c r="I191" s="199"/>
      <c r="J191" s="219"/>
      <c r="K191" s="217">
        <f t="shared" si="0"/>
        <v>4.8400000000000007</v>
      </c>
      <c r="L191" s="218"/>
    </row>
    <row r="192" spans="2:12">
      <c r="B192" s="197" t="s">
        <v>1337</v>
      </c>
      <c r="C192" s="189" t="s">
        <v>1271</v>
      </c>
      <c r="D192" s="198" t="s">
        <v>1335</v>
      </c>
      <c r="E192" s="199">
        <v>2.2000000000000002</v>
      </c>
      <c r="F192" s="199">
        <v>2.2000000000000002</v>
      </c>
      <c r="G192" s="199"/>
      <c r="H192" s="199"/>
      <c r="I192" s="199"/>
      <c r="J192" s="219"/>
      <c r="K192" s="217">
        <f t="shared" si="0"/>
        <v>4.8400000000000007</v>
      </c>
      <c r="L192" s="218"/>
    </row>
    <row r="193" spans="2:12">
      <c r="B193" s="197" t="s">
        <v>1338</v>
      </c>
      <c r="C193" s="189" t="s">
        <v>1271</v>
      </c>
      <c r="D193" s="198" t="s">
        <v>1335</v>
      </c>
      <c r="E193" s="199">
        <v>2.2000000000000002</v>
      </c>
      <c r="F193" s="199">
        <v>2.2000000000000002</v>
      </c>
      <c r="G193" s="199"/>
      <c r="H193" s="199"/>
      <c r="I193" s="199"/>
      <c r="J193" s="219"/>
      <c r="K193" s="217">
        <f t="shared" si="0"/>
        <v>4.8400000000000007</v>
      </c>
      <c r="L193" s="218"/>
    </row>
    <row r="194" spans="2:12">
      <c r="B194" s="197" t="s">
        <v>1339</v>
      </c>
      <c r="C194" s="189" t="s">
        <v>1271</v>
      </c>
      <c r="D194" s="198" t="s">
        <v>1335</v>
      </c>
      <c r="E194" s="199">
        <v>1</v>
      </c>
      <c r="F194" s="199">
        <v>1</v>
      </c>
      <c r="G194" s="199"/>
      <c r="H194" s="199"/>
      <c r="I194" s="199"/>
      <c r="J194" s="219"/>
      <c r="K194" s="217">
        <f t="shared" si="0"/>
        <v>1</v>
      </c>
      <c r="L194" s="218"/>
    </row>
    <row r="195" spans="2:12">
      <c r="B195" s="197" t="s">
        <v>1340</v>
      </c>
      <c r="C195" s="189" t="s">
        <v>1271</v>
      </c>
      <c r="D195" s="198" t="s">
        <v>1335</v>
      </c>
      <c r="E195" s="199">
        <v>1.9</v>
      </c>
      <c r="F195" s="199">
        <v>0.9</v>
      </c>
      <c r="G195" s="199"/>
      <c r="H195" s="199"/>
      <c r="I195" s="199"/>
      <c r="J195" s="219"/>
      <c r="K195" s="217">
        <f t="shared" si="0"/>
        <v>1.71</v>
      </c>
      <c r="L195" s="218"/>
    </row>
    <row r="196" spans="2:12">
      <c r="B196" s="197" t="s">
        <v>1296</v>
      </c>
      <c r="C196" s="189" t="s">
        <v>1271</v>
      </c>
      <c r="D196" s="198" t="s">
        <v>1335</v>
      </c>
      <c r="E196" s="199">
        <v>1.9</v>
      </c>
      <c r="F196" s="199">
        <v>0.9</v>
      </c>
      <c r="G196" s="199"/>
      <c r="H196" s="199"/>
      <c r="I196" s="199"/>
      <c r="J196" s="219"/>
      <c r="K196" s="217">
        <f t="shared" si="0"/>
        <v>1.71</v>
      </c>
      <c r="L196" s="218"/>
    </row>
    <row r="197" spans="2:12">
      <c r="B197" s="197" t="s">
        <v>1341</v>
      </c>
      <c r="C197" s="189" t="s">
        <v>1271</v>
      </c>
      <c r="D197" s="198" t="s">
        <v>1335</v>
      </c>
      <c r="E197" s="199"/>
      <c r="F197" s="199"/>
      <c r="G197" s="199"/>
      <c r="H197" s="199"/>
      <c r="I197" s="199">
        <v>3.29</v>
      </c>
      <c r="J197" s="219"/>
      <c r="K197" s="217">
        <f t="shared" si="0"/>
        <v>3.29</v>
      </c>
      <c r="L197" s="218"/>
    </row>
    <row r="198" spans="2:12">
      <c r="B198" s="197" t="s">
        <v>1342</v>
      </c>
      <c r="C198" s="189" t="s">
        <v>1333</v>
      </c>
      <c r="D198" s="198" t="s">
        <v>1335</v>
      </c>
      <c r="E198" s="199">
        <v>3.14</v>
      </c>
      <c r="F198" s="199">
        <v>3.14</v>
      </c>
      <c r="G198" s="199"/>
      <c r="H198" s="199"/>
      <c r="I198" s="199"/>
      <c r="J198" s="219"/>
      <c r="K198" s="217">
        <f t="shared" si="0"/>
        <v>9.8596000000000004</v>
      </c>
      <c r="L198" s="218"/>
    </row>
    <row r="199" spans="2:12">
      <c r="B199" s="197" t="s">
        <v>1343</v>
      </c>
      <c r="C199" s="189" t="s">
        <v>1333</v>
      </c>
      <c r="D199" s="198" t="s">
        <v>1335</v>
      </c>
      <c r="E199" s="199">
        <v>2.2000000000000002</v>
      </c>
      <c r="F199" s="199">
        <v>2.2000000000000002</v>
      </c>
      <c r="G199" s="199"/>
      <c r="H199" s="199"/>
      <c r="I199" s="199"/>
      <c r="J199" s="219"/>
      <c r="K199" s="217">
        <f t="shared" si="0"/>
        <v>4.8400000000000007</v>
      </c>
      <c r="L199" s="218"/>
    </row>
    <row r="200" spans="2:12">
      <c r="B200" s="197" t="s">
        <v>1297</v>
      </c>
      <c r="C200" s="189" t="s">
        <v>1333</v>
      </c>
      <c r="D200" s="198" t="s">
        <v>1335</v>
      </c>
      <c r="E200" s="199">
        <v>3.4</v>
      </c>
      <c r="F200" s="199">
        <v>1</v>
      </c>
      <c r="G200" s="199"/>
      <c r="H200" s="199"/>
      <c r="I200" s="199"/>
      <c r="J200" s="219"/>
      <c r="K200" s="217">
        <f t="shared" si="0"/>
        <v>3.4</v>
      </c>
      <c r="L200" s="218"/>
    </row>
    <row r="201" spans="2:12">
      <c r="B201" s="197" t="s">
        <v>1344</v>
      </c>
      <c r="C201" s="189" t="s">
        <v>1333</v>
      </c>
      <c r="D201" s="198" t="s">
        <v>1335</v>
      </c>
      <c r="E201" s="199">
        <v>2.2000000000000002</v>
      </c>
      <c r="F201" s="199">
        <v>2.2000000000000002</v>
      </c>
      <c r="G201" s="199"/>
      <c r="H201" s="199"/>
      <c r="I201" s="199"/>
      <c r="J201" s="219"/>
      <c r="K201" s="217">
        <f t="shared" si="0"/>
        <v>4.8400000000000007</v>
      </c>
      <c r="L201" s="218"/>
    </row>
    <row r="202" spans="2:12">
      <c r="B202" s="197" t="s">
        <v>1345</v>
      </c>
      <c r="C202" s="189" t="s">
        <v>1333</v>
      </c>
      <c r="D202" s="198" t="s">
        <v>1335</v>
      </c>
      <c r="E202" s="199">
        <v>2.2000000000000002</v>
      </c>
      <c r="F202" s="199">
        <v>2.2000000000000002</v>
      </c>
      <c r="G202" s="199"/>
      <c r="H202" s="199"/>
      <c r="I202" s="199"/>
      <c r="J202" s="219"/>
      <c r="K202" s="217">
        <f t="shared" si="0"/>
        <v>4.8400000000000007</v>
      </c>
      <c r="L202" s="218"/>
    </row>
    <row r="203" spans="2:12">
      <c r="B203" s="197" t="s">
        <v>1298</v>
      </c>
      <c r="C203" s="189" t="s">
        <v>1333</v>
      </c>
      <c r="D203" s="198" t="s">
        <v>1335</v>
      </c>
      <c r="E203" s="199">
        <v>3.4</v>
      </c>
      <c r="F203" s="199">
        <v>2.2000000000000002</v>
      </c>
      <c r="G203" s="199"/>
      <c r="H203" s="199"/>
      <c r="I203" s="199"/>
      <c r="J203" s="219"/>
      <c r="K203" s="217">
        <f t="shared" si="0"/>
        <v>7.48</v>
      </c>
      <c r="L203" s="218"/>
    </row>
    <row r="204" spans="2:12">
      <c r="B204" s="197" t="s">
        <v>1346</v>
      </c>
      <c r="C204" s="189" t="s">
        <v>1333</v>
      </c>
      <c r="D204" s="198" t="s">
        <v>1335</v>
      </c>
      <c r="E204" s="199">
        <v>2.2000000000000002</v>
      </c>
      <c r="F204" s="199">
        <v>2.2000000000000002</v>
      </c>
      <c r="G204" s="199"/>
      <c r="H204" s="199"/>
      <c r="I204" s="199"/>
      <c r="J204" s="219"/>
      <c r="K204" s="217">
        <f t="shared" si="0"/>
        <v>4.8400000000000007</v>
      </c>
      <c r="L204" s="218"/>
    </row>
    <row r="205" spans="2:12">
      <c r="B205" s="197" t="s">
        <v>1347</v>
      </c>
      <c r="C205" s="189" t="s">
        <v>1333</v>
      </c>
      <c r="D205" s="198" t="s">
        <v>1335</v>
      </c>
      <c r="E205" s="199"/>
      <c r="F205" s="199"/>
      <c r="G205" s="199"/>
      <c r="H205" s="199"/>
      <c r="I205" s="199">
        <v>3.29</v>
      </c>
      <c r="J205" s="219"/>
      <c r="K205" s="217">
        <f t="shared" si="0"/>
        <v>3.29</v>
      </c>
      <c r="L205" s="218"/>
    </row>
    <row r="206" spans="2:12">
      <c r="B206" s="197" t="s">
        <v>1348</v>
      </c>
      <c r="C206" s="189" t="s">
        <v>1333</v>
      </c>
      <c r="D206" s="198" t="s">
        <v>1335</v>
      </c>
      <c r="E206" s="199">
        <v>3.14</v>
      </c>
      <c r="F206" s="199">
        <v>3.14</v>
      </c>
      <c r="G206" s="199"/>
      <c r="H206" s="199"/>
      <c r="I206" s="199"/>
      <c r="J206" s="219"/>
      <c r="K206" s="217">
        <f t="shared" si="0"/>
        <v>9.8596000000000004</v>
      </c>
      <c r="L206" s="218"/>
    </row>
    <row r="207" spans="2:12">
      <c r="B207" s="197" t="s">
        <v>1349</v>
      </c>
      <c r="C207" s="189" t="s">
        <v>1333</v>
      </c>
      <c r="D207" s="198" t="s">
        <v>1335</v>
      </c>
      <c r="E207" s="199">
        <v>3.4</v>
      </c>
      <c r="F207" s="199">
        <v>2.2000000000000002</v>
      </c>
      <c r="G207" s="199"/>
      <c r="H207" s="199"/>
      <c r="I207" s="199"/>
      <c r="J207" s="219"/>
      <c r="K207" s="217">
        <f t="shared" si="0"/>
        <v>7.48</v>
      </c>
      <c r="L207" s="218"/>
    </row>
    <row r="208" spans="2:12">
      <c r="B208" s="197" t="s">
        <v>1350</v>
      </c>
      <c r="C208" s="189" t="s">
        <v>1333</v>
      </c>
      <c r="D208" s="198" t="s">
        <v>1335</v>
      </c>
      <c r="E208" s="199">
        <v>3.4</v>
      </c>
      <c r="F208" s="199">
        <v>2.2000000000000002</v>
      </c>
      <c r="G208" s="199"/>
      <c r="H208" s="199"/>
      <c r="I208" s="199"/>
      <c r="J208" s="219"/>
      <c r="K208" s="217">
        <f t="shared" si="0"/>
        <v>7.48</v>
      </c>
      <c r="L208" s="218"/>
    </row>
    <row r="209" spans="2:12">
      <c r="B209" s="197" t="s">
        <v>1351</v>
      </c>
      <c r="C209" s="189" t="s">
        <v>1333</v>
      </c>
      <c r="D209" s="198" t="s">
        <v>1335</v>
      </c>
      <c r="E209" s="199">
        <v>2.2000000000000002</v>
      </c>
      <c r="F209" s="199">
        <v>2.2000000000000002</v>
      </c>
      <c r="G209" s="199"/>
      <c r="H209" s="199"/>
      <c r="I209" s="199"/>
      <c r="J209" s="219"/>
      <c r="K209" s="217">
        <f t="shared" si="0"/>
        <v>4.8400000000000007</v>
      </c>
      <c r="L209" s="218"/>
    </row>
    <row r="210" spans="2:12">
      <c r="B210" s="197" t="s">
        <v>1352</v>
      </c>
      <c r="C210" s="189" t="s">
        <v>1333</v>
      </c>
      <c r="D210" s="198" t="s">
        <v>1335</v>
      </c>
      <c r="E210" s="199">
        <v>1</v>
      </c>
      <c r="F210" s="199">
        <v>1</v>
      </c>
      <c r="G210" s="199"/>
      <c r="H210" s="199"/>
      <c r="I210" s="199"/>
      <c r="J210" s="219"/>
      <c r="K210" s="217">
        <f t="shared" si="0"/>
        <v>1</v>
      </c>
      <c r="L210" s="218"/>
    </row>
    <row r="211" spans="2:12">
      <c r="B211" s="197" t="s">
        <v>1353</v>
      </c>
      <c r="C211" s="189" t="s">
        <v>1333</v>
      </c>
      <c r="D211" s="198" t="s">
        <v>1335</v>
      </c>
      <c r="E211" s="199">
        <v>1</v>
      </c>
      <c r="F211" s="199">
        <v>1</v>
      </c>
      <c r="G211" s="199"/>
      <c r="H211" s="199"/>
      <c r="I211" s="199"/>
      <c r="J211" s="219"/>
      <c r="K211" s="217">
        <f t="shared" si="0"/>
        <v>1</v>
      </c>
      <c r="L211" s="218"/>
    </row>
    <row r="212" spans="2:12">
      <c r="B212" s="197" t="s">
        <v>1354</v>
      </c>
      <c r="C212" s="189" t="s">
        <v>1333</v>
      </c>
      <c r="D212" s="198" t="s">
        <v>1335</v>
      </c>
      <c r="E212" s="199">
        <v>1</v>
      </c>
      <c r="F212" s="199">
        <v>1</v>
      </c>
      <c r="G212" s="199"/>
      <c r="H212" s="199"/>
      <c r="I212" s="199"/>
      <c r="J212" s="219"/>
      <c r="K212" s="217">
        <f t="shared" si="0"/>
        <v>1</v>
      </c>
      <c r="L212" s="218"/>
    </row>
    <row r="213" spans="2:12">
      <c r="B213" s="197" t="s">
        <v>1355</v>
      </c>
      <c r="C213" s="189" t="s">
        <v>1333</v>
      </c>
      <c r="D213" s="198" t="s">
        <v>1335</v>
      </c>
      <c r="E213" s="199">
        <v>1</v>
      </c>
      <c r="F213" s="199">
        <v>1</v>
      </c>
      <c r="G213" s="199"/>
      <c r="H213" s="199"/>
      <c r="I213" s="199"/>
      <c r="J213" s="219"/>
      <c r="K213" s="217">
        <f t="shared" si="0"/>
        <v>1</v>
      </c>
      <c r="L213" s="218"/>
    </row>
    <row r="214" spans="2:12">
      <c r="B214" s="197" t="s">
        <v>1356</v>
      </c>
      <c r="C214" s="189" t="s">
        <v>1333</v>
      </c>
      <c r="D214" s="198" t="s">
        <v>1335</v>
      </c>
      <c r="E214" s="199">
        <v>2.2000000000000002</v>
      </c>
      <c r="F214" s="199">
        <v>2.2000000000000002</v>
      </c>
      <c r="G214" s="199"/>
      <c r="H214" s="199"/>
      <c r="I214" s="199"/>
      <c r="J214" s="219"/>
      <c r="K214" s="217">
        <f t="shared" si="0"/>
        <v>4.8400000000000007</v>
      </c>
      <c r="L214" s="218"/>
    </row>
    <row r="215" spans="2:12">
      <c r="B215" s="197" t="s">
        <v>1357</v>
      </c>
      <c r="C215" s="189" t="s">
        <v>1333</v>
      </c>
      <c r="D215" s="198" t="s">
        <v>1335</v>
      </c>
      <c r="E215" s="199">
        <v>2.2000000000000002</v>
      </c>
      <c r="F215" s="199">
        <v>2.2000000000000002</v>
      </c>
      <c r="G215" s="199"/>
      <c r="H215" s="199"/>
      <c r="I215" s="199"/>
      <c r="J215" s="219"/>
      <c r="K215" s="217">
        <f t="shared" si="0"/>
        <v>4.8400000000000007</v>
      </c>
      <c r="L215" s="218"/>
    </row>
    <row r="216" spans="2:12">
      <c r="B216" s="197" t="s">
        <v>1358</v>
      </c>
      <c r="C216" s="189" t="s">
        <v>1333</v>
      </c>
      <c r="D216" s="198" t="s">
        <v>1335</v>
      </c>
      <c r="E216" s="199">
        <v>2.2000000000000002</v>
      </c>
      <c r="F216" s="199">
        <v>2.2000000000000002</v>
      </c>
      <c r="G216" s="199"/>
      <c r="H216" s="199"/>
      <c r="I216" s="199"/>
      <c r="J216" s="219"/>
      <c r="K216" s="217">
        <f t="shared" si="0"/>
        <v>4.8400000000000007</v>
      </c>
      <c r="L216" s="218"/>
    </row>
    <row r="217" spans="2:12">
      <c r="B217" s="197" t="s">
        <v>1359</v>
      </c>
      <c r="C217" s="189" t="s">
        <v>1333</v>
      </c>
      <c r="D217" s="198" t="s">
        <v>1335</v>
      </c>
      <c r="E217" s="199">
        <v>2.2000000000000002</v>
      </c>
      <c r="F217" s="199">
        <v>2.2000000000000002</v>
      </c>
      <c r="G217" s="199"/>
      <c r="H217" s="199"/>
      <c r="I217" s="199"/>
      <c r="J217" s="219"/>
      <c r="K217" s="217">
        <f t="shared" si="0"/>
        <v>4.8400000000000007</v>
      </c>
      <c r="L217" s="218"/>
    </row>
    <row r="218" spans="2:12">
      <c r="B218" s="197" t="s">
        <v>1360</v>
      </c>
      <c r="C218" s="189" t="s">
        <v>1333</v>
      </c>
      <c r="D218" s="198" t="s">
        <v>1335</v>
      </c>
      <c r="E218" s="199">
        <v>1</v>
      </c>
      <c r="F218" s="199">
        <v>1</v>
      </c>
      <c r="G218" s="199"/>
      <c r="H218" s="199"/>
      <c r="I218" s="199"/>
      <c r="J218" s="219"/>
      <c r="K218" s="217">
        <f t="shared" si="0"/>
        <v>1</v>
      </c>
      <c r="L218" s="218"/>
    </row>
    <row r="219" spans="2:12">
      <c r="B219" s="197" t="s">
        <v>1361</v>
      </c>
      <c r="C219" s="189" t="s">
        <v>1333</v>
      </c>
      <c r="D219" s="198" t="s">
        <v>1335</v>
      </c>
      <c r="E219" s="199">
        <v>1</v>
      </c>
      <c r="F219" s="199">
        <v>1</v>
      </c>
      <c r="G219" s="199"/>
      <c r="H219" s="199"/>
      <c r="I219" s="199"/>
      <c r="J219" s="219"/>
      <c r="K219" s="217">
        <f t="shared" si="0"/>
        <v>1</v>
      </c>
      <c r="L219" s="218"/>
    </row>
    <row r="220" spans="2:12">
      <c r="B220" s="197" t="s">
        <v>1362</v>
      </c>
      <c r="C220" s="189" t="s">
        <v>1333</v>
      </c>
      <c r="D220" s="198" t="s">
        <v>1335</v>
      </c>
      <c r="E220" s="199">
        <v>2.2000000000000002</v>
      </c>
      <c r="F220" s="199">
        <v>2.2000000000000002</v>
      </c>
      <c r="G220" s="199"/>
      <c r="H220" s="199"/>
      <c r="I220" s="199"/>
      <c r="J220" s="219"/>
      <c r="K220" s="217">
        <f t="shared" si="0"/>
        <v>4.8400000000000007</v>
      </c>
      <c r="L220" s="218"/>
    </row>
    <row r="221" spans="2:12">
      <c r="B221" s="197" t="s">
        <v>1363</v>
      </c>
      <c r="C221" s="189" t="s">
        <v>1333</v>
      </c>
      <c r="D221" s="198" t="s">
        <v>1335</v>
      </c>
      <c r="E221" s="199">
        <v>2.2000000000000002</v>
      </c>
      <c r="F221" s="199">
        <v>2.2000000000000002</v>
      </c>
      <c r="G221" s="199"/>
      <c r="H221" s="199"/>
      <c r="I221" s="199"/>
      <c r="J221" s="219"/>
      <c r="K221" s="217">
        <f t="shared" si="0"/>
        <v>4.8400000000000007</v>
      </c>
      <c r="L221" s="218"/>
    </row>
    <row r="222" spans="2:12">
      <c r="B222" s="197" t="s">
        <v>1364</v>
      </c>
      <c r="C222" s="189" t="s">
        <v>1333</v>
      </c>
      <c r="D222" s="198" t="s">
        <v>1335</v>
      </c>
      <c r="E222" s="199">
        <v>1.9</v>
      </c>
      <c r="F222" s="199">
        <v>0.9</v>
      </c>
      <c r="G222" s="199"/>
      <c r="H222" s="199"/>
      <c r="I222" s="199"/>
      <c r="J222" s="219"/>
      <c r="K222" s="217">
        <f t="shared" si="0"/>
        <v>1.71</v>
      </c>
      <c r="L222" s="218"/>
    </row>
    <row r="223" spans="2:12">
      <c r="B223" s="197"/>
      <c r="C223" s="189"/>
      <c r="D223" s="198"/>
      <c r="E223" s="199"/>
      <c r="F223" s="199"/>
      <c r="G223" s="199"/>
      <c r="H223" s="199"/>
      <c r="I223" s="199"/>
      <c r="J223" s="219"/>
      <c r="K223" s="217">
        <f t="shared" si="0"/>
        <v>0</v>
      </c>
      <c r="L223" s="218"/>
    </row>
    <row r="224" spans="2:12">
      <c r="B224" s="202"/>
      <c r="C224" s="203"/>
      <c r="D224" s="203"/>
      <c r="E224" s="203"/>
      <c r="F224" s="203"/>
      <c r="G224" s="203"/>
      <c r="H224" s="204"/>
      <c r="I224" s="556" t="s">
        <v>1221</v>
      </c>
      <c r="J224" s="556"/>
      <c r="K224" s="220">
        <f>SUM(K180:K223)</f>
        <v>168.22920000000008</v>
      </c>
      <c r="L224" s="207"/>
    </row>
    <row r="225" spans="2:12">
      <c r="B225" s="208"/>
      <c r="C225" s="204"/>
      <c r="D225" s="204"/>
      <c r="E225" s="204"/>
      <c r="F225" s="204"/>
      <c r="G225" s="204"/>
      <c r="H225" s="209"/>
      <c r="I225" s="557" t="s">
        <v>1222</v>
      </c>
      <c r="J225" s="557"/>
      <c r="K225" s="221">
        <v>213.07</v>
      </c>
      <c r="L225" s="207"/>
    </row>
    <row r="226" spans="2:12">
      <c r="B226" s="208"/>
      <c r="C226" s="204"/>
      <c r="D226" s="204"/>
      <c r="E226" s="204"/>
      <c r="F226" s="204"/>
      <c r="G226" s="204"/>
      <c r="H226" s="558" t="s">
        <v>1223</v>
      </c>
      <c r="I226" s="558"/>
      <c r="J226" s="558"/>
      <c r="K226" s="222">
        <v>77.040000000000006</v>
      </c>
      <c r="L226" s="207"/>
    </row>
    <row r="227" spans="2:12">
      <c r="B227" s="208"/>
      <c r="C227" s="204"/>
      <c r="D227" s="204"/>
      <c r="E227" s="204"/>
      <c r="F227" s="204"/>
      <c r="G227" s="204"/>
      <c r="H227" s="558" t="s">
        <v>1250</v>
      </c>
      <c r="I227" s="558"/>
      <c r="J227" s="558"/>
      <c r="K227" s="222">
        <f>IF(K224&gt;K225,K225,K224)-K226</f>
        <v>91.189200000000071</v>
      </c>
      <c r="L227" s="207"/>
    </row>
    <row r="228" spans="2:12">
      <c r="B228" s="213"/>
      <c r="C228" s="214"/>
      <c r="D228" s="214"/>
      <c r="E228" s="214"/>
      <c r="F228" s="214"/>
      <c r="G228" s="214"/>
      <c r="H228" s="559" t="s">
        <v>1224</v>
      </c>
      <c r="I228" s="559"/>
      <c r="J228" s="559"/>
      <c r="K228" s="223">
        <f>IF(K224&gt;K225,K224-K225,0)</f>
        <v>0</v>
      </c>
      <c r="L228" s="209"/>
    </row>
    <row r="230" spans="2:12" ht="14.25" customHeight="1">
      <c r="B230" s="555" t="s">
        <v>1272</v>
      </c>
      <c r="C230" s="555"/>
      <c r="D230" s="555"/>
      <c r="E230" s="555"/>
      <c r="F230" s="555"/>
      <c r="G230" s="555"/>
      <c r="H230" s="555"/>
      <c r="I230" s="555"/>
      <c r="J230" s="555"/>
      <c r="K230" s="555"/>
      <c r="L230" s="555"/>
    </row>
    <row r="231" spans="2:12">
      <c r="B231" s="187" t="s">
        <v>1209</v>
      </c>
      <c r="C231" s="187"/>
      <c r="D231" s="187" t="s">
        <v>39</v>
      </c>
      <c r="E231" s="187" t="s">
        <v>1210</v>
      </c>
      <c r="F231" s="187" t="s">
        <v>1211</v>
      </c>
      <c r="G231" s="187" t="s">
        <v>1212</v>
      </c>
      <c r="H231" s="187" t="s">
        <v>1213</v>
      </c>
      <c r="I231" s="187" t="s">
        <v>1214</v>
      </c>
      <c r="J231" s="187" t="s">
        <v>1215</v>
      </c>
      <c r="K231" s="187" t="s">
        <v>1216</v>
      </c>
      <c r="L231" s="187" t="s">
        <v>1217</v>
      </c>
    </row>
    <row r="232" spans="2:12">
      <c r="B232" s="188" t="s">
        <v>1273</v>
      </c>
      <c r="C232" s="189" t="s">
        <v>1271</v>
      </c>
      <c r="D232" s="190" t="s">
        <v>1274</v>
      </c>
      <c r="E232" s="191">
        <v>1014</v>
      </c>
      <c r="F232" s="243">
        <v>0.154</v>
      </c>
      <c r="G232" s="192">
        <v>1.1000000000000001</v>
      </c>
      <c r="H232" s="191"/>
      <c r="I232" s="191"/>
      <c r="J232" s="216"/>
      <c r="K232" s="217">
        <f>IF(E232*F232*G232&lt;&gt;0,E232*F232*G232,IF(E232*F232&lt;&gt;0,E232*F232,IF(F232*G232&lt;&gt;0,F232*G232,IF(E232*G232&lt;&gt;0,E232*G232,IF(E232&lt;&gt;0,E232,IF(F232&lt;&gt;0,F232,IF(G232&lt;&gt;0,G232,0)))))))*(IF(H232&lt;&gt;0,H232,1))+I232-J232</f>
        <v>171.77160000000001</v>
      </c>
      <c r="L232" s="218"/>
    </row>
    <row r="233" spans="2:12">
      <c r="B233" s="188" t="s">
        <v>1275</v>
      </c>
      <c r="C233" s="189" t="s">
        <v>1333</v>
      </c>
      <c r="D233" s="190" t="s">
        <v>1274</v>
      </c>
      <c r="E233" s="191"/>
      <c r="F233" s="243"/>
      <c r="G233" s="192"/>
      <c r="H233" s="191"/>
      <c r="I233" s="191"/>
      <c r="J233" s="216"/>
      <c r="K233" s="217">
        <f>IF(E233*F233*G233&lt;&gt;0,E233*F233*G233,IF(E233*F233&lt;&gt;0,E233*F233,IF(F233*G233&lt;&gt;0,F233*G233,IF(E233*G233&lt;&gt;0,E233*G233,IF(E233&lt;&gt;0,E233,IF(F233&lt;&gt;0,F233,IF(G233&lt;&gt;0,G233,0)))))))*(IF(H233&lt;&gt;0,H233,1))+I233-J233</f>
        <v>0</v>
      </c>
      <c r="L233" s="218"/>
    </row>
    <row r="234" spans="2:12">
      <c r="B234" s="197"/>
      <c r="C234" s="189"/>
      <c r="D234" s="198"/>
      <c r="E234" s="199"/>
      <c r="F234" s="244"/>
      <c r="G234" s="199"/>
      <c r="H234" s="199"/>
      <c r="I234" s="199"/>
      <c r="J234" s="219"/>
      <c r="K234" s="217">
        <f>IF(E234*F234*G234&lt;&gt;0,E234*F234*G234,IF(E234*F234&lt;&gt;0,E234*F234,IF(F234*G234&lt;&gt;0,F234*G234,IF(E234*G234&lt;&gt;0,E234*G234,IF(E234&lt;&gt;0,E234,IF(F234&lt;&gt;0,F234,IF(G234&lt;&gt;0,G234,0)))))))*(IF(H234&lt;&gt;0,H234,1))+I234-J234</f>
        <v>0</v>
      </c>
      <c r="L234" s="218"/>
    </row>
    <row r="235" spans="2:12">
      <c r="B235" s="202"/>
      <c r="C235" s="203"/>
      <c r="D235" s="203"/>
      <c r="E235" s="203"/>
      <c r="F235" s="203"/>
      <c r="G235" s="203"/>
      <c r="H235" s="204"/>
      <c r="I235" s="556" t="s">
        <v>1221</v>
      </c>
      <c r="J235" s="556"/>
      <c r="K235" s="220">
        <f>SUM(K232:K234)</f>
        <v>171.77160000000001</v>
      </c>
      <c r="L235" s="207"/>
    </row>
    <row r="236" spans="2:12">
      <c r="B236" s="208"/>
      <c r="C236" s="204"/>
      <c r="D236" s="204"/>
      <c r="E236" s="204"/>
      <c r="F236" s="204"/>
      <c r="G236" s="204"/>
      <c r="H236" s="209"/>
      <c r="I236" s="557" t="s">
        <v>1222</v>
      </c>
      <c r="J236" s="557"/>
      <c r="K236" s="221">
        <v>190.3</v>
      </c>
      <c r="L236" s="207"/>
    </row>
    <row r="237" spans="2:12">
      <c r="B237" s="208"/>
      <c r="C237" s="204"/>
      <c r="D237" s="204"/>
      <c r="E237" s="204"/>
      <c r="F237" s="204"/>
      <c r="G237" s="204"/>
      <c r="H237" s="558" t="s">
        <v>1223</v>
      </c>
      <c r="I237" s="558"/>
      <c r="J237" s="558"/>
      <c r="K237" s="222">
        <v>171.77160000000001</v>
      </c>
      <c r="L237" s="207"/>
    </row>
    <row r="238" spans="2:12">
      <c r="B238" s="208"/>
      <c r="C238" s="204"/>
      <c r="D238" s="204"/>
      <c r="E238" s="204"/>
      <c r="F238" s="204"/>
      <c r="G238" s="204"/>
      <c r="H238" s="558" t="s">
        <v>1250</v>
      </c>
      <c r="I238" s="558"/>
      <c r="J238" s="558"/>
      <c r="K238" s="222">
        <f>IF(K235&gt;K236,K236,K235)-K237</f>
        <v>0</v>
      </c>
      <c r="L238" s="207"/>
    </row>
    <row r="239" spans="2:12">
      <c r="B239" s="213"/>
      <c r="C239" s="214"/>
      <c r="D239" s="214"/>
      <c r="E239" s="214"/>
      <c r="F239" s="214"/>
      <c r="G239" s="214"/>
      <c r="H239" s="559" t="s">
        <v>1224</v>
      </c>
      <c r="I239" s="559"/>
      <c r="J239" s="559"/>
      <c r="K239" s="223">
        <f>IF(K235&gt;K236,K235-K236,0)</f>
        <v>0</v>
      </c>
      <c r="L239" s="209"/>
    </row>
    <row r="241" spans="2:12" ht="14.25" customHeight="1">
      <c r="B241" s="555" t="s">
        <v>1276</v>
      </c>
      <c r="C241" s="555"/>
      <c r="D241" s="555"/>
      <c r="E241" s="555"/>
      <c r="F241" s="555"/>
      <c r="G241" s="555"/>
      <c r="H241" s="555"/>
      <c r="I241" s="555"/>
      <c r="J241" s="555"/>
      <c r="K241" s="555"/>
      <c r="L241" s="555"/>
    </row>
    <row r="242" spans="2:12">
      <c r="B242" s="187" t="s">
        <v>1209</v>
      </c>
      <c r="C242" s="187"/>
      <c r="D242" s="187" t="s">
        <v>39</v>
      </c>
      <c r="E242" s="187" t="s">
        <v>1210</v>
      </c>
      <c r="F242" s="187" t="s">
        <v>1211</v>
      </c>
      <c r="G242" s="187" t="s">
        <v>1212</v>
      </c>
      <c r="H242" s="187" t="s">
        <v>1213</v>
      </c>
      <c r="I242" s="187" t="s">
        <v>1214</v>
      </c>
      <c r="J242" s="187" t="s">
        <v>1215</v>
      </c>
      <c r="K242" s="187" t="s">
        <v>1216</v>
      </c>
      <c r="L242" s="187" t="s">
        <v>1217</v>
      </c>
    </row>
    <row r="243" spans="2:12">
      <c r="B243" s="188" t="s">
        <v>1273</v>
      </c>
      <c r="C243" s="189" t="s">
        <v>1271</v>
      </c>
      <c r="D243" s="190" t="s">
        <v>1274</v>
      </c>
      <c r="E243" s="191">
        <v>333</v>
      </c>
      <c r="F243" s="243">
        <v>0.245</v>
      </c>
      <c r="G243" s="192">
        <v>1.1000000000000001</v>
      </c>
      <c r="H243" s="191"/>
      <c r="I243" s="191"/>
      <c r="J243" s="216"/>
      <c r="K243" s="217">
        <f>IF(E243*F243*G243&lt;&gt;0,E243*F243*G243,IF(E243*F243&lt;&gt;0,E243*F243,IF(F243*G243&lt;&gt;0,F243*G243,IF(E243*G243&lt;&gt;0,E243*G243,IF(E243&lt;&gt;0,E243,IF(F243&lt;&gt;0,F243,IF(G243&lt;&gt;0,G243,0)))))))*(IF(H243&lt;&gt;0,H243,1))+I243-J243</f>
        <v>89.743499999999997</v>
      </c>
      <c r="L243" s="218"/>
    </row>
    <row r="244" spans="2:12">
      <c r="B244" s="188" t="s">
        <v>1275</v>
      </c>
      <c r="C244" s="189" t="s">
        <v>1333</v>
      </c>
      <c r="D244" s="190" t="s">
        <v>1274</v>
      </c>
      <c r="E244" s="191">
        <v>411</v>
      </c>
      <c r="F244" s="243">
        <v>0.245</v>
      </c>
      <c r="G244" s="192">
        <v>1.1000000000000001</v>
      </c>
      <c r="H244" s="191"/>
      <c r="I244" s="191"/>
      <c r="J244" s="216"/>
      <c r="K244" s="217">
        <f>IF(E244*F244*G244&lt;&gt;0,E244*F244*G244,IF(E244*F244&lt;&gt;0,E244*F244,IF(F244*G244&lt;&gt;0,F244*G244,IF(E244*G244&lt;&gt;0,E244*G244,IF(E244&lt;&gt;0,E244,IF(F244&lt;&gt;0,F244,IF(G244&lt;&gt;0,G244,0)))))))*(IF(H244&lt;&gt;0,H244,1))+I244-J244</f>
        <v>110.7645</v>
      </c>
      <c r="L244" s="218"/>
    </row>
    <row r="245" spans="2:12">
      <c r="B245" s="197"/>
      <c r="C245" s="189"/>
      <c r="D245" s="198"/>
      <c r="E245" s="199"/>
      <c r="F245" s="199"/>
      <c r="G245" s="199"/>
      <c r="H245" s="199"/>
      <c r="I245" s="199"/>
      <c r="J245" s="219"/>
      <c r="K245" s="217">
        <f>IF(E245*F245*G245&lt;&gt;0,E245*F245*G245,IF(E245*F245&lt;&gt;0,E245*F245,IF(F245*G245&lt;&gt;0,F245*G245,IF(E245*G245&lt;&gt;0,E245*G245,IF(E245&lt;&gt;0,E245,IF(F245&lt;&gt;0,F245,IF(G245&lt;&gt;0,G245,0)))))))*(IF(H245&lt;&gt;0,H245,1))+I245-J245</f>
        <v>0</v>
      </c>
      <c r="L245" s="218"/>
    </row>
    <row r="246" spans="2:12">
      <c r="B246" s="202"/>
      <c r="C246" s="203"/>
      <c r="D246" s="203"/>
      <c r="E246" s="203"/>
      <c r="F246" s="203"/>
      <c r="G246" s="203"/>
      <c r="H246" s="204"/>
      <c r="I246" s="556" t="s">
        <v>1221</v>
      </c>
      <c r="J246" s="556"/>
      <c r="K246" s="220">
        <f>SUM(K243:K245)</f>
        <v>200.50799999999998</v>
      </c>
      <c r="L246" s="207"/>
    </row>
    <row r="247" spans="2:12">
      <c r="B247" s="208"/>
      <c r="C247" s="204"/>
      <c r="D247" s="204"/>
      <c r="E247" s="204"/>
      <c r="F247" s="204"/>
      <c r="G247" s="204"/>
      <c r="H247" s="209"/>
      <c r="I247" s="557" t="s">
        <v>1222</v>
      </c>
      <c r="J247" s="557"/>
      <c r="K247" s="221">
        <v>77</v>
      </c>
      <c r="L247" s="207"/>
    </row>
    <row r="248" spans="2:12">
      <c r="B248" s="208"/>
      <c r="C248" s="204"/>
      <c r="D248" s="204"/>
      <c r="E248" s="204"/>
      <c r="F248" s="204"/>
      <c r="G248" s="204"/>
      <c r="H248" s="558" t="s">
        <v>1223</v>
      </c>
      <c r="I248" s="558"/>
      <c r="J248" s="558"/>
      <c r="K248" s="222">
        <v>77</v>
      </c>
      <c r="L248" s="207"/>
    </row>
    <row r="249" spans="2:12">
      <c r="B249" s="208"/>
      <c r="C249" s="204"/>
      <c r="D249" s="204"/>
      <c r="E249" s="204"/>
      <c r="F249" s="204"/>
      <c r="G249" s="204"/>
      <c r="H249" s="558" t="s">
        <v>1250</v>
      </c>
      <c r="I249" s="558"/>
      <c r="J249" s="558"/>
      <c r="K249" s="222">
        <f>IF(K246&gt;K247,K247,K246)-K248</f>
        <v>0</v>
      </c>
      <c r="L249" s="207"/>
    </row>
    <row r="250" spans="2:12">
      <c r="B250" s="213"/>
      <c r="C250" s="214"/>
      <c r="D250" s="214"/>
      <c r="E250" s="214"/>
      <c r="F250" s="214"/>
      <c r="G250" s="214"/>
      <c r="H250" s="559" t="s">
        <v>1224</v>
      </c>
      <c r="I250" s="559"/>
      <c r="J250" s="559"/>
      <c r="K250" s="223">
        <f>IF(K246&gt;K247,K246-K247,0)</f>
        <v>123.50799999999998</v>
      </c>
      <c r="L250" s="209"/>
    </row>
    <row r="252" spans="2:12" ht="14.25" customHeight="1">
      <c r="B252" s="555" t="s">
        <v>1277</v>
      </c>
      <c r="C252" s="555"/>
      <c r="D252" s="555"/>
      <c r="E252" s="555"/>
      <c r="F252" s="555"/>
      <c r="G252" s="555"/>
      <c r="H252" s="555"/>
      <c r="I252" s="555"/>
      <c r="J252" s="555"/>
      <c r="K252" s="555"/>
      <c r="L252" s="555"/>
    </row>
    <row r="253" spans="2:12">
      <c r="B253" s="187" t="s">
        <v>1209</v>
      </c>
      <c r="C253" s="187"/>
      <c r="D253" s="187" t="s">
        <v>39</v>
      </c>
      <c r="E253" s="187" t="s">
        <v>1210</v>
      </c>
      <c r="F253" s="187" t="s">
        <v>1211</v>
      </c>
      <c r="G253" s="187" t="s">
        <v>1212</v>
      </c>
      <c r="H253" s="187" t="s">
        <v>1213</v>
      </c>
      <c r="I253" s="187" t="s">
        <v>1214</v>
      </c>
      <c r="J253" s="187" t="s">
        <v>1215</v>
      </c>
      <c r="K253" s="187" t="s">
        <v>1216</v>
      </c>
      <c r="L253" s="187" t="s">
        <v>1217</v>
      </c>
    </row>
    <row r="254" spans="2:12">
      <c r="B254" s="188" t="s">
        <v>1273</v>
      </c>
      <c r="C254" s="189" t="s">
        <v>1271</v>
      </c>
      <c r="D254" s="190" t="s">
        <v>1274</v>
      </c>
      <c r="E254" s="191">
        <v>938</v>
      </c>
      <c r="F254" s="243">
        <v>0.39500000000000002</v>
      </c>
      <c r="G254" s="192">
        <v>1.1000000000000001</v>
      </c>
      <c r="H254" s="191"/>
      <c r="I254" s="191"/>
      <c r="J254" s="216"/>
      <c r="K254" s="217">
        <f>IF(E254*F254*G254&lt;&gt;0,E254*F254*G254,IF(E254*F254&lt;&gt;0,E254*F254,IF(F254*G254&lt;&gt;0,F254*G254,IF(E254*G254&lt;&gt;0,E254*G254,IF(E254&lt;&gt;0,E254,IF(F254&lt;&gt;0,F254,IF(G254&lt;&gt;0,G254,0)))))))*(IF(H254&lt;&gt;0,H254,1))+I254-J254</f>
        <v>407.56100000000004</v>
      </c>
      <c r="L254" s="218"/>
    </row>
    <row r="255" spans="2:12">
      <c r="B255" s="188" t="s">
        <v>1275</v>
      </c>
      <c r="C255" s="189" t="s">
        <v>1333</v>
      </c>
      <c r="D255" s="190" t="s">
        <v>1274</v>
      </c>
      <c r="E255" s="191">
        <v>197</v>
      </c>
      <c r="F255" s="243">
        <v>0.39500000000000002</v>
      </c>
      <c r="G255" s="192">
        <v>1.1000000000000001</v>
      </c>
      <c r="H255" s="191"/>
      <c r="I255" s="191"/>
      <c r="J255" s="216"/>
      <c r="K255" s="217">
        <f>IF(E255*F255*G255&lt;&gt;0,E255*F255*G255,IF(E255*F255&lt;&gt;0,E255*F255,IF(F255*G255&lt;&gt;0,F255*G255,IF(E255*G255&lt;&gt;0,E255*G255,IF(E255&lt;&gt;0,E255,IF(F255&lt;&gt;0,F255,IF(G255&lt;&gt;0,G255,0)))))))*(IF(H255&lt;&gt;0,H255,1))+I255-J255</f>
        <v>85.596500000000006</v>
      </c>
      <c r="L255" s="218"/>
    </row>
    <row r="256" spans="2:12">
      <c r="B256" s="197"/>
      <c r="C256" s="189"/>
      <c r="D256" s="198"/>
      <c r="E256" s="199"/>
      <c r="F256" s="199"/>
      <c r="G256" s="199"/>
      <c r="H256" s="199"/>
      <c r="I256" s="199"/>
      <c r="J256" s="219"/>
      <c r="K256" s="217">
        <f>IF(E256*F256*G256&lt;&gt;0,E256*F256*G256,IF(E256*F256&lt;&gt;0,E256*F256,IF(F256*G256&lt;&gt;0,F256*G256,IF(E256*G256&lt;&gt;0,E256*G256,IF(E256&lt;&gt;0,E256,IF(F256&lt;&gt;0,F256,IF(G256&lt;&gt;0,G256,0)))))))*(IF(H256&lt;&gt;0,H256,1))+I256-J256</f>
        <v>0</v>
      </c>
      <c r="L256" s="218"/>
    </row>
    <row r="257" spans="2:12">
      <c r="B257" s="202"/>
      <c r="C257" s="203"/>
      <c r="D257" s="203"/>
      <c r="E257" s="203"/>
      <c r="F257" s="203"/>
      <c r="G257" s="203"/>
      <c r="H257" s="204"/>
      <c r="I257" s="556" t="s">
        <v>1221</v>
      </c>
      <c r="J257" s="556"/>
      <c r="K257" s="220">
        <f>SUM(K254:K256)</f>
        <v>493.15750000000003</v>
      </c>
      <c r="L257" s="207"/>
    </row>
    <row r="258" spans="2:12">
      <c r="B258" s="208"/>
      <c r="C258" s="204"/>
      <c r="D258" s="204"/>
      <c r="E258" s="204"/>
      <c r="F258" s="204"/>
      <c r="G258" s="204"/>
      <c r="H258" s="209"/>
      <c r="I258" s="557" t="s">
        <v>1222</v>
      </c>
      <c r="J258" s="557"/>
      <c r="K258" s="221">
        <v>566.5</v>
      </c>
      <c r="L258" s="207"/>
    </row>
    <row r="259" spans="2:12">
      <c r="B259" s="208"/>
      <c r="C259" s="204"/>
      <c r="D259" s="204"/>
      <c r="E259" s="204"/>
      <c r="F259" s="204"/>
      <c r="G259" s="204"/>
      <c r="H259" s="558" t="s">
        <v>1223</v>
      </c>
      <c r="I259" s="558"/>
      <c r="J259" s="558"/>
      <c r="K259" s="222">
        <v>252.791</v>
      </c>
      <c r="L259" s="207"/>
    </row>
    <row r="260" spans="2:12">
      <c r="B260" s="208"/>
      <c r="C260" s="204"/>
      <c r="D260" s="204"/>
      <c r="E260" s="204"/>
      <c r="F260" s="204"/>
      <c r="G260" s="204"/>
      <c r="H260" s="558" t="s">
        <v>1250</v>
      </c>
      <c r="I260" s="558"/>
      <c r="J260" s="558"/>
      <c r="K260" s="222">
        <f>IF(K257&gt;K258,K258,K257)-K259</f>
        <v>240.36650000000003</v>
      </c>
      <c r="L260" s="207"/>
    </row>
    <row r="261" spans="2:12">
      <c r="B261" s="213"/>
      <c r="C261" s="214"/>
      <c r="D261" s="214"/>
      <c r="E261" s="214"/>
      <c r="F261" s="214"/>
      <c r="G261" s="214"/>
      <c r="H261" s="559" t="s">
        <v>1224</v>
      </c>
      <c r="I261" s="559"/>
      <c r="J261" s="559"/>
      <c r="K261" s="223">
        <f>IF(K257&gt;K258,K257-K258,0)</f>
        <v>0</v>
      </c>
      <c r="L261" s="209"/>
    </row>
    <row r="263" spans="2:12" ht="14.25" customHeight="1">
      <c r="B263" s="555" t="s">
        <v>1278</v>
      </c>
      <c r="C263" s="555"/>
      <c r="D263" s="555"/>
      <c r="E263" s="555"/>
      <c r="F263" s="555"/>
      <c r="G263" s="555"/>
      <c r="H263" s="555"/>
      <c r="I263" s="555"/>
      <c r="J263" s="555"/>
      <c r="K263" s="555"/>
      <c r="L263" s="555"/>
    </row>
    <row r="264" spans="2:12">
      <c r="B264" s="187" t="s">
        <v>1209</v>
      </c>
      <c r="C264" s="187"/>
      <c r="D264" s="187" t="s">
        <v>39</v>
      </c>
      <c r="E264" s="187" t="s">
        <v>1210</v>
      </c>
      <c r="F264" s="187" t="s">
        <v>1211</v>
      </c>
      <c r="G264" s="187" t="s">
        <v>1212</v>
      </c>
      <c r="H264" s="187" t="s">
        <v>1213</v>
      </c>
      <c r="I264" s="187" t="s">
        <v>1214</v>
      </c>
      <c r="J264" s="187" t="s">
        <v>1215</v>
      </c>
      <c r="K264" s="187" t="s">
        <v>1216</v>
      </c>
      <c r="L264" s="187" t="s">
        <v>1217</v>
      </c>
    </row>
    <row r="265" spans="2:12">
      <c r="B265" s="188" t="s">
        <v>1273</v>
      </c>
      <c r="C265" s="189" t="s">
        <v>1271</v>
      </c>
      <c r="D265" s="190" t="s">
        <v>1274</v>
      </c>
      <c r="E265" s="191">
        <v>737</v>
      </c>
      <c r="F265" s="243">
        <v>0.61699999999999999</v>
      </c>
      <c r="G265" s="192">
        <v>1.1000000000000001</v>
      </c>
      <c r="H265" s="191"/>
      <c r="I265" s="191"/>
      <c r="J265" s="216"/>
      <c r="K265" s="217">
        <f>IF(E265*F265*G265&lt;&gt;0,E265*F265*G265,IF(E265*F265&lt;&gt;0,E265*F265,IF(F265*G265&lt;&gt;0,F265*G265,IF(E265*G265&lt;&gt;0,E265*G265,IF(E265&lt;&gt;0,E265,IF(F265&lt;&gt;0,F265,IF(G265&lt;&gt;0,G265,0)))))))*(IF(H265&lt;&gt;0,H265,1))+I265-J265</f>
        <v>500.20190000000002</v>
      </c>
      <c r="L265" s="218"/>
    </row>
    <row r="266" spans="2:12">
      <c r="B266" s="188" t="s">
        <v>1275</v>
      </c>
      <c r="C266" s="189" t="s">
        <v>1333</v>
      </c>
      <c r="D266" s="190" t="s">
        <v>1274</v>
      </c>
      <c r="E266" s="191">
        <v>1837</v>
      </c>
      <c r="F266" s="243">
        <v>0.61699999999999999</v>
      </c>
      <c r="G266" s="192">
        <v>1.1000000000000001</v>
      </c>
      <c r="H266" s="191"/>
      <c r="I266" s="191"/>
      <c r="J266" s="216"/>
      <c r="K266" s="217">
        <f>IF(E266*F266*G266&lt;&gt;0,E266*F266*G266,IF(E266*F266&lt;&gt;0,E266*F266,IF(F266*G266&lt;&gt;0,F266*G266,IF(E266*G266&lt;&gt;0,E266*G266,IF(E266&lt;&gt;0,E266,IF(F266&lt;&gt;0,F266,IF(G266&lt;&gt;0,G266,0)))))))*(IF(H266&lt;&gt;0,H266,1))+I266-J266</f>
        <v>1246.7719000000002</v>
      </c>
      <c r="L266" s="218"/>
    </row>
    <row r="267" spans="2:12">
      <c r="B267" s="197"/>
      <c r="C267" s="189"/>
      <c r="D267" s="198"/>
      <c r="E267" s="199"/>
      <c r="F267" s="244"/>
      <c r="G267" s="199"/>
      <c r="H267" s="199"/>
      <c r="I267" s="199"/>
      <c r="J267" s="219"/>
      <c r="K267" s="217">
        <f>IF(E267*F267*G267&lt;&gt;0,E267*F267*G267,IF(E267*F267&lt;&gt;0,E267*F267,IF(F267*G267&lt;&gt;0,F267*G267,IF(E267*G267&lt;&gt;0,E267*G267,IF(E267&lt;&gt;0,E267,IF(F267&lt;&gt;0,F267,IF(G267&lt;&gt;0,G267,0)))))))*(IF(H267&lt;&gt;0,H267,1))+I267-J267</f>
        <v>0</v>
      </c>
      <c r="L267" s="218"/>
    </row>
    <row r="268" spans="2:12">
      <c r="B268" s="202"/>
      <c r="C268" s="203"/>
      <c r="D268" s="203"/>
      <c r="E268" s="203"/>
      <c r="F268" s="203"/>
      <c r="G268" s="203"/>
      <c r="H268" s="204"/>
      <c r="I268" s="556" t="s">
        <v>1221</v>
      </c>
      <c r="J268" s="556"/>
      <c r="K268" s="220">
        <f>SUM(K265:K267)</f>
        <v>1746.9738000000002</v>
      </c>
      <c r="L268" s="207"/>
    </row>
    <row r="269" spans="2:12">
      <c r="B269" s="208"/>
      <c r="C269" s="204"/>
      <c r="D269" s="204"/>
      <c r="E269" s="204"/>
      <c r="F269" s="204"/>
      <c r="G269" s="204"/>
      <c r="H269" s="209"/>
      <c r="I269" s="557" t="s">
        <v>1222</v>
      </c>
      <c r="J269" s="557"/>
      <c r="K269" s="221">
        <v>1663.2</v>
      </c>
      <c r="L269" s="207"/>
    </row>
    <row r="270" spans="2:12">
      <c r="B270" s="208"/>
      <c r="C270" s="204"/>
      <c r="D270" s="204"/>
      <c r="E270" s="204"/>
      <c r="F270" s="204"/>
      <c r="G270" s="204"/>
      <c r="H270" s="558" t="s">
        <v>1223</v>
      </c>
      <c r="I270" s="558"/>
      <c r="J270" s="558"/>
      <c r="K270" s="222">
        <v>500.20190000000002</v>
      </c>
      <c r="L270" s="207"/>
    </row>
    <row r="271" spans="2:12">
      <c r="B271" s="208"/>
      <c r="C271" s="204"/>
      <c r="D271" s="204"/>
      <c r="E271" s="204"/>
      <c r="F271" s="204"/>
      <c r="G271" s="204"/>
      <c r="H271" s="558" t="s">
        <v>1250</v>
      </c>
      <c r="I271" s="558"/>
      <c r="J271" s="558"/>
      <c r="K271" s="222">
        <f>IF(K268&gt;K269,K269,K268)-K270</f>
        <v>1162.9981</v>
      </c>
      <c r="L271" s="207"/>
    </row>
    <row r="272" spans="2:12">
      <c r="B272" s="213"/>
      <c r="C272" s="214"/>
      <c r="D272" s="214"/>
      <c r="E272" s="214"/>
      <c r="F272" s="214"/>
      <c r="G272" s="214"/>
      <c r="H272" s="559" t="s">
        <v>1224</v>
      </c>
      <c r="I272" s="559"/>
      <c r="J272" s="559"/>
      <c r="K272" s="223">
        <f>IF(K268&gt;K269,K268-K269,0)</f>
        <v>83.773800000000165</v>
      </c>
      <c r="L272" s="209"/>
    </row>
    <row r="274" spans="2:12" ht="14.25" customHeight="1">
      <c r="B274" s="555" t="s">
        <v>1279</v>
      </c>
      <c r="C274" s="555"/>
      <c r="D274" s="555"/>
      <c r="E274" s="555"/>
      <c r="F274" s="555"/>
      <c r="G274" s="555"/>
      <c r="H274" s="555"/>
      <c r="I274" s="555"/>
      <c r="J274" s="555"/>
      <c r="K274" s="555"/>
      <c r="L274" s="555"/>
    </row>
    <row r="275" spans="2:12">
      <c r="B275" s="187" t="s">
        <v>1209</v>
      </c>
      <c r="C275" s="187"/>
      <c r="D275" s="187" t="s">
        <v>39</v>
      </c>
      <c r="E275" s="187" t="s">
        <v>1210</v>
      </c>
      <c r="F275" s="187" t="s">
        <v>1211</v>
      </c>
      <c r="G275" s="187" t="s">
        <v>1212</v>
      </c>
      <c r="H275" s="187" t="s">
        <v>1213</v>
      </c>
      <c r="I275" s="187" t="s">
        <v>1214</v>
      </c>
      <c r="J275" s="187" t="s">
        <v>1215</v>
      </c>
      <c r="K275" s="187" t="s">
        <v>1216</v>
      </c>
      <c r="L275" s="187" t="s">
        <v>1217</v>
      </c>
    </row>
    <row r="276" spans="2:12">
      <c r="B276" s="188" t="s">
        <v>1273</v>
      </c>
      <c r="C276" s="189" t="s">
        <v>1271</v>
      </c>
      <c r="D276" s="190" t="s">
        <v>1274</v>
      </c>
      <c r="E276" s="191">
        <v>3329</v>
      </c>
      <c r="F276" s="243">
        <v>0.96299999999999997</v>
      </c>
      <c r="G276" s="192">
        <v>1.1000000000000001</v>
      </c>
      <c r="H276" s="191"/>
      <c r="I276" s="191"/>
      <c r="J276" s="216"/>
      <c r="K276" s="217">
        <f>IF(E276*F276*G276&lt;&gt;0,E276*F276*G276,IF(E276*F276&lt;&gt;0,E276*F276,IF(F276*G276&lt;&gt;0,F276*G276,IF(E276*G276&lt;&gt;0,E276*G276,IF(E276&lt;&gt;0,E276,IF(F276&lt;&gt;0,F276,IF(G276&lt;&gt;0,G276,0)))))))*(IF(H276&lt;&gt;0,H276,1))+I276-J276</f>
        <v>3526.4097000000002</v>
      </c>
      <c r="L276" s="218"/>
    </row>
    <row r="277" spans="2:12">
      <c r="B277" s="188" t="s">
        <v>1275</v>
      </c>
      <c r="C277" s="189" t="s">
        <v>1333</v>
      </c>
      <c r="D277" s="190" t="s">
        <v>1274</v>
      </c>
      <c r="E277" s="191">
        <v>2624</v>
      </c>
      <c r="F277" s="243">
        <v>0.96299999999999997</v>
      </c>
      <c r="G277" s="192">
        <v>1.1000000000000001</v>
      </c>
      <c r="H277" s="191"/>
      <c r="I277" s="191"/>
      <c r="J277" s="216"/>
      <c r="K277" s="217">
        <f>IF(E277*F277*G277&lt;&gt;0,E277*F277*G277,IF(E277*F277&lt;&gt;0,E277*F277,IF(F277*G277&lt;&gt;0,F277*G277,IF(E277*G277&lt;&gt;0,E277*G277,IF(E277&lt;&gt;0,E277,IF(F277&lt;&gt;0,F277,IF(G277&lt;&gt;0,G277,0)))))))*(IF(H277&lt;&gt;0,H277,1))+I277-J277</f>
        <v>2779.6032</v>
      </c>
      <c r="L277" s="218"/>
    </row>
    <row r="278" spans="2:12">
      <c r="B278" s="197"/>
      <c r="C278" s="189"/>
      <c r="D278" s="198"/>
      <c r="E278" s="199"/>
      <c r="F278" s="244"/>
      <c r="G278" s="199"/>
      <c r="H278" s="199"/>
      <c r="I278" s="199"/>
      <c r="J278" s="219"/>
      <c r="K278" s="217">
        <f>IF(E278*F278*G278&lt;&gt;0,E278*F278*G278,IF(E278*F278&lt;&gt;0,E278*F278,IF(F278*G278&lt;&gt;0,F278*G278,IF(E278*G278&lt;&gt;0,E278*G278,IF(E278&lt;&gt;0,E278,IF(F278&lt;&gt;0,F278,IF(G278&lt;&gt;0,G278,0)))))))*(IF(H278&lt;&gt;0,H278,1))+I278-J278</f>
        <v>0</v>
      </c>
      <c r="L278" s="218"/>
    </row>
    <row r="279" spans="2:12">
      <c r="B279" s="202"/>
      <c r="C279" s="203"/>
      <c r="D279" s="203"/>
      <c r="E279" s="203"/>
      <c r="F279" s="203"/>
      <c r="G279" s="203"/>
      <c r="H279" s="204"/>
      <c r="I279" s="556" t="s">
        <v>1221</v>
      </c>
      <c r="J279" s="556"/>
      <c r="K279" s="220">
        <f>SUM(K276:K278)</f>
        <v>6306.0128999999997</v>
      </c>
      <c r="L279" s="207"/>
    </row>
    <row r="280" spans="2:12">
      <c r="B280" s="208"/>
      <c r="C280" s="204"/>
      <c r="D280" s="204"/>
      <c r="E280" s="204"/>
      <c r="F280" s="204"/>
      <c r="G280" s="204"/>
      <c r="H280" s="209"/>
      <c r="I280" s="557" t="s">
        <v>1222</v>
      </c>
      <c r="J280" s="557"/>
      <c r="K280" s="221">
        <v>4944.5</v>
      </c>
      <c r="L280" s="207"/>
    </row>
    <row r="281" spans="2:12">
      <c r="B281" s="208"/>
      <c r="C281" s="204"/>
      <c r="D281" s="204"/>
      <c r="E281" s="204"/>
      <c r="F281" s="204"/>
      <c r="G281" s="204"/>
      <c r="H281" s="558" t="s">
        <v>1223</v>
      </c>
      <c r="I281" s="558"/>
      <c r="J281" s="558"/>
      <c r="K281" s="222">
        <v>3541.0572999999999</v>
      </c>
      <c r="L281" s="207"/>
    </row>
    <row r="282" spans="2:12">
      <c r="B282" s="208"/>
      <c r="C282" s="204"/>
      <c r="D282" s="204"/>
      <c r="E282" s="204"/>
      <c r="F282" s="204"/>
      <c r="G282" s="204"/>
      <c r="H282" s="558" t="s">
        <v>1250</v>
      </c>
      <c r="I282" s="558"/>
      <c r="J282" s="558"/>
      <c r="K282" s="222">
        <f>IF(K279&gt;K280,K280,K279)-K281</f>
        <v>1403.4427000000001</v>
      </c>
      <c r="L282" s="207"/>
    </row>
    <row r="283" spans="2:12">
      <c r="B283" s="213"/>
      <c r="C283" s="214"/>
      <c r="D283" s="214"/>
      <c r="E283" s="214"/>
      <c r="F283" s="214"/>
      <c r="G283" s="214"/>
      <c r="H283" s="559" t="s">
        <v>1224</v>
      </c>
      <c r="I283" s="559"/>
      <c r="J283" s="559"/>
      <c r="K283" s="223">
        <f>IF(K279&gt;K280,K279-K280,0)</f>
        <v>1361.5128999999997</v>
      </c>
      <c r="L283" s="209"/>
    </row>
    <row r="285" spans="2:12" ht="14.25" customHeight="1">
      <c r="B285" s="555" t="s">
        <v>1280</v>
      </c>
      <c r="C285" s="555"/>
      <c r="D285" s="555"/>
      <c r="E285" s="555"/>
      <c r="F285" s="555"/>
      <c r="G285" s="555"/>
      <c r="H285" s="555"/>
      <c r="I285" s="555"/>
      <c r="J285" s="555"/>
      <c r="K285" s="555"/>
      <c r="L285" s="555"/>
    </row>
    <row r="286" spans="2:12">
      <c r="B286" s="187" t="s">
        <v>1209</v>
      </c>
      <c r="C286" s="187"/>
      <c r="D286" s="187" t="s">
        <v>39</v>
      </c>
      <c r="E286" s="187" t="s">
        <v>1210</v>
      </c>
      <c r="F286" s="187" t="s">
        <v>1211</v>
      </c>
      <c r="G286" s="187" t="s">
        <v>1212</v>
      </c>
      <c r="H286" s="187" t="s">
        <v>1213</v>
      </c>
      <c r="I286" s="187" t="s">
        <v>1214</v>
      </c>
      <c r="J286" s="187" t="s">
        <v>1215</v>
      </c>
      <c r="K286" s="187" t="s">
        <v>1216</v>
      </c>
      <c r="L286" s="187" t="s">
        <v>1217</v>
      </c>
    </row>
    <row r="287" spans="2:12">
      <c r="B287" s="188" t="s">
        <v>1273</v>
      </c>
      <c r="C287" s="189" t="s">
        <v>1271</v>
      </c>
      <c r="D287" s="190" t="s">
        <v>1274</v>
      </c>
      <c r="E287" s="191"/>
      <c r="F287" s="243"/>
      <c r="G287" s="192"/>
      <c r="H287" s="191"/>
      <c r="I287" s="191"/>
      <c r="J287" s="216"/>
      <c r="K287" s="217">
        <f>IF(E287*F287*G287&lt;&gt;0,E287*F287*G287,IF(E287*F287&lt;&gt;0,E287*F287,IF(F287*G287&lt;&gt;0,F287*G287,IF(E287*G287&lt;&gt;0,E287*G287,IF(E287&lt;&gt;0,E287,IF(F287&lt;&gt;0,F287,IF(G287&lt;&gt;0,G287,0)))))))*(IF(H287&lt;&gt;0,H287,1))+I287-J287</f>
        <v>0</v>
      </c>
      <c r="L287" s="218"/>
    </row>
    <row r="288" spans="2:12">
      <c r="B288" s="188" t="s">
        <v>1275</v>
      </c>
      <c r="C288" s="189" t="s">
        <v>1333</v>
      </c>
      <c r="D288" s="190" t="s">
        <v>1274</v>
      </c>
      <c r="E288" s="191">
        <v>67</v>
      </c>
      <c r="F288" s="243">
        <v>1.5780000000000001</v>
      </c>
      <c r="G288" s="192">
        <v>1.1000000000000001</v>
      </c>
      <c r="H288" s="191"/>
      <c r="I288" s="191"/>
      <c r="J288" s="216"/>
      <c r="K288" s="217">
        <f>IF(E288*F288*G288&lt;&gt;0,E288*F288*G288,IF(E288*F288&lt;&gt;0,E288*F288,IF(F288*G288&lt;&gt;0,F288*G288,IF(E288*G288&lt;&gt;0,E288*G288,IF(E288&lt;&gt;0,E288,IF(F288&lt;&gt;0,F288,IF(G288&lt;&gt;0,G288,0)))))))*(IF(H288&lt;&gt;0,H288,1))+I288-J288</f>
        <v>116.29860000000001</v>
      </c>
      <c r="L288" s="218"/>
    </row>
    <row r="289" spans="2:12">
      <c r="B289" s="197"/>
      <c r="C289" s="189"/>
      <c r="D289" s="198"/>
      <c r="E289" s="199"/>
      <c r="F289" s="199"/>
      <c r="G289" s="199"/>
      <c r="H289" s="199"/>
      <c r="I289" s="199"/>
      <c r="J289" s="219"/>
      <c r="K289" s="217">
        <f>IF(E289*F289*G289&lt;&gt;0,E289*F289*G289,IF(E289*F289&lt;&gt;0,E289*F289,IF(F289*G289&lt;&gt;0,F289*G289,IF(E289*G289&lt;&gt;0,E289*G289,IF(E289&lt;&gt;0,E289,IF(F289&lt;&gt;0,F289,IF(G289&lt;&gt;0,G289,0)))))))*(IF(H289&lt;&gt;0,H289,1))+I289-J289</f>
        <v>0</v>
      </c>
      <c r="L289" s="218"/>
    </row>
    <row r="290" spans="2:12">
      <c r="B290" s="202"/>
      <c r="C290" s="203"/>
      <c r="D290" s="203"/>
      <c r="E290" s="203"/>
      <c r="F290" s="203"/>
      <c r="G290" s="203"/>
      <c r="H290" s="204"/>
      <c r="I290" s="556" t="s">
        <v>1221</v>
      </c>
      <c r="J290" s="556"/>
      <c r="K290" s="220">
        <f>SUM(K287:K289)</f>
        <v>116.29860000000001</v>
      </c>
      <c r="L290" s="207"/>
    </row>
    <row r="291" spans="2:12">
      <c r="B291" s="208"/>
      <c r="C291" s="204"/>
      <c r="D291" s="204"/>
      <c r="E291" s="204"/>
      <c r="F291" s="204"/>
      <c r="G291" s="204"/>
      <c r="H291" s="209"/>
      <c r="I291" s="557" t="s">
        <v>1222</v>
      </c>
      <c r="J291" s="557"/>
      <c r="K291" s="221">
        <v>115.5</v>
      </c>
      <c r="L291" s="207"/>
    </row>
    <row r="292" spans="2:12">
      <c r="B292" s="208"/>
      <c r="C292" s="204"/>
      <c r="D292" s="204"/>
      <c r="E292" s="204"/>
      <c r="F292" s="204"/>
      <c r="G292" s="204"/>
      <c r="H292" s="558" t="s">
        <v>1223</v>
      </c>
      <c r="I292" s="558"/>
      <c r="J292" s="558"/>
      <c r="K292" s="222">
        <v>115.5</v>
      </c>
      <c r="L292" s="207"/>
    </row>
    <row r="293" spans="2:12">
      <c r="B293" s="208"/>
      <c r="C293" s="204"/>
      <c r="D293" s="204"/>
      <c r="E293" s="204"/>
      <c r="F293" s="204"/>
      <c r="G293" s="204"/>
      <c r="H293" s="558" t="s">
        <v>1250</v>
      </c>
      <c r="I293" s="558"/>
      <c r="J293" s="558"/>
      <c r="K293" s="222">
        <f>IF(K290&gt;K291,K291,K290)-K292</f>
        <v>0</v>
      </c>
      <c r="L293" s="207"/>
    </row>
    <row r="294" spans="2:12">
      <c r="B294" s="213"/>
      <c r="C294" s="214"/>
      <c r="D294" s="214"/>
      <c r="E294" s="214"/>
      <c r="F294" s="214"/>
      <c r="G294" s="214"/>
      <c r="H294" s="559" t="s">
        <v>1224</v>
      </c>
      <c r="I294" s="559"/>
      <c r="J294" s="559"/>
      <c r="K294" s="223">
        <f>IF(K290&gt;K291,K290-K291,0)</f>
        <v>0.79860000000000753</v>
      </c>
      <c r="L294" s="209"/>
    </row>
    <row r="296" spans="2:12" ht="14.25" customHeight="1">
      <c r="B296" s="555" t="s">
        <v>1281</v>
      </c>
      <c r="C296" s="555"/>
      <c r="D296" s="555"/>
      <c r="E296" s="555"/>
      <c r="F296" s="555"/>
      <c r="G296" s="555"/>
      <c r="H296" s="555"/>
      <c r="I296" s="555"/>
      <c r="J296" s="555"/>
      <c r="K296" s="555"/>
      <c r="L296" s="555"/>
    </row>
    <row r="297" spans="2:12">
      <c r="B297" s="187" t="s">
        <v>1209</v>
      </c>
      <c r="C297" s="187"/>
      <c r="D297" s="187" t="s">
        <v>39</v>
      </c>
      <c r="E297" s="187" t="s">
        <v>1210</v>
      </c>
      <c r="F297" s="187" t="s">
        <v>1211</v>
      </c>
      <c r="G297" s="187" t="s">
        <v>1212</v>
      </c>
      <c r="H297" s="187" t="s">
        <v>1213</v>
      </c>
      <c r="I297" s="187" t="s">
        <v>1214</v>
      </c>
      <c r="J297" s="187" t="s">
        <v>1215</v>
      </c>
      <c r="K297" s="187" t="s">
        <v>1216</v>
      </c>
      <c r="L297" s="187" t="s">
        <v>1217</v>
      </c>
    </row>
    <row r="298" spans="2:12">
      <c r="B298" s="188" t="s">
        <v>1273</v>
      </c>
      <c r="C298" s="189" t="s">
        <v>1271</v>
      </c>
      <c r="D298" s="190" t="s">
        <v>1274</v>
      </c>
      <c r="E298" s="191">
        <v>369</v>
      </c>
      <c r="F298" s="243">
        <v>2.4660000000000002</v>
      </c>
      <c r="G298" s="192">
        <v>1.1000000000000001</v>
      </c>
      <c r="H298" s="191"/>
      <c r="I298" s="191"/>
      <c r="J298" s="216"/>
      <c r="K298" s="217">
        <f>IF(E298*F298*G298&lt;&gt;0,E298*F298*G298,IF(E298*F298&lt;&gt;0,E298*F298,IF(F298*G298&lt;&gt;0,F298*G298,IF(E298*G298&lt;&gt;0,E298*G298,IF(E298&lt;&gt;0,E298,IF(F298&lt;&gt;0,F298,IF(G298&lt;&gt;0,G298,0)))))))*(IF(H298&lt;&gt;0,H298,1))+I298-J298</f>
        <v>1000.9494000000002</v>
      </c>
      <c r="L298" s="245" t="s">
        <v>1282</v>
      </c>
    </row>
    <row r="299" spans="2:12">
      <c r="B299" s="188" t="s">
        <v>1273</v>
      </c>
      <c r="C299" s="189" t="s">
        <v>1271</v>
      </c>
      <c r="D299" s="190" t="s">
        <v>1274</v>
      </c>
      <c r="E299" s="191">
        <v>623</v>
      </c>
      <c r="F299" s="243">
        <v>3.8530000000000002</v>
      </c>
      <c r="G299" s="192">
        <v>1.1000000000000001</v>
      </c>
      <c r="H299" s="191"/>
      <c r="I299" s="191"/>
      <c r="J299" s="216"/>
      <c r="K299" s="217">
        <f>IF(E299*F299*G299&lt;&gt;0,E299*F299*G299,IF(E299*F299&lt;&gt;0,E299*F299,IF(F299*G299&lt;&gt;0,F299*G299,IF(E299*G299&lt;&gt;0,E299*G299,IF(E299&lt;&gt;0,E299,IF(F299&lt;&gt;0,F299,IF(G299&lt;&gt;0,G299,0)))))))*(IF(H299&lt;&gt;0,H299,1))+I299-J299</f>
        <v>2640.4609000000005</v>
      </c>
      <c r="L299" s="245" t="s">
        <v>1283</v>
      </c>
    </row>
    <row r="300" spans="2:12">
      <c r="B300" s="188" t="s">
        <v>1275</v>
      </c>
      <c r="C300" s="189" t="s">
        <v>1333</v>
      </c>
      <c r="D300" s="190" t="s">
        <v>1274</v>
      </c>
      <c r="E300" s="191">
        <v>1522</v>
      </c>
      <c r="F300" s="243">
        <v>2.4660000000000002</v>
      </c>
      <c r="G300" s="192">
        <v>1.1000000000000001</v>
      </c>
      <c r="H300" s="191"/>
      <c r="I300" s="191"/>
      <c r="J300" s="216"/>
      <c r="K300" s="217">
        <f>IF(E300*F300*G300&lt;&gt;0,E300*F300*G300,IF(E300*F300&lt;&gt;0,E300*F300,IF(F300*G300&lt;&gt;0,F300*G300,IF(E300*G300&lt;&gt;0,E300*G300,IF(E300&lt;&gt;0,E300,IF(F300&lt;&gt;0,F300,IF(G300&lt;&gt;0,G300,0)))))))*(IF(H300&lt;&gt;0,H300,1))+I300-J300</f>
        <v>4128.5772000000006</v>
      </c>
      <c r="L300" s="245" t="s">
        <v>1282</v>
      </c>
    </row>
    <row r="301" spans="2:12">
      <c r="B301" s="197"/>
      <c r="C301" s="189"/>
      <c r="D301" s="198"/>
      <c r="E301" s="199"/>
      <c r="F301" s="244"/>
      <c r="G301" s="199"/>
      <c r="H301" s="199"/>
      <c r="I301" s="199"/>
      <c r="J301" s="219"/>
      <c r="K301" s="217">
        <f>IF(E301*F301*G301&lt;&gt;0,E301*F301*G301,IF(E301*F301&lt;&gt;0,E301*F301,IF(F301*G301&lt;&gt;0,F301*G301,IF(E301*G301&lt;&gt;0,E301*G301,IF(E301&lt;&gt;0,E301,IF(F301&lt;&gt;0,F301,IF(G301&lt;&gt;0,G301,0)))))))*(IF(H301&lt;&gt;0,H301,1))+I301-J301</f>
        <v>0</v>
      </c>
      <c r="L301" s="218"/>
    </row>
    <row r="302" spans="2:12">
      <c r="B302" s="202"/>
      <c r="C302" s="203"/>
      <c r="D302" s="203"/>
      <c r="E302" s="203"/>
      <c r="F302" s="203"/>
      <c r="G302" s="203"/>
      <c r="H302" s="204"/>
      <c r="I302" s="556" t="s">
        <v>1221</v>
      </c>
      <c r="J302" s="556"/>
      <c r="K302" s="220">
        <f>SUM(K298:K301)</f>
        <v>7769.9875000000011</v>
      </c>
      <c r="L302" s="207"/>
    </row>
    <row r="303" spans="2:12">
      <c r="B303" s="208"/>
      <c r="C303" s="204"/>
      <c r="D303" s="204"/>
      <c r="E303" s="204"/>
      <c r="F303" s="204"/>
      <c r="G303" s="204"/>
      <c r="H303" s="209"/>
      <c r="I303" s="557" t="s">
        <v>1222</v>
      </c>
      <c r="J303" s="557"/>
      <c r="K303" s="221">
        <v>7195.1</v>
      </c>
      <c r="L303" s="207"/>
    </row>
    <row r="304" spans="2:12">
      <c r="B304" s="208"/>
      <c r="C304" s="204"/>
      <c r="D304" s="204"/>
      <c r="E304" s="204"/>
      <c r="F304" s="204"/>
      <c r="G304" s="204"/>
      <c r="H304" s="558" t="s">
        <v>1223</v>
      </c>
      <c r="I304" s="558"/>
      <c r="J304" s="558"/>
      <c r="K304" s="222">
        <v>3641.4103</v>
      </c>
      <c r="L304" s="207"/>
    </row>
    <row r="305" spans="2:12">
      <c r="B305" s="208"/>
      <c r="C305" s="204"/>
      <c r="D305" s="204"/>
      <c r="E305" s="204"/>
      <c r="F305" s="204"/>
      <c r="G305" s="204"/>
      <c r="H305" s="558" t="s">
        <v>1250</v>
      </c>
      <c r="I305" s="558"/>
      <c r="J305" s="558"/>
      <c r="K305" s="222">
        <f>IF(K302&gt;K303,K303,K302)-K304</f>
        <v>3553.6897000000004</v>
      </c>
      <c r="L305" s="207"/>
    </row>
    <row r="306" spans="2:12">
      <c r="B306" s="213"/>
      <c r="C306" s="214"/>
      <c r="D306" s="214"/>
      <c r="E306" s="214"/>
      <c r="F306" s="214"/>
      <c r="G306" s="214"/>
      <c r="H306" s="559" t="s">
        <v>1224</v>
      </c>
      <c r="I306" s="559"/>
      <c r="J306" s="559"/>
      <c r="K306" s="223">
        <f>IF(K302&gt;K303,K302-K303,0)</f>
        <v>574.88750000000073</v>
      </c>
      <c r="L306" s="209"/>
    </row>
    <row r="308" spans="2:12" ht="14.25" customHeight="1">
      <c r="B308" s="555" t="s">
        <v>1284</v>
      </c>
      <c r="C308" s="555"/>
      <c r="D308" s="555"/>
      <c r="E308" s="555"/>
      <c r="F308" s="555"/>
      <c r="G308" s="555"/>
      <c r="H308" s="555"/>
      <c r="I308" s="555"/>
      <c r="J308" s="555"/>
      <c r="K308" s="555"/>
      <c r="L308" s="555"/>
    </row>
    <row r="309" spans="2:12">
      <c r="B309" s="187" t="s">
        <v>1209</v>
      </c>
      <c r="C309" s="187"/>
      <c r="D309" s="187" t="s">
        <v>39</v>
      </c>
      <c r="E309" s="187" t="s">
        <v>1210</v>
      </c>
      <c r="F309" s="187" t="s">
        <v>1211</v>
      </c>
      <c r="G309" s="187" t="s">
        <v>1212</v>
      </c>
      <c r="H309" s="187" t="s">
        <v>1213</v>
      </c>
      <c r="I309" s="187" t="s">
        <v>1214</v>
      </c>
      <c r="J309" s="187" t="s">
        <v>1215</v>
      </c>
      <c r="K309" s="187" t="s">
        <v>1216</v>
      </c>
      <c r="L309" s="187" t="s">
        <v>1217</v>
      </c>
    </row>
    <row r="310" spans="2:12">
      <c r="B310" s="197" t="s">
        <v>1285</v>
      </c>
      <c r="C310" s="189" t="s">
        <v>1271</v>
      </c>
      <c r="D310" s="198" t="s">
        <v>169</v>
      </c>
      <c r="E310" s="199">
        <v>1.9</v>
      </c>
      <c r="F310" s="244">
        <v>0.9</v>
      </c>
      <c r="G310" s="199">
        <v>0.7</v>
      </c>
      <c r="H310" s="199"/>
      <c r="I310" s="199"/>
      <c r="J310" s="219"/>
      <c r="K310" s="217">
        <f t="shared" ref="K310:K353" si="1">IF(E310*F310*G310&lt;&gt;0,E310*F310*G310,IF(E310*F310&lt;&gt;0,E310*F310,IF(F310*G310&lt;&gt;0,F310*G310,IF(E310*G310&lt;&gt;0,E310*G310,IF(E310&lt;&gt;0,E310,IF(F310&lt;&gt;0,F310,IF(G310&lt;&gt;0,G310,0)))))))*(IF(H310&lt;&gt;0,H310,1))+I310-J310</f>
        <v>1.1969999999999998</v>
      </c>
      <c r="L310" s="218"/>
    </row>
    <row r="311" spans="2:12">
      <c r="B311" s="197" t="s">
        <v>1286</v>
      </c>
      <c r="C311" s="189" t="s">
        <v>1271</v>
      </c>
      <c r="D311" s="198" t="s">
        <v>169</v>
      </c>
      <c r="E311" s="199">
        <v>2.2000000000000002</v>
      </c>
      <c r="F311" s="244">
        <v>2.2000000000000002</v>
      </c>
      <c r="G311" s="199">
        <v>1.1000000000000001</v>
      </c>
      <c r="H311" s="199"/>
      <c r="I311" s="199"/>
      <c r="J311" s="219"/>
      <c r="K311" s="217">
        <f t="shared" si="1"/>
        <v>5.3240000000000016</v>
      </c>
      <c r="L311" s="218"/>
    </row>
    <row r="312" spans="2:12">
      <c r="B312" s="197" t="s">
        <v>1287</v>
      </c>
      <c r="C312" s="189" t="s">
        <v>1271</v>
      </c>
      <c r="D312" s="198" t="s">
        <v>169</v>
      </c>
      <c r="E312" s="199">
        <v>2.2000000000000002</v>
      </c>
      <c r="F312" s="244">
        <v>2.2000000000000002</v>
      </c>
      <c r="G312" s="199">
        <v>1.1000000000000001</v>
      </c>
      <c r="H312" s="199"/>
      <c r="I312" s="199"/>
      <c r="J312" s="219"/>
      <c r="K312" s="217">
        <f t="shared" si="1"/>
        <v>5.3240000000000016</v>
      </c>
      <c r="L312" s="218"/>
    </row>
    <row r="313" spans="2:12">
      <c r="B313" s="197" t="s">
        <v>1288</v>
      </c>
      <c r="C313" s="189" t="s">
        <v>1271</v>
      </c>
      <c r="D313" s="198" t="s">
        <v>169</v>
      </c>
      <c r="E313" s="199">
        <v>1.9</v>
      </c>
      <c r="F313" s="244">
        <v>0.9</v>
      </c>
      <c r="G313" s="199">
        <v>1</v>
      </c>
      <c r="H313" s="199"/>
      <c r="I313" s="199"/>
      <c r="J313" s="219"/>
      <c r="K313" s="217">
        <f t="shared" si="1"/>
        <v>1.71</v>
      </c>
      <c r="L313" s="218"/>
    </row>
    <row r="314" spans="2:12">
      <c r="B314" s="197" t="s">
        <v>1289</v>
      </c>
      <c r="C314" s="189" t="s">
        <v>1271</v>
      </c>
      <c r="D314" s="198" t="s">
        <v>169</v>
      </c>
      <c r="E314" s="199">
        <v>1</v>
      </c>
      <c r="F314" s="244">
        <v>1</v>
      </c>
      <c r="G314" s="199">
        <v>0.9</v>
      </c>
      <c r="H314" s="199"/>
      <c r="I314" s="199"/>
      <c r="J314" s="219"/>
      <c r="K314" s="217">
        <f t="shared" si="1"/>
        <v>0.9</v>
      </c>
      <c r="L314" s="218"/>
    </row>
    <row r="315" spans="2:12">
      <c r="B315" s="197" t="s">
        <v>1290</v>
      </c>
      <c r="C315" s="189" t="s">
        <v>1271</v>
      </c>
      <c r="D315" s="198" t="s">
        <v>169</v>
      </c>
      <c r="E315" s="199"/>
      <c r="F315" s="244"/>
      <c r="G315" s="199"/>
      <c r="H315" s="199"/>
      <c r="I315" s="199">
        <v>2.95614</v>
      </c>
      <c r="J315" s="219"/>
      <c r="K315" s="217">
        <f t="shared" si="1"/>
        <v>2.95614</v>
      </c>
      <c r="L315" s="218"/>
    </row>
    <row r="316" spans="2:12">
      <c r="B316" s="197" t="s">
        <v>1291</v>
      </c>
      <c r="C316" s="189" t="s">
        <v>1271</v>
      </c>
      <c r="D316" s="198" t="s">
        <v>169</v>
      </c>
      <c r="E316" s="199">
        <v>2.2000000000000002</v>
      </c>
      <c r="F316" s="244">
        <v>2.2000000000000002</v>
      </c>
      <c r="G316" s="199">
        <v>1.1000000000000001</v>
      </c>
      <c r="H316" s="199"/>
      <c r="I316" s="199"/>
      <c r="J316" s="219"/>
      <c r="K316" s="217">
        <f t="shared" si="1"/>
        <v>5.3240000000000016</v>
      </c>
      <c r="L316" s="218"/>
    </row>
    <row r="317" spans="2:12">
      <c r="B317" s="197" t="s">
        <v>1292</v>
      </c>
      <c r="C317" s="189" t="s">
        <v>1271</v>
      </c>
      <c r="D317" s="198" t="s">
        <v>169</v>
      </c>
      <c r="E317" s="199">
        <v>2.2000000000000002</v>
      </c>
      <c r="F317" s="244">
        <v>2.2000000000000002</v>
      </c>
      <c r="G317" s="199">
        <v>1.1000000000000001</v>
      </c>
      <c r="H317" s="199"/>
      <c r="I317" s="199"/>
      <c r="J317" s="219"/>
      <c r="K317" s="217">
        <f t="shared" si="1"/>
        <v>5.3240000000000016</v>
      </c>
      <c r="L317" s="218"/>
    </row>
    <row r="318" spans="2:12">
      <c r="B318" s="197" t="s">
        <v>1293</v>
      </c>
      <c r="C318" s="189" t="s">
        <v>1271</v>
      </c>
      <c r="D318" s="198" t="s">
        <v>169</v>
      </c>
      <c r="E318" s="199">
        <v>2.2000000000000002</v>
      </c>
      <c r="F318" s="244">
        <v>2.2000000000000002</v>
      </c>
      <c r="G318" s="199">
        <v>1.1000000000000001</v>
      </c>
      <c r="H318" s="199"/>
      <c r="I318" s="199"/>
      <c r="J318" s="219"/>
      <c r="K318" s="217">
        <f t="shared" si="1"/>
        <v>5.3240000000000016</v>
      </c>
      <c r="L318" s="218"/>
    </row>
    <row r="319" spans="2:12">
      <c r="B319" s="197" t="s">
        <v>1294</v>
      </c>
      <c r="C319" s="189" t="s">
        <v>1271</v>
      </c>
      <c r="D319" s="198" t="s">
        <v>169</v>
      </c>
      <c r="E319" s="199">
        <v>1</v>
      </c>
      <c r="F319" s="244">
        <v>1</v>
      </c>
      <c r="G319" s="199">
        <v>0.7</v>
      </c>
      <c r="H319" s="199"/>
      <c r="I319" s="199"/>
      <c r="J319" s="219"/>
      <c r="K319" s="217">
        <f t="shared" si="1"/>
        <v>0.7</v>
      </c>
      <c r="L319" s="218"/>
    </row>
    <row r="320" spans="2:12">
      <c r="B320" s="197" t="s">
        <v>1295</v>
      </c>
      <c r="C320" s="189" t="s">
        <v>1271</v>
      </c>
      <c r="D320" s="198" t="s">
        <v>169</v>
      </c>
      <c r="E320" s="199"/>
      <c r="F320" s="244"/>
      <c r="G320" s="199"/>
      <c r="H320" s="199"/>
      <c r="I320" s="199">
        <v>2.95614</v>
      </c>
      <c r="J320" s="219"/>
      <c r="K320" s="217">
        <f t="shared" si="1"/>
        <v>2.95614</v>
      </c>
      <c r="L320" s="218"/>
    </row>
    <row r="321" spans="2:12">
      <c r="B321" s="197" t="s">
        <v>1336</v>
      </c>
      <c r="C321" s="189" t="s">
        <v>1271</v>
      </c>
      <c r="D321" s="198" t="s">
        <v>169</v>
      </c>
      <c r="E321" s="199">
        <v>2.2000000000000002</v>
      </c>
      <c r="F321" s="244">
        <v>2.2000000000000002</v>
      </c>
      <c r="G321" s="199">
        <v>1.1000000000000001</v>
      </c>
      <c r="H321" s="199"/>
      <c r="I321" s="199"/>
      <c r="J321" s="219"/>
      <c r="K321" s="217">
        <f t="shared" si="1"/>
        <v>5.3240000000000016</v>
      </c>
      <c r="L321" s="218"/>
    </row>
    <row r="322" spans="2:12">
      <c r="B322" s="197" t="s">
        <v>1337</v>
      </c>
      <c r="C322" s="189" t="s">
        <v>1271</v>
      </c>
      <c r="D322" s="198" t="s">
        <v>169</v>
      </c>
      <c r="E322" s="199">
        <v>2.2000000000000002</v>
      </c>
      <c r="F322" s="244">
        <v>2.2000000000000002</v>
      </c>
      <c r="G322" s="199">
        <v>1.1000000000000001</v>
      </c>
      <c r="H322" s="199"/>
      <c r="I322" s="199"/>
      <c r="J322" s="219"/>
      <c r="K322" s="217">
        <f t="shared" si="1"/>
        <v>5.3240000000000016</v>
      </c>
      <c r="L322" s="218"/>
    </row>
    <row r="323" spans="2:12">
      <c r="B323" s="197" t="s">
        <v>1338</v>
      </c>
      <c r="C323" s="189" t="s">
        <v>1271</v>
      </c>
      <c r="D323" s="198" t="s">
        <v>169</v>
      </c>
      <c r="E323" s="199">
        <v>2.2000000000000002</v>
      </c>
      <c r="F323" s="244">
        <v>2.2000000000000002</v>
      </c>
      <c r="G323" s="199">
        <v>1.1000000000000001</v>
      </c>
      <c r="H323" s="199"/>
      <c r="I323" s="199"/>
      <c r="J323" s="219"/>
      <c r="K323" s="217">
        <f t="shared" si="1"/>
        <v>5.3240000000000016</v>
      </c>
      <c r="L323" s="218"/>
    </row>
    <row r="324" spans="2:12">
      <c r="B324" s="197" t="s">
        <v>1339</v>
      </c>
      <c r="C324" s="189" t="s">
        <v>1271</v>
      </c>
      <c r="D324" s="198" t="s">
        <v>169</v>
      </c>
      <c r="E324" s="199">
        <v>1</v>
      </c>
      <c r="F324" s="244">
        <v>1</v>
      </c>
      <c r="G324" s="199">
        <v>0.7</v>
      </c>
      <c r="H324" s="199"/>
      <c r="I324" s="199"/>
      <c r="J324" s="219"/>
      <c r="K324" s="217">
        <f t="shared" si="1"/>
        <v>0.7</v>
      </c>
      <c r="L324" s="218"/>
    </row>
    <row r="325" spans="2:12">
      <c r="B325" s="197" t="s">
        <v>1340</v>
      </c>
      <c r="C325" s="189" t="s">
        <v>1271</v>
      </c>
      <c r="D325" s="198" t="s">
        <v>169</v>
      </c>
      <c r="E325" s="199">
        <v>1.9</v>
      </c>
      <c r="F325" s="244">
        <v>0.9</v>
      </c>
      <c r="G325" s="199">
        <v>0.7</v>
      </c>
      <c r="H325" s="199"/>
      <c r="I325" s="199"/>
      <c r="J325" s="219"/>
      <c r="K325" s="217">
        <f t="shared" si="1"/>
        <v>1.1969999999999998</v>
      </c>
      <c r="L325" s="218"/>
    </row>
    <row r="326" spans="2:12">
      <c r="B326" s="197" t="s">
        <v>1296</v>
      </c>
      <c r="C326" s="189" t="s">
        <v>1271</v>
      </c>
      <c r="D326" s="198" t="s">
        <v>169</v>
      </c>
      <c r="E326" s="199">
        <v>1.9</v>
      </c>
      <c r="F326" s="244">
        <v>0.9</v>
      </c>
      <c r="G326" s="199">
        <v>0.7</v>
      </c>
      <c r="H326" s="199"/>
      <c r="I326" s="199"/>
      <c r="J326" s="219"/>
      <c r="K326" s="217">
        <f t="shared" si="1"/>
        <v>1.1969999999999998</v>
      </c>
      <c r="L326" s="218"/>
    </row>
    <row r="327" spans="2:12">
      <c r="B327" s="197" t="s">
        <v>1341</v>
      </c>
      <c r="C327" s="189" t="s">
        <v>1271</v>
      </c>
      <c r="D327" s="198" t="s">
        <v>169</v>
      </c>
      <c r="E327" s="199"/>
      <c r="F327" s="244"/>
      <c r="G327" s="199"/>
      <c r="H327" s="199"/>
      <c r="I327" s="199">
        <v>2.95614</v>
      </c>
      <c r="J327" s="219"/>
      <c r="K327" s="217">
        <f t="shared" si="1"/>
        <v>2.95614</v>
      </c>
      <c r="L327" s="218"/>
    </row>
    <row r="328" spans="2:12">
      <c r="B328" s="197" t="s">
        <v>1342</v>
      </c>
      <c r="C328" s="189" t="s">
        <v>1333</v>
      </c>
      <c r="D328" s="198" t="s">
        <v>169</v>
      </c>
      <c r="E328" s="199">
        <v>3.14</v>
      </c>
      <c r="F328" s="244">
        <v>3.14</v>
      </c>
      <c r="G328" s="199">
        <v>2.1</v>
      </c>
      <c r="H328" s="199"/>
      <c r="I328" s="199"/>
      <c r="J328" s="219"/>
      <c r="K328" s="217">
        <f t="shared" si="1"/>
        <v>20.705160000000003</v>
      </c>
      <c r="L328" s="218"/>
    </row>
    <row r="329" spans="2:12">
      <c r="B329" s="197" t="s">
        <v>1343</v>
      </c>
      <c r="C329" s="189" t="s">
        <v>1333</v>
      </c>
      <c r="D329" s="198" t="s">
        <v>169</v>
      </c>
      <c r="E329" s="199">
        <v>2.2000000000000002</v>
      </c>
      <c r="F329" s="244">
        <v>2.2000000000000002</v>
      </c>
      <c r="G329" s="199">
        <v>1.1000000000000001</v>
      </c>
      <c r="H329" s="199"/>
      <c r="I329" s="199"/>
      <c r="J329" s="219"/>
      <c r="K329" s="217">
        <f t="shared" si="1"/>
        <v>5.3240000000000016</v>
      </c>
      <c r="L329" s="218"/>
    </row>
    <row r="330" spans="2:12">
      <c r="B330" s="197" t="s">
        <v>1297</v>
      </c>
      <c r="C330" s="189" t="s">
        <v>1333</v>
      </c>
      <c r="D330" s="198" t="s">
        <v>169</v>
      </c>
      <c r="E330" s="199">
        <v>3.4</v>
      </c>
      <c r="F330" s="244">
        <v>1</v>
      </c>
      <c r="G330" s="199">
        <v>1.2</v>
      </c>
      <c r="H330" s="199"/>
      <c r="I330" s="199"/>
      <c r="J330" s="219"/>
      <c r="K330" s="217">
        <f t="shared" si="1"/>
        <v>4.08</v>
      </c>
      <c r="L330" s="218"/>
    </row>
    <row r="331" spans="2:12">
      <c r="B331" s="197" t="s">
        <v>1344</v>
      </c>
      <c r="C331" s="189" t="s">
        <v>1333</v>
      </c>
      <c r="D331" s="198" t="s">
        <v>169</v>
      </c>
      <c r="E331" s="199">
        <v>2.2000000000000002</v>
      </c>
      <c r="F331" s="244">
        <v>2.2000000000000002</v>
      </c>
      <c r="G331" s="199">
        <v>1.1000000000000001</v>
      </c>
      <c r="H331" s="199"/>
      <c r="I331" s="199"/>
      <c r="J331" s="219"/>
      <c r="K331" s="217">
        <f t="shared" si="1"/>
        <v>5.3240000000000016</v>
      </c>
      <c r="L331" s="218"/>
    </row>
    <row r="332" spans="2:12">
      <c r="B332" s="197" t="s">
        <v>1345</v>
      </c>
      <c r="C332" s="189" t="s">
        <v>1333</v>
      </c>
      <c r="D332" s="198" t="s">
        <v>169</v>
      </c>
      <c r="E332" s="199">
        <v>2.2000000000000002</v>
      </c>
      <c r="F332" s="244">
        <v>2.2000000000000002</v>
      </c>
      <c r="G332" s="199">
        <v>1.1000000000000001</v>
      </c>
      <c r="H332" s="199"/>
      <c r="I332" s="199"/>
      <c r="J332" s="219"/>
      <c r="K332" s="217">
        <f t="shared" si="1"/>
        <v>5.3240000000000016</v>
      </c>
      <c r="L332" s="218"/>
    </row>
    <row r="333" spans="2:12">
      <c r="B333" s="197" t="s">
        <v>1298</v>
      </c>
      <c r="C333" s="189" t="s">
        <v>1333</v>
      </c>
      <c r="D333" s="198" t="s">
        <v>169</v>
      </c>
      <c r="E333" s="199">
        <v>3.4</v>
      </c>
      <c r="F333" s="244">
        <v>2.2000000000000002</v>
      </c>
      <c r="G333" s="199">
        <v>1.34</v>
      </c>
      <c r="H333" s="199"/>
      <c r="I333" s="199"/>
      <c r="J333" s="219"/>
      <c r="K333" s="217">
        <f t="shared" si="1"/>
        <v>10.023200000000001</v>
      </c>
      <c r="L333" s="218"/>
    </row>
    <row r="334" spans="2:12">
      <c r="B334" s="197" t="s">
        <v>1346</v>
      </c>
      <c r="C334" s="189" t="s">
        <v>1333</v>
      </c>
      <c r="D334" s="198" t="s">
        <v>169</v>
      </c>
      <c r="E334" s="199">
        <v>2.2000000000000002</v>
      </c>
      <c r="F334" s="244">
        <v>2.2000000000000002</v>
      </c>
      <c r="G334" s="199">
        <v>1.1000000000000001</v>
      </c>
      <c r="H334" s="199"/>
      <c r="I334" s="199"/>
      <c r="J334" s="219"/>
      <c r="K334" s="217">
        <f t="shared" si="1"/>
        <v>5.3240000000000016</v>
      </c>
      <c r="L334" s="218"/>
    </row>
    <row r="335" spans="2:12">
      <c r="B335" s="197" t="s">
        <v>1347</v>
      </c>
      <c r="C335" s="189" t="s">
        <v>1333</v>
      </c>
      <c r="D335" s="198" t="s">
        <v>169</v>
      </c>
      <c r="E335" s="199"/>
      <c r="F335" s="244"/>
      <c r="G335" s="199"/>
      <c r="H335" s="199"/>
      <c r="I335" s="199">
        <v>2.95614</v>
      </c>
      <c r="J335" s="219"/>
      <c r="K335" s="217">
        <f t="shared" si="1"/>
        <v>2.95614</v>
      </c>
      <c r="L335" s="218"/>
    </row>
    <row r="336" spans="2:12">
      <c r="B336" s="197" t="s">
        <v>1348</v>
      </c>
      <c r="C336" s="189" t="s">
        <v>1333</v>
      </c>
      <c r="D336" s="198" t="s">
        <v>169</v>
      </c>
      <c r="E336" s="199">
        <v>3.14</v>
      </c>
      <c r="F336" s="244">
        <v>3.14</v>
      </c>
      <c r="G336" s="199">
        <v>2.1</v>
      </c>
      <c r="H336" s="199"/>
      <c r="I336" s="199"/>
      <c r="J336" s="219"/>
      <c r="K336" s="217">
        <f t="shared" si="1"/>
        <v>20.705160000000003</v>
      </c>
      <c r="L336" s="218"/>
    </row>
    <row r="337" spans="2:12">
      <c r="B337" s="197" t="s">
        <v>1349</v>
      </c>
      <c r="C337" s="189" t="s">
        <v>1333</v>
      </c>
      <c r="D337" s="198" t="s">
        <v>169</v>
      </c>
      <c r="E337" s="199">
        <v>3.4</v>
      </c>
      <c r="F337" s="244">
        <v>2.2000000000000002</v>
      </c>
      <c r="G337" s="199">
        <v>1.1000000000000001</v>
      </c>
      <c r="H337" s="199"/>
      <c r="I337" s="199"/>
      <c r="J337" s="219"/>
      <c r="K337" s="217">
        <f t="shared" si="1"/>
        <v>8.2280000000000015</v>
      </c>
      <c r="L337" s="218"/>
    </row>
    <row r="338" spans="2:12">
      <c r="B338" s="197" t="s">
        <v>1350</v>
      </c>
      <c r="C338" s="189" t="s">
        <v>1333</v>
      </c>
      <c r="D338" s="198" t="s">
        <v>169</v>
      </c>
      <c r="E338" s="199">
        <v>3.4</v>
      </c>
      <c r="F338" s="244">
        <v>2.2000000000000002</v>
      </c>
      <c r="G338" s="199">
        <v>1.1000000000000001</v>
      </c>
      <c r="H338" s="199"/>
      <c r="I338" s="199"/>
      <c r="J338" s="219"/>
      <c r="K338" s="217">
        <f t="shared" si="1"/>
        <v>8.2280000000000015</v>
      </c>
      <c r="L338" s="218"/>
    </row>
    <row r="339" spans="2:12">
      <c r="B339" s="197" t="s">
        <v>1351</v>
      </c>
      <c r="C339" s="189" t="s">
        <v>1333</v>
      </c>
      <c r="D339" s="198" t="s">
        <v>169</v>
      </c>
      <c r="E339" s="199">
        <v>2.2000000000000002</v>
      </c>
      <c r="F339" s="244">
        <v>2.2000000000000002</v>
      </c>
      <c r="G339" s="199">
        <v>1.1000000000000001</v>
      </c>
      <c r="H339" s="199"/>
      <c r="I339" s="199"/>
      <c r="J339" s="219"/>
      <c r="K339" s="217">
        <f t="shared" si="1"/>
        <v>5.3240000000000016</v>
      </c>
      <c r="L339" s="218"/>
    </row>
    <row r="340" spans="2:12">
      <c r="B340" s="197" t="s">
        <v>1352</v>
      </c>
      <c r="C340" s="189" t="s">
        <v>1333</v>
      </c>
      <c r="D340" s="198" t="s">
        <v>169</v>
      </c>
      <c r="E340" s="199">
        <v>1</v>
      </c>
      <c r="F340" s="244">
        <v>1</v>
      </c>
      <c r="G340" s="199">
        <v>0.7</v>
      </c>
      <c r="H340" s="199"/>
      <c r="I340" s="199"/>
      <c r="J340" s="219"/>
      <c r="K340" s="217">
        <f t="shared" si="1"/>
        <v>0.7</v>
      </c>
      <c r="L340" s="218"/>
    </row>
    <row r="341" spans="2:12">
      <c r="B341" s="197" t="s">
        <v>1353</v>
      </c>
      <c r="C341" s="189" t="s">
        <v>1333</v>
      </c>
      <c r="D341" s="198" t="s">
        <v>169</v>
      </c>
      <c r="E341" s="199">
        <v>1</v>
      </c>
      <c r="F341" s="244">
        <v>1</v>
      </c>
      <c r="G341" s="199">
        <v>0.7</v>
      </c>
      <c r="H341" s="199"/>
      <c r="I341" s="199"/>
      <c r="J341" s="219"/>
      <c r="K341" s="217">
        <f t="shared" si="1"/>
        <v>0.7</v>
      </c>
      <c r="L341" s="218"/>
    </row>
    <row r="342" spans="2:12">
      <c r="B342" s="197" t="s">
        <v>1354</v>
      </c>
      <c r="C342" s="189" t="s">
        <v>1333</v>
      </c>
      <c r="D342" s="198" t="s">
        <v>169</v>
      </c>
      <c r="E342" s="199">
        <v>1</v>
      </c>
      <c r="F342" s="244">
        <v>1</v>
      </c>
      <c r="G342" s="199">
        <v>0.7</v>
      </c>
      <c r="H342" s="199"/>
      <c r="I342" s="199"/>
      <c r="J342" s="219"/>
      <c r="K342" s="217">
        <f t="shared" si="1"/>
        <v>0.7</v>
      </c>
      <c r="L342" s="218"/>
    </row>
    <row r="343" spans="2:12">
      <c r="B343" s="197" t="s">
        <v>1355</v>
      </c>
      <c r="C343" s="189" t="s">
        <v>1333</v>
      </c>
      <c r="D343" s="198" t="s">
        <v>169</v>
      </c>
      <c r="E343" s="199">
        <v>1</v>
      </c>
      <c r="F343" s="244">
        <v>1</v>
      </c>
      <c r="G343" s="199">
        <v>0.7</v>
      </c>
      <c r="H343" s="199"/>
      <c r="I343" s="199"/>
      <c r="J343" s="219"/>
      <c r="K343" s="217">
        <f t="shared" si="1"/>
        <v>0.7</v>
      </c>
      <c r="L343" s="218"/>
    </row>
    <row r="344" spans="2:12">
      <c r="B344" s="197" t="s">
        <v>1356</v>
      </c>
      <c r="C344" s="189" t="s">
        <v>1333</v>
      </c>
      <c r="D344" s="198" t="s">
        <v>169</v>
      </c>
      <c r="E344" s="199">
        <v>2.2000000000000002</v>
      </c>
      <c r="F344" s="244">
        <v>2.2000000000000002</v>
      </c>
      <c r="G344" s="199">
        <v>1.1000000000000001</v>
      </c>
      <c r="H344" s="199"/>
      <c r="I344" s="199"/>
      <c r="J344" s="219"/>
      <c r="K344" s="217">
        <f t="shared" si="1"/>
        <v>5.3240000000000016</v>
      </c>
      <c r="L344" s="218"/>
    </row>
    <row r="345" spans="2:12">
      <c r="B345" s="197" t="s">
        <v>1357</v>
      </c>
      <c r="C345" s="189" t="s">
        <v>1333</v>
      </c>
      <c r="D345" s="198" t="s">
        <v>169</v>
      </c>
      <c r="E345" s="199">
        <v>2.2000000000000002</v>
      </c>
      <c r="F345" s="244">
        <v>2.2000000000000002</v>
      </c>
      <c r="G345" s="199">
        <v>1.1000000000000001</v>
      </c>
      <c r="H345" s="199"/>
      <c r="I345" s="199"/>
      <c r="J345" s="219"/>
      <c r="K345" s="217">
        <f t="shared" si="1"/>
        <v>5.3240000000000016</v>
      </c>
      <c r="L345" s="218"/>
    </row>
    <row r="346" spans="2:12">
      <c r="B346" s="197" t="s">
        <v>1358</v>
      </c>
      <c r="C346" s="189" t="s">
        <v>1333</v>
      </c>
      <c r="D346" s="198" t="s">
        <v>169</v>
      </c>
      <c r="E346" s="199">
        <v>2.2000000000000002</v>
      </c>
      <c r="F346" s="244">
        <v>2.2000000000000002</v>
      </c>
      <c r="G346" s="199">
        <v>1.1000000000000001</v>
      </c>
      <c r="H346" s="199"/>
      <c r="I346" s="199"/>
      <c r="J346" s="219"/>
      <c r="K346" s="217">
        <f t="shared" si="1"/>
        <v>5.3240000000000016</v>
      </c>
      <c r="L346" s="218"/>
    </row>
    <row r="347" spans="2:12">
      <c r="B347" s="197" t="s">
        <v>1359</v>
      </c>
      <c r="C347" s="189" t="s">
        <v>1333</v>
      </c>
      <c r="D347" s="198" t="s">
        <v>169</v>
      </c>
      <c r="E347" s="199">
        <v>2.2000000000000002</v>
      </c>
      <c r="F347" s="244">
        <v>2.2000000000000002</v>
      </c>
      <c r="G347" s="199">
        <v>1.1000000000000001</v>
      </c>
      <c r="H347" s="199"/>
      <c r="I347" s="199"/>
      <c r="J347" s="219"/>
      <c r="K347" s="217">
        <f t="shared" si="1"/>
        <v>5.3240000000000016</v>
      </c>
      <c r="L347" s="218"/>
    </row>
    <row r="348" spans="2:12">
      <c r="B348" s="197" t="s">
        <v>1360</v>
      </c>
      <c r="C348" s="189" t="s">
        <v>1333</v>
      </c>
      <c r="D348" s="198" t="s">
        <v>169</v>
      </c>
      <c r="E348" s="199">
        <v>1</v>
      </c>
      <c r="F348" s="244">
        <v>1</v>
      </c>
      <c r="G348" s="199">
        <v>0.7</v>
      </c>
      <c r="H348" s="199"/>
      <c r="I348" s="199"/>
      <c r="J348" s="219"/>
      <c r="K348" s="217">
        <f t="shared" si="1"/>
        <v>0.7</v>
      </c>
      <c r="L348" s="218"/>
    </row>
    <row r="349" spans="2:12">
      <c r="B349" s="197" t="s">
        <v>1361</v>
      </c>
      <c r="C349" s="189" t="s">
        <v>1333</v>
      </c>
      <c r="D349" s="198" t="s">
        <v>169</v>
      </c>
      <c r="E349" s="199">
        <v>1</v>
      </c>
      <c r="F349" s="244">
        <v>1</v>
      </c>
      <c r="G349" s="199">
        <v>0.7</v>
      </c>
      <c r="H349" s="199"/>
      <c r="I349" s="199"/>
      <c r="J349" s="219"/>
      <c r="K349" s="217">
        <f t="shared" si="1"/>
        <v>0.7</v>
      </c>
      <c r="L349" s="218"/>
    </row>
    <row r="350" spans="2:12">
      <c r="B350" s="197" t="s">
        <v>1362</v>
      </c>
      <c r="C350" s="189" t="s">
        <v>1333</v>
      </c>
      <c r="D350" s="198" t="s">
        <v>169</v>
      </c>
      <c r="E350" s="199">
        <v>2.2000000000000002</v>
      </c>
      <c r="F350" s="244">
        <v>2.2000000000000002</v>
      </c>
      <c r="G350" s="199">
        <v>1.1000000000000001</v>
      </c>
      <c r="H350" s="199"/>
      <c r="I350" s="199"/>
      <c r="J350" s="219"/>
      <c r="K350" s="217">
        <f t="shared" si="1"/>
        <v>5.3240000000000016</v>
      </c>
      <c r="L350" s="218"/>
    </row>
    <row r="351" spans="2:12">
      <c r="B351" s="197" t="s">
        <v>1363</v>
      </c>
      <c r="C351" s="189" t="s">
        <v>1333</v>
      </c>
      <c r="D351" s="198" t="s">
        <v>169</v>
      </c>
      <c r="E351" s="199">
        <v>2.2000000000000002</v>
      </c>
      <c r="F351" s="244">
        <v>2.2000000000000002</v>
      </c>
      <c r="G351" s="199">
        <v>1.1000000000000001</v>
      </c>
      <c r="H351" s="199"/>
      <c r="I351" s="199"/>
      <c r="J351" s="219"/>
      <c r="K351" s="217">
        <f t="shared" si="1"/>
        <v>5.3240000000000016</v>
      </c>
      <c r="L351" s="218"/>
    </row>
    <row r="352" spans="2:12">
      <c r="B352" s="197" t="s">
        <v>1364</v>
      </c>
      <c r="C352" s="189" t="s">
        <v>1333</v>
      </c>
      <c r="D352" s="198" t="s">
        <v>169</v>
      </c>
      <c r="E352" s="199">
        <v>1.9</v>
      </c>
      <c r="F352" s="244">
        <v>0.9</v>
      </c>
      <c r="G352" s="199">
        <v>1</v>
      </c>
      <c r="H352" s="199"/>
      <c r="I352" s="199"/>
      <c r="J352" s="219"/>
      <c r="K352" s="217">
        <f t="shared" si="1"/>
        <v>1.71</v>
      </c>
      <c r="L352" s="218"/>
    </row>
    <row r="353" spans="2:12">
      <c r="B353" s="197"/>
      <c r="C353" s="189"/>
      <c r="D353" s="198"/>
      <c r="E353" s="199"/>
      <c r="F353" s="244"/>
      <c r="G353" s="199"/>
      <c r="H353" s="199"/>
      <c r="I353" s="199"/>
      <c r="J353" s="219"/>
      <c r="K353" s="217">
        <f t="shared" si="1"/>
        <v>0</v>
      </c>
      <c r="L353" s="218"/>
    </row>
    <row r="354" spans="2:12">
      <c r="B354" s="202"/>
      <c r="C354" s="203"/>
      <c r="D354" s="203"/>
      <c r="E354" s="203"/>
      <c r="F354" s="203"/>
      <c r="G354" s="203"/>
      <c r="H354" s="204"/>
      <c r="I354" s="556" t="s">
        <v>1221</v>
      </c>
      <c r="J354" s="556"/>
      <c r="K354" s="220">
        <f>SUM(K310:K353)</f>
        <v>198.46108000000007</v>
      </c>
      <c r="L354" s="207"/>
    </row>
    <row r="355" spans="2:12">
      <c r="B355" s="208"/>
      <c r="C355" s="204"/>
      <c r="D355" s="204"/>
      <c r="E355" s="204"/>
      <c r="F355" s="204"/>
      <c r="G355" s="204"/>
      <c r="H355" s="209"/>
      <c r="I355" s="557" t="s">
        <v>1222</v>
      </c>
      <c r="J355" s="557"/>
      <c r="K355" s="221">
        <v>213.07</v>
      </c>
      <c r="L355" s="207"/>
    </row>
    <row r="356" spans="2:12">
      <c r="B356" s="208"/>
      <c r="C356" s="204"/>
      <c r="D356" s="204"/>
      <c r="E356" s="204"/>
      <c r="F356" s="204"/>
      <c r="G356" s="204"/>
      <c r="H356" s="558" t="s">
        <v>1223</v>
      </c>
      <c r="I356" s="558"/>
      <c r="J356" s="558"/>
      <c r="K356" s="222">
        <v>71.91498</v>
      </c>
      <c r="L356" s="207"/>
    </row>
    <row r="357" spans="2:12">
      <c r="B357" s="208"/>
      <c r="C357" s="204"/>
      <c r="D357" s="204"/>
      <c r="E357" s="204"/>
      <c r="F357" s="204"/>
      <c r="G357" s="204"/>
      <c r="H357" s="558" t="s">
        <v>1250</v>
      </c>
      <c r="I357" s="558"/>
      <c r="J357" s="558"/>
      <c r="K357" s="222">
        <f>IF(K354&gt;K355,K355,K354)-K356</f>
        <v>126.54610000000007</v>
      </c>
      <c r="L357" s="207"/>
    </row>
    <row r="358" spans="2:12">
      <c r="B358" s="213"/>
      <c r="C358" s="214"/>
      <c r="D358" s="214"/>
      <c r="E358" s="214"/>
      <c r="F358" s="214"/>
      <c r="G358" s="214"/>
      <c r="H358" s="559" t="s">
        <v>1224</v>
      </c>
      <c r="I358" s="559"/>
      <c r="J358" s="559"/>
      <c r="K358" s="223">
        <f>IF(K354&gt;K355,K354-K355,0)</f>
        <v>0</v>
      </c>
      <c r="L358" s="209"/>
    </row>
    <row r="360" spans="2:12" ht="14.25" customHeight="1">
      <c r="B360" s="555" t="s">
        <v>1300</v>
      </c>
      <c r="C360" s="555"/>
      <c r="D360" s="555"/>
      <c r="E360" s="555"/>
      <c r="F360" s="555"/>
      <c r="G360" s="555"/>
      <c r="H360" s="555"/>
      <c r="I360" s="555"/>
      <c r="J360" s="555"/>
      <c r="K360" s="555"/>
      <c r="L360" s="555"/>
    </row>
    <row r="361" spans="2:12">
      <c r="B361" s="187" t="s">
        <v>1209</v>
      </c>
      <c r="C361" s="187"/>
      <c r="D361" s="187" t="s">
        <v>39</v>
      </c>
      <c r="E361" s="187" t="s">
        <v>1210</v>
      </c>
      <c r="F361" s="187" t="s">
        <v>1211</v>
      </c>
      <c r="G361" s="187" t="s">
        <v>1212</v>
      </c>
      <c r="H361" s="187" t="s">
        <v>1213</v>
      </c>
      <c r="I361" s="187" t="s">
        <v>1214</v>
      </c>
      <c r="J361" s="187" t="s">
        <v>1215</v>
      </c>
      <c r="K361" s="187" t="s">
        <v>1216</v>
      </c>
      <c r="L361" s="187" t="s">
        <v>1217</v>
      </c>
    </row>
    <row r="362" spans="2:12">
      <c r="B362" s="188" t="s">
        <v>1301</v>
      </c>
      <c r="C362" s="189" t="s">
        <v>1271</v>
      </c>
      <c r="D362" s="190" t="s">
        <v>1274</v>
      </c>
      <c r="E362" s="191">
        <v>646</v>
      </c>
      <c r="F362" s="243">
        <v>0.16</v>
      </c>
      <c r="G362" s="192"/>
      <c r="H362" s="191">
        <v>1.1000000000000001</v>
      </c>
      <c r="I362" s="191"/>
      <c r="J362" s="216"/>
      <c r="K362" s="217">
        <f>IF(E362*F362*G362&lt;&gt;0,E362*F362*G362,IF(E362*F362&lt;&gt;0,E362*F362,IF(F362*G362&lt;&gt;0,F362*G362,IF(E362*G362&lt;&gt;0,E362*G362,IF(E362&lt;&gt;0,E362,IF(F362&lt;&gt;0,F362,IF(G362&lt;&gt;0,G362,0)))))))*(IF(H362&lt;&gt;0,H362,1))+I362-J362</f>
        <v>113.69600000000001</v>
      </c>
      <c r="L362" s="218"/>
    </row>
    <row r="363" spans="2:12">
      <c r="B363" s="188" t="s">
        <v>1302</v>
      </c>
      <c r="C363" s="189" t="s">
        <v>1271</v>
      </c>
      <c r="D363" s="190" t="s">
        <v>1274</v>
      </c>
      <c r="E363" s="191">
        <v>348</v>
      </c>
      <c r="F363" s="243">
        <v>0.16</v>
      </c>
      <c r="G363" s="192"/>
      <c r="H363" s="191">
        <v>1.1000000000000001</v>
      </c>
      <c r="I363" s="191"/>
      <c r="J363" s="216"/>
      <c r="K363" s="217">
        <f>IF(E363*F363*G363&lt;&gt;0,E363*F363*G363,IF(E363*F363&lt;&gt;0,E363*F363,IF(F363*G363&lt;&gt;0,F363*G363,IF(E363*G363&lt;&gt;0,E363*G363,IF(E363&lt;&gt;0,E363,IF(F363&lt;&gt;0,F363,IF(G363&lt;&gt;0,G363,0)))))))*(IF(H363&lt;&gt;0,H363,1))+I363-J363</f>
        <v>61.248000000000005</v>
      </c>
      <c r="L363" s="218"/>
    </row>
    <row r="364" spans="2:12">
      <c r="B364" s="188" t="s">
        <v>1365</v>
      </c>
      <c r="C364" s="189" t="s">
        <v>1271</v>
      </c>
      <c r="D364" s="190" t="s">
        <v>1274</v>
      </c>
      <c r="E364" s="191"/>
      <c r="F364" s="243"/>
      <c r="G364" s="192"/>
      <c r="H364" s="191"/>
      <c r="I364" s="191">
        <v>10.956</v>
      </c>
      <c r="J364" s="216"/>
      <c r="K364" s="217">
        <f>IF(E364*F364*G364&lt;&gt;0,E364*F364*G364,IF(E364*F364&lt;&gt;0,E364*F364,IF(F364*G364&lt;&gt;0,F364*G364,IF(E364*G364&lt;&gt;0,E364*G364,IF(E364&lt;&gt;0,E364,IF(F364&lt;&gt;0,F364,IF(G364&lt;&gt;0,G364,0)))))))*(IF(H364&lt;&gt;0,H364,1))+I364-J364</f>
        <v>10.956</v>
      </c>
      <c r="L364" s="245" t="s">
        <v>1366</v>
      </c>
    </row>
    <row r="365" spans="2:12">
      <c r="B365" s="197"/>
      <c r="C365" s="189"/>
      <c r="D365" s="198"/>
      <c r="E365" s="199"/>
      <c r="F365" s="244"/>
      <c r="G365" s="199"/>
      <c r="H365" s="199"/>
      <c r="I365" s="199"/>
      <c r="J365" s="219"/>
      <c r="K365" s="217">
        <f>IF(E365*F365*G365&lt;&gt;0,E365*F365*G365,IF(E365*F365&lt;&gt;0,E365*F365,IF(F365*G365&lt;&gt;0,F365*G365,IF(E365*G365&lt;&gt;0,E365*G365,IF(E365&lt;&gt;0,E365,IF(F365&lt;&gt;0,F365,IF(G365&lt;&gt;0,G365,0)))))))*(IF(H365&lt;&gt;0,H365,1))+I365-J365</f>
        <v>0</v>
      </c>
      <c r="L365" s="218"/>
    </row>
    <row r="366" spans="2:12">
      <c r="B366" s="202"/>
      <c r="C366" s="203"/>
      <c r="D366" s="203"/>
      <c r="E366" s="203"/>
      <c r="F366" s="203"/>
      <c r="G366" s="203"/>
      <c r="H366" s="204"/>
      <c r="I366" s="556" t="s">
        <v>1221</v>
      </c>
      <c r="J366" s="556"/>
      <c r="K366" s="220">
        <f>SUM(K362:K365)</f>
        <v>185.9</v>
      </c>
      <c r="L366" s="207"/>
    </row>
    <row r="367" spans="2:12">
      <c r="B367" s="208"/>
      <c r="C367" s="204"/>
      <c r="D367" s="204"/>
      <c r="E367" s="204"/>
      <c r="F367" s="204"/>
      <c r="G367" s="204"/>
      <c r="H367" s="209"/>
      <c r="I367" s="557" t="s">
        <v>1222</v>
      </c>
      <c r="J367" s="557"/>
      <c r="K367" s="221">
        <v>185.9</v>
      </c>
      <c r="L367" s="207"/>
    </row>
    <row r="368" spans="2:12">
      <c r="B368" s="208"/>
      <c r="C368" s="204"/>
      <c r="D368" s="204"/>
      <c r="E368" s="204"/>
      <c r="F368" s="204"/>
      <c r="G368" s="204"/>
      <c r="H368" s="558" t="s">
        <v>1223</v>
      </c>
      <c r="I368" s="558"/>
      <c r="J368" s="558"/>
      <c r="K368" s="222">
        <v>163.02440000000001</v>
      </c>
      <c r="L368" s="207"/>
    </row>
    <row r="369" spans="2:12">
      <c r="B369" s="208"/>
      <c r="C369" s="204"/>
      <c r="D369" s="204"/>
      <c r="E369" s="204"/>
      <c r="F369" s="204"/>
      <c r="G369" s="204"/>
      <c r="H369" s="558" t="s">
        <v>1250</v>
      </c>
      <c r="I369" s="558"/>
      <c r="J369" s="558"/>
      <c r="K369" s="222">
        <f>IF(K366&gt;K367,K367,K366)-K368</f>
        <v>22.875599999999991</v>
      </c>
      <c r="L369" s="246">
        <f>K367-K366</f>
        <v>0</v>
      </c>
    </row>
    <row r="370" spans="2:12">
      <c r="B370" s="213"/>
      <c r="C370" s="214"/>
      <c r="D370" s="214"/>
      <c r="E370" s="214"/>
      <c r="F370" s="214"/>
      <c r="G370" s="214"/>
      <c r="H370" s="559" t="s">
        <v>1224</v>
      </c>
      <c r="I370" s="559"/>
      <c r="J370" s="559"/>
      <c r="K370" s="223">
        <f>IF(K366&gt;K367,K366-K367,0)</f>
        <v>0</v>
      </c>
      <c r="L370" s="209"/>
    </row>
    <row r="372" spans="2:12" ht="14.25" customHeight="1">
      <c r="B372" s="555" t="s">
        <v>1303</v>
      </c>
      <c r="C372" s="555"/>
      <c r="D372" s="555"/>
      <c r="E372" s="555"/>
      <c r="F372" s="555"/>
      <c r="G372" s="555"/>
      <c r="H372" s="555"/>
      <c r="I372" s="555"/>
      <c r="J372" s="555"/>
      <c r="K372" s="555"/>
      <c r="L372" s="555"/>
    </row>
    <row r="373" spans="2:12">
      <c r="B373" s="187" t="s">
        <v>1209</v>
      </c>
      <c r="C373" s="187"/>
      <c r="D373" s="187" t="s">
        <v>39</v>
      </c>
      <c r="E373" s="187" t="s">
        <v>1210</v>
      </c>
      <c r="F373" s="187" t="s">
        <v>1211</v>
      </c>
      <c r="G373" s="187" t="s">
        <v>1212</v>
      </c>
      <c r="H373" s="187" t="s">
        <v>1213</v>
      </c>
      <c r="I373" s="187" t="s">
        <v>1214</v>
      </c>
      <c r="J373" s="187" t="s">
        <v>1215</v>
      </c>
      <c r="K373" s="187" t="s">
        <v>1216</v>
      </c>
      <c r="L373" s="187" t="s">
        <v>1217</v>
      </c>
    </row>
    <row r="374" spans="2:12">
      <c r="B374" s="188" t="s">
        <v>1301</v>
      </c>
      <c r="C374" s="189" t="s">
        <v>1271</v>
      </c>
      <c r="D374" s="190" t="s">
        <v>1274</v>
      </c>
      <c r="E374" s="191">
        <v>257</v>
      </c>
      <c r="F374" s="243">
        <v>0.245</v>
      </c>
      <c r="G374" s="192"/>
      <c r="H374" s="191">
        <v>1.1000000000000001</v>
      </c>
      <c r="I374" s="191"/>
      <c r="J374" s="216"/>
      <c r="K374" s="217">
        <f>IF(E374*F374*G374&lt;&gt;0,E374*F374*G374,IF(E374*F374&lt;&gt;0,E374*F374,IF(F374*G374&lt;&gt;0,F374*G374,IF(E374*G374&lt;&gt;0,E374*G374,IF(E374&lt;&gt;0,E374,IF(F374&lt;&gt;0,F374,IF(G374&lt;&gt;0,G374,0)))))))*(IF(H374&lt;&gt;0,H374,1))+I374-J374</f>
        <v>69.261499999999998</v>
      </c>
      <c r="L374" s="218"/>
    </row>
    <row r="375" spans="2:12">
      <c r="B375" s="188" t="s">
        <v>1302</v>
      </c>
      <c r="C375" s="189" t="s">
        <v>1271</v>
      </c>
      <c r="D375" s="190" t="s">
        <v>1274</v>
      </c>
      <c r="E375" s="191">
        <v>642</v>
      </c>
      <c r="F375" s="243">
        <v>0.245</v>
      </c>
      <c r="G375" s="192"/>
      <c r="H375" s="191">
        <v>1.1000000000000001</v>
      </c>
      <c r="I375" s="191"/>
      <c r="J375" s="216"/>
      <c r="K375" s="217">
        <f>IF(E375*F375*G375&lt;&gt;0,E375*F375*G375,IF(E375*F375&lt;&gt;0,E375*F375,IF(F375*G375&lt;&gt;0,F375*G375,IF(E375*G375&lt;&gt;0,E375*G375,IF(E375&lt;&gt;0,E375,IF(F375&lt;&gt;0,F375,IF(G375&lt;&gt;0,G375,0)))))))*(IF(H375&lt;&gt;0,H375,1))+I375-J375</f>
        <v>173.01900000000001</v>
      </c>
      <c r="L375" s="218"/>
    </row>
    <row r="376" spans="2:12">
      <c r="B376" s="197"/>
      <c r="C376" s="189"/>
      <c r="D376" s="198"/>
      <c r="E376" s="199"/>
      <c r="F376" s="244"/>
      <c r="G376" s="199"/>
      <c r="H376" s="199"/>
      <c r="I376" s="199"/>
      <c r="J376" s="219"/>
      <c r="K376" s="217">
        <f>IF(E376*F376*G376&lt;&gt;0,E376*F376*G376,IF(E376*F376&lt;&gt;0,E376*F376,IF(F376*G376&lt;&gt;0,F376*G376,IF(E376*G376&lt;&gt;0,E376*G376,IF(E376&lt;&gt;0,E376,IF(F376&lt;&gt;0,F376,IF(G376&lt;&gt;0,G376,0)))))))*(IF(H376&lt;&gt;0,H376,1))+I376-J376</f>
        <v>0</v>
      </c>
      <c r="L376" s="218"/>
    </row>
    <row r="377" spans="2:12">
      <c r="B377" s="202"/>
      <c r="C377" s="203"/>
      <c r="D377" s="203"/>
      <c r="E377" s="203"/>
      <c r="F377" s="203"/>
      <c r="G377" s="203"/>
      <c r="H377" s="204"/>
      <c r="I377" s="556" t="s">
        <v>1221</v>
      </c>
      <c r="J377" s="556"/>
      <c r="K377" s="220">
        <f>SUM(K374:K376)</f>
        <v>242.28050000000002</v>
      </c>
      <c r="L377" s="207"/>
    </row>
    <row r="378" spans="2:12">
      <c r="B378" s="208"/>
      <c r="C378" s="204"/>
      <c r="D378" s="204"/>
      <c r="E378" s="204"/>
      <c r="F378" s="204"/>
      <c r="G378" s="204"/>
      <c r="H378" s="209"/>
      <c r="I378" s="557" t="s">
        <v>1222</v>
      </c>
      <c r="J378" s="557"/>
      <c r="K378" s="221">
        <v>199.1</v>
      </c>
      <c r="L378" s="207"/>
    </row>
    <row r="379" spans="2:12">
      <c r="B379" s="208"/>
      <c r="C379" s="204"/>
      <c r="D379" s="204"/>
      <c r="E379" s="204"/>
      <c r="F379" s="204"/>
      <c r="G379" s="204"/>
      <c r="H379" s="558" t="s">
        <v>1223</v>
      </c>
      <c r="I379" s="558"/>
      <c r="J379" s="558"/>
      <c r="K379" s="222">
        <v>0</v>
      </c>
      <c r="L379" s="207"/>
    </row>
    <row r="380" spans="2:12">
      <c r="B380" s="208"/>
      <c r="C380" s="204"/>
      <c r="D380" s="204"/>
      <c r="E380" s="204"/>
      <c r="F380" s="204"/>
      <c r="G380" s="204"/>
      <c r="H380" s="558" t="s">
        <v>1201</v>
      </c>
      <c r="I380" s="558"/>
      <c r="J380" s="558"/>
      <c r="K380" s="222">
        <f>IF(K377&gt;K378,K378,K377)-K379</f>
        <v>199.1</v>
      </c>
      <c r="L380" s="207"/>
    </row>
    <row r="381" spans="2:12">
      <c r="B381" s="213"/>
      <c r="C381" s="214"/>
      <c r="D381" s="214"/>
      <c r="E381" s="214"/>
      <c r="F381" s="214"/>
      <c r="G381" s="214"/>
      <c r="H381" s="559" t="s">
        <v>1224</v>
      </c>
      <c r="I381" s="559"/>
      <c r="J381" s="559"/>
      <c r="K381" s="223">
        <f>IF(K377&gt;K378,K377-K378,0)</f>
        <v>43.180500000000023</v>
      </c>
      <c r="L381" s="209"/>
    </row>
    <row r="383" spans="2:12" ht="14.25" customHeight="1">
      <c r="B383" s="555" t="s">
        <v>1304</v>
      </c>
      <c r="C383" s="555"/>
      <c r="D383" s="555"/>
      <c r="E383" s="555"/>
      <c r="F383" s="555"/>
      <c r="G383" s="555"/>
      <c r="H383" s="555"/>
      <c r="I383" s="555"/>
      <c r="J383" s="555"/>
      <c r="K383" s="555"/>
      <c r="L383" s="555"/>
    </row>
    <row r="384" spans="2:12">
      <c r="B384" s="187" t="s">
        <v>1209</v>
      </c>
      <c r="C384" s="187"/>
      <c r="D384" s="187" t="s">
        <v>39</v>
      </c>
      <c r="E384" s="187" t="s">
        <v>1210</v>
      </c>
      <c r="F384" s="187" t="s">
        <v>1211</v>
      </c>
      <c r="G384" s="187" t="s">
        <v>1212</v>
      </c>
      <c r="H384" s="187" t="s">
        <v>1213</v>
      </c>
      <c r="I384" s="187" t="s">
        <v>1214</v>
      </c>
      <c r="J384" s="187" t="s">
        <v>1215</v>
      </c>
      <c r="K384" s="187" t="s">
        <v>1216</v>
      </c>
      <c r="L384" s="187" t="s">
        <v>1217</v>
      </c>
    </row>
    <row r="385" spans="2:12">
      <c r="B385" s="188" t="s">
        <v>1301</v>
      </c>
      <c r="C385" s="189" t="s">
        <v>1271</v>
      </c>
      <c r="D385" s="190" t="s">
        <v>1274</v>
      </c>
      <c r="E385" s="191">
        <v>566</v>
      </c>
      <c r="F385" s="243">
        <v>0.39500000000000002</v>
      </c>
      <c r="G385" s="192"/>
      <c r="H385" s="191">
        <v>1.1000000000000001</v>
      </c>
      <c r="I385" s="191"/>
      <c r="J385" s="216"/>
      <c r="K385" s="217">
        <f>IF(E385*F385*G385&lt;&gt;0,E385*F385*G385,IF(E385*F385&lt;&gt;0,E385*F385,IF(F385*G385&lt;&gt;0,F385*G385,IF(E385*G385&lt;&gt;0,E385*G385,IF(E385&lt;&gt;0,E385,IF(F385&lt;&gt;0,F385,IF(G385&lt;&gt;0,G385,0)))))))*(IF(H385&lt;&gt;0,H385,1))+I385-J385</f>
        <v>245.92700000000005</v>
      </c>
      <c r="L385" s="218"/>
    </row>
    <row r="386" spans="2:12">
      <c r="B386" s="188" t="s">
        <v>1302</v>
      </c>
      <c r="C386" s="189" t="s">
        <v>1271</v>
      </c>
      <c r="D386" s="190" t="s">
        <v>1274</v>
      </c>
      <c r="E386" s="191">
        <v>641</v>
      </c>
      <c r="F386" s="243">
        <v>0.39500000000000002</v>
      </c>
      <c r="G386" s="192"/>
      <c r="H386" s="191">
        <v>1.1000000000000001</v>
      </c>
      <c r="I386" s="191"/>
      <c r="J386" s="216"/>
      <c r="K386" s="217">
        <f>IF(E386*F386*G386&lt;&gt;0,E386*F386*G386,IF(E386*F386&lt;&gt;0,E386*F386,IF(F386*G386&lt;&gt;0,F386*G386,IF(E386*G386&lt;&gt;0,E386*G386,IF(E386&lt;&gt;0,E386,IF(F386&lt;&gt;0,F386,IF(G386&lt;&gt;0,G386,0)))))))*(IF(H386&lt;&gt;0,H386,1))+I386-J386</f>
        <v>278.51450000000006</v>
      </c>
      <c r="L386" s="218"/>
    </row>
    <row r="387" spans="2:12">
      <c r="B387" s="197"/>
      <c r="C387" s="189"/>
      <c r="D387" s="198"/>
      <c r="E387" s="199"/>
      <c r="F387" s="244"/>
      <c r="G387" s="199"/>
      <c r="H387" s="199"/>
      <c r="I387" s="199"/>
      <c r="J387" s="219"/>
      <c r="K387" s="217">
        <f>IF(E387*F387*G387&lt;&gt;0,E387*F387*G387,IF(E387*F387&lt;&gt;0,E387*F387,IF(F387*G387&lt;&gt;0,F387*G387,IF(E387*G387&lt;&gt;0,E387*G387,IF(E387&lt;&gt;0,E387,IF(F387&lt;&gt;0,F387,IF(G387&lt;&gt;0,G387,0)))))))*(IF(H387&lt;&gt;0,H387,1))+I387-J387</f>
        <v>0</v>
      </c>
      <c r="L387" s="218"/>
    </row>
    <row r="388" spans="2:12">
      <c r="B388" s="202"/>
      <c r="C388" s="203"/>
      <c r="D388" s="203"/>
      <c r="E388" s="203"/>
      <c r="F388" s="203"/>
      <c r="G388" s="203"/>
      <c r="H388" s="204"/>
      <c r="I388" s="556" t="s">
        <v>1221</v>
      </c>
      <c r="J388" s="556"/>
      <c r="K388" s="220">
        <f>SUM(K385:K387)</f>
        <v>524.44150000000013</v>
      </c>
      <c r="L388" s="207"/>
    </row>
    <row r="389" spans="2:12">
      <c r="B389" s="208"/>
      <c r="C389" s="204"/>
      <c r="D389" s="204"/>
      <c r="E389" s="204"/>
      <c r="F389" s="204"/>
      <c r="G389" s="204"/>
      <c r="H389" s="209"/>
      <c r="I389" s="557" t="s">
        <v>1222</v>
      </c>
      <c r="J389" s="557"/>
      <c r="K389" s="221">
        <v>378.4</v>
      </c>
      <c r="L389" s="207"/>
    </row>
    <row r="390" spans="2:12">
      <c r="B390" s="208"/>
      <c r="C390" s="204"/>
      <c r="D390" s="204"/>
      <c r="E390" s="204"/>
      <c r="F390" s="204"/>
      <c r="G390" s="204"/>
      <c r="H390" s="558" t="s">
        <v>1223</v>
      </c>
      <c r="I390" s="558"/>
      <c r="J390" s="558"/>
      <c r="K390" s="222">
        <v>0</v>
      </c>
      <c r="L390" s="207"/>
    </row>
    <row r="391" spans="2:12">
      <c r="B391" s="208"/>
      <c r="C391" s="204"/>
      <c r="D391" s="204"/>
      <c r="E391" s="204"/>
      <c r="F391" s="204"/>
      <c r="G391" s="204"/>
      <c r="H391" s="558" t="s">
        <v>1201</v>
      </c>
      <c r="I391" s="558"/>
      <c r="J391" s="558"/>
      <c r="K391" s="222">
        <f>IF(K388&gt;K389,K389,K388)-K390</f>
        <v>378.4</v>
      </c>
      <c r="L391" s="207"/>
    </row>
    <row r="392" spans="2:12">
      <c r="B392" s="213"/>
      <c r="C392" s="214"/>
      <c r="D392" s="214"/>
      <c r="E392" s="214"/>
      <c r="F392" s="214"/>
      <c r="G392" s="214"/>
      <c r="H392" s="559" t="s">
        <v>1224</v>
      </c>
      <c r="I392" s="559"/>
      <c r="J392" s="559"/>
      <c r="K392" s="223">
        <f>IF(K388&gt;K389,K388-K389,0)</f>
        <v>146.04150000000016</v>
      </c>
      <c r="L392" s="209"/>
    </row>
    <row r="394" spans="2:12" ht="14.25" customHeight="1">
      <c r="B394" s="555" t="s">
        <v>1305</v>
      </c>
      <c r="C394" s="555"/>
      <c r="D394" s="555"/>
      <c r="E394" s="555"/>
      <c r="F394" s="555"/>
      <c r="G394" s="555"/>
      <c r="H394" s="555"/>
      <c r="I394" s="555"/>
      <c r="J394" s="555"/>
      <c r="K394" s="555"/>
      <c r="L394" s="555"/>
    </row>
    <row r="395" spans="2:12">
      <c r="B395" s="187" t="s">
        <v>1209</v>
      </c>
      <c r="C395" s="187"/>
      <c r="D395" s="187" t="s">
        <v>39</v>
      </c>
      <c r="E395" s="187" t="s">
        <v>1210</v>
      </c>
      <c r="F395" s="187" t="s">
        <v>1211</v>
      </c>
      <c r="G395" s="187" t="s">
        <v>1212</v>
      </c>
      <c r="H395" s="187" t="s">
        <v>1213</v>
      </c>
      <c r="I395" s="187" t="s">
        <v>1214</v>
      </c>
      <c r="J395" s="187" t="s">
        <v>1215</v>
      </c>
      <c r="K395" s="187" t="s">
        <v>1216</v>
      </c>
      <c r="L395" s="187" t="s">
        <v>1217</v>
      </c>
    </row>
    <row r="396" spans="2:12">
      <c r="B396" s="188" t="s">
        <v>1301</v>
      </c>
      <c r="C396" s="189" t="s">
        <v>1271</v>
      </c>
      <c r="D396" s="190" t="s">
        <v>1274</v>
      </c>
      <c r="E396" s="191">
        <v>522</v>
      </c>
      <c r="F396" s="243">
        <v>0.61699999999999999</v>
      </c>
      <c r="G396" s="192"/>
      <c r="H396" s="191">
        <v>1.1000000000000001</v>
      </c>
      <c r="I396" s="191"/>
      <c r="J396" s="216"/>
      <c r="K396" s="217">
        <f>IF(E396*F396*G396&lt;&gt;0,E396*F396*G396,IF(E396*F396&lt;&gt;0,E396*F396,IF(F396*G396&lt;&gt;0,F396*G396,IF(E396*G396&lt;&gt;0,E396*G396,IF(E396&lt;&gt;0,E396,IF(F396&lt;&gt;0,F396,IF(G396&lt;&gt;0,G396,0)))))))*(IF(H396&lt;&gt;0,H396,1))+I396-J396</f>
        <v>354.28140000000002</v>
      </c>
      <c r="L396" s="218"/>
    </row>
    <row r="397" spans="2:12">
      <c r="B397" s="188" t="s">
        <v>1302</v>
      </c>
      <c r="C397" s="189" t="s">
        <v>1271</v>
      </c>
      <c r="D397" s="190" t="s">
        <v>1274</v>
      </c>
      <c r="E397" s="191">
        <v>150</v>
      </c>
      <c r="F397" s="243">
        <v>0.61699999999999999</v>
      </c>
      <c r="G397" s="192"/>
      <c r="H397" s="191">
        <v>1.1000000000000001</v>
      </c>
      <c r="I397" s="191">
        <v>1E-4</v>
      </c>
      <c r="J397" s="216"/>
      <c r="K397" s="217">
        <f>IF(E397*F397*G397&lt;&gt;0,E397*F397*G397,IF(E397*F397&lt;&gt;0,E397*F397,IF(F397*G397&lt;&gt;0,F397*G397,IF(E397*G397&lt;&gt;0,E397*G397,IF(E397&lt;&gt;0,E397,IF(F397&lt;&gt;0,F397,IF(G397&lt;&gt;0,G397,0)))))))*(IF(H397&lt;&gt;0,H397,1))+I397-J397</f>
        <v>101.80510000000001</v>
      </c>
      <c r="L397" s="218"/>
    </row>
    <row r="398" spans="2:12">
      <c r="B398" s="197"/>
      <c r="C398" s="189"/>
      <c r="D398" s="198"/>
      <c r="E398" s="199"/>
      <c r="F398" s="244"/>
      <c r="G398" s="199"/>
      <c r="H398" s="199"/>
      <c r="I398" s="199"/>
      <c r="J398" s="219"/>
      <c r="K398" s="217">
        <f>IF(E398*F398*G398&lt;&gt;0,E398*F398*G398,IF(E398*F398&lt;&gt;0,E398*F398,IF(F398*G398&lt;&gt;0,F398*G398,IF(E398*G398&lt;&gt;0,E398*G398,IF(E398&lt;&gt;0,E398,IF(F398&lt;&gt;0,F398,IF(G398&lt;&gt;0,G398,0)))))))*(IF(H398&lt;&gt;0,H398,1))+I398-J398</f>
        <v>0</v>
      </c>
      <c r="L398" s="218"/>
    </row>
    <row r="399" spans="2:12">
      <c r="B399" s="202"/>
      <c r="C399" s="203"/>
      <c r="D399" s="203"/>
      <c r="E399" s="203"/>
      <c r="F399" s="203"/>
      <c r="G399" s="203"/>
      <c r="H399" s="204"/>
      <c r="I399" s="556" t="s">
        <v>1221</v>
      </c>
      <c r="J399" s="556"/>
      <c r="K399" s="220">
        <f>SUM(K396:K398)</f>
        <v>456.0865</v>
      </c>
      <c r="L399" s="207"/>
    </row>
    <row r="400" spans="2:12">
      <c r="B400" s="208"/>
      <c r="C400" s="204"/>
      <c r="D400" s="204"/>
      <c r="E400" s="204"/>
      <c r="F400" s="204"/>
      <c r="G400" s="204"/>
      <c r="H400" s="209"/>
      <c r="I400" s="557" t="s">
        <v>1222</v>
      </c>
      <c r="J400" s="557"/>
      <c r="K400" s="221">
        <f>445.5+0.0001</f>
        <v>445.50009999999997</v>
      </c>
      <c r="L400" s="207"/>
    </row>
    <row r="401" spans="2:12">
      <c r="B401" s="208"/>
      <c r="C401" s="204"/>
      <c r="D401" s="204"/>
      <c r="E401" s="204"/>
      <c r="F401" s="204"/>
      <c r="G401" s="204"/>
      <c r="H401" s="558" t="s">
        <v>1223</v>
      </c>
      <c r="I401" s="558"/>
      <c r="J401" s="558"/>
      <c r="K401" s="222">
        <v>354.28140000000002</v>
      </c>
      <c r="L401" s="207"/>
    </row>
    <row r="402" spans="2:12">
      <c r="B402" s="208"/>
      <c r="C402" s="204"/>
      <c r="D402" s="204"/>
      <c r="E402" s="204"/>
      <c r="F402" s="204"/>
      <c r="G402" s="204"/>
      <c r="H402" s="558" t="s">
        <v>1201</v>
      </c>
      <c r="I402" s="558"/>
      <c r="J402" s="558"/>
      <c r="K402" s="222">
        <f>IF(K399&gt;K400,K400,K399)-K401</f>
        <v>91.218699999999956</v>
      </c>
      <c r="L402" s="207"/>
    </row>
    <row r="403" spans="2:12">
      <c r="B403" s="213"/>
      <c r="C403" s="214"/>
      <c r="D403" s="214"/>
      <c r="E403" s="214"/>
      <c r="F403" s="214"/>
      <c r="G403" s="214"/>
      <c r="H403" s="559" t="s">
        <v>1224</v>
      </c>
      <c r="I403" s="559"/>
      <c r="J403" s="559"/>
      <c r="K403" s="223">
        <f>IF(K399&gt;K400,K399-K400,0)</f>
        <v>10.586400000000026</v>
      </c>
      <c r="L403" s="209"/>
    </row>
    <row r="405" spans="2:12" ht="14.25" customHeight="1">
      <c r="B405" s="555" t="s">
        <v>1306</v>
      </c>
      <c r="C405" s="555"/>
      <c r="D405" s="555"/>
      <c r="E405" s="555"/>
      <c r="F405" s="555"/>
      <c r="G405" s="555"/>
      <c r="H405" s="555"/>
      <c r="I405" s="555"/>
      <c r="J405" s="555"/>
      <c r="K405" s="555"/>
      <c r="L405" s="555"/>
    </row>
    <row r="406" spans="2:12">
      <c r="B406" s="187" t="s">
        <v>1209</v>
      </c>
      <c r="C406" s="187"/>
      <c r="D406" s="187" t="s">
        <v>39</v>
      </c>
      <c r="E406" s="187" t="s">
        <v>1210</v>
      </c>
      <c r="F406" s="187" t="s">
        <v>1211</v>
      </c>
      <c r="G406" s="187" t="s">
        <v>1212</v>
      </c>
      <c r="H406" s="187" t="s">
        <v>1213</v>
      </c>
      <c r="I406" s="187" t="s">
        <v>1214</v>
      </c>
      <c r="J406" s="187" t="s">
        <v>1215</v>
      </c>
      <c r="K406" s="187" t="s">
        <v>1216</v>
      </c>
      <c r="L406" s="187" t="s">
        <v>1217</v>
      </c>
    </row>
    <row r="407" spans="2:12">
      <c r="B407" s="188" t="s">
        <v>1367</v>
      </c>
      <c r="C407" s="189" t="s">
        <v>1271</v>
      </c>
      <c r="D407" s="190" t="s">
        <v>1274</v>
      </c>
      <c r="E407" s="191"/>
      <c r="F407" s="243"/>
      <c r="G407" s="192"/>
      <c r="H407" s="191"/>
      <c r="I407" s="191"/>
      <c r="J407" s="216"/>
      <c r="K407" s="217">
        <f>IF(E407*F407*G407&lt;&gt;0,E407*F407*G407,IF(E407*F407&lt;&gt;0,E407*F407,IF(F407*G407&lt;&gt;0,F407*G407,IF(E407*G407&lt;&gt;0,E407*G407,IF(E407&lt;&gt;0,E407,IF(F407&lt;&gt;0,F407,IF(G407&lt;&gt;0,G407,0)))))))*(IF(H407&lt;&gt;0,H407,1))+I407-J407</f>
        <v>0</v>
      </c>
      <c r="L407" s="218"/>
    </row>
    <row r="408" spans="2:12">
      <c r="B408" s="188" t="s">
        <v>1302</v>
      </c>
      <c r="C408" s="189" t="s">
        <v>1271</v>
      </c>
      <c r="D408" s="190" t="s">
        <v>1274</v>
      </c>
      <c r="E408" s="191">
        <v>287</v>
      </c>
      <c r="F408" s="243">
        <v>0.96299999999999997</v>
      </c>
      <c r="G408" s="192"/>
      <c r="H408" s="191">
        <v>1.1000000000000001</v>
      </c>
      <c r="I408" s="191"/>
      <c r="J408" s="216"/>
      <c r="K408" s="217">
        <f>IF(E408*F408*G408&lt;&gt;0,E408*F408*G408,IF(E408*F408&lt;&gt;0,E408*F408,IF(F408*G408&lt;&gt;0,F408*G408,IF(E408*G408&lt;&gt;0,E408*G408,IF(E408&lt;&gt;0,E408,IF(F408&lt;&gt;0,F408,IF(G408&lt;&gt;0,G408,0)))))))*(IF(H408&lt;&gt;0,H408,1))+I408-J408</f>
        <v>304.01909999999998</v>
      </c>
      <c r="L408" s="218"/>
    </row>
    <row r="409" spans="2:12">
      <c r="B409" s="197"/>
      <c r="C409" s="189"/>
      <c r="D409" s="198"/>
      <c r="E409" s="199"/>
      <c r="F409" s="244"/>
      <c r="G409" s="199"/>
      <c r="H409" s="199"/>
      <c r="I409" s="199"/>
      <c r="J409" s="219"/>
      <c r="K409" s="217">
        <f>IF(E409*F409*G409&lt;&gt;0,E409*F409*G409,IF(E409*F409&lt;&gt;0,E409*F409,IF(F409*G409&lt;&gt;0,F409*G409,IF(E409*G409&lt;&gt;0,E409*G409,IF(E409&lt;&gt;0,E409,IF(F409&lt;&gt;0,F409,IF(G409&lt;&gt;0,G409,0)))))))*(IF(H409&lt;&gt;0,H409,1))+I409-J409</f>
        <v>0</v>
      </c>
      <c r="L409" s="218"/>
    </row>
    <row r="410" spans="2:12">
      <c r="B410" s="202"/>
      <c r="C410" s="203"/>
      <c r="D410" s="203"/>
      <c r="E410" s="203"/>
      <c r="F410" s="203"/>
      <c r="G410" s="203"/>
      <c r="H410" s="204"/>
      <c r="I410" s="556" t="s">
        <v>1221</v>
      </c>
      <c r="J410" s="556"/>
      <c r="K410" s="220">
        <f>SUM(K407:K409)</f>
        <v>304.01909999999998</v>
      </c>
      <c r="L410" s="207"/>
    </row>
    <row r="411" spans="2:12">
      <c r="B411" s="208"/>
      <c r="C411" s="204"/>
      <c r="D411" s="204"/>
      <c r="E411" s="204"/>
      <c r="F411" s="204"/>
      <c r="G411" s="204"/>
      <c r="H411" s="209"/>
      <c r="I411" s="557" t="s">
        <v>1222</v>
      </c>
      <c r="J411" s="557"/>
      <c r="K411" s="221">
        <v>177.1</v>
      </c>
      <c r="L411" s="207"/>
    </row>
    <row r="412" spans="2:12">
      <c r="B412" s="208"/>
      <c r="C412" s="204"/>
      <c r="D412" s="204"/>
      <c r="E412" s="204"/>
      <c r="F412" s="204"/>
      <c r="G412" s="204"/>
      <c r="H412" s="558" t="s">
        <v>1223</v>
      </c>
      <c r="I412" s="558"/>
      <c r="J412" s="558"/>
      <c r="K412" s="222">
        <v>0</v>
      </c>
      <c r="L412" s="207"/>
    </row>
    <row r="413" spans="2:12">
      <c r="B413" s="208"/>
      <c r="C413" s="204"/>
      <c r="D413" s="204"/>
      <c r="E413" s="204"/>
      <c r="F413" s="204"/>
      <c r="G413" s="204"/>
      <c r="H413" s="558" t="s">
        <v>1201</v>
      </c>
      <c r="I413" s="558"/>
      <c r="J413" s="558"/>
      <c r="K413" s="222">
        <f>IF(K410&gt;K411,K411,K410)-K412</f>
        <v>177.1</v>
      </c>
      <c r="L413" s="207"/>
    </row>
    <row r="414" spans="2:12">
      <c r="B414" s="213"/>
      <c r="C414" s="214"/>
      <c r="D414" s="214"/>
      <c r="E414" s="214"/>
      <c r="F414" s="214"/>
      <c r="G414" s="214"/>
      <c r="H414" s="559" t="s">
        <v>1224</v>
      </c>
      <c r="I414" s="559"/>
      <c r="J414" s="559"/>
      <c r="K414" s="223">
        <f>IF(K410&gt;K411,K410-K411,0)</f>
        <v>126.91909999999999</v>
      </c>
      <c r="L414" s="209"/>
    </row>
    <row r="416" spans="2:12" ht="14.25" customHeight="1">
      <c r="B416" s="555" t="s">
        <v>1307</v>
      </c>
      <c r="C416" s="555"/>
      <c r="D416" s="555"/>
      <c r="E416" s="555"/>
      <c r="F416" s="555"/>
      <c r="G416" s="555"/>
      <c r="H416" s="555"/>
      <c r="I416" s="555"/>
      <c r="J416" s="555"/>
      <c r="K416" s="555"/>
      <c r="L416" s="555"/>
    </row>
    <row r="417" spans="2:12">
      <c r="B417" s="187" t="s">
        <v>1209</v>
      </c>
      <c r="C417" s="187"/>
      <c r="D417" s="187" t="s">
        <v>39</v>
      </c>
      <c r="E417" s="187" t="s">
        <v>1210</v>
      </c>
      <c r="F417" s="187" t="s">
        <v>1211</v>
      </c>
      <c r="G417" s="187" t="s">
        <v>1212</v>
      </c>
      <c r="H417" s="187" t="s">
        <v>1213</v>
      </c>
      <c r="I417" s="187" t="s">
        <v>1214</v>
      </c>
      <c r="J417" s="187" t="s">
        <v>1215</v>
      </c>
      <c r="K417" s="187" t="s">
        <v>1216</v>
      </c>
      <c r="L417" s="187" t="s">
        <v>1217</v>
      </c>
    </row>
    <row r="418" spans="2:12">
      <c r="B418" s="188" t="s">
        <v>1301</v>
      </c>
      <c r="C418" s="189" t="s">
        <v>1271</v>
      </c>
      <c r="D418" s="190" t="s">
        <v>1274</v>
      </c>
      <c r="E418" s="191"/>
      <c r="F418" s="243"/>
      <c r="G418" s="192"/>
      <c r="H418" s="191"/>
      <c r="I418" s="191"/>
      <c r="J418" s="216"/>
      <c r="K418" s="217">
        <f>IF(E418*F418*G418&lt;&gt;0,E418*F418*G418,IF(E418*F418&lt;&gt;0,E418*F418,IF(F418*G418&lt;&gt;0,F418*G418,IF(E418*G418&lt;&gt;0,E418*G418,IF(E418&lt;&gt;0,E418,IF(F418&lt;&gt;0,F418,IF(G418&lt;&gt;0,G418,0)))))))*(IF(H418&lt;&gt;0,H418,1))+I418-J418</f>
        <v>0</v>
      </c>
      <c r="L418" s="218"/>
    </row>
    <row r="419" spans="2:12">
      <c r="B419" s="188" t="s">
        <v>1302</v>
      </c>
      <c r="C419" s="189" t="s">
        <v>1271</v>
      </c>
      <c r="D419" s="190" t="s">
        <v>1274</v>
      </c>
      <c r="E419" s="191">
        <v>35.5</v>
      </c>
      <c r="F419" s="243">
        <v>1.5780000000000001</v>
      </c>
      <c r="G419" s="192"/>
      <c r="H419" s="191">
        <v>1.1000000000000001</v>
      </c>
      <c r="I419" s="191"/>
      <c r="J419" s="216"/>
      <c r="K419" s="217">
        <f>IF(E419*F419*G419&lt;&gt;0,E419*F419*G419,IF(E419*F419&lt;&gt;0,E419*F419,IF(F419*G419&lt;&gt;0,F419*G419,IF(E419*G419&lt;&gt;0,E419*G419,IF(E419&lt;&gt;0,E419,IF(F419&lt;&gt;0,F419,IF(G419&lt;&gt;0,G419,0)))))))*(IF(H419&lt;&gt;0,H419,1))+I419-J419</f>
        <v>61.620900000000013</v>
      </c>
      <c r="L419" s="218"/>
    </row>
    <row r="420" spans="2:12">
      <c r="B420" s="197"/>
      <c r="C420" s="189"/>
      <c r="D420" s="198"/>
      <c r="E420" s="199"/>
      <c r="F420" s="244"/>
      <c r="G420" s="199"/>
      <c r="H420" s="199"/>
      <c r="I420" s="199"/>
      <c r="J420" s="219"/>
      <c r="K420" s="217">
        <f>IF(E420*F420*G420&lt;&gt;0,E420*F420*G420,IF(E420*F420&lt;&gt;0,E420*F420,IF(F420*G420&lt;&gt;0,F420*G420,IF(E420*G420&lt;&gt;0,E420*G420,IF(E420&lt;&gt;0,E420,IF(F420&lt;&gt;0,F420,IF(G420&lt;&gt;0,G420,0)))))))*(IF(H420&lt;&gt;0,H420,1))+I420-J420</f>
        <v>0</v>
      </c>
      <c r="L420" s="218"/>
    </row>
    <row r="421" spans="2:12">
      <c r="B421" s="202"/>
      <c r="C421" s="203"/>
      <c r="D421" s="203"/>
      <c r="E421" s="203"/>
      <c r="F421" s="203"/>
      <c r="G421" s="203"/>
      <c r="H421" s="204"/>
      <c r="I421" s="556" t="s">
        <v>1221</v>
      </c>
      <c r="J421" s="556"/>
      <c r="K421" s="220">
        <f>SUM(K418:K420)</f>
        <v>61.620900000000013</v>
      </c>
      <c r="L421" s="207"/>
    </row>
    <row r="422" spans="2:12">
      <c r="B422" s="208"/>
      <c r="C422" s="204"/>
      <c r="D422" s="204"/>
      <c r="E422" s="204"/>
      <c r="F422" s="204"/>
      <c r="G422" s="204"/>
      <c r="H422" s="209"/>
      <c r="I422" s="557" t="s">
        <v>1222</v>
      </c>
      <c r="J422" s="557"/>
      <c r="K422" s="221">
        <v>61.6</v>
      </c>
      <c r="L422" s="207"/>
    </row>
    <row r="423" spans="2:12">
      <c r="B423" s="208"/>
      <c r="C423" s="204"/>
      <c r="D423" s="204"/>
      <c r="E423" s="204"/>
      <c r="F423" s="204"/>
      <c r="G423" s="204"/>
      <c r="H423" s="558" t="s">
        <v>1223</v>
      </c>
      <c r="I423" s="558"/>
      <c r="J423" s="558"/>
      <c r="K423" s="222">
        <v>0</v>
      </c>
      <c r="L423" s="207"/>
    </row>
    <row r="424" spans="2:12">
      <c r="B424" s="208"/>
      <c r="C424" s="204"/>
      <c r="D424" s="204"/>
      <c r="E424" s="204"/>
      <c r="F424" s="204"/>
      <c r="G424" s="204"/>
      <c r="H424" s="558" t="s">
        <v>1201</v>
      </c>
      <c r="I424" s="558"/>
      <c r="J424" s="558"/>
      <c r="K424" s="222">
        <f>IF(K421&gt;K422,K422,K421)-K423</f>
        <v>61.6</v>
      </c>
      <c r="L424" s="207"/>
    </row>
    <row r="425" spans="2:12">
      <c r="B425" s="213"/>
      <c r="C425" s="214"/>
      <c r="D425" s="214"/>
      <c r="E425" s="214"/>
      <c r="F425" s="214"/>
      <c r="G425" s="214"/>
      <c r="H425" s="559" t="s">
        <v>1224</v>
      </c>
      <c r="I425" s="559"/>
      <c r="J425" s="559"/>
      <c r="K425" s="223">
        <f>IF(K421&gt;K422,K421-K422,0)</f>
        <v>2.0900000000011687E-2</v>
      </c>
      <c r="L425" s="209"/>
    </row>
    <row r="427" spans="2:12" ht="14.25" customHeight="1">
      <c r="B427" s="555" t="s">
        <v>1308</v>
      </c>
      <c r="C427" s="555"/>
      <c r="D427" s="555"/>
      <c r="E427" s="555"/>
      <c r="F427" s="555"/>
      <c r="G427" s="555"/>
      <c r="H427" s="555"/>
      <c r="I427" s="555"/>
      <c r="J427" s="555"/>
      <c r="K427" s="555"/>
      <c r="L427" s="555"/>
    </row>
    <row r="428" spans="2:12">
      <c r="B428" s="187" t="s">
        <v>1209</v>
      </c>
      <c r="C428" s="187"/>
      <c r="D428" s="187" t="s">
        <v>39</v>
      </c>
      <c r="E428" s="187" t="s">
        <v>1210</v>
      </c>
      <c r="F428" s="187" t="s">
        <v>1211</v>
      </c>
      <c r="G428" s="187" t="s">
        <v>1212</v>
      </c>
      <c r="H428" s="187" t="s">
        <v>1213</v>
      </c>
      <c r="I428" s="187" t="s">
        <v>1214</v>
      </c>
      <c r="J428" s="187" t="s">
        <v>1215</v>
      </c>
      <c r="K428" s="187" t="s">
        <v>1216</v>
      </c>
      <c r="L428" s="187" t="s">
        <v>1217</v>
      </c>
    </row>
    <row r="429" spans="2:12">
      <c r="B429" s="188" t="s">
        <v>1309</v>
      </c>
      <c r="C429" s="189" t="s">
        <v>1271</v>
      </c>
      <c r="D429" s="190" t="s">
        <v>169</v>
      </c>
      <c r="E429" s="191">
        <v>5.18</v>
      </c>
      <c r="F429" s="192">
        <v>0.7</v>
      </c>
      <c r="G429" s="192">
        <v>0.7</v>
      </c>
      <c r="H429" s="191">
        <v>1</v>
      </c>
      <c r="I429" s="191"/>
      <c r="J429" s="216"/>
      <c r="K429" s="217">
        <f t="shared" ref="K429:K450" si="2">IF(E429*F429*G429&lt;&gt;0,E429*F429*G429,IF(E429*F429&lt;&gt;0,E429*F429,IF(F429*G429&lt;&gt;0,F429*G429,IF(E429*G429&lt;&gt;0,E429*G429,IF(E429&lt;&gt;0,E429,IF(F429&lt;&gt;0,F429,IF(G429&lt;&gt;0,G429,0)))))))*(IF(H429&lt;&gt;0,H429,1))+I429-J429</f>
        <v>2.5381999999999993</v>
      </c>
      <c r="L429" s="218"/>
    </row>
    <row r="430" spans="2:12">
      <c r="B430" s="188" t="s">
        <v>1310</v>
      </c>
      <c r="C430" s="189" t="s">
        <v>1271</v>
      </c>
      <c r="D430" s="190" t="s">
        <v>169</v>
      </c>
      <c r="E430" s="191">
        <v>6.94</v>
      </c>
      <c r="F430" s="192">
        <v>0.7</v>
      </c>
      <c r="G430" s="192">
        <v>0.7</v>
      </c>
      <c r="H430" s="191">
        <v>1</v>
      </c>
      <c r="I430" s="191"/>
      <c r="J430" s="216"/>
      <c r="K430" s="217">
        <f t="shared" si="2"/>
        <v>3.4005999999999994</v>
      </c>
      <c r="L430" s="218"/>
    </row>
    <row r="431" spans="2:12">
      <c r="B431" s="188" t="s">
        <v>1311</v>
      </c>
      <c r="C431" s="189" t="s">
        <v>1271</v>
      </c>
      <c r="D431" s="190" t="s">
        <v>169</v>
      </c>
      <c r="E431" s="191">
        <v>3.89</v>
      </c>
      <c r="F431" s="192">
        <v>0.2</v>
      </c>
      <c r="G431" s="192">
        <v>0.7</v>
      </c>
      <c r="H431" s="191">
        <v>1</v>
      </c>
      <c r="I431" s="191"/>
      <c r="J431" s="216"/>
      <c r="K431" s="217">
        <f t="shared" si="2"/>
        <v>0.54459999999999997</v>
      </c>
      <c r="L431" s="218"/>
    </row>
    <row r="432" spans="2:12">
      <c r="B432" s="188" t="s">
        <v>1312</v>
      </c>
      <c r="C432" s="189" t="s">
        <v>1271</v>
      </c>
      <c r="D432" s="190" t="s">
        <v>169</v>
      </c>
      <c r="E432" s="191">
        <v>2.33</v>
      </c>
      <c r="F432" s="192">
        <v>0.2</v>
      </c>
      <c r="G432" s="192">
        <v>0.7</v>
      </c>
      <c r="H432" s="191">
        <v>1</v>
      </c>
      <c r="I432" s="191"/>
      <c r="J432" s="216"/>
      <c r="K432" s="217">
        <f t="shared" si="2"/>
        <v>0.32619999999999999</v>
      </c>
      <c r="L432" s="218"/>
    </row>
    <row r="433" spans="2:12">
      <c r="B433" s="188" t="s">
        <v>1313</v>
      </c>
      <c r="C433" s="189" t="s">
        <v>1271</v>
      </c>
      <c r="D433" s="190" t="s">
        <v>169</v>
      </c>
      <c r="E433" s="191">
        <v>2.33</v>
      </c>
      <c r="F433" s="192">
        <v>0.2</v>
      </c>
      <c r="G433" s="192">
        <v>0.7</v>
      </c>
      <c r="H433" s="191">
        <v>1</v>
      </c>
      <c r="I433" s="191"/>
      <c r="J433" s="216"/>
      <c r="K433" s="217">
        <f t="shared" si="2"/>
        <v>0.32619999999999999</v>
      </c>
      <c r="L433" s="218"/>
    </row>
    <row r="434" spans="2:12">
      <c r="B434" s="188" t="s">
        <v>1314</v>
      </c>
      <c r="C434" s="189" t="s">
        <v>1271</v>
      </c>
      <c r="D434" s="190" t="s">
        <v>169</v>
      </c>
      <c r="E434" s="191">
        <v>4.93</v>
      </c>
      <c r="F434" s="192">
        <v>0.2</v>
      </c>
      <c r="G434" s="192">
        <v>0.7</v>
      </c>
      <c r="H434" s="191">
        <v>1</v>
      </c>
      <c r="I434" s="191"/>
      <c r="J434" s="216"/>
      <c r="K434" s="217">
        <f t="shared" si="2"/>
        <v>0.69019999999999992</v>
      </c>
      <c r="L434" s="218"/>
    </row>
    <row r="435" spans="2:12">
      <c r="B435" s="188" t="s">
        <v>1315</v>
      </c>
      <c r="C435" s="189" t="s">
        <v>1271</v>
      </c>
      <c r="D435" s="190" t="s">
        <v>169</v>
      </c>
      <c r="E435" s="191">
        <v>4.33</v>
      </c>
      <c r="F435" s="192">
        <v>0.2</v>
      </c>
      <c r="G435" s="192">
        <v>0.7</v>
      </c>
      <c r="H435" s="191">
        <v>1</v>
      </c>
      <c r="I435" s="191"/>
      <c r="J435" s="216"/>
      <c r="K435" s="217">
        <f t="shared" si="2"/>
        <v>0.60620000000000007</v>
      </c>
      <c r="L435" s="218"/>
    </row>
    <row r="436" spans="2:12">
      <c r="B436" s="197" t="s">
        <v>1368</v>
      </c>
      <c r="C436" s="189" t="s">
        <v>1333</v>
      </c>
      <c r="D436" s="190" t="s">
        <v>169</v>
      </c>
      <c r="E436" s="199">
        <v>3.32</v>
      </c>
      <c r="F436" s="199">
        <v>0.2</v>
      </c>
      <c r="G436" s="199">
        <v>0.7</v>
      </c>
      <c r="H436" s="199">
        <v>1</v>
      </c>
      <c r="I436" s="199"/>
      <c r="J436" s="219"/>
      <c r="K436" s="217">
        <f t="shared" si="2"/>
        <v>0.46479999999999999</v>
      </c>
      <c r="L436" s="218"/>
    </row>
    <row r="437" spans="2:12">
      <c r="B437" s="197" t="s">
        <v>1369</v>
      </c>
      <c r="C437" s="189" t="s">
        <v>1333</v>
      </c>
      <c r="D437" s="190" t="s">
        <v>169</v>
      </c>
      <c r="E437" s="199">
        <v>4.78</v>
      </c>
      <c r="F437" s="199">
        <v>0.2</v>
      </c>
      <c r="G437" s="199">
        <v>0.7</v>
      </c>
      <c r="H437" s="199">
        <v>1</v>
      </c>
      <c r="I437" s="199"/>
      <c r="J437" s="219"/>
      <c r="K437" s="217">
        <f t="shared" si="2"/>
        <v>0.66920000000000002</v>
      </c>
      <c r="L437" s="218"/>
    </row>
    <row r="438" spans="2:12">
      <c r="B438" s="197" t="s">
        <v>1370</v>
      </c>
      <c r="C438" s="189" t="s">
        <v>1333</v>
      </c>
      <c r="D438" s="190" t="s">
        <v>169</v>
      </c>
      <c r="E438" s="199">
        <v>2.7</v>
      </c>
      <c r="F438" s="199">
        <v>0.2</v>
      </c>
      <c r="G438" s="199">
        <v>0.7</v>
      </c>
      <c r="H438" s="199">
        <v>1</v>
      </c>
      <c r="I438" s="199"/>
      <c r="J438" s="219"/>
      <c r="K438" s="217">
        <f t="shared" si="2"/>
        <v>0.378</v>
      </c>
      <c r="L438" s="218"/>
    </row>
    <row r="439" spans="2:12">
      <c r="B439" s="197" t="s">
        <v>1371</v>
      </c>
      <c r="C439" s="189" t="s">
        <v>1333</v>
      </c>
      <c r="D439" s="190" t="s">
        <v>169</v>
      </c>
      <c r="E439" s="199">
        <v>2.7</v>
      </c>
      <c r="F439" s="199">
        <v>0.2</v>
      </c>
      <c r="G439" s="199">
        <v>0.7</v>
      </c>
      <c r="H439" s="199">
        <v>1</v>
      </c>
      <c r="I439" s="199"/>
      <c r="J439" s="219"/>
      <c r="K439" s="217">
        <f t="shared" si="2"/>
        <v>0.378</v>
      </c>
      <c r="L439" s="218"/>
    </row>
    <row r="440" spans="2:12">
      <c r="B440" s="197" t="s">
        <v>1372</v>
      </c>
      <c r="C440" s="189" t="s">
        <v>1333</v>
      </c>
      <c r="D440" s="190" t="s">
        <v>169</v>
      </c>
      <c r="E440" s="199">
        <v>5.62</v>
      </c>
      <c r="F440" s="199">
        <v>0.2</v>
      </c>
      <c r="G440" s="199">
        <v>0.7</v>
      </c>
      <c r="H440" s="199">
        <v>1</v>
      </c>
      <c r="I440" s="199"/>
      <c r="J440" s="219"/>
      <c r="K440" s="217">
        <f t="shared" si="2"/>
        <v>0.78680000000000005</v>
      </c>
      <c r="L440" s="218"/>
    </row>
    <row r="441" spans="2:12">
      <c r="B441" s="197" t="s">
        <v>1373</v>
      </c>
      <c r="C441" s="189" t="s">
        <v>1333</v>
      </c>
      <c r="D441" s="190" t="s">
        <v>169</v>
      </c>
      <c r="E441" s="199">
        <v>5.62</v>
      </c>
      <c r="F441" s="199">
        <v>0.2</v>
      </c>
      <c r="G441" s="199">
        <v>0.7</v>
      </c>
      <c r="H441" s="199">
        <v>1</v>
      </c>
      <c r="I441" s="199"/>
      <c r="J441" s="219"/>
      <c r="K441" s="217">
        <f t="shared" si="2"/>
        <v>0.78680000000000005</v>
      </c>
      <c r="L441" s="218"/>
    </row>
    <row r="442" spans="2:12">
      <c r="B442" s="197" t="s">
        <v>1374</v>
      </c>
      <c r="C442" s="189" t="s">
        <v>1333</v>
      </c>
      <c r="D442" s="190" t="s">
        <v>169</v>
      </c>
      <c r="E442" s="199">
        <v>2.38</v>
      </c>
      <c r="F442" s="199">
        <v>0.2</v>
      </c>
      <c r="G442" s="199">
        <v>0.7</v>
      </c>
      <c r="H442" s="199">
        <v>1</v>
      </c>
      <c r="I442" s="199"/>
      <c r="J442" s="219"/>
      <c r="K442" s="217">
        <f t="shared" si="2"/>
        <v>0.33319999999999994</v>
      </c>
      <c r="L442" s="218"/>
    </row>
    <row r="443" spans="2:12">
      <c r="B443" s="197" t="s">
        <v>1375</v>
      </c>
      <c r="C443" s="189" t="s">
        <v>1333</v>
      </c>
      <c r="D443" s="190" t="s">
        <v>169</v>
      </c>
      <c r="E443" s="199">
        <v>3.84</v>
      </c>
      <c r="F443" s="199">
        <v>0.2</v>
      </c>
      <c r="G443" s="199">
        <v>0.7</v>
      </c>
      <c r="H443" s="199">
        <v>1</v>
      </c>
      <c r="I443" s="199"/>
      <c r="J443" s="219"/>
      <c r="K443" s="217">
        <f t="shared" si="2"/>
        <v>0.53759999999999997</v>
      </c>
      <c r="L443" s="218"/>
    </row>
    <row r="444" spans="2:12">
      <c r="B444" s="197" t="s">
        <v>1376</v>
      </c>
      <c r="C444" s="189" t="s">
        <v>1333</v>
      </c>
      <c r="D444" s="190" t="s">
        <v>169</v>
      </c>
      <c r="E444" s="199">
        <v>4.4400000000000004</v>
      </c>
      <c r="F444" s="199">
        <v>0.3</v>
      </c>
      <c r="G444" s="199">
        <v>0.7</v>
      </c>
      <c r="H444" s="199">
        <v>1</v>
      </c>
      <c r="I444" s="199"/>
      <c r="J444" s="219"/>
      <c r="K444" s="217">
        <f t="shared" si="2"/>
        <v>0.93240000000000001</v>
      </c>
      <c r="L444" s="218"/>
    </row>
    <row r="445" spans="2:12">
      <c r="B445" s="197" t="s">
        <v>1377</v>
      </c>
      <c r="C445" s="189" t="s">
        <v>1333</v>
      </c>
      <c r="D445" s="190" t="s">
        <v>169</v>
      </c>
      <c r="E445" s="199">
        <f>1.73+0.66</f>
        <v>2.39</v>
      </c>
      <c r="F445" s="199">
        <v>0.7</v>
      </c>
      <c r="G445" s="199">
        <v>0.7</v>
      </c>
      <c r="H445" s="199">
        <v>1</v>
      </c>
      <c r="I445" s="199"/>
      <c r="J445" s="219"/>
      <c r="K445" s="217">
        <f t="shared" si="2"/>
        <v>1.1711</v>
      </c>
      <c r="L445" s="218"/>
    </row>
    <row r="446" spans="2:12">
      <c r="B446" s="197" t="s">
        <v>1378</v>
      </c>
      <c r="C446" s="189" t="s">
        <v>1333</v>
      </c>
      <c r="D446" s="190" t="s">
        <v>169</v>
      </c>
      <c r="E446" s="199">
        <v>1.46</v>
      </c>
      <c r="F446" s="199">
        <v>0.2</v>
      </c>
      <c r="G446" s="199">
        <v>0.7</v>
      </c>
      <c r="H446" s="199">
        <v>1</v>
      </c>
      <c r="I446" s="199"/>
      <c r="J446" s="219"/>
      <c r="K446" s="217">
        <f t="shared" si="2"/>
        <v>0.20439999999999997</v>
      </c>
      <c r="L446" s="218"/>
    </row>
    <row r="447" spans="2:12">
      <c r="B447" s="197" t="s">
        <v>1379</v>
      </c>
      <c r="C447" s="189" t="s">
        <v>1333</v>
      </c>
      <c r="D447" s="190" t="s">
        <v>169</v>
      </c>
      <c r="E447" s="199">
        <v>0.91</v>
      </c>
      <c r="F447" s="199">
        <v>0.2</v>
      </c>
      <c r="G447" s="199">
        <v>0.7</v>
      </c>
      <c r="H447" s="199">
        <v>1</v>
      </c>
      <c r="I447" s="199"/>
      <c r="J447" s="219"/>
      <c r="K447" s="217">
        <f t="shared" si="2"/>
        <v>0.12740000000000001</v>
      </c>
      <c r="L447" s="218"/>
    </row>
    <row r="448" spans="2:12">
      <c r="B448" s="197" t="s">
        <v>1380</v>
      </c>
      <c r="C448" s="189" t="s">
        <v>1333</v>
      </c>
      <c r="D448" s="190" t="s">
        <v>169</v>
      </c>
      <c r="E448" s="199">
        <v>0.97</v>
      </c>
      <c r="F448" s="199">
        <v>0.2</v>
      </c>
      <c r="G448" s="199">
        <v>0.7</v>
      </c>
      <c r="H448" s="199">
        <v>1</v>
      </c>
      <c r="I448" s="199"/>
      <c r="J448" s="219"/>
      <c r="K448" s="217">
        <f t="shared" si="2"/>
        <v>0.1358</v>
      </c>
      <c r="L448" s="218"/>
    </row>
    <row r="449" spans="2:12">
      <c r="B449" s="197" t="s">
        <v>1381</v>
      </c>
      <c r="C449" s="189" t="s">
        <v>1333</v>
      </c>
      <c r="D449" s="190" t="s">
        <v>169</v>
      </c>
      <c r="E449" s="199">
        <v>1.37</v>
      </c>
      <c r="F449" s="199">
        <v>0.2</v>
      </c>
      <c r="G449" s="199">
        <v>0.7</v>
      </c>
      <c r="H449" s="199">
        <v>1</v>
      </c>
      <c r="I449" s="199"/>
      <c r="J449" s="219"/>
      <c r="K449" s="217">
        <f t="shared" si="2"/>
        <v>0.1918</v>
      </c>
      <c r="L449" s="218"/>
    </row>
    <row r="450" spans="2:12">
      <c r="B450" s="197"/>
      <c r="C450" s="189"/>
      <c r="D450" s="198"/>
      <c r="E450" s="199"/>
      <c r="F450" s="199"/>
      <c r="G450" s="199"/>
      <c r="H450" s="199"/>
      <c r="I450" s="199"/>
      <c r="J450" s="219"/>
      <c r="K450" s="217">
        <f t="shared" si="2"/>
        <v>0</v>
      </c>
      <c r="L450" s="218"/>
    </row>
    <row r="451" spans="2:12">
      <c r="B451" s="202"/>
      <c r="C451" s="203"/>
      <c r="D451" s="203"/>
      <c r="E451" s="203"/>
      <c r="F451" s="203"/>
      <c r="G451" s="203"/>
      <c r="H451" s="204"/>
      <c r="I451" s="556" t="s">
        <v>1221</v>
      </c>
      <c r="J451" s="556"/>
      <c r="K451" s="220">
        <f>SUM(K429:K450)</f>
        <v>15.529499999999997</v>
      </c>
      <c r="L451" s="207"/>
    </row>
    <row r="452" spans="2:12">
      <c r="B452" s="208"/>
      <c r="C452" s="204"/>
      <c r="D452" s="204"/>
      <c r="E452" s="204"/>
      <c r="F452" s="204"/>
      <c r="G452" s="204"/>
      <c r="H452" s="209"/>
      <c r="I452" s="557" t="s">
        <v>1222</v>
      </c>
      <c r="J452" s="557"/>
      <c r="K452" s="221">
        <v>22.99</v>
      </c>
      <c r="L452" s="207"/>
    </row>
    <row r="453" spans="2:12">
      <c r="B453" s="208"/>
      <c r="C453" s="204"/>
      <c r="D453" s="204"/>
      <c r="E453" s="204"/>
      <c r="F453" s="204"/>
      <c r="G453" s="204"/>
      <c r="H453" s="558" t="s">
        <v>1223</v>
      </c>
      <c r="I453" s="558"/>
      <c r="J453" s="558"/>
      <c r="K453" s="222">
        <v>8.4321999999999999</v>
      </c>
      <c r="L453" s="207"/>
    </row>
    <row r="454" spans="2:12">
      <c r="B454" s="208"/>
      <c r="C454" s="204"/>
      <c r="D454" s="204"/>
      <c r="E454" s="204"/>
      <c r="F454" s="204"/>
      <c r="G454" s="204"/>
      <c r="H454" s="558" t="s">
        <v>1250</v>
      </c>
      <c r="I454" s="558"/>
      <c r="J454" s="558"/>
      <c r="K454" s="222">
        <f>IF(K451&gt;K452,K452,K451)-K453</f>
        <v>7.0972999999999971</v>
      </c>
      <c r="L454" s="207"/>
    </row>
    <row r="455" spans="2:12">
      <c r="B455" s="213"/>
      <c r="C455" s="214"/>
      <c r="D455" s="214"/>
      <c r="E455" s="214"/>
      <c r="F455" s="214"/>
      <c r="G455" s="214"/>
      <c r="H455" s="559" t="s">
        <v>1224</v>
      </c>
      <c r="I455" s="559"/>
      <c r="J455" s="559"/>
      <c r="K455" s="223">
        <f>IF(K451&gt;K452,K451-K452,0)</f>
        <v>0</v>
      </c>
      <c r="L455" s="209"/>
    </row>
    <row r="457" spans="2:12">
      <c r="B457" s="247" t="s">
        <v>197</v>
      </c>
      <c r="C457" s="565" t="str">
        <f>VLOOKUP(B457,'BM 004'!$B$27:$R$590,2,0)</f>
        <v xml:space="preserve">Armação de pilar ou viga de uma estrutura convencional de concreto armado em um edifício de múltiplos pavimentos utilizando aço ca-60 de 5,0 mm - montagem. </v>
      </c>
      <c r="D457" s="565"/>
      <c r="E457" s="565"/>
      <c r="F457" s="565"/>
      <c r="G457" s="565"/>
      <c r="H457" s="565"/>
      <c r="I457" s="565"/>
      <c r="J457" s="565"/>
      <c r="K457" s="565"/>
      <c r="L457" s="565"/>
    </row>
    <row r="458" spans="2:12">
      <c r="B458" s="248" t="s">
        <v>1209</v>
      </c>
      <c r="C458" s="248"/>
      <c r="D458" s="248" t="s">
        <v>39</v>
      </c>
      <c r="E458" s="248" t="s">
        <v>1210</v>
      </c>
      <c r="F458" s="248" t="s">
        <v>1382</v>
      </c>
      <c r="G458" s="248" t="s">
        <v>1383</v>
      </c>
      <c r="H458" s="248" t="s">
        <v>1384</v>
      </c>
      <c r="I458" s="248" t="s">
        <v>1214</v>
      </c>
      <c r="J458" s="248" t="s">
        <v>1385</v>
      </c>
      <c r="K458" s="248" t="s">
        <v>1216</v>
      </c>
      <c r="L458" s="248" t="s">
        <v>1217</v>
      </c>
    </row>
    <row r="459" spans="2:12">
      <c r="B459" s="249" t="s">
        <v>1367</v>
      </c>
      <c r="C459" s="250" t="s">
        <v>1333</v>
      </c>
      <c r="D459" s="205" t="s">
        <v>152</v>
      </c>
      <c r="E459" s="251">
        <v>661</v>
      </c>
      <c r="F459" s="252">
        <v>0.154</v>
      </c>
      <c r="G459" s="251"/>
      <c r="H459" s="251">
        <v>1.1000000000000001</v>
      </c>
      <c r="I459" s="251"/>
      <c r="J459" s="253"/>
      <c r="K459" s="254">
        <f>IF(E459*F459*G459&lt;&gt;0,E459*F459*G459,IF(E459*F459&lt;&gt;0,E459*F459,IF(F459*G459&lt;&gt;0,F459*G459,IF(E459*G459&lt;&gt;0,E459*G459,IF(E459&lt;&gt;0,E459,IF(F459&lt;&gt;0,F459,IF(G459&lt;&gt;0,G459,0)))))))*(IF(H459&lt;&gt;0,H459,1))+I459-J459</f>
        <v>111.97340000000001</v>
      </c>
      <c r="L459" s="255"/>
    </row>
    <row r="460" spans="2:12">
      <c r="B460" s="249" t="s">
        <v>1386</v>
      </c>
      <c r="C460" s="250" t="s">
        <v>1333</v>
      </c>
      <c r="D460" s="205" t="s">
        <v>152</v>
      </c>
      <c r="E460" s="251">
        <v>433</v>
      </c>
      <c r="F460" s="252">
        <v>0.154</v>
      </c>
      <c r="G460" s="251"/>
      <c r="H460" s="251">
        <v>1.1000000000000001</v>
      </c>
      <c r="I460" s="251"/>
      <c r="J460" s="253"/>
      <c r="K460" s="254">
        <f>IF(E460*F460*G460&lt;&gt;0,E460*F460*G460,IF(E460*F460&lt;&gt;0,E460*F460,IF(F460*G460&lt;&gt;0,F460*G460,IF(E460*G460&lt;&gt;0,E460*G460,IF(E460&lt;&gt;0,E460,IF(F460&lt;&gt;0,F460,IF(G460&lt;&gt;0,G460,0)))))))*(IF(H460&lt;&gt;0,H460,1))+I460-J460</f>
        <v>73.350200000000015</v>
      </c>
      <c r="L460" s="255"/>
    </row>
    <row r="461" spans="2:12">
      <c r="B461" s="256"/>
      <c r="C461" s="210"/>
      <c r="D461" s="210"/>
      <c r="E461" s="257"/>
      <c r="F461" s="258"/>
      <c r="G461" s="257"/>
      <c r="H461" s="257"/>
      <c r="I461" s="257"/>
      <c r="J461" s="259"/>
      <c r="K461" s="260">
        <f>IF(E461*F461*G461&lt;&gt;0,E461*F461*G461,IF(E461*F461&lt;&gt;0,E461*F461,IF(F461*G461&lt;&gt;0,F461*G461,IF(E461*G461&lt;&gt;0,E461*G461,IF(E461&lt;&gt;0,E461,IF(F461&lt;&gt;0,F461,IF(G461&lt;&gt;0,G461,0)))))))*(IF(H461&lt;&gt;0,H461,1))+I461-J461</f>
        <v>0</v>
      </c>
      <c r="L461" s="210"/>
    </row>
    <row r="462" spans="2:12">
      <c r="B462" s="202"/>
      <c r="C462" s="203"/>
      <c r="D462" s="203"/>
      <c r="E462" s="203"/>
      <c r="F462" s="203"/>
      <c r="G462" s="203"/>
      <c r="H462" s="204"/>
      <c r="I462" s="556" t="s">
        <v>1221</v>
      </c>
      <c r="J462" s="556"/>
      <c r="K462" s="220">
        <f>SUM(K461:K461)</f>
        <v>0</v>
      </c>
      <c r="L462" s="207"/>
    </row>
    <row r="463" spans="2:12">
      <c r="B463" s="208"/>
      <c r="C463" s="204"/>
      <c r="D463" s="204"/>
      <c r="E463" s="204"/>
      <c r="F463" s="204"/>
      <c r="G463" s="204"/>
      <c r="H463" s="209"/>
      <c r="I463" s="557" t="s">
        <v>1222</v>
      </c>
      <c r="J463" s="557"/>
      <c r="K463" s="221">
        <f>VLOOKUP(B457,'BM 004'!$B$27:$R$590,4,0)</f>
        <v>2130.6999999999998</v>
      </c>
      <c r="L463" s="207"/>
    </row>
    <row r="464" spans="2:12">
      <c r="B464" s="208"/>
      <c r="C464" s="204"/>
      <c r="D464" s="204"/>
      <c r="E464" s="204"/>
      <c r="F464" s="204"/>
      <c r="G464" s="204"/>
      <c r="H464" s="558" t="s">
        <v>1223</v>
      </c>
      <c r="I464" s="558"/>
      <c r="J464" s="558"/>
      <c r="K464" s="222"/>
      <c r="L464" s="207"/>
    </row>
    <row r="465" spans="2:12">
      <c r="B465" s="208"/>
      <c r="C465" s="204"/>
      <c r="D465" s="204"/>
      <c r="E465" s="204"/>
      <c r="F465" s="204"/>
      <c r="G465" s="204"/>
      <c r="H465" s="558" t="s">
        <v>1250</v>
      </c>
      <c r="I465" s="558"/>
      <c r="J465" s="558"/>
      <c r="K465" s="222">
        <f>TRUNC(SUMIF(C459:C461,H465,K459:K461),2)</f>
        <v>185.32</v>
      </c>
      <c r="L465" s="207"/>
    </row>
    <row r="466" spans="2:12">
      <c r="B466" s="213"/>
      <c r="C466" s="214"/>
      <c r="D466" s="214"/>
      <c r="E466" s="214"/>
      <c r="F466" s="214"/>
      <c r="G466" s="214"/>
      <c r="H466" s="559" t="s">
        <v>1224</v>
      </c>
      <c r="I466" s="559"/>
      <c r="J466" s="559"/>
      <c r="K466" s="223">
        <f>IF(K462&gt;K463,K462-K463,0)</f>
        <v>0</v>
      </c>
      <c r="L466" s="209"/>
    </row>
    <row r="468" spans="2:12">
      <c r="B468" s="247" t="s">
        <v>199</v>
      </c>
      <c r="C468" s="565" t="str">
        <f>VLOOKUP(B468,'BM 004'!$B$27:$R$590,2,0)</f>
        <v xml:space="preserve">Armação de pilar ou viga de uma estrutura convencional de concreto armado em um edifício de múltiplos pavimentos utilizando aço ca-50 de 6,3 mm - montagem.  </v>
      </c>
      <c r="D468" s="565"/>
      <c r="E468" s="565"/>
      <c r="F468" s="565"/>
      <c r="G468" s="565"/>
      <c r="H468" s="565"/>
      <c r="I468" s="565"/>
      <c r="J468" s="565"/>
      <c r="K468" s="565"/>
      <c r="L468" s="565"/>
    </row>
    <row r="469" spans="2:12">
      <c r="B469" s="248" t="s">
        <v>1209</v>
      </c>
      <c r="C469" s="248"/>
      <c r="D469" s="248" t="s">
        <v>39</v>
      </c>
      <c r="E469" s="248" t="s">
        <v>1210</v>
      </c>
      <c r="F469" s="248" t="s">
        <v>1382</v>
      </c>
      <c r="G469" s="248" t="s">
        <v>1383</v>
      </c>
      <c r="H469" s="248" t="s">
        <v>1384</v>
      </c>
      <c r="I469" s="248" t="s">
        <v>1214</v>
      </c>
      <c r="J469" s="248" t="s">
        <v>1385</v>
      </c>
      <c r="K469" s="248" t="s">
        <v>1216</v>
      </c>
      <c r="L469" s="248" t="s">
        <v>1217</v>
      </c>
    </row>
    <row r="470" spans="2:12">
      <c r="B470" s="249" t="s">
        <v>1367</v>
      </c>
      <c r="C470" s="250" t="s">
        <v>1333</v>
      </c>
      <c r="D470" s="205" t="s">
        <v>152</v>
      </c>
      <c r="E470" s="251">
        <v>510</v>
      </c>
      <c r="F470" s="252">
        <v>0.245</v>
      </c>
      <c r="G470" s="251"/>
      <c r="H470" s="251">
        <v>1.1000000000000001</v>
      </c>
      <c r="I470" s="251"/>
      <c r="J470" s="253"/>
      <c r="K470" s="254">
        <f>IF(E470*F470*G470&lt;&gt;0,E470*F470*G470,IF(E470*F470&lt;&gt;0,E470*F470,IF(F470*G470&lt;&gt;0,F470*G470,IF(E470*G470&lt;&gt;0,E470*G470,IF(E470&lt;&gt;0,E470,IF(F470&lt;&gt;0,F470,IF(G470&lt;&gt;0,G470,0)))))))*(IF(H470&lt;&gt;0,H470,1))+I470-J470</f>
        <v>137.44500000000002</v>
      </c>
      <c r="L470" s="255"/>
    </row>
    <row r="471" spans="2:12">
      <c r="B471" s="249" t="s">
        <v>1386</v>
      </c>
      <c r="C471" s="250" t="s">
        <v>1333</v>
      </c>
      <c r="D471" s="205" t="s">
        <v>152</v>
      </c>
      <c r="E471" s="251">
        <v>363</v>
      </c>
      <c r="F471" s="252">
        <v>0.245</v>
      </c>
      <c r="G471" s="251"/>
      <c r="H471" s="251">
        <v>1.1000000000000001</v>
      </c>
      <c r="I471" s="251"/>
      <c r="J471" s="253"/>
      <c r="K471" s="254">
        <f>IF(E471*F471*G471&lt;&gt;0,E471*F471*G471,IF(E471*F471&lt;&gt;0,E471*F471,IF(F471*G471&lt;&gt;0,F471*G471,IF(E471*G471&lt;&gt;0,E471*G471,IF(E471&lt;&gt;0,E471,IF(F471&lt;&gt;0,F471,IF(G471&lt;&gt;0,G471,0)))))))*(IF(H471&lt;&gt;0,H471,1))+I471-J471</f>
        <v>97.828500000000005</v>
      </c>
      <c r="L471" s="255"/>
    </row>
    <row r="472" spans="2:12">
      <c r="B472" s="256"/>
      <c r="C472" s="210"/>
      <c r="D472" s="210"/>
      <c r="E472" s="257"/>
      <c r="F472" s="258"/>
      <c r="G472" s="257"/>
      <c r="H472" s="257"/>
      <c r="I472" s="257"/>
      <c r="J472" s="259"/>
      <c r="K472" s="260">
        <f>IF(E472*F472*G472&lt;&gt;0,E472*F472*G472,IF(E472*F472&lt;&gt;0,E472*F472,IF(F472*G472&lt;&gt;0,F472*G472,IF(E472*G472&lt;&gt;0,E472*G472,IF(E472&lt;&gt;0,E472,IF(F472&lt;&gt;0,F472,IF(G472&lt;&gt;0,G472,0)))))))*(IF(H472&lt;&gt;0,H472,1))+I472-J472</f>
        <v>0</v>
      </c>
      <c r="L472" s="210"/>
    </row>
    <row r="473" spans="2:12">
      <c r="B473" s="202"/>
      <c r="C473" s="203"/>
      <c r="D473" s="203"/>
      <c r="E473" s="203"/>
      <c r="F473" s="203"/>
      <c r="G473" s="203"/>
      <c r="H473" s="204"/>
      <c r="I473" s="556" t="s">
        <v>1221</v>
      </c>
      <c r="J473" s="556"/>
      <c r="K473" s="220">
        <f>SUM(K472:K472)</f>
        <v>0</v>
      </c>
      <c r="L473" s="207"/>
    </row>
    <row r="474" spans="2:12">
      <c r="B474" s="208"/>
      <c r="C474" s="204"/>
      <c r="D474" s="204"/>
      <c r="E474" s="204"/>
      <c r="F474" s="204"/>
      <c r="G474" s="204"/>
      <c r="H474" s="209"/>
      <c r="I474" s="557" t="s">
        <v>1222</v>
      </c>
      <c r="J474" s="557"/>
      <c r="K474" s="221">
        <f>VLOOKUP(B468,'BM 004'!$B$27:$R$590,4,0)</f>
        <v>3031.6</v>
      </c>
      <c r="L474" s="207"/>
    </row>
    <row r="475" spans="2:12">
      <c r="B475" s="208"/>
      <c r="C475" s="204"/>
      <c r="D475" s="204"/>
      <c r="E475" s="204"/>
      <c r="F475" s="204"/>
      <c r="G475" s="204"/>
      <c r="H475" s="558" t="s">
        <v>1223</v>
      </c>
      <c r="I475" s="558"/>
      <c r="J475" s="558"/>
      <c r="K475" s="222"/>
      <c r="L475" s="207"/>
    </row>
    <row r="476" spans="2:12">
      <c r="B476" s="208"/>
      <c r="C476" s="204"/>
      <c r="D476" s="204"/>
      <c r="E476" s="204"/>
      <c r="F476" s="204"/>
      <c r="G476" s="204"/>
      <c r="H476" s="558" t="s">
        <v>1250</v>
      </c>
      <c r="I476" s="558"/>
      <c r="J476" s="558"/>
      <c r="K476" s="222">
        <f>TRUNC(SUMIF(C470:C472,H476,K470:K472),2)</f>
        <v>235.27</v>
      </c>
      <c r="L476" s="207"/>
    </row>
    <row r="477" spans="2:12">
      <c r="B477" s="213"/>
      <c r="C477" s="214"/>
      <c r="D477" s="214"/>
      <c r="E477" s="214"/>
      <c r="F477" s="214"/>
      <c r="G477" s="214"/>
      <c r="H477" s="559" t="s">
        <v>1224</v>
      </c>
      <c r="I477" s="559"/>
      <c r="J477" s="559"/>
      <c r="K477" s="223">
        <f>IF(K473&gt;K474,K473-K474,0)</f>
        <v>0</v>
      </c>
      <c r="L477" s="209"/>
    </row>
    <row r="479" spans="2:12">
      <c r="B479" s="247" t="s">
        <v>201</v>
      </c>
      <c r="C479" s="565" t="str">
        <f>VLOOKUP(B479,'BM 004'!$B$27:$R$590,2,0)</f>
        <v xml:space="preserve">Armação de pilar ou viga de uma estrutura convencional de concreto armado em um edifício de múltiplos pavimentos utilizando aço ca-50 de 8,0 mm - montagem. </v>
      </c>
      <c r="D479" s="565"/>
      <c r="E479" s="565"/>
      <c r="F479" s="565"/>
      <c r="G479" s="565"/>
      <c r="H479" s="565"/>
      <c r="I479" s="565"/>
      <c r="J479" s="565"/>
      <c r="K479" s="565"/>
      <c r="L479" s="565"/>
    </row>
    <row r="480" spans="2:12">
      <c r="B480" s="248" t="s">
        <v>1209</v>
      </c>
      <c r="C480" s="248"/>
      <c r="D480" s="248" t="s">
        <v>39</v>
      </c>
      <c r="E480" s="248" t="s">
        <v>1210</v>
      </c>
      <c r="F480" s="248" t="s">
        <v>1382</v>
      </c>
      <c r="G480" s="248" t="s">
        <v>1383</v>
      </c>
      <c r="H480" s="248" t="s">
        <v>1384</v>
      </c>
      <c r="I480" s="248" t="s">
        <v>1214</v>
      </c>
      <c r="J480" s="248" t="s">
        <v>1385</v>
      </c>
      <c r="K480" s="248" t="s">
        <v>1216</v>
      </c>
      <c r="L480" s="248" t="s">
        <v>1217</v>
      </c>
    </row>
    <row r="481" spans="2:12">
      <c r="B481" s="249" t="s">
        <v>1367</v>
      </c>
      <c r="C481" s="250" t="s">
        <v>1333</v>
      </c>
      <c r="D481" s="205" t="s">
        <v>152</v>
      </c>
      <c r="E481" s="251">
        <v>415</v>
      </c>
      <c r="F481" s="252">
        <v>0.39500000000000002</v>
      </c>
      <c r="G481" s="251"/>
      <c r="H481" s="251">
        <v>1.1000000000000001</v>
      </c>
      <c r="I481" s="251"/>
      <c r="J481" s="253"/>
      <c r="K481" s="254">
        <f>IF(E481*F481*G481&lt;&gt;0,E481*F481*G481,IF(E481*F481&lt;&gt;0,E481*F481,IF(F481*G481&lt;&gt;0,F481*G481,IF(E481*G481&lt;&gt;0,E481*G481,IF(E481&lt;&gt;0,E481,IF(F481&lt;&gt;0,F481,IF(G481&lt;&gt;0,G481,0)))))))*(IF(H481&lt;&gt;0,H481,1))+I481-J481</f>
        <v>180.31750000000002</v>
      </c>
      <c r="L481" s="255"/>
    </row>
    <row r="482" spans="2:12">
      <c r="B482" s="249" t="s">
        <v>1386</v>
      </c>
      <c r="C482" s="250" t="s">
        <v>1333</v>
      </c>
      <c r="D482" s="205" t="s">
        <v>152</v>
      </c>
      <c r="E482" s="251">
        <v>427</v>
      </c>
      <c r="F482" s="252">
        <v>0.39500000000000002</v>
      </c>
      <c r="G482" s="251"/>
      <c r="H482" s="251">
        <v>1.1000000000000001</v>
      </c>
      <c r="I482" s="251"/>
      <c r="J482" s="253"/>
      <c r="K482" s="254">
        <f>IF(E482*F482*G482&lt;&gt;0,E482*F482*G482,IF(E482*F482&lt;&gt;0,E482*F482,IF(F482*G482&lt;&gt;0,F482*G482,IF(E482*G482&lt;&gt;0,E482*G482,IF(E482&lt;&gt;0,E482,IF(F482&lt;&gt;0,F482,IF(G482&lt;&gt;0,G482,0)))))))*(IF(H482&lt;&gt;0,H482,1))+I482-J482</f>
        <v>185.53150000000005</v>
      </c>
      <c r="L482" s="255"/>
    </row>
    <row r="483" spans="2:12">
      <c r="B483" s="256"/>
      <c r="C483" s="210"/>
      <c r="D483" s="210"/>
      <c r="E483" s="257"/>
      <c r="F483" s="258"/>
      <c r="G483" s="257"/>
      <c r="H483" s="257"/>
      <c r="I483" s="257"/>
      <c r="J483" s="259"/>
      <c r="K483" s="260">
        <f>IF(E483*F483*G483&lt;&gt;0,E483*F483*G483,IF(E483*F483&lt;&gt;0,E483*F483,IF(F483*G483&lt;&gt;0,F483*G483,IF(E483*G483&lt;&gt;0,E483*G483,IF(E483&lt;&gt;0,E483,IF(F483&lt;&gt;0,F483,IF(G483&lt;&gt;0,G483,0)))))))*(IF(H483&lt;&gt;0,H483,1))+I483-J483</f>
        <v>0</v>
      </c>
      <c r="L483" s="210"/>
    </row>
    <row r="484" spans="2:12">
      <c r="B484" s="202"/>
      <c r="C484" s="203"/>
      <c r="D484" s="203"/>
      <c r="E484" s="203"/>
      <c r="F484" s="203"/>
      <c r="G484" s="203"/>
      <c r="H484" s="204"/>
      <c r="I484" s="556" t="s">
        <v>1221</v>
      </c>
      <c r="J484" s="556"/>
      <c r="K484" s="220">
        <f>SUM(K483:K483)</f>
        <v>0</v>
      </c>
      <c r="L484" s="207"/>
    </row>
    <row r="485" spans="2:12">
      <c r="B485" s="208"/>
      <c r="C485" s="204"/>
      <c r="D485" s="204"/>
      <c r="E485" s="204"/>
      <c r="F485" s="204"/>
      <c r="G485" s="204"/>
      <c r="H485" s="209"/>
      <c r="I485" s="557" t="s">
        <v>1222</v>
      </c>
      <c r="J485" s="557"/>
      <c r="K485" s="221">
        <f>VLOOKUP(B479,'BM 004'!$B$27:$R$590,4,0)</f>
        <v>5608.9</v>
      </c>
      <c r="L485" s="207"/>
    </row>
    <row r="486" spans="2:12">
      <c r="B486" s="208"/>
      <c r="C486" s="204"/>
      <c r="D486" s="204"/>
      <c r="E486" s="204"/>
      <c r="F486" s="204"/>
      <c r="G486" s="204"/>
      <c r="H486" s="558" t="s">
        <v>1223</v>
      </c>
      <c r="I486" s="558"/>
      <c r="J486" s="558"/>
      <c r="K486" s="222"/>
      <c r="L486" s="207"/>
    </row>
    <row r="487" spans="2:12">
      <c r="B487" s="208"/>
      <c r="C487" s="204"/>
      <c r="D487" s="204"/>
      <c r="E487" s="204"/>
      <c r="F487" s="204"/>
      <c r="G487" s="204"/>
      <c r="H487" s="558" t="s">
        <v>1250</v>
      </c>
      <c r="I487" s="558"/>
      <c r="J487" s="558"/>
      <c r="K487" s="222">
        <f>TRUNC(SUMIF(C481:C483,H487,K481:K483),2)</f>
        <v>365.84</v>
      </c>
      <c r="L487" s="207"/>
    </row>
    <row r="488" spans="2:12">
      <c r="B488" s="213"/>
      <c r="C488" s="214"/>
      <c r="D488" s="214"/>
      <c r="E488" s="214"/>
      <c r="F488" s="214"/>
      <c r="G488" s="214"/>
      <c r="H488" s="559" t="s">
        <v>1224</v>
      </c>
      <c r="I488" s="559"/>
      <c r="J488" s="559"/>
      <c r="K488" s="223">
        <f>IF(K484&gt;K485,K484-K485,0)</f>
        <v>0</v>
      </c>
      <c r="L488" s="209"/>
    </row>
    <row r="490" spans="2:12">
      <c r="B490" s="247" t="s">
        <v>203</v>
      </c>
      <c r="C490" s="565" t="str">
        <f>VLOOKUP(B490,'BM 004'!$B$27:$R$590,2,0)</f>
        <v xml:space="preserve">Armação de pilar ou viga de uma estrutura convencional de concreto armado em um edifício de múltiplos pavimentos utilizando aço ca-50 de 10,0 mm - montagem. </v>
      </c>
      <c r="D490" s="565"/>
      <c r="E490" s="565"/>
      <c r="F490" s="565"/>
      <c r="G490" s="565"/>
      <c r="H490" s="565"/>
      <c r="I490" s="565"/>
      <c r="J490" s="565"/>
      <c r="K490" s="565"/>
      <c r="L490" s="565"/>
    </row>
    <row r="491" spans="2:12">
      <c r="B491" s="248" t="s">
        <v>1209</v>
      </c>
      <c r="C491" s="248"/>
      <c r="D491" s="248" t="s">
        <v>39</v>
      </c>
      <c r="E491" s="248" t="s">
        <v>1210</v>
      </c>
      <c r="F491" s="248" t="s">
        <v>1382</v>
      </c>
      <c r="G491" s="248" t="s">
        <v>1383</v>
      </c>
      <c r="H491" s="248" t="s">
        <v>1384</v>
      </c>
      <c r="I491" s="248" t="s">
        <v>1214</v>
      </c>
      <c r="J491" s="248" t="s">
        <v>1385</v>
      </c>
      <c r="K491" s="248" t="s">
        <v>1216</v>
      </c>
      <c r="L491" s="248" t="s">
        <v>1217</v>
      </c>
    </row>
    <row r="492" spans="2:12">
      <c r="B492" s="249" t="s">
        <v>1367</v>
      </c>
      <c r="C492" s="250" t="s">
        <v>1333</v>
      </c>
      <c r="D492" s="205" t="s">
        <v>152</v>
      </c>
      <c r="E492" s="251">
        <v>89</v>
      </c>
      <c r="F492" s="252">
        <v>0.61699999999999999</v>
      </c>
      <c r="G492" s="251"/>
      <c r="H492" s="251">
        <v>1.1000000000000001</v>
      </c>
      <c r="I492" s="251"/>
      <c r="J492" s="253"/>
      <c r="K492" s="254">
        <f>IF(E492*F492*G492&lt;&gt;0,E492*F492*G492,IF(E492*F492&lt;&gt;0,E492*F492,IF(F492*G492&lt;&gt;0,F492*G492,IF(E492*G492&lt;&gt;0,E492*G492,IF(E492&lt;&gt;0,E492,IF(F492&lt;&gt;0,F492,IF(G492&lt;&gt;0,G492,0)))))))*(IF(H492&lt;&gt;0,H492,1))+I492-J492</f>
        <v>60.404299999999999</v>
      </c>
      <c r="L492" s="255"/>
    </row>
    <row r="493" spans="2:12">
      <c r="B493" s="249" t="s">
        <v>1386</v>
      </c>
      <c r="C493" s="250" t="s">
        <v>1333</v>
      </c>
      <c r="D493" s="205" t="s">
        <v>152</v>
      </c>
      <c r="E493" s="251">
        <v>92</v>
      </c>
      <c r="F493" s="252">
        <v>0.61699999999999999</v>
      </c>
      <c r="G493" s="251"/>
      <c r="H493" s="251">
        <v>1.1000000000000001</v>
      </c>
      <c r="I493" s="251"/>
      <c r="J493" s="253"/>
      <c r="K493" s="254">
        <f>IF(E493*F493*G493&lt;&gt;0,E493*F493*G493,IF(E493*F493&lt;&gt;0,E493*F493,IF(F493*G493&lt;&gt;0,F493*G493,IF(E493*G493&lt;&gt;0,E493*G493,IF(E493&lt;&gt;0,E493,IF(F493&lt;&gt;0,F493,IF(G493&lt;&gt;0,G493,0)))))))*(IF(H493&lt;&gt;0,H493,1))+I493-J493</f>
        <v>62.440400000000004</v>
      </c>
      <c r="L493" s="255"/>
    </row>
    <row r="494" spans="2:12">
      <c r="B494" s="256"/>
      <c r="C494" s="210"/>
      <c r="D494" s="210"/>
      <c r="E494" s="257"/>
      <c r="F494" s="258"/>
      <c r="G494" s="257"/>
      <c r="H494" s="257"/>
      <c r="I494" s="257"/>
      <c r="J494" s="259"/>
      <c r="K494" s="260">
        <f>IF(E494*F494*G494&lt;&gt;0,E494*F494*G494,IF(E494*F494&lt;&gt;0,E494*F494,IF(F494*G494&lt;&gt;0,F494*G494,IF(E494*G494&lt;&gt;0,E494*G494,IF(E494&lt;&gt;0,E494,IF(F494&lt;&gt;0,F494,IF(G494&lt;&gt;0,G494,0)))))))*(IF(H494&lt;&gt;0,H494,1))+I494-J494</f>
        <v>0</v>
      </c>
      <c r="L494" s="210"/>
    </row>
    <row r="495" spans="2:12">
      <c r="B495" s="202"/>
      <c r="C495" s="203"/>
      <c r="D495" s="203"/>
      <c r="E495" s="203"/>
      <c r="F495" s="203"/>
      <c r="G495" s="203"/>
      <c r="H495" s="204"/>
      <c r="I495" s="556" t="s">
        <v>1221</v>
      </c>
      <c r="J495" s="556"/>
      <c r="K495" s="220">
        <f>SUM(K494:K494)</f>
        <v>0</v>
      </c>
      <c r="L495" s="207"/>
    </row>
    <row r="496" spans="2:12">
      <c r="B496" s="208"/>
      <c r="C496" s="204"/>
      <c r="D496" s="204"/>
      <c r="E496" s="204"/>
      <c r="F496" s="204"/>
      <c r="G496" s="204"/>
      <c r="H496" s="209"/>
      <c r="I496" s="557" t="s">
        <v>1222</v>
      </c>
      <c r="J496" s="557"/>
      <c r="K496" s="221">
        <f>VLOOKUP(B490,'BM 004'!$B$27:$R$590,4,0)</f>
        <v>4215.2</v>
      </c>
      <c r="L496" s="207"/>
    </row>
    <row r="497" spans="2:12">
      <c r="B497" s="208"/>
      <c r="C497" s="204"/>
      <c r="D497" s="204"/>
      <c r="E497" s="204"/>
      <c r="F497" s="204"/>
      <c r="G497" s="204"/>
      <c r="H497" s="558" t="s">
        <v>1223</v>
      </c>
      <c r="I497" s="558"/>
      <c r="J497" s="558"/>
      <c r="K497" s="222"/>
      <c r="L497" s="207"/>
    </row>
    <row r="498" spans="2:12">
      <c r="B498" s="208"/>
      <c r="C498" s="204"/>
      <c r="D498" s="204"/>
      <c r="E498" s="204"/>
      <c r="F498" s="204"/>
      <c r="G498" s="204"/>
      <c r="H498" s="558" t="s">
        <v>1250</v>
      </c>
      <c r="I498" s="558"/>
      <c r="J498" s="558"/>
      <c r="K498" s="222">
        <f>TRUNC(SUMIF(C492:C494,H498,K492:K494),2)</f>
        <v>122.84</v>
      </c>
      <c r="L498" s="207"/>
    </row>
    <row r="499" spans="2:12">
      <c r="B499" s="213"/>
      <c r="C499" s="214"/>
      <c r="D499" s="214"/>
      <c r="E499" s="214"/>
      <c r="F499" s="214"/>
      <c r="G499" s="214"/>
      <c r="H499" s="559" t="s">
        <v>1224</v>
      </c>
      <c r="I499" s="559"/>
      <c r="J499" s="559"/>
      <c r="K499" s="223">
        <f>IF(K495&gt;K496,K495-K496,0)</f>
        <v>0</v>
      </c>
      <c r="L499" s="209"/>
    </row>
    <row r="501" spans="2:12">
      <c r="B501" s="247" t="s">
        <v>205</v>
      </c>
      <c r="C501" s="565" t="str">
        <f>VLOOKUP(B501,'BM 004'!$B$27:$R$590,2,0)</f>
        <v xml:space="preserve">Armação de pilar ou viga de uma estrutura convencional de concreto armado em um edifício de múltiplos pavimentos utilizando aço ca-50 de 12,5 mm - montagem. </v>
      </c>
      <c r="D501" s="565"/>
      <c r="E501" s="565"/>
      <c r="F501" s="565"/>
      <c r="G501" s="565"/>
      <c r="H501" s="565"/>
      <c r="I501" s="565"/>
      <c r="J501" s="565"/>
      <c r="K501" s="565"/>
      <c r="L501" s="565"/>
    </row>
    <row r="502" spans="2:12">
      <c r="B502" s="248" t="s">
        <v>1209</v>
      </c>
      <c r="C502" s="248"/>
      <c r="D502" s="248" t="s">
        <v>39</v>
      </c>
      <c r="E502" s="248" t="s">
        <v>1210</v>
      </c>
      <c r="F502" s="248" t="s">
        <v>1382</v>
      </c>
      <c r="G502" s="248" t="s">
        <v>1383</v>
      </c>
      <c r="H502" s="248" t="s">
        <v>1384</v>
      </c>
      <c r="I502" s="248" t="s">
        <v>1214</v>
      </c>
      <c r="J502" s="248" t="s">
        <v>1385</v>
      </c>
      <c r="K502" s="248" t="s">
        <v>1216</v>
      </c>
      <c r="L502" s="248" t="s">
        <v>1217</v>
      </c>
    </row>
    <row r="503" spans="2:12">
      <c r="B503" s="249" t="s">
        <v>1367</v>
      </c>
      <c r="C503" s="250" t="s">
        <v>1333</v>
      </c>
      <c r="D503" s="205" t="s">
        <v>152</v>
      </c>
      <c r="E503" s="251">
        <v>89</v>
      </c>
      <c r="F503" s="252">
        <v>0.96299999999999997</v>
      </c>
      <c r="G503" s="251"/>
      <c r="H503" s="251">
        <v>1.1000000000000001</v>
      </c>
      <c r="I503" s="251"/>
      <c r="J503" s="253"/>
      <c r="K503" s="254">
        <f>IF(E503*F503*G503&lt;&gt;0,E503*F503*G503,IF(E503*F503&lt;&gt;0,E503*F503,IF(F503*G503&lt;&gt;0,F503*G503,IF(E503*G503&lt;&gt;0,E503*G503,IF(E503&lt;&gt;0,E503,IF(F503&lt;&gt;0,F503,IF(G503&lt;&gt;0,G503,0)))))))*(IF(H503&lt;&gt;0,H503,1))+I503-J503</f>
        <v>94.277699999999996</v>
      </c>
      <c r="L503" s="255"/>
    </row>
    <row r="504" spans="2:12">
      <c r="B504" s="249" t="s">
        <v>1386</v>
      </c>
      <c r="C504" s="250" t="s">
        <v>1333</v>
      </c>
      <c r="D504" s="205" t="s">
        <v>152</v>
      </c>
      <c r="E504" s="251">
        <v>72</v>
      </c>
      <c r="F504" s="252">
        <v>0.96299999999999997</v>
      </c>
      <c r="G504" s="251"/>
      <c r="H504" s="251">
        <v>1.1000000000000001</v>
      </c>
      <c r="I504" s="251"/>
      <c r="J504" s="253"/>
      <c r="K504" s="254">
        <f>IF(E504*F504*G504&lt;&gt;0,E504*F504*G504,IF(E504*F504&lt;&gt;0,E504*F504,IF(F504*G504&lt;&gt;0,F504*G504,IF(E504*G504&lt;&gt;0,E504*G504,IF(E504&lt;&gt;0,E504,IF(F504&lt;&gt;0,F504,IF(G504&lt;&gt;0,G504,0)))))))*(IF(H504&lt;&gt;0,H504,1))+I504-J504</f>
        <v>76.269600000000011</v>
      </c>
      <c r="L504" s="255"/>
    </row>
    <row r="505" spans="2:12">
      <c r="B505" s="256"/>
      <c r="C505" s="210"/>
      <c r="D505" s="210"/>
      <c r="E505" s="257"/>
      <c r="F505" s="258"/>
      <c r="G505" s="257"/>
      <c r="H505" s="257"/>
      <c r="I505" s="257"/>
      <c r="J505" s="259"/>
      <c r="K505" s="260">
        <f>IF(E505*F505*G505&lt;&gt;0,E505*F505*G505,IF(E505*F505&lt;&gt;0,E505*F505,IF(F505*G505&lt;&gt;0,F505*G505,IF(E505*G505&lt;&gt;0,E505*G505,IF(E505&lt;&gt;0,E505,IF(F505&lt;&gt;0,F505,IF(G505&lt;&gt;0,G505,0)))))))*(IF(H505&lt;&gt;0,H505,1))+I505-J505</f>
        <v>0</v>
      </c>
      <c r="L505" s="210"/>
    </row>
    <row r="506" spans="2:12">
      <c r="B506" s="202"/>
      <c r="C506" s="203"/>
      <c r="D506" s="203"/>
      <c r="E506" s="203"/>
      <c r="F506" s="203"/>
      <c r="G506" s="203"/>
      <c r="H506" s="204"/>
      <c r="I506" s="556" t="s">
        <v>1221</v>
      </c>
      <c r="J506" s="556"/>
      <c r="K506" s="220">
        <f>SUM(K505:K505)</f>
        <v>0</v>
      </c>
      <c r="L506" s="207"/>
    </row>
    <row r="507" spans="2:12">
      <c r="B507" s="208"/>
      <c r="C507" s="204"/>
      <c r="D507" s="204"/>
      <c r="E507" s="204"/>
      <c r="F507" s="204"/>
      <c r="G507" s="204"/>
      <c r="H507" s="209"/>
      <c r="I507" s="557" t="s">
        <v>1222</v>
      </c>
      <c r="J507" s="557"/>
      <c r="K507" s="221">
        <f>VLOOKUP(B501,'BM 004'!$B$27:$R$590,4,0)</f>
        <v>3267</v>
      </c>
      <c r="L507" s="207"/>
    </row>
    <row r="508" spans="2:12">
      <c r="B508" s="208"/>
      <c r="C508" s="204"/>
      <c r="D508" s="204"/>
      <c r="E508" s="204"/>
      <c r="F508" s="204"/>
      <c r="G508" s="204"/>
      <c r="H508" s="558" t="s">
        <v>1223</v>
      </c>
      <c r="I508" s="558"/>
      <c r="J508" s="558"/>
      <c r="K508" s="222"/>
      <c r="L508" s="207"/>
    </row>
    <row r="509" spans="2:12">
      <c r="B509" s="208"/>
      <c r="C509" s="204"/>
      <c r="D509" s="204"/>
      <c r="E509" s="204"/>
      <c r="F509" s="204"/>
      <c r="G509" s="204"/>
      <c r="H509" s="558" t="s">
        <v>1250</v>
      </c>
      <c r="I509" s="558"/>
      <c r="J509" s="558"/>
      <c r="K509" s="222">
        <f>TRUNC(SUMIF(C503:C505,H509,K503:K505),2)</f>
        <v>170.54</v>
      </c>
      <c r="L509" s="207"/>
    </row>
    <row r="510" spans="2:12">
      <c r="B510" s="213"/>
      <c r="C510" s="214"/>
      <c r="D510" s="214"/>
      <c r="E510" s="214"/>
      <c r="F510" s="214"/>
      <c r="G510" s="214"/>
      <c r="H510" s="559" t="s">
        <v>1224</v>
      </c>
      <c r="I510" s="559"/>
      <c r="J510" s="559"/>
      <c r="K510" s="223">
        <f>IF(K506&gt;K507,K506-K507,0)</f>
        <v>0</v>
      </c>
      <c r="L510" s="209"/>
    </row>
    <row r="512" spans="2:12">
      <c r="B512" s="247" t="s">
        <v>207</v>
      </c>
      <c r="C512" s="565" t="str">
        <f>VLOOKUP(B512,'BM 004'!$B$27:$R$590,2,0)</f>
        <v xml:space="preserve">Armação de pilar ou viga de uma estrutura convencional de concreto armado em um edifício de múltiplos pavimentos utilizando aço ca-50 de 16,0 mm - montagem. </v>
      </c>
      <c r="D512" s="565"/>
      <c r="E512" s="565"/>
      <c r="F512" s="565"/>
      <c r="G512" s="565"/>
      <c r="H512" s="565"/>
      <c r="I512" s="565"/>
      <c r="J512" s="565"/>
      <c r="K512" s="565"/>
      <c r="L512" s="565"/>
    </row>
    <row r="513" spans="2:12">
      <c r="B513" s="248" t="s">
        <v>1209</v>
      </c>
      <c r="C513" s="248"/>
      <c r="D513" s="248" t="s">
        <v>39</v>
      </c>
      <c r="E513" s="248" t="s">
        <v>1210</v>
      </c>
      <c r="F513" s="248" t="s">
        <v>1382</v>
      </c>
      <c r="G513" s="248" t="s">
        <v>1383</v>
      </c>
      <c r="H513" s="248" t="s">
        <v>1384</v>
      </c>
      <c r="I513" s="248" t="s">
        <v>1214</v>
      </c>
      <c r="J513" s="248" t="s">
        <v>1385</v>
      </c>
      <c r="K513" s="248" t="s">
        <v>1216</v>
      </c>
      <c r="L513" s="248" t="s">
        <v>1217</v>
      </c>
    </row>
    <row r="514" spans="2:12">
      <c r="B514" s="249" t="s">
        <v>1367</v>
      </c>
      <c r="C514" s="250" t="s">
        <v>1333</v>
      </c>
      <c r="D514" s="205" t="s">
        <v>152</v>
      </c>
      <c r="E514" s="251">
        <v>221</v>
      </c>
      <c r="F514" s="252">
        <v>1.5780000000000001</v>
      </c>
      <c r="G514" s="251"/>
      <c r="H514" s="251">
        <v>1.1000000000000001</v>
      </c>
      <c r="I514" s="251"/>
      <c r="J514" s="253"/>
      <c r="K514" s="254">
        <f>IF(E514*F514*G514&lt;&gt;0,E514*F514*G514,IF(E514*F514&lt;&gt;0,E514*F514,IF(F514*G514&lt;&gt;0,F514*G514,IF(E514*G514&lt;&gt;0,E514*G514,IF(E514&lt;&gt;0,E514,IF(F514&lt;&gt;0,F514,IF(G514&lt;&gt;0,G514,0)))))))*(IF(H514&lt;&gt;0,H514,1))+I514-J514</f>
        <v>383.61180000000002</v>
      </c>
      <c r="L514" s="255"/>
    </row>
    <row r="515" spans="2:12">
      <c r="B515" s="249" t="s">
        <v>1386</v>
      </c>
      <c r="C515" s="250" t="s">
        <v>1333</v>
      </c>
      <c r="D515" s="205" t="s">
        <v>152</v>
      </c>
      <c r="E515" s="251">
        <v>236</v>
      </c>
      <c r="F515" s="252">
        <v>1.5780000000000001</v>
      </c>
      <c r="G515" s="251"/>
      <c r="H515" s="251">
        <v>1.1000000000000001</v>
      </c>
      <c r="I515" s="251"/>
      <c r="J515" s="253"/>
      <c r="K515" s="254">
        <f>IF(E515*F515*G515&lt;&gt;0,E515*F515*G515,IF(E515*F515&lt;&gt;0,E515*F515,IF(F515*G515&lt;&gt;0,F515*G515,IF(E515*G515&lt;&gt;0,E515*G515,IF(E515&lt;&gt;0,E515,IF(F515&lt;&gt;0,F515,IF(G515&lt;&gt;0,G515,0)))))))*(IF(H515&lt;&gt;0,H515,1))+I515-J515</f>
        <v>409.64880000000005</v>
      </c>
      <c r="L515" s="255"/>
    </row>
    <row r="516" spans="2:12">
      <c r="B516" s="256"/>
      <c r="C516" s="210"/>
      <c r="D516" s="210"/>
      <c r="E516" s="257"/>
      <c r="F516" s="258"/>
      <c r="G516" s="257"/>
      <c r="H516" s="257"/>
      <c r="I516" s="257"/>
      <c r="J516" s="259"/>
      <c r="K516" s="260">
        <f>IF(E516*F516*G516&lt;&gt;0,E516*F516*G516,IF(E516*F516&lt;&gt;0,E516*F516,IF(F516*G516&lt;&gt;0,F516*G516,IF(E516*G516&lt;&gt;0,E516*G516,IF(E516&lt;&gt;0,E516,IF(F516&lt;&gt;0,F516,IF(G516&lt;&gt;0,G516,0)))))))*(IF(H516&lt;&gt;0,H516,1))+I516-J516</f>
        <v>0</v>
      </c>
      <c r="L516" s="210"/>
    </row>
    <row r="517" spans="2:12">
      <c r="B517" s="202"/>
      <c r="C517" s="203"/>
      <c r="D517" s="203"/>
      <c r="E517" s="203"/>
      <c r="F517" s="203"/>
      <c r="G517" s="203"/>
      <c r="H517" s="204"/>
      <c r="I517" s="556" t="s">
        <v>1221</v>
      </c>
      <c r="J517" s="556"/>
      <c r="K517" s="220">
        <f>SUM(K516:K516)</f>
        <v>0</v>
      </c>
      <c r="L517" s="207"/>
    </row>
    <row r="518" spans="2:12">
      <c r="B518" s="208"/>
      <c r="C518" s="204"/>
      <c r="D518" s="204"/>
      <c r="E518" s="204"/>
      <c r="F518" s="204"/>
      <c r="G518" s="204"/>
      <c r="H518" s="209"/>
      <c r="I518" s="557" t="s">
        <v>1222</v>
      </c>
      <c r="J518" s="557"/>
      <c r="K518" s="221">
        <f>VLOOKUP(B512,'BM 004'!$B$27:$R$590,4,0)</f>
        <v>8421.6</v>
      </c>
      <c r="L518" s="207"/>
    </row>
    <row r="519" spans="2:12">
      <c r="B519" s="208"/>
      <c r="C519" s="204"/>
      <c r="D519" s="204"/>
      <c r="E519" s="204"/>
      <c r="F519" s="204"/>
      <c r="G519" s="204"/>
      <c r="H519" s="558" t="s">
        <v>1223</v>
      </c>
      <c r="I519" s="558"/>
      <c r="J519" s="558"/>
      <c r="K519" s="222"/>
      <c r="L519" s="207"/>
    </row>
    <row r="520" spans="2:12">
      <c r="B520" s="208"/>
      <c r="C520" s="204"/>
      <c r="D520" s="204"/>
      <c r="E520" s="204"/>
      <c r="F520" s="204"/>
      <c r="G520" s="204"/>
      <c r="H520" s="558" t="s">
        <v>1250</v>
      </c>
      <c r="I520" s="558"/>
      <c r="J520" s="558"/>
      <c r="K520" s="222">
        <f>TRUNC(SUMIF(C514:C516,H520,K514:K516),2)</f>
        <v>793.26</v>
      </c>
      <c r="L520" s="207"/>
    </row>
    <row r="521" spans="2:12">
      <c r="B521" s="213"/>
      <c r="C521" s="214"/>
      <c r="D521" s="214"/>
      <c r="E521" s="214"/>
      <c r="F521" s="214"/>
      <c r="G521" s="214"/>
      <c r="H521" s="559" t="s">
        <v>1224</v>
      </c>
      <c r="I521" s="559"/>
      <c r="J521" s="559"/>
      <c r="K521" s="223">
        <f>IF(K517&gt;K518,K517-K518,0)</f>
        <v>0</v>
      </c>
      <c r="L521" s="209"/>
    </row>
    <row r="523" spans="2:12">
      <c r="B523" s="247" t="s">
        <v>209</v>
      </c>
      <c r="C523" s="565" t="str">
        <f>VLOOKUP(B523,'BM 004'!$B$27:$R$590,2,0)</f>
        <v xml:space="preserve">Armação de pilar ou viga de uma estrutura convencional de concreto armado em um edifício de múltiplos pavimentos utilizando aço ca-50 de 20,0 mm - montagem. </v>
      </c>
      <c r="D523" s="565"/>
      <c r="E523" s="565"/>
      <c r="F523" s="565"/>
      <c r="G523" s="565"/>
      <c r="H523" s="565"/>
      <c r="I523" s="565"/>
      <c r="J523" s="565"/>
      <c r="K523" s="565"/>
      <c r="L523" s="565"/>
    </row>
    <row r="524" spans="2:12">
      <c r="B524" s="248" t="s">
        <v>1209</v>
      </c>
      <c r="C524" s="248"/>
      <c r="D524" s="248" t="s">
        <v>39</v>
      </c>
      <c r="E524" s="248" t="s">
        <v>1210</v>
      </c>
      <c r="F524" s="248" t="s">
        <v>1382</v>
      </c>
      <c r="G524" s="248" t="s">
        <v>1383</v>
      </c>
      <c r="H524" s="248" t="s">
        <v>1384</v>
      </c>
      <c r="I524" s="248" t="s">
        <v>1214</v>
      </c>
      <c r="J524" s="248" t="s">
        <v>1385</v>
      </c>
      <c r="K524" s="248" t="s">
        <v>1216</v>
      </c>
      <c r="L524" s="248" t="s">
        <v>1217</v>
      </c>
    </row>
    <row r="525" spans="2:12">
      <c r="B525" s="249" t="s">
        <v>1367</v>
      </c>
      <c r="C525" s="250" t="s">
        <v>1333</v>
      </c>
      <c r="D525" s="205" t="s">
        <v>152</v>
      </c>
      <c r="E525" s="251">
        <v>75</v>
      </c>
      <c r="F525" s="252">
        <v>2.4660000000000002</v>
      </c>
      <c r="G525" s="251"/>
      <c r="H525" s="251">
        <v>1.1000000000000001</v>
      </c>
      <c r="I525" s="251"/>
      <c r="J525" s="253"/>
      <c r="K525" s="254">
        <f>IF(E525*F525*G525&lt;&gt;0,E525*F525*G525,IF(E525*F525&lt;&gt;0,E525*F525,IF(F525*G525&lt;&gt;0,F525*G525,IF(E525*G525&lt;&gt;0,E525*G525,IF(E525&lt;&gt;0,E525,IF(F525&lt;&gt;0,F525,IF(G525&lt;&gt;0,G525,0)))))))*(IF(H525&lt;&gt;0,H525,1))+I525-J525</f>
        <v>203.44500000000002</v>
      </c>
      <c r="L525" s="255"/>
    </row>
    <row r="526" spans="2:12">
      <c r="B526" s="249" t="s">
        <v>1386</v>
      </c>
      <c r="C526" s="250" t="s">
        <v>1333</v>
      </c>
      <c r="D526" s="205" t="s">
        <v>152</v>
      </c>
      <c r="E526" s="251">
        <v>95</v>
      </c>
      <c r="F526" s="252">
        <v>2.4660000000000002</v>
      </c>
      <c r="G526" s="251"/>
      <c r="H526" s="251">
        <v>1.1000000000000001</v>
      </c>
      <c r="I526" s="251"/>
      <c r="J526" s="253"/>
      <c r="K526" s="254">
        <f>IF(E526*F526*G526&lt;&gt;0,E526*F526*G526,IF(E526*F526&lt;&gt;0,E526*F526,IF(F526*G526&lt;&gt;0,F526*G526,IF(E526*G526&lt;&gt;0,E526*G526,IF(E526&lt;&gt;0,E526,IF(F526&lt;&gt;0,F526,IF(G526&lt;&gt;0,G526,0)))))))*(IF(H526&lt;&gt;0,H526,1))+I526-J526</f>
        <v>257.69700000000006</v>
      </c>
      <c r="L526" s="255"/>
    </row>
    <row r="527" spans="2:12">
      <c r="B527" s="256"/>
      <c r="C527" s="210"/>
      <c r="D527" s="210"/>
      <c r="E527" s="257"/>
      <c r="F527" s="258"/>
      <c r="G527" s="257"/>
      <c r="H527" s="257"/>
      <c r="I527" s="257"/>
      <c r="J527" s="259"/>
      <c r="K527" s="260">
        <f>IF(E527*F527*G527&lt;&gt;0,E527*F527*G527,IF(E527*F527&lt;&gt;0,E527*F527,IF(F527*G527&lt;&gt;0,F527*G527,IF(E527*G527&lt;&gt;0,E527*G527,IF(E527&lt;&gt;0,E527,IF(F527&lt;&gt;0,F527,IF(G527&lt;&gt;0,G527,0)))))))*(IF(H527&lt;&gt;0,H527,1))+I527-J527</f>
        <v>0</v>
      </c>
      <c r="L527" s="210"/>
    </row>
    <row r="528" spans="2:12">
      <c r="B528" s="202"/>
      <c r="C528" s="203"/>
      <c r="D528" s="203"/>
      <c r="E528" s="203"/>
      <c r="F528" s="203"/>
      <c r="G528" s="203"/>
      <c r="H528" s="204"/>
      <c r="I528" s="556" t="s">
        <v>1221</v>
      </c>
      <c r="J528" s="556"/>
      <c r="K528" s="220">
        <f>SUM(K527:K527)</f>
        <v>0</v>
      </c>
      <c r="L528" s="207"/>
    </row>
    <row r="529" spans="2:12">
      <c r="B529" s="208"/>
      <c r="C529" s="204"/>
      <c r="D529" s="204"/>
      <c r="E529" s="204"/>
      <c r="F529" s="204"/>
      <c r="G529" s="204"/>
      <c r="H529" s="209"/>
      <c r="I529" s="557" t="s">
        <v>1222</v>
      </c>
      <c r="J529" s="557"/>
      <c r="K529" s="221">
        <f>VLOOKUP(B523,'BM 004'!$B$27:$R$590,4,0)</f>
        <v>7144.5</v>
      </c>
      <c r="L529" s="207"/>
    </row>
    <row r="530" spans="2:12">
      <c r="B530" s="208"/>
      <c r="C530" s="204"/>
      <c r="D530" s="204"/>
      <c r="E530" s="204"/>
      <c r="F530" s="204"/>
      <c r="G530" s="204"/>
      <c r="H530" s="558" t="s">
        <v>1223</v>
      </c>
      <c r="I530" s="558"/>
      <c r="J530" s="558"/>
      <c r="K530" s="222"/>
      <c r="L530" s="207"/>
    </row>
    <row r="531" spans="2:12">
      <c r="B531" s="208"/>
      <c r="C531" s="204"/>
      <c r="D531" s="204"/>
      <c r="E531" s="204"/>
      <c r="F531" s="204"/>
      <c r="G531" s="204"/>
      <c r="H531" s="558" t="s">
        <v>1250</v>
      </c>
      <c r="I531" s="558"/>
      <c r="J531" s="558"/>
      <c r="K531" s="222">
        <f>TRUNC(SUMIF(C525:C527,H531,K525:K527),2)</f>
        <v>461.14</v>
      </c>
      <c r="L531" s="207"/>
    </row>
    <row r="532" spans="2:12">
      <c r="B532" s="213"/>
      <c r="C532" s="214"/>
      <c r="D532" s="214"/>
      <c r="E532" s="214"/>
      <c r="F532" s="214"/>
      <c r="G532" s="214"/>
      <c r="H532" s="559" t="s">
        <v>1224</v>
      </c>
      <c r="I532" s="559"/>
      <c r="J532" s="559"/>
      <c r="K532" s="223">
        <f>IF(K528&gt;K529,K528-K529,0)</f>
        <v>0</v>
      </c>
      <c r="L532" s="209"/>
    </row>
    <row r="534" spans="2:12">
      <c r="B534" s="247" t="s">
        <v>211</v>
      </c>
      <c r="C534" s="565" t="str">
        <f>VLOOKUP(B534,'BM 004'!$B$27:$R$590,2,0)</f>
        <v xml:space="preserve">Armação de pilar ou viga de uma estrutura convencional de concreto armado em um edifício de múltiplos pavimentos utilizando aço ca-50 de 25,0 mm - montagem. </v>
      </c>
      <c r="D534" s="565"/>
      <c r="E534" s="565"/>
      <c r="F534" s="565"/>
      <c r="G534" s="565"/>
      <c r="H534" s="565"/>
      <c r="I534" s="565"/>
      <c r="J534" s="565"/>
      <c r="K534" s="565"/>
      <c r="L534" s="565"/>
    </row>
    <row r="535" spans="2:12">
      <c r="B535" s="248" t="s">
        <v>1209</v>
      </c>
      <c r="C535" s="248"/>
      <c r="D535" s="248" t="s">
        <v>39</v>
      </c>
      <c r="E535" s="248" t="s">
        <v>1210</v>
      </c>
      <c r="F535" s="248" t="s">
        <v>1382</v>
      </c>
      <c r="G535" s="248" t="s">
        <v>1383</v>
      </c>
      <c r="H535" s="248" t="s">
        <v>1384</v>
      </c>
      <c r="I535" s="248" t="s">
        <v>1214</v>
      </c>
      <c r="J535" s="248" t="s">
        <v>1385</v>
      </c>
      <c r="K535" s="248" t="s">
        <v>1216</v>
      </c>
      <c r="L535" s="248" t="s">
        <v>1217</v>
      </c>
    </row>
    <row r="536" spans="2:12">
      <c r="B536" s="249" t="s">
        <v>1367</v>
      </c>
      <c r="C536" s="250" t="s">
        <v>1333</v>
      </c>
      <c r="D536" s="205" t="s">
        <v>152</v>
      </c>
      <c r="E536" s="251">
        <v>16</v>
      </c>
      <c r="F536" s="252">
        <v>3.8530000000000002</v>
      </c>
      <c r="G536" s="251"/>
      <c r="H536" s="251">
        <v>1.1000000000000001</v>
      </c>
      <c r="I536" s="251"/>
      <c r="J536" s="253"/>
      <c r="K536" s="254">
        <f>IF(E536*F536*G536&lt;&gt;0,E536*F536*G536,IF(E536*F536&lt;&gt;0,E536*F536,IF(F536*G536&lt;&gt;0,F536*G536,IF(E536*G536&lt;&gt;0,E536*G536,IF(E536&lt;&gt;0,E536,IF(F536&lt;&gt;0,F536,IF(G536&lt;&gt;0,G536,0)))))))*(IF(H536&lt;&gt;0,H536,1))+I536-J536</f>
        <v>67.81280000000001</v>
      </c>
      <c r="L536" s="255"/>
    </row>
    <row r="537" spans="2:12">
      <c r="B537" s="249" t="s">
        <v>1386</v>
      </c>
      <c r="C537" s="250" t="s">
        <v>1333</v>
      </c>
      <c r="D537" s="205" t="s">
        <v>152</v>
      </c>
      <c r="E537" s="251">
        <v>44</v>
      </c>
      <c r="F537" s="252">
        <v>3.8530000000000002</v>
      </c>
      <c r="G537" s="251"/>
      <c r="H537" s="251">
        <v>1.1000000000000001</v>
      </c>
      <c r="I537" s="251"/>
      <c r="J537" s="253"/>
      <c r="K537" s="254">
        <f>IF(E537*F537*G537&lt;&gt;0,E537*F537*G537,IF(E537*F537&lt;&gt;0,E537*F537,IF(F537*G537&lt;&gt;0,F537*G537,IF(E537*G537&lt;&gt;0,E537*G537,IF(E537&lt;&gt;0,E537,IF(F537&lt;&gt;0,F537,IF(G537&lt;&gt;0,G537,0)))))))*(IF(H537&lt;&gt;0,H537,1))+I537-J537</f>
        <v>186.48520000000002</v>
      </c>
      <c r="L537" s="255"/>
    </row>
    <row r="538" spans="2:12">
      <c r="B538" s="256"/>
      <c r="C538" s="210"/>
      <c r="D538" s="210"/>
      <c r="E538" s="257"/>
      <c r="F538" s="258"/>
      <c r="G538" s="257"/>
      <c r="H538" s="257"/>
      <c r="I538" s="257"/>
      <c r="J538" s="259"/>
      <c r="K538" s="260">
        <f>IF(E538*F538*G538&lt;&gt;0,E538*F538*G538,IF(E538*F538&lt;&gt;0,E538*F538,IF(F538*G538&lt;&gt;0,F538*G538,IF(E538*G538&lt;&gt;0,E538*G538,IF(E538&lt;&gt;0,E538,IF(F538&lt;&gt;0,F538,IF(G538&lt;&gt;0,G538,0)))))))*(IF(H538&lt;&gt;0,H538,1))+I538-J538</f>
        <v>0</v>
      </c>
      <c r="L538" s="210"/>
    </row>
    <row r="539" spans="2:12">
      <c r="B539" s="202"/>
      <c r="C539" s="203"/>
      <c r="D539" s="203"/>
      <c r="E539" s="203"/>
      <c r="F539" s="203"/>
      <c r="G539" s="203"/>
      <c r="H539" s="204"/>
      <c r="I539" s="556" t="s">
        <v>1221</v>
      </c>
      <c r="J539" s="556"/>
      <c r="K539" s="220">
        <f>SUM(K538:K538)</f>
        <v>0</v>
      </c>
      <c r="L539" s="207"/>
    </row>
    <row r="540" spans="2:12">
      <c r="B540" s="208"/>
      <c r="C540" s="204"/>
      <c r="D540" s="204"/>
      <c r="E540" s="204"/>
      <c r="F540" s="204"/>
      <c r="G540" s="204"/>
      <c r="H540" s="209"/>
      <c r="I540" s="557" t="s">
        <v>1222</v>
      </c>
      <c r="J540" s="557"/>
      <c r="K540" s="221">
        <f>VLOOKUP(B534,'BM 004'!$B$27:$R$590,4,0)</f>
        <v>6531.8</v>
      </c>
      <c r="L540" s="207"/>
    </row>
    <row r="541" spans="2:12">
      <c r="B541" s="208"/>
      <c r="C541" s="204"/>
      <c r="D541" s="204"/>
      <c r="E541" s="204"/>
      <c r="F541" s="204"/>
      <c r="G541" s="204"/>
      <c r="H541" s="558" t="s">
        <v>1223</v>
      </c>
      <c r="I541" s="558"/>
      <c r="J541" s="558"/>
      <c r="K541" s="222"/>
      <c r="L541" s="207"/>
    </row>
    <row r="542" spans="2:12">
      <c r="B542" s="208"/>
      <c r="C542" s="204"/>
      <c r="D542" s="204"/>
      <c r="E542" s="204"/>
      <c r="F542" s="204"/>
      <c r="G542" s="204"/>
      <c r="H542" s="558" t="s">
        <v>1250</v>
      </c>
      <c r="I542" s="558"/>
      <c r="J542" s="558"/>
      <c r="K542" s="222">
        <f>TRUNC(SUMIF(C536:C538,H542,K536:K538),2)</f>
        <v>254.29</v>
      </c>
      <c r="L542" s="207"/>
    </row>
    <row r="543" spans="2:12">
      <c r="B543" s="213"/>
      <c r="C543" s="214"/>
      <c r="D543" s="214"/>
      <c r="E543" s="214"/>
      <c r="F543" s="214"/>
      <c r="G543" s="214"/>
      <c r="H543" s="559" t="s">
        <v>1224</v>
      </c>
      <c r="I543" s="559"/>
      <c r="J543" s="559"/>
      <c r="K543" s="223">
        <f>IF(K539&gt;K540,K539-K540,0)</f>
        <v>0</v>
      </c>
      <c r="L543" s="209"/>
    </row>
    <row r="560" spans="2:12">
      <c r="B560" s="247" t="s">
        <v>220</v>
      </c>
      <c r="C560" s="565" t="str">
        <f>VLOOKUP(B560,'BM 004'!$B$27:$R$590,2,0)</f>
        <v xml:space="preserve">Armação de pilar ou viga de uma estrutura convencional de concreto armado em um edifício de múltiplos pavimentos utilizando aço ca-60 de 5,0 mm - montagem. </v>
      </c>
      <c r="D560" s="565"/>
      <c r="E560" s="565"/>
      <c r="F560" s="565"/>
      <c r="G560" s="565"/>
      <c r="H560" s="565"/>
      <c r="I560" s="565"/>
      <c r="J560" s="565"/>
      <c r="K560" s="565"/>
      <c r="L560" s="565"/>
    </row>
    <row r="561" spans="2:12">
      <c r="B561" s="248" t="s">
        <v>1209</v>
      </c>
      <c r="C561" s="248"/>
      <c r="D561" s="248" t="s">
        <v>39</v>
      </c>
      <c r="E561" s="248" t="s">
        <v>1210</v>
      </c>
      <c r="F561" s="248" t="s">
        <v>1382</v>
      </c>
      <c r="G561" s="248" t="s">
        <v>1383</v>
      </c>
      <c r="H561" s="248" t="s">
        <v>1384</v>
      </c>
      <c r="I561" s="248" t="s">
        <v>1214</v>
      </c>
      <c r="J561" s="248" t="s">
        <v>1385</v>
      </c>
      <c r="K561" s="248" t="s">
        <v>1216</v>
      </c>
      <c r="L561" s="248" t="s">
        <v>1217</v>
      </c>
    </row>
    <row r="562" spans="2:12">
      <c r="B562" s="249" t="s">
        <v>1387</v>
      </c>
      <c r="C562" s="250" t="s">
        <v>1333</v>
      </c>
      <c r="D562" s="205" t="s">
        <v>152</v>
      </c>
      <c r="E562" s="251">
        <v>208</v>
      </c>
      <c r="F562" s="252">
        <v>0.154</v>
      </c>
      <c r="G562" s="251">
        <v>1.1000000000000001</v>
      </c>
      <c r="H562" s="251">
        <v>0.55000000000000004</v>
      </c>
      <c r="I562" s="251"/>
      <c r="J562" s="253"/>
      <c r="K562" s="254">
        <f>IF(E562*F562*G562&lt;&gt;0,E562*F562*G562,IF(E562*F562&lt;&gt;0,E562*F562,IF(F562*G562&lt;&gt;0,F562*G562,IF(E562*G562&lt;&gt;0,E562*G562,IF(E562&lt;&gt;0,E562,IF(F562&lt;&gt;0,F562,IF(G562&lt;&gt;0,G562,0)))))))*(IF(H562&lt;&gt;0,H562,1))+I562-J562</f>
        <v>19.379360000000002</v>
      </c>
      <c r="L562" s="255"/>
    </row>
    <row r="563" spans="2:12">
      <c r="B563" s="256"/>
      <c r="C563" s="210"/>
      <c r="D563" s="210"/>
      <c r="E563" s="257"/>
      <c r="F563" s="258"/>
      <c r="G563" s="257"/>
      <c r="H563" s="257"/>
      <c r="I563" s="257"/>
      <c r="J563" s="259"/>
      <c r="K563" s="260">
        <f>IF(E563*F563*G563&lt;&gt;0,E563*F563*G563,IF(E563*F563&lt;&gt;0,E563*F563,IF(F563*G563&lt;&gt;0,F563*G563,IF(E563*G563&lt;&gt;0,E563*G563,IF(E563&lt;&gt;0,E563,IF(F563&lt;&gt;0,F563,IF(G563&lt;&gt;0,G563,0)))))))*(IF(H563&lt;&gt;0,H563,1))+I563-J563</f>
        <v>0</v>
      </c>
      <c r="L563" s="210"/>
    </row>
    <row r="564" spans="2:12">
      <c r="B564" s="202"/>
      <c r="C564" s="203"/>
      <c r="D564" s="203"/>
      <c r="E564" s="203"/>
      <c r="F564" s="203"/>
      <c r="G564" s="203"/>
      <c r="H564" s="204"/>
      <c r="I564" s="556" t="s">
        <v>1221</v>
      </c>
      <c r="J564" s="556"/>
      <c r="K564" s="220">
        <f>SUM(K563:K563)</f>
        <v>0</v>
      </c>
      <c r="L564" s="207"/>
    </row>
    <row r="565" spans="2:12">
      <c r="B565" s="208"/>
      <c r="C565" s="204"/>
      <c r="D565" s="204"/>
      <c r="E565" s="204"/>
      <c r="F565" s="204"/>
      <c r="G565" s="204"/>
      <c r="H565" s="209"/>
      <c r="I565" s="557" t="s">
        <v>1222</v>
      </c>
      <c r="J565" s="557"/>
      <c r="K565" s="221">
        <f>VLOOKUP(B560,'BM 004'!$B$27:$R$590,4,0)</f>
        <v>347.6</v>
      </c>
      <c r="L565" s="207"/>
    </row>
    <row r="566" spans="2:12">
      <c r="B566" s="208"/>
      <c r="C566" s="204"/>
      <c r="D566" s="204"/>
      <c r="E566" s="204"/>
      <c r="F566" s="204"/>
      <c r="G566" s="204"/>
      <c r="H566" s="558" t="s">
        <v>1223</v>
      </c>
      <c r="I566" s="558"/>
      <c r="J566" s="558"/>
      <c r="K566" s="222"/>
      <c r="L566" s="207"/>
    </row>
    <row r="567" spans="2:12">
      <c r="B567" s="208"/>
      <c r="C567" s="204"/>
      <c r="D567" s="204"/>
      <c r="E567" s="204"/>
      <c r="F567" s="204"/>
      <c r="G567" s="204"/>
      <c r="H567" s="558" t="s">
        <v>1250</v>
      </c>
      <c r="I567" s="558"/>
      <c r="J567" s="558"/>
      <c r="K567" s="222">
        <f>TRUNC(SUMIF(C562:C563,H567,K562:K563),2)</f>
        <v>19.37</v>
      </c>
      <c r="L567" s="207"/>
    </row>
    <row r="568" spans="2:12">
      <c r="B568" s="213"/>
      <c r="C568" s="214"/>
      <c r="D568" s="214"/>
      <c r="E568" s="214"/>
      <c r="F568" s="214"/>
      <c r="G568" s="214"/>
      <c r="H568" s="559" t="s">
        <v>1224</v>
      </c>
      <c r="I568" s="559"/>
      <c r="J568" s="559"/>
      <c r="K568" s="223">
        <f>IF(K564&gt;K565,K564-K565,0)</f>
        <v>0</v>
      </c>
      <c r="L568" s="209"/>
    </row>
    <row r="570" spans="2:12">
      <c r="B570" s="247" t="s">
        <v>221</v>
      </c>
      <c r="C570" s="565" t="str">
        <f>VLOOKUP(B570,'BM 004'!$B$27:$R$590,2,0)</f>
        <v>Armação de pilar ou viga de uma estrutura convencional de concreto armado em um edifício de múltiplos pavimentos utilizando aço ca-50 de 6,3 mm - montagem.</v>
      </c>
      <c r="D570" s="565"/>
      <c r="E570" s="565"/>
      <c r="F570" s="565"/>
      <c r="G570" s="565"/>
      <c r="H570" s="565"/>
      <c r="I570" s="565"/>
      <c r="J570" s="565"/>
      <c r="K570" s="565"/>
      <c r="L570" s="565"/>
    </row>
    <row r="571" spans="2:12">
      <c r="B571" s="248" t="s">
        <v>1209</v>
      </c>
      <c r="C571" s="248"/>
      <c r="D571" s="248" t="s">
        <v>39</v>
      </c>
      <c r="E571" s="248" t="s">
        <v>1210</v>
      </c>
      <c r="F571" s="248" t="s">
        <v>1382</v>
      </c>
      <c r="G571" s="248" t="s">
        <v>1383</v>
      </c>
      <c r="H571" s="248" t="s">
        <v>1384</v>
      </c>
      <c r="I571" s="248" t="s">
        <v>1214</v>
      </c>
      <c r="J571" s="248" t="s">
        <v>1385</v>
      </c>
      <c r="K571" s="248" t="s">
        <v>1216</v>
      </c>
      <c r="L571" s="248" t="s">
        <v>1217</v>
      </c>
    </row>
    <row r="572" spans="2:12">
      <c r="B572" s="249" t="s">
        <v>1387</v>
      </c>
      <c r="C572" s="250" t="s">
        <v>1333</v>
      </c>
      <c r="D572" s="205" t="s">
        <v>152</v>
      </c>
      <c r="E572" s="251">
        <v>4472</v>
      </c>
      <c r="F572" s="252">
        <v>0.245</v>
      </c>
      <c r="G572" s="251">
        <v>1.1000000000000001</v>
      </c>
      <c r="H572" s="251">
        <v>0.55000000000000004</v>
      </c>
      <c r="I572" s="251"/>
      <c r="J572" s="253"/>
      <c r="K572" s="254">
        <f>IF(E572*F572*G572&lt;&gt;0,E572*F572*G572,IF(E572*F572&lt;&gt;0,E572*F572,IF(F572*G572&lt;&gt;0,F572*G572,IF(E572*G572&lt;&gt;0,E572*G572,IF(E572&lt;&gt;0,E572,IF(F572&lt;&gt;0,F572,IF(G572&lt;&gt;0,G572,0)))))))*(IF(H572&lt;&gt;0,H572,1))+I572-J572</f>
        <v>662.86220000000003</v>
      </c>
      <c r="L572" s="255"/>
    </row>
    <row r="573" spans="2:12">
      <c r="B573" s="256"/>
      <c r="C573" s="210"/>
      <c r="D573" s="210"/>
      <c r="E573" s="257"/>
      <c r="F573" s="258"/>
      <c r="G573" s="257"/>
      <c r="H573" s="257"/>
      <c r="I573" s="257"/>
      <c r="J573" s="259"/>
      <c r="K573" s="260">
        <f>IF(E573*F573*G573&lt;&gt;0,E573*F573*G573,IF(E573*F573&lt;&gt;0,E573*F573,IF(F573*G573&lt;&gt;0,F573*G573,IF(E573*G573&lt;&gt;0,E573*G573,IF(E573&lt;&gt;0,E573,IF(F573&lt;&gt;0,F573,IF(G573&lt;&gt;0,G573,0)))))))*(IF(H573&lt;&gt;0,H573,1))+I573-J573</f>
        <v>0</v>
      </c>
      <c r="L573" s="210"/>
    </row>
    <row r="574" spans="2:12">
      <c r="B574" s="202"/>
      <c r="C574" s="203"/>
      <c r="D574" s="203"/>
      <c r="E574" s="203"/>
      <c r="F574" s="203"/>
      <c r="G574" s="203"/>
      <c r="H574" s="204"/>
      <c r="I574" s="556" t="s">
        <v>1221</v>
      </c>
      <c r="J574" s="556"/>
      <c r="K574" s="220">
        <f>SUM(K573:K573)</f>
        <v>0</v>
      </c>
      <c r="L574" s="207"/>
    </row>
    <row r="575" spans="2:12">
      <c r="B575" s="208"/>
      <c r="C575" s="204"/>
      <c r="D575" s="204"/>
      <c r="E575" s="204"/>
      <c r="F575" s="204"/>
      <c r="G575" s="204"/>
      <c r="H575" s="209"/>
      <c r="I575" s="557" t="s">
        <v>1222</v>
      </c>
      <c r="J575" s="557"/>
      <c r="K575" s="221">
        <f>VLOOKUP(B570,'BM 004'!$B$27:$R$590,4,0)</f>
        <v>3626.7</v>
      </c>
      <c r="L575" s="207"/>
    </row>
    <row r="576" spans="2:12">
      <c r="B576" s="208"/>
      <c r="C576" s="204"/>
      <c r="D576" s="204"/>
      <c r="E576" s="204"/>
      <c r="F576" s="204"/>
      <c r="G576" s="204"/>
      <c r="H576" s="558" t="s">
        <v>1223</v>
      </c>
      <c r="I576" s="558"/>
      <c r="J576" s="558"/>
      <c r="K576" s="222"/>
      <c r="L576" s="207"/>
    </row>
    <row r="577" spans="2:12">
      <c r="B577" s="208"/>
      <c r="C577" s="204"/>
      <c r="D577" s="204"/>
      <c r="E577" s="204"/>
      <c r="F577" s="204"/>
      <c r="G577" s="204"/>
      <c r="H577" s="558" t="s">
        <v>1250</v>
      </c>
      <c r="I577" s="558"/>
      <c r="J577" s="558"/>
      <c r="K577" s="222">
        <f>TRUNC(SUMIF(C572:C573,H577,K572:K573),2)</f>
        <v>662.86</v>
      </c>
      <c r="L577" s="207"/>
    </row>
    <row r="578" spans="2:12">
      <c r="B578" s="213"/>
      <c r="C578" s="214"/>
      <c r="D578" s="214"/>
      <c r="E578" s="214"/>
      <c r="F578" s="214"/>
      <c r="G578" s="214"/>
      <c r="H578" s="559" t="s">
        <v>1224</v>
      </c>
      <c r="I578" s="559"/>
      <c r="J578" s="559"/>
      <c r="K578" s="223">
        <f>IF(K574&gt;K575,K574-K575,0)</f>
        <v>0</v>
      </c>
      <c r="L578" s="209"/>
    </row>
    <row r="580" spans="2:12">
      <c r="B580" s="247" t="s">
        <v>223</v>
      </c>
      <c r="C580" s="565" t="str">
        <f>VLOOKUP(B580,'BM 004'!$B$27:$R$590,2,0)</f>
        <v xml:space="preserve">Armação de pilar ou viga de uma estrutura convencional de concreto armado em um edifício de múltiplos pavimentos utilizando aço ca-50 de 8,0 mm - montagem. </v>
      </c>
      <c r="D580" s="565"/>
      <c r="E580" s="565"/>
      <c r="F580" s="565"/>
      <c r="G580" s="565"/>
      <c r="H580" s="565"/>
      <c r="I580" s="565"/>
      <c r="J580" s="565"/>
      <c r="K580" s="565"/>
      <c r="L580" s="565"/>
    </row>
    <row r="581" spans="2:12">
      <c r="B581" s="248" t="s">
        <v>1209</v>
      </c>
      <c r="C581" s="248"/>
      <c r="D581" s="248" t="s">
        <v>39</v>
      </c>
      <c r="E581" s="248" t="s">
        <v>1210</v>
      </c>
      <c r="F581" s="248" t="s">
        <v>1382</v>
      </c>
      <c r="G581" s="248" t="s">
        <v>1383</v>
      </c>
      <c r="H581" s="248" t="s">
        <v>1384</v>
      </c>
      <c r="I581" s="248" t="s">
        <v>1214</v>
      </c>
      <c r="J581" s="248" t="s">
        <v>1385</v>
      </c>
      <c r="K581" s="248" t="s">
        <v>1216</v>
      </c>
      <c r="L581" s="248" t="s">
        <v>1217</v>
      </c>
    </row>
    <row r="582" spans="2:12">
      <c r="B582" s="249" t="s">
        <v>1387</v>
      </c>
      <c r="C582" s="250" t="s">
        <v>1333</v>
      </c>
      <c r="D582" s="205" t="s">
        <v>152</v>
      </c>
      <c r="E582" s="251">
        <v>1288</v>
      </c>
      <c r="F582" s="252">
        <v>0.39500000000000002</v>
      </c>
      <c r="G582" s="251">
        <v>1.1000000000000001</v>
      </c>
      <c r="H582" s="251">
        <v>0.55000000000000004</v>
      </c>
      <c r="I582" s="251"/>
      <c r="J582" s="253"/>
      <c r="K582" s="254">
        <f>IF(E582*F582*G582&lt;&gt;0,E582*F582*G582,IF(E582*F582&lt;&gt;0,E582*F582,IF(F582*G582&lt;&gt;0,F582*G582,IF(E582*G582&lt;&gt;0,E582*G582,IF(E582&lt;&gt;0,E582,IF(F582&lt;&gt;0,F582,IF(G582&lt;&gt;0,G582,0)))))))*(IF(H582&lt;&gt;0,H582,1))+I582-J582</f>
        <v>307.79980000000006</v>
      </c>
      <c r="L582" s="255"/>
    </row>
    <row r="583" spans="2:12">
      <c r="B583" s="256"/>
      <c r="C583" s="210"/>
      <c r="D583" s="210"/>
      <c r="E583" s="257"/>
      <c r="F583" s="258"/>
      <c r="G583" s="257"/>
      <c r="H583" s="257"/>
      <c r="I583" s="257"/>
      <c r="J583" s="259"/>
      <c r="K583" s="260">
        <f>IF(E583*F583*G583&lt;&gt;0,E583*F583*G583,IF(E583*F583&lt;&gt;0,E583*F583,IF(F583*G583&lt;&gt;0,F583*G583,IF(E583*G583&lt;&gt;0,E583*G583,IF(E583&lt;&gt;0,E583,IF(F583&lt;&gt;0,F583,IF(G583&lt;&gt;0,G583,0)))))))*(IF(H583&lt;&gt;0,H583,1))+I583-J583</f>
        <v>0</v>
      </c>
      <c r="L583" s="210"/>
    </row>
    <row r="584" spans="2:12">
      <c r="B584" s="202"/>
      <c r="C584" s="203"/>
      <c r="D584" s="203"/>
      <c r="E584" s="203"/>
      <c r="F584" s="203"/>
      <c r="G584" s="203"/>
      <c r="H584" s="204"/>
      <c r="I584" s="556" t="s">
        <v>1221</v>
      </c>
      <c r="J584" s="556"/>
      <c r="K584" s="220">
        <f>SUM(K583:K583)</f>
        <v>0</v>
      </c>
      <c r="L584" s="207"/>
    </row>
    <row r="585" spans="2:12">
      <c r="B585" s="208"/>
      <c r="C585" s="204"/>
      <c r="D585" s="204"/>
      <c r="E585" s="204"/>
      <c r="F585" s="204"/>
      <c r="G585" s="204"/>
      <c r="H585" s="209"/>
      <c r="I585" s="557" t="s">
        <v>1222</v>
      </c>
      <c r="J585" s="557"/>
      <c r="K585" s="221">
        <f>VLOOKUP(B580,'BM 004'!$B$27:$R$590,4,0)</f>
        <v>1762.2</v>
      </c>
      <c r="L585" s="207"/>
    </row>
    <row r="586" spans="2:12">
      <c r="B586" s="208"/>
      <c r="C586" s="204"/>
      <c r="D586" s="204"/>
      <c r="E586" s="204"/>
      <c r="F586" s="204"/>
      <c r="G586" s="204"/>
      <c r="H586" s="558" t="s">
        <v>1223</v>
      </c>
      <c r="I586" s="558"/>
      <c r="J586" s="558"/>
      <c r="K586" s="222"/>
      <c r="L586" s="207"/>
    </row>
    <row r="587" spans="2:12">
      <c r="B587" s="208"/>
      <c r="C587" s="204"/>
      <c r="D587" s="204"/>
      <c r="E587" s="204"/>
      <c r="F587" s="204"/>
      <c r="G587" s="204"/>
      <c r="H587" s="558" t="s">
        <v>1250</v>
      </c>
      <c r="I587" s="558"/>
      <c r="J587" s="558"/>
      <c r="K587" s="222">
        <f>TRUNC(SUMIF(C582:C583,H587,K582:K583),2)</f>
        <v>307.79000000000002</v>
      </c>
      <c r="L587" s="207"/>
    </row>
    <row r="588" spans="2:12">
      <c r="B588" s="213"/>
      <c r="C588" s="214"/>
      <c r="D588" s="214"/>
      <c r="E588" s="214"/>
      <c r="F588" s="214"/>
      <c r="G588" s="214"/>
      <c r="H588" s="559" t="s">
        <v>1224</v>
      </c>
      <c r="I588" s="559"/>
      <c r="J588" s="559"/>
      <c r="K588" s="223">
        <f>IF(K584&gt;K585,K584-K585,0)</f>
        <v>0</v>
      </c>
      <c r="L588" s="209"/>
    </row>
    <row r="590" spans="2:12">
      <c r="B590" s="247" t="s">
        <v>224</v>
      </c>
      <c r="C590" s="565" t="str">
        <f>VLOOKUP(B590,'BM 004'!$B$27:$R$590,2,0)</f>
        <v xml:space="preserve">Armação de pilar ou viga de uma estrutura convencional de concreto armado em um edifício de múltiplos pavimentos utilizando aço ca-50 de 10,0 mm - montagem. </v>
      </c>
      <c r="D590" s="565"/>
      <c r="E590" s="565"/>
      <c r="F590" s="565"/>
      <c r="G590" s="565"/>
      <c r="H590" s="565"/>
      <c r="I590" s="565"/>
      <c r="J590" s="565"/>
      <c r="K590" s="565"/>
      <c r="L590" s="565"/>
    </row>
    <row r="591" spans="2:12">
      <c r="B591" s="248" t="s">
        <v>1209</v>
      </c>
      <c r="C591" s="248"/>
      <c r="D591" s="248" t="s">
        <v>39</v>
      </c>
      <c r="E591" s="248" t="s">
        <v>1210</v>
      </c>
      <c r="F591" s="248" t="s">
        <v>1382</v>
      </c>
      <c r="G591" s="248" t="s">
        <v>1383</v>
      </c>
      <c r="H591" s="248" t="s">
        <v>1384</v>
      </c>
      <c r="I591" s="248" t="s">
        <v>1214</v>
      </c>
      <c r="J591" s="248" t="s">
        <v>1385</v>
      </c>
      <c r="K591" s="248" t="s">
        <v>1216</v>
      </c>
      <c r="L591" s="248" t="s">
        <v>1217</v>
      </c>
    </row>
    <row r="592" spans="2:12">
      <c r="B592" s="249" t="s">
        <v>1387</v>
      </c>
      <c r="C592" s="250" t="s">
        <v>1333</v>
      </c>
      <c r="D592" s="205" t="s">
        <v>152</v>
      </c>
      <c r="E592" s="251">
        <v>82</v>
      </c>
      <c r="F592" s="252">
        <v>0.61699999999999999</v>
      </c>
      <c r="G592" s="251">
        <v>1.1000000000000001</v>
      </c>
      <c r="H592" s="251">
        <v>0.55000000000000004</v>
      </c>
      <c r="I592" s="251"/>
      <c r="J592" s="253"/>
      <c r="K592" s="254">
        <f>IF(E592*F592*G592&lt;&gt;0,E592*F592*G592,IF(E592*F592&lt;&gt;0,E592*F592,IF(F592*G592&lt;&gt;0,F592*G592,IF(E592*G592&lt;&gt;0,E592*G592,IF(E592&lt;&gt;0,E592,IF(F592&lt;&gt;0,F592,IF(G592&lt;&gt;0,G592,0)))))))*(IF(H592&lt;&gt;0,H592,1))+I592-J592</f>
        <v>30.609370000000006</v>
      </c>
      <c r="L592" s="255"/>
    </row>
    <row r="593" spans="2:12">
      <c r="B593" s="256"/>
      <c r="C593" s="210"/>
      <c r="D593" s="210"/>
      <c r="E593" s="257"/>
      <c r="F593" s="258"/>
      <c r="G593" s="257"/>
      <c r="H593" s="257"/>
      <c r="I593" s="257"/>
      <c r="J593" s="259"/>
      <c r="K593" s="260">
        <f>IF(E593*F593*G593&lt;&gt;0,E593*F593*G593,IF(E593*F593&lt;&gt;0,E593*F593,IF(F593*G593&lt;&gt;0,F593*G593,IF(E593*G593&lt;&gt;0,E593*G593,IF(E593&lt;&gt;0,E593,IF(F593&lt;&gt;0,F593,IF(G593&lt;&gt;0,G593,0)))))))*(IF(H593&lt;&gt;0,H593,1))+I593-J593</f>
        <v>0</v>
      </c>
      <c r="L593" s="210"/>
    </row>
    <row r="594" spans="2:12">
      <c r="B594" s="202"/>
      <c r="C594" s="203"/>
      <c r="D594" s="203"/>
      <c r="E594" s="203"/>
      <c r="F594" s="203"/>
      <c r="G594" s="203"/>
      <c r="H594" s="204"/>
      <c r="I594" s="556" t="s">
        <v>1221</v>
      </c>
      <c r="J594" s="556"/>
      <c r="K594" s="220">
        <f>SUM(K593:K593)</f>
        <v>0</v>
      </c>
      <c r="L594" s="207"/>
    </row>
    <row r="595" spans="2:12">
      <c r="B595" s="208"/>
      <c r="C595" s="204"/>
      <c r="D595" s="204"/>
      <c r="E595" s="204"/>
      <c r="F595" s="204"/>
      <c r="G595" s="204"/>
      <c r="H595" s="209"/>
      <c r="I595" s="557" t="s">
        <v>1222</v>
      </c>
      <c r="J595" s="557"/>
      <c r="K595" s="221">
        <f>VLOOKUP(B590,'BM 004'!$B$27:$R$590,4,0)</f>
        <v>542.29999999999995</v>
      </c>
      <c r="L595" s="207"/>
    </row>
    <row r="596" spans="2:12">
      <c r="B596" s="208"/>
      <c r="C596" s="204"/>
      <c r="D596" s="204"/>
      <c r="E596" s="204"/>
      <c r="F596" s="204"/>
      <c r="G596" s="204"/>
      <c r="H596" s="558" t="s">
        <v>1223</v>
      </c>
      <c r="I596" s="558"/>
      <c r="J596" s="558"/>
      <c r="K596" s="222"/>
      <c r="L596" s="207"/>
    </row>
    <row r="597" spans="2:12">
      <c r="B597" s="208"/>
      <c r="C597" s="204"/>
      <c r="D597" s="204"/>
      <c r="E597" s="204"/>
      <c r="F597" s="204"/>
      <c r="G597" s="204"/>
      <c r="H597" s="558" t="s">
        <v>1250</v>
      </c>
      <c r="I597" s="558"/>
      <c r="J597" s="558"/>
      <c r="K597" s="222">
        <f>TRUNC(SUMIF(C592:C593,H597,K592:K593),2)</f>
        <v>30.6</v>
      </c>
      <c r="L597" s="207"/>
    </row>
    <row r="598" spans="2:12">
      <c r="B598" s="213"/>
      <c r="C598" s="214"/>
      <c r="D598" s="214"/>
      <c r="E598" s="214"/>
      <c r="F598" s="214"/>
      <c r="G598" s="214"/>
      <c r="H598" s="559" t="s">
        <v>1224</v>
      </c>
      <c r="I598" s="559"/>
      <c r="J598" s="559"/>
      <c r="K598" s="223">
        <f>IF(K594&gt;K595,K594-K595,0)</f>
        <v>0</v>
      </c>
      <c r="L598" s="209"/>
    </row>
    <row r="600" spans="2:12">
      <c r="B600" s="247" t="s">
        <v>225</v>
      </c>
      <c r="C600" s="565" t="str">
        <f>VLOOKUP(B600,'BM 004'!$B$27:$R$590,2,0)</f>
        <v xml:space="preserve">Armação de pilar ou viga de uma estrutura convencional de concreto armado em um edifício de múltiplos pavimentos utilizando aço ca-50 de 12,5 mm - montagem. </v>
      </c>
      <c r="D600" s="565"/>
      <c r="E600" s="565"/>
      <c r="F600" s="565"/>
      <c r="G600" s="565"/>
      <c r="H600" s="565"/>
      <c r="I600" s="565"/>
      <c r="J600" s="565"/>
      <c r="K600" s="565"/>
      <c r="L600" s="565"/>
    </row>
    <row r="601" spans="2:12">
      <c r="B601" s="248" t="s">
        <v>1209</v>
      </c>
      <c r="C601" s="248"/>
      <c r="D601" s="248" t="s">
        <v>39</v>
      </c>
      <c r="E601" s="248" t="s">
        <v>1210</v>
      </c>
      <c r="F601" s="248" t="s">
        <v>1382</v>
      </c>
      <c r="G601" s="248" t="s">
        <v>1383</v>
      </c>
      <c r="H601" s="248" t="s">
        <v>1384</v>
      </c>
      <c r="I601" s="248" t="s">
        <v>1214</v>
      </c>
      <c r="J601" s="248" t="s">
        <v>1385</v>
      </c>
      <c r="K601" s="248" t="s">
        <v>1216</v>
      </c>
      <c r="L601" s="248" t="s">
        <v>1217</v>
      </c>
    </row>
    <row r="602" spans="2:12">
      <c r="B602" s="249" t="s">
        <v>1387</v>
      </c>
      <c r="C602" s="250" t="s">
        <v>1333</v>
      </c>
      <c r="D602" s="205" t="s">
        <v>152</v>
      </c>
      <c r="E602" s="251">
        <v>169</v>
      </c>
      <c r="F602" s="252">
        <v>0.96299999999999997</v>
      </c>
      <c r="G602" s="251">
        <v>1.1000000000000001</v>
      </c>
      <c r="H602" s="251">
        <v>0.55000000000000004</v>
      </c>
      <c r="I602" s="251"/>
      <c r="J602" s="253"/>
      <c r="K602" s="254">
        <f>IF(E602*F602*G602&lt;&gt;0,E602*F602*G602,IF(E602*F602&lt;&gt;0,E602*F602,IF(F602*G602&lt;&gt;0,F602*G602,IF(E602*G602&lt;&gt;0,E602*G602,IF(E602&lt;&gt;0,E602,IF(F602&lt;&gt;0,F602,IF(G602&lt;&gt;0,G602,0)))))))*(IF(H602&lt;&gt;0,H602,1))+I602-J602</f>
        <v>98.461935000000011</v>
      </c>
      <c r="L602" s="255"/>
    </row>
    <row r="603" spans="2:12">
      <c r="B603" s="256"/>
      <c r="C603" s="210"/>
      <c r="D603" s="210"/>
      <c r="E603" s="257"/>
      <c r="F603" s="258"/>
      <c r="G603" s="257"/>
      <c r="H603" s="257"/>
      <c r="I603" s="257"/>
      <c r="J603" s="259"/>
      <c r="K603" s="260">
        <f>IF(E603*F603*G603&lt;&gt;0,E603*F603*G603,IF(E603*F603&lt;&gt;0,E603*F603,IF(F603*G603&lt;&gt;0,F603*G603,IF(E603*G603&lt;&gt;0,E603*G603,IF(E603&lt;&gt;0,E603,IF(F603&lt;&gt;0,F603,IF(G603&lt;&gt;0,G603,0)))))))*(IF(H603&lt;&gt;0,H603,1))+I603-J603</f>
        <v>0</v>
      </c>
      <c r="L603" s="210"/>
    </row>
    <row r="604" spans="2:12">
      <c r="B604" s="202"/>
      <c r="C604" s="203"/>
      <c r="D604" s="203"/>
      <c r="E604" s="203"/>
      <c r="F604" s="203"/>
      <c r="G604" s="203"/>
      <c r="H604" s="204"/>
      <c r="I604" s="556" t="s">
        <v>1221</v>
      </c>
      <c r="J604" s="556"/>
      <c r="K604" s="220">
        <f>SUM(K603:K603)</f>
        <v>0</v>
      </c>
      <c r="L604" s="207"/>
    </row>
    <row r="605" spans="2:12">
      <c r="B605" s="208"/>
      <c r="C605" s="204"/>
      <c r="D605" s="204"/>
      <c r="E605" s="204"/>
      <c r="F605" s="204"/>
      <c r="G605" s="204"/>
      <c r="H605" s="209"/>
      <c r="I605" s="557" t="s">
        <v>1222</v>
      </c>
      <c r="J605" s="557"/>
      <c r="K605" s="221">
        <f>VLOOKUP(B600,'BM 004'!$B$27:$R$590,4,0)</f>
        <v>3532.1</v>
      </c>
      <c r="L605" s="207"/>
    </row>
    <row r="606" spans="2:12">
      <c r="B606" s="208"/>
      <c r="C606" s="204"/>
      <c r="D606" s="204"/>
      <c r="E606" s="204"/>
      <c r="F606" s="204"/>
      <c r="G606" s="204"/>
      <c r="H606" s="558" t="s">
        <v>1223</v>
      </c>
      <c r="I606" s="558"/>
      <c r="J606" s="558"/>
      <c r="K606" s="222"/>
      <c r="L606" s="207"/>
    </row>
    <row r="607" spans="2:12">
      <c r="B607" s="208"/>
      <c r="C607" s="204"/>
      <c r="D607" s="204"/>
      <c r="E607" s="204"/>
      <c r="F607" s="204"/>
      <c r="G607" s="204"/>
      <c r="H607" s="558" t="s">
        <v>1250</v>
      </c>
      <c r="I607" s="558"/>
      <c r="J607" s="558"/>
      <c r="K607" s="222">
        <f>TRUNC(SUMIF(C602:C603,H607,K602:K603),2)</f>
        <v>98.46</v>
      </c>
      <c r="L607" s="207"/>
    </row>
    <row r="608" spans="2:12">
      <c r="B608" s="213"/>
      <c r="C608" s="214"/>
      <c r="D608" s="214"/>
      <c r="E608" s="214"/>
      <c r="F608" s="214"/>
      <c r="G608" s="214"/>
      <c r="H608" s="559" t="s">
        <v>1224</v>
      </c>
      <c r="I608" s="559"/>
      <c r="J608" s="559"/>
      <c r="K608" s="223">
        <f>IF(K604&gt;K605,K604-K605,0)</f>
        <v>0</v>
      </c>
      <c r="L608" s="209"/>
    </row>
    <row r="610" spans="2:12">
      <c r="B610" s="247" t="s">
        <v>226</v>
      </c>
      <c r="C610" s="565" t="str">
        <f>VLOOKUP(B610,'BM 004'!$B$27:$R$590,2,0)</f>
        <v xml:space="preserve">Armação de pilar ou viga de uma estrutura convencional de concreto armado em um edifício de múltiplos pavimentos utilizando aço ca-50 de 16,0 mm - montagem. </v>
      </c>
      <c r="D610" s="565"/>
      <c r="E610" s="565"/>
      <c r="F610" s="565"/>
      <c r="G610" s="565"/>
      <c r="H610" s="565"/>
      <c r="I610" s="565"/>
      <c r="J610" s="565"/>
      <c r="K610" s="565"/>
      <c r="L610" s="565"/>
    </row>
    <row r="611" spans="2:12">
      <c r="B611" s="248" t="s">
        <v>1209</v>
      </c>
      <c r="C611" s="248"/>
      <c r="D611" s="248" t="s">
        <v>39</v>
      </c>
      <c r="E611" s="248" t="s">
        <v>1210</v>
      </c>
      <c r="F611" s="248" t="s">
        <v>1382</v>
      </c>
      <c r="G611" s="248" t="s">
        <v>1383</v>
      </c>
      <c r="H611" s="248" t="s">
        <v>1384</v>
      </c>
      <c r="I611" s="248" t="s">
        <v>1214</v>
      </c>
      <c r="J611" s="248" t="s">
        <v>1385</v>
      </c>
      <c r="K611" s="248" t="s">
        <v>1216</v>
      </c>
      <c r="L611" s="248" t="s">
        <v>1217</v>
      </c>
    </row>
    <row r="612" spans="2:12">
      <c r="B612" s="249" t="s">
        <v>1387</v>
      </c>
      <c r="C612" s="250" t="s">
        <v>1333</v>
      </c>
      <c r="D612" s="205" t="s">
        <v>152</v>
      </c>
      <c r="E612" s="251">
        <v>3239</v>
      </c>
      <c r="F612" s="252">
        <v>1.5780000000000001</v>
      </c>
      <c r="G612" s="251">
        <v>1.1000000000000001</v>
      </c>
      <c r="H612" s="251">
        <v>0.55000000000000004</v>
      </c>
      <c r="I612" s="251"/>
      <c r="J612" s="253"/>
      <c r="K612" s="254">
        <f>IF(E612*F612*G612&lt;&gt;0,E612*F612*G612,IF(E612*F612&lt;&gt;0,E612*F612,IF(F612*G612&lt;&gt;0,F612*G612,IF(E612*G612&lt;&gt;0,E612*G612,IF(E612&lt;&gt;0,E612,IF(F612&lt;&gt;0,F612,IF(G612&lt;&gt;0,G612,0)))))))*(IF(H612&lt;&gt;0,H612,1))+I612-J612</f>
        <v>3092.24091</v>
      </c>
      <c r="L612" s="255"/>
    </row>
    <row r="613" spans="2:12">
      <c r="B613" s="256"/>
      <c r="C613" s="210"/>
      <c r="D613" s="210"/>
      <c r="E613" s="257"/>
      <c r="F613" s="258"/>
      <c r="G613" s="257"/>
      <c r="H613" s="257"/>
      <c r="I613" s="257"/>
      <c r="J613" s="259"/>
      <c r="K613" s="260">
        <f>IF(E613*F613*G613&lt;&gt;0,E613*F613*G613,IF(E613*F613&lt;&gt;0,E613*F613,IF(F613*G613&lt;&gt;0,F613*G613,IF(E613*G613&lt;&gt;0,E613*G613,IF(E613&lt;&gt;0,E613,IF(F613&lt;&gt;0,F613,IF(G613&lt;&gt;0,G613,0)))))))*(IF(H613&lt;&gt;0,H613,1))+I613-J613</f>
        <v>0</v>
      </c>
      <c r="L613" s="210"/>
    </row>
    <row r="614" spans="2:12">
      <c r="B614" s="202"/>
      <c r="C614" s="203"/>
      <c r="D614" s="203"/>
      <c r="E614" s="203"/>
      <c r="F614" s="203"/>
      <c r="G614" s="203"/>
      <c r="H614" s="204"/>
      <c r="I614" s="556" t="s">
        <v>1221</v>
      </c>
      <c r="J614" s="556"/>
      <c r="K614" s="220">
        <f>SUM(K613:K613)</f>
        <v>0</v>
      </c>
      <c r="L614" s="207"/>
    </row>
    <row r="615" spans="2:12">
      <c r="B615" s="208"/>
      <c r="C615" s="204"/>
      <c r="D615" s="204"/>
      <c r="E615" s="204"/>
      <c r="F615" s="204"/>
      <c r="G615" s="204"/>
      <c r="H615" s="209"/>
      <c r="I615" s="557" t="s">
        <v>1222</v>
      </c>
      <c r="J615" s="557"/>
      <c r="K615" s="221">
        <f>VLOOKUP(B610,'BM 004'!$B$27:$R$590,4,0)</f>
        <v>7313.9</v>
      </c>
      <c r="L615" s="207"/>
    </row>
    <row r="616" spans="2:12">
      <c r="B616" s="208"/>
      <c r="C616" s="204"/>
      <c r="D616" s="204"/>
      <c r="E616" s="204"/>
      <c r="F616" s="204"/>
      <c r="G616" s="204"/>
      <c r="H616" s="558" t="s">
        <v>1223</v>
      </c>
      <c r="I616" s="558"/>
      <c r="J616" s="558"/>
      <c r="K616" s="222"/>
      <c r="L616" s="207"/>
    </row>
    <row r="617" spans="2:12">
      <c r="B617" s="208"/>
      <c r="C617" s="204"/>
      <c r="D617" s="204"/>
      <c r="E617" s="204"/>
      <c r="F617" s="204"/>
      <c r="G617" s="204"/>
      <c r="H617" s="558" t="s">
        <v>1250</v>
      </c>
      <c r="I617" s="558"/>
      <c r="J617" s="558"/>
      <c r="K617" s="222">
        <f>TRUNC(SUMIF(C612:C613,H617,K612:K613),2)</f>
        <v>3092.24</v>
      </c>
      <c r="L617" s="207"/>
    </row>
    <row r="618" spans="2:12">
      <c r="B618" s="213"/>
      <c r="C618" s="214"/>
      <c r="D618" s="214"/>
      <c r="E618" s="214"/>
      <c r="F618" s="214"/>
      <c r="G618" s="214"/>
      <c r="H618" s="559" t="s">
        <v>1224</v>
      </c>
      <c r="I618" s="559"/>
      <c r="J618" s="559"/>
      <c r="K618" s="223">
        <f>IF(K614&gt;K615,K614-K615,0)</f>
        <v>0</v>
      </c>
      <c r="L618" s="209"/>
    </row>
    <row r="620" spans="2:12">
      <c r="B620" s="247" t="s">
        <v>227</v>
      </c>
      <c r="C620" s="565" t="str">
        <f>VLOOKUP(B620,'BM 004'!$B$27:$R$590,2,0)</f>
        <v xml:space="preserve">Armação de pilar ou viga de uma estrutura convencional de concreto armado em um edifício de múltiplos pavimentos utilizando aço ca-50 de 20,0 mm - montagem. </v>
      </c>
      <c r="D620" s="565"/>
      <c r="E620" s="565"/>
      <c r="F620" s="565"/>
      <c r="G620" s="565"/>
      <c r="H620" s="565"/>
      <c r="I620" s="565"/>
      <c r="J620" s="565"/>
      <c r="K620" s="565"/>
      <c r="L620" s="565"/>
    </row>
    <row r="621" spans="2:12">
      <c r="B621" s="248" t="s">
        <v>1209</v>
      </c>
      <c r="C621" s="248"/>
      <c r="D621" s="248" t="s">
        <v>39</v>
      </c>
      <c r="E621" s="248" t="s">
        <v>1210</v>
      </c>
      <c r="F621" s="248" t="s">
        <v>1382</v>
      </c>
      <c r="G621" s="248" t="s">
        <v>1383</v>
      </c>
      <c r="H621" s="248" t="s">
        <v>1384</v>
      </c>
      <c r="I621" s="248" t="s">
        <v>1214</v>
      </c>
      <c r="J621" s="248" t="s">
        <v>1385</v>
      </c>
      <c r="K621" s="248" t="s">
        <v>1216</v>
      </c>
      <c r="L621" s="248" t="s">
        <v>1217</v>
      </c>
    </row>
    <row r="622" spans="2:12">
      <c r="B622" s="249" t="s">
        <v>1387</v>
      </c>
      <c r="C622" s="250" t="s">
        <v>1333</v>
      </c>
      <c r="D622" s="205" t="s">
        <v>152</v>
      </c>
      <c r="E622" s="251">
        <v>991</v>
      </c>
      <c r="F622" s="252">
        <v>2.4660000000000002</v>
      </c>
      <c r="G622" s="251">
        <v>1.1000000000000001</v>
      </c>
      <c r="H622" s="251">
        <v>0.55000000000000004</v>
      </c>
      <c r="I622" s="251"/>
      <c r="J622" s="253"/>
      <c r="K622" s="254">
        <f>IF(E622*F622*G622&lt;&gt;0,E622*F622*G622,IF(E622*F622&lt;&gt;0,E622*F622,IF(F622*G622&lt;&gt;0,F622*G622,IF(E622*G622&lt;&gt;0,E622*G622,IF(E622&lt;&gt;0,E622,IF(F622&lt;&gt;0,F622,IF(G622&lt;&gt;0,G622,0)))))))*(IF(H622&lt;&gt;0,H622,1))+I622-J622</f>
        <v>1478.5026300000004</v>
      </c>
      <c r="L622" s="255"/>
    </row>
    <row r="623" spans="2:12">
      <c r="B623" s="256"/>
      <c r="C623" s="210"/>
      <c r="D623" s="210"/>
      <c r="E623" s="257"/>
      <c r="F623" s="258"/>
      <c r="G623" s="257"/>
      <c r="H623" s="257"/>
      <c r="I623" s="257"/>
      <c r="J623" s="259"/>
      <c r="K623" s="260">
        <f>IF(E623*F623*G623&lt;&gt;0,E623*F623*G623,IF(E623*F623&lt;&gt;0,E623*F623,IF(F623*G623&lt;&gt;0,F623*G623,IF(E623*G623&lt;&gt;0,E623*G623,IF(E623&lt;&gt;0,E623,IF(F623&lt;&gt;0,F623,IF(G623&lt;&gt;0,G623,0)))))))*(IF(H623&lt;&gt;0,H623,1))+I623-J623</f>
        <v>0</v>
      </c>
      <c r="L623" s="210"/>
    </row>
    <row r="624" spans="2:12">
      <c r="B624" s="202"/>
      <c r="C624" s="203"/>
      <c r="D624" s="203"/>
      <c r="E624" s="203"/>
      <c r="F624" s="203"/>
      <c r="G624" s="203"/>
      <c r="H624" s="204"/>
      <c r="I624" s="556" t="s">
        <v>1221</v>
      </c>
      <c r="J624" s="556"/>
      <c r="K624" s="220">
        <f>SUM(K623:K623)</f>
        <v>0</v>
      </c>
      <c r="L624" s="207"/>
    </row>
    <row r="625" spans="2:12">
      <c r="B625" s="208"/>
      <c r="C625" s="204"/>
      <c r="D625" s="204"/>
      <c r="E625" s="204"/>
      <c r="F625" s="204"/>
      <c r="G625" s="204"/>
      <c r="H625" s="209"/>
      <c r="I625" s="557" t="s">
        <v>1222</v>
      </c>
      <c r="J625" s="557"/>
      <c r="K625" s="221">
        <f>VLOOKUP(B620,'BM 004'!$B$27:$R$590,4,0)</f>
        <v>4513.3</v>
      </c>
      <c r="L625" s="207"/>
    </row>
    <row r="626" spans="2:12">
      <c r="B626" s="208"/>
      <c r="C626" s="204"/>
      <c r="D626" s="204"/>
      <c r="E626" s="204"/>
      <c r="F626" s="204"/>
      <c r="G626" s="204"/>
      <c r="H626" s="558" t="s">
        <v>1223</v>
      </c>
      <c r="I626" s="558"/>
      <c r="J626" s="558"/>
      <c r="K626" s="222"/>
      <c r="L626" s="207"/>
    </row>
    <row r="627" spans="2:12">
      <c r="B627" s="208"/>
      <c r="C627" s="204"/>
      <c r="D627" s="204"/>
      <c r="E627" s="204"/>
      <c r="F627" s="204"/>
      <c r="G627" s="204"/>
      <c r="H627" s="558" t="s">
        <v>1250</v>
      </c>
      <c r="I627" s="558"/>
      <c r="J627" s="558"/>
      <c r="K627" s="222">
        <f>TRUNC(SUMIF(C622:C623,H627,K622:K623),2)</f>
        <v>1478.5</v>
      </c>
      <c r="L627" s="207"/>
    </row>
    <row r="628" spans="2:12">
      <c r="B628" s="213"/>
      <c r="C628" s="214"/>
      <c r="D628" s="214"/>
      <c r="E628" s="214"/>
      <c r="F628" s="214"/>
      <c r="G628" s="214"/>
      <c r="H628" s="559" t="s">
        <v>1224</v>
      </c>
      <c r="I628" s="559"/>
      <c r="J628" s="559"/>
      <c r="K628" s="223">
        <f>IF(K624&gt;K625,K624-K625,0)</f>
        <v>0</v>
      </c>
      <c r="L628" s="209"/>
    </row>
    <row r="630" spans="2:12">
      <c r="B630" s="247" t="s">
        <v>228</v>
      </c>
      <c r="C630" s="565" t="str">
        <f>VLOOKUP(B630,'BM 004'!$B$27:$R$590,2,0)</f>
        <v xml:space="preserve">Armação de pilar ou viga de uma estrutura convencional de concreto armado em um edifício de múltiplos pavimentos utilizando aço ca-50 de 25,0 mm - montagem. </v>
      </c>
      <c r="D630" s="565"/>
      <c r="E630" s="565"/>
      <c r="F630" s="565"/>
      <c r="G630" s="565"/>
      <c r="H630" s="565"/>
      <c r="I630" s="565"/>
      <c r="J630" s="565"/>
      <c r="K630" s="565"/>
      <c r="L630" s="565"/>
    </row>
    <row r="631" spans="2:12">
      <c r="B631" s="248" t="s">
        <v>1209</v>
      </c>
      <c r="C631" s="248"/>
      <c r="D631" s="248" t="s">
        <v>39</v>
      </c>
      <c r="E631" s="248" t="s">
        <v>1210</v>
      </c>
      <c r="F631" s="248" t="s">
        <v>1382</v>
      </c>
      <c r="G631" s="248" t="s">
        <v>1383</v>
      </c>
      <c r="H631" s="248" t="s">
        <v>1384</v>
      </c>
      <c r="I631" s="248" t="s">
        <v>1214</v>
      </c>
      <c r="J631" s="248" t="s">
        <v>1385</v>
      </c>
      <c r="K631" s="248" t="s">
        <v>1216</v>
      </c>
      <c r="L631" s="248" t="s">
        <v>1217</v>
      </c>
    </row>
    <row r="632" spans="2:12">
      <c r="B632" s="249" t="s">
        <v>1387</v>
      </c>
      <c r="C632" s="250" t="s">
        <v>1333</v>
      </c>
      <c r="D632" s="205" t="s">
        <v>152</v>
      </c>
      <c r="E632" s="251">
        <v>928</v>
      </c>
      <c r="F632" s="252">
        <v>3.8530000000000002</v>
      </c>
      <c r="G632" s="251">
        <v>1.1000000000000001</v>
      </c>
      <c r="H632" s="251">
        <v>0.55000000000000004</v>
      </c>
      <c r="I632" s="251"/>
      <c r="J632" s="253"/>
      <c r="K632" s="254">
        <f>IF(E632*F632*G632&lt;&gt;0,E632*F632*G632,IF(E632*F632&lt;&gt;0,E632*F632,IF(F632*G632&lt;&gt;0,F632*G632,IF(E632*G632&lt;&gt;0,E632*G632,IF(E632&lt;&gt;0,E632,IF(F632&lt;&gt;0,F632,IF(G632&lt;&gt;0,G632,0)))))))*(IF(H632&lt;&gt;0,H632,1))+I632-J632</f>
        <v>2163.2283200000006</v>
      </c>
      <c r="L632" s="255"/>
    </row>
    <row r="633" spans="2:12">
      <c r="B633" s="256"/>
      <c r="C633" s="210"/>
      <c r="D633" s="210"/>
      <c r="E633" s="257"/>
      <c r="F633" s="258"/>
      <c r="G633" s="257"/>
      <c r="H633" s="257"/>
      <c r="I633" s="257"/>
      <c r="J633" s="259"/>
      <c r="K633" s="260">
        <f>IF(E633*F633*G633&lt;&gt;0,E633*F633*G633,IF(E633*F633&lt;&gt;0,E633*F633,IF(F633*G633&lt;&gt;0,F633*G633,IF(E633*G633&lt;&gt;0,E633*G633,IF(E633&lt;&gt;0,E633,IF(F633&lt;&gt;0,F633,IF(G633&lt;&gt;0,G633,0)))))))*(IF(H633&lt;&gt;0,H633,1))+I633-J633</f>
        <v>0</v>
      </c>
      <c r="L633" s="210"/>
    </row>
    <row r="634" spans="2:12">
      <c r="B634" s="202"/>
      <c r="C634" s="203"/>
      <c r="D634" s="203"/>
      <c r="E634" s="203"/>
      <c r="F634" s="203"/>
      <c r="G634" s="203"/>
      <c r="H634" s="204"/>
      <c r="I634" s="556" t="s">
        <v>1221</v>
      </c>
      <c r="J634" s="556"/>
      <c r="K634" s="220">
        <f>SUM(K633:K633)</f>
        <v>0</v>
      </c>
      <c r="L634" s="207"/>
    </row>
    <row r="635" spans="2:12">
      <c r="B635" s="208"/>
      <c r="C635" s="204"/>
      <c r="D635" s="204"/>
      <c r="E635" s="204"/>
      <c r="F635" s="204"/>
      <c r="G635" s="204"/>
      <c r="H635" s="209"/>
      <c r="I635" s="557" t="s">
        <v>1222</v>
      </c>
      <c r="J635" s="557"/>
      <c r="K635" s="221">
        <f>VLOOKUP(B630,'BM 004'!$B$27:$R$590,4,0)</f>
        <v>14626.7</v>
      </c>
      <c r="L635" s="207"/>
    </row>
    <row r="636" spans="2:12">
      <c r="B636" s="208"/>
      <c r="C636" s="204"/>
      <c r="D636" s="204"/>
      <c r="E636" s="204"/>
      <c r="F636" s="204"/>
      <c r="G636" s="204"/>
      <c r="H636" s="558" t="s">
        <v>1223</v>
      </c>
      <c r="I636" s="558"/>
      <c r="J636" s="558"/>
      <c r="K636" s="222"/>
      <c r="L636" s="207"/>
    </row>
    <row r="637" spans="2:12">
      <c r="B637" s="208"/>
      <c r="C637" s="204"/>
      <c r="D637" s="204"/>
      <c r="E637" s="204"/>
      <c r="F637" s="204"/>
      <c r="G637" s="204"/>
      <c r="H637" s="558" t="s">
        <v>1250</v>
      </c>
      <c r="I637" s="558"/>
      <c r="J637" s="558"/>
      <c r="K637" s="222">
        <f>TRUNC(SUMIF(C632:C633,H637,K632:K633),2)</f>
        <v>2163.2199999999998</v>
      </c>
      <c r="L637" s="207"/>
    </row>
    <row r="638" spans="2:12">
      <c r="B638" s="213"/>
      <c r="C638" s="214"/>
      <c r="D638" s="214"/>
      <c r="E638" s="214"/>
      <c r="F638" s="214"/>
      <c r="G638" s="214"/>
      <c r="H638" s="559" t="s">
        <v>1224</v>
      </c>
      <c r="I638" s="559"/>
      <c r="J638" s="559"/>
      <c r="K638" s="223">
        <f>IF(K634&gt;K635,K634-K635,0)</f>
        <v>0</v>
      </c>
      <c r="L638" s="209"/>
    </row>
    <row r="640" spans="2:12">
      <c r="B640" s="247" t="s">
        <v>233</v>
      </c>
      <c r="C640" s="565" t="str">
        <f>VLOOKUP(B640,'BM 004'!$B$27:$R$590,2,0)</f>
        <v xml:space="preserve">Concreto simples usinado fck=35mpa, bombeado, lançado e adensado em superestrutura </v>
      </c>
      <c r="D640" s="565"/>
      <c r="E640" s="565"/>
      <c r="F640" s="565"/>
      <c r="G640" s="565"/>
      <c r="H640" s="565"/>
      <c r="I640" s="565"/>
      <c r="J640" s="565"/>
      <c r="K640" s="565"/>
      <c r="L640" s="565"/>
    </row>
    <row r="641" spans="2:12">
      <c r="B641" s="248" t="s">
        <v>1209</v>
      </c>
      <c r="C641" s="248"/>
      <c r="D641" s="248" t="s">
        <v>39</v>
      </c>
      <c r="E641" s="248" t="s">
        <v>1210</v>
      </c>
      <c r="F641" s="248" t="s">
        <v>1388</v>
      </c>
      <c r="G641" s="248" t="s">
        <v>1212</v>
      </c>
      <c r="H641" s="248" t="s">
        <v>1213</v>
      </c>
      <c r="I641" s="248" t="s">
        <v>1214</v>
      </c>
      <c r="J641" s="248" t="s">
        <v>1385</v>
      </c>
      <c r="K641" s="248" t="s">
        <v>1216</v>
      </c>
      <c r="L641" s="248" t="s">
        <v>1217</v>
      </c>
    </row>
    <row r="642" spans="2:12">
      <c r="B642" s="249" t="s">
        <v>1389</v>
      </c>
      <c r="C642" s="250" t="s">
        <v>1333</v>
      </c>
      <c r="D642" s="205" t="s">
        <v>110</v>
      </c>
      <c r="E642" s="199">
        <v>0.5</v>
      </c>
      <c r="F642" s="199">
        <v>0.4</v>
      </c>
      <c r="G642" s="199">
        <v>5.12</v>
      </c>
      <c r="H642" s="199">
        <v>1</v>
      </c>
      <c r="I642" s="199"/>
      <c r="J642" s="253"/>
      <c r="K642" s="254">
        <f t="shared" ref="K642:K680" si="3">IF(E642*F642*G642&lt;&gt;0,E642*F642*G642,IF(E642*F642&lt;&gt;0,E642*F642,IF(F642*G642&lt;&gt;0,F642*G642,IF(E642*G642&lt;&gt;0,E642*G642,IF(E642&lt;&gt;0,E642,IF(F642&lt;&gt;0,F642,IF(G642&lt;&gt;0,G642,0)))))))*(IF(H642&lt;&gt;0,H642,1))+I642-J642</f>
        <v>1.024</v>
      </c>
      <c r="L642" s="255"/>
    </row>
    <row r="643" spans="2:12">
      <c r="B643" s="256" t="s">
        <v>1390</v>
      </c>
      <c r="C643" s="250" t="s">
        <v>1333</v>
      </c>
      <c r="D643" s="205" t="s">
        <v>110</v>
      </c>
      <c r="E643" s="261">
        <v>1</v>
      </c>
      <c r="F643" s="261">
        <v>0.2</v>
      </c>
      <c r="G643" s="261">
        <v>5.12</v>
      </c>
      <c r="H643" s="261">
        <v>1</v>
      </c>
      <c r="I643" s="261"/>
      <c r="J643" s="259"/>
      <c r="K643" s="260">
        <f t="shared" si="3"/>
        <v>1.024</v>
      </c>
      <c r="L643" s="210"/>
    </row>
    <row r="644" spans="2:12">
      <c r="B644" s="256" t="s">
        <v>1391</v>
      </c>
      <c r="C644" s="250" t="s">
        <v>1333</v>
      </c>
      <c r="D644" s="205" t="s">
        <v>110</v>
      </c>
      <c r="E644" s="261">
        <v>1</v>
      </c>
      <c r="F644" s="261">
        <v>0.2</v>
      </c>
      <c r="G644" s="261">
        <v>5.12</v>
      </c>
      <c r="H644" s="261">
        <v>1</v>
      </c>
      <c r="I644" s="261"/>
      <c r="J644" s="259"/>
      <c r="K644" s="260">
        <f t="shared" si="3"/>
        <v>1.024</v>
      </c>
      <c r="L644" s="210"/>
    </row>
    <row r="645" spans="2:12">
      <c r="B645" s="256" t="s">
        <v>1392</v>
      </c>
      <c r="C645" s="250" t="s">
        <v>1333</v>
      </c>
      <c r="D645" s="205" t="s">
        <v>110</v>
      </c>
      <c r="E645" s="261">
        <v>0.4</v>
      </c>
      <c r="F645" s="261">
        <v>0.4</v>
      </c>
      <c r="G645" s="261">
        <v>5.12</v>
      </c>
      <c r="H645" s="261">
        <v>1</v>
      </c>
      <c r="I645" s="261"/>
      <c r="J645" s="259"/>
      <c r="K645" s="260">
        <f t="shared" si="3"/>
        <v>0.81920000000000015</v>
      </c>
      <c r="L645" s="210"/>
    </row>
    <row r="646" spans="2:12">
      <c r="B646" s="256" t="s">
        <v>1393</v>
      </c>
      <c r="C646" s="250" t="s">
        <v>1333</v>
      </c>
      <c r="D646" s="205" t="s">
        <v>110</v>
      </c>
      <c r="E646" s="261">
        <v>0.3</v>
      </c>
      <c r="F646" s="261">
        <v>0.3</v>
      </c>
      <c r="G646" s="261">
        <v>5.12</v>
      </c>
      <c r="H646" s="261">
        <v>1</v>
      </c>
      <c r="I646" s="261"/>
      <c r="J646" s="259"/>
      <c r="K646" s="260">
        <f t="shared" si="3"/>
        <v>0.46079999999999999</v>
      </c>
      <c r="L646" s="210"/>
    </row>
    <row r="647" spans="2:12">
      <c r="B647" s="256" t="s">
        <v>1394</v>
      </c>
      <c r="C647" s="250" t="s">
        <v>1333</v>
      </c>
      <c r="D647" s="205" t="s">
        <v>110</v>
      </c>
      <c r="E647" s="261">
        <v>0.4</v>
      </c>
      <c r="F647" s="261">
        <v>0.4</v>
      </c>
      <c r="G647" s="261">
        <v>5.12</v>
      </c>
      <c r="H647" s="261">
        <v>1</v>
      </c>
      <c r="I647" s="261"/>
      <c r="J647" s="259"/>
      <c r="K647" s="260">
        <f t="shared" si="3"/>
        <v>0.81920000000000015</v>
      </c>
      <c r="L647" s="210"/>
    </row>
    <row r="648" spans="2:12">
      <c r="B648" s="256" t="s">
        <v>1395</v>
      </c>
      <c r="C648" s="250" t="s">
        <v>1333</v>
      </c>
      <c r="D648" s="205" t="s">
        <v>110</v>
      </c>
      <c r="E648" s="199">
        <v>0.5</v>
      </c>
      <c r="F648" s="199">
        <v>0.4</v>
      </c>
      <c r="G648" s="261">
        <v>5.12</v>
      </c>
      <c r="H648" s="261">
        <v>1</v>
      </c>
      <c r="I648" s="261"/>
      <c r="J648" s="259"/>
      <c r="K648" s="260">
        <f t="shared" si="3"/>
        <v>1.024</v>
      </c>
      <c r="L648" s="210"/>
    </row>
    <row r="649" spans="2:12">
      <c r="B649" s="256" t="s">
        <v>1396</v>
      </c>
      <c r="C649" s="250" t="s">
        <v>1333</v>
      </c>
      <c r="D649" s="205" t="s">
        <v>110</v>
      </c>
      <c r="E649" s="199">
        <v>0.5</v>
      </c>
      <c r="F649" s="199">
        <v>0.4</v>
      </c>
      <c r="G649" s="261">
        <v>5.12</v>
      </c>
      <c r="H649" s="261">
        <v>1</v>
      </c>
      <c r="I649" s="261"/>
      <c r="J649" s="259"/>
      <c r="K649" s="260">
        <f t="shared" si="3"/>
        <v>1.024</v>
      </c>
      <c r="L649" s="210"/>
    </row>
    <row r="650" spans="2:12">
      <c r="B650" s="256" t="s">
        <v>1397</v>
      </c>
      <c r="C650" s="250" t="s">
        <v>1333</v>
      </c>
      <c r="D650" s="205" t="s">
        <v>110</v>
      </c>
      <c r="E650" s="261">
        <v>1</v>
      </c>
      <c r="F650" s="261">
        <v>0.2</v>
      </c>
      <c r="G650" s="261">
        <v>5.12</v>
      </c>
      <c r="H650" s="261">
        <v>1</v>
      </c>
      <c r="I650" s="261"/>
      <c r="J650" s="259"/>
      <c r="K650" s="260">
        <f t="shared" si="3"/>
        <v>1.024</v>
      </c>
      <c r="L650" s="210"/>
    </row>
    <row r="651" spans="2:12">
      <c r="B651" s="256" t="s">
        <v>1398</v>
      </c>
      <c r="C651" s="250" t="s">
        <v>1333</v>
      </c>
      <c r="D651" s="205" t="s">
        <v>110</v>
      </c>
      <c r="E651" s="261">
        <v>0.3</v>
      </c>
      <c r="F651" s="261">
        <v>0.3</v>
      </c>
      <c r="G651" s="261">
        <v>5.12</v>
      </c>
      <c r="H651" s="261">
        <v>1</v>
      </c>
      <c r="I651" s="261"/>
      <c r="J651" s="259"/>
      <c r="K651" s="260">
        <f t="shared" si="3"/>
        <v>0.46079999999999999</v>
      </c>
      <c r="L651" s="210"/>
    </row>
    <row r="652" spans="2:12">
      <c r="B652" s="256" t="s">
        <v>1399</v>
      </c>
      <c r="C652" s="250" t="s">
        <v>1333</v>
      </c>
      <c r="D652" s="205" t="s">
        <v>110</v>
      </c>
      <c r="E652" s="261">
        <v>0.4</v>
      </c>
      <c r="F652" s="261">
        <v>0.4</v>
      </c>
      <c r="G652" s="261">
        <v>5.12</v>
      </c>
      <c r="H652" s="261">
        <v>1</v>
      </c>
      <c r="I652" s="261"/>
      <c r="J652" s="259"/>
      <c r="K652" s="260">
        <f t="shared" si="3"/>
        <v>0.81920000000000015</v>
      </c>
      <c r="L652" s="210"/>
    </row>
    <row r="653" spans="2:12">
      <c r="B653" s="256" t="s">
        <v>1400</v>
      </c>
      <c r="C653" s="250" t="s">
        <v>1333</v>
      </c>
      <c r="D653" s="205" t="s">
        <v>110</v>
      </c>
      <c r="E653" s="199">
        <v>0.5</v>
      </c>
      <c r="F653" s="199">
        <v>0.4</v>
      </c>
      <c r="G653" s="261">
        <v>5.12</v>
      </c>
      <c r="H653" s="261">
        <v>1</v>
      </c>
      <c r="I653" s="261"/>
      <c r="J653" s="259"/>
      <c r="K653" s="260">
        <f t="shared" si="3"/>
        <v>1.024</v>
      </c>
      <c r="L653" s="210"/>
    </row>
    <row r="654" spans="2:12">
      <c r="B654" s="256" t="s">
        <v>1401</v>
      </c>
      <c r="C654" s="250" t="s">
        <v>1333</v>
      </c>
      <c r="D654" s="205" t="s">
        <v>110</v>
      </c>
      <c r="E654" s="199">
        <v>0.5</v>
      </c>
      <c r="F654" s="199">
        <v>0.4</v>
      </c>
      <c r="G654" s="261">
        <v>5.12</v>
      </c>
      <c r="H654" s="261">
        <v>1</v>
      </c>
      <c r="I654" s="261"/>
      <c r="J654" s="259"/>
      <c r="K654" s="260">
        <f t="shared" si="3"/>
        <v>1.024</v>
      </c>
      <c r="L654" s="210"/>
    </row>
    <row r="655" spans="2:12">
      <c r="B655" s="256" t="s">
        <v>1402</v>
      </c>
      <c r="C655" s="250" t="s">
        <v>1333</v>
      </c>
      <c r="D655" s="205" t="s">
        <v>110</v>
      </c>
      <c r="E655" s="261">
        <v>1</v>
      </c>
      <c r="F655" s="261">
        <v>0.2</v>
      </c>
      <c r="G655" s="261">
        <v>5.12</v>
      </c>
      <c r="H655" s="261">
        <v>1</v>
      </c>
      <c r="I655" s="261"/>
      <c r="J655" s="259"/>
      <c r="K655" s="260">
        <f t="shared" si="3"/>
        <v>1.024</v>
      </c>
      <c r="L655" s="210"/>
    </row>
    <row r="656" spans="2:12">
      <c r="B656" s="256" t="s">
        <v>1403</v>
      </c>
      <c r="C656" s="250" t="s">
        <v>1333</v>
      </c>
      <c r="D656" s="205" t="s">
        <v>110</v>
      </c>
      <c r="E656" s="261">
        <v>0.3</v>
      </c>
      <c r="F656" s="261">
        <v>0.3</v>
      </c>
      <c r="G656" s="261">
        <v>5.12</v>
      </c>
      <c r="H656" s="261">
        <v>1</v>
      </c>
      <c r="I656" s="261"/>
      <c r="J656" s="259"/>
      <c r="K656" s="260">
        <f t="shared" si="3"/>
        <v>0.46079999999999999</v>
      </c>
      <c r="L656" s="210"/>
    </row>
    <row r="657" spans="2:12">
      <c r="B657" s="256" t="s">
        <v>1404</v>
      </c>
      <c r="C657" s="250" t="s">
        <v>1333</v>
      </c>
      <c r="D657" s="205" t="s">
        <v>110</v>
      </c>
      <c r="E657" s="261">
        <v>0.6</v>
      </c>
      <c r="F657" s="261">
        <v>0.2</v>
      </c>
      <c r="G657" s="261">
        <v>5.12</v>
      </c>
      <c r="H657" s="261">
        <v>1</v>
      </c>
      <c r="I657" s="261"/>
      <c r="J657" s="259"/>
      <c r="K657" s="260">
        <f t="shared" si="3"/>
        <v>0.61439999999999995</v>
      </c>
      <c r="L657" s="210"/>
    </row>
    <row r="658" spans="2:12">
      <c r="B658" s="256" t="s">
        <v>1405</v>
      </c>
      <c r="C658" s="250" t="s">
        <v>1333</v>
      </c>
      <c r="D658" s="205" t="s">
        <v>110</v>
      </c>
      <c r="E658" s="261">
        <v>0.6</v>
      </c>
      <c r="F658" s="261">
        <v>0.2</v>
      </c>
      <c r="G658" s="261">
        <v>5.12</v>
      </c>
      <c r="H658" s="261">
        <v>1</v>
      </c>
      <c r="I658" s="261"/>
      <c r="J658" s="259"/>
      <c r="K658" s="260">
        <f t="shared" si="3"/>
        <v>0.61439999999999995</v>
      </c>
      <c r="L658" s="210"/>
    </row>
    <row r="659" spans="2:12">
      <c r="B659" s="256" t="s">
        <v>1406</v>
      </c>
      <c r="C659" s="250" t="s">
        <v>1333</v>
      </c>
      <c r="D659" s="205" t="s">
        <v>110</v>
      </c>
      <c r="E659" s="261">
        <v>0.4</v>
      </c>
      <c r="F659" s="261">
        <v>0.4</v>
      </c>
      <c r="G659" s="261">
        <v>5.12</v>
      </c>
      <c r="H659" s="261">
        <v>1</v>
      </c>
      <c r="I659" s="261"/>
      <c r="J659" s="259"/>
      <c r="K659" s="260">
        <f t="shared" si="3"/>
        <v>0.81920000000000015</v>
      </c>
      <c r="L659" s="210"/>
    </row>
    <row r="660" spans="2:12">
      <c r="B660" s="256" t="s">
        <v>1407</v>
      </c>
      <c r="C660" s="250" t="s">
        <v>1333</v>
      </c>
      <c r="D660" s="205" t="s">
        <v>110</v>
      </c>
      <c r="E660" s="199">
        <v>0.5</v>
      </c>
      <c r="F660" s="199">
        <v>0.4</v>
      </c>
      <c r="G660" s="261">
        <v>5.12</v>
      </c>
      <c r="H660" s="261">
        <v>1</v>
      </c>
      <c r="I660" s="261"/>
      <c r="J660" s="259"/>
      <c r="K660" s="260">
        <f t="shared" si="3"/>
        <v>1.024</v>
      </c>
      <c r="L660" s="210"/>
    </row>
    <row r="661" spans="2:12">
      <c r="B661" s="256" t="s">
        <v>1408</v>
      </c>
      <c r="C661" s="250" t="s">
        <v>1333</v>
      </c>
      <c r="D661" s="205" t="s">
        <v>110</v>
      </c>
      <c r="E661" s="261">
        <v>0.5</v>
      </c>
      <c r="F661" s="261">
        <v>0.4</v>
      </c>
      <c r="G661" s="261">
        <v>5.12</v>
      </c>
      <c r="H661" s="261">
        <v>1</v>
      </c>
      <c r="I661" s="261"/>
      <c r="J661" s="259"/>
      <c r="K661" s="260">
        <f t="shared" si="3"/>
        <v>1.024</v>
      </c>
      <c r="L661" s="210"/>
    </row>
    <row r="662" spans="2:12">
      <c r="B662" s="256" t="s">
        <v>1409</v>
      </c>
      <c r="C662" s="250" t="s">
        <v>1333</v>
      </c>
      <c r="D662" s="205" t="s">
        <v>110</v>
      </c>
      <c r="E662" s="261">
        <v>1</v>
      </c>
      <c r="F662" s="261">
        <v>0.2</v>
      </c>
      <c r="G662" s="261">
        <v>5.12</v>
      </c>
      <c r="H662" s="261">
        <v>1</v>
      </c>
      <c r="I662" s="261"/>
      <c r="J662" s="259"/>
      <c r="K662" s="260">
        <f t="shared" si="3"/>
        <v>1.024</v>
      </c>
      <c r="L662" s="210"/>
    </row>
    <row r="663" spans="2:12">
      <c r="B663" s="256" t="s">
        <v>1410</v>
      </c>
      <c r="C663" s="250" t="s">
        <v>1333</v>
      </c>
      <c r="D663" s="205" t="s">
        <v>110</v>
      </c>
      <c r="E663" s="261">
        <v>0.45</v>
      </c>
      <c r="F663" s="261">
        <v>0.3</v>
      </c>
      <c r="G663" s="261">
        <v>5.12</v>
      </c>
      <c r="H663" s="261">
        <v>1</v>
      </c>
      <c r="I663" s="261"/>
      <c r="J663" s="259"/>
      <c r="K663" s="260">
        <f t="shared" si="3"/>
        <v>0.69120000000000004</v>
      </c>
      <c r="L663" s="210"/>
    </row>
    <row r="664" spans="2:12">
      <c r="B664" s="256" t="s">
        <v>1411</v>
      </c>
      <c r="C664" s="250" t="s">
        <v>1333</v>
      </c>
      <c r="D664" s="205" t="s">
        <v>110</v>
      </c>
      <c r="E664" s="261">
        <v>0.45</v>
      </c>
      <c r="F664" s="261">
        <v>0.3</v>
      </c>
      <c r="G664" s="261">
        <v>5.12</v>
      </c>
      <c r="H664" s="261">
        <v>1</v>
      </c>
      <c r="I664" s="261"/>
      <c r="J664" s="259"/>
      <c r="K664" s="260">
        <f t="shared" si="3"/>
        <v>0.69120000000000004</v>
      </c>
      <c r="L664" s="210"/>
    </row>
    <row r="665" spans="2:12">
      <c r="B665" s="256" t="s">
        <v>1412</v>
      </c>
      <c r="C665" s="250" t="s">
        <v>1333</v>
      </c>
      <c r="D665" s="205" t="s">
        <v>110</v>
      </c>
      <c r="E665" s="261">
        <v>0.55000000000000004</v>
      </c>
      <c r="F665" s="261">
        <v>0.3</v>
      </c>
      <c r="G665" s="261">
        <v>5.12</v>
      </c>
      <c r="H665" s="261">
        <v>1</v>
      </c>
      <c r="I665" s="261"/>
      <c r="J665" s="259"/>
      <c r="K665" s="260">
        <f t="shared" si="3"/>
        <v>0.84480000000000011</v>
      </c>
      <c r="L665" s="210"/>
    </row>
    <row r="666" spans="2:12">
      <c r="B666" s="256" t="s">
        <v>1413</v>
      </c>
      <c r="C666" s="250" t="s">
        <v>1333</v>
      </c>
      <c r="D666" s="205" t="s">
        <v>110</v>
      </c>
      <c r="E666" s="261">
        <v>0.55000000000000004</v>
      </c>
      <c r="F666" s="261">
        <v>0.3</v>
      </c>
      <c r="G666" s="261">
        <v>5.12</v>
      </c>
      <c r="H666" s="261">
        <v>1</v>
      </c>
      <c r="I666" s="261"/>
      <c r="J666" s="259"/>
      <c r="K666" s="260">
        <f t="shared" si="3"/>
        <v>0.84480000000000011</v>
      </c>
      <c r="L666" s="210"/>
    </row>
    <row r="667" spans="2:12">
      <c r="B667" s="256" t="s">
        <v>1414</v>
      </c>
      <c r="C667" s="250" t="s">
        <v>1333</v>
      </c>
      <c r="D667" s="205" t="s">
        <v>110</v>
      </c>
      <c r="E667" s="261">
        <v>0.55000000000000004</v>
      </c>
      <c r="F667" s="261">
        <v>0.3</v>
      </c>
      <c r="G667" s="261">
        <v>5.12</v>
      </c>
      <c r="H667" s="261">
        <v>1</v>
      </c>
      <c r="I667" s="261"/>
      <c r="J667" s="259"/>
      <c r="K667" s="260">
        <f t="shared" si="3"/>
        <v>0.84480000000000011</v>
      </c>
      <c r="L667" s="210"/>
    </row>
    <row r="668" spans="2:12">
      <c r="B668" s="256" t="s">
        <v>1415</v>
      </c>
      <c r="C668" s="250" t="s">
        <v>1333</v>
      </c>
      <c r="D668" s="205" t="s">
        <v>110</v>
      </c>
      <c r="E668" s="261">
        <v>0.55000000000000004</v>
      </c>
      <c r="F668" s="261">
        <v>0.3</v>
      </c>
      <c r="G668" s="261">
        <v>5.12</v>
      </c>
      <c r="H668" s="261">
        <v>1</v>
      </c>
      <c r="I668" s="261"/>
      <c r="J668" s="259"/>
      <c r="K668" s="260">
        <f t="shared" si="3"/>
        <v>0.84480000000000011</v>
      </c>
      <c r="L668" s="210"/>
    </row>
    <row r="669" spans="2:12">
      <c r="B669" s="256" t="s">
        <v>1416</v>
      </c>
      <c r="C669" s="250" t="s">
        <v>1333</v>
      </c>
      <c r="D669" s="205" t="s">
        <v>110</v>
      </c>
      <c r="E669" s="261">
        <v>0.45</v>
      </c>
      <c r="F669" s="261">
        <v>0.3</v>
      </c>
      <c r="G669" s="261">
        <v>5.12</v>
      </c>
      <c r="H669" s="261">
        <v>1</v>
      </c>
      <c r="I669" s="261"/>
      <c r="J669" s="259"/>
      <c r="K669" s="260">
        <f t="shared" si="3"/>
        <v>0.69120000000000004</v>
      </c>
      <c r="L669" s="210"/>
    </row>
    <row r="670" spans="2:12">
      <c r="B670" s="256" t="s">
        <v>1417</v>
      </c>
      <c r="C670" s="250" t="s">
        <v>1333</v>
      </c>
      <c r="D670" s="205" t="s">
        <v>110</v>
      </c>
      <c r="E670" s="261">
        <v>0.45</v>
      </c>
      <c r="F670" s="261">
        <v>0.3</v>
      </c>
      <c r="G670" s="261">
        <v>5.12</v>
      </c>
      <c r="H670" s="261">
        <v>1</v>
      </c>
      <c r="I670" s="261"/>
      <c r="J670" s="259"/>
      <c r="K670" s="260">
        <f t="shared" si="3"/>
        <v>0.69120000000000004</v>
      </c>
      <c r="L670" s="210"/>
    </row>
    <row r="671" spans="2:12">
      <c r="B671" s="256" t="s">
        <v>1418</v>
      </c>
      <c r="C671" s="250" t="s">
        <v>1333</v>
      </c>
      <c r="D671" s="205" t="s">
        <v>110</v>
      </c>
      <c r="E671" s="261">
        <v>0.8</v>
      </c>
      <c r="F671" s="261">
        <v>0.2</v>
      </c>
      <c r="G671" s="261">
        <v>5.12</v>
      </c>
      <c r="H671" s="261">
        <v>1</v>
      </c>
      <c r="I671" s="261"/>
      <c r="J671" s="259"/>
      <c r="K671" s="260">
        <f t="shared" si="3"/>
        <v>0.81920000000000015</v>
      </c>
      <c r="L671" s="210"/>
    </row>
    <row r="672" spans="2:12">
      <c r="B672" s="256" t="s">
        <v>1419</v>
      </c>
      <c r="C672" s="250" t="s">
        <v>1333</v>
      </c>
      <c r="D672" s="205" t="s">
        <v>110</v>
      </c>
      <c r="E672" s="261">
        <v>0.8</v>
      </c>
      <c r="F672" s="261">
        <v>0.2</v>
      </c>
      <c r="G672" s="261">
        <v>6.62</v>
      </c>
      <c r="H672" s="261">
        <v>1</v>
      </c>
      <c r="I672" s="261"/>
      <c r="J672" s="259"/>
      <c r="K672" s="260">
        <f t="shared" si="3"/>
        <v>1.0592000000000001</v>
      </c>
      <c r="L672" s="210"/>
    </row>
    <row r="673" spans="2:12">
      <c r="B673" s="256" t="s">
        <v>1420</v>
      </c>
      <c r="C673" s="250" t="s">
        <v>1333</v>
      </c>
      <c r="D673" s="205" t="s">
        <v>110</v>
      </c>
      <c r="E673" s="261">
        <v>0.8</v>
      </c>
      <c r="F673" s="261">
        <v>0.3</v>
      </c>
      <c r="G673" s="261">
        <v>6.62</v>
      </c>
      <c r="H673" s="261">
        <v>1</v>
      </c>
      <c r="I673" s="261"/>
      <c r="J673" s="259"/>
      <c r="K673" s="260">
        <f t="shared" si="3"/>
        <v>1.5888</v>
      </c>
      <c r="L673" s="210"/>
    </row>
    <row r="674" spans="2:12">
      <c r="B674" s="256" t="s">
        <v>1421</v>
      </c>
      <c r="C674" s="250" t="s">
        <v>1333</v>
      </c>
      <c r="D674" s="205" t="s">
        <v>110</v>
      </c>
      <c r="E674" s="261">
        <v>0.8</v>
      </c>
      <c r="F674" s="261">
        <v>0.2</v>
      </c>
      <c r="G674" s="261">
        <v>6.62</v>
      </c>
      <c r="H674" s="261">
        <v>1</v>
      </c>
      <c r="I674" s="261"/>
      <c r="J674" s="259"/>
      <c r="K674" s="260">
        <f t="shared" si="3"/>
        <v>1.0592000000000001</v>
      </c>
      <c r="L674" s="210"/>
    </row>
    <row r="675" spans="2:12">
      <c r="B675" s="256" t="s">
        <v>1422</v>
      </c>
      <c r="C675" s="250" t="s">
        <v>1333</v>
      </c>
      <c r="D675" s="205" t="s">
        <v>110</v>
      </c>
      <c r="E675" s="261">
        <v>0.8</v>
      </c>
      <c r="F675" s="261">
        <v>0.3</v>
      </c>
      <c r="G675" s="261">
        <v>6.62</v>
      </c>
      <c r="H675" s="261">
        <v>1</v>
      </c>
      <c r="I675" s="261"/>
      <c r="J675" s="259"/>
      <c r="K675" s="260">
        <f t="shared" si="3"/>
        <v>1.5888</v>
      </c>
      <c r="L675" s="210"/>
    </row>
    <row r="676" spans="2:12">
      <c r="B676" s="256" t="s">
        <v>1423</v>
      </c>
      <c r="C676" s="250" t="s">
        <v>1333</v>
      </c>
      <c r="D676" s="205" t="s">
        <v>110</v>
      </c>
      <c r="E676" s="261">
        <v>0.7</v>
      </c>
      <c r="F676" s="261">
        <v>0.4</v>
      </c>
      <c r="G676" s="261">
        <v>5.12</v>
      </c>
      <c r="H676" s="261">
        <v>1</v>
      </c>
      <c r="I676" s="261"/>
      <c r="J676" s="259"/>
      <c r="K676" s="260">
        <f t="shared" si="3"/>
        <v>1.4336</v>
      </c>
      <c r="L676" s="210"/>
    </row>
    <row r="677" spans="2:12">
      <c r="B677" s="256" t="s">
        <v>1424</v>
      </c>
      <c r="C677" s="250" t="s">
        <v>1333</v>
      </c>
      <c r="D677" s="205" t="s">
        <v>110</v>
      </c>
      <c r="E677" s="261">
        <v>0.7</v>
      </c>
      <c r="F677" s="261">
        <v>0.5</v>
      </c>
      <c r="G677" s="261">
        <v>5.12</v>
      </c>
      <c r="H677" s="261">
        <v>1</v>
      </c>
      <c r="I677" s="261"/>
      <c r="J677" s="259"/>
      <c r="K677" s="260">
        <f t="shared" si="3"/>
        <v>1.7919999999999998</v>
      </c>
      <c r="L677" s="210"/>
    </row>
    <row r="678" spans="2:12">
      <c r="B678" s="256" t="s">
        <v>1425</v>
      </c>
      <c r="C678" s="250" t="s">
        <v>1333</v>
      </c>
      <c r="D678" s="205" t="s">
        <v>110</v>
      </c>
      <c r="E678" s="261">
        <v>0.7</v>
      </c>
      <c r="F678" s="261">
        <v>0.5</v>
      </c>
      <c r="G678" s="261">
        <v>5.12</v>
      </c>
      <c r="H678" s="261">
        <v>1</v>
      </c>
      <c r="I678" s="261"/>
      <c r="J678" s="259"/>
      <c r="K678" s="260">
        <f t="shared" si="3"/>
        <v>1.7919999999999998</v>
      </c>
      <c r="L678" s="210"/>
    </row>
    <row r="679" spans="2:12">
      <c r="B679" s="256" t="s">
        <v>1426</v>
      </c>
      <c r="C679" s="250" t="s">
        <v>1333</v>
      </c>
      <c r="D679" s="205" t="s">
        <v>110</v>
      </c>
      <c r="E679" s="261">
        <v>0.5</v>
      </c>
      <c r="F679" s="261">
        <v>0.4</v>
      </c>
      <c r="G679" s="261">
        <v>5.12</v>
      </c>
      <c r="H679" s="261">
        <v>1</v>
      </c>
      <c r="I679" s="261"/>
      <c r="J679" s="259"/>
      <c r="K679" s="260">
        <f t="shared" si="3"/>
        <v>1.024</v>
      </c>
      <c r="L679" s="210"/>
    </row>
    <row r="680" spans="2:12">
      <c r="B680" s="256"/>
      <c r="C680" s="210"/>
      <c r="D680" s="210"/>
      <c r="E680" s="261"/>
      <c r="F680" s="261"/>
      <c r="G680" s="261"/>
      <c r="H680" s="261"/>
      <c r="I680" s="261"/>
      <c r="J680" s="259"/>
      <c r="K680" s="260">
        <f t="shared" si="3"/>
        <v>0</v>
      </c>
      <c r="L680" s="210"/>
    </row>
    <row r="681" spans="2:12">
      <c r="B681" s="202"/>
      <c r="C681" s="203"/>
      <c r="D681" s="203"/>
      <c r="E681" s="203"/>
      <c r="F681" s="203"/>
      <c r="G681" s="203"/>
      <c r="H681" s="204"/>
      <c r="I681" s="556" t="s">
        <v>1221</v>
      </c>
      <c r="J681" s="556"/>
      <c r="K681" s="220">
        <f>SUM(K680:K680)</f>
        <v>0</v>
      </c>
      <c r="L681" s="207"/>
    </row>
    <row r="682" spans="2:12">
      <c r="B682" s="208"/>
      <c r="C682" s="204"/>
      <c r="D682" s="204"/>
      <c r="E682" s="204"/>
      <c r="F682" s="204"/>
      <c r="G682" s="204"/>
      <c r="H682" s="209"/>
      <c r="I682" s="557" t="s">
        <v>1222</v>
      </c>
      <c r="J682" s="557"/>
      <c r="K682" s="221">
        <f>VLOOKUP(B640,'BM 004'!$B$27:$R$590,4,0)</f>
        <v>226.93</v>
      </c>
      <c r="L682" s="207"/>
    </row>
    <row r="683" spans="2:12">
      <c r="B683" s="208"/>
      <c r="C683" s="204"/>
      <c r="D683" s="204"/>
      <c r="E683" s="204"/>
      <c r="F683" s="204"/>
      <c r="G683" s="204"/>
      <c r="H683" s="558" t="s">
        <v>1223</v>
      </c>
      <c r="I683" s="558"/>
      <c r="J683" s="558"/>
      <c r="K683" s="222"/>
      <c r="L683" s="207"/>
    </row>
    <row r="684" spans="2:12">
      <c r="B684" s="208"/>
      <c r="C684" s="204"/>
      <c r="D684" s="204"/>
      <c r="E684" s="204"/>
      <c r="F684" s="204"/>
      <c r="G684" s="204"/>
      <c r="H684" s="558" t="s">
        <v>1250</v>
      </c>
      <c r="I684" s="558"/>
      <c r="J684" s="558"/>
      <c r="K684" s="222">
        <f>TRUNC(SUMIF(C642:C680,H684,K642:K680),2)</f>
        <v>36.47</v>
      </c>
      <c r="L684" s="207"/>
    </row>
    <row r="685" spans="2:12">
      <c r="B685" s="213"/>
      <c r="C685" s="214"/>
      <c r="D685" s="214"/>
      <c r="E685" s="214"/>
      <c r="F685" s="214"/>
      <c r="G685" s="214"/>
      <c r="H685" s="559" t="s">
        <v>1224</v>
      </c>
      <c r="I685" s="559"/>
      <c r="J685" s="559"/>
      <c r="K685" s="223">
        <f>IF(K681&gt;K682,K681-K682,0)</f>
        <v>0</v>
      </c>
      <c r="L685" s="209"/>
    </row>
  </sheetData>
  <mergeCells count="298">
    <mergeCell ref="H685:J685"/>
    <mergeCell ref="I635:J635"/>
    <mergeCell ref="H636:J636"/>
    <mergeCell ref="H637:J637"/>
    <mergeCell ref="H638:J638"/>
    <mergeCell ref="C640:L640"/>
    <mergeCell ref="I681:J681"/>
    <mergeCell ref="I682:J682"/>
    <mergeCell ref="H683:J683"/>
    <mergeCell ref="H684:J684"/>
    <mergeCell ref="H618:J618"/>
    <mergeCell ref="C620:L620"/>
    <mergeCell ref="I624:J624"/>
    <mergeCell ref="I625:J625"/>
    <mergeCell ref="H626:J626"/>
    <mergeCell ref="H627:J627"/>
    <mergeCell ref="H628:J628"/>
    <mergeCell ref="C630:L630"/>
    <mergeCell ref="I634:J634"/>
    <mergeCell ref="I605:J605"/>
    <mergeCell ref="H606:J606"/>
    <mergeCell ref="H607:J607"/>
    <mergeCell ref="H608:J608"/>
    <mergeCell ref="C610:L610"/>
    <mergeCell ref="I614:J614"/>
    <mergeCell ref="I615:J615"/>
    <mergeCell ref="H616:J616"/>
    <mergeCell ref="H617:J617"/>
    <mergeCell ref="H588:J588"/>
    <mergeCell ref="C590:L590"/>
    <mergeCell ref="I594:J594"/>
    <mergeCell ref="I595:J595"/>
    <mergeCell ref="H596:J596"/>
    <mergeCell ref="H597:J597"/>
    <mergeCell ref="H598:J598"/>
    <mergeCell ref="C600:L600"/>
    <mergeCell ref="I604:J604"/>
    <mergeCell ref="I575:J575"/>
    <mergeCell ref="H576:J576"/>
    <mergeCell ref="H577:J577"/>
    <mergeCell ref="H578:J578"/>
    <mergeCell ref="C580:L580"/>
    <mergeCell ref="I584:J584"/>
    <mergeCell ref="I585:J585"/>
    <mergeCell ref="H586:J586"/>
    <mergeCell ref="H587:J587"/>
    <mergeCell ref="H543:J543"/>
    <mergeCell ref="C560:L560"/>
    <mergeCell ref="I564:J564"/>
    <mergeCell ref="I565:J565"/>
    <mergeCell ref="H566:J566"/>
    <mergeCell ref="H567:J567"/>
    <mergeCell ref="H568:J568"/>
    <mergeCell ref="C570:L570"/>
    <mergeCell ref="I574:J574"/>
    <mergeCell ref="I529:J529"/>
    <mergeCell ref="H530:J530"/>
    <mergeCell ref="H531:J531"/>
    <mergeCell ref="H532:J532"/>
    <mergeCell ref="C534:L534"/>
    <mergeCell ref="I539:J539"/>
    <mergeCell ref="I540:J540"/>
    <mergeCell ref="H541:J541"/>
    <mergeCell ref="H542:J542"/>
    <mergeCell ref="H510:J510"/>
    <mergeCell ref="C512:L512"/>
    <mergeCell ref="I517:J517"/>
    <mergeCell ref="I518:J518"/>
    <mergeCell ref="H519:J519"/>
    <mergeCell ref="H520:J520"/>
    <mergeCell ref="H521:J521"/>
    <mergeCell ref="C523:L523"/>
    <mergeCell ref="I528:J528"/>
    <mergeCell ref="I496:J496"/>
    <mergeCell ref="H497:J497"/>
    <mergeCell ref="H498:J498"/>
    <mergeCell ref="H499:J499"/>
    <mergeCell ref="C501:L501"/>
    <mergeCell ref="I506:J506"/>
    <mergeCell ref="I507:J507"/>
    <mergeCell ref="H508:J508"/>
    <mergeCell ref="H509:J509"/>
    <mergeCell ref="H477:J477"/>
    <mergeCell ref="C479:L479"/>
    <mergeCell ref="I484:J484"/>
    <mergeCell ref="I485:J485"/>
    <mergeCell ref="H486:J486"/>
    <mergeCell ref="H487:J487"/>
    <mergeCell ref="H488:J488"/>
    <mergeCell ref="C490:L490"/>
    <mergeCell ref="I495:J495"/>
    <mergeCell ref="I463:J463"/>
    <mergeCell ref="H464:J464"/>
    <mergeCell ref="H465:J465"/>
    <mergeCell ref="H466:J466"/>
    <mergeCell ref="C468:L468"/>
    <mergeCell ref="I473:J473"/>
    <mergeCell ref="I474:J474"/>
    <mergeCell ref="H475:J475"/>
    <mergeCell ref="H476:J476"/>
    <mergeCell ref="H425:J425"/>
    <mergeCell ref="B427:L427"/>
    <mergeCell ref="I451:J451"/>
    <mergeCell ref="I452:J452"/>
    <mergeCell ref="H453:J453"/>
    <mergeCell ref="H454:J454"/>
    <mergeCell ref="H455:J455"/>
    <mergeCell ref="C457:L457"/>
    <mergeCell ref="I462:J462"/>
    <mergeCell ref="I411:J411"/>
    <mergeCell ref="H412:J412"/>
    <mergeCell ref="H413:J413"/>
    <mergeCell ref="H414:J414"/>
    <mergeCell ref="B416:L416"/>
    <mergeCell ref="I421:J421"/>
    <mergeCell ref="I422:J422"/>
    <mergeCell ref="H423:J423"/>
    <mergeCell ref="H424:J424"/>
    <mergeCell ref="H392:J392"/>
    <mergeCell ref="B394:L394"/>
    <mergeCell ref="I399:J399"/>
    <mergeCell ref="I400:J400"/>
    <mergeCell ref="H401:J401"/>
    <mergeCell ref="H402:J402"/>
    <mergeCell ref="H403:J403"/>
    <mergeCell ref="B405:L405"/>
    <mergeCell ref="I410:J410"/>
    <mergeCell ref="I378:J378"/>
    <mergeCell ref="H379:J379"/>
    <mergeCell ref="H380:J380"/>
    <mergeCell ref="H381:J381"/>
    <mergeCell ref="B383:L383"/>
    <mergeCell ref="I388:J388"/>
    <mergeCell ref="I389:J389"/>
    <mergeCell ref="H390:J390"/>
    <mergeCell ref="H391:J391"/>
    <mergeCell ref="H358:J358"/>
    <mergeCell ref="B360:L360"/>
    <mergeCell ref="I366:J366"/>
    <mergeCell ref="I367:J367"/>
    <mergeCell ref="H368:J368"/>
    <mergeCell ref="H369:J369"/>
    <mergeCell ref="H370:J370"/>
    <mergeCell ref="B372:L372"/>
    <mergeCell ref="I377:J377"/>
    <mergeCell ref="I303:J303"/>
    <mergeCell ref="H304:J304"/>
    <mergeCell ref="H305:J305"/>
    <mergeCell ref="H306:J306"/>
    <mergeCell ref="B308:L308"/>
    <mergeCell ref="I354:J354"/>
    <mergeCell ref="I355:J355"/>
    <mergeCell ref="H356:J356"/>
    <mergeCell ref="H357:J357"/>
    <mergeCell ref="H283:J283"/>
    <mergeCell ref="B285:L285"/>
    <mergeCell ref="I290:J290"/>
    <mergeCell ref="I291:J291"/>
    <mergeCell ref="H292:J292"/>
    <mergeCell ref="H293:J293"/>
    <mergeCell ref="H294:J294"/>
    <mergeCell ref="B296:L296"/>
    <mergeCell ref="I302:J302"/>
    <mergeCell ref="I269:J269"/>
    <mergeCell ref="H270:J270"/>
    <mergeCell ref="H271:J271"/>
    <mergeCell ref="H272:J272"/>
    <mergeCell ref="B274:L274"/>
    <mergeCell ref="I279:J279"/>
    <mergeCell ref="I280:J280"/>
    <mergeCell ref="H281:J281"/>
    <mergeCell ref="H282:J282"/>
    <mergeCell ref="H250:J250"/>
    <mergeCell ref="B252:L252"/>
    <mergeCell ref="I257:J257"/>
    <mergeCell ref="I258:J258"/>
    <mergeCell ref="H259:J259"/>
    <mergeCell ref="H260:J260"/>
    <mergeCell ref="H261:J261"/>
    <mergeCell ref="B263:L263"/>
    <mergeCell ref="I268:J268"/>
    <mergeCell ref="I236:J236"/>
    <mergeCell ref="H237:J237"/>
    <mergeCell ref="H238:J238"/>
    <mergeCell ref="H239:J239"/>
    <mergeCell ref="B241:L241"/>
    <mergeCell ref="I246:J246"/>
    <mergeCell ref="I247:J247"/>
    <mergeCell ref="H248:J248"/>
    <mergeCell ref="H249:J249"/>
    <mergeCell ref="H176:J176"/>
    <mergeCell ref="B178:L178"/>
    <mergeCell ref="I224:J224"/>
    <mergeCell ref="I225:J225"/>
    <mergeCell ref="H226:J226"/>
    <mergeCell ref="H227:J227"/>
    <mergeCell ref="H228:J228"/>
    <mergeCell ref="B230:L230"/>
    <mergeCell ref="I235:J235"/>
    <mergeCell ref="I162:J162"/>
    <mergeCell ref="H163:J163"/>
    <mergeCell ref="H164:J164"/>
    <mergeCell ref="H165:J165"/>
    <mergeCell ref="B167:L167"/>
    <mergeCell ref="I172:J172"/>
    <mergeCell ref="I173:J173"/>
    <mergeCell ref="H174:J174"/>
    <mergeCell ref="H175:J175"/>
    <mergeCell ref="H144:J144"/>
    <mergeCell ref="B146:L146"/>
    <mergeCell ref="I150:J150"/>
    <mergeCell ref="I151:J151"/>
    <mergeCell ref="H152:J152"/>
    <mergeCell ref="H153:J153"/>
    <mergeCell ref="H154:J154"/>
    <mergeCell ref="B156:L156"/>
    <mergeCell ref="I161:J161"/>
    <mergeCell ref="I131:J131"/>
    <mergeCell ref="H132:J132"/>
    <mergeCell ref="H133:J133"/>
    <mergeCell ref="H134:J134"/>
    <mergeCell ref="B136:L136"/>
    <mergeCell ref="I140:J140"/>
    <mergeCell ref="I141:J141"/>
    <mergeCell ref="H142:J142"/>
    <mergeCell ref="H143:J143"/>
    <mergeCell ref="H112:J112"/>
    <mergeCell ref="B114:L114"/>
    <mergeCell ref="I119:J119"/>
    <mergeCell ref="I120:J120"/>
    <mergeCell ref="H121:J121"/>
    <mergeCell ref="H122:J122"/>
    <mergeCell ref="H123:J123"/>
    <mergeCell ref="B125:L125"/>
    <mergeCell ref="I130:J130"/>
    <mergeCell ref="I98:J98"/>
    <mergeCell ref="H99:J99"/>
    <mergeCell ref="H100:J100"/>
    <mergeCell ref="H101:J101"/>
    <mergeCell ref="B103:L103"/>
    <mergeCell ref="I108:J108"/>
    <mergeCell ref="I109:J109"/>
    <mergeCell ref="H110:J110"/>
    <mergeCell ref="H111:J111"/>
    <mergeCell ref="H80:J80"/>
    <mergeCell ref="B82:L82"/>
    <mergeCell ref="I86:J86"/>
    <mergeCell ref="I87:J87"/>
    <mergeCell ref="H88:J88"/>
    <mergeCell ref="H89:J89"/>
    <mergeCell ref="H90:J90"/>
    <mergeCell ref="B92:L92"/>
    <mergeCell ref="I97:J97"/>
    <mergeCell ref="I67:J67"/>
    <mergeCell ref="H68:J68"/>
    <mergeCell ref="H69:J69"/>
    <mergeCell ref="H70:J70"/>
    <mergeCell ref="B72:L72"/>
    <mergeCell ref="I76:J76"/>
    <mergeCell ref="I77:J77"/>
    <mergeCell ref="H78:J78"/>
    <mergeCell ref="H79:J79"/>
    <mergeCell ref="H50:J50"/>
    <mergeCell ref="B52:L52"/>
    <mergeCell ref="I56:J56"/>
    <mergeCell ref="I57:J57"/>
    <mergeCell ref="H58:J58"/>
    <mergeCell ref="H59:J59"/>
    <mergeCell ref="H60:J60"/>
    <mergeCell ref="B62:L62"/>
    <mergeCell ref="I66:J66"/>
    <mergeCell ref="I37:J37"/>
    <mergeCell ref="H38:J38"/>
    <mergeCell ref="H39:J39"/>
    <mergeCell ref="H40:J40"/>
    <mergeCell ref="B42:L42"/>
    <mergeCell ref="I46:J46"/>
    <mergeCell ref="I47:J47"/>
    <mergeCell ref="H48:J48"/>
    <mergeCell ref="H49:J49"/>
    <mergeCell ref="H18:J18"/>
    <mergeCell ref="B20:L20"/>
    <mergeCell ref="I26:J26"/>
    <mergeCell ref="I27:J27"/>
    <mergeCell ref="H28:J28"/>
    <mergeCell ref="H29:J29"/>
    <mergeCell ref="H30:J30"/>
    <mergeCell ref="B32:L32"/>
    <mergeCell ref="I36:J36"/>
    <mergeCell ref="B2:L2"/>
    <mergeCell ref="B3:L3"/>
    <mergeCell ref="B4:L4"/>
    <mergeCell ref="B6:L6"/>
    <mergeCell ref="B8:L8"/>
    <mergeCell ref="I14:J14"/>
    <mergeCell ref="I15:J15"/>
    <mergeCell ref="H16:J16"/>
    <mergeCell ref="H17:J17"/>
  </mergeCells>
  <printOptions horizontalCentered="1"/>
  <pageMargins left="0.51180555555555596" right="0.51180555555555596" top="0.78749999999999998" bottom="0.98402777777777795" header="0.511811023622047" footer="0.511811023622047"/>
  <pageSetup paperSize="9" scale="56" fitToHeight="1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49"/>
  <sheetViews>
    <sheetView view="pageBreakPreview" topLeftCell="C609" zoomScale="75" zoomScaleNormal="70" zoomScalePageLayoutView="75" workbookViewId="0">
      <selection activeCell="J27" sqref="J27"/>
    </sheetView>
  </sheetViews>
  <sheetFormatPr defaultColWidth="9.109375" defaultRowHeight="14.4"/>
  <cols>
    <col min="1" max="1" width="3.6640625" style="2" hidden="1" customWidth="1"/>
    <col min="2" max="2" width="11.33203125" style="2" customWidth="1"/>
    <col min="3" max="3" width="40.33203125" style="2" customWidth="1"/>
    <col min="4" max="4" width="5.88671875" style="3" customWidth="1"/>
    <col min="5" max="5" width="15.33203125" style="4" customWidth="1"/>
    <col min="6" max="6" width="15.109375" style="4" customWidth="1"/>
    <col min="7" max="7" width="17" style="4" customWidth="1"/>
    <col min="8" max="8" width="4.44140625" style="4" hidden="1" customWidth="1"/>
    <col min="9" max="9" width="13" style="4" customWidth="1"/>
    <col min="10" max="10" width="14.33203125" style="5" customWidth="1"/>
    <col min="11" max="11" width="17" style="5" hidden="1" customWidth="1"/>
    <col min="12" max="12" width="15.88671875" style="5" customWidth="1"/>
    <col min="13" max="13" width="25.33203125" style="5" hidden="1" customWidth="1"/>
    <col min="14" max="15" width="23.5546875" style="5" customWidth="1"/>
    <col min="16" max="16" width="23.5546875" style="6" hidden="1" customWidth="1"/>
    <col min="17" max="17" width="23.5546875" style="6" customWidth="1"/>
    <col min="18" max="18" width="23.5546875" style="5" customWidth="1"/>
    <col min="19" max="19" width="3" style="2" customWidth="1"/>
    <col min="20" max="20" width="23.33203125" style="2" customWidth="1"/>
    <col min="21" max="21" width="22.6640625" style="2" customWidth="1"/>
    <col min="22" max="22" width="21.44140625" style="2" customWidth="1"/>
    <col min="23" max="23" width="17.109375" style="2" customWidth="1"/>
    <col min="24" max="16384" width="9.109375" style="2"/>
  </cols>
  <sheetData>
    <row r="1" spans="2:23" ht="6" customHeight="1"/>
    <row r="2" spans="2:23" ht="29.25" customHeight="1">
      <c r="B2" s="491"/>
      <c r="C2" s="491"/>
      <c r="D2" s="491"/>
      <c r="E2" s="491"/>
      <c r="F2" s="491"/>
      <c r="G2" s="491"/>
      <c r="H2" s="491"/>
      <c r="I2" s="491"/>
      <c r="J2" s="491"/>
      <c r="K2" s="491"/>
      <c r="L2" s="491"/>
      <c r="M2" s="491"/>
      <c r="N2" s="491"/>
      <c r="O2" s="491"/>
      <c r="P2" s="491"/>
      <c r="Q2" s="491"/>
      <c r="R2" s="491"/>
      <c r="S2" s="7"/>
    </row>
    <row r="3" spans="2:23" ht="29.25" customHeight="1">
      <c r="B3" s="492" t="s">
        <v>0</v>
      </c>
      <c r="C3" s="492"/>
      <c r="D3" s="492"/>
      <c r="E3" s="492"/>
      <c r="F3" s="492"/>
      <c r="G3" s="492"/>
      <c r="H3" s="492"/>
      <c r="I3" s="492"/>
      <c r="J3" s="492"/>
      <c r="K3" s="492"/>
      <c r="L3" s="492"/>
      <c r="M3" s="492"/>
      <c r="N3" s="492"/>
      <c r="O3" s="492"/>
      <c r="P3" s="492"/>
      <c r="Q3" s="492"/>
      <c r="R3" s="492"/>
      <c r="S3" s="7"/>
      <c r="W3" s="8"/>
    </row>
    <row r="4" spans="2:23" ht="29.25" customHeight="1">
      <c r="B4" s="493"/>
      <c r="C4" s="493"/>
      <c r="D4" s="493"/>
      <c r="E4" s="493"/>
      <c r="F4" s="493"/>
      <c r="G4" s="493"/>
      <c r="H4" s="493"/>
      <c r="I4" s="493"/>
      <c r="J4" s="493"/>
      <c r="K4" s="493"/>
      <c r="L4" s="493"/>
      <c r="M4" s="493"/>
      <c r="N4" s="493"/>
      <c r="O4" s="493"/>
      <c r="P4" s="493"/>
      <c r="Q4" s="493"/>
      <c r="R4" s="493"/>
      <c r="S4" s="9"/>
      <c r="T4" s="2">
        <v>12630000</v>
      </c>
    </row>
    <row r="5" spans="2:23" ht="8.25" customHeight="1">
      <c r="B5" s="494"/>
      <c r="C5" s="494"/>
      <c r="D5" s="494"/>
      <c r="E5" s="494"/>
      <c r="F5" s="494"/>
      <c r="G5" s="494"/>
      <c r="H5" s="494"/>
      <c r="I5" s="494"/>
      <c r="J5" s="494"/>
      <c r="K5" s="494"/>
      <c r="L5" s="494"/>
      <c r="M5" s="494"/>
      <c r="N5" s="494"/>
      <c r="O5" s="494"/>
      <c r="P5" s="494"/>
      <c r="Q5" s="494"/>
      <c r="R5" s="494"/>
      <c r="S5" s="9"/>
    </row>
    <row r="6" spans="2:23" ht="38.25" customHeight="1">
      <c r="B6" s="495" t="s">
        <v>1427</v>
      </c>
      <c r="C6" s="495"/>
      <c r="D6" s="495"/>
      <c r="E6" s="495"/>
      <c r="F6" s="495"/>
      <c r="G6" s="495"/>
      <c r="H6" s="495"/>
      <c r="I6" s="495"/>
      <c r="J6" s="495"/>
      <c r="K6" s="495"/>
      <c r="L6" s="495"/>
      <c r="M6" s="495"/>
      <c r="N6" s="495"/>
      <c r="O6" s="495"/>
      <c r="P6" s="495"/>
      <c r="Q6" s="495"/>
      <c r="R6" s="495"/>
      <c r="S6" s="7"/>
    </row>
    <row r="7" spans="2:23" ht="8.25" customHeight="1">
      <c r="B7" s="496"/>
      <c r="C7" s="496"/>
      <c r="D7" s="496"/>
      <c r="E7" s="496"/>
      <c r="F7" s="496"/>
      <c r="G7" s="496"/>
      <c r="H7" s="496"/>
      <c r="I7" s="496"/>
      <c r="J7" s="496"/>
      <c r="K7" s="496"/>
      <c r="L7" s="496"/>
      <c r="M7" s="496"/>
      <c r="N7" s="496"/>
      <c r="O7" s="496"/>
      <c r="P7" s="496"/>
      <c r="Q7" s="496"/>
      <c r="R7" s="496"/>
      <c r="S7" s="7"/>
    </row>
    <row r="8" spans="2:23" ht="25.5" customHeight="1">
      <c r="B8" s="497" t="s">
        <v>2</v>
      </c>
      <c r="C8" s="497"/>
      <c r="D8" s="497"/>
      <c r="E8" s="497"/>
      <c r="F8" s="497"/>
      <c r="G8" s="497"/>
      <c r="H8" s="497"/>
      <c r="I8" s="497"/>
      <c r="J8" s="497"/>
      <c r="K8" s="497"/>
      <c r="L8" s="497"/>
      <c r="M8" s="497"/>
      <c r="N8" s="497"/>
      <c r="O8" s="497"/>
      <c r="P8" s="497"/>
      <c r="Q8" s="497"/>
      <c r="R8" s="497"/>
      <c r="S8" s="7"/>
      <c r="T8" s="2">
        <f>480/30</f>
        <v>16</v>
      </c>
    </row>
    <row r="9" spans="2:23" s="10" customFormat="1" ht="31.5" customHeight="1">
      <c r="B9" s="498" t="s">
        <v>3</v>
      </c>
      <c r="C9" s="498"/>
      <c r="D9" s="499" t="s">
        <v>4</v>
      </c>
      <c r="E9" s="499"/>
      <c r="F9" s="499"/>
      <c r="G9" s="499"/>
      <c r="H9" s="499"/>
      <c r="I9" s="499"/>
      <c r="J9" s="499"/>
      <c r="K9" s="499"/>
      <c r="L9" s="499"/>
      <c r="M9" s="499"/>
      <c r="N9" s="499"/>
      <c r="O9" s="499"/>
      <c r="P9" s="499"/>
      <c r="Q9" s="499"/>
      <c r="R9" s="499"/>
      <c r="S9" s="11"/>
    </row>
    <row r="10" spans="2:23" s="10" customFormat="1" ht="31.5" customHeight="1">
      <c r="B10" s="498" t="s">
        <v>5</v>
      </c>
      <c r="C10" s="498"/>
      <c r="D10" s="500" t="s">
        <v>6</v>
      </c>
      <c r="E10" s="500"/>
      <c r="F10" s="500"/>
      <c r="G10" s="500"/>
      <c r="H10" s="500"/>
      <c r="I10" s="500"/>
      <c r="J10" s="500"/>
      <c r="K10" s="12"/>
      <c r="L10" s="501" t="s">
        <v>7</v>
      </c>
      <c r="M10" s="501"/>
      <c r="N10" s="501"/>
      <c r="O10" s="501"/>
      <c r="P10" s="502">
        <v>45383</v>
      </c>
      <c r="Q10" s="502"/>
      <c r="R10" s="502"/>
      <c r="S10" s="11"/>
    </row>
    <row r="11" spans="2:23" s="10" customFormat="1" ht="31.5" customHeight="1">
      <c r="B11" s="498" t="s">
        <v>8</v>
      </c>
      <c r="C11" s="498"/>
      <c r="D11" s="503" t="s">
        <v>9</v>
      </c>
      <c r="E11" s="503"/>
      <c r="F11" s="503"/>
      <c r="G11" s="503"/>
      <c r="H11" s="503"/>
      <c r="I11" s="503"/>
      <c r="J11" s="503"/>
      <c r="K11" s="12"/>
      <c r="L11" s="501" t="s">
        <v>10</v>
      </c>
      <c r="M11" s="501"/>
      <c r="N11" s="501"/>
      <c r="O11" s="501"/>
      <c r="P11" s="502">
        <f>P10+600</f>
        <v>45983</v>
      </c>
      <c r="Q11" s="502"/>
      <c r="R11" s="502"/>
      <c r="S11" s="11"/>
    </row>
    <row r="12" spans="2:23" s="10" customFormat="1" ht="36.75" customHeight="1">
      <c r="B12" s="504" t="s">
        <v>11</v>
      </c>
      <c r="C12" s="504"/>
      <c r="D12" s="505" t="s">
        <v>12</v>
      </c>
      <c r="E12" s="505"/>
      <c r="F12" s="505"/>
      <c r="G12" s="505"/>
      <c r="H12" s="13"/>
      <c r="I12" s="506"/>
      <c r="J12" s="506"/>
      <c r="K12" s="14"/>
      <c r="L12" s="507"/>
      <c r="M12" s="507"/>
      <c r="N12" s="507"/>
      <c r="O12" s="1" t="s">
        <v>13</v>
      </c>
      <c r="P12" s="502">
        <v>45383</v>
      </c>
      <c r="Q12" s="502"/>
      <c r="R12" s="502"/>
      <c r="S12" s="11"/>
      <c r="T12" s="15"/>
    </row>
    <row r="13" spans="2:23" s="10" customFormat="1" ht="31.5" customHeight="1">
      <c r="B13" s="508" t="s">
        <v>14</v>
      </c>
      <c r="C13" s="508"/>
      <c r="D13" s="509">
        <f>Q592</f>
        <v>26279999.999999993</v>
      </c>
      <c r="E13" s="509"/>
      <c r="F13" s="509"/>
      <c r="G13" s="509"/>
      <c r="H13" s="509"/>
      <c r="I13" s="509"/>
      <c r="J13" s="509"/>
      <c r="K13" s="16"/>
      <c r="L13" s="510" t="s">
        <v>15</v>
      </c>
      <c r="M13" s="510"/>
      <c r="N13" s="510"/>
      <c r="O13" s="510"/>
      <c r="P13" s="511" t="s">
        <v>16</v>
      </c>
      <c r="Q13" s="511"/>
      <c r="R13" s="511"/>
      <c r="S13" s="11"/>
    </row>
    <row r="14" spans="2:23" s="10" customFormat="1" ht="31.5" customHeight="1">
      <c r="B14" s="512" t="s">
        <v>17</v>
      </c>
      <c r="C14" s="512"/>
      <c r="D14" s="513"/>
      <c r="E14" s="513"/>
      <c r="F14" s="513"/>
      <c r="G14" s="513"/>
      <c r="H14" s="18"/>
      <c r="I14" s="514" t="s">
        <v>18</v>
      </c>
      <c r="J14" s="514"/>
      <c r="K14" s="17"/>
      <c r="L14" s="515"/>
      <c r="M14" s="515"/>
      <c r="N14" s="515"/>
      <c r="O14" s="19" t="s">
        <v>19</v>
      </c>
      <c r="P14" s="516"/>
      <c r="Q14" s="516"/>
      <c r="R14" s="516"/>
      <c r="S14" s="11"/>
      <c r="T14" s="15"/>
    </row>
    <row r="15" spans="2:23" s="10" customFormat="1" ht="31.5" customHeight="1">
      <c r="B15" s="517" t="s">
        <v>20</v>
      </c>
      <c r="C15" s="517"/>
      <c r="D15" s="518" t="s">
        <v>21</v>
      </c>
      <c r="E15" s="518"/>
      <c r="F15" s="518"/>
      <c r="G15" s="518"/>
      <c r="H15" s="20"/>
      <c r="I15" s="518" t="s">
        <v>18</v>
      </c>
      <c r="J15" s="518"/>
      <c r="K15" s="21"/>
      <c r="L15" s="519" t="s">
        <v>22</v>
      </c>
      <c r="M15" s="519"/>
      <c r="N15" s="519"/>
      <c r="O15" s="22" t="s">
        <v>19</v>
      </c>
      <c r="P15" s="520" t="s">
        <v>23</v>
      </c>
      <c r="Q15" s="520"/>
      <c r="R15" s="520"/>
      <c r="S15" s="11"/>
      <c r="T15" s="23">
        <f>D13</f>
        <v>26279999.999999993</v>
      </c>
      <c r="U15" s="24"/>
    </row>
    <row r="16" spans="2:23" s="10" customFormat="1" ht="6" customHeight="1">
      <c r="B16" s="521"/>
      <c r="C16" s="521"/>
      <c r="D16" s="521"/>
      <c r="E16" s="521"/>
      <c r="F16" s="521"/>
      <c r="G16" s="521"/>
      <c r="H16" s="521"/>
      <c r="I16" s="521"/>
      <c r="J16" s="521"/>
      <c r="K16" s="521"/>
      <c r="L16" s="521"/>
      <c r="M16" s="521"/>
      <c r="N16" s="521"/>
      <c r="O16" s="521"/>
      <c r="P16" s="521"/>
      <c r="Q16" s="521"/>
      <c r="R16" s="521"/>
      <c r="S16" s="11"/>
      <c r="T16" s="23"/>
      <c r="U16" s="25"/>
    </row>
    <row r="17" spans="1:23" s="10" customFormat="1" ht="27.75" customHeight="1">
      <c r="B17" s="497" t="s">
        <v>24</v>
      </c>
      <c r="C17" s="497"/>
      <c r="D17" s="497"/>
      <c r="E17" s="497"/>
      <c r="F17" s="497"/>
      <c r="G17" s="497"/>
      <c r="H17" s="497"/>
      <c r="I17" s="497"/>
      <c r="J17" s="497"/>
      <c r="K17" s="497"/>
      <c r="L17" s="497"/>
      <c r="M17" s="497"/>
      <c r="N17" s="497"/>
      <c r="O17" s="497"/>
      <c r="P17" s="497"/>
      <c r="Q17" s="497"/>
      <c r="R17" s="497"/>
      <c r="S17" s="11"/>
      <c r="T17" s="26"/>
      <c r="U17" s="27"/>
      <c r="W17" s="28"/>
    </row>
    <row r="18" spans="1:23" ht="43.5" customHeight="1">
      <c r="A18" s="10"/>
      <c r="B18" s="522" t="s">
        <v>25</v>
      </c>
      <c r="C18" s="522"/>
      <c r="D18" s="523" t="s">
        <v>4</v>
      </c>
      <c r="E18" s="523"/>
      <c r="F18" s="523"/>
      <c r="G18" s="523"/>
      <c r="H18" s="523"/>
      <c r="I18" s="523"/>
      <c r="J18" s="523"/>
      <c r="K18" s="29"/>
      <c r="L18" s="501" t="s">
        <v>26</v>
      </c>
      <c r="M18" s="501"/>
      <c r="N18" s="501"/>
      <c r="O18" s="501"/>
      <c r="P18" s="524">
        <f>N592</f>
        <v>875219.04</v>
      </c>
      <c r="Q18" s="524"/>
      <c r="R18" s="524"/>
      <c r="S18" s="30"/>
      <c r="T18" s="23">
        <f>T15-Q33-Q32</f>
        <v>23966799.799999993</v>
      </c>
      <c r="U18" s="31"/>
      <c r="V18" s="10"/>
      <c r="W18" s="28"/>
    </row>
    <row r="19" spans="1:23" ht="31.5" customHeight="1">
      <c r="A19" s="10"/>
      <c r="B19" s="522" t="s">
        <v>27</v>
      </c>
      <c r="C19" s="522"/>
      <c r="D19" s="525" t="s">
        <v>1428</v>
      </c>
      <c r="E19" s="525"/>
      <c r="F19" s="525"/>
      <c r="G19" s="525"/>
      <c r="H19" s="525"/>
      <c r="I19" s="525"/>
      <c r="J19" s="525"/>
      <c r="K19" s="29"/>
      <c r="L19" s="501" t="s">
        <v>29</v>
      </c>
      <c r="M19" s="501"/>
      <c r="N19" s="501"/>
      <c r="O19" s="501"/>
      <c r="P19" s="524">
        <f>P18-P20</f>
        <v>0</v>
      </c>
      <c r="Q19" s="524"/>
      <c r="R19" s="524"/>
      <c r="S19" s="30"/>
      <c r="T19" s="23">
        <f>P21-O33-O32</f>
        <v>3308728.39</v>
      </c>
      <c r="U19" s="10"/>
      <c r="V19" s="10"/>
      <c r="W19" s="10"/>
    </row>
    <row r="20" spans="1:23" s="34" customFormat="1" ht="31.5" customHeight="1">
      <c r="A20" s="10"/>
      <c r="B20" s="526" t="s">
        <v>30</v>
      </c>
      <c r="C20" s="526"/>
      <c r="D20" s="523" t="s">
        <v>1429</v>
      </c>
      <c r="E20" s="523"/>
      <c r="F20" s="523"/>
      <c r="G20" s="523"/>
      <c r="H20" s="523"/>
      <c r="I20" s="523"/>
      <c r="J20" s="523"/>
      <c r="K20" s="29"/>
      <c r="L20" s="501" t="s">
        <v>32</v>
      </c>
      <c r="M20" s="501"/>
      <c r="N20" s="501"/>
      <c r="O20" s="501"/>
      <c r="P20" s="524">
        <f>N592</f>
        <v>875219.04</v>
      </c>
      <c r="Q20" s="524"/>
      <c r="R20" s="524"/>
      <c r="S20" s="30"/>
      <c r="T20" s="32">
        <f>T19/T18</f>
        <v>0.13805465967967909</v>
      </c>
      <c r="U20" s="24">
        <v>739429.5</v>
      </c>
      <c r="V20" s="10"/>
      <c r="W20" s="33"/>
    </row>
    <row r="21" spans="1:23" s="34" customFormat="1" ht="31.5" customHeight="1">
      <c r="A21" s="10"/>
      <c r="B21" s="526" t="s">
        <v>33</v>
      </c>
      <c r="C21" s="526"/>
      <c r="D21" s="527">
        <v>45533</v>
      </c>
      <c r="E21" s="527"/>
      <c r="F21" s="527"/>
      <c r="G21" s="527"/>
      <c r="H21" s="527"/>
      <c r="I21" s="527"/>
      <c r="J21" s="527"/>
      <c r="K21" s="35"/>
      <c r="L21" s="501" t="s">
        <v>34</v>
      </c>
      <c r="M21" s="501"/>
      <c r="N21" s="501"/>
      <c r="O21" s="501"/>
      <c r="P21" s="524">
        <f>P20+'BM 004'!P21:R21</f>
        <v>3628181.3</v>
      </c>
      <c r="Q21" s="524"/>
      <c r="R21" s="524"/>
      <c r="S21" s="36"/>
      <c r="T21" s="32">
        <f>T20-I33</f>
        <v>-4.5340320320913508E-5</v>
      </c>
      <c r="U21" s="32"/>
      <c r="V21" s="10"/>
      <c r="W21" s="10"/>
    </row>
    <row r="22" spans="1:23" s="34" customFormat="1" ht="31.5" customHeight="1">
      <c r="A22" s="10"/>
      <c r="B22" s="526" t="s">
        <v>35</v>
      </c>
      <c r="C22" s="526"/>
      <c r="D22" s="527">
        <v>45534</v>
      </c>
      <c r="E22" s="527"/>
      <c r="F22" s="527"/>
      <c r="G22" s="527"/>
      <c r="H22" s="527"/>
      <c r="I22" s="527"/>
      <c r="J22" s="527"/>
      <c r="K22" s="35"/>
      <c r="L22" s="501" t="s">
        <v>36</v>
      </c>
      <c r="M22" s="501"/>
      <c r="N22" s="501"/>
      <c r="O22" s="501"/>
      <c r="P22" s="524">
        <f>R592</f>
        <v>22651818.699999996</v>
      </c>
      <c r="Q22" s="524"/>
      <c r="R22" s="524"/>
      <c r="S22" s="36"/>
      <c r="T22" s="31"/>
      <c r="U22" s="37"/>
      <c r="V22" s="10"/>
      <c r="W22" s="10"/>
    </row>
    <row r="23" spans="1:23" s="34" customFormat="1" ht="5.25" customHeight="1">
      <c r="A23" s="10"/>
      <c r="B23" s="528"/>
      <c r="C23" s="528"/>
      <c r="D23" s="528"/>
      <c r="E23" s="528"/>
      <c r="F23" s="528"/>
      <c r="G23" s="528"/>
      <c r="H23" s="528"/>
      <c r="I23" s="528"/>
      <c r="J23" s="528"/>
      <c r="K23" s="528"/>
      <c r="L23" s="528"/>
      <c r="M23" s="528"/>
      <c r="N23" s="528"/>
      <c r="O23" s="528"/>
      <c r="P23" s="528"/>
      <c r="Q23" s="528"/>
      <c r="R23" s="528"/>
      <c r="S23" s="10"/>
      <c r="T23" s="10"/>
      <c r="U23" s="10"/>
      <c r="V23" s="10"/>
      <c r="W23" s="10"/>
    </row>
    <row r="24" spans="1:23" s="34" customFormat="1" ht="2.25" customHeight="1">
      <c r="A24" s="2"/>
      <c r="B24" s="38"/>
      <c r="C24" s="39"/>
      <c r="D24" s="40"/>
      <c r="E24" s="41"/>
      <c r="F24" s="42"/>
      <c r="G24" s="43"/>
      <c r="H24" s="43"/>
      <c r="I24" s="43"/>
      <c r="J24" s="39"/>
      <c r="K24" s="39"/>
      <c r="L24" s="39"/>
      <c r="M24" s="39"/>
      <c r="N24" s="39"/>
      <c r="O24" s="39"/>
      <c r="P24" s="44"/>
      <c r="Q24" s="44"/>
      <c r="R24" s="45"/>
      <c r="S24" s="2"/>
      <c r="T24" s="2"/>
      <c r="U24" s="2"/>
      <c r="V24" s="2"/>
      <c r="W24" s="2"/>
    </row>
    <row r="25" spans="1:23" s="34" customFormat="1" ht="18" customHeight="1">
      <c r="A25" s="2"/>
      <c r="B25" s="529" t="s">
        <v>37</v>
      </c>
      <c r="C25" s="530" t="s">
        <v>38</v>
      </c>
      <c r="D25" s="530" t="s">
        <v>39</v>
      </c>
      <c r="E25" s="531" t="s">
        <v>40</v>
      </c>
      <c r="F25" s="531"/>
      <c r="G25" s="531"/>
      <c r="H25" s="531"/>
      <c r="I25" s="531"/>
      <c r="J25" s="531"/>
      <c r="K25" s="48" t="s">
        <v>41</v>
      </c>
      <c r="L25" s="48" t="s">
        <v>42</v>
      </c>
      <c r="M25" s="48"/>
      <c r="N25" s="532" t="s">
        <v>43</v>
      </c>
      <c r="O25" s="532"/>
      <c r="P25" s="532"/>
      <c r="Q25" s="532"/>
      <c r="R25" s="532"/>
      <c r="S25" s="2"/>
      <c r="T25" s="49" t="s">
        <v>44</v>
      </c>
      <c r="U25" s="50">
        <v>20732092.140000001</v>
      </c>
      <c r="V25" s="51">
        <v>0.26760000016091001</v>
      </c>
      <c r="W25" s="2"/>
    </row>
    <row r="26" spans="1:23" s="34" customFormat="1" ht="43.5" customHeight="1">
      <c r="A26" s="2"/>
      <c r="B26" s="529"/>
      <c r="C26" s="530"/>
      <c r="D26" s="530"/>
      <c r="E26" s="52" t="s">
        <v>45</v>
      </c>
      <c r="F26" s="53" t="s">
        <v>46</v>
      </c>
      <c r="G26" s="53" t="s">
        <v>47</v>
      </c>
      <c r="H26" s="54"/>
      <c r="I26" s="55" t="s">
        <v>48</v>
      </c>
      <c r="J26" s="55" t="s">
        <v>49</v>
      </c>
      <c r="K26" s="56" t="s">
        <v>50</v>
      </c>
      <c r="L26" s="47" t="s">
        <v>50</v>
      </c>
      <c r="M26" s="48" t="s">
        <v>51</v>
      </c>
      <c r="N26" s="57" t="s">
        <v>52</v>
      </c>
      <c r="O26" s="57" t="s">
        <v>53</v>
      </c>
      <c r="P26" s="57" t="s">
        <v>54</v>
      </c>
      <c r="Q26" s="57" t="s">
        <v>55</v>
      </c>
      <c r="R26" s="58" t="s">
        <v>56</v>
      </c>
      <c r="S26" s="2"/>
      <c r="T26" s="59">
        <v>0.26760011</v>
      </c>
      <c r="U26" s="50">
        <v>5547907.8600000003</v>
      </c>
      <c r="V26" s="50">
        <v>26280000</v>
      </c>
      <c r="W26" s="2"/>
    </row>
    <row r="27" spans="1:23" s="34" customFormat="1" ht="13.2">
      <c r="B27" s="60" t="s">
        <v>57</v>
      </c>
      <c r="C27" s="61" t="s">
        <v>58</v>
      </c>
      <c r="D27" s="60"/>
      <c r="E27" s="62"/>
      <c r="F27" s="63"/>
      <c r="G27" s="63"/>
      <c r="H27" s="63"/>
      <c r="I27" s="63"/>
      <c r="J27" s="63"/>
      <c r="K27" s="63"/>
      <c r="L27" s="64"/>
      <c r="M27" s="63">
        <f t="shared" ref="M27:R27" si="0">M28+M30+M35+M43</f>
        <v>101572.82</v>
      </c>
      <c r="N27" s="63">
        <f t="shared" si="0"/>
        <v>101572.82</v>
      </c>
      <c r="O27" s="63">
        <f t="shared" si="0"/>
        <v>820670.47</v>
      </c>
      <c r="P27" s="63">
        <f t="shared" si="0"/>
        <v>2403883</v>
      </c>
      <c r="Q27" s="63">
        <f t="shared" si="0"/>
        <v>3047162.2499999991</v>
      </c>
      <c r="R27" s="63">
        <f t="shared" si="0"/>
        <v>2226491.7799999998</v>
      </c>
      <c r="U27" s="65"/>
    </row>
    <row r="28" spans="1:23" s="34" customFormat="1" ht="13.2">
      <c r="B28" s="66" t="s">
        <v>59</v>
      </c>
      <c r="C28" s="67" t="s">
        <v>60</v>
      </c>
      <c r="D28" s="68"/>
      <c r="E28" s="69"/>
      <c r="F28" s="70"/>
      <c r="G28" s="70"/>
      <c r="H28" s="70"/>
      <c r="I28" s="70"/>
      <c r="J28" s="70"/>
      <c r="K28" s="71"/>
      <c r="L28" s="72"/>
      <c r="M28" s="73">
        <f t="shared" ref="M28:R28" si="1">SUM(M29)</f>
        <v>0</v>
      </c>
      <c r="N28" s="73">
        <f t="shared" si="1"/>
        <v>0</v>
      </c>
      <c r="O28" s="73">
        <f t="shared" si="1"/>
        <v>41273.050000000003</v>
      </c>
      <c r="P28" s="73">
        <f t="shared" si="1"/>
        <v>32560</v>
      </c>
      <c r="Q28" s="73">
        <f t="shared" si="1"/>
        <v>41273.050000000003</v>
      </c>
      <c r="R28" s="73">
        <f t="shared" si="1"/>
        <v>0</v>
      </c>
      <c r="T28" s="74"/>
    </row>
    <row r="29" spans="1:23" s="34" customFormat="1" ht="13.2">
      <c r="B29" s="75" t="s">
        <v>61</v>
      </c>
      <c r="C29" s="76" t="s">
        <v>62</v>
      </c>
      <c r="D29" s="77" t="s">
        <v>63</v>
      </c>
      <c r="E29" s="78">
        <v>1</v>
      </c>
      <c r="F29" s="79"/>
      <c r="G29" s="79"/>
      <c r="H29" s="79"/>
      <c r="I29" s="79">
        <f>SUM(G29:H29)+'BM 004'!I29</f>
        <v>1</v>
      </c>
      <c r="J29" s="79">
        <f>E29-I29</f>
        <v>0</v>
      </c>
      <c r="K29" s="80">
        <v>32560</v>
      </c>
      <c r="L29" s="81">
        <f t="shared" ref="L29:L92" si="2">K29*(1+$T$26)</f>
        <v>41273.059581599999</v>
      </c>
      <c r="M29" s="82">
        <f>TRUNC(F29*L29,2)</f>
        <v>0</v>
      </c>
      <c r="N29" s="82">
        <f>TRUNC(G29*L29,2)</f>
        <v>0</v>
      </c>
      <c r="O29" s="82">
        <f>N29+'BM 004'!O29</f>
        <v>41273.050000000003</v>
      </c>
      <c r="P29" s="82">
        <f>E29*K29</f>
        <v>32560</v>
      </c>
      <c r="Q29" s="82">
        <f>TRUNC(E29*L29,2)</f>
        <v>41273.050000000003</v>
      </c>
      <c r="R29" s="82">
        <f>Q29-O29</f>
        <v>0</v>
      </c>
      <c r="T29" s="74"/>
    </row>
    <row r="30" spans="1:23" s="34" customFormat="1" ht="13.2">
      <c r="B30" s="66" t="s">
        <v>64</v>
      </c>
      <c r="C30" s="67" t="s">
        <v>65</v>
      </c>
      <c r="D30" s="68"/>
      <c r="E30" s="69"/>
      <c r="F30" s="70"/>
      <c r="G30" s="70"/>
      <c r="H30" s="70"/>
      <c r="I30" s="70">
        <f>SUM(G30:H30)+'BM 004'!I30</f>
        <v>0</v>
      </c>
      <c r="J30" s="70"/>
      <c r="K30" s="71"/>
      <c r="L30" s="71">
        <f t="shared" si="2"/>
        <v>0</v>
      </c>
      <c r="M30" s="73">
        <f t="shared" ref="M30:R30" si="3">SUM(M31:M34)</f>
        <v>77029.56</v>
      </c>
      <c r="N30" s="73">
        <f t="shared" si="3"/>
        <v>77029.56</v>
      </c>
      <c r="O30" s="73">
        <f t="shared" si="3"/>
        <v>319452.91000000003</v>
      </c>
      <c r="P30" s="73">
        <f t="shared" si="3"/>
        <v>1872865.9</v>
      </c>
      <c r="Q30" s="73">
        <f t="shared" si="3"/>
        <v>2374044.9999999995</v>
      </c>
      <c r="R30" s="73">
        <f t="shared" si="3"/>
        <v>2054592.0899999996</v>
      </c>
      <c r="T30" s="83"/>
    </row>
    <row r="31" spans="1:23" s="34" customFormat="1" ht="23.4">
      <c r="B31" s="75" t="s">
        <v>66</v>
      </c>
      <c r="C31" s="76" t="s">
        <v>67</v>
      </c>
      <c r="D31" s="77" t="s">
        <v>68</v>
      </c>
      <c r="E31" s="78">
        <v>20</v>
      </c>
      <c r="F31" s="79"/>
      <c r="G31" s="79"/>
      <c r="H31" s="79"/>
      <c r="I31" s="79">
        <f>SUM(G31:H31)+'BM 004'!I31</f>
        <v>0</v>
      </c>
      <c r="J31" s="79">
        <f t="shared" ref="J31:J94" si="4">E31-I31</f>
        <v>20</v>
      </c>
      <c r="K31" s="84">
        <v>1200</v>
      </c>
      <c r="L31" s="81">
        <f t="shared" si="2"/>
        <v>1521.120132</v>
      </c>
      <c r="M31" s="82">
        <f>TRUNC(F31*L31,2)</f>
        <v>0</v>
      </c>
      <c r="N31" s="82">
        <f>TRUNC(G31*L31,2)</f>
        <v>0</v>
      </c>
      <c r="O31" s="82">
        <f>N31+'BM 004'!O31</f>
        <v>0</v>
      </c>
      <c r="P31" s="82">
        <f>E31*K31</f>
        <v>24000</v>
      </c>
      <c r="Q31" s="82">
        <f>TRUNC(E31*L31,2)</f>
        <v>30422.400000000001</v>
      </c>
      <c r="R31" s="82">
        <f>Q31-O31</f>
        <v>30422.400000000001</v>
      </c>
    </row>
    <row r="32" spans="1:23" s="34" customFormat="1" ht="13.2">
      <c r="B32" s="75" t="s">
        <v>69</v>
      </c>
      <c r="C32" s="85" t="s">
        <v>70</v>
      </c>
      <c r="D32" s="77" t="s">
        <v>68</v>
      </c>
      <c r="E32" s="78">
        <v>20</v>
      </c>
      <c r="F32" s="86">
        <f>'M.C. MED. 05'!K19</f>
        <v>0.66599999999999993</v>
      </c>
      <c r="G32" s="86">
        <f>F32</f>
        <v>0.66599999999999993</v>
      </c>
      <c r="H32" s="79"/>
      <c r="I32" s="86">
        <f>SUM(G32:H32)+'BM 004'!I32</f>
        <v>2.762</v>
      </c>
      <c r="J32" s="79">
        <f t="shared" si="4"/>
        <v>17.238</v>
      </c>
      <c r="K32" s="84">
        <v>51500.32</v>
      </c>
      <c r="L32" s="81">
        <f t="shared" si="2"/>
        <v>65281.811297035201</v>
      </c>
      <c r="M32" s="82">
        <f>TRUNC(F32*L32,2)</f>
        <v>43477.68</v>
      </c>
      <c r="N32" s="82">
        <f>TRUNC(G32*L32,2)</f>
        <v>43477.68</v>
      </c>
      <c r="O32" s="82">
        <f>N32+'BM 004'!O32</f>
        <v>180308.34</v>
      </c>
      <c r="P32" s="82">
        <f>E32*K32</f>
        <v>1030006.4</v>
      </c>
      <c r="Q32" s="82">
        <f>TRUNC(E32*L32,2)</f>
        <v>1305636.22</v>
      </c>
      <c r="R32" s="82">
        <f>Q32-O32</f>
        <v>1125327.8799999999</v>
      </c>
    </row>
    <row r="33" spans="1:21" s="34" customFormat="1" ht="194.4">
      <c r="B33" s="75" t="s">
        <v>71</v>
      </c>
      <c r="C33" s="85" t="s">
        <v>72</v>
      </c>
      <c r="D33" s="77" t="s">
        <v>39</v>
      </c>
      <c r="E33" s="78">
        <v>1</v>
      </c>
      <c r="F33" s="86">
        <f>'M.C. MED. 05'!K33</f>
        <v>3.3299999999999996E-2</v>
      </c>
      <c r="G33" s="86">
        <f>F33</f>
        <v>3.3299999999999996E-2</v>
      </c>
      <c r="H33" s="79"/>
      <c r="I33" s="86">
        <f>SUM(G33:H33)+'BM 004'!I33</f>
        <v>0.1381</v>
      </c>
      <c r="J33" s="79">
        <f t="shared" si="4"/>
        <v>0.8619</v>
      </c>
      <c r="K33" s="84">
        <v>794859.5</v>
      </c>
      <c r="L33" s="81">
        <f t="shared" si="2"/>
        <v>1007563.9896345451</v>
      </c>
      <c r="M33" s="82">
        <f>TRUNC(F33*L33,2)</f>
        <v>33551.879999999997</v>
      </c>
      <c r="N33" s="82">
        <f>TRUNC(G33*L33,2)</f>
        <v>33551.879999999997</v>
      </c>
      <c r="O33" s="82">
        <f>N33+'BM 004'!O33</f>
        <v>139144.57</v>
      </c>
      <c r="P33" s="82">
        <f>E33*K33</f>
        <v>794859.5</v>
      </c>
      <c r="Q33" s="82">
        <f>TRUNC(E33*L33,2)</f>
        <v>1007563.98</v>
      </c>
      <c r="R33" s="82">
        <f>Q33-O33</f>
        <v>868419.40999999992</v>
      </c>
    </row>
    <row r="34" spans="1:21" s="34" customFormat="1" ht="23.4">
      <c r="B34" s="75" t="s">
        <v>73</v>
      </c>
      <c r="C34" s="76" t="s">
        <v>74</v>
      </c>
      <c r="D34" s="77" t="s">
        <v>68</v>
      </c>
      <c r="E34" s="78">
        <v>20</v>
      </c>
      <c r="F34" s="79"/>
      <c r="G34" s="79"/>
      <c r="H34" s="79"/>
      <c r="I34" s="79">
        <f>SUM(G34:H34)+'BM 004'!I34</f>
        <v>0</v>
      </c>
      <c r="J34" s="79">
        <f t="shared" si="4"/>
        <v>20</v>
      </c>
      <c r="K34" s="84">
        <v>1200</v>
      </c>
      <c r="L34" s="81">
        <f t="shared" si="2"/>
        <v>1521.120132</v>
      </c>
      <c r="M34" s="82">
        <f>TRUNC(F34*L34,2)</f>
        <v>0</v>
      </c>
      <c r="N34" s="82">
        <f>TRUNC(G34*L34,2)</f>
        <v>0</v>
      </c>
      <c r="O34" s="82">
        <f>N34+'BM 004'!O34</f>
        <v>0</v>
      </c>
      <c r="P34" s="82">
        <f>E34*K34</f>
        <v>24000</v>
      </c>
      <c r="Q34" s="82">
        <f>TRUNC(E34*L34,2)</f>
        <v>30422.400000000001</v>
      </c>
      <c r="R34" s="82">
        <f>Q34-O34</f>
        <v>30422.400000000001</v>
      </c>
    </row>
    <row r="35" spans="1:21" s="34" customFormat="1" ht="13.2">
      <c r="B35" s="66" t="s">
        <v>75</v>
      </c>
      <c r="C35" s="67" t="s">
        <v>76</v>
      </c>
      <c r="D35" s="68"/>
      <c r="E35" s="69"/>
      <c r="F35" s="70"/>
      <c r="G35" s="70"/>
      <c r="H35" s="70"/>
      <c r="I35" s="70">
        <f>SUM(G35:H35)+'BM 004'!I35</f>
        <v>0</v>
      </c>
      <c r="J35" s="70">
        <f t="shared" si="4"/>
        <v>0</v>
      </c>
      <c r="K35" s="71"/>
      <c r="L35" s="71">
        <f t="shared" si="2"/>
        <v>0</v>
      </c>
      <c r="M35" s="73">
        <f t="shared" ref="M35:R35" si="5">SUM(M36:M42)</f>
        <v>0</v>
      </c>
      <c r="N35" s="73">
        <f t="shared" si="5"/>
        <v>0</v>
      </c>
      <c r="O35" s="73">
        <f t="shared" si="5"/>
        <v>352925.19</v>
      </c>
      <c r="P35" s="73">
        <f t="shared" si="5"/>
        <v>278420</v>
      </c>
      <c r="Q35" s="73">
        <f t="shared" si="5"/>
        <v>352925.19</v>
      </c>
      <c r="R35" s="73">
        <f t="shared" si="5"/>
        <v>0</v>
      </c>
    </row>
    <row r="36" spans="1:21" s="34" customFormat="1" ht="13.2">
      <c r="B36" s="87" t="s">
        <v>77</v>
      </c>
      <c r="C36" s="88" t="s">
        <v>78</v>
      </c>
      <c r="D36" s="89" t="s">
        <v>79</v>
      </c>
      <c r="E36" s="90">
        <v>128</v>
      </c>
      <c r="F36" s="91"/>
      <c r="G36" s="91"/>
      <c r="H36" s="91"/>
      <c r="I36" s="79">
        <f>SUM(G36:H36)+'BM 004'!I36</f>
        <v>128</v>
      </c>
      <c r="J36" s="91">
        <f t="shared" si="4"/>
        <v>0</v>
      </c>
      <c r="K36" s="80">
        <v>125</v>
      </c>
      <c r="L36" s="81">
        <f t="shared" si="2"/>
        <v>158.45001375000001</v>
      </c>
      <c r="M36" s="82">
        <f t="shared" ref="M36:M42" si="6">TRUNC(F36*L36,2)</f>
        <v>0</v>
      </c>
      <c r="N36" s="82">
        <f t="shared" ref="N36:N42" si="7">TRUNC(G36*L36,2)</f>
        <v>0</v>
      </c>
      <c r="O36" s="82">
        <f>N36+'BM 004'!O36</f>
        <v>20281.599999999999</v>
      </c>
      <c r="P36" s="82">
        <f t="shared" ref="P36:P42" si="8">E36*K36</f>
        <v>16000</v>
      </c>
      <c r="Q36" s="82">
        <f t="shared" ref="Q36:Q42" si="9">TRUNC(E36*L36,2)</f>
        <v>20281.599999999999</v>
      </c>
      <c r="R36" s="82">
        <f t="shared" ref="R36:R42" si="10">Q36-O36</f>
        <v>0</v>
      </c>
    </row>
    <row r="37" spans="1:21" s="34" customFormat="1" ht="46.2">
      <c r="B37" s="87" t="s">
        <v>80</v>
      </c>
      <c r="C37" s="76" t="s">
        <v>81</v>
      </c>
      <c r="D37" s="77" t="s">
        <v>82</v>
      </c>
      <c r="E37" s="78">
        <v>156</v>
      </c>
      <c r="F37" s="91"/>
      <c r="G37" s="91">
        <f>F37</f>
        <v>0</v>
      </c>
      <c r="H37" s="91"/>
      <c r="I37" s="79">
        <f>SUM(G37:H37)+'BM 004'!I37</f>
        <v>156.0001</v>
      </c>
      <c r="J37" s="91">
        <f t="shared" si="4"/>
        <v>-1.0000000000331966E-4</v>
      </c>
      <c r="K37" s="80">
        <v>70</v>
      </c>
      <c r="L37" s="81">
        <f t="shared" si="2"/>
        <v>88.732007699999997</v>
      </c>
      <c r="M37" s="82">
        <f t="shared" si="6"/>
        <v>0</v>
      </c>
      <c r="N37" s="82">
        <f t="shared" si="7"/>
        <v>0</v>
      </c>
      <c r="O37" s="82">
        <f>N37+'BM 004'!O37</f>
        <v>13842.19</v>
      </c>
      <c r="P37" s="82">
        <f t="shared" si="8"/>
        <v>10920</v>
      </c>
      <c r="Q37" s="82">
        <f t="shared" si="9"/>
        <v>13842.19</v>
      </c>
      <c r="R37" s="82">
        <f t="shared" si="10"/>
        <v>0</v>
      </c>
    </row>
    <row r="38" spans="1:21" s="34" customFormat="1" ht="34.799999999999997">
      <c r="B38" s="87" t="s">
        <v>83</v>
      </c>
      <c r="C38" s="88" t="s">
        <v>84</v>
      </c>
      <c r="D38" s="89" t="s">
        <v>79</v>
      </c>
      <c r="E38" s="92">
        <v>40</v>
      </c>
      <c r="F38" s="91"/>
      <c r="G38" s="91"/>
      <c r="H38" s="91"/>
      <c r="I38" s="79">
        <f>SUM(G38:H38)+'BM 004'!I38</f>
        <v>40</v>
      </c>
      <c r="J38" s="91">
        <f t="shared" si="4"/>
        <v>0</v>
      </c>
      <c r="K38" s="80">
        <v>1150</v>
      </c>
      <c r="L38" s="81">
        <f t="shared" si="2"/>
        <v>1457.7401265000001</v>
      </c>
      <c r="M38" s="82">
        <f t="shared" si="6"/>
        <v>0</v>
      </c>
      <c r="N38" s="82">
        <f t="shared" si="7"/>
        <v>0</v>
      </c>
      <c r="O38" s="82">
        <f>N38+'BM 004'!O38</f>
        <v>58309.599999999999</v>
      </c>
      <c r="P38" s="82">
        <f t="shared" si="8"/>
        <v>46000</v>
      </c>
      <c r="Q38" s="82">
        <f t="shared" si="9"/>
        <v>58309.599999999999</v>
      </c>
      <c r="R38" s="82">
        <f t="shared" si="10"/>
        <v>0</v>
      </c>
    </row>
    <row r="39" spans="1:21" s="34" customFormat="1" ht="23.4">
      <c r="B39" s="87" t="s">
        <v>85</v>
      </c>
      <c r="C39" s="88" t="s">
        <v>86</v>
      </c>
      <c r="D39" s="89" t="s">
        <v>79</v>
      </c>
      <c r="E39" s="92">
        <v>68</v>
      </c>
      <c r="F39" s="91"/>
      <c r="G39" s="91"/>
      <c r="H39" s="91"/>
      <c r="I39" s="79">
        <f>SUM(G39:H39)+'BM 004'!I39</f>
        <v>68</v>
      </c>
      <c r="J39" s="91">
        <f t="shared" si="4"/>
        <v>0</v>
      </c>
      <c r="K39" s="80">
        <v>1000</v>
      </c>
      <c r="L39" s="81">
        <f t="shared" si="2"/>
        <v>1267.6001100000001</v>
      </c>
      <c r="M39" s="82">
        <f t="shared" si="6"/>
        <v>0</v>
      </c>
      <c r="N39" s="82">
        <f t="shared" si="7"/>
        <v>0</v>
      </c>
      <c r="O39" s="82">
        <f>N39+'BM 004'!O39</f>
        <v>86196.800000000003</v>
      </c>
      <c r="P39" s="82">
        <f t="shared" si="8"/>
        <v>68000</v>
      </c>
      <c r="Q39" s="82">
        <f t="shared" si="9"/>
        <v>86196.800000000003</v>
      </c>
      <c r="R39" s="82">
        <f t="shared" si="10"/>
        <v>0</v>
      </c>
    </row>
    <row r="40" spans="1:21" s="34" customFormat="1" ht="34.799999999999997">
      <c r="B40" s="87" t="s">
        <v>87</v>
      </c>
      <c r="C40" s="88" t="s">
        <v>88</v>
      </c>
      <c r="D40" s="89" t="s">
        <v>79</v>
      </c>
      <c r="E40" s="92">
        <v>60</v>
      </c>
      <c r="F40" s="91"/>
      <c r="G40" s="91"/>
      <c r="H40" s="91"/>
      <c r="I40" s="79">
        <f>SUM(G40:H40)+'BM 004'!I40</f>
        <v>60</v>
      </c>
      <c r="J40" s="91">
        <f t="shared" si="4"/>
        <v>0</v>
      </c>
      <c r="K40" s="80">
        <v>600</v>
      </c>
      <c r="L40" s="81">
        <f t="shared" si="2"/>
        <v>760.56006600000001</v>
      </c>
      <c r="M40" s="82">
        <f t="shared" si="6"/>
        <v>0</v>
      </c>
      <c r="N40" s="82">
        <f t="shared" si="7"/>
        <v>0</v>
      </c>
      <c r="O40" s="82">
        <f>N40+'BM 004'!O40</f>
        <v>45633.599999999999</v>
      </c>
      <c r="P40" s="82">
        <f t="shared" si="8"/>
        <v>36000</v>
      </c>
      <c r="Q40" s="82">
        <f t="shared" si="9"/>
        <v>45633.599999999999</v>
      </c>
      <c r="R40" s="82">
        <f t="shared" si="10"/>
        <v>0</v>
      </c>
      <c r="T40" s="83"/>
      <c r="U40" s="83"/>
    </row>
    <row r="41" spans="1:21" s="34" customFormat="1" ht="34.799999999999997">
      <c r="B41" s="87" t="s">
        <v>89</v>
      </c>
      <c r="C41" s="76" t="s">
        <v>90</v>
      </c>
      <c r="D41" s="77" t="s">
        <v>79</v>
      </c>
      <c r="E41" s="78">
        <v>60</v>
      </c>
      <c r="F41" s="79"/>
      <c r="G41" s="91"/>
      <c r="H41" s="79"/>
      <c r="I41" s="79">
        <f>SUM(G41:H41)+'BM 004'!I41</f>
        <v>60</v>
      </c>
      <c r="J41" s="79">
        <f t="shared" si="4"/>
        <v>0</v>
      </c>
      <c r="K41" s="80">
        <v>1150</v>
      </c>
      <c r="L41" s="81">
        <f t="shared" si="2"/>
        <v>1457.7401265000001</v>
      </c>
      <c r="M41" s="82">
        <f t="shared" si="6"/>
        <v>0</v>
      </c>
      <c r="N41" s="82">
        <f t="shared" si="7"/>
        <v>0</v>
      </c>
      <c r="O41" s="82">
        <f>N41+'BM 004'!O41</f>
        <v>87464.4</v>
      </c>
      <c r="P41" s="82">
        <f t="shared" si="8"/>
        <v>69000</v>
      </c>
      <c r="Q41" s="82">
        <f t="shared" si="9"/>
        <v>87464.4</v>
      </c>
      <c r="R41" s="82">
        <f t="shared" si="10"/>
        <v>0</v>
      </c>
    </row>
    <row r="42" spans="1:21" s="34" customFormat="1" ht="34.200000000000003">
      <c r="B42" s="87" t="s">
        <v>91</v>
      </c>
      <c r="C42" s="184" t="s">
        <v>1195</v>
      </c>
      <c r="D42" s="77" t="s">
        <v>79</v>
      </c>
      <c r="E42" s="78">
        <v>50</v>
      </c>
      <c r="F42" s="79"/>
      <c r="G42" s="91"/>
      <c r="H42" s="79"/>
      <c r="I42" s="79">
        <f>SUM(G42:H42)+'BM 004'!I42</f>
        <v>50</v>
      </c>
      <c r="J42" s="79">
        <f t="shared" si="4"/>
        <v>0</v>
      </c>
      <c r="K42" s="80">
        <v>650</v>
      </c>
      <c r="L42" s="81">
        <f t="shared" si="2"/>
        <v>823.94007150000004</v>
      </c>
      <c r="M42" s="82">
        <f t="shared" si="6"/>
        <v>0</v>
      </c>
      <c r="N42" s="82">
        <f t="shared" si="7"/>
        <v>0</v>
      </c>
      <c r="O42" s="82">
        <f>N42+'BM 004'!O42</f>
        <v>41197</v>
      </c>
      <c r="P42" s="82">
        <f t="shared" si="8"/>
        <v>32500</v>
      </c>
      <c r="Q42" s="82">
        <f t="shared" si="9"/>
        <v>41197</v>
      </c>
      <c r="R42" s="82">
        <f t="shared" si="10"/>
        <v>0</v>
      </c>
    </row>
    <row r="43" spans="1:21" s="34" customFormat="1" ht="13.2">
      <c r="B43" s="66" t="s">
        <v>93</v>
      </c>
      <c r="C43" s="67" t="s">
        <v>94</v>
      </c>
      <c r="D43" s="68"/>
      <c r="E43" s="69"/>
      <c r="F43" s="70"/>
      <c r="G43" s="70"/>
      <c r="H43" s="70"/>
      <c r="I43" s="70">
        <f>SUM(G43:H43)+'BM 004'!I43</f>
        <v>0</v>
      </c>
      <c r="J43" s="70">
        <f t="shared" si="4"/>
        <v>0</v>
      </c>
      <c r="K43" s="71"/>
      <c r="L43" s="71">
        <f t="shared" si="2"/>
        <v>0</v>
      </c>
      <c r="M43" s="73">
        <f t="shared" ref="M43:R43" si="11">SUM(M44:M51)</f>
        <v>24543.260000000002</v>
      </c>
      <c r="N43" s="73">
        <f t="shared" si="11"/>
        <v>24543.260000000002</v>
      </c>
      <c r="O43" s="73">
        <f t="shared" si="11"/>
        <v>107019.32</v>
      </c>
      <c r="P43" s="73">
        <f t="shared" si="11"/>
        <v>220037.1</v>
      </c>
      <c r="Q43" s="73">
        <f t="shared" si="11"/>
        <v>278919.01</v>
      </c>
      <c r="R43" s="73">
        <f t="shared" si="11"/>
        <v>171899.69</v>
      </c>
    </row>
    <row r="44" spans="1:21" s="34" customFormat="1" ht="34.799999999999997">
      <c r="A44" s="83"/>
      <c r="B44" s="87" t="s">
        <v>95</v>
      </c>
      <c r="C44" s="76" t="s">
        <v>96</v>
      </c>
      <c r="D44" s="77" t="s">
        <v>79</v>
      </c>
      <c r="E44" s="93">
        <v>2573.3000000000002</v>
      </c>
      <c r="F44" s="79"/>
      <c r="G44" s="79"/>
      <c r="H44" s="79"/>
      <c r="I44" s="79">
        <f>SUM(G44:H44)+'BM 004'!I44</f>
        <v>2573.3000000000002</v>
      </c>
      <c r="J44" s="79">
        <f t="shared" si="4"/>
        <v>0</v>
      </c>
      <c r="K44" s="80">
        <v>2</v>
      </c>
      <c r="L44" s="81">
        <f t="shared" si="2"/>
        <v>2.5352002200000001</v>
      </c>
      <c r="M44" s="82">
        <f t="shared" ref="M44:M51" si="12">TRUNC(F44*L44,2)</f>
        <v>0</v>
      </c>
      <c r="N44" s="82">
        <f t="shared" ref="N44:N51" si="13">TRUNC(G44*L44,2)</f>
        <v>0</v>
      </c>
      <c r="O44" s="82">
        <f>N44+'BM 004'!O44</f>
        <v>6523.83</v>
      </c>
      <c r="P44" s="82">
        <f t="shared" ref="P44:P51" si="14">E44*K44</f>
        <v>5146.6000000000004</v>
      </c>
      <c r="Q44" s="82">
        <f t="shared" ref="Q44:Q51" si="15">TRUNC(E44*L44,2)</f>
        <v>6523.83</v>
      </c>
      <c r="R44" s="82">
        <f t="shared" ref="R44:R51" si="16">Q44-O44</f>
        <v>0</v>
      </c>
    </row>
    <row r="45" spans="1:21" s="34" customFormat="1" ht="23.4">
      <c r="B45" s="87" t="s">
        <v>97</v>
      </c>
      <c r="C45" s="88" t="s">
        <v>98</v>
      </c>
      <c r="D45" s="89" t="s">
        <v>99</v>
      </c>
      <c r="E45" s="90">
        <v>5.9</v>
      </c>
      <c r="F45" s="91"/>
      <c r="G45" s="91"/>
      <c r="H45" s="91"/>
      <c r="I45" s="79">
        <f>SUM(G45:H45)+'BM 004'!I45</f>
        <v>5.9</v>
      </c>
      <c r="J45" s="91">
        <f t="shared" si="4"/>
        <v>0</v>
      </c>
      <c r="K45" s="80">
        <v>55</v>
      </c>
      <c r="L45" s="81">
        <f t="shared" si="2"/>
        <v>69.71800605</v>
      </c>
      <c r="M45" s="82">
        <f t="shared" si="12"/>
        <v>0</v>
      </c>
      <c r="N45" s="82">
        <f t="shared" si="13"/>
        <v>0</v>
      </c>
      <c r="O45" s="82">
        <f>N45+'BM 004'!O45</f>
        <v>411.33</v>
      </c>
      <c r="P45" s="82">
        <f t="shared" si="14"/>
        <v>324.5</v>
      </c>
      <c r="Q45" s="82">
        <f t="shared" si="15"/>
        <v>411.33</v>
      </c>
      <c r="R45" s="82">
        <f t="shared" si="16"/>
        <v>0</v>
      </c>
    </row>
    <row r="46" spans="1:21" s="34" customFormat="1" ht="13.2">
      <c r="B46" s="87" t="s">
        <v>100</v>
      </c>
      <c r="C46" s="88" t="s">
        <v>101</v>
      </c>
      <c r="D46" s="89" t="s">
        <v>79</v>
      </c>
      <c r="E46" s="90">
        <v>88</v>
      </c>
      <c r="F46" s="91"/>
      <c r="G46" s="91"/>
      <c r="H46" s="91"/>
      <c r="I46" s="79">
        <f>SUM(G46:H46)+'BM 004'!I46</f>
        <v>88</v>
      </c>
      <c r="J46" s="91">
        <f t="shared" si="4"/>
        <v>0</v>
      </c>
      <c r="K46" s="80">
        <v>10</v>
      </c>
      <c r="L46" s="81">
        <f t="shared" si="2"/>
        <v>12.676001100000001</v>
      </c>
      <c r="M46" s="82">
        <f t="shared" si="12"/>
        <v>0</v>
      </c>
      <c r="N46" s="82">
        <f t="shared" si="13"/>
        <v>0</v>
      </c>
      <c r="O46" s="82">
        <f>N46+'BM 004'!O46</f>
        <v>1115.48</v>
      </c>
      <c r="P46" s="82">
        <f t="shared" si="14"/>
        <v>880</v>
      </c>
      <c r="Q46" s="82">
        <f t="shared" si="15"/>
        <v>1115.48</v>
      </c>
      <c r="R46" s="82">
        <f t="shared" si="16"/>
        <v>0</v>
      </c>
    </row>
    <row r="47" spans="1:21" s="34" customFormat="1" ht="34.799999999999997">
      <c r="B47" s="87" t="s">
        <v>102</v>
      </c>
      <c r="C47" s="88" t="s">
        <v>103</v>
      </c>
      <c r="D47" s="89" t="s">
        <v>99</v>
      </c>
      <c r="E47" s="90">
        <v>6.8</v>
      </c>
      <c r="F47" s="91"/>
      <c r="G47" s="91"/>
      <c r="H47" s="91"/>
      <c r="I47" s="79">
        <f>SUM(G47:H47)+'BM 004'!I47</f>
        <v>6.8</v>
      </c>
      <c r="J47" s="91">
        <f t="shared" si="4"/>
        <v>0</v>
      </c>
      <c r="K47" s="80">
        <v>220</v>
      </c>
      <c r="L47" s="81">
        <f t="shared" si="2"/>
        <v>278.8720242</v>
      </c>
      <c r="M47" s="82">
        <f t="shared" si="12"/>
        <v>0</v>
      </c>
      <c r="N47" s="82">
        <f t="shared" si="13"/>
        <v>0</v>
      </c>
      <c r="O47" s="82">
        <f>N47+'BM 004'!O47</f>
        <v>1896.32</v>
      </c>
      <c r="P47" s="82">
        <f t="shared" si="14"/>
        <v>1496</v>
      </c>
      <c r="Q47" s="82">
        <f t="shared" si="15"/>
        <v>1896.32</v>
      </c>
      <c r="R47" s="82">
        <f t="shared" si="16"/>
        <v>0</v>
      </c>
    </row>
    <row r="48" spans="1:21" s="34" customFormat="1" ht="23.4">
      <c r="B48" s="87" t="s">
        <v>104</v>
      </c>
      <c r="C48" s="88" t="s">
        <v>105</v>
      </c>
      <c r="D48" s="89" t="s">
        <v>79</v>
      </c>
      <c r="E48" s="90">
        <v>88</v>
      </c>
      <c r="F48" s="91"/>
      <c r="G48" s="91"/>
      <c r="H48" s="91"/>
      <c r="I48" s="79">
        <f>SUM(G48:H48)+'BM 004'!I48</f>
        <v>88</v>
      </c>
      <c r="J48" s="91">
        <f t="shared" si="4"/>
        <v>0</v>
      </c>
      <c r="K48" s="80">
        <v>15</v>
      </c>
      <c r="L48" s="81">
        <f t="shared" si="2"/>
        <v>19.014001650000001</v>
      </c>
      <c r="M48" s="82">
        <f t="shared" si="12"/>
        <v>0</v>
      </c>
      <c r="N48" s="82">
        <f t="shared" si="13"/>
        <v>0</v>
      </c>
      <c r="O48" s="82">
        <f>N48+'BM 004'!O48</f>
        <v>1673.23</v>
      </c>
      <c r="P48" s="80">
        <f t="shared" si="14"/>
        <v>1320</v>
      </c>
      <c r="Q48" s="82">
        <f t="shared" si="15"/>
        <v>1673.23</v>
      </c>
      <c r="R48" s="82">
        <f t="shared" si="16"/>
        <v>0</v>
      </c>
    </row>
    <row r="49" spans="2:20" s="34" customFormat="1" ht="23.4">
      <c r="B49" s="87" t="s">
        <v>106</v>
      </c>
      <c r="C49" s="76" t="s">
        <v>107</v>
      </c>
      <c r="D49" s="89" t="s">
        <v>99</v>
      </c>
      <c r="E49" s="90">
        <v>4350</v>
      </c>
      <c r="F49" s="91"/>
      <c r="G49" s="91"/>
      <c r="H49" s="91"/>
      <c r="I49" s="79">
        <f>SUM(G49:H49)+'BM 004'!I49</f>
        <v>1616.87</v>
      </c>
      <c r="J49" s="91">
        <f t="shared" si="4"/>
        <v>2733.13</v>
      </c>
      <c r="K49" s="80">
        <v>10</v>
      </c>
      <c r="L49" s="81">
        <f t="shared" si="2"/>
        <v>12.676001100000001</v>
      </c>
      <c r="M49" s="82">
        <f t="shared" si="12"/>
        <v>0</v>
      </c>
      <c r="N49" s="82">
        <f t="shared" si="13"/>
        <v>0</v>
      </c>
      <c r="O49" s="82">
        <f>N49+'BM 004'!O49</f>
        <v>20495.439999999999</v>
      </c>
      <c r="P49" s="80">
        <f t="shared" si="14"/>
        <v>43500</v>
      </c>
      <c r="Q49" s="82">
        <f t="shared" si="15"/>
        <v>55140.6</v>
      </c>
      <c r="R49" s="82">
        <f t="shared" si="16"/>
        <v>34645.160000000003</v>
      </c>
      <c r="T49" s="185">
        <v>20000</v>
      </c>
    </row>
    <row r="50" spans="2:20" s="34" customFormat="1" ht="57.6">
      <c r="B50" s="87" t="s">
        <v>108</v>
      </c>
      <c r="C50" s="76" t="s">
        <v>109</v>
      </c>
      <c r="D50" s="89" t="s">
        <v>110</v>
      </c>
      <c r="E50" s="90">
        <v>3985</v>
      </c>
      <c r="F50" s="91">
        <f>'M.C. MED. 05'!K116</f>
        <v>461</v>
      </c>
      <c r="G50" s="91">
        <f>F50</f>
        <v>461</v>
      </c>
      <c r="H50" s="91"/>
      <c r="I50" s="79">
        <f>SUM(G50:H50)+'BM 004'!I50</f>
        <v>2077.87</v>
      </c>
      <c r="J50" s="91">
        <f t="shared" si="4"/>
        <v>1907.13</v>
      </c>
      <c r="K50" s="80">
        <v>12</v>
      </c>
      <c r="L50" s="81">
        <f t="shared" si="2"/>
        <v>15.211201320000001</v>
      </c>
      <c r="M50" s="82">
        <f t="shared" si="12"/>
        <v>7012.36</v>
      </c>
      <c r="N50" s="82">
        <f t="shared" si="13"/>
        <v>7012.36</v>
      </c>
      <c r="O50" s="82">
        <f>N50+'BM 004'!O50</f>
        <v>31606.890000000003</v>
      </c>
      <c r="P50" s="80">
        <f t="shared" si="14"/>
        <v>47820</v>
      </c>
      <c r="Q50" s="82">
        <f t="shared" si="15"/>
        <v>60616.63</v>
      </c>
      <c r="R50" s="82">
        <f t="shared" si="16"/>
        <v>29009.739999999994</v>
      </c>
      <c r="T50" s="83"/>
    </row>
    <row r="51" spans="2:20" s="34" customFormat="1" ht="34.799999999999997">
      <c r="B51" s="87" t="s">
        <v>111</v>
      </c>
      <c r="C51" s="76" t="s">
        <v>112</v>
      </c>
      <c r="D51" s="89" t="s">
        <v>113</v>
      </c>
      <c r="E51" s="90">
        <f>E50*30</f>
        <v>119550</v>
      </c>
      <c r="F51" s="91">
        <f>'M.C. MED. 05'!K128</f>
        <v>13830</v>
      </c>
      <c r="G51" s="91">
        <f>F51</f>
        <v>13830</v>
      </c>
      <c r="H51" s="91"/>
      <c r="I51" s="79">
        <f>SUM(G51:H51)+'BM 004'!I51</f>
        <v>34156.525000000001</v>
      </c>
      <c r="J51" s="91">
        <f t="shared" si="4"/>
        <v>85393.475000000006</v>
      </c>
      <c r="K51" s="80">
        <v>1</v>
      </c>
      <c r="L51" s="81">
        <f t="shared" si="2"/>
        <v>1.2676001100000001</v>
      </c>
      <c r="M51" s="82">
        <f t="shared" si="12"/>
        <v>17530.900000000001</v>
      </c>
      <c r="N51" s="82">
        <f t="shared" si="13"/>
        <v>17530.900000000001</v>
      </c>
      <c r="O51" s="82">
        <f>N51+'BM 004'!O51</f>
        <v>43296.800000000003</v>
      </c>
      <c r="P51" s="80">
        <f t="shared" si="14"/>
        <v>119550</v>
      </c>
      <c r="Q51" s="82">
        <f t="shared" si="15"/>
        <v>151541.59</v>
      </c>
      <c r="R51" s="82">
        <f t="shared" si="16"/>
        <v>108244.79</v>
      </c>
    </row>
    <row r="52" spans="2:20" s="34" customFormat="1" ht="13.2">
      <c r="B52" s="60" t="s">
        <v>114</v>
      </c>
      <c r="C52" s="61" t="s">
        <v>115</v>
      </c>
      <c r="D52" s="60"/>
      <c r="E52" s="62"/>
      <c r="F52" s="63"/>
      <c r="G52" s="63"/>
      <c r="H52" s="63"/>
      <c r="I52" s="63">
        <f>SUM(G52:H52)+'BM 004'!I52</f>
        <v>0</v>
      </c>
      <c r="J52" s="63">
        <f t="shared" si="4"/>
        <v>0</v>
      </c>
      <c r="K52" s="63"/>
      <c r="L52" s="63">
        <f t="shared" si="2"/>
        <v>0</v>
      </c>
      <c r="M52" s="63">
        <f t="shared" ref="M52:R52" si="17">M53</f>
        <v>0</v>
      </c>
      <c r="N52" s="63">
        <f t="shared" si="17"/>
        <v>0</v>
      </c>
      <c r="O52" s="63">
        <f t="shared" si="17"/>
        <v>1043334.3999999999</v>
      </c>
      <c r="P52" s="63">
        <f t="shared" si="17"/>
        <v>823958.14</v>
      </c>
      <c r="Q52" s="63">
        <f t="shared" si="17"/>
        <v>1044449.3999999999</v>
      </c>
      <c r="R52" s="63">
        <f t="shared" si="17"/>
        <v>1115</v>
      </c>
    </row>
    <row r="53" spans="2:20" s="34" customFormat="1" ht="13.2">
      <c r="B53" s="66" t="s">
        <v>116</v>
      </c>
      <c r="C53" s="67" t="s">
        <v>117</v>
      </c>
      <c r="D53" s="68"/>
      <c r="E53" s="69"/>
      <c r="F53" s="70"/>
      <c r="G53" s="70"/>
      <c r="H53" s="70"/>
      <c r="I53" s="70">
        <f>SUM(G53:H53)+'BM 004'!I53</f>
        <v>0</v>
      </c>
      <c r="J53" s="70">
        <f t="shared" si="4"/>
        <v>0</v>
      </c>
      <c r="K53" s="71"/>
      <c r="L53" s="71">
        <f t="shared" si="2"/>
        <v>0</v>
      </c>
      <c r="M53" s="73">
        <f t="shared" ref="M53:R53" si="18">SUM(M54:M61)</f>
        <v>0</v>
      </c>
      <c r="N53" s="73">
        <f t="shared" si="18"/>
        <v>0</v>
      </c>
      <c r="O53" s="73">
        <f t="shared" si="18"/>
        <v>1043334.3999999999</v>
      </c>
      <c r="P53" s="73">
        <f t="shared" si="18"/>
        <v>823958.14</v>
      </c>
      <c r="Q53" s="73">
        <f t="shared" si="18"/>
        <v>1044449.3999999999</v>
      </c>
      <c r="R53" s="73">
        <f t="shared" si="18"/>
        <v>1115</v>
      </c>
    </row>
    <row r="54" spans="2:20" s="34" customFormat="1" ht="34.799999999999997">
      <c r="B54" s="87" t="s">
        <v>118</v>
      </c>
      <c r="C54" s="88" t="s">
        <v>119</v>
      </c>
      <c r="D54" s="89" t="s">
        <v>82</v>
      </c>
      <c r="E54" s="92">
        <v>196.9</v>
      </c>
      <c r="F54" s="91"/>
      <c r="G54" s="91"/>
      <c r="H54" s="91"/>
      <c r="I54" s="79">
        <f>SUM(G54:H54)+'BM 004'!I54</f>
        <v>196.9</v>
      </c>
      <c r="J54" s="91">
        <f t="shared" si="4"/>
        <v>0</v>
      </c>
      <c r="K54" s="80">
        <v>75</v>
      </c>
      <c r="L54" s="81">
        <f t="shared" si="2"/>
        <v>95.070008250000001</v>
      </c>
      <c r="M54" s="82">
        <f t="shared" ref="M54:M61" si="19">TRUNC(F54*L54,2)</f>
        <v>0</v>
      </c>
      <c r="N54" s="82">
        <f t="shared" ref="N54:N61" si="20">TRUNC(G54*L54,2)</f>
        <v>0</v>
      </c>
      <c r="O54" s="82">
        <f>N54+'BM 004'!O54</f>
        <v>18719.28</v>
      </c>
      <c r="P54" s="80">
        <f t="shared" ref="P54:P61" si="21">E54*K54</f>
        <v>14767.5</v>
      </c>
      <c r="Q54" s="82">
        <f t="shared" ref="Q54:Q61" si="22">TRUNC(E54*L54,2)</f>
        <v>18719.28</v>
      </c>
      <c r="R54" s="82">
        <f t="shared" ref="R54:R61" si="23">Q54-O54</f>
        <v>0</v>
      </c>
    </row>
    <row r="55" spans="2:20" s="34" customFormat="1" ht="34.799999999999997">
      <c r="B55" s="87" t="s">
        <v>120</v>
      </c>
      <c r="C55" s="88" t="s">
        <v>121</v>
      </c>
      <c r="D55" s="89" t="s">
        <v>63</v>
      </c>
      <c r="E55" s="92">
        <v>1</v>
      </c>
      <c r="F55" s="91"/>
      <c r="G55" s="91"/>
      <c r="H55" s="91"/>
      <c r="I55" s="79">
        <f>SUM(G55:H55)+'BM 004'!I55</f>
        <v>1</v>
      </c>
      <c r="J55" s="91">
        <f t="shared" si="4"/>
        <v>0</v>
      </c>
      <c r="K55" s="80">
        <v>11000</v>
      </c>
      <c r="L55" s="81">
        <f t="shared" si="2"/>
        <v>13943.601210000001</v>
      </c>
      <c r="M55" s="82">
        <f t="shared" si="19"/>
        <v>0</v>
      </c>
      <c r="N55" s="82">
        <f t="shared" si="20"/>
        <v>0</v>
      </c>
      <c r="O55" s="82">
        <f>N55+'BM 004'!O55</f>
        <v>13943.6</v>
      </c>
      <c r="P55" s="80">
        <f t="shared" si="21"/>
        <v>11000</v>
      </c>
      <c r="Q55" s="82">
        <f t="shared" si="22"/>
        <v>13943.6</v>
      </c>
      <c r="R55" s="82">
        <f t="shared" si="23"/>
        <v>0</v>
      </c>
    </row>
    <row r="56" spans="2:20" s="34" customFormat="1" ht="46.2">
      <c r="B56" s="87" t="s">
        <v>122</v>
      </c>
      <c r="C56" s="88" t="s">
        <v>123</v>
      </c>
      <c r="D56" s="89" t="s">
        <v>124</v>
      </c>
      <c r="E56" s="90">
        <v>1837</v>
      </c>
      <c r="F56" s="91"/>
      <c r="G56" s="91"/>
      <c r="H56" s="91"/>
      <c r="I56" s="79">
        <f>SUM(G56:H56)+'BM 004'!I56</f>
        <v>1837</v>
      </c>
      <c r="J56" s="91">
        <f t="shared" si="4"/>
        <v>0</v>
      </c>
      <c r="K56" s="80">
        <v>405</v>
      </c>
      <c r="L56" s="81">
        <f t="shared" si="2"/>
        <v>513.37804455000003</v>
      </c>
      <c r="M56" s="82">
        <f t="shared" si="19"/>
        <v>0</v>
      </c>
      <c r="N56" s="82">
        <f t="shared" si="20"/>
        <v>0</v>
      </c>
      <c r="O56" s="82">
        <f>N56+'BM 004'!O56</f>
        <v>943075.46</v>
      </c>
      <c r="P56" s="80">
        <f t="shared" si="21"/>
        <v>743985</v>
      </c>
      <c r="Q56" s="82">
        <f t="shared" si="22"/>
        <v>943075.46</v>
      </c>
      <c r="R56" s="82">
        <f t="shared" si="23"/>
        <v>0</v>
      </c>
    </row>
    <row r="57" spans="2:20" s="34" customFormat="1" ht="46.2">
      <c r="B57" s="87" t="s">
        <v>125</v>
      </c>
      <c r="C57" s="88" t="s">
        <v>126</v>
      </c>
      <c r="D57" s="89" t="s">
        <v>110</v>
      </c>
      <c r="E57" s="90">
        <v>293.92</v>
      </c>
      <c r="F57" s="91"/>
      <c r="G57" s="91"/>
      <c r="H57" s="91"/>
      <c r="I57" s="79">
        <f>SUM(G57:H57)+'BM 004'!I57</f>
        <v>293.92</v>
      </c>
      <c r="J57" s="91">
        <f t="shared" si="4"/>
        <v>0</v>
      </c>
      <c r="K57" s="80">
        <v>12</v>
      </c>
      <c r="L57" s="81">
        <f t="shared" si="2"/>
        <v>15.211201320000001</v>
      </c>
      <c r="M57" s="82">
        <f t="shared" si="19"/>
        <v>0</v>
      </c>
      <c r="N57" s="82">
        <f t="shared" si="20"/>
        <v>0</v>
      </c>
      <c r="O57" s="82">
        <f>N57+'BM 004'!O57</f>
        <v>4470.87</v>
      </c>
      <c r="P57" s="80">
        <f t="shared" si="21"/>
        <v>3527.04</v>
      </c>
      <c r="Q57" s="82">
        <f t="shared" si="22"/>
        <v>4470.87</v>
      </c>
      <c r="R57" s="82">
        <f t="shared" si="23"/>
        <v>0</v>
      </c>
    </row>
    <row r="58" spans="2:20" s="34" customFormat="1" ht="34.799999999999997">
      <c r="B58" s="87" t="s">
        <v>127</v>
      </c>
      <c r="C58" s="88" t="s">
        <v>128</v>
      </c>
      <c r="D58" s="89" t="s">
        <v>113</v>
      </c>
      <c r="E58" s="90">
        <f>E57*30</f>
        <v>8817.6</v>
      </c>
      <c r="F58" s="91"/>
      <c r="G58" s="91"/>
      <c r="H58" s="91"/>
      <c r="I58" s="79">
        <f>SUM(G58:H58)+'BM 004'!I58</f>
        <v>7938.0000000000009</v>
      </c>
      <c r="J58" s="91">
        <f t="shared" si="4"/>
        <v>879.59999999999945</v>
      </c>
      <c r="K58" s="80">
        <v>1</v>
      </c>
      <c r="L58" s="81">
        <f t="shared" si="2"/>
        <v>1.2676001100000001</v>
      </c>
      <c r="M58" s="82">
        <f t="shared" si="19"/>
        <v>0</v>
      </c>
      <c r="N58" s="82">
        <f t="shared" si="20"/>
        <v>0</v>
      </c>
      <c r="O58" s="82">
        <f>N58+'BM 004'!O58</f>
        <v>10062.200000000001</v>
      </c>
      <c r="P58" s="80">
        <f t="shared" si="21"/>
        <v>8817.6</v>
      </c>
      <c r="Q58" s="82">
        <f t="shared" si="22"/>
        <v>11177.19</v>
      </c>
      <c r="R58" s="82">
        <f t="shared" si="23"/>
        <v>1114.9899999999998</v>
      </c>
    </row>
    <row r="59" spans="2:20" s="34" customFormat="1" ht="23.4">
      <c r="B59" s="87" t="s">
        <v>129</v>
      </c>
      <c r="C59" s="88" t="s">
        <v>130</v>
      </c>
      <c r="D59" s="89" t="s">
        <v>131</v>
      </c>
      <c r="E59" s="92">
        <v>167</v>
      </c>
      <c r="F59" s="91"/>
      <c r="G59" s="91"/>
      <c r="H59" s="91"/>
      <c r="I59" s="79">
        <f>SUM(G59:H59)+'BM 004'!I59</f>
        <v>167</v>
      </c>
      <c r="J59" s="91">
        <f t="shared" si="4"/>
        <v>0</v>
      </c>
      <c r="K59" s="80">
        <v>23</v>
      </c>
      <c r="L59" s="81">
        <f t="shared" si="2"/>
        <v>29.154802530000001</v>
      </c>
      <c r="M59" s="82">
        <f t="shared" si="19"/>
        <v>0</v>
      </c>
      <c r="N59" s="82">
        <f t="shared" si="20"/>
        <v>0</v>
      </c>
      <c r="O59" s="82">
        <f>N59+'BM 004'!O59</f>
        <v>4868.84</v>
      </c>
      <c r="P59" s="80">
        <f t="shared" si="21"/>
        <v>3841</v>
      </c>
      <c r="Q59" s="82">
        <f t="shared" si="22"/>
        <v>4868.8500000000004</v>
      </c>
      <c r="R59" s="82">
        <f t="shared" si="23"/>
        <v>1.0000000000218279E-2</v>
      </c>
    </row>
    <row r="60" spans="2:20" s="34" customFormat="1" ht="13.2">
      <c r="B60" s="87" t="s">
        <v>132</v>
      </c>
      <c r="C60" s="88" t="s">
        <v>133</v>
      </c>
      <c r="D60" s="89" t="s">
        <v>63</v>
      </c>
      <c r="E60" s="92">
        <v>2</v>
      </c>
      <c r="F60" s="91"/>
      <c r="G60" s="91"/>
      <c r="H60" s="91"/>
      <c r="I60" s="79">
        <f>SUM(G60:H60)+'BM 004'!I60</f>
        <v>2</v>
      </c>
      <c r="J60" s="91">
        <f t="shared" si="4"/>
        <v>0</v>
      </c>
      <c r="K60" s="80">
        <v>14000</v>
      </c>
      <c r="L60" s="81">
        <f t="shared" si="2"/>
        <v>17746.401540000003</v>
      </c>
      <c r="M60" s="82">
        <f t="shared" si="19"/>
        <v>0</v>
      </c>
      <c r="N60" s="82">
        <f t="shared" si="20"/>
        <v>0</v>
      </c>
      <c r="O60" s="82">
        <f>N60+'BM 004'!O60</f>
        <v>35492.800000000003</v>
      </c>
      <c r="P60" s="80">
        <f t="shared" si="21"/>
        <v>28000</v>
      </c>
      <c r="Q60" s="82">
        <f t="shared" si="22"/>
        <v>35492.800000000003</v>
      </c>
      <c r="R60" s="82">
        <f t="shared" si="23"/>
        <v>0</v>
      </c>
    </row>
    <row r="61" spans="2:20" s="34" customFormat="1" ht="13.2">
      <c r="B61" s="87" t="s">
        <v>134</v>
      </c>
      <c r="C61" s="88" t="s">
        <v>135</v>
      </c>
      <c r="D61" s="89" t="s">
        <v>63</v>
      </c>
      <c r="E61" s="92">
        <v>167</v>
      </c>
      <c r="F61" s="91"/>
      <c r="G61" s="91"/>
      <c r="H61" s="91"/>
      <c r="I61" s="79">
        <f>SUM(G61:H61)+'BM 004'!I61</f>
        <v>167</v>
      </c>
      <c r="J61" s="91">
        <f t="shared" si="4"/>
        <v>0</v>
      </c>
      <c r="K61" s="80">
        <v>60</v>
      </c>
      <c r="L61" s="81">
        <f t="shared" si="2"/>
        <v>76.056006600000003</v>
      </c>
      <c r="M61" s="82">
        <f t="shared" si="19"/>
        <v>0</v>
      </c>
      <c r="N61" s="82">
        <f t="shared" si="20"/>
        <v>0</v>
      </c>
      <c r="O61" s="82">
        <f>N61+'BM 004'!O61</f>
        <v>12701.35</v>
      </c>
      <c r="P61" s="80">
        <f t="shared" si="21"/>
        <v>10020</v>
      </c>
      <c r="Q61" s="82">
        <f t="shared" si="22"/>
        <v>12701.35</v>
      </c>
      <c r="R61" s="82">
        <f t="shared" si="23"/>
        <v>0</v>
      </c>
    </row>
    <row r="62" spans="2:20" s="34" customFormat="1" ht="15.75" customHeight="1">
      <c r="B62" s="60" t="s">
        <v>136</v>
      </c>
      <c r="C62" s="61" t="s">
        <v>137</v>
      </c>
      <c r="D62" s="60"/>
      <c r="E62" s="62"/>
      <c r="F62" s="63"/>
      <c r="G62" s="63"/>
      <c r="H62" s="63"/>
      <c r="I62" s="63">
        <f>SUM(G62:H62)+'BM 004'!I62</f>
        <v>0</v>
      </c>
      <c r="J62" s="63">
        <f t="shared" si="4"/>
        <v>0</v>
      </c>
      <c r="K62" s="63"/>
      <c r="L62" s="63">
        <f t="shared" si="2"/>
        <v>0</v>
      </c>
      <c r="M62" s="63">
        <f t="shared" ref="M62:R62" si="24">SUM(M63,M79)</f>
        <v>74464.290000000008</v>
      </c>
      <c r="N62" s="63">
        <f t="shared" si="24"/>
        <v>74464.290000000008</v>
      </c>
      <c r="O62" s="63">
        <f t="shared" si="24"/>
        <v>788372.97</v>
      </c>
      <c r="P62" s="63">
        <f t="shared" si="24"/>
        <v>621941.5</v>
      </c>
      <c r="Q62" s="63">
        <f t="shared" si="24"/>
        <v>788372.97</v>
      </c>
      <c r="R62" s="63">
        <f t="shared" si="24"/>
        <v>0</v>
      </c>
    </row>
    <row r="63" spans="2:20" s="34" customFormat="1" ht="13.2">
      <c r="B63" s="66" t="s">
        <v>138</v>
      </c>
      <c r="C63" s="67" t="s">
        <v>139</v>
      </c>
      <c r="D63" s="68"/>
      <c r="E63" s="69"/>
      <c r="F63" s="70"/>
      <c r="G63" s="70"/>
      <c r="H63" s="70"/>
      <c r="I63" s="70">
        <f>SUM(G63:H63)+'BM 004'!I63</f>
        <v>0</v>
      </c>
      <c r="J63" s="70">
        <f t="shared" si="4"/>
        <v>0</v>
      </c>
      <c r="K63" s="71"/>
      <c r="L63" s="71">
        <f t="shared" si="2"/>
        <v>0</v>
      </c>
      <c r="M63" s="73">
        <f t="shared" ref="M63:R63" si="25">SUM(M64:M78)</f>
        <v>23217.040000000001</v>
      </c>
      <c r="N63" s="73">
        <f t="shared" si="25"/>
        <v>23217.040000000001</v>
      </c>
      <c r="O63" s="73">
        <f t="shared" si="25"/>
        <v>597801.35</v>
      </c>
      <c r="P63" s="73">
        <f t="shared" si="25"/>
        <v>471600.95</v>
      </c>
      <c r="Q63" s="73">
        <f t="shared" si="25"/>
        <v>597801.35</v>
      </c>
      <c r="R63" s="73">
        <f t="shared" si="25"/>
        <v>0</v>
      </c>
    </row>
    <row r="64" spans="2:20" s="34" customFormat="1" ht="23.4">
      <c r="B64" s="87" t="s">
        <v>140</v>
      </c>
      <c r="C64" s="88" t="s">
        <v>141</v>
      </c>
      <c r="D64" s="89" t="s">
        <v>110</v>
      </c>
      <c r="E64" s="90">
        <v>259.39</v>
      </c>
      <c r="F64" s="91"/>
      <c r="G64" s="91">
        <f t="shared" ref="G64:G78" si="26">F64</f>
        <v>0</v>
      </c>
      <c r="H64" s="91"/>
      <c r="I64" s="79">
        <f>SUM(G64:H64)+'BM 004'!I64</f>
        <v>259.39</v>
      </c>
      <c r="J64" s="91">
        <f t="shared" si="4"/>
        <v>0</v>
      </c>
      <c r="K64" s="80">
        <v>80</v>
      </c>
      <c r="L64" s="81">
        <f t="shared" si="2"/>
        <v>101.4080088</v>
      </c>
      <c r="M64" s="82">
        <f t="shared" ref="M64:M78" si="27">TRUNC(F64*L64,2)</f>
        <v>0</v>
      </c>
      <c r="N64" s="82">
        <f t="shared" ref="N64:N78" si="28">TRUNC(G64*L64,2)</f>
        <v>0</v>
      </c>
      <c r="O64" s="82">
        <f>N64+'BM 004'!O64</f>
        <v>26304.22</v>
      </c>
      <c r="P64" s="80">
        <f t="shared" ref="P64:P78" si="29">E64*K64</f>
        <v>20751.199999999997</v>
      </c>
      <c r="Q64" s="82">
        <f t="shared" ref="Q64:Q78" si="30">TRUNC(E64*L64,2)</f>
        <v>26304.22</v>
      </c>
      <c r="R64" s="82">
        <f t="shared" ref="R64:R78" si="31">Q64-O64</f>
        <v>0</v>
      </c>
    </row>
    <row r="65" spans="2:20" s="34" customFormat="1" ht="23.4">
      <c r="B65" s="87" t="s">
        <v>142</v>
      </c>
      <c r="C65" s="88" t="s">
        <v>143</v>
      </c>
      <c r="D65" s="89" t="s">
        <v>79</v>
      </c>
      <c r="E65" s="92">
        <v>72.260000000000005</v>
      </c>
      <c r="F65" s="91"/>
      <c r="G65" s="91">
        <f t="shared" si="26"/>
        <v>0</v>
      </c>
      <c r="H65" s="91"/>
      <c r="I65" s="79">
        <f>SUM(G65:H65)+'BM 004'!I65</f>
        <v>72.260000000000005</v>
      </c>
      <c r="J65" s="91">
        <f t="shared" si="4"/>
        <v>0</v>
      </c>
      <c r="K65" s="80">
        <v>30</v>
      </c>
      <c r="L65" s="81">
        <f t="shared" si="2"/>
        <v>38.028003300000002</v>
      </c>
      <c r="M65" s="82">
        <f t="shared" si="27"/>
        <v>0</v>
      </c>
      <c r="N65" s="82">
        <f t="shared" si="28"/>
        <v>0</v>
      </c>
      <c r="O65" s="82">
        <f>N65+'BM 004'!O65</f>
        <v>2747.9</v>
      </c>
      <c r="P65" s="80">
        <f t="shared" si="29"/>
        <v>2167.8000000000002</v>
      </c>
      <c r="Q65" s="82">
        <f t="shared" si="30"/>
        <v>2747.9</v>
      </c>
      <c r="R65" s="82">
        <f t="shared" si="31"/>
        <v>0</v>
      </c>
    </row>
    <row r="66" spans="2:20" s="34" customFormat="1" ht="23.4">
      <c r="B66" s="87" t="s">
        <v>144</v>
      </c>
      <c r="C66" s="88" t="s">
        <v>145</v>
      </c>
      <c r="D66" s="89" t="s">
        <v>110</v>
      </c>
      <c r="E66" s="92">
        <v>217.8</v>
      </c>
      <c r="F66" s="91"/>
      <c r="G66" s="91">
        <f t="shared" si="26"/>
        <v>0</v>
      </c>
      <c r="H66" s="91"/>
      <c r="I66" s="79">
        <f>SUM(G66:H66)+'BM 004'!I66</f>
        <v>217.8</v>
      </c>
      <c r="J66" s="91">
        <f t="shared" si="4"/>
        <v>0</v>
      </c>
      <c r="K66" s="80">
        <v>25</v>
      </c>
      <c r="L66" s="81">
        <f t="shared" si="2"/>
        <v>31.690002750000001</v>
      </c>
      <c r="M66" s="82">
        <f t="shared" si="27"/>
        <v>0</v>
      </c>
      <c r="N66" s="82">
        <f t="shared" si="28"/>
        <v>0</v>
      </c>
      <c r="O66" s="82">
        <f>N66+'BM 004'!O66</f>
        <v>6902.08</v>
      </c>
      <c r="P66" s="80">
        <f t="shared" si="29"/>
        <v>5445</v>
      </c>
      <c r="Q66" s="82">
        <f t="shared" si="30"/>
        <v>6902.08</v>
      </c>
      <c r="R66" s="82">
        <f t="shared" si="31"/>
        <v>0</v>
      </c>
    </row>
    <row r="67" spans="2:20" s="34" customFormat="1" ht="46.2">
      <c r="B67" s="87" t="s">
        <v>146</v>
      </c>
      <c r="C67" s="88" t="s">
        <v>126</v>
      </c>
      <c r="D67" s="89" t="s">
        <v>110</v>
      </c>
      <c r="E67" s="90">
        <v>140.80000000000001</v>
      </c>
      <c r="F67" s="91"/>
      <c r="G67" s="91">
        <f t="shared" si="26"/>
        <v>0</v>
      </c>
      <c r="H67" s="91"/>
      <c r="I67" s="79">
        <f>SUM(G67:H67)+'BM 004'!I67</f>
        <v>140.80000000000001</v>
      </c>
      <c r="J67" s="91">
        <f t="shared" si="4"/>
        <v>0</v>
      </c>
      <c r="K67" s="80">
        <v>12</v>
      </c>
      <c r="L67" s="81">
        <f t="shared" si="2"/>
        <v>15.211201320000001</v>
      </c>
      <c r="M67" s="82">
        <f t="shared" si="27"/>
        <v>0</v>
      </c>
      <c r="N67" s="82">
        <f t="shared" si="28"/>
        <v>0</v>
      </c>
      <c r="O67" s="82">
        <f>N67+'BM 004'!O67</f>
        <v>2141.73</v>
      </c>
      <c r="P67" s="80">
        <f t="shared" si="29"/>
        <v>1689.6000000000001</v>
      </c>
      <c r="Q67" s="82">
        <f t="shared" si="30"/>
        <v>2141.73</v>
      </c>
      <c r="R67" s="82">
        <f t="shared" si="31"/>
        <v>0</v>
      </c>
    </row>
    <row r="68" spans="2:20" s="34" customFormat="1" ht="34.799999999999997">
      <c r="B68" s="87" t="s">
        <v>147</v>
      </c>
      <c r="C68" s="88" t="s">
        <v>128</v>
      </c>
      <c r="D68" s="89" t="s">
        <v>113</v>
      </c>
      <c r="E68" s="90">
        <f>E64*30</f>
        <v>7781.7</v>
      </c>
      <c r="F68" s="91"/>
      <c r="G68" s="91">
        <f t="shared" si="26"/>
        <v>0</v>
      </c>
      <c r="H68" s="91"/>
      <c r="I68" s="79">
        <f>SUM(G68:H68)+'BM 004'!I68</f>
        <v>7781.7</v>
      </c>
      <c r="J68" s="91">
        <f t="shared" si="4"/>
        <v>0</v>
      </c>
      <c r="K68" s="80">
        <v>1</v>
      </c>
      <c r="L68" s="81">
        <f t="shared" si="2"/>
        <v>1.2676001100000001</v>
      </c>
      <c r="M68" s="82">
        <f t="shared" si="27"/>
        <v>0</v>
      </c>
      <c r="N68" s="82">
        <f t="shared" si="28"/>
        <v>0</v>
      </c>
      <c r="O68" s="82">
        <f>N68+'BM 004'!O68</f>
        <v>9864.08</v>
      </c>
      <c r="P68" s="80">
        <f t="shared" si="29"/>
        <v>7781.7</v>
      </c>
      <c r="Q68" s="82">
        <f t="shared" si="30"/>
        <v>9864.08</v>
      </c>
      <c r="R68" s="82">
        <f t="shared" si="31"/>
        <v>0</v>
      </c>
      <c r="T68" s="83"/>
    </row>
    <row r="69" spans="2:20" s="34" customFormat="1" ht="23.4">
      <c r="B69" s="87" t="s">
        <v>148</v>
      </c>
      <c r="C69" s="88" t="s">
        <v>149</v>
      </c>
      <c r="D69" s="89" t="s">
        <v>79</v>
      </c>
      <c r="E69" s="90">
        <v>233.48</v>
      </c>
      <c r="F69" s="91">
        <f>'M.C. MED. 05'!K242</f>
        <v>65.251025377507318</v>
      </c>
      <c r="G69" s="91">
        <f t="shared" si="26"/>
        <v>65.251025377507318</v>
      </c>
      <c r="H69" s="91"/>
      <c r="I69" s="79">
        <f>SUM(G69:H69)+'BM 004'!I69</f>
        <v>233.4802253775074</v>
      </c>
      <c r="J69" s="91">
        <f t="shared" si="4"/>
        <v>-2.2537750740525553E-4</v>
      </c>
      <c r="K69" s="80">
        <v>35</v>
      </c>
      <c r="L69" s="81">
        <f t="shared" si="2"/>
        <v>44.366003849999998</v>
      </c>
      <c r="M69" s="82">
        <f t="shared" si="27"/>
        <v>2894.92</v>
      </c>
      <c r="N69" s="82">
        <f t="shared" si="28"/>
        <v>2894.92</v>
      </c>
      <c r="O69" s="82">
        <f>N69+'BM 004'!O69</f>
        <v>10358.57</v>
      </c>
      <c r="P69" s="80">
        <f t="shared" si="29"/>
        <v>8171.7999999999993</v>
      </c>
      <c r="Q69" s="82">
        <f t="shared" si="30"/>
        <v>10358.57</v>
      </c>
      <c r="R69" s="82">
        <f t="shared" si="31"/>
        <v>0</v>
      </c>
    </row>
    <row r="70" spans="2:20" s="34" customFormat="1" ht="23.4">
      <c r="B70" s="87" t="s">
        <v>150</v>
      </c>
      <c r="C70" s="88" t="s">
        <v>151</v>
      </c>
      <c r="D70" s="89" t="s">
        <v>152</v>
      </c>
      <c r="E70" s="90">
        <v>190.3</v>
      </c>
      <c r="F70" s="91">
        <f>'M.C. MED. 05'!K254</f>
        <v>18.528400000000005</v>
      </c>
      <c r="G70" s="91">
        <f t="shared" si="26"/>
        <v>18.528400000000005</v>
      </c>
      <c r="H70" s="91"/>
      <c r="I70" s="79">
        <f>SUM(G70:H70)+'BM 004'!I70</f>
        <v>190.3</v>
      </c>
      <c r="J70" s="91">
        <f t="shared" si="4"/>
        <v>0</v>
      </c>
      <c r="K70" s="80">
        <v>20</v>
      </c>
      <c r="L70" s="81">
        <f t="shared" si="2"/>
        <v>25.352002200000001</v>
      </c>
      <c r="M70" s="82">
        <f t="shared" si="27"/>
        <v>469.73</v>
      </c>
      <c r="N70" s="82">
        <f t="shared" si="28"/>
        <v>469.73</v>
      </c>
      <c r="O70" s="82">
        <f>N70+'BM 004'!O70</f>
        <v>4824.4799999999996</v>
      </c>
      <c r="P70" s="80">
        <f t="shared" si="29"/>
        <v>3806</v>
      </c>
      <c r="Q70" s="82">
        <f t="shared" si="30"/>
        <v>4824.4799999999996</v>
      </c>
      <c r="R70" s="82">
        <f t="shared" si="31"/>
        <v>0</v>
      </c>
    </row>
    <row r="71" spans="2:20" s="34" customFormat="1" ht="34.799999999999997">
      <c r="B71" s="87" t="s">
        <v>153</v>
      </c>
      <c r="C71" s="88" t="s">
        <v>154</v>
      </c>
      <c r="D71" s="89" t="s">
        <v>152</v>
      </c>
      <c r="E71" s="90">
        <v>77</v>
      </c>
      <c r="F71" s="91"/>
      <c r="G71" s="91">
        <f t="shared" si="26"/>
        <v>0</v>
      </c>
      <c r="H71" s="91"/>
      <c r="I71" s="79">
        <f>SUM(G71:H71)+'BM 004'!I71</f>
        <v>77</v>
      </c>
      <c r="J71" s="91">
        <f t="shared" si="4"/>
        <v>0</v>
      </c>
      <c r="K71" s="80">
        <v>19</v>
      </c>
      <c r="L71" s="81">
        <f t="shared" si="2"/>
        <v>24.084402090000001</v>
      </c>
      <c r="M71" s="82">
        <f t="shared" si="27"/>
        <v>0</v>
      </c>
      <c r="N71" s="82">
        <f t="shared" si="28"/>
        <v>0</v>
      </c>
      <c r="O71" s="82">
        <f>N71+'BM 004'!O71</f>
        <v>1854.49</v>
      </c>
      <c r="P71" s="80">
        <f t="shared" si="29"/>
        <v>1463</v>
      </c>
      <c r="Q71" s="82">
        <f t="shared" si="30"/>
        <v>1854.49</v>
      </c>
      <c r="R71" s="82">
        <f t="shared" si="31"/>
        <v>0</v>
      </c>
    </row>
    <row r="72" spans="2:20" s="34" customFormat="1" ht="23.4">
      <c r="B72" s="87" t="s">
        <v>155</v>
      </c>
      <c r="C72" s="88" t="s">
        <v>156</v>
      </c>
      <c r="D72" s="89" t="s">
        <v>152</v>
      </c>
      <c r="E72" s="90">
        <v>566.5</v>
      </c>
      <c r="F72" s="91">
        <f>1626.96/22.183</f>
        <v>73.342649776856149</v>
      </c>
      <c r="G72" s="91">
        <f t="shared" si="26"/>
        <v>73.342649776856149</v>
      </c>
      <c r="H72" s="91"/>
      <c r="I72" s="79">
        <f>SUM(G72:H72)+'BM 004'!I72</f>
        <v>566.50014977685623</v>
      </c>
      <c r="J72" s="91">
        <f t="shared" si="4"/>
        <v>-1.497768562330748E-4</v>
      </c>
      <c r="K72" s="80">
        <v>17.5</v>
      </c>
      <c r="L72" s="81">
        <f t="shared" si="2"/>
        <v>22.183001924999999</v>
      </c>
      <c r="M72" s="82">
        <f t="shared" si="27"/>
        <v>1626.96</v>
      </c>
      <c r="N72" s="82">
        <f t="shared" si="28"/>
        <v>1626.96</v>
      </c>
      <c r="O72" s="82">
        <f>N72+'BM 004'!O72</f>
        <v>12566.669999999998</v>
      </c>
      <c r="P72" s="80">
        <f t="shared" si="29"/>
        <v>9913.75</v>
      </c>
      <c r="Q72" s="82">
        <f t="shared" si="30"/>
        <v>12566.67</v>
      </c>
      <c r="R72" s="82">
        <f t="shared" si="31"/>
        <v>0</v>
      </c>
      <c r="T72" s="83"/>
    </row>
    <row r="73" spans="2:20" s="34" customFormat="1" ht="23.4">
      <c r="B73" s="87" t="s">
        <v>157</v>
      </c>
      <c r="C73" s="88" t="s">
        <v>158</v>
      </c>
      <c r="D73" s="89" t="s">
        <v>152</v>
      </c>
      <c r="E73" s="90">
        <v>1663.2</v>
      </c>
      <c r="F73" s="91"/>
      <c r="G73" s="91">
        <f t="shared" si="26"/>
        <v>0</v>
      </c>
      <c r="H73" s="91"/>
      <c r="I73" s="79">
        <f>SUM(G73:H73)+'BM 004'!I73</f>
        <v>1663.2003</v>
      </c>
      <c r="J73" s="91">
        <f t="shared" si="4"/>
        <v>-2.9999999992469384E-4</v>
      </c>
      <c r="K73" s="80">
        <v>16</v>
      </c>
      <c r="L73" s="81">
        <f t="shared" si="2"/>
        <v>20.281601760000001</v>
      </c>
      <c r="M73" s="82">
        <f t="shared" si="27"/>
        <v>0</v>
      </c>
      <c r="N73" s="82">
        <f t="shared" si="28"/>
        <v>0</v>
      </c>
      <c r="O73" s="82">
        <f>N73+'BM 004'!O73</f>
        <v>33732.36</v>
      </c>
      <c r="P73" s="80">
        <f t="shared" si="29"/>
        <v>26611.200000000001</v>
      </c>
      <c r="Q73" s="82">
        <f t="shared" si="30"/>
        <v>33732.36</v>
      </c>
      <c r="R73" s="82">
        <f t="shared" si="31"/>
        <v>0</v>
      </c>
    </row>
    <row r="74" spans="2:20" s="34" customFormat="1" ht="23.4">
      <c r="B74" s="87" t="s">
        <v>159</v>
      </c>
      <c r="C74" s="88" t="s">
        <v>160</v>
      </c>
      <c r="D74" s="89" t="s">
        <v>152</v>
      </c>
      <c r="E74" s="90">
        <v>4944.5</v>
      </c>
      <c r="F74" s="91"/>
      <c r="G74" s="91">
        <f t="shared" si="26"/>
        <v>0</v>
      </c>
      <c r="H74" s="91"/>
      <c r="I74" s="79">
        <f>SUM(G74:H74)+'BM 004'!I74</f>
        <v>4944.5003000000006</v>
      </c>
      <c r="J74" s="91">
        <f t="shared" si="4"/>
        <v>-3.0000000060681487E-4</v>
      </c>
      <c r="K74" s="80">
        <v>14.5</v>
      </c>
      <c r="L74" s="81">
        <f t="shared" si="2"/>
        <v>18.380201595000003</v>
      </c>
      <c r="M74" s="82">
        <f t="shared" si="27"/>
        <v>0</v>
      </c>
      <c r="N74" s="82">
        <f t="shared" si="28"/>
        <v>0</v>
      </c>
      <c r="O74" s="82">
        <f>N74+'BM 004'!O74</f>
        <v>90880.9</v>
      </c>
      <c r="P74" s="80">
        <f t="shared" si="29"/>
        <v>71695.25</v>
      </c>
      <c r="Q74" s="82">
        <f t="shared" si="30"/>
        <v>90880.9</v>
      </c>
      <c r="R74" s="82">
        <f t="shared" si="31"/>
        <v>0</v>
      </c>
    </row>
    <row r="75" spans="2:20" s="34" customFormat="1" ht="23.4">
      <c r="B75" s="87" t="s">
        <v>161</v>
      </c>
      <c r="C75" s="88" t="s">
        <v>162</v>
      </c>
      <c r="D75" s="89" t="s">
        <v>152</v>
      </c>
      <c r="E75" s="90">
        <v>115.5</v>
      </c>
      <c r="F75" s="91"/>
      <c r="G75" s="91">
        <f t="shared" si="26"/>
        <v>0</v>
      </c>
      <c r="H75" s="91"/>
      <c r="I75" s="79">
        <f>SUM(G75:H75)+'BM 004'!I75</f>
        <v>115.5</v>
      </c>
      <c r="J75" s="91">
        <f t="shared" si="4"/>
        <v>0</v>
      </c>
      <c r="K75" s="94">
        <v>14.5</v>
      </c>
      <c r="L75" s="81">
        <f t="shared" si="2"/>
        <v>18.380201595000003</v>
      </c>
      <c r="M75" s="82">
        <f t="shared" si="27"/>
        <v>0</v>
      </c>
      <c r="N75" s="82">
        <f t="shared" si="28"/>
        <v>0</v>
      </c>
      <c r="O75" s="82">
        <f>N75+'BM 004'!O75</f>
        <v>2122.91</v>
      </c>
      <c r="P75" s="94">
        <f t="shared" si="29"/>
        <v>1674.75</v>
      </c>
      <c r="Q75" s="82">
        <f t="shared" si="30"/>
        <v>2122.91</v>
      </c>
      <c r="R75" s="82">
        <f t="shared" si="31"/>
        <v>0</v>
      </c>
    </row>
    <row r="76" spans="2:20" s="34" customFormat="1" ht="23.4">
      <c r="B76" s="87" t="s">
        <v>163</v>
      </c>
      <c r="C76" s="88" t="s">
        <v>164</v>
      </c>
      <c r="D76" s="89" t="s">
        <v>152</v>
      </c>
      <c r="E76" s="90">
        <v>7195.1</v>
      </c>
      <c r="F76" s="91"/>
      <c r="G76" s="91">
        <f t="shared" si="26"/>
        <v>0</v>
      </c>
      <c r="H76" s="91"/>
      <c r="I76" s="79">
        <f>SUM(G76:H76)+'BM 004'!I76</f>
        <v>7195.1005000000005</v>
      </c>
      <c r="J76" s="91">
        <f t="shared" si="4"/>
        <v>-5.0000000010186341E-4</v>
      </c>
      <c r="K76" s="80">
        <v>14</v>
      </c>
      <c r="L76" s="81">
        <f t="shared" si="2"/>
        <v>17.746401540000001</v>
      </c>
      <c r="M76" s="82">
        <f t="shared" si="27"/>
        <v>0</v>
      </c>
      <c r="N76" s="82">
        <f t="shared" si="28"/>
        <v>0</v>
      </c>
      <c r="O76" s="82">
        <f>N76+'BM 004'!O76</f>
        <v>127687.13</v>
      </c>
      <c r="P76" s="80">
        <f t="shared" si="29"/>
        <v>100731.40000000001</v>
      </c>
      <c r="Q76" s="82">
        <f t="shared" si="30"/>
        <v>127687.13</v>
      </c>
      <c r="R76" s="82">
        <f t="shared" si="31"/>
        <v>0</v>
      </c>
    </row>
    <row r="77" spans="2:20" s="34" customFormat="1" ht="34.799999999999997">
      <c r="B77" s="87" t="s">
        <v>165</v>
      </c>
      <c r="C77" s="88" t="s">
        <v>166</v>
      </c>
      <c r="D77" s="89" t="s">
        <v>79</v>
      </c>
      <c r="E77" s="90">
        <v>415.8</v>
      </c>
      <c r="F77" s="91">
        <v>28.51005</v>
      </c>
      <c r="G77" s="91">
        <f t="shared" si="26"/>
        <v>28.51005</v>
      </c>
      <c r="H77" s="91"/>
      <c r="I77" s="79">
        <f>SUM(G77:H77)+'BM 004'!I77</f>
        <v>415.80005</v>
      </c>
      <c r="J77" s="91">
        <f t="shared" si="4"/>
        <v>-4.9999999987448973E-5</v>
      </c>
      <c r="K77" s="80">
        <v>120</v>
      </c>
      <c r="L77" s="81">
        <f t="shared" si="2"/>
        <v>152.11201320000001</v>
      </c>
      <c r="M77" s="82">
        <f t="shared" si="27"/>
        <v>4336.72</v>
      </c>
      <c r="N77" s="82">
        <f t="shared" si="28"/>
        <v>4336.72</v>
      </c>
      <c r="O77" s="82">
        <f>N77+'BM 004'!O77</f>
        <v>63248.17</v>
      </c>
      <c r="P77" s="80">
        <f t="shared" si="29"/>
        <v>49896</v>
      </c>
      <c r="Q77" s="82">
        <f t="shared" si="30"/>
        <v>63248.17</v>
      </c>
      <c r="R77" s="82">
        <f t="shared" si="31"/>
        <v>0</v>
      </c>
    </row>
    <row r="78" spans="2:20" s="34" customFormat="1" ht="34.799999999999997">
      <c r="B78" s="87" t="s">
        <v>167</v>
      </c>
      <c r="C78" s="88" t="s">
        <v>168</v>
      </c>
      <c r="D78" s="89" t="s">
        <v>169</v>
      </c>
      <c r="E78" s="92">
        <v>213.07</v>
      </c>
      <c r="F78" s="91">
        <f>'M.C. MED. 05'!K376</f>
        <v>14.608930518564339</v>
      </c>
      <c r="G78" s="91">
        <f t="shared" si="26"/>
        <v>14.608930518564339</v>
      </c>
      <c r="H78" s="91"/>
      <c r="I78" s="79">
        <f>SUM(G78:H78)+'BM 004'!I78</f>
        <v>213.07001051856443</v>
      </c>
      <c r="J78" s="91">
        <f t="shared" si="4"/>
        <v>-1.051856443723409E-5</v>
      </c>
      <c r="K78" s="95">
        <v>750</v>
      </c>
      <c r="L78" s="81">
        <f t="shared" si="2"/>
        <v>950.70008250000001</v>
      </c>
      <c r="M78" s="82">
        <f t="shared" si="27"/>
        <v>13888.71</v>
      </c>
      <c r="N78" s="82">
        <f t="shared" si="28"/>
        <v>13888.71</v>
      </c>
      <c r="O78" s="82">
        <f>N78+'BM 004'!O78</f>
        <v>202565.66</v>
      </c>
      <c r="P78" s="95">
        <f t="shared" si="29"/>
        <v>159802.5</v>
      </c>
      <c r="Q78" s="82">
        <f t="shared" si="30"/>
        <v>202565.66</v>
      </c>
      <c r="R78" s="82">
        <f t="shared" si="31"/>
        <v>0</v>
      </c>
    </row>
    <row r="79" spans="2:20" s="34" customFormat="1" ht="13.2">
      <c r="B79" s="66" t="s">
        <v>170</v>
      </c>
      <c r="C79" s="67" t="s">
        <v>171</v>
      </c>
      <c r="D79" s="68"/>
      <c r="E79" s="69"/>
      <c r="F79" s="70"/>
      <c r="G79" s="70"/>
      <c r="H79" s="70"/>
      <c r="I79" s="70">
        <f>SUM(G79:H79)+'BM 004'!I79</f>
        <v>0</v>
      </c>
      <c r="J79" s="70">
        <f t="shared" si="4"/>
        <v>0</v>
      </c>
      <c r="K79" s="71"/>
      <c r="L79" s="71">
        <f t="shared" si="2"/>
        <v>0</v>
      </c>
      <c r="M79" s="73">
        <f t="shared" ref="M79:R79" si="32">SUM(M80:M93)</f>
        <v>51247.25</v>
      </c>
      <c r="N79" s="73">
        <f t="shared" si="32"/>
        <v>51247.25</v>
      </c>
      <c r="O79" s="73">
        <f t="shared" si="32"/>
        <v>190571.62</v>
      </c>
      <c r="P79" s="73">
        <f t="shared" si="32"/>
        <v>150340.54999999999</v>
      </c>
      <c r="Q79" s="73">
        <f t="shared" si="32"/>
        <v>190571.62</v>
      </c>
      <c r="R79" s="73">
        <f t="shared" si="32"/>
        <v>0</v>
      </c>
    </row>
    <row r="80" spans="2:20" s="34" customFormat="1" ht="23.4">
      <c r="B80" s="87" t="s">
        <v>172</v>
      </c>
      <c r="C80" s="88" t="s">
        <v>141</v>
      </c>
      <c r="D80" s="89" t="s">
        <v>110</v>
      </c>
      <c r="E80" s="90">
        <v>268.39999999999998</v>
      </c>
      <c r="F80" s="91">
        <v>85.89</v>
      </c>
      <c r="G80" s="91">
        <f t="shared" ref="G80:G86" si="33">F80</f>
        <v>85.89</v>
      </c>
      <c r="H80" s="91"/>
      <c r="I80" s="79">
        <f>SUM(G80:H80)+'BM 004'!I80</f>
        <v>268.39999999999998</v>
      </c>
      <c r="J80" s="91">
        <f t="shared" si="4"/>
        <v>0</v>
      </c>
      <c r="K80" s="80">
        <v>80</v>
      </c>
      <c r="L80" s="81">
        <f t="shared" si="2"/>
        <v>101.4080088</v>
      </c>
      <c r="M80" s="82">
        <f t="shared" ref="M80:M93" si="34">TRUNC(F80*L80,2)</f>
        <v>8709.93</v>
      </c>
      <c r="N80" s="82">
        <f t="shared" ref="N80:N93" si="35">TRUNC(G80*L80,2)</f>
        <v>8709.93</v>
      </c>
      <c r="O80" s="82">
        <f>N80+'BM 004'!O80</f>
        <v>27217.9</v>
      </c>
      <c r="P80" s="80">
        <f t="shared" ref="P80:P93" si="36">E80*K80</f>
        <v>21472</v>
      </c>
      <c r="Q80" s="82">
        <f t="shared" ref="Q80:Q93" si="37">TRUNC(E80*L80,2)</f>
        <v>27217.9</v>
      </c>
      <c r="R80" s="82">
        <f t="shared" ref="R80:R93" si="38">Q80-O80</f>
        <v>0</v>
      </c>
    </row>
    <row r="81" spans="2:21" s="34" customFormat="1" ht="23.4">
      <c r="B81" s="87" t="s">
        <v>173</v>
      </c>
      <c r="C81" s="88" t="s">
        <v>145</v>
      </c>
      <c r="D81" s="89" t="s">
        <v>110</v>
      </c>
      <c r="E81" s="92">
        <v>111.1</v>
      </c>
      <c r="F81" s="91">
        <v>35.550315556930599</v>
      </c>
      <c r="G81" s="91">
        <f t="shared" si="33"/>
        <v>35.550315556930599</v>
      </c>
      <c r="H81" s="91"/>
      <c r="I81" s="79">
        <f>SUM(G81:H81)+'BM 004'!I81</f>
        <v>111.10031555693061</v>
      </c>
      <c r="J81" s="91">
        <f t="shared" si="4"/>
        <v>-3.1555693061591228E-4</v>
      </c>
      <c r="K81" s="80">
        <v>25</v>
      </c>
      <c r="L81" s="81">
        <f t="shared" si="2"/>
        <v>31.690002750000001</v>
      </c>
      <c r="M81" s="82">
        <f t="shared" si="34"/>
        <v>1126.58</v>
      </c>
      <c r="N81" s="82">
        <f t="shared" si="35"/>
        <v>1126.58</v>
      </c>
      <c r="O81" s="82">
        <f>N81+'BM 004'!O81</f>
        <v>3520.75</v>
      </c>
      <c r="P81" s="80">
        <f t="shared" si="36"/>
        <v>2777.5</v>
      </c>
      <c r="Q81" s="82">
        <f t="shared" si="37"/>
        <v>3520.75</v>
      </c>
      <c r="R81" s="82">
        <f t="shared" si="38"/>
        <v>0</v>
      </c>
      <c r="T81" s="83"/>
    </row>
    <row r="82" spans="2:21" s="34" customFormat="1" ht="46.2">
      <c r="B82" s="87" t="s">
        <v>174</v>
      </c>
      <c r="C82" s="88" t="s">
        <v>126</v>
      </c>
      <c r="D82" s="89" t="s">
        <v>110</v>
      </c>
      <c r="E82" s="92">
        <v>268.39999999999998</v>
      </c>
      <c r="F82" s="91">
        <v>85.89</v>
      </c>
      <c r="G82" s="91">
        <f t="shared" si="33"/>
        <v>85.89</v>
      </c>
      <c r="H82" s="91"/>
      <c r="I82" s="79">
        <f>SUM(G82:H82)+'BM 004'!I82</f>
        <v>268.39999999999998</v>
      </c>
      <c r="J82" s="91">
        <f t="shared" si="4"/>
        <v>0</v>
      </c>
      <c r="K82" s="80">
        <v>10</v>
      </c>
      <c r="L82" s="81">
        <f t="shared" si="2"/>
        <v>12.676001100000001</v>
      </c>
      <c r="M82" s="82">
        <f t="shared" si="34"/>
        <v>1088.74</v>
      </c>
      <c r="N82" s="82">
        <f t="shared" si="35"/>
        <v>1088.74</v>
      </c>
      <c r="O82" s="82">
        <f>N82+'BM 004'!O82</f>
        <v>3402.2299999999996</v>
      </c>
      <c r="P82" s="80">
        <f t="shared" si="36"/>
        <v>2684</v>
      </c>
      <c r="Q82" s="82">
        <f t="shared" si="37"/>
        <v>3402.23</v>
      </c>
      <c r="R82" s="82">
        <f t="shared" si="38"/>
        <v>0</v>
      </c>
    </row>
    <row r="83" spans="2:21" s="34" customFormat="1" ht="34.799999999999997">
      <c r="B83" s="87" t="s">
        <v>175</v>
      </c>
      <c r="C83" s="88" t="s">
        <v>128</v>
      </c>
      <c r="D83" s="89" t="s">
        <v>113</v>
      </c>
      <c r="E83" s="90">
        <f>E82*30</f>
        <v>8051.9999999999991</v>
      </c>
      <c r="F83" s="91">
        <v>2576.64262964109</v>
      </c>
      <c r="G83" s="91">
        <f t="shared" si="33"/>
        <v>2576.64262964109</v>
      </c>
      <c r="H83" s="91"/>
      <c r="I83" s="79">
        <f>SUM(G83:H83)+'BM 004'!I83</f>
        <v>8052.0026296410897</v>
      </c>
      <c r="J83" s="91">
        <f t="shared" si="4"/>
        <v>-2.6296410906070378E-3</v>
      </c>
      <c r="K83" s="80">
        <v>3</v>
      </c>
      <c r="L83" s="81">
        <f t="shared" si="2"/>
        <v>3.8028003300000002</v>
      </c>
      <c r="M83" s="82">
        <f t="shared" si="34"/>
        <v>9798.4500000000007</v>
      </c>
      <c r="N83" s="82">
        <f t="shared" si="35"/>
        <v>9798.4500000000007</v>
      </c>
      <c r="O83" s="82">
        <f>N83+'BM 004'!O83</f>
        <v>30620.140000000003</v>
      </c>
      <c r="P83" s="80">
        <f t="shared" si="36"/>
        <v>24155.999999999996</v>
      </c>
      <c r="Q83" s="82">
        <f t="shared" si="37"/>
        <v>30620.14</v>
      </c>
      <c r="R83" s="82">
        <f t="shared" si="38"/>
        <v>0</v>
      </c>
      <c r="T83" s="83"/>
    </row>
    <row r="84" spans="2:21" s="34" customFormat="1" ht="34.799999999999997">
      <c r="B84" s="87" t="s">
        <v>176</v>
      </c>
      <c r="C84" s="88" t="s">
        <v>177</v>
      </c>
      <c r="D84" s="89" t="s">
        <v>79</v>
      </c>
      <c r="E84" s="90">
        <v>243.1</v>
      </c>
      <c r="F84" s="91">
        <v>77.880225397807607</v>
      </c>
      <c r="G84" s="91">
        <f t="shared" si="33"/>
        <v>77.880225397807607</v>
      </c>
      <c r="H84" s="91"/>
      <c r="I84" s="79">
        <f>SUM(G84:H84)+'BM 004'!I84</f>
        <v>243.10022539780761</v>
      </c>
      <c r="J84" s="91">
        <f t="shared" si="4"/>
        <v>-2.2539780761121619E-4</v>
      </c>
      <c r="K84" s="80">
        <v>35</v>
      </c>
      <c r="L84" s="81">
        <f t="shared" si="2"/>
        <v>44.366003849999998</v>
      </c>
      <c r="M84" s="82">
        <f t="shared" si="34"/>
        <v>3455.23</v>
      </c>
      <c r="N84" s="82">
        <f t="shared" si="35"/>
        <v>3455.23</v>
      </c>
      <c r="O84" s="82">
        <f>N84+'BM 004'!O84</f>
        <v>10785.369999999999</v>
      </c>
      <c r="P84" s="80">
        <f t="shared" si="36"/>
        <v>8508.5</v>
      </c>
      <c r="Q84" s="82">
        <f t="shared" si="37"/>
        <v>10785.37</v>
      </c>
      <c r="R84" s="82">
        <f t="shared" si="38"/>
        <v>0</v>
      </c>
      <c r="T84" s="83"/>
    </row>
    <row r="85" spans="2:21" s="34" customFormat="1" ht="23.4">
      <c r="B85" s="87" t="s">
        <v>178</v>
      </c>
      <c r="C85" s="88" t="s">
        <v>151</v>
      </c>
      <c r="D85" s="89" t="s">
        <v>152</v>
      </c>
      <c r="E85" s="90">
        <v>185.9</v>
      </c>
      <c r="F85" s="91"/>
      <c r="G85" s="91">
        <f t="shared" si="33"/>
        <v>0</v>
      </c>
      <c r="H85" s="91"/>
      <c r="I85" s="79">
        <f>SUM(G85:H85)+'BM 004'!I85</f>
        <v>185.9</v>
      </c>
      <c r="J85" s="91">
        <f t="shared" si="4"/>
        <v>0</v>
      </c>
      <c r="K85" s="80">
        <v>20</v>
      </c>
      <c r="L85" s="81">
        <f t="shared" si="2"/>
        <v>25.352002200000001</v>
      </c>
      <c r="M85" s="82">
        <f t="shared" si="34"/>
        <v>0</v>
      </c>
      <c r="N85" s="82">
        <f t="shared" si="35"/>
        <v>0</v>
      </c>
      <c r="O85" s="82">
        <f>N85+'BM 004'!O85</f>
        <v>4712.93</v>
      </c>
      <c r="P85" s="80">
        <f t="shared" si="36"/>
        <v>3718</v>
      </c>
      <c r="Q85" s="82">
        <f t="shared" si="37"/>
        <v>4712.93</v>
      </c>
      <c r="R85" s="82">
        <f t="shared" si="38"/>
        <v>0</v>
      </c>
    </row>
    <row r="86" spans="2:21" s="34" customFormat="1" ht="23.4">
      <c r="B86" s="87" t="s">
        <v>179</v>
      </c>
      <c r="C86" s="88" t="s">
        <v>180</v>
      </c>
      <c r="D86" s="89" t="s">
        <v>152</v>
      </c>
      <c r="E86" s="90">
        <v>199.1</v>
      </c>
      <c r="F86" s="91"/>
      <c r="G86" s="91">
        <f t="shared" si="33"/>
        <v>0</v>
      </c>
      <c r="H86" s="91"/>
      <c r="I86" s="79">
        <f>SUM(G86:H86)+'BM 004'!I86</f>
        <v>199.1</v>
      </c>
      <c r="J86" s="91">
        <f t="shared" si="4"/>
        <v>0</v>
      </c>
      <c r="K86" s="80">
        <v>19</v>
      </c>
      <c r="L86" s="81">
        <f t="shared" si="2"/>
        <v>24.084402090000001</v>
      </c>
      <c r="M86" s="82">
        <f t="shared" si="34"/>
        <v>0</v>
      </c>
      <c r="N86" s="82">
        <f t="shared" si="35"/>
        <v>0</v>
      </c>
      <c r="O86" s="82">
        <f>N86+'BM 004'!O86</f>
        <v>4795.2</v>
      </c>
      <c r="P86" s="80">
        <f t="shared" si="36"/>
        <v>3782.9</v>
      </c>
      <c r="Q86" s="82">
        <f t="shared" si="37"/>
        <v>4795.2</v>
      </c>
      <c r="R86" s="82">
        <f t="shared" si="38"/>
        <v>0</v>
      </c>
    </row>
    <row r="87" spans="2:21" s="34" customFormat="1" ht="23.4">
      <c r="B87" s="87" t="s">
        <v>181</v>
      </c>
      <c r="C87" s="88" t="s">
        <v>156</v>
      </c>
      <c r="D87" s="89" t="s">
        <v>152</v>
      </c>
      <c r="E87" s="90">
        <v>378.4</v>
      </c>
      <c r="F87" s="91"/>
      <c r="G87" s="91"/>
      <c r="H87" s="91"/>
      <c r="I87" s="79">
        <f>SUM(G87:H87)+'BM 004'!I87</f>
        <v>378.4</v>
      </c>
      <c r="J87" s="91">
        <f t="shared" si="4"/>
        <v>0</v>
      </c>
      <c r="K87" s="80">
        <v>17.5</v>
      </c>
      <c r="L87" s="81">
        <f t="shared" si="2"/>
        <v>22.183001924999999</v>
      </c>
      <c r="M87" s="82">
        <f t="shared" si="34"/>
        <v>0</v>
      </c>
      <c r="N87" s="82">
        <f t="shared" si="35"/>
        <v>0</v>
      </c>
      <c r="O87" s="82">
        <f>N87+'BM 004'!O87</f>
        <v>8394.0400000000009</v>
      </c>
      <c r="P87" s="80">
        <f t="shared" si="36"/>
        <v>6622</v>
      </c>
      <c r="Q87" s="82">
        <f t="shared" si="37"/>
        <v>8394.0400000000009</v>
      </c>
      <c r="R87" s="82">
        <f t="shared" si="38"/>
        <v>0</v>
      </c>
    </row>
    <row r="88" spans="2:21" s="34" customFormat="1" ht="23.4">
      <c r="B88" s="87" t="s">
        <v>182</v>
      </c>
      <c r="C88" s="88" t="s">
        <v>158</v>
      </c>
      <c r="D88" s="89" t="s">
        <v>152</v>
      </c>
      <c r="E88" s="90">
        <v>445.5</v>
      </c>
      <c r="F88" s="91"/>
      <c r="G88" s="91">
        <f>F88</f>
        <v>0</v>
      </c>
      <c r="H88" s="91"/>
      <c r="I88" s="79">
        <f>SUM(G88:H88)+'BM 004'!I88</f>
        <v>445.50009999999997</v>
      </c>
      <c r="J88" s="91">
        <f t="shared" si="4"/>
        <v>-9.9999999974897946E-5</v>
      </c>
      <c r="K88" s="80">
        <v>16</v>
      </c>
      <c r="L88" s="81">
        <f t="shared" si="2"/>
        <v>20.281601760000001</v>
      </c>
      <c r="M88" s="82">
        <f t="shared" si="34"/>
        <v>0</v>
      </c>
      <c r="N88" s="82">
        <f t="shared" si="35"/>
        <v>0</v>
      </c>
      <c r="O88" s="82">
        <f>N88+'BM 004'!O88</f>
        <v>9035.4500000000007</v>
      </c>
      <c r="P88" s="80">
        <f t="shared" si="36"/>
        <v>7128</v>
      </c>
      <c r="Q88" s="82">
        <f t="shared" si="37"/>
        <v>9035.4500000000007</v>
      </c>
      <c r="R88" s="82">
        <f t="shared" si="38"/>
        <v>0</v>
      </c>
    </row>
    <row r="89" spans="2:21" s="34" customFormat="1" ht="23.4">
      <c r="B89" s="87" t="s">
        <v>183</v>
      </c>
      <c r="C89" s="88" t="s">
        <v>160</v>
      </c>
      <c r="D89" s="89" t="s">
        <v>152</v>
      </c>
      <c r="E89" s="90">
        <v>177.1</v>
      </c>
      <c r="F89" s="91"/>
      <c r="G89" s="91"/>
      <c r="H89" s="91"/>
      <c r="I89" s="79">
        <f>SUM(G89:H89)+'BM 004'!I89</f>
        <v>177.1</v>
      </c>
      <c r="J89" s="91">
        <f t="shared" si="4"/>
        <v>0</v>
      </c>
      <c r="K89" s="80">
        <v>14.5</v>
      </c>
      <c r="L89" s="81">
        <f t="shared" si="2"/>
        <v>18.380201595000003</v>
      </c>
      <c r="M89" s="82">
        <f t="shared" si="34"/>
        <v>0</v>
      </c>
      <c r="N89" s="82">
        <f t="shared" si="35"/>
        <v>0</v>
      </c>
      <c r="O89" s="82">
        <f>N89+'BM 004'!O89</f>
        <v>3255.13</v>
      </c>
      <c r="P89" s="80">
        <f t="shared" si="36"/>
        <v>2567.9499999999998</v>
      </c>
      <c r="Q89" s="82">
        <f t="shared" si="37"/>
        <v>3255.13</v>
      </c>
      <c r="R89" s="82">
        <f t="shared" si="38"/>
        <v>0</v>
      </c>
    </row>
    <row r="90" spans="2:21" s="34" customFormat="1" ht="23.4">
      <c r="B90" s="87" t="s">
        <v>184</v>
      </c>
      <c r="C90" s="88" t="s">
        <v>162</v>
      </c>
      <c r="D90" s="89" t="s">
        <v>152</v>
      </c>
      <c r="E90" s="90">
        <v>61.6</v>
      </c>
      <c r="F90" s="91"/>
      <c r="G90" s="91"/>
      <c r="H90" s="91"/>
      <c r="I90" s="79">
        <f>SUM(G90:H90)+'BM 004'!I90</f>
        <v>61.6</v>
      </c>
      <c r="J90" s="91">
        <f t="shared" si="4"/>
        <v>0</v>
      </c>
      <c r="K90" s="94">
        <v>14.5</v>
      </c>
      <c r="L90" s="81">
        <f t="shared" si="2"/>
        <v>18.380201595000003</v>
      </c>
      <c r="M90" s="82">
        <f t="shared" si="34"/>
        <v>0</v>
      </c>
      <c r="N90" s="82">
        <f t="shared" si="35"/>
        <v>0</v>
      </c>
      <c r="O90" s="82">
        <f>N90+'BM 004'!O90</f>
        <v>1132.22</v>
      </c>
      <c r="P90" s="80">
        <f t="shared" si="36"/>
        <v>893.2</v>
      </c>
      <c r="Q90" s="82">
        <f t="shared" si="37"/>
        <v>1132.22</v>
      </c>
      <c r="R90" s="82">
        <f t="shared" si="38"/>
        <v>0</v>
      </c>
    </row>
    <row r="91" spans="2:21" s="34" customFormat="1" ht="34.799999999999997">
      <c r="B91" s="87" t="s">
        <v>185</v>
      </c>
      <c r="C91" s="88" t="s">
        <v>186</v>
      </c>
      <c r="D91" s="89" t="s">
        <v>79</v>
      </c>
      <c r="E91" s="90">
        <v>299.2</v>
      </c>
      <c r="F91" s="91">
        <v>96.490056349451905</v>
      </c>
      <c r="G91" s="91">
        <f>F91</f>
        <v>96.490056349451905</v>
      </c>
      <c r="H91" s="91"/>
      <c r="I91" s="79">
        <f>SUM(G91:H91)+'BM 004'!I91</f>
        <v>299.20005634945187</v>
      </c>
      <c r="J91" s="91">
        <f t="shared" si="4"/>
        <v>-5.6349451881487767E-5</v>
      </c>
      <c r="K91" s="80">
        <v>140</v>
      </c>
      <c r="L91" s="81">
        <f t="shared" si="2"/>
        <v>177.46401539999999</v>
      </c>
      <c r="M91" s="82">
        <f t="shared" si="34"/>
        <v>17123.509999999998</v>
      </c>
      <c r="N91" s="82">
        <f t="shared" si="35"/>
        <v>17123.509999999998</v>
      </c>
      <c r="O91" s="82">
        <f>N91+'BM 004'!O91</f>
        <v>53097.229999999996</v>
      </c>
      <c r="P91" s="80">
        <f t="shared" si="36"/>
        <v>41888</v>
      </c>
      <c r="Q91" s="82">
        <f t="shared" si="37"/>
        <v>53097.23</v>
      </c>
      <c r="R91" s="82">
        <f t="shared" si="38"/>
        <v>0</v>
      </c>
      <c r="T91" s="83"/>
      <c r="U91" s="83"/>
    </row>
    <row r="92" spans="2:21" s="34" customFormat="1" ht="23.4">
      <c r="B92" s="87" t="s">
        <v>187</v>
      </c>
      <c r="C92" s="88" t="s">
        <v>188</v>
      </c>
      <c r="D92" s="89" t="s">
        <v>169</v>
      </c>
      <c r="E92" s="92">
        <v>22.99</v>
      </c>
      <c r="F92" s="91">
        <f>'M.C. MED. 05'!K479</f>
        <v>7.4605105185643525</v>
      </c>
      <c r="G92" s="91">
        <f>F92</f>
        <v>7.4605105185643525</v>
      </c>
      <c r="H92" s="91"/>
      <c r="I92" s="79">
        <f>SUM(G92:H92)+'BM 004'!I92</f>
        <v>22.990010518564347</v>
      </c>
      <c r="J92" s="91">
        <f t="shared" si="4"/>
        <v>-1.0518564348416248E-5</v>
      </c>
      <c r="K92" s="95">
        <v>750</v>
      </c>
      <c r="L92" s="81">
        <f t="shared" si="2"/>
        <v>950.70008250000001</v>
      </c>
      <c r="M92" s="82">
        <f t="shared" si="34"/>
        <v>7092.7</v>
      </c>
      <c r="N92" s="82">
        <f t="shared" si="35"/>
        <v>7092.7</v>
      </c>
      <c r="O92" s="82">
        <f>N92+'BM 004'!O92</f>
        <v>21856.59</v>
      </c>
      <c r="P92" s="80">
        <f t="shared" si="36"/>
        <v>17242.5</v>
      </c>
      <c r="Q92" s="82">
        <f t="shared" si="37"/>
        <v>21856.59</v>
      </c>
      <c r="R92" s="82">
        <f t="shared" si="38"/>
        <v>0</v>
      </c>
      <c r="T92" s="83"/>
      <c r="U92" s="83"/>
    </row>
    <row r="93" spans="2:21" s="34" customFormat="1" ht="23.4">
      <c r="B93" s="87" t="s">
        <v>189</v>
      </c>
      <c r="C93" s="88" t="s">
        <v>190</v>
      </c>
      <c r="D93" s="89" t="s">
        <v>63</v>
      </c>
      <c r="E93" s="92">
        <v>230</v>
      </c>
      <c r="F93" s="91">
        <v>75.000262964108899</v>
      </c>
      <c r="G93" s="91">
        <f>F93</f>
        <v>75.000262964108899</v>
      </c>
      <c r="H93" s="91"/>
      <c r="I93" s="79">
        <f>SUM(G93:H93)+'BM 004'!I93</f>
        <v>230.00026296410891</v>
      </c>
      <c r="J93" s="91">
        <f t="shared" si="4"/>
        <v>-2.6296410891291089E-4</v>
      </c>
      <c r="K93" s="80">
        <v>30</v>
      </c>
      <c r="L93" s="81">
        <f t="shared" ref="L93:L156" si="39">K93*(1+$T$26)</f>
        <v>38.028003300000002</v>
      </c>
      <c r="M93" s="82">
        <f t="shared" si="34"/>
        <v>2852.11</v>
      </c>
      <c r="N93" s="82">
        <f t="shared" si="35"/>
        <v>2852.11</v>
      </c>
      <c r="O93" s="82">
        <f>N93+'BM 004'!O93</f>
        <v>8746.44</v>
      </c>
      <c r="P93" s="80">
        <f t="shared" si="36"/>
        <v>6900</v>
      </c>
      <c r="Q93" s="82">
        <f t="shared" si="37"/>
        <v>8746.44</v>
      </c>
      <c r="R93" s="82">
        <f t="shared" si="38"/>
        <v>0</v>
      </c>
      <c r="T93" s="83"/>
      <c r="U93" s="83"/>
    </row>
    <row r="94" spans="2:21" s="34" customFormat="1" ht="13.2">
      <c r="B94" s="60" t="s">
        <v>191</v>
      </c>
      <c r="C94" s="61" t="s">
        <v>192</v>
      </c>
      <c r="D94" s="60"/>
      <c r="E94" s="62"/>
      <c r="F94" s="63"/>
      <c r="G94" s="63"/>
      <c r="H94" s="63"/>
      <c r="I94" s="63">
        <f>SUM(G94:H94)+'BM 004'!I94</f>
        <v>0</v>
      </c>
      <c r="J94" s="63">
        <f t="shared" si="4"/>
        <v>0</v>
      </c>
      <c r="K94" s="63"/>
      <c r="L94" s="63">
        <f t="shared" si="39"/>
        <v>0</v>
      </c>
      <c r="M94" s="63">
        <f t="shared" ref="M94:R94" si="40">SUM(M95,M107,M120)</f>
        <v>699181.93</v>
      </c>
      <c r="N94" s="63">
        <f t="shared" si="40"/>
        <v>699181.93</v>
      </c>
      <c r="O94" s="63">
        <f t="shared" si="40"/>
        <v>975803.46</v>
      </c>
      <c r="P94" s="63">
        <f t="shared" si="40"/>
        <v>4541959.5</v>
      </c>
      <c r="Q94" s="63">
        <f t="shared" si="40"/>
        <v>5757388.21</v>
      </c>
      <c r="R94" s="63">
        <f t="shared" si="40"/>
        <v>4781584.7500000009</v>
      </c>
    </row>
    <row r="95" spans="2:21" s="34" customFormat="1" ht="13.2">
      <c r="B95" s="66" t="s">
        <v>193</v>
      </c>
      <c r="C95" s="67" t="s">
        <v>194</v>
      </c>
      <c r="D95" s="68"/>
      <c r="E95" s="69"/>
      <c r="F95" s="70"/>
      <c r="G95" s="70"/>
      <c r="H95" s="70"/>
      <c r="I95" s="70">
        <f>SUM(G95:H95)+'BM 004'!I95</f>
        <v>0</v>
      </c>
      <c r="J95" s="70">
        <f t="shared" ref="J95:J158" si="41">E95-I95</f>
        <v>0</v>
      </c>
      <c r="K95" s="71"/>
      <c r="L95" s="71">
        <f t="shared" si="39"/>
        <v>0</v>
      </c>
      <c r="M95" s="73">
        <f t="shared" ref="M95:R95" si="42">SUM(M96:M106)</f>
        <v>240738.58000000002</v>
      </c>
      <c r="N95" s="73">
        <f t="shared" si="42"/>
        <v>240738.58000000002</v>
      </c>
      <c r="O95" s="73">
        <f t="shared" si="42"/>
        <v>292121.07</v>
      </c>
      <c r="P95" s="73">
        <f t="shared" si="42"/>
        <v>1372038.75</v>
      </c>
      <c r="Q95" s="73">
        <f t="shared" si="42"/>
        <v>1739196.42</v>
      </c>
      <c r="R95" s="73">
        <f t="shared" si="42"/>
        <v>1447075.35</v>
      </c>
    </row>
    <row r="96" spans="2:21" s="34" customFormat="1" ht="34.799999999999997">
      <c r="B96" s="87" t="s">
        <v>195</v>
      </c>
      <c r="C96" s="88" t="s">
        <v>196</v>
      </c>
      <c r="D96" s="89" t="s">
        <v>79</v>
      </c>
      <c r="E96" s="92">
        <v>3575</v>
      </c>
      <c r="F96" s="91">
        <f>'M.C. MED. 05'!K510</f>
        <v>434.07</v>
      </c>
      <c r="G96" s="91">
        <f t="shared" ref="G96:G106" si="43">F96</f>
        <v>434.07</v>
      </c>
      <c r="H96" s="91"/>
      <c r="I96" s="79">
        <f>SUM(G96:H96)+'BM 004'!I96</f>
        <v>434.07</v>
      </c>
      <c r="J96" s="91">
        <f t="shared" si="41"/>
        <v>3140.93</v>
      </c>
      <c r="K96" s="80">
        <v>130</v>
      </c>
      <c r="L96" s="81">
        <f t="shared" si="39"/>
        <v>164.78801430000001</v>
      </c>
      <c r="M96" s="82">
        <f t="shared" ref="M96:M106" si="44">TRUNC(F96*L96,2)</f>
        <v>71529.53</v>
      </c>
      <c r="N96" s="82">
        <f t="shared" ref="N96:N106" si="45">TRUNC(G96*L96,2)</f>
        <v>71529.53</v>
      </c>
      <c r="O96" s="82">
        <f>N96+'BM 004'!O96</f>
        <v>71529.53</v>
      </c>
      <c r="P96" s="80">
        <f t="shared" ref="P96:P106" si="46">E96*K96</f>
        <v>464750</v>
      </c>
      <c r="Q96" s="82">
        <f t="shared" ref="Q96:Q106" si="47">TRUNC(E96*L96,2)</f>
        <v>589117.15</v>
      </c>
      <c r="R96" s="82">
        <f t="shared" ref="R96:R106" si="48">Q96-O96</f>
        <v>517587.62</v>
      </c>
    </row>
    <row r="97" spans="2:20" s="34" customFormat="1" ht="46.2">
      <c r="B97" s="87" t="s">
        <v>197</v>
      </c>
      <c r="C97" s="88" t="s">
        <v>198</v>
      </c>
      <c r="D97" s="89" t="s">
        <v>152</v>
      </c>
      <c r="E97" s="90">
        <v>2130.6999999999998</v>
      </c>
      <c r="F97" s="91">
        <f>'M.C. MED. 05'!K523</f>
        <v>111.63</v>
      </c>
      <c r="G97" s="91">
        <f t="shared" si="43"/>
        <v>111.63</v>
      </c>
      <c r="H97" s="91"/>
      <c r="I97" s="79">
        <f>SUM(G97:H97)+'BM 004'!I97</f>
        <v>296.95</v>
      </c>
      <c r="J97" s="91">
        <f t="shared" si="41"/>
        <v>1833.7499999999998</v>
      </c>
      <c r="K97" s="80">
        <v>20</v>
      </c>
      <c r="L97" s="81">
        <f t="shared" si="39"/>
        <v>25.352002200000001</v>
      </c>
      <c r="M97" s="82">
        <f t="shared" si="44"/>
        <v>2830.04</v>
      </c>
      <c r="N97" s="82">
        <f t="shared" si="45"/>
        <v>2830.04</v>
      </c>
      <c r="O97" s="82">
        <f>N97+'BM 004'!O97</f>
        <v>7528.2699999999995</v>
      </c>
      <c r="P97" s="80">
        <f t="shared" si="46"/>
        <v>42614</v>
      </c>
      <c r="Q97" s="82">
        <f t="shared" si="47"/>
        <v>54017.51</v>
      </c>
      <c r="R97" s="82">
        <f t="shared" si="48"/>
        <v>46489.240000000005</v>
      </c>
    </row>
    <row r="98" spans="2:20" s="34" customFormat="1" ht="46.2">
      <c r="B98" s="87" t="s">
        <v>199</v>
      </c>
      <c r="C98" s="88" t="s">
        <v>200</v>
      </c>
      <c r="D98" s="89" t="s">
        <v>152</v>
      </c>
      <c r="E98" s="90">
        <v>3031.6</v>
      </c>
      <c r="F98" s="91">
        <f>'M.C. MED. 05'!K536</f>
        <v>233.92</v>
      </c>
      <c r="G98" s="91">
        <f t="shared" si="43"/>
        <v>233.92</v>
      </c>
      <c r="H98" s="91"/>
      <c r="I98" s="79">
        <f>SUM(G98:H98)+'BM 004'!I98</f>
        <v>469.19</v>
      </c>
      <c r="J98" s="91">
        <f t="shared" si="41"/>
        <v>2562.41</v>
      </c>
      <c r="K98" s="80">
        <v>19</v>
      </c>
      <c r="L98" s="81">
        <f t="shared" si="39"/>
        <v>24.084402090000001</v>
      </c>
      <c r="M98" s="82">
        <f t="shared" si="44"/>
        <v>5633.82</v>
      </c>
      <c r="N98" s="82">
        <f t="shared" si="45"/>
        <v>5633.82</v>
      </c>
      <c r="O98" s="82">
        <f>N98+'BM 004'!O98</f>
        <v>11300.15</v>
      </c>
      <c r="P98" s="80">
        <f t="shared" si="46"/>
        <v>57600.4</v>
      </c>
      <c r="Q98" s="82">
        <f t="shared" si="47"/>
        <v>73014.27</v>
      </c>
      <c r="R98" s="82">
        <f t="shared" si="48"/>
        <v>61714.12</v>
      </c>
    </row>
    <row r="99" spans="2:20" s="34" customFormat="1" ht="46.2">
      <c r="B99" s="87" t="s">
        <v>201</v>
      </c>
      <c r="C99" s="88" t="s">
        <v>202</v>
      </c>
      <c r="D99" s="89" t="s">
        <v>152</v>
      </c>
      <c r="E99" s="90">
        <v>5608.9</v>
      </c>
      <c r="F99" s="91">
        <f>'M.C. MED. 05'!K550</f>
        <v>928.57</v>
      </c>
      <c r="G99" s="91">
        <f t="shared" si="43"/>
        <v>928.57</v>
      </c>
      <c r="H99" s="91"/>
      <c r="I99" s="79">
        <f>SUM(G99:H99)+'BM 004'!I99</f>
        <v>1294.4100000000001</v>
      </c>
      <c r="J99" s="91">
        <f t="shared" si="41"/>
        <v>4314.49</v>
      </c>
      <c r="K99" s="80">
        <v>17.5</v>
      </c>
      <c r="L99" s="81">
        <f t="shared" si="39"/>
        <v>22.183001924999999</v>
      </c>
      <c r="M99" s="82">
        <f t="shared" si="44"/>
        <v>20598.47</v>
      </c>
      <c r="N99" s="82">
        <f t="shared" si="45"/>
        <v>20598.47</v>
      </c>
      <c r="O99" s="82">
        <f>N99+'BM 004'!O99</f>
        <v>28713.89</v>
      </c>
      <c r="P99" s="80">
        <f t="shared" si="46"/>
        <v>98155.75</v>
      </c>
      <c r="Q99" s="82">
        <f t="shared" si="47"/>
        <v>124422.23</v>
      </c>
      <c r="R99" s="82">
        <f t="shared" si="48"/>
        <v>95708.34</v>
      </c>
    </row>
    <row r="100" spans="2:20" s="34" customFormat="1" ht="46.2">
      <c r="B100" s="87" t="s">
        <v>203</v>
      </c>
      <c r="C100" s="88" t="s">
        <v>204</v>
      </c>
      <c r="D100" s="89" t="s">
        <v>152</v>
      </c>
      <c r="E100" s="90">
        <v>4215.2</v>
      </c>
      <c r="F100" s="91">
        <f>'M.C. MED. 05'!K563</f>
        <v>274.87</v>
      </c>
      <c r="G100" s="91">
        <f t="shared" si="43"/>
        <v>274.87</v>
      </c>
      <c r="H100" s="91"/>
      <c r="I100" s="79">
        <f>SUM(G100:H100)+'BM 004'!I100</f>
        <v>397.71000000000004</v>
      </c>
      <c r="J100" s="91">
        <f t="shared" si="41"/>
        <v>3817.49</v>
      </c>
      <c r="K100" s="80">
        <v>16</v>
      </c>
      <c r="L100" s="81">
        <f t="shared" si="39"/>
        <v>20.281601760000001</v>
      </c>
      <c r="M100" s="82">
        <f t="shared" si="44"/>
        <v>5574.8</v>
      </c>
      <c r="N100" s="82">
        <f t="shared" si="45"/>
        <v>5574.8</v>
      </c>
      <c r="O100" s="82">
        <f>N100+'BM 004'!O100</f>
        <v>8066.1900000000005</v>
      </c>
      <c r="P100" s="80">
        <f t="shared" si="46"/>
        <v>67443.199999999997</v>
      </c>
      <c r="Q100" s="82">
        <f t="shared" si="47"/>
        <v>85491</v>
      </c>
      <c r="R100" s="82">
        <f t="shared" si="48"/>
        <v>77424.81</v>
      </c>
    </row>
    <row r="101" spans="2:20" s="34" customFormat="1" ht="46.2">
      <c r="B101" s="87" t="s">
        <v>205</v>
      </c>
      <c r="C101" s="88" t="s">
        <v>206</v>
      </c>
      <c r="D101" s="89" t="s">
        <v>152</v>
      </c>
      <c r="E101" s="90">
        <v>3267</v>
      </c>
      <c r="F101" s="91">
        <f>'M.C. MED. 05'!K578</f>
        <v>1762.79</v>
      </c>
      <c r="G101" s="91">
        <f t="shared" si="43"/>
        <v>1762.79</v>
      </c>
      <c r="H101" s="91"/>
      <c r="I101" s="79">
        <f>SUM(G101:H101)+'BM 004'!I101</f>
        <v>1933.33</v>
      </c>
      <c r="J101" s="91">
        <f t="shared" si="41"/>
        <v>1333.67</v>
      </c>
      <c r="K101" s="80">
        <v>14.5</v>
      </c>
      <c r="L101" s="81">
        <f t="shared" si="39"/>
        <v>18.380201595000003</v>
      </c>
      <c r="M101" s="82">
        <f t="shared" si="44"/>
        <v>32400.43</v>
      </c>
      <c r="N101" s="82">
        <f t="shared" si="45"/>
        <v>32400.43</v>
      </c>
      <c r="O101" s="82">
        <f>N101+'BM 004'!O101</f>
        <v>35534.980000000003</v>
      </c>
      <c r="P101" s="80">
        <f t="shared" si="46"/>
        <v>47371.5</v>
      </c>
      <c r="Q101" s="82">
        <f t="shared" si="47"/>
        <v>60048.11</v>
      </c>
      <c r="R101" s="82">
        <f t="shared" si="48"/>
        <v>24513.129999999997</v>
      </c>
      <c r="T101" s="96"/>
    </row>
    <row r="102" spans="2:20" s="34" customFormat="1" ht="46.2">
      <c r="B102" s="87" t="s">
        <v>207</v>
      </c>
      <c r="C102" s="88" t="s">
        <v>208</v>
      </c>
      <c r="D102" s="89" t="s">
        <v>152</v>
      </c>
      <c r="E102" s="90">
        <v>8421.6</v>
      </c>
      <c r="F102" s="91">
        <f>'M.C. MED. 05'!K591</f>
        <v>722.09</v>
      </c>
      <c r="G102" s="91">
        <f t="shared" si="43"/>
        <v>722.09</v>
      </c>
      <c r="H102" s="91"/>
      <c r="I102" s="79">
        <f>SUM(G102:H102)+'BM 004'!I102</f>
        <v>1515.35</v>
      </c>
      <c r="J102" s="91">
        <f t="shared" si="41"/>
        <v>6906.25</v>
      </c>
      <c r="K102" s="94">
        <v>14.5</v>
      </c>
      <c r="L102" s="81">
        <f t="shared" si="39"/>
        <v>18.380201595000003</v>
      </c>
      <c r="M102" s="82">
        <f t="shared" si="44"/>
        <v>13272.15</v>
      </c>
      <c r="N102" s="82">
        <f t="shared" si="45"/>
        <v>13272.15</v>
      </c>
      <c r="O102" s="82">
        <f>N102+'BM 004'!O102</f>
        <v>27852.42</v>
      </c>
      <c r="P102" s="80">
        <f t="shared" si="46"/>
        <v>122113.20000000001</v>
      </c>
      <c r="Q102" s="82">
        <f t="shared" si="47"/>
        <v>154790.70000000001</v>
      </c>
      <c r="R102" s="82">
        <f t="shared" si="48"/>
        <v>126938.28000000001</v>
      </c>
      <c r="T102" s="96"/>
    </row>
    <row r="103" spans="2:20" s="34" customFormat="1" ht="46.2">
      <c r="B103" s="87" t="s">
        <v>209</v>
      </c>
      <c r="C103" s="88" t="s">
        <v>210</v>
      </c>
      <c r="D103" s="89" t="s">
        <v>152</v>
      </c>
      <c r="E103" s="92">
        <v>7144.5</v>
      </c>
      <c r="F103" s="91">
        <f>'M.C. MED. 05'!K605</f>
        <v>1204.3900000000001</v>
      </c>
      <c r="G103" s="91">
        <f t="shared" si="43"/>
        <v>1204.3900000000001</v>
      </c>
      <c r="H103" s="91"/>
      <c r="I103" s="79">
        <f>SUM(G103:H103)+'BM 004'!I103</f>
        <v>1665.5300000000002</v>
      </c>
      <c r="J103" s="91">
        <f t="shared" si="41"/>
        <v>5478.9699999999993</v>
      </c>
      <c r="K103" s="80">
        <v>14</v>
      </c>
      <c r="L103" s="81">
        <f t="shared" si="39"/>
        <v>17.746401540000001</v>
      </c>
      <c r="M103" s="82">
        <f t="shared" si="44"/>
        <v>21373.58</v>
      </c>
      <c r="N103" s="82">
        <f t="shared" si="45"/>
        <v>21373.58</v>
      </c>
      <c r="O103" s="82">
        <f>N103+'BM 004'!O103</f>
        <v>29557.15</v>
      </c>
      <c r="P103" s="80">
        <f t="shared" si="46"/>
        <v>100023</v>
      </c>
      <c r="Q103" s="82">
        <f t="shared" si="47"/>
        <v>126789.16</v>
      </c>
      <c r="R103" s="82">
        <f t="shared" si="48"/>
        <v>97232.010000000009</v>
      </c>
      <c r="T103" s="96"/>
    </row>
    <row r="104" spans="2:20" s="34" customFormat="1" ht="46.2">
      <c r="B104" s="87" t="s">
        <v>211</v>
      </c>
      <c r="C104" s="88" t="s">
        <v>212</v>
      </c>
      <c r="D104" s="89" t="s">
        <v>152</v>
      </c>
      <c r="E104" s="92">
        <v>6531.8</v>
      </c>
      <c r="F104" s="91">
        <f>'M.C. MED. 05'!K619</f>
        <v>1975.04</v>
      </c>
      <c r="G104" s="91">
        <f t="shared" si="43"/>
        <v>1975.04</v>
      </c>
      <c r="H104" s="91"/>
      <c r="I104" s="79">
        <f>SUM(G104:H104)+'BM 004'!I104</f>
        <v>2229.33</v>
      </c>
      <c r="J104" s="91">
        <f t="shared" si="41"/>
        <v>4302.47</v>
      </c>
      <c r="K104" s="95">
        <v>14</v>
      </c>
      <c r="L104" s="81">
        <f t="shared" si="39"/>
        <v>17.746401540000001</v>
      </c>
      <c r="M104" s="82">
        <f t="shared" si="44"/>
        <v>35049.85</v>
      </c>
      <c r="N104" s="82">
        <f t="shared" si="45"/>
        <v>35049.85</v>
      </c>
      <c r="O104" s="82">
        <f>N104+'BM 004'!O104</f>
        <v>39562.58</v>
      </c>
      <c r="P104" s="80">
        <f t="shared" si="46"/>
        <v>91445.2</v>
      </c>
      <c r="Q104" s="82">
        <f t="shared" si="47"/>
        <v>115915.94</v>
      </c>
      <c r="R104" s="82">
        <f t="shared" si="48"/>
        <v>76353.36</v>
      </c>
      <c r="T104" s="96"/>
    </row>
    <row r="105" spans="2:20" s="34" customFormat="1" ht="23.4">
      <c r="B105" s="87" t="s">
        <v>213</v>
      </c>
      <c r="C105" s="88" t="s">
        <v>190</v>
      </c>
      <c r="D105" s="89" t="s">
        <v>63</v>
      </c>
      <c r="E105" s="92">
        <v>240</v>
      </c>
      <c r="F105" s="91">
        <f>0.1*E105</f>
        <v>24</v>
      </c>
      <c r="G105" s="91">
        <f t="shared" si="43"/>
        <v>24</v>
      </c>
      <c r="H105" s="91"/>
      <c r="I105" s="79">
        <f>SUM(G105:H105)+'BM 004'!I105</f>
        <v>24</v>
      </c>
      <c r="J105" s="91">
        <f t="shared" si="41"/>
        <v>216</v>
      </c>
      <c r="K105" s="80">
        <v>30</v>
      </c>
      <c r="L105" s="81">
        <f t="shared" si="39"/>
        <v>38.028003300000002</v>
      </c>
      <c r="M105" s="82">
        <f t="shared" si="44"/>
        <v>912.67</v>
      </c>
      <c r="N105" s="82">
        <f t="shared" si="45"/>
        <v>912.67</v>
      </c>
      <c r="O105" s="82">
        <f>N105+'BM 004'!O105</f>
        <v>912.67</v>
      </c>
      <c r="P105" s="80">
        <f t="shared" si="46"/>
        <v>7200</v>
      </c>
      <c r="Q105" s="82">
        <f t="shared" si="47"/>
        <v>9126.7199999999993</v>
      </c>
      <c r="R105" s="82">
        <f t="shared" si="48"/>
        <v>8214.0499999999993</v>
      </c>
      <c r="T105" s="96"/>
    </row>
    <row r="106" spans="2:20" s="34" customFormat="1" ht="23.4">
      <c r="B106" s="87" t="s">
        <v>214</v>
      </c>
      <c r="C106" s="88" t="s">
        <v>215</v>
      </c>
      <c r="D106" s="89" t="s">
        <v>169</v>
      </c>
      <c r="E106" s="92">
        <v>364.43</v>
      </c>
      <c r="F106" s="91">
        <f>'M.C. MED. 05'!K650</f>
        <v>33.200000000000003</v>
      </c>
      <c r="G106" s="91">
        <f t="shared" si="43"/>
        <v>33.200000000000003</v>
      </c>
      <c r="H106" s="91"/>
      <c r="I106" s="79">
        <f>SUM(G106:H106)+'BM 004'!I106</f>
        <v>33.200000000000003</v>
      </c>
      <c r="J106" s="91">
        <f t="shared" si="41"/>
        <v>331.23</v>
      </c>
      <c r="K106" s="95">
        <v>750</v>
      </c>
      <c r="L106" s="81">
        <f t="shared" si="39"/>
        <v>950.70008250000001</v>
      </c>
      <c r="M106" s="82">
        <f t="shared" si="44"/>
        <v>31563.24</v>
      </c>
      <c r="N106" s="82">
        <f t="shared" si="45"/>
        <v>31563.24</v>
      </c>
      <c r="O106" s="82">
        <f>N106+'BM 004'!O106</f>
        <v>31563.24</v>
      </c>
      <c r="P106" s="80">
        <f t="shared" si="46"/>
        <v>273322.5</v>
      </c>
      <c r="Q106" s="82">
        <f t="shared" si="47"/>
        <v>346463.63</v>
      </c>
      <c r="R106" s="82">
        <f t="shared" si="48"/>
        <v>314900.39</v>
      </c>
      <c r="T106" s="96"/>
    </row>
    <row r="107" spans="2:20" s="34" customFormat="1" ht="13.2">
      <c r="B107" s="66" t="s">
        <v>216</v>
      </c>
      <c r="C107" s="67" t="s">
        <v>217</v>
      </c>
      <c r="D107" s="68"/>
      <c r="E107" s="69"/>
      <c r="F107" s="70"/>
      <c r="G107" s="70"/>
      <c r="H107" s="70"/>
      <c r="I107" s="70">
        <f>SUM(G107:H107)+'BM 004'!I107</f>
        <v>0</v>
      </c>
      <c r="J107" s="70">
        <f t="shared" si="41"/>
        <v>0</v>
      </c>
      <c r="K107" s="71"/>
      <c r="L107" s="71">
        <f t="shared" si="39"/>
        <v>0</v>
      </c>
      <c r="M107" s="73">
        <f t="shared" ref="M107:R107" si="49">SUM(M108:M119)</f>
        <v>85396.62</v>
      </c>
      <c r="N107" s="73">
        <f t="shared" si="49"/>
        <v>85396.62</v>
      </c>
      <c r="O107" s="73">
        <f t="shared" si="49"/>
        <v>310635.66000000003</v>
      </c>
      <c r="P107" s="73">
        <f t="shared" si="49"/>
        <v>951249.7</v>
      </c>
      <c r="Q107" s="73">
        <f t="shared" si="49"/>
        <v>1205804.17</v>
      </c>
      <c r="R107" s="73">
        <f t="shared" si="49"/>
        <v>895168.51</v>
      </c>
      <c r="T107" s="96"/>
    </row>
    <row r="108" spans="2:20" s="34" customFormat="1" ht="46.2">
      <c r="B108" s="87" t="s">
        <v>218</v>
      </c>
      <c r="C108" s="88" t="s">
        <v>219</v>
      </c>
      <c r="D108" s="89" t="s">
        <v>79</v>
      </c>
      <c r="E108" s="92">
        <v>2299</v>
      </c>
      <c r="F108" s="91">
        <f>TRUNC(0.24*E108,2)-367</f>
        <v>184.76</v>
      </c>
      <c r="G108" s="91">
        <f t="shared" ref="G108:G119" si="50">F108</f>
        <v>184.76</v>
      </c>
      <c r="H108" s="91"/>
      <c r="I108" s="79">
        <f>SUM(G108:H108)+'BM 004'!I108</f>
        <v>551.76</v>
      </c>
      <c r="J108" s="91">
        <f t="shared" si="41"/>
        <v>1747.24</v>
      </c>
      <c r="K108" s="80">
        <v>60</v>
      </c>
      <c r="L108" s="81">
        <f t="shared" si="39"/>
        <v>76.056006600000003</v>
      </c>
      <c r="M108" s="82">
        <f t="shared" ref="M108:M119" si="51">TRUNC(F108*L108,2)</f>
        <v>14052.1</v>
      </c>
      <c r="N108" s="82">
        <f t="shared" ref="N108:N119" si="52">TRUNC(G108*L108,2)</f>
        <v>14052.1</v>
      </c>
      <c r="O108" s="82">
        <f>N108+'BM 004'!O108</f>
        <v>41964.65</v>
      </c>
      <c r="P108" s="80">
        <f t="shared" ref="P108:P119" si="53">E108*K108</f>
        <v>137940</v>
      </c>
      <c r="Q108" s="82">
        <f t="shared" ref="Q108:Q119" si="54">TRUNC(E108*L108,2)</f>
        <v>174852.75</v>
      </c>
      <c r="R108" s="82">
        <f t="shared" ref="R108:R119" si="55">Q108-O108</f>
        <v>132888.1</v>
      </c>
      <c r="T108" s="96"/>
    </row>
    <row r="109" spans="2:20" s="34" customFormat="1" ht="46.2">
      <c r="B109" s="87" t="s">
        <v>220</v>
      </c>
      <c r="C109" s="88" t="s">
        <v>198</v>
      </c>
      <c r="D109" s="89" t="s">
        <v>152</v>
      </c>
      <c r="E109" s="90">
        <v>347.6</v>
      </c>
      <c r="F109" s="91">
        <f>'M.C. MED. 05'!K661</f>
        <v>93.93</v>
      </c>
      <c r="G109" s="91">
        <f t="shared" si="50"/>
        <v>93.93</v>
      </c>
      <c r="H109" s="91"/>
      <c r="I109" s="79">
        <f>SUM(G109:H109)+'BM 004'!I109</f>
        <v>113.30000000000001</v>
      </c>
      <c r="J109" s="91">
        <f t="shared" si="41"/>
        <v>234.3</v>
      </c>
      <c r="K109" s="80">
        <v>20</v>
      </c>
      <c r="L109" s="81">
        <f t="shared" si="39"/>
        <v>25.352002200000001</v>
      </c>
      <c r="M109" s="82">
        <f t="shared" si="51"/>
        <v>2381.31</v>
      </c>
      <c r="N109" s="82">
        <f t="shared" si="52"/>
        <v>2381.31</v>
      </c>
      <c r="O109" s="82">
        <f>N109+'BM 004'!O109</f>
        <v>2872.37</v>
      </c>
      <c r="P109" s="80">
        <f t="shared" si="53"/>
        <v>6952</v>
      </c>
      <c r="Q109" s="82">
        <f t="shared" si="54"/>
        <v>8812.35</v>
      </c>
      <c r="R109" s="82">
        <f t="shared" si="55"/>
        <v>5939.9800000000005</v>
      </c>
      <c r="T109" s="96"/>
    </row>
    <row r="110" spans="2:20" s="34" customFormat="1" ht="46.2">
      <c r="B110" s="87" t="s">
        <v>221</v>
      </c>
      <c r="C110" s="88" t="s">
        <v>222</v>
      </c>
      <c r="D110" s="89" t="s">
        <v>152</v>
      </c>
      <c r="E110" s="90">
        <v>3626.7</v>
      </c>
      <c r="F110" s="91">
        <f>'M.C. MED. 05'!K672</f>
        <v>287.55</v>
      </c>
      <c r="G110" s="91">
        <f t="shared" si="50"/>
        <v>287.55</v>
      </c>
      <c r="H110" s="91"/>
      <c r="I110" s="79">
        <f>SUM(G110:H110)+'BM 004'!I110</f>
        <v>950.41000000000008</v>
      </c>
      <c r="J110" s="91">
        <f t="shared" si="41"/>
        <v>2676.29</v>
      </c>
      <c r="K110" s="80">
        <v>19</v>
      </c>
      <c r="L110" s="81">
        <f t="shared" si="39"/>
        <v>24.084402090000001</v>
      </c>
      <c r="M110" s="82">
        <f t="shared" si="51"/>
        <v>6925.46</v>
      </c>
      <c r="N110" s="82">
        <f t="shared" si="52"/>
        <v>6925.46</v>
      </c>
      <c r="O110" s="82">
        <f>N110+'BM 004'!O110</f>
        <v>22890.04</v>
      </c>
      <c r="P110" s="80">
        <f t="shared" si="53"/>
        <v>68907.3</v>
      </c>
      <c r="Q110" s="82">
        <f t="shared" si="54"/>
        <v>87346.9</v>
      </c>
      <c r="R110" s="82">
        <f t="shared" si="55"/>
        <v>64456.859999999993</v>
      </c>
      <c r="T110" s="96"/>
    </row>
    <row r="111" spans="2:20" s="34" customFormat="1" ht="46.2">
      <c r="B111" s="87" t="s">
        <v>223</v>
      </c>
      <c r="C111" s="88" t="s">
        <v>202</v>
      </c>
      <c r="D111" s="89" t="s">
        <v>152</v>
      </c>
      <c r="E111" s="90">
        <v>1762.2</v>
      </c>
      <c r="F111" s="91">
        <f>'M.C. MED. 05'!K683</f>
        <v>44.1</v>
      </c>
      <c r="G111" s="91">
        <f t="shared" si="50"/>
        <v>44.1</v>
      </c>
      <c r="H111" s="91"/>
      <c r="I111" s="79">
        <f>SUM(G111:H111)+'BM 004'!I111</f>
        <v>351.89000000000004</v>
      </c>
      <c r="J111" s="91">
        <f t="shared" si="41"/>
        <v>1410.31</v>
      </c>
      <c r="K111" s="80">
        <v>17.5</v>
      </c>
      <c r="L111" s="81">
        <f t="shared" si="39"/>
        <v>22.183001924999999</v>
      </c>
      <c r="M111" s="82">
        <f t="shared" si="51"/>
        <v>978.27</v>
      </c>
      <c r="N111" s="82">
        <f t="shared" si="52"/>
        <v>978.27</v>
      </c>
      <c r="O111" s="82">
        <f>N111+'BM 004'!O111</f>
        <v>7805.9699999999993</v>
      </c>
      <c r="P111" s="80">
        <f t="shared" si="53"/>
        <v>30838.5</v>
      </c>
      <c r="Q111" s="82">
        <f t="shared" si="54"/>
        <v>39090.879999999997</v>
      </c>
      <c r="R111" s="82">
        <f t="shared" si="55"/>
        <v>31284.909999999996</v>
      </c>
    </row>
    <row r="112" spans="2:20" s="34" customFormat="1" ht="46.2">
      <c r="B112" s="87" t="s">
        <v>224</v>
      </c>
      <c r="C112" s="88" t="s">
        <v>204</v>
      </c>
      <c r="D112" s="89" t="s">
        <v>152</v>
      </c>
      <c r="E112" s="90">
        <v>542.29999999999995</v>
      </c>
      <c r="F112" s="91">
        <f>'M.C. MED. 05'!K694</f>
        <v>167.63</v>
      </c>
      <c r="G112" s="91">
        <f t="shared" si="50"/>
        <v>167.63</v>
      </c>
      <c r="H112" s="91"/>
      <c r="I112" s="79">
        <f>SUM(G112:H112)+'BM 004'!I112</f>
        <v>198.23</v>
      </c>
      <c r="J112" s="91">
        <f t="shared" si="41"/>
        <v>344.06999999999994</v>
      </c>
      <c r="K112" s="80">
        <v>16</v>
      </c>
      <c r="L112" s="81">
        <f t="shared" si="39"/>
        <v>20.281601760000001</v>
      </c>
      <c r="M112" s="82">
        <f t="shared" si="51"/>
        <v>3399.8</v>
      </c>
      <c r="N112" s="82">
        <f t="shared" si="52"/>
        <v>3399.8</v>
      </c>
      <c r="O112" s="82">
        <f>N112+'BM 004'!O112</f>
        <v>4020.4100000000003</v>
      </c>
      <c r="P112" s="80">
        <f t="shared" si="53"/>
        <v>8676.7999999999993</v>
      </c>
      <c r="Q112" s="82">
        <f t="shared" si="54"/>
        <v>10998.71</v>
      </c>
      <c r="R112" s="82">
        <f t="shared" si="55"/>
        <v>6978.2999999999993</v>
      </c>
      <c r="T112" s="83"/>
    </row>
    <row r="113" spans="2:20" s="34" customFormat="1" ht="46.2">
      <c r="B113" s="87" t="s">
        <v>225</v>
      </c>
      <c r="C113" s="88" t="s">
        <v>206</v>
      </c>
      <c r="D113" s="89" t="s">
        <v>152</v>
      </c>
      <c r="E113" s="90">
        <v>3532.1</v>
      </c>
      <c r="F113" s="91">
        <f>'M.C. MED. 05'!K705</f>
        <v>345.86</v>
      </c>
      <c r="G113" s="91">
        <f t="shared" si="50"/>
        <v>345.86</v>
      </c>
      <c r="H113" s="91"/>
      <c r="I113" s="79">
        <f>SUM(G113:H113)+'BM 004'!I113</f>
        <v>444.32</v>
      </c>
      <c r="J113" s="91">
        <f t="shared" si="41"/>
        <v>3087.7799999999997</v>
      </c>
      <c r="K113" s="80">
        <v>14.5</v>
      </c>
      <c r="L113" s="81">
        <f t="shared" si="39"/>
        <v>18.380201595000003</v>
      </c>
      <c r="M113" s="82">
        <f t="shared" si="51"/>
        <v>6356.97</v>
      </c>
      <c r="N113" s="82">
        <f t="shared" si="52"/>
        <v>6356.97</v>
      </c>
      <c r="O113" s="82">
        <f>N113+'BM 004'!O113</f>
        <v>8166.68</v>
      </c>
      <c r="P113" s="80">
        <f t="shared" si="53"/>
        <v>51215.45</v>
      </c>
      <c r="Q113" s="82">
        <f t="shared" si="54"/>
        <v>64920.71</v>
      </c>
      <c r="R113" s="82">
        <f t="shared" si="55"/>
        <v>56754.03</v>
      </c>
      <c r="T113" s="83"/>
    </row>
    <row r="114" spans="2:20" s="34" customFormat="1" ht="46.2">
      <c r="B114" s="87" t="s">
        <v>226</v>
      </c>
      <c r="C114" s="88" t="s">
        <v>208</v>
      </c>
      <c r="D114" s="89" t="s">
        <v>152</v>
      </c>
      <c r="E114" s="90">
        <v>7313.9</v>
      </c>
      <c r="F114" s="91">
        <f>'M.C. MED. 05'!K716</f>
        <v>132.78</v>
      </c>
      <c r="G114" s="91">
        <f t="shared" si="50"/>
        <v>132.78</v>
      </c>
      <c r="H114" s="91"/>
      <c r="I114" s="79">
        <f>SUM(G114:H114)+'BM 004'!I114</f>
        <v>3225.02</v>
      </c>
      <c r="J114" s="91">
        <f t="shared" si="41"/>
        <v>4088.8799999999997</v>
      </c>
      <c r="K114" s="94">
        <v>14.5</v>
      </c>
      <c r="L114" s="81">
        <f t="shared" si="39"/>
        <v>18.380201595000003</v>
      </c>
      <c r="M114" s="82">
        <f t="shared" si="51"/>
        <v>2440.52</v>
      </c>
      <c r="N114" s="82">
        <f t="shared" si="52"/>
        <v>2440.52</v>
      </c>
      <c r="O114" s="82">
        <f>N114+'BM 004'!O114</f>
        <v>59276.509999999995</v>
      </c>
      <c r="P114" s="80">
        <f t="shared" si="53"/>
        <v>106051.54999999999</v>
      </c>
      <c r="Q114" s="82">
        <f t="shared" si="54"/>
        <v>134430.95000000001</v>
      </c>
      <c r="R114" s="82">
        <f t="shared" si="55"/>
        <v>75154.440000000017</v>
      </c>
      <c r="T114" s="83"/>
    </row>
    <row r="115" spans="2:20" s="34" customFormat="1" ht="46.2">
      <c r="B115" s="87" t="s">
        <v>227</v>
      </c>
      <c r="C115" s="88" t="s">
        <v>210</v>
      </c>
      <c r="D115" s="89" t="s">
        <v>152</v>
      </c>
      <c r="E115" s="92">
        <v>4513.3</v>
      </c>
      <c r="F115" s="91">
        <f>'M.C. MED. 05'!K727</f>
        <v>576.41999999999996</v>
      </c>
      <c r="G115" s="91">
        <f t="shared" si="50"/>
        <v>576.41999999999996</v>
      </c>
      <c r="H115" s="91"/>
      <c r="I115" s="79">
        <f>SUM(G115:H115)+'BM 004'!I115</f>
        <v>2054.92</v>
      </c>
      <c r="J115" s="91">
        <f t="shared" si="41"/>
        <v>2458.38</v>
      </c>
      <c r="K115" s="80">
        <v>14</v>
      </c>
      <c r="L115" s="81">
        <f t="shared" si="39"/>
        <v>17.746401540000001</v>
      </c>
      <c r="M115" s="82">
        <f t="shared" si="51"/>
        <v>10229.379999999999</v>
      </c>
      <c r="N115" s="82">
        <f t="shared" si="52"/>
        <v>10229.379999999999</v>
      </c>
      <c r="O115" s="82">
        <f>N115+'BM 004'!O115</f>
        <v>36467.43</v>
      </c>
      <c r="P115" s="80">
        <f t="shared" si="53"/>
        <v>63186.200000000004</v>
      </c>
      <c r="Q115" s="82">
        <f t="shared" si="54"/>
        <v>80094.83</v>
      </c>
      <c r="R115" s="82">
        <f t="shared" si="55"/>
        <v>43627.4</v>
      </c>
      <c r="T115" s="83"/>
    </row>
    <row r="116" spans="2:20" s="34" customFormat="1" ht="46.2">
      <c r="B116" s="87" t="s">
        <v>228</v>
      </c>
      <c r="C116" s="88" t="s">
        <v>212</v>
      </c>
      <c r="D116" s="89" t="s">
        <v>152</v>
      </c>
      <c r="E116" s="92">
        <v>14626.7</v>
      </c>
      <c r="F116" s="91">
        <f>'M.C. MED. 05'!K738</f>
        <v>300.91000000000003</v>
      </c>
      <c r="G116" s="91">
        <f t="shared" si="50"/>
        <v>300.91000000000003</v>
      </c>
      <c r="H116" s="91"/>
      <c r="I116" s="79">
        <f>SUM(G116:H116)+'BM 004'!I116</f>
        <v>2464.1299999999997</v>
      </c>
      <c r="J116" s="91">
        <f t="shared" si="41"/>
        <v>12162.570000000002</v>
      </c>
      <c r="K116" s="95">
        <v>14</v>
      </c>
      <c r="L116" s="81">
        <f t="shared" si="39"/>
        <v>17.746401540000001</v>
      </c>
      <c r="M116" s="82">
        <f t="shared" si="51"/>
        <v>5340.06</v>
      </c>
      <c r="N116" s="82">
        <f t="shared" si="52"/>
        <v>5340.06</v>
      </c>
      <c r="O116" s="82">
        <f>N116+'BM 004'!O116</f>
        <v>43729.43</v>
      </c>
      <c r="P116" s="80">
        <f t="shared" si="53"/>
        <v>204773.80000000002</v>
      </c>
      <c r="Q116" s="82">
        <f t="shared" si="54"/>
        <v>259571.29</v>
      </c>
      <c r="R116" s="82">
        <f t="shared" si="55"/>
        <v>215841.86000000002</v>
      </c>
      <c r="T116" s="83"/>
    </row>
    <row r="117" spans="2:20" s="34" customFormat="1" ht="22.8">
      <c r="B117" s="87" t="s">
        <v>229</v>
      </c>
      <c r="C117" s="88" t="s">
        <v>230</v>
      </c>
      <c r="D117" s="89" t="s">
        <v>231</v>
      </c>
      <c r="E117" s="92">
        <v>3177.02</v>
      </c>
      <c r="F117" s="91">
        <f>TRUNC(0.24*E117,2)-367</f>
        <v>395.48</v>
      </c>
      <c r="G117" s="91">
        <f t="shared" si="50"/>
        <v>395.48</v>
      </c>
      <c r="H117" s="91"/>
      <c r="I117" s="79">
        <f>SUM(G117:H117)+'BM 004'!I117</f>
        <v>762.48</v>
      </c>
      <c r="J117" s="91">
        <f t="shared" si="41"/>
        <v>2414.54</v>
      </c>
      <c r="K117" s="80">
        <v>30</v>
      </c>
      <c r="L117" s="81">
        <f t="shared" si="39"/>
        <v>38.028003300000002</v>
      </c>
      <c r="M117" s="82">
        <f t="shared" si="51"/>
        <v>15039.31</v>
      </c>
      <c r="N117" s="82">
        <f t="shared" si="52"/>
        <v>15039.31</v>
      </c>
      <c r="O117" s="82">
        <f>N117+'BM 004'!O117</f>
        <v>28995.58</v>
      </c>
      <c r="P117" s="80">
        <f t="shared" si="53"/>
        <v>95310.6</v>
      </c>
      <c r="Q117" s="82">
        <f t="shared" si="54"/>
        <v>120815.72</v>
      </c>
      <c r="R117" s="82">
        <f t="shared" si="55"/>
        <v>91820.14</v>
      </c>
      <c r="T117" s="83"/>
    </row>
    <row r="118" spans="2:20" s="34" customFormat="1" ht="23.4">
      <c r="B118" s="87" t="s">
        <v>232</v>
      </c>
      <c r="C118" s="88" t="s">
        <v>190</v>
      </c>
      <c r="D118" s="89" t="s">
        <v>63</v>
      </c>
      <c r="E118" s="92">
        <v>240</v>
      </c>
      <c r="F118" s="91">
        <v>20</v>
      </c>
      <c r="G118" s="91">
        <f t="shared" si="50"/>
        <v>20</v>
      </c>
      <c r="H118" s="91"/>
      <c r="I118" s="79">
        <f>SUM(G118:H118)+'BM 004'!I118</f>
        <v>60</v>
      </c>
      <c r="J118" s="91">
        <f t="shared" si="41"/>
        <v>180</v>
      </c>
      <c r="K118" s="80">
        <v>30</v>
      </c>
      <c r="L118" s="81">
        <f t="shared" si="39"/>
        <v>38.028003300000002</v>
      </c>
      <c r="M118" s="82">
        <f t="shared" si="51"/>
        <v>760.56</v>
      </c>
      <c r="N118" s="82">
        <f t="shared" si="52"/>
        <v>760.56</v>
      </c>
      <c r="O118" s="82">
        <f>N118+'BM 004'!O118</f>
        <v>2281.6799999999998</v>
      </c>
      <c r="P118" s="80">
        <f t="shared" si="53"/>
        <v>7200</v>
      </c>
      <c r="Q118" s="82">
        <f t="shared" si="54"/>
        <v>9126.7199999999993</v>
      </c>
      <c r="R118" s="82">
        <f t="shared" si="55"/>
        <v>6845.0399999999991</v>
      </c>
      <c r="T118" s="83"/>
    </row>
    <row r="119" spans="2:20" s="34" customFormat="1" ht="23.4">
      <c r="B119" s="87" t="s">
        <v>233</v>
      </c>
      <c r="C119" s="88" t="s">
        <v>215</v>
      </c>
      <c r="D119" s="89" t="s">
        <v>169</v>
      </c>
      <c r="E119" s="92">
        <v>226.93</v>
      </c>
      <c r="F119" s="91">
        <f>'M.C. MED. 05'!K801</f>
        <v>18.399999999999999</v>
      </c>
      <c r="G119" s="91">
        <f t="shared" si="50"/>
        <v>18.399999999999999</v>
      </c>
      <c r="H119" s="91"/>
      <c r="I119" s="79">
        <f>SUM(G119:H119)+'BM 004'!I119</f>
        <v>54.87</v>
      </c>
      <c r="J119" s="91">
        <f t="shared" si="41"/>
        <v>172.06</v>
      </c>
      <c r="K119" s="95">
        <v>750</v>
      </c>
      <c r="L119" s="81">
        <f t="shared" si="39"/>
        <v>950.70008250000001</v>
      </c>
      <c r="M119" s="82">
        <f t="shared" si="51"/>
        <v>17492.88</v>
      </c>
      <c r="N119" s="82">
        <f t="shared" si="52"/>
        <v>17492.88</v>
      </c>
      <c r="O119" s="82">
        <f>N119+'BM 004'!O119</f>
        <v>52164.91</v>
      </c>
      <c r="P119" s="80">
        <f t="shared" si="53"/>
        <v>170197.5</v>
      </c>
      <c r="Q119" s="82">
        <f t="shared" si="54"/>
        <v>215742.36</v>
      </c>
      <c r="R119" s="82">
        <f t="shared" si="55"/>
        <v>163577.44999999998</v>
      </c>
      <c r="T119" s="83"/>
    </row>
    <row r="120" spans="2:20" s="34" customFormat="1" ht="13.2">
      <c r="B120" s="66" t="s">
        <v>234</v>
      </c>
      <c r="C120" s="67" t="s">
        <v>235</v>
      </c>
      <c r="D120" s="68"/>
      <c r="E120" s="69"/>
      <c r="F120" s="70"/>
      <c r="G120" s="70"/>
      <c r="H120" s="70"/>
      <c r="I120" s="70">
        <f>SUM(G120:H120)+'BM 004'!I120</f>
        <v>0</v>
      </c>
      <c r="J120" s="70">
        <f t="shared" si="41"/>
        <v>0</v>
      </c>
      <c r="K120" s="71"/>
      <c r="L120" s="71">
        <f t="shared" si="39"/>
        <v>0</v>
      </c>
      <c r="M120" s="73">
        <f t="shared" ref="M120:R120" si="56">SUM(M121:M130)</f>
        <v>373046.73000000004</v>
      </c>
      <c r="N120" s="73">
        <f t="shared" si="56"/>
        <v>373046.73000000004</v>
      </c>
      <c r="O120" s="73">
        <f t="shared" si="56"/>
        <v>373046.73000000004</v>
      </c>
      <c r="P120" s="73">
        <f t="shared" si="56"/>
        <v>2218671.0499999998</v>
      </c>
      <c r="Q120" s="73">
        <f t="shared" si="56"/>
        <v>2812387.62</v>
      </c>
      <c r="R120" s="73">
        <f t="shared" si="56"/>
        <v>2439340.8900000006</v>
      </c>
      <c r="T120" s="83"/>
    </row>
    <row r="121" spans="2:20" s="34" customFormat="1" ht="57.6">
      <c r="B121" s="87" t="s">
        <v>236</v>
      </c>
      <c r="C121" s="88" t="s">
        <v>237</v>
      </c>
      <c r="D121" s="89" t="s">
        <v>79</v>
      </c>
      <c r="E121" s="92">
        <v>770.47</v>
      </c>
      <c r="F121" s="91">
        <f>'M.C. MED. 05'!K815</f>
        <v>42.87</v>
      </c>
      <c r="G121" s="91">
        <f t="shared" ref="G121:G130" si="57">F121</f>
        <v>42.87</v>
      </c>
      <c r="H121" s="91"/>
      <c r="I121" s="79">
        <f>SUM(G121:H121)+'BM 004'!I121</f>
        <v>42.87</v>
      </c>
      <c r="J121" s="91">
        <f t="shared" si="41"/>
        <v>727.6</v>
      </c>
      <c r="K121" s="80">
        <v>130</v>
      </c>
      <c r="L121" s="81">
        <f t="shared" si="39"/>
        <v>164.78801430000001</v>
      </c>
      <c r="M121" s="82">
        <f t="shared" ref="M121:M130" si="58">TRUNC(F121*L121,2)</f>
        <v>7064.46</v>
      </c>
      <c r="N121" s="82">
        <f t="shared" ref="N121:N130" si="59">TRUNC(G121*L121,2)</f>
        <v>7064.46</v>
      </c>
      <c r="O121" s="82">
        <f>N121+'BM 004'!O121</f>
        <v>7064.46</v>
      </c>
      <c r="P121" s="80">
        <f t="shared" ref="P121:P130" si="60">E121*K121</f>
        <v>100161.1</v>
      </c>
      <c r="Q121" s="82">
        <f t="shared" ref="Q121:Q130" si="61">TRUNC(E121*L121,2)</f>
        <v>126964.22</v>
      </c>
      <c r="R121" s="82">
        <f t="shared" ref="R121:R130" si="62">Q121-O121</f>
        <v>119899.76</v>
      </c>
      <c r="T121" s="83"/>
    </row>
    <row r="122" spans="2:20" s="34" customFormat="1" ht="69">
      <c r="B122" s="87" t="s">
        <v>238</v>
      </c>
      <c r="C122" s="88" t="s">
        <v>239</v>
      </c>
      <c r="D122" s="89" t="s">
        <v>79</v>
      </c>
      <c r="E122" s="92">
        <v>7163.62</v>
      </c>
      <c r="F122" s="91">
        <f>'M.C. MED. 05'!K834</f>
        <v>492.59</v>
      </c>
      <c r="G122" s="91">
        <f t="shared" si="57"/>
        <v>492.59</v>
      </c>
      <c r="H122" s="91"/>
      <c r="I122" s="79">
        <f>SUM(G122:H122)+'BM 004'!I122</f>
        <v>492.59</v>
      </c>
      <c r="J122" s="91">
        <f t="shared" si="41"/>
        <v>6671.03</v>
      </c>
      <c r="K122" s="80">
        <v>130</v>
      </c>
      <c r="L122" s="81">
        <f t="shared" si="39"/>
        <v>164.78801430000001</v>
      </c>
      <c r="M122" s="82">
        <f t="shared" si="58"/>
        <v>81172.92</v>
      </c>
      <c r="N122" s="82">
        <f t="shared" si="59"/>
        <v>81172.92</v>
      </c>
      <c r="O122" s="82">
        <f>N122+'BM 004'!O122</f>
        <v>81172.92</v>
      </c>
      <c r="P122" s="80">
        <f t="shared" si="60"/>
        <v>931270.6</v>
      </c>
      <c r="Q122" s="82">
        <f t="shared" si="61"/>
        <v>1180478.71</v>
      </c>
      <c r="R122" s="82">
        <f t="shared" si="62"/>
        <v>1099305.79</v>
      </c>
      <c r="T122" s="83"/>
    </row>
    <row r="123" spans="2:20" s="34" customFormat="1" ht="46.2">
      <c r="B123" s="87" t="s">
        <v>240</v>
      </c>
      <c r="C123" s="88" t="s">
        <v>241</v>
      </c>
      <c r="D123" s="89" t="s">
        <v>152</v>
      </c>
      <c r="E123" s="92">
        <v>2362.8000000000002</v>
      </c>
      <c r="F123" s="91">
        <f>'M.C. MED. 05'!K849</f>
        <v>1969.19</v>
      </c>
      <c r="G123" s="91">
        <f t="shared" si="57"/>
        <v>1969.19</v>
      </c>
      <c r="H123" s="91"/>
      <c r="I123" s="79">
        <f>SUM(G123:H123)+'BM 004'!I123</f>
        <v>1969.19</v>
      </c>
      <c r="J123" s="91">
        <f t="shared" si="41"/>
        <v>393.61000000000013</v>
      </c>
      <c r="K123" s="80">
        <v>19</v>
      </c>
      <c r="L123" s="81">
        <f t="shared" si="39"/>
        <v>24.084402090000001</v>
      </c>
      <c r="M123" s="82">
        <f t="shared" si="58"/>
        <v>47426.76</v>
      </c>
      <c r="N123" s="82">
        <f t="shared" si="59"/>
        <v>47426.76</v>
      </c>
      <c r="O123" s="82">
        <f>N123+'BM 004'!O123</f>
        <v>47426.76</v>
      </c>
      <c r="P123" s="80">
        <f t="shared" si="60"/>
        <v>44893.200000000004</v>
      </c>
      <c r="Q123" s="82">
        <f t="shared" si="61"/>
        <v>56906.62</v>
      </c>
      <c r="R123" s="82">
        <f t="shared" si="62"/>
        <v>9479.86</v>
      </c>
      <c r="T123" s="83"/>
    </row>
    <row r="124" spans="2:20" s="34" customFormat="1" ht="46.2">
      <c r="B124" s="87" t="s">
        <v>242</v>
      </c>
      <c r="C124" s="88" t="s">
        <v>243</v>
      </c>
      <c r="D124" s="89" t="s">
        <v>152</v>
      </c>
      <c r="E124" s="90">
        <v>602.79999999999995</v>
      </c>
      <c r="F124" s="91">
        <f>'M.C. MED. 05'!K862</f>
        <v>602.79999999999995</v>
      </c>
      <c r="G124" s="91">
        <f t="shared" si="57"/>
        <v>602.79999999999995</v>
      </c>
      <c r="H124" s="91"/>
      <c r="I124" s="79">
        <f>SUM(G124:H124)+'BM 004'!I124</f>
        <v>602.79999999999995</v>
      </c>
      <c r="J124" s="91">
        <f t="shared" si="41"/>
        <v>0</v>
      </c>
      <c r="K124" s="80">
        <v>17.5</v>
      </c>
      <c r="L124" s="81">
        <f t="shared" si="39"/>
        <v>22.183001924999999</v>
      </c>
      <c r="M124" s="82">
        <f t="shared" si="58"/>
        <v>13371.91</v>
      </c>
      <c r="N124" s="82">
        <f t="shared" si="59"/>
        <v>13371.91</v>
      </c>
      <c r="O124" s="82">
        <f>N124+'BM 004'!O124</f>
        <v>13371.91</v>
      </c>
      <c r="P124" s="80">
        <f t="shared" si="60"/>
        <v>10549</v>
      </c>
      <c r="Q124" s="82">
        <f t="shared" si="61"/>
        <v>13371.91</v>
      </c>
      <c r="R124" s="82">
        <f t="shared" si="62"/>
        <v>0</v>
      </c>
      <c r="T124" s="83"/>
    </row>
    <row r="125" spans="2:20" s="34" customFormat="1" ht="46.2">
      <c r="B125" s="87" t="s">
        <v>244</v>
      </c>
      <c r="C125" s="88" t="s">
        <v>245</v>
      </c>
      <c r="D125" s="89" t="s">
        <v>152</v>
      </c>
      <c r="E125" s="90">
        <v>3562.9</v>
      </c>
      <c r="F125" s="91">
        <f>'M.C. MED. 05'!K876</f>
        <v>1145.0999999999999</v>
      </c>
      <c r="G125" s="91">
        <f t="shared" si="57"/>
        <v>1145.0999999999999</v>
      </c>
      <c r="H125" s="91"/>
      <c r="I125" s="79">
        <f>SUM(G125:H125)+'BM 004'!I125</f>
        <v>1145.0999999999999</v>
      </c>
      <c r="J125" s="91">
        <f t="shared" si="41"/>
        <v>2417.8000000000002</v>
      </c>
      <c r="K125" s="80">
        <v>16</v>
      </c>
      <c r="L125" s="81">
        <f t="shared" si="39"/>
        <v>20.281601760000001</v>
      </c>
      <c r="M125" s="82">
        <f t="shared" si="58"/>
        <v>23224.46</v>
      </c>
      <c r="N125" s="82">
        <f t="shared" si="59"/>
        <v>23224.46</v>
      </c>
      <c r="O125" s="82">
        <f>N125+'BM 004'!O125</f>
        <v>23224.46</v>
      </c>
      <c r="P125" s="80">
        <f t="shared" si="60"/>
        <v>57006.400000000001</v>
      </c>
      <c r="Q125" s="82">
        <f t="shared" si="61"/>
        <v>72261.31</v>
      </c>
      <c r="R125" s="82">
        <f t="shared" si="62"/>
        <v>49036.85</v>
      </c>
    </row>
    <row r="126" spans="2:20" s="34" customFormat="1" ht="46.2">
      <c r="B126" s="87" t="s">
        <v>246</v>
      </c>
      <c r="C126" s="88" t="s">
        <v>247</v>
      </c>
      <c r="D126" s="89" t="s">
        <v>152</v>
      </c>
      <c r="E126" s="90">
        <v>8278.6</v>
      </c>
      <c r="F126" s="91">
        <f>'M.C. MED. 05'!K890</f>
        <v>2041.53</v>
      </c>
      <c r="G126" s="91">
        <f t="shared" si="57"/>
        <v>2041.53</v>
      </c>
      <c r="H126" s="91"/>
      <c r="I126" s="79">
        <f>SUM(G126:H126)+'BM 004'!I126</f>
        <v>2041.53</v>
      </c>
      <c r="J126" s="91">
        <f t="shared" si="41"/>
        <v>6237.0700000000006</v>
      </c>
      <c r="K126" s="80">
        <v>14.5</v>
      </c>
      <c r="L126" s="81">
        <f t="shared" si="39"/>
        <v>18.380201595000003</v>
      </c>
      <c r="M126" s="82">
        <f t="shared" si="58"/>
        <v>37523.730000000003</v>
      </c>
      <c r="N126" s="82">
        <f t="shared" si="59"/>
        <v>37523.730000000003</v>
      </c>
      <c r="O126" s="82">
        <f>N126+'BM 004'!O126</f>
        <v>37523.730000000003</v>
      </c>
      <c r="P126" s="80">
        <f t="shared" si="60"/>
        <v>120039.70000000001</v>
      </c>
      <c r="Q126" s="82">
        <f t="shared" si="61"/>
        <v>152162.32999999999</v>
      </c>
      <c r="R126" s="82">
        <f t="shared" si="62"/>
        <v>114638.59999999998</v>
      </c>
    </row>
    <row r="127" spans="2:20" s="34" customFormat="1" ht="46.2">
      <c r="B127" s="87" t="s">
        <v>248</v>
      </c>
      <c r="C127" s="88" t="s">
        <v>249</v>
      </c>
      <c r="D127" s="89" t="s">
        <v>152</v>
      </c>
      <c r="E127" s="90">
        <v>8114.7</v>
      </c>
      <c r="F127" s="91">
        <f>'M.C. MED. 05'!K904</f>
        <v>3144.29</v>
      </c>
      <c r="G127" s="91">
        <f t="shared" si="57"/>
        <v>3144.29</v>
      </c>
      <c r="H127" s="91"/>
      <c r="I127" s="79">
        <f>SUM(G127:H127)+'BM 004'!I127</f>
        <v>3144.29</v>
      </c>
      <c r="J127" s="91">
        <f t="shared" si="41"/>
        <v>4970.41</v>
      </c>
      <c r="K127" s="94">
        <v>14.5</v>
      </c>
      <c r="L127" s="81">
        <f t="shared" si="39"/>
        <v>18.380201595000003</v>
      </c>
      <c r="M127" s="82">
        <f t="shared" si="58"/>
        <v>57792.68</v>
      </c>
      <c r="N127" s="82">
        <f t="shared" si="59"/>
        <v>57792.68</v>
      </c>
      <c r="O127" s="82">
        <f>N127+'BM 004'!O127</f>
        <v>57792.68</v>
      </c>
      <c r="P127" s="80">
        <f t="shared" si="60"/>
        <v>117663.15</v>
      </c>
      <c r="Q127" s="82">
        <f t="shared" si="61"/>
        <v>149149.82</v>
      </c>
      <c r="R127" s="82">
        <f t="shared" si="62"/>
        <v>91357.140000000014</v>
      </c>
    </row>
    <row r="128" spans="2:20" s="34" customFormat="1" ht="46.2">
      <c r="B128" s="87" t="s">
        <v>250</v>
      </c>
      <c r="C128" s="88" t="s">
        <v>251</v>
      </c>
      <c r="D128" s="89" t="s">
        <v>152</v>
      </c>
      <c r="E128" s="90">
        <v>11554.4</v>
      </c>
      <c r="F128" s="91">
        <f>'M.C. MED. 05'!K918</f>
        <v>1326.13</v>
      </c>
      <c r="G128" s="91">
        <f t="shared" si="57"/>
        <v>1326.13</v>
      </c>
      <c r="H128" s="91"/>
      <c r="I128" s="79">
        <f>SUM(G128:H128)+'BM 004'!I128</f>
        <v>1326.13</v>
      </c>
      <c r="J128" s="91">
        <f t="shared" si="41"/>
        <v>10228.27</v>
      </c>
      <c r="K128" s="80">
        <v>14</v>
      </c>
      <c r="L128" s="81">
        <f t="shared" si="39"/>
        <v>17.746401540000001</v>
      </c>
      <c r="M128" s="82">
        <f t="shared" si="58"/>
        <v>23534.03</v>
      </c>
      <c r="N128" s="82">
        <f t="shared" si="59"/>
        <v>23534.03</v>
      </c>
      <c r="O128" s="82">
        <f>N128+'BM 004'!O128</f>
        <v>23534.03</v>
      </c>
      <c r="P128" s="80">
        <f t="shared" si="60"/>
        <v>161761.60000000001</v>
      </c>
      <c r="Q128" s="82">
        <f t="shared" si="61"/>
        <v>205049.02</v>
      </c>
      <c r="R128" s="82">
        <f t="shared" si="62"/>
        <v>181514.99</v>
      </c>
    </row>
    <row r="129" spans="2:21" s="34" customFormat="1" ht="57.6">
      <c r="B129" s="87" t="s">
        <v>252</v>
      </c>
      <c r="C129" s="88" t="s">
        <v>253</v>
      </c>
      <c r="D129" s="89" t="s">
        <v>152</v>
      </c>
      <c r="E129" s="90">
        <v>5166.7</v>
      </c>
      <c r="F129" s="91">
        <f>'M.C. MED. 05'!K932</f>
        <v>839.18</v>
      </c>
      <c r="G129" s="91">
        <f t="shared" si="57"/>
        <v>839.18</v>
      </c>
      <c r="H129" s="91"/>
      <c r="I129" s="79">
        <f>SUM(G129:H129)+'BM 004'!I129</f>
        <v>839.18</v>
      </c>
      <c r="J129" s="91">
        <f t="shared" si="41"/>
        <v>4327.5199999999995</v>
      </c>
      <c r="K129" s="80">
        <v>14</v>
      </c>
      <c r="L129" s="81">
        <f t="shared" si="39"/>
        <v>17.746401540000001</v>
      </c>
      <c r="M129" s="82">
        <f t="shared" si="58"/>
        <v>14892.42</v>
      </c>
      <c r="N129" s="82">
        <f t="shared" si="59"/>
        <v>14892.42</v>
      </c>
      <c r="O129" s="82">
        <f>N129+'BM 004'!O129</f>
        <v>14892.42</v>
      </c>
      <c r="P129" s="80">
        <f t="shared" si="60"/>
        <v>72333.8</v>
      </c>
      <c r="Q129" s="82">
        <f t="shared" si="61"/>
        <v>91690.33</v>
      </c>
      <c r="R129" s="82">
        <f t="shared" si="62"/>
        <v>76797.91</v>
      </c>
    </row>
    <row r="130" spans="2:21" s="34" customFormat="1" ht="23.4">
      <c r="B130" s="87" t="s">
        <v>254</v>
      </c>
      <c r="C130" s="88" t="s">
        <v>215</v>
      </c>
      <c r="D130" s="89" t="s">
        <v>169</v>
      </c>
      <c r="E130" s="92">
        <v>803.99</v>
      </c>
      <c r="F130" s="91">
        <f>'M.C. MED. 05'!K955</f>
        <v>70.52</v>
      </c>
      <c r="G130" s="91">
        <f t="shared" si="57"/>
        <v>70.52</v>
      </c>
      <c r="H130" s="91"/>
      <c r="I130" s="79">
        <f>SUM(G130:H130)+'BM 004'!I130</f>
        <v>70.52</v>
      </c>
      <c r="J130" s="91">
        <f t="shared" si="41"/>
        <v>733.47</v>
      </c>
      <c r="K130" s="95">
        <v>750</v>
      </c>
      <c r="L130" s="81">
        <f t="shared" si="39"/>
        <v>950.70008250000001</v>
      </c>
      <c r="M130" s="82">
        <f t="shared" si="58"/>
        <v>67043.360000000001</v>
      </c>
      <c r="N130" s="82">
        <f t="shared" si="59"/>
        <v>67043.360000000001</v>
      </c>
      <c r="O130" s="82">
        <f>N130+'BM 004'!O130</f>
        <v>67043.360000000001</v>
      </c>
      <c r="P130" s="80">
        <f t="shared" si="60"/>
        <v>602992.5</v>
      </c>
      <c r="Q130" s="82">
        <f t="shared" si="61"/>
        <v>764353.35</v>
      </c>
      <c r="R130" s="82">
        <f t="shared" si="62"/>
        <v>697309.99</v>
      </c>
      <c r="T130" s="83"/>
      <c r="U130" s="83"/>
    </row>
    <row r="131" spans="2:21" s="34" customFormat="1" ht="17.399999999999999">
      <c r="B131" s="60" t="s">
        <v>255</v>
      </c>
      <c r="C131" s="61" t="s">
        <v>256</v>
      </c>
      <c r="D131" s="60"/>
      <c r="E131" s="62"/>
      <c r="F131" s="63"/>
      <c r="G131" s="63"/>
      <c r="H131" s="63"/>
      <c r="I131" s="63">
        <f>SUM(G131:H131)+'BM 004'!I131</f>
        <v>0</v>
      </c>
      <c r="J131" s="63">
        <f t="shared" si="41"/>
        <v>0</v>
      </c>
      <c r="K131" s="63"/>
      <c r="L131" s="63">
        <f t="shared" si="39"/>
        <v>0</v>
      </c>
      <c r="M131" s="63">
        <f t="shared" ref="M131:R131" si="63">SUM(M132:M138)</f>
        <v>0</v>
      </c>
      <c r="N131" s="63">
        <f t="shared" si="63"/>
        <v>0</v>
      </c>
      <c r="O131" s="63">
        <f t="shared" si="63"/>
        <v>0</v>
      </c>
      <c r="P131" s="63">
        <f t="shared" si="63"/>
        <v>1701680.9500000002</v>
      </c>
      <c r="Q131" s="63">
        <f t="shared" si="63"/>
        <v>2157050.9299999997</v>
      </c>
      <c r="R131" s="63">
        <f t="shared" si="63"/>
        <v>2157050.9299999997</v>
      </c>
      <c r="T131" s="97"/>
    </row>
    <row r="132" spans="2:21" s="34" customFormat="1" ht="23.4">
      <c r="B132" s="87" t="s">
        <v>257</v>
      </c>
      <c r="C132" s="98" t="s">
        <v>258</v>
      </c>
      <c r="D132" s="99" t="s">
        <v>169</v>
      </c>
      <c r="E132" s="100">
        <v>261.60000000000002</v>
      </c>
      <c r="F132" s="101"/>
      <c r="G132" s="101"/>
      <c r="H132" s="101"/>
      <c r="I132" s="79">
        <f>SUM(G132:H132)+'BM 004'!I132</f>
        <v>0</v>
      </c>
      <c r="J132" s="101">
        <f t="shared" si="41"/>
        <v>261.60000000000002</v>
      </c>
      <c r="K132" s="102">
        <v>620</v>
      </c>
      <c r="L132" s="81">
        <f t="shared" si="39"/>
        <v>785.91206820000002</v>
      </c>
      <c r="M132" s="82">
        <f t="shared" ref="M132:M138" si="64">TRUNC(F132*L132,2)</f>
        <v>0</v>
      </c>
      <c r="N132" s="82">
        <f t="shared" ref="N132:N138" si="65">TRUNC(G132*L132,2)</f>
        <v>0</v>
      </c>
      <c r="O132" s="82">
        <f>N132+'BM 004'!O132</f>
        <v>0</v>
      </c>
      <c r="P132" s="80">
        <f t="shared" ref="P132:P138" si="66">E132*K132</f>
        <v>162192</v>
      </c>
      <c r="Q132" s="82">
        <f t="shared" ref="Q132:Q138" si="67">TRUNC(E132*L132,2)</f>
        <v>205594.59</v>
      </c>
      <c r="R132" s="82">
        <f t="shared" ref="R132:R138" si="68">Q132-O132</f>
        <v>205594.59</v>
      </c>
    </row>
    <row r="133" spans="2:21" s="34" customFormat="1" ht="34.799999999999997">
      <c r="B133" s="87" t="s">
        <v>259</v>
      </c>
      <c r="C133" s="88" t="s">
        <v>260</v>
      </c>
      <c r="D133" s="89" t="s">
        <v>82</v>
      </c>
      <c r="E133" s="90">
        <v>3852</v>
      </c>
      <c r="F133" s="91"/>
      <c r="G133" s="91"/>
      <c r="H133" s="91"/>
      <c r="I133" s="79">
        <f>SUM(G133:H133)+'BM 004'!I133</f>
        <v>0</v>
      </c>
      <c r="J133" s="91">
        <f t="shared" si="41"/>
        <v>3852</v>
      </c>
      <c r="K133" s="84">
        <v>20</v>
      </c>
      <c r="L133" s="81">
        <f t="shared" si="39"/>
        <v>25.352002200000001</v>
      </c>
      <c r="M133" s="82">
        <f t="shared" si="64"/>
        <v>0</v>
      </c>
      <c r="N133" s="82">
        <f t="shared" si="65"/>
        <v>0</v>
      </c>
      <c r="O133" s="82">
        <f>N133+'BM 004'!O133</f>
        <v>0</v>
      </c>
      <c r="P133" s="80">
        <f t="shared" si="66"/>
        <v>77040</v>
      </c>
      <c r="Q133" s="82">
        <f t="shared" si="67"/>
        <v>97655.91</v>
      </c>
      <c r="R133" s="82">
        <f t="shared" si="68"/>
        <v>97655.91</v>
      </c>
    </row>
    <row r="134" spans="2:21" s="34" customFormat="1" ht="46.2">
      <c r="B134" s="87" t="s">
        <v>261</v>
      </c>
      <c r="C134" s="88" t="s">
        <v>262</v>
      </c>
      <c r="D134" s="89" t="s">
        <v>110</v>
      </c>
      <c r="E134" s="92">
        <v>112</v>
      </c>
      <c r="F134" s="91"/>
      <c r="G134" s="91"/>
      <c r="H134" s="91"/>
      <c r="I134" s="79">
        <f>SUM(G134:H134)+'BM 004'!I134</f>
        <v>0</v>
      </c>
      <c r="J134" s="91">
        <f t="shared" si="41"/>
        <v>112</v>
      </c>
      <c r="K134" s="84">
        <v>650</v>
      </c>
      <c r="L134" s="81">
        <f t="shared" si="39"/>
        <v>823.94007150000004</v>
      </c>
      <c r="M134" s="82">
        <f t="shared" si="64"/>
        <v>0</v>
      </c>
      <c r="N134" s="82">
        <f t="shared" si="65"/>
        <v>0</v>
      </c>
      <c r="O134" s="82">
        <f>N134+'BM 004'!O134</f>
        <v>0</v>
      </c>
      <c r="P134" s="80">
        <f t="shared" si="66"/>
        <v>72800</v>
      </c>
      <c r="Q134" s="82">
        <f t="shared" si="67"/>
        <v>92281.279999999999</v>
      </c>
      <c r="R134" s="82">
        <f t="shared" si="68"/>
        <v>92281.279999999999</v>
      </c>
    </row>
    <row r="135" spans="2:21" s="34" customFormat="1" ht="69">
      <c r="B135" s="87" t="s">
        <v>263</v>
      </c>
      <c r="C135" s="88" t="s">
        <v>264</v>
      </c>
      <c r="D135" s="89" t="s">
        <v>79</v>
      </c>
      <c r="E135" s="90">
        <v>15102.2</v>
      </c>
      <c r="F135" s="91"/>
      <c r="G135" s="91"/>
      <c r="H135" s="91"/>
      <c r="I135" s="79">
        <f>SUM(G135:H135)+'BM 004'!I135</f>
        <v>0</v>
      </c>
      <c r="J135" s="91">
        <f t="shared" si="41"/>
        <v>15102.2</v>
      </c>
      <c r="K135" s="84">
        <v>79.5</v>
      </c>
      <c r="L135" s="81">
        <f t="shared" si="39"/>
        <v>100.77420874500001</v>
      </c>
      <c r="M135" s="82">
        <f t="shared" si="64"/>
        <v>0</v>
      </c>
      <c r="N135" s="82">
        <f t="shared" si="65"/>
        <v>0</v>
      </c>
      <c r="O135" s="82">
        <f>N135+'BM 004'!O135</f>
        <v>0</v>
      </c>
      <c r="P135" s="80">
        <f t="shared" si="66"/>
        <v>1200624.9000000001</v>
      </c>
      <c r="Q135" s="82">
        <f t="shared" si="67"/>
        <v>1521912.25</v>
      </c>
      <c r="R135" s="82">
        <f t="shared" si="68"/>
        <v>1521912.25</v>
      </c>
    </row>
    <row r="136" spans="2:21" s="34" customFormat="1" ht="57.6">
      <c r="B136" s="87" t="s">
        <v>265</v>
      </c>
      <c r="C136" s="88" t="s">
        <v>266</v>
      </c>
      <c r="D136" s="89" t="s">
        <v>79</v>
      </c>
      <c r="E136" s="90">
        <v>772</v>
      </c>
      <c r="F136" s="91"/>
      <c r="G136" s="91"/>
      <c r="H136" s="91"/>
      <c r="I136" s="79">
        <f>SUM(G136:H136)+'BM 004'!I136</f>
        <v>0</v>
      </c>
      <c r="J136" s="91">
        <f t="shared" si="41"/>
        <v>772</v>
      </c>
      <c r="K136" s="84">
        <v>150</v>
      </c>
      <c r="L136" s="81">
        <f t="shared" si="39"/>
        <v>190.1400165</v>
      </c>
      <c r="M136" s="82">
        <f t="shared" si="64"/>
        <v>0</v>
      </c>
      <c r="N136" s="82">
        <f t="shared" si="65"/>
        <v>0</v>
      </c>
      <c r="O136" s="82">
        <f>N136+'BM 004'!O136</f>
        <v>0</v>
      </c>
      <c r="P136" s="80">
        <f t="shared" si="66"/>
        <v>115800</v>
      </c>
      <c r="Q136" s="82">
        <f t="shared" si="67"/>
        <v>146788.09</v>
      </c>
      <c r="R136" s="82">
        <f t="shared" si="68"/>
        <v>146788.09</v>
      </c>
    </row>
    <row r="137" spans="2:21" s="34" customFormat="1" ht="46.2">
      <c r="B137" s="87" t="s">
        <v>267</v>
      </c>
      <c r="C137" s="88" t="s">
        <v>268</v>
      </c>
      <c r="D137" s="89" t="s">
        <v>79</v>
      </c>
      <c r="E137" s="90">
        <v>210.05</v>
      </c>
      <c r="F137" s="91"/>
      <c r="G137" s="91"/>
      <c r="H137" s="91"/>
      <c r="I137" s="79">
        <f>SUM(G137:H137)+'BM 004'!I137</f>
        <v>0</v>
      </c>
      <c r="J137" s="91">
        <f t="shared" si="41"/>
        <v>210.05</v>
      </c>
      <c r="K137" s="84">
        <v>165</v>
      </c>
      <c r="L137" s="81">
        <f t="shared" si="39"/>
        <v>209.15401815000001</v>
      </c>
      <c r="M137" s="82">
        <f t="shared" si="64"/>
        <v>0</v>
      </c>
      <c r="N137" s="82">
        <f t="shared" si="65"/>
        <v>0</v>
      </c>
      <c r="O137" s="82">
        <f>N137+'BM 004'!O137</f>
        <v>0</v>
      </c>
      <c r="P137" s="80">
        <f t="shared" si="66"/>
        <v>34658.25</v>
      </c>
      <c r="Q137" s="82">
        <f t="shared" si="67"/>
        <v>43932.800000000003</v>
      </c>
      <c r="R137" s="82">
        <f t="shared" si="68"/>
        <v>43932.800000000003</v>
      </c>
    </row>
    <row r="138" spans="2:21" s="34" customFormat="1" ht="23.4">
      <c r="B138" s="87" t="s">
        <v>269</v>
      </c>
      <c r="C138" s="88" t="s">
        <v>270</v>
      </c>
      <c r="D138" s="89" t="s">
        <v>124</v>
      </c>
      <c r="E138" s="90">
        <v>550.94000000000005</v>
      </c>
      <c r="F138" s="91"/>
      <c r="G138" s="91"/>
      <c r="H138" s="91"/>
      <c r="I138" s="79">
        <f>SUM(G138:H138)+'BM 004'!I138</f>
        <v>0</v>
      </c>
      <c r="J138" s="91">
        <f t="shared" si="41"/>
        <v>550.94000000000005</v>
      </c>
      <c r="K138" s="84">
        <v>70</v>
      </c>
      <c r="L138" s="81">
        <f t="shared" si="39"/>
        <v>88.732007699999997</v>
      </c>
      <c r="M138" s="82">
        <f t="shared" si="64"/>
        <v>0</v>
      </c>
      <c r="N138" s="82">
        <f t="shared" si="65"/>
        <v>0</v>
      </c>
      <c r="O138" s="82">
        <f>N138+'BM 004'!O138</f>
        <v>0</v>
      </c>
      <c r="P138" s="80">
        <f t="shared" si="66"/>
        <v>38565.800000000003</v>
      </c>
      <c r="Q138" s="82">
        <f t="shared" si="67"/>
        <v>48886.01</v>
      </c>
      <c r="R138" s="82">
        <f t="shared" si="68"/>
        <v>48886.01</v>
      </c>
    </row>
    <row r="139" spans="2:21" s="34" customFormat="1" ht="13.2">
      <c r="B139" s="60" t="s">
        <v>271</v>
      </c>
      <c r="C139" s="61" t="s">
        <v>272</v>
      </c>
      <c r="D139" s="60"/>
      <c r="E139" s="62"/>
      <c r="F139" s="63"/>
      <c r="G139" s="63"/>
      <c r="H139" s="63"/>
      <c r="I139" s="63">
        <f>SUM(G139:H139)+'BM 004'!I139</f>
        <v>0</v>
      </c>
      <c r="J139" s="63">
        <f t="shared" si="41"/>
        <v>0</v>
      </c>
      <c r="K139" s="63"/>
      <c r="L139" s="63">
        <f t="shared" si="39"/>
        <v>0</v>
      </c>
      <c r="M139" s="63">
        <f t="shared" ref="M139:R139" si="69">SUM(M140,M148)</f>
        <v>0</v>
      </c>
      <c r="N139" s="63">
        <f t="shared" si="69"/>
        <v>0</v>
      </c>
      <c r="O139" s="63">
        <f t="shared" si="69"/>
        <v>0</v>
      </c>
      <c r="P139" s="63">
        <f t="shared" si="69"/>
        <v>2433803.8377</v>
      </c>
      <c r="Q139" s="63">
        <f t="shared" si="69"/>
        <v>3085089.94</v>
      </c>
      <c r="R139" s="63">
        <f t="shared" si="69"/>
        <v>3085089.94</v>
      </c>
    </row>
    <row r="140" spans="2:21" s="34" customFormat="1" ht="13.2">
      <c r="B140" s="66" t="s">
        <v>273</v>
      </c>
      <c r="C140" s="67" t="s">
        <v>274</v>
      </c>
      <c r="D140" s="68"/>
      <c r="E140" s="69"/>
      <c r="F140" s="70"/>
      <c r="G140" s="70"/>
      <c r="H140" s="70"/>
      <c r="I140" s="70">
        <f>SUM(G140:H140)+'BM 004'!I140</f>
        <v>0</v>
      </c>
      <c r="J140" s="70">
        <f t="shared" si="41"/>
        <v>0</v>
      </c>
      <c r="K140" s="71"/>
      <c r="L140" s="71">
        <f t="shared" si="39"/>
        <v>0</v>
      </c>
      <c r="M140" s="73">
        <f t="shared" ref="M140:R140" si="70">SUM(M141:M147)</f>
        <v>0</v>
      </c>
      <c r="N140" s="73">
        <f t="shared" si="70"/>
        <v>0</v>
      </c>
      <c r="O140" s="73">
        <f t="shared" si="70"/>
        <v>0</v>
      </c>
      <c r="P140" s="73">
        <f t="shared" si="70"/>
        <v>1345103.6276999998</v>
      </c>
      <c r="Q140" s="73">
        <f t="shared" si="70"/>
        <v>1705053.47</v>
      </c>
      <c r="R140" s="73">
        <f t="shared" si="70"/>
        <v>1705053.47</v>
      </c>
    </row>
    <row r="141" spans="2:21" s="34" customFormat="1" ht="46.2">
      <c r="B141" s="87" t="s">
        <v>275</v>
      </c>
      <c r="C141" s="88" t="s">
        <v>276</v>
      </c>
      <c r="D141" s="89" t="s">
        <v>79</v>
      </c>
      <c r="E141" s="90">
        <f>E135*2-E149</f>
        <v>26012.79</v>
      </c>
      <c r="F141" s="91"/>
      <c r="G141" s="91"/>
      <c r="H141" s="91"/>
      <c r="I141" s="79">
        <f>SUM(G141:H141)+'BM 004'!I141</f>
        <v>0</v>
      </c>
      <c r="J141" s="91">
        <f t="shared" si="41"/>
        <v>26012.79</v>
      </c>
      <c r="K141" s="84">
        <v>4.5</v>
      </c>
      <c r="L141" s="81">
        <f t="shared" si="39"/>
        <v>5.7042004950000003</v>
      </c>
      <c r="M141" s="82">
        <f t="shared" ref="M141:M147" si="71">TRUNC(F141*L141,2)</f>
        <v>0</v>
      </c>
      <c r="N141" s="82">
        <f t="shared" ref="N141:N147" si="72">TRUNC(G141*L141,2)</f>
        <v>0</v>
      </c>
      <c r="O141" s="82">
        <f>N141+'BM 004'!O141</f>
        <v>0</v>
      </c>
      <c r="P141" s="80">
        <f t="shared" ref="P141:P147" si="73">E141*K141</f>
        <v>117057.55500000001</v>
      </c>
      <c r="Q141" s="82">
        <f t="shared" ref="Q141:Q147" si="74">TRUNC(E141*L141,2)</f>
        <v>148382.16</v>
      </c>
      <c r="R141" s="82">
        <f t="shared" ref="R141:R147" si="75">Q141-O141</f>
        <v>148382.16</v>
      </c>
    </row>
    <row r="142" spans="2:21" s="34" customFormat="1" ht="69">
      <c r="B142" s="87" t="s">
        <v>277</v>
      </c>
      <c r="C142" s="88" t="s">
        <v>278</v>
      </c>
      <c r="D142" s="89" t="s">
        <v>79</v>
      </c>
      <c r="E142" s="90">
        <f>E145+E146</f>
        <v>462.83</v>
      </c>
      <c r="F142" s="91"/>
      <c r="G142" s="91"/>
      <c r="H142" s="91"/>
      <c r="I142" s="79">
        <f>SUM(G142:H142)+'BM 004'!I142</f>
        <v>0</v>
      </c>
      <c r="J142" s="91">
        <f t="shared" si="41"/>
        <v>462.83</v>
      </c>
      <c r="K142" s="84">
        <v>30</v>
      </c>
      <c r="L142" s="81">
        <f t="shared" si="39"/>
        <v>38.028003300000002</v>
      </c>
      <c r="M142" s="82">
        <f t="shared" si="71"/>
        <v>0</v>
      </c>
      <c r="N142" s="82">
        <f t="shared" si="72"/>
        <v>0</v>
      </c>
      <c r="O142" s="82">
        <f>N142+'BM 004'!O142</f>
        <v>0</v>
      </c>
      <c r="P142" s="80">
        <f t="shared" si="73"/>
        <v>13884.9</v>
      </c>
      <c r="Q142" s="82">
        <f t="shared" si="74"/>
        <v>17600.5</v>
      </c>
      <c r="R142" s="82">
        <f t="shared" si="75"/>
        <v>17600.5</v>
      </c>
    </row>
    <row r="143" spans="2:21" s="34" customFormat="1" ht="69">
      <c r="B143" s="87" t="s">
        <v>279</v>
      </c>
      <c r="C143" s="88" t="s">
        <v>280</v>
      </c>
      <c r="D143" s="89" t="s">
        <v>79</v>
      </c>
      <c r="E143" s="90">
        <f>E141-E142-E147</f>
        <v>25418.329999999998</v>
      </c>
      <c r="F143" s="91"/>
      <c r="G143" s="91"/>
      <c r="H143" s="91"/>
      <c r="I143" s="79">
        <f>SUM(G143:H143)+'BM 004'!I143</f>
        <v>0</v>
      </c>
      <c r="J143" s="91">
        <f t="shared" si="41"/>
        <v>25418.329999999998</v>
      </c>
      <c r="K143" s="84">
        <v>33.65</v>
      </c>
      <c r="L143" s="81">
        <f t="shared" si="39"/>
        <v>42.654743701500003</v>
      </c>
      <c r="M143" s="82">
        <f t="shared" si="71"/>
        <v>0</v>
      </c>
      <c r="N143" s="82">
        <f t="shared" si="72"/>
        <v>0</v>
      </c>
      <c r="O143" s="82">
        <f>N143+'BM 004'!O143</f>
        <v>0</v>
      </c>
      <c r="P143" s="80">
        <f t="shared" si="73"/>
        <v>855326.80449999985</v>
      </c>
      <c r="Q143" s="82">
        <f t="shared" si="74"/>
        <v>1084212.3500000001</v>
      </c>
      <c r="R143" s="82">
        <f t="shared" si="75"/>
        <v>1084212.3500000001</v>
      </c>
    </row>
    <row r="144" spans="2:21" s="34" customFormat="1" ht="23.4">
      <c r="B144" s="87" t="s">
        <v>281</v>
      </c>
      <c r="C144" s="88" t="s">
        <v>282</v>
      </c>
      <c r="D144" s="89" t="s">
        <v>79</v>
      </c>
      <c r="E144" s="90">
        <v>1328.83</v>
      </c>
      <c r="F144" s="91"/>
      <c r="G144" s="91"/>
      <c r="H144" s="91"/>
      <c r="I144" s="79">
        <f>SUM(G144:H144)+'BM 004'!I144</f>
        <v>0</v>
      </c>
      <c r="J144" s="91">
        <f t="shared" si="41"/>
        <v>1328.83</v>
      </c>
      <c r="K144" s="84">
        <v>162.54</v>
      </c>
      <c r="L144" s="81">
        <f t="shared" si="39"/>
        <v>206.0357218794</v>
      </c>
      <c r="M144" s="82">
        <f t="shared" si="71"/>
        <v>0</v>
      </c>
      <c r="N144" s="82">
        <f t="shared" si="72"/>
        <v>0</v>
      </c>
      <c r="O144" s="82">
        <f>N144+'BM 004'!O144</f>
        <v>0</v>
      </c>
      <c r="P144" s="80">
        <f t="shared" si="73"/>
        <v>215988.02819999997</v>
      </c>
      <c r="Q144" s="82">
        <f t="shared" si="74"/>
        <v>273786.44</v>
      </c>
      <c r="R144" s="82">
        <f t="shared" si="75"/>
        <v>273786.44</v>
      </c>
    </row>
    <row r="145" spans="2:18" s="34" customFormat="1" ht="46.2">
      <c r="B145" s="87" t="s">
        <v>283</v>
      </c>
      <c r="C145" s="88" t="s">
        <v>284</v>
      </c>
      <c r="D145" s="89" t="s">
        <v>79</v>
      </c>
      <c r="E145" s="92">
        <v>392.83</v>
      </c>
      <c r="F145" s="91"/>
      <c r="G145" s="91"/>
      <c r="H145" s="91"/>
      <c r="I145" s="79">
        <f>SUM(G145:H145)+'BM 004'!I145</f>
        <v>0</v>
      </c>
      <c r="J145" s="91">
        <f t="shared" si="41"/>
        <v>392.83</v>
      </c>
      <c r="K145" s="84">
        <v>148</v>
      </c>
      <c r="L145" s="81">
        <f t="shared" si="39"/>
        <v>187.60481628000002</v>
      </c>
      <c r="M145" s="82">
        <f t="shared" si="71"/>
        <v>0</v>
      </c>
      <c r="N145" s="82">
        <f t="shared" si="72"/>
        <v>0</v>
      </c>
      <c r="O145" s="82">
        <f>N145+'BM 004'!O145</f>
        <v>0</v>
      </c>
      <c r="P145" s="80">
        <f t="shared" si="73"/>
        <v>58138.84</v>
      </c>
      <c r="Q145" s="82">
        <f t="shared" si="74"/>
        <v>73696.789999999994</v>
      </c>
      <c r="R145" s="82">
        <f t="shared" si="75"/>
        <v>73696.789999999994</v>
      </c>
    </row>
    <row r="146" spans="2:18" s="34" customFormat="1" ht="13.2">
      <c r="B146" s="87" t="s">
        <v>285</v>
      </c>
      <c r="C146" s="88" t="s">
        <v>286</v>
      </c>
      <c r="D146" s="89" t="s">
        <v>79</v>
      </c>
      <c r="E146" s="92">
        <v>70</v>
      </c>
      <c r="F146" s="91"/>
      <c r="G146" s="91"/>
      <c r="H146" s="91"/>
      <c r="I146" s="79">
        <f>SUM(G146:H146)+'BM 004'!I146</f>
        <v>0</v>
      </c>
      <c r="J146" s="91">
        <f t="shared" si="41"/>
        <v>70</v>
      </c>
      <c r="K146" s="84">
        <v>740</v>
      </c>
      <c r="L146" s="81">
        <f t="shared" si="39"/>
        <v>938.0240814</v>
      </c>
      <c r="M146" s="82">
        <f t="shared" si="71"/>
        <v>0</v>
      </c>
      <c r="N146" s="82">
        <f t="shared" si="72"/>
        <v>0</v>
      </c>
      <c r="O146" s="82">
        <f>N146+'BM 004'!O146</f>
        <v>0</v>
      </c>
      <c r="P146" s="80">
        <f t="shared" si="73"/>
        <v>51800</v>
      </c>
      <c r="Q146" s="82">
        <f t="shared" si="74"/>
        <v>65661.679999999993</v>
      </c>
      <c r="R146" s="82">
        <f t="shared" si="75"/>
        <v>65661.679999999993</v>
      </c>
    </row>
    <row r="147" spans="2:18" s="34" customFormat="1" ht="13.2">
      <c r="B147" s="87" t="s">
        <v>287</v>
      </c>
      <c r="C147" s="88" t="s">
        <v>288</v>
      </c>
      <c r="D147" s="89" t="s">
        <v>79</v>
      </c>
      <c r="E147" s="90">
        <v>131.63</v>
      </c>
      <c r="F147" s="91"/>
      <c r="G147" s="91"/>
      <c r="H147" s="91"/>
      <c r="I147" s="79">
        <f>SUM(G147:H147)+'BM 004'!I147</f>
        <v>0</v>
      </c>
      <c r="J147" s="91">
        <f t="shared" si="41"/>
        <v>131.63</v>
      </c>
      <c r="K147" s="80">
        <v>250</v>
      </c>
      <c r="L147" s="81">
        <f t="shared" si="39"/>
        <v>316.90002750000002</v>
      </c>
      <c r="M147" s="82">
        <f t="shared" si="71"/>
        <v>0</v>
      </c>
      <c r="N147" s="82">
        <f t="shared" si="72"/>
        <v>0</v>
      </c>
      <c r="O147" s="82">
        <f>N147+'BM 004'!O147</f>
        <v>0</v>
      </c>
      <c r="P147" s="80">
        <f t="shared" si="73"/>
        <v>32907.5</v>
      </c>
      <c r="Q147" s="82">
        <f t="shared" si="74"/>
        <v>41713.550000000003</v>
      </c>
      <c r="R147" s="82">
        <f t="shared" si="75"/>
        <v>41713.550000000003</v>
      </c>
    </row>
    <row r="148" spans="2:18" s="34" customFormat="1" ht="13.2">
      <c r="B148" s="66" t="s">
        <v>289</v>
      </c>
      <c r="C148" s="67" t="s">
        <v>290</v>
      </c>
      <c r="D148" s="68"/>
      <c r="E148" s="69"/>
      <c r="F148" s="70"/>
      <c r="G148" s="70"/>
      <c r="H148" s="70"/>
      <c r="I148" s="70">
        <f>SUM(G148:H148)+'BM 004'!I148</f>
        <v>0</v>
      </c>
      <c r="J148" s="70">
        <f t="shared" si="41"/>
        <v>0</v>
      </c>
      <c r="K148" s="71"/>
      <c r="L148" s="71">
        <f t="shared" si="39"/>
        <v>0</v>
      </c>
      <c r="M148" s="73">
        <f t="shared" ref="M148:R148" si="76">SUM(M149:M154)</f>
        <v>0</v>
      </c>
      <c r="N148" s="73">
        <f t="shared" si="76"/>
        <v>0</v>
      </c>
      <c r="O148" s="73">
        <f t="shared" si="76"/>
        <v>0</v>
      </c>
      <c r="P148" s="73">
        <f t="shared" si="76"/>
        <v>1088700.21</v>
      </c>
      <c r="Q148" s="73">
        <f t="shared" si="76"/>
        <v>1380036.47</v>
      </c>
      <c r="R148" s="73">
        <f t="shared" si="76"/>
        <v>1380036.47</v>
      </c>
    </row>
    <row r="149" spans="2:18" s="34" customFormat="1" ht="57.6">
      <c r="B149" s="87" t="s">
        <v>291</v>
      </c>
      <c r="C149" s="88" t="s">
        <v>292</v>
      </c>
      <c r="D149" s="89" t="s">
        <v>79</v>
      </c>
      <c r="E149" s="90">
        <f>E151+E152+E153+E154</f>
        <v>4191.6100000000006</v>
      </c>
      <c r="F149" s="91"/>
      <c r="G149" s="91"/>
      <c r="H149" s="91"/>
      <c r="I149" s="79">
        <f>SUM(G149:H149)+'BM 004'!I149</f>
        <v>0</v>
      </c>
      <c r="J149" s="91">
        <f t="shared" si="41"/>
        <v>4191.6100000000006</v>
      </c>
      <c r="K149" s="84">
        <v>12</v>
      </c>
      <c r="L149" s="81">
        <f t="shared" si="39"/>
        <v>15.211201320000001</v>
      </c>
      <c r="M149" s="82">
        <f t="shared" ref="M149:M154" si="77">TRUNC(F149*L149,2)</f>
        <v>0</v>
      </c>
      <c r="N149" s="82">
        <f t="shared" ref="N149:N154" si="78">TRUNC(G149*L149,2)</f>
        <v>0</v>
      </c>
      <c r="O149" s="82">
        <f>N149+'BM 004'!O149</f>
        <v>0</v>
      </c>
      <c r="P149" s="80">
        <f t="shared" ref="P149:P154" si="79">E149*K149</f>
        <v>50299.320000000007</v>
      </c>
      <c r="Q149" s="82">
        <f t="shared" ref="Q149:Q154" si="80">TRUNC(E149*L149,2)</f>
        <v>63759.42</v>
      </c>
      <c r="R149" s="82">
        <f t="shared" ref="R149:R154" si="81">Q149-O149</f>
        <v>63759.42</v>
      </c>
    </row>
    <row r="150" spans="2:18" s="34" customFormat="1" ht="69">
      <c r="B150" s="87" t="s">
        <v>293</v>
      </c>
      <c r="C150" s="88" t="s">
        <v>294</v>
      </c>
      <c r="D150" s="89" t="s">
        <v>79</v>
      </c>
      <c r="E150" s="90">
        <f>E149</f>
        <v>4191.6100000000006</v>
      </c>
      <c r="F150" s="91"/>
      <c r="G150" s="91"/>
      <c r="H150" s="91"/>
      <c r="I150" s="79">
        <f>SUM(G150:H150)+'BM 004'!I150</f>
        <v>0</v>
      </c>
      <c r="J150" s="91">
        <f t="shared" si="41"/>
        <v>4191.6100000000006</v>
      </c>
      <c r="K150" s="84">
        <v>62</v>
      </c>
      <c r="L150" s="81">
        <f t="shared" si="39"/>
        <v>78.591206819999996</v>
      </c>
      <c r="M150" s="82">
        <f t="shared" si="77"/>
        <v>0</v>
      </c>
      <c r="N150" s="82">
        <f t="shared" si="78"/>
        <v>0</v>
      </c>
      <c r="O150" s="82">
        <f>N150+'BM 004'!O150</f>
        <v>0</v>
      </c>
      <c r="P150" s="80">
        <f t="shared" si="79"/>
        <v>259879.82000000004</v>
      </c>
      <c r="Q150" s="82">
        <f t="shared" si="80"/>
        <v>329423.68</v>
      </c>
      <c r="R150" s="82">
        <f t="shared" si="81"/>
        <v>329423.68</v>
      </c>
    </row>
    <row r="151" spans="2:18" s="34" customFormat="1" ht="23.4">
      <c r="B151" s="87" t="s">
        <v>295</v>
      </c>
      <c r="C151" s="88" t="s">
        <v>296</v>
      </c>
      <c r="D151" s="89" t="s">
        <v>79</v>
      </c>
      <c r="E151" s="90">
        <v>120.2</v>
      </c>
      <c r="F151" s="91"/>
      <c r="G151" s="91"/>
      <c r="H151" s="91"/>
      <c r="I151" s="79">
        <f>SUM(G151:H151)+'BM 004'!I151</f>
        <v>0</v>
      </c>
      <c r="J151" s="91">
        <f t="shared" si="41"/>
        <v>120.2</v>
      </c>
      <c r="K151" s="84">
        <v>178</v>
      </c>
      <c r="L151" s="81">
        <f t="shared" si="39"/>
        <v>225.63281958000002</v>
      </c>
      <c r="M151" s="82">
        <f t="shared" si="77"/>
        <v>0</v>
      </c>
      <c r="N151" s="82">
        <f t="shared" si="78"/>
        <v>0</v>
      </c>
      <c r="O151" s="82">
        <f>N151+'BM 004'!O151</f>
        <v>0</v>
      </c>
      <c r="P151" s="80">
        <f t="shared" si="79"/>
        <v>21395.600000000002</v>
      </c>
      <c r="Q151" s="82">
        <f t="shared" si="80"/>
        <v>27121.06</v>
      </c>
      <c r="R151" s="82">
        <f t="shared" si="81"/>
        <v>27121.06</v>
      </c>
    </row>
    <row r="152" spans="2:18" s="34" customFormat="1" ht="23.4">
      <c r="B152" s="87" t="s">
        <v>297</v>
      </c>
      <c r="C152" s="88" t="s">
        <v>298</v>
      </c>
      <c r="D152" s="89" t="s">
        <v>79</v>
      </c>
      <c r="E152" s="90">
        <v>52.6</v>
      </c>
      <c r="F152" s="91"/>
      <c r="G152" s="91"/>
      <c r="H152" s="91"/>
      <c r="I152" s="79">
        <f>SUM(G152:H152)+'BM 004'!I152</f>
        <v>0</v>
      </c>
      <c r="J152" s="91">
        <f t="shared" si="41"/>
        <v>52.6</v>
      </c>
      <c r="K152" s="84">
        <v>182</v>
      </c>
      <c r="L152" s="81">
        <f t="shared" si="39"/>
        <v>230.70322002</v>
      </c>
      <c r="M152" s="82">
        <f t="shared" si="77"/>
        <v>0</v>
      </c>
      <c r="N152" s="82">
        <f t="shared" si="78"/>
        <v>0</v>
      </c>
      <c r="O152" s="82">
        <f>N152+'BM 004'!O152</f>
        <v>0</v>
      </c>
      <c r="P152" s="80">
        <f t="shared" si="79"/>
        <v>9573.2000000000007</v>
      </c>
      <c r="Q152" s="82">
        <f t="shared" si="80"/>
        <v>12134.98</v>
      </c>
      <c r="R152" s="82">
        <f t="shared" si="81"/>
        <v>12134.98</v>
      </c>
    </row>
    <row r="153" spans="2:18" s="34" customFormat="1" ht="23.4">
      <c r="B153" s="87" t="s">
        <v>299</v>
      </c>
      <c r="C153" s="88" t="s">
        <v>300</v>
      </c>
      <c r="D153" s="89" t="s">
        <v>79</v>
      </c>
      <c r="E153" s="90">
        <v>2811.38</v>
      </c>
      <c r="F153" s="91"/>
      <c r="G153" s="91"/>
      <c r="H153" s="91"/>
      <c r="I153" s="79">
        <f>SUM(G153:H153)+'BM 004'!I153</f>
        <v>0</v>
      </c>
      <c r="J153" s="91">
        <f t="shared" si="41"/>
        <v>2811.38</v>
      </c>
      <c r="K153" s="84">
        <v>177</v>
      </c>
      <c r="L153" s="81">
        <f t="shared" si="39"/>
        <v>224.36521947</v>
      </c>
      <c r="M153" s="82">
        <f t="shared" si="77"/>
        <v>0</v>
      </c>
      <c r="N153" s="82">
        <f t="shared" si="78"/>
        <v>0</v>
      </c>
      <c r="O153" s="82">
        <f>N153+'BM 004'!O153</f>
        <v>0</v>
      </c>
      <c r="P153" s="80">
        <f t="shared" si="79"/>
        <v>497614.26</v>
      </c>
      <c r="Q153" s="82">
        <f t="shared" si="80"/>
        <v>630775.89</v>
      </c>
      <c r="R153" s="82">
        <f t="shared" si="81"/>
        <v>630775.89</v>
      </c>
    </row>
    <row r="154" spans="2:18" s="34" customFormat="1" ht="23.4">
      <c r="B154" s="87" t="s">
        <v>301</v>
      </c>
      <c r="C154" s="88" t="s">
        <v>302</v>
      </c>
      <c r="D154" s="89" t="s">
        <v>79</v>
      </c>
      <c r="E154" s="90">
        <v>1207.43</v>
      </c>
      <c r="F154" s="91"/>
      <c r="G154" s="91"/>
      <c r="H154" s="91"/>
      <c r="I154" s="79">
        <f>SUM(G154:H154)+'BM 004'!I154</f>
        <v>0</v>
      </c>
      <c r="J154" s="91">
        <f t="shared" si="41"/>
        <v>1207.43</v>
      </c>
      <c r="K154" s="84">
        <v>207</v>
      </c>
      <c r="L154" s="81">
        <f t="shared" si="39"/>
        <v>262.39322277000002</v>
      </c>
      <c r="M154" s="82">
        <f t="shared" si="77"/>
        <v>0</v>
      </c>
      <c r="N154" s="82">
        <f t="shared" si="78"/>
        <v>0</v>
      </c>
      <c r="O154" s="82">
        <f>N154+'BM 004'!O154</f>
        <v>0</v>
      </c>
      <c r="P154" s="80">
        <f t="shared" si="79"/>
        <v>249938.01</v>
      </c>
      <c r="Q154" s="82">
        <f t="shared" si="80"/>
        <v>316821.44</v>
      </c>
      <c r="R154" s="82">
        <f t="shared" si="81"/>
        <v>316821.44</v>
      </c>
    </row>
    <row r="155" spans="2:18" s="34" customFormat="1" ht="13.2">
      <c r="B155" s="60" t="s">
        <v>303</v>
      </c>
      <c r="C155" s="61" t="s">
        <v>304</v>
      </c>
      <c r="D155" s="60"/>
      <c r="E155" s="62"/>
      <c r="F155" s="63"/>
      <c r="G155" s="63"/>
      <c r="H155" s="63"/>
      <c r="I155" s="63">
        <f>SUM(G155:H155)+'BM 004'!I155</f>
        <v>0</v>
      </c>
      <c r="J155" s="63">
        <f t="shared" si="41"/>
        <v>0</v>
      </c>
      <c r="K155" s="63"/>
      <c r="L155" s="63">
        <f t="shared" si="39"/>
        <v>0</v>
      </c>
      <c r="M155" s="63">
        <f t="shared" ref="M155:R155" si="82">SUM(M156,M165)</f>
        <v>0</v>
      </c>
      <c r="N155" s="63">
        <f t="shared" si="82"/>
        <v>0</v>
      </c>
      <c r="O155" s="63">
        <f t="shared" si="82"/>
        <v>0</v>
      </c>
      <c r="P155" s="63">
        <f t="shared" si="82"/>
        <v>800757.83000000007</v>
      </c>
      <c r="Q155" s="63">
        <f t="shared" si="82"/>
        <v>1015040.66</v>
      </c>
      <c r="R155" s="63">
        <f t="shared" si="82"/>
        <v>1015040.66</v>
      </c>
    </row>
    <row r="156" spans="2:18" s="34" customFormat="1" ht="13.2">
      <c r="B156" s="66" t="s">
        <v>305</v>
      </c>
      <c r="C156" s="67" t="s">
        <v>306</v>
      </c>
      <c r="D156" s="68"/>
      <c r="E156" s="69"/>
      <c r="F156" s="70"/>
      <c r="G156" s="70"/>
      <c r="H156" s="70"/>
      <c r="I156" s="70">
        <f>SUM(G156:H156)+'BM 004'!I156</f>
        <v>0</v>
      </c>
      <c r="J156" s="70">
        <f t="shared" si="41"/>
        <v>0</v>
      </c>
      <c r="K156" s="71"/>
      <c r="L156" s="71">
        <f t="shared" si="39"/>
        <v>0</v>
      </c>
      <c r="M156" s="73">
        <f t="shared" ref="M156:R156" si="83">SUM(M157:M164)</f>
        <v>0</v>
      </c>
      <c r="N156" s="73">
        <f t="shared" si="83"/>
        <v>0</v>
      </c>
      <c r="O156" s="73">
        <f t="shared" si="83"/>
        <v>0</v>
      </c>
      <c r="P156" s="73">
        <f t="shared" si="83"/>
        <v>737633.33000000007</v>
      </c>
      <c r="Q156" s="73">
        <f t="shared" si="83"/>
        <v>935024.05</v>
      </c>
      <c r="R156" s="73">
        <f t="shared" si="83"/>
        <v>935024.05</v>
      </c>
    </row>
    <row r="157" spans="2:18" s="34" customFormat="1" ht="57.6">
      <c r="B157" s="87" t="s">
        <v>307</v>
      </c>
      <c r="C157" s="88" t="s">
        <v>308</v>
      </c>
      <c r="D157" s="89" t="s">
        <v>79</v>
      </c>
      <c r="E157" s="103">
        <v>7166.75</v>
      </c>
      <c r="F157" s="84"/>
      <c r="G157" s="84"/>
      <c r="H157" s="84"/>
      <c r="I157" s="79">
        <f>SUM(G157:H157)+'BM 004'!I157</f>
        <v>0</v>
      </c>
      <c r="J157" s="84">
        <f t="shared" si="41"/>
        <v>7166.75</v>
      </c>
      <c r="K157" s="84">
        <v>42.2</v>
      </c>
      <c r="L157" s="81">
        <f t="shared" ref="L157:L220" si="84">K157*(1+$T$26)</f>
        <v>53.492724642000006</v>
      </c>
      <c r="M157" s="82">
        <f t="shared" ref="M157:M164" si="85">TRUNC(F157*L157,2)</f>
        <v>0</v>
      </c>
      <c r="N157" s="82">
        <f t="shared" ref="N157:N164" si="86">TRUNC(G157*L157,2)</f>
        <v>0</v>
      </c>
      <c r="O157" s="82">
        <f>N157+'BM 004'!O157</f>
        <v>0</v>
      </c>
      <c r="P157" s="80">
        <f t="shared" ref="P157:P164" si="87">E157*K157</f>
        <v>302436.85000000003</v>
      </c>
      <c r="Q157" s="82">
        <f t="shared" ref="Q157:Q164" si="88">TRUNC(E157*L157,2)</f>
        <v>383368.98</v>
      </c>
      <c r="R157" s="82">
        <f t="shared" ref="R157:R164" si="89">Q157-O157</f>
        <v>383368.98</v>
      </c>
    </row>
    <row r="158" spans="2:18" s="34" customFormat="1" ht="46.2">
      <c r="B158" s="87" t="s">
        <v>309</v>
      </c>
      <c r="C158" s="88" t="s">
        <v>310</v>
      </c>
      <c r="D158" s="89" t="s">
        <v>79</v>
      </c>
      <c r="E158" s="104">
        <v>520.1</v>
      </c>
      <c r="F158" s="80"/>
      <c r="G158" s="80"/>
      <c r="H158" s="80"/>
      <c r="I158" s="79">
        <f>SUM(G158:H158)+'BM 004'!I158</f>
        <v>0</v>
      </c>
      <c r="J158" s="80">
        <f t="shared" si="41"/>
        <v>520.1</v>
      </c>
      <c r="K158" s="105">
        <v>35.200000000000003</v>
      </c>
      <c r="L158" s="81">
        <f t="shared" si="84"/>
        <v>44.619523872000009</v>
      </c>
      <c r="M158" s="82">
        <f t="shared" si="85"/>
        <v>0</v>
      </c>
      <c r="N158" s="82">
        <f t="shared" si="86"/>
        <v>0</v>
      </c>
      <c r="O158" s="82">
        <f>N158+'BM 004'!O158</f>
        <v>0</v>
      </c>
      <c r="P158" s="80">
        <f t="shared" si="87"/>
        <v>18307.520000000004</v>
      </c>
      <c r="Q158" s="82">
        <f t="shared" si="88"/>
        <v>23206.61</v>
      </c>
      <c r="R158" s="82">
        <f t="shared" si="89"/>
        <v>23206.61</v>
      </c>
    </row>
    <row r="159" spans="2:18" s="34" customFormat="1" ht="34.799999999999997">
      <c r="B159" s="87" t="s">
        <v>311</v>
      </c>
      <c r="C159" s="88" t="s">
        <v>312</v>
      </c>
      <c r="D159" s="89" t="s">
        <v>79</v>
      </c>
      <c r="E159" s="103">
        <v>1225.0999999999999</v>
      </c>
      <c r="F159" s="84"/>
      <c r="G159" s="84"/>
      <c r="H159" s="84"/>
      <c r="I159" s="79">
        <f>SUM(G159:H159)+'BM 004'!I159</f>
        <v>0</v>
      </c>
      <c r="J159" s="84">
        <f t="shared" ref="J159:J222" si="90">E159-I159</f>
        <v>1225.0999999999999</v>
      </c>
      <c r="K159" s="105">
        <v>60</v>
      </c>
      <c r="L159" s="81">
        <f t="shared" si="84"/>
        <v>76.056006600000003</v>
      </c>
      <c r="M159" s="82">
        <f t="shared" si="85"/>
        <v>0</v>
      </c>
      <c r="N159" s="82">
        <f t="shared" si="86"/>
        <v>0</v>
      </c>
      <c r="O159" s="82">
        <f>N159+'BM 004'!O159</f>
        <v>0</v>
      </c>
      <c r="P159" s="80">
        <f t="shared" si="87"/>
        <v>73506</v>
      </c>
      <c r="Q159" s="82">
        <f t="shared" si="88"/>
        <v>93176.21</v>
      </c>
      <c r="R159" s="82">
        <f t="shared" si="89"/>
        <v>93176.21</v>
      </c>
    </row>
    <row r="160" spans="2:18" s="34" customFormat="1" ht="46.2">
      <c r="B160" s="87" t="s">
        <v>313</v>
      </c>
      <c r="C160" s="88" t="s">
        <v>284</v>
      </c>
      <c r="D160" s="89" t="s">
        <v>79</v>
      </c>
      <c r="E160" s="106">
        <v>937</v>
      </c>
      <c r="F160" s="84"/>
      <c r="G160" s="84"/>
      <c r="H160" s="84"/>
      <c r="I160" s="79">
        <f>SUM(G160:H160)+'BM 004'!I160</f>
        <v>0</v>
      </c>
      <c r="J160" s="84">
        <f t="shared" si="90"/>
        <v>937</v>
      </c>
      <c r="K160" s="105">
        <v>158</v>
      </c>
      <c r="L160" s="81">
        <f t="shared" si="84"/>
        <v>200.28081738</v>
      </c>
      <c r="M160" s="82">
        <f t="shared" si="85"/>
        <v>0</v>
      </c>
      <c r="N160" s="82">
        <f t="shared" si="86"/>
        <v>0</v>
      </c>
      <c r="O160" s="82">
        <f>N160+'BM 004'!O160</f>
        <v>0</v>
      </c>
      <c r="P160" s="80">
        <f t="shared" si="87"/>
        <v>148046</v>
      </c>
      <c r="Q160" s="82">
        <f t="shared" si="88"/>
        <v>187663.12</v>
      </c>
      <c r="R160" s="82">
        <f t="shared" si="89"/>
        <v>187663.12</v>
      </c>
    </row>
    <row r="161" spans="2:18" s="34" customFormat="1" ht="46.2">
      <c r="B161" s="87" t="s">
        <v>314</v>
      </c>
      <c r="C161" s="88" t="s">
        <v>315</v>
      </c>
      <c r="D161" s="89" t="s">
        <v>79</v>
      </c>
      <c r="E161" s="106">
        <v>720.69</v>
      </c>
      <c r="F161" s="84"/>
      <c r="G161" s="84"/>
      <c r="H161" s="84"/>
      <c r="I161" s="79">
        <f>SUM(G161:H161)+'BM 004'!I161</f>
        <v>0</v>
      </c>
      <c r="J161" s="84">
        <f t="shared" si="90"/>
        <v>720.69</v>
      </c>
      <c r="K161" s="84">
        <v>185</v>
      </c>
      <c r="L161" s="81">
        <f t="shared" si="84"/>
        <v>234.50602035</v>
      </c>
      <c r="M161" s="82">
        <f t="shared" si="85"/>
        <v>0</v>
      </c>
      <c r="N161" s="82">
        <f t="shared" si="86"/>
        <v>0</v>
      </c>
      <c r="O161" s="82">
        <f>N161+'BM 004'!O161</f>
        <v>0</v>
      </c>
      <c r="P161" s="80">
        <f t="shared" si="87"/>
        <v>133327.65000000002</v>
      </c>
      <c r="Q161" s="82">
        <f t="shared" si="88"/>
        <v>169006.14</v>
      </c>
      <c r="R161" s="82">
        <f t="shared" si="89"/>
        <v>169006.14</v>
      </c>
    </row>
    <row r="162" spans="2:18" s="34" customFormat="1" ht="23.4">
      <c r="B162" s="87" t="s">
        <v>316</v>
      </c>
      <c r="C162" s="88" t="s">
        <v>317</v>
      </c>
      <c r="D162" s="89" t="s">
        <v>79</v>
      </c>
      <c r="E162" s="103">
        <v>50.69</v>
      </c>
      <c r="F162" s="84"/>
      <c r="G162" s="84"/>
      <c r="H162" s="84"/>
      <c r="I162" s="79">
        <f>SUM(G162:H162)+'BM 004'!I162</f>
        <v>0</v>
      </c>
      <c r="J162" s="84">
        <f t="shared" si="90"/>
        <v>50.69</v>
      </c>
      <c r="K162" s="84">
        <v>765</v>
      </c>
      <c r="L162" s="81">
        <f t="shared" si="84"/>
        <v>969.71408415000008</v>
      </c>
      <c r="M162" s="82">
        <f t="shared" si="85"/>
        <v>0</v>
      </c>
      <c r="N162" s="82">
        <f t="shared" si="86"/>
        <v>0</v>
      </c>
      <c r="O162" s="82">
        <f>N162+'BM 004'!O162</f>
        <v>0</v>
      </c>
      <c r="P162" s="80">
        <f t="shared" si="87"/>
        <v>38777.85</v>
      </c>
      <c r="Q162" s="82">
        <f t="shared" si="88"/>
        <v>49154.8</v>
      </c>
      <c r="R162" s="82">
        <f t="shared" si="89"/>
        <v>49154.8</v>
      </c>
    </row>
    <row r="163" spans="2:18" s="34" customFormat="1" ht="23.4">
      <c r="B163" s="87" t="s">
        <v>318</v>
      </c>
      <c r="C163" s="88" t="s">
        <v>319</v>
      </c>
      <c r="D163" s="89" t="s">
        <v>124</v>
      </c>
      <c r="E163" s="106">
        <v>36</v>
      </c>
      <c r="F163" s="84"/>
      <c r="G163" s="84"/>
      <c r="H163" s="84"/>
      <c r="I163" s="79">
        <f>SUM(G163:H163)+'BM 004'!I163</f>
        <v>0</v>
      </c>
      <c r="J163" s="84">
        <f t="shared" si="90"/>
        <v>36</v>
      </c>
      <c r="K163" s="84">
        <v>134</v>
      </c>
      <c r="L163" s="81">
        <f t="shared" si="84"/>
        <v>169.85841474</v>
      </c>
      <c r="M163" s="82">
        <f t="shared" si="85"/>
        <v>0</v>
      </c>
      <c r="N163" s="82">
        <f t="shared" si="86"/>
        <v>0</v>
      </c>
      <c r="O163" s="82">
        <f>N163+'BM 004'!O163</f>
        <v>0</v>
      </c>
      <c r="P163" s="80">
        <f t="shared" si="87"/>
        <v>4824</v>
      </c>
      <c r="Q163" s="82">
        <f t="shared" si="88"/>
        <v>6114.9</v>
      </c>
      <c r="R163" s="82">
        <f t="shared" si="89"/>
        <v>6114.9</v>
      </c>
    </row>
    <row r="164" spans="2:18" s="34" customFormat="1" ht="13.2">
      <c r="B164" s="87" t="s">
        <v>320</v>
      </c>
      <c r="C164" s="88" t="s">
        <v>321</v>
      </c>
      <c r="D164" s="89" t="s">
        <v>124</v>
      </c>
      <c r="E164" s="106">
        <v>123.54</v>
      </c>
      <c r="F164" s="84"/>
      <c r="G164" s="84"/>
      <c r="H164" s="84"/>
      <c r="I164" s="79">
        <f>SUM(G164:H164)+'BM 004'!I164</f>
        <v>0</v>
      </c>
      <c r="J164" s="84">
        <f t="shared" si="90"/>
        <v>123.54</v>
      </c>
      <c r="K164" s="84">
        <v>149</v>
      </c>
      <c r="L164" s="81">
        <f t="shared" si="84"/>
        <v>188.87241639000001</v>
      </c>
      <c r="M164" s="82">
        <f t="shared" si="85"/>
        <v>0</v>
      </c>
      <c r="N164" s="82">
        <f t="shared" si="86"/>
        <v>0</v>
      </c>
      <c r="O164" s="82">
        <f>N164+'BM 004'!O164</f>
        <v>0</v>
      </c>
      <c r="P164" s="80">
        <f t="shared" si="87"/>
        <v>18407.46</v>
      </c>
      <c r="Q164" s="82">
        <f t="shared" si="88"/>
        <v>23333.29</v>
      </c>
      <c r="R164" s="82">
        <f t="shared" si="89"/>
        <v>23333.29</v>
      </c>
    </row>
    <row r="165" spans="2:18" s="34" customFormat="1" ht="13.2">
      <c r="B165" s="66" t="s">
        <v>322</v>
      </c>
      <c r="C165" s="67" t="s">
        <v>323</v>
      </c>
      <c r="D165" s="68"/>
      <c r="E165" s="69"/>
      <c r="F165" s="70"/>
      <c r="G165" s="70"/>
      <c r="H165" s="70"/>
      <c r="I165" s="70">
        <f>SUM(G165:H165)+'BM 004'!I165</f>
        <v>0</v>
      </c>
      <c r="J165" s="70">
        <f t="shared" si="90"/>
        <v>0</v>
      </c>
      <c r="K165" s="71"/>
      <c r="L165" s="71">
        <f t="shared" si="84"/>
        <v>0</v>
      </c>
      <c r="M165" s="73">
        <f t="shared" ref="M165:R165" si="91">SUM(M166:M169)</f>
        <v>0</v>
      </c>
      <c r="N165" s="73">
        <f t="shared" si="91"/>
        <v>0</v>
      </c>
      <c r="O165" s="73">
        <f t="shared" si="91"/>
        <v>0</v>
      </c>
      <c r="P165" s="73">
        <f t="shared" si="91"/>
        <v>63124.5</v>
      </c>
      <c r="Q165" s="73">
        <f t="shared" si="91"/>
        <v>80016.61</v>
      </c>
      <c r="R165" s="73">
        <f t="shared" si="91"/>
        <v>80016.61</v>
      </c>
    </row>
    <row r="166" spans="2:18" s="34" customFormat="1" ht="34.799999999999997">
      <c r="B166" s="87" t="s">
        <v>324</v>
      </c>
      <c r="C166" s="88" t="s">
        <v>325</v>
      </c>
      <c r="D166" s="89" t="s">
        <v>79</v>
      </c>
      <c r="E166" s="90">
        <v>290.89999999999998</v>
      </c>
      <c r="F166" s="91"/>
      <c r="G166" s="91"/>
      <c r="H166" s="91"/>
      <c r="I166" s="79">
        <f>SUM(G166:H166)+'BM 004'!I166</f>
        <v>0</v>
      </c>
      <c r="J166" s="91">
        <f t="shared" si="90"/>
        <v>290.89999999999998</v>
      </c>
      <c r="K166" s="84">
        <v>105</v>
      </c>
      <c r="L166" s="81">
        <f t="shared" si="84"/>
        <v>133.09801155</v>
      </c>
      <c r="M166" s="82">
        <f>TRUNC(F166*L166,2)</f>
        <v>0</v>
      </c>
      <c r="N166" s="82">
        <f>TRUNC(G166*L166,2)</f>
        <v>0</v>
      </c>
      <c r="O166" s="82">
        <f>N166+'BM 004'!O166</f>
        <v>0</v>
      </c>
      <c r="P166" s="80">
        <f>E166*K166</f>
        <v>30544.499999999996</v>
      </c>
      <c r="Q166" s="82">
        <f>TRUNC(E166*L166,2)</f>
        <v>38718.21</v>
      </c>
      <c r="R166" s="82">
        <f>Q166-O166</f>
        <v>38718.21</v>
      </c>
    </row>
    <row r="167" spans="2:18" s="34" customFormat="1" ht="34.799999999999997">
      <c r="B167" s="87" t="s">
        <v>326</v>
      </c>
      <c r="C167" s="88" t="s">
        <v>327</v>
      </c>
      <c r="D167" s="89" t="s">
        <v>79</v>
      </c>
      <c r="E167" s="90">
        <v>230</v>
      </c>
      <c r="F167" s="91"/>
      <c r="G167" s="91"/>
      <c r="H167" s="91"/>
      <c r="I167" s="79">
        <f>SUM(G167:H167)+'BM 004'!I167</f>
        <v>0</v>
      </c>
      <c r="J167" s="91">
        <f t="shared" si="90"/>
        <v>230</v>
      </c>
      <c r="K167" s="84">
        <v>90</v>
      </c>
      <c r="L167" s="81">
        <f t="shared" si="84"/>
        <v>114.08400990000001</v>
      </c>
      <c r="M167" s="82">
        <f>TRUNC(F167*L167,2)</f>
        <v>0</v>
      </c>
      <c r="N167" s="82">
        <f>TRUNC(G167*L167,2)</f>
        <v>0</v>
      </c>
      <c r="O167" s="82">
        <f>N167+'BM 004'!O167</f>
        <v>0</v>
      </c>
      <c r="P167" s="80">
        <f>E167*K167</f>
        <v>20700</v>
      </c>
      <c r="Q167" s="82">
        <f>TRUNC(E167*L167,2)</f>
        <v>26239.32</v>
      </c>
      <c r="R167" s="82">
        <f>Q167-O167</f>
        <v>26239.32</v>
      </c>
    </row>
    <row r="168" spans="2:18" s="34" customFormat="1" ht="23.4">
      <c r="B168" s="87" t="s">
        <v>328</v>
      </c>
      <c r="C168" s="88" t="s">
        <v>329</v>
      </c>
      <c r="D168" s="89" t="s">
        <v>82</v>
      </c>
      <c r="E168" s="90">
        <v>72</v>
      </c>
      <c r="F168" s="91"/>
      <c r="G168" s="91"/>
      <c r="H168" s="91"/>
      <c r="I168" s="79">
        <f>SUM(G168:H168)+'BM 004'!I168</f>
        <v>0</v>
      </c>
      <c r="J168" s="91">
        <f t="shared" si="90"/>
        <v>72</v>
      </c>
      <c r="K168" s="84">
        <v>120</v>
      </c>
      <c r="L168" s="81">
        <f t="shared" si="84"/>
        <v>152.11201320000001</v>
      </c>
      <c r="M168" s="82">
        <f>TRUNC(F168*L168,2)</f>
        <v>0</v>
      </c>
      <c r="N168" s="82">
        <f>TRUNC(G168*L168,2)</f>
        <v>0</v>
      </c>
      <c r="O168" s="82">
        <f>N168+'BM 004'!O168</f>
        <v>0</v>
      </c>
      <c r="P168" s="80">
        <f>E168*K168</f>
        <v>8640</v>
      </c>
      <c r="Q168" s="82">
        <f>TRUNC(E168*L168,2)</f>
        <v>10952.06</v>
      </c>
      <c r="R168" s="82">
        <f>Q168-O168</f>
        <v>10952.06</v>
      </c>
    </row>
    <row r="169" spans="2:18" s="34" customFormat="1" ht="34.799999999999997">
      <c r="B169" s="87" t="s">
        <v>330</v>
      </c>
      <c r="C169" s="88" t="s">
        <v>331</v>
      </c>
      <c r="D169" s="89" t="s">
        <v>82</v>
      </c>
      <c r="E169" s="90">
        <v>72</v>
      </c>
      <c r="F169" s="91"/>
      <c r="G169" s="91"/>
      <c r="H169" s="91"/>
      <c r="I169" s="79">
        <f>SUM(G169:H169)+'BM 004'!I169</f>
        <v>0</v>
      </c>
      <c r="J169" s="91">
        <f t="shared" si="90"/>
        <v>72</v>
      </c>
      <c r="K169" s="84">
        <v>45</v>
      </c>
      <c r="L169" s="81">
        <f t="shared" si="84"/>
        <v>57.042004950000006</v>
      </c>
      <c r="M169" s="82">
        <f>TRUNC(F169*L169,2)</f>
        <v>0</v>
      </c>
      <c r="N169" s="82">
        <f>TRUNC(G169*L169,2)</f>
        <v>0</v>
      </c>
      <c r="O169" s="82">
        <f>N169+'BM 004'!O169</f>
        <v>0</v>
      </c>
      <c r="P169" s="80">
        <f>E169*K169</f>
        <v>3240</v>
      </c>
      <c r="Q169" s="82">
        <f>TRUNC(E169*L169,2)</f>
        <v>4107.0200000000004</v>
      </c>
      <c r="R169" s="82">
        <f>Q169-O169</f>
        <v>4107.0200000000004</v>
      </c>
    </row>
    <row r="170" spans="2:18" s="34" customFormat="1" ht="13.2">
      <c r="B170" s="60" t="s">
        <v>332</v>
      </c>
      <c r="C170" s="61" t="s">
        <v>333</v>
      </c>
      <c r="D170" s="60"/>
      <c r="E170" s="62"/>
      <c r="F170" s="63"/>
      <c r="G170" s="63"/>
      <c r="H170" s="63"/>
      <c r="I170" s="63">
        <f>SUM(G170:H170)+'BM 004'!I170</f>
        <v>0</v>
      </c>
      <c r="J170" s="63">
        <f t="shared" si="90"/>
        <v>0</v>
      </c>
      <c r="K170" s="63"/>
      <c r="L170" s="63">
        <f t="shared" si="84"/>
        <v>0</v>
      </c>
      <c r="M170" s="63">
        <f t="shared" ref="M170:R170" si="92">SUM(M171:M174)</f>
        <v>0</v>
      </c>
      <c r="N170" s="63">
        <f t="shared" si="92"/>
        <v>0</v>
      </c>
      <c r="O170" s="63">
        <f t="shared" si="92"/>
        <v>0</v>
      </c>
      <c r="P170" s="63">
        <f t="shared" si="92"/>
        <v>584904.20000000007</v>
      </c>
      <c r="Q170" s="63">
        <f t="shared" si="92"/>
        <v>741424.62000000011</v>
      </c>
      <c r="R170" s="63">
        <f t="shared" si="92"/>
        <v>741424.62000000011</v>
      </c>
    </row>
    <row r="171" spans="2:18" s="34" customFormat="1" ht="46.2">
      <c r="B171" s="87" t="s">
        <v>334</v>
      </c>
      <c r="C171" s="88" t="s">
        <v>335</v>
      </c>
      <c r="D171" s="89" t="s">
        <v>79</v>
      </c>
      <c r="E171" s="90">
        <v>3789.02</v>
      </c>
      <c r="F171" s="91"/>
      <c r="G171" s="91"/>
      <c r="H171" s="91"/>
      <c r="I171" s="79">
        <f>SUM(G171:H171)+'BM 004'!I171</f>
        <v>0</v>
      </c>
      <c r="J171" s="91">
        <f t="shared" si="90"/>
        <v>3789.02</v>
      </c>
      <c r="K171" s="84">
        <v>70</v>
      </c>
      <c r="L171" s="81">
        <f t="shared" si="84"/>
        <v>88.732007699999997</v>
      </c>
      <c r="M171" s="82">
        <f>TRUNC(F171*L171,2)</f>
        <v>0</v>
      </c>
      <c r="N171" s="82">
        <f>TRUNC(G171*L171,2)</f>
        <v>0</v>
      </c>
      <c r="O171" s="82">
        <f>N171+'BM 004'!O171</f>
        <v>0</v>
      </c>
      <c r="P171" s="80">
        <f>E171*K171</f>
        <v>265231.40000000002</v>
      </c>
      <c r="Q171" s="82">
        <f>TRUNC(E171*L171,2)</f>
        <v>336207.35</v>
      </c>
      <c r="R171" s="82">
        <f>Q171-O171</f>
        <v>336207.35</v>
      </c>
    </row>
    <row r="172" spans="2:18" s="34" customFormat="1" ht="23.4">
      <c r="B172" s="87" t="s">
        <v>336</v>
      </c>
      <c r="C172" s="88" t="s">
        <v>337</v>
      </c>
      <c r="D172" s="89" t="s">
        <v>79</v>
      </c>
      <c r="E172" s="90">
        <v>184.68</v>
      </c>
      <c r="F172" s="91"/>
      <c r="G172" s="91"/>
      <c r="H172" s="91"/>
      <c r="I172" s="79">
        <f>SUM(G172:H172)+'BM 004'!I172</f>
        <v>0</v>
      </c>
      <c r="J172" s="91">
        <f t="shared" si="90"/>
        <v>184.68</v>
      </c>
      <c r="K172" s="84">
        <v>735</v>
      </c>
      <c r="L172" s="81">
        <f t="shared" si="84"/>
        <v>931.68608085000005</v>
      </c>
      <c r="M172" s="82">
        <f>TRUNC(F172*L172,2)</f>
        <v>0</v>
      </c>
      <c r="N172" s="82">
        <f>TRUNC(G172*L172,2)</f>
        <v>0</v>
      </c>
      <c r="O172" s="82">
        <f>N172+'BM 004'!O172</f>
        <v>0</v>
      </c>
      <c r="P172" s="80">
        <f>E172*K172</f>
        <v>135739.80000000002</v>
      </c>
      <c r="Q172" s="82">
        <f>TRUNC(E172*L172,2)</f>
        <v>172063.78</v>
      </c>
      <c r="R172" s="82">
        <f>Q172-O172</f>
        <v>172063.78</v>
      </c>
    </row>
    <row r="173" spans="2:18" s="34" customFormat="1" ht="46.2">
      <c r="B173" s="87" t="s">
        <v>338</v>
      </c>
      <c r="C173" s="88" t="s">
        <v>339</v>
      </c>
      <c r="D173" s="89" t="s">
        <v>79</v>
      </c>
      <c r="E173" s="90">
        <v>798.6</v>
      </c>
      <c r="F173" s="91"/>
      <c r="G173" s="91"/>
      <c r="H173" s="91"/>
      <c r="I173" s="79">
        <f>SUM(G173:H173)+'BM 004'!I173</f>
        <v>0</v>
      </c>
      <c r="J173" s="91">
        <f t="shared" si="90"/>
        <v>798.6</v>
      </c>
      <c r="K173" s="84">
        <v>125</v>
      </c>
      <c r="L173" s="81">
        <f t="shared" si="84"/>
        <v>158.45001375000001</v>
      </c>
      <c r="M173" s="82">
        <f>TRUNC(F173*L173,2)</f>
        <v>0</v>
      </c>
      <c r="N173" s="82">
        <f>TRUNC(G173*L173,2)</f>
        <v>0</v>
      </c>
      <c r="O173" s="82">
        <f>N173+'BM 004'!O173</f>
        <v>0</v>
      </c>
      <c r="P173" s="80">
        <f>E173*K173</f>
        <v>99825</v>
      </c>
      <c r="Q173" s="82">
        <f>TRUNC(E173*L173,2)</f>
        <v>126538.18</v>
      </c>
      <c r="R173" s="82">
        <f>Q173-O173</f>
        <v>126538.18</v>
      </c>
    </row>
    <row r="174" spans="2:18" s="34" customFormat="1" ht="57.6">
      <c r="B174" s="87" t="s">
        <v>340</v>
      </c>
      <c r="C174" s="88" t="s">
        <v>341</v>
      </c>
      <c r="D174" s="89" t="s">
        <v>79</v>
      </c>
      <c r="E174" s="90">
        <v>489</v>
      </c>
      <c r="F174" s="91"/>
      <c r="G174" s="91"/>
      <c r="H174" s="91"/>
      <c r="I174" s="79">
        <f>SUM(G174:H174)+'BM 004'!I174</f>
        <v>0</v>
      </c>
      <c r="J174" s="91">
        <f t="shared" si="90"/>
        <v>489</v>
      </c>
      <c r="K174" s="84">
        <v>172</v>
      </c>
      <c r="L174" s="81">
        <f t="shared" si="84"/>
        <v>218.02721892</v>
      </c>
      <c r="M174" s="82">
        <f>TRUNC(F174*L174,2)</f>
        <v>0</v>
      </c>
      <c r="N174" s="82">
        <f>TRUNC(G174*L174,2)</f>
        <v>0</v>
      </c>
      <c r="O174" s="82">
        <f>N174+'BM 004'!O174</f>
        <v>0</v>
      </c>
      <c r="P174" s="80">
        <f>E174*K174</f>
        <v>84108</v>
      </c>
      <c r="Q174" s="82">
        <f>TRUNC(E174*L174,2)</f>
        <v>106615.31</v>
      </c>
      <c r="R174" s="82">
        <f>Q174-O174</f>
        <v>106615.31</v>
      </c>
    </row>
    <row r="175" spans="2:18" s="34" customFormat="1" ht="13.2">
      <c r="B175" s="60" t="s">
        <v>342</v>
      </c>
      <c r="C175" s="61" t="s">
        <v>343</v>
      </c>
      <c r="D175" s="60"/>
      <c r="E175" s="62"/>
      <c r="F175" s="63"/>
      <c r="G175" s="63"/>
      <c r="H175" s="63"/>
      <c r="I175" s="63">
        <f>SUM(G175:H175)+'BM 004'!I175</f>
        <v>0</v>
      </c>
      <c r="J175" s="63">
        <f t="shared" si="90"/>
        <v>0</v>
      </c>
      <c r="K175" s="63"/>
      <c r="L175" s="63">
        <f t="shared" si="84"/>
        <v>0</v>
      </c>
      <c r="M175" s="63">
        <f t="shared" ref="M175:R175" si="93">SUM(M176:M177)</f>
        <v>0</v>
      </c>
      <c r="N175" s="63">
        <f t="shared" si="93"/>
        <v>0</v>
      </c>
      <c r="O175" s="63">
        <f t="shared" si="93"/>
        <v>0</v>
      </c>
      <c r="P175" s="63">
        <f t="shared" si="93"/>
        <v>260085</v>
      </c>
      <c r="Q175" s="63">
        <f t="shared" si="93"/>
        <v>329683.77</v>
      </c>
      <c r="R175" s="63">
        <f t="shared" si="93"/>
        <v>329683.77</v>
      </c>
    </row>
    <row r="176" spans="2:18" s="34" customFormat="1" ht="34.799999999999997">
      <c r="B176" s="87" t="s">
        <v>344</v>
      </c>
      <c r="C176" s="88" t="s">
        <v>345</v>
      </c>
      <c r="D176" s="89" t="s">
        <v>79</v>
      </c>
      <c r="E176" s="90">
        <v>1785</v>
      </c>
      <c r="F176" s="91"/>
      <c r="G176" s="91"/>
      <c r="H176" s="91"/>
      <c r="I176" s="79">
        <f>SUM(G176:H176)+'BM 004'!I176</f>
        <v>0</v>
      </c>
      <c r="J176" s="91">
        <f t="shared" si="90"/>
        <v>1785</v>
      </c>
      <c r="K176" s="84">
        <v>125</v>
      </c>
      <c r="L176" s="81">
        <f t="shared" si="84"/>
        <v>158.45001375000001</v>
      </c>
      <c r="M176" s="82">
        <f>TRUNC(F176*L176,2)</f>
        <v>0</v>
      </c>
      <c r="N176" s="82">
        <f>TRUNC(G176*L176,2)</f>
        <v>0</v>
      </c>
      <c r="O176" s="82">
        <f>N176+'BM 004'!O176</f>
        <v>0</v>
      </c>
      <c r="P176" s="80">
        <f>E176*K176</f>
        <v>223125</v>
      </c>
      <c r="Q176" s="82">
        <f>TRUNC(E176*L176,2)</f>
        <v>282833.27</v>
      </c>
      <c r="R176" s="82">
        <f>Q176-O176</f>
        <v>282833.27</v>
      </c>
    </row>
    <row r="177" spans="2:18" s="34" customFormat="1" ht="34.799999999999997">
      <c r="B177" s="75" t="s">
        <v>346</v>
      </c>
      <c r="C177" s="76" t="s">
        <v>347</v>
      </c>
      <c r="D177" s="77" t="s">
        <v>79</v>
      </c>
      <c r="E177" s="93">
        <v>880</v>
      </c>
      <c r="F177" s="79"/>
      <c r="G177" s="79"/>
      <c r="H177" s="79"/>
      <c r="I177" s="79">
        <f>SUM(G177:H177)+'BM 004'!I177</f>
        <v>0</v>
      </c>
      <c r="J177" s="79">
        <f t="shared" si="90"/>
        <v>880</v>
      </c>
      <c r="K177" s="84">
        <v>42</v>
      </c>
      <c r="L177" s="81">
        <f t="shared" si="84"/>
        <v>53.239204620000002</v>
      </c>
      <c r="M177" s="82">
        <f>TRUNC(F177*L177,2)</f>
        <v>0</v>
      </c>
      <c r="N177" s="82">
        <f>TRUNC(G177*L177,2)</f>
        <v>0</v>
      </c>
      <c r="O177" s="82">
        <f>N177+'BM 004'!O177</f>
        <v>0</v>
      </c>
      <c r="P177" s="80">
        <f>E177*K177</f>
        <v>36960</v>
      </c>
      <c r="Q177" s="82">
        <f>TRUNC(E177*L177,2)</f>
        <v>46850.5</v>
      </c>
      <c r="R177" s="82">
        <f>Q177-O177</f>
        <v>46850.5</v>
      </c>
    </row>
    <row r="178" spans="2:18" s="34" customFormat="1" ht="13.2">
      <c r="B178" s="60" t="s">
        <v>348</v>
      </c>
      <c r="C178" s="61" t="s">
        <v>349</v>
      </c>
      <c r="D178" s="60"/>
      <c r="E178" s="62"/>
      <c r="F178" s="63"/>
      <c r="G178" s="63"/>
      <c r="H178" s="63"/>
      <c r="I178" s="63">
        <f>SUM(G178:H178)+'BM 004'!I178</f>
        <v>0</v>
      </c>
      <c r="J178" s="63">
        <f t="shared" si="90"/>
        <v>0</v>
      </c>
      <c r="K178" s="63"/>
      <c r="L178" s="63">
        <f t="shared" si="84"/>
        <v>0</v>
      </c>
      <c r="M178" s="63">
        <f t="shared" ref="M178:R178" si="94">SUM(M179,M205)</f>
        <v>0</v>
      </c>
      <c r="N178" s="63">
        <f t="shared" si="94"/>
        <v>0</v>
      </c>
      <c r="O178" s="63">
        <f t="shared" si="94"/>
        <v>0</v>
      </c>
      <c r="P178" s="63">
        <f t="shared" si="94"/>
        <v>3144051.95</v>
      </c>
      <c r="Q178" s="63">
        <f t="shared" si="94"/>
        <v>3985400.4499999997</v>
      </c>
      <c r="R178" s="63">
        <f t="shared" si="94"/>
        <v>3985400.4499999997</v>
      </c>
    </row>
    <row r="179" spans="2:18" s="34" customFormat="1" ht="13.2">
      <c r="B179" s="66" t="s">
        <v>350</v>
      </c>
      <c r="C179" s="67" t="s">
        <v>351</v>
      </c>
      <c r="D179" s="68"/>
      <c r="E179" s="69"/>
      <c r="F179" s="70"/>
      <c r="G179" s="70"/>
      <c r="H179" s="70"/>
      <c r="I179" s="70">
        <f>SUM(G179:H179)+'BM 004'!I179</f>
        <v>0</v>
      </c>
      <c r="J179" s="70">
        <f t="shared" si="90"/>
        <v>0</v>
      </c>
      <c r="K179" s="71"/>
      <c r="L179" s="71">
        <f t="shared" si="84"/>
        <v>0</v>
      </c>
      <c r="M179" s="73">
        <f t="shared" ref="M179:R179" si="95">SUM(M180:M204)</f>
        <v>0</v>
      </c>
      <c r="N179" s="73">
        <f t="shared" si="95"/>
        <v>0</v>
      </c>
      <c r="O179" s="73">
        <f t="shared" si="95"/>
        <v>0</v>
      </c>
      <c r="P179" s="73">
        <f t="shared" si="95"/>
        <v>2156515.4</v>
      </c>
      <c r="Q179" s="73">
        <f t="shared" si="95"/>
        <v>2733599.05</v>
      </c>
      <c r="R179" s="73">
        <f t="shared" si="95"/>
        <v>2733599.05</v>
      </c>
    </row>
    <row r="180" spans="2:18" s="34" customFormat="1" ht="114.6">
      <c r="B180" s="75" t="s">
        <v>352</v>
      </c>
      <c r="C180" s="88" t="s">
        <v>353</v>
      </c>
      <c r="D180" s="89" t="s">
        <v>63</v>
      </c>
      <c r="E180" s="92">
        <v>56</v>
      </c>
      <c r="F180" s="91"/>
      <c r="G180" s="91"/>
      <c r="H180" s="91"/>
      <c r="I180" s="79">
        <f>SUM(G180:H180)+'BM 004'!I180</f>
        <v>0</v>
      </c>
      <c r="J180" s="91">
        <f t="shared" si="90"/>
        <v>56</v>
      </c>
      <c r="K180" s="84">
        <v>3125</v>
      </c>
      <c r="L180" s="81">
        <f t="shared" si="84"/>
        <v>3961.25034375</v>
      </c>
      <c r="M180" s="82">
        <f t="shared" ref="M180:M204" si="96">TRUNC(F180*L180,2)</f>
        <v>0</v>
      </c>
      <c r="N180" s="82">
        <f t="shared" ref="N180:N204" si="97">TRUNC(G180*L180,2)</f>
        <v>0</v>
      </c>
      <c r="O180" s="82">
        <f>N180+'BM 004'!O180</f>
        <v>0</v>
      </c>
      <c r="P180" s="80">
        <f t="shared" ref="P180:P204" si="98">E180*K180</f>
        <v>175000</v>
      </c>
      <c r="Q180" s="82">
        <f t="shared" ref="Q180:Q204" si="99">TRUNC(E180*L180,2)</f>
        <v>221830.01</v>
      </c>
      <c r="R180" s="82">
        <f t="shared" ref="R180:R204" si="100">Q180-O180</f>
        <v>221830.01</v>
      </c>
    </row>
    <row r="181" spans="2:18" s="34" customFormat="1" ht="103.2">
      <c r="B181" s="75" t="s">
        <v>354</v>
      </c>
      <c r="C181" s="88" t="s">
        <v>355</v>
      </c>
      <c r="D181" s="89" t="s">
        <v>63</v>
      </c>
      <c r="E181" s="92">
        <v>51</v>
      </c>
      <c r="F181" s="91"/>
      <c r="G181" s="91"/>
      <c r="H181" s="91"/>
      <c r="I181" s="79">
        <f>SUM(G181:H181)+'BM 004'!I181</f>
        <v>0</v>
      </c>
      <c r="J181" s="91">
        <f t="shared" si="90"/>
        <v>51</v>
      </c>
      <c r="K181" s="84">
        <v>3580</v>
      </c>
      <c r="L181" s="81">
        <f t="shared" si="84"/>
        <v>4538.0083937999998</v>
      </c>
      <c r="M181" s="82">
        <f t="shared" si="96"/>
        <v>0</v>
      </c>
      <c r="N181" s="82">
        <f t="shared" si="97"/>
        <v>0</v>
      </c>
      <c r="O181" s="82">
        <f>N181+'BM 004'!O181</f>
        <v>0</v>
      </c>
      <c r="P181" s="80">
        <f t="shared" si="98"/>
        <v>182580</v>
      </c>
      <c r="Q181" s="82">
        <f t="shared" si="99"/>
        <v>231438.42</v>
      </c>
      <c r="R181" s="82">
        <f t="shared" si="100"/>
        <v>231438.42</v>
      </c>
    </row>
    <row r="182" spans="2:18" s="34" customFormat="1" ht="114.6">
      <c r="B182" s="75" t="s">
        <v>356</v>
      </c>
      <c r="C182" s="88" t="s">
        <v>357</v>
      </c>
      <c r="D182" s="89" t="s">
        <v>63</v>
      </c>
      <c r="E182" s="92">
        <v>11</v>
      </c>
      <c r="F182" s="91"/>
      <c r="G182" s="91"/>
      <c r="H182" s="91"/>
      <c r="I182" s="79">
        <f>SUM(G182:H182)+'BM 004'!I182</f>
        <v>0</v>
      </c>
      <c r="J182" s="91">
        <f t="shared" si="90"/>
        <v>11</v>
      </c>
      <c r="K182" s="84">
        <v>3995</v>
      </c>
      <c r="L182" s="81">
        <f t="shared" si="84"/>
        <v>5064.0624394500001</v>
      </c>
      <c r="M182" s="82">
        <f t="shared" si="96"/>
        <v>0</v>
      </c>
      <c r="N182" s="82">
        <f t="shared" si="97"/>
        <v>0</v>
      </c>
      <c r="O182" s="82">
        <f>N182+'BM 004'!O182</f>
        <v>0</v>
      </c>
      <c r="P182" s="80">
        <f t="shared" si="98"/>
        <v>43945</v>
      </c>
      <c r="Q182" s="82">
        <f t="shared" si="99"/>
        <v>55704.68</v>
      </c>
      <c r="R182" s="82">
        <f t="shared" si="100"/>
        <v>55704.68</v>
      </c>
    </row>
    <row r="183" spans="2:18" s="34" customFormat="1" ht="80.400000000000006">
      <c r="B183" s="75" t="s">
        <v>358</v>
      </c>
      <c r="C183" s="88" t="s">
        <v>359</v>
      </c>
      <c r="D183" s="89" t="s">
        <v>63</v>
      </c>
      <c r="E183" s="92">
        <v>2</v>
      </c>
      <c r="F183" s="91"/>
      <c r="G183" s="91"/>
      <c r="H183" s="91"/>
      <c r="I183" s="79">
        <f>SUM(G183:H183)+'BM 004'!I183</f>
        <v>0</v>
      </c>
      <c r="J183" s="91">
        <f t="shared" si="90"/>
        <v>2</v>
      </c>
      <c r="K183" s="84">
        <v>4100</v>
      </c>
      <c r="L183" s="81">
        <f t="shared" si="84"/>
        <v>5197.1604510000006</v>
      </c>
      <c r="M183" s="82">
        <f t="shared" si="96"/>
        <v>0</v>
      </c>
      <c r="N183" s="82">
        <f t="shared" si="97"/>
        <v>0</v>
      </c>
      <c r="O183" s="82">
        <f>N183+'BM 004'!O183</f>
        <v>0</v>
      </c>
      <c r="P183" s="80">
        <f t="shared" si="98"/>
        <v>8200</v>
      </c>
      <c r="Q183" s="82">
        <f t="shared" si="99"/>
        <v>10394.32</v>
      </c>
      <c r="R183" s="82">
        <f t="shared" si="100"/>
        <v>10394.32</v>
      </c>
    </row>
    <row r="184" spans="2:18" s="34" customFormat="1" ht="126">
      <c r="B184" s="75" t="s">
        <v>360</v>
      </c>
      <c r="C184" s="88" t="s">
        <v>361</v>
      </c>
      <c r="D184" s="89" t="s">
        <v>63</v>
      </c>
      <c r="E184" s="92">
        <v>24</v>
      </c>
      <c r="F184" s="91"/>
      <c r="G184" s="91"/>
      <c r="H184" s="91"/>
      <c r="I184" s="79">
        <f>SUM(G184:H184)+'BM 004'!I184</f>
        <v>0</v>
      </c>
      <c r="J184" s="91">
        <f t="shared" si="90"/>
        <v>24</v>
      </c>
      <c r="K184" s="84">
        <v>4425</v>
      </c>
      <c r="L184" s="81">
        <f t="shared" si="84"/>
        <v>5609.1304867500003</v>
      </c>
      <c r="M184" s="82">
        <f t="shared" si="96"/>
        <v>0</v>
      </c>
      <c r="N184" s="82">
        <f t="shared" si="97"/>
        <v>0</v>
      </c>
      <c r="O184" s="82">
        <f>N184+'BM 004'!O184</f>
        <v>0</v>
      </c>
      <c r="P184" s="80">
        <f t="shared" si="98"/>
        <v>106200</v>
      </c>
      <c r="Q184" s="82">
        <f t="shared" si="99"/>
        <v>134619.13</v>
      </c>
      <c r="R184" s="82">
        <f t="shared" si="100"/>
        <v>134619.13</v>
      </c>
    </row>
    <row r="185" spans="2:18" s="34" customFormat="1" ht="126">
      <c r="B185" s="75" t="s">
        <v>362</v>
      </c>
      <c r="C185" s="88" t="s">
        <v>363</v>
      </c>
      <c r="D185" s="89" t="s">
        <v>63</v>
      </c>
      <c r="E185" s="92">
        <v>8</v>
      </c>
      <c r="F185" s="91"/>
      <c r="G185" s="91"/>
      <c r="H185" s="91"/>
      <c r="I185" s="79">
        <f>SUM(G185:H185)+'BM 004'!I185</f>
        <v>0</v>
      </c>
      <c r="J185" s="91">
        <f t="shared" si="90"/>
        <v>8</v>
      </c>
      <c r="K185" s="84">
        <v>4495</v>
      </c>
      <c r="L185" s="81">
        <f t="shared" si="84"/>
        <v>5697.8624944500007</v>
      </c>
      <c r="M185" s="82">
        <f t="shared" si="96"/>
        <v>0</v>
      </c>
      <c r="N185" s="82">
        <f t="shared" si="97"/>
        <v>0</v>
      </c>
      <c r="O185" s="82">
        <f>N185+'BM 004'!O185</f>
        <v>0</v>
      </c>
      <c r="P185" s="80">
        <f t="shared" si="98"/>
        <v>35960</v>
      </c>
      <c r="Q185" s="82">
        <f t="shared" si="99"/>
        <v>45582.89</v>
      </c>
      <c r="R185" s="82">
        <f t="shared" si="100"/>
        <v>45582.89</v>
      </c>
    </row>
    <row r="186" spans="2:18" s="34" customFormat="1" ht="57.6">
      <c r="B186" s="75" t="s">
        <v>364</v>
      </c>
      <c r="C186" s="88" t="s">
        <v>365</v>
      </c>
      <c r="D186" s="89" t="s">
        <v>63</v>
      </c>
      <c r="E186" s="92">
        <v>3</v>
      </c>
      <c r="F186" s="91"/>
      <c r="G186" s="91"/>
      <c r="H186" s="91"/>
      <c r="I186" s="79">
        <f>SUM(G186:H186)+'BM 004'!I186</f>
        <v>0</v>
      </c>
      <c r="J186" s="91">
        <f t="shared" si="90"/>
        <v>3</v>
      </c>
      <c r="K186" s="84">
        <v>8550</v>
      </c>
      <c r="L186" s="81">
        <f t="shared" si="84"/>
        <v>10837.9809405</v>
      </c>
      <c r="M186" s="82">
        <f t="shared" si="96"/>
        <v>0</v>
      </c>
      <c r="N186" s="82">
        <f t="shared" si="97"/>
        <v>0</v>
      </c>
      <c r="O186" s="82">
        <f>N186+'BM 004'!O186</f>
        <v>0</v>
      </c>
      <c r="P186" s="80">
        <f t="shared" si="98"/>
        <v>25650</v>
      </c>
      <c r="Q186" s="82">
        <f t="shared" si="99"/>
        <v>32513.94</v>
      </c>
      <c r="R186" s="82">
        <f t="shared" si="100"/>
        <v>32513.94</v>
      </c>
    </row>
    <row r="187" spans="2:18" s="34" customFormat="1" ht="137.4">
      <c r="B187" s="75" t="s">
        <v>366</v>
      </c>
      <c r="C187" s="88" t="s">
        <v>367</v>
      </c>
      <c r="D187" s="89" t="s">
        <v>63</v>
      </c>
      <c r="E187" s="92">
        <v>2</v>
      </c>
      <c r="F187" s="91"/>
      <c r="G187" s="91"/>
      <c r="H187" s="91"/>
      <c r="I187" s="79">
        <f>SUM(G187:H187)+'BM 004'!I187</f>
        <v>0</v>
      </c>
      <c r="J187" s="91">
        <f t="shared" si="90"/>
        <v>2</v>
      </c>
      <c r="K187" s="84">
        <v>6750</v>
      </c>
      <c r="L187" s="81">
        <f t="shared" si="84"/>
        <v>8556.3007424999996</v>
      </c>
      <c r="M187" s="82">
        <f t="shared" si="96"/>
        <v>0</v>
      </c>
      <c r="N187" s="82">
        <f t="shared" si="97"/>
        <v>0</v>
      </c>
      <c r="O187" s="82">
        <f>N187+'BM 004'!O187</f>
        <v>0</v>
      </c>
      <c r="P187" s="80">
        <f t="shared" si="98"/>
        <v>13500</v>
      </c>
      <c r="Q187" s="82">
        <f t="shared" si="99"/>
        <v>17112.599999999999</v>
      </c>
      <c r="R187" s="82">
        <f t="shared" si="100"/>
        <v>17112.599999999999</v>
      </c>
    </row>
    <row r="188" spans="2:18" s="34" customFormat="1" ht="46.2">
      <c r="B188" s="75" t="s">
        <v>368</v>
      </c>
      <c r="C188" s="88" t="s">
        <v>369</v>
      </c>
      <c r="D188" s="89" t="s">
        <v>63</v>
      </c>
      <c r="E188" s="92">
        <v>18</v>
      </c>
      <c r="F188" s="91"/>
      <c r="G188" s="91"/>
      <c r="H188" s="91"/>
      <c r="I188" s="79">
        <f>SUM(G188:H188)+'BM 004'!I188</f>
        <v>0</v>
      </c>
      <c r="J188" s="91">
        <f t="shared" si="90"/>
        <v>18</v>
      </c>
      <c r="K188" s="84">
        <v>2490</v>
      </c>
      <c r="L188" s="81">
        <f t="shared" si="84"/>
        <v>3156.3242739000002</v>
      </c>
      <c r="M188" s="82">
        <f t="shared" si="96"/>
        <v>0</v>
      </c>
      <c r="N188" s="82">
        <f t="shared" si="97"/>
        <v>0</v>
      </c>
      <c r="O188" s="82">
        <f>N188+'BM 004'!O188</f>
        <v>0</v>
      </c>
      <c r="P188" s="80">
        <f t="shared" si="98"/>
        <v>44820</v>
      </c>
      <c r="Q188" s="82">
        <f t="shared" si="99"/>
        <v>56813.83</v>
      </c>
      <c r="R188" s="82">
        <f t="shared" si="100"/>
        <v>56813.83</v>
      </c>
    </row>
    <row r="189" spans="2:18" s="34" customFormat="1" ht="57.6">
      <c r="B189" s="75" t="s">
        <v>370</v>
      </c>
      <c r="C189" s="88" t="s">
        <v>371</v>
      </c>
      <c r="D189" s="89" t="s">
        <v>63</v>
      </c>
      <c r="E189" s="92">
        <v>1</v>
      </c>
      <c r="F189" s="91"/>
      <c r="G189" s="91"/>
      <c r="H189" s="91"/>
      <c r="I189" s="79">
        <f>SUM(G189:H189)+'BM 004'!I189</f>
        <v>0</v>
      </c>
      <c r="J189" s="91">
        <f t="shared" si="90"/>
        <v>1</v>
      </c>
      <c r="K189" s="84">
        <v>5950</v>
      </c>
      <c r="L189" s="81">
        <f t="shared" si="84"/>
        <v>7542.2206544999999</v>
      </c>
      <c r="M189" s="82">
        <f t="shared" si="96"/>
        <v>0</v>
      </c>
      <c r="N189" s="82">
        <f t="shared" si="97"/>
        <v>0</v>
      </c>
      <c r="O189" s="82">
        <f>N189+'BM 004'!O189</f>
        <v>0</v>
      </c>
      <c r="P189" s="80">
        <f t="shared" si="98"/>
        <v>5950</v>
      </c>
      <c r="Q189" s="82">
        <f t="shared" si="99"/>
        <v>7542.22</v>
      </c>
      <c r="R189" s="82">
        <f t="shared" si="100"/>
        <v>7542.22</v>
      </c>
    </row>
    <row r="190" spans="2:18" s="34" customFormat="1" ht="57.6">
      <c r="B190" s="75" t="s">
        <v>372</v>
      </c>
      <c r="C190" s="88" t="s">
        <v>373</v>
      </c>
      <c r="D190" s="89" t="s">
        <v>63</v>
      </c>
      <c r="E190" s="92">
        <v>1</v>
      </c>
      <c r="F190" s="91"/>
      <c r="G190" s="91"/>
      <c r="H190" s="91"/>
      <c r="I190" s="79">
        <f>SUM(G190:H190)+'BM 004'!I190</f>
        <v>0</v>
      </c>
      <c r="J190" s="91">
        <f t="shared" si="90"/>
        <v>1</v>
      </c>
      <c r="K190" s="84">
        <v>5950</v>
      </c>
      <c r="L190" s="81">
        <f t="shared" si="84"/>
        <v>7542.2206544999999</v>
      </c>
      <c r="M190" s="82">
        <f t="shared" si="96"/>
        <v>0</v>
      </c>
      <c r="N190" s="82">
        <f t="shared" si="97"/>
        <v>0</v>
      </c>
      <c r="O190" s="82">
        <f>N190+'BM 004'!O190</f>
        <v>0</v>
      </c>
      <c r="P190" s="80">
        <f t="shared" si="98"/>
        <v>5950</v>
      </c>
      <c r="Q190" s="82">
        <f t="shared" si="99"/>
        <v>7542.22</v>
      </c>
      <c r="R190" s="82">
        <f t="shared" si="100"/>
        <v>7542.22</v>
      </c>
    </row>
    <row r="191" spans="2:18" s="34" customFormat="1" ht="57.6">
      <c r="B191" s="75" t="s">
        <v>374</v>
      </c>
      <c r="C191" s="88" t="s">
        <v>375</v>
      </c>
      <c r="D191" s="89" t="s">
        <v>79</v>
      </c>
      <c r="E191" s="92">
        <v>184.04</v>
      </c>
      <c r="F191" s="91"/>
      <c r="G191" s="91"/>
      <c r="H191" s="91"/>
      <c r="I191" s="79">
        <f>SUM(G191:H191)+'BM 004'!I191</f>
        <v>0</v>
      </c>
      <c r="J191" s="91">
        <f t="shared" si="90"/>
        <v>184.04</v>
      </c>
      <c r="K191" s="84">
        <v>1265</v>
      </c>
      <c r="L191" s="81">
        <f t="shared" si="84"/>
        <v>1603.5141391500001</v>
      </c>
      <c r="M191" s="82">
        <f t="shared" si="96"/>
        <v>0</v>
      </c>
      <c r="N191" s="82">
        <f t="shared" si="97"/>
        <v>0</v>
      </c>
      <c r="O191" s="82">
        <f>N191+'BM 004'!O191</f>
        <v>0</v>
      </c>
      <c r="P191" s="80">
        <f t="shared" si="98"/>
        <v>232810.59999999998</v>
      </c>
      <c r="Q191" s="82">
        <f t="shared" si="99"/>
        <v>295110.74</v>
      </c>
      <c r="R191" s="82">
        <f t="shared" si="100"/>
        <v>295110.74</v>
      </c>
    </row>
    <row r="192" spans="2:18" s="34" customFormat="1" ht="46.2">
      <c r="B192" s="75" t="s">
        <v>376</v>
      </c>
      <c r="C192" s="88" t="s">
        <v>377</v>
      </c>
      <c r="D192" s="89" t="s">
        <v>79</v>
      </c>
      <c r="E192" s="92">
        <v>53.96</v>
      </c>
      <c r="F192" s="91"/>
      <c r="G192" s="91"/>
      <c r="H192" s="91"/>
      <c r="I192" s="79">
        <f>SUM(G192:H192)+'BM 004'!I192</f>
        <v>0</v>
      </c>
      <c r="J192" s="91">
        <f t="shared" si="90"/>
        <v>53.96</v>
      </c>
      <c r="K192" s="84">
        <v>1080</v>
      </c>
      <c r="L192" s="81">
        <f t="shared" si="84"/>
        <v>1369.0081188000001</v>
      </c>
      <c r="M192" s="82">
        <f t="shared" si="96"/>
        <v>0</v>
      </c>
      <c r="N192" s="82">
        <f t="shared" si="97"/>
        <v>0</v>
      </c>
      <c r="O192" s="82">
        <f>N192+'BM 004'!O192</f>
        <v>0</v>
      </c>
      <c r="P192" s="80">
        <f t="shared" si="98"/>
        <v>58276.800000000003</v>
      </c>
      <c r="Q192" s="82">
        <f t="shared" si="99"/>
        <v>73871.67</v>
      </c>
      <c r="R192" s="82">
        <f t="shared" si="100"/>
        <v>73871.67</v>
      </c>
    </row>
    <row r="193" spans="2:18" s="34" customFormat="1" ht="57.6">
      <c r="B193" s="75" t="s">
        <v>378</v>
      </c>
      <c r="C193" s="88" t="s">
        <v>379</v>
      </c>
      <c r="D193" s="89" t="s">
        <v>79</v>
      </c>
      <c r="E193" s="92">
        <v>130.29</v>
      </c>
      <c r="F193" s="91"/>
      <c r="G193" s="91"/>
      <c r="H193" s="91"/>
      <c r="I193" s="79">
        <f>SUM(G193:H193)+'BM 004'!I193</f>
        <v>0</v>
      </c>
      <c r="J193" s="91">
        <f t="shared" si="90"/>
        <v>130.29</v>
      </c>
      <c r="K193" s="84">
        <v>1220</v>
      </c>
      <c r="L193" s="81">
        <f t="shared" si="84"/>
        <v>1546.4721342</v>
      </c>
      <c r="M193" s="82">
        <f t="shared" si="96"/>
        <v>0</v>
      </c>
      <c r="N193" s="82">
        <f t="shared" si="97"/>
        <v>0</v>
      </c>
      <c r="O193" s="82">
        <f>N193+'BM 004'!O193</f>
        <v>0</v>
      </c>
      <c r="P193" s="80">
        <f t="shared" si="98"/>
        <v>158953.79999999999</v>
      </c>
      <c r="Q193" s="82">
        <f t="shared" si="99"/>
        <v>201489.85</v>
      </c>
      <c r="R193" s="82">
        <f t="shared" si="100"/>
        <v>201489.85</v>
      </c>
    </row>
    <row r="194" spans="2:18" s="34" customFormat="1" ht="57.6">
      <c r="B194" s="75" t="s">
        <v>380</v>
      </c>
      <c r="C194" s="88" t="s">
        <v>381</v>
      </c>
      <c r="D194" s="89" t="s">
        <v>79</v>
      </c>
      <c r="E194" s="92">
        <v>27.88</v>
      </c>
      <c r="F194" s="91"/>
      <c r="G194" s="91"/>
      <c r="H194" s="91"/>
      <c r="I194" s="79">
        <f>SUM(G194:H194)+'BM 004'!I194</f>
        <v>0</v>
      </c>
      <c r="J194" s="91">
        <f t="shared" si="90"/>
        <v>27.88</v>
      </c>
      <c r="K194" s="84">
        <v>2180</v>
      </c>
      <c r="L194" s="81">
        <f t="shared" si="84"/>
        <v>2763.3682398000001</v>
      </c>
      <c r="M194" s="82">
        <f t="shared" si="96"/>
        <v>0</v>
      </c>
      <c r="N194" s="82">
        <f t="shared" si="97"/>
        <v>0</v>
      </c>
      <c r="O194" s="82">
        <f>N194+'BM 004'!O194</f>
        <v>0</v>
      </c>
      <c r="P194" s="80">
        <f t="shared" si="98"/>
        <v>60778.400000000001</v>
      </c>
      <c r="Q194" s="82">
        <f t="shared" si="99"/>
        <v>77042.7</v>
      </c>
      <c r="R194" s="82">
        <f t="shared" si="100"/>
        <v>77042.7</v>
      </c>
    </row>
    <row r="195" spans="2:18" s="34" customFormat="1" ht="46.2">
      <c r="B195" s="75" t="s">
        <v>382</v>
      </c>
      <c r="C195" s="88" t="s">
        <v>383</v>
      </c>
      <c r="D195" s="89" t="s">
        <v>79</v>
      </c>
      <c r="E195" s="92">
        <v>24.23</v>
      </c>
      <c r="F195" s="91"/>
      <c r="G195" s="91"/>
      <c r="H195" s="91"/>
      <c r="I195" s="79">
        <f>SUM(G195:H195)+'BM 004'!I195</f>
        <v>0</v>
      </c>
      <c r="J195" s="91">
        <f t="shared" si="90"/>
        <v>24.23</v>
      </c>
      <c r="K195" s="84">
        <v>1170</v>
      </c>
      <c r="L195" s="81">
        <f t="shared" si="84"/>
        <v>1483.0921287000001</v>
      </c>
      <c r="M195" s="82">
        <f t="shared" si="96"/>
        <v>0</v>
      </c>
      <c r="N195" s="82">
        <f t="shared" si="97"/>
        <v>0</v>
      </c>
      <c r="O195" s="82">
        <f>N195+'BM 004'!O195</f>
        <v>0</v>
      </c>
      <c r="P195" s="80">
        <f t="shared" si="98"/>
        <v>28349.100000000002</v>
      </c>
      <c r="Q195" s="82">
        <f t="shared" si="99"/>
        <v>35935.32</v>
      </c>
      <c r="R195" s="82">
        <f t="shared" si="100"/>
        <v>35935.32</v>
      </c>
    </row>
    <row r="196" spans="2:18" s="34" customFormat="1" ht="57.6">
      <c r="B196" s="75" t="s">
        <v>384</v>
      </c>
      <c r="C196" s="88" t="s">
        <v>385</v>
      </c>
      <c r="D196" s="89" t="s">
        <v>79</v>
      </c>
      <c r="E196" s="92">
        <v>93.13</v>
      </c>
      <c r="F196" s="91"/>
      <c r="G196" s="91"/>
      <c r="H196" s="91"/>
      <c r="I196" s="79">
        <f>SUM(G196:H196)+'BM 004'!I196</f>
        <v>0</v>
      </c>
      <c r="J196" s="91">
        <f t="shared" si="90"/>
        <v>93.13</v>
      </c>
      <c r="K196" s="84">
        <v>1190</v>
      </c>
      <c r="L196" s="81">
        <f t="shared" si="84"/>
        <v>1508.4441309000001</v>
      </c>
      <c r="M196" s="82">
        <f t="shared" si="96"/>
        <v>0</v>
      </c>
      <c r="N196" s="82">
        <f t="shared" si="97"/>
        <v>0</v>
      </c>
      <c r="O196" s="82">
        <f>N196+'BM 004'!O196</f>
        <v>0</v>
      </c>
      <c r="P196" s="80">
        <f t="shared" si="98"/>
        <v>110824.7</v>
      </c>
      <c r="Q196" s="82">
        <f t="shared" si="99"/>
        <v>140481.4</v>
      </c>
      <c r="R196" s="82">
        <f t="shared" si="100"/>
        <v>140481.4</v>
      </c>
    </row>
    <row r="197" spans="2:18" s="34" customFormat="1" ht="91.8">
      <c r="B197" s="75" t="s">
        <v>386</v>
      </c>
      <c r="C197" s="88" t="s">
        <v>387</v>
      </c>
      <c r="D197" s="89" t="s">
        <v>79</v>
      </c>
      <c r="E197" s="92">
        <v>570.20000000000005</v>
      </c>
      <c r="F197" s="91"/>
      <c r="G197" s="91"/>
      <c r="H197" s="91"/>
      <c r="I197" s="79">
        <f>SUM(G197:H197)+'BM 004'!I197</f>
        <v>0</v>
      </c>
      <c r="J197" s="91">
        <f t="shared" si="90"/>
        <v>570.20000000000005</v>
      </c>
      <c r="K197" s="84">
        <v>1190</v>
      </c>
      <c r="L197" s="81">
        <f t="shared" si="84"/>
        <v>1508.4441309000001</v>
      </c>
      <c r="M197" s="82">
        <f t="shared" si="96"/>
        <v>0</v>
      </c>
      <c r="N197" s="82">
        <f t="shared" si="97"/>
        <v>0</v>
      </c>
      <c r="O197" s="82">
        <f>N197+'BM 004'!O197</f>
        <v>0</v>
      </c>
      <c r="P197" s="80">
        <f t="shared" si="98"/>
        <v>678538</v>
      </c>
      <c r="Q197" s="82">
        <f t="shared" si="99"/>
        <v>860114.84</v>
      </c>
      <c r="R197" s="82">
        <f t="shared" si="100"/>
        <v>860114.84</v>
      </c>
    </row>
    <row r="198" spans="2:18" s="34" customFormat="1" ht="23.4">
      <c r="B198" s="75" t="s">
        <v>388</v>
      </c>
      <c r="C198" s="88" t="s">
        <v>389</v>
      </c>
      <c r="D198" s="89" t="s">
        <v>390</v>
      </c>
      <c r="E198" s="92">
        <v>4</v>
      </c>
      <c r="F198" s="91"/>
      <c r="G198" s="91"/>
      <c r="H198" s="91"/>
      <c r="I198" s="79">
        <f>SUM(G198:H198)+'BM 004'!I198</f>
        <v>0</v>
      </c>
      <c r="J198" s="91">
        <f t="shared" si="90"/>
        <v>4</v>
      </c>
      <c r="K198" s="84">
        <v>1780</v>
      </c>
      <c r="L198" s="81">
        <f t="shared" si="84"/>
        <v>2256.3281958000002</v>
      </c>
      <c r="M198" s="82">
        <f t="shared" si="96"/>
        <v>0</v>
      </c>
      <c r="N198" s="82">
        <f t="shared" si="97"/>
        <v>0</v>
      </c>
      <c r="O198" s="82">
        <f>N198+'BM 004'!O198</f>
        <v>0</v>
      </c>
      <c r="P198" s="80">
        <f t="shared" si="98"/>
        <v>7120</v>
      </c>
      <c r="Q198" s="82">
        <f t="shared" si="99"/>
        <v>9025.31</v>
      </c>
      <c r="R198" s="82">
        <f t="shared" si="100"/>
        <v>9025.31</v>
      </c>
    </row>
    <row r="199" spans="2:18" s="34" customFormat="1" ht="23.4">
      <c r="B199" s="75" t="s">
        <v>391</v>
      </c>
      <c r="C199" s="88" t="s">
        <v>392</v>
      </c>
      <c r="D199" s="89" t="s">
        <v>390</v>
      </c>
      <c r="E199" s="92">
        <v>1</v>
      </c>
      <c r="F199" s="91"/>
      <c r="G199" s="91"/>
      <c r="H199" s="91"/>
      <c r="I199" s="79">
        <f>SUM(G199:H199)+'BM 004'!I199</f>
        <v>0</v>
      </c>
      <c r="J199" s="91">
        <f t="shared" si="90"/>
        <v>1</v>
      </c>
      <c r="K199" s="84">
        <v>840</v>
      </c>
      <c r="L199" s="81">
        <f t="shared" si="84"/>
        <v>1064.7840924</v>
      </c>
      <c r="M199" s="82">
        <f t="shared" si="96"/>
        <v>0</v>
      </c>
      <c r="N199" s="82">
        <f t="shared" si="97"/>
        <v>0</v>
      </c>
      <c r="O199" s="82">
        <f>N199+'BM 004'!O199</f>
        <v>0</v>
      </c>
      <c r="P199" s="80">
        <f t="shared" si="98"/>
        <v>840</v>
      </c>
      <c r="Q199" s="82">
        <f t="shared" si="99"/>
        <v>1064.78</v>
      </c>
      <c r="R199" s="82">
        <f t="shared" si="100"/>
        <v>1064.78</v>
      </c>
    </row>
    <row r="200" spans="2:18" s="34" customFormat="1" ht="23.4">
      <c r="B200" s="75" t="s">
        <v>393</v>
      </c>
      <c r="C200" s="88" t="s">
        <v>394</v>
      </c>
      <c r="D200" s="89" t="s">
        <v>390</v>
      </c>
      <c r="E200" s="92">
        <v>6</v>
      </c>
      <c r="F200" s="91"/>
      <c r="G200" s="91"/>
      <c r="H200" s="91"/>
      <c r="I200" s="79">
        <f>SUM(G200:H200)+'BM 004'!I200</f>
        <v>0</v>
      </c>
      <c r="J200" s="91">
        <f t="shared" si="90"/>
        <v>6</v>
      </c>
      <c r="K200" s="84">
        <v>2190</v>
      </c>
      <c r="L200" s="81">
        <f t="shared" si="84"/>
        <v>2776.0442409000002</v>
      </c>
      <c r="M200" s="82">
        <f t="shared" si="96"/>
        <v>0</v>
      </c>
      <c r="N200" s="82">
        <f t="shared" si="97"/>
        <v>0</v>
      </c>
      <c r="O200" s="82">
        <f>N200+'BM 004'!O200</f>
        <v>0</v>
      </c>
      <c r="P200" s="80">
        <f t="shared" si="98"/>
        <v>13140</v>
      </c>
      <c r="Q200" s="82">
        <f t="shared" si="99"/>
        <v>16656.259999999998</v>
      </c>
      <c r="R200" s="82">
        <f t="shared" si="100"/>
        <v>16656.259999999998</v>
      </c>
    </row>
    <row r="201" spans="2:18" s="34" customFormat="1" ht="46.2">
      <c r="B201" s="75" t="s">
        <v>395</v>
      </c>
      <c r="C201" s="88" t="s">
        <v>396</v>
      </c>
      <c r="D201" s="89" t="s">
        <v>390</v>
      </c>
      <c r="E201" s="92">
        <v>24</v>
      </c>
      <c r="F201" s="91"/>
      <c r="G201" s="91"/>
      <c r="H201" s="91"/>
      <c r="I201" s="79">
        <f>SUM(G201:H201)+'BM 004'!I201</f>
        <v>0</v>
      </c>
      <c r="J201" s="91">
        <f t="shared" si="90"/>
        <v>24</v>
      </c>
      <c r="K201" s="84">
        <v>1950</v>
      </c>
      <c r="L201" s="81">
        <f t="shared" si="84"/>
        <v>2471.8202145</v>
      </c>
      <c r="M201" s="82">
        <f t="shared" si="96"/>
        <v>0</v>
      </c>
      <c r="N201" s="82">
        <f t="shared" si="97"/>
        <v>0</v>
      </c>
      <c r="O201" s="82">
        <f>N201+'BM 004'!O201</f>
        <v>0</v>
      </c>
      <c r="P201" s="80">
        <f t="shared" si="98"/>
        <v>46800</v>
      </c>
      <c r="Q201" s="82">
        <f t="shared" si="99"/>
        <v>59323.68</v>
      </c>
      <c r="R201" s="82">
        <f t="shared" si="100"/>
        <v>59323.68</v>
      </c>
    </row>
    <row r="202" spans="2:18" s="34" customFormat="1" ht="34.799999999999997">
      <c r="B202" s="75" t="s">
        <v>397</v>
      </c>
      <c r="C202" s="88" t="s">
        <v>398</v>
      </c>
      <c r="D202" s="89" t="s">
        <v>79</v>
      </c>
      <c r="E202" s="92">
        <v>17.82</v>
      </c>
      <c r="F202" s="91"/>
      <c r="G202" s="91"/>
      <c r="H202" s="91"/>
      <c r="I202" s="79">
        <f>SUM(G202:H202)+'BM 004'!I202</f>
        <v>0</v>
      </c>
      <c r="J202" s="91">
        <f t="shared" si="90"/>
        <v>17.82</v>
      </c>
      <c r="K202" s="84">
        <v>950</v>
      </c>
      <c r="L202" s="81">
        <f t="shared" si="84"/>
        <v>1204.2201045000002</v>
      </c>
      <c r="M202" s="82">
        <f t="shared" si="96"/>
        <v>0</v>
      </c>
      <c r="N202" s="82">
        <f t="shared" si="97"/>
        <v>0</v>
      </c>
      <c r="O202" s="82">
        <f>N202+'BM 004'!O202</f>
        <v>0</v>
      </c>
      <c r="P202" s="80">
        <f t="shared" si="98"/>
        <v>16929</v>
      </c>
      <c r="Q202" s="82">
        <f t="shared" si="99"/>
        <v>21459.200000000001</v>
      </c>
      <c r="R202" s="82">
        <f t="shared" si="100"/>
        <v>21459.200000000001</v>
      </c>
    </row>
    <row r="203" spans="2:18" s="34" customFormat="1" ht="46.2">
      <c r="B203" s="75" t="s">
        <v>399</v>
      </c>
      <c r="C203" s="88" t="s">
        <v>400</v>
      </c>
      <c r="D203" s="89" t="s">
        <v>63</v>
      </c>
      <c r="E203" s="92">
        <v>18</v>
      </c>
      <c r="F203" s="91"/>
      <c r="G203" s="91"/>
      <c r="H203" s="91"/>
      <c r="I203" s="79">
        <f>SUM(G203:H203)+'BM 004'!I203</f>
        <v>0</v>
      </c>
      <c r="J203" s="91">
        <f t="shared" si="90"/>
        <v>18</v>
      </c>
      <c r="K203" s="84">
        <v>2480</v>
      </c>
      <c r="L203" s="81">
        <f t="shared" si="84"/>
        <v>3143.6482728000001</v>
      </c>
      <c r="M203" s="82">
        <f t="shared" si="96"/>
        <v>0</v>
      </c>
      <c r="N203" s="82">
        <f t="shared" si="97"/>
        <v>0</v>
      </c>
      <c r="O203" s="82">
        <f>N203+'BM 004'!O203</f>
        <v>0</v>
      </c>
      <c r="P203" s="80">
        <f t="shared" si="98"/>
        <v>44640</v>
      </c>
      <c r="Q203" s="82">
        <f t="shared" si="99"/>
        <v>56585.66</v>
      </c>
      <c r="R203" s="82">
        <f t="shared" si="100"/>
        <v>56585.66</v>
      </c>
    </row>
    <row r="204" spans="2:18" s="34" customFormat="1" ht="46.2">
      <c r="B204" s="75" t="s">
        <v>401</v>
      </c>
      <c r="C204" s="88" t="s">
        <v>402</v>
      </c>
      <c r="D204" s="89" t="s">
        <v>63</v>
      </c>
      <c r="E204" s="92">
        <v>47</v>
      </c>
      <c r="F204" s="91"/>
      <c r="G204" s="91"/>
      <c r="H204" s="91"/>
      <c r="I204" s="79">
        <f>SUM(G204:H204)+'BM 004'!I204</f>
        <v>0</v>
      </c>
      <c r="J204" s="91">
        <f t="shared" si="90"/>
        <v>47</v>
      </c>
      <c r="K204" s="84">
        <v>1080</v>
      </c>
      <c r="L204" s="81">
        <f t="shared" si="84"/>
        <v>1369.0081188000001</v>
      </c>
      <c r="M204" s="82">
        <f t="shared" si="96"/>
        <v>0</v>
      </c>
      <c r="N204" s="82">
        <f t="shared" si="97"/>
        <v>0</v>
      </c>
      <c r="O204" s="82">
        <f>N204+'BM 004'!O204</f>
        <v>0</v>
      </c>
      <c r="P204" s="80">
        <f t="shared" si="98"/>
        <v>50760</v>
      </c>
      <c r="Q204" s="82">
        <f t="shared" si="99"/>
        <v>64343.38</v>
      </c>
      <c r="R204" s="82">
        <f t="shared" si="100"/>
        <v>64343.38</v>
      </c>
    </row>
    <row r="205" spans="2:18" s="34" customFormat="1" ht="13.2">
      <c r="B205" s="66" t="s">
        <v>403</v>
      </c>
      <c r="C205" s="67" t="s">
        <v>404</v>
      </c>
      <c r="D205" s="68"/>
      <c r="E205" s="69"/>
      <c r="F205" s="70"/>
      <c r="G205" s="70"/>
      <c r="H205" s="70"/>
      <c r="I205" s="70">
        <f>SUM(G205:H205)+'BM 004'!I205</f>
        <v>0</v>
      </c>
      <c r="J205" s="70">
        <f t="shared" si="90"/>
        <v>0</v>
      </c>
      <c r="K205" s="71"/>
      <c r="L205" s="71">
        <f t="shared" si="84"/>
        <v>0</v>
      </c>
      <c r="M205" s="73">
        <f t="shared" ref="M205:R205" si="101">SUM(M206:M214)</f>
        <v>0</v>
      </c>
      <c r="N205" s="73">
        <f t="shared" si="101"/>
        <v>0</v>
      </c>
      <c r="O205" s="73">
        <f t="shared" si="101"/>
        <v>0</v>
      </c>
      <c r="P205" s="73">
        <f t="shared" si="101"/>
        <v>987536.55</v>
      </c>
      <c r="Q205" s="73">
        <f t="shared" si="101"/>
        <v>1251801.3999999999</v>
      </c>
      <c r="R205" s="73">
        <f t="shared" si="101"/>
        <v>1251801.3999999999</v>
      </c>
    </row>
    <row r="206" spans="2:18" s="34" customFormat="1" ht="46.2">
      <c r="B206" s="87" t="s">
        <v>405</v>
      </c>
      <c r="C206" s="88" t="s">
        <v>406</v>
      </c>
      <c r="D206" s="89" t="s">
        <v>124</v>
      </c>
      <c r="E206" s="92">
        <v>158.59</v>
      </c>
      <c r="F206" s="91"/>
      <c r="G206" s="91"/>
      <c r="H206" s="91"/>
      <c r="I206" s="79">
        <f>SUM(G206:H206)+'BM 004'!I206</f>
        <v>0</v>
      </c>
      <c r="J206" s="91">
        <f t="shared" si="90"/>
        <v>158.59</v>
      </c>
      <c r="K206" s="84">
        <v>415</v>
      </c>
      <c r="L206" s="81">
        <f t="shared" si="84"/>
        <v>526.05404565000003</v>
      </c>
      <c r="M206" s="82">
        <f t="shared" ref="M206:M214" si="102">TRUNC(F206*L206,2)</f>
        <v>0</v>
      </c>
      <c r="N206" s="82">
        <f t="shared" ref="N206:N214" si="103">TRUNC(G206*L206,2)</f>
        <v>0</v>
      </c>
      <c r="O206" s="82">
        <f>N206+'BM 004'!O206</f>
        <v>0</v>
      </c>
      <c r="P206" s="80">
        <f t="shared" ref="P206:P214" si="104">E206*K206</f>
        <v>65814.850000000006</v>
      </c>
      <c r="Q206" s="82">
        <f t="shared" ref="Q206:Q214" si="105">TRUNC(E206*L206,2)</f>
        <v>83426.91</v>
      </c>
      <c r="R206" s="82">
        <f t="shared" ref="R206:R214" si="106">Q206-O206</f>
        <v>83426.91</v>
      </c>
    </row>
    <row r="207" spans="2:18" s="34" customFormat="1" ht="13.2">
      <c r="B207" s="87" t="s">
        <v>407</v>
      </c>
      <c r="C207" s="88" t="s">
        <v>408</v>
      </c>
      <c r="D207" s="89" t="s">
        <v>124</v>
      </c>
      <c r="E207" s="92">
        <v>198.52</v>
      </c>
      <c r="F207" s="91"/>
      <c r="G207" s="91"/>
      <c r="H207" s="91"/>
      <c r="I207" s="79">
        <f>SUM(G207:H207)+'BM 004'!I207</f>
        <v>0</v>
      </c>
      <c r="J207" s="91">
        <f t="shared" si="90"/>
        <v>198.52</v>
      </c>
      <c r="K207" s="84">
        <v>455</v>
      </c>
      <c r="L207" s="81">
        <f t="shared" si="84"/>
        <v>576.75805005000007</v>
      </c>
      <c r="M207" s="82">
        <f t="shared" si="102"/>
        <v>0</v>
      </c>
      <c r="N207" s="82">
        <f t="shared" si="103"/>
        <v>0</v>
      </c>
      <c r="O207" s="82">
        <f>N207+'BM 004'!O207</f>
        <v>0</v>
      </c>
      <c r="P207" s="80">
        <f t="shared" si="104"/>
        <v>90326.6</v>
      </c>
      <c r="Q207" s="82">
        <f t="shared" si="105"/>
        <v>114498</v>
      </c>
      <c r="R207" s="82">
        <f t="shared" si="106"/>
        <v>114498</v>
      </c>
    </row>
    <row r="208" spans="2:18" s="34" customFormat="1" ht="23.4">
      <c r="B208" s="87" t="s">
        <v>409</v>
      </c>
      <c r="C208" s="88" t="s">
        <v>410</v>
      </c>
      <c r="D208" s="89" t="s">
        <v>124</v>
      </c>
      <c r="E208" s="92">
        <v>129.65</v>
      </c>
      <c r="F208" s="91"/>
      <c r="G208" s="91"/>
      <c r="H208" s="91"/>
      <c r="I208" s="79">
        <f>SUM(G208:H208)+'BM 004'!I208</f>
        <v>0</v>
      </c>
      <c r="J208" s="91">
        <f t="shared" si="90"/>
        <v>129.65</v>
      </c>
      <c r="K208" s="84">
        <v>745</v>
      </c>
      <c r="L208" s="81">
        <f t="shared" si="84"/>
        <v>944.36208195000006</v>
      </c>
      <c r="M208" s="82">
        <f t="shared" si="102"/>
        <v>0</v>
      </c>
      <c r="N208" s="82">
        <f t="shared" si="103"/>
        <v>0</v>
      </c>
      <c r="O208" s="82">
        <f>N208+'BM 004'!O208</f>
        <v>0</v>
      </c>
      <c r="P208" s="80">
        <f t="shared" si="104"/>
        <v>96589.25</v>
      </c>
      <c r="Q208" s="82">
        <f t="shared" si="105"/>
        <v>122436.54</v>
      </c>
      <c r="R208" s="82">
        <f t="shared" si="106"/>
        <v>122436.54</v>
      </c>
    </row>
    <row r="209" spans="1:23" s="34" customFormat="1" ht="23.4">
      <c r="B209" s="87" t="s">
        <v>411</v>
      </c>
      <c r="C209" s="88" t="s">
        <v>412</v>
      </c>
      <c r="D209" s="89" t="s">
        <v>124</v>
      </c>
      <c r="E209" s="92">
        <v>98.74</v>
      </c>
      <c r="F209" s="91"/>
      <c r="G209" s="91"/>
      <c r="H209" s="91"/>
      <c r="I209" s="79">
        <f>SUM(G209:H209)+'BM 004'!I209</f>
        <v>0</v>
      </c>
      <c r="J209" s="91">
        <f t="shared" si="90"/>
        <v>98.74</v>
      </c>
      <c r="K209" s="84">
        <v>855</v>
      </c>
      <c r="L209" s="81">
        <f t="shared" si="84"/>
        <v>1083.7980940500001</v>
      </c>
      <c r="M209" s="82">
        <f t="shared" si="102"/>
        <v>0</v>
      </c>
      <c r="N209" s="82">
        <f t="shared" si="103"/>
        <v>0</v>
      </c>
      <c r="O209" s="82">
        <f>N209+'BM 004'!O209</f>
        <v>0</v>
      </c>
      <c r="P209" s="80">
        <f t="shared" si="104"/>
        <v>84422.7</v>
      </c>
      <c r="Q209" s="82">
        <f t="shared" si="105"/>
        <v>107014.22</v>
      </c>
      <c r="R209" s="82">
        <f t="shared" si="106"/>
        <v>107014.22</v>
      </c>
    </row>
    <row r="210" spans="1:23" s="34" customFormat="1" ht="69">
      <c r="B210" s="87" t="s">
        <v>413</v>
      </c>
      <c r="C210" s="88" t="s">
        <v>414</v>
      </c>
      <c r="D210" s="89" t="s">
        <v>82</v>
      </c>
      <c r="E210" s="92">
        <v>12</v>
      </c>
      <c r="F210" s="91"/>
      <c r="G210" s="91"/>
      <c r="H210" s="91"/>
      <c r="I210" s="79">
        <f>SUM(G210:H210)+'BM 004'!I210</f>
        <v>0</v>
      </c>
      <c r="J210" s="91">
        <f t="shared" si="90"/>
        <v>12</v>
      </c>
      <c r="K210" s="84">
        <v>1650</v>
      </c>
      <c r="L210" s="81">
        <f t="shared" si="84"/>
        <v>2091.5401815</v>
      </c>
      <c r="M210" s="82">
        <f t="shared" si="102"/>
        <v>0</v>
      </c>
      <c r="N210" s="82">
        <f t="shared" si="103"/>
        <v>0</v>
      </c>
      <c r="O210" s="82">
        <f>N210+'BM 004'!O210</f>
        <v>0</v>
      </c>
      <c r="P210" s="80">
        <f t="shared" si="104"/>
        <v>19800</v>
      </c>
      <c r="Q210" s="82">
        <f t="shared" si="105"/>
        <v>25098.48</v>
      </c>
      <c r="R210" s="82">
        <f t="shared" si="106"/>
        <v>25098.48</v>
      </c>
    </row>
    <row r="211" spans="1:23" s="34" customFormat="1" ht="13.2">
      <c r="B211" s="87" t="s">
        <v>415</v>
      </c>
      <c r="C211" s="88" t="s">
        <v>416</v>
      </c>
      <c r="D211" s="89" t="s">
        <v>79</v>
      </c>
      <c r="E211" s="92">
        <v>72.650000000000006</v>
      </c>
      <c r="F211" s="91"/>
      <c r="G211" s="91"/>
      <c r="H211" s="91"/>
      <c r="I211" s="79">
        <f>SUM(G211:H211)+'BM 004'!I211</f>
        <v>0</v>
      </c>
      <c r="J211" s="91">
        <f t="shared" si="90"/>
        <v>72.650000000000006</v>
      </c>
      <c r="K211" s="84">
        <v>485</v>
      </c>
      <c r="L211" s="81">
        <f t="shared" si="84"/>
        <v>614.78605334999997</v>
      </c>
      <c r="M211" s="82">
        <f t="shared" si="102"/>
        <v>0</v>
      </c>
      <c r="N211" s="82">
        <f t="shared" si="103"/>
        <v>0</v>
      </c>
      <c r="O211" s="82">
        <f>N211+'BM 004'!O211</f>
        <v>0</v>
      </c>
      <c r="P211" s="80">
        <f t="shared" si="104"/>
        <v>35235.25</v>
      </c>
      <c r="Q211" s="82">
        <f t="shared" si="105"/>
        <v>44664.2</v>
      </c>
      <c r="R211" s="82">
        <f t="shared" si="106"/>
        <v>44664.2</v>
      </c>
    </row>
    <row r="212" spans="1:23" s="34" customFormat="1" ht="23.4">
      <c r="B212" s="87" t="s">
        <v>417</v>
      </c>
      <c r="C212" s="88" t="s">
        <v>418</v>
      </c>
      <c r="D212" s="89" t="s">
        <v>79</v>
      </c>
      <c r="E212" s="92">
        <v>51.22</v>
      </c>
      <c r="F212" s="91"/>
      <c r="G212" s="91"/>
      <c r="H212" s="91"/>
      <c r="I212" s="79">
        <f>SUM(G212:H212)+'BM 004'!I212</f>
        <v>0</v>
      </c>
      <c r="J212" s="91">
        <f t="shared" si="90"/>
        <v>51.22</v>
      </c>
      <c r="K212" s="84">
        <v>1350</v>
      </c>
      <c r="L212" s="81">
        <f t="shared" si="84"/>
        <v>1711.2601485</v>
      </c>
      <c r="M212" s="82">
        <f t="shared" si="102"/>
        <v>0</v>
      </c>
      <c r="N212" s="82">
        <f t="shared" si="103"/>
        <v>0</v>
      </c>
      <c r="O212" s="82">
        <f>N212+'BM 004'!O212</f>
        <v>0</v>
      </c>
      <c r="P212" s="80">
        <f t="shared" si="104"/>
        <v>69147</v>
      </c>
      <c r="Q212" s="82">
        <f t="shared" si="105"/>
        <v>87650.74</v>
      </c>
      <c r="R212" s="82">
        <f t="shared" si="106"/>
        <v>87650.74</v>
      </c>
    </row>
    <row r="213" spans="1:23" s="34" customFormat="1" ht="46.2">
      <c r="B213" s="87" t="s">
        <v>419</v>
      </c>
      <c r="C213" s="88" t="s">
        <v>420</v>
      </c>
      <c r="D213" s="89" t="s">
        <v>79</v>
      </c>
      <c r="E213" s="92">
        <v>98</v>
      </c>
      <c r="F213" s="91"/>
      <c r="G213" s="91"/>
      <c r="H213" s="91"/>
      <c r="I213" s="79">
        <f>SUM(G213:H213)+'BM 004'!I213</f>
        <v>0</v>
      </c>
      <c r="J213" s="91">
        <f t="shared" si="90"/>
        <v>98</v>
      </c>
      <c r="K213" s="84">
        <v>498</v>
      </c>
      <c r="L213" s="81">
        <f t="shared" si="84"/>
        <v>631.26485478000006</v>
      </c>
      <c r="M213" s="82">
        <f t="shared" si="102"/>
        <v>0</v>
      </c>
      <c r="N213" s="82">
        <f t="shared" si="103"/>
        <v>0</v>
      </c>
      <c r="O213" s="82">
        <f>N213+'BM 004'!O213</f>
        <v>0</v>
      </c>
      <c r="P213" s="80">
        <f t="shared" si="104"/>
        <v>48804</v>
      </c>
      <c r="Q213" s="82">
        <f t="shared" si="105"/>
        <v>61863.95</v>
      </c>
      <c r="R213" s="82">
        <f t="shared" si="106"/>
        <v>61863.95</v>
      </c>
    </row>
    <row r="214" spans="1:23" s="107" customFormat="1" ht="34.799999999999997">
      <c r="A214" s="34"/>
      <c r="B214" s="87" t="s">
        <v>421</v>
      </c>
      <c r="C214" s="88" t="s">
        <v>422</v>
      </c>
      <c r="D214" s="89" t="s">
        <v>79</v>
      </c>
      <c r="E214" s="92">
        <v>342.22</v>
      </c>
      <c r="F214" s="91"/>
      <c r="G214" s="91"/>
      <c r="H214" s="91"/>
      <c r="I214" s="79">
        <f>SUM(G214:H214)+'BM 004'!I214</f>
        <v>0</v>
      </c>
      <c r="J214" s="91">
        <f t="shared" si="90"/>
        <v>342.22</v>
      </c>
      <c r="K214" s="84">
        <v>1395</v>
      </c>
      <c r="L214" s="81">
        <f t="shared" si="84"/>
        <v>1768.3021534500001</v>
      </c>
      <c r="M214" s="82">
        <f t="shared" si="102"/>
        <v>0</v>
      </c>
      <c r="N214" s="82">
        <f t="shared" si="103"/>
        <v>0</v>
      </c>
      <c r="O214" s="82">
        <f>N214+'BM 004'!O214</f>
        <v>0</v>
      </c>
      <c r="P214" s="80">
        <f t="shared" si="104"/>
        <v>477396.9</v>
      </c>
      <c r="Q214" s="82">
        <f t="shared" si="105"/>
        <v>605148.36</v>
      </c>
      <c r="R214" s="82">
        <f t="shared" si="106"/>
        <v>605148.36</v>
      </c>
      <c r="S214" s="34"/>
      <c r="T214" s="34"/>
      <c r="U214" s="34"/>
      <c r="V214" s="34"/>
      <c r="W214" s="34"/>
    </row>
    <row r="215" spans="1:23" s="34" customFormat="1" ht="13.2">
      <c r="B215" s="60" t="s">
        <v>423</v>
      </c>
      <c r="C215" s="61" t="s">
        <v>424</v>
      </c>
      <c r="D215" s="60"/>
      <c r="E215" s="62"/>
      <c r="F215" s="63"/>
      <c r="G215" s="63"/>
      <c r="H215" s="63"/>
      <c r="I215" s="63">
        <f>SUM(G215:H215)+'BM 004'!I215</f>
        <v>0</v>
      </c>
      <c r="J215" s="63">
        <f t="shared" si="90"/>
        <v>0</v>
      </c>
      <c r="K215" s="63"/>
      <c r="L215" s="63">
        <f t="shared" si="84"/>
        <v>0</v>
      </c>
      <c r="M215" s="63">
        <f t="shared" ref="M215:R215" si="107">SUM(M216:M221)</f>
        <v>0</v>
      </c>
      <c r="N215" s="63">
        <f t="shared" si="107"/>
        <v>0</v>
      </c>
      <c r="O215" s="63">
        <f t="shared" si="107"/>
        <v>0</v>
      </c>
      <c r="P215" s="63">
        <f t="shared" si="107"/>
        <v>1326910.8099999998</v>
      </c>
      <c r="Q215" s="63">
        <f t="shared" si="107"/>
        <v>1681992.2700000003</v>
      </c>
      <c r="R215" s="63">
        <f t="shared" si="107"/>
        <v>1681992.2700000003</v>
      </c>
    </row>
    <row r="216" spans="1:23" s="34" customFormat="1" ht="23.4">
      <c r="B216" s="87" t="s">
        <v>425</v>
      </c>
      <c r="C216" s="88" t="s">
        <v>426</v>
      </c>
      <c r="D216" s="89" t="s">
        <v>79</v>
      </c>
      <c r="E216" s="90">
        <f>E143+E147</f>
        <v>25549.96</v>
      </c>
      <c r="F216" s="91"/>
      <c r="G216" s="91"/>
      <c r="H216" s="91"/>
      <c r="I216" s="79">
        <f>SUM(G216:H216)+'BM 004'!I216</f>
        <v>0</v>
      </c>
      <c r="J216" s="91">
        <f t="shared" si="90"/>
        <v>25549.96</v>
      </c>
      <c r="K216" s="84">
        <v>16</v>
      </c>
      <c r="L216" s="81">
        <f t="shared" si="84"/>
        <v>20.281601760000001</v>
      </c>
      <c r="M216" s="82">
        <f t="shared" ref="M216:M221" si="108">TRUNC(F216*L216,2)</f>
        <v>0</v>
      </c>
      <c r="N216" s="82">
        <f t="shared" ref="N216:N221" si="109">TRUNC(G216*L216,2)</f>
        <v>0</v>
      </c>
      <c r="O216" s="82">
        <f>N216+'BM 004'!O216</f>
        <v>0</v>
      </c>
      <c r="P216" s="80">
        <f t="shared" ref="P216:P221" si="110">E216*K216</f>
        <v>408799.36</v>
      </c>
      <c r="Q216" s="82">
        <f t="shared" ref="Q216:Q221" si="111">TRUNC(E216*L216,2)</f>
        <v>518194.11</v>
      </c>
      <c r="R216" s="82">
        <f t="shared" ref="R216:R221" si="112">Q216-O216</f>
        <v>518194.11</v>
      </c>
    </row>
    <row r="217" spans="1:23" s="34" customFormat="1" ht="23.4">
      <c r="B217" s="87" t="s">
        <v>427</v>
      </c>
      <c r="C217" s="88" t="s">
        <v>428</v>
      </c>
      <c r="D217" s="89" t="s">
        <v>79</v>
      </c>
      <c r="E217" s="90">
        <f>E171</f>
        <v>3789.02</v>
      </c>
      <c r="F217" s="91"/>
      <c r="G217" s="91"/>
      <c r="H217" s="91"/>
      <c r="I217" s="79">
        <f>SUM(G217:H217)+'BM 004'!I217</f>
        <v>0</v>
      </c>
      <c r="J217" s="91">
        <f t="shared" si="90"/>
        <v>3789.02</v>
      </c>
      <c r="K217" s="84">
        <v>25</v>
      </c>
      <c r="L217" s="81">
        <f t="shared" si="84"/>
        <v>31.690002750000001</v>
      </c>
      <c r="M217" s="82">
        <f t="shared" si="108"/>
        <v>0</v>
      </c>
      <c r="N217" s="82">
        <f t="shared" si="109"/>
        <v>0</v>
      </c>
      <c r="O217" s="82">
        <f>N217+'BM 004'!O217</f>
        <v>0</v>
      </c>
      <c r="P217" s="80">
        <f t="shared" si="110"/>
        <v>94725.5</v>
      </c>
      <c r="Q217" s="82">
        <f t="shared" si="111"/>
        <v>120074.05</v>
      </c>
      <c r="R217" s="82">
        <f t="shared" si="112"/>
        <v>120074.05</v>
      </c>
    </row>
    <row r="218" spans="1:23" s="34" customFormat="1" ht="23.4">
      <c r="B218" s="87" t="s">
        <v>429</v>
      </c>
      <c r="C218" s="88" t="s">
        <v>430</v>
      </c>
      <c r="D218" s="89" t="s">
        <v>79</v>
      </c>
      <c r="E218" s="90">
        <f>E216</f>
        <v>25549.96</v>
      </c>
      <c r="F218" s="91"/>
      <c r="G218" s="91"/>
      <c r="H218" s="91"/>
      <c r="I218" s="79">
        <f>SUM(G218:H218)+'BM 004'!I218</f>
        <v>0</v>
      </c>
      <c r="J218" s="91">
        <f t="shared" si="90"/>
        <v>25549.96</v>
      </c>
      <c r="K218" s="84">
        <v>4.5</v>
      </c>
      <c r="L218" s="81">
        <f t="shared" si="84"/>
        <v>5.7042004950000003</v>
      </c>
      <c r="M218" s="82">
        <f t="shared" si="108"/>
        <v>0</v>
      </c>
      <c r="N218" s="82">
        <f t="shared" si="109"/>
        <v>0</v>
      </c>
      <c r="O218" s="82">
        <f>N218+'BM 004'!O218</f>
        <v>0</v>
      </c>
      <c r="P218" s="80">
        <f t="shared" si="110"/>
        <v>114974.81999999999</v>
      </c>
      <c r="Q218" s="82">
        <f t="shared" si="111"/>
        <v>145742.09</v>
      </c>
      <c r="R218" s="82">
        <f t="shared" si="112"/>
        <v>145742.09</v>
      </c>
    </row>
    <row r="219" spans="1:23" s="34" customFormat="1" ht="23.4">
      <c r="B219" s="87" t="s">
        <v>431</v>
      </c>
      <c r="C219" s="88" t="s">
        <v>432</v>
      </c>
      <c r="D219" s="89" t="s">
        <v>79</v>
      </c>
      <c r="E219" s="90">
        <f>E217</f>
        <v>3789.02</v>
      </c>
      <c r="F219" s="91"/>
      <c r="G219" s="91"/>
      <c r="H219" s="91"/>
      <c r="I219" s="79">
        <f>SUM(G219:H219)+'BM 004'!I219</f>
        <v>0</v>
      </c>
      <c r="J219" s="91">
        <f t="shared" si="90"/>
        <v>3789.02</v>
      </c>
      <c r="K219" s="84">
        <v>5</v>
      </c>
      <c r="L219" s="81">
        <f t="shared" si="84"/>
        <v>6.3380005500000003</v>
      </c>
      <c r="M219" s="82">
        <f t="shared" si="108"/>
        <v>0</v>
      </c>
      <c r="N219" s="82">
        <f t="shared" si="109"/>
        <v>0</v>
      </c>
      <c r="O219" s="82">
        <f>N219+'BM 004'!O219</f>
        <v>0</v>
      </c>
      <c r="P219" s="80">
        <f t="shared" si="110"/>
        <v>18945.099999999999</v>
      </c>
      <c r="Q219" s="82">
        <f t="shared" si="111"/>
        <v>24014.81</v>
      </c>
      <c r="R219" s="82">
        <f t="shared" si="112"/>
        <v>24014.81</v>
      </c>
    </row>
    <row r="220" spans="1:23" s="34" customFormat="1" ht="23.4">
      <c r="B220" s="87" t="s">
        <v>433</v>
      </c>
      <c r="C220" s="88" t="s">
        <v>434</v>
      </c>
      <c r="D220" s="89" t="s">
        <v>79</v>
      </c>
      <c r="E220" s="90">
        <f>E216</f>
        <v>25549.96</v>
      </c>
      <c r="F220" s="91"/>
      <c r="G220" s="91"/>
      <c r="H220" s="91"/>
      <c r="I220" s="79">
        <f>SUM(G220:H220)+'BM 004'!I220</f>
        <v>0</v>
      </c>
      <c r="J220" s="91">
        <f t="shared" si="90"/>
        <v>25549.96</v>
      </c>
      <c r="K220" s="84">
        <v>23.5</v>
      </c>
      <c r="L220" s="81">
        <f t="shared" si="84"/>
        <v>29.788602585</v>
      </c>
      <c r="M220" s="82">
        <f t="shared" si="108"/>
        <v>0</v>
      </c>
      <c r="N220" s="82">
        <f t="shared" si="109"/>
        <v>0</v>
      </c>
      <c r="O220" s="82">
        <f>N220+'BM 004'!O220</f>
        <v>0</v>
      </c>
      <c r="P220" s="80">
        <f t="shared" si="110"/>
        <v>600424.05999999994</v>
      </c>
      <c r="Q220" s="82">
        <f t="shared" si="111"/>
        <v>761097.6</v>
      </c>
      <c r="R220" s="82">
        <f t="shared" si="112"/>
        <v>761097.6</v>
      </c>
    </row>
    <row r="221" spans="1:23" s="34" customFormat="1" ht="23.4">
      <c r="B221" s="87" t="s">
        <v>435</v>
      </c>
      <c r="C221" s="88" t="s">
        <v>436</v>
      </c>
      <c r="D221" s="89" t="s">
        <v>79</v>
      </c>
      <c r="E221" s="90">
        <f>E219</f>
        <v>3789.02</v>
      </c>
      <c r="F221" s="91"/>
      <c r="G221" s="91"/>
      <c r="H221" s="91"/>
      <c r="I221" s="79">
        <f>SUM(G221:H221)+'BM 004'!I221</f>
        <v>0</v>
      </c>
      <c r="J221" s="91">
        <f t="shared" si="90"/>
        <v>3789.02</v>
      </c>
      <c r="K221" s="84">
        <v>23.5</v>
      </c>
      <c r="L221" s="81">
        <f t="shared" ref="L221:L284" si="113">K221*(1+$T$26)</f>
        <v>29.788602585</v>
      </c>
      <c r="M221" s="82">
        <f t="shared" si="108"/>
        <v>0</v>
      </c>
      <c r="N221" s="82">
        <f t="shared" si="109"/>
        <v>0</v>
      </c>
      <c r="O221" s="82">
        <f>N221+'BM 004'!O221</f>
        <v>0</v>
      </c>
      <c r="P221" s="80">
        <f t="shared" si="110"/>
        <v>89041.97</v>
      </c>
      <c r="Q221" s="82">
        <f t="shared" si="111"/>
        <v>112869.61</v>
      </c>
      <c r="R221" s="82">
        <f t="shared" si="112"/>
        <v>112869.61</v>
      </c>
    </row>
    <row r="222" spans="1:23" s="34" customFormat="1" ht="13.2">
      <c r="A222" s="107"/>
      <c r="B222" s="60" t="s">
        <v>437</v>
      </c>
      <c r="C222" s="61" t="s">
        <v>438</v>
      </c>
      <c r="D222" s="60"/>
      <c r="E222" s="62"/>
      <c r="F222" s="63"/>
      <c r="G222" s="63"/>
      <c r="H222" s="63"/>
      <c r="I222" s="63">
        <f>SUM(G222:H222)+'BM 004'!I222</f>
        <v>0</v>
      </c>
      <c r="J222" s="63">
        <f t="shared" si="90"/>
        <v>0</v>
      </c>
      <c r="K222" s="63"/>
      <c r="L222" s="63">
        <f t="shared" si="113"/>
        <v>0</v>
      </c>
      <c r="M222" s="63">
        <f t="shared" ref="M222:R222" si="114">SUM(M223:M224)</f>
        <v>0</v>
      </c>
      <c r="N222" s="63">
        <f t="shared" si="114"/>
        <v>0</v>
      </c>
      <c r="O222" s="63">
        <f t="shared" si="114"/>
        <v>0</v>
      </c>
      <c r="P222" s="63">
        <f t="shared" si="114"/>
        <v>13739.5</v>
      </c>
      <c r="Q222" s="63">
        <f t="shared" si="114"/>
        <v>17416.18</v>
      </c>
      <c r="R222" s="63">
        <f t="shared" si="114"/>
        <v>17416.18</v>
      </c>
      <c r="S222" s="107"/>
      <c r="T222" s="107"/>
      <c r="U222" s="107"/>
      <c r="V222" s="107"/>
      <c r="W222" s="107"/>
    </row>
    <row r="223" spans="1:23" s="34" customFormat="1" ht="13.2">
      <c r="B223" s="87" t="s">
        <v>439</v>
      </c>
      <c r="C223" s="88" t="s">
        <v>440</v>
      </c>
      <c r="D223" s="89" t="s">
        <v>124</v>
      </c>
      <c r="E223" s="90">
        <v>199.3</v>
      </c>
      <c r="F223" s="91"/>
      <c r="G223" s="91"/>
      <c r="H223" s="91"/>
      <c r="I223" s="79">
        <f>SUM(G223:H223)+'BM 004'!I223</f>
        <v>0</v>
      </c>
      <c r="J223" s="91">
        <f t="shared" ref="J223:J286" si="115">E223-I223</f>
        <v>199.3</v>
      </c>
      <c r="K223" s="84">
        <v>25</v>
      </c>
      <c r="L223" s="81">
        <f t="shared" si="113"/>
        <v>31.690002750000001</v>
      </c>
      <c r="M223" s="82">
        <f>TRUNC(F223*L223,2)</f>
        <v>0</v>
      </c>
      <c r="N223" s="82">
        <f>TRUNC(G223*L223,2)</f>
        <v>0</v>
      </c>
      <c r="O223" s="82">
        <f>N223+'BM 004'!O223</f>
        <v>0</v>
      </c>
      <c r="P223" s="80">
        <f>E223*K223</f>
        <v>4982.5</v>
      </c>
      <c r="Q223" s="82">
        <f>TRUNC(E223*L223,2)</f>
        <v>6315.81</v>
      </c>
      <c r="R223" s="82">
        <f>Q223-O223</f>
        <v>6315.81</v>
      </c>
    </row>
    <row r="224" spans="1:23" s="34" customFormat="1" ht="23.4">
      <c r="B224" s="87" t="s">
        <v>441</v>
      </c>
      <c r="C224" s="88" t="s">
        <v>442</v>
      </c>
      <c r="D224" s="89" t="s">
        <v>124</v>
      </c>
      <c r="E224" s="92">
        <v>250.2</v>
      </c>
      <c r="F224" s="91"/>
      <c r="G224" s="91"/>
      <c r="H224" s="91"/>
      <c r="I224" s="79">
        <f>SUM(G224:H224)+'BM 004'!I224</f>
        <v>0</v>
      </c>
      <c r="J224" s="91">
        <f t="shared" si="115"/>
        <v>250.2</v>
      </c>
      <c r="K224" s="84">
        <v>35</v>
      </c>
      <c r="L224" s="81">
        <f t="shared" si="113"/>
        <v>44.366003849999998</v>
      </c>
      <c r="M224" s="82">
        <f>TRUNC(F224*L224,2)</f>
        <v>0</v>
      </c>
      <c r="N224" s="82">
        <f>TRUNC(G224*L224,2)</f>
        <v>0</v>
      </c>
      <c r="O224" s="82">
        <f>N224+'BM 004'!O224</f>
        <v>0</v>
      </c>
      <c r="P224" s="80">
        <f>E224*K224</f>
        <v>8757</v>
      </c>
      <c r="Q224" s="82">
        <f>TRUNC(E224*L224,2)</f>
        <v>11100.37</v>
      </c>
      <c r="R224" s="82">
        <f>Q224-O224</f>
        <v>11100.37</v>
      </c>
    </row>
    <row r="225" spans="2:20" s="34" customFormat="1" ht="13.2">
      <c r="B225" s="60" t="s">
        <v>443</v>
      </c>
      <c r="C225" s="61" t="s">
        <v>444</v>
      </c>
      <c r="D225" s="60"/>
      <c r="E225" s="62"/>
      <c r="F225" s="63"/>
      <c r="G225" s="63"/>
      <c r="H225" s="63"/>
      <c r="I225" s="63">
        <f>SUM(G225:H225)+'BM 004'!I225</f>
        <v>0</v>
      </c>
      <c r="J225" s="63">
        <f t="shared" si="115"/>
        <v>0</v>
      </c>
      <c r="K225" s="63"/>
      <c r="L225" s="63">
        <f t="shared" si="113"/>
        <v>0</v>
      </c>
      <c r="M225" s="63">
        <f t="shared" ref="M225:R225" si="116">SUM(M226,M240,M255,M291,M296,M307,M315)</f>
        <v>0</v>
      </c>
      <c r="N225" s="63">
        <f t="shared" si="116"/>
        <v>0</v>
      </c>
      <c r="O225" s="63">
        <f t="shared" si="116"/>
        <v>0</v>
      </c>
      <c r="P225" s="63">
        <f t="shared" si="116"/>
        <v>679789.94300000009</v>
      </c>
      <c r="Q225" s="63">
        <f t="shared" si="116"/>
        <v>861701.45999999985</v>
      </c>
      <c r="R225" s="63">
        <f t="shared" si="116"/>
        <v>861701.45999999985</v>
      </c>
    </row>
    <row r="226" spans="2:20" s="34" customFormat="1" ht="24">
      <c r="B226" s="66" t="s">
        <v>445</v>
      </c>
      <c r="C226" s="67" t="s">
        <v>446</v>
      </c>
      <c r="D226" s="68"/>
      <c r="E226" s="69"/>
      <c r="F226" s="70"/>
      <c r="G226" s="70"/>
      <c r="H226" s="70"/>
      <c r="I226" s="70">
        <f>SUM(G226:H226)+'BM 004'!I226</f>
        <v>0</v>
      </c>
      <c r="J226" s="70">
        <f t="shared" si="115"/>
        <v>0</v>
      </c>
      <c r="K226" s="71"/>
      <c r="L226" s="71">
        <f t="shared" si="113"/>
        <v>0</v>
      </c>
      <c r="M226" s="73">
        <f t="shared" ref="M226:R226" si="117">SUM(M227:M239)</f>
        <v>0</v>
      </c>
      <c r="N226" s="73">
        <f t="shared" si="117"/>
        <v>0</v>
      </c>
      <c r="O226" s="73">
        <f t="shared" si="117"/>
        <v>0</v>
      </c>
      <c r="P226" s="73">
        <f t="shared" si="117"/>
        <v>135121.34</v>
      </c>
      <c r="Q226" s="73">
        <f t="shared" si="117"/>
        <v>171279.75999999998</v>
      </c>
      <c r="R226" s="73">
        <f t="shared" si="117"/>
        <v>171279.75999999998</v>
      </c>
    </row>
    <row r="227" spans="2:20" s="34" customFormat="1" ht="23.4">
      <c r="B227" s="87" t="s">
        <v>447</v>
      </c>
      <c r="C227" s="88" t="s">
        <v>448</v>
      </c>
      <c r="D227" s="89" t="s">
        <v>82</v>
      </c>
      <c r="E227" s="90">
        <v>787.32</v>
      </c>
      <c r="F227" s="91"/>
      <c r="G227" s="91"/>
      <c r="H227" s="91"/>
      <c r="I227" s="91">
        <f>SUM(G227:H227)+'BM 004'!I227</f>
        <v>0</v>
      </c>
      <c r="J227" s="91">
        <f t="shared" si="115"/>
        <v>787.32</v>
      </c>
      <c r="K227" s="80">
        <v>70</v>
      </c>
      <c r="L227" s="81">
        <f t="shared" si="113"/>
        <v>88.732007699999997</v>
      </c>
      <c r="M227" s="82">
        <f t="shared" ref="M227:M239" si="118">TRUNC(F227*L227,2)</f>
        <v>0</v>
      </c>
      <c r="N227" s="82">
        <f t="shared" ref="N227:N239" si="119">TRUNC(G227*L227,2)</f>
        <v>0</v>
      </c>
      <c r="O227" s="82">
        <f>N227+'BM 004'!O227</f>
        <v>0</v>
      </c>
      <c r="P227" s="80">
        <f t="shared" ref="P227:P239" si="120">E227*K227</f>
        <v>55112.4</v>
      </c>
      <c r="Q227" s="82">
        <f t="shared" ref="Q227:Q239" si="121">TRUNC(E227*L227,2)</f>
        <v>69860.479999999996</v>
      </c>
      <c r="R227" s="82">
        <f t="shared" ref="R227:R239" si="122">Q227-O227</f>
        <v>69860.479999999996</v>
      </c>
    </row>
    <row r="228" spans="2:20" s="34" customFormat="1" ht="23.4">
      <c r="B228" s="87" t="s">
        <v>449</v>
      </c>
      <c r="C228" s="88" t="s">
        <v>450</v>
      </c>
      <c r="D228" s="89" t="s">
        <v>39</v>
      </c>
      <c r="E228" s="90">
        <v>30</v>
      </c>
      <c r="F228" s="91"/>
      <c r="G228" s="91"/>
      <c r="H228" s="91"/>
      <c r="I228" s="91">
        <f>SUM(G228:H228)+'BM 004'!I228</f>
        <v>0</v>
      </c>
      <c r="J228" s="91">
        <f t="shared" si="115"/>
        <v>30</v>
      </c>
      <c r="K228" s="80">
        <v>49.5</v>
      </c>
      <c r="L228" s="81">
        <f t="shared" si="113"/>
        <v>62.746205445000001</v>
      </c>
      <c r="M228" s="82">
        <f t="shared" si="118"/>
        <v>0</v>
      </c>
      <c r="N228" s="82">
        <f t="shared" si="119"/>
        <v>0</v>
      </c>
      <c r="O228" s="82">
        <f>N228+'BM 004'!O228</f>
        <v>0</v>
      </c>
      <c r="P228" s="80">
        <f t="shared" si="120"/>
        <v>1485</v>
      </c>
      <c r="Q228" s="82">
        <f t="shared" si="121"/>
        <v>1882.38</v>
      </c>
      <c r="R228" s="82">
        <f t="shared" si="122"/>
        <v>1882.38</v>
      </c>
    </row>
    <row r="229" spans="2:20" s="34" customFormat="1" ht="23.4">
      <c r="B229" s="87" t="s">
        <v>451</v>
      </c>
      <c r="C229" s="88" t="s">
        <v>452</v>
      </c>
      <c r="D229" s="89" t="s">
        <v>39</v>
      </c>
      <c r="E229" s="90">
        <v>38</v>
      </c>
      <c r="F229" s="91"/>
      <c r="G229" s="91"/>
      <c r="H229" s="91"/>
      <c r="I229" s="91">
        <f>SUM(G229:H229)+'BM 004'!I229</f>
        <v>0</v>
      </c>
      <c r="J229" s="91">
        <f t="shared" si="115"/>
        <v>38</v>
      </c>
      <c r="K229" s="80">
        <v>43.8</v>
      </c>
      <c r="L229" s="81">
        <f t="shared" si="113"/>
        <v>55.520884817999999</v>
      </c>
      <c r="M229" s="82">
        <f t="shared" si="118"/>
        <v>0</v>
      </c>
      <c r="N229" s="82">
        <f t="shared" si="119"/>
        <v>0</v>
      </c>
      <c r="O229" s="82">
        <f>N229+'BM 004'!O229</f>
        <v>0</v>
      </c>
      <c r="P229" s="80">
        <f t="shared" si="120"/>
        <v>1664.3999999999999</v>
      </c>
      <c r="Q229" s="82">
        <f t="shared" si="121"/>
        <v>2109.79</v>
      </c>
      <c r="R229" s="82">
        <f t="shared" si="122"/>
        <v>2109.79</v>
      </c>
    </row>
    <row r="230" spans="2:20" s="34" customFormat="1" ht="23.4">
      <c r="B230" s="87" t="s">
        <v>453</v>
      </c>
      <c r="C230" s="88" t="s">
        <v>454</v>
      </c>
      <c r="D230" s="89" t="s">
        <v>39</v>
      </c>
      <c r="E230" s="90">
        <v>24</v>
      </c>
      <c r="F230" s="91"/>
      <c r="G230" s="91"/>
      <c r="H230" s="91"/>
      <c r="I230" s="91">
        <f>SUM(G230:H230)+'BM 004'!I230</f>
        <v>0</v>
      </c>
      <c r="J230" s="91">
        <f t="shared" si="115"/>
        <v>24</v>
      </c>
      <c r="K230" s="80">
        <v>40</v>
      </c>
      <c r="L230" s="81">
        <f t="shared" si="113"/>
        <v>50.704004400000002</v>
      </c>
      <c r="M230" s="82">
        <f t="shared" si="118"/>
        <v>0</v>
      </c>
      <c r="N230" s="82">
        <f t="shared" si="119"/>
        <v>0</v>
      </c>
      <c r="O230" s="82">
        <f>N230+'BM 004'!O230</f>
        <v>0</v>
      </c>
      <c r="P230" s="80">
        <f t="shared" si="120"/>
        <v>960</v>
      </c>
      <c r="Q230" s="82">
        <f t="shared" si="121"/>
        <v>1216.8900000000001</v>
      </c>
      <c r="R230" s="82">
        <f t="shared" si="122"/>
        <v>1216.8900000000001</v>
      </c>
    </row>
    <row r="231" spans="2:20" s="34" customFormat="1" ht="23.4">
      <c r="B231" s="87" t="s">
        <v>455</v>
      </c>
      <c r="C231" s="88" t="s">
        <v>456</v>
      </c>
      <c r="D231" s="89" t="s">
        <v>39</v>
      </c>
      <c r="E231" s="90">
        <v>30</v>
      </c>
      <c r="F231" s="91"/>
      <c r="G231" s="91"/>
      <c r="H231" s="91"/>
      <c r="I231" s="91">
        <f>SUM(G231:H231)+'BM 004'!I231</f>
        <v>0</v>
      </c>
      <c r="J231" s="91">
        <f t="shared" si="115"/>
        <v>30</v>
      </c>
      <c r="K231" s="80">
        <v>50</v>
      </c>
      <c r="L231" s="81">
        <f t="shared" si="113"/>
        <v>63.380005500000003</v>
      </c>
      <c r="M231" s="82">
        <f t="shared" si="118"/>
        <v>0</v>
      </c>
      <c r="N231" s="82">
        <f t="shared" si="119"/>
        <v>0</v>
      </c>
      <c r="O231" s="82">
        <f>N231+'BM 004'!O231</f>
        <v>0</v>
      </c>
      <c r="P231" s="80">
        <f t="shared" si="120"/>
        <v>1500</v>
      </c>
      <c r="Q231" s="82">
        <f t="shared" si="121"/>
        <v>1901.4</v>
      </c>
      <c r="R231" s="82">
        <f t="shared" si="122"/>
        <v>1901.4</v>
      </c>
    </row>
    <row r="232" spans="2:20" s="34" customFormat="1" ht="23.4">
      <c r="B232" s="87" t="s">
        <v>457</v>
      </c>
      <c r="C232" s="88" t="s">
        <v>458</v>
      </c>
      <c r="D232" s="89" t="s">
        <v>39</v>
      </c>
      <c r="E232" s="90">
        <v>400</v>
      </c>
      <c r="F232" s="91"/>
      <c r="G232" s="91"/>
      <c r="H232" s="91"/>
      <c r="I232" s="91">
        <f>SUM(G232:H232)+'BM 004'!I232</f>
        <v>0</v>
      </c>
      <c r="J232" s="91">
        <f t="shared" si="115"/>
        <v>400</v>
      </c>
      <c r="K232" s="80">
        <v>9.7100000000000009</v>
      </c>
      <c r="L232" s="81">
        <f t="shared" si="113"/>
        <v>12.308397068100001</v>
      </c>
      <c r="M232" s="82">
        <f t="shared" si="118"/>
        <v>0</v>
      </c>
      <c r="N232" s="82">
        <f t="shared" si="119"/>
        <v>0</v>
      </c>
      <c r="O232" s="82">
        <f>N232+'BM 004'!O232</f>
        <v>0</v>
      </c>
      <c r="P232" s="80">
        <f t="shared" si="120"/>
        <v>3884.0000000000005</v>
      </c>
      <c r="Q232" s="82">
        <f t="shared" si="121"/>
        <v>4923.3500000000004</v>
      </c>
      <c r="R232" s="82">
        <f t="shared" si="122"/>
        <v>4923.3500000000004</v>
      </c>
    </row>
    <row r="233" spans="2:20" s="34" customFormat="1" ht="34.799999999999997">
      <c r="B233" s="87" t="s">
        <v>459</v>
      </c>
      <c r="C233" s="88" t="s">
        <v>460</v>
      </c>
      <c r="D233" s="89" t="s">
        <v>82</v>
      </c>
      <c r="E233" s="90">
        <v>53.61</v>
      </c>
      <c r="F233" s="91"/>
      <c r="G233" s="91"/>
      <c r="H233" s="91"/>
      <c r="I233" s="91">
        <f>SUM(G233:H233)+'BM 004'!I233</f>
        <v>0</v>
      </c>
      <c r="J233" s="91">
        <f t="shared" si="115"/>
        <v>53.61</v>
      </c>
      <c r="K233" s="80">
        <v>95</v>
      </c>
      <c r="L233" s="81">
        <f t="shared" si="113"/>
        <v>120.42201045</v>
      </c>
      <c r="M233" s="82">
        <f t="shared" si="118"/>
        <v>0</v>
      </c>
      <c r="N233" s="82">
        <f t="shared" si="119"/>
        <v>0</v>
      </c>
      <c r="O233" s="82">
        <f>N233+'BM 004'!O233</f>
        <v>0</v>
      </c>
      <c r="P233" s="80">
        <f t="shared" si="120"/>
        <v>5092.95</v>
      </c>
      <c r="Q233" s="82">
        <f t="shared" si="121"/>
        <v>6455.82</v>
      </c>
      <c r="R233" s="82">
        <f t="shared" si="122"/>
        <v>6455.82</v>
      </c>
    </row>
    <row r="234" spans="2:20" s="34" customFormat="1" ht="46.2">
      <c r="B234" s="87" t="s">
        <v>461</v>
      </c>
      <c r="C234" s="88" t="s">
        <v>462</v>
      </c>
      <c r="D234" s="89" t="s">
        <v>82</v>
      </c>
      <c r="E234" s="90">
        <v>91.42</v>
      </c>
      <c r="F234" s="91"/>
      <c r="G234" s="91"/>
      <c r="H234" s="91"/>
      <c r="I234" s="91">
        <f>SUM(G234:H234)+'BM 004'!I234</f>
        <v>0</v>
      </c>
      <c r="J234" s="91">
        <f t="shared" si="115"/>
        <v>91.42</v>
      </c>
      <c r="K234" s="80">
        <v>15</v>
      </c>
      <c r="L234" s="81">
        <f t="shared" si="113"/>
        <v>19.014001650000001</v>
      </c>
      <c r="M234" s="82">
        <f t="shared" si="118"/>
        <v>0</v>
      </c>
      <c r="N234" s="82">
        <f t="shared" si="119"/>
        <v>0</v>
      </c>
      <c r="O234" s="82">
        <f>N234+'BM 004'!O234</f>
        <v>0</v>
      </c>
      <c r="P234" s="80">
        <f t="shared" si="120"/>
        <v>1371.3</v>
      </c>
      <c r="Q234" s="82">
        <f t="shared" si="121"/>
        <v>1738.26</v>
      </c>
      <c r="R234" s="82">
        <f t="shared" si="122"/>
        <v>1738.26</v>
      </c>
    </row>
    <row r="235" spans="2:20" s="34" customFormat="1" ht="46.2">
      <c r="B235" s="87" t="s">
        <v>463</v>
      </c>
      <c r="C235" s="88" t="s">
        <v>464</v>
      </c>
      <c r="D235" s="89" t="s">
        <v>82</v>
      </c>
      <c r="E235" s="90">
        <v>8549.7900000000009</v>
      </c>
      <c r="F235" s="91"/>
      <c r="G235" s="91"/>
      <c r="H235" s="91"/>
      <c r="I235" s="91">
        <f>SUM(G235:H235)+'BM 004'!I235</f>
        <v>0</v>
      </c>
      <c r="J235" s="91">
        <f t="shared" si="115"/>
        <v>8549.7900000000009</v>
      </c>
      <c r="K235" s="80">
        <v>6</v>
      </c>
      <c r="L235" s="81">
        <f t="shared" si="113"/>
        <v>7.6056006600000003</v>
      </c>
      <c r="M235" s="82">
        <f t="shared" si="118"/>
        <v>0</v>
      </c>
      <c r="N235" s="82">
        <f t="shared" si="119"/>
        <v>0</v>
      </c>
      <c r="O235" s="82">
        <f>N235+'BM 004'!O235</f>
        <v>0</v>
      </c>
      <c r="P235" s="80">
        <f t="shared" si="120"/>
        <v>51298.740000000005</v>
      </c>
      <c r="Q235" s="82">
        <f t="shared" si="121"/>
        <v>65026.28</v>
      </c>
      <c r="R235" s="82">
        <f t="shared" si="122"/>
        <v>65026.28</v>
      </c>
    </row>
    <row r="236" spans="2:20" s="34" customFormat="1" ht="46.2">
      <c r="B236" s="87" t="s">
        <v>465</v>
      </c>
      <c r="C236" s="88" t="s">
        <v>466</v>
      </c>
      <c r="D236" s="89" t="s">
        <v>82</v>
      </c>
      <c r="E236" s="90">
        <v>98.51</v>
      </c>
      <c r="F236" s="91"/>
      <c r="G236" s="91"/>
      <c r="H236" s="91"/>
      <c r="I236" s="91">
        <f>SUM(G236:H236)+'BM 004'!I236</f>
        <v>0</v>
      </c>
      <c r="J236" s="91">
        <f t="shared" si="115"/>
        <v>98.51</v>
      </c>
      <c r="K236" s="80">
        <v>20</v>
      </c>
      <c r="L236" s="81">
        <f t="shared" si="113"/>
        <v>25.352002200000001</v>
      </c>
      <c r="M236" s="82">
        <f t="shared" si="118"/>
        <v>0</v>
      </c>
      <c r="N236" s="82">
        <f t="shared" si="119"/>
        <v>0</v>
      </c>
      <c r="O236" s="82">
        <f>N236+'BM 004'!O236</f>
        <v>0</v>
      </c>
      <c r="P236" s="80">
        <f t="shared" si="120"/>
        <v>1970.2</v>
      </c>
      <c r="Q236" s="82">
        <f t="shared" si="121"/>
        <v>2497.42</v>
      </c>
      <c r="R236" s="82">
        <f t="shared" si="122"/>
        <v>2497.42</v>
      </c>
      <c r="T236" s="83"/>
    </row>
    <row r="237" spans="2:20" s="34" customFormat="1" ht="23.4">
      <c r="B237" s="87" t="s">
        <v>467</v>
      </c>
      <c r="C237" s="88" t="s">
        <v>468</v>
      </c>
      <c r="D237" s="89" t="s">
        <v>39</v>
      </c>
      <c r="E237" s="90">
        <v>836</v>
      </c>
      <c r="F237" s="91"/>
      <c r="G237" s="91"/>
      <c r="H237" s="91"/>
      <c r="I237" s="91">
        <f>SUM(G237:H237)+'BM 004'!I237</f>
        <v>0</v>
      </c>
      <c r="J237" s="91">
        <f t="shared" si="115"/>
        <v>836</v>
      </c>
      <c r="K237" s="80">
        <v>8</v>
      </c>
      <c r="L237" s="81">
        <f t="shared" si="113"/>
        <v>10.14080088</v>
      </c>
      <c r="M237" s="82">
        <f t="shared" si="118"/>
        <v>0</v>
      </c>
      <c r="N237" s="82">
        <f t="shared" si="119"/>
        <v>0</v>
      </c>
      <c r="O237" s="82">
        <f>N237+'BM 004'!O237</f>
        <v>0</v>
      </c>
      <c r="P237" s="80">
        <f t="shared" si="120"/>
        <v>6688</v>
      </c>
      <c r="Q237" s="82">
        <f t="shared" si="121"/>
        <v>8477.7000000000007</v>
      </c>
      <c r="R237" s="82">
        <f t="shared" si="122"/>
        <v>8477.7000000000007</v>
      </c>
      <c r="T237" s="83"/>
    </row>
    <row r="238" spans="2:20" s="34" customFormat="1" ht="34.799999999999997">
      <c r="B238" s="87" t="s">
        <v>469</v>
      </c>
      <c r="C238" s="88" t="s">
        <v>470</v>
      </c>
      <c r="D238" s="89" t="s">
        <v>39</v>
      </c>
      <c r="E238" s="90">
        <v>1359</v>
      </c>
      <c r="F238" s="91"/>
      <c r="G238" s="91"/>
      <c r="H238" s="91"/>
      <c r="I238" s="91">
        <f>SUM(G238:H238)+'BM 004'!I238</f>
        <v>0</v>
      </c>
      <c r="J238" s="91">
        <f t="shared" si="115"/>
        <v>1359</v>
      </c>
      <c r="K238" s="80">
        <v>3</v>
      </c>
      <c r="L238" s="81">
        <f t="shared" si="113"/>
        <v>3.8028003300000002</v>
      </c>
      <c r="M238" s="82">
        <f t="shared" si="118"/>
        <v>0</v>
      </c>
      <c r="N238" s="82">
        <f t="shared" si="119"/>
        <v>0</v>
      </c>
      <c r="O238" s="82">
        <f>N238+'BM 004'!O238</f>
        <v>0</v>
      </c>
      <c r="P238" s="80">
        <f t="shared" si="120"/>
        <v>4077</v>
      </c>
      <c r="Q238" s="82">
        <f t="shared" si="121"/>
        <v>5168</v>
      </c>
      <c r="R238" s="82">
        <f t="shared" si="122"/>
        <v>5168</v>
      </c>
      <c r="T238" s="83"/>
    </row>
    <row r="239" spans="2:20" s="34" customFormat="1" ht="34.799999999999997">
      <c r="B239" s="87" t="s">
        <v>471</v>
      </c>
      <c r="C239" s="88" t="s">
        <v>472</v>
      </c>
      <c r="D239" s="89" t="s">
        <v>39</v>
      </c>
      <c r="E239" s="90">
        <v>5</v>
      </c>
      <c r="F239" s="91"/>
      <c r="G239" s="91"/>
      <c r="H239" s="91"/>
      <c r="I239" s="91">
        <f>SUM(G239:H239)+'BM 004'!I239</f>
        <v>0</v>
      </c>
      <c r="J239" s="91">
        <f t="shared" si="115"/>
        <v>5</v>
      </c>
      <c r="K239" s="80">
        <v>3.47</v>
      </c>
      <c r="L239" s="81">
        <f t="shared" si="113"/>
        <v>4.3985723817000002</v>
      </c>
      <c r="M239" s="82">
        <f t="shared" si="118"/>
        <v>0</v>
      </c>
      <c r="N239" s="82">
        <f t="shared" si="119"/>
        <v>0</v>
      </c>
      <c r="O239" s="82">
        <f>N239+'BM 004'!O239</f>
        <v>0</v>
      </c>
      <c r="P239" s="80">
        <f t="shared" si="120"/>
        <v>17.350000000000001</v>
      </c>
      <c r="Q239" s="82">
        <f t="shared" si="121"/>
        <v>21.99</v>
      </c>
      <c r="R239" s="82">
        <f t="shared" si="122"/>
        <v>21.99</v>
      </c>
      <c r="T239" s="83"/>
    </row>
    <row r="240" spans="2:20" s="34" customFormat="1" ht="13.2">
      <c r="B240" s="66" t="s">
        <v>473</v>
      </c>
      <c r="C240" s="67" t="s">
        <v>474</v>
      </c>
      <c r="D240" s="68"/>
      <c r="E240" s="69"/>
      <c r="F240" s="70"/>
      <c r="G240" s="70"/>
      <c r="H240" s="70"/>
      <c r="I240" s="70">
        <f>SUM(G240:H240)+'BM 004'!I240</f>
        <v>0</v>
      </c>
      <c r="J240" s="70">
        <f t="shared" si="115"/>
        <v>0</v>
      </c>
      <c r="K240" s="71"/>
      <c r="L240" s="71">
        <f t="shared" si="113"/>
        <v>0</v>
      </c>
      <c r="M240" s="73">
        <f t="shared" ref="M240:R240" si="123">SUM(M241:M254)</f>
        <v>0</v>
      </c>
      <c r="N240" s="73">
        <f t="shared" si="123"/>
        <v>0</v>
      </c>
      <c r="O240" s="73">
        <f t="shared" si="123"/>
        <v>0</v>
      </c>
      <c r="P240" s="73">
        <f t="shared" si="123"/>
        <v>310727.75299999997</v>
      </c>
      <c r="Q240" s="73">
        <f t="shared" si="123"/>
        <v>393878.46999999991</v>
      </c>
      <c r="R240" s="73">
        <f t="shared" si="123"/>
        <v>393878.46999999991</v>
      </c>
      <c r="T240" s="83"/>
    </row>
    <row r="241" spans="2:20" s="34" customFormat="1" ht="23.4">
      <c r="B241" s="87" t="s">
        <v>475</v>
      </c>
      <c r="C241" s="88" t="s">
        <v>476</v>
      </c>
      <c r="D241" s="89" t="s">
        <v>82</v>
      </c>
      <c r="E241" s="90">
        <v>1000</v>
      </c>
      <c r="F241" s="91"/>
      <c r="G241" s="91"/>
      <c r="H241" s="91"/>
      <c r="I241" s="91">
        <f>SUM(G241:H241)+'BM 004'!I241</f>
        <v>0</v>
      </c>
      <c r="J241" s="91">
        <f t="shared" si="115"/>
        <v>1000</v>
      </c>
      <c r="K241" s="80">
        <v>15</v>
      </c>
      <c r="L241" s="81">
        <f t="shared" si="113"/>
        <v>19.014001650000001</v>
      </c>
      <c r="M241" s="82">
        <f t="shared" ref="M241:M254" si="124">TRUNC(F241*L241,2)</f>
        <v>0</v>
      </c>
      <c r="N241" s="82">
        <f t="shared" ref="N241:N254" si="125">TRUNC(G241*L241,2)</f>
        <v>0</v>
      </c>
      <c r="O241" s="82">
        <f>N241+'BM 004'!O241</f>
        <v>0</v>
      </c>
      <c r="P241" s="80">
        <f t="shared" ref="P241:P254" si="126">E241*K241</f>
        <v>15000</v>
      </c>
      <c r="Q241" s="82">
        <f t="shared" ref="Q241:Q254" si="127">TRUNC(E241*L241,2)</f>
        <v>19014</v>
      </c>
      <c r="R241" s="82">
        <f t="shared" ref="R241:R254" si="128">Q241-O241</f>
        <v>19014</v>
      </c>
      <c r="T241" s="83"/>
    </row>
    <row r="242" spans="2:20" s="34" customFormat="1" ht="46.2">
      <c r="B242" s="87" t="s">
        <v>477</v>
      </c>
      <c r="C242" s="88" t="s">
        <v>478</v>
      </c>
      <c r="D242" s="89" t="s">
        <v>124</v>
      </c>
      <c r="E242" s="90">
        <v>9216.66</v>
      </c>
      <c r="F242" s="91"/>
      <c r="G242" s="91"/>
      <c r="H242" s="91"/>
      <c r="I242" s="91">
        <f>SUM(G242:H242)+'BM 004'!I242</f>
        <v>0</v>
      </c>
      <c r="J242" s="91">
        <f t="shared" si="115"/>
        <v>9216.66</v>
      </c>
      <c r="K242" s="80">
        <v>3.5</v>
      </c>
      <c r="L242" s="81">
        <f t="shared" si="113"/>
        <v>4.4366003850000002</v>
      </c>
      <c r="M242" s="82">
        <f t="shared" si="124"/>
        <v>0</v>
      </c>
      <c r="N242" s="82">
        <f t="shared" si="125"/>
        <v>0</v>
      </c>
      <c r="O242" s="82">
        <f>N242+'BM 004'!O242</f>
        <v>0</v>
      </c>
      <c r="P242" s="80">
        <f t="shared" si="126"/>
        <v>32258.309999999998</v>
      </c>
      <c r="Q242" s="82">
        <f t="shared" si="127"/>
        <v>40890.629999999997</v>
      </c>
      <c r="R242" s="82">
        <f t="shared" si="128"/>
        <v>40890.629999999997</v>
      </c>
    </row>
    <row r="243" spans="2:20" s="34" customFormat="1" ht="57.6">
      <c r="B243" s="87" t="s">
        <v>479</v>
      </c>
      <c r="C243" s="88" t="s">
        <v>480</v>
      </c>
      <c r="D243" s="89" t="s">
        <v>82</v>
      </c>
      <c r="E243" s="90">
        <v>16088.53</v>
      </c>
      <c r="F243" s="91"/>
      <c r="G243" s="91"/>
      <c r="H243" s="91"/>
      <c r="I243" s="91">
        <f>SUM(G243:H243)+'BM 004'!I243</f>
        <v>0</v>
      </c>
      <c r="J243" s="91">
        <f t="shared" si="115"/>
        <v>16088.53</v>
      </c>
      <c r="K243" s="80">
        <v>4.5</v>
      </c>
      <c r="L243" s="81">
        <f t="shared" si="113"/>
        <v>5.7042004950000003</v>
      </c>
      <c r="M243" s="82">
        <f t="shared" si="124"/>
        <v>0</v>
      </c>
      <c r="N243" s="82">
        <f t="shared" si="125"/>
        <v>0</v>
      </c>
      <c r="O243" s="82">
        <f>N243+'BM 004'!O243</f>
        <v>0</v>
      </c>
      <c r="P243" s="80">
        <f t="shared" si="126"/>
        <v>72398.385000000009</v>
      </c>
      <c r="Q243" s="82">
        <f t="shared" si="127"/>
        <v>91772.2</v>
      </c>
      <c r="R243" s="82">
        <f t="shared" si="128"/>
        <v>91772.2</v>
      </c>
    </row>
    <row r="244" spans="2:20" s="34" customFormat="1" ht="34.799999999999997">
      <c r="B244" s="87" t="s">
        <v>481</v>
      </c>
      <c r="C244" s="88" t="s">
        <v>482</v>
      </c>
      <c r="D244" s="89" t="s">
        <v>82</v>
      </c>
      <c r="E244" s="90">
        <v>1366.87</v>
      </c>
      <c r="F244" s="91"/>
      <c r="G244" s="91"/>
      <c r="H244" s="91"/>
      <c r="I244" s="91">
        <f>SUM(G244:H244)+'BM 004'!I244</f>
        <v>0</v>
      </c>
      <c r="J244" s="91">
        <f t="shared" si="115"/>
        <v>1366.87</v>
      </c>
      <c r="K244" s="80">
        <v>7</v>
      </c>
      <c r="L244" s="81">
        <f t="shared" si="113"/>
        <v>8.8732007700000004</v>
      </c>
      <c r="M244" s="82">
        <f t="shared" si="124"/>
        <v>0</v>
      </c>
      <c r="N244" s="82">
        <f t="shared" si="125"/>
        <v>0</v>
      </c>
      <c r="O244" s="82">
        <f>N244+'BM 004'!O244</f>
        <v>0</v>
      </c>
      <c r="P244" s="80">
        <f t="shared" si="126"/>
        <v>9568.09</v>
      </c>
      <c r="Q244" s="82">
        <f t="shared" si="127"/>
        <v>12128.51</v>
      </c>
      <c r="R244" s="82">
        <f t="shared" si="128"/>
        <v>12128.51</v>
      </c>
    </row>
    <row r="245" spans="2:20" s="34" customFormat="1" ht="57.6">
      <c r="B245" s="87" t="s">
        <v>483</v>
      </c>
      <c r="C245" s="88" t="s">
        <v>484</v>
      </c>
      <c r="D245" s="89" t="s">
        <v>82</v>
      </c>
      <c r="E245" s="90">
        <v>337.73</v>
      </c>
      <c r="F245" s="91"/>
      <c r="G245" s="91"/>
      <c r="H245" s="91"/>
      <c r="I245" s="91">
        <f>SUM(G245:H245)+'BM 004'!I245</f>
        <v>0</v>
      </c>
      <c r="J245" s="91">
        <f t="shared" si="115"/>
        <v>337.73</v>
      </c>
      <c r="K245" s="80">
        <v>10</v>
      </c>
      <c r="L245" s="81">
        <f t="shared" si="113"/>
        <v>12.676001100000001</v>
      </c>
      <c r="M245" s="82">
        <f t="shared" si="124"/>
        <v>0</v>
      </c>
      <c r="N245" s="82">
        <f t="shared" si="125"/>
        <v>0</v>
      </c>
      <c r="O245" s="82">
        <f>N245+'BM 004'!O245</f>
        <v>0</v>
      </c>
      <c r="P245" s="80">
        <f t="shared" si="126"/>
        <v>3377.3</v>
      </c>
      <c r="Q245" s="82">
        <f t="shared" si="127"/>
        <v>4281.0600000000004</v>
      </c>
      <c r="R245" s="82">
        <f t="shared" si="128"/>
        <v>4281.0600000000004</v>
      </c>
    </row>
    <row r="246" spans="2:20" s="34" customFormat="1" ht="34.799999999999997">
      <c r="B246" s="87" t="s">
        <v>485</v>
      </c>
      <c r="C246" s="88" t="s">
        <v>486</v>
      </c>
      <c r="D246" s="89" t="s">
        <v>82</v>
      </c>
      <c r="E246" s="90">
        <v>584.41</v>
      </c>
      <c r="F246" s="91"/>
      <c r="G246" s="91"/>
      <c r="H246" s="91"/>
      <c r="I246" s="91">
        <f>SUM(G246:H246)+'BM 004'!I246</f>
        <v>0</v>
      </c>
      <c r="J246" s="91">
        <f t="shared" si="115"/>
        <v>584.41</v>
      </c>
      <c r="K246" s="80">
        <v>11</v>
      </c>
      <c r="L246" s="81">
        <f t="shared" si="113"/>
        <v>13.943601210000001</v>
      </c>
      <c r="M246" s="82">
        <f t="shared" si="124"/>
        <v>0</v>
      </c>
      <c r="N246" s="82">
        <f t="shared" si="125"/>
        <v>0</v>
      </c>
      <c r="O246" s="82">
        <f>N246+'BM 004'!O246</f>
        <v>0</v>
      </c>
      <c r="P246" s="80">
        <f t="shared" si="126"/>
        <v>6428.5099999999993</v>
      </c>
      <c r="Q246" s="82">
        <f t="shared" si="127"/>
        <v>8148.77</v>
      </c>
      <c r="R246" s="82">
        <f t="shared" si="128"/>
        <v>8148.77</v>
      </c>
    </row>
    <row r="247" spans="2:20" s="34" customFormat="1" ht="34.799999999999997">
      <c r="B247" s="87" t="s">
        <v>487</v>
      </c>
      <c r="C247" s="88" t="s">
        <v>488</v>
      </c>
      <c r="D247" s="89" t="s">
        <v>82</v>
      </c>
      <c r="E247" s="90">
        <v>746.42</v>
      </c>
      <c r="F247" s="91"/>
      <c r="G247" s="91"/>
      <c r="H247" s="91"/>
      <c r="I247" s="91">
        <f>SUM(G247:H247)+'BM 004'!I247</f>
        <v>0</v>
      </c>
      <c r="J247" s="91">
        <f t="shared" si="115"/>
        <v>746.42</v>
      </c>
      <c r="K247" s="80">
        <v>18</v>
      </c>
      <c r="L247" s="81">
        <f t="shared" si="113"/>
        <v>22.816801980000001</v>
      </c>
      <c r="M247" s="82">
        <f t="shared" si="124"/>
        <v>0</v>
      </c>
      <c r="N247" s="82">
        <f t="shared" si="125"/>
        <v>0</v>
      </c>
      <c r="O247" s="82">
        <f>N247+'BM 004'!O247</f>
        <v>0</v>
      </c>
      <c r="P247" s="80">
        <f t="shared" si="126"/>
        <v>13435.56</v>
      </c>
      <c r="Q247" s="82">
        <f t="shared" si="127"/>
        <v>17030.91</v>
      </c>
      <c r="R247" s="82">
        <f t="shared" si="128"/>
        <v>17030.91</v>
      </c>
    </row>
    <row r="248" spans="2:20" s="34" customFormat="1" ht="34.799999999999997">
      <c r="B248" s="87" t="s">
        <v>489</v>
      </c>
      <c r="C248" s="88" t="s">
        <v>490</v>
      </c>
      <c r="D248" s="89" t="s">
        <v>82</v>
      </c>
      <c r="E248" s="90">
        <v>396.45</v>
      </c>
      <c r="F248" s="91"/>
      <c r="G248" s="91"/>
      <c r="H248" s="91"/>
      <c r="I248" s="91">
        <f>SUM(G248:H248)+'BM 004'!I248</f>
        <v>0</v>
      </c>
      <c r="J248" s="91">
        <f t="shared" si="115"/>
        <v>396.45</v>
      </c>
      <c r="K248" s="80">
        <v>25</v>
      </c>
      <c r="L248" s="81">
        <f t="shared" si="113"/>
        <v>31.690002750000001</v>
      </c>
      <c r="M248" s="82">
        <f t="shared" si="124"/>
        <v>0</v>
      </c>
      <c r="N248" s="82">
        <f t="shared" si="125"/>
        <v>0</v>
      </c>
      <c r="O248" s="82">
        <f>N248+'BM 004'!O248</f>
        <v>0</v>
      </c>
      <c r="P248" s="80">
        <f t="shared" si="126"/>
        <v>9911.25</v>
      </c>
      <c r="Q248" s="82">
        <f t="shared" si="127"/>
        <v>12563.5</v>
      </c>
      <c r="R248" s="82">
        <f t="shared" si="128"/>
        <v>12563.5</v>
      </c>
    </row>
    <row r="249" spans="2:20" s="34" customFormat="1" ht="57.6">
      <c r="B249" s="87" t="s">
        <v>491</v>
      </c>
      <c r="C249" s="88" t="s">
        <v>492</v>
      </c>
      <c r="D249" s="89" t="s">
        <v>82</v>
      </c>
      <c r="E249" s="90">
        <v>326.43</v>
      </c>
      <c r="F249" s="91"/>
      <c r="G249" s="91"/>
      <c r="H249" s="91"/>
      <c r="I249" s="91">
        <f>SUM(G249:H249)+'BM 004'!I249</f>
        <v>0</v>
      </c>
      <c r="J249" s="91">
        <f t="shared" si="115"/>
        <v>326.43</v>
      </c>
      <c r="K249" s="80">
        <v>40</v>
      </c>
      <c r="L249" s="81">
        <f t="shared" si="113"/>
        <v>50.704004400000002</v>
      </c>
      <c r="M249" s="82">
        <f t="shared" si="124"/>
        <v>0</v>
      </c>
      <c r="N249" s="82">
        <f t="shared" si="125"/>
        <v>0</v>
      </c>
      <c r="O249" s="82">
        <f>N249+'BM 004'!O249</f>
        <v>0</v>
      </c>
      <c r="P249" s="80">
        <f t="shared" si="126"/>
        <v>13057.2</v>
      </c>
      <c r="Q249" s="82">
        <f t="shared" si="127"/>
        <v>16551.3</v>
      </c>
      <c r="R249" s="82">
        <f t="shared" si="128"/>
        <v>16551.3</v>
      </c>
    </row>
    <row r="250" spans="2:20" s="34" customFormat="1" ht="46.2">
      <c r="B250" s="87" t="s">
        <v>493</v>
      </c>
      <c r="C250" s="88" t="s">
        <v>494</v>
      </c>
      <c r="D250" s="89" t="s">
        <v>82</v>
      </c>
      <c r="E250" s="90">
        <v>49.87</v>
      </c>
      <c r="F250" s="91"/>
      <c r="G250" s="91"/>
      <c r="H250" s="91"/>
      <c r="I250" s="91">
        <f>SUM(G250:H250)+'BM 004'!I250</f>
        <v>0</v>
      </c>
      <c r="J250" s="91">
        <f t="shared" si="115"/>
        <v>49.87</v>
      </c>
      <c r="K250" s="80">
        <v>125</v>
      </c>
      <c r="L250" s="81">
        <f t="shared" si="113"/>
        <v>158.45001375000001</v>
      </c>
      <c r="M250" s="82">
        <f t="shared" si="124"/>
        <v>0</v>
      </c>
      <c r="N250" s="82">
        <f t="shared" si="125"/>
        <v>0</v>
      </c>
      <c r="O250" s="82">
        <f>N250+'BM 004'!O250</f>
        <v>0</v>
      </c>
      <c r="P250" s="80">
        <f t="shared" si="126"/>
        <v>6233.75</v>
      </c>
      <c r="Q250" s="82">
        <f t="shared" si="127"/>
        <v>7901.9</v>
      </c>
      <c r="R250" s="82">
        <f t="shared" si="128"/>
        <v>7901.9</v>
      </c>
    </row>
    <row r="251" spans="2:20" s="34" customFormat="1" ht="46.2">
      <c r="B251" s="87" t="s">
        <v>495</v>
      </c>
      <c r="C251" s="88" t="s">
        <v>496</v>
      </c>
      <c r="D251" s="89" t="s">
        <v>82</v>
      </c>
      <c r="E251" s="90">
        <v>49.87</v>
      </c>
      <c r="F251" s="91"/>
      <c r="G251" s="91"/>
      <c r="H251" s="91"/>
      <c r="I251" s="91">
        <f>SUM(G251:H251)+'BM 004'!I251</f>
        <v>0</v>
      </c>
      <c r="J251" s="91">
        <f t="shared" si="115"/>
        <v>49.87</v>
      </c>
      <c r="K251" s="80">
        <v>170</v>
      </c>
      <c r="L251" s="81">
        <f t="shared" si="113"/>
        <v>215.49201870000002</v>
      </c>
      <c r="M251" s="82">
        <f t="shared" si="124"/>
        <v>0</v>
      </c>
      <c r="N251" s="82">
        <f t="shared" si="125"/>
        <v>0</v>
      </c>
      <c r="O251" s="82">
        <f>N251+'BM 004'!O251</f>
        <v>0</v>
      </c>
      <c r="P251" s="80">
        <f t="shared" si="126"/>
        <v>8477.9</v>
      </c>
      <c r="Q251" s="82">
        <f t="shared" si="127"/>
        <v>10746.58</v>
      </c>
      <c r="R251" s="82">
        <f t="shared" si="128"/>
        <v>10746.58</v>
      </c>
    </row>
    <row r="252" spans="2:20" s="34" customFormat="1" ht="46.2">
      <c r="B252" s="87" t="s">
        <v>497</v>
      </c>
      <c r="C252" s="88" t="s">
        <v>498</v>
      </c>
      <c r="D252" s="89" t="s">
        <v>82</v>
      </c>
      <c r="E252" s="90">
        <v>149.6</v>
      </c>
      <c r="F252" s="91"/>
      <c r="G252" s="91"/>
      <c r="H252" s="91"/>
      <c r="I252" s="91">
        <f>SUM(G252:H252)+'BM 004'!I252</f>
        <v>0</v>
      </c>
      <c r="J252" s="91">
        <f t="shared" si="115"/>
        <v>149.6</v>
      </c>
      <c r="K252" s="80">
        <v>290</v>
      </c>
      <c r="L252" s="81">
        <f t="shared" si="113"/>
        <v>367.6040319</v>
      </c>
      <c r="M252" s="82">
        <f t="shared" si="124"/>
        <v>0</v>
      </c>
      <c r="N252" s="82">
        <f t="shared" si="125"/>
        <v>0</v>
      </c>
      <c r="O252" s="82">
        <f>N252+'BM 004'!O252</f>
        <v>0</v>
      </c>
      <c r="P252" s="80">
        <f t="shared" si="126"/>
        <v>43384</v>
      </c>
      <c r="Q252" s="82">
        <f t="shared" si="127"/>
        <v>54993.56</v>
      </c>
      <c r="R252" s="82">
        <f t="shared" si="128"/>
        <v>54993.56</v>
      </c>
    </row>
    <row r="253" spans="2:20" s="34" customFormat="1" ht="23.4">
      <c r="B253" s="87" t="s">
        <v>499</v>
      </c>
      <c r="C253" s="88" t="s">
        <v>500</v>
      </c>
      <c r="D253" s="89" t="s">
        <v>82</v>
      </c>
      <c r="E253" s="90">
        <v>4482.08</v>
      </c>
      <c r="F253" s="91"/>
      <c r="G253" s="91"/>
      <c r="H253" s="91"/>
      <c r="I253" s="91">
        <f>SUM(G253:H253)+'BM 004'!I253</f>
        <v>0</v>
      </c>
      <c r="J253" s="91">
        <f t="shared" si="115"/>
        <v>4482.08</v>
      </c>
      <c r="K253" s="80">
        <v>9</v>
      </c>
      <c r="L253" s="81">
        <f t="shared" si="113"/>
        <v>11.408400990000001</v>
      </c>
      <c r="M253" s="82">
        <f t="shared" si="124"/>
        <v>0</v>
      </c>
      <c r="N253" s="82">
        <f t="shared" si="125"/>
        <v>0</v>
      </c>
      <c r="O253" s="82">
        <f>N253+'BM 004'!O253</f>
        <v>0</v>
      </c>
      <c r="P253" s="80">
        <f t="shared" si="126"/>
        <v>40338.720000000001</v>
      </c>
      <c r="Q253" s="82">
        <f t="shared" si="127"/>
        <v>51133.36</v>
      </c>
      <c r="R253" s="82">
        <f t="shared" si="128"/>
        <v>51133.36</v>
      </c>
    </row>
    <row r="254" spans="2:20" s="34" customFormat="1" ht="23.4">
      <c r="B254" s="87" t="s">
        <v>501</v>
      </c>
      <c r="C254" s="88" t="s">
        <v>502</v>
      </c>
      <c r="D254" s="89" t="s">
        <v>82</v>
      </c>
      <c r="E254" s="90">
        <v>3350.7979999999998</v>
      </c>
      <c r="F254" s="91"/>
      <c r="G254" s="91"/>
      <c r="H254" s="91"/>
      <c r="I254" s="91">
        <f>SUM(G254:H254)+'BM 004'!I254</f>
        <v>0</v>
      </c>
      <c r="J254" s="91">
        <f t="shared" si="115"/>
        <v>3350.7979999999998</v>
      </c>
      <c r="K254" s="80">
        <v>11</v>
      </c>
      <c r="L254" s="81">
        <f t="shared" si="113"/>
        <v>13.943601210000001</v>
      </c>
      <c r="M254" s="82">
        <f t="shared" si="124"/>
        <v>0</v>
      </c>
      <c r="N254" s="82">
        <f t="shared" si="125"/>
        <v>0</v>
      </c>
      <c r="O254" s="82">
        <f>N254+'BM 004'!O254</f>
        <v>0</v>
      </c>
      <c r="P254" s="80">
        <f t="shared" si="126"/>
        <v>36858.777999999998</v>
      </c>
      <c r="Q254" s="82">
        <f t="shared" si="127"/>
        <v>46722.19</v>
      </c>
      <c r="R254" s="82">
        <f t="shared" si="128"/>
        <v>46722.19</v>
      </c>
    </row>
    <row r="255" spans="2:20" s="34" customFormat="1" ht="13.2">
      <c r="B255" s="66" t="s">
        <v>503</v>
      </c>
      <c r="C255" s="67" t="s">
        <v>504</v>
      </c>
      <c r="D255" s="68"/>
      <c r="E255" s="69"/>
      <c r="F255" s="70"/>
      <c r="G255" s="70"/>
      <c r="H255" s="70"/>
      <c r="I255" s="70">
        <f>SUM(G255:H255)+'BM 004'!I255</f>
        <v>0</v>
      </c>
      <c r="J255" s="70">
        <f t="shared" si="115"/>
        <v>0</v>
      </c>
      <c r="K255" s="71"/>
      <c r="L255" s="71">
        <f t="shared" si="113"/>
        <v>0</v>
      </c>
      <c r="M255" s="73">
        <f t="shared" ref="M255:R255" si="129">SUM(M256:M290)</f>
        <v>0</v>
      </c>
      <c r="N255" s="73">
        <f t="shared" si="129"/>
        <v>0</v>
      </c>
      <c r="O255" s="73">
        <f t="shared" si="129"/>
        <v>0</v>
      </c>
      <c r="P255" s="73">
        <f t="shared" si="129"/>
        <v>65111</v>
      </c>
      <c r="Q255" s="73">
        <f t="shared" si="129"/>
        <v>82534.59</v>
      </c>
      <c r="R255" s="73">
        <f t="shared" si="129"/>
        <v>82534.59</v>
      </c>
    </row>
    <row r="256" spans="2:20" s="34" customFormat="1" ht="46.2">
      <c r="B256" s="87" t="s">
        <v>505</v>
      </c>
      <c r="C256" s="88" t="s">
        <v>506</v>
      </c>
      <c r="D256" s="89" t="s">
        <v>131</v>
      </c>
      <c r="E256" s="90">
        <v>3</v>
      </c>
      <c r="F256" s="91"/>
      <c r="G256" s="91"/>
      <c r="H256" s="91"/>
      <c r="I256" s="91">
        <f>SUM(G256:H256)+'BM 004'!I256</f>
        <v>0</v>
      </c>
      <c r="J256" s="91">
        <f t="shared" si="115"/>
        <v>3</v>
      </c>
      <c r="K256" s="80">
        <v>1080</v>
      </c>
      <c r="L256" s="81">
        <f t="shared" si="113"/>
        <v>1369.0081188000001</v>
      </c>
      <c r="M256" s="82">
        <f t="shared" ref="M256:M290" si="130">TRUNC(F256*L256,2)</f>
        <v>0</v>
      </c>
      <c r="N256" s="82">
        <f t="shared" ref="N256:N290" si="131">TRUNC(G256*L256,2)</f>
        <v>0</v>
      </c>
      <c r="O256" s="82">
        <f>N256+'BM 004'!O256</f>
        <v>0</v>
      </c>
      <c r="P256" s="80">
        <f t="shared" ref="P256:P290" si="132">E256*K256</f>
        <v>3240</v>
      </c>
      <c r="Q256" s="82">
        <f t="shared" ref="Q256:Q290" si="133">TRUNC(E256*L256,2)</f>
        <v>4107.0200000000004</v>
      </c>
      <c r="R256" s="82">
        <f t="shared" ref="R256:R290" si="134">Q256-O256</f>
        <v>4107.0200000000004</v>
      </c>
    </row>
    <row r="257" spans="2:18" s="34" customFormat="1" ht="46.2">
      <c r="B257" s="87" t="s">
        <v>507</v>
      </c>
      <c r="C257" s="88" t="s">
        <v>508</v>
      </c>
      <c r="D257" s="89" t="s">
        <v>131</v>
      </c>
      <c r="E257" s="90">
        <v>1</v>
      </c>
      <c r="F257" s="91"/>
      <c r="G257" s="91"/>
      <c r="H257" s="91"/>
      <c r="I257" s="91">
        <f>SUM(G257:H257)+'BM 004'!I257</f>
        <v>0</v>
      </c>
      <c r="J257" s="91">
        <f t="shared" si="115"/>
        <v>1</v>
      </c>
      <c r="K257" s="80">
        <v>1200</v>
      </c>
      <c r="L257" s="81">
        <f t="shared" si="113"/>
        <v>1521.120132</v>
      </c>
      <c r="M257" s="82">
        <f t="shared" si="130"/>
        <v>0</v>
      </c>
      <c r="N257" s="82">
        <f t="shared" si="131"/>
        <v>0</v>
      </c>
      <c r="O257" s="82">
        <f>N257+'BM 004'!O257</f>
        <v>0</v>
      </c>
      <c r="P257" s="80">
        <f t="shared" si="132"/>
        <v>1200</v>
      </c>
      <c r="Q257" s="82">
        <f t="shared" si="133"/>
        <v>1521.12</v>
      </c>
      <c r="R257" s="82">
        <f t="shared" si="134"/>
        <v>1521.12</v>
      </c>
    </row>
    <row r="258" spans="2:18" s="34" customFormat="1" ht="46.2">
      <c r="B258" s="87" t="s">
        <v>509</v>
      </c>
      <c r="C258" s="88" t="s">
        <v>510</v>
      </c>
      <c r="D258" s="89" t="s">
        <v>131</v>
      </c>
      <c r="E258" s="90">
        <v>4</v>
      </c>
      <c r="F258" s="91"/>
      <c r="G258" s="91"/>
      <c r="H258" s="91"/>
      <c r="I258" s="91">
        <f>SUM(G258:H258)+'BM 004'!I258</f>
        <v>0</v>
      </c>
      <c r="J258" s="91">
        <f t="shared" si="115"/>
        <v>4</v>
      </c>
      <c r="K258" s="80">
        <v>1890</v>
      </c>
      <c r="L258" s="81">
        <f t="shared" si="113"/>
        <v>2395.7642079000002</v>
      </c>
      <c r="M258" s="82">
        <f t="shared" si="130"/>
        <v>0</v>
      </c>
      <c r="N258" s="82">
        <f t="shared" si="131"/>
        <v>0</v>
      </c>
      <c r="O258" s="82">
        <f>N258+'BM 004'!O258</f>
        <v>0</v>
      </c>
      <c r="P258" s="80">
        <f t="shared" si="132"/>
        <v>7560</v>
      </c>
      <c r="Q258" s="82">
        <f t="shared" si="133"/>
        <v>9583.0499999999993</v>
      </c>
      <c r="R258" s="82">
        <f t="shared" si="134"/>
        <v>9583.0499999999993</v>
      </c>
    </row>
    <row r="259" spans="2:18" s="34" customFormat="1" ht="34.799999999999997">
      <c r="B259" s="87" t="s">
        <v>511</v>
      </c>
      <c r="C259" s="88" t="s">
        <v>512</v>
      </c>
      <c r="D259" s="89" t="s">
        <v>131</v>
      </c>
      <c r="E259" s="90">
        <v>19</v>
      </c>
      <c r="F259" s="91"/>
      <c r="G259" s="91"/>
      <c r="H259" s="91"/>
      <c r="I259" s="91">
        <f>SUM(G259:H259)+'BM 004'!I259</f>
        <v>0</v>
      </c>
      <c r="J259" s="91">
        <f t="shared" si="115"/>
        <v>19</v>
      </c>
      <c r="K259" s="80">
        <v>1000</v>
      </c>
      <c r="L259" s="81">
        <f t="shared" si="113"/>
        <v>1267.6001100000001</v>
      </c>
      <c r="M259" s="82">
        <f t="shared" si="130"/>
        <v>0</v>
      </c>
      <c r="N259" s="82">
        <f t="shared" si="131"/>
        <v>0</v>
      </c>
      <c r="O259" s="82">
        <f>N259+'BM 004'!O259</f>
        <v>0</v>
      </c>
      <c r="P259" s="80">
        <f t="shared" si="132"/>
        <v>19000</v>
      </c>
      <c r="Q259" s="82">
        <f t="shared" si="133"/>
        <v>24084.400000000001</v>
      </c>
      <c r="R259" s="82">
        <f t="shared" si="134"/>
        <v>24084.400000000001</v>
      </c>
    </row>
    <row r="260" spans="2:18" s="34" customFormat="1" ht="34.799999999999997">
      <c r="B260" s="87" t="s">
        <v>513</v>
      </c>
      <c r="C260" s="88" t="s">
        <v>514</v>
      </c>
      <c r="D260" s="89" t="s">
        <v>131</v>
      </c>
      <c r="E260" s="90">
        <v>2</v>
      </c>
      <c r="F260" s="91"/>
      <c r="G260" s="91"/>
      <c r="H260" s="91"/>
      <c r="I260" s="91">
        <f>SUM(G260:H260)+'BM 004'!I260</f>
        <v>0</v>
      </c>
      <c r="J260" s="91">
        <f t="shared" si="115"/>
        <v>2</v>
      </c>
      <c r="K260" s="80">
        <v>1400</v>
      </c>
      <c r="L260" s="81">
        <f t="shared" si="113"/>
        <v>1774.6401540000002</v>
      </c>
      <c r="M260" s="82">
        <f t="shared" si="130"/>
        <v>0</v>
      </c>
      <c r="N260" s="82">
        <f t="shared" si="131"/>
        <v>0</v>
      </c>
      <c r="O260" s="82">
        <f>N260+'BM 004'!O260</f>
        <v>0</v>
      </c>
      <c r="P260" s="80">
        <f t="shared" si="132"/>
        <v>2800</v>
      </c>
      <c r="Q260" s="82">
        <f t="shared" si="133"/>
        <v>3549.28</v>
      </c>
      <c r="R260" s="82">
        <f t="shared" si="134"/>
        <v>3549.28</v>
      </c>
    </row>
    <row r="261" spans="2:18" s="34" customFormat="1" ht="23.4">
      <c r="B261" s="87" t="s">
        <v>515</v>
      </c>
      <c r="C261" s="88" t="s">
        <v>516</v>
      </c>
      <c r="D261" s="89" t="s">
        <v>131</v>
      </c>
      <c r="E261" s="90">
        <v>2</v>
      </c>
      <c r="F261" s="91"/>
      <c r="G261" s="91"/>
      <c r="H261" s="91"/>
      <c r="I261" s="91">
        <f>SUM(G261:H261)+'BM 004'!I261</f>
        <v>0</v>
      </c>
      <c r="J261" s="91">
        <f t="shared" si="115"/>
        <v>2</v>
      </c>
      <c r="K261" s="80">
        <v>800</v>
      </c>
      <c r="L261" s="81">
        <f t="shared" si="113"/>
        <v>1014.080088</v>
      </c>
      <c r="M261" s="82">
        <f t="shared" si="130"/>
        <v>0</v>
      </c>
      <c r="N261" s="82">
        <f t="shared" si="131"/>
        <v>0</v>
      </c>
      <c r="O261" s="82">
        <f>N261+'BM 004'!O261</f>
        <v>0</v>
      </c>
      <c r="P261" s="80">
        <f t="shared" si="132"/>
        <v>1600</v>
      </c>
      <c r="Q261" s="82">
        <f t="shared" si="133"/>
        <v>2028.16</v>
      </c>
      <c r="R261" s="82">
        <f t="shared" si="134"/>
        <v>2028.16</v>
      </c>
    </row>
    <row r="262" spans="2:18" s="34" customFormat="1" ht="23.4">
      <c r="B262" s="87" t="s">
        <v>517</v>
      </c>
      <c r="C262" s="88" t="s">
        <v>518</v>
      </c>
      <c r="D262" s="89" t="s">
        <v>131</v>
      </c>
      <c r="E262" s="90">
        <v>1</v>
      </c>
      <c r="F262" s="91"/>
      <c r="G262" s="91"/>
      <c r="H262" s="91"/>
      <c r="I262" s="91">
        <f>SUM(G262:H262)+'BM 004'!I262</f>
        <v>0</v>
      </c>
      <c r="J262" s="91">
        <f t="shared" si="115"/>
        <v>1</v>
      </c>
      <c r="K262" s="80">
        <v>1200</v>
      </c>
      <c r="L262" s="81">
        <f t="shared" si="113"/>
        <v>1521.120132</v>
      </c>
      <c r="M262" s="82">
        <f t="shared" si="130"/>
        <v>0</v>
      </c>
      <c r="N262" s="82">
        <f t="shared" si="131"/>
        <v>0</v>
      </c>
      <c r="O262" s="82">
        <f>N262+'BM 004'!O262</f>
        <v>0</v>
      </c>
      <c r="P262" s="80">
        <f t="shared" si="132"/>
        <v>1200</v>
      </c>
      <c r="Q262" s="82">
        <f t="shared" si="133"/>
        <v>1521.12</v>
      </c>
      <c r="R262" s="82">
        <f t="shared" si="134"/>
        <v>1521.12</v>
      </c>
    </row>
    <row r="263" spans="2:18" s="34" customFormat="1" ht="23.4">
      <c r="B263" s="87" t="s">
        <v>519</v>
      </c>
      <c r="C263" s="88" t="s">
        <v>520</v>
      </c>
      <c r="D263" s="89" t="s">
        <v>131</v>
      </c>
      <c r="E263" s="90">
        <v>2</v>
      </c>
      <c r="F263" s="91"/>
      <c r="G263" s="91"/>
      <c r="H263" s="91"/>
      <c r="I263" s="91">
        <f>SUM(G263:H263)+'BM 004'!I263</f>
        <v>0</v>
      </c>
      <c r="J263" s="91">
        <f t="shared" si="115"/>
        <v>2</v>
      </c>
      <c r="K263" s="80">
        <v>2100</v>
      </c>
      <c r="L263" s="81">
        <f t="shared" si="113"/>
        <v>2661.960231</v>
      </c>
      <c r="M263" s="82">
        <f t="shared" si="130"/>
        <v>0</v>
      </c>
      <c r="N263" s="82">
        <f t="shared" si="131"/>
        <v>0</v>
      </c>
      <c r="O263" s="82">
        <f>N263+'BM 004'!O263</f>
        <v>0</v>
      </c>
      <c r="P263" s="80">
        <f t="shared" si="132"/>
        <v>4200</v>
      </c>
      <c r="Q263" s="82">
        <f t="shared" si="133"/>
        <v>5323.92</v>
      </c>
      <c r="R263" s="82">
        <f t="shared" si="134"/>
        <v>5323.92</v>
      </c>
    </row>
    <row r="264" spans="2:18" s="34" customFormat="1" ht="34.799999999999997">
      <c r="B264" s="87" t="s">
        <v>521</v>
      </c>
      <c r="C264" s="88" t="s">
        <v>522</v>
      </c>
      <c r="D264" s="89" t="s">
        <v>131</v>
      </c>
      <c r="E264" s="90">
        <v>16</v>
      </c>
      <c r="F264" s="91"/>
      <c r="G264" s="91"/>
      <c r="H264" s="91"/>
      <c r="I264" s="91">
        <f>SUM(G264:H264)+'BM 004'!I264</f>
        <v>0</v>
      </c>
      <c r="J264" s="91">
        <f t="shared" si="115"/>
        <v>16</v>
      </c>
      <c r="K264" s="80">
        <v>180</v>
      </c>
      <c r="L264" s="81">
        <f t="shared" si="113"/>
        <v>228.16801980000002</v>
      </c>
      <c r="M264" s="82">
        <f t="shared" si="130"/>
        <v>0</v>
      </c>
      <c r="N264" s="82">
        <f t="shared" si="131"/>
        <v>0</v>
      </c>
      <c r="O264" s="82">
        <f>N264+'BM 004'!O264</f>
        <v>0</v>
      </c>
      <c r="P264" s="80">
        <f t="shared" si="132"/>
        <v>2880</v>
      </c>
      <c r="Q264" s="82">
        <f t="shared" si="133"/>
        <v>3650.68</v>
      </c>
      <c r="R264" s="82">
        <f t="shared" si="134"/>
        <v>3650.68</v>
      </c>
    </row>
    <row r="265" spans="2:18" s="34" customFormat="1" ht="34.799999999999997">
      <c r="B265" s="87" t="s">
        <v>523</v>
      </c>
      <c r="C265" s="88" t="s">
        <v>524</v>
      </c>
      <c r="D265" s="89" t="s">
        <v>131</v>
      </c>
      <c r="E265" s="90">
        <v>8</v>
      </c>
      <c r="F265" s="91"/>
      <c r="G265" s="91"/>
      <c r="H265" s="91"/>
      <c r="I265" s="91">
        <f>SUM(G265:H265)+'BM 004'!I265</f>
        <v>0</v>
      </c>
      <c r="J265" s="91">
        <f t="shared" si="115"/>
        <v>8</v>
      </c>
      <c r="K265" s="80">
        <v>260</v>
      </c>
      <c r="L265" s="81">
        <f t="shared" si="113"/>
        <v>329.57602860000003</v>
      </c>
      <c r="M265" s="82">
        <f t="shared" si="130"/>
        <v>0</v>
      </c>
      <c r="N265" s="82">
        <f t="shared" si="131"/>
        <v>0</v>
      </c>
      <c r="O265" s="82">
        <f>N265+'BM 004'!O265</f>
        <v>0</v>
      </c>
      <c r="P265" s="80">
        <f t="shared" si="132"/>
        <v>2080</v>
      </c>
      <c r="Q265" s="82">
        <f t="shared" si="133"/>
        <v>2636.6</v>
      </c>
      <c r="R265" s="82">
        <f t="shared" si="134"/>
        <v>2636.6</v>
      </c>
    </row>
    <row r="266" spans="2:18" s="34" customFormat="1" ht="23.4">
      <c r="B266" s="87" t="s">
        <v>525</v>
      </c>
      <c r="C266" s="88" t="s">
        <v>526</v>
      </c>
      <c r="D266" s="89" t="s">
        <v>131</v>
      </c>
      <c r="E266" s="90">
        <v>1</v>
      </c>
      <c r="F266" s="91"/>
      <c r="G266" s="91"/>
      <c r="H266" s="91"/>
      <c r="I266" s="91">
        <f>SUM(G266:H266)+'BM 004'!I266</f>
        <v>0</v>
      </c>
      <c r="J266" s="91">
        <f t="shared" si="115"/>
        <v>1</v>
      </c>
      <c r="K266" s="80">
        <v>180</v>
      </c>
      <c r="L266" s="81">
        <f t="shared" si="113"/>
        <v>228.16801980000002</v>
      </c>
      <c r="M266" s="82">
        <f t="shared" si="130"/>
        <v>0</v>
      </c>
      <c r="N266" s="82">
        <f t="shared" si="131"/>
        <v>0</v>
      </c>
      <c r="O266" s="82">
        <f>N266+'BM 004'!O266</f>
        <v>0</v>
      </c>
      <c r="P266" s="80">
        <f t="shared" si="132"/>
        <v>180</v>
      </c>
      <c r="Q266" s="82">
        <f t="shared" si="133"/>
        <v>228.16</v>
      </c>
      <c r="R266" s="82">
        <f t="shared" si="134"/>
        <v>228.16</v>
      </c>
    </row>
    <row r="267" spans="2:18" s="34" customFormat="1" ht="23.4">
      <c r="B267" s="87" t="s">
        <v>527</v>
      </c>
      <c r="C267" s="88" t="s">
        <v>528</v>
      </c>
      <c r="D267" s="89" t="s">
        <v>131</v>
      </c>
      <c r="E267" s="90">
        <v>4</v>
      </c>
      <c r="F267" s="91"/>
      <c r="G267" s="91"/>
      <c r="H267" s="91"/>
      <c r="I267" s="91">
        <f>SUM(G267:H267)+'BM 004'!I267</f>
        <v>0</v>
      </c>
      <c r="J267" s="91">
        <f t="shared" si="115"/>
        <v>4</v>
      </c>
      <c r="K267" s="80">
        <v>180</v>
      </c>
      <c r="L267" s="81">
        <f t="shared" si="113"/>
        <v>228.16801980000002</v>
      </c>
      <c r="M267" s="82">
        <f t="shared" si="130"/>
        <v>0</v>
      </c>
      <c r="N267" s="82">
        <f t="shared" si="131"/>
        <v>0</v>
      </c>
      <c r="O267" s="82">
        <f>N267+'BM 004'!O267</f>
        <v>0</v>
      </c>
      <c r="P267" s="80">
        <f t="shared" si="132"/>
        <v>720</v>
      </c>
      <c r="Q267" s="82">
        <f t="shared" si="133"/>
        <v>912.67</v>
      </c>
      <c r="R267" s="82">
        <f t="shared" si="134"/>
        <v>912.67</v>
      </c>
    </row>
    <row r="268" spans="2:18" s="34" customFormat="1" ht="23.4">
      <c r="B268" s="87" t="s">
        <v>529</v>
      </c>
      <c r="C268" s="88" t="s">
        <v>530</v>
      </c>
      <c r="D268" s="89" t="s">
        <v>131</v>
      </c>
      <c r="E268" s="90">
        <v>11</v>
      </c>
      <c r="F268" s="91"/>
      <c r="G268" s="91"/>
      <c r="H268" s="91"/>
      <c r="I268" s="91">
        <f>SUM(G268:H268)+'BM 004'!I268</f>
        <v>0</v>
      </c>
      <c r="J268" s="91">
        <f t="shared" si="115"/>
        <v>11</v>
      </c>
      <c r="K268" s="80">
        <v>280</v>
      </c>
      <c r="L268" s="81">
        <f t="shared" si="113"/>
        <v>354.92803079999999</v>
      </c>
      <c r="M268" s="82">
        <f t="shared" si="130"/>
        <v>0</v>
      </c>
      <c r="N268" s="82">
        <f t="shared" si="131"/>
        <v>0</v>
      </c>
      <c r="O268" s="82">
        <f>N268+'BM 004'!O268</f>
        <v>0</v>
      </c>
      <c r="P268" s="80">
        <f t="shared" si="132"/>
        <v>3080</v>
      </c>
      <c r="Q268" s="82">
        <f t="shared" si="133"/>
        <v>3904.2</v>
      </c>
      <c r="R268" s="82">
        <f t="shared" si="134"/>
        <v>3904.2</v>
      </c>
    </row>
    <row r="269" spans="2:18" s="34" customFormat="1" ht="23.4">
      <c r="B269" s="87" t="s">
        <v>531</v>
      </c>
      <c r="C269" s="88" t="s">
        <v>532</v>
      </c>
      <c r="D269" s="89" t="s">
        <v>131</v>
      </c>
      <c r="E269" s="90">
        <v>4</v>
      </c>
      <c r="F269" s="91"/>
      <c r="G269" s="91"/>
      <c r="H269" s="91"/>
      <c r="I269" s="91">
        <f>SUM(G269:H269)+'BM 004'!I269</f>
        <v>0</v>
      </c>
      <c r="J269" s="91">
        <f t="shared" si="115"/>
        <v>4</v>
      </c>
      <c r="K269" s="80">
        <v>380</v>
      </c>
      <c r="L269" s="81">
        <f t="shared" si="113"/>
        <v>481.68804180000001</v>
      </c>
      <c r="M269" s="82">
        <f t="shared" si="130"/>
        <v>0</v>
      </c>
      <c r="N269" s="82">
        <f t="shared" si="131"/>
        <v>0</v>
      </c>
      <c r="O269" s="82">
        <f>N269+'BM 004'!O269</f>
        <v>0</v>
      </c>
      <c r="P269" s="80">
        <f t="shared" si="132"/>
        <v>1520</v>
      </c>
      <c r="Q269" s="82">
        <f t="shared" si="133"/>
        <v>1926.75</v>
      </c>
      <c r="R269" s="82">
        <f t="shared" si="134"/>
        <v>1926.75</v>
      </c>
    </row>
    <row r="270" spans="2:18" s="34" customFormat="1" ht="23.4">
      <c r="B270" s="87" t="s">
        <v>533</v>
      </c>
      <c r="C270" s="88" t="s">
        <v>534</v>
      </c>
      <c r="D270" s="89" t="s">
        <v>131</v>
      </c>
      <c r="E270" s="90">
        <v>1</v>
      </c>
      <c r="F270" s="91"/>
      <c r="G270" s="91"/>
      <c r="H270" s="91"/>
      <c r="I270" s="91">
        <f>SUM(G270:H270)+'BM 004'!I270</f>
        <v>0</v>
      </c>
      <c r="J270" s="91">
        <f t="shared" si="115"/>
        <v>1</v>
      </c>
      <c r="K270" s="80">
        <v>600</v>
      </c>
      <c r="L270" s="81">
        <f t="shared" si="113"/>
        <v>760.56006600000001</v>
      </c>
      <c r="M270" s="82">
        <f t="shared" si="130"/>
        <v>0</v>
      </c>
      <c r="N270" s="82">
        <f t="shared" si="131"/>
        <v>0</v>
      </c>
      <c r="O270" s="82">
        <f>N270+'BM 004'!O270</f>
        <v>0</v>
      </c>
      <c r="P270" s="80">
        <f t="shared" si="132"/>
        <v>600</v>
      </c>
      <c r="Q270" s="82">
        <f t="shared" si="133"/>
        <v>760.56</v>
      </c>
      <c r="R270" s="82">
        <f t="shared" si="134"/>
        <v>760.56</v>
      </c>
    </row>
    <row r="271" spans="2:18" s="34" customFormat="1" ht="13.2">
      <c r="B271" s="87" t="s">
        <v>535</v>
      </c>
      <c r="C271" s="88" t="s">
        <v>536</v>
      </c>
      <c r="D271" s="89" t="s">
        <v>131</v>
      </c>
      <c r="E271" s="90">
        <v>1</v>
      </c>
      <c r="F271" s="91"/>
      <c r="G271" s="91"/>
      <c r="H271" s="91"/>
      <c r="I271" s="91">
        <f>SUM(G271:H271)+'BM 004'!I271</f>
        <v>0</v>
      </c>
      <c r="J271" s="91">
        <f t="shared" si="115"/>
        <v>1</v>
      </c>
      <c r="K271" s="80">
        <v>350</v>
      </c>
      <c r="L271" s="81">
        <f t="shared" si="113"/>
        <v>443.66003850000004</v>
      </c>
      <c r="M271" s="82">
        <f t="shared" si="130"/>
        <v>0</v>
      </c>
      <c r="N271" s="82">
        <f t="shared" si="131"/>
        <v>0</v>
      </c>
      <c r="O271" s="82">
        <f>N271+'BM 004'!O271</f>
        <v>0</v>
      </c>
      <c r="P271" s="80">
        <f t="shared" si="132"/>
        <v>350</v>
      </c>
      <c r="Q271" s="82">
        <f t="shared" si="133"/>
        <v>443.66</v>
      </c>
      <c r="R271" s="82">
        <f t="shared" si="134"/>
        <v>443.66</v>
      </c>
    </row>
    <row r="272" spans="2:18" s="34" customFormat="1" ht="13.2">
      <c r="B272" s="87" t="s">
        <v>537</v>
      </c>
      <c r="C272" s="88" t="s">
        <v>538</v>
      </c>
      <c r="D272" s="89" t="s">
        <v>131</v>
      </c>
      <c r="E272" s="90">
        <v>6</v>
      </c>
      <c r="F272" s="91"/>
      <c r="G272" s="91"/>
      <c r="H272" s="91"/>
      <c r="I272" s="91">
        <f>SUM(G272:H272)+'BM 004'!I272</f>
        <v>0</v>
      </c>
      <c r="J272" s="91">
        <f t="shared" si="115"/>
        <v>6</v>
      </c>
      <c r="K272" s="80">
        <v>450</v>
      </c>
      <c r="L272" s="81">
        <f t="shared" si="113"/>
        <v>570.4200495</v>
      </c>
      <c r="M272" s="82">
        <f t="shared" si="130"/>
        <v>0</v>
      </c>
      <c r="N272" s="82">
        <f t="shared" si="131"/>
        <v>0</v>
      </c>
      <c r="O272" s="82">
        <f>N272+'BM 004'!O272</f>
        <v>0</v>
      </c>
      <c r="P272" s="80">
        <f t="shared" si="132"/>
        <v>2700</v>
      </c>
      <c r="Q272" s="82">
        <f t="shared" si="133"/>
        <v>3422.52</v>
      </c>
      <c r="R272" s="82">
        <f t="shared" si="134"/>
        <v>3422.52</v>
      </c>
    </row>
    <row r="273" spans="2:18" s="34" customFormat="1" ht="23.4">
      <c r="B273" s="87" t="s">
        <v>539</v>
      </c>
      <c r="C273" s="88" t="s">
        <v>540</v>
      </c>
      <c r="D273" s="89" t="s">
        <v>131</v>
      </c>
      <c r="E273" s="90">
        <v>1</v>
      </c>
      <c r="F273" s="91"/>
      <c r="G273" s="91"/>
      <c r="H273" s="91"/>
      <c r="I273" s="91">
        <f>SUM(G273:H273)+'BM 004'!I273</f>
        <v>0</v>
      </c>
      <c r="J273" s="91">
        <f t="shared" si="115"/>
        <v>1</v>
      </c>
      <c r="K273" s="80">
        <v>750</v>
      </c>
      <c r="L273" s="81">
        <f t="shared" si="113"/>
        <v>950.70008250000001</v>
      </c>
      <c r="M273" s="82">
        <f t="shared" si="130"/>
        <v>0</v>
      </c>
      <c r="N273" s="82">
        <f t="shared" si="131"/>
        <v>0</v>
      </c>
      <c r="O273" s="82">
        <f>N273+'BM 004'!O273</f>
        <v>0</v>
      </c>
      <c r="P273" s="80">
        <f t="shared" si="132"/>
        <v>750</v>
      </c>
      <c r="Q273" s="82">
        <f t="shared" si="133"/>
        <v>950.7</v>
      </c>
      <c r="R273" s="82">
        <f t="shared" si="134"/>
        <v>950.7</v>
      </c>
    </row>
    <row r="274" spans="2:18" s="34" customFormat="1" ht="34.799999999999997">
      <c r="B274" s="87" t="s">
        <v>541</v>
      </c>
      <c r="C274" s="88" t="s">
        <v>542</v>
      </c>
      <c r="D274" s="89" t="s">
        <v>131</v>
      </c>
      <c r="E274" s="90">
        <v>7</v>
      </c>
      <c r="F274" s="91"/>
      <c r="G274" s="91"/>
      <c r="H274" s="91"/>
      <c r="I274" s="91">
        <f>SUM(G274:H274)+'BM 004'!I274</f>
        <v>0</v>
      </c>
      <c r="J274" s="91">
        <f t="shared" si="115"/>
        <v>7</v>
      </c>
      <c r="K274" s="80">
        <v>20</v>
      </c>
      <c r="L274" s="81">
        <f t="shared" si="113"/>
        <v>25.352002200000001</v>
      </c>
      <c r="M274" s="82">
        <f t="shared" si="130"/>
        <v>0</v>
      </c>
      <c r="N274" s="82">
        <f t="shared" si="131"/>
        <v>0</v>
      </c>
      <c r="O274" s="82">
        <f>N274+'BM 004'!O274</f>
        <v>0</v>
      </c>
      <c r="P274" s="80">
        <f t="shared" si="132"/>
        <v>140</v>
      </c>
      <c r="Q274" s="82">
        <f t="shared" si="133"/>
        <v>177.46</v>
      </c>
      <c r="R274" s="82">
        <f t="shared" si="134"/>
        <v>177.46</v>
      </c>
    </row>
    <row r="275" spans="2:18" s="34" customFormat="1" ht="34.799999999999997">
      <c r="B275" s="87" t="s">
        <v>543</v>
      </c>
      <c r="C275" s="88" t="s">
        <v>544</v>
      </c>
      <c r="D275" s="89" t="s">
        <v>131</v>
      </c>
      <c r="E275" s="90">
        <v>17</v>
      </c>
      <c r="F275" s="91"/>
      <c r="G275" s="91"/>
      <c r="H275" s="91"/>
      <c r="I275" s="91">
        <f>SUM(G275:H275)+'BM 004'!I275</f>
        <v>0</v>
      </c>
      <c r="J275" s="91">
        <f t="shared" si="115"/>
        <v>17</v>
      </c>
      <c r="K275" s="80">
        <v>20</v>
      </c>
      <c r="L275" s="81">
        <f t="shared" si="113"/>
        <v>25.352002200000001</v>
      </c>
      <c r="M275" s="82">
        <f t="shared" si="130"/>
        <v>0</v>
      </c>
      <c r="N275" s="82">
        <f t="shared" si="131"/>
        <v>0</v>
      </c>
      <c r="O275" s="82">
        <f>N275+'BM 004'!O275</f>
        <v>0</v>
      </c>
      <c r="P275" s="80">
        <f t="shared" si="132"/>
        <v>340</v>
      </c>
      <c r="Q275" s="82">
        <f t="shared" si="133"/>
        <v>430.98</v>
      </c>
      <c r="R275" s="82">
        <f t="shared" si="134"/>
        <v>430.98</v>
      </c>
    </row>
    <row r="276" spans="2:18" s="34" customFormat="1" ht="34.799999999999997">
      <c r="B276" s="87" t="s">
        <v>545</v>
      </c>
      <c r="C276" s="88" t="s">
        <v>546</v>
      </c>
      <c r="D276" s="89" t="s">
        <v>131</v>
      </c>
      <c r="E276" s="90">
        <v>71</v>
      </c>
      <c r="F276" s="91"/>
      <c r="G276" s="91"/>
      <c r="H276" s="91"/>
      <c r="I276" s="91">
        <f>SUM(G276:H276)+'BM 004'!I276</f>
        <v>0</v>
      </c>
      <c r="J276" s="91">
        <f t="shared" si="115"/>
        <v>71</v>
      </c>
      <c r="K276" s="80">
        <v>20</v>
      </c>
      <c r="L276" s="81">
        <f t="shared" si="113"/>
        <v>25.352002200000001</v>
      </c>
      <c r="M276" s="82">
        <f t="shared" si="130"/>
        <v>0</v>
      </c>
      <c r="N276" s="82">
        <f t="shared" si="131"/>
        <v>0</v>
      </c>
      <c r="O276" s="82">
        <f>N276+'BM 004'!O276</f>
        <v>0</v>
      </c>
      <c r="P276" s="80">
        <f t="shared" si="132"/>
        <v>1420</v>
      </c>
      <c r="Q276" s="82">
        <f t="shared" si="133"/>
        <v>1799.99</v>
      </c>
      <c r="R276" s="82">
        <f t="shared" si="134"/>
        <v>1799.99</v>
      </c>
    </row>
    <row r="277" spans="2:18" s="34" customFormat="1" ht="34.799999999999997">
      <c r="B277" s="87" t="s">
        <v>547</v>
      </c>
      <c r="C277" s="88" t="s">
        <v>548</v>
      </c>
      <c r="D277" s="89" t="s">
        <v>131</v>
      </c>
      <c r="E277" s="90">
        <v>179</v>
      </c>
      <c r="F277" s="91"/>
      <c r="G277" s="91"/>
      <c r="H277" s="91"/>
      <c r="I277" s="91">
        <f>SUM(G277:H277)+'BM 004'!I277</f>
        <v>0</v>
      </c>
      <c r="J277" s="91">
        <f t="shared" si="115"/>
        <v>179</v>
      </c>
      <c r="K277" s="80">
        <v>20</v>
      </c>
      <c r="L277" s="81">
        <f t="shared" si="113"/>
        <v>25.352002200000001</v>
      </c>
      <c r="M277" s="82">
        <f t="shared" si="130"/>
        <v>0</v>
      </c>
      <c r="N277" s="82">
        <f t="shared" si="131"/>
        <v>0</v>
      </c>
      <c r="O277" s="82">
        <f>N277+'BM 004'!O277</f>
        <v>0</v>
      </c>
      <c r="P277" s="80">
        <f t="shared" si="132"/>
        <v>3580</v>
      </c>
      <c r="Q277" s="82">
        <f t="shared" si="133"/>
        <v>4538</v>
      </c>
      <c r="R277" s="82">
        <f t="shared" si="134"/>
        <v>4538</v>
      </c>
    </row>
    <row r="278" spans="2:18" s="34" customFormat="1" ht="34.799999999999997">
      <c r="B278" s="87" t="s">
        <v>549</v>
      </c>
      <c r="C278" s="88" t="s">
        <v>550</v>
      </c>
      <c r="D278" s="89" t="s">
        <v>131</v>
      </c>
      <c r="E278" s="90">
        <v>1</v>
      </c>
      <c r="F278" s="91"/>
      <c r="G278" s="91"/>
      <c r="H278" s="91"/>
      <c r="I278" s="91">
        <f>SUM(G278:H278)+'BM 004'!I278</f>
        <v>0</v>
      </c>
      <c r="J278" s="91">
        <f t="shared" si="115"/>
        <v>1</v>
      </c>
      <c r="K278" s="80">
        <v>25</v>
      </c>
      <c r="L278" s="81">
        <f t="shared" si="113"/>
        <v>31.690002750000001</v>
      </c>
      <c r="M278" s="82">
        <f t="shared" si="130"/>
        <v>0</v>
      </c>
      <c r="N278" s="82">
        <f t="shared" si="131"/>
        <v>0</v>
      </c>
      <c r="O278" s="82">
        <f>N278+'BM 004'!O278</f>
        <v>0</v>
      </c>
      <c r="P278" s="80">
        <f t="shared" si="132"/>
        <v>25</v>
      </c>
      <c r="Q278" s="82">
        <f t="shared" si="133"/>
        <v>31.69</v>
      </c>
      <c r="R278" s="82">
        <f t="shared" si="134"/>
        <v>31.69</v>
      </c>
    </row>
    <row r="279" spans="2:18" s="34" customFormat="1" ht="34.799999999999997">
      <c r="B279" s="87" t="s">
        <v>551</v>
      </c>
      <c r="C279" s="88" t="s">
        <v>552</v>
      </c>
      <c r="D279" s="89" t="s">
        <v>131</v>
      </c>
      <c r="E279" s="90">
        <v>8</v>
      </c>
      <c r="F279" s="91"/>
      <c r="G279" s="91"/>
      <c r="H279" s="91"/>
      <c r="I279" s="91">
        <f>SUM(G279:H279)+'BM 004'!I279</f>
        <v>0</v>
      </c>
      <c r="J279" s="91">
        <f t="shared" si="115"/>
        <v>8</v>
      </c>
      <c r="K279" s="80">
        <v>25</v>
      </c>
      <c r="L279" s="81">
        <f t="shared" si="113"/>
        <v>31.690002750000001</v>
      </c>
      <c r="M279" s="82">
        <f t="shared" si="130"/>
        <v>0</v>
      </c>
      <c r="N279" s="82">
        <f t="shared" si="131"/>
        <v>0</v>
      </c>
      <c r="O279" s="82">
        <f>N279+'BM 004'!O279</f>
        <v>0</v>
      </c>
      <c r="P279" s="80">
        <f t="shared" si="132"/>
        <v>200</v>
      </c>
      <c r="Q279" s="82">
        <f t="shared" si="133"/>
        <v>253.52</v>
      </c>
      <c r="R279" s="82">
        <f t="shared" si="134"/>
        <v>253.52</v>
      </c>
    </row>
    <row r="280" spans="2:18" s="34" customFormat="1" ht="34.799999999999997">
      <c r="B280" s="87" t="s">
        <v>553</v>
      </c>
      <c r="C280" s="88" t="s">
        <v>554</v>
      </c>
      <c r="D280" s="89" t="s">
        <v>131</v>
      </c>
      <c r="E280" s="90">
        <v>14</v>
      </c>
      <c r="F280" s="91"/>
      <c r="G280" s="91"/>
      <c r="H280" s="91"/>
      <c r="I280" s="91">
        <f>SUM(G280:H280)+'BM 004'!I280</f>
        <v>0</v>
      </c>
      <c r="J280" s="91">
        <f t="shared" si="115"/>
        <v>14</v>
      </c>
      <c r="K280" s="80">
        <v>25</v>
      </c>
      <c r="L280" s="81">
        <f t="shared" si="113"/>
        <v>31.690002750000001</v>
      </c>
      <c r="M280" s="82">
        <f t="shared" si="130"/>
        <v>0</v>
      </c>
      <c r="N280" s="82">
        <f t="shared" si="131"/>
        <v>0</v>
      </c>
      <c r="O280" s="82">
        <f>N280+'BM 004'!O280</f>
        <v>0</v>
      </c>
      <c r="P280" s="80">
        <f t="shared" si="132"/>
        <v>350</v>
      </c>
      <c r="Q280" s="82">
        <f t="shared" si="133"/>
        <v>443.66</v>
      </c>
      <c r="R280" s="82">
        <f t="shared" si="134"/>
        <v>443.66</v>
      </c>
    </row>
    <row r="281" spans="2:18" s="34" customFormat="1" ht="34.799999999999997">
      <c r="B281" s="87" t="s">
        <v>555</v>
      </c>
      <c r="C281" s="88" t="s">
        <v>556</v>
      </c>
      <c r="D281" s="89" t="s">
        <v>131</v>
      </c>
      <c r="E281" s="90">
        <v>5</v>
      </c>
      <c r="F281" s="91"/>
      <c r="G281" s="91"/>
      <c r="H281" s="91"/>
      <c r="I281" s="91">
        <f>SUM(G281:H281)+'BM 004'!I281</f>
        <v>0</v>
      </c>
      <c r="J281" s="91">
        <f t="shared" si="115"/>
        <v>5</v>
      </c>
      <c r="K281" s="80">
        <v>30</v>
      </c>
      <c r="L281" s="81">
        <f t="shared" si="113"/>
        <v>38.028003300000002</v>
      </c>
      <c r="M281" s="82">
        <f t="shared" si="130"/>
        <v>0</v>
      </c>
      <c r="N281" s="82">
        <f t="shared" si="131"/>
        <v>0</v>
      </c>
      <c r="O281" s="82">
        <f>N281+'BM 004'!O281</f>
        <v>0</v>
      </c>
      <c r="P281" s="80">
        <f t="shared" si="132"/>
        <v>150</v>
      </c>
      <c r="Q281" s="82">
        <f t="shared" si="133"/>
        <v>190.14</v>
      </c>
      <c r="R281" s="82">
        <f t="shared" si="134"/>
        <v>190.14</v>
      </c>
    </row>
    <row r="282" spans="2:18" s="34" customFormat="1" ht="34.799999999999997">
      <c r="B282" s="87" t="s">
        <v>557</v>
      </c>
      <c r="C282" s="88" t="s">
        <v>558</v>
      </c>
      <c r="D282" s="89" t="s">
        <v>131</v>
      </c>
      <c r="E282" s="90">
        <v>4</v>
      </c>
      <c r="F282" s="91"/>
      <c r="G282" s="91"/>
      <c r="H282" s="91"/>
      <c r="I282" s="91">
        <f>SUM(G282:H282)+'BM 004'!I282</f>
        <v>0</v>
      </c>
      <c r="J282" s="91">
        <f t="shared" si="115"/>
        <v>4</v>
      </c>
      <c r="K282" s="80">
        <v>40</v>
      </c>
      <c r="L282" s="81">
        <f t="shared" si="113"/>
        <v>50.704004400000002</v>
      </c>
      <c r="M282" s="82">
        <f t="shared" si="130"/>
        <v>0</v>
      </c>
      <c r="N282" s="82">
        <f t="shared" si="131"/>
        <v>0</v>
      </c>
      <c r="O282" s="82">
        <f>N282+'BM 004'!O282</f>
        <v>0</v>
      </c>
      <c r="P282" s="80">
        <f t="shared" si="132"/>
        <v>160</v>
      </c>
      <c r="Q282" s="82">
        <f t="shared" si="133"/>
        <v>202.81</v>
      </c>
      <c r="R282" s="82">
        <f t="shared" si="134"/>
        <v>202.81</v>
      </c>
    </row>
    <row r="283" spans="2:18" s="34" customFormat="1" ht="34.799999999999997">
      <c r="B283" s="87" t="s">
        <v>559</v>
      </c>
      <c r="C283" s="88" t="s">
        <v>560</v>
      </c>
      <c r="D283" s="89" t="s">
        <v>131</v>
      </c>
      <c r="E283" s="90">
        <v>4</v>
      </c>
      <c r="F283" s="91"/>
      <c r="G283" s="91"/>
      <c r="H283" s="91"/>
      <c r="I283" s="91">
        <f>SUM(G283:H283)+'BM 004'!I283</f>
        <v>0</v>
      </c>
      <c r="J283" s="91">
        <f t="shared" si="115"/>
        <v>4</v>
      </c>
      <c r="K283" s="80">
        <v>50</v>
      </c>
      <c r="L283" s="81">
        <f t="shared" si="113"/>
        <v>63.380005500000003</v>
      </c>
      <c r="M283" s="82">
        <f t="shared" si="130"/>
        <v>0</v>
      </c>
      <c r="N283" s="82">
        <f t="shared" si="131"/>
        <v>0</v>
      </c>
      <c r="O283" s="82">
        <f>N283+'BM 004'!O283</f>
        <v>0</v>
      </c>
      <c r="P283" s="80">
        <f t="shared" si="132"/>
        <v>200</v>
      </c>
      <c r="Q283" s="82">
        <f t="shared" si="133"/>
        <v>253.52</v>
      </c>
      <c r="R283" s="82">
        <f t="shared" si="134"/>
        <v>253.52</v>
      </c>
    </row>
    <row r="284" spans="2:18" s="34" customFormat="1" ht="34.799999999999997">
      <c r="B284" s="87" t="s">
        <v>561</v>
      </c>
      <c r="C284" s="88" t="s">
        <v>562</v>
      </c>
      <c r="D284" s="89" t="s">
        <v>131</v>
      </c>
      <c r="E284" s="90">
        <v>1</v>
      </c>
      <c r="F284" s="91"/>
      <c r="G284" s="91"/>
      <c r="H284" s="91"/>
      <c r="I284" s="91">
        <f>SUM(G284:H284)+'BM 004'!I284</f>
        <v>0</v>
      </c>
      <c r="J284" s="91">
        <f t="shared" si="115"/>
        <v>1</v>
      </c>
      <c r="K284" s="80">
        <v>80</v>
      </c>
      <c r="L284" s="81">
        <f t="shared" si="113"/>
        <v>101.4080088</v>
      </c>
      <c r="M284" s="82">
        <f t="shared" si="130"/>
        <v>0</v>
      </c>
      <c r="N284" s="82">
        <f t="shared" si="131"/>
        <v>0</v>
      </c>
      <c r="O284" s="82">
        <f>N284+'BM 004'!O284</f>
        <v>0</v>
      </c>
      <c r="P284" s="80">
        <f t="shared" si="132"/>
        <v>80</v>
      </c>
      <c r="Q284" s="82">
        <f t="shared" si="133"/>
        <v>101.4</v>
      </c>
      <c r="R284" s="82">
        <f t="shared" si="134"/>
        <v>101.4</v>
      </c>
    </row>
    <row r="285" spans="2:18" s="34" customFormat="1" ht="34.799999999999997">
      <c r="B285" s="87" t="s">
        <v>563</v>
      </c>
      <c r="C285" s="88" t="s">
        <v>564</v>
      </c>
      <c r="D285" s="89" t="s">
        <v>131</v>
      </c>
      <c r="E285" s="90">
        <v>9</v>
      </c>
      <c r="F285" s="91"/>
      <c r="G285" s="91"/>
      <c r="H285" s="91"/>
      <c r="I285" s="91">
        <f>SUM(G285:H285)+'BM 004'!I285</f>
        <v>0</v>
      </c>
      <c r="J285" s="91">
        <f t="shared" si="115"/>
        <v>9</v>
      </c>
      <c r="K285" s="80">
        <v>89</v>
      </c>
      <c r="L285" s="81">
        <f t="shared" ref="L285:L348" si="135">K285*(1+$T$26)</f>
        <v>112.81640979000001</v>
      </c>
      <c r="M285" s="82">
        <f t="shared" si="130"/>
        <v>0</v>
      </c>
      <c r="N285" s="82">
        <f t="shared" si="131"/>
        <v>0</v>
      </c>
      <c r="O285" s="82">
        <f>N285+'BM 004'!O285</f>
        <v>0</v>
      </c>
      <c r="P285" s="80">
        <f t="shared" si="132"/>
        <v>801</v>
      </c>
      <c r="Q285" s="82">
        <f t="shared" si="133"/>
        <v>1015.34</v>
      </c>
      <c r="R285" s="82">
        <f t="shared" si="134"/>
        <v>1015.34</v>
      </c>
    </row>
    <row r="286" spans="2:18" s="34" customFormat="1" ht="34.799999999999997">
      <c r="B286" s="87" t="s">
        <v>565</v>
      </c>
      <c r="C286" s="88" t="s">
        <v>566</v>
      </c>
      <c r="D286" s="89" t="s">
        <v>131</v>
      </c>
      <c r="E286" s="90">
        <v>4</v>
      </c>
      <c r="F286" s="91"/>
      <c r="G286" s="91"/>
      <c r="H286" s="91"/>
      <c r="I286" s="91">
        <f>SUM(G286:H286)+'BM 004'!I286</f>
        <v>0</v>
      </c>
      <c r="J286" s="91">
        <f t="shared" si="115"/>
        <v>4</v>
      </c>
      <c r="K286" s="80">
        <v>89</v>
      </c>
      <c r="L286" s="81">
        <f t="shared" si="135"/>
        <v>112.81640979000001</v>
      </c>
      <c r="M286" s="82">
        <f t="shared" si="130"/>
        <v>0</v>
      </c>
      <c r="N286" s="82">
        <f t="shared" si="131"/>
        <v>0</v>
      </c>
      <c r="O286" s="82">
        <f>N286+'BM 004'!O286</f>
        <v>0</v>
      </c>
      <c r="P286" s="80">
        <f t="shared" si="132"/>
        <v>356</v>
      </c>
      <c r="Q286" s="82">
        <f t="shared" si="133"/>
        <v>451.26</v>
      </c>
      <c r="R286" s="82">
        <f t="shared" si="134"/>
        <v>451.26</v>
      </c>
    </row>
    <row r="287" spans="2:18" s="34" customFormat="1" ht="34.799999999999997">
      <c r="B287" s="87" t="s">
        <v>567</v>
      </c>
      <c r="C287" s="88" t="s">
        <v>568</v>
      </c>
      <c r="D287" s="89" t="s">
        <v>131</v>
      </c>
      <c r="E287" s="90">
        <v>12</v>
      </c>
      <c r="F287" s="91"/>
      <c r="G287" s="91"/>
      <c r="H287" s="91"/>
      <c r="I287" s="91">
        <f>SUM(G287:H287)+'BM 004'!I287</f>
        <v>0</v>
      </c>
      <c r="J287" s="91">
        <f t="shared" ref="J287:J350" si="136">E287-I287</f>
        <v>12</v>
      </c>
      <c r="K287" s="80">
        <v>89</v>
      </c>
      <c r="L287" s="81">
        <f t="shared" si="135"/>
        <v>112.81640979000001</v>
      </c>
      <c r="M287" s="82">
        <f t="shared" si="130"/>
        <v>0</v>
      </c>
      <c r="N287" s="82">
        <f t="shared" si="131"/>
        <v>0</v>
      </c>
      <c r="O287" s="82">
        <f>N287+'BM 004'!O287</f>
        <v>0</v>
      </c>
      <c r="P287" s="80">
        <f t="shared" si="132"/>
        <v>1068</v>
      </c>
      <c r="Q287" s="82">
        <f t="shared" si="133"/>
        <v>1353.79</v>
      </c>
      <c r="R287" s="82">
        <f t="shared" si="134"/>
        <v>1353.79</v>
      </c>
    </row>
    <row r="288" spans="2:18" s="34" customFormat="1" ht="34.799999999999997">
      <c r="B288" s="87" t="s">
        <v>569</v>
      </c>
      <c r="C288" s="88" t="s">
        <v>570</v>
      </c>
      <c r="D288" s="89" t="s">
        <v>131</v>
      </c>
      <c r="E288" s="90">
        <v>4</v>
      </c>
      <c r="F288" s="91"/>
      <c r="G288" s="91"/>
      <c r="H288" s="91"/>
      <c r="I288" s="91">
        <f>SUM(G288:H288)+'BM 004'!I288</f>
        <v>0</v>
      </c>
      <c r="J288" s="91">
        <f t="shared" si="136"/>
        <v>4</v>
      </c>
      <c r="K288" s="80">
        <v>89</v>
      </c>
      <c r="L288" s="81">
        <f t="shared" si="135"/>
        <v>112.81640979000001</v>
      </c>
      <c r="M288" s="82">
        <f t="shared" si="130"/>
        <v>0</v>
      </c>
      <c r="N288" s="82">
        <f t="shared" si="131"/>
        <v>0</v>
      </c>
      <c r="O288" s="82">
        <f>N288+'BM 004'!O288</f>
        <v>0</v>
      </c>
      <c r="P288" s="80">
        <f t="shared" si="132"/>
        <v>356</v>
      </c>
      <c r="Q288" s="82">
        <f t="shared" si="133"/>
        <v>451.26</v>
      </c>
      <c r="R288" s="82">
        <f t="shared" si="134"/>
        <v>451.26</v>
      </c>
    </row>
    <row r="289" spans="2:18" s="34" customFormat="1" ht="34.799999999999997">
      <c r="B289" s="87" t="s">
        <v>571</v>
      </c>
      <c r="C289" s="88" t="s">
        <v>572</v>
      </c>
      <c r="D289" s="89" t="s">
        <v>131</v>
      </c>
      <c r="E289" s="90">
        <v>1</v>
      </c>
      <c r="F289" s="91"/>
      <c r="G289" s="91"/>
      <c r="H289" s="91"/>
      <c r="I289" s="91">
        <f>SUM(G289:H289)+'BM 004'!I289</f>
        <v>0</v>
      </c>
      <c r="J289" s="91">
        <f t="shared" si="136"/>
        <v>1</v>
      </c>
      <c r="K289" s="80">
        <v>110</v>
      </c>
      <c r="L289" s="81">
        <f t="shared" si="135"/>
        <v>139.4360121</v>
      </c>
      <c r="M289" s="82">
        <f t="shared" si="130"/>
        <v>0</v>
      </c>
      <c r="N289" s="82">
        <f t="shared" si="131"/>
        <v>0</v>
      </c>
      <c r="O289" s="82">
        <f>N289+'BM 004'!O289</f>
        <v>0</v>
      </c>
      <c r="P289" s="80">
        <f t="shared" si="132"/>
        <v>110</v>
      </c>
      <c r="Q289" s="82">
        <f t="shared" si="133"/>
        <v>139.43</v>
      </c>
      <c r="R289" s="82">
        <f t="shared" si="134"/>
        <v>139.43</v>
      </c>
    </row>
    <row r="290" spans="2:18" s="34" customFormat="1" ht="34.799999999999997">
      <c r="B290" s="87" t="s">
        <v>573</v>
      </c>
      <c r="C290" s="88" t="s">
        <v>574</v>
      </c>
      <c r="D290" s="89" t="s">
        <v>131</v>
      </c>
      <c r="E290" s="90">
        <v>1</v>
      </c>
      <c r="F290" s="91"/>
      <c r="G290" s="91"/>
      <c r="H290" s="91"/>
      <c r="I290" s="91">
        <f>SUM(G290:H290)+'BM 004'!I290</f>
        <v>0</v>
      </c>
      <c r="J290" s="91">
        <f t="shared" si="136"/>
        <v>1</v>
      </c>
      <c r="K290" s="80">
        <v>115</v>
      </c>
      <c r="L290" s="81">
        <f t="shared" si="135"/>
        <v>145.77401265</v>
      </c>
      <c r="M290" s="82">
        <f t="shared" si="130"/>
        <v>0</v>
      </c>
      <c r="N290" s="82">
        <f t="shared" si="131"/>
        <v>0</v>
      </c>
      <c r="O290" s="82">
        <f>N290+'BM 004'!O290</f>
        <v>0</v>
      </c>
      <c r="P290" s="80">
        <f t="shared" si="132"/>
        <v>115</v>
      </c>
      <c r="Q290" s="82">
        <f t="shared" si="133"/>
        <v>145.77000000000001</v>
      </c>
      <c r="R290" s="82">
        <f t="shared" si="134"/>
        <v>145.77000000000001</v>
      </c>
    </row>
    <row r="291" spans="2:18" s="34" customFormat="1" ht="13.2">
      <c r="B291" s="66" t="s">
        <v>575</v>
      </c>
      <c r="C291" s="67" t="s">
        <v>576</v>
      </c>
      <c r="D291" s="68"/>
      <c r="E291" s="69"/>
      <c r="F291" s="70"/>
      <c r="G291" s="70"/>
      <c r="H291" s="70"/>
      <c r="I291" s="70">
        <f>SUM(G291:H291)+'BM 004'!I291</f>
        <v>0</v>
      </c>
      <c r="J291" s="70">
        <f t="shared" si="136"/>
        <v>0</v>
      </c>
      <c r="K291" s="71"/>
      <c r="L291" s="71">
        <f t="shared" si="135"/>
        <v>0</v>
      </c>
      <c r="M291" s="73">
        <f t="shared" ref="M291:R291" si="137">SUM(M292:M295)</f>
        <v>0</v>
      </c>
      <c r="N291" s="73">
        <f t="shared" si="137"/>
        <v>0</v>
      </c>
      <c r="O291" s="73">
        <f t="shared" si="137"/>
        <v>0</v>
      </c>
      <c r="P291" s="73">
        <f t="shared" si="137"/>
        <v>100820.55</v>
      </c>
      <c r="Q291" s="73">
        <f t="shared" si="137"/>
        <v>127800.12</v>
      </c>
      <c r="R291" s="73">
        <f t="shared" si="137"/>
        <v>127800.12</v>
      </c>
    </row>
    <row r="292" spans="2:18" s="34" customFormat="1" ht="34.799999999999997">
      <c r="B292" s="87" t="s">
        <v>577</v>
      </c>
      <c r="C292" s="88" t="s">
        <v>578</v>
      </c>
      <c r="D292" s="89" t="s">
        <v>131</v>
      </c>
      <c r="E292" s="90">
        <v>55</v>
      </c>
      <c r="F292" s="91"/>
      <c r="G292" s="91"/>
      <c r="H292" s="91"/>
      <c r="I292" s="91">
        <f>SUM(G292:H292)+'BM 004'!I292</f>
        <v>0</v>
      </c>
      <c r="J292" s="91">
        <f t="shared" si="136"/>
        <v>55</v>
      </c>
      <c r="K292" s="80">
        <v>164.81</v>
      </c>
      <c r="L292" s="81">
        <f t="shared" si="135"/>
        <v>208.91317412910001</v>
      </c>
      <c r="M292" s="82">
        <f>TRUNC(F292*L292,2)</f>
        <v>0</v>
      </c>
      <c r="N292" s="82">
        <f>TRUNC(G292*L292,2)</f>
        <v>0</v>
      </c>
      <c r="O292" s="82">
        <f>N292+'BM 004'!O292</f>
        <v>0</v>
      </c>
      <c r="P292" s="80">
        <f>E292*K292</f>
        <v>9064.5499999999993</v>
      </c>
      <c r="Q292" s="82">
        <f>TRUNC(E292*L292,2)</f>
        <v>11490.22</v>
      </c>
      <c r="R292" s="82">
        <f>Q292-O292</f>
        <v>11490.22</v>
      </c>
    </row>
    <row r="293" spans="2:18" s="34" customFormat="1" ht="23.4">
      <c r="B293" s="87" t="s">
        <v>579</v>
      </c>
      <c r="C293" s="88" t="s">
        <v>580</v>
      </c>
      <c r="D293" s="89" t="s">
        <v>131</v>
      </c>
      <c r="E293" s="90">
        <v>887</v>
      </c>
      <c r="F293" s="91"/>
      <c r="G293" s="91"/>
      <c r="H293" s="91"/>
      <c r="I293" s="91">
        <f>SUM(G293:H293)+'BM 004'!I293</f>
        <v>0</v>
      </c>
      <c r="J293" s="91">
        <f t="shared" si="136"/>
        <v>887</v>
      </c>
      <c r="K293" s="80">
        <v>98</v>
      </c>
      <c r="L293" s="81">
        <f t="shared" si="135"/>
        <v>124.22481078000001</v>
      </c>
      <c r="M293" s="82">
        <f>TRUNC(F293*L293,2)</f>
        <v>0</v>
      </c>
      <c r="N293" s="82">
        <f>TRUNC(G293*L293,2)</f>
        <v>0</v>
      </c>
      <c r="O293" s="82">
        <f>N293+'BM 004'!O293</f>
        <v>0</v>
      </c>
      <c r="P293" s="80">
        <f>E293*K293</f>
        <v>86926</v>
      </c>
      <c r="Q293" s="82">
        <f>TRUNC(E293*L293,2)</f>
        <v>110187.4</v>
      </c>
      <c r="R293" s="82">
        <f>Q293-O293</f>
        <v>110187.4</v>
      </c>
    </row>
    <row r="294" spans="2:18" s="34" customFormat="1" ht="23.4">
      <c r="B294" s="87" t="s">
        <v>581</v>
      </c>
      <c r="C294" s="88" t="s">
        <v>582</v>
      </c>
      <c r="D294" s="89" t="s">
        <v>131</v>
      </c>
      <c r="E294" s="90">
        <v>15</v>
      </c>
      <c r="F294" s="91"/>
      <c r="G294" s="91"/>
      <c r="H294" s="91"/>
      <c r="I294" s="91">
        <f>SUM(G294:H294)+'BM 004'!I294</f>
        <v>0</v>
      </c>
      <c r="J294" s="91">
        <f t="shared" si="136"/>
        <v>15</v>
      </c>
      <c r="K294" s="80">
        <v>130</v>
      </c>
      <c r="L294" s="81">
        <f t="shared" si="135"/>
        <v>164.78801430000001</v>
      </c>
      <c r="M294" s="82">
        <f>TRUNC(F294*L294,2)</f>
        <v>0</v>
      </c>
      <c r="N294" s="82">
        <f>TRUNC(G294*L294,2)</f>
        <v>0</v>
      </c>
      <c r="O294" s="82">
        <f>N294+'BM 004'!O294</f>
        <v>0</v>
      </c>
      <c r="P294" s="80">
        <f>E294*K294</f>
        <v>1950</v>
      </c>
      <c r="Q294" s="82">
        <f>TRUNC(E294*L294,2)</f>
        <v>2471.8200000000002</v>
      </c>
      <c r="R294" s="82">
        <f>Q294-O294</f>
        <v>2471.8200000000002</v>
      </c>
    </row>
    <row r="295" spans="2:18" s="34" customFormat="1" ht="23.4">
      <c r="B295" s="87" t="s">
        <v>583</v>
      </c>
      <c r="C295" s="88" t="s">
        <v>584</v>
      </c>
      <c r="D295" s="89" t="s">
        <v>131</v>
      </c>
      <c r="E295" s="90">
        <v>32</v>
      </c>
      <c r="F295" s="91"/>
      <c r="G295" s="91"/>
      <c r="H295" s="91"/>
      <c r="I295" s="91">
        <f>SUM(G295:H295)+'BM 004'!I295</f>
        <v>0</v>
      </c>
      <c r="J295" s="91">
        <f t="shared" si="136"/>
        <v>32</v>
      </c>
      <c r="K295" s="80">
        <v>90</v>
      </c>
      <c r="L295" s="81">
        <f t="shared" si="135"/>
        <v>114.08400990000001</v>
      </c>
      <c r="M295" s="82">
        <f>TRUNC(F295*L295,2)</f>
        <v>0</v>
      </c>
      <c r="N295" s="82">
        <f>TRUNC(G295*L295,2)</f>
        <v>0</v>
      </c>
      <c r="O295" s="82">
        <f>N295+'BM 004'!O295</f>
        <v>0</v>
      </c>
      <c r="P295" s="80">
        <f>E295*K295</f>
        <v>2880</v>
      </c>
      <c r="Q295" s="82">
        <f>TRUNC(E295*L295,2)</f>
        <v>3650.68</v>
      </c>
      <c r="R295" s="82">
        <f>Q295-O295</f>
        <v>3650.68</v>
      </c>
    </row>
    <row r="296" spans="2:18" s="34" customFormat="1" ht="13.2">
      <c r="B296" s="66" t="s">
        <v>585</v>
      </c>
      <c r="C296" s="67" t="s">
        <v>586</v>
      </c>
      <c r="D296" s="68"/>
      <c r="E296" s="69"/>
      <c r="F296" s="70"/>
      <c r="G296" s="70"/>
      <c r="H296" s="70"/>
      <c r="I296" s="70">
        <f>SUM(G296:H296)+'BM 004'!I296</f>
        <v>0</v>
      </c>
      <c r="J296" s="70">
        <f t="shared" si="136"/>
        <v>0</v>
      </c>
      <c r="K296" s="71"/>
      <c r="L296" s="71">
        <f t="shared" si="135"/>
        <v>0</v>
      </c>
      <c r="M296" s="73">
        <f t="shared" ref="M296:R296" si="138">SUM(M297:M306)</f>
        <v>0</v>
      </c>
      <c r="N296" s="73">
        <f t="shared" si="138"/>
        <v>0</v>
      </c>
      <c r="O296" s="73">
        <f t="shared" si="138"/>
        <v>0</v>
      </c>
      <c r="P296" s="73">
        <f t="shared" si="138"/>
        <v>16787.3</v>
      </c>
      <c r="Q296" s="73">
        <f t="shared" si="138"/>
        <v>21279.56</v>
      </c>
      <c r="R296" s="73">
        <f t="shared" si="138"/>
        <v>21279.56</v>
      </c>
    </row>
    <row r="297" spans="2:18" s="34" customFormat="1" ht="46.2">
      <c r="B297" s="87" t="s">
        <v>587</v>
      </c>
      <c r="C297" s="88" t="s">
        <v>588</v>
      </c>
      <c r="D297" s="89" t="s">
        <v>131</v>
      </c>
      <c r="E297" s="90">
        <v>79</v>
      </c>
      <c r="F297" s="91"/>
      <c r="G297" s="91"/>
      <c r="H297" s="91"/>
      <c r="I297" s="91">
        <f>SUM(G297:H297)+'BM 004'!I297</f>
        <v>0</v>
      </c>
      <c r="J297" s="91">
        <f t="shared" si="136"/>
        <v>79</v>
      </c>
      <c r="K297" s="80">
        <v>32</v>
      </c>
      <c r="L297" s="81">
        <f t="shared" si="135"/>
        <v>40.563203520000002</v>
      </c>
      <c r="M297" s="82">
        <f t="shared" ref="M297:M306" si="139">TRUNC(F297*L297,2)</f>
        <v>0</v>
      </c>
      <c r="N297" s="82">
        <f t="shared" ref="N297:N306" si="140">TRUNC(G297*L297,2)</f>
        <v>0</v>
      </c>
      <c r="O297" s="82">
        <f>N297+'BM 004'!O297</f>
        <v>0</v>
      </c>
      <c r="P297" s="80">
        <f t="shared" ref="P297:P306" si="141">E297*K297</f>
        <v>2528</v>
      </c>
      <c r="Q297" s="82">
        <f t="shared" ref="Q297:Q306" si="142">TRUNC(E297*L297,2)</f>
        <v>3204.49</v>
      </c>
      <c r="R297" s="82">
        <f t="shared" ref="R297:R306" si="143">Q297-O297</f>
        <v>3204.49</v>
      </c>
    </row>
    <row r="298" spans="2:18" s="34" customFormat="1" ht="46.2">
      <c r="B298" s="87" t="s">
        <v>589</v>
      </c>
      <c r="C298" s="88" t="s">
        <v>590</v>
      </c>
      <c r="D298" s="89" t="s">
        <v>131</v>
      </c>
      <c r="E298" s="90">
        <v>73</v>
      </c>
      <c r="F298" s="91"/>
      <c r="G298" s="91"/>
      <c r="H298" s="91"/>
      <c r="I298" s="91">
        <f>SUM(G298:H298)+'BM 004'!I298</f>
        <v>0</v>
      </c>
      <c r="J298" s="91">
        <f t="shared" si="136"/>
        <v>73</v>
      </c>
      <c r="K298" s="80">
        <v>38</v>
      </c>
      <c r="L298" s="81">
        <f t="shared" si="135"/>
        <v>48.168804180000002</v>
      </c>
      <c r="M298" s="82">
        <f t="shared" si="139"/>
        <v>0</v>
      </c>
      <c r="N298" s="82">
        <f t="shared" si="140"/>
        <v>0</v>
      </c>
      <c r="O298" s="82">
        <f>N298+'BM 004'!O298</f>
        <v>0</v>
      </c>
      <c r="P298" s="80">
        <f t="shared" si="141"/>
        <v>2774</v>
      </c>
      <c r="Q298" s="82">
        <f t="shared" si="142"/>
        <v>3516.32</v>
      </c>
      <c r="R298" s="82">
        <f t="shared" si="143"/>
        <v>3516.32</v>
      </c>
    </row>
    <row r="299" spans="2:18" s="34" customFormat="1" ht="46.2">
      <c r="B299" s="87" t="s">
        <v>591</v>
      </c>
      <c r="C299" s="88" t="s">
        <v>592</v>
      </c>
      <c r="D299" s="89" t="s">
        <v>131</v>
      </c>
      <c r="E299" s="90">
        <v>34</v>
      </c>
      <c r="F299" s="91"/>
      <c r="G299" s="91"/>
      <c r="H299" s="91"/>
      <c r="I299" s="91">
        <f>SUM(G299:H299)+'BM 004'!I299</f>
        <v>0</v>
      </c>
      <c r="J299" s="91">
        <f t="shared" si="136"/>
        <v>34</v>
      </c>
      <c r="K299" s="80">
        <v>58.95</v>
      </c>
      <c r="L299" s="81">
        <f t="shared" si="135"/>
        <v>74.725026484500006</v>
      </c>
      <c r="M299" s="82">
        <f t="shared" si="139"/>
        <v>0</v>
      </c>
      <c r="N299" s="82">
        <f t="shared" si="140"/>
        <v>0</v>
      </c>
      <c r="O299" s="82">
        <f>N299+'BM 004'!O299</f>
        <v>0</v>
      </c>
      <c r="P299" s="80">
        <f t="shared" si="141"/>
        <v>2004.3000000000002</v>
      </c>
      <c r="Q299" s="82">
        <f t="shared" si="142"/>
        <v>2540.65</v>
      </c>
      <c r="R299" s="82">
        <f t="shared" si="143"/>
        <v>2540.65</v>
      </c>
    </row>
    <row r="300" spans="2:18" s="34" customFormat="1" ht="46.2">
      <c r="B300" s="87" t="s">
        <v>593</v>
      </c>
      <c r="C300" s="88" t="s">
        <v>594</v>
      </c>
      <c r="D300" s="89" t="s">
        <v>131</v>
      </c>
      <c r="E300" s="90">
        <v>55</v>
      </c>
      <c r="F300" s="91"/>
      <c r="G300" s="91"/>
      <c r="H300" s="91"/>
      <c r="I300" s="91">
        <f>SUM(G300:H300)+'BM 004'!I300</f>
        <v>0</v>
      </c>
      <c r="J300" s="91">
        <f t="shared" si="136"/>
        <v>55</v>
      </c>
      <c r="K300" s="80">
        <v>50</v>
      </c>
      <c r="L300" s="81">
        <f t="shared" si="135"/>
        <v>63.380005500000003</v>
      </c>
      <c r="M300" s="82">
        <f t="shared" si="139"/>
        <v>0</v>
      </c>
      <c r="N300" s="82">
        <f t="shared" si="140"/>
        <v>0</v>
      </c>
      <c r="O300" s="82">
        <f>N300+'BM 004'!O300</f>
        <v>0</v>
      </c>
      <c r="P300" s="80">
        <f t="shared" si="141"/>
        <v>2750</v>
      </c>
      <c r="Q300" s="82">
        <f t="shared" si="142"/>
        <v>3485.9</v>
      </c>
      <c r="R300" s="82">
        <f t="shared" si="143"/>
        <v>3485.9</v>
      </c>
    </row>
    <row r="301" spans="2:18" s="34" customFormat="1" ht="46.2">
      <c r="B301" s="87" t="s">
        <v>595</v>
      </c>
      <c r="C301" s="88" t="s">
        <v>596</v>
      </c>
      <c r="D301" s="89" t="s">
        <v>131</v>
      </c>
      <c r="E301" s="90">
        <v>41</v>
      </c>
      <c r="F301" s="91"/>
      <c r="G301" s="91"/>
      <c r="H301" s="91"/>
      <c r="I301" s="91">
        <f>SUM(G301:H301)+'BM 004'!I301</f>
        <v>0</v>
      </c>
      <c r="J301" s="91">
        <f t="shared" si="136"/>
        <v>41</v>
      </c>
      <c r="K301" s="80">
        <v>52</v>
      </c>
      <c r="L301" s="81">
        <f t="shared" si="135"/>
        <v>65.915205720000003</v>
      </c>
      <c r="M301" s="82">
        <f t="shared" si="139"/>
        <v>0</v>
      </c>
      <c r="N301" s="82">
        <f t="shared" si="140"/>
        <v>0</v>
      </c>
      <c r="O301" s="82">
        <f>N301+'BM 004'!O301</f>
        <v>0</v>
      </c>
      <c r="P301" s="80">
        <f t="shared" si="141"/>
        <v>2132</v>
      </c>
      <c r="Q301" s="82">
        <f t="shared" si="142"/>
        <v>2702.52</v>
      </c>
      <c r="R301" s="82">
        <f t="shared" si="143"/>
        <v>2702.52</v>
      </c>
    </row>
    <row r="302" spans="2:18" s="34" customFormat="1" ht="34.799999999999997">
      <c r="B302" s="87" t="s">
        <v>597</v>
      </c>
      <c r="C302" s="88" t="s">
        <v>598</v>
      </c>
      <c r="D302" s="89" t="s">
        <v>131</v>
      </c>
      <c r="E302" s="90">
        <v>3</v>
      </c>
      <c r="F302" s="91"/>
      <c r="G302" s="91"/>
      <c r="H302" s="91"/>
      <c r="I302" s="91">
        <f>SUM(G302:H302)+'BM 004'!I302</f>
        <v>0</v>
      </c>
      <c r="J302" s="91">
        <f t="shared" si="136"/>
        <v>3</v>
      </c>
      <c r="K302" s="80">
        <v>51</v>
      </c>
      <c r="L302" s="81">
        <f t="shared" si="135"/>
        <v>64.647605609999999</v>
      </c>
      <c r="M302" s="82">
        <f t="shared" si="139"/>
        <v>0</v>
      </c>
      <c r="N302" s="82">
        <f t="shared" si="140"/>
        <v>0</v>
      </c>
      <c r="O302" s="82">
        <f>N302+'BM 004'!O302</f>
        <v>0</v>
      </c>
      <c r="P302" s="80">
        <f t="shared" si="141"/>
        <v>153</v>
      </c>
      <c r="Q302" s="82">
        <f t="shared" si="142"/>
        <v>193.94</v>
      </c>
      <c r="R302" s="82">
        <f t="shared" si="143"/>
        <v>193.94</v>
      </c>
    </row>
    <row r="303" spans="2:18" s="34" customFormat="1" ht="34.799999999999997">
      <c r="B303" s="87" t="s">
        <v>599</v>
      </c>
      <c r="C303" s="88" t="s">
        <v>600</v>
      </c>
      <c r="D303" s="89" t="s">
        <v>131</v>
      </c>
      <c r="E303" s="90">
        <v>1</v>
      </c>
      <c r="F303" s="91"/>
      <c r="G303" s="91"/>
      <c r="H303" s="91"/>
      <c r="I303" s="91">
        <f>SUM(G303:H303)+'BM 004'!I303</f>
        <v>0</v>
      </c>
      <c r="J303" s="91">
        <f t="shared" si="136"/>
        <v>1</v>
      </c>
      <c r="K303" s="80">
        <v>60</v>
      </c>
      <c r="L303" s="81">
        <f t="shared" si="135"/>
        <v>76.056006600000003</v>
      </c>
      <c r="M303" s="82">
        <f t="shared" si="139"/>
        <v>0</v>
      </c>
      <c r="N303" s="82">
        <f t="shared" si="140"/>
        <v>0</v>
      </c>
      <c r="O303" s="82">
        <f>N303+'BM 004'!O303</f>
        <v>0</v>
      </c>
      <c r="P303" s="80">
        <f t="shared" si="141"/>
        <v>60</v>
      </c>
      <c r="Q303" s="82">
        <f t="shared" si="142"/>
        <v>76.05</v>
      </c>
      <c r="R303" s="82">
        <f t="shared" si="143"/>
        <v>76.05</v>
      </c>
    </row>
    <row r="304" spans="2:18" s="34" customFormat="1" ht="34.799999999999997">
      <c r="B304" s="87" t="s">
        <v>601</v>
      </c>
      <c r="C304" s="88" t="s">
        <v>602</v>
      </c>
      <c r="D304" s="89" t="s">
        <v>131</v>
      </c>
      <c r="E304" s="90">
        <v>15</v>
      </c>
      <c r="F304" s="91"/>
      <c r="G304" s="91"/>
      <c r="H304" s="91"/>
      <c r="I304" s="91">
        <f>SUM(G304:H304)+'BM 004'!I304</f>
        <v>0</v>
      </c>
      <c r="J304" s="91">
        <f t="shared" si="136"/>
        <v>15</v>
      </c>
      <c r="K304" s="80">
        <v>230</v>
      </c>
      <c r="L304" s="81">
        <f t="shared" si="135"/>
        <v>291.54802530000001</v>
      </c>
      <c r="M304" s="82">
        <f t="shared" si="139"/>
        <v>0</v>
      </c>
      <c r="N304" s="82">
        <f t="shared" si="140"/>
        <v>0</v>
      </c>
      <c r="O304" s="82">
        <f>N304+'BM 004'!O304</f>
        <v>0</v>
      </c>
      <c r="P304" s="80">
        <f t="shared" si="141"/>
        <v>3450</v>
      </c>
      <c r="Q304" s="82">
        <f t="shared" si="142"/>
        <v>4373.22</v>
      </c>
      <c r="R304" s="82">
        <f t="shared" si="143"/>
        <v>4373.22</v>
      </c>
    </row>
    <row r="305" spans="2:18" s="34" customFormat="1" ht="34.799999999999997">
      <c r="B305" s="87" t="s">
        <v>603</v>
      </c>
      <c r="C305" s="88" t="s">
        <v>604</v>
      </c>
      <c r="D305" s="89" t="s">
        <v>131</v>
      </c>
      <c r="E305" s="90">
        <v>5</v>
      </c>
      <c r="F305" s="91"/>
      <c r="G305" s="91"/>
      <c r="H305" s="91"/>
      <c r="I305" s="91">
        <f>SUM(G305:H305)+'BM 004'!I305</f>
        <v>0</v>
      </c>
      <c r="J305" s="91">
        <f t="shared" si="136"/>
        <v>5</v>
      </c>
      <c r="K305" s="80">
        <v>140</v>
      </c>
      <c r="L305" s="81">
        <f t="shared" si="135"/>
        <v>177.46401539999999</v>
      </c>
      <c r="M305" s="82">
        <f t="shared" si="139"/>
        <v>0</v>
      </c>
      <c r="N305" s="82">
        <f t="shared" si="140"/>
        <v>0</v>
      </c>
      <c r="O305" s="82">
        <f>N305+'BM 004'!O305</f>
        <v>0</v>
      </c>
      <c r="P305" s="80">
        <f t="shared" si="141"/>
        <v>700</v>
      </c>
      <c r="Q305" s="82">
        <f t="shared" si="142"/>
        <v>887.32</v>
      </c>
      <c r="R305" s="82">
        <f t="shared" si="143"/>
        <v>887.32</v>
      </c>
    </row>
    <row r="306" spans="2:18" s="34" customFormat="1" ht="46.2">
      <c r="B306" s="87" t="s">
        <v>605</v>
      </c>
      <c r="C306" s="88" t="s">
        <v>606</v>
      </c>
      <c r="D306" s="89" t="s">
        <v>131</v>
      </c>
      <c r="E306" s="90">
        <v>4</v>
      </c>
      <c r="F306" s="91"/>
      <c r="G306" s="91"/>
      <c r="H306" s="91"/>
      <c r="I306" s="91">
        <f>SUM(G306:H306)+'BM 004'!I306</f>
        <v>0</v>
      </c>
      <c r="J306" s="91">
        <f t="shared" si="136"/>
        <v>4</v>
      </c>
      <c r="K306" s="80">
        <v>59</v>
      </c>
      <c r="L306" s="81">
        <f t="shared" si="135"/>
        <v>74.78840649</v>
      </c>
      <c r="M306" s="82">
        <f t="shared" si="139"/>
        <v>0</v>
      </c>
      <c r="N306" s="82">
        <f t="shared" si="140"/>
        <v>0</v>
      </c>
      <c r="O306" s="82">
        <f>N306+'BM 004'!O306</f>
        <v>0</v>
      </c>
      <c r="P306" s="80">
        <f t="shared" si="141"/>
        <v>236</v>
      </c>
      <c r="Q306" s="82">
        <f t="shared" si="142"/>
        <v>299.14999999999998</v>
      </c>
      <c r="R306" s="82">
        <f t="shared" si="143"/>
        <v>299.14999999999998</v>
      </c>
    </row>
    <row r="307" spans="2:18" s="34" customFormat="1" ht="13.2">
      <c r="B307" s="66" t="s">
        <v>607</v>
      </c>
      <c r="C307" s="67" t="s">
        <v>608</v>
      </c>
      <c r="D307" s="68"/>
      <c r="E307" s="69"/>
      <c r="F307" s="70"/>
      <c r="G307" s="70"/>
      <c r="H307" s="70"/>
      <c r="I307" s="70">
        <f>SUM(G307:H307)+'BM 004'!I307</f>
        <v>0</v>
      </c>
      <c r="J307" s="70">
        <f t="shared" si="136"/>
        <v>0</v>
      </c>
      <c r="K307" s="71"/>
      <c r="L307" s="71">
        <f t="shared" si="135"/>
        <v>0</v>
      </c>
      <c r="M307" s="73">
        <f t="shared" ref="M307:R307" si="144">SUM(M308:M314)</f>
        <v>0</v>
      </c>
      <c r="N307" s="73">
        <f t="shared" si="144"/>
        <v>0</v>
      </c>
      <c r="O307" s="73">
        <f t="shared" si="144"/>
        <v>0</v>
      </c>
      <c r="P307" s="73">
        <f t="shared" si="144"/>
        <v>50562</v>
      </c>
      <c r="Q307" s="73">
        <f t="shared" si="144"/>
        <v>64092.350000000006</v>
      </c>
      <c r="R307" s="73">
        <f t="shared" si="144"/>
        <v>64092.350000000006</v>
      </c>
    </row>
    <row r="308" spans="2:18" s="34" customFormat="1" ht="46.2">
      <c r="B308" s="87" t="s">
        <v>609</v>
      </c>
      <c r="C308" s="88" t="s">
        <v>610</v>
      </c>
      <c r="D308" s="89" t="s">
        <v>131</v>
      </c>
      <c r="E308" s="90">
        <v>202</v>
      </c>
      <c r="F308" s="91"/>
      <c r="G308" s="91"/>
      <c r="H308" s="91"/>
      <c r="I308" s="91">
        <f>SUM(G308:H308)+'BM 004'!I308</f>
        <v>0</v>
      </c>
      <c r="J308" s="91">
        <f t="shared" si="136"/>
        <v>202</v>
      </c>
      <c r="K308" s="80">
        <v>38</v>
      </c>
      <c r="L308" s="81">
        <f t="shared" si="135"/>
        <v>48.168804180000002</v>
      </c>
      <c r="M308" s="82">
        <f t="shared" ref="M308:M314" si="145">TRUNC(F308*L308,2)</f>
        <v>0</v>
      </c>
      <c r="N308" s="82">
        <f t="shared" ref="N308:N314" si="146">TRUNC(G308*L308,2)</f>
        <v>0</v>
      </c>
      <c r="O308" s="82">
        <f>N308+'BM 004'!O308</f>
        <v>0</v>
      </c>
      <c r="P308" s="80">
        <f t="shared" ref="P308:P314" si="147">E308*K308</f>
        <v>7676</v>
      </c>
      <c r="Q308" s="82">
        <f t="shared" ref="Q308:Q314" si="148">TRUNC(E308*L308,2)</f>
        <v>9730.09</v>
      </c>
      <c r="R308" s="82">
        <f t="shared" ref="R308:R314" si="149">Q308-O308</f>
        <v>9730.09</v>
      </c>
    </row>
    <row r="309" spans="2:18" s="34" customFormat="1" ht="46.2">
      <c r="B309" s="87" t="s">
        <v>611</v>
      </c>
      <c r="C309" s="88" t="s">
        <v>612</v>
      </c>
      <c r="D309" s="89" t="s">
        <v>131</v>
      </c>
      <c r="E309" s="90">
        <v>508</v>
      </c>
      <c r="F309" s="91"/>
      <c r="G309" s="91"/>
      <c r="H309" s="91"/>
      <c r="I309" s="91">
        <f>SUM(G309:H309)+'BM 004'!I309</f>
        <v>0</v>
      </c>
      <c r="J309" s="91">
        <f t="shared" si="136"/>
        <v>508</v>
      </c>
      <c r="K309" s="80">
        <v>40</v>
      </c>
      <c r="L309" s="81">
        <f t="shared" si="135"/>
        <v>50.704004400000002</v>
      </c>
      <c r="M309" s="82">
        <f t="shared" si="145"/>
        <v>0</v>
      </c>
      <c r="N309" s="82">
        <f t="shared" si="146"/>
        <v>0</v>
      </c>
      <c r="O309" s="82">
        <f>N309+'BM 004'!O309</f>
        <v>0</v>
      </c>
      <c r="P309" s="80">
        <f t="shared" si="147"/>
        <v>20320</v>
      </c>
      <c r="Q309" s="82">
        <f t="shared" si="148"/>
        <v>25757.63</v>
      </c>
      <c r="R309" s="82">
        <f t="shared" si="149"/>
        <v>25757.63</v>
      </c>
    </row>
    <row r="310" spans="2:18" s="34" customFormat="1" ht="34.799999999999997">
      <c r="B310" s="87" t="s">
        <v>613</v>
      </c>
      <c r="C310" s="88" t="s">
        <v>614</v>
      </c>
      <c r="D310" s="89" t="s">
        <v>131</v>
      </c>
      <c r="E310" s="90">
        <v>52</v>
      </c>
      <c r="F310" s="91"/>
      <c r="G310" s="91"/>
      <c r="H310" s="91"/>
      <c r="I310" s="91">
        <f>SUM(G310:H310)+'BM 004'!I310</f>
        <v>0</v>
      </c>
      <c r="J310" s="91">
        <f t="shared" si="136"/>
        <v>52</v>
      </c>
      <c r="K310" s="80">
        <v>65</v>
      </c>
      <c r="L310" s="81">
        <f t="shared" si="135"/>
        <v>82.394007150000007</v>
      </c>
      <c r="M310" s="82">
        <f t="shared" si="145"/>
        <v>0</v>
      </c>
      <c r="N310" s="82">
        <f t="shared" si="146"/>
        <v>0</v>
      </c>
      <c r="O310" s="82">
        <f>N310+'BM 004'!O310</f>
        <v>0</v>
      </c>
      <c r="P310" s="80">
        <f t="shared" si="147"/>
        <v>3380</v>
      </c>
      <c r="Q310" s="82">
        <f t="shared" si="148"/>
        <v>4284.4799999999996</v>
      </c>
      <c r="R310" s="82">
        <f t="shared" si="149"/>
        <v>4284.4799999999996</v>
      </c>
    </row>
    <row r="311" spans="2:18" s="34" customFormat="1" ht="46.2">
      <c r="B311" s="87" t="s">
        <v>615</v>
      </c>
      <c r="C311" s="88" t="s">
        <v>610</v>
      </c>
      <c r="D311" s="89" t="s">
        <v>131</v>
      </c>
      <c r="E311" s="90">
        <v>2</v>
      </c>
      <c r="F311" s="91"/>
      <c r="G311" s="91"/>
      <c r="H311" s="91"/>
      <c r="I311" s="91">
        <f>SUM(G311:H311)+'BM 004'!I311</f>
        <v>0</v>
      </c>
      <c r="J311" s="91">
        <f t="shared" si="136"/>
        <v>2</v>
      </c>
      <c r="K311" s="80">
        <v>38</v>
      </c>
      <c r="L311" s="81">
        <f t="shared" si="135"/>
        <v>48.168804180000002</v>
      </c>
      <c r="M311" s="82">
        <f t="shared" si="145"/>
        <v>0</v>
      </c>
      <c r="N311" s="82">
        <f t="shared" si="146"/>
        <v>0</v>
      </c>
      <c r="O311" s="82">
        <f>N311+'BM 004'!O311</f>
        <v>0</v>
      </c>
      <c r="P311" s="80">
        <f t="shared" si="147"/>
        <v>76</v>
      </c>
      <c r="Q311" s="82">
        <f t="shared" si="148"/>
        <v>96.33</v>
      </c>
      <c r="R311" s="82">
        <f t="shared" si="149"/>
        <v>96.33</v>
      </c>
    </row>
    <row r="312" spans="2:18" s="34" customFormat="1" ht="23.4">
      <c r="B312" s="87" t="s">
        <v>616</v>
      </c>
      <c r="C312" s="88" t="s">
        <v>617</v>
      </c>
      <c r="D312" s="89" t="s">
        <v>131</v>
      </c>
      <c r="E312" s="90">
        <v>201</v>
      </c>
      <c r="F312" s="91"/>
      <c r="G312" s="91"/>
      <c r="H312" s="91"/>
      <c r="I312" s="91">
        <f>SUM(G312:H312)+'BM 004'!I312</f>
        <v>0</v>
      </c>
      <c r="J312" s="91">
        <f t="shared" si="136"/>
        <v>201</v>
      </c>
      <c r="K312" s="80">
        <v>30</v>
      </c>
      <c r="L312" s="81">
        <f t="shared" si="135"/>
        <v>38.028003300000002</v>
      </c>
      <c r="M312" s="82">
        <f t="shared" si="145"/>
        <v>0</v>
      </c>
      <c r="N312" s="82">
        <f t="shared" si="146"/>
        <v>0</v>
      </c>
      <c r="O312" s="82">
        <f>N312+'BM 004'!O312</f>
        <v>0</v>
      </c>
      <c r="P312" s="80">
        <f t="shared" si="147"/>
        <v>6030</v>
      </c>
      <c r="Q312" s="82">
        <f t="shared" si="148"/>
        <v>7643.62</v>
      </c>
      <c r="R312" s="82">
        <f t="shared" si="149"/>
        <v>7643.62</v>
      </c>
    </row>
    <row r="313" spans="2:18" s="34" customFormat="1" ht="23.4">
      <c r="B313" s="87" t="s">
        <v>618</v>
      </c>
      <c r="C313" s="88" t="s">
        <v>619</v>
      </c>
      <c r="D313" s="89" t="s">
        <v>131</v>
      </c>
      <c r="E313" s="90">
        <v>12</v>
      </c>
      <c r="F313" s="91"/>
      <c r="G313" s="91"/>
      <c r="H313" s="91"/>
      <c r="I313" s="91">
        <f>SUM(G313:H313)+'BM 004'!I313</f>
        <v>0</v>
      </c>
      <c r="J313" s="91">
        <f t="shared" si="136"/>
        <v>12</v>
      </c>
      <c r="K313" s="80">
        <v>40</v>
      </c>
      <c r="L313" s="81">
        <f t="shared" si="135"/>
        <v>50.704004400000002</v>
      </c>
      <c r="M313" s="82">
        <f t="shared" si="145"/>
        <v>0</v>
      </c>
      <c r="N313" s="82">
        <f t="shared" si="146"/>
        <v>0</v>
      </c>
      <c r="O313" s="82">
        <f>N313+'BM 004'!O313</f>
        <v>0</v>
      </c>
      <c r="P313" s="80">
        <f t="shared" si="147"/>
        <v>480</v>
      </c>
      <c r="Q313" s="82">
        <f t="shared" si="148"/>
        <v>608.44000000000005</v>
      </c>
      <c r="R313" s="82">
        <f t="shared" si="149"/>
        <v>608.44000000000005</v>
      </c>
    </row>
    <row r="314" spans="2:18" s="34" customFormat="1" ht="23.4">
      <c r="B314" s="87" t="s">
        <v>620</v>
      </c>
      <c r="C314" s="88" t="s">
        <v>621</v>
      </c>
      <c r="D314" s="89" t="s">
        <v>131</v>
      </c>
      <c r="E314" s="90">
        <v>180</v>
      </c>
      <c r="F314" s="91"/>
      <c r="G314" s="91"/>
      <c r="H314" s="91"/>
      <c r="I314" s="91">
        <f>SUM(G314:H314)+'BM 004'!I314</f>
        <v>0</v>
      </c>
      <c r="J314" s="91">
        <f t="shared" si="136"/>
        <v>180</v>
      </c>
      <c r="K314" s="80">
        <v>70</v>
      </c>
      <c r="L314" s="81">
        <f t="shared" si="135"/>
        <v>88.732007699999997</v>
      </c>
      <c r="M314" s="82">
        <f t="shared" si="145"/>
        <v>0</v>
      </c>
      <c r="N314" s="82">
        <f t="shared" si="146"/>
        <v>0</v>
      </c>
      <c r="O314" s="82">
        <f>N314+'BM 004'!O314</f>
        <v>0</v>
      </c>
      <c r="P314" s="80">
        <f t="shared" si="147"/>
        <v>12600</v>
      </c>
      <c r="Q314" s="82">
        <f t="shared" si="148"/>
        <v>15971.76</v>
      </c>
      <c r="R314" s="82">
        <f t="shared" si="149"/>
        <v>15971.76</v>
      </c>
    </row>
    <row r="315" spans="2:18" s="34" customFormat="1" ht="26.25" customHeight="1">
      <c r="B315" s="66" t="s">
        <v>622</v>
      </c>
      <c r="C315" s="67" t="s">
        <v>623</v>
      </c>
      <c r="D315" s="68"/>
      <c r="E315" s="69"/>
      <c r="F315" s="70"/>
      <c r="G315" s="70"/>
      <c r="H315" s="70"/>
      <c r="I315" s="70">
        <f>SUM(G315:H315)+'BM 004'!I315</f>
        <v>0</v>
      </c>
      <c r="J315" s="70">
        <f t="shared" si="136"/>
        <v>0</v>
      </c>
      <c r="K315" s="71"/>
      <c r="L315" s="71">
        <f t="shared" si="135"/>
        <v>0</v>
      </c>
      <c r="M315" s="73">
        <f t="shared" ref="M315:R315" si="150">SUM(M316)</f>
        <v>0</v>
      </c>
      <c r="N315" s="73">
        <f t="shared" si="150"/>
        <v>0</v>
      </c>
      <c r="O315" s="73">
        <f t="shared" si="150"/>
        <v>0</v>
      </c>
      <c r="P315" s="73">
        <f t="shared" si="150"/>
        <v>660</v>
      </c>
      <c r="Q315" s="73">
        <f t="shared" si="150"/>
        <v>836.61</v>
      </c>
      <c r="R315" s="73">
        <f t="shared" si="150"/>
        <v>836.61</v>
      </c>
    </row>
    <row r="316" spans="2:18" s="34" customFormat="1" ht="13.2">
      <c r="B316" s="75" t="s">
        <v>624</v>
      </c>
      <c r="C316" s="76" t="s">
        <v>625</v>
      </c>
      <c r="D316" s="77" t="s">
        <v>131</v>
      </c>
      <c r="E316" s="78">
        <v>3</v>
      </c>
      <c r="F316" s="79"/>
      <c r="G316" s="79"/>
      <c r="H316" s="79"/>
      <c r="I316" s="79">
        <f>SUM(G316:H316)+'BM 004'!I316</f>
        <v>0</v>
      </c>
      <c r="J316" s="79">
        <f t="shared" si="136"/>
        <v>3</v>
      </c>
      <c r="K316" s="84">
        <v>220</v>
      </c>
      <c r="L316" s="81">
        <f t="shared" si="135"/>
        <v>278.8720242</v>
      </c>
      <c r="M316" s="82">
        <f>TRUNC(F316*L316,2)</f>
        <v>0</v>
      </c>
      <c r="N316" s="82">
        <f>TRUNC(G316*L316,2)</f>
        <v>0</v>
      </c>
      <c r="O316" s="82">
        <f>N316+'BM 004'!O316</f>
        <v>0</v>
      </c>
      <c r="P316" s="80">
        <f>E316*K316</f>
        <v>660</v>
      </c>
      <c r="Q316" s="82">
        <f>TRUNC(E316*L316,2)</f>
        <v>836.61</v>
      </c>
      <c r="R316" s="82">
        <f>Q316-O316</f>
        <v>836.61</v>
      </c>
    </row>
    <row r="317" spans="2:18" s="34" customFormat="1" ht="13.2">
      <c r="B317" s="60" t="s">
        <v>626</v>
      </c>
      <c r="C317" s="61" t="s">
        <v>627</v>
      </c>
      <c r="D317" s="60"/>
      <c r="E317" s="62"/>
      <c r="F317" s="63"/>
      <c r="G317" s="63"/>
      <c r="H317" s="63"/>
      <c r="I317" s="63">
        <f>SUM(G317:H317)+'BM 004'!I317</f>
        <v>0</v>
      </c>
      <c r="J317" s="63">
        <f t="shared" si="136"/>
        <v>0</v>
      </c>
      <c r="K317" s="63"/>
      <c r="L317" s="63">
        <f t="shared" si="135"/>
        <v>0</v>
      </c>
      <c r="M317" s="63">
        <f t="shared" ref="M317:R317" si="151">SUM(M318:M327)</f>
        <v>0</v>
      </c>
      <c r="N317" s="63">
        <f t="shared" si="151"/>
        <v>0</v>
      </c>
      <c r="O317" s="63">
        <f t="shared" si="151"/>
        <v>0</v>
      </c>
      <c r="P317" s="63">
        <f t="shared" si="151"/>
        <v>37271.68</v>
      </c>
      <c r="Q317" s="63">
        <f t="shared" si="151"/>
        <v>47245.569999999992</v>
      </c>
      <c r="R317" s="63">
        <f t="shared" si="151"/>
        <v>47245.569999999992</v>
      </c>
    </row>
    <row r="318" spans="2:18" s="34" customFormat="1" ht="23.4">
      <c r="B318" s="75" t="s">
        <v>628</v>
      </c>
      <c r="C318" s="76" t="s">
        <v>629</v>
      </c>
      <c r="D318" s="77" t="s">
        <v>82</v>
      </c>
      <c r="E318" s="93">
        <v>170</v>
      </c>
      <c r="F318" s="79"/>
      <c r="G318" s="79"/>
      <c r="H318" s="79"/>
      <c r="I318" s="79">
        <f>SUM(G318:H318)+'BM 004'!I318</f>
        <v>0</v>
      </c>
      <c r="J318" s="79">
        <f t="shared" si="136"/>
        <v>170</v>
      </c>
      <c r="K318" s="80">
        <v>100</v>
      </c>
      <c r="L318" s="81">
        <f t="shared" si="135"/>
        <v>126.76001100000001</v>
      </c>
      <c r="M318" s="82">
        <f t="shared" ref="M318:M327" si="152">TRUNC(F318*L318,2)</f>
        <v>0</v>
      </c>
      <c r="N318" s="82">
        <f t="shared" ref="N318:N327" si="153">TRUNC(G318*L318,2)</f>
        <v>0</v>
      </c>
      <c r="O318" s="82">
        <f>N318+'BM 004'!O318</f>
        <v>0</v>
      </c>
      <c r="P318" s="80">
        <f t="shared" ref="P318:P327" si="154">E318*K318</f>
        <v>17000</v>
      </c>
      <c r="Q318" s="82">
        <f t="shared" ref="Q318:Q327" si="155">TRUNC(E318*L318,2)</f>
        <v>21549.200000000001</v>
      </c>
      <c r="R318" s="82">
        <f t="shared" ref="R318:R327" si="156">Q318-O318</f>
        <v>21549.200000000001</v>
      </c>
    </row>
    <row r="319" spans="2:18" s="34" customFormat="1" ht="23.4">
      <c r="B319" s="75" t="s">
        <v>630</v>
      </c>
      <c r="C319" s="76" t="s">
        <v>631</v>
      </c>
      <c r="D319" s="77" t="s">
        <v>131</v>
      </c>
      <c r="E319" s="93">
        <v>1</v>
      </c>
      <c r="F319" s="79"/>
      <c r="G319" s="79"/>
      <c r="H319" s="79"/>
      <c r="I319" s="79">
        <f>SUM(G319:H319)+'BM 004'!I319</f>
        <v>0</v>
      </c>
      <c r="J319" s="79">
        <f t="shared" si="136"/>
        <v>1</v>
      </c>
      <c r="K319" s="80">
        <v>1300</v>
      </c>
      <c r="L319" s="81">
        <f t="shared" si="135"/>
        <v>1647.8801430000001</v>
      </c>
      <c r="M319" s="82">
        <f t="shared" si="152"/>
        <v>0</v>
      </c>
      <c r="N319" s="82">
        <f t="shared" si="153"/>
        <v>0</v>
      </c>
      <c r="O319" s="82">
        <f>N319+'BM 004'!O319</f>
        <v>0</v>
      </c>
      <c r="P319" s="80">
        <f t="shared" si="154"/>
        <v>1300</v>
      </c>
      <c r="Q319" s="82">
        <f t="shared" si="155"/>
        <v>1647.88</v>
      </c>
      <c r="R319" s="82">
        <f t="shared" si="156"/>
        <v>1647.88</v>
      </c>
    </row>
    <row r="320" spans="2:18" s="34" customFormat="1" ht="23.4">
      <c r="B320" s="75" t="s">
        <v>632</v>
      </c>
      <c r="C320" s="76" t="s">
        <v>633</v>
      </c>
      <c r="D320" s="77" t="s">
        <v>82</v>
      </c>
      <c r="E320" s="93">
        <v>250</v>
      </c>
      <c r="F320" s="79"/>
      <c r="G320" s="79"/>
      <c r="H320" s="79"/>
      <c r="I320" s="79">
        <f>SUM(G320:H320)+'BM 004'!I320</f>
        <v>0</v>
      </c>
      <c r="J320" s="79">
        <f t="shared" si="136"/>
        <v>250</v>
      </c>
      <c r="K320" s="80">
        <v>38</v>
      </c>
      <c r="L320" s="81">
        <f t="shared" si="135"/>
        <v>48.168804180000002</v>
      </c>
      <c r="M320" s="82">
        <f t="shared" si="152"/>
        <v>0</v>
      </c>
      <c r="N320" s="82">
        <f t="shared" si="153"/>
        <v>0</v>
      </c>
      <c r="O320" s="82">
        <f>N320+'BM 004'!O320</f>
        <v>0</v>
      </c>
      <c r="P320" s="80">
        <f t="shared" si="154"/>
        <v>9500</v>
      </c>
      <c r="Q320" s="82">
        <f t="shared" si="155"/>
        <v>12042.2</v>
      </c>
      <c r="R320" s="82">
        <f t="shared" si="156"/>
        <v>12042.2</v>
      </c>
    </row>
    <row r="321" spans="2:18" s="34" customFormat="1" ht="13.2">
      <c r="B321" s="75" t="s">
        <v>634</v>
      </c>
      <c r="C321" s="76" t="s">
        <v>635</v>
      </c>
      <c r="D321" s="77" t="s">
        <v>39</v>
      </c>
      <c r="E321" s="78">
        <v>20</v>
      </c>
      <c r="F321" s="79"/>
      <c r="G321" s="79"/>
      <c r="H321" s="79"/>
      <c r="I321" s="79">
        <f>SUM(G321:H321)+'BM 004'!I321</f>
        <v>0</v>
      </c>
      <c r="J321" s="79">
        <f t="shared" si="136"/>
        <v>20</v>
      </c>
      <c r="K321" s="84">
        <v>42</v>
      </c>
      <c r="L321" s="81">
        <f t="shared" si="135"/>
        <v>53.239204620000002</v>
      </c>
      <c r="M321" s="82">
        <f t="shared" si="152"/>
        <v>0</v>
      </c>
      <c r="N321" s="82">
        <f t="shared" si="153"/>
        <v>0</v>
      </c>
      <c r="O321" s="82">
        <f>N321+'BM 004'!O321</f>
        <v>0</v>
      </c>
      <c r="P321" s="80">
        <f t="shared" si="154"/>
        <v>840</v>
      </c>
      <c r="Q321" s="82">
        <f t="shared" si="155"/>
        <v>1064.78</v>
      </c>
      <c r="R321" s="82">
        <f t="shared" si="156"/>
        <v>1064.78</v>
      </c>
    </row>
    <row r="322" spans="2:18" s="34" customFormat="1" ht="23.4">
      <c r="B322" s="75" t="s">
        <v>636</v>
      </c>
      <c r="C322" s="76" t="s">
        <v>637</v>
      </c>
      <c r="D322" s="77" t="s">
        <v>39</v>
      </c>
      <c r="E322" s="78">
        <v>30</v>
      </c>
      <c r="F322" s="79"/>
      <c r="G322" s="79"/>
      <c r="H322" s="79"/>
      <c r="I322" s="79">
        <f>SUM(G322:H322)+'BM 004'!I322</f>
        <v>0</v>
      </c>
      <c r="J322" s="79">
        <f t="shared" si="136"/>
        <v>30</v>
      </c>
      <c r="K322" s="84">
        <v>25</v>
      </c>
      <c r="L322" s="81">
        <f t="shared" si="135"/>
        <v>31.690002750000001</v>
      </c>
      <c r="M322" s="82">
        <f t="shared" si="152"/>
        <v>0</v>
      </c>
      <c r="N322" s="82">
        <f t="shared" si="153"/>
        <v>0</v>
      </c>
      <c r="O322" s="82">
        <f>N322+'BM 004'!O322</f>
        <v>0</v>
      </c>
      <c r="P322" s="80">
        <f t="shared" si="154"/>
        <v>750</v>
      </c>
      <c r="Q322" s="82">
        <f t="shared" si="155"/>
        <v>950.7</v>
      </c>
      <c r="R322" s="82">
        <f t="shared" si="156"/>
        <v>950.7</v>
      </c>
    </row>
    <row r="323" spans="2:18" s="34" customFormat="1" ht="46.2">
      <c r="B323" s="75" t="s">
        <v>638</v>
      </c>
      <c r="C323" s="76" t="s">
        <v>639</v>
      </c>
      <c r="D323" s="77" t="s">
        <v>39</v>
      </c>
      <c r="E323" s="78">
        <v>2</v>
      </c>
      <c r="F323" s="79"/>
      <c r="G323" s="79"/>
      <c r="H323" s="79"/>
      <c r="I323" s="79">
        <f>SUM(G323:H323)+'BM 004'!I323</f>
        <v>0</v>
      </c>
      <c r="J323" s="79">
        <f t="shared" si="136"/>
        <v>2</v>
      </c>
      <c r="K323" s="84">
        <v>1800</v>
      </c>
      <c r="L323" s="81">
        <f t="shared" si="135"/>
        <v>2281.680198</v>
      </c>
      <c r="M323" s="82">
        <f t="shared" si="152"/>
        <v>0</v>
      </c>
      <c r="N323" s="82">
        <f t="shared" si="153"/>
        <v>0</v>
      </c>
      <c r="O323" s="82">
        <f>N323+'BM 004'!O323</f>
        <v>0</v>
      </c>
      <c r="P323" s="80">
        <f t="shared" si="154"/>
        <v>3600</v>
      </c>
      <c r="Q323" s="82">
        <f t="shared" si="155"/>
        <v>4563.3599999999997</v>
      </c>
      <c r="R323" s="82">
        <f t="shared" si="156"/>
        <v>4563.3599999999997</v>
      </c>
    </row>
    <row r="324" spans="2:18" s="34" customFormat="1" ht="23.4">
      <c r="B324" s="75" t="s">
        <v>640</v>
      </c>
      <c r="C324" s="76" t="s">
        <v>641</v>
      </c>
      <c r="D324" s="77" t="s">
        <v>39</v>
      </c>
      <c r="E324" s="78">
        <v>17</v>
      </c>
      <c r="F324" s="79"/>
      <c r="G324" s="79"/>
      <c r="H324" s="79"/>
      <c r="I324" s="79">
        <f>SUM(G324:H324)+'BM 004'!I324</f>
        <v>0</v>
      </c>
      <c r="J324" s="79">
        <f t="shared" si="136"/>
        <v>17</v>
      </c>
      <c r="K324" s="84">
        <v>160</v>
      </c>
      <c r="L324" s="81">
        <f t="shared" si="135"/>
        <v>202.81601760000001</v>
      </c>
      <c r="M324" s="82">
        <f t="shared" si="152"/>
        <v>0</v>
      </c>
      <c r="N324" s="82">
        <f t="shared" si="153"/>
        <v>0</v>
      </c>
      <c r="O324" s="82">
        <f>N324+'BM 004'!O324</f>
        <v>0</v>
      </c>
      <c r="P324" s="80">
        <f t="shared" si="154"/>
        <v>2720</v>
      </c>
      <c r="Q324" s="82">
        <f t="shared" si="155"/>
        <v>3447.87</v>
      </c>
      <c r="R324" s="82">
        <f t="shared" si="156"/>
        <v>3447.87</v>
      </c>
    </row>
    <row r="325" spans="2:18" s="34" customFormat="1" ht="13.2">
      <c r="B325" s="75" t="s">
        <v>642</v>
      </c>
      <c r="C325" s="76" t="s">
        <v>643</v>
      </c>
      <c r="D325" s="77" t="s">
        <v>39</v>
      </c>
      <c r="E325" s="78">
        <v>100</v>
      </c>
      <c r="F325" s="79"/>
      <c r="G325" s="79"/>
      <c r="H325" s="79"/>
      <c r="I325" s="79">
        <f>SUM(G325:H325)+'BM 004'!I325</f>
        <v>0</v>
      </c>
      <c r="J325" s="79">
        <f t="shared" si="136"/>
        <v>100</v>
      </c>
      <c r="K325" s="84">
        <v>5.27</v>
      </c>
      <c r="L325" s="81">
        <f t="shared" si="135"/>
        <v>6.6802525796999994</v>
      </c>
      <c r="M325" s="82">
        <f t="shared" si="152"/>
        <v>0</v>
      </c>
      <c r="N325" s="82">
        <f t="shared" si="153"/>
        <v>0</v>
      </c>
      <c r="O325" s="82">
        <f>N325+'BM 004'!O325</f>
        <v>0</v>
      </c>
      <c r="P325" s="80">
        <f t="shared" si="154"/>
        <v>527</v>
      </c>
      <c r="Q325" s="82">
        <f t="shared" si="155"/>
        <v>668.02</v>
      </c>
      <c r="R325" s="82">
        <f t="shared" si="156"/>
        <v>668.02</v>
      </c>
    </row>
    <row r="326" spans="2:18" s="34" customFormat="1" ht="23.25" customHeight="1">
      <c r="B326" s="75" t="s">
        <v>644</v>
      </c>
      <c r="C326" s="76" t="s">
        <v>645</v>
      </c>
      <c r="D326" s="77" t="s">
        <v>124</v>
      </c>
      <c r="E326" s="78">
        <v>12</v>
      </c>
      <c r="F326" s="79"/>
      <c r="G326" s="79"/>
      <c r="H326" s="79"/>
      <c r="I326" s="79">
        <f>SUM(G326:H326)+'BM 004'!I326</f>
        <v>0</v>
      </c>
      <c r="J326" s="79">
        <f t="shared" si="136"/>
        <v>12</v>
      </c>
      <c r="K326" s="84">
        <v>15.39</v>
      </c>
      <c r="L326" s="81">
        <f t="shared" si="135"/>
        <v>19.5083656929</v>
      </c>
      <c r="M326" s="82">
        <f t="shared" si="152"/>
        <v>0</v>
      </c>
      <c r="N326" s="82">
        <f t="shared" si="153"/>
        <v>0</v>
      </c>
      <c r="O326" s="82">
        <f>N326+'BM 004'!O326</f>
        <v>0</v>
      </c>
      <c r="P326" s="80">
        <f t="shared" si="154"/>
        <v>184.68</v>
      </c>
      <c r="Q326" s="82">
        <f t="shared" si="155"/>
        <v>234.1</v>
      </c>
      <c r="R326" s="82">
        <f t="shared" si="156"/>
        <v>234.1</v>
      </c>
    </row>
    <row r="327" spans="2:18" s="34" customFormat="1" ht="23.4">
      <c r="B327" s="75" t="s">
        <v>646</v>
      </c>
      <c r="C327" s="76" t="s">
        <v>647</v>
      </c>
      <c r="D327" s="77" t="s">
        <v>39</v>
      </c>
      <c r="E327" s="78">
        <v>17</v>
      </c>
      <c r="F327" s="79"/>
      <c r="G327" s="79"/>
      <c r="H327" s="79"/>
      <c r="I327" s="79">
        <f>SUM(G327:H327)+'BM 004'!I327</f>
        <v>0</v>
      </c>
      <c r="J327" s="79">
        <f t="shared" si="136"/>
        <v>17</v>
      </c>
      <c r="K327" s="84">
        <v>50</v>
      </c>
      <c r="L327" s="81">
        <f t="shared" si="135"/>
        <v>63.380005500000003</v>
      </c>
      <c r="M327" s="82">
        <f t="shared" si="152"/>
        <v>0</v>
      </c>
      <c r="N327" s="82">
        <f t="shared" si="153"/>
        <v>0</v>
      </c>
      <c r="O327" s="82">
        <f>N327+'BM 004'!O327</f>
        <v>0</v>
      </c>
      <c r="P327" s="80">
        <f t="shared" si="154"/>
        <v>850</v>
      </c>
      <c r="Q327" s="82">
        <f t="shared" si="155"/>
        <v>1077.46</v>
      </c>
      <c r="R327" s="82">
        <f t="shared" si="156"/>
        <v>1077.46</v>
      </c>
    </row>
    <row r="328" spans="2:18" s="34" customFormat="1" ht="13.2">
      <c r="B328" s="60" t="s">
        <v>648</v>
      </c>
      <c r="C328" s="61" t="s">
        <v>649</v>
      </c>
      <c r="D328" s="60"/>
      <c r="E328" s="62"/>
      <c r="F328" s="63"/>
      <c r="G328" s="63"/>
      <c r="H328" s="63"/>
      <c r="I328" s="63">
        <f>SUM(G328:H328)+'BM 004'!I328</f>
        <v>0</v>
      </c>
      <c r="J328" s="63">
        <f t="shared" si="136"/>
        <v>0</v>
      </c>
      <c r="K328" s="63"/>
      <c r="L328" s="63">
        <f t="shared" si="135"/>
        <v>0</v>
      </c>
      <c r="M328" s="63">
        <f t="shared" ref="M328:R328" si="157">SUM(M329,M337,M395,M406,M474)</f>
        <v>0</v>
      </c>
      <c r="N328" s="63">
        <f t="shared" si="157"/>
        <v>0</v>
      </c>
      <c r="O328" s="63">
        <f t="shared" si="157"/>
        <v>0</v>
      </c>
      <c r="P328" s="63">
        <f t="shared" si="157"/>
        <v>482517.43010000006</v>
      </c>
      <c r="Q328" s="63">
        <f t="shared" si="157"/>
        <v>611638.38000000012</v>
      </c>
      <c r="R328" s="63">
        <f t="shared" si="157"/>
        <v>611638.38000000012</v>
      </c>
    </row>
    <row r="329" spans="2:18" s="34" customFormat="1" ht="13.2">
      <c r="B329" s="66" t="s">
        <v>650</v>
      </c>
      <c r="C329" s="67" t="s">
        <v>651</v>
      </c>
      <c r="D329" s="68"/>
      <c r="E329" s="69"/>
      <c r="F329" s="70"/>
      <c r="G329" s="70"/>
      <c r="H329" s="70"/>
      <c r="I329" s="70">
        <f>SUM(G329:H329)+'BM 004'!I329</f>
        <v>0</v>
      </c>
      <c r="J329" s="70">
        <f t="shared" si="136"/>
        <v>0</v>
      </c>
      <c r="K329" s="71"/>
      <c r="L329" s="71">
        <f t="shared" si="135"/>
        <v>0</v>
      </c>
      <c r="M329" s="73">
        <f t="shared" ref="M329:R329" si="158">SUM(M330:M336)</f>
        <v>0</v>
      </c>
      <c r="N329" s="73">
        <f t="shared" si="158"/>
        <v>0</v>
      </c>
      <c r="O329" s="73">
        <f t="shared" si="158"/>
        <v>0</v>
      </c>
      <c r="P329" s="73">
        <f t="shared" si="158"/>
        <v>39545.715000000004</v>
      </c>
      <c r="Q329" s="73">
        <f t="shared" si="158"/>
        <v>50128.12</v>
      </c>
      <c r="R329" s="73">
        <f t="shared" si="158"/>
        <v>50128.12</v>
      </c>
    </row>
    <row r="330" spans="2:18" s="34" customFormat="1" ht="23.4">
      <c r="B330" s="75" t="s">
        <v>652</v>
      </c>
      <c r="C330" s="76" t="s">
        <v>653</v>
      </c>
      <c r="D330" s="77" t="s">
        <v>82</v>
      </c>
      <c r="E330" s="90">
        <v>9.3800000000000008</v>
      </c>
      <c r="F330" s="91"/>
      <c r="G330" s="91"/>
      <c r="H330" s="91"/>
      <c r="I330" s="91">
        <f>SUM(G330:H330)+'BM 004'!I330</f>
        <v>0</v>
      </c>
      <c r="J330" s="91">
        <f t="shared" si="136"/>
        <v>9.3800000000000008</v>
      </c>
      <c r="K330" s="80">
        <v>6.5</v>
      </c>
      <c r="L330" s="81">
        <f t="shared" si="135"/>
        <v>8.2394007150000004</v>
      </c>
      <c r="M330" s="82">
        <f t="shared" ref="M330:M336" si="159">TRUNC(F330*L330,2)</f>
        <v>0</v>
      </c>
      <c r="N330" s="82">
        <f t="shared" ref="N330:N336" si="160">TRUNC(G330*L330,2)</f>
        <v>0</v>
      </c>
      <c r="O330" s="82">
        <f>N330+'BM 004'!O330</f>
        <v>0</v>
      </c>
      <c r="P330" s="80">
        <f t="shared" ref="P330:P336" si="161">E330*K330</f>
        <v>60.970000000000006</v>
      </c>
      <c r="Q330" s="82">
        <f t="shared" ref="Q330:Q336" si="162">TRUNC(E330*L330,2)</f>
        <v>77.28</v>
      </c>
      <c r="R330" s="82">
        <f t="shared" ref="R330:R336" si="163">Q330-O330</f>
        <v>77.28</v>
      </c>
    </row>
    <row r="331" spans="2:18" s="34" customFormat="1" ht="23.4">
      <c r="B331" s="75" t="s">
        <v>654</v>
      </c>
      <c r="C331" s="76" t="s">
        <v>655</v>
      </c>
      <c r="D331" s="77" t="s">
        <v>82</v>
      </c>
      <c r="E331" s="90">
        <v>1074.94</v>
      </c>
      <c r="F331" s="91"/>
      <c r="G331" s="91"/>
      <c r="H331" s="91"/>
      <c r="I331" s="91">
        <f>SUM(G331:H331)+'BM 004'!I331</f>
        <v>0</v>
      </c>
      <c r="J331" s="91">
        <f t="shared" si="136"/>
        <v>1074.94</v>
      </c>
      <c r="K331" s="80">
        <v>8</v>
      </c>
      <c r="L331" s="81">
        <f t="shared" si="135"/>
        <v>10.14080088</v>
      </c>
      <c r="M331" s="82">
        <f t="shared" si="159"/>
        <v>0</v>
      </c>
      <c r="N331" s="82">
        <f t="shared" si="160"/>
        <v>0</v>
      </c>
      <c r="O331" s="82">
        <f>N331+'BM 004'!O331</f>
        <v>0</v>
      </c>
      <c r="P331" s="80">
        <f t="shared" si="161"/>
        <v>8599.52</v>
      </c>
      <c r="Q331" s="82">
        <f t="shared" si="162"/>
        <v>10900.75</v>
      </c>
      <c r="R331" s="82">
        <f t="shared" si="163"/>
        <v>10900.75</v>
      </c>
    </row>
    <row r="332" spans="2:18" s="34" customFormat="1" ht="23.4">
      <c r="B332" s="75" t="s">
        <v>656</v>
      </c>
      <c r="C332" s="76" t="s">
        <v>657</v>
      </c>
      <c r="D332" s="77" t="s">
        <v>82</v>
      </c>
      <c r="E332" s="93">
        <v>17.41</v>
      </c>
      <c r="F332" s="79"/>
      <c r="G332" s="79"/>
      <c r="H332" s="79"/>
      <c r="I332" s="79">
        <f>SUM(G332:H332)+'BM 004'!I332</f>
        <v>0</v>
      </c>
      <c r="J332" s="79">
        <f t="shared" si="136"/>
        <v>17.41</v>
      </c>
      <c r="K332" s="80">
        <v>17.5</v>
      </c>
      <c r="L332" s="81">
        <f t="shared" si="135"/>
        <v>22.183001924999999</v>
      </c>
      <c r="M332" s="82">
        <f t="shared" si="159"/>
        <v>0</v>
      </c>
      <c r="N332" s="82">
        <f t="shared" si="160"/>
        <v>0</v>
      </c>
      <c r="O332" s="82">
        <f>N332+'BM 004'!O332</f>
        <v>0</v>
      </c>
      <c r="P332" s="80">
        <f t="shared" si="161"/>
        <v>304.67500000000001</v>
      </c>
      <c r="Q332" s="82">
        <f t="shared" si="162"/>
        <v>386.2</v>
      </c>
      <c r="R332" s="82">
        <f t="shared" si="163"/>
        <v>386.2</v>
      </c>
    </row>
    <row r="333" spans="2:18" s="34" customFormat="1" ht="23.4">
      <c r="B333" s="75" t="s">
        <v>658</v>
      </c>
      <c r="C333" s="76" t="s">
        <v>659</v>
      </c>
      <c r="D333" s="77" t="s">
        <v>82</v>
      </c>
      <c r="E333" s="93">
        <v>471.41</v>
      </c>
      <c r="F333" s="79"/>
      <c r="G333" s="79"/>
      <c r="H333" s="79"/>
      <c r="I333" s="79">
        <f>SUM(G333:H333)+'BM 004'!I333</f>
        <v>0</v>
      </c>
      <c r="J333" s="79">
        <f t="shared" si="136"/>
        <v>471.41</v>
      </c>
      <c r="K333" s="80">
        <v>23.5</v>
      </c>
      <c r="L333" s="81">
        <f t="shared" si="135"/>
        <v>29.788602585</v>
      </c>
      <c r="M333" s="82">
        <f t="shared" si="159"/>
        <v>0</v>
      </c>
      <c r="N333" s="82">
        <f t="shared" si="160"/>
        <v>0</v>
      </c>
      <c r="O333" s="82">
        <f>N333+'BM 004'!O333</f>
        <v>0</v>
      </c>
      <c r="P333" s="80">
        <f t="shared" si="161"/>
        <v>11078.135</v>
      </c>
      <c r="Q333" s="82">
        <f t="shared" si="162"/>
        <v>14042.64</v>
      </c>
      <c r="R333" s="82">
        <f t="shared" si="163"/>
        <v>14042.64</v>
      </c>
    </row>
    <row r="334" spans="2:18" s="34" customFormat="1" ht="23.4">
      <c r="B334" s="75" t="s">
        <v>660</v>
      </c>
      <c r="C334" s="76" t="s">
        <v>661</v>
      </c>
      <c r="D334" s="77" t="s">
        <v>82</v>
      </c>
      <c r="E334" s="93">
        <v>25.81</v>
      </c>
      <c r="F334" s="79"/>
      <c r="G334" s="79"/>
      <c r="H334" s="79"/>
      <c r="I334" s="79">
        <f>SUM(G334:H334)+'BM 004'!I334</f>
        <v>0</v>
      </c>
      <c r="J334" s="79">
        <f t="shared" si="136"/>
        <v>25.81</v>
      </c>
      <c r="K334" s="80">
        <v>27.5</v>
      </c>
      <c r="L334" s="81">
        <f t="shared" si="135"/>
        <v>34.859003025</v>
      </c>
      <c r="M334" s="82">
        <f t="shared" si="159"/>
        <v>0</v>
      </c>
      <c r="N334" s="82">
        <f t="shared" si="160"/>
        <v>0</v>
      </c>
      <c r="O334" s="82">
        <f>N334+'BM 004'!O334</f>
        <v>0</v>
      </c>
      <c r="P334" s="80">
        <f t="shared" si="161"/>
        <v>709.77499999999998</v>
      </c>
      <c r="Q334" s="82">
        <f t="shared" si="162"/>
        <v>899.71</v>
      </c>
      <c r="R334" s="82">
        <f t="shared" si="163"/>
        <v>899.71</v>
      </c>
    </row>
    <row r="335" spans="2:18" s="34" customFormat="1" ht="23.4">
      <c r="B335" s="75" t="s">
        <v>662</v>
      </c>
      <c r="C335" s="76" t="s">
        <v>663</v>
      </c>
      <c r="D335" s="77" t="s">
        <v>124</v>
      </c>
      <c r="E335" s="93">
        <v>165.66</v>
      </c>
      <c r="F335" s="79"/>
      <c r="G335" s="79"/>
      <c r="H335" s="79"/>
      <c r="I335" s="79">
        <f>SUM(G335:H335)+'BM 004'!I335</f>
        <v>0</v>
      </c>
      <c r="J335" s="79">
        <f t="shared" si="136"/>
        <v>165.66</v>
      </c>
      <c r="K335" s="80">
        <v>41</v>
      </c>
      <c r="L335" s="81">
        <f t="shared" si="135"/>
        <v>51.971604510000006</v>
      </c>
      <c r="M335" s="82">
        <f t="shared" si="159"/>
        <v>0</v>
      </c>
      <c r="N335" s="82">
        <f t="shared" si="160"/>
        <v>0</v>
      </c>
      <c r="O335" s="82">
        <f>N335+'BM 004'!O335</f>
        <v>0</v>
      </c>
      <c r="P335" s="80">
        <f t="shared" si="161"/>
        <v>6792.0599999999995</v>
      </c>
      <c r="Q335" s="82">
        <f t="shared" si="162"/>
        <v>8609.61</v>
      </c>
      <c r="R335" s="82">
        <f t="shared" si="163"/>
        <v>8609.61</v>
      </c>
    </row>
    <row r="336" spans="2:18" s="34" customFormat="1" ht="23.4">
      <c r="B336" s="75" t="s">
        <v>664</v>
      </c>
      <c r="C336" s="76" t="s">
        <v>665</v>
      </c>
      <c r="D336" s="77" t="s">
        <v>124</v>
      </c>
      <c r="E336" s="93">
        <v>162.16999999999999</v>
      </c>
      <c r="F336" s="79"/>
      <c r="G336" s="79"/>
      <c r="H336" s="79"/>
      <c r="I336" s="79">
        <f>SUM(G336:H336)+'BM 004'!I336</f>
        <v>0</v>
      </c>
      <c r="J336" s="79">
        <f t="shared" si="136"/>
        <v>162.16999999999999</v>
      </c>
      <c r="K336" s="80">
        <v>74</v>
      </c>
      <c r="L336" s="81">
        <f t="shared" si="135"/>
        <v>93.802408140000011</v>
      </c>
      <c r="M336" s="82">
        <f t="shared" si="159"/>
        <v>0</v>
      </c>
      <c r="N336" s="82">
        <f t="shared" si="160"/>
        <v>0</v>
      </c>
      <c r="O336" s="82">
        <f>N336+'BM 004'!O336</f>
        <v>0</v>
      </c>
      <c r="P336" s="80">
        <f t="shared" si="161"/>
        <v>12000.58</v>
      </c>
      <c r="Q336" s="82">
        <f t="shared" si="162"/>
        <v>15211.93</v>
      </c>
      <c r="R336" s="82">
        <f t="shared" si="163"/>
        <v>15211.93</v>
      </c>
    </row>
    <row r="337" spans="2:18" s="34" customFormat="1" ht="24">
      <c r="B337" s="66" t="s">
        <v>666</v>
      </c>
      <c r="C337" s="67" t="s">
        <v>667</v>
      </c>
      <c r="D337" s="68"/>
      <c r="E337" s="69"/>
      <c r="F337" s="70"/>
      <c r="G337" s="70"/>
      <c r="H337" s="70"/>
      <c r="I337" s="70">
        <f>SUM(G337:H337)+'BM 004'!I337</f>
        <v>0</v>
      </c>
      <c r="J337" s="70">
        <f t="shared" si="136"/>
        <v>0</v>
      </c>
      <c r="K337" s="71"/>
      <c r="L337" s="71">
        <f t="shared" si="135"/>
        <v>0</v>
      </c>
      <c r="M337" s="73">
        <f t="shared" ref="M337:R337" si="164">SUM(M338:M394)</f>
        <v>0</v>
      </c>
      <c r="N337" s="73">
        <f t="shared" si="164"/>
        <v>0</v>
      </c>
      <c r="O337" s="73">
        <f t="shared" si="164"/>
        <v>0</v>
      </c>
      <c r="P337" s="73">
        <f t="shared" si="164"/>
        <v>49585.86</v>
      </c>
      <c r="Q337" s="73">
        <f t="shared" si="164"/>
        <v>62854.749999999985</v>
      </c>
      <c r="R337" s="73">
        <f t="shared" si="164"/>
        <v>62854.749999999985</v>
      </c>
    </row>
    <row r="338" spans="2:18" s="34" customFormat="1" ht="46.2">
      <c r="B338" s="75" t="s">
        <v>668</v>
      </c>
      <c r="C338" s="76" t="s">
        <v>669</v>
      </c>
      <c r="D338" s="77" t="s">
        <v>131</v>
      </c>
      <c r="E338" s="93">
        <v>2</v>
      </c>
      <c r="F338" s="79"/>
      <c r="G338" s="79"/>
      <c r="H338" s="79"/>
      <c r="I338" s="79">
        <f>SUM(G338:H338)+'BM 004'!I338</f>
        <v>0</v>
      </c>
      <c r="J338" s="79">
        <f t="shared" si="136"/>
        <v>2</v>
      </c>
      <c r="K338" s="80">
        <v>119</v>
      </c>
      <c r="L338" s="81">
        <f t="shared" si="135"/>
        <v>150.84441309000002</v>
      </c>
      <c r="M338" s="82">
        <f t="shared" ref="M338:M369" si="165">TRUNC(F338*L338,2)</f>
        <v>0</v>
      </c>
      <c r="N338" s="82">
        <f t="shared" ref="N338:N369" si="166">TRUNC(G338*L338,2)</f>
        <v>0</v>
      </c>
      <c r="O338" s="82">
        <f>N338+'BM 004'!O338</f>
        <v>0</v>
      </c>
      <c r="P338" s="80">
        <f t="shared" ref="P338:P369" si="167">E338*K338</f>
        <v>238</v>
      </c>
      <c r="Q338" s="82">
        <f t="shared" ref="Q338:Q369" si="168">TRUNC(E338*L338,2)</f>
        <v>301.68</v>
      </c>
      <c r="R338" s="82">
        <f t="shared" ref="R338:R369" si="169">Q338-O338</f>
        <v>301.68</v>
      </c>
    </row>
    <row r="339" spans="2:18" s="34" customFormat="1" ht="46.2">
      <c r="B339" s="75" t="s">
        <v>670</v>
      </c>
      <c r="C339" s="76" t="s">
        <v>671</v>
      </c>
      <c r="D339" s="77" t="s">
        <v>131</v>
      </c>
      <c r="E339" s="93">
        <v>12</v>
      </c>
      <c r="F339" s="79"/>
      <c r="G339" s="79"/>
      <c r="H339" s="79"/>
      <c r="I339" s="79">
        <f>SUM(G339:H339)+'BM 004'!I339</f>
        <v>0</v>
      </c>
      <c r="J339" s="79">
        <f t="shared" si="136"/>
        <v>12</v>
      </c>
      <c r="K339" s="80">
        <v>215</v>
      </c>
      <c r="L339" s="81">
        <f t="shared" si="135"/>
        <v>272.53402364999999</v>
      </c>
      <c r="M339" s="82">
        <f t="shared" si="165"/>
        <v>0</v>
      </c>
      <c r="N339" s="82">
        <f t="shared" si="166"/>
        <v>0</v>
      </c>
      <c r="O339" s="82">
        <f>N339+'BM 004'!O339</f>
        <v>0</v>
      </c>
      <c r="P339" s="80">
        <f t="shared" si="167"/>
        <v>2580</v>
      </c>
      <c r="Q339" s="82">
        <f t="shared" si="168"/>
        <v>3270.4</v>
      </c>
      <c r="R339" s="82">
        <f t="shared" si="169"/>
        <v>3270.4</v>
      </c>
    </row>
    <row r="340" spans="2:18" s="34" customFormat="1" ht="23.4">
      <c r="B340" s="75" t="s">
        <v>672</v>
      </c>
      <c r="C340" s="76" t="s">
        <v>673</v>
      </c>
      <c r="D340" s="77" t="s">
        <v>131</v>
      </c>
      <c r="E340" s="93">
        <v>15</v>
      </c>
      <c r="F340" s="79"/>
      <c r="G340" s="79"/>
      <c r="H340" s="79"/>
      <c r="I340" s="79">
        <f>SUM(G340:H340)+'BM 004'!I340</f>
        <v>0</v>
      </c>
      <c r="J340" s="79">
        <f t="shared" si="136"/>
        <v>15</v>
      </c>
      <c r="K340" s="80">
        <v>98</v>
      </c>
      <c r="L340" s="81">
        <f t="shared" si="135"/>
        <v>124.22481078000001</v>
      </c>
      <c r="M340" s="82">
        <f t="shared" si="165"/>
        <v>0</v>
      </c>
      <c r="N340" s="82">
        <f t="shared" si="166"/>
        <v>0</v>
      </c>
      <c r="O340" s="82">
        <f>N340+'BM 004'!O340</f>
        <v>0</v>
      </c>
      <c r="P340" s="80">
        <f t="shared" si="167"/>
        <v>1470</v>
      </c>
      <c r="Q340" s="82">
        <f t="shared" si="168"/>
        <v>1863.37</v>
      </c>
      <c r="R340" s="82">
        <f t="shared" si="169"/>
        <v>1863.37</v>
      </c>
    </row>
    <row r="341" spans="2:18" s="34" customFormat="1" ht="34.799999999999997">
      <c r="B341" s="75" t="s">
        <v>674</v>
      </c>
      <c r="C341" s="76" t="s">
        <v>675</v>
      </c>
      <c r="D341" s="77" t="s">
        <v>131</v>
      </c>
      <c r="E341" s="93">
        <v>5</v>
      </c>
      <c r="F341" s="79"/>
      <c r="G341" s="79"/>
      <c r="H341" s="79"/>
      <c r="I341" s="79">
        <f>SUM(G341:H341)+'BM 004'!I341</f>
        <v>0</v>
      </c>
      <c r="J341" s="79">
        <f t="shared" si="136"/>
        <v>5</v>
      </c>
      <c r="K341" s="80">
        <v>52</v>
      </c>
      <c r="L341" s="81">
        <f t="shared" si="135"/>
        <v>65.915205720000003</v>
      </c>
      <c r="M341" s="82">
        <f t="shared" si="165"/>
        <v>0</v>
      </c>
      <c r="N341" s="82">
        <f t="shared" si="166"/>
        <v>0</v>
      </c>
      <c r="O341" s="82">
        <f>N341+'BM 004'!O341</f>
        <v>0</v>
      </c>
      <c r="P341" s="80">
        <f t="shared" si="167"/>
        <v>260</v>
      </c>
      <c r="Q341" s="82">
        <f t="shared" si="168"/>
        <v>329.57</v>
      </c>
      <c r="R341" s="82">
        <f t="shared" si="169"/>
        <v>329.57</v>
      </c>
    </row>
    <row r="342" spans="2:18" s="34" customFormat="1" ht="34.799999999999997">
      <c r="B342" s="75" t="s">
        <v>676</v>
      </c>
      <c r="C342" s="76" t="s">
        <v>677</v>
      </c>
      <c r="D342" s="77" t="s">
        <v>131</v>
      </c>
      <c r="E342" s="93">
        <v>160</v>
      </c>
      <c r="F342" s="79"/>
      <c r="G342" s="79"/>
      <c r="H342" s="79"/>
      <c r="I342" s="79">
        <f>SUM(G342:H342)+'BM 004'!I342</f>
        <v>0</v>
      </c>
      <c r="J342" s="79">
        <f t="shared" si="136"/>
        <v>160</v>
      </c>
      <c r="K342" s="80">
        <v>105.95</v>
      </c>
      <c r="L342" s="81">
        <f t="shared" si="135"/>
        <v>134.30223165450002</v>
      </c>
      <c r="M342" s="82">
        <f t="shared" si="165"/>
        <v>0</v>
      </c>
      <c r="N342" s="82">
        <f t="shared" si="166"/>
        <v>0</v>
      </c>
      <c r="O342" s="82">
        <f>N342+'BM 004'!O342</f>
        <v>0</v>
      </c>
      <c r="P342" s="80">
        <f t="shared" si="167"/>
        <v>16952</v>
      </c>
      <c r="Q342" s="82">
        <f t="shared" si="168"/>
        <v>21488.35</v>
      </c>
      <c r="R342" s="82">
        <f t="shared" si="169"/>
        <v>21488.35</v>
      </c>
    </row>
    <row r="343" spans="2:18" s="34" customFormat="1" ht="23.4">
      <c r="B343" s="75" t="s">
        <v>678</v>
      </c>
      <c r="C343" s="76" t="s">
        <v>679</v>
      </c>
      <c r="D343" s="77" t="s">
        <v>131</v>
      </c>
      <c r="E343" s="93">
        <v>11</v>
      </c>
      <c r="F343" s="79"/>
      <c r="G343" s="79"/>
      <c r="H343" s="79"/>
      <c r="I343" s="79">
        <f>SUM(G343:H343)+'BM 004'!I343</f>
        <v>0</v>
      </c>
      <c r="J343" s="79">
        <f t="shared" si="136"/>
        <v>11</v>
      </c>
      <c r="K343" s="80">
        <v>485</v>
      </c>
      <c r="L343" s="81">
        <f t="shared" si="135"/>
        <v>614.78605334999997</v>
      </c>
      <c r="M343" s="82">
        <f t="shared" si="165"/>
        <v>0</v>
      </c>
      <c r="N343" s="82">
        <f t="shared" si="166"/>
        <v>0</v>
      </c>
      <c r="O343" s="82">
        <f>N343+'BM 004'!O343</f>
        <v>0</v>
      </c>
      <c r="P343" s="80">
        <f t="shared" si="167"/>
        <v>5335</v>
      </c>
      <c r="Q343" s="82">
        <f t="shared" si="168"/>
        <v>6762.64</v>
      </c>
      <c r="R343" s="82">
        <f t="shared" si="169"/>
        <v>6762.64</v>
      </c>
    </row>
    <row r="344" spans="2:18" s="34" customFormat="1" ht="34.799999999999997">
      <c r="B344" s="75" t="s">
        <v>680</v>
      </c>
      <c r="C344" s="88" t="s">
        <v>681</v>
      </c>
      <c r="D344" s="89" t="s">
        <v>131</v>
      </c>
      <c r="E344" s="90">
        <v>3</v>
      </c>
      <c r="F344" s="91"/>
      <c r="G344" s="91"/>
      <c r="H344" s="91"/>
      <c r="I344" s="91">
        <f>SUM(G344:H344)+'BM 004'!I344</f>
        <v>0</v>
      </c>
      <c r="J344" s="91">
        <f t="shared" si="136"/>
        <v>3</v>
      </c>
      <c r="K344" s="80">
        <v>165</v>
      </c>
      <c r="L344" s="81">
        <f t="shared" si="135"/>
        <v>209.15401815000001</v>
      </c>
      <c r="M344" s="82">
        <f t="shared" si="165"/>
        <v>0</v>
      </c>
      <c r="N344" s="82">
        <f t="shared" si="166"/>
        <v>0</v>
      </c>
      <c r="O344" s="82">
        <f>N344+'BM 004'!O344</f>
        <v>0</v>
      </c>
      <c r="P344" s="80">
        <f t="shared" si="167"/>
        <v>495</v>
      </c>
      <c r="Q344" s="82">
        <f t="shared" si="168"/>
        <v>627.46</v>
      </c>
      <c r="R344" s="82">
        <f t="shared" si="169"/>
        <v>627.46</v>
      </c>
    </row>
    <row r="345" spans="2:18" s="34" customFormat="1" ht="23.4">
      <c r="B345" s="75" t="s">
        <v>682</v>
      </c>
      <c r="C345" s="88" t="s">
        <v>683</v>
      </c>
      <c r="D345" s="89" t="s">
        <v>131</v>
      </c>
      <c r="E345" s="90">
        <v>1</v>
      </c>
      <c r="F345" s="91"/>
      <c r="G345" s="91"/>
      <c r="H345" s="91"/>
      <c r="I345" s="91">
        <f>SUM(G345:H345)+'BM 004'!I345</f>
        <v>0</v>
      </c>
      <c r="J345" s="91">
        <f t="shared" si="136"/>
        <v>1</v>
      </c>
      <c r="K345" s="80">
        <v>169</v>
      </c>
      <c r="L345" s="81">
        <f t="shared" si="135"/>
        <v>214.22441859</v>
      </c>
      <c r="M345" s="82">
        <f t="shared" si="165"/>
        <v>0</v>
      </c>
      <c r="N345" s="82">
        <f t="shared" si="166"/>
        <v>0</v>
      </c>
      <c r="O345" s="82">
        <f>N345+'BM 004'!O345</f>
        <v>0</v>
      </c>
      <c r="P345" s="80">
        <f t="shared" si="167"/>
        <v>169</v>
      </c>
      <c r="Q345" s="82">
        <f t="shared" si="168"/>
        <v>214.22</v>
      </c>
      <c r="R345" s="82">
        <f t="shared" si="169"/>
        <v>214.22</v>
      </c>
    </row>
    <row r="346" spans="2:18" s="34" customFormat="1" ht="23.4">
      <c r="B346" s="75" t="s">
        <v>684</v>
      </c>
      <c r="C346" s="88" t="s">
        <v>685</v>
      </c>
      <c r="D346" s="89" t="s">
        <v>131</v>
      </c>
      <c r="E346" s="90">
        <v>1</v>
      </c>
      <c r="F346" s="91"/>
      <c r="G346" s="91"/>
      <c r="H346" s="91"/>
      <c r="I346" s="91">
        <f>SUM(G346:H346)+'BM 004'!I346</f>
        <v>0</v>
      </c>
      <c r="J346" s="91">
        <f t="shared" si="136"/>
        <v>1</v>
      </c>
      <c r="K346" s="80">
        <v>99</v>
      </c>
      <c r="L346" s="81">
        <f t="shared" si="135"/>
        <v>125.49241089</v>
      </c>
      <c r="M346" s="82">
        <f t="shared" si="165"/>
        <v>0</v>
      </c>
      <c r="N346" s="82">
        <f t="shared" si="166"/>
        <v>0</v>
      </c>
      <c r="O346" s="82">
        <f>N346+'BM 004'!O346</f>
        <v>0</v>
      </c>
      <c r="P346" s="80">
        <f t="shared" si="167"/>
        <v>99</v>
      </c>
      <c r="Q346" s="82">
        <f t="shared" si="168"/>
        <v>125.49</v>
      </c>
      <c r="R346" s="82">
        <f t="shared" si="169"/>
        <v>125.49</v>
      </c>
    </row>
    <row r="347" spans="2:18" s="34" customFormat="1" ht="23.4">
      <c r="B347" s="75" t="s">
        <v>686</v>
      </c>
      <c r="C347" s="88" t="s">
        <v>687</v>
      </c>
      <c r="D347" s="89" t="s">
        <v>131</v>
      </c>
      <c r="E347" s="90">
        <v>1</v>
      </c>
      <c r="F347" s="91"/>
      <c r="G347" s="91"/>
      <c r="H347" s="91"/>
      <c r="I347" s="91">
        <f>SUM(G347:H347)+'BM 004'!I347</f>
        <v>0</v>
      </c>
      <c r="J347" s="91">
        <f t="shared" si="136"/>
        <v>1</v>
      </c>
      <c r="K347" s="80">
        <v>265</v>
      </c>
      <c r="L347" s="81">
        <f t="shared" si="135"/>
        <v>335.91402915000003</v>
      </c>
      <c r="M347" s="82">
        <f t="shared" si="165"/>
        <v>0</v>
      </c>
      <c r="N347" s="82">
        <f t="shared" si="166"/>
        <v>0</v>
      </c>
      <c r="O347" s="82">
        <f>N347+'BM 004'!O347</f>
        <v>0</v>
      </c>
      <c r="P347" s="80">
        <f t="shared" si="167"/>
        <v>265</v>
      </c>
      <c r="Q347" s="82">
        <f t="shared" si="168"/>
        <v>335.91</v>
      </c>
      <c r="R347" s="82">
        <f t="shared" si="169"/>
        <v>335.91</v>
      </c>
    </row>
    <row r="348" spans="2:18" s="34" customFormat="1" ht="57.6">
      <c r="B348" s="75" t="s">
        <v>688</v>
      </c>
      <c r="C348" s="88" t="s">
        <v>689</v>
      </c>
      <c r="D348" s="89" t="s">
        <v>131</v>
      </c>
      <c r="E348" s="90">
        <v>16</v>
      </c>
      <c r="F348" s="91"/>
      <c r="G348" s="91"/>
      <c r="H348" s="91"/>
      <c r="I348" s="91">
        <f>SUM(G348:H348)+'BM 004'!I348</f>
        <v>0</v>
      </c>
      <c r="J348" s="91">
        <f t="shared" si="136"/>
        <v>16</v>
      </c>
      <c r="K348" s="80">
        <v>9.8000000000000007</v>
      </c>
      <c r="L348" s="81">
        <f t="shared" si="135"/>
        <v>12.422481078000002</v>
      </c>
      <c r="M348" s="82">
        <f t="shared" si="165"/>
        <v>0</v>
      </c>
      <c r="N348" s="82">
        <f t="shared" si="166"/>
        <v>0</v>
      </c>
      <c r="O348" s="82">
        <f>N348+'BM 004'!O348</f>
        <v>0</v>
      </c>
      <c r="P348" s="80">
        <f t="shared" si="167"/>
        <v>156.80000000000001</v>
      </c>
      <c r="Q348" s="82">
        <f t="shared" si="168"/>
        <v>198.75</v>
      </c>
      <c r="R348" s="82">
        <f t="shared" si="169"/>
        <v>198.75</v>
      </c>
    </row>
    <row r="349" spans="2:18" s="34" customFormat="1" ht="57.6">
      <c r="B349" s="75" t="s">
        <v>690</v>
      </c>
      <c r="C349" s="88" t="s">
        <v>691</v>
      </c>
      <c r="D349" s="89" t="s">
        <v>131</v>
      </c>
      <c r="E349" s="90">
        <v>4</v>
      </c>
      <c r="F349" s="91"/>
      <c r="G349" s="91"/>
      <c r="H349" s="91"/>
      <c r="I349" s="91">
        <f>SUM(G349:H349)+'BM 004'!I349</f>
        <v>0</v>
      </c>
      <c r="J349" s="91">
        <f t="shared" si="136"/>
        <v>4</v>
      </c>
      <c r="K349" s="80">
        <v>12.5</v>
      </c>
      <c r="L349" s="81">
        <f t="shared" ref="L349:L412" si="170">K349*(1+$T$26)</f>
        <v>15.845001375000001</v>
      </c>
      <c r="M349" s="82">
        <f t="shared" si="165"/>
        <v>0</v>
      </c>
      <c r="N349" s="82">
        <f t="shared" si="166"/>
        <v>0</v>
      </c>
      <c r="O349" s="82">
        <f>N349+'BM 004'!O349</f>
        <v>0</v>
      </c>
      <c r="P349" s="80">
        <f t="shared" si="167"/>
        <v>50</v>
      </c>
      <c r="Q349" s="82">
        <f t="shared" si="168"/>
        <v>63.38</v>
      </c>
      <c r="R349" s="82">
        <f t="shared" si="169"/>
        <v>63.38</v>
      </c>
    </row>
    <row r="350" spans="2:18" s="34" customFormat="1" ht="57.6">
      <c r="B350" s="75" t="s">
        <v>692</v>
      </c>
      <c r="C350" s="88" t="s">
        <v>693</v>
      </c>
      <c r="D350" s="89" t="s">
        <v>131</v>
      </c>
      <c r="E350" s="90">
        <v>2</v>
      </c>
      <c r="F350" s="91"/>
      <c r="G350" s="91"/>
      <c r="H350" s="91"/>
      <c r="I350" s="91">
        <f>SUM(G350:H350)+'BM 004'!I350</f>
        <v>0</v>
      </c>
      <c r="J350" s="91">
        <f t="shared" si="136"/>
        <v>2</v>
      </c>
      <c r="K350" s="80">
        <v>28</v>
      </c>
      <c r="L350" s="81">
        <f t="shared" si="170"/>
        <v>35.492803080000002</v>
      </c>
      <c r="M350" s="82">
        <f t="shared" si="165"/>
        <v>0</v>
      </c>
      <c r="N350" s="82">
        <f t="shared" si="166"/>
        <v>0</v>
      </c>
      <c r="O350" s="82">
        <f>N350+'BM 004'!O350</f>
        <v>0</v>
      </c>
      <c r="P350" s="80">
        <f t="shared" si="167"/>
        <v>56</v>
      </c>
      <c r="Q350" s="82">
        <f t="shared" si="168"/>
        <v>70.98</v>
      </c>
      <c r="R350" s="82">
        <f t="shared" si="169"/>
        <v>70.98</v>
      </c>
    </row>
    <row r="351" spans="2:18" s="34" customFormat="1" ht="57.6">
      <c r="B351" s="75" t="s">
        <v>694</v>
      </c>
      <c r="C351" s="88" t="s">
        <v>695</v>
      </c>
      <c r="D351" s="89" t="s">
        <v>131</v>
      </c>
      <c r="E351" s="90">
        <v>30</v>
      </c>
      <c r="F351" s="91"/>
      <c r="G351" s="91"/>
      <c r="H351" s="91"/>
      <c r="I351" s="91">
        <f>SUM(G351:H351)+'BM 004'!I351</f>
        <v>0</v>
      </c>
      <c r="J351" s="91">
        <f t="shared" ref="J351:J414" si="171">E351-I351</f>
        <v>30</v>
      </c>
      <c r="K351" s="80">
        <v>38</v>
      </c>
      <c r="L351" s="81">
        <f t="shared" si="170"/>
        <v>48.168804180000002</v>
      </c>
      <c r="M351" s="82">
        <f t="shared" si="165"/>
        <v>0</v>
      </c>
      <c r="N351" s="82">
        <f t="shared" si="166"/>
        <v>0</v>
      </c>
      <c r="O351" s="82">
        <f>N351+'BM 004'!O351</f>
        <v>0</v>
      </c>
      <c r="P351" s="80">
        <f t="shared" si="167"/>
        <v>1140</v>
      </c>
      <c r="Q351" s="82">
        <f t="shared" si="168"/>
        <v>1445.06</v>
      </c>
      <c r="R351" s="82">
        <f t="shared" si="169"/>
        <v>1445.06</v>
      </c>
    </row>
    <row r="352" spans="2:18" s="34" customFormat="1" ht="46.2">
      <c r="B352" s="75" t="s">
        <v>696</v>
      </c>
      <c r="C352" s="88" t="s">
        <v>697</v>
      </c>
      <c r="D352" s="89" t="s">
        <v>131</v>
      </c>
      <c r="E352" s="90">
        <v>320</v>
      </c>
      <c r="F352" s="91"/>
      <c r="G352" s="91"/>
      <c r="H352" s="91"/>
      <c r="I352" s="91">
        <f>SUM(G352:H352)+'BM 004'!I352</f>
        <v>0</v>
      </c>
      <c r="J352" s="91">
        <f t="shared" si="171"/>
        <v>320</v>
      </c>
      <c r="K352" s="80">
        <v>5.33</v>
      </c>
      <c r="L352" s="81">
        <f t="shared" si="170"/>
        <v>6.7563085863000003</v>
      </c>
      <c r="M352" s="82">
        <f t="shared" si="165"/>
        <v>0</v>
      </c>
      <c r="N352" s="82">
        <f t="shared" si="166"/>
        <v>0</v>
      </c>
      <c r="O352" s="82">
        <f>N352+'BM 004'!O352</f>
        <v>0</v>
      </c>
      <c r="P352" s="80">
        <f t="shared" si="167"/>
        <v>1705.6</v>
      </c>
      <c r="Q352" s="82">
        <f t="shared" si="168"/>
        <v>2162.0100000000002</v>
      </c>
      <c r="R352" s="82">
        <f t="shared" si="169"/>
        <v>2162.0100000000002</v>
      </c>
    </row>
    <row r="353" spans="2:18" s="34" customFormat="1" ht="23.4">
      <c r="B353" s="75" t="s">
        <v>698</v>
      </c>
      <c r="C353" s="88" t="s">
        <v>699</v>
      </c>
      <c r="D353" s="89" t="s">
        <v>131</v>
      </c>
      <c r="E353" s="90">
        <v>12</v>
      </c>
      <c r="F353" s="91"/>
      <c r="G353" s="91"/>
      <c r="H353" s="91"/>
      <c r="I353" s="91">
        <f>SUM(G353:H353)+'BM 004'!I353</f>
        <v>0</v>
      </c>
      <c r="J353" s="91">
        <f t="shared" si="171"/>
        <v>12</v>
      </c>
      <c r="K353" s="80">
        <v>4.92</v>
      </c>
      <c r="L353" s="81">
        <f t="shared" si="170"/>
        <v>6.2365925412000003</v>
      </c>
      <c r="M353" s="82">
        <f t="shared" si="165"/>
        <v>0</v>
      </c>
      <c r="N353" s="82">
        <f t="shared" si="166"/>
        <v>0</v>
      </c>
      <c r="O353" s="82">
        <f>N353+'BM 004'!O353</f>
        <v>0</v>
      </c>
      <c r="P353" s="80">
        <f t="shared" si="167"/>
        <v>59.04</v>
      </c>
      <c r="Q353" s="82">
        <f t="shared" si="168"/>
        <v>74.83</v>
      </c>
      <c r="R353" s="82">
        <f t="shared" si="169"/>
        <v>74.83</v>
      </c>
    </row>
    <row r="354" spans="2:18" s="34" customFormat="1" ht="23.4">
      <c r="B354" s="75" t="s">
        <v>700</v>
      </c>
      <c r="C354" s="88" t="s">
        <v>701</v>
      </c>
      <c r="D354" s="89" t="s">
        <v>131</v>
      </c>
      <c r="E354" s="90">
        <v>1</v>
      </c>
      <c r="F354" s="91"/>
      <c r="G354" s="91"/>
      <c r="H354" s="91"/>
      <c r="I354" s="91">
        <f>SUM(G354:H354)+'BM 004'!I354</f>
        <v>0</v>
      </c>
      <c r="J354" s="91">
        <f t="shared" si="171"/>
        <v>1</v>
      </c>
      <c r="K354" s="80">
        <v>5.49</v>
      </c>
      <c r="L354" s="81">
        <f t="shared" si="170"/>
        <v>6.9591246039000003</v>
      </c>
      <c r="M354" s="82">
        <f t="shared" si="165"/>
        <v>0</v>
      </c>
      <c r="N354" s="82">
        <f t="shared" si="166"/>
        <v>0</v>
      </c>
      <c r="O354" s="82">
        <f>N354+'BM 004'!O354</f>
        <v>0</v>
      </c>
      <c r="P354" s="80">
        <f t="shared" si="167"/>
        <v>5.49</v>
      </c>
      <c r="Q354" s="82">
        <f t="shared" si="168"/>
        <v>6.95</v>
      </c>
      <c r="R354" s="82">
        <f t="shared" si="169"/>
        <v>6.95</v>
      </c>
    </row>
    <row r="355" spans="2:18" s="34" customFormat="1" ht="23.4">
      <c r="B355" s="75" t="s">
        <v>702</v>
      </c>
      <c r="C355" s="88" t="s">
        <v>703</v>
      </c>
      <c r="D355" s="89" t="s">
        <v>131</v>
      </c>
      <c r="E355" s="90">
        <v>1</v>
      </c>
      <c r="F355" s="91"/>
      <c r="G355" s="91"/>
      <c r="H355" s="91"/>
      <c r="I355" s="91">
        <f>SUM(G355:H355)+'BM 004'!I355</f>
        <v>0</v>
      </c>
      <c r="J355" s="91">
        <f t="shared" si="171"/>
        <v>1</v>
      </c>
      <c r="K355" s="80">
        <v>8.5</v>
      </c>
      <c r="L355" s="81">
        <f t="shared" si="170"/>
        <v>10.774600935</v>
      </c>
      <c r="M355" s="82">
        <f t="shared" si="165"/>
        <v>0</v>
      </c>
      <c r="N355" s="82">
        <f t="shared" si="166"/>
        <v>0</v>
      </c>
      <c r="O355" s="82">
        <f>N355+'BM 004'!O355</f>
        <v>0</v>
      </c>
      <c r="P355" s="80">
        <f t="shared" si="167"/>
        <v>8.5</v>
      </c>
      <c r="Q355" s="82">
        <f t="shared" si="168"/>
        <v>10.77</v>
      </c>
      <c r="R355" s="82">
        <f t="shared" si="169"/>
        <v>10.77</v>
      </c>
    </row>
    <row r="356" spans="2:18" s="34" customFormat="1" ht="23.4">
      <c r="B356" s="75" t="s">
        <v>704</v>
      </c>
      <c r="C356" s="88" t="s">
        <v>705</v>
      </c>
      <c r="D356" s="89" t="s">
        <v>131</v>
      </c>
      <c r="E356" s="90">
        <v>1</v>
      </c>
      <c r="F356" s="91"/>
      <c r="G356" s="91"/>
      <c r="H356" s="91"/>
      <c r="I356" s="91">
        <f>SUM(G356:H356)+'BM 004'!I356</f>
        <v>0</v>
      </c>
      <c r="J356" s="91">
        <f t="shared" si="171"/>
        <v>1</v>
      </c>
      <c r="K356" s="80">
        <v>14.47</v>
      </c>
      <c r="L356" s="81">
        <f t="shared" si="170"/>
        <v>18.3421735917</v>
      </c>
      <c r="M356" s="82">
        <f t="shared" si="165"/>
        <v>0</v>
      </c>
      <c r="N356" s="82">
        <f t="shared" si="166"/>
        <v>0</v>
      </c>
      <c r="O356" s="82">
        <f>N356+'BM 004'!O356</f>
        <v>0</v>
      </c>
      <c r="P356" s="80">
        <f t="shared" si="167"/>
        <v>14.47</v>
      </c>
      <c r="Q356" s="82">
        <f t="shared" si="168"/>
        <v>18.34</v>
      </c>
      <c r="R356" s="82">
        <f t="shared" si="169"/>
        <v>18.34</v>
      </c>
    </row>
    <row r="357" spans="2:18" s="34" customFormat="1" ht="23.4">
      <c r="B357" s="75" t="s">
        <v>706</v>
      </c>
      <c r="C357" s="88" t="s">
        <v>707</v>
      </c>
      <c r="D357" s="89" t="s">
        <v>131</v>
      </c>
      <c r="E357" s="90">
        <v>4</v>
      </c>
      <c r="F357" s="91"/>
      <c r="G357" s="91"/>
      <c r="H357" s="91"/>
      <c r="I357" s="91">
        <f>SUM(G357:H357)+'BM 004'!I357</f>
        <v>0</v>
      </c>
      <c r="J357" s="91">
        <f t="shared" si="171"/>
        <v>4</v>
      </c>
      <c r="K357" s="80">
        <v>31.9</v>
      </c>
      <c r="L357" s="81">
        <f t="shared" si="170"/>
        <v>40.436443509</v>
      </c>
      <c r="M357" s="82">
        <f t="shared" si="165"/>
        <v>0</v>
      </c>
      <c r="N357" s="82">
        <f t="shared" si="166"/>
        <v>0</v>
      </c>
      <c r="O357" s="82">
        <f>N357+'BM 004'!O357</f>
        <v>0</v>
      </c>
      <c r="P357" s="80">
        <f t="shared" si="167"/>
        <v>127.6</v>
      </c>
      <c r="Q357" s="82">
        <f t="shared" si="168"/>
        <v>161.74</v>
      </c>
      <c r="R357" s="82">
        <f t="shared" si="169"/>
        <v>161.74</v>
      </c>
    </row>
    <row r="358" spans="2:18" s="34" customFormat="1" ht="23.4">
      <c r="B358" s="75" t="s">
        <v>708</v>
      </c>
      <c r="C358" s="88" t="s">
        <v>709</v>
      </c>
      <c r="D358" s="89" t="s">
        <v>131</v>
      </c>
      <c r="E358" s="90">
        <v>1</v>
      </c>
      <c r="F358" s="91"/>
      <c r="G358" s="91"/>
      <c r="H358" s="91"/>
      <c r="I358" s="91">
        <f>SUM(G358:H358)+'BM 004'!I358</f>
        <v>0</v>
      </c>
      <c r="J358" s="91">
        <f t="shared" si="171"/>
        <v>1</v>
      </c>
      <c r="K358" s="80">
        <v>11.22</v>
      </c>
      <c r="L358" s="81">
        <f t="shared" si="170"/>
        <v>14.222473234200001</v>
      </c>
      <c r="M358" s="82">
        <f t="shared" si="165"/>
        <v>0</v>
      </c>
      <c r="N358" s="82">
        <f t="shared" si="166"/>
        <v>0</v>
      </c>
      <c r="O358" s="82">
        <f>N358+'BM 004'!O358</f>
        <v>0</v>
      </c>
      <c r="P358" s="80">
        <f t="shared" si="167"/>
        <v>11.22</v>
      </c>
      <c r="Q358" s="82">
        <f t="shared" si="168"/>
        <v>14.22</v>
      </c>
      <c r="R358" s="82">
        <f t="shared" si="169"/>
        <v>14.22</v>
      </c>
    </row>
    <row r="359" spans="2:18" s="34" customFormat="1" ht="23.4">
      <c r="B359" s="75" t="s">
        <v>710</v>
      </c>
      <c r="C359" s="88" t="s">
        <v>711</v>
      </c>
      <c r="D359" s="89" t="s">
        <v>131</v>
      </c>
      <c r="E359" s="90">
        <v>57</v>
      </c>
      <c r="F359" s="91"/>
      <c r="G359" s="91"/>
      <c r="H359" s="91"/>
      <c r="I359" s="91">
        <f>SUM(G359:H359)+'BM 004'!I359</f>
        <v>0</v>
      </c>
      <c r="J359" s="91">
        <f t="shared" si="171"/>
        <v>57</v>
      </c>
      <c r="K359" s="80">
        <v>14.54</v>
      </c>
      <c r="L359" s="81">
        <f t="shared" si="170"/>
        <v>18.430905599399999</v>
      </c>
      <c r="M359" s="82">
        <f t="shared" si="165"/>
        <v>0</v>
      </c>
      <c r="N359" s="82">
        <f t="shared" si="166"/>
        <v>0</v>
      </c>
      <c r="O359" s="82">
        <f>N359+'BM 004'!O359</f>
        <v>0</v>
      </c>
      <c r="P359" s="80">
        <f t="shared" si="167"/>
        <v>828.78</v>
      </c>
      <c r="Q359" s="82">
        <f t="shared" si="168"/>
        <v>1050.56</v>
      </c>
      <c r="R359" s="82">
        <f t="shared" si="169"/>
        <v>1050.56</v>
      </c>
    </row>
    <row r="360" spans="2:18" s="34" customFormat="1" ht="23.4">
      <c r="B360" s="75" t="s">
        <v>712</v>
      </c>
      <c r="C360" s="88" t="s">
        <v>713</v>
      </c>
      <c r="D360" s="89" t="s">
        <v>131</v>
      </c>
      <c r="E360" s="90">
        <v>1</v>
      </c>
      <c r="F360" s="91"/>
      <c r="G360" s="91"/>
      <c r="H360" s="91"/>
      <c r="I360" s="91">
        <f>SUM(G360:H360)+'BM 004'!I360</f>
        <v>0</v>
      </c>
      <c r="J360" s="91">
        <f t="shared" si="171"/>
        <v>1</v>
      </c>
      <c r="K360" s="80">
        <v>16.8</v>
      </c>
      <c r="L360" s="81">
        <f t="shared" si="170"/>
        <v>21.295681848000001</v>
      </c>
      <c r="M360" s="82">
        <f t="shared" si="165"/>
        <v>0</v>
      </c>
      <c r="N360" s="82">
        <f t="shared" si="166"/>
        <v>0</v>
      </c>
      <c r="O360" s="82">
        <f>N360+'BM 004'!O360</f>
        <v>0</v>
      </c>
      <c r="P360" s="80">
        <f t="shared" si="167"/>
        <v>16.8</v>
      </c>
      <c r="Q360" s="82">
        <f t="shared" si="168"/>
        <v>21.29</v>
      </c>
      <c r="R360" s="82">
        <f t="shared" si="169"/>
        <v>21.29</v>
      </c>
    </row>
    <row r="361" spans="2:18" s="34" customFormat="1" ht="46.2">
      <c r="B361" s="75" t="s">
        <v>714</v>
      </c>
      <c r="C361" s="88" t="s">
        <v>715</v>
      </c>
      <c r="D361" s="89" t="s">
        <v>131</v>
      </c>
      <c r="E361" s="90">
        <v>1</v>
      </c>
      <c r="F361" s="91"/>
      <c r="G361" s="91"/>
      <c r="H361" s="91"/>
      <c r="I361" s="91">
        <f>SUM(G361:H361)+'BM 004'!I361</f>
        <v>0</v>
      </c>
      <c r="J361" s="91">
        <f t="shared" si="171"/>
        <v>1</v>
      </c>
      <c r="K361" s="80">
        <v>25</v>
      </c>
      <c r="L361" s="81">
        <f t="shared" si="170"/>
        <v>31.690002750000001</v>
      </c>
      <c r="M361" s="82">
        <f t="shared" si="165"/>
        <v>0</v>
      </c>
      <c r="N361" s="82">
        <f t="shared" si="166"/>
        <v>0</v>
      </c>
      <c r="O361" s="82">
        <f>N361+'BM 004'!O361</f>
        <v>0</v>
      </c>
      <c r="P361" s="80">
        <f t="shared" si="167"/>
        <v>25</v>
      </c>
      <c r="Q361" s="82">
        <f t="shared" si="168"/>
        <v>31.69</v>
      </c>
      <c r="R361" s="82">
        <f t="shared" si="169"/>
        <v>31.69</v>
      </c>
    </row>
    <row r="362" spans="2:18" s="34" customFormat="1" ht="34.799999999999997">
      <c r="B362" s="75" t="s">
        <v>716</v>
      </c>
      <c r="C362" s="88" t="s">
        <v>717</v>
      </c>
      <c r="D362" s="89" t="s">
        <v>131</v>
      </c>
      <c r="E362" s="90">
        <v>24</v>
      </c>
      <c r="F362" s="91"/>
      <c r="G362" s="91"/>
      <c r="H362" s="91"/>
      <c r="I362" s="91">
        <f>SUM(G362:H362)+'BM 004'!I362</f>
        <v>0</v>
      </c>
      <c r="J362" s="91">
        <f t="shared" si="171"/>
        <v>24</v>
      </c>
      <c r="K362" s="80">
        <v>5.37</v>
      </c>
      <c r="L362" s="81">
        <f t="shared" si="170"/>
        <v>6.8070125907000003</v>
      </c>
      <c r="M362" s="82">
        <f t="shared" si="165"/>
        <v>0</v>
      </c>
      <c r="N362" s="82">
        <f t="shared" si="166"/>
        <v>0</v>
      </c>
      <c r="O362" s="82">
        <f>N362+'BM 004'!O362</f>
        <v>0</v>
      </c>
      <c r="P362" s="80">
        <f t="shared" si="167"/>
        <v>128.88</v>
      </c>
      <c r="Q362" s="82">
        <f t="shared" si="168"/>
        <v>163.36000000000001</v>
      </c>
      <c r="R362" s="82">
        <f t="shared" si="169"/>
        <v>163.36000000000001</v>
      </c>
    </row>
    <row r="363" spans="2:18" s="34" customFormat="1" ht="34.799999999999997">
      <c r="B363" s="75" t="s">
        <v>718</v>
      </c>
      <c r="C363" s="88" t="s">
        <v>719</v>
      </c>
      <c r="D363" s="89" t="s">
        <v>131</v>
      </c>
      <c r="E363" s="90">
        <v>2</v>
      </c>
      <c r="F363" s="91"/>
      <c r="G363" s="91"/>
      <c r="H363" s="91"/>
      <c r="I363" s="91">
        <f>SUM(G363:H363)+'BM 004'!I363</f>
        <v>0</v>
      </c>
      <c r="J363" s="91">
        <f t="shared" si="171"/>
        <v>2</v>
      </c>
      <c r="K363" s="80">
        <v>8.76</v>
      </c>
      <c r="L363" s="81">
        <f t="shared" si="170"/>
        <v>11.104176963600001</v>
      </c>
      <c r="M363" s="82">
        <f t="shared" si="165"/>
        <v>0</v>
      </c>
      <c r="N363" s="82">
        <f t="shared" si="166"/>
        <v>0</v>
      </c>
      <c r="O363" s="82">
        <f>N363+'BM 004'!O363</f>
        <v>0</v>
      </c>
      <c r="P363" s="80">
        <f t="shared" si="167"/>
        <v>17.52</v>
      </c>
      <c r="Q363" s="82">
        <f t="shared" si="168"/>
        <v>22.2</v>
      </c>
      <c r="R363" s="82">
        <f t="shared" si="169"/>
        <v>22.2</v>
      </c>
    </row>
    <row r="364" spans="2:18" s="34" customFormat="1" ht="34.799999999999997">
      <c r="B364" s="75" t="s">
        <v>720</v>
      </c>
      <c r="C364" s="88" t="s">
        <v>721</v>
      </c>
      <c r="D364" s="89" t="s">
        <v>131</v>
      </c>
      <c r="E364" s="90">
        <v>4</v>
      </c>
      <c r="F364" s="91"/>
      <c r="G364" s="91"/>
      <c r="H364" s="91"/>
      <c r="I364" s="91">
        <f>SUM(G364:H364)+'BM 004'!I364</f>
        <v>0</v>
      </c>
      <c r="J364" s="91">
        <f t="shared" si="171"/>
        <v>4</v>
      </c>
      <c r="K364" s="80">
        <v>11.55</v>
      </c>
      <c r="L364" s="81">
        <f t="shared" si="170"/>
        <v>14.640781270500002</v>
      </c>
      <c r="M364" s="82">
        <f t="shared" si="165"/>
        <v>0</v>
      </c>
      <c r="N364" s="82">
        <f t="shared" si="166"/>
        <v>0</v>
      </c>
      <c r="O364" s="82">
        <f>N364+'BM 004'!O364</f>
        <v>0</v>
      </c>
      <c r="P364" s="80">
        <f t="shared" si="167"/>
        <v>46.2</v>
      </c>
      <c r="Q364" s="82">
        <f t="shared" si="168"/>
        <v>58.56</v>
      </c>
      <c r="R364" s="82">
        <f t="shared" si="169"/>
        <v>58.56</v>
      </c>
    </row>
    <row r="365" spans="2:18" s="34" customFormat="1" ht="34.799999999999997">
      <c r="B365" s="75" t="s">
        <v>722</v>
      </c>
      <c r="C365" s="88" t="s">
        <v>723</v>
      </c>
      <c r="D365" s="89" t="s">
        <v>131</v>
      </c>
      <c r="E365" s="90">
        <v>2</v>
      </c>
      <c r="F365" s="91"/>
      <c r="G365" s="91"/>
      <c r="H365" s="91"/>
      <c r="I365" s="91">
        <f>SUM(G365:H365)+'BM 004'!I365</f>
        <v>0</v>
      </c>
      <c r="J365" s="91">
        <f t="shared" si="171"/>
        <v>2</v>
      </c>
      <c r="K365" s="80">
        <v>34.32</v>
      </c>
      <c r="L365" s="81">
        <f t="shared" si="170"/>
        <v>43.504035775200002</v>
      </c>
      <c r="M365" s="82">
        <f t="shared" si="165"/>
        <v>0</v>
      </c>
      <c r="N365" s="82">
        <f t="shared" si="166"/>
        <v>0</v>
      </c>
      <c r="O365" s="82">
        <f>N365+'BM 004'!O365</f>
        <v>0</v>
      </c>
      <c r="P365" s="80">
        <f t="shared" si="167"/>
        <v>68.64</v>
      </c>
      <c r="Q365" s="82">
        <f t="shared" si="168"/>
        <v>87</v>
      </c>
      <c r="R365" s="82">
        <f t="shared" si="169"/>
        <v>87</v>
      </c>
    </row>
    <row r="366" spans="2:18" s="34" customFormat="1" ht="34.799999999999997">
      <c r="B366" s="75" t="s">
        <v>724</v>
      </c>
      <c r="C366" s="88" t="s">
        <v>725</v>
      </c>
      <c r="D366" s="89" t="s">
        <v>131</v>
      </c>
      <c r="E366" s="90">
        <v>3</v>
      </c>
      <c r="F366" s="91"/>
      <c r="G366" s="91"/>
      <c r="H366" s="91"/>
      <c r="I366" s="91">
        <f>SUM(G366:H366)+'BM 004'!I366</f>
        <v>0</v>
      </c>
      <c r="J366" s="91">
        <f t="shared" si="171"/>
        <v>3</v>
      </c>
      <c r="K366" s="80">
        <v>71.75</v>
      </c>
      <c r="L366" s="81">
        <f t="shared" si="170"/>
        <v>90.950307892500007</v>
      </c>
      <c r="M366" s="82">
        <f t="shared" si="165"/>
        <v>0</v>
      </c>
      <c r="N366" s="82">
        <f t="shared" si="166"/>
        <v>0</v>
      </c>
      <c r="O366" s="82">
        <f>N366+'BM 004'!O366</f>
        <v>0</v>
      </c>
      <c r="P366" s="80">
        <f t="shared" si="167"/>
        <v>215.25</v>
      </c>
      <c r="Q366" s="82">
        <f t="shared" si="168"/>
        <v>272.85000000000002</v>
      </c>
      <c r="R366" s="82">
        <f t="shared" si="169"/>
        <v>272.85000000000002</v>
      </c>
    </row>
    <row r="367" spans="2:18" s="34" customFormat="1" ht="46.2">
      <c r="B367" s="75" t="s">
        <v>726</v>
      </c>
      <c r="C367" s="88" t="s">
        <v>727</v>
      </c>
      <c r="D367" s="89" t="s">
        <v>131</v>
      </c>
      <c r="E367" s="90">
        <v>1</v>
      </c>
      <c r="F367" s="91"/>
      <c r="G367" s="91"/>
      <c r="H367" s="91"/>
      <c r="I367" s="91">
        <f>SUM(G367:H367)+'BM 004'!I367</f>
        <v>0</v>
      </c>
      <c r="J367" s="91">
        <f t="shared" si="171"/>
        <v>1</v>
      </c>
      <c r="K367" s="80">
        <v>14.38</v>
      </c>
      <c r="L367" s="81">
        <f t="shared" si="170"/>
        <v>18.228089581800003</v>
      </c>
      <c r="M367" s="82">
        <f t="shared" si="165"/>
        <v>0</v>
      </c>
      <c r="N367" s="82">
        <f t="shared" si="166"/>
        <v>0</v>
      </c>
      <c r="O367" s="82">
        <f>N367+'BM 004'!O367</f>
        <v>0</v>
      </c>
      <c r="P367" s="80">
        <f t="shared" si="167"/>
        <v>14.38</v>
      </c>
      <c r="Q367" s="82">
        <f t="shared" si="168"/>
        <v>18.22</v>
      </c>
      <c r="R367" s="82">
        <f t="shared" si="169"/>
        <v>18.22</v>
      </c>
    </row>
    <row r="368" spans="2:18" s="34" customFormat="1" ht="23.4">
      <c r="B368" s="75" t="s">
        <v>728</v>
      </c>
      <c r="C368" s="88" t="s">
        <v>729</v>
      </c>
      <c r="D368" s="89" t="s">
        <v>131</v>
      </c>
      <c r="E368" s="90">
        <v>22</v>
      </c>
      <c r="F368" s="91"/>
      <c r="G368" s="91"/>
      <c r="H368" s="91"/>
      <c r="I368" s="91">
        <f>SUM(G368:H368)+'BM 004'!I368</f>
        <v>0</v>
      </c>
      <c r="J368" s="91">
        <f t="shared" si="171"/>
        <v>22</v>
      </c>
      <c r="K368" s="80">
        <v>14.99</v>
      </c>
      <c r="L368" s="81">
        <f t="shared" si="170"/>
        <v>19.0013256489</v>
      </c>
      <c r="M368" s="82">
        <f t="shared" si="165"/>
        <v>0</v>
      </c>
      <c r="N368" s="82">
        <f t="shared" si="166"/>
        <v>0</v>
      </c>
      <c r="O368" s="82">
        <f>N368+'BM 004'!O368</f>
        <v>0</v>
      </c>
      <c r="P368" s="80">
        <f t="shared" si="167"/>
        <v>329.78000000000003</v>
      </c>
      <c r="Q368" s="82">
        <f t="shared" si="168"/>
        <v>418.02</v>
      </c>
      <c r="R368" s="82">
        <f t="shared" si="169"/>
        <v>418.02</v>
      </c>
    </row>
    <row r="369" spans="2:18" s="34" customFormat="1" ht="23.4">
      <c r="B369" s="75" t="s">
        <v>730</v>
      </c>
      <c r="C369" s="88" t="s">
        <v>731</v>
      </c>
      <c r="D369" s="89" t="s">
        <v>131</v>
      </c>
      <c r="E369" s="90">
        <v>289</v>
      </c>
      <c r="F369" s="91"/>
      <c r="G369" s="91"/>
      <c r="H369" s="91"/>
      <c r="I369" s="91">
        <f>SUM(G369:H369)+'BM 004'!I369</f>
        <v>0</v>
      </c>
      <c r="J369" s="91">
        <f t="shared" si="171"/>
        <v>289</v>
      </c>
      <c r="K369" s="80">
        <v>13.04</v>
      </c>
      <c r="L369" s="81">
        <f t="shared" si="170"/>
        <v>16.529505434400001</v>
      </c>
      <c r="M369" s="82">
        <f t="shared" si="165"/>
        <v>0</v>
      </c>
      <c r="N369" s="82">
        <f t="shared" si="166"/>
        <v>0</v>
      </c>
      <c r="O369" s="82">
        <f>N369+'BM 004'!O369</f>
        <v>0</v>
      </c>
      <c r="P369" s="80">
        <f t="shared" si="167"/>
        <v>3768.56</v>
      </c>
      <c r="Q369" s="82">
        <f t="shared" si="168"/>
        <v>4777.0200000000004</v>
      </c>
      <c r="R369" s="82">
        <f t="shared" si="169"/>
        <v>4777.0200000000004</v>
      </c>
    </row>
    <row r="370" spans="2:18" s="34" customFormat="1" ht="34.799999999999997">
      <c r="B370" s="75" t="s">
        <v>732</v>
      </c>
      <c r="C370" s="88" t="s">
        <v>733</v>
      </c>
      <c r="D370" s="89" t="s">
        <v>131</v>
      </c>
      <c r="E370" s="90">
        <v>7</v>
      </c>
      <c r="F370" s="91"/>
      <c r="G370" s="91"/>
      <c r="H370" s="91"/>
      <c r="I370" s="91">
        <f>SUM(G370:H370)+'BM 004'!I370</f>
        <v>0</v>
      </c>
      <c r="J370" s="91">
        <f t="shared" si="171"/>
        <v>7</v>
      </c>
      <c r="K370" s="80">
        <v>3.95</v>
      </c>
      <c r="L370" s="81">
        <f t="shared" si="170"/>
        <v>5.0070204345000002</v>
      </c>
      <c r="M370" s="82">
        <f t="shared" ref="M370:M394" si="172">TRUNC(F370*L370,2)</f>
        <v>0</v>
      </c>
      <c r="N370" s="82">
        <f t="shared" ref="N370:N394" si="173">TRUNC(G370*L370,2)</f>
        <v>0</v>
      </c>
      <c r="O370" s="82">
        <f>N370+'BM 004'!O370</f>
        <v>0</v>
      </c>
      <c r="P370" s="80">
        <f t="shared" ref="P370:P394" si="174">E370*K370</f>
        <v>27.650000000000002</v>
      </c>
      <c r="Q370" s="82">
        <f t="shared" ref="Q370:Q394" si="175">TRUNC(E370*L370,2)</f>
        <v>35.04</v>
      </c>
      <c r="R370" s="82">
        <f t="shared" ref="R370:R394" si="176">Q370-O370</f>
        <v>35.04</v>
      </c>
    </row>
    <row r="371" spans="2:18" s="34" customFormat="1" ht="34.799999999999997">
      <c r="B371" s="75" t="s">
        <v>734</v>
      </c>
      <c r="C371" s="88" t="s">
        <v>735</v>
      </c>
      <c r="D371" s="89" t="s">
        <v>131</v>
      </c>
      <c r="E371" s="90">
        <v>270</v>
      </c>
      <c r="F371" s="91"/>
      <c r="G371" s="91"/>
      <c r="H371" s="91"/>
      <c r="I371" s="91">
        <f>SUM(G371:H371)+'BM 004'!I371</f>
        <v>0</v>
      </c>
      <c r="J371" s="91">
        <f t="shared" si="171"/>
        <v>270</v>
      </c>
      <c r="K371" s="80">
        <v>4.67</v>
      </c>
      <c r="L371" s="81">
        <f t="shared" si="170"/>
        <v>5.9196925137000003</v>
      </c>
      <c r="M371" s="82">
        <f t="shared" si="172"/>
        <v>0</v>
      </c>
      <c r="N371" s="82">
        <f t="shared" si="173"/>
        <v>0</v>
      </c>
      <c r="O371" s="82">
        <f>N371+'BM 004'!O371</f>
        <v>0</v>
      </c>
      <c r="P371" s="80">
        <f t="shared" si="174"/>
        <v>1260.9000000000001</v>
      </c>
      <c r="Q371" s="82">
        <f t="shared" si="175"/>
        <v>1598.31</v>
      </c>
      <c r="R371" s="82">
        <f t="shared" si="176"/>
        <v>1598.31</v>
      </c>
    </row>
    <row r="372" spans="2:18" s="34" customFormat="1" ht="34.799999999999997">
      <c r="B372" s="75" t="s">
        <v>736</v>
      </c>
      <c r="C372" s="88" t="s">
        <v>737</v>
      </c>
      <c r="D372" s="89" t="s">
        <v>131</v>
      </c>
      <c r="E372" s="90">
        <v>3</v>
      </c>
      <c r="F372" s="91"/>
      <c r="G372" s="91"/>
      <c r="H372" s="91"/>
      <c r="I372" s="91">
        <f>SUM(G372:H372)+'BM 004'!I372</f>
        <v>0</v>
      </c>
      <c r="J372" s="91">
        <f t="shared" si="171"/>
        <v>3</v>
      </c>
      <c r="K372" s="80">
        <v>7.2</v>
      </c>
      <c r="L372" s="81">
        <f t="shared" si="170"/>
        <v>9.1267207920000004</v>
      </c>
      <c r="M372" s="82">
        <f t="shared" si="172"/>
        <v>0</v>
      </c>
      <c r="N372" s="82">
        <f t="shared" si="173"/>
        <v>0</v>
      </c>
      <c r="O372" s="82">
        <f>N372+'BM 004'!O372</f>
        <v>0</v>
      </c>
      <c r="P372" s="80">
        <f t="shared" si="174"/>
        <v>21.6</v>
      </c>
      <c r="Q372" s="82">
        <f t="shared" si="175"/>
        <v>27.38</v>
      </c>
      <c r="R372" s="82">
        <f t="shared" si="176"/>
        <v>27.38</v>
      </c>
    </row>
    <row r="373" spans="2:18" s="34" customFormat="1" ht="34.799999999999997">
      <c r="B373" s="75" t="s">
        <v>738</v>
      </c>
      <c r="C373" s="76" t="s">
        <v>739</v>
      </c>
      <c r="D373" s="77" t="s">
        <v>131</v>
      </c>
      <c r="E373" s="93">
        <v>128</v>
      </c>
      <c r="F373" s="79"/>
      <c r="G373" s="79"/>
      <c r="H373" s="79"/>
      <c r="I373" s="79">
        <f>SUM(G373:H373)+'BM 004'!I373</f>
        <v>0</v>
      </c>
      <c r="J373" s="79">
        <f t="shared" si="171"/>
        <v>128</v>
      </c>
      <c r="K373" s="80">
        <v>11.5</v>
      </c>
      <c r="L373" s="81">
        <f t="shared" si="170"/>
        <v>14.577401265000001</v>
      </c>
      <c r="M373" s="82">
        <f t="shared" si="172"/>
        <v>0</v>
      </c>
      <c r="N373" s="82">
        <f t="shared" si="173"/>
        <v>0</v>
      </c>
      <c r="O373" s="82">
        <f>N373+'BM 004'!O373</f>
        <v>0</v>
      </c>
      <c r="P373" s="80">
        <f t="shared" si="174"/>
        <v>1472</v>
      </c>
      <c r="Q373" s="82">
        <f t="shared" si="175"/>
        <v>1865.9</v>
      </c>
      <c r="R373" s="82">
        <f t="shared" si="176"/>
        <v>1865.9</v>
      </c>
    </row>
    <row r="374" spans="2:18" s="34" customFormat="1" ht="34.799999999999997">
      <c r="B374" s="75" t="s">
        <v>740</v>
      </c>
      <c r="C374" s="76" t="s">
        <v>741</v>
      </c>
      <c r="D374" s="77" t="s">
        <v>131</v>
      </c>
      <c r="E374" s="93">
        <v>4</v>
      </c>
      <c r="F374" s="79"/>
      <c r="G374" s="79"/>
      <c r="H374" s="79"/>
      <c r="I374" s="79">
        <f>SUM(G374:H374)+'BM 004'!I374</f>
        <v>0</v>
      </c>
      <c r="J374" s="79">
        <f t="shared" si="171"/>
        <v>4</v>
      </c>
      <c r="K374" s="80">
        <v>12.42</v>
      </c>
      <c r="L374" s="81">
        <f t="shared" si="170"/>
        <v>15.743593366200001</v>
      </c>
      <c r="M374" s="82">
        <f t="shared" si="172"/>
        <v>0</v>
      </c>
      <c r="N374" s="82">
        <f t="shared" si="173"/>
        <v>0</v>
      </c>
      <c r="O374" s="82">
        <f>N374+'BM 004'!O374</f>
        <v>0</v>
      </c>
      <c r="P374" s="80">
        <f t="shared" si="174"/>
        <v>49.68</v>
      </c>
      <c r="Q374" s="82">
        <f t="shared" si="175"/>
        <v>62.97</v>
      </c>
      <c r="R374" s="82">
        <f t="shared" si="176"/>
        <v>62.97</v>
      </c>
    </row>
    <row r="375" spans="2:18" s="34" customFormat="1" ht="34.799999999999997">
      <c r="B375" s="75" t="s">
        <v>742</v>
      </c>
      <c r="C375" s="76" t="s">
        <v>743</v>
      </c>
      <c r="D375" s="77" t="s">
        <v>131</v>
      </c>
      <c r="E375" s="93">
        <v>31</v>
      </c>
      <c r="F375" s="79"/>
      <c r="G375" s="79"/>
      <c r="H375" s="79"/>
      <c r="I375" s="79">
        <f>SUM(G375:H375)+'BM 004'!I375</f>
        <v>0</v>
      </c>
      <c r="J375" s="79">
        <f t="shared" si="171"/>
        <v>31</v>
      </c>
      <c r="K375" s="80">
        <v>35.909999999999997</v>
      </c>
      <c r="L375" s="81">
        <f t="shared" si="170"/>
        <v>45.519519950099998</v>
      </c>
      <c r="M375" s="82">
        <f t="shared" si="172"/>
        <v>0</v>
      </c>
      <c r="N375" s="82">
        <f t="shared" si="173"/>
        <v>0</v>
      </c>
      <c r="O375" s="82">
        <f>N375+'BM 004'!O375</f>
        <v>0</v>
      </c>
      <c r="P375" s="80">
        <f t="shared" si="174"/>
        <v>1113.2099999999998</v>
      </c>
      <c r="Q375" s="82">
        <f t="shared" si="175"/>
        <v>1411.1</v>
      </c>
      <c r="R375" s="82">
        <f t="shared" si="176"/>
        <v>1411.1</v>
      </c>
    </row>
    <row r="376" spans="2:18" s="34" customFormat="1" ht="46.2">
      <c r="B376" s="75" t="s">
        <v>744</v>
      </c>
      <c r="C376" s="76" t="s">
        <v>745</v>
      </c>
      <c r="D376" s="77" t="s">
        <v>131</v>
      </c>
      <c r="E376" s="93">
        <v>20</v>
      </c>
      <c r="F376" s="79"/>
      <c r="G376" s="79"/>
      <c r="H376" s="79"/>
      <c r="I376" s="79">
        <f>SUM(G376:H376)+'BM 004'!I376</f>
        <v>0</v>
      </c>
      <c r="J376" s="79">
        <f t="shared" si="171"/>
        <v>20</v>
      </c>
      <c r="K376" s="80">
        <v>90</v>
      </c>
      <c r="L376" s="81">
        <f t="shared" si="170"/>
        <v>114.08400990000001</v>
      </c>
      <c r="M376" s="82">
        <f t="shared" si="172"/>
        <v>0</v>
      </c>
      <c r="N376" s="82">
        <f t="shared" si="173"/>
        <v>0</v>
      </c>
      <c r="O376" s="82">
        <f>N376+'BM 004'!O376</f>
        <v>0</v>
      </c>
      <c r="P376" s="80">
        <f t="shared" si="174"/>
        <v>1800</v>
      </c>
      <c r="Q376" s="82">
        <f t="shared" si="175"/>
        <v>2281.6799999999998</v>
      </c>
      <c r="R376" s="82">
        <f t="shared" si="176"/>
        <v>2281.6799999999998</v>
      </c>
    </row>
    <row r="377" spans="2:18" s="34" customFormat="1" ht="13.2">
      <c r="B377" s="75" t="s">
        <v>746</v>
      </c>
      <c r="C377" s="76" t="s">
        <v>747</v>
      </c>
      <c r="D377" s="77" t="s">
        <v>131</v>
      </c>
      <c r="E377" s="93">
        <v>20</v>
      </c>
      <c r="F377" s="79"/>
      <c r="G377" s="79"/>
      <c r="H377" s="79"/>
      <c r="I377" s="79">
        <f>SUM(G377:H377)+'BM 004'!I377</f>
        <v>0</v>
      </c>
      <c r="J377" s="79">
        <f t="shared" si="171"/>
        <v>20</v>
      </c>
      <c r="K377" s="80">
        <v>5.14</v>
      </c>
      <c r="L377" s="81">
        <f t="shared" si="170"/>
        <v>6.5154645654000003</v>
      </c>
      <c r="M377" s="82">
        <f t="shared" si="172"/>
        <v>0</v>
      </c>
      <c r="N377" s="82">
        <f t="shared" si="173"/>
        <v>0</v>
      </c>
      <c r="O377" s="82">
        <f>N377+'BM 004'!O377</f>
        <v>0</v>
      </c>
      <c r="P377" s="80">
        <f t="shared" si="174"/>
        <v>102.8</v>
      </c>
      <c r="Q377" s="82">
        <f t="shared" si="175"/>
        <v>130.30000000000001</v>
      </c>
      <c r="R377" s="82">
        <f t="shared" si="176"/>
        <v>130.30000000000001</v>
      </c>
    </row>
    <row r="378" spans="2:18" s="34" customFormat="1" ht="13.2">
      <c r="B378" s="75" t="s">
        <v>748</v>
      </c>
      <c r="C378" s="76" t="s">
        <v>749</v>
      </c>
      <c r="D378" s="77" t="s">
        <v>131</v>
      </c>
      <c r="E378" s="93">
        <v>17</v>
      </c>
      <c r="F378" s="79"/>
      <c r="G378" s="79"/>
      <c r="H378" s="79"/>
      <c r="I378" s="79">
        <f>SUM(G378:H378)+'BM 004'!I378</f>
        <v>0</v>
      </c>
      <c r="J378" s="79">
        <f t="shared" si="171"/>
        <v>17</v>
      </c>
      <c r="K378" s="80">
        <v>11.25</v>
      </c>
      <c r="L378" s="81">
        <f t="shared" si="170"/>
        <v>14.260501237500002</v>
      </c>
      <c r="M378" s="82">
        <f t="shared" si="172"/>
        <v>0</v>
      </c>
      <c r="N378" s="82">
        <f t="shared" si="173"/>
        <v>0</v>
      </c>
      <c r="O378" s="82">
        <f>N378+'BM 004'!O378</f>
        <v>0</v>
      </c>
      <c r="P378" s="80">
        <f t="shared" si="174"/>
        <v>191.25</v>
      </c>
      <c r="Q378" s="82">
        <f t="shared" si="175"/>
        <v>242.42</v>
      </c>
      <c r="R378" s="82">
        <f t="shared" si="176"/>
        <v>242.42</v>
      </c>
    </row>
    <row r="379" spans="2:18" s="34" customFormat="1" ht="13.2">
      <c r="B379" s="75" t="s">
        <v>750</v>
      </c>
      <c r="C379" s="76" t="s">
        <v>751</v>
      </c>
      <c r="D379" s="77" t="s">
        <v>131</v>
      </c>
      <c r="E379" s="93">
        <v>1</v>
      </c>
      <c r="F379" s="79"/>
      <c r="G379" s="79"/>
      <c r="H379" s="79"/>
      <c r="I379" s="79">
        <f>SUM(G379:H379)+'BM 004'!I379</f>
        <v>0</v>
      </c>
      <c r="J379" s="79">
        <f t="shared" si="171"/>
        <v>1</v>
      </c>
      <c r="K379" s="80">
        <v>12.27</v>
      </c>
      <c r="L379" s="81">
        <f t="shared" si="170"/>
        <v>15.5534533497</v>
      </c>
      <c r="M379" s="82">
        <f t="shared" si="172"/>
        <v>0</v>
      </c>
      <c r="N379" s="82">
        <f t="shared" si="173"/>
        <v>0</v>
      </c>
      <c r="O379" s="82">
        <f>N379+'BM 004'!O379</f>
        <v>0</v>
      </c>
      <c r="P379" s="80">
        <f t="shared" si="174"/>
        <v>12.27</v>
      </c>
      <c r="Q379" s="82">
        <f t="shared" si="175"/>
        <v>15.55</v>
      </c>
      <c r="R379" s="82">
        <f t="shared" si="176"/>
        <v>15.55</v>
      </c>
    </row>
    <row r="380" spans="2:18" s="34" customFormat="1" ht="13.2">
      <c r="B380" s="75" t="s">
        <v>752</v>
      </c>
      <c r="C380" s="76" t="s">
        <v>753</v>
      </c>
      <c r="D380" s="77" t="s">
        <v>131</v>
      </c>
      <c r="E380" s="93">
        <v>12</v>
      </c>
      <c r="F380" s="79"/>
      <c r="G380" s="79"/>
      <c r="H380" s="79"/>
      <c r="I380" s="79">
        <f>SUM(G380:H380)+'BM 004'!I380</f>
        <v>0</v>
      </c>
      <c r="J380" s="79">
        <f t="shared" si="171"/>
        <v>12</v>
      </c>
      <c r="K380" s="80">
        <v>22.03</v>
      </c>
      <c r="L380" s="81">
        <f t="shared" si="170"/>
        <v>27.925230423300004</v>
      </c>
      <c r="M380" s="82">
        <f t="shared" si="172"/>
        <v>0</v>
      </c>
      <c r="N380" s="82">
        <f t="shared" si="173"/>
        <v>0</v>
      </c>
      <c r="O380" s="82">
        <f>N380+'BM 004'!O380</f>
        <v>0</v>
      </c>
      <c r="P380" s="80">
        <f t="shared" si="174"/>
        <v>264.36</v>
      </c>
      <c r="Q380" s="82">
        <f t="shared" si="175"/>
        <v>335.1</v>
      </c>
      <c r="R380" s="82">
        <f t="shared" si="176"/>
        <v>335.1</v>
      </c>
    </row>
    <row r="381" spans="2:18" s="34" customFormat="1" ht="13.2">
      <c r="B381" s="75" t="s">
        <v>754</v>
      </c>
      <c r="C381" s="76" t="s">
        <v>755</v>
      </c>
      <c r="D381" s="77" t="s">
        <v>131</v>
      </c>
      <c r="E381" s="93">
        <v>16</v>
      </c>
      <c r="F381" s="79"/>
      <c r="G381" s="79"/>
      <c r="H381" s="79"/>
      <c r="I381" s="79">
        <f>SUM(G381:H381)+'BM 004'!I381</f>
        <v>0</v>
      </c>
      <c r="J381" s="79">
        <f t="shared" si="171"/>
        <v>16</v>
      </c>
      <c r="K381" s="80">
        <v>32.380000000000003</v>
      </c>
      <c r="L381" s="81">
        <f t="shared" si="170"/>
        <v>41.044891561800007</v>
      </c>
      <c r="M381" s="82">
        <f t="shared" si="172"/>
        <v>0</v>
      </c>
      <c r="N381" s="82">
        <f t="shared" si="173"/>
        <v>0</v>
      </c>
      <c r="O381" s="82">
        <f>N381+'BM 004'!O381</f>
        <v>0</v>
      </c>
      <c r="P381" s="80">
        <f t="shared" si="174"/>
        <v>518.08000000000004</v>
      </c>
      <c r="Q381" s="82">
        <f t="shared" si="175"/>
        <v>656.71</v>
      </c>
      <c r="R381" s="82">
        <f t="shared" si="176"/>
        <v>656.71</v>
      </c>
    </row>
    <row r="382" spans="2:18" s="34" customFormat="1" ht="23.4">
      <c r="B382" s="75" t="s">
        <v>756</v>
      </c>
      <c r="C382" s="76" t="s">
        <v>757</v>
      </c>
      <c r="D382" s="77" t="s">
        <v>131</v>
      </c>
      <c r="E382" s="93">
        <v>16</v>
      </c>
      <c r="F382" s="79"/>
      <c r="G382" s="79"/>
      <c r="H382" s="79"/>
      <c r="I382" s="79">
        <f>SUM(G382:H382)+'BM 004'!I382</f>
        <v>0</v>
      </c>
      <c r="J382" s="79">
        <f t="shared" si="171"/>
        <v>16</v>
      </c>
      <c r="K382" s="80">
        <v>12.35</v>
      </c>
      <c r="L382" s="81">
        <f t="shared" si="170"/>
        <v>15.6548613585</v>
      </c>
      <c r="M382" s="82">
        <f t="shared" si="172"/>
        <v>0</v>
      </c>
      <c r="N382" s="82">
        <f t="shared" si="173"/>
        <v>0</v>
      </c>
      <c r="O382" s="82">
        <f>N382+'BM 004'!O382</f>
        <v>0</v>
      </c>
      <c r="P382" s="80">
        <f t="shared" si="174"/>
        <v>197.6</v>
      </c>
      <c r="Q382" s="82">
        <f t="shared" si="175"/>
        <v>250.47</v>
      </c>
      <c r="R382" s="82">
        <f t="shared" si="176"/>
        <v>250.47</v>
      </c>
    </row>
    <row r="383" spans="2:18" s="34" customFormat="1" ht="34.799999999999997">
      <c r="B383" s="75" t="s">
        <v>758</v>
      </c>
      <c r="C383" s="76" t="s">
        <v>759</v>
      </c>
      <c r="D383" s="77" t="s">
        <v>131</v>
      </c>
      <c r="E383" s="93">
        <v>3</v>
      </c>
      <c r="F383" s="79"/>
      <c r="G383" s="79"/>
      <c r="H383" s="79"/>
      <c r="I383" s="79">
        <f>SUM(G383:H383)+'BM 004'!I383</f>
        <v>0</v>
      </c>
      <c r="J383" s="79">
        <f t="shared" si="171"/>
        <v>3</v>
      </c>
      <c r="K383" s="80">
        <v>12.27</v>
      </c>
      <c r="L383" s="81">
        <f t="shared" si="170"/>
        <v>15.5534533497</v>
      </c>
      <c r="M383" s="82">
        <f t="shared" si="172"/>
        <v>0</v>
      </c>
      <c r="N383" s="82">
        <f t="shared" si="173"/>
        <v>0</v>
      </c>
      <c r="O383" s="82">
        <f>N383+'BM 004'!O383</f>
        <v>0</v>
      </c>
      <c r="P383" s="80">
        <f t="shared" si="174"/>
        <v>36.81</v>
      </c>
      <c r="Q383" s="82">
        <f t="shared" si="175"/>
        <v>46.66</v>
      </c>
      <c r="R383" s="82">
        <f t="shared" si="176"/>
        <v>46.66</v>
      </c>
    </row>
    <row r="384" spans="2:18" s="34" customFormat="1" ht="23.4">
      <c r="B384" s="75" t="s">
        <v>760</v>
      </c>
      <c r="C384" s="76" t="s">
        <v>761</v>
      </c>
      <c r="D384" s="77" t="s">
        <v>131</v>
      </c>
      <c r="E384" s="93">
        <v>34</v>
      </c>
      <c r="F384" s="79"/>
      <c r="G384" s="79"/>
      <c r="H384" s="79"/>
      <c r="I384" s="79">
        <f>SUM(G384:H384)+'BM 004'!I384</f>
        <v>0</v>
      </c>
      <c r="J384" s="79">
        <f t="shared" si="171"/>
        <v>34</v>
      </c>
      <c r="K384" s="80">
        <v>18.5</v>
      </c>
      <c r="L384" s="81">
        <f t="shared" si="170"/>
        <v>23.450602035000003</v>
      </c>
      <c r="M384" s="82">
        <f t="shared" si="172"/>
        <v>0</v>
      </c>
      <c r="N384" s="82">
        <f t="shared" si="173"/>
        <v>0</v>
      </c>
      <c r="O384" s="82">
        <f>N384+'BM 004'!O384</f>
        <v>0</v>
      </c>
      <c r="P384" s="80">
        <f t="shared" si="174"/>
        <v>629</v>
      </c>
      <c r="Q384" s="82">
        <f t="shared" si="175"/>
        <v>797.32</v>
      </c>
      <c r="R384" s="82">
        <f t="shared" si="176"/>
        <v>797.32</v>
      </c>
    </row>
    <row r="385" spans="2:18" s="34" customFormat="1" ht="23.4">
      <c r="B385" s="75" t="s">
        <v>762</v>
      </c>
      <c r="C385" s="76" t="s">
        <v>763</v>
      </c>
      <c r="D385" s="77" t="s">
        <v>131</v>
      </c>
      <c r="E385" s="93">
        <v>2</v>
      </c>
      <c r="F385" s="79"/>
      <c r="G385" s="79"/>
      <c r="H385" s="79"/>
      <c r="I385" s="79">
        <f>SUM(G385:H385)+'BM 004'!I385</f>
        <v>0</v>
      </c>
      <c r="J385" s="79">
        <f t="shared" si="171"/>
        <v>2</v>
      </c>
      <c r="K385" s="80">
        <v>24.61</v>
      </c>
      <c r="L385" s="81">
        <f t="shared" si="170"/>
        <v>31.195638707100002</v>
      </c>
      <c r="M385" s="82">
        <f t="shared" si="172"/>
        <v>0</v>
      </c>
      <c r="N385" s="82">
        <f t="shared" si="173"/>
        <v>0</v>
      </c>
      <c r="O385" s="82">
        <f>N385+'BM 004'!O385</f>
        <v>0</v>
      </c>
      <c r="P385" s="80">
        <f t="shared" si="174"/>
        <v>49.22</v>
      </c>
      <c r="Q385" s="82">
        <f t="shared" si="175"/>
        <v>62.39</v>
      </c>
      <c r="R385" s="82">
        <f t="shared" si="176"/>
        <v>62.39</v>
      </c>
    </row>
    <row r="386" spans="2:18" s="34" customFormat="1" ht="34.799999999999997">
      <c r="B386" s="75" t="s">
        <v>764</v>
      </c>
      <c r="C386" s="76" t="s">
        <v>765</v>
      </c>
      <c r="D386" s="77" t="s">
        <v>131</v>
      </c>
      <c r="E386" s="93">
        <v>9</v>
      </c>
      <c r="F386" s="79"/>
      <c r="G386" s="79"/>
      <c r="H386" s="79"/>
      <c r="I386" s="79">
        <f>SUM(G386:H386)+'BM 004'!I386</f>
        <v>0</v>
      </c>
      <c r="J386" s="79">
        <f t="shared" si="171"/>
        <v>9</v>
      </c>
      <c r="K386" s="80">
        <v>26.08</v>
      </c>
      <c r="L386" s="81">
        <f t="shared" si="170"/>
        <v>33.059010868800002</v>
      </c>
      <c r="M386" s="82">
        <f t="shared" si="172"/>
        <v>0</v>
      </c>
      <c r="N386" s="82">
        <f t="shared" si="173"/>
        <v>0</v>
      </c>
      <c r="O386" s="82">
        <f>N386+'BM 004'!O386</f>
        <v>0</v>
      </c>
      <c r="P386" s="80">
        <f t="shared" si="174"/>
        <v>234.71999999999997</v>
      </c>
      <c r="Q386" s="82">
        <f t="shared" si="175"/>
        <v>297.52999999999997</v>
      </c>
      <c r="R386" s="82">
        <f t="shared" si="176"/>
        <v>297.52999999999997</v>
      </c>
    </row>
    <row r="387" spans="2:18" s="34" customFormat="1" ht="23.4">
      <c r="B387" s="75" t="s">
        <v>766</v>
      </c>
      <c r="C387" s="88" t="s">
        <v>767</v>
      </c>
      <c r="D387" s="89" t="s">
        <v>131</v>
      </c>
      <c r="E387" s="90">
        <v>1</v>
      </c>
      <c r="F387" s="91"/>
      <c r="G387" s="91"/>
      <c r="H387" s="91"/>
      <c r="I387" s="91">
        <f>SUM(G387:H387)+'BM 004'!I387</f>
        <v>0</v>
      </c>
      <c r="J387" s="91">
        <f t="shared" si="171"/>
        <v>1</v>
      </c>
      <c r="K387" s="80">
        <v>40</v>
      </c>
      <c r="L387" s="81">
        <f t="shared" si="170"/>
        <v>50.704004400000002</v>
      </c>
      <c r="M387" s="82">
        <f t="shared" si="172"/>
        <v>0</v>
      </c>
      <c r="N387" s="82">
        <f t="shared" si="173"/>
        <v>0</v>
      </c>
      <c r="O387" s="82">
        <f>N387+'BM 004'!O387</f>
        <v>0</v>
      </c>
      <c r="P387" s="80">
        <f t="shared" si="174"/>
        <v>40</v>
      </c>
      <c r="Q387" s="82">
        <f t="shared" si="175"/>
        <v>50.7</v>
      </c>
      <c r="R387" s="82">
        <f t="shared" si="176"/>
        <v>50.7</v>
      </c>
    </row>
    <row r="388" spans="2:18" s="34" customFormat="1" ht="46.2">
      <c r="B388" s="75" t="s">
        <v>768</v>
      </c>
      <c r="C388" s="88" t="s">
        <v>769</v>
      </c>
      <c r="D388" s="89" t="s">
        <v>131</v>
      </c>
      <c r="E388" s="90">
        <v>29</v>
      </c>
      <c r="F388" s="91"/>
      <c r="G388" s="91"/>
      <c r="H388" s="91"/>
      <c r="I388" s="91">
        <f>SUM(G388:H388)+'BM 004'!I388</f>
        <v>0</v>
      </c>
      <c r="J388" s="91">
        <f t="shared" si="171"/>
        <v>29</v>
      </c>
      <c r="K388" s="80">
        <v>17.22</v>
      </c>
      <c r="L388" s="81">
        <f t="shared" si="170"/>
        <v>21.828073894199999</v>
      </c>
      <c r="M388" s="82">
        <f t="shared" si="172"/>
        <v>0</v>
      </c>
      <c r="N388" s="82">
        <f t="shared" si="173"/>
        <v>0</v>
      </c>
      <c r="O388" s="82">
        <f>N388+'BM 004'!O388</f>
        <v>0</v>
      </c>
      <c r="P388" s="80">
        <f t="shared" si="174"/>
        <v>499.38</v>
      </c>
      <c r="Q388" s="82">
        <f t="shared" si="175"/>
        <v>633.01</v>
      </c>
      <c r="R388" s="82">
        <f t="shared" si="176"/>
        <v>633.01</v>
      </c>
    </row>
    <row r="389" spans="2:18" s="34" customFormat="1" ht="23.4">
      <c r="B389" s="75" t="s">
        <v>770</v>
      </c>
      <c r="C389" s="76" t="s">
        <v>771</v>
      </c>
      <c r="D389" s="77" t="s">
        <v>131</v>
      </c>
      <c r="E389" s="93">
        <v>207</v>
      </c>
      <c r="F389" s="79"/>
      <c r="G389" s="79"/>
      <c r="H389" s="79"/>
      <c r="I389" s="79">
        <f>SUM(G389:H389)+'BM 004'!I389</f>
        <v>0</v>
      </c>
      <c r="J389" s="79">
        <f t="shared" si="171"/>
        <v>207</v>
      </c>
      <c r="K389" s="80">
        <v>6.59</v>
      </c>
      <c r="L389" s="81">
        <f t="shared" si="170"/>
        <v>8.3534847248999995</v>
      </c>
      <c r="M389" s="82">
        <f t="shared" si="172"/>
        <v>0</v>
      </c>
      <c r="N389" s="82">
        <f t="shared" si="173"/>
        <v>0</v>
      </c>
      <c r="O389" s="82">
        <f>N389+'BM 004'!O389</f>
        <v>0</v>
      </c>
      <c r="P389" s="80">
        <f t="shared" si="174"/>
        <v>1364.1299999999999</v>
      </c>
      <c r="Q389" s="82">
        <f t="shared" si="175"/>
        <v>1729.17</v>
      </c>
      <c r="R389" s="82">
        <f t="shared" si="176"/>
        <v>1729.17</v>
      </c>
    </row>
    <row r="390" spans="2:18" s="34" customFormat="1" ht="23.4">
      <c r="B390" s="75" t="s">
        <v>772</v>
      </c>
      <c r="C390" s="76" t="s">
        <v>773</v>
      </c>
      <c r="D390" s="77" t="s">
        <v>131</v>
      </c>
      <c r="E390" s="93">
        <v>50</v>
      </c>
      <c r="F390" s="79"/>
      <c r="G390" s="79"/>
      <c r="H390" s="79"/>
      <c r="I390" s="79">
        <f>SUM(G390:H390)+'BM 004'!I390</f>
        <v>0</v>
      </c>
      <c r="J390" s="79">
        <f t="shared" si="171"/>
        <v>50</v>
      </c>
      <c r="K390" s="80">
        <v>22.07</v>
      </c>
      <c r="L390" s="81">
        <f t="shared" si="170"/>
        <v>27.9759344277</v>
      </c>
      <c r="M390" s="82">
        <f t="shared" si="172"/>
        <v>0</v>
      </c>
      <c r="N390" s="82">
        <f t="shared" si="173"/>
        <v>0</v>
      </c>
      <c r="O390" s="82">
        <f>N390+'BM 004'!O390</f>
        <v>0</v>
      </c>
      <c r="P390" s="80">
        <f t="shared" si="174"/>
        <v>1103.5</v>
      </c>
      <c r="Q390" s="82">
        <f t="shared" si="175"/>
        <v>1398.79</v>
      </c>
      <c r="R390" s="82">
        <f t="shared" si="176"/>
        <v>1398.79</v>
      </c>
    </row>
    <row r="391" spans="2:18" s="34" customFormat="1" ht="23.4">
      <c r="B391" s="75" t="s">
        <v>774</v>
      </c>
      <c r="C391" s="76" t="s">
        <v>775</v>
      </c>
      <c r="D391" s="77" t="s">
        <v>131</v>
      </c>
      <c r="E391" s="93">
        <v>1</v>
      </c>
      <c r="F391" s="79"/>
      <c r="G391" s="79"/>
      <c r="H391" s="79"/>
      <c r="I391" s="79">
        <f>SUM(G391:H391)+'BM 004'!I391</f>
        <v>0</v>
      </c>
      <c r="J391" s="79">
        <f t="shared" si="171"/>
        <v>1</v>
      </c>
      <c r="K391" s="80">
        <v>19.649999999999999</v>
      </c>
      <c r="L391" s="81">
        <f t="shared" si="170"/>
        <v>24.908342161499998</v>
      </c>
      <c r="M391" s="82">
        <f t="shared" si="172"/>
        <v>0</v>
      </c>
      <c r="N391" s="82">
        <f t="shared" si="173"/>
        <v>0</v>
      </c>
      <c r="O391" s="82">
        <f>N391+'BM 004'!O391</f>
        <v>0</v>
      </c>
      <c r="P391" s="80">
        <f t="shared" si="174"/>
        <v>19.649999999999999</v>
      </c>
      <c r="Q391" s="82">
        <f t="shared" si="175"/>
        <v>24.9</v>
      </c>
      <c r="R391" s="82">
        <f t="shared" si="176"/>
        <v>24.9</v>
      </c>
    </row>
    <row r="392" spans="2:18" s="34" customFormat="1" ht="23.4">
      <c r="B392" s="75" t="s">
        <v>776</v>
      </c>
      <c r="C392" s="76" t="s">
        <v>777</v>
      </c>
      <c r="D392" s="77" t="s">
        <v>131</v>
      </c>
      <c r="E392" s="93">
        <v>19</v>
      </c>
      <c r="F392" s="79"/>
      <c r="G392" s="79"/>
      <c r="H392" s="79"/>
      <c r="I392" s="79">
        <f>SUM(G392:H392)+'BM 004'!I392</f>
        <v>0</v>
      </c>
      <c r="J392" s="79">
        <f t="shared" si="171"/>
        <v>19</v>
      </c>
      <c r="K392" s="80">
        <v>41.43</v>
      </c>
      <c r="L392" s="81">
        <f t="shared" si="170"/>
        <v>52.516672557300005</v>
      </c>
      <c r="M392" s="82">
        <f t="shared" si="172"/>
        <v>0</v>
      </c>
      <c r="N392" s="82">
        <f t="shared" si="173"/>
        <v>0</v>
      </c>
      <c r="O392" s="82">
        <f>N392+'BM 004'!O392</f>
        <v>0</v>
      </c>
      <c r="P392" s="80">
        <f t="shared" si="174"/>
        <v>787.17</v>
      </c>
      <c r="Q392" s="82">
        <f t="shared" si="175"/>
        <v>997.81</v>
      </c>
      <c r="R392" s="82">
        <f t="shared" si="176"/>
        <v>997.81</v>
      </c>
    </row>
    <row r="393" spans="2:18" s="34" customFormat="1" ht="46.2">
      <c r="B393" s="75" t="s">
        <v>778</v>
      </c>
      <c r="C393" s="76" t="s">
        <v>779</v>
      </c>
      <c r="D393" s="77" t="s">
        <v>131</v>
      </c>
      <c r="E393" s="93">
        <v>12</v>
      </c>
      <c r="F393" s="79"/>
      <c r="G393" s="79"/>
      <c r="H393" s="79"/>
      <c r="I393" s="79">
        <f>SUM(G393:H393)+'BM 004'!I393</f>
        <v>0</v>
      </c>
      <c r="J393" s="79">
        <f t="shared" si="171"/>
        <v>12</v>
      </c>
      <c r="K393" s="80">
        <v>76.31</v>
      </c>
      <c r="L393" s="81">
        <f t="shared" si="170"/>
        <v>96.730564394100014</v>
      </c>
      <c r="M393" s="82">
        <f t="shared" si="172"/>
        <v>0</v>
      </c>
      <c r="N393" s="82">
        <f t="shared" si="173"/>
        <v>0</v>
      </c>
      <c r="O393" s="82">
        <f>N393+'BM 004'!O393</f>
        <v>0</v>
      </c>
      <c r="P393" s="80">
        <f t="shared" si="174"/>
        <v>915.72</v>
      </c>
      <c r="Q393" s="82">
        <f t="shared" si="175"/>
        <v>1160.76</v>
      </c>
      <c r="R393" s="82">
        <f t="shared" si="176"/>
        <v>1160.76</v>
      </c>
    </row>
    <row r="394" spans="2:18" s="34" customFormat="1" ht="34.799999999999997">
      <c r="B394" s="75" t="s">
        <v>780</v>
      </c>
      <c r="C394" s="76" t="s">
        <v>781</v>
      </c>
      <c r="D394" s="77" t="s">
        <v>131</v>
      </c>
      <c r="E394" s="93">
        <v>3</v>
      </c>
      <c r="F394" s="79"/>
      <c r="G394" s="79"/>
      <c r="H394" s="79"/>
      <c r="I394" s="79">
        <f>SUM(G394:H394)+'BM 004'!I394</f>
        <v>0</v>
      </c>
      <c r="J394" s="79">
        <f t="shared" si="171"/>
        <v>3</v>
      </c>
      <c r="K394" s="80">
        <v>72.55</v>
      </c>
      <c r="L394" s="81">
        <f t="shared" si="170"/>
        <v>91.964387980500007</v>
      </c>
      <c r="M394" s="82">
        <f t="shared" si="172"/>
        <v>0</v>
      </c>
      <c r="N394" s="82">
        <f t="shared" si="173"/>
        <v>0</v>
      </c>
      <c r="O394" s="82">
        <f>N394+'BM 004'!O394</f>
        <v>0</v>
      </c>
      <c r="P394" s="80">
        <f t="shared" si="174"/>
        <v>217.64999999999998</v>
      </c>
      <c r="Q394" s="82">
        <f t="shared" si="175"/>
        <v>275.89</v>
      </c>
      <c r="R394" s="82">
        <f t="shared" si="176"/>
        <v>275.89</v>
      </c>
    </row>
    <row r="395" spans="2:18" s="34" customFormat="1" ht="24">
      <c r="B395" s="66" t="s">
        <v>782</v>
      </c>
      <c r="C395" s="67" t="s">
        <v>783</v>
      </c>
      <c r="D395" s="68"/>
      <c r="E395" s="69"/>
      <c r="F395" s="70"/>
      <c r="G395" s="70"/>
      <c r="H395" s="70"/>
      <c r="I395" s="70">
        <f>SUM(G395:H395)+'BM 004'!I395</f>
        <v>0</v>
      </c>
      <c r="J395" s="70">
        <f t="shared" si="171"/>
        <v>0</v>
      </c>
      <c r="K395" s="71"/>
      <c r="L395" s="71">
        <f t="shared" si="170"/>
        <v>0</v>
      </c>
      <c r="M395" s="73">
        <f t="shared" ref="M395:R395" si="177">SUM(M396:M405)</f>
        <v>0</v>
      </c>
      <c r="N395" s="73">
        <f t="shared" si="177"/>
        <v>0</v>
      </c>
      <c r="O395" s="73">
        <f t="shared" si="177"/>
        <v>0</v>
      </c>
      <c r="P395" s="73">
        <f t="shared" si="177"/>
        <v>131062.87509999999</v>
      </c>
      <c r="Q395" s="73">
        <f t="shared" si="177"/>
        <v>166135.25</v>
      </c>
      <c r="R395" s="73">
        <f t="shared" si="177"/>
        <v>166135.25</v>
      </c>
    </row>
    <row r="396" spans="2:18" s="34" customFormat="1" ht="34.799999999999997">
      <c r="B396" s="75" t="s">
        <v>784</v>
      </c>
      <c r="C396" s="76" t="s">
        <v>785</v>
      </c>
      <c r="D396" s="77" t="s">
        <v>82</v>
      </c>
      <c r="E396" s="108">
        <v>867.48</v>
      </c>
      <c r="F396" s="109"/>
      <c r="G396" s="109"/>
      <c r="H396" s="109"/>
      <c r="I396" s="109">
        <f>SUM(G396:H396)+'BM 004'!I396</f>
        <v>0</v>
      </c>
      <c r="J396" s="109">
        <f t="shared" si="171"/>
        <v>867.48</v>
      </c>
      <c r="K396" s="80">
        <v>24.65</v>
      </c>
      <c r="L396" s="81">
        <f t="shared" si="170"/>
        <v>31.246342711499999</v>
      </c>
      <c r="M396" s="82">
        <f t="shared" ref="M396:M405" si="178">TRUNC(F396*L396,2)</f>
        <v>0</v>
      </c>
      <c r="N396" s="82">
        <f t="shared" ref="N396:N405" si="179">TRUNC(G396*L396,2)</f>
        <v>0</v>
      </c>
      <c r="O396" s="82">
        <f>N396+'BM 004'!O396</f>
        <v>0</v>
      </c>
      <c r="P396" s="80">
        <f t="shared" ref="P396:P405" si="180">E396*K396</f>
        <v>21383.381999999998</v>
      </c>
      <c r="Q396" s="82">
        <f t="shared" ref="Q396:Q405" si="181">TRUNC(E396*L396,2)</f>
        <v>27105.57</v>
      </c>
      <c r="R396" s="82">
        <f t="shared" ref="R396:R405" si="182">Q396-O396</f>
        <v>27105.57</v>
      </c>
    </row>
    <row r="397" spans="2:18" s="34" customFormat="1" ht="23.4">
      <c r="B397" s="75" t="s">
        <v>786</v>
      </c>
      <c r="C397" s="76" t="s">
        <v>653</v>
      </c>
      <c r="D397" s="77" t="s">
        <v>82</v>
      </c>
      <c r="E397" s="110">
        <v>18.04</v>
      </c>
      <c r="F397" s="111"/>
      <c r="G397" s="111"/>
      <c r="H397" s="111"/>
      <c r="I397" s="111">
        <f>SUM(G397:H397)+'BM 004'!I397</f>
        <v>0</v>
      </c>
      <c r="J397" s="111">
        <f t="shared" si="171"/>
        <v>18.04</v>
      </c>
      <c r="K397" s="80">
        <v>6.5</v>
      </c>
      <c r="L397" s="81">
        <f t="shared" si="170"/>
        <v>8.2394007150000004</v>
      </c>
      <c r="M397" s="82">
        <f t="shared" si="178"/>
        <v>0</v>
      </c>
      <c r="N397" s="82">
        <f t="shared" si="179"/>
        <v>0</v>
      </c>
      <c r="O397" s="82">
        <f>N397+'BM 004'!O397</f>
        <v>0</v>
      </c>
      <c r="P397" s="80">
        <f t="shared" si="180"/>
        <v>117.25999999999999</v>
      </c>
      <c r="Q397" s="82">
        <f t="shared" si="181"/>
        <v>148.63</v>
      </c>
      <c r="R397" s="82">
        <f t="shared" si="182"/>
        <v>148.63</v>
      </c>
    </row>
    <row r="398" spans="2:18" s="34" customFormat="1" ht="23.4">
      <c r="B398" s="75" t="s">
        <v>787</v>
      </c>
      <c r="C398" s="76" t="s">
        <v>655</v>
      </c>
      <c r="D398" s="77" t="s">
        <v>82</v>
      </c>
      <c r="E398" s="110">
        <v>739.18</v>
      </c>
      <c r="F398" s="111"/>
      <c r="G398" s="111"/>
      <c r="H398" s="111"/>
      <c r="I398" s="111">
        <f>SUM(G398:H398)+'BM 004'!I398</f>
        <v>0</v>
      </c>
      <c r="J398" s="111">
        <f t="shared" si="171"/>
        <v>739.18</v>
      </c>
      <c r="K398" s="80">
        <v>8</v>
      </c>
      <c r="L398" s="81">
        <f t="shared" si="170"/>
        <v>10.14080088</v>
      </c>
      <c r="M398" s="82">
        <f t="shared" si="178"/>
        <v>0</v>
      </c>
      <c r="N398" s="82">
        <f t="shared" si="179"/>
        <v>0</v>
      </c>
      <c r="O398" s="82">
        <f>N398+'BM 004'!O398</f>
        <v>0</v>
      </c>
      <c r="P398" s="80">
        <f t="shared" si="180"/>
        <v>5913.44</v>
      </c>
      <c r="Q398" s="82">
        <f t="shared" si="181"/>
        <v>7495.87</v>
      </c>
      <c r="R398" s="82">
        <f t="shared" si="182"/>
        <v>7495.87</v>
      </c>
    </row>
    <row r="399" spans="2:18" s="34" customFormat="1" ht="23.4">
      <c r="B399" s="75" t="s">
        <v>788</v>
      </c>
      <c r="C399" s="76" t="s">
        <v>659</v>
      </c>
      <c r="D399" s="77" t="s">
        <v>82</v>
      </c>
      <c r="E399" s="112">
        <v>19.510000000000002</v>
      </c>
      <c r="F399" s="113"/>
      <c r="G399" s="113"/>
      <c r="H399" s="113"/>
      <c r="I399" s="113">
        <f>SUM(G399:H399)+'BM 004'!I399</f>
        <v>0</v>
      </c>
      <c r="J399" s="113">
        <f t="shared" si="171"/>
        <v>19.510000000000002</v>
      </c>
      <c r="K399" s="80">
        <v>23.5</v>
      </c>
      <c r="L399" s="81">
        <f t="shared" si="170"/>
        <v>29.788602585</v>
      </c>
      <c r="M399" s="82">
        <f t="shared" si="178"/>
        <v>0</v>
      </c>
      <c r="N399" s="82">
        <f t="shared" si="179"/>
        <v>0</v>
      </c>
      <c r="O399" s="82">
        <f>N399+'BM 004'!O399</f>
        <v>0</v>
      </c>
      <c r="P399" s="80">
        <f t="shared" si="180"/>
        <v>458.48500000000001</v>
      </c>
      <c r="Q399" s="82">
        <f t="shared" si="181"/>
        <v>581.16999999999996</v>
      </c>
      <c r="R399" s="82">
        <f t="shared" si="182"/>
        <v>581.16999999999996</v>
      </c>
    </row>
    <row r="400" spans="2:18" s="34" customFormat="1" ht="34.799999999999997">
      <c r="B400" s="75" t="s">
        <v>789</v>
      </c>
      <c r="C400" s="76" t="s">
        <v>790</v>
      </c>
      <c r="D400" s="77" t="s">
        <v>82</v>
      </c>
      <c r="E400" s="108">
        <v>609.66</v>
      </c>
      <c r="F400" s="109"/>
      <c r="G400" s="109"/>
      <c r="H400" s="109"/>
      <c r="I400" s="109">
        <f>SUM(G400:H400)+'BM 004'!I400</f>
        <v>0</v>
      </c>
      <c r="J400" s="109">
        <f t="shared" si="171"/>
        <v>609.66</v>
      </c>
      <c r="K400" s="80">
        <v>27.5</v>
      </c>
      <c r="L400" s="81">
        <f t="shared" si="170"/>
        <v>34.859003025</v>
      </c>
      <c r="M400" s="82">
        <f t="shared" si="178"/>
        <v>0</v>
      </c>
      <c r="N400" s="82">
        <f t="shared" si="179"/>
        <v>0</v>
      </c>
      <c r="O400" s="82">
        <f>N400+'BM 004'!O400</f>
        <v>0</v>
      </c>
      <c r="P400" s="80">
        <f t="shared" si="180"/>
        <v>16765.649999999998</v>
      </c>
      <c r="Q400" s="82">
        <f t="shared" si="181"/>
        <v>21252.13</v>
      </c>
      <c r="R400" s="82">
        <f t="shared" si="182"/>
        <v>21252.13</v>
      </c>
    </row>
    <row r="401" spans="2:18" s="34" customFormat="1" ht="34.799999999999997">
      <c r="B401" s="75" t="s">
        <v>791</v>
      </c>
      <c r="C401" s="76" t="s">
        <v>792</v>
      </c>
      <c r="D401" s="77" t="s">
        <v>82</v>
      </c>
      <c r="E401" s="114">
        <v>307.39999999999998</v>
      </c>
      <c r="F401" s="82"/>
      <c r="G401" s="82"/>
      <c r="H401" s="82"/>
      <c r="I401" s="82">
        <f>SUM(G401:H401)+'BM 004'!I401</f>
        <v>0</v>
      </c>
      <c r="J401" s="82">
        <f t="shared" si="171"/>
        <v>307.39999999999998</v>
      </c>
      <c r="K401" s="80">
        <v>74</v>
      </c>
      <c r="L401" s="81">
        <f t="shared" si="170"/>
        <v>93.802408140000011</v>
      </c>
      <c r="M401" s="82">
        <f t="shared" si="178"/>
        <v>0</v>
      </c>
      <c r="N401" s="82">
        <f t="shared" si="179"/>
        <v>0</v>
      </c>
      <c r="O401" s="82">
        <f>N401+'BM 004'!O401</f>
        <v>0</v>
      </c>
      <c r="P401" s="80">
        <f t="shared" si="180"/>
        <v>22747.599999999999</v>
      </c>
      <c r="Q401" s="82">
        <f t="shared" si="181"/>
        <v>28834.86</v>
      </c>
      <c r="R401" s="82">
        <f t="shared" si="182"/>
        <v>28834.86</v>
      </c>
    </row>
    <row r="402" spans="2:18" s="34" customFormat="1" ht="34.799999999999997">
      <c r="B402" s="75" t="s">
        <v>793</v>
      </c>
      <c r="C402" s="76" t="s">
        <v>794</v>
      </c>
      <c r="D402" s="77" t="s">
        <v>82</v>
      </c>
      <c r="E402" s="114">
        <v>340.33</v>
      </c>
      <c r="F402" s="82"/>
      <c r="G402" s="82"/>
      <c r="H402" s="82"/>
      <c r="I402" s="82">
        <f>SUM(G402:H402)+'BM 004'!I402</f>
        <v>0</v>
      </c>
      <c r="J402" s="82">
        <f t="shared" si="171"/>
        <v>340.33</v>
      </c>
      <c r="K402" s="80">
        <v>34.57</v>
      </c>
      <c r="L402" s="81">
        <f t="shared" si="170"/>
        <v>43.820935802699999</v>
      </c>
      <c r="M402" s="82">
        <f t="shared" si="178"/>
        <v>0</v>
      </c>
      <c r="N402" s="82">
        <f t="shared" si="179"/>
        <v>0</v>
      </c>
      <c r="O402" s="82">
        <f>N402+'BM 004'!O402</f>
        <v>0</v>
      </c>
      <c r="P402" s="80">
        <f t="shared" si="180"/>
        <v>11765.2081</v>
      </c>
      <c r="Q402" s="82">
        <f t="shared" si="181"/>
        <v>14913.57</v>
      </c>
      <c r="R402" s="82">
        <f t="shared" si="182"/>
        <v>14913.57</v>
      </c>
    </row>
    <row r="403" spans="2:18" s="34" customFormat="1" ht="23.4">
      <c r="B403" s="75" t="s">
        <v>795</v>
      </c>
      <c r="C403" s="76" t="s">
        <v>796</v>
      </c>
      <c r="D403" s="77" t="s">
        <v>82</v>
      </c>
      <c r="E403" s="114">
        <v>52.07</v>
      </c>
      <c r="F403" s="82"/>
      <c r="G403" s="82"/>
      <c r="H403" s="82"/>
      <c r="I403" s="82">
        <f>SUM(G403:H403)+'BM 004'!I403</f>
        <v>0</v>
      </c>
      <c r="J403" s="82">
        <f t="shared" si="171"/>
        <v>52.07</v>
      </c>
      <c r="K403" s="80">
        <v>165</v>
      </c>
      <c r="L403" s="81">
        <f t="shared" si="170"/>
        <v>209.15401815000001</v>
      </c>
      <c r="M403" s="82">
        <f t="shared" si="178"/>
        <v>0</v>
      </c>
      <c r="N403" s="82">
        <f t="shared" si="179"/>
        <v>0</v>
      </c>
      <c r="O403" s="82">
        <f>N403+'BM 004'!O403</f>
        <v>0</v>
      </c>
      <c r="P403" s="80">
        <f t="shared" si="180"/>
        <v>8591.5499999999993</v>
      </c>
      <c r="Q403" s="82">
        <f t="shared" si="181"/>
        <v>10890.64</v>
      </c>
      <c r="R403" s="82">
        <f t="shared" si="182"/>
        <v>10890.64</v>
      </c>
    </row>
    <row r="404" spans="2:18" s="34" customFormat="1" ht="23.4">
      <c r="B404" s="75" t="s">
        <v>797</v>
      </c>
      <c r="C404" s="76" t="s">
        <v>796</v>
      </c>
      <c r="D404" s="77" t="s">
        <v>82</v>
      </c>
      <c r="E404" s="114">
        <v>3.02</v>
      </c>
      <c r="F404" s="82"/>
      <c r="G404" s="82"/>
      <c r="H404" s="82"/>
      <c r="I404" s="82">
        <f>SUM(G404:H404)+'BM 004'!I404</f>
        <v>0</v>
      </c>
      <c r="J404" s="82">
        <f t="shared" si="171"/>
        <v>3.02</v>
      </c>
      <c r="K404" s="80">
        <v>165</v>
      </c>
      <c r="L404" s="81">
        <f t="shared" si="170"/>
        <v>209.15401815000001</v>
      </c>
      <c r="M404" s="82">
        <f t="shared" si="178"/>
        <v>0</v>
      </c>
      <c r="N404" s="82">
        <f t="shared" si="179"/>
        <v>0</v>
      </c>
      <c r="O404" s="82">
        <f>N404+'BM 004'!O404</f>
        <v>0</v>
      </c>
      <c r="P404" s="80">
        <f t="shared" si="180"/>
        <v>498.3</v>
      </c>
      <c r="Q404" s="82">
        <f t="shared" si="181"/>
        <v>631.64</v>
      </c>
      <c r="R404" s="82">
        <f t="shared" si="182"/>
        <v>631.64</v>
      </c>
    </row>
    <row r="405" spans="2:18" s="34" customFormat="1" ht="23.4">
      <c r="B405" s="75" t="s">
        <v>798</v>
      </c>
      <c r="C405" s="76" t="s">
        <v>799</v>
      </c>
      <c r="D405" s="77" t="s">
        <v>82</v>
      </c>
      <c r="E405" s="114">
        <v>658.8</v>
      </c>
      <c r="F405" s="82"/>
      <c r="G405" s="82"/>
      <c r="H405" s="82"/>
      <c r="I405" s="82">
        <f>SUM(G405:H405)+'BM 004'!I405</f>
        <v>0</v>
      </c>
      <c r="J405" s="82">
        <f t="shared" si="171"/>
        <v>658.8</v>
      </c>
      <c r="K405" s="80">
        <v>65</v>
      </c>
      <c r="L405" s="81">
        <f t="shared" si="170"/>
        <v>82.394007150000007</v>
      </c>
      <c r="M405" s="82">
        <f t="shared" si="178"/>
        <v>0</v>
      </c>
      <c r="N405" s="82">
        <f t="shared" si="179"/>
        <v>0</v>
      </c>
      <c r="O405" s="82">
        <f>N405+'BM 004'!O405</f>
        <v>0</v>
      </c>
      <c r="P405" s="80">
        <f t="shared" si="180"/>
        <v>42822</v>
      </c>
      <c r="Q405" s="82">
        <f t="shared" si="181"/>
        <v>54281.17</v>
      </c>
      <c r="R405" s="82">
        <f t="shared" si="182"/>
        <v>54281.17</v>
      </c>
    </row>
    <row r="406" spans="2:18" s="34" customFormat="1" ht="36">
      <c r="B406" s="66" t="s">
        <v>800</v>
      </c>
      <c r="C406" s="115" t="s">
        <v>801</v>
      </c>
      <c r="D406" s="116"/>
      <c r="E406" s="117"/>
      <c r="F406" s="118"/>
      <c r="G406" s="118"/>
      <c r="H406" s="118"/>
      <c r="I406" s="118">
        <f>SUM(G406:H406)+'BM 004'!I406</f>
        <v>0</v>
      </c>
      <c r="J406" s="118">
        <f t="shared" si="171"/>
        <v>0</v>
      </c>
      <c r="K406" s="119"/>
      <c r="L406" s="119">
        <f t="shared" si="170"/>
        <v>0</v>
      </c>
      <c r="M406" s="73">
        <f t="shared" ref="M406:R406" si="183">SUM(M407:M473)</f>
        <v>0</v>
      </c>
      <c r="N406" s="73">
        <f t="shared" si="183"/>
        <v>0</v>
      </c>
      <c r="O406" s="73">
        <f t="shared" si="183"/>
        <v>0</v>
      </c>
      <c r="P406" s="73">
        <f t="shared" si="183"/>
        <v>84729.980000000025</v>
      </c>
      <c r="Q406" s="73">
        <f t="shared" si="183"/>
        <v>107403.37000000007</v>
      </c>
      <c r="R406" s="73">
        <f t="shared" si="183"/>
        <v>107403.37000000007</v>
      </c>
    </row>
    <row r="407" spans="2:18" s="34" customFormat="1" ht="46.2">
      <c r="B407" s="75" t="s">
        <v>802</v>
      </c>
      <c r="C407" s="76" t="s">
        <v>803</v>
      </c>
      <c r="D407" s="77" t="s">
        <v>131</v>
      </c>
      <c r="E407" s="93">
        <v>209</v>
      </c>
      <c r="F407" s="79"/>
      <c r="G407" s="79"/>
      <c r="H407" s="79"/>
      <c r="I407" s="79">
        <f>SUM(G407:H407)+'BM 004'!I407</f>
        <v>0</v>
      </c>
      <c r="J407" s="79">
        <f t="shared" si="171"/>
        <v>209</v>
      </c>
      <c r="K407" s="80">
        <v>15.61</v>
      </c>
      <c r="L407" s="81">
        <f t="shared" si="170"/>
        <v>19.787237717100002</v>
      </c>
      <c r="M407" s="82">
        <f t="shared" ref="M407:M438" si="184">TRUNC(F407*L407,2)</f>
        <v>0</v>
      </c>
      <c r="N407" s="82">
        <f t="shared" ref="N407:N438" si="185">TRUNC(G407*L407,2)</f>
        <v>0</v>
      </c>
      <c r="O407" s="82">
        <f>N407+'BM 004'!O407</f>
        <v>0</v>
      </c>
      <c r="P407" s="80">
        <f t="shared" ref="P407:P438" si="186">E407*K407</f>
        <v>3262.49</v>
      </c>
      <c r="Q407" s="82">
        <f t="shared" ref="Q407:Q438" si="187">TRUNC(E407*L407,2)</f>
        <v>4135.53</v>
      </c>
      <c r="R407" s="82">
        <f t="shared" ref="R407:R438" si="188">Q407-O407</f>
        <v>4135.53</v>
      </c>
    </row>
    <row r="408" spans="2:18" s="34" customFormat="1" ht="46.2">
      <c r="B408" s="75" t="s">
        <v>804</v>
      </c>
      <c r="C408" s="76" t="s">
        <v>805</v>
      </c>
      <c r="D408" s="77" t="s">
        <v>131</v>
      </c>
      <c r="E408" s="93">
        <v>127</v>
      </c>
      <c r="F408" s="79"/>
      <c r="G408" s="79"/>
      <c r="H408" s="79"/>
      <c r="I408" s="79">
        <f>SUM(G408:H408)+'BM 004'!I408</f>
        <v>0</v>
      </c>
      <c r="J408" s="79">
        <f t="shared" si="171"/>
        <v>127</v>
      </c>
      <c r="K408" s="80">
        <v>13.73</v>
      </c>
      <c r="L408" s="81">
        <f t="shared" si="170"/>
        <v>17.404149510300002</v>
      </c>
      <c r="M408" s="82">
        <f t="shared" si="184"/>
        <v>0</v>
      </c>
      <c r="N408" s="82">
        <f t="shared" si="185"/>
        <v>0</v>
      </c>
      <c r="O408" s="82">
        <f>N408+'BM 004'!O408</f>
        <v>0</v>
      </c>
      <c r="P408" s="80">
        <f t="shared" si="186"/>
        <v>1743.71</v>
      </c>
      <c r="Q408" s="82">
        <f t="shared" si="187"/>
        <v>2210.3200000000002</v>
      </c>
      <c r="R408" s="82">
        <f t="shared" si="188"/>
        <v>2210.3200000000002</v>
      </c>
    </row>
    <row r="409" spans="2:18" s="34" customFormat="1" ht="34.799999999999997">
      <c r="B409" s="75" t="s">
        <v>806</v>
      </c>
      <c r="C409" s="76" t="s">
        <v>807</v>
      </c>
      <c r="D409" s="77" t="s">
        <v>131</v>
      </c>
      <c r="E409" s="93">
        <v>286</v>
      </c>
      <c r="F409" s="79"/>
      <c r="G409" s="79"/>
      <c r="H409" s="79"/>
      <c r="I409" s="79">
        <f>SUM(G409:H409)+'BM 004'!I409</f>
        <v>0</v>
      </c>
      <c r="J409" s="79">
        <f t="shared" si="171"/>
        <v>286</v>
      </c>
      <c r="K409" s="80">
        <v>46.17</v>
      </c>
      <c r="L409" s="81">
        <f t="shared" si="170"/>
        <v>58.525097078700007</v>
      </c>
      <c r="M409" s="82">
        <f t="shared" si="184"/>
        <v>0</v>
      </c>
      <c r="N409" s="82">
        <f t="shared" si="185"/>
        <v>0</v>
      </c>
      <c r="O409" s="82">
        <f>N409+'BM 004'!O409</f>
        <v>0</v>
      </c>
      <c r="P409" s="80">
        <f t="shared" si="186"/>
        <v>13204.62</v>
      </c>
      <c r="Q409" s="82">
        <f t="shared" si="187"/>
        <v>16738.169999999998</v>
      </c>
      <c r="R409" s="82">
        <f t="shared" si="188"/>
        <v>16738.169999999998</v>
      </c>
    </row>
    <row r="410" spans="2:18" s="34" customFormat="1" ht="34.799999999999997">
      <c r="B410" s="75" t="s">
        <v>808</v>
      </c>
      <c r="C410" s="76" t="s">
        <v>809</v>
      </c>
      <c r="D410" s="77" t="s">
        <v>131</v>
      </c>
      <c r="E410" s="93">
        <v>2</v>
      </c>
      <c r="F410" s="79"/>
      <c r="G410" s="79"/>
      <c r="H410" s="79"/>
      <c r="I410" s="79">
        <f>SUM(G410:H410)+'BM 004'!I410</f>
        <v>0</v>
      </c>
      <c r="J410" s="79">
        <f t="shared" si="171"/>
        <v>2</v>
      </c>
      <c r="K410" s="80">
        <v>95</v>
      </c>
      <c r="L410" s="81">
        <f t="shared" si="170"/>
        <v>120.42201045</v>
      </c>
      <c r="M410" s="82">
        <f t="shared" si="184"/>
        <v>0</v>
      </c>
      <c r="N410" s="82">
        <f t="shared" si="185"/>
        <v>0</v>
      </c>
      <c r="O410" s="82">
        <f>N410+'BM 004'!O410</f>
        <v>0</v>
      </c>
      <c r="P410" s="80">
        <f t="shared" si="186"/>
        <v>190</v>
      </c>
      <c r="Q410" s="82">
        <f t="shared" si="187"/>
        <v>240.84</v>
      </c>
      <c r="R410" s="82">
        <f t="shared" si="188"/>
        <v>240.84</v>
      </c>
    </row>
    <row r="411" spans="2:18" s="34" customFormat="1" ht="34.799999999999997">
      <c r="B411" s="75" t="s">
        <v>810</v>
      </c>
      <c r="C411" s="76" t="s">
        <v>811</v>
      </c>
      <c r="D411" s="77" t="s">
        <v>131</v>
      </c>
      <c r="E411" s="93">
        <v>4</v>
      </c>
      <c r="F411" s="79"/>
      <c r="G411" s="79"/>
      <c r="H411" s="79"/>
      <c r="I411" s="79">
        <f>SUM(G411:H411)+'BM 004'!I411</f>
        <v>0</v>
      </c>
      <c r="J411" s="79">
        <f t="shared" si="171"/>
        <v>4</v>
      </c>
      <c r="K411" s="80">
        <v>240</v>
      </c>
      <c r="L411" s="81">
        <f t="shared" si="170"/>
        <v>304.22402640000001</v>
      </c>
      <c r="M411" s="82">
        <f t="shared" si="184"/>
        <v>0</v>
      </c>
      <c r="N411" s="82">
        <f t="shared" si="185"/>
        <v>0</v>
      </c>
      <c r="O411" s="82">
        <f>N411+'BM 004'!O411</f>
        <v>0</v>
      </c>
      <c r="P411" s="80">
        <f t="shared" si="186"/>
        <v>960</v>
      </c>
      <c r="Q411" s="82">
        <f t="shared" si="187"/>
        <v>1216.8900000000001</v>
      </c>
      <c r="R411" s="82">
        <f t="shared" si="188"/>
        <v>1216.8900000000001</v>
      </c>
    </row>
    <row r="412" spans="2:18" s="34" customFormat="1" ht="46.2">
      <c r="B412" s="75" t="s">
        <v>812</v>
      </c>
      <c r="C412" s="76" t="s">
        <v>813</v>
      </c>
      <c r="D412" s="77" t="s">
        <v>131</v>
      </c>
      <c r="E412" s="93">
        <v>412</v>
      </c>
      <c r="F412" s="79"/>
      <c r="G412" s="79"/>
      <c r="H412" s="79"/>
      <c r="I412" s="79">
        <f>SUM(G412:H412)+'BM 004'!I412</f>
        <v>0</v>
      </c>
      <c r="J412" s="79">
        <f t="shared" si="171"/>
        <v>412</v>
      </c>
      <c r="K412" s="80">
        <v>8.31</v>
      </c>
      <c r="L412" s="81">
        <f t="shared" si="170"/>
        <v>10.533756914100001</v>
      </c>
      <c r="M412" s="82">
        <f t="shared" si="184"/>
        <v>0</v>
      </c>
      <c r="N412" s="82">
        <f t="shared" si="185"/>
        <v>0</v>
      </c>
      <c r="O412" s="82">
        <f>N412+'BM 004'!O412</f>
        <v>0</v>
      </c>
      <c r="P412" s="80">
        <f t="shared" si="186"/>
        <v>3423.7200000000003</v>
      </c>
      <c r="Q412" s="82">
        <f t="shared" si="187"/>
        <v>4339.8999999999996</v>
      </c>
      <c r="R412" s="82">
        <f t="shared" si="188"/>
        <v>4339.8999999999996</v>
      </c>
    </row>
    <row r="413" spans="2:18" s="34" customFormat="1" ht="34.799999999999997">
      <c r="B413" s="75" t="s">
        <v>814</v>
      </c>
      <c r="C413" s="76" t="s">
        <v>815</v>
      </c>
      <c r="D413" s="77" t="s">
        <v>131</v>
      </c>
      <c r="E413" s="93">
        <v>2</v>
      </c>
      <c r="F413" s="79"/>
      <c r="G413" s="79"/>
      <c r="H413" s="79"/>
      <c r="I413" s="79">
        <f>SUM(G413:H413)+'BM 004'!I413</f>
        <v>0</v>
      </c>
      <c r="J413" s="79">
        <f t="shared" si="171"/>
        <v>2</v>
      </c>
      <c r="K413" s="80">
        <v>29</v>
      </c>
      <c r="L413" s="81">
        <f t="shared" ref="L413:L476" si="189">K413*(1+$T$26)</f>
        <v>36.760403190000005</v>
      </c>
      <c r="M413" s="82">
        <f t="shared" si="184"/>
        <v>0</v>
      </c>
      <c r="N413" s="82">
        <f t="shared" si="185"/>
        <v>0</v>
      </c>
      <c r="O413" s="82">
        <f>N413+'BM 004'!O413</f>
        <v>0</v>
      </c>
      <c r="P413" s="80">
        <f t="shared" si="186"/>
        <v>58</v>
      </c>
      <c r="Q413" s="82">
        <f t="shared" si="187"/>
        <v>73.52</v>
      </c>
      <c r="R413" s="82">
        <f t="shared" si="188"/>
        <v>73.52</v>
      </c>
    </row>
    <row r="414" spans="2:18" s="34" customFormat="1" ht="46.2">
      <c r="B414" s="75" t="s">
        <v>816</v>
      </c>
      <c r="C414" s="76" t="s">
        <v>817</v>
      </c>
      <c r="D414" s="77" t="s">
        <v>131</v>
      </c>
      <c r="E414" s="93">
        <v>115</v>
      </c>
      <c r="F414" s="79"/>
      <c r="G414" s="79"/>
      <c r="H414" s="79"/>
      <c r="I414" s="79">
        <f>SUM(G414:H414)+'BM 004'!I414</f>
        <v>0</v>
      </c>
      <c r="J414" s="79">
        <f t="shared" si="171"/>
        <v>115</v>
      </c>
      <c r="K414" s="80">
        <v>9.2899999999999991</v>
      </c>
      <c r="L414" s="81">
        <f t="shared" si="189"/>
        <v>11.7760050219</v>
      </c>
      <c r="M414" s="82">
        <f t="shared" si="184"/>
        <v>0</v>
      </c>
      <c r="N414" s="82">
        <f t="shared" si="185"/>
        <v>0</v>
      </c>
      <c r="O414" s="82">
        <f>N414+'BM 004'!O414</f>
        <v>0</v>
      </c>
      <c r="P414" s="80">
        <f t="shared" si="186"/>
        <v>1068.3499999999999</v>
      </c>
      <c r="Q414" s="82">
        <f t="shared" si="187"/>
        <v>1354.24</v>
      </c>
      <c r="R414" s="82">
        <f t="shared" si="188"/>
        <v>1354.24</v>
      </c>
    </row>
    <row r="415" spans="2:18" s="34" customFormat="1" ht="46.2">
      <c r="B415" s="75" t="s">
        <v>818</v>
      </c>
      <c r="C415" s="76" t="s">
        <v>819</v>
      </c>
      <c r="D415" s="77" t="s">
        <v>131</v>
      </c>
      <c r="E415" s="93">
        <v>158</v>
      </c>
      <c r="F415" s="79"/>
      <c r="G415" s="79"/>
      <c r="H415" s="79"/>
      <c r="I415" s="79">
        <f>SUM(G415:H415)+'BM 004'!I415</f>
        <v>0</v>
      </c>
      <c r="J415" s="79">
        <f t="shared" ref="J415:J478" si="190">E415-I415</f>
        <v>158</v>
      </c>
      <c r="K415" s="80">
        <v>14.75</v>
      </c>
      <c r="L415" s="81">
        <f t="shared" si="189"/>
        <v>18.6971016225</v>
      </c>
      <c r="M415" s="82">
        <f t="shared" si="184"/>
        <v>0</v>
      </c>
      <c r="N415" s="82">
        <f t="shared" si="185"/>
        <v>0</v>
      </c>
      <c r="O415" s="82">
        <f>N415+'BM 004'!O415</f>
        <v>0</v>
      </c>
      <c r="P415" s="80">
        <f t="shared" si="186"/>
        <v>2330.5</v>
      </c>
      <c r="Q415" s="82">
        <f t="shared" si="187"/>
        <v>2954.14</v>
      </c>
      <c r="R415" s="82">
        <f t="shared" si="188"/>
        <v>2954.14</v>
      </c>
    </row>
    <row r="416" spans="2:18" s="34" customFormat="1" ht="46.2">
      <c r="B416" s="75" t="s">
        <v>820</v>
      </c>
      <c r="C416" s="76" t="s">
        <v>821</v>
      </c>
      <c r="D416" s="77" t="s">
        <v>131</v>
      </c>
      <c r="E416" s="93">
        <v>28</v>
      </c>
      <c r="F416" s="79"/>
      <c r="G416" s="79"/>
      <c r="H416" s="79"/>
      <c r="I416" s="79">
        <f>SUM(G416:H416)+'BM 004'!I416</f>
        <v>0</v>
      </c>
      <c r="J416" s="79">
        <f t="shared" si="190"/>
        <v>28</v>
      </c>
      <c r="K416" s="80">
        <v>29.5</v>
      </c>
      <c r="L416" s="81">
        <f t="shared" si="189"/>
        <v>37.394203245</v>
      </c>
      <c r="M416" s="82">
        <f t="shared" si="184"/>
        <v>0</v>
      </c>
      <c r="N416" s="82">
        <f t="shared" si="185"/>
        <v>0</v>
      </c>
      <c r="O416" s="82">
        <f>N416+'BM 004'!O416</f>
        <v>0</v>
      </c>
      <c r="P416" s="80">
        <f t="shared" si="186"/>
        <v>826</v>
      </c>
      <c r="Q416" s="82">
        <f t="shared" si="187"/>
        <v>1047.03</v>
      </c>
      <c r="R416" s="82">
        <f t="shared" si="188"/>
        <v>1047.03</v>
      </c>
    </row>
    <row r="417" spans="2:18" s="34" customFormat="1" ht="22.5" customHeight="1">
      <c r="B417" s="75" t="s">
        <v>822</v>
      </c>
      <c r="C417" s="76" t="s">
        <v>823</v>
      </c>
      <c r="D417" s="77" t="s">
        <v>131</v>
      </c>
      <c r="E417" s="93">
        <v>37</v>
      </c>
      <c r="F417" s="79"/>
      <c r="G417" s="79"/>
      <c r="H417" s="79"/>
      <c r="I417" s="79">
        <f>SUM(G417:H417)+'BM 004'!I417</f>
        <v>0</v>
      </c>
      <c r="J417" s="79">
        <f t="shared" si="190"/>
        <v>37</v>
      </c>
      <c r="K417" s="80">
        <v>34.119999999999997</v>
      </c>
      <c r="L417" s="81">
        <f t="shared" si="189"/>
        <v>43.250515753199998</v>
      </c>
      <c r="M417" s="82">
        <f t="shared" si="184"/>
        <v>0</v>
      </c>
      <c r="N417" s="82">
        <f t="shared" si="185"/>
        <v>0</v>
      </c>
      <c r="O417" s="82">
        <f>N417+'BM 004'!O417</f>
        <v>0</v>
      </c>
      <c r="P417" s="80">
        <f t="shared" si="186"/>
        <v>1262.4399999999998</v>
      </c>
      <c r="Q417" s="82">
        <f t="shared" si="187"/>
        <v>1600.26</v>
      </c>
      <c r="R417" s="82">
        <f t="shared" si="188"/>
        <v>1600.26</v>
      </c>
    </row>
    <row r="418" spans="2:18" s="34" customFormat="1" ht="34.799999999999997">
      <c r="B418" s="75" t="s">
        <v>824</v>
      </c>
      <c r="C418" s="76" t="s">
        <v>825</v>
      </c>
      <c r="D418" s="77" t="s">
        <v>131</v>
      </c>
      <c r="E418" s="93">
        <v>77</v>
      </c>
      <c r="F418" s="79"/>
      <c r="G418" s="79"/>
      <c r="H418" s="79"/>
      <c r="I418" s="79">
        <f>SUM(G418:H418)+'BM 004'!I418</f>
        <v>0</v>
      </c>
      <c r="J418" s="79">
        <f t="shared" si="190"/>
        <v>77</v>
      </c>
      <c r="K418" s="80">
        <v>42</v>
      </c>
      <c r="L418" s="81">
        <f t="shared" si="189"/>
        <v>53.239204620000002</v>
      </c>
      <c r="M418" s="82">
        <f t="shared" si="184"/>
        <v>0</v>
      </c>
      <c r="N418" s="82">
        <f t="shared" si="185"/>
        <v>0</v>
      </c>
      <c r="O418" s="82">
        <f>N418+'BM 004'!O418</f>
        <v>0</v>
      </c>
      <c r="P418" s="80">
        <f t="shared" si="186"/>
        <v>3234</v>
      </c>
      <c r="Q418" s="82">
        <f t="shared" si="187"/>
        <v>4099.41</v>
      </c>
      <c r="R418" s="82">
        <f t="shared" si="188"/>
        <v>4099.41</v>
      </c>
    </row>
    <row r="419" spans="2:18" s="34" customFormat="1" ht="34.799999999999997">
      <c r="B419" s="75" t="s">
        <v>826</v>
      </c>
      <c r="C419" s="76" t="s">
        <v>827</v>
      </c>
      <c r="D419" s="77" t="s">
        <v>131</v>
      </c>
      <c r="E419" s="93">
        <v>1</v>
      </c>
      <c r="F419" s="79"/>
      <c r="G419" s="79"/>
      <c r="H419" s="79"/>
      <c r="I419" s="79">
        <f>SUM(G419:H419)+'BM 004'!I419</f>
        <v>0</v>
      </c>
      <c r="J419" s="79">
        <f t="shared" si="190"/>
        <v>1</v>
      </c>
      <c r="K419" s="80">
        <v>88</v>
      </c>
      <c r="L419" s="81">
        <f t="shared" si="189"/>
        <v>111.54880968000001</v>
      </c>
      <c r="M419" s="82">
        <f t="shared" si="184"/>
        <v>0</v>
      </c>
      <c r="N419" s="82">
        <f t="shared" si="185"/>
        <v>0</v>
      </c>
      <c r="O419" s="82">
        <f>N419+'BM 004'!O419</f>
        <v>0</v>
      </c>
      <c r="P419" s="80">
        <f t="shared" si="186"/>
        <v>88</v>
      </c>
      <c r="Q419" s="82">
        <f t="shared" si="187"/>
        <v>111.54</v>
      </c>
      <c r="R419" s="82">
        <f t="shared" si="188"/>
        <v>111.54</v>
      </c>
    </row>
    <row r="420" spans="2:18" s="34" customFormat="1" ht="34.799999999999997">
      <c r="B420" s="75" t="s">
        <v>828</v>
      </c>
      <c r="C420" s="76" t="s">
        <v>829</v>
      </c>
      <c r="D420" s="77" t="s">
        <v>131</v>
      </c>
      <c r="E420" s="93">
        <v>4</v>
      </c>
      <c r="F420" s="79"/>
      <c r="G420" s="79"/>
      <c r="H420" s="79"/>
      <c r="I420" s="79">
        <f>SUM(G420:H420)+'BM 004'!I420</f>
        <v>0</v>
      </c>
      <c r="J420" s="79">
        <f t="shared" si="190"/>
        <v>4</v>
      </c>
      <c r="K420" s="80">
        <v>235</v>
      </c>
      <c r="L420" s="81">
        <f t="shared" si="189"/>
        <v>297.88602585000001</v>
      </c>
      <c r="M420" s="82">
        <f t="shared" si="184"/>
        <v>0</v>
      </c>
      <c r="N420" s="82">
        <f t="shared" si="185"/>
        <v>0</v>
      </c>
      <c r="O420" s="82">
        <f>N420+'BM 004'!O420</f>
        <v>0</v>
      </c>
      <c r="P420" s="80">
        <f t="shared" si="186"/>
        <v>940</v>
      </c>
      <c r="Q420" s="82">
        <f t="shared" si="187"/>
        <v>1191.54</v>
      </c>
      <c r="R420" s="82">
        <f t="shared" si="188"/>
        <v>1191.54</v>
      </c>
    </row>
    <row r="421" spans="2:18" s="34" customFormat="1" ht="57.6">
      <c r="B421" s="75" t="s">
        <v>830</v>
      </c>
      <c r="C421" s="76" t="s">
        <v>831</v>
      </c>
      <c r="D421" s="77" t="s">
        <v>131</v>
      </c>
      <c r="E421" s="93">
        <v>326</v>
      </c>
      <c r="F421" s="79"/>
      <c r="G421" s="79"/>
      <c r="H421" s="79"/>
      <c r="I421" s="79">
        <f>SUM(G421:H421)+'BM 004'!I421</f>
        <v>0</v>
      </c>
      <c r="J421" s="79">
        <f t="shared" si="190"/>
        <v>326</v>
      </c>
      <c r="K421" s="80">
        <v>9.08</v>
      </c>
      <c r="L421" s="81">
        <f t="shared" si="189"/>
        <v>11.509808998800001</v>
      </c>
      <c r="M421" s="82">
        <f t="shared" si="184"/>
        <v>0</v>
      </c>
      <c r="N421" s="82">
        <f t="shared" si="185"/>
        <v>0</v>
      </c>
      <c r="O421" s="82">
        <f>N421+'BM 004'!O421</f>
        <v>0</v>
      </c>
      <c r="P421" s="80">
        <f t="shared" si="186"/>
        <v>2960.08</v>
      </c>
      <c r="Q421" s="82">
        <f t="shared" si="187"/>
        <v>3752.19</v>
      </c>
      <c r="R421" s="82">
        <f t="shared" si="188"/>
        <v>3752.19</v>
      </c>
    </row>
    <row r="422" spans="2:18" s="34" customFormat="1" ht="46.2">
      <c r="B422" s="75" t="s">
        <v>832</v>
      </c>
      <c r="C422" s="76" t="s">
        <v>833</v>
      </c>
      <c r="D422" s="77" t="s">
        <v>131</v>
      </c>
      <c r="E422" s="93">
        <v>166</v>
      </c>
      <c r="F422" s="79"/>
      <c r="G422" s="79"/>
      <c r="H422" s="79"/>
      <c r="I422" s="79">
        <f>SUM(G422:H422)+'BM 004'!I422</f>
        <v>0</v>
      </c>
      <c r="J422" s="79">
        <f t="shared" si="190"/>
        <v>166</v>
      </c>
      <c r="K422" s="80">
        <v>9.4600000000000009</v>
      </c>
      <c r="L422" s="81">
        <f t="shared" si="189"/>
        <v>11.991497040600002</v>
      </c>
      <c r="M422" s="82">
        <f t="shared" si="184"/>
        <v>0</v>
      </c>
      <c r="N422" s="82">
        <f t="shared" si="185"/>
        <v>0</v>
      </c>
      <c r="O422" s="82">
        <f>N422+'BM 004'!O422</f>
        <v>0</v>
      </c>
      <c r="P422" s="80">
        <f t="shared" si="186"/>
        <v>1570.3600000000001</v>
      </c>
      <c r="Q422" s="82">
        <f t="shared" si="187"/>
        <v>1990.58</v>
      </c>
      <c r="R422" s="82">
        <f t="shared" si="188"/>
        <v>1990.58</v>
      </c>
    </row>
    <row r="423" spans="2:18" s="34" customFormat="1" ht="13.2">
      <c r="B423" s="75" t="s">
        <v>834</v>
      </c>
      <c r="C423" s="76" t="s">
        <v>747</v>
      </c>
      <c r="D423" s="77" t="s">
        <v>131</v>
      </c>
      <c r="E423" s="93">
        <v>96</v>
      </c>
      <c r="F423" s="79"/>
      <c r="G423" s="79"/>
      <c r="H423" s="79"/>
      <c r="I423" s="79">
        <f>SUM(G423:H423)+'BM 004'!I423</f>
        <v>0</v>
      </c>
      <c r="J423" s="79">
        <f t="shared" si="190"/>
        <v>96</v>
      </c>
      <c r="K423" s="80">
        <v>5.14</v>
      </c>
      <c r="L423" s="81">
        <f t="shared" si="189"/>
        <v>6.5154645654000003</v>
      </c>
      <c r="M423" s="82">
        <f t="shared" si="184"/>
        <v>0</v>
      </c>
      <c r="N423" s="82">
        <f t="shared" si="185"/>
        <v>0</v>
      </c>
      <c r="O423" s="82">
        <f>N423+'BM 004'!O423</f>
        <v>0</v>
      </c>
      <c r="P423" s="80">
        <f t="shared" si="186"/>
        <v>493.43999999999994</v>
      </c>
      <c r="Q423" s="82">
        <f t="shared" si="187"/>
        <v>625.48</v>
      </c>
      <c r="R423" s="82">
        <f t="shared" si="188"/>
        <v>625.48</v>
      </c>
    </row>
    <row r="424" spans="2:18" s="34" customFormat="1" ht="46.2">
      <c r="B424" s="75" t="s">
        <v>835</v>
      </c>
      <c r="C424" s="76" t="s">
        <v>836</v>
      </c>
      <c r="D424" s="77" t="s">
        <v>131</v>
      </c>
      <c r="E424" s="93">
        <v>26</v>
      </c>
      <c r="F424" s="79"/>
      <c r="G424" s="79"/>
      <c r="H424" s="79"/>
      <c r="I424" s="79">
        <f>SUM(G424:H424)+'BM 004'!I424</f>
        <v>0</v>
      </c>
      <c r="J424" s="79">
        <f t="shared" si="190"/>
        <v>26</v>
      </c>
      <c r="K424" s="80">
        <v>21.35</v>
      </c>
      <c r="L424" s="81">
        <f t="shared" si="189"/>
        <v>27.063262348500004</v>
      </c>
      <c r="M424" s="82">
        <f t="shared" si="184"/>
        <v>0</v>
      </c>
      <c r="N424" s="82">
        <f t="shared" si="185"/>
        <v>0</v>
      </c>
      <c r="O424" s="82">
        <f>N424+'BM 004'!O424</f>
        <v>0</v>
      </c>
      <c r="P424" s="80">
        <f t="shared" si="186"/>
        <v>555.1</v>
      </c>
      <c r="Q424" s="82">
        <f t="shared" si="187"/>
        <v>703.64</v>
      </c>
      <c r="R424" s="82">
        <f t="shared" si="188"/>
        <v>703.64</v>
      </c>
    </row>
    <row r="425" spans="2:18" s="34" customFormat="1" ht="46.2">
      <c r="B425" s="75" t="s">
        <v>837</v>
      </c>
      <c r="C425" s="76" t="s">
        <v>838</v>
      </c>
      <c r="D425" s="77" t="s">
        <v>131</v>
      </c>
      <c r="E425" s="93">
        <v>86</v>
      </c>
      <c r="F425" s="79"/>
      <c r="G425" s="79"/>
      <c r="H425" s="79"/>
      <c r="I425" s="79">
        <f>SUM(G425:H425)+'BM 004'!I425</f>
        <v>0</v>
      </c>
      <c r="J425" s="79">
        <f t="shared" si="190"/>
        <v>86</v>
      </c>
      <c r="K425" s="80">
        <v>25.91</v>
      </c>
      <c r="L425" s="81">
        <f t="shared" si="189"/>
        <v>32.843518850100004</v>
      </c>
      <c r="M425" s="82">
        <f t="shared" si="184"/>
        <v>0</v>
      </c>
      <c r="N425" s="82">
        <f t="shared" si="185"/>
        <v>0</v>
      </c>
      <c r="O425" s="82">
        <f>N425+'BM 004'!O425</f>
        <v>0</v>
      </c>
      <c r="P425" s="80">
        <f t="shared" si="186"/>
        <v>2228.2600000000002</v>
      </c>
      <c r="Q425" s="82">
        <f t="shared" si="187"/>
        <v>2824.54</v>
      </c>
      <c r="R425" s="82">
        <f t="shared" si="188"/>
        <v>2824.54</v>
      </c>
    </row>
    <row r="426" spans="2:18" s="34" customFormat="1" ht="34.799999999999997">
      <c r="B426" s="75" t="s">
        <v>839</v>
      </c>
      <c r="C426" s="76" t="s">
        <v>840</v>
      </c>
      <c r="D426" s="77" t="s">
        <v>131</v>
      </c>
      <c r="E426" s="93">
        <v>19</v>
      </c>
      <c r="F426" s="79"/>
      <c r="G426" s="79"/>
      <c r="H426" s="79"/>
      <c r="I426" s="79">
        <f>SUM(G426:H426)+'BM 004'!I426</f>
        <v>0</v>
      </c>
      <c r="J426" s="79">
        <f t="shared" si="190"/>
        <v>19</v>
      </c>
      <c r="K426" s="80">
        <v>100.92</v>
      </c>
      <c r="L426" s="81">
        <f t="shared" si="189"/>
        <v>127.9262031012</v>
      </c>
      <c r="M426" s="82">
        <f t="shared" si="184"/>
        <v>0</v>
      </c>
      <c r="N426" s="82">
        <f t="shared" si="185"/>
        <v>0</v>
      </c>
      <c r="O426" s="82">
        <f>N426+'BM 004'!O426</f>
        <v>0</v>
      </c>
      <c r="P426" s="80">
        <f t="shared" si="186"/>
        <v>1917.48</v>
      </c>
      <c r="Q426" s="82">
        <f t="shared" si="187"/>
        <v>2430.59</v>
      </c>
      <c r="R426" s="82">
        <f t="shared" si="188"/>
        <v>2430.59</v>
      </c>
    </row>
    <row r="427" spans="2:18" s="34" customFormat="1" ht="34.799999999999997">
      <c r="B427" s="75" t="s">
        <v>841</v>
      </c>
      <c r="C427" s="76" t="s">
        <v>842</v>
      </c>
      <c r="D427" s="77" t="s">
        <v>131</v>
      </c>
      <c r="E427" s="93">
        <v>1</v>
      </c>
      <c r="F427" s="79"/>
      <c r="G427" s="79"/>
      <c r="H427" s="79"/>
      <c r="I427" s="79">
        <f>SUM(G427:H427)+'BM 004'!I427</f>
        <v>0</v>
      </c>
      <c r="J427" s="79">
        <f t="shared" si="190"/>
        <v>1</v>
      </c>
      <c r="K427" s="80">
        <v>135</v>
      </c>
      <c r="L427" s="81">
        <f t="shared" si="189"/>
        <v>171.12601485000002</v>
      </c>
      <c r="M427" s="82">
        <f t="shared" si="184"/>
        <v>0</v>
      </c>
      <c r="N427" s="82">
        <f t="shared" si="185"/>
        <v>0</v>
      </c>
      <c r="O427" s="82">
        <f>N427+'BM 004'!O427</f>
        <v>0</v>
      </c>
      <c r="P427" s="80">
        <f t="shared" si="186"/>
        <v>135</v>
      </c>
      <c r="Q427" s="82">
        <f t="shared" si="187"/>
        <v>171.12</v>
      </c>
      <c r="R427" s="82">
        <f t="shared" si="188"/>
        <v>171.12</v>
      </c>
    </row>
    <row r="428" spans="2:18" s="34" customFormat="1" ht="46.2">
      <c r="B428" s="75" t="s">
        <v>843</v>
      </c>
      <c r="C428" s="76" t="s">
        <v>844</v>
      </c>
      <c r="D428" s="77" t="s">
        <v>131</v>
      </c>
      <c r="E428" s="93">
        <v>38</v>
      </c>
      <c r="F428" s="79"/>
      <c r="G428" s="79"/>
      <c r="H428" s="79"/>
      <c r="I428" s="79">
        <f>SUM(G428:H428)+'BM 004'!I428</f>
        <v>0</v>
      </c>
      <c r="J428" s="79">
        <f t="shared" si="190"/>
        <v>38</v>
      </c>
      <c r="K428" s="80">
        <v>9.08</v>
      </c>
      <c r="L428" s="81">
        <f t="shared" si="189"/>
        <v>11.509808998800001</v>
      </c>
      <c r="M428" s="82">
        <f t="shared" si="184"/>
        <v>0</v>
      </c>
      <c r="N428" s="82">
        <f t="shared" si="185"/>
        <v>0</v>
      </c>
      <c r="O428" s="82">
        <f>N428+'BM 004'!O428</f>
        <v>0</v>
      </c>
      <c r="P428" s="80">
        <f t="shared" si="186"/>
        <v>345.04</v>
      </c>
      <c r="Q428" s="82">
        <f t="shared" si="187"/>
        <v>437.37</v>
      </c>
      <c r="R428" s="82">
        <f t="shared" si="188"/>
        <v>437.37</v>
      </c>
    </row>
    <row r="429" spans="2:18" s="34" customFormat="1" ht="46.2">
      <c r="B429" s="75" t="s">
        <v>845</v>
      </c>
      <c r="C429" s="76" t="s">
        <v>846</v>
      </c>
      <c r="D429" s="77" t="s">
        <v>131</v>
      </c>
      <c r="E429" s="93">
        <v>38</v>
      </c>
      <c r="F429" s="79"/>
      <c r="G429" s="79"/>
      <c r="H429" s="79"/>
      <c r="I429" s="79">
        <f>SUM(G429:H429)+'BM 004'!I429</f>
        <v>0</v>
      </c>
      <c r="J429" s="79">
        <f t="shared" si="190"/>
        <v>38</v>
      </c>
      <c r="K429" s="80">
        <v>25.03</v>
      </c>
      <c r="L429" s="81">
        <f t="shared" si="189"/>
        <v>31.728030753300004</v>
      </c>
      <c r="M429" s="82">
        <f t="shared" si="184"/>
        <v>0</v>
      </c>
      <c r="N429" s="82">
        <f t="shared" si="185"/>
        <v>0</v>
      </c>
      <c r="O429" s="82">
        <f>N429+'BM 004'!O429</f>
        <v>0</v>
      </c>
      <c r="P429" s="80">
        <f t="shared" si="186"/>
        <v>951.1400000000001</v>
      </c>
      <c r="Q429" s="82">
        <f t="shared" si="187"/>
        <v>1205.6600000000001</v>
      </c>
      <c r="R429" s="82">
        <f t="shared" si="188"/>
        <v>1205.6600000000001</v>
      </c>
    </row>
    <row r="430" spans="2:18" s="34" customFormat="1" ht="46.2">
      <c r="B430" s="75" t="s">
        <v>847</v>
      </c>
      <c r="C430" s="76" t="s">
        <v>848</v>
      </c>
      <c r="D430" s="77" t="s">
        <v>131</v>
      </c>
      <c r="E430" s="93">
        <v>9</v>
      </c>
      <c r="F430" s="79"/>
      <c r="G430" s="79"/>
      <c r="H430" s="79"/>
      <c r="I430" s="79">
        <f>SUM(G430:H430)+'BM 004'!I430</f>
        <v>0</v>
      </c>
      <c r="J430" s="79">
        <f t="shared" si="190"/>
        <v>9</v>
      </c>
      <c r="K430" s="80">
        <v>38.549999999999997</v>
      </c>
      <c r="L430" s="81">
        <f t="shared" si="189"/>
        <v>48.865984240499998</v>
      </c>
      <c r="M430" s="82">
        <f t="shared" si="184"/>
        <v>0</v>
      </c>
      <c r="N430" s="82">
        <f t="shared" si="185"/>
        <v>0</v>
      </c>
      <c r="O430" s="82">
        <f>N430+'BM 004'!O430</f>
        <v>0</v>
      </c>
      <c r="P430" s="80">
        <f t="shared" si="186"/>
        <v>346.95</v>
      </c>
      <c r="Q430" s="82">
        <f t="shared" si="187"/>
        <v>439.79</v>
      </c>
      <c r="R430" s="82">
        <f t="shared" si="188"/>
        <v>439.79</v>
      </c>
    </row>
    <row r="431" spans="2:18" s="34" customFormat="1" ht="57.6">
      <c r="B431" s="75" t="s">
        <v>849</v>
      </c>
      <c r="C431" s="76" t="s">
        <v>850</v>
      </c>
      <c r="D431" s="77" t="s">
        <v>131</v>
      </c>
      <c r="E431" s="93">
        <v>24</v>
      </c>
      <c r="F431" s="79"/>
      <c r="G431" s="79"/>
      <c r="H431" s="79"/>
      <c r="I431" s="79">
        <f>SUM(G431:H431)+'BM 004'!I431</f>
        <v>0</v>
      </c>
      <c r="J431" s="79">
        <f t="shared" si="190"/>
        <v>24</v>
      </c>
      <c r="K431" s="80">
        <v>48.29</v>
      </c>
      <c r="L431" s="81">
        <f t="shared" si="189"/>
        <v>61.212409311900004</v>
      </c>
      <c r="M431" s="82">
        <f t="shared" si="184"/>
        <v>0</v>
      </c>
      <c r="N431" s="82">
        <f t="shared" si="185"/>
        <v>0</v>
      </c>
      <c r="O431" s="82">
        <f>N431+'BM 004'!O431</f>
        <v>0</v>
      </c>
      <c r="P431" s="80">
        <f t="shared" si="186"/>
        <v>1158.96</v>
      </c>
      <c r="Q431" s="82">
        <f t="shared" si="187"/>
        <v>1469.09</v>
      </c>
      <c r="R431" s="82">
        <f t="shared" si="188"/>
        <v>1469.09</v>
      </c>
    </row>
    <row r="432" spans="2:18" s="34" customFormat="1" ht="23.4">
      <c r="B432" s="75" t="s">
        <v>851</v>
      </c>
      <c r="C432" s="76" t="s">
        <v>852</v>
      </c>
      <c r="D432" s="77" t="s">
        <v>131</v>
      </c>
      <c r="E432" s="93">
        <v>64</v>
      </c>
      <c r="F432" s="79"/>
      <c r="G432" s="79"/>
      <c r="H432" s="79"/>
      <c r="I432" s="79">
        <f>SUM(G432:H432)+'BM 004'!I432</f>
        <v>0</v>
      </c>
      <c r="J432" s="79">
        <f t="shared" si="190"/>
        <v>64</v>
      </c>
      <c r="K432" s="80">
        <v>28.98</v>
      </c>
      <c r="L432" s="81">
        <f t="shared" si="189"/>
        <v>36.735051187800003</v>
      </c>
      <c r="M432" s="82">
        <f t="shared" si="184"/>
        <v>0</v>
      </c>
      <c r="N432" s="82">
        <f t="shared" si="185"/>
        <v>0</v>
      </c>
      <c r="O432" s="82">
        <f>N432+'BM 004'!O432</f>
        <v>0</v>
      </c>
      <c r="P432" s="80">
        <f t="shared" si="186"/>
        <v>1854.72</v>
      </c>
      <c r="Q432" s="82">
        <f t="shared" si="187"/>
        <v>2351.04</v>
      </c>
      <c r="R432" s="82">
        <f t="shared" si="188"/>
        <v>2351.04</v>
      </c>
    </row>
    <row r="433" spans="2:18" s="34" customFormat="1" ht="23.4">
      <c r="B433" s="75" t="s">
        <v>853</v>
      </c>
      <c r="C433" s="76" t="s">
        <v>854</v>
      </c>
      <c r="D433" s="77" t="s">
        <v>131</v>
      </c>
      <c r="E433" s="93">
        <v>69</v>
      </c>
      <c r="F433" s="79"/>
      <c r="G433" s="79"/>
      <c r="H433" s="79"/>
      <c r="I433" s="79">
        <f>SUM(G433:H433)+'BM 004'!I433</f>
        <v>0</v>
      </c>
      <c r="J433" s="79">
        <f t="shared" si="190"/>
        <v>69</v>
      </c>
      <c r="K433" s="80">
        <v>44.64</v>
      </c>
      <c r="L433" s="81">
        <f t="shared" si="189"/>
        <v>56.585668910400003</v>
      </c>
      <c r="M433" s="82">
        <f t="shared" si="184"/>
        <v>0</v>
      </c>
      <c r="N433" s="82">
        <f t="shared" si="185"/>
        <v>0</v>
      </c>
      <c r="O433" s="82">
        <f>N433+'BM 004'!O433</f>
        <v>0</v>
      </c>
      <c r="P433" s="80">
        <f t="shared" si="186"/>
        <v>3080.16</v>
      </c>
      <c r="Q433" s="82">
        <f t="shared" si="187"/>
        <v>3904.41</v>
      </c>
      <c r="R433" s="82">
        <f t="shared" si="188"/>
        <v>3904.41</v>
      </c>
    </row>
    <row r="434" spans="2:18" s="34" customFormat="1" ht="23.4">
      <c r="B434" s="75" t="s">
        <v>855</v>
      </c>
      <c r="C434" s="76" t="s">
        <v>856</v>
      </c>
      <c r="D434" s="77" t="s">
        <v>131</v>
      </c>
      <c r="E434" s="93">
        <v>1</v>
      </c>
      <c r="F434" s="79"/>
      <c r="G434" s="79"/>
      <c r="H434" s="79"/>
      <c r="I434" s="79">
        <f>SUM(G434:H434)+'BM 004'!I434</f>
        <v>0</v>
      </c>
      <c r="J434" s="79">
        <f t="shared" si="190"/>
        <v>1</v>
      </c>
      <c r="K434" s="80">
        <v>51.15</v>
      </c>
      <c r="L434" s="81">
        <f t="shared" si="189"/>
        <v>64.837745626499995</v>
      </c>
      <c r="M434" s="82">
        <f t="shared" si="184"/>
        <v>0</v>
      </c>
      <c r="N434" s="82">
        <f t="shared" si="185"/>
        <v>0</v>
      </c>
      <c r="O434" s="82">
        <f>N434+'BM 004'!O434</f>
        <v>0</v>
      </c>
      <c r="P434" s="80">
        <f t="shared" si="186"/>
        <v>51.15</v>
      </c>
      <c r="Q434" s="82">
        <f t="shared" si="187"/>
        <v>64.83</v>
      </c>
      <c r="R434" s="82">
        <f t="shared" si="188"/>
        <v>64.83</v>
      </c>
    </row>
    <row r="435" spans="2:18" s="34" customFormat="1" ht="23.4">
      <c r="B435" s="75" t="s">
        <v>857</v>
      </c>
      <c r="C435" s="76" t="s">
        <v>858</v>
      </c>
      <c r="D435" s="77" t="s">
        <v>131</v>
      </c>
      <c r="E435" s="93">
        <v>52</v>
      </c>
      <c r="F435" s="79"/>
      <c r="G435" s="79"/>
      <c r="H435" s="79"/>
      <c r="I435" s="79">
        <f>SUM(G435:H435)+'BM 004'!I435</f>
        <v>0</v>
      </c>
      <c r="J435" s="79">
        <f t="shared" si="190"/>
        <v>52</v>
      </c>
      <c r="K435" s="80">
        <v>140</v>
      </c>
      <c r="L435" s="81">
        <f t="shared" si="189"/>
        <v>177.46401539999999</v>
      </c>
      <c r="M435" s="82">
        <f t="shared" si="184"/>
        <v>0</v>
      </c>
      <c r="N435" s="82">
        <f t="shared" si="185"/>
        <v>0</v>
      </c>
      <c r="O435" s="82">
        <f>N435+'BM 004'!O435</f>
        <v>0</v>
      </c>
      <c r="P435" s="80">
        <f t="shared" si="186"/>
        <v>7280</v>
      </c>
      <c r="Q435" s="82">
        <f t="shared" si="187"/>
        <v>9228.1200000000008</v>
      </c>
      <c r="R435" s="82">
        <f t="shared" si="188"/>
        <v>9228.1200000000008</v>
      </c>
    </row>
    <row r="436" spans="2:18" s="34" customFormat="1" ht="34.799999999999997">
      <c r="B436" s="75" t="s">
        <v>859</v>
      </c>
      <c r="C436" s="76" t="s">
        <v>860</v>
      </c>
      <c r="D436" s="77" t="s">
        <v>131</v>
      </c>
      <c r="E436" s="93">
        <v>68</v>
      </c>
      <c r="F436" s="79"/>
      <c r="G436" s="79"/>
      <c r="H436" s="79"/>
      <c r="I436" s="79">
        <f>SUM(G436:H436)+'BM 004'!I436</f>
        <v>0</v>
      </c>
      <c r="J436" s="79">
        <f t="shared" si="190"/>
        <v>68</v>
      </c>
      <c r="K436" s="80">
        <v>80</v>
      </c>
      <c r="L436" s="81">
        <f t="shared" si="189"/>
        <v>101.4080088</v>
      </c>
      <c r="M436" s="82">
        <f t="shared" si="184"/>
        <v>0</v>
      </c>
      <c r="N436" s="82">
        <f t="shared" si="185"/>
        <v>0</v>
      </c>
      <c r="O436" s="82">
        <f>N436+'BM 004'!O436</f>
        <v>0</v>
      </c>
      <c r="P436" s="80">
        <f t="shared" si="186"/>
        <v>5440</v>
      </c>
      <c r="Q436" s="82">
        <f t="shared" si="187"/>
        <v>6895.74</v>
      </c>
      <c r="R436" s="82">
        <f t="shared" si="188"/>
        <v>6895.74</v>
      </c>
    </row>
    <row r="437" spans="2:18" s="34" customFormat="1" ht="23.4">
      <c r="B437" s="75" t="s">
        <v>861</v>
      </c>
      <c r="C437" s="76" t="s">
        <v>862</v>
      </c>
      <c r="D437" s="77" t="s">
        <v>131</v>
      </c>
      <c r="E437" s="93">
        <v>10</v>
      </c>
      <c r="F437" s="79"/>
      <c r="G437" s="79"/>
      <c r="H437" s="79"/>
      <c r="I437" s="79">
        <f>SUM(G437:H437)+'BM 004'!I437</f>
        <v>0</v>
      </c>
      <c r="J437" s="79">
        <f t="shared" si="190"/>
        <v>10</v>
      </c>
      <c r="K437" s="80">
        <v>18.14</v>
      </c>
      <c r="L437" s="81">
        <f t="shared" si="189"/>
        <v>22.994265995400003</v>
      </c>
      <c r="M437" s="82">
        <f t="shared" si="184"/>
        <v>0</v>
      </c>
      <c r="N437" s="82">
        <f t="shared" si="185"/>
        <v>0</v>
      </c>
      <c r="O437" s="82">
        <f>N437+'BM 004'!O437</f>
        <v>0</v>
      </c>
      <c r="P437" s="80">
        <f t="shared" si="186"/>
        <v>181.4</v>
      </c>
      <c r="Q437" s="82">
        <f t="shared" si="187"/>
        <v>229.94</v>
      </c>
      <c r="R437" s="82">
        <f t="shared" si="188"/>
        <v>229.94</v>
      </c>
    </row>
    <row r="438" spans="2:18" s="34" customFormat="1" ht="23.4">
      <c r="B438" s="75" t="s">
        <v>863</v>
      </c>
      <c r="C438" s="76" t="s">
        <v>864</v>
      </c>
      <c r="D438" s="77" t="s">
        <v>131</v>
      </c>
      <c r="E438" s="93">
        <v>54</v>
      </c>
      <c r="F438" s="79"/>
      <c r="G438" s="79"/>
      <c r="H438" s="79"/>
      <c r="I438" s="79">
        <f>SUM(G438:H438)+'BM 004'!I438</f>
        <v>0</v>
      </c>
      <c r="J438" s="79">
        <f t="shared" si="190"/>
        <v>54</v>
      </c>
      <c r="K438" s="80">
        <v>21.55</v>
      </c>
      <c r="L438" s="81">
        <f t="shared" si="189"/>
        <v>27.316782370500004</v>
      </c>
      <c r="M438" s="82">
        <f t="shared" si="184"/>
        <v>0</v>
      </c>
      <c r="N438" s="82">
        <f t="shared" si="185"/>
        <v>0</v>
      </c>
      <c r="O438" s="82">
        <f>N438+'BM 004'!O438</f>
        <v>0</v>
      </c>
      <c r="P438" s="80">
        <f t="shared" si="186"/>
        <v>1163.7</v>
      </c>
      <c r="Q438" s="82">
        <f t="shared" si="187"/>
        <v>1475.1</v>
      </c>
      <c r="R438" s="82">
        <f t="shared" si="188"/>
        <v>1475.1</v>
      </c>
    </row>
    <row r="439" spans="2:18" s="34" customFormat="1" ht="23.4">
      <c r="B439" s="75" t="s">
        <v>865</v>
      </c>
      <c r="C439" s="76" t="s">
        <v>866</v>
      </c>
      <c r="D439" s="77" t="s">
        <v>131</v>
      </c>
      <c r="E439" s="93">
        <v>7</v>
      </c>
      <c r="F439" s="79"/>
      <c r="G439" s="79"/>
      <c r="H439" s="79"/>
      <c r="I439" s="79">
        <f>SUM(G439:H439)+'BM 004'!I439</f>
        <v>0</v>
      </c>
      <c r="J439" s="79">
        <f t="shared" si="190"/>
        <v>7</v>
      </c>
      <c r="K439" s="80">
        <v>22.95</v>
      </c>
      <c r="L439" s="81">
        <f t="shared" si="189"/>
        <v>29.0914225245</v>
      </c>
      <c r="M439" s="82">
        <f t="shared" ref="M439:M470" si="191">TRUNC(F439*L439,2)</f>
        <v>0</v>
      </c>
      <c r="N439" s="82">
        <f t="shared" ref="N439:N473" si="192">TRUNC(G439*L439,2)</f>
        <v>0</v>
      </c>
      <c r="O439" s="82">
        <f>N439+'BM 004'!O439</f>
        <v>0</v>
      </c>
      <c r="P439" s="80">
        <f t="shared" ref="P439:P464" si="193">E439*K439</f>
        <v>160.65</v>
      </c>
      <c r="Q439" s="82">
        <f t="shared" ref="Q439:Q473" si="194">TRUNC(E439*L439,2)</f>
        <v>203.63</v>
      </c>
      <c r="R439" s="82">
        <f t="shared" ref="R439:R470" si="195">Q439-O439</f>
        <v>203.63</v>
      </c>
    </row>
    <row r="440" spans="2:18" s="34" customFormat="1" ht="23.4">
      <c r="B440" s="75" t="s">
        <v>867</v>
      </c>
      <c r="C440" s="76" t="s">
        <v>868</v>
      </c>
      <c r="D440" s="77" t="s">
        <v>131</v>
      </c>
      <c r="E440" s="93">
        <v>48</v>
      </c>
      <c r="F440" s="79"/>
      <c r="G440" s="79"/>
      <c r="H440" s="79"/>
      <c r="I440" s="79">
        <f>SUM(G440:H440)+'BM 004'!I440</f>
        <v>0</v>
      </c>
      <c r="J440" s="79">
        <f t="shared" si="190"/>
        <v>48</v>
      </c>
      <c r="K440" s="80">
        <v>49</v>
      </c>
      <c r="L440" s="81">
        <f t="shared" si="189"/>
        <v>62.112405390000006</v>
      </c>
      <c r="M440" s="82">
        <f t="shared" si="191"/>
        <v>0</v>
      </c>
      <c r="N440" s="82">
        <f t="shared" si="192"/>
        <v>0</v>
      </c>
      <c r="O440" s="82">
        <f>N440+'BM 004'!O440</f>
        <v>0</v>
      </c>
      <c r="P440" s="80">
        <f t="shared" si="193"/>
        <v>2352</v>
      </c>
      <c r="Q440" s="82">
        <f t="shared" si="194"/>
        <v>2981.39</v>
      </c>
      <c r="R440" s="82">
        <f t="shared" si="195"/>
        <v>2981.39</v>
      </c>
    </row>
    <row r="441" spans="2:18" s="34" customFormat="1" ht="23.4">
      <c r="B441" s="75" t="s">
        <v>869</v>
      </c>
      <c r="C441" s="76" t="s">
        <v>870</v>
      </c>
      <c r="D441" s="77" t="s">
        <v>131</v>
      </c>
      <c r="E441" s="93">
        <v>1</v>
      </c>
      <c r="F441" s="79"/>
      <c r="G441" s="79"/>
      <c r="H441" s="79"/>
      <c r="I441" s="79">
        <f>SUM(G441:H441)+'BM 004'!I441</f>
        <v>0</v>
      </c>
      <c r="J441" s="79">
        <f t="shared" si="190"/>
        <v>1</v>
      </c>
      <c r="K441" s="80">
        <v>37.4</v>
      </c>
      <c r="L441" s="81">
        <f t="shared" si="189"/>
        <v>47.408244113999999</v>
      </c>
      <c r="M441" s="82">
        <f t="shared" si="191"/>
        <v>0</v>
      </c>
      <c r="N441" s="82">
        <f t="shared" si="192"/>
        <v>0</v>
      </c>
      <c r="O441" s="82">
        <f>N441+'BM 004'!O441</f>
        <v>0</v>
      </c>
      <c r="P441" s="80">
        <f t="shared" si="193"/>
        <v>37.4</v>
      </c>
      <c r="Q441" s="82">
        <f t="shared" si="194"/>
        <v>47.4</v>
      </c>
      <c r="R441" s="82">
        <f t="shared" si="195"/>
        <v>47.4</v>
      </c>
    </row>
    <row r="442" spans="2:18" s="34" customFormat="1" ht="23.4">
      <c r="B442" s="75" t="s">
        <v>871</v>
      </c>
      <c r="C442" s="76" t="s">
        <v>872</v>
      </c>
      <c r="D442" s="77" t="s">
        <v>131</v>
      </c>
      <c r="E442" s="93">
        <v>2</v>
      </c>
      <c r="F442" s="79"/>
      <c r="G442" s="79"/>
      <c r="H442" s="79"/>
      <c r="I442" s="79">
        <f>SUM(G442:H442)+'BM 004'!I442</f>
        <v>0</v>
      </c>
      <c r="J442" s="79">
        <f t="shared" si="190"/>
        <v>2</v>
      </c>
      <c r="K442" s="80">
        <v>78.239999999999995</v>
      </c>
      <c r="L442" s="81">
        <f t="shared" si="189"/>
        <v>99.177032606400005</v>
      </c>
      <c r="M442" s="82">
        <f t="shared" si="191"/>
        <v>0</v>
      </c>
      <c r="N442" s="82">
        <f t="shared" si="192"/>
        <v>0</v>
      </c>
      <c r="O442" s="82">
        <f>N442+'BM 004'!O442</f>
        <v>0</v>
      </c>
      <c r="P442" s="80">
        <f t="shared" si="193"/>
        <v>156.47999999999999</v>
      </c>
      <c r="Q442" s="82">
        <f t="shared" si="194"/>
        <v>198.35</v>
      </c>
      <c r="R442" s="82">
        <f t="shared" si="195"/>
        <v>198.35</v>
      </c>
    </row>
    <row r="443" spans="2:18" s="34" customFormat="1" ht="23.4">
      <c r="B443" s="75" t="s">
        <v>873</v>
      </c>
      <c r="C443" s="76" t="s">
        <v>874</v>
      </c>
      <c r="D443" s="77" t="s">
        <v>131</v>
      </c>
      <c r="E443" s="93">
        <v>1</v>
      </c>
      <c r="F443" s="79"/>
      <c r="G443" s="79"/>
      <c r="H443" s="79"/>
      <c r="I443" s="79">
        <f>SUM(G443:H443)+'BM 004'!I443</f>
        <v>0</v>
      </c>
      <c r="J443" s="79">
        <f t="shared" si="190"/>
        <v>1</v>
      </c>
      <c r="K443" s="80">
        <v>155</v>
      </c>
      <c r="L443" s="81">
        <f t="shared" si="189"/>
        <v>196.47801705000001</v>
      </c>
      <c r="M443" s="82">
        <f t="shared" si="191"/>
        <v>0</v>
      </c>
      <c r="N443" s="82">
        <f t="shared" si="192"/>
        <v>0</v>
      </c>
      <c r="O443" s="82">
        <f>N443+'BM 004'!O443</f>
        <v>0</v>
      </c>
      <c r="P443" s="80">
        <f t="shared" si="193"/>
        <v>155</v>
      </c>
      <c r="Q443" s="82">
        <f t="shared" si="194"/>
        <v>196.47</v>
      </c>
      <c r="R443" s="82">
        <f t="shared" si="195"/>
        <v>196.47</v>
      </c>
    </row>
    <row r="444" spans="2:18" s="34" customFormat="1" ht="23.4">
      <c r="B444" s="75" t="s">
        <v>875</v>
      </c>
      <c r="C444" s="76" t="s">
        <v>876</v>
      </c>
      <c r="D444" s="77" t="s">
        <v>131</v>
      </c>
      <c r="E444" s="93">
        <v>17</v>
      </c>
      <c r="F444" s="79"/>
      <c r="G444" s="79"/>
      <c r="H444" s="79"/>
      <c r="I444" s="79">
        <f>SUM(G444:H444)+'BM 004'!I444</f>
        <v>0</v>
      </c>
      <c r="J444" s="79">
        <f t="shared" si="190"/>
        <v>17</v>
      </c>
      <c r="K444" s="80">
        <v>8.85</v>
      </c>
      <c r="L444" s="81">
        <f t="shared" si="189"/>
        <v>11.2182609735</v>
      </c>
      <c r="M444" s="82">
        <f t="shared" si="191"/>
        <v>0</v>
      </c>
      <c r="N444" s="82">
        <f t="shared" si="192"/>
        <v>0</v>
      </c>
      <c r="O444" s="82">
        <f>N444+'BM 004'!O444</f>
        <v>0</v>
      </c>
      <c r="P444" s="80">
        <f t="shared" si="193"/>
        <v>150.44999999999999</v>
      </c>
      <c r="Q444" s="82">
        <f t="shared" si="194"/>
        <v>190.71</v>
      </c>
      <c r="R444" s="82">
        <f t="shared" si="195"/>
        <v>190.71</v>
      </c>
    </row>
    <row r="445" spans="2:18" s="34" customFormat="1" ht="34.799999999999997">
      <c r="B445" s="75" t="s">
        <v>877</v>
      </c>
      <c r="C445" s="76" t="s">
        <v>878</v>
      </c>
      <c r="D445" s="77" t="s">
        <v>131</v>
      </c>
      <c r="E445" s="93">
        <v>3</v>
      </c>
      <c r="F445" s="79"/>
      <c r="G445" s="79"/>
      <c r="H445" s="79"/>
      <c r="I445" s="79">
        <f>SUM(G445:H445)+'BM 004'!I445</f>
        <v>0</v>
      </c>
      <c r="J445" s="79">
        <f t="shared" si="190"/>
        <v>3</v>
      </c>
      <c r="K445" s="80">
        <v>7.63</v>
      </c>
      <c r="L445" s="81">
        <f t="shared" si="189"/>
        <v>9.6717888392999996</v>
      </c>
      <c r="M445" s="82">
        <f t="shared" si="191"/>
        <v>0</v>
      </c>
      <c r="N445" s="82">
        <f t="shared" si="192"/>
        <v>0</v>
      </c>
      <c r="O445" s="82">
        <f>N445+'BM 004'!O445</f>
        <v>0</v>
      </c>
      <c r="P445" s="80">
        <f t="shared" si="193"/>
        <v>22.89</v>
      </c>
      <c r="Q445" s="82">
        <f t="shared" si="194"/>
        <v>29.01</v>
      </c>
      <c r="R445" s="82">
        <f t="shared" si="195"/>
        <v>29.01</v>
      </c>
    </row>
    <row r="446" spans="2:18" s="34" customFormat="1" ht="23.4">
      <c r="B446" s="75" t="s">
        <v>879</v>
      </c>
      <c r="C446" s="88" t="s">
        <v>711</v>
      </c>
      <c r="D446" s="89" t="s">
        <v>131</v>
      </c>
      <c r="E446" s="90">
        <v>82</v>
      </c>
      <c r="F446" s="91"/>
      <c r="G446" s="91"/>
      <c r="H446" s="91"/>
      <c r="I446" s="91">
        <f>SUM(G446:H446)+'BM 004'!I446</f>
        <v>0</v>
      </c>
      <c r="J446" s="91">
        <f t="shared" si="190"/>
        <v>82</v>
      </c>
      <c r="K446" s="80">
        <v>14.54</v>
      </c>
      <c r="L446" s="81">
        <f t="shared" si="189"/>
        <v>18.430905599399999</v>
      </c>
      <c r="M446" s="82">
        <f t="shared" si="191"/>
        <v>0</v>
      </c>
      <c r="N446" s="82">
        <f t="shared" si="192"/>
        <v>0</v>
      </c>
      <c r="O446" s="82">
        <f>N446+'BM 004'!O446</f>
        <v>0</v>
      </c>
      <c r="P446" s="80">
        <f t="shared" si="193"/>
        <v>1192.28</v>
      </c>
      <c r="Q446" s="82">
        <f t="shared" si="194"/>
        <v>1511.33</v>
      </c>
      <c r="R446" s="82">
        <f t="shared" si="195"/>
        <v>1511.33</v>
      </c>
    </row>
    <row r="447" spans="2:18" s="34" customFormat="1" ht="23.4">
      <c r="B447" s="75" t="s">
        <v>880</v>
      </c>
      <c r="C447" s="76" t="s">
        <v>881</v>
      </c>
      <c r="D447" s="77" t="s">
        <v>131</v>
      </c>
      <c r="E447" s="93">
        <v>5</v>
      </c>
      <c r="F447" s="79"/>
      <c r="G447" s="79"/>
      <c r="H447" s="79"/>
      <c r="I447" s="79">
        <f>SUM(G447:H447)+'BM 004'!I447</f>
        <v>0</v>
      </c>
      <c r="J447" s="79">
        <f t="shared" si="190"/>
        <v>5</v>
      </c>
      <c r="K447" s="80">
        <v>19.91</v>
      </c>
      <c r="L447" s="81">
        <f t="shared" si="189"/>
        <v>25.2379181901</v>
      </c>
      <c r="M447" s="82">
        <f t="shared" si="191"/>
        <v>0</v>
      </c>
      <c r="N447" s="82">
        <f t="shared" si="192"/>
        <v>0</v>
      </c>
      <c r="O447" s="82">
        <f>N447+'BM 004'!O447</f>
        <v>0</v>
      </c>
      <c r="P447" s="80">
        <f t="shared" si="193"/>
        <v>99.55</v>
      </c>
      <c r="Q447" s="82">
        <f t="shared" si="194"/>
        <v>126.18</v>
      </c>
      <c r="R447" s="82">
        <f t="shared" si="195"/>
        <v>126.18</v>
      </c>
    </row>
    <row r="448" spans="2:18" s="34" customFormat="1" ht="23.4">
      <c r="B448" s="75" t="s">
        <v>882</v>
      </c>
      <c r="C448" s="76" t="s">
        <v>883</v>
      </c>
      <c r="D448" s="77" t="s">
        <v>131</v>
      </c>
      <c r="E448" s="93">
        <v>1</v>
      </c>
      <c r="F448" s="79"/>
      <c r="G448" s="79"/>
      <c r="H448" s="79"/>
      <c r="I448" s="79">
        <f>SUM(G448:H448)+'BM 004'!I448</f>
        <v>0</v>
      </c>
      <c r="J448" s="79">
        <f t="shared" si="190"/>
        <v>1</v>
      </c>
      <c r="K448" s="80">
        <v>25.24</v>
      </c>
      <c r="L448" s="81">
        <f t="shared" si="189"/>
        <v>31.994226776399998</v>
      </c>
      <c r="M448" s="82">
        <f t="shared" si="191"/>
        <v>0</v>
      </c>
      <c r="N448" s="82">
        <f t="shared" si="192"/>
        <v>0</v>
      </c>
      <c r="O448" s="82">
        <f>N448+'BM 004'!O448</f>
        <v>0</v>
      </c>
      <c r="P448" s="80">
        <f t="shared" si="193"/>
        <v>25.24</v>
      </c>
      <c r="Q448" s="82">
        <f t="shared" si="194"/>
        <v>31.99</v>
      </c>
      <c r="R448" s="82">
        <f t="shared" si="195"/>
        <v>31.99</v>
      </c>
    </row>
    <row r="449" spans="2:18" s="34" customFormat="1" ht="46.2">
      <c r="B449" s="75" t="s">
        <v>884</v>
      </c>
      <c r="C449" s="76" t="s">
        <v>885</v>
      </c>
      <c r="D449" s="77" t="s">
        <v>131</v>
      </c>
      <c r="E449" s="93">
        <v>79</v>
      </c>
      <c r="F449" s="79"/>
      <c r="G449" s="79"/>
      <c r="H449" s="79"/>
      <c r="I449" s="79">
        <f>SUM(G449:H449)+'BM 004'!I449</f>
        <v>0</v>
      </c>
      <c r="J449" s="79">
        <f t="shared" si="190"/>
        <v>79</v>
      </c>
      <c r="K449" s="80">
        <v>13.15</v>
      </c>
      <c r="L449" s="81">
        <f t="shared" si="189"/>
        <v>16.6689414465</v>
      </c>
      <c r="M449" s="82">
        <f t="shared" si="191"/>
        <v>0</v>
      </c>
      <c r="N449" s="82">
        <f t="shared" si="192"/>
        <v>0</v>
      </c>
      <c r="O449" s="82">
        <f>N449+'BM 004'!O449</f>
        <v>0</v>
      </c>
      <c r="P449" s="80">
        <f t="shared" si="193"/>
        <v>1038.8500000000001</v>
      </c>
      <c r="Q449" s="82">
        <f t="shared" si="194"/>
        <v>1316.84</v>
      </c>
      <c r="R449" s="82">
        <f t="shared" si="195"/>
        <v>1316.84</v>
      </c>
    </row>
    <row r="450" spans="2:18" s="34" customFormat="1" ht="23.4">
      <c r="B450" s="75" t="s">
        <v>886</v>
      </c>
      <c r="C450" s="76" t="s">
        <v>757</v>
      </c>
      <c r="D450" s="77" t="s">
        <v>131</v>
      </c>
      <c r="E450" s="93">
        <v>1</v>
      </c>
      <c r="F450" s="79"/>
      <c r="G450" s="79"/>
      <c r="H450" s="79"/>
      <c r="I450" s="79">
        <f>SUM(G450:H450)+'BM 004'!I450</f>
        <v>0</v>
      </c>
      <c r="J450" s="79">
        <f t="shared" si="190"/>
        <v>1</v>
      </c>
      <c r="K450" s="80">
        <v>12.35</v>
      </c>
      <c r="L450" s="81">
        <f t="shared" si="189"/>
        <v>15.6548613585</v>
      </c>
      <c r="M450" s="82">
        <f t="shared" si="191"/>
        <v>0</v>
      </c>
      <c r="N450" s="82">
        <f t="shared" si="192"/>
        <v>0</v>
      </c>
      <c r="O450" s="82">
        <f>N450+'BM 004'!O450</f>
        <v>0</v>
      </c>
      <c r="P450" s="80">
        <f t="shared" si="193"/>
        <v>12.35</v>
      </c>
      <c r="Q450" s="82">
        <f t="shared" si="194"/>
        <v>15.65</v>
      </c>
      <c r="R450" s="82">
        <f t="shared" si="195"/>
        <v>15.65</v>
      </c>
    </row>
    <row r="451" spans="2:18" s="34" customFormat="1" ht="23.4">
      <c r="B451" s="75" t="s">
        <v>887</v>
      </c>
      <c r="C451" s="76" t="s">
        <v>761</v>
      </c>
      <c r="D451" s="77" t="s">
        <v>131</v>
      </c>
      <c r="E451" s="93">
        <v>3</v>
      </c>
      <c r="F451" s="79"/>
      <c r="G451" s="79"/>
      <c r="H451" s="79"/>
      <c r="I451" s="79">
        <f>SUM(G451:H451)+'BM 004'!I451</f>
        <v>0</v>
      </c>
      <c r="J451" s="79">
        <f t="shared" si="190"/>
        <v>3</v>
      </c>
      <c r="K451" s="80">
        <v>18.5</v>
      </c>
      <c r="L451" s="81">
        <f t="shared" si="189"/>
        <v>23.450602035000003</v>
      </c>
      <c r="M451" s="82">
        <f t="shared" si="191"/>
        <v>0</v>
      </c>
      <c r="N451" s="82">
        <f t="shared" si="192"/>
        <v>0</v>
      </c>
      <c r="O451" s="82">
        <f>N451+'BM 004'!O451</f>
        <v>0</v>
      </c>
      <c r="P451" s="80">
        <f t="shared" si="193"/>
        <v>55.5</v>
      </c>
      <c r="Q451" s="82">
        <f t="shared" si="194"/>
        <v>70.349999999999994</v>
      </c>
      <c r="R451" s="82">
        <f t="shared" si="195"/>
        <v>70.349999999999994</v>
      </c>
    </row>
    <row r="452" spans="2:18" s="34" customFormat="1" ht="23.4">
      <c r="B452" s="75" t="s">
        <v>888</v>
      </c>
      <c r="C452" s="76" t="s">
        <v>771</v>
      </c>
      <c r="D452" s="77" t="s">
        <v>131</v>
      </c>
      <c r="E452" s="93">
        <v>77</v>
      </c>
      <c r="F452" s="79"/>
      <c r="G452" s="79"/>
      <c r="H452" s="79"/>
      <c r="I452" s="79">
        <f>SUM(G452:H452)+'BM 004'!I452</f>
        <v>0</v>
      </c>
      <c r="J452" s="79">
        <f t="shared" si="190"/>
        <v>77</v>
      </c>
      <c r="K452" s="80">
        <v>6.59</v>
      </c>
      <c r="L452" s="81">
        <f t="shared" si="189"/>
        <v>8.3534847248999995</v>
      </c>
      <c r="M452" s="82">
        <f t="shared" si="191"/>
        <v>0</v>
      </c>
      <c r="N452" s="82">
        <f t="shared" si="192"/>
        <v>0</v>
      </c>
      <c r="O452" s="82">
        <f>N452+'BM 004'!O452</f>
        <v>0</v>
      </c>
      <c r="P452" s="80">
        <f t="shared" si="193"/>
        <v>507.43</v>
      </c>
      <c r="Q452" s="82">
        <f t="shared" si="194"/>
        <v>643.21</v>
      </c>
      <c r="R452" s="82">
        <f t="shared" si="195"/>
        <v>643.21</v>
      </c>
    </row>
    <row r="453" spans="2:18" s="34" customFormat="1" ht="23.4">
      <c r="B453" s="75" t="s">
        <v>889</v>
      </c>
      <c r="C453" s="76" t="s">
        <v>773</v>
      </c>
      <c r="D453" s="77" t="s">
        <v>131</v>
      </c>
      <c r="E453" s="93">
        <v>3</v>
      </c>
      <c r="F453" s="79"/>
      <c r="G453" s="79"/>
      <c r="H453" s="79"/>
      <c r="I453" s="79">
        <f>SUM(G453:H453)+'BM 004'!I453</f>
        <v>0</v>
      </c>
      <c r="J453" s="79">
        <f t="shared" si="190"/>
        <v>3</v>
      </c>
      <c r="K453" s="80">
        <v>22.07</v>
      </c>
      <c r="L453" s="81">
        <f t="shared" si="189"/>
        <v>27.9759344277</v>
      </c>
      <c r="M453" s="82">
        <f t="shared" si="191"/>
        <v>0</v>
      </c>
      <c r="N453" s="82">
        <f t="shared" si="192"/>
        <v>0</v>
      </c>
      <c r="O453" s="82">
        <f>N453+'BM 004'!O453</f>
        <v>0</v>
      </c>
      <c r="P453" s="80">
        <f t="shared" si="193"/>
        <v>66.210000000000008</v>
      </c>
      <c r="Q453" s="82">
        <f t="shared" si="194"/>
        <v>83.92</v>
      </c>
      <c r="R453" s="82">
        <f t="shared" si="195"/>
        <v>83.92</v>
      </c>
    </row>
    <row r="454" spans="2:18" s="34" customFormat="1" ht="23.4">
      <c r="B454" s="75" t="s">
        <v>890</v>
      </c>
      <c r="C454" s="88" t="s">
        <v>711</v>
      </c>
      <c r="D454" s="89" t="s">
        <v>131</v>
      </c>
      <c r="E454" s="90">
        <v>14</v>
      </c>
      <c r="F454" s="91"/>
      <c r="G454" s="91"/>
      <c r="H454" s="91"/>
      <c r="I454" s="91">
        <f>SUM(G454:H454)+'BM 004'!I454</f>
        <v>0</v>
      </c>
      <c r="J454" s="91">
        <f t="shared" si="190"/>
        <v>14</v>
      </c>
      <c r="K454" s="80">
        <v>14.54</v>
      </c>
      <c r="L454" s="81">
        <f t="shared" si="189"/>
        <v>18.430905599399999</v>
      </c>
      <c r="M454" s="82">
        <f t="shared" si="191"/>
        <v>0</v>
      </c>
      <c r="N454" s="82">
        <f t="shared" si="192"/>
        <v>0</v>
      </c>
      <c r="O454" s="82">
        <f>N454+'BM 004'!O454</f>
        <v>0</v>
      </c>
      <c r="P454" s="80">
        <f t="shared" si="193"/>
        <v>203.56</v>
      </c>
      <c r="Q454" s="82">
        <f t="shared" si="194"/>
        <v>258.02999999999997</v>
      </c>
      <c r="R454" s="82">
        <f t="shared" si="195"/>
        <v>258.02999999999997</v>
      </c>
    </row>
    <row r="455" spans="2:18" s="34" customFormat="1" ht="46.2">
      <c r="B455" s="75" t="s">
        <v>891</v>
      </c>
      <c r="C455" s="76" t="s">
        <v>892</v>
      </c>
      <c r="D455" s="77" t="s">
        <v>131</v>
      </c>
      <c r="E455" s="93">
        <v>91</v>
      </c>
      <c r="F455" s="79"/>
      <c r="G455" s="79"/>
      <c r="H455" s="79"/>
      <c r="I455" s="79">
        <f>SUM(G455:H455)+'BM 004'!I455</f>
        <v>0</v>
      </c>
      <c r="J455" s="79">
        <f t="shared" si="190"/>
        <v>91</v>
      </c>
      <c r="K455" s="80">
        <v>22.83</v>
      </c>
      <c r="L455" s="81">
        <f t="shared" si="189"/>
        <v>28.9393105113</v>
      </c>
      <c r="M455" s="82">
        <f t="shared" si="191"/>
        <v>0</v>
      </c>
      <c r="N455" s="82">
        <f t="shared" si="192"/>
        <v>0</v>
      </c>
      <c r="O455" s="82">
        <f>N455+'BM 004'!O455</f>
        <v>0</v>
      </c>
      <c r="P455" s="80">
        <f t="shared" si="193"/>
        <v>2077.5299999999997</v>
      </c>
      <c r="Q455" s="82">
        <f t="shared" si="194"/>
        <v>2633.47</v>
      </c>
      <c r="R455" s="82">
        <f t="shared" si="195"/>
        <v>2633.47</v>
      </c>
    </row>
    <row r="456" spans="2:18" s="34" customFormat="1" ht="46.2">
      <c r="B456" s="75" t="s">
        <v>893</v>
      </c>
      <c r="C456" s="76" t="s">
        <v>894</v>
      </c>
      <c r="D456" s="77" t="s">
        <v>131</v>
      </c>
      <c r="E456" s="93">
        <v>26</v>
      </c>
      <c r="F456" s="79"/>
      <c r="G456" s="79"/>
      <c r="H456" s="79"/>
      <c r="I456" s="79">
        <f>SUM(G456:H456)+'BM 004'!I456</f>
        <v>0</v>
      </c>
      <c r="J456" s="79">
        <f t="shared" si="190"/>
        <v>26</v>
      </c>
      <c r="K456" s="80">
        <v>42.22</v>
      </c>
      <c r="L456" s="81">
        <f t="shared" si="189"/>
        <v>53.518076644200001</v>
      </c>
      <c r="M456" s="82">
        <f t="shared" si="191"/>
        <v>0</v>
      </c>
      <c r="N456" s="82">
        <f t="shared" si="192"/>
        <v>0</v>
      </c>
      <c r="O456" s="82">
        <f>N456+'BM 004'!O456</f>
        <v>0</v>
      </c>
      <c r="P456" s="80">
        <f t="shared" si="193"/>
        <v>1097.72</v>
      </c>
      <c r="Q456" s="82">
        <f t="shared" si="194"/>
        <v>1391.46</v>
      </c>
      <c r="R456" s="82">
        <f t="shared" si="195"/>
        <v>1391.46</v>
      </c>
    </row>
    <row r="457" spans="2:18" s="34" customFormat="1" ht="23.4">
      <c r="B457" s="75" t="s">
        <v>895</v>
      </c>
      <c r="C457" s="76" t="s">
        <v>896</v>
      </c>
      <c r="D457" s="77" t="s">
        <v>131</v>
      </c>
      <c r="E457" s="93">
        <v>46</v>
      </c>
      <c r="F457" s="79"/>
      <c r="G457" s="79"/>
      <c r="H457" s="79"/>
      <c r="I457" s="79">
        <f>SUM(G457:H457)+'BM 004'!I457</f>
        <v>0</v>
      </c>
      <c r="J457" s="79">
        <f t="shared" si="190"/>
        <v>46</v>
      </c>
      <c r="K457" s="80">
        <v>110</v>
      </c>
      <c r="L457" s="81">
        <f t="shared" si="189"/>
        <v>139.4360121</v>
      </c>
      <c r="M457" s="82">
        <f t="shared" si="191"/>
        <v>0</v>
      </c>
      <c r="N457" s="82">
        <f t="shared" si="192"/>
        <v>0</v>
      </c>
      <c r="O457" s="82">
        <f>N457+'BM 004'!O457</f>
        <v>0</v>
      </c>
      <c r="P457" s="80">
        <f t="shared" si="193"/>
        <v>5060</v>
      </c>
      <c r="Q457" s="82">
        <f t="shared" si="194"/>
        <v>6414.05</v>
      </c>
      <c r="R457" s="82">
        <f t="shared" si="195"/>
        <v>6414.05</v>
      </c>
    </row>
    <row r="458" spans="2:18" s="34" customFormat="1" ht="34.799999999999997">
      <c r="B458" s="75" t="s">
        <v>897</v>
      </c>
      <c r="C458" s="76" t="s">
        <v>898</v>
      </c>
      <c r="D458" s="77" t="s">
        <v>131</v>
      </c>
      <c r="E458" s="93">
        <v>11</v>
      </c>
      <c r="F458" s="79"/>
      <c r="G458" s="79"/>
      <c r="H458" s="79"/>
      <c r="I458" s="79">
        <f>SUM(G458:H458)+'BM 004'!I458</f>
        <v>0</v>
      </c>
      <c r="J458" s="79">
        <f t="shared" si="190"/>
        <v>11</v>
      </c>
      <c r="K458" s="80">
        <v>35.5</v>
      </c>
      <c r="L458" s="81">
        <f t="shared" si="189"/>
        <v>44.999803905</v>
      </c>
      <c r="M458" s="82">
        <f t="shared" si="191"/>
        <v>0</v>
      </c>
      <c r="N458" s="82">
        <f t="shared" si="192"/>
        <v>0</v>
      </c>
      <c r="O458" s="82">
        <f>N458+'BM 004'!O458</f>
        <v>0</v>
      </c>
      <c r="P458" s="80">
        <f t="shared" si="193"/>
        <v>390.5</v>
      </c>
      <c r="Q458" s="82">
        <f t="shared" si="194"/>
        <v>494.99</v>
      </c>
      <c r="R458" s="82">
        <f t="shared" si="195"/>
        <v>494.99</v>
      </c>
    </row>
    <row r="459" spans="2:18" s="34" customFormat="1" ht="46.2">
      <c r="B459" s="75" t="s">
        <v>899</v>
      </c>
      <c r="C459" s="76" t="s">
        <v>900</v>
      </c>
      <c r="D459" s="77" t="s">
        <v>131</v>
      </c>
      <c r="E459" s="93">
        <v>12</v>
      </c>
      <c r="F459" s="79"/>
      <c r="G459" s="79"/>
      <c r="H459" s="79"/>
      <c r="I459" s="79">
        <f>SUM(G459:H459)+'BM 004'!I459</f>
        <v>0</v>
      </c>
      <c r="J459" s="79">
        <f t="shared" si="190"/>
        <v>12</v>
      </c>
      <c r="K459" s="80">
        <v>37.299999999999997</v>
      </c>
      <c r="L459" s="81">
        <f t="shared" si="189"/>
        <v>47.281484102999997</v>
      </c>
      <c r="M459" s="82">
        <f t="shared" si="191"/>
        <v>0</v>
      </c>
      <c r="N459" s="82">
        <f t="shared" si="192"/>
        <v>0</v>
      </c>
      <c r="O459" s="82">
        <f>N459+'BM 004'!O459</f>
        <v>0</v>
      </c>
      <c r="P459" s="80">
        <f t="shared" si="193"/>
        <v>447.59999999999997</v>
      </c>
      <c r="Q459" s="82">
        <f t="shared" si="194"/>
        <v>567.37</v>
      </c>
      <c r="R459" s="82">
        <f t="shared" si="195"/>
        <v>567.37</v>
      </c>
    </row>
    <row r="460" spans="2:18" s="34" customFormat="1" ht="46.2">
      <c r="B460" s="75" t="s">
        <v>901</v>
      </c>
      <c r="C460" s="76" t="s">
        <v>902</v>
      </c>
      <c r="D460" s="77" t="s">
        <v>131</v>
      </c>
      <c r="E460" s="93">
        <v>2</v>
      </c>
      <c r="F460" s="79"/>
      <c r="G460" s="79"/>
      <c r="H460" s="79"/>
      <c r="I460" s="79">
        <f>SUM(G460:H460)+'BM 004'!I460</f>
        <v>0</v>
      </c>
      <c r="J460" s="79">
        <f t="shared" si="190"/>
        <v>2</v>
      </c>
      <c r="K460" s="80">
        <v>42.5</v>
      </c>
      <c r="L460" s="81">
        <f t="shared" si="189"/>
        <v>53.873004675000004</v>
      </c>
      <c r="M460" s="82">
        <f t="shared" si="191"/>
        <v>0</v>
      </c>
      <c r="N460" s="82">
        <f t="shared" si="192"/>
        <v>0</v>
      </c>
      <c r="O460" s="82">
        <f>N460+'BM 004'!O460</f>
        <v>0</v>
      </c>
      <c r="P460" s="80">
        <f t="shared" si="193"/>
        <v>85</v>
      </c>
      <c r="Q460" s="82">
        <f t="shared" si="194"/>
        <v>107.74</v>
      </c>
      <c r="R460" s="82">
        <f t="shared" si="195"/>
        <v>107.74</v>
      </c>
    </row>
    <row r="461" spans="2:18" s="34" customFormat="1" ht="23.4">
      <c r="B461" s="75" t="s">
        <v>903</v>
      </c>
      <c r="C461" s="76" t="s">
        <v>904</v>
      </c>
      <c r="D461" s="77" t="s">
        <v>131</v>
      </c>
      <c r="E461" s="93">
        <v>6</v>
      </c>
      <c r="F461" s="79"/>
      <c r="G461" s="79"/>
      <c r="H461" s="79"/>
      <c r="I461" s="79">
        <f>SUM(G461:H461)+'BM 004'!I461</f>
        <v>0</v>
      </c>
      <c r="J461" s="79">
        <f t="shared" si="190"/>
        <v>6</v>
      </c>
      <c r="K461" s="80">
        <v>68</v>
      </c>
      <c r="L461" s="81">
        <f t="shared" si="189"/>
        <v>86.196807480000004</v>
      </c>
      <c r="M461" s="82">
        <f t="shared" si="191"/>
        <v>0</v>
      </c>
      <c r="N461" s="82">
        <f t="shared" si="192"/>
        <v>0</v>
      </c>
      <c r="O461" s="82">
        <f>N461+'BM 004'!O461</f>
        <v>0</v>
      </c>
      <c r="P461" s="80">
        <f t="shared" si="193"/>
        <v>408</v>
      </c>
      <c r="Q461" s="82">
        <f t="shared" si="194"/>
        <v>517.17999999999995</v>
      </c>
      <c r="R461" s="82">
        <f t="shared" si="195"/>
        <v>517.17999999999995</v>
      </c>
    </row>
    <row r="462" spans="2:18" s="34" customFormat="1" ht="46.2">
      <c r="B462" s="75" t="s">
        <v>905</v>
      </c>
      <c r="C462" s="76" t="s">
        <v>906</v>
      </c>
      <c r="D462" s="77" t="s">
        <v>131</v>
      </c>
      <c r="E462" s="93">
        <v>3</v>
      </c>
      <c r="F462" s="79"/>
      <c r="G462" s="79"/>
      <c r="H462" s="79"/>
      <c r="I462" s="79">
        <f>SUM(G462:H462)+'BM 004'!I462</f>
        <v>0</v>
      </c>
      <c r="J462" s="79">
        <f t="shared" si="190"/>
        <v>3</v>
      </c>
      <c r="K462" s="80">
        <v>36.61</v>
      </c>
      <c r="L462" s="81">
        <f t="shared" si="189"/>
        <v>46.406840027100003</v>
      </c>
      <c r="M462" s="82">
        <f t="shared" si="191"/>
        <v>0</v>
      </c>
      <c r="N462" s="82">
        <f t="shared" si="192"/>
        <v>0</v>
      </c>
      <c r="O462" s="82">
        <f>N462+'BM 004'!O462</f>
        <v>0</v>
      </c>
      <c r="P462" s="80">
        <f t="shared" si="193"/>
        <v>109.83</v>
      </c>
      <c r="Q462" s="82">
        <f t="shared" si="194"/>
        <v>139.22</v>
      </c>
      <c r="R462" s="82">
        <f t="shared" si="195"/>
        <v>139.22</v>
      </c>
    </row>
    <row r="463" spans="2:18" s="34" customFormat="1" ht="46.2">
      <c r="B463" s="75" t="s">
        <v>907</v>
      </c>
      <c r="C463" s="76" t="s">
        <v>908</v>
      </c>
      <c r="D463" s="77" t="s">
        <v>131</v>
      </c>
      <c r="E463" s="93">
        <v>3</v>
      </c>
      <c r="F463" s="79"/>
      <c r="G463" s="79"/>
      <c r="H463" s="79"/>
      <c r="I463" s="79">
        <f>SUM(G463:H463)+'BM 004'!I463</f>
        <v>0</v>
      </c>
      <c r="J463" s="79">
        <f t="shared" si="190"/>
        <v>3</v>
      </c>
      <c r="K463" s="82">
        <v>11.81</v>
      </c>
      <c r="L463" s="81">
        <f t="shared" si="189"/>
        <v>14.970357299100002</v>
      </c>
      <c r="M463" s="82">
        <f t="shared" si="191"/>
        <v>0</v>
      </c>
      <c r="N463" s="82">
        <f t="shared" si="192"/>
        <v>0</v>
      </c>
      <c r="O463" s="82">
        <f>N463+'BM 004'!O463</f>
        <v>0</v>
      </c>
      <c r="P463" s="82">
        <f t="shared" si="193"/>
        <v>35.43</v>
      </c>
      <c r="Q463" s="82">
        <f t="shared" si="194"/>
        <v>44.91</v>
      </c>
      <c r="R463" s="82">
        <f t="shared" si="195"/>
        <v>44.91</v>
      </c>
    </row>
    <row r="464" spans="2:18" s="34" customFormat="1" ht="34.799999999999997">
      <c r="B464" s="75" t="s">
        <v>909</v>
      </c>
      <c r="C464" s="76" t="s">
        <v>910</v>
      </c>
      <c r="D464" s="77" t="s">
        <v>131</v>
      </c>
      <c r="E464" s="93">
        <v>72</v>
      </c>
      <c r="F464" s="79"/>
      <c r="G464" s="79"/>
      <c r="H464" s="79"/>
      <c r="I464" s="79">
        <f>SUM(G464:H464)+'BM 004'!I464</f>
        <v>0</v>
      </c>
      <c r="J464" s="79">
        <f t="shared" si="190"/>
        <v>72</v>
      </c>
      <c r="K464" s="82">
        <v>13</v>
      </c>
      <c r="L464" s="81">
        <f t="shared" si="189"/>
        <v>16.478801430000001</v>
      </c>
      <c r="M464" s="82">
        <f t="shared" si="191"/>
        <v>0</v>
      </c>
      <c r="N464" s="82">
        <f t="shared" si="192"/>
        <v>0</v>
      </c>
      <c r="O464" s="82">
        <f>N464+'BM 004'!O464</f>
        <v>0</v>
      </c>
      <c r="P464" s="82">
        <f t="shared" si="193"/>
        <v>936</v>
      </c>
      <c r="Q464" s="82">
        <f t="shared" si="194"/>
        <v>1186.47</v>
      </c>
      <c r="R464" s="82">
        <f t="shared" si="195"/>
        <v>1186.47</v>
      </c>
    </row>
    <row r="465" spans="2:18" s="34" customFormat="1" ht="13.2">
      <c r="B465" s="75" t="s">
        <v>911</v>
      </c>
      <c r="C465" s="76"/>
      <c r="D465" s="77"/>
      <c r="E465" s="93"/>
      <c r="F465" s="79"/>
      <c r="G465" s="79"/>
      <c r="H465" s="79"/>
      <c r="I465" s="79">
        <f>SUM(G465:H465)+'BM 004'!I465</f>
        <v>0</v>
      </c>
      <c r="J465" s="79">
        <f t="shared" si="190"/>
        <v>0</v>
      </c>
      <c r="K465" s="82"/>
      <c r="L465" s="81">
        <f t="shared" si="189"/>
        <v>0</v>
      </c>
      <c r="M465" s="82">
        <f t="shared" si="191"/>
        <v>0</v>
      </c>
      <c r="N465" s="82">
        <f t="shared" si="192"/>
        <v>0</v>
      </c>
      <c r="O465" s="82">
        <f>N465+'BM 004'!O465</f>
        <v>0</v>
      </c>
      <c r="P465" s="82"/>
      <c r="Q465" s="82">
        <f t="shared" si="194"/>
        <v>0</v>
      </c>
      <c r="R465" s="82">
        <f t="shared" si="195"/>
        <v>0</v>
      </c>
    </row>
    <row r="466" spans="2:18" s="34" customFormat="1" ht="34.799999999999997">
      <c r="B466" s="75" t="s">
        <v>912</v>
      </c>
      <c r="C466" s="76" t="s">
        <v>733</v>
      </c>
      <c r="D466" s="77" t="s">
        <v>131</v>
      </c>
      <c r="E466" s="93">
        <v>8</v>
      </c>
      <c r="F466" s="79"/>
      <c r="G466" s="79"/>
      <c r="H466" s="79"/>
      <c r="I466" s="79">
        <f>SUM(G466:H466)+'BM 004'!I466</f>
        <v>0</v>
      </c>
      <c r="J466" s="79">
        <f t="shared" si="190"/>
        <v>8</v>
      </c>
      <c r="K466" s="82">
        <v>3.95</v>
      </c>
      <c r="L466" s="81">
        <f t="shared" si="189"/>
        <v>5.0070204345000002</v>
      </c>
      <c r="M466" s="82">
        <f t="shared" si="191"/>
        <v>0</v>
      </c>
      <c r="N466" s="82">
        <f t="shared" si="192"/>
        <v>0</v>
      </c>
      <c r="O466" s="82">
        <f>N466+'BM 004'!O466</f>
        <v>0</v>
      </c>
      <c r="P466" s="82">
        <f t="shared" ref="P466:P473" si="196">E466*K466</f>
        <v>31.6</v>
      </c>
      <c r="Q466" s="82">
        <f t="shared" si="194"/>
        <v>40.049999999999997</v>
      </c>
      <c r="R466" s="82">
        <f t="shared" si="195"/>
        <v>40.049999999999997</v>
      </c>
    </row>
    <row r="467" spans="2:18" s="34" customFormat="1" ht="34.799999999999997">
      <c r="B467" s="75" t="s">
        <v>913</v>
      </c>
      <c r="C467" s="88" t="s">
        <v>735</v>
      </c>
      <c r="D467" s="89" t="s">
        <v>131</v>
      </c>
      <c r="E467" s="90">
        <v>238</v>
      </c>
      <c r="F467" s="91"/>
      <c r="G467" s="91"/>
      <c r="H467" s="91"/>
      <c r="I467" s="91">
        <f>SUM(G467:H467)+'BM 004'!I467</f>
        <v>0</v>
      </c>
      <c r="J467" s="91">
        <f t="shared" si="190"/>
        <v>238</v>
      </c>
      <c r="K467" s="80">
        <v>4.67</v>
      </c>
      <c r="L467" s="81">
        <f t="shared" si="189"/>
        <v>5.9196925137000003</v>
      </c>
      <c r="M467" s="82">
        <f t="shared" si="191"/>
        <v>0</v>
      </c>
      <c r="N467" s="82">
        <f t="shared" si="192"/>
        <v>0</v>
      </c>
      <c r="O467" s="82">
        <f>N467+'BM 004'!O467</f>
        <v>0</v>
      </c>
      <c r="P467" s="80">
        <f t="shared" si="196"/>
        <v>1111.46</v>
      </c>
      <c r="Q467" s="82">
        <f t="shared" si="194"/>
        <v>1408.88</v>
      </c>
      <c r="R467" s="82">
        <f t="shared" si="195"/>
        <v>1408.88</v>
      </c>
    </row>
    <row r="468" spans="2:18" s="34" customFormat="1" ht="34.799999999999997">
      <c r="B468" s="75" t="s">
        <v>914</v>
      </c>
      <c r="C468" s="76" t="s">
        <v>739</v>
      </c>
      <c r="D468" s="77" t="s">
        <v>131</v>
      </c>
      <c r="E468" s="93">
        <v>30</v>
      </c>
      <c r="F468" s="79"/>
      <c r="G468" s="79"/>
      <c r="H468" s="79"/>
      <c r="I468" s="79">
        <f>SUM(G468:H468)+'BM 004'!I468</f>
        <v>0</v>
      </c>
      <c r="J468" s="79">
        <f t="shared" si="190"/>
        <v>30</v>
      </c>
      <c r="K468" s="80">
        <v>11.5</v>
      </c>
      <c r="L468" s="81">
        <f t="shared" si="189"/>
        <v>14.577401265000001</v>
      </c>
      <c r="M468" s="82">
        <f t="shared" si="191"/>
        <v>0</v>
      </c>
      <c r="N468" s="82">
        <f t="shared" si="192"/>
        <v>0</v>
      </c>
      <c r="O468" s="82">
        <f>N468+'BM 004'!O468</f>
        <v>0</v>
      </c>
      <c r="P468" s="80">
        <f t="shared" si="196"/>
        <v>345</v>
      </c>
      <c r="Q468" s="82">
        <f t="shared" si="194"/>
        <v>437.32</v>
      </c>
      <c r="R468" s="82">
        <f t="shared" si="195"/>
        <v>437.32</v>
      </c>
    </row>
    <row r="469" spans="2:18" s="34" customFormat="1" ht="34.799999999999997">
      <c r="B469" s="75" t="s">
        <v>915</v>
      </c>
      <c r="C469" s="76" t="s">
        <v>916</v>
      </c>
      <c r="D469" s="77" t="s">
        <v>131</v>
      </c>
      <c r="E469" s="93">
        <v>1</v>
      </c>
      <c r="F469" s="79"/>
      <c r="G469" s="79"/>
      <c r="H469" s="79"/>
      <c r="I469" s="79">
        <f>SUM(G469:H469)+'BM 004'!I469</f>
        <v>0</v>
      </c>
      <c r="J469" s="79">
        <f t="shared" si="190"/>
        <v>1</v>
      </c>
      <c r="K469" s="80">
        <v>10.5</v>
      </c>
      <c r="L469" s="81">
        <f t="shared" si="189"/>
        <v>13.309801155000001</v>
      </c>
      <c r="M469" s="82">
        <f t="shared" si="191"/>
        <v>0</v>
      </c>
      <c r="N469" s="82">
        <f t="shared" si="192"/>
        <v>0</v>
      </c>
      <c r="O469" s="82">
        <f>N469+'BM 004'!O469</f>
        <v>0</v>
      </c>
      <c r="P469" s="80">
        <f t="shared" si="196"/>
        <v>10.5</v>
      </c>
      <c r="Q469" s="82">
        <f t="shared" si="194"/>
        <v>13.3</v>
      </c>
      <c r="R469" s="82">
        <f t="shared" si="195"/>
        <v>13.3</v>
      </c>
    </row>
    <row r="470" spans="2:18" s="34" customFormat="1" ht="34.799999999999997">
      <c r="B470" s="75" t="s">
        <v>917</v>
      </c>
      <c r="C470" s="76" t="s">
        <v>918</v>
      </c>
      <c r="D470" s="77" t="s">
        <v>131</v>
      </c>
      <c r="E470" s="93">
        <v>1</v>
      </c>
      <c r="F470" s="79"/>
      <c r="G470" s="79"/>
      <c r="H470" s="79"/>
      <c r="I470" s="79">
        <f>SUM(G470:H470)+'BM 004'!I470</f>
        <v>0</v>
      </c>
      <c r="J470" s="79">
        <f t="shared" si="190"/>
        <v>1</v>
      </c>
      <c r="K470" s="80">
        <v>10.14</v>
      </c>
      <c r="L470" s="81">
        <f t="shared" si="189"/>
        <v>12.853465115400001</v>
      </c>
      <c r="M470" s="82">
        <f t="shared" si="191"/>
        <v>0</v>
      </c>
      <c r="N470" s="82">
        <f t="shared" si="192"/>
        <v>0</v>
      </c>
      <c r="O470" s="82">
        <f>N470+'BM 004'!O470</f>
        <v>0</v>
      </c>
      <c r="P470" s="80">
        <f t="shared" si="196"/>
        <v>10.14</v>
      </c>
      <c r="Q470" s="82">
        <f t="shared" si="194"/>
        <v>12.85</v>
      </c>
      <c r="R470" s="82">
        <f t="shared" si="195"/>
        <v>12.85</v>
      </c>
    </row>
    <row r="471" spans="2:18" s="34" customFormat="1" ht="34.799999999999997">
      <c r="B471" s="75" t="s">
        <v>919</v>
      </c>
      <c r="C471" s="88" t="s">
        <v>717</v>
      </c>
      <c r="D471" s="89" t="s">
        <v>131</v>
      </c>
      <c r="E471" s="90">
        <v>238</v>
      </c>
      <c r="F471" s="91"/>
      <c r="G471" s="91"/>
      <c r="H471" s="91"/>
      <c r="I471" s="91">
        <f>SUM(G471:H471)+'BM 004'!I471</f>
        <v>0</v>
      </c>
      <c r="J471" s="91">
        <f t="shared" si="190"/>
        <v>238</v>
      </c>
      <c r="K471" s="80">
        <v>8</v>
      </c>
      <c r="L471" s="81">
        <f t="shared" si="189"/>
        <v>10.14080088</v>
      </c>
      <c r="M471" s="82">
        <f t="shared" ref="M471:M473" si="197">TRUNC(F471*L471,2)</f>
        <v>0</v>
      </c>
      <c r="N471" s="82">
        <f t="shared" si="192"/>
        <v>0</v>
      </c>
      <c r="O471" s="82">
        <f>N471+'BM 004'!O471</f>
        <v>0</v>
      </c>
      <c r="P471" s="80">
        <f t="shared" si="196"/>
        <v>1904</v>
      </c>
      <c r="Q471" s="82">
        <f t="shared" si="194"/>
        <v>2413.5100000000002</v>
      </c>
      <c r="R471" s="82">
        <f t="shared" ref="R471:R473" si="198">Q471-O471</f>
        <v>2413.5100000000002</v>
      </c>
    </row>
    <row r="472" spans="2:18" s="34" customFormat="1" ht="34.799999999999997">
      <c r="B472" s="75" t="s">
        <v>920</v>
      </c>
      <c r="C472" s="88" t="s">
        <v>921</v>
      </c>
      <c r="D472" s="89" t="s">
        <v>131</v>
      </c>
      <c r="E472" s="90">
        <v>6</v>
      </c>
      <c r="F472" s="91"/>
      <c r="G472" s="91"/>
      <c r="H472" s="91"/>
      <c r="I472" s="91">
        <f>SUM(G472:H472)+'BM 004'!I472</f>
        <v>0</v>
      </c>
      <c r="J472" s="91">
        <f t="shared" si="190"/>
        <v>6</v>
      </c>
      <c r="K472" s="80">
        <v>7.51</v>
      </c>
      <c r="L472" s="81">
        <f t="shared" si="189"/>
        <v>9.5196768260999995</v>
      </c>
      <c r="M472" s="82">
        <f t="shared" si="197"/>
        <v>0</v>
      </c>
      <c r="N472" s="82">
        <f t="shared" si="192"/>
        <v>0</v>
      </c>
      <c r="O472" s="82">
        <f>N472+'BM 004'!O472</f>
        <v>0</v>
      </c>
      <c r="P472" s="80">
        <f t="shared" si="196"/>
        <v>45.06</v>
      </c>
      <c r="Q472" s="82">
        <f t="shared" si="194"/>
        <v>57.11</v>
      </c>
      <c r="R472" s="82">
        <f t="shared" si="198"/>
        <v>57.11</v>
      </c>
    </row>
    <row r="473" spans="2:18" s="34" customFormat="1" ht="34.799999999999997">
      <c r="B473" s="87" t="s">
        <v>922</v>
      </c>
      <c r="C473" s="88" t="s">
        <v>721</v>
      </c>
      <c r="D473" s="89" t="s">
        <v>131</v>
      </c>
      <c r="E473" s="90">
        <v>8</v>
      </c>
      <c r="F473" s="91"/>
      <c r="G473" s="91"/>
      <c r="H473" s="91"/>
      <c r="I473" s="91">
        <f>SUM(G473:H473)+'BM 004'!I473</f>
        <v>0</v>
      </c>
      <c r="J473" s="91">
        <f t="shared" si="190"/>
        <v>8</v>
      </c>
      <c r="K473" s="80">
        <v>10.5</v>
      </c>
      <c r="L473" s="81">
        <f t="shared" si="189"/>
        <v>13.309801155000001</v>
      </c>
      <c r="M473" s="82">
        <f t="shared" si="197"/>
        <v>0</v>
      </c>
      <c r="N473" s="82">
        <f t="shared" si="192"/>
        <v>0</v>
      </c>
      <c r="O473" s="82">
        <f>N473+'BM 004'!O473</f>
        <v>0</v>
      </c>
      <c r="P473" s="80">
        <f t="shared" si="196"/>
        <v>84</v>
      </c>
      <c r="Q473" s="82">
        <f t="shared" si="194"/>
        <v>106.47</v>
      </c>
      <c r="R473" s="82">
        <f t="shared" si="198"/>
        <v>106.47</v>
      </c>
    </row>
    <row r="474" spans="2:18" s="34" customFormat="1" ht="24">
      <c r="B474" s="66" t="s">
        <v>923</v>
      </c>
      <c r="C474" s="67" t="s">
        <v>924</v>
      </c>
      <c r="D474" s="68"/>
      <c r="E474" s="69"/>
      <c r="F474" s="70"/>
      <c r="G474" s="70"/>
      <c r="H474" s="70"/>
      <c r="I474" s="70">
        <f>SUM(G474:H474)+'BM 004'!I474</f>
        <v>0</v>
      </c>
      <c r="J474" s="70">
        <f t="shared" si="190"/>
        <v>0</v>
      </c>
      <c r="K474" s="71"/>
      <c r="L474" s="71">
        <f t="shared" si="189"/>
        <v>0</v>
      </c>
      <c r="M474" s="73">
        <f t="shared" ref="M474:R474" si="199">SUM(M475:M480)</f>
        <v>0</v>
      </c>
      <c r="N474" s="73">
        <f t="shared" si="199"/>
        <v>0</v>
      </c>
      <c r="O474" s="73">
        <f t="shared" si="199"/>
        <v>0</v>
      </c>
      <c r="P474" s="73">
        <f t="shared" si="199"/>
        <v>177593</v>
      </c>
      <c r="Q474" s="73">
        <f t="shared" si="199"/>
        <v>225116.89</v>
      </c>
      <c r="R474" s="73">
        <f t="shared" si="199"/>
        <v>225116.89</v>
      </c>
    </row>
    <row r="475" spans="2:18" s="34" customFormat="1" ht="23.4">
      <c r="B475" s="87" t="s">
        <v>925</v>
      </c>
      <c r="C475" s="88" t="s">
        <v>926</v>
      </c>
      <c r="D475" s="89" t="s">
        <v>131</v>
      </c>
      <c r="E475" s="90">
        <v>1</v>
      </c>
      <c r="F475" s="91"/>
      <c r="G475" s="91"/>
      <c r="H475" s="91"/>
      <c r="I475" s="91">
        <f>SUM(G475:H475)+'BM 004'!I475</f>
        <v>0</v>
      </c>
      <c r="J475" s="91">
        <f t="shared" si="190"/>
        <v>1</v>
      </c>
      <c r="K475" s="80">
        <v>40</v>
      </c>
      <c r="L475" s="81">
        <f t="shared" si="189"/>
        <v>50.704004400000002</v>
      </c>
      <c r="M475" s="82">
        <f t="shared" ref="M475:M480" si="200">TRUNC(F475*L475,2)</f>
        <v>0</v>
      </c>
      <c r="N475" s="82">
        <f t="shared" ref="N475:N480" si="201">TRUNC(G475*L475,2)</f>
        <v>0</v>
      </c>
      <c r="O475" s="82">
        <f>N475+'BM 004'!O475</f>
        <v>0</v>
      </c>
      <c r="P475" s="80">
        <f t="shared" ref="P475:P480" si="202">E475*K475</f>
        <v>40</v>
      </c>
      <c r="Q475" s="82">
        <f t="shared" ref="Q475:Q480" si="203">TRUNC(E475*L475,2)</f>
        <v>50.7</v>
      </c>
      <c r="R475" s="82">
        <f t="shared" ref="R475:R480" si="204">Q475-O475</f>
        <v>50.7</v>
      </c>
    </row>
    <row r="476" spans="2:18" s="34" customFormat="1" ht="23.4">
      <c r="B476" s="87" t="s">
        <v>927</v>
      </c>
      <c r="C476" s="88" t="s">
        <v>928</v>
      </c>
      <c r="D476" s="89" t="s">
        <v>131</v>
      </c>
      <c r="E476" s="90">
        <v>69</v>
      </c>
      <c r="F476" s="91"/>
      <c r="G476" s="91"/>
      <c r="H476" s="91"/>
      <c r="I476" s="91">
        <f>SUM(G476:H476)+'BM 004'!I476</f>
        <v>0</v>
      </c>
      <c r="J476" s="91">
        <f t="shared" si="190"/>
        <v>69</v>
      </c>
      <c r="K476" s="80">
        <v>62</v>
      </c>
      <c r="L476" s="81">
        <f t="shared" si="189"/>
        <v>78.591206819999996</v>
      </c>
      <c r="M476" s="82">
        <f t="shared" si="200"/>
        <v>0</v>
      </c>
      <c r="N476" s="82">
        <f t="shared" si="201"/>
        <v>0</v>
      </c>
      <c r="O476" s="82">
        <f>N476+'BM 004'!O476</f>
        <v>0</v>
      </c>
      <c r="P476" s="80">
        <f t="shared" si="202"/>
        <v>4278</v>
      </c>
      <c r="Q476" s="82">
        <f t="shared" si="203"/>
        <v>5422.79</v>
      </c>
      <c r="R476" s="82">
        <f t="shared" si="204"/>
        <v>5422.79</v>
      </c>
    </row>
    <row r="477" spans="2:18" s="34" customFormat="1" ht="34.799999999999997">
      <c r="B477" s="87" t="s">
        <v>929</v>
      </c>
      <c r="C477" s="88" t="s">
        <v>930</v>
      </c>
      <c r="D477" s="89" t="s">
        <v>131</v>
      </c>
      <c r="E477" s="90">
        <v>3</v>
      </c>
      <c r="F477" s="91"/>
      <c r="G477" s="91"/>
      <c r="H477" s="91"/>
      <c r="I477" s="91">
        <f>SUM(G477:H477)+'BM 004'!I477</f>
        <v>0</v>
      </c>
      <c r="J477" s="91">
        <f t="shared" si="190"/>
        <v>3</v>
      </c>
      <c r="K477" s="80">
        <v>25</v>
      </c>
      <c r="L477" s="81">
        <f t="shared" ref="L477:L540" si="205">K477*(1+$T$26)</f>
        <v>31.690002750000001</v>
      </c>
      <c r="M477" s="82">
        <f t="shared" si="200"/>
        <v>0</v>
      </c>
      <c r="N477" s="82">
        <f t="shared" si="201"/>
        <v>0</v>
      </c>
      <c r="O477" s="82">
        <f>N477+'BM 004'!O477</f>
        <v>0</v>
      </c>
      <c r="P477" s="80">
        <f t="shared" si="202"/>
        <v>75</v>
      </c>
      <c r="Q477" s="82">
        <f t="shared" si="203"/>
        <v>95.07</v>
      </c>
      <c r="R477" s="82">
        <f t="shared" si="204"/>
        <v>95.07</v>
      </c>
    </row>
    <row r="478" spans="2:18" s="34" customFormat="1" ht="34.799999999999997">
      <c r="B478" s="87" t="s">
        <v>931</v>
      </c>
      <c r="C478" s="88" t="s">
        <v>932</v>
      </c>
      <c r="D478" s="89" t="s">
        <v>131</v>
      </c>
      <c r="E478" s="90">
        <v>2</v>
      </c>
      <c r="F478" s="91"/>
      <c r="G478" s="91"/>
      <c r="H478" s="91"/>
      <c r="I478" s="91">
        <f>SUM(G478:H478)+'BM 004'!I478</f>
        <v>0</v>
      </c>
      <c r="J478" s="91">
        <f t="shared" si="190"/>
        <v>2</v>
      </c>
      <c r="K478" s="80">
        <v>2100</v>
      </c>
      <c r="L478" s="81">
        <f t="shared" si="205"/>
        <v>2661.960231</v>
      </c>
      <c r="M478" s="82">
        <f t="shared" si="200"/>
        <v>0</v>
      </c>
      <c r="N478" s="82">
        <f t="shared" si="201"/>
        <v>0</v>
      </c>
      <c r="O478" s="82">
        <f>N478+'BM 004'!O478</f>
        <v>0</v>
      </c>
      <c r="P478" s="80">
        <f t="shared" si="202"/>
        <v>4200</v>
      </c>
      <c r="Q478" s="82">
        <f t="shared" si="203"/>
        <v>5323.92</v>
      </c>
      <c r="R478" s="82">
        <f t="shared" si="204"/>
        <v>5323.92</v>
      </c>
    </row>
    <row r="479" spans="2:18" s="34" customFormat="1" ht="34.799999999999997">
      <c r="B479" s="87" t="s">
        <v>933</v>
      </c>
      <c r="C479" s="88" t="s">
        <v>934</v>
      </c>
      <c r="D479" s="89" t="s">
        <v>131</v>
      </c>
      <c r="E479" s="90">
        <v>6</v>
      </c>
      <c r="F479" s="91"/>
      <c r="G479" s="91"/>
      <c r="H479" s="91"/>
      <c r="I479" s="91">
        <f>SUM(G479:H479)+'BM 004'!I479</f>
        <v>0</v>
      </c>
      <c r="J479" s="91">
        <f t="shared" ref="J479:J542" si="206">E479-I479</f>
        <v>6</v>
      </c>
      <c r="K479" s="80">
        <v>9000</v>
      </c>
      <c r="L479" s="81">
        <f t="shared" si="205"/>
        <v>11408.40099</v>
      </c>
      <c r="M479" s="82">
        <f t="shared" si="200"/>
        <v>0</v>
      </c>
      <c r="N479" s="82">
        <f t="shared" si="201"/>
        <v>0</v>
      </c>
      <c r="O479" s="82">
        <f>N479+'BM 004'!O479</f>
        <v>0</v>
      </c>
      <c r="P479" s="80">
        <f t="shared" si="202"/>
        <v>54000</v>
      </c>
      <c r="Q479" s="82">
        <f t="shared" si="203"/>
        <v>68450.399999999994</v>
      </c>
      <c r="R479" s="82">
        <f t="shared" si="204"/>
        <v>68450.399999999994</v>
      </c>
    </row>
    <row r="480" spans="2:18" s="34" customFormat="1" ht="23.4">
      <c r="B480" s="87" t="s">
        <v>935</v>
      </c>
      <c r="C480" s="88" t="s">
        <v>936</v>
      </c>
      <c r="D480" s="89" t="s">
        <v>131</v>
      </c>
      <c r="E480" s="90">
        <v>1</v>
      </c>
      <c r="F480" s="91"/>
      <c r="G480" s="91"/>
      <c r="H480" s="91"/>
      <c r="I480" s="91">
        <f>SUM(G480:H480)+'BM 004'!I480</f>
        <v>0</v>
      </c>
      <c r="J480" s="91">
        <f t="shared" si="206"/>
        <v>1</v>
      </c>
      <c r="K480" s="80">
        <v>115000</v>
      </c>
      <c r="L480" s="81">
        <f t="shared" si="205"/>
        <v>145774.01265000002</v>
      </c>
      <c r="M480" s="82">
        <f t="shared" si="200"/>
        <v>0</v>
      </c>
      <c r="N480" s="82">
        <f t="shared" si="201"/>
        <v>0</v>
      </c>
      <c r="O480" s="82">
        <f>N480+'BM 004'!O480</f>
        <v>0</v>
      </c>
      <c r="P480" s="80">
        <f t="shared" si="202"/>
        <v>115000</v>
      </c>
      <c r="Q480" s="82">
        <f t="shared" si="203"/>
        <v>145774.01</v>
      </c>
      <c r="R480" s="82">
        <f t="shared" si="204"/>
        <v>145774.01</v>
      </c>
    </row>
    <row r="481" spans="2:18" s="34" customFormat="1" ht="13.2">
      <c r="B481" s="60" t="s">
        <v>937</v>
      </c>
      <c r="C481" s="61" t="s">
        <v>938</v>
      </c>
      <c r="D481" s="60"/>
      <c r="E481" s="62"/>
      <c r="F481" s="63"/>
      <c r="G481" s="63"/>
      <c r="H481" s="63"/>
      <c r="I481" s="63">
        <f>SUM(G481:H481)+'BM 004'!I481</f>
        <v>0</v>
      </c>
      <c r="J481" s="63">
        <f t="shared" si="206"/>
        <v>0</v>
      </c>
      <c r="K481" s="63"/>
      <c r="L481" s="63">
        <f t="shared" si="205"/>
        <v>0</v>
      </c>
      <c r="M481" s="63">
        <f t="shared" ref="M481:R481" si="207">SUM(M482,M487)</f>
        <v>0</v>
      </c>
      <c r="N481" s="63">
        <f t="shared" si="207"/>
        <v>0</v>
      </c>
      <c r="O481" s="63">
        <f t="shared" si="207"/>
        <v>0</v>
      </c>
      <c r="P481" s="63">
        <f t="shared" si="207"/>
        <v>198555.35149999999</v>
      </c>
      <c r="Q481" s="63">
        <f t="shared" si="207"/>
        <v>251688.67</v>
      </c>
      <c r="R481" s="63">
        <f t="shared" si="207"/>
        <v>251688.67</v>
      </c>
    </row>
    <row r="482" spans="2:18" s="34" customFormat="1" ht="13.2">
      <c r="B482" s="66" t="s">
        <v>939</v>
      </c>
      <c r="C482" s="67" t="s">
        <v>940</v>
      </c>
      <c r="D482" s="68"/>
      <c r="E482" s="69"/>
      <c r="F482" s="70"/>
      <c r="G482" s="70"/>
      <c r="H482" s="70"/>
      <c r="I482" s="70">
        <f>SUM(G482:H482)+'BM 004'!I482</f>
        <v>0</v>
      </c>
      <c r="J482" s="70">
        <f t="shared" si="206"/>
        <v>0</v>
      </c>
      <c r="K482" s="71"/>
      <c r="L482" s="71">
        <f t="shared" si="205"/>
        <v>0</v>
      </c>
      <c r="M482" s="73">
        <f t="shared" ref="M482:R482" si="208">SUM(M483:M486)</f>
        <v>0</v>
      </c>
      <c r="N482" s="73">
        <f t="shared" si="208"/>
        <v>0</v>
      </c>
      <c r="O482" s="73">
        <f t="shared" si="208"/>
        <v>0</v>
      </c>
      <c r="P482" s="73">
        <f t="shared" si="208"/>
        <v>157288.71</v>
      </c>
      <c r="Q482" s="73">
        <f t="shared" si="208"/>
        <v>199379.17</v>
      </c>
      <c r="R482" s="73">
        <f t="shared" si="208"/>
        <v>199379.17</v>
      </c>
    </row>
    <row r="483" spans="2:18" s="34" customFormat="1" ht="46.2">
      <c r="B483" s="75" t="s">
        <v>941</v>
      </c>
      <c r="C483" s="76" t="s">
        <v>942</v>
      </c>
      <c r="D483" s="77" t="s">
        <v>82</v>
      </c>
      <c r="E483" s="93">
        <v>546.20000000000005</v>
      </c>
      <c r="F483" s="79"/>
      <c r="G483" s="79"/>
      <c r="H483" s="79"/>
      <c r="I483" s="79">
        <f>SUM(G483:H483)+'BM 004'!I483</f>
        <v>0</v>
      </c>
      <c r="J483" s="79">
        <f t="shared" si="206"/>
        <v>546.20000000000005</v>
      </c>
      <c r="K483" s="84">
        <v>71.55</v>
      </c>
      <c r="L483" s="81">
        <f t="shared" si="205"/>
        <v>90.696787870500003</v>
      </c>
      <c r="M483" s="82">
        <f>TRUNC(F483*L483,2)</f>
        <v>0</v>
      </c>
      <c r="N483" s="82">
        <f>TRUNC(G483*L483,2)</f>
        <v>0</v>
      </c>
      <c r="O483" s="82">
        <f>N483+'BM 004'!O483</f>
        <v>0</v>
      </c>
      <c r="P483" s="80">
        <f>E483*K483</f>
        <v>39080.61</v>
      </c>
      <c r="Q483" s="82">
        <f>TRUNC(E483*L483,2)</f>
        <v>49538.58</v>
      </c>
      <c r="R483" s="82">
        <f>Q483-O483</f>
        <v>49538.58</v>
      </c>
    </row>
    <row r="484" spans="2:18" s="34" customFormat="1" ht="46.2">
      <c r="B484" s="75" t="s">
        <v>943</v>
      </c>
      <c r="C484" s="76" t="s">
        <v>944</v>
      </c>
      <c r="D484" s="77" t="s">
        <v>124</v>
      </c>
      <c r="E484" s="93">
        <v>314</v>
      </c>
      <c r="F484" s="79"/>
      <c r="G484" s="79"/>
      <c r="H484" s="79"/>
      <c r="I484" s="79">
        <f>SUM(G484:H484)+'BM 004'!I484</f>
        <v>0</v>
      </c>
      <c r="J484" s="79">
        <f t="shared" si="206"/>
        <v>314</v>
      </c>
      <c r="K484" s="84">
        <v>120.15</v>
      </c>
      <c r="L484" s="81">
        <f t="shared" si="205"/>
        <v>152.30215321650002</v>
      </c>
      <c r="M484" s="82">
        <f>TRUNC(F484*L484,2)</f>
        <v>0</v>
      </c>
      <c r="N484" s="82">
        <f>TRUNC(G484*L484,2)</f>
        <v>0</v>
      </c>
      <c r="O484" s="82">
        <f>N484+'BM 004'!O484</f>
        <v>0</v>
      </c>
      <c r="P484" s="80">
        <f>E484*K484</f>
        <v>37727.1</v>
      </c>
      <c r="Q484" s="82">
        <f>TRUNC(E484*L484,2)</f>
        <v>47822.87</v>
      </c>
      <c r="R484" s="82">
        <f>Q484-O484</f>
        <v>47822.87</v>
      </c>
    </row>
    <row r="485" spans="2:18" s="34" customFormat="1" ht="46.2">
      <c r="B485" s="75" t="s">
        <v>945</v>
      </c>
      <c r="C485" s="76" t="s">
        <v>946</v>
      </c>
      <c r="D485" s="77" t="s">
        <v>82</v>
      </c>
      <c r="E485" s="78">
        <v>36.700000000000003</v>
      </c>
      <c r="F485" s="79"/>
      <c r="G485" s="79"/>
      <c r="H485" s="79"/>
      <c r="I485" s="79">
        <f>SUM(G485:H485)+'BM 004'!I485</f>
        <v>0</v>
      </c>
      <c r="J485" s="79">
        <f t="shared" si="206"/>
        <v>36.700000000000003</v>
      </c>
      <c r="K485" s="84">
        <v>149.85</v>
      </c>
      <c r="L485" s="81">
        <f t="shared" si="205"/>
        <v>189.94987648349999</v>
      </c>
      <c r="M485" s="82">
        <f>TRUNC(F485*L485,2)</f>
        <v>0</v>
      </c>
      <c r="N485" s="82">
        <f>TRUNC(G485*L485,2)</f>
        <v>0</v>
      </c>
      <c r="O485" s="82">
        <f>N485+'BM 004'!O485</f>
        <v>0</v>
      </c>
      <c r="P485" s="80">
        <f>E485*K485</f>
        <v>5499.4949999999999</v>
      </c>
      <c r="Q485" s="82">
        <f>TRUNC(E485*L485,2)</f>
        <v>6971.16</v>
      </c>
      <c r="R485" s="82">
        <f>Q485-O485</f>
        <v>6971.16</v>
      </c>
    </row>
    <row r="486" spans="2:18" s="34" customFormat="1" ht="46.2">
      <c r="B486" s="75" t="s">
        <v>947</v>
      </c>
      <c r="C486" s="76" t="s">
        <v>948</v>
      </c>
      <c r="D486" s="77" t="s">
        <v>82</v>
      </c>
      <c r="E486" s="93">
        <v>180.5</v>
      </c>
      <c r="F486" s="79"/>
      <c r="G486" s="79"/>
      <c r="H486" s="79"/>
      <c r="I486" s="79">
        <f>SUM(G486:H486)+'BM 004'!I486</f>
        <v>0</v>
      </c>
      <c r="J486" s="79">
        <f t="shared" si="206"/>
        <v>180.5</v>
      </c>
      <c r="K486" s="84">
        <v>415.41</v>
      </c>
      <c r="L486" s="81">
        <f t="shared" si="205"/>
        <v>526.57376169510007</v>
      </c>
      <c r="M486" s="82">
        <f>TRUNC(F486*L486,2)</f>
        <v>0</v>
      </c>
      <c r="N486" s="82">
        <f>TRUNC(G486*L486,2)</f>
        <v>0</v>
      </c>
      <c r="O486" s="82">
        <f>N486+'BM 004'!O486</f>
        <v>0</v>
      </c>
      <c r="P486" s="80">
        <f>E486*K486</f>
        <v>74981.505000000005</v>
      </c>
      <c r="Q486" s="82">
        <f>TRUNC(E486*L486,2)</f>
        <v>95046.56</v>
      </c>
      <c r="R486" s="82">
        <f>Q486-O486</f>
        <v>95046.56</v>
      </c>
    </row>
    <row r="487" spans="2:18" s="34" customFormat="1" ht="13.2">
      <c r="B487" s="66" t="s">
        <v>949</v>
      </c>
      <c r="C487" s="67" t="s">
        <v>950</v>
      </c>
      <c r="D487" s="68"/>
      <c r="E487" s="69"/>
      <c r="F487" s="70"/>
      <c r="G487" s="70"/>
      <c r="H487" s="70"/>
      <c r="I487" s="70">
        <f>SUM(G487:H487)+'BM 004'!I487</f>
        <v>0</v>
      </c>
      <c r="J487" s="70">
        <f t="shared" si="206"/>
        <v>0</v>
      </c>
      <c r="K487" s="71"/>
      <c r="L487" s="71">
        <f t="shared" si="205"/>
        <v>0</v>
      </c>
      <c r="M487" s="73">
        <f t="shared" ref="M487:R487" si="209">SUM(M488:M506)</f>
        <v>0</v>
      </c>
      <c r="N487" s="73">
        <f t="shared" si="209"/>
        <v>0</v>
      </c>
      <c r="O487" s="73">
        <f t="shared" si="209"/>
        <v>0</v>
      </c>
      <c r="P487" s="73">
        <f t="shared" si="209"/>
        <v>41266.641499999998</v>
      </c>
      <c r="Q487" s="73">
        <f t="shared" si="209"/>
        <v>52309.5</v>
      </c>
      <c r="R487" s="73">
        <f t="shared" si="209"/>
        <v>52309.5</v>
      </c>
    </row>
    <row r="488" spans="2:18" s="34" customFormat="1" ht="34.799999999999997">
      <c r="B488" s="75" t="s">
        <v>951</v>
      </c>
      <c r="C488" s="76" t="s">
        <v>952</v>
      </c>
      <c r="D488" s="77" t="s">
        <v>131</v>
      </c>
      <c r="E488" s="78">
        <v>362</v>
      </c>
      <c r="F488" s="79"/>
      <c r="G488" s="79"/>
      <c r="H488" s="79"/>
      <c r="I488" s="79">
        <f>SUM(G488:H488)+'BM 004'!I488</f>
        <v>0</v>
      </c>
      <c r="J488" s="79">
        <f t="shared" si="206"/>
        <v>362</v>
      </c>
      <c r="K488" s="84">
        <v>5.6295000000000002</v>
      </c>
      <c r="L488" s="81">
        <f t="shared" si="205"/>
        <v>7.1359548192450006</v>
      </c>
      <c r="M488" s="82">
        <f t="shared" ref="M488:M506" si="210">TRUNC(F488*L488,2)</f>
        <v>0</v>
      </c>
      <c r="N488" s="82">
        <f t="shared" ref="N488:N506" si="211">TRUNC(G488*L488,2)</f>
        <v>0</v>
      </c>
      <c r="O488" s="82">
        <f>N488+'BM 004'!O488</f>
        <v>0</v>
      </c>
      <c r="P488" s="80">
        <f t="shared" ref="P488:P506" si="212">E488*K488</f>
        <v>2037.8790000000001</v>
      </c>
      <c r="Q488" s="82">
        <f t="shared" ref="Q488:Q506" si="213">TRUNC(E488*L488,2)</f>
        <v>2583.21</v>
      </c>
      <c r="R488" s="82">
        <f t="shared" ref="R488:R506" si="214">Q488-O488</f>
        <v>2583.21</v>
      </c>
    </row>
    <row r="489" spans="2:18" s="34" customFormat="1" ht="34.799999999999997">
      <c r="B489" s="75" t="s">
        <v>953</v>
      </c>
      <c r="C489" s="76" t="s">
        <v>954</v>
      </c>
      <c r="D489" s="77" t="s">
        <v>131</v>
      </c>
      <c r="E489" s="78">
        <v>41</v>
      </c>
      <c r="F489" s="79"/>
      <c r="G489" s="79"/>
      <c r="H489" s="79"/>
      <c r="I489" s="79">
        <f>SUM(G489:H489)+'BM 004'!I489</f>
        <v>0</v>
      </c>
      <c r="J489" s="79">
        <f t="shared" si="206"/>
        <v>41</v>
      </c>
      <c r="K489" s="84">
        <v>12.771000000000001</v>
      </c>
      <c r="L489" s="81">
        <f t="shared" si="205"/>
        <v>16.188521004810003</v>
      </c>
      <c r="M489" s="82">
        <f t="shared" si="210"/>
        <v>0</v>
      </c>
      <c r="N489" s="82">
        <f t="shared" si="211"/>
        <v>0</v>
      </c>
      <c r="O489" s="82">
        <f>N489+'BM 004'!O489</f>
        <v>0</v>
      </c>
      <c r="P489" s="80">
        <f t="shared" si="212"/>
        <v>523.61099999999999</v>
      </c>
      <c r="Q489" s="82">
        <f t="shared" si="213"/>
        <v>663.72</v>
      </c>
      <c r="R489" s="82">
        <f t="shared" si="214"/>
        <v>663.72</v>
      </c>
    </row>
    <row r="490" spans="2:18" s="34" customFormat="1" ht="34.799999999999997">
      <c r="B490" s="75" t="s">
        <v>955</v>
      </c>
      <c r="C490" s="76" t="s">
        <v>956</v>
      </c>
      <c r="D490" s="77" t="s">
        <v>131</v>
      </c>
      <c r="E490" s="78">
        <v>4</v>
      </c>
      <c r="F490" s="79"/>
      <c r="G490" s="79"/>
      <c r="H490" s="79"/>
      <c r="I490" s="79">
        <f>SUM(G490:H490)+'BM 004'!I490</f>
        <v>0</v>
      </c>
      <c r="J490" s="79">
        <f t="shared" si="206"/>
        <v>4</v>
      </c>
      <c r="K490" s="84">
        <v>20.358000000000001</v>
      </c>
      <c r="L490" s="81">
        <f t="shared" si="205"/>
        <v>25.805803039380002</v>
      </c>
      <c r="M490" s="82">
        <f t="shared" si="210"/>
        <v>0</v>
      </c>
      <c r="N490" s="82">
        <f t="shared" si="211"/>
        <v>0</v>
      </c>
      <c r="O490" s="82">
        <f>N490+'BM 004'!O490</f>
        <v>0</v>
      </c>
      <c r="P490" s="80">
        <f t="shared" si="212"/>
        <v>81.432000000000002</v>
      </c>
      <c r="Q490" s="82">
        <f t="shared" si="213"/>
        <v>103.22</v>
      </c>
      <c r="R490" s="82">
        <f t="shared" si="214"/>
        <v>103.22</v>
      </c>
    </row>
    <row r="491" spans="2:18" s="34" customFormat="1" ht="34.799999999999997">
      <c r="B491" s="75" t="s">
        <v>957</v>
      </c>
      <c r="C491" s="76" t="s">
        <v>958</v>
      </c>
      <c r="D491" s="77" t="s">
        <v>131</v>
      </c>
      <c r="E491" s="78">
        <v>12</v>
      </c>
      <c r="F491" s="79"/>
      <c r="G491" s="79"/>
      <c r="H491" s="79"/>
      <c r="I491" s="79">
        <f>SUM(G491:H491)+'BM 004'!I491</f>
        <v>0</v>
      </c>
      <c r="J491" s="79">
        <f t="shared" si="206"/>
        <v>12</v>
      </c>
      <c r="K491" s="84">
        <v>68.418000000000006</v>
      </c>
      <c r="L491" s="81">
        <f t="shared" si="205"/>
        <v>86.726664325980011</v>
      </c>
      <c r="M491" s="82">
        <f t="shared" si="210"/>
        <v>0</v>
      </c>
      <c r="N491" s="82">
        <f t="shared" si="211"/>
        <v>0</v>
      </c>
      <c r="O491" s="82">
        <f>N491+'BM 004'!O491</f>
        <v>0</v>
      </c>
      <c r="P491" s="80">
        <f t="shared" si="212"/>
        <v>821.01600000000008</v>
      </c>
      <c r="Q491" s="82">
        <f t="shared" si="213"/>
        <v>1040.71</v>
      </c>
      <c r="R491" s="82">
        <f t="shared" si="214"/>
        <v>1040.71</v>
      </c>
    </row>
    <row r="492" spans="2:18" s="34" customFormat="1" ht="46.2">
      <c r="B492" s="75" t="s">
        <v>959</v>
      </c>
      <c r="C492" s="76" t="s">
        <v>960</v>
      </c>
      <c r="D492" s="77" t="s">
        <v>131</v>
      </c>
      <c r="E492" s="78">
        <v>106</v>
      </c>
      <c r="F492" s="79"/>
      <c r="G492" s="79"/>
      <c r="H492" s="79"/>
      <c r="I492" s="79">
        <f>SUM(G492:H492)+'BM 004'!I492</f>
        <v>0</v>
      </c>
      <c r="J492" s="79">
        <f t="shared" si="206"/>
        <v>106</v>
      </c>
      <c r="K492" s="84">
        <v>20.52</v>
      </c>
      <c r="L492" s="81">
        <f t="shared" si="205"/>
        <v>26.011154257200001</v>
      </c>
      <c r="M492" s="82">
        <f t="shared" si="210"/>
        <v>0</v>
      </c>
      <c r="N492" s="82">
        <f t="shared" si="211"/>
        <v>0</v>
      </c>
      <c r="O492" s="82">
        <f>N492+'BM 004'!O492</f>
        <v>0</v>
      </c>
      <c r="P492" s="80">
        <f t="shared" si="212"/>
        <v>2175.12</v>
      </c>
      <c r="Q492" s="82">
        <f t="shared" si="213"/>
        <v>2757.18</v>
      </c>
      <c r="R492" s="82">
        <f t="shared" si="214"/>
        <v>2757.18</v>
      </c>
    </row>
    <row r="493" spans="2:18" s="34" customFormat="1" ht="46.2">
      <c r="B493" s="75" t="s">
        <v>961</v>
      </c>
      <c r="C493" s="76" t="s">
        <v>962</v>
      </c>
      <c r="D493" s="77" t="s">
        <v>131</v>
      </c>
      <c r="E493" s="78">
        <v>14</v>
      </c>
      <c r="F493" s="79"/>
      <c r="G493" s="79"/>
      <c r="H493" s="79"/>
      <c r="I493" s="79">
        <f>SUM(G493:H493)+'BM 004'!I493</f>
        <v>0</v>
      </c>
      <c r="J493" s="79">
        <f t="shared" si="206"/>
        <v>14</v>
      </c>
      <c r="K493" s="84">
        <v>11.4885</v>
      </c>
      <c r="L493" s="81">
        <f t="shared" si="205"/>
        <v>14.562823863735002</v>
      </c>
      <c r="M493" s="82">
        <f t="shared" si="210"/>
        <v>0</v>
      </c>
      <c r="N493" s="82">
        <f t="shared" si="211"/>
        <v>0</v>
      </c>
      <c r="O493" s="82">
        <f>N493+'BM 004'!O493</f>
        <v>0</v>
      </c>
      <c r="P493" s="80">
        <f t="shared" si="212"/>
        <v>160.839</v>
      </c>
      <c r="Q493" s="82">
        <f t="shared" si="213"/>
        <v>203.87</v>
      </c>
      <c r="R493" s="82">
        <f t="shared" si="214"/>
        <v>203.87</v>
      </c>
    </row>
    <row r="494" spans="2:18" s="34" customFormat="1" ht="46.2">
      <c r="B494" s="75" t="s">
        <v>963</v>
      </c>
      <c r="C494" s="76" t="s">
        <v>964</v>
      </c>
      <c r="D494" s="77" t="s">
        <v>131</v>
      </c>
      <c r="E494" s="78">
        <v>6</v>
      </c>
      <c r="F494" s="79"/>
      <c r="G494" s="79"/>
      <c r="H494" s="79"/>
      <c r="I494" s="79">
        <f>SUM(G494:H494)+'BM 004'!I494</f>
        <v>0</v>
      </c>
      <c r="J494" s="79">
        <f t="shared" si="206"/>
        <v>6</v>
      </c>
      <c r="K494" s="84">
        <v>13.432499999999999</v>
      </c>
      <c r="L494" s="81">
        <f t="shared" si="205"/>
        <v>17.027038477575001</v>
      </c>
      <c r="M494" s="82">
        <f t="shared" si="210"/>
        <v>0</v>
      </c>
      <c r="N494" s="82">
        <f t="shared" si="211"/>
        <v>0</v>
      </c>
      <c r="O494" s="82">
        <f>N494+'BM 004'!O494</f>
        <v>0</v>
      </c>
      <c r="P494" s="80">
        <f t="shared" si="212"/>
        <v>80.594999999999999</v>
      </c>
      <c r="Q494" s="82">
        <f t="shared" si="213"/>
        <v>102.16</v>
      </c>
      <c r="R494" s="82">
        <f t="shared" si="214"/>
        <v>102.16</v>
      </c>
    </row>
    <row r="495" spans="2:18" s="34" customFormat="1" ht="23.4">
      <c r="B495" s="75" t="s">
        <v>965</v>
      </c>
      <c r="C495" s="76" t="s">
        <v>966</v>
      </c>
      <c r="D495" s="77" t="s">
        <v>131</v>
      </c>
      <c r="E495" s="78">
        <v>3</v>
      </c>
      <c r="F495" s="79"/>
      <c r="G495" s="79"/>
      <c r="H495" s="79"/>
      <c r="I495" s="79">
        <f>SUM(G495:H495)+'BM 004'!I495</f>
        <v>0</v>
      </c>
      <c r="J495" s="79">
        <f t="shared" si="206"/>
        <v>3</v>
      </c>
      <c r="K495" s="84">
        <v>42.214500000000001</v>
      </c>
      <c r="L495" s="81">
        <f t="shared" si="205"/>
        <v>53.511104843595007</v>
      </c>
      <c r="M495" s="82">
        <f t="shared" si="210"/>
        <v>0</v>
      </c>
      <c r="N495" s="82">
        <f t="shared" si="211"/>
        <v>0</v>
      </c>
      <c r="O495" s="82">
        <f>N495+'BM 004'!O495</f>
        <v>0</v>
      </c>
      <c r="P495" s="80">
        <f t="shared" si="212"/>
        <v>126.6435</v>
      </c>
      <c r="Q495" s="82">
        <f t="shared" si="213"/>
        <v>160.53</v>
      </c>
      <c r="R495" s="82">
        <f t="shared" si="214"/>
        <v>160.53</v>
      </c>
    </row>
    <row r="496" spans="2:18" s="34" customFormat="1" ht="34.799999999999997">
      <c r="B496" s="75" t="s">
        <v>967</v>
      </c>
      <c r="C496" s="76" t="s">
        <v>968</v>
      </c>
      <c r="D496" s="77" t="s">
        <v>131</v>
      </c>
      <c r="E496" s="78">
        <v>51</v>
      </c>
      <c r="F496" s="79"/>
      <c r="G496" s="79"/>
      <c r="H496" s="79"/>
      <c r="I496" s="79">
        <f>SUM(G496:H496)+'BM 004'!I496</f>
        <v>0</v>
      </c>
      <c r="J496" s="79">
        <f t="shared" si="206"/>
        <v>51</v>
      </c>
      <c r="K496" s="84">
        <v>15.1335</v>
      </c>
      <c r="L496" s="81">
        <f t="shared" si="205"/>
        <v>19.183226264685</v>
      </c>
      <c r="M496" s="82">
        <f t="shared" si="210"/>
        <v>0</v>
      </c>
      <c r="N496" s="82">
        <f t="shared" si="211"/>
        <v>0</v>
      </c>
      <c r="O496" s="82">
        <f>N496+'BM 004'!O496</f>
        <v>0</v>
      </c>
      <c r="P496" s="80">
        <f t="shared" si="212"/>
        <v>771.80849999999998</v>
      </c>
      <c r="Q496" s="82">
        <f t="shared" si="213"/>
        <v>978.34</v>
      </c>
      <c r="R496" s="82">
        <f t="shared" si="214"/>
        <v>978.34</v>
      </c>
    </row>
    <row r="497" spans="2:18" s="34" customFormat="1" ht="34.799999999999997">
      <c r="B497" s="75" t="s">
        <v>969</v>
      </c>
      <c r="C497" s="76" t="s">
        <v>970</v>
      </c>
      <c r="D497" s="77" t="s">
        <v>131</v>
      </c>
      <c r="E497" s="78">
        <v>8</v>
      </c>
      <c r="F497" s="79"/>
      <c r="G497" s="79"/>
      <c r="H497" s="79"/>
      <c r="I497" s="79">
        <f>SUM(G497:H497)+'BM 004'!I497</f>
        <v>0</v>
      </c>
      <c r="J497" s="79">
        <f t="shared" si="206"/>
        <v>8</v>
      </c>
      <c r="K497" s="84">
        <v>23.638500000000001</v>
      </c>
      <c r="L497" s="81">
        <f t="shared" si="205"/>
        <v>29.964165200235001</v>
      </c>
      <c r="M497" s="82">
        <f t="shared" si="210"/>
        <v>0</v>
      </c>
      <c r="N497" s="82">
        <f t="shared" si="211"/>
        <v>0</v>
      </c>
      <c r="O497" s="82">
        <f>N497+'BM 004'!O497</f>
        <v>0</v>
      </c>
      <c r="P497" s="80">
        <f t="shared" si="212"/>
        <v>189.108</v>
      </c>
      <c r="Q497" s="82">
        <f t="shared" si="213"/>
        <v>239.71</v>
      </c>
      <c r="R497" s="82">
        <f t="shared" si="214"/>
        <v>239.71</v>
      </c>
    </row>
    <row r="498" spans="2:18" s="34" customFormat="1" ht="34.799999999999997">
      <c r="B498" s="75" t="s">
        <v>971</v>
      </c>
      <c r="C498" s="76" t="s">
        <v>972</v>
      </c>
      <c r="D498" s="77" t="s">
        <v>131</v>
      </c>
      <c r="E498" s="78">
        <v>3</v>
      </c>
      <c r="F498" s="79"/>
      <c r="G498" s="79"/>
      <c r="H498" s="79"/>
      <c r="I498" s="79">
        <f>SUM(G498:H498)+'BM 004'!I498</f>
        <v>0</v>
      </c>
      <c r="J498" s="79">
        <f t="shared" si="206"/>
        <v>3</v>
      </c>
      <c r="K498" s="84">
        <v>32.656500000000001</v>
      </c>
      <c r="L498" s="81">
        <f t="shared" si="205"/>
        <v>41.395382992215005</v>
      </c>
      <c r="M498" s="82">
        <f t="shared" si="210"/>
        <v>0</v>
      </c>
      <c r="N498" s="82">
        <f t="shared" si="211"/>
        <v>0</v>
      </c>
      <c r="O498" s="82">
        <f>N498+'BM 004'!O498</f>
        <v>0</v>
      </c>
      <c r="P498" s="80">
        <f t="shared" si="212"/>
        <v>97.969500000000011</v>
      </c>
      <c r="Q498" s="82">
        <f t="shared" si="213"/>
        <v>124.18</v>
      </c>
      <c r="R498" s="82">
        <f t="shared" si="214"/>
        <v>124.18</v>
      </c>
    </row>
    <row r="499" spans="2:18" s="34" customFormat="1" ht="23.4">
      <c r="B499" s="75" t="s">
        <v>973</v>
      </c>
      <c r="C499" s="76" t="s">
        <v>974</v>
      </c>
      <c r="D499" s="77" t="s">
        <v>131</v>
      </c>
      <c r="E499" s="78">
        <v>14</v>
      </c>
      <c r="F499" s="79"/>
      <c r="G499" s="79"/>
      <c r="H499" s="79"/>
      <c r="I499" s="79">
        <f>SUM(G499:H499)+'BM 004'!I499</f>
        <v>0</v>
      </c>
      <c r="J499" s="79">
        <f t="shared" si="206"/>
        <v>14</v>
      </c>
      <c r="K499" s="84">
        <v>24.003</v>
      </c>
      <c r="L499" s="81">
        <f t="shared" si="205"/>
        <v>30.426205440330001</v>
      </c>
      <c r="M499" s="82">
        <f t="shared" si="210"/>
        <v>0</v>
      </c>
      <c r="N499" s="82">
        <f t="shared" si="211"/>
        <v>0</v>
      </c>
      <c r="O499" s="82">
        <f>N499+'BM 004'!O499</f>
        <v>0</v>
      </c>
      <c r="P499" s="80">
        <f t="shared" si="212"/>
        <v>336.04200000000003</v>
      </c>
      <c r="Q499" s="82">
        <f t="shared" si="213"/>
        <v>425.96</v>
      </c>
      <c r="R499" s="82">
        <f t="shared" si="214"/>
        <v>425.96</v>
      </c>
    </row>
    <row r="500" spans="2:18" s="34" customFormat="1" ht="23.4">
      <c r="B500" s="75" t="s">
        <v>975</v>
      </c>
      <c r="C500" s="76" t="s">
        <v>976</v>
      </c>
      <c r="D500" s="77" t="s">
        <v>131</v>
      </c>
      <c r="E500" s="78">
        <v>47</v>
      </c>
      <c r="F500" s="79"/>
      <c r="G500" s="79"/>
      <c r="H500" s="79"/>
      <c r="I500" s="79">
        <f>SUM(G500:H500)+'BM 004'!I500</f>
        <v>0</v>
      </c>
      <c r="J500" s="79">
        <f t="shared" si="206"/>
        <v>47</v>
      </c>
      <c r="K500" s="84">
        <v>54.7425</v>
      </c>
      <c r="L500" s="81">
        <f t="shared" si="205"/>
        <v>69.391599021675006</v>
      </c>
      <c r="M500" s="82">
        <f t="shared" si="210"/>
        <v>0</v>
      </c>
      <c r="N500" s="82">
        <f t="shared" si="211"/>
        <v>0</v>
      </c>
      <c r="O500" s="82">
        <f>N500+'BM 004'!O500</f>
        <v>0</v>
      </c>
      <c r="P500" s="80">
        <f t="shared" si="212"/>
        <v>2572.8975</v>
      </c>
      <c r="Q500" s="82">
        <f t="shared" si="213"/>
        <v>3261.4</v>
      </c>
      <c r="R500" s="82">
        <f t="shared" si="214"/>
        <v>3261.4</v>
      </c>
    </row>
    <row r="501" spans="2:18" s="34" customFormat="1" ht="23.4">
      <c r="B501" s="75" t="s">
        <v>977</v>
      </c>
      <c r="C501" s="76" t="s">
        <v>978</v>
      </c>
      <c r="D501" s="77" t="s">
        <v>131</v>
      </c>
      <c r="E501" s="78">
        <v>3</v>
      </c>
      <c r="F501" s="79"/>
      <c r="G501" s="79"/>
      <c r="H501" s="79"/>
      <c r="I501" s="79">
        <f>SUM(G501:H501)+'BM 004'!I501</f>
        <v>0</v>
      </c>
      <c r="J501" s="79">
        <f t="shared" si="206"/>
        <v>3</v>
      </c>
      <c r="K501" s="84">
        <v>79.393500000000003</v>
      </c>
      <c r="L501" s="81">
        <f t="shared" si="205"/>
        <v>100.63920933328501</v>
      </c>
      <c r="M501" s="82">
        <f t="shared" si="210"/>
        <v>0</v>
      </c>
      <c r="N501" s="82">
        <f t="shared" si="211"/>
        <v>0</v>
      </c>
      <c r="O501" s="82">
        <f>N501+'BM 004'!O501</f>
        <v>0</v>
      </c>
      <c r="P501" s="80">
        <f t="shared" si="212"/>
        <v>238.18049999999999</v>
      </c>
      <c r="Q501" s="82">
        <f t="shared" si="213"/>
        <v>301.91000000000003</v>
      </c>
      <c r="R501" s="82">
        <f t="shared" si="214"/>
        <v>301.91000000000003</v>
      </c>
    </row>
    <row r="502" spans="2:18" s="34" customFormat="1" ht="34.799999999999997">
      <c r="B502" s="75" t="s">
        <v>979</v>
      </c>
      <c r="C502" s="76" t="s">
        <v>980</v>
      </c>
      <c r="D502" s="77" t="s">
        <v>131</v>
      </c>
      <c r="E502" s="78">
        <v>3</v>
      </c>
      <c r="F502" s="79"/>
      <c r="G502" s="79"/>
      <c r="H502" s="79"/>
      <c r="I502" s="79">
        <f>SUM(G502:H502)+'BM 004'!I502</f>
        <v>0</v>
      </c>
      <c r="J502" s="79">
        <f t="shared" si="206"/>
        <v>3</v>
      </c>
      <c r="K502" s="84">
        <v>634.5</v>
      </c>
      <c r="L502" s="81">
        <f t="shared" si="205"/>
        <v>804.29226979500004</v>
      </c>
      <c r="M502" s="82">
        <f t="shared" si="210"/>
        <v>0</v>
      </c>
      <c r="N502" s="82">
        <f t="shared" si="211"/>
        <v>0</v>
      </c>
      <c r="O502" s="82">
        <f>N502+'BM 004'!O502</f>
        <v>0</v>
      </c>
      <c r="P502" s="80">
        <f t="shared" si="212"/>
        <v>1903.5</v>
      </c>
      <c r="Q502" s="82">
        <f t="shared" si="213"/>
        <v>2412.87</v>
      </c>
      <c r="R502" s="82">
        <f t="shared" si="214"/>
        <v>2412.87</v>
      </c>
    </row>
    <row r="503" spans="2:18" s="34" customFormat="1" ht="23.4">
      <c r="B503" s="75" t="s">
        <v>981</v>
      </c>
      <c r="C503" s="76" t="s">
        <v>982</v>
      </c>
      <c r="D503" s="77" t="s">
        <v>131</v>
      </c>
      <c r="E503" s="78">
        <v>6</v>
      </c>
      <c r="F503" s="79"/>
      <c r="G503" s="79"/>
      <c r="H503" s="79"/>
      <c r="I503" s="79">
        <f>SUM(G503:H503)+'BM 004'!I503</f>
        <v>0</v>
      </c>
      <c r="J503" s="79">
        <f t="shared" si="206"/>
        <v>6</v>
      </c>
      <c r="K503" s="84">
        <v>985</v>
      </c>
      <c r="L503" s="81">
        <f t="shared" si="205"/>
        <v>1248.5861083500001</v>
      </c>
      <c r="M503" s="82">
        <f t="shared" si="210"/>
        <v>0</v>
      </c>
      <c r="N503" s="82">
        <f t="shared" si="211"/>
        <v>0</v>
      </c>
      <c r="O503" s="82">
        <f>N503+'BM 004'!O503</f>
        <v>0</v>
      </c>
      <c r="P503" s="80">
        <f t="shared" si="212"/>
        <v>5910</v>
      </c>
      <c r="Q503" s="82">
        <f t="shared" si="213"/>
        <v>7491.51</v>
      </c>
      <c r="R503" s="82">
        <f t="shared" si="214"/>
        <v>7491.51</v>
      </c>
    </row>
    <row r="504" spans="2:18" s="34" customFormat="1" ht="23.4">
      <c r="B504" s="75" t="s">
        <v>983</v>
      </c>
      <c r="C504" s="76" t="s">
        <v>984</v>
      </c>
      <c r="D504" s="77" t="s">
        <v>131</v>
      </c>
      <c r="E504" s="78">
        <v>6</v>
      </c>
      <c r="F504" s="79"/>
      <c r="G504" s="79"/>
      <c r="H504" s="79"/>
      <c r="I504" s="79">
        <f>SUM(G504:H504)+'BM 004'!I504</f>
        <v>0</v>
      </c>
      <c r="J504" s="79">
        <f t="shared" si="206"/>
        <v>6</v>
      </c>
      <c r="K504" s="84">
        <v>895</v>
      </c>
      <c r="L504" s="81">
        <f t="shared" si="205"/>
        <v>1134.5020984499999</v>
      </c>
      <c r="M504" s="82">
        <f t="shared" si="210"/>
        <v>0</v>
      </c>
      <c r="N504" s="82">
        <f t="shared" si="211"/>
        <v>0</v>
      </c>
      <c r="O504" s="82">
        <f>N504+'BM 004'!O504</f>
        <v>0</v>
      </c>
      <c r="P504" s="80">
        <f t="shared" si="212"/>
        <v>5370</v>
      </c>
      <c r="Q504" s="82">
        <f t="shared" si="213"/>
        <v>6807.01</v>
      </c>
      <c r="R504" s="82">
        <f t="shared" si="214"/>
        <v>6807.01</v>
      </c>
    </row>
    <row r="505" spans="2:18" s="34" customFormat="1" ht="23.4">
      <c r="B505" s="75" t="s">
        <v>985</v>
      </c>
      <c r="C505" s="76" t="s">
        <v>986</v>
      </c>
      <c r="D505" s="77" t="s">
        <v>131</v>
      </c>
      <c r="E505" s="78">
        <v>6</v>
      </c>
      <c r="F505" s="79"/>
      <c r="G505" s="79"/>
      <c r="H505" s="79"/>
      <c r="I505" s="79">
        <f>SUM(G505:H505)+'BM 004'!I505</f>
        <v>0</v>
      </c>
      <c r="J505" s="79">
        <f t="shared" si="206"/>
        <v>6</v>
      </c>
      <c r="K505" s="84">
        <v>895</v>
      </c>
      <c r="L505" s="81">
        <f t="shared" si="205"/>
        <v>1134.5020984499999</v>
      </c>
      <c r="M505" s="82">
        <f t="shared" si="210"/>
        <v>0</v>
      </c>
      <c r="N505" s="82">
        <f t="shared" si="211"/>
        <v>0</v>
      </c>
      <c r="O505" s="82">
        <f>N505+'BM 004'!O505</f>
        <v>0</v>
      </c>
      <c r="P505" s="80">
        <f t="shared" si="212"/>
        <v>5370</v>
      </c>
      <c r="Q505" s="82">
        <f t="shared" si="213"/>
        <v>6807.01</v>
      </c>
      <c r="R505" s="82">
        <f t="shared" si="214"/>
        <v>6807.01</v>
      </c>
    </row>
    <row r="506" spans="2:18" s="34" customFormat="1" ht="34.799999999999997">
      <c r="B506" s="75" t="s">
        <v>987</v>
      </c>
      <c r="C506" s="76" t="s">
        <v>988</v>
      </c>
      <c r="D506" s="77" t="s">
        <v>131</v>
      </c>
      <c r="E506" s="78">
        <v>20</v>
      </c>
      <c r="F506" s="79"/>
      <c r="G506" s="79"/>
      <c r="H506" s="79"/>
      <c r="I506" s="79">
        <f>SUM(G506:H506)+'BM 004'!I506</f>
        <v>0</v>
      </c>
      <c r="J506" s="79">
        <f t="shared" si="206"/>
        <v>20</v>
      </c>
      <c r="K506" s="84">
        <v>625</v>
      </c>
      <c r="L506" s="81">
        <f t="shared" si="205"/>
        <v>792.25006875000008</v>
      </c>
      <c r="M506" s="82">
        <f t="shared" si="210"/>
        <v>0</v>
      </c>
      <c r="N506" s="82">
        <f t="shared" si="211"/>
        <v>0</v>
      </c>
      <c r="O506" s="82">
        <f>N506+'BM 004'!O506</f>
        <v>0</v>
      </c>
      <c r="P506" s="80">
        <f t="shared" si="212"/>
        <v>12500</v>
      </c>
      <c r="Q506" s="82">
        <f t="shared" si="213"/>
        <v>15845</v>
      </c>
      <c r="R506" s="82">
        <f t="shared" si="214"/>
        <v>15845</v>
      </c>
    </row>
    <row r="507" spans="2:18" s="34" customFormat="1" ht="13.2">
      <c r="B507" s="60" t="s">
        <v>989</v>
      </c>
      <c r="C507" s="61" t="s">
        <v>990</v>
      </c>
      <c r="D507" s="60"/>
      <c r="E507" s="62"/>
      <c r="F507" s="63"/>
      <c r="G507" s="63"/>
      <c r="H507" s="63"/>
      <c r="I507" s="63">
        <f>SUM(G507:H507)+'BM 004'!I507</f>
        <v>0</v>
      </c>
      <c r="J507" s="63">
        <f t="shared" si="206"/>
        <v>0</v>
      </c>
      <c r="K507" s="63"/>
      <c r="L507" s="63">
        <f t="shared" si="205"/>
        <v>0</v>
      </c>
      <c r="M507" s="63">
        <f t="shared" ref="M507:R507" si="215">SUM(M508,M520,M552,M554)</f>
        <v>0</v>
      </c>
      <c r="N507" s="63">
        <f t="shared" si="215"/>
        <v>0</v>
      </c>
      <c r="O507" s="63">
        <f t="shared" si="215"/>
        <v>0</v>
      </c>
      <c r="P507" s="63">
        <f t="shared" si="215"/>
        <v>248226.55</v>
      </c>
      <c r="Q507" s="63">
        <f t="shared" si="215"/>
        <v>314651.83</v>
      </c>
      <c r="R507" s="63">
        <f t="shared" si="215"/>
        <v>314651.83</v>
      </c>
    </row>
    <row r="508" spans="2:18" s="34" customFormat="1" ht="13.2">
      <c r="B508" s="66" t="s">
        <v>991</v>
      </c>
      <c r="C508" s="67" t="s">
        <v>992</v>
      </c>
      <c r="D508" s="68"/>
      <c r="E508" s="69"/>
      <c r="F508" s="70"/>
      <c r="G508" s="70"/>
      <c r="H508" s="70"/>
      <c r="I508" s="70">
        <f>SUM(G508:H508)+'BM 004'!I508</f>
        <v>0</v>
      </c>
      <c r="J508" s="70">
        <f t="shared" si="206"/>
        <v>0</v>
      </c>
      <c r="K508" s="71"/>
      <c r="L508" s="71">
        <f t="shared" si="205"/>
        <v>0</v>
      </c>
      <c r="M508" s="73">
        <f t="shared" ref="M508:R508" si="216">SUM(M509:M519)</f>
        <v>0</v>
      </c>
      <c r="N508" s="73">
        <f t="shared" si="216"/>
        <v>0</v>
      </c>
      <c r="O508" s="73">
        <f t="shared" si="216"/>
        <v>0</v>
      </c>
      <c r="P508" s="73">
        <f t="shared" si="216"/>
        <v>96780</v>
      </c>
      <c r="Q508" s="73">
        <f t="shared" si="216"/>
        <v>122678.3</v>
      </c>
      <c r="R508" s="73">
        <f t="shared" si="216"/>
        <v>122678.3</v>
      </c>
    </row>
    <row r="509" spans="2:18" s="34" customFormat="1" ht="23.4">
      <c r="B509" s="75" t="s">
        <v>993</v>
      </c>
      <c r="C509" s="76" t="s">
        <v>994</v>
      </c>
      <c r="D509" s="77" t="s">
        <v>124</v>
      </c>
      <c r="E509" s="93">
        <v>300</v>
      </c>
      <c r="F509" s="79"/>
      <c r="G509" s="79"/>
      <c r="H509" s="79"/>
      <c r="I509" s="79">
        <f>SUM(G509:H509)+'BM 004'!I509</f>
        <v>0</v>
      </c>
      <c r="J509" s="79">
        <f t="shared" si="206"/>
        <v>300</v>
      </c>
      <c r="K509" s="84">
        <v>18</v>
      </c>
      <c r="L509" s="81">
        <f t="shared" si="205"/>
        <v>22.816801980000001</v>
      </c>
      <c r="M509" s="82">
        <f t="shared" ref="M509:M519" si="217">TRUNC(F509*L509,2)</f>
        <v>0</v>
      </c>
      <c r="N509" s="82">
        <f t="shared" ref="N509:N519" si="218">TRUNC(G509*L509,2)</f>
        <v>0</v>
      </c>
      <c r="O509" s="82">
        <f>N509+'BM 004'!O509</f>
        <v>0</v>
      </c>
      <c r="P509" s="80">
        <f t="shared" ref="P509:P519" si="219">E509*K509</f>
        <v>5400</v>
      </c>
      <c r="Q509" s="82">
        <f t="shared" ref="Q509:Q519" si="220">TRUNC(E509*L509,2)</f>
        <v>6845.04</v>
      </c>
      <c r="R509" s="82">
        <f t="shared" ref="R509:R519" si="221">Q509-O509</f>
        <v>6845.04</v>
      </c>
    </row>
    <row r="510" spans="2:18" s="34" customFormat="1" ht="34.799999999999997">
      <c r="B510" s="75" t="s">
        <v>995</v>
      </c>
      <c r="C510" s="76" t="s">
        <v>996</v>
      </c>
      <c r="D510" s="77" t="s">
        <v>390</v>
      </c>
      <c r="E510" s="93">
        <v>60</v>
      </c>
      <c r="F510" s="79"/>
      <c r="G510" s="79"/>
      <c r="H510" s="79"/>
      <c r="I510" s="79">
        <f>SUM(G510:H510)+'BM 004'!I510</f>
        <v>0</v>
      </c>
      <c r="J510" s="79">
        <f t="shared" si="206"/>
        <v>60</v>
      </c>
      <c r="K510" s="84">
        <v>39</v>
      </c>
      <c r="L510" s="81">
        <f t="shared" si="205"/>
        <v>49.436404289999999</v>
      </c>
      <c r="M510" s="82">
        <f t="shared" si="217"/>
        <v>0</v>
      </c>
      <c r="N510" s="82">
        <f t="shared" si="218"/>
        <v>0</v>
      </c>
      <c r="O510" s="82">
        <f>N510+'BM 004'!O510</f>
        <v>0</v>
      </c>
      <c r="P510" s="80">
        <f t="shared" si="219"/>
        <v>2340</v>
      </c>
      <c r="Q510" s="82">
        <f t="shared" si="220"/>
        <v>2966.18</v>
      </c>
      <c r="R510" s="82">
        <f t="shared" si="221"/>
        <v>2966.18</v>
      </c>
    </row>
    <row r="511" spans="2:18" s="34" customFormat="1" ht="13.2">
      <c r="B511" s="75" t="s">
        <v>997</v>
      </c>
      <c r="C511" s="76" t="s">
        <v>998</v>
      </c>
      <c r="D511" s="77" t="s">
        <v>390</v>
      </c>
      <c r="E511" s="93">
        <v>60</v>
      </c>
      <c r="F511" s="79"/>
      <c r="G511" s="79"/>
      <c r="H511" s="79"/>
      <c r="I511" s="79">
        <f>SUM(G511:H511)+'BM 004'!I511</f>
        <v>0</v>
      </c>
      <c r="J511" s="79">
        <f t="shared" si="206"/>
        <v>60</v>
      </c>
      <c r="K511" s="84">
        <v>18</v>
      </c>
      <c r="L511" s="81">
        <f t="shared" si="205"/>
        <v>22.816801980000001</v>
      </c>
      <c r="M511" s="82">
        <f t="shared" si="217"/>
        <v>0</v>
      </c>
      <c r="N511" s="82">
        <f t="shared" si="218"/>
        <v>0</v>
      </c>
      <c r="O511" s="82">
        <f>N511+'BM 004'!O511</f>
        <v>0</v>
      </c>
      <c r="P511" s="80">
        <f t="shared" si="219"/>
        <v>1080</v>
      </c>
      <c r="Q511" s="82">
        <f t="shared" si="220"/>
        <v>1369</v>
      </c>
      <c r="R511" s="82">
        <f t="shared" si="221"/>
        <v>1369</v>
      </c>
    </row>
    <row r="512" spans="2:18" s="34" customFormat="1" ht="46.2">
      <c r="B512" s="75" t="s">
        <v>999</v>
      </c>
      <c r="C512" s="76" t="s">
        <v>1000</v>
      </c>
      <c r="D512" s="77" t="s">
        <v>124</v>
      </c>
      <c r="E512" s="93">
        <v>210</v>
      </c>
      <c r="F512" s="79"/>
      <c r="G512" s="79"/>
      <c r="H512" s="79"/>
      <c r="I512" s="79">
        <f>SUM(G512:H512)+'BM 004'!I512</f>
        <v>0</v>
      </c>
      <c r="J512" s="79">
        <f t="shared" si="206"/>
        <v>210</v>
      </c>
      <c r="K512" s="84">
        <v>40</v>
      </c>
      <c r="L512" s="81">
        <f t="shared" si="205"/>
        <v>50.704004400000002</v>
      </c>
      <c r="M512" s="82">
        <f t="shared" si="217"/>
        <v>0</v>
      </c>
      <c r="N512" s="82">
        <f t="shared" si="218"/>
        <v>0</v>
      </c>
      <c r="O512" s="82">
        <f>N512+'BM 004'!O512</f>
        <v>0</v>
      </c>
      <c r="P512" s="80">
        <f t="shared" si="219"/>
        <v>8400</v>
      </c>
      <c r="Q512" s="82">
        <f t="shared" si="220"/>
        <v>10647.84</v>
      </c>
      <c r="R512" s="82">
        <f t="shared" si="221"/>
        <v>10647.84</v>
      </c>
    </row>
    <row r="513" spans="2:18" s="34" customFormat="1" ht="46.2">
      <c r="B513" s="75" t="s">
        <v>1001</v>
      </c>
      <c r="C513" s="76" t="s">
        <v>1002</v>
      </c>
      <c r="D513" s="77" t="s">
        <v>124</v>
      </c>
      <c r="E513" s="93">
        <v>120</v>
      </c>
      <c r="F513" s="79"/>
      <c r="G513" s="79"/>
      <c r="H513" s="79"/>
      <c r="I513" s="79">
        <f>SUM(G513:H513)+'BM 004'!I513</f>
        <v>0</v>
      </c>
      <c r="J513" s="79">
        <f t="shared" si="206"/>
        <v>120</v>
      </c>
      <c r="K513" s="84">
        <v>75</v>
      </c>
      <c r="L513" s="81">
        <f t="shared" si="205"/>
        <v>95.070008250000001</v>
      </c>
      <c r="M513" s="82">
        <f t="shared" si="217"/>
        <v>0</v>
      </c>
      <c r="N513" s="82">
        <f t="shared" si="218"/>
        <v>0</v>
      </c>
      <c r="O513" s="82">
        <f>N513+'BM 004'!O513</f>
        <v>0</v>
      </c>
      <c r="P513" s="80">
        <f t="shared" si="219"/>
        <v>9000</v>
      </c>
      <c r="Q513" s="82">
        <f t="shared" si="220"/>
        <v>11408.4</v>
      </c>
      <c r="R513" s="82">
        <f t="shared" si="221"/>
        <v>11408.4</v>
      </c>
    </row>
    <row r="514" spans="2:18" s="34" customFormat="1" ht="46.2">
      <c r="B514" s="75" t="s">
        <v>1003</v>
      </c>
      <c r="C514" s="76" t="s">
        <v>1004</v>
      </c>
      <c r="D514" s="77" t="s">
        <v>124</v>
      </c>
      <c r="E514" s="93">
        <v>36</v>
      </c>
      <c r="F514" s="79"/>
      <c r="G514" s="79"/>
      <c r="H514" s="79"/>
      <c r="I514" s="79">
        <f>SUM(G514:H514)+'BM 004'!I514</f>
        <v>0</v>
      </c>
      <c r="J514" s="79">
        <f t="shared" si="206"/>
        <v>36</v>
      </c>
      <c r="K514" s="84">
        <v>130</v>
      </c>
      <c r="L514" s="81">
        <f t="shared" si="205"/>
        <v>164.78801430000001</v>
      </c>
      <c r="M514" s="82">
        <f t="shared" si="217"/>
        <v>0</v>
      </c>
      <c r="N514" s="82">
        <f t="shared" si="218"/>
        <v>0</v>
      </c>
      <c r="O514" s="82">
        <f>N514+'BM 004'!O514</f>
        <v>0</v>
      </c>
      <c r="P514" s="80">
        <f t="shared" si="219"/>
        <v>4680</v>
      </c>
      <c r="Q514" s="82">
        <f t="shared" si="220"/>
        <v>5932.36</v>
      </c>
      <c r="R514" s="82">
        <f t="shared" si="221"/>
        <v>5932.36</v>
      </c>
    </row>
    <row r="515" spans="2:18" s="34" customFormat="1" ht="46.2">
      <c r="B515" s="75" t="s">
        <v>1005</v>
      </c>
      <c r="C515" s="76" t="s">
        <v>1006</v>
      </c>
      <c r="D515" s="77" t="s">
        <v>124</v>
      </c>
      <c r="E515" s="93">
        <v>36</v>
      </c>
      <c r="F515" s="79"/>
      <c r="G515" s="79"/>
      <c r="H515" s="79"/>
      <c r="I515" s="79">
        <f>SUM(G515:H515)+'BM 004'!I515</f>
        <v>0</v>
      </c>
      <c r="J515" s="79">
        <f t="shared" si="206"/>
        <v>36</v>
      </c>
      <c r="K515" s="84">
        <v>180</v>
      </c>
      <c r="L515" s="81">
        <f t="shared" si="205"/>
        <v>228.16801980000002</v>
      </c>
      <c r="M515" s="82">
        <f t="shared" si="217"/>
        <v>0</v>
      </c>
      <c r="N515" s="82">
        <f t="shared" si="218"/>
        <v>0</v>
      </c>
      <c r="O515" s="82">
        <f>N515+'BM 004'!O515</f>
        <v>0</v>
      </c>
      <c r="P515" s="80">
        <f t="shared" si="219"/>
        <v>6480</v>
      </c>
      <c r="Q515" s="82">
        <f t="shared" si="220"/>
        <v>8214.0400000000009</v>
      </c>
      <c r="R515" s="82">
        <f t="shared" si="221"/>
        <v>8214.0400000000009</v>
      </c>
    </row>
    <row r="516" spans="2:18" s="34" customFormat="1" ht="46.2">
      <c r="B516" s="75" t="s">
        <v>1007</v>
      </c>
      <c r="C516" s="76" t="s">
        <v>1008</v>
      </c>
      <c r="D516" s="77" t="s">
        <v>124</v>
      </c>
      <c r="E516" s="93">
        <v>120</v>
      </c>
      <c r="F516" s="79"/>
      <c r="G516" s="79"/>
      <c r="H516" s="79"/>
      <c r="I516" s="79">
        <f>SUM(G516:H516)+'BM 004'!I516</f>
        <v>0</v>
      </c>
      <c r="J516" s="79">
        <f t="shared" si="206"/>
        <v>120</v>
      </c>
      <c r="K516" s="84">
        <v>110</v>
      </c>
      <c r="L516" s="81">
        <f t="shared" si="205"/>
        <v>139.4360121</v>
      </c>
      <c r="M516" s="82">
        <f t="shared" si="217"/>
        <v>0</v>
      </c>
      <c r="N516" s="82">
        <f t="shared" si="218"/>
        <v>0</v>
      </c>
      <c r="O516" s="82">
        <f>N516+'BM 004'!O516</f>
        <v>0</v>
      </c>
      <c r="P516" s="80">
        <f t="shared" si="219"/>
        <v>13200</v>
      </c>
      <c r="Q516" s="82">
        <f t="shared" si="220"/>
        <v>16732.32</v>
      </c>
      <c r="R516" s="82">
        <f t="shared" si="221"/>
        <v>16732.32</v>
      </c>
    </row>
    <row r="517" spans="2:18" s="34" customFormat="1" ht="46.2">
      <c r="B517" s="75" t="s">
        <v>1009</v>
      </c>
      <c r="C517" s="76" t="s">
        <v>1010</v>
      </c>
      <c r="D517" s="77" t="s">
        <v>124</v>
      </c>
      <c r="E517" s="93">
        <v>120</v>
      </c>
      <c r="F517" s="79"/>
      <c r="G517" s="79"/>
      <c r="H517" s="79"/>
      <c r="I517" s="79">
        <f>SUM(G517:H517)+'BM 004'!I517</f>
        <v>0</v>
      </c>
      <c r="J517" s="79">
        <f t="shared" si="206"/>
        <v>120</v>
      </c>
      <c r="K517" s="84">
        <v>50</v>
      </c>
      <c r="L517" s="81">
        <f t="shared" si="205"/>
        <v>63.380005500000003</v>
      </c>
      <c r="M517" s="82">
        <f t="shared" si="217"/>
        <v>0</v>
      </c>
      <c r="N517" s="82">
        <f t="shared" si="218"/>
        <v>0</v>
      </c>
      <c r="O517" s="82">
        <f>N517+'BM 004'!O517</f>
        <v>0</v>
      </c>
      <c r="P517" s="80">
        <f t="shared" si="219"/>
        <v>6000</v>
      </c>
      <c r="Q517" s="82">
        <f t="shared" si="220"/>
        <v>7605.6</v>
      </c>
      <c r="R517" s="82">
        <f t="shared" si="221"/>
        <v>7605.6</v>
      </c>
    </row>
    <row r="518" spans="2:18" s="34" customFormat="1" ht="46.2">
      <c r="B518" s="75" t="s">
        <v>1011</v>
      </c>
      <c r="C518" s="76" t="s">
        <v>1012</v>
      </c>
      <c r="D518" s="77" t="s">
        <v>124</v>
      </c>
      <c r="E518" s="93">
        <v>120</v>
      </c>
      <c r="F518" s="79"/>
      <c r="G518" s="79"/>
      <c r="H518" s="79"/>
      <c r="I518" s="79">
        <f>SUM(G518:H518)+'BM 004'!I518</f>
        <v>0</v>
      </c>
      <c r="J518" s="79">
        <f t="shared" si="206"/>
        <v>120</v>
      </c>
      <c r="K518" s="84">
        <v>60</v>
      </c>
      <c r="L518" s="81">
        <f t="shared" si="205"/>
        <v>76.056006600000003</v>
      </c>
      <c r="M518" s="82">
        <f t="shared" si="217"/>
        <v>0</v>
      </c>
      <c r="N518" s="82">
        <f t="shared" si="218"/>
        <v>0</v>
      </c>
      <c r="O518" s="82">
        <f>N518+'BM 004'!O518</f>
        <v>0</v>
      </c>
      <c r="P518" s="80">
        <f t="shared" si="219"/>
        <v>7200</v>
      </c>
      <c r="Q518" s="82">
        <f t="shared" si="220"/>
        <v>9126.7199999999993</v>
      </c>
      <c r="R518" s="82">
        <f t="shared" si="221"/>
        <v>9126.7199999999993</v>
      </c>
    </row>
    <row r="519" spans="2:18" s="34" customFormat="1" ht="57.6">
      <c r="B519" s="75" t="s">
        <v>1013</v>
      </c>
      <c r="C519" s="76" t="s">
        <v>1014</v>
      </c>
      <c r="D519" s="77" t="s">
        <v>124</v>
      </c>
      <c r="E519" s="78">
        <v>300</v>
      </c>
      <c r="F519" s="79"/>
      <c r="G519" s="79"/>
      <c r="H519" s="79"/>
      <c r="I519" s="79">
        <f>SUM(G519:H519)+'BM 004'!I519</f>
        <v>0</v>
      </c>
      <c r="J519" s="79">
        <f t="shared" si="206"/>
        <v>300</v>
      </c>
      <c r="K519" s="84">
        <v>110</v>
      </c>
      <c r="L519" s="81">
        <f t="shared" si="205"/>
        <v>139.4360121</v>
      </c>
      <c r="M519" s="82">
        <f t="shared" si="217"/>
        <v>0</v>
      </c>
      <c r="N519" s="82">
        <f t="shared" si="218"/>
        <v>0</v>
      </c>
      <c r="O519" s="82">
        <f>N519+'BM 004'!O519</f>
        <v>0</v>
      </c>
      <c r="P519" s="80">
        <f t="shared" si="219"/>
        <v>33000</v>
      </c>
      <c r="Q519" s="82">
        <f t="shared" si="220"/>
        <v>41830.800000000003</v>
      </c>
      <c r="R519" s="82">
        <f t="shared" si="221"/>
        <v>41830.800000000003</v>
      </c>
    </row>
    <row r="520" spans="2:18" s="34" customFormat="1" ht="24">
      <c r="B520" s="66" t="s">
        <v>1015</v>
      </c>
      <c r="C520" s="67" t="s">
        <v>1016</v>
      </c>
      <c r="D520" s="68"/>
      <c r="E520" s="69"/>
      <c r="F520" s="70"/>
      <c r="G520" s="70"/>
      <c r="H520" s="70"/>
      <c r="I520" s="70">
        <f>SUM(G520:H520)+'BM 004'!I520</f>
        <v>0</v>
      </c>
      <c r="J520" s="70">
        <f t="shared" si="206"/>
        <v>0</v>
      </c>
      <c r="K520" s="71"/>
      <c r="L520" s="71">
        <f t="shared" si="205"/>
        <v>0</v>
      </c>
      <c r="M520" s="73">
        <f t="shared" ref="M520:R520" si="222">SUM(M521:M551)</f>
        <v>0</v>
      </c>
      <c r="N520" s="73">
        <f t="shared" si="222"/>
        <v>0</v>
      </c>
      <c r="O520" s="73">
        <f t="shared" si="222"/>
        <v>0</v>
      </c>
      <c r="P520" s="73">
        <f t="shared" si="222"/>
        <v>88676.55</v>
      </c>
      <c r="Q520" s="73">
        <f t="shared" si="222"/>
        <v>112406.29000000001</v>
      </c>
      <c r="R520" s="73">
        <f t="shared" si="222"/>
        <v>112406.29000000001</v>
      </c>
    </row>
    <row r="521" spans="2:18" s="34" customFormat="1" ht="46.2">
      <c r="B521" s="75" t="s">
        <v>1017</v>
      </c>
      <c r="C521" s="76" t="s">
        <v>1018</v>
      </c>
      <c r="D521" s="77" t="s">
        <v>39</v>
      </c>
      <c r="E521" s="78">
        <v>10</v>
      </c>
      <c r="F521" s="79"/>
      <c r="G521" s="79"/>
      <c r="H521" s="79"/>
      <c r="I521" s="79">
        <f>SUM(G521:H521)+'BM 004'!I521</f>
        <v>0</v>
      </c>
      <c r="J521" s="79">
        <f t="shared" si="206"/>
        <v>10</v>
      </c>
      <c r="K521" s="84">
        <v>198</v>
      </c>
      <c r="L521" s="81">
        <f t="shared" si="205"/>
        <v>250.98482178</v>
      </c>
      <c r="M521" s="82">
        <f t="shared" ref="M521:M551" si="223">TRUNC(F521*L521,2)</f>
        <v>0</v>
      </c>
      <c r="N521" s="82">
        <f t="shared" ref="N521:N551" si="224">TRUNC(G521*L521,2)</f>
        <v>0</v>
      </c>
      <c r="O521" s="82">
        <f>N521+'BM 004'!O521</f>
        <v>0</v>
      </c>
      <c r="P521" s="80">
        <f t="shared" ref="P521:P551" si="225">E521*K521</f>
        <v>1980</v>
      </c>
      <c r="Q521" s="82">
        <f t="shared" ref="Q521:Q551" si="226">TRUNC(E521*L521,2)</f>
        <v>2509.84</v>
      </c>
      <c r="R521" s="82">
        <f t="shared" ref="R521:R551" si="227">Q521-O521</f>
        <v>2509.84</v>
      </c>
    </row>
    <row r="522" spans="2:18" s="34" customFormat="1" ht="46.2">
      <c r="B522" s="75" t="s">
        <v>1019</v>
      </c>
      <c r="C522" s="76" t="s">
        <v>1020</v>
      </c>
      <c r="D522" s="77" t="s">
        <v>39</v>
      </c>
      <c r="E522" s="78">
        <v>173</v>
      </c>
      <c r="F522" s="79"/>
      <c r="G522" s="79"/>
      <c r="H522" s="79"/>
      <c r="I522" s="79">
        <f>SUM(G522:H522)+'BM 004'!I522</f>
        <v>0</v>
      </c>
      <c r="J522" s="79">
        <f t="shared" si="206"/>
        <v>173</v>
      </c>
      <c r="K522" s="84">
        <v>18</v>
      </c>
      <c r="L522" s="81">
        <f t="shared" si="205"/>
        <v>22.816801980000001</v>
      </c>
      <c r="M522" s="82">
        <f t="shared" si="223"/>
        <v>0</v>
      </c>
      <c r="N522" s="82">
        <f t="shared" si="224"/>
        <v>0</v>
      </c>
      <c r="O522" s="82">
        <f>N522+'BM 004'!O522</f>
        <v>0</v>
      </c>
      <c r="P522" s="80">
        <f t="shared" si="225"/>
        <v>3114</v>
      </c>
      <c r="Q522" s="82">
        <f t="shared" si="226"/>
        <v>3947.3</v>
      </c>
      <c r="R522" s="82">
        <f t="shared" si="227"/>
        <v>3947.3</v>
      </c>
    </row>
    <row r="523" spans="2:18" s="34" customFormat="1" ht="46.2">
      <c r="B523" s="75" t="s">
        <v>1021</v>
      </c>
      <c r="C523" s="76" t="s">
        <v>1022</v>
      </c>
      <c r="D523" s="77" t="s">
        <v>39</v>
      </c>
      <c r="E523" s="78">
        <v>7</v>
      </c>
      <c r="F523" s="79"/>
      <c r="G523" s="79"/>
      <c r="H523" s="79"/>
      <c r="I523" s="79">
        <f>SUM(G523:H523)+'BM 004'!I523</f>
        <v>0</v>
      </c>
      <c r="J523" s="79">
        <f t="shared" si="206"/>
        <v>7</v>
      </c>
      <c r="K523" s="84">
        <v>69</v>
      </c>
      <c r="L523" s="81">
        <f t="shared" si="205"/>
        <v>87.464407590000008</v>
      </c>
      <c r="M523" s="82">
        <f t="shared" si="223"/>
        <v>0</v>
      </c>
      <c r="N523" s="82">
        <f t="shared" si="224"/>
        <v>0</v>
      </c>
      <c r="O523" s="82">
        <f>N523+'BM 004'!O523</f>
        <v>0</v>
      </c>
      <c r="P523" s="80">
        <f t="shared" si="225"/>
        <v>483</v>
      </c>
      <c r="Q523" s="82">
        <f t="shared" si="226"/>
        <v>612.25</v>
      </c>
      <c r="R523" s="82">
        <f t="shared" si="227"/>
        <v>612.25</v>
      </c>
    </row>
    <row r="524" spans="2:18" s="34" customFormat="1" ht="46.2">
      <c r="B524" s="75" t="s">
        <v>1023</v>
      </c>
      <c r="C524" s="76" t="s">
        <v>1024</v>
      </c>
      <c r="D524" s="77" t="s">
        <v>39</v>
      </c>
      <c r="E524" s="78">
        <v>30</v>
      </c>
      <c r="F524" s="79"/>
      <c r="G524" s="79"/>
      <c r="H524" s="79"/>
      <c r="I524" s="79">
        <f>SUM(G524:H524)+'BM 004'!I524</f>
        <v>0</v>
      </c>
      <c r="J524" s="79">
        <f t="shared" si="206"/>
        <v>30</v>
      </c>
      <c r="K524" s="84">
        <v>94.65</v>
      </c>
      <c r="L524" s="81">
        <f t="shared" si="205"/>
        <v>119.97835041150002</v>
      </c>
      <c r="M524" s="82">
        <f t="shared" si="223"/>
        <v>0</v>
      </c>
      <c r="N524" s="82">
        <f t="shared" si="224"/>
        <v>0</v>
      </c>
      <c r="O524" s="82">
        <f>N524+'BM 004'!O524</f>
        <v>0</v>
      </c>
      <c r="P524" s="80">
        <f t="shared" si="225"/>
        <v>2839.5</v>
      </c>
      <c r="Q524" s="82">
        <f t="shared" si="226"/>
        <v>3599.35</v>
      </c>
      <c r="R524" s="82">
        <f t="shared" si="227"/>
        <v>3599.35</v>
      </c>
    </row>
    <row r="525" spans="2:18" s="34" customFormat="1" ht="46.2">
      <c r="B525" s="75" t="s">
        <v>1025</v>
      </c>
      <c r="C525" s="76" t="s">
        <v>1026</v>
      </c>
      <c r="D525" s="77" t="s">
        <v>39</v>
      </c>
      <c r="E525" s="78">
        <v>40</v>
      </c>
      <c r="F525" s="79"/>
      <c r="G525" s="79"/>
      <c r="H525" s="79"/>
      <c r="I525" s="79">
        <f>SUM(G525:H525)+'BM 004'!I525</f>
        <v>0</v>
      </c>
      <c r="J525" s="79">
        <f t="shared" si="206"/>
        <v>40</v>
      </c>
      <c r="K525" s="84">
        <v>60.11</v>
      </c>
      <c r="L525" s="81">
        <f t="shared" si="205"/>
        <v>76.19544261210001</v>
      </c>
      <c r="M525" s="82">
        <f t="shared" si="223"/>
        <v>0</v>
      </c>
      <c r="N525" s="82">
        <f t="shared" si="224"/>
        <v>0</v>
      </c>
      <c r="O525" s="82">
        <f>N525+'BM 004'!O525</f>
        <v>0</v>
      </c>
      <c r="P525" s="80">
        <f t="shared" si="225"/>
        <v>2404.4</v>
      </c>
      <c r="Q525" s="82">
        <f t="shared" si="226"/>
        <v>3047.81</v>
      </c>
      <c r="R525" s="82">
        <f t="shared" si="227"/>
        <v>3047.81</v>
      </c>
    </row>
    <row r="526" spans="2:18" s="34" customFormat="1" ht="46.2">
      <c r="B526" s="75" t="s">
        <v>1027</v>
      </c>
      <c r="C526" s="76" t="s">
        <v>1028</v>
      </c>
      <c r="D526" s="77" t="s">
        <v>39</v>
      </c>
      <c r="E526" s="78">
        <v>50</v>
      </c>
      <c r="F526" s="79"/>
      <c r="G526" s="79"/>
      <c r="H526" s="79"/>
      <c r="I526" s="79">
        <f>SUM(G526:H526)+'BM 004'!I526</f>
        <v>0</v>
      </c>
      <c r="J526" s="79">
        <f t="shared" si="206"/>
        <v>50</v>
      </c>
      <c r="K526" s="84">
        <v>36.9</v>
      </c>
      <c r="L526" s="81">
        <f t="shared" si="205"/>
        <v>46.774444058999997</v>
      </c>
      <c r="M526" s="82">
        <f t="shared" si="223"/>
        <v>0</v>
      </c>
      <c r="N526" s="82">
        <f t="shared" si="224"/>
        <v>0</v>
      </c>
      <c r="O526" s="82">
        <f>N526+'BM 004'!O526</f>
        <v>0</v>
      </c>
      <c r="P526" s="80">
        <f t="shared" si="225"/>
        <v>1845</v>
      </c>
      <c r="Q526" s="82">
        <f t="shared" si="226"/>
        <v>2338.7199999999998</v>
      </c>
      <c r="R526" s="82">
        <f t="shared" si="227"/>
        <v>2338.7199999999998</v>
      </c>
    </row>
    <row r="527" spans="2:18" s="34" customFormat="1" ht="46.2">
      <c r="B527" s="75" t="s">
        <v>1029</v>
      </c>
      <c r="C527" s="76" t="s">
        <v>1030</v>
      </c>
      <c r="D527" s="77" t="s">
        <v>39</v>
      </c>
      <c r="E527" s="78">
        <v>50</v>
      </c>
      <c r="F527" s="79"/>
      <c r="G527" s="79"/>
      <c r="H527" s="79"/>
      <c r="I527" s="79">
        <f>SUM(G527:H527)+'BM 004'!I527</f>
        <v>0</v>
      </c>
      <c r="J527" s="79">
        <f t="shared" si="206"/>
        <v>50</v>
      </c>
      <c r="K527" s="84">
        <v>42.56</v>
      </c>
      <c r="L527" s="81">
        <f t="shared" si="205"/>
        <v>53.949060681600002</v>
      </c>
      <c r="M527" s="82">
        <f t="shared" si="223"/>
        <v>0</v>
      </c>
      <c r="N527" s="82">
        <f t="shared" si="224"/>
        <v>0</v>
      </c>
      <c r="O527" s="82">
        <f>N527+'BM 004'!O527</f>
        <v>0</v>
      </c>
      <c r="P527" s="80">
        <f t="shared" si="225"/>
        <v>2128</v>
      </c>
      <c r="Q527" s="82">
        <f t="shared" si="226"/>
        <v>2697.45</v>
      </c>
      <c r="R527" s="82">
        <f t="shared" si="227"/>
        <v>2697.45</v>
      </c>
    </row>
    <row r="528" spans="2:18" s="34" customFormat="1" ht="34.799999999999997">
      <c r="B528" s="75" t="s">
        <v>1031</v>
      </c>
      <c r="C528" s="76" t="s">
        <v>1032</v>
      </c>
      <c r="D528" s="77" t="s">
        <v>39</v>
      </c>
      <c r="E528" s="78">
        <v>20</v>
      </c>
      <c r="F528" s="79"/>
      <c r="G528" s="79"/>
      <c r="H528" s="79"/>
      <c r="I528" s="79">
        <f>SUM(G528:H528)+'BM 004'!I528</f>
        <v>0</v>
      </c>
      <c r="J528" s="79">
        <f t="shared" si="206"/>
        <v>20</v>
      </c>
      <c r="K528" s="84">
        <v>78.33</v>
      </c>
      <c r="L528" s="81">
        <f t="shared" si="205"/>
        <v>99.291116616300002</v>
      </c>
      <c r="M528" s="82">
        <f t="shared" si="223"/>
        <v>0</v>
      </c>
      <c r="N528" s="82">
        <f t="shared" si="224"/>
        <v>0</v>
      </c>
      <c r="O528" s="82">
        <f>N528+'BM 004'!O528</f>
        <v>0</v>
      </c>
      <c r="P528" s="80">
        <f t="shared" si="225"/>
        <v>1566.6</v>
      </c>
      <c r="Q528" s="82">
        <f t="shared" si="226"/>
        <v>1985.82</v>
      </c>
      <c r="R528" s="82">
        <f t="shared" si="227"/>
        <v>1985.82</v>
      </c>
    </row>
    <row r="529" spans="2:18" s="34" customFormat="1" ht="34.799999999999997">
      <c r="B529" s="75" t="s">
        <v>1033</v>
      </c>
      <c r="C529" s="76" t="s">
        <v>1034</v>
      </c>
      <c r="D529" s="77" t="s">
        <v>39</v>
      </c>
      <c r="E529" s="78">
        <v>10</v>
      </c>
      <c r="F529" s="79"/>
      <c r="G529" s="79"/>
      <c r="H529" s="79"/>
      <c r="I529" s="79">
        <f>SUM(G529:H529)+'BM 004'!I529</f>
        <v>0</v>
      </c>
      <c r="J529" s="79">
        <f t="shared" si="206"/>
        <v>10</v>
      </c>
      <c r="K529" s="84">
        <v>95</v>
      </c>
      <c r="L529" s="81">
        <f t="shared" si="205"/>
        <v>120.42201045</v>
      </c>
      <c r="M529" s="82">
        <f t="shared" si="223"/>
        <v>0</v>
      </c>
      <c r="N529" s="82">
        <f t="shared" si="224"/>
        <v>0</v>
      </c>
      <c r="O529" s="82">
        <f>N529+'BM 004'!O529</f>
        <v>0</v>
      </c>
      <c r="P529" s="80">
        <f t="shared" si="225"/>
        <v>950</v>
      </c>
      <c r="Q529" s="82">
        <f t="shared" si="226"/>
        <v>1204.22</v>
      </c>
      <c r="R529" s="82">
        <f t="shared" si="227"/>
        <v>1204.22</v>
      </c>
    </row>
    <row r="530" spans="2:18" s="34" customFormat="1" ht="34.799999999999997">
      <c r="B530" s="75" t="s">
        <v>1035</v>
      </c>
      <c r="C530" s="76" t="s">
        <v>1036</v>
      </c>
      <c r="D530" s="77" t="s">
        <v>39</v>
      </c>
      <c r="E530" s="78">
        <v>10</v>
      </c>
      <c r="F530" s="79"/>
      <c r="G530" s="79"/>
      <c r="H530" s="79"/>
      <c r="I530" s="79">
        <f>SUM(G530:H530)+'BM 004'!I530</f>
        <v>0</v>
      </c>
      <c r="J530" s="79">
        <f t="shared" si="206"/>
        <v>10</v>
      </c>
      <c r="K530" s="84">
        <v>128</v>
      </c>
      <c r="L530" s="81">
        <f t="shared" si="205"/>
        <v>162.25281408000001</v>
      </c>
      <c r="M530" s="82">
        <f t="shared" si="223"/>
        <v>0</v>
      </c>
      <c r="N530" s="82">
        <f t="shared" si="224"/>
        <v>0</v>
      </c>
      <c r="O530" s="82">
        <f>N530+'BM 004'!O530</f>
        <v>0</v>
      </c>
      <c r="P530" s="80">
        <f t="shared" si="225"/>
        <v>1280</v>
      </c>
      <c r="Q530" s="82">
        <f t="shared" si="226"/>
        <v>1622.52</v>
      </c>
      <c r="R530" s="82">
        <f t="shared" si="227"/>
        <v>1622.52</v>
      </c>
    </row>
    <row r="531" spans="2:18" s="34" customFormat="1" ht="23.4">
      <c r="B531" s="75" t="s">
        <v>1037</v>
      </c>
      <c r="C531" s="76" t="s">
        <v>1038</v>
      </c>
      <c r="D531" s="77" t="s">
        <v>39</v>
      </c>
      <c r="E531" s="78">
        <v>173</v>
      </c>
      <c r="F531" s="79"/>
      <c r="G531" s="79"/>
      <c r="H531" s="79"/>
      <c r="I531" s="79">
        <f>SUM(G531:H531)+'BM 004'!I531</f>
        <v>0</v>
      </c>
      <c r="J531" s="79">
        <f t="shared" si="206"/>
        <v>173</v>
      </c>
      <c r="K531" s="84">
        <v>60</v>
      </c>
      <c r="L531" s="81">
        <f t="shared" si="205"/>
        <v>76.056006600000003</v>
      </c>
      <c r="M531" s="82">
        <f t="shared" si="223"/>
        <v>0</v>
      </c>
      <c r="N531" s="82">
        <f t="shared" si="224"/>
        <v>0</v>
      </c>
      <c r="O531" s="82">
        <f>N531+'BM 004'!O531</f>
        <v>0</v>
      </c>
      <c r="P531" s="80">
        <f t="shared" si="225"/>
        <v>10380</v>
      </c>
      <c r="Q531" s="82">
        <f t="shared" si="226"/>
        <v>13157.68</v>
      </c>
      <c r="R531" s="82">
        <f t="shared" si="227"/>
        <v>13157.68</v>
      </c>
    </row>
    <row r="532" spans="2:18" s="34" customFormat="1" ht="46.2">
      <c r="B532" s="75" t="s">
        <v>1039</v>
      </c>
      <c r="C532" s="76" t="s">
        <v>1040</v>
      </c>
      <c r="D532" s="77" t="s">
        <v>39</v>
      </c>
      <c r="E532" s="78">
        <v>20</v>
      </c>
      <c r="F532" s="79"/>
      <c r="G532" s="79"/>
      <c r="H532" s="79"/>
      <c r="I532" s="79">
        <f>SUM(G532:H532)+'BM 004'!I532</f>
        <v>0</v>
      </c>
      <c r="J532" s="79">
        <f t="shared" si="206"/>
        <v>20</v>
      </c>
      <c r="K532" s="84">
        <v>85</v>
      </c>
      <c r="L532" s="81">
        <f t="shared" si="205"/>
        <v>107.74600935000001</v>
      </c>
      <c r="M532" s="82">
        <f t="shared" si="223"/>
        <v>0</v>
      </c>
      <c r="N532" s="82">
        <f t="shared" si="224"/>
        <v>0</v>
      </c>
      <c r="O532" s="82">
        <f>N532+'BM 004'!O532</f>
        <v>0</v>
      </c>
      <c r="P532" s="80">
        <f t="shared" si="225"/>
        <v>1700</v>
      </c>
      <c r="Q532" s="82">
        <f t="shared" si="226"/>
        <v>2154.92</v>
      </c>
      <c r="R532" s="82">
        <f t="shared" si="227"/>
        <v>2154.92</v>
      </c>
    </row>
    <row r="533" spans="2:18" s="34" customFormat="1" ht="46.2">
      <c r="B533" s="75" t="s">
        <v>1041</v>
      </c>
      <c r="C533" s="76" t="s">
        <v>1042</v>
      </c>
      <c r="D533" s="77" t="s">
        <v>39</v>
      </c>
      <c r="E533" s="78">
        <v>6</v>
      </c>
      <c r="F533" s="79"/>
      <c r="G533" s="79"/>
      <c r="H533" s="79"/>
      <c r="I533" s="79">
        <f>SUM(G533:H533)+'BM 004'!I533</f>
        <v>0</v>
      </c>
      <c r="J533" s="79">
        <f t="shared" si="206"/>
        <v>6</v>
      </c>
      <c r="K533" s="84">
        <v>285</v>
      </c>
      <c r="L533" s="81">
        <f t="shared" si="205"/>
        <v>361.26603134999999</v>
      </c>
      <c r="M533" s="82">
        <f t="shared" si="223"/>
        <v>0</v>
      </c>
      <c r="N533" s="82">
        <f t="shared" si="224"/>
        <v>0</v>
      </c>
      <c r="O533" s="82">
        <f>N533+'BM 004'!O533</f>
        <v>0</v>
      </c>
      <c r="P533" s="80">
        <f t="shared" si="225"/>
        <v>1710</v>
      </c>
      <c r="Q533" s="82">
        <f t="shared" si="226"/>
        <v>2167.59</v>
      </c>
      <c r="R533" s="82">
        <f t="shared" si="227"/>
        <v>2167.59</v>
      </c>
    </row>
    <row r="534" spans="2:18" s="34" customFormat="1" ht="34.799999999999997">
      <c r="B534" s="75" t="s">
        <v>1043</v>
      </c>
      <c r="C534" s="76" t="s">
        <v>1044</v>
      </c>
      <c r="D534" s="77" t="s">
        <v>39</v>
      </c>
      <c r="E534" s="78">
        <v>20</v>
      </c>
      <c r="F534" s="79"/>
      <c r="G534" s="79"/>
      <c r="H534" s="79"/>
      <c r="I534" s="79">
        <f>SUM(G534:H534)+'BM 004'!I534</f>
        <v>0</v>
      </c>
      <c r="J534" s="79">
        <f t="shared" si="206"/>
        <v>20</v>
      </c>
      <c r="K534" s="84">
        <v>38</v>
      </c>
      <c r="L534" s="81">
        <f t="shared" si="205"/>
        <v>48.168804180000002</v>
      </c>
      <c r="M534" s="82">
        <f t="shared" si="223"/>
        <v>0</v>
      </c>
      <c r="N534" s="82">
        <f t="shared" si="224"/>
        <v>0</v>
      </c>
      <c r="O534" s="82">
        <f>N534+'BM 004'!O534</f>
        <v>0</v>
      </c>
      <c r="P534" s="80">
        <f t="shared" si="225"/>
        <v>760</v>
      </c>
      <c r="Q534" s="82">
        <f t="shared" si="226"/>
        <v>963.37</v>
      </c>
      <c r="R534" s="82">
        <f t="shared" si="227"/>
        <v>963.37</v>
      </c>
    </row>
    <row r="535" spans="2:18" s="34" customFormat="1" ht="34.799999999999997">
      <c r="B535" s="75" t="s">
        <v>1045</v>
      </c>
      <c r="C535" s="76" t="s">
        <v>1046</v>
      </c>
      <c r="D535" s="77" t="s">
        <v>39</v>
      </c>
      <c r="E535" s="78">
        <v>10</v>
      </c>
      <c r="F535" s="79"/>
      <c r="G535" s="79"/>
      <c r="H535" s="79"/>
      <c r="I535" s="79">
        <f>SUM(G535:H535)+'BM 004'!I535</f>
        <v>0</v>
      </c>
      <c r="J535" s="79">
        <f t="shared" si="206"/>
        <v>10</v>
      </c>
      <c r="K535" s="84">
        <v>118</v>
      </c>
      <c r="L535" s="81">
        <f t="shared" si="205"/>
        <v>149.57681298</v>
      </c>
      <c r="M535" s="82">
        <f t="shared" si="223"/>
        <v>0</v>
      </c>
      <c r="N535" s="82">
        <f t="shared" si="224"/>
        <v>0</v>
      </c>
      <c r="O535" s="82">
        <f>N535+'BM 004'!O535</f>
        <v>0</v>
      </c>
      <c r="P535" s="80">
        <f t="shared" si="225"/>
        <v>1180</v>
      </c>
      <c r="Q535" s="82">
        <f t="shared" si="226"/>
        <v>1495.76</v>
      </c>
      <c r="R535" s="82">
        <f t="shared" si="227"/>
        <v>1495.76</v>
      </c>
    </row>
    <row r="536" spans="2:18" s="34" customFormat="1" ht="23.4">
      <c r="B536" s="75" t="s">
        <v>1047</v>
      </c>
      <c r="C536" s="76" t="s">
        <v>1048</v>
      </c>
      <c r="D536" s="77" t="s">
        <v>39</v>
      </c>
      <c r="E536" s="78">
        <v>10</v>
      </c>
      <c r="F536" s="79"/>
      <c r="G536" s="79"/>
      <c r="H536" s="79"/>
      <c r="I536" s="79">
        <f>SUM(G536:H536)+'BM 004'!I536</f>
        <v>0</v>
      </c>
      <c r="J536" s="79">
        <f t="shared" si="206"/>
        <v>10</v>
      </c>
      <c r="K536" s="84">
        <v>88.39</v>
      </c>
      <c r="L536" s="81">
        <f t="shared" si="205"/>
        <v>112.04317372290001</v>
      </c>
      <c r="M536" s="82">
        <f t="shared" si="223"/>
        <v>0</v>
      </c>
      <c r="N536" s="82">
        <f t="shared" si="224"/>
        <v>0</v>
      </c>
      <c r="O536" s="82">
        <f>N536+'BM 004'!O536</f>
        <v>0</v>
      </c>
      <c r="P536" s="80">
        <f t="shared" si="225"/>
        <v>883.9</v>
      </c>
      <c r="Q536" s="82">
        <f t="shared" si="226"/>
        <v>1120.43</v>
      </c>
      <c r="R536" s="82">
        <f t="shared" si="227"/>
        <v>1120.43</v>
      </c>
    </row>
    <row r="537" spans="2:18" s="34" customFormat="1" ht="23.4">
      <c r="B537" s="75" t="s">
        <v>1049</v>
      </c>
      <c r="C537" s="76" t="s">
        <v>1050</v>
      </c>
      <c r="D537" s="77" t="s">
        <v>39</v>
      </c>
      <c r="E537" s="78">
        <v>20</v>
      </c>
      <c r="F537" s="79"/>
      <c r="G537" s="79"/>
      <c r="H537" s="79"/>
      <c r="I537" s="79">
        <f>SUM(G537:H537)+'BM 004'!I537</f>
        <v>0</v>
      </c>
      <c r="J537" s="79">
        <f t="shared" si="206"/>
        <v>20</v>
      </c>
      <c r="K537" s="84">
        <v>45.21</v>
      </c>
      <c r="L537" s="81">
        <f t="shared" si="205"/>
        <v>57.308200973100007</v>
      </c>
      <c r="M537" s="82">
        <f t="shared" si="223"/>
        <v>0</v>
      </c>
      <c r="N537" s="82">
        <f t="shared" si="224"/>
        <v>0</v>
      </c>
      <c r="O537" s="82">
        <f>N537+'BM 004'!O537</f>
        <v>0</v>
      </c>
      <c r="P537" s="80">
        <f t="shared" si="225"/>
        <v>904.2</v>
      </c>
      <c r="Q537" s="82">
        <f t="shared" si="226"/>
        <v>1146.1600000000001</v>
      </c>
      <c r="R537" s="82">
        <f t="shared" si="227"/>
        <v>1146.1600000000001</v>
      </c>
    </row>
    <row r="538" spans="2:18" s="34" customFormat="1" ht="23.4">
      <c r="B538" s="75" t="s">
        <v>1051</v>
      </c>
      <c r="C538" s="76" t="s">
        <v>1052</v>
      </c>
      <c r="D538" s="77" t="s">
        <v>39</v>
      </c>
      <c r="E538" s="78">
        <v>10</v>
      </c>
      <c r="F538" s="79"/>
      <c r="G538" s="79"/>
      <c r="H538" s="79"/>
      <c r="I538" s="79">
        <f>SUM(G538:H538)+'BM 004'!I538</f>
        <v>0</v>
      </c>
      <c r="J538" s="79">
        <f t="shared" si="206"/>
        <v>10</v>
      </c>
      <c r="K538" s="84">
        <v>65.290000000000006</v>
      </c>
      <c r="L538" s="81">
        <f t="shared" si="205"/>
        <v>82.761611181900008</v>
      </c>
      <c r="M538" s="82">
        <f t="shared" si="223"/>
        <v>0</v>
      </c>
      <c r="N538" s="82">
        <f t="shared" si="224"/>
        <v>0</v>
      </c>
      <c r="O538" s="82">
        <f>N538+'BM 004'!O538</f>
        <v>0</v>
      </c>
      <c r="P538" s="80">
        <f t="shared" si="225"/>
        <v>652.90000000000009</v>
      </c>
      <c r="Q538" s="82">
        <f t="shared" si="226"/>
        <v>827.61</v>
      </c>
      <c r="R538" s="82">
        <f t="shared" si="227"/>
        <v>827.61</v>
      </c>
    </row>
    <row r="539" spans="2:18" s="34" customFormat="1" ht="46.2">
      <c r="B539" s="75" t="s">
        <v>1053</v>
      </c>
      <c r="C539" s="76" t="s">
        <v>1054</v>
      </c>
      <c r="D539" s="77" t="s">
        <v>39</v>
      </c>
      <c r="E539" s="78">
        <v>30</v>
      </c>
      <c r="F539" s="79"/>
      <c r="G539" s="79"/>
      <c r="H539" s="79"/>
      <c r="I539" s="79">
        <f>SUM(G539:H539)+'BM 004'!I539</f>
        <v>0</v>
      </c>
      <c r="J539" s="79">
        <f t="shared" si="206"/>
        <v>30</v>
      </c>
      <c r="K539" s="84">
        <v>80</v>
      </c>
      <c r="L539" s="81">
        <f t="shared" si="205"/>
        <v>101.4080088</v>
      </c>
      <c r="M539" s="82">
        <f t="shared" si="223"/>
        <v>0</v>
      </c>
      <c r="N539" s="82">
        <f t="shared" si="224"/>
        <v>0</v>
      </c>
      <c r="O539" s="82">
        <f>N539+'BM 004'!O539</f>
        <v>0</v>
      </c>
      <c r="P539" s="80">
        <f t="shared" si="225"/>
        <v>2400</v>
      </c>
      <c r="Q539" s="82">
        <f t="shared" si="226"/>
        <v>3042.24</v>
      </c>
      <c r="R539" s="82">
        <f t="shared" si="227"/>
        <v>3042.24</v>
      </c>
    </row>
    <row r="540" spans="2:18" s="34" customFormat="1" ht="34.799999999999997">
      <c r="B540" s="75" t="s">
        <v>1055</v>
      </c>
      <c r="C540" s="76" t="s">
        <v>1056</v>
      </c>
      <c r="D540" s="77" t="s">
        <v>39</v>
      </c>
      <c r="E540" s="78">
        <v>50</v>
      </c>
      <c r="F540" s="79"/>
      <c r="G540" s="79"/>
      <c r="H540" s="79"/>
      <c r="I540" s="79">
        <f>SUM(G540:H540)+'BM 004'!I540</f>
        <v>0</v>
      </c>
      <c r="J540" s="79">
        <f t="shared" si="206"/>
        <v>50</v>
      </c>
      <c r="K540" s="84">
        <v>120</v>
      </c>
      <c r="L540" s="81">
        <f t="shared" si="205"/>
        <v>152.11201320000001</v>
      </c>
      <c r="M540" s="82">
        <f t="shared" si="223"/>
        <v>0</v>
      </c>
      <c r="N540" s="82">
        <f t="shared" si="224"/>
        <v>0</v>
      </c>
      <c r="O540" s="82">
        <f>N540+'BM 004'!O540</f>
        <v>0</v>
      </c>
      <c r="P540" s="80">
        <f t="shared" si="225"/>
        <v>6000</v>
      </c>
      <c r="Q540" s="82">
        <f t="shared" si="226"/>
        <v>7605.6</v>
      </c>
      <c r="R540" s="82">
        <f t="shared" si="227"/>
        <v>7605.6</v>
      </c>
    </row>
    <row r="541" spans="2:18" s="34" customFormat="1" ht="34.799999999999997">
      <c r="B541" s="75" t="s">
        <v>1057</v>
      </c>
      <c r="C541" s="76" t="s">
        <v>1058</v>
      </c>
      <c r="D541" s="77" t="s">
        <v>39</v>
      </c>
      <c r="E541" s="78">
        <v>10</v>
      </c>
      <c r="F541" s="79"/>
      <c r="G541" s="79"/>
      <c r="H541" s="79"/>
      <c r="I541" s="79">
        <f>SUM(G541:H541)+'BM 004'!I541</f>
        <v>0</v>
      </c>
      <c r="J541" s="79">
        <f t="shared" si="206"/>
        <v>10</v>
      </c>
      <c r="K541" s="84">
        <v>137.9</v>
      </c>
      <c r="L541" s="81">
        <f t="shared" ref="L541:L590" si="228">K541*(1+$T$26)</f>
        <v>174.80205516900003</v>
      </c>
      <c r="M541" s="82">
        <f t="shared" si="223"/>
        <v>0</v>
      </c>
      <c r="N541" s="82">
        <f t="shared" si="224"/>
        <v>0</v>
      </c>
      <c r="O541" s="82">
        <f>N541+'BM 004'!O541</f>
        <v>0</v>
      </c>
      <c r="P541" s="80">
        <f t="shared" si="225"/>
        <v>1379</v>
      </c>
      <c r="Q541" s="82">
        <f t="shared" si="226"/>
        <v>1748.02</v>
      </c>
      <c r="R541" s="82">
        <f t="shared" si="227"/>
        <v>1748.02</v>
      </c>
    </row>
    <row r="542" spans="2:18" s="34" customFormat="1" ht="23.4">
      <c r="B542" s="75" t="s">
        <v>1059</v>
      </c>
      <c r="C542" s="76" t="s">
        <v>1060</v>
      </c>
      <c r="D542" s="77" t="s">
        <v>39</v>
      </c>
      <c r="E542" s="78">
        <v>20</v>
      </c>
      <c r="F542" s="79"/>
      <c r="G542" s="79"/>
      <c r="H542" s="79"/>
      <c r="I542" s="79">
        <f>SUM(G542:H542)+'BM 004'!I542</f>
        <v>0</v>
      </c>
      <c r="J542" s="79">
        <f t="shared" si="206"/>
        <v>20</v>
      </c>
      <c r="K542" s="84">
        <v>69</v>
      </c>
      <c r="L542" s="81">
        <f t="shared" si="228"/>
        <v>87.464407590000008</v>
      </c>
      <c r="M542" s="82">
        <f t="shared" si="223"/>
        <v>0</v>
      </c>
      <c r="N542" s="82">
        <f t="shared" si="224"/>
        <v>0</v>
      </c>
      <c r="O542" s="82">
        <f>N542+'BM 004'!O542</f>
        <v>0</v>
      </c>
      <c r="P542" s="80">
        <f t="shared" si="225"/>
        <v>1380</v>
      </c>
      <c r="Q542" s="82">
        <f t="shared" si="226"/>
        <v>1749.28</v>
      </c>
      <c r="R542" s="82">
        <f t="shared" si="227"/>
        <v>1749.28</v>
      </c>
    </row>
    <row r="543" spans="2:18" s="34" customFormat="1" ht="46.2">
      <c r="B543" s="75" t="s">
        <v>1061</v>
      </c>
      <c r="C543" s="76" t="s">
        <v>1062</v>
      </c>
      <c r="D543" s="77" t="s">
        <v>39</v>
      </c>
      <c r="E543" s="78">
        <v>10</v>
      </c>
      <c r="F543" s="79"/>
      <c r="G543" s="79"/>
      <c r="H543" s="79"/>
      <c r="I543" s="79">
        <f>SUM(G543:H543)+'BM 004'!I543</f>
        <v>0</v>
      </c>
      <c r="J543" s="79">
        <f t="shared" ref="J543:J590" si="229">E543-I543</f>
        <v>10</v>
      </c>
      <c r="K543" s="84">
        <v>180</v>
      </c>
      <c r="L543" s="81">
        <f t="shared" si="228"/>
        <v>228.16801980000002</v>
      </c>
      <c r="M543" s="82">
        <f t="shared" si="223"/>
        <v>0</v>
      </c>
      <c r="N543" s="82">
        <f t="shared" si="224"/>
        <v>0</v>
      </c>
      <c r="O543" s="82">
        <f>N543+'BM 004'!O543</f>
        <v>0</v>
      </c>
      <c r="P543" s="80">
        <f t="shared" si="225"/>
        <v>1800</v>
      </c>
      <c r="Q543" s="82">
        <f t="shared" si="226"/>
        <v>2281.6799999999998</v>
      </c>
      <c r="R543" s="82">
        <f t="shared" si="227"/>
        <v>2281.6799999999998</v>
      </c>
    </row>
    <row r="544" spans="2:18" s="34" customFormat="1" ht="69">
      <c r="B544" s="75" t="s">
        <v>1063</v>
      </c>
      <c r="C544" s="76" t="s">
        <v>1064</v>
      </c>
      <c r="D544" s="77" t="s">
        <v>39</v>
      </c>
      <c r="E544" s="78">
        <v>1</v>
      </c>
      <c r="F544" s="79"/>
      <c r="G544" s="79"/>
      <c r="H544" s="79"/>
      <c r="I544" s="79">
        <f>SUM(G544:H544)+'BM 004'!I544</f>
        <v>0</v>
      </c>
      <c r="J544" s="79">
        <f t="shared" si="229"/>
        <v>1</v>
      </c>
      <c r="K544" s="84">
        <v>320</v>
      </c>
      <c r="L544" s="81">
        <f t="shared" si="228"/>
        <v>405.63203520000002</v>
      </c>
      <c r="M544" s="82">
        <f t="shared" si="223"/>
        <v>0</v>
      </c>
      <c r="N544" s="82">
        <f t="shared" si="224"/>
        <v>0</v>
      </c>
      <c r="O544" s="82">
        <f>N544+'BM 004'!O544</f>
        <v>0</v>
      </c>
      <c r="P544" s="80">
        <f t="shared" si="225"/>
        <v>320</v>
      </c>
      <c r="Q544" s="82">
        <f t="shared" si="226"/>
        <v>405.63</v>
      </c>
      <c r="R544" s="82">
        <f t="shared" si="227"/>
        <v>405.63</v>
      </c>
    </row>
    <row r="545" spans="2:18" s="34" customFormat="1" ht="57.6">
      <c r="B545" s="75" t="s">
        <v>1065</v>
      </c>
      <c r="C545" s="76" t="s">
        <v>1066</v>
      </c>
      <c r="D545" s="77" t="s">
        <v>39</v>
      </c>
      <c r="E545" s="78">
        <v>1</v>
      </c>
      <c r="F545" s="79"/>
      <c r="G545" s="79"/>
      <c r="H545" s="79"/>
      <c r="I545" s="79">
        <f>SUM(G545:H545)+'BM 004'!I545</f>
        <v>0</v>
      </c>
      <c r="J545" s="79">
        <f t="shared" si="229"/>
        <v>1</v>
      </c>
      <c r="K545" s="84">
        <v>800</v>
      </c>
      <c r="L545" s="81">
        <f t="shared" si="228"/>
        <v>1014.080088</v>
      </c>
      <c r="M545" s="82">
        <f t="shared" si="223"/>
        <v>0</v>
      </c>
      <c r="N545" s="82">
        <f t="shared" si="224"/>
        <v>0</v>
      </c>
      <c r="O545" s="82">
        <f>N545+'BM 004'!O545</f>
        <v>0</v>
      </c>
      <c r="P545" s="80">
        <f t="shared" si="225"/>
        <v>800</v>
      </c>
      <c r="Q545" s="82">
        <f t="shared" si="226"/>
        <v>1014.08</v>
      </c>
      <c r="R545" s="82">
        <f t="shared" si="227"/>
        <v>1014.08</v>
      </c>
    </row>
    <row r="546" spans="2:18" s="34" customFormat="1" ht="23.4">
      <c r="B546" s="75" t="s">
        <v>1067</v>
      </c>
      <c r="C546" s="76" t="s">
        <v>1068</v>
      </c>
      <c r="D546" s="77" t="s">
        <v>39</v>
      </c>
      <c r="E546" s="78">
        <v>2</v>
      </c>
      <c r="F546" s="79"/>
      <c r="G546" s="79"/>
      <c r="H546" s="79"/>
      <c r="I546" s="79">
        <f>SUM(G546:H546)+'BM 004'!I546</f>
        <v>0</v>
      </c>
      <c r="J546" s="79">
        <f t="shared" si="229"/>
        <v>2</v>
      </c>
      <c r="K546" s="84">
        <v>605.34</v>
      </c>
      <c r="L546" s="81">
        <f t="shared" si="228"/>
        <v>767.32905058740005</v>
      </c>
      <c r="M546" s="82">
        <f t="shared" si="223"/>
        <v>0</v>
      </c>
      <c r="N546" s="82">
        <f t="shared" si="224"/>
        <v>0</v>
      </c>
      <c r="O546" s="82">
        <f>N546+'BM 004'!O546</f>
        <v>0</v>
      </c>
      <c r="P546" s="80">
        <f t="shared" si="225"/>
        <v>1210.68</v>
      </c>
      <c r="Q546" s="82">
        <f t="shared" si="226"/>
        <v>1534.65</v>
      </c>
      <c r="R546" s="82">
        <f t="shared" si="227"/>
        <v>1534.65</v>
      </c>
    </row>
    <row r="547" spans="2:18" s="34" customFormat="1" ht="23.4">
      <c r="B547" s="75" t="s">
        <v>1069</v>
      </c>
      <c r="C547" s="76" t="s">
        <v>1070</v>
      </c>
      <c r="D547" s="77" t="s">
        <v>39</v>
      </c>
      <c r="E547" s="78">
        <v>3</v>
      </c>
      <c r="F547" s="79"/>
      <c r="G547" s="79"/>
      <c r="H547" s="79"/>
      <c r="I547" s="79">
        <f>SUM(G547:H547)+'BM 004'!I547</f>
        <v>0</v>
      </c>
      <c r="J547" s="79">
        <f t="shared" si="229"/>
        <v>3</v>
      </c>
      <c r="K547" s="84">
        <v>311.79000000000002</v>
      </c>
      <c r="L547" s="81">
        <f t="shared" si="228"/>
        <v>395.22503829690004</v>
      </c>
      <c r="M547" s="82">
        <f t="shared" si="223"/>
        <v>0</v>
      </c>
      <c r="N547" s="82">
        <f t="shared" si="224"/>
        <v>0</v>
      </c>
      <c r="O547" s="82">
        <f>N547+'BM 004'!O547</f>
        <v>0</v>
      </c>
      <c r="P547" s="80">
        <f t="shared" si="225"/>
        <v>935.37000000000012</v>
      </c>
      <c r="Q547" s="82">
        <f t="shared" si="226"/>
        <v>1185.67</v>
      </c>
      <c r="R547" s="82">
        <f t="shared" si="227"/>
        <v>1185.67</v>
      </c>
    </row>
    <row r="548" spans="2:18" s="34" customFormat="1" ht="23.4">
      <c r="B548" s="75" t="s">
        <v>1071</v>
      </c>
      <c r="C548" s="76" t="s">
        <v>1072</v>
      </c>
      <c r="D548" s="77" t="s">
        <v>39</v>
      </c>
      <c r="E548" s="78">
        <v>2</v>
      </c>
      <c r="F548" s="79"/>
      <c r="G548" s="79"/>
      <c r="H548" s="79"/>
      <c r="I548" s="79">
        <f>SUM(G548:H548)+'BM 004'!I548</f>
        <v>0</v>
      </c>
      <c r="J548" s="79">
        <f t="shared" si="229"/>
        <v>2</v>
      </c>
      <c r="K548" s="84">
        <v>195</v>
      </c>
      <c r="L548" s="81">
        <f t="shared" si="228"/>
        <v>247.18202145000001</v>
      </c>
      <c r="M548" s="82">
        <f t="shared" si="223"/>
        <v>0</v>
      </c>
      <c r="N548" s="82">
        <f t="shared" si="224"/>
        <v>0</v>
      </c>
      <c r="O548" s="82">
        <f>N548+'BM 004'!O548</f>
        <v>0</v>
      </c>
      <c r="P548" s="80">
        <f t="shared" si="225"/>
        <v>390</v>
      </c>
      <c r="Q548" s="82">
        <f t="shared" si="226"/>
        <v>494.36</v>
      </c>
      <c r="R548" s="82">
        <f t="shared" si="227"/>
        <v>494.36</v>
      </c>
    </row>
    <row r="549" spans="2:18" s="34" customFormat="1" ht="46.2">
      <c r="B549" s="75" t="s">
        <v>1073</v>
      </c>
      <c r="C549" s="76" t="s">
        <v>1074</v>
      </c>
      <c r="D549" s="77" t="s">
        <v>39</v>
      </c>
      <c r="E549" s="78">
        <v>1</v>
      </c>
      <c r="F549" s="79"/>
      <c r="G549" s="79"/>
      <c r="H549" s="79"/>
      <c r="I549" s="79">
        <f>SUM(G549:H549)+'BM 004'!I549</f>
        <v>0</v>
      </c>
      <c r="J549" s="79">
        <f t="shared" si="229"/>
        <v>1</v>
      </c>
      <c r="K549" s="84">
        <v>1400</v>
      </c>
      <c r="L549" s="81">
        <f t="shared" si="228"/>
        <v>1774.6401540000002</v>
      </c>
      <c r="M549" s="82">
        <f t="shared" si="223"/>
        <v>0</v>
      </c>
      <c r="N549" s="82">
        <f t="shared" si="224"/>
        <v>0</v>
      </c>
      <c r="O549" s="82">
        <f>N549+'BM 004'!O549</f>
        <v>0</v>
      </c>
      <c r="P549" s="80">
        <f t="shared" si="225"/>
        <v>1400</v>
      </c>
      <c r="Q549" s="82">
        <f t="shared" si="226"/>
        <v>1774.64</v>
      </c>
      <c r="R549" s="82">
        <f t="shared" si="227"/>
        <v>1774.64</v>
      </c>
    </row>
    <row r="550" spans="2:18" s="34" customFormat="1" ht="46.2">
      <c r="B550" s="75" t="s">
        <v>1075</v>
      </c>
      <c r="C550" s="76" t="s">
        <v>1076</v>
      </c>
      <c r="D550" s="77" t="s">
        <v>39</v>
      </c>
      <c r="E550" s="78">
        <v>16</v>
      </c>
      <c r="F550" s="79"/>
      <c r="G550" s="79"/>
      <c r="H550" s="79"/>
      <c r="I550" s="79">
        <f>SUM(G550:H550)+'BM 004'!I550</f>
        <v>0</v>
      </c>
      <c r="J550" s="79">
        <f t="shared" si="229"/>
        <v>16</v>
      </c>
      <c r="K550" s="84">
        <v>1900</v>
      </c>
      <c r="L550" s="81">
        <f t="shared" si="228"/>
        <v>2408.4402090000003</v>
      </c>
      <c r="M550" s="82">
        <f t="shared" si="223"/>
        <v>0</v>
      </c>
      <c r="N550" s="82">
        <f t="shared" si="224"/>
        <v>0</v>
      </c>
      <c r="O550" s="82">
        <f>N550+'BM 004'!O550</f>
        <v>0</v>
      </c>
      <c r="P550" s="80">
        <f t="shared" si="225"/>
        <v>30400</v>
      </c>
      <c r="Q550" s="82">
        <f t="shared" si="226"/>
        <v>38535.040000000001</v>
      </c>
      <c r="R550" s="82">
        <f t="shared" si="227"/>
        <v>38535.040000000001</v>
      </c>
    </row>
    <row r="551" spans="2:18" s="34" customFormat="1" ht="34.799999999999997">
      <c r="B551" s="75" t="s">
        <v>1077</v>
      </c>
      <c r="C551" s="76" t="s">
        <v>1078</v>
      </c>
      <c r="D551" s="77" t="s">
        <v>39</v>
      </c>
      <c r="E551" s="78">
        <v>140</v>
      </c>
      <c r="F551" s="79"/>
      <c r="G551" s="79"/>
      <c r="H551" s="79"/>
      <c r="I551" s="79">
        <f>SUM(G551:H551)+'BM 004'!I551</f>
        <v>0</v>
      </c>
      <c r="J551" s="79">
        <f t="shared" si="229"/>
        <v>140</v>
      </c>
      <c r="K551" s="84">
        <v>25</v>
      </c>
      <c r="L551" s="81">
        <f t="shared" si="228"/>
        <v>31.690002750000001</v>
      </c>
      <c r="M551" s="82">
        <f t="shared" si="223"/>
        <v>0</v>
      </c>
      <c r="N551" s="82">
        <f t="shared" si="224"/>
        <v>0</v>
      </c>
      <c r="O551" s="82">
        <f>N551+'BM 004'!O551</f>
        <v>0</v>
      </c>
      <c r="P551" s="80">
        <f t="shared" si="225"/>
        <v>3500</v>
      </c>
      <c r="Q551" s="82">
        <f t="shared" si="226"/>
        <v>4436.6000000000004</v>
      </c>
      <c r="R551" s="82">
        <f t="shared" si="227"/>
        <v>4436.6000000000004</v>
      </c>
    </row>
    <row r="552" spans="2:18" s="34" customFormat="1" ht="13.2">
      <c r="B552" s="66" t="s">
        <v>1079</v>
      </c>
      <c r="C552" s="67" t="s">
        <v>1080</v>
      </c>
      <c r="D552" s="68"/>
      <c r="E552" s="69"/>
      <c r="F552" s="70"/>
      <c r="G552" s="70"/>
      <c r="H552" s="70"/>
      <c r="I552" s="70">
        <f>SUM(G552:H552)+'BM 004'!I552</f>
        <v>0</v>
      </c>
      <c r="J552" s="70">
        <f t="shared" si="229"/>
        <v>0</v>
      </c>
      <c r="K552" s="71"/>
      <c r="L552" s="71">
        <f t="shared" si="228"/>
        <v>0</v>
      </c>
      <c r="M552" s="73">
        <f t="shared" ref="M552:R552" si="230">SUM(M553:M553)</f>
        <v>0</v>
      </c>
      <c r="N552" s="73">
        <f t="shared" si="230"/>
        <v>0</v>
      </c>
      <c r="O552" s="73">
        <f t="shared" si="230"/>
        <v>0</v>
      </c>
      <c r="P552" s="73">
        <f t="shared" si="230"/>
        <v>7310</v>
      </c>
      <c r="Q552" s="73">
        <f t="shared" si="230"/>
        <v>9266.15</v>
      </c>
      <c r="R552" s="73">
        <f t="shared" si="230"/>
        <v>9266.15</v>
      </c>
    </row>
    <row r="553" spans="2:18" s="34" customFormat="1" ht="34.799999999999997">
      <c r="B553" s="75" t="s">
        <v>1081</v>
      </c>
      <c r="C553" s="76" t="s">
        <v>1082</v>
      </c>
      <c r="D553" s="77" t="s">
        <v>63</v>
      </c>
      <c r="E553" s="78">
        <v>43</v>
      </c>
      <c r="F553" s="79"/>
      <c r="G553" s="79"/>
      <c r="H553" s="79"/>
      <c r="I553" s="79">
        <f>SUM(G553:H553)+'BM 004'!I553</f>
        <v>0</v>
      </c>
      <c r="J553" s="79">
        <f t="shared" si="229"/>
        <v>43</v>
      </c>
      <c r="K553" s="84">
        <v>170</v>
      </c>
      <c r="L553" s="81">
        <f t="shared" si="228"/>
        <v>215.49201870000002</v>
      </c>
      <c r="M553" s="82">
        <f>TRUNC(F553*L553,2)</f>
        <v>0</v>
      </c>
      <c r="N553" s="82">
        <f>TRUNC(G553*L553,2)</f>
        <v>0</v>
      </c>
      <c r="O553" s="82">
        <f>N553+'BM 004'!O553</f>
        <v>0</v>
      </c>
      <c r="P553" s="80">
        <f>E553*K553</f>
        <v>7310</v>
      </c>
      <c r="Q553" s="82">
        <f>TRUNC(E553*L553,2)</f>
        <v>9266.15</v>
      </c>
      <c r="R553" s="82">
        <f>Q553-O553</f>
        <v>9266.15</v>
      </c>
    </row>
    <row r="554" spans="2:18" s="34" customFormat="1" ht="13.2">
      <c r="B554" s="66" t="s">
        <v>1083</v>
      </c>
      <c r="C554" s="67" t="s">
        <v>1084</v>
      </c>
      <c r="D554" s="68"/>
      <c r="E554" s="69"/>
      <c r="F554" s="70"/>
      <c r="G554" s="70"/>
      <c r="H554" s="70"/>
      <c r="I554" s="70">
        <f>SUM(G554:H554)+'BM 004'!I554</f>
        <v>0</v>
      </c>
      <c r="J554" s="70">
        <f t="shared" si="229"/>
        <v>0</v>
      </c>
      <c r="K554" s="71"/>
      <c r="L554" s="120">
        <f t="shared" si="228"/>
        <v>0</v>
      </c>
      <c r="M554" s="73">
        <f t="shared" ref="M554:R554" si="231">SUM(M555:M565)</f>
        <v>0</v>
      </c>
      <c r="N554" s="73">
        <f t="shared" si="231"/>
        <v>0</v>
      </c>
      <c r="O554" s="73">
        <f t="shared" si="231"/>
        <v>0</v>
      </c>
      <c r="P554" s="73">
        <f t="shared" si="231"/>
        <v>55460</v>
      </c>
      <c r="Q554" s="73">
        <f t="shared" si="231"/>
        <v>70301.090000000011</v>
      </c>
      <c r="R554" s="73">
        <f t="shared" si="231"/>
        <v>70301.090000000011</v>
      </c>
    </row>
    <row r="555" spans="2:18" s="34" customFormat="1" ht="23.4">
      <c r="B555" s="75" t="s">
        <v>1085</v>
      </c>
      <c r="C555" s="76" t="s">
        <v>1086</v>
      </c>
      <c r="D555" s="77" t="s">
        <v>131</v>
      </c>
      <c r="E555" s="78">
        <v>1</v>
      </c>
      <c r="F555" s="79"/>
      <c r="G555" s="79"/>
      <c r="H555" s="79"/>
      <c r="I555" s="79">
        <f>SUM(G555:H555)+'BM 004'!I555</f>
        <v>0</v>
      </c>
      <c r="J555" s="79">
        <f t="shared" si="229"/>
        <v>1</v>
      </c>
      <c r="K555" s="84">
        <v>5800</v>
      </c>
      <c r="L555" s="81">
        <f t="shared" si="228"/>
        <v>7352.0806380000004</v>
      </c>
      <c r="M555" s="82">
        <f t="shared" ref="M555:M565" si="232">TRUNC(F555*L555,2)</f>
        <v>0</v>
      </c>
      <c r="N555" s="82">
        <f t="shared" ref="N555:N565" si="233">TRUNC(G555*L555,2)</f>
        <v>0</v>
      </c>
      <c r="O555" s="82">
        <f>N555+'BM 004'!O555</f>
        <v>0</v>
      </c>
      <c r="P555" s="80">
        <f t="shared" ref="P555:P565" si="234">E555*K555</f>
        <v>5800</v>
      </c>
      <c r="Q555" s="82">
        <f t="shared" ref="Q555:Q565" si="235">TRUNC(E555*L555,2)</f>
        <v>7352.08</v>
      </c>
      <c r="R555" s="82">
        <f t="shared" ref="R555:R565" si="236">Q555-O555</f>
        <v>7352.08</v>
      </c>
    </row>
    <row r="556" spans="2:18" s="34" customFormat="1" ht="57.6">
      <c r="B556" s="75" t="s">
        <v>1087</v>
      </c>
      <c r="C556" s="76" t="s">
        <v>1088</v>
      </c>
      <c r="D556" s="77" t="s">
        <v>131</v>
      </c>
      <c r="E556" s="78">
        <v>1</v>
      </c>
      <c r="F556" s="79"/>
      <c r="G556" s="79"/>
      <c r="H556" s="79"/>
      <c r="I556" s="79">
        <f>SUM(G556:H556)+'BM 004'!I556</f>
        <v>0</v>
      </c>
      <c r="J556" s="79">
        <f t="shared" si="229"/>
        <v>1</v>
      </c>
      <c r="K556" s="84">
        <v>2950</v>
      </c>
      <c r="L556" s="81">
        <f t="shared" si="228"/>
        <v>3739.4203245000003</v>
      </c>
      <c r="M556" s="82">
        <f t="shared" si="232"/>
        <v>0</v>
      </c>
      <c r="N556" s="82">
        <f t="shared" si="233"/>
        <v>0</v>
      </c>
      <c r="O556" s="82">
        <f>N556+'BM 004'!O556</f>
        <v>0</v>
      </c>
      <c r="P556" s="80">
        <f t="shared" si="234"/>
        <v>2950</v>
      </c>
      <c r="Q556" s="82">
        <f t="shared" si="235"/>
        <v>3739.42</v>
      </c>
      <c r="R556" s="82">
        <f t="shared" si="236"/>
        <v>3739.42</v>
      </c>
    </row>
    <row r="557" spans="2:18" s="34" customFormat="1" ht="34.799999999999997">
      <c r="B557" s="75" t="s">
        <v>1089</v>
      </c>
      <c r="C557" s="76" t="s">
        <v>1090</v>
      </c>
      <c r="D557" s="77" t="s">
        <v>131</v>
      </c>
      <c r="E557" s="78">
        <v>1</v>
      </c>
      <c r="F557" s="79"/>
      <c r="G557" s="79"/>
      <c r="H557" s="79"/>
      <c r="I557" s="79">
        <f>SUM(G557:H557)+'BM 004'!I557</f>
        <v>0</v>
      </c>
      <c r="J557" s="79">
        <f t="shared" si="229"/>
        <v>1</v>
      </c>
      <c r="K557" s="84">
        <v>5100</v>
      </c>
      <c r="L557" s="81">
        <f t="shared" si="228"/>
        <v>6464.7605610000001</v>
      </c>
      <c r="M557" s="82">
        <f t="shared" si="232"/>
        <v>0</v>
      </c>
      <c r="N557" s="82">
        <f t="shared" si="233"/>
        <v>0</v>
      </c>
      <c r="O557" s="82">
        <f>N557+'BM 004'!O557</f>
        <v>0</v>
      </c>
      <c r="P557" s="80">
        <f t="shared" si="234"/>
        <v>5100</v>
      </c>
      <c r="Q557" s="82">
        <f t="shared" si="235"/>
        <v>6464.76</v>
      </c>
      <c r="R557" s="82">
        <f t="shared" si="236"/>
        <v>6464.76</v>
      </c>
    </row>
    <row r="558" spans="2:18" s="34" customFormat="1" ht="34.799999999999997">
      <c r="B558" s="75" t="s">
        <v>1091</v>
      </c>
      <c r="C558" s="76" t="s">
        <v>1092</v>
      </c>
      <c r="D558" s="77" t="s">
        <v>131</v>
      </c>
      <c r="E558" s="78">
        <v>1</v>
      </c>
      <c r="F558" s="79"/>
      <c r="G558" s="79"/>
      <c r="H558" s="79"/>
      <c r="I558" s="79">
        <f>SUM(G558:H558)+'BM 004'!I558</f>
        <v>0</v>
      </c>
      <c r="J558" s="79">
        <f t="shared" si="229"/>
        <v>1</v>
      </c>
      <c r="K558" s="84">
        <v>6200</v>
      </c>
      <c r="L558" s="81">
        <f t="shared" si="228"/>
        <v>7859.1206820000007</v>
      </c>
      <c r="M558" s="82">
        <f t="shared" si="232"/>
        <v>0</v>
      </c>
      <c r="N558" s="82">
        <f t="shared" si="233"/>
        <v>0</v>
      </c>
      <c r="O558" s="82">
        <f>N558+'BM 004'!O558</f>
        <v>0</v>
      </c>
      <c r="P558" s="80">
        <f t="shared" si="234"/>
        <v>6200</v>
      </c>
      <c r="Q558" s="82">
        <f t="shared" si="235"/>
        <v>7859.12</v>
      </c>
      <c r="R558" s="82">
        <f t="shared" si="236"/>
        <v>7859.12</v>
      </c>
    </row>
    <row r="559" spans="2:18" s="34" customFormat="1" ht="23.4">
      <c r="B559" s="75" t="s">
        <v>1093</v>
      </c>
      <c r="C559" s="76" t="s">
        <v>1094</v>
      </c>
      <c r="D559" s="77" t="s">
        <v>131</v>
      </c>
      <c r="E559" s="78">
        <v>15</v>
      </c>
      <c r="F559" s="79"/>
      <c r="G559" s="79"/>
      <c r="H559" s="79"/>
      <c r="I559" s="79">
        <f>SUM(G559:H559)+'BM 004'!I559</f>
        <v>0</v>
      </c>
      <c r="J559" s="79">
        <f t="shared" si="229"/>
        <v>15</v>
      </c>
      <c r="K559" s="84">
        <v>250</v>
      </c>
      <c r="L559" s="81">
        <f t="shared" si="228"/>
        <v>316.90002750000002</v>
      </c>
      <c r="M559" s="82">
        <f t="shared" si="232"/>
        <v>0</v>
      </c>
      <c r="N559" s="82">
        <f t="shared" si="233"/>
        <v>0</v>
      </c>
      <c r="O559" s="82">
        <f>N559+'BM 004'!O559</f>
        <v>0</v>
      </c>
      <c r="P559" s="80">
        <f t="shared" si="234"/>
        <v>3750</v>
      </c>
      <c r="Q559" s="82">
        <f t="shared" si="235"/>
        <v>4753.5</v>
      </c>
      <c r="R559" s="82">
        <f t="shared" si="236"/>
        <v>4753.5</v>
      </c>
    </row>
    <row r="560" spans="2:18" s="34" customFormat="1" ht="23.4">
      <c r="B560" s="75" t="s">
        <v>1095</v>
      </c>
      <c r="C560" s="76" t="s">
        <v>1096</v>
      </c>
      <c r="D560" s="77" t="s">
        <v>131</v>
      </c>
      <c r="E560" s="78">
        <v>1</v>
      </c>
      <c r="F560" s="79"/>
      <c r="G560" s="79"/>
      <c r="H560" s="79"/>
      <c r="I560" s="79">
        <f>SUM(G560:H560)+'BM 004'!I560</f>
        <v>0</v>
      </c>
      <c r="J560" s="79">
        <f t="shared" si="229"/>
        <v>1</v>
      </c>
      <c r="K560" s="84">
        <v>350</v>
      </c>
      <c r="L560" s="81">
        <f t="shared" si="228"/>
        <v>443.66003850000004</v>
      </c>
      <c r="M560" s="82">
        <f t="shared" si="232"/>
        <v>0</v>
      </c>
      <c r="N560" s="82">
        <f t="shared" si="233"/>
        <v>0</v>
      </c>
      <c r="O560" s="82">
        <f>N560+'BM 004'!O560</f>
        <v>0</v>
      </c>
      <c r="P560" s="80">
        <f t="shared" si="234"/>
        <v>350</v>
      </c>
      <c r="Q560" s="82">
        <f t="shared" si="235"/>
        <v>443.66</v>
      </c>
      <c r="R560" s="82">
        <f t="shared" si="236"/>
        <v>443.66</v>
      </c>
    </row>
    <row r="561" spans="2:18" s="34" customFormat="1" ht="23.4">
      <c r="B561" s="75" t="s">
        <v>1097</v>
      </c>
      <c r="C561" s="76" t="s">
        <v>1098</v>
      </c>
      <c r="D561" s="77" t="s">
        <v>131</v>
      </c>
      <c r="E561" s="78">
        <v>15</v>
      </c>
      <c r="F561" s="79"/>
      <c r="G561" s="79"/>
      <c r="H561" s="79"/>
      <c r="I561" s="79">
        <f>SUM(G561:H561)+'BM 004'!I561</f>
        <v>0</v>
      </c>
      <c r="J561" s="79">
        <f t="shared" si="229"/>
        <v>15</v>
      </c>
      <c r="K561" s="84">
        <v>260</v>
      </c>
      <c r="L561" s="81">
        <f t="shared" si="228"/>
        <v>329.57602860000003</v>
      </c>
      <c r="M561" s="82">
        <f t="shared" si="232"/>
        <v>0</v>
      </c>
      <c r="N561" s="82">
        <f t="shared" si="233"/>
        <v>0</v>
      </c>
      <c r="O561" s="82">
        <f>N561+'BM 004'!O561</f>
        <v>0</v>
      </c>
      <c r="P561" s="80">
        <f t="shared" si="234"/>
        <v>3900</v>
      </c>
      <c r="Q561" s="82">
        <f t="shared" si="235"/>
        <v>4943.6400000000003</v>
      </c>
      <c r="R561" s="82">
        <f t="shared" si="236"/>
        <v>4943.6400000000003</v>
      </c>
    </row>
    <row r="562" spans="2:18" s="34" customFormat="1" ht="23.4">
      <c r="B562" s="75" t="s">
        <v>1099</v>
      </c>
      <c r="C562" s="76" t="s">
        <v>1100</v>
      </c>
      <c r="D562" s="77" t="s">
        <v>131</v>
      </c>
      <c r="E562" s="78">
        <v>1</v>
      </c>
      <c r="F562" s="79"/>
      <c r="G562" s="79"/>
      <c r="H562" s="79"/>
      <c r="I562" s="79">
        <f>SUM(G562:H562)+'BM 004'!I562</f>
        <v>0</v>
      </c>
      <c r="J562" s="79">
        <f t="shared" si="229"/>
        <v>1</v>
      </c>
      <c r="K562" s="84">
        <v>360</v>
      </c>
      <c r="L562" s="81">
        <f t="shared" si="228"/>
        <v>456.33603960000005</v>
      </c>
      <c r="M562" s="82">
        <f t="shared" si="232"/>
        <v>0</v>
      </c>
      <c r="N562" s="82">
        <f t="shared" si="233"/>
        <v>0</v>
      </c>
      <c r="O562" s="82">
        <f>N562+'BM 004'!O562</f>
        <v>0</v>
      </c>
      <c r="P562" s="80">
        <f t="shared" si="234"/>
        <v>360</v>
      </c>
      <c r="Q562" s="82">
        <f t="shared" si="235"/>
        <v>456.33</v>
      </c>
      <c r="R562" s="82">
        <f t="shared" si="236"/>
        <v>456.33</v>
      </c>
    </row>
    <row r="563" spans="2:18" s="34" customFormat="1" ht="13.2">
      <c r="B563" s="75" t="s">
        <v>1101</v>
      </c>
      <c r="C563" s="76" t="s">
        <v>1102</v>
      </c>
      <c r="D563" s="77" t="s">
        <v>131</v>
      </c>
      <c r="E563" s="78">
        <v>2</v>
      </c>
      <c r="F563" s="79"/>
      <c r="G563" s="79"/>
      <c r="H563" s="79"/>
      <c r="I563" s="79">
        <f>SUM(G563:H563)+'BM 004'!I563</f>
        <v>0</v>
      </c>
      <c r="J563" s="79">
        <f t="shared" si="229"/>
        <v>2</v>
      </c>
      <c r="K563" s="84">
        <v>3650</v>
      </c>
      <c r="L563" s="81">
        <f t="shared" si="228"/>
        <v>4626.7404015000002</v>
      </c>
      <c r="M563" s="82">
        <f t="shared" si="232"/>
        <v>0</v>
      </c>
      <c r="N563" s="82">
        <f t="shared" si="233"/>
        <v>0</v>
      </c>
      <c r="O563" s="82">
        <f>N563+'BM 004'!O563</f>
        <v>0</v>
      </c>
      <c r="P563" s="80">
        <f t="shared" si="234"/>
        <v>7300</v>
      </c>
      <c r="Q563" s="82">
        <f t="shared" si="235"/>
        <v>9253.48</v>
      </c>
      <c r="R563" s="82">
        <f t="shared" si="236"/>
        <v>9253.48</v>
      </c>
    </row>
    <row r="564" spans="2:18" s="34" customFormat="1" ht="23.4">
      <c r="B564" s="75" t="s">
        <v>1103</v>
      </c>
      <c r="C564" s="76" t="s">
        <v>1104</v>
      </c>
      <c r="D564" s="77" t="s">
        <v>131</v>
      </c>
      <c r="E564" s="78">
        <v>60</v>
      </c>
      <c r="F564" s="79"/>
      <c r="G564" s="79"/>
      <c r="H564" s="79"/>
      <c r="I564" s="79">
        <f>SUM(G564:H564)+'BM 004'!I564</f>
        <v>0</v>
      </c>
      <c r="J564" s="79">
        <f t="shared" si="229"/>
        <v>60</v>
      </c>
      <c r="K564" s="84">
        <v>280</v>
      </c>
      <c r="L564" s="81">
        <f t="shared" si="228"/>
        <v>354.92803079999999</v>
      </c>
      <c r="M564" s="82">
        <f t="shared" si="232"/>
        <v>0</v>
      </c>
      <c r="N564" s="82">
        <f t="shared" si="233"/>
        <v>0</v>
      </c>
      <c r="O564" s="82">
        <f>N564+'BM 004'!O564</f>
        <v>0</v>
      </c>
      <c r="P564" s="80">
        <f t="shared" si="234"/>
        <v>16800</v>
      </c>
      <c r="Q564" s="82">
        <f t="shared" si="235"/>
        <v>21295.68</v>
      </c>
      <c r="R564" s="82">
        <f t="shared" si="236"/>
        <v>21295.68</v>
      </c>
    </row>
    <row r="565" spans="2:18" s="34" customFormat="1" ht="34.799999999999997">
      <c r="B565" s="75" t="s">
        <v>1105</v>
      </c>
      <c r="C565" s="76" t="s">
        <v>1106</v>
      </c>
      <c r="D565" s="77" t="s">
        <v>131</v>
      </c>
      <c r="E565" s="78">
        <v>10</v>
      </c>
      <c r="F565" s="79"/>
      <c r="G565" s="79"/>
      <c r="H565" s="79"/>
      <c r="I565" s="79">
        <f>SUM(G565:H565)+'BM 004'!I565</f>
        <v>0</v>
      </c>
      <c r="J565" s="79">
        <f t="shared" si="229"/>
        <v>10</v>
      </c>
      <c r="K565" s="84">
        <v>295</v>
      </c>
      <c r="L565" s="81">
        <f t="shared" si="228"/>
        <v>373.94203245</v>
      </c>
      <c r="M565" s="82">
        <f t="shared" si="232"/>
        <v>0</v>
      </c>
      <c r="N565" s="82">
        <f t="shared" si="233"/>
        <v>0</v>
      </c>
      <c r="O565" s="82">
        <f>N565+'BM 004'!O565</f>
        <v>0</v>
      </c>
      <c r="P565" s="80">
        <f t="shared" si="234"/>
        <v>2950</v>
      </c>
      <c r="Q565" s="82">
        <f t="shared" si="235"/>
        <v>3739.42</v>
      </c>
      <c r="R565" s="82">
        <f t="shared" si="236"/>
        <v>3739.42</v>
      </c>
    </row>
    <row r="566" spans="2:18" s="34" customFormat="1" ht="13.2">
      <c r="B566" s="60" t="s">
        <v>1107</v>
      </c>
      <c r="C566" s="61" t="s">
        <v>1108</v>
      </c>
      <c r="D566" s="60"/>
      <c r="E566" s="62"/>
      <c r="F566" s="63"/>
      <c r="G566" s="63"/>
      <c r="H566" s="63"/>
      <c r="I566" s="63">
        <f>SUM(G566:H566)+'BM 004'!I566</f>
        <v>0</v>
      </c>
      <c r="J566" s="63">
        <f t="shared" si="229"/>
        <v>0</v>
      </c>
      <c r="K566" s="63"/>
      <c r="L566" s="63">
        <f t="shared" si="228"/>
        <v>0</v>
      </c>
      <c r="M566" s="63">
        <f t="shared" ref="M566:R566" si="237">SUM(M567:M587)</f>
        <v>0</v>
      </c>
      <c r="N566" s="63">
        <f t="shared" si="237"/>
        <v>0</v>
      </c>
      <c r="O566" s="63">
        <f t="shared" si="237"/>
        <v>0</v>
      </c>
      <c r="P566" s="63">
        <f t="shared" si="237"/>
        <v>397499.3</v>
      </c>
      <c r="Q566" s="63">
        <f t="shared" si="237"/>
        <v>503870.0799999999</v>
      </c>
      <c r="R566" s="63">
        <f t="shared" si="237"/>
        <v>503870.0799999999</v>
      </c>
    </row>
    <row r="567" spans="2:18" s="34" customFormat="1" ht="57.6">
      <c r="B567" s="87" t="s">
        <v>1109</v>
      </c>
      <c r="C567" s="88" t="s">
        <v>1110</v>
      </c>
      <c r="D567" s="89" t="s">
        <v>63</v>
      </c>
      <c r="E567" s="92">
        <v>33</v>
      </c>
      <c r="F567" s="91"/>
      <c r="G567" s="91"/>
      <c r="H567" s="91"/>
      <c r="I567" s="91">
        <f>SUM(G567:H567)+'BM 004'!I567</f>
        <v>0</v>
      </c>
      <c r="J567" s="91">
        <f t="shared" si="229"/>
        <v>33</v>
      </c>
      <c r="K567" s="84">
        <v>540</v>
      </c>
      <c r="L567" s="81">
        <f t="shared" si="228"/>
        <v>684.50405940000007</v>
      </c>
      <c r="M567" s="82">
        <f t="shared" ref="M567:M587" si="238">TRUNC(F567*L567,2)</f>
        <v>0</v>
      </c>
      <c r="N567" s="82">
        <f t="shared" ref="N567:N587" si="239">TRUNC(G567*L567,2)</f>
        <v>0</v>
      </c>
      <c r="O567" s="82">
        <f>N567+'BM 004'!O567</f>
        <v>0</v>
      </c>
      <c r="P567" s="80">
        <f t="shared" ref="P567:P587" si="240">E567*K567</f>
        <v>17820</v>
      </c>
      <c r="Q567" s="82">
        <f t="shared" ref="Q567:Q587" si="241">TRUNC(E567*L567,2)</f>
        <v>22588.63</v>
      </c>
      <c r="R567" s="82">
        <f t="shared" ref="R567:R587" si="242">Q567-O567</f>
        <v>22588.63</v>
      </c>
    </row>
    <row r="568" spans="2:18" s="34" customFormat="1" ht="57.6">
      <c r="B568" s="87" t="s">
        <v>1111</v>
      </c>
      <c r="C568" s="88" t="s">
        <v>1112</v>
      </c>
      <c r="D568" s="89" t="s">
        <v>63</v>
      </c>
      <c r="E568" s="90">
        <f>56-E567</f>
        <v>23</v>
      </c>
      <c r="F568" s="91"/>
      <c r="G568" s="91"/>
      <c r="H568" s="91"/>
      <c r="I568" s="91">
        <f>SUM(G568:H568)+'BM 004'!I568</f>
        <v>0</v>
      </c>
      <c r="J568" s="91">
        <f t="shared" si="229"/>
        <v>23</v>
      </c>
      <c r="K568" s="80">
        <v>685</v>
      </c>
      <c r="L568" s="81">
        <f t="shared" si="228"/>
        <v>868.30607535000001</v>
      </c>
      <c r="M568" s="82">
        <f t="shared" si="238"/>
        <v>0</v>
      </c>
      <c r="N568" s="82">
        <f t="shared" si="239"/>
        <v>0</v>
      </c>
      <c r="O568" s="82">
        <f>N568+'BM 004'!O568</f>
        <v>0</v>
      </c>
      <c r="P568" s="80">
        <f t="shared" si="240"/>
        <v>15755</v>
      </c>
      <c r="Q568" s="82">
        <f t="shared" si="241"/>
        <v>19971.03</v>
      </c>
      <c r="R568" s="82">
        <f t="shared" si="242"/>
        <v>19971.03</v>
      </c>
    </row>
    <row r="569" spans="2:18" s="34" customFormat="1" ht="34.799999999999997">
      <c r="B569" s="87" t="s">
        <v>1113</v>
      </c>
      <c r="C569" s="88" t="s">
        <v>1114</v>
      </c>
      <c r="D569" s="89" t="s">
        <v>131</v>
      </c>
      <c r="E569" s="92">
        <v>17</v>
      </c>
      <c r="F569" s="91"/>
      <c r="G569" s="91"/>
      <c r="H569" s="91"/>
      <c r="I569" s="91">
        <f>SUM(G569:H569)+'BM 004'!I569</f>
        <v>0</v>
      </c>
      <c r="J569" s="91">
        <f t="shared" si="229"/>
        <v>17</v>
      </c>
      <c r="K569" s="84">
        <v>725</v>
      </c>
      <c r="L569" s="81">
        <f t="shared" si="228"/>
        <v>919.01007975000005</v>
      </c>
      <c r="M569" s="82">
        <f t="shared" si="238"/>
        <v>0</v>
      </c>
      <c r="N569" s="82">
        <f t="shared" si="239"/>
        <v>0</v>
      </c>
      <c r="O569" s="82">
        <f>N569+'BM 004'!O569</f>
        <v>0</v>
      </c>
      <c r="P569" s="80">
        <f t="shared" si="240"/>
        <v>12325</v>
      </c>
      <c r="Q569" s="82">
        <f t="shared" si="241"/>
        <v>15623.17</v>
      </c>
      <c r="R569" s="82">
        <f t="shared" si="242"/>
        <v>15623.17</v>
      </c>
    </row>
    <row r="570" spans="2:18" s="34" customFormat="1" ht="23.4">
      <c r="B570" s="87" t="s">
        <v>1115</v>
      </c>
      <c r="C570" s="88" t="s">
        <v>1116</v>
      </c>
      <c r="D570" s="89" t="s">
        <v>63</v>
      </c>
      <c r="E570" s="92">
        <v>56</v>
      </c>
      <c r="F570" s="91"/>
      <c r="G570" s="91"/>
      <c r="H570" s="91"/>
      <c r="I570" s="91">
        <f>SUM(G570:H570)+'BM 004'!I570</f>
        <v>0</v>
      </c>
      <c r="J570" s="91">
        <f t="shared" si="229"/>
        <v>56</v>
      </c>
      <c r="K570" s="84">
        <v>175</v>
      </c>
      <c r="L570" s="81">
        <f t="shared" si="228"/>
        <v>221.83001925000002</v>
      </c>
      <c r="M570" s="82">
        <f t="shared" si="238"/>
        <v>0</v>
      </c>
      <c r="N570" s="82">
        <f t="shared" si="239"/>
        <v>0</v>
      </c>
      <c r="O570" s="82">
        <f>N570+'BM 004'!O570</f>
        <v>0</v>
      </c>
      <c r="P570" s="80">
        <f t="shared" si="240"/>
        <v>9800</v>
      </c>
      <c r="Q570" s="82">
        <f t="shared" si="241"/>
        <v>12422.48</v>
      </c>
      <c r="R570" s="82">
        <f t="shared" si="242"/>
        <v>12422.48</v>
      </c>
    </row>
    <row r="571" spans="2:18" s="34" customFormat="1" ht="23.4">
      <c r="B571" s="87" t="s">
        <v>1117</v>
      </c>
      <c r="C571" s="88" t="s">
        <v>1118</v>
      </c>
      <c r="D571" s="89" t="s">
        <v>63</v>
      </c>
      <c r="E571" s="92">
        <v>11</v>
      </c>
      <c r="F571" s="91"/>
      <c r="G571" s="91"/>
      <c r="H571" s="91"/>
      <c r="I571" s="91">
        <f>SUM(G571:H571)+'BM 004'!I571</f>
        <v>0</v>
      </c>
      <c r="J571" s="91">
        <f t="shared" si="229"/>
        <v>11</v>
      </c>
      <c r="K571" s="84">
        <v>120</v>
      </c>
      <c r="L571" s="81">
        <f t="shared" si="228"/>
        <v>152.11201320000001</v>
      </c>
      <c r="M571" s="82">
        <f t="shared" si="238"/>
        <v>0</v>
      </c>
      <c r="N571" s="82">
        <f t="shared" si="239"/>
        <v>0</v>
      </c>
      <c r="O571" s="82">
        <f>N571+'BM 004'!O571</f>
        <v>0</v>
      </c>
      <c r="P571" s="80">
        <f t="shared" si="240"/>
        <v>1320</v>
      </c>
      <c r="Q571" s="82">
        <f t="shared" si="241"/>
        <v>1673.23</v>
      </c>
      <c r="R571" s="82">
        <f t="shared" si="242"/>
        <v>1673.23</v>
      </c>
    </row>
    <row r="572" spans="2:18" s="34" customFormat="1" ht="46.2">
      <c r="B572" s="87" t="s">
        <v>1119</v>
      </c>
      <c r="C572" s="88" t="s">
        <v>1120</v>
      </c>
      <c r="D572" s="89" t="s">
        <v>63</v>
      </c>
      <c r="E572" s="92">
        <v>20</v>
      </c>
      <c r="F572" s="91"/>
      <c r="G572" s="91"/>
      <c r="H572" s="91"/>
      <c r="I572" s="91">
        <f>SUM(G572:H572)+'BM 004'!I572</f>
        <v>0</v>
      </c>
      <c r="J572" s="91">
        <f t="shared" si="229"/>
        <v>20</v>
      </c>
      <c r="K572" s="84">
        <v>205</v>
      </c>
      <c r="L572" s="81">
        <f t="shared" si="228"/>
        <v>259.85802254999999</v>
      </c>
      <c r="M572" s="82">
        <f t="shared" si="238"/>
        <v>0</v>
      </c>
      <c r="N572" s="82">
        <f t="shared" si="239"/>
        <v>0</v>
      </c>
      <c r="O572" s="82">
        <f>N572+'BM 004'!O572</f>
        <v>0</v>
      </c>
      <c r="P572" s="80">
        <f t="shared" si="240"/>
        <v>4100</v>
      </c>
      <c r="Q572" s="82">
        <f t="shared" si="241"/>
        <v>5197.16</v>
      </c>
      <c r="R572" s="82">
        <f t="shared" si="242"/>
        <v>5197.16</v>
      </c>
    </row>
    <row r="573" spans="2:18" s="34" customFormat="1" ht="23.4">
      <c r="B573" s="87" t="s">
        <v>1121</v>
      </c>
      <c r="C573" s="88" t="s">
        <v>1122</v>
      </c>
      <c r="D573" s="89" t="s">
        <v>63</v>
      </c>
      <c r="E573" s="92">
        <v>39</v>
      </c>
      <c r="F573" s="91"/>
      <c r="G573" s="91"/>
      <c r="H573" s="91"/>
      <c r="I573" s="91">
        <f>SUM(G573:H573)+'BM 004'!I573</f>
        <v>0</v>
      </c>
      <c r="J573" s="91">
        <f t="shared" si="229"/>
        <v>39</v>
      </c>
      <c r="K573" s="84">
        <v>730</v>
      </c>
      <c r="L573" s="81">
        <f t="shared" si="228"/>
        <v>925.34808029999999</v>
      </c>
      <c r="M573" s="82">
        <f t="shared" si="238"/>
        <v>0</v>
      </c>
      <c r="N573" s="82">
        <f t="shared" si="239"/>
        <v>0</v>
      </c>
      <c r="O573" s="82">
        <f>N573+'BM 004'!O573</f>
        <v>0</v>
      </c>
      <c r="P573" s="80">
        <f t="shared" si="240"/>
        <v>28470</v>
      </c>
      <c r="Q573" s="82">
        <f t="shared" si="241"/>
        <v>36088.57</v>
      </c>
      <c r="R573" s="82">
        <f t="shared" si="242"/>
        <v>36088.57</v>
      </c>
    </row>
    <row r="574" spans="2:18" s="34" customFormat="1" ht="23.4">
      <c r="B574" s="87" t="s">
        <v>1123</v>
      </c>
      <c r="C574" s="88" t="s">
        <v>1124</v>
      </c>
      <c r="D574" s="89" t="s">
        <v>63</v>
      </c>
      <c r="E574" s="92">
        <v>6</v>
      </c>
      <c r="F574" s="91"/>
      <c r="G574" s="91"/>
      <c r="H574" s="91"/>
      <c r="I574" s="91">
        <f>SUM(G574:H574)+'BM 004'!I574</f>
        <v>0</v>
      </c>
      <c r="J574" s="91">
        <f t="shared" si="229"/>
        <v>6</v>
      </c>
      <c r="K574" s="84">
        <v>4500</v>
      </c>
      <c r="L574" s="81">
        <f t="shared" si="228"/>
        <v>5704.200495</v>
      </c>
      <c r="M574" s="82">
        <f t="shared" si="238"/>
        <v>0</v>
      </c>
      <c r="N574" s="82">
        <f t="shared" si="239"/>
        <v>0</v>
      </c>
      <c r="O574" s="82">
        <f>N574+'BM 004'!O574</f>
        <v>0</v>
      </c>
      <c r="P574" s="80">
        <f t="shared" si="240"/>
        <v>27000</v>
      </c>
      <c r="Q574" s="82">
        <f t="shared" si="241"/>
        <v>34225.199999999997</v>
      </c>
      <c r="R574" s="82">
        <f t="shared" si="242"/>
        <v>34225.199999999997</v>
      </c>
    </row>
    <row r="575" spans="2:18" s="34" customFormat="1" ht="46.2">
      <c r="B575" s="87" t="s">
        <v>1125</v>
      </c>
      <c r="C575" s="88" t="s">
        <v>1126</v>
      </c>
      <c r="D575" s="89" t="s">
        <v>63</v>
      </c>
      <c r="E575" s="92">
        <v>59</v>
      </c>
      <c r="F575" s="91"/>
      <c r="G575" s="91"/>
      <c r="H575" s="91"/>
      <c r="I575" s="91">
        <f>SUM(G575:H575)+'BM 004'!I575</f>
        <v>0</v>
      </c>
      <c r="J575" s="91">
        <f t="shared" si="229"/>
        <v>59</v>
      </c>
      <c r="K575" s="84">
        <v>745</v>
      </c>
      <c r="L575" s="81">
        <f t="shared" si="228"/>
        <v>944.36208195000006</v>
      </c>
      <c r="M575" s="82">
        <f t="shared" si="238"/>
        <v>0</v>
      </c>
      <c r="N575" s="82">
        <f t="shared" si="239"/>
        <v>0</v>
      </c>
      <c r="O575" s="82">
        <f>N575+'BM 004'!O575</f>
        <v>0</v>
      </c>
      <c r="P575" s="80">
        <f t="shared" si="240"/>
        <v>43955</v>
      </c>
      <c r="Q575" s="82">
        <f t="shared" si="241"/>
        <v>55717.36</v>
      </c>
      <c r="R575" s="82">
        <f t="shared" si="242"/>
        <v>55717.36</v>
      </c>
    </row>
    <row r="576" spans="2:18" s="34" customFormat="1" ht="23.4">
      <c r="B576" s="87" t="s">
        <v>1127</v>
      </c>
      <c r="C576" s="88" t="s">
        <v>1128</v>
      </c>
      <c r="D576" s="89" t="s">
        <v>63</v>
      </c>
      <c r="E576" s="92">
        <v>74</v>
      </c>
      <c r="F576" s="91"/>
      <c r="G576" s="91"/>
      <c r="H576" s="91"/>
      <c r="I576" s="91">
        <f>SUM(G576:H576)+'BM 004'!I576</f>
        <v>0</v>
      </c>
      <c r="J576" s="91">
        <f t="shared" si="229"/>
        <v>74</v>
      </c>
      <c r="K576" s="84">
        <v>250</v>
      </c>
      <c r="L576" s="81">
        <f t="shared" si="228"/>
        <v>316.90002750000002</v>
      </c>
      <c r="M576" s="82">
        <f t="shared" si="238"/>
        <v>0</v>
      </c>
      <c r="N576" s="82">
        <f t="shared" si="239"/>
        <v>0</v>
      </c>
      <c r="O576" s="82">
        <f>N576+'BM 004'!O576</f>
        <v>0</v>
      </c>
      <c r="P576" s="80">
        <f t="shared" si="240"/>
        <v>18500</v>
      </c>
      <c r="Q576" s="82">
        <f t="shared" si="241"/>
        <v>23450.6</v>
      </c>
      <c r="R576" s="82">
        <f t="shared" si="242"/>
        <v>23450.6</v>
      </c>
    </row>
    <row r="577" spans="1:23" s="34" customFormat="1" ht="23.4">
      <c r="B577" s="87" t="s">
        <v>1129</v>
      </c>
      <c r="C577" s="88" t="s">
        <v>1130</v>
      </c>
      <c r="D577" s="89" t="s">
        <v>63</v>
      </c>
      <c r="E577" s="92">
        <v>49</v>
      </c>
      <c r="F577" s="91"/>
      <c r="G577" s="91"/>
      <c r="H577" s="91"/>
      <c r="I577" s="91">
        <f>SUM(G577:H577)+'BM 004'!I577</f>
        <v>0</v>
      </c>
      <c r="J577" s="91">
        <f t="shared" si="229"/>
        <v>49</v>
      </c>
      <c r="K577" s="84">
        <v>250</v>
      </c>
      <c r="L577" s="81">
        <f t="shared" si="228"/>
        <v>316.90002750000002</v>
      </c>
      <c r="M577" s="82">
        <f t="shared" si="238"/>
        <v>0</v>
      </c>
      <c r="N577" s="82">
        <f t="shared" si="239"/>
        <v>0</v>
      </c>
      <c r="O577" s="82">
        <f>N577+'BM 004'!O577</f>
        <v>0</v>
      </c>
      <c r="P577" s="80">
        <f t="shared" si="240"/>
        <v>12250</v>
      </c>
      <c r="Q577" s="82">
        <f t="shared" si="241"/>
        <v>15528.1</v>
      </c>
      <c r="R577" s="82">
        <f t="shared" si="242"/>
        <v>15528.1</v>
      </c>
    </row>
    <row r="578" spans="1:23" s="34" customFormat="1" ht="23.4">
      <c r="B578" s="87" t="s">
        <v>1131</v>
      </c>
      <c r="C578" s="88" t="s">
        <v>1132</v>
      </c>
      <c r="D578" s="89" t="s">
        <v>63</v>
      </c>
      <c r="E578" s="92">
        <v>102</v>
      </c>
      <c r="F578" s="91"/>
      <c r="G578" s="91"/>
      <c r="H578" s="91"/>
      <c r="I578" s="91">
        <f>SUM(G578:H578)+'BM 004'!I578</f>
        <v>0</v>
      </c>
      <c r="J578" s="91">
        <f t="shared" si="229"/>
        <v>102</v>
      </c>
      <c r="K578" s="84">
        <v>200</v>
      </c>
      <c r="L578" s="81">
        <f t="shared" si="228"/>
        <v>253.52002200000001</v>
      </c>
      <c r="M578" s="82">
        <f t="shared" si="238"/>
        <v>0</v>
      </c>
      <c r="N578" s="82">
        <f t="shared" si="239"/>
        <v>0</v>
      </c>
      <c r="O578" s="82">
        <f>N578+'BM 004'!O578</f>
        <v>0</v>
      </c>
      <c r="P578" s="80">
        <f t="shared" si="240"/>
        <v>20400</v>
      </c>
      <c r="Q578" s="82">
        <f t="shared" si="241"/>
        <v>25859.040000000001</v>
      </c>
      <c r="R578" s="82">
        <f t="shared" si="242"/>
        <v>25859.040000000001</v>
      </c>
    </row>
    <row r="579" spans="1:23" s="34" customFormat="1" ht="13.2">
      <c r="B579" s="87" t="s">
        <v>1133</v>
      </c>
      <c r="C579" s="88" t="s">
        <v>1134</v>
      </c>
      <c r="D579" s="89" t="s">
        <v>63</v>
      </c>
      <c r="E579" s="92">
        <v>135</v>
      </c>
      <c r="F579" s="91"/>
      <c r="G579" s="91"/>
      <c r="H579" s="91"/>
      <c r="I579" s="91">
        <f>SUM(G579:H579)+'BM 004'!I579</f>
        <v>0</v>
      </c>
      <c r="J579" s="91">
        <f t="shared" si="229"/>
        <v>135</v>
      </c>
      <c r="K579" s="84">
        <v>85</v>
      </c>
      <c r="L579" s="81">
        <f t="shared" si="228"/>
        <v>107.74600935000001</v>
      </c>
      <c r="M579" s="82">
        <f t="shared" si="238"/>
        <v>0</v>
      </c>
      <c r="N579" s="82">
        <f t="shared" si="239"/>
        <v>0</v>
      </c>
      <c r="O579" s="82">
        <f>N579+'BM 004'!O579</f>
        <v>0</v>
      </c>
      <c r="P579" s="80">
        <f t="shared" si="240"/>
        <v>11475</v>
      </c>
      <c r="Q579" s="82">
        <f t="shared" si="241"/>
        <v>14545.71</v>
      </c>
      <c r="R579" s="82">
        <f t="shared" si="242"/>
        <v>14545.71</v>
      </c>
    </row>
    <row r="580" spans="1:23" s="34" customFormat="1" ht="34.799999999999997">
      <c r="B580" s="87" t="s">
        <v>1135</v>
      </c>
      <c r="C580" s="88" t="s">
        <v>1136</v>
      </c>
      <c r="D580" s="89" t="s">
        <v>79</v>
      </c>
      <c r="E580" s="92">
        <v>43.42</v>
      </c>
      <c r="F580" s="91"/>
      <c r="G580" s="91"/>
      <c r="H580" s="91"/>
      <c r="I580" s="91">
        <f>SUM(G580:H580)+'BM 004'!I580</f>
        <v>0</v>
      </c>
      <c r="J580" s="91">
        <f t="shared" si="229"/>
        <v>43.42</v>
      </c>
      <c r="K580" s="84">
        <v>2590</v>
      </c>
      <c r="L580" s="81">
        <f t="shared" si="228"/>
        <v>3283.0842849000001</v>
      </c>
      <c r="M580" s="82">
        <f t="shared" si="238"/>
        <v>0</v>
      </c>
      <c r="N580" s="82">
        <f t="shared" si="239"/>
        <v>0</v>
      </c>
      <c r="O580" s="82">
        <f>N580+'BM 004'!O580</f>
        <v>0</v>
      </c>
      <c r="P580" s="80">
        <f t="shared" si="240"/>
        <v>112457.8</v>
      </c>
      <c r="Q580" s="82">
        <f t="shared" si="241"/>
        <v>142551.51</v>
      </c>
      <c r="R580" s="82">
        <f t="shared" si="242"/>
        <v>142551.51</v>
      </c>
    </row>
    <row r="581" spans="1:23" s="34" customFormat="1" ht="34.799999999999997">
      <c r="B581" s="87" t="s">
        <v>1137</v>
      </c>
      <c r="C581" s="88" t="s">
        <v>1138</v>
      </c>
      <c r="D581" s="89" t="s">
        <v>79</v>
      </c>
      <c r="E581" s="92">
        <v>8.93</v>
      </c>
      <c r="F581" s="91"/>
      <c r="G581" s="91"/>
      <c r="H581" s="91"/>
      <c r="I581" s="91">
        <f>SUM(G581:H581)+'BM 004'!I581</f>
        <v>0</v>
      </c>
      <c r="J581" s="91">
        <f t="shared" si="229"/>
        <v>8.93</v>
      </c>
      <c r="K581" s="84">
        <v>950</v>
      </c>
      <c r="L581" s="81">
        <f t="shared" si="228"/>
        <v>1204.2201045000002</v>
      </c>
      <c r="M581" s="82">
        <f t="shared" si="238"/>
        <v>0</v>
      </c>
      <c r="N581" s="82">
        <f t="shared" si="239"/>
        <v>0</v>
      </c>
      <c r="O581" s="82">
        <f>N581+'BM 004'!O581</f>
        <v>0</v>
      </c>
      <c r="P581" s="80">
        <f t="shared" si="240"/>
        <v>8483.5</v>
      </c>
      <c r="Q581" s="82">
        <f t="shared" si="241"/>
        <v>10753.68</v>
      </c>
      <c r="R581" s="82">
        <f t="shared" si="242"/>
        <v>10753.68</v>
      </c>
    </row>
    <row r="582" spans="1:23" s="34" customFormat="1" ht="23.4">
      <c r="B582" s="87" t="s">
        <v>1139</v>
      </c>
      <c r="C582" s="88" t="s">
        <v>1140</v>
      </c>
      <c r="D582" s="89" t="s">
        <v>63</v>
      </c>
      <c r="E582" s="92">
        <v>1</v>
      </c>
      <c r="F582" s="91"/>
      <c r="G582" s="91"/>
      <c r="H582" s="91"/>
      <c r="I582" s="91">
        <f>SUM(G582:H582)+'BM 004'!I582</f>
        <v>0</v>
      </c>
      <c r="J582" s="91">
        <f t="shared" si="229"/>
        <v>1</v>
      </c>
      <c r="K582" s="84">
        <v>210</v>
      </c>
      <c r="L582" s="81">
        <f t="shared" si="228"/>
        <v>266.19602309999999</v>
      </c>
      <c r="M582" s="82">
        <f t="shared" si="238"/>
        <v>0</v>
      </c>
      <c r="N582" s="82">
        <f t="shared" si="239"/>
        <v>0</v>
      </c>
      <c r="O582" s="82">
        <f>N582+'BM 004'!O582</f>
        <v>0</v>
      </c>
      <c r="P582" s="80">
        <f t="shared" si="240"/>
        <v>210</v>
      </c>
      <c r="Q582" s="82">
        <f t="shared" si="241"/>
        <v>266.19</v>
      </c>
      <c r="R582" s="82">
        <f t="shared" si="242"/>
        <v>266.19</v>
      </c>
    </row>
    <row r="583" spans="1:23" s="34" customFormat="1" ht="34.799999999999997">
      <c r="B583" s="87" t="s">
        <v>1141</v>
      </c>
      <c r="C583" s="88" t="s">
        <v>1142</v>
      </c>
      <c r="D583" s="89" t="s">
        <v>63</v>
      </c>
      <c r="E583" s="92">
        <v>22</v>
      </c>
      <c r="F583" s="91"/>
      <c r="G583" s="91"/>
      <c r="H583" s="91"/>
      <c r="I583" s="91">
        <f>SUM(G583:H583)+'BM 004'!I583</f>
        <v>0</v>
      </c>
      <c r="J583" s="91">
        <f t="shared" si="229"/>
        <v>22</v>
      </c>
      <c r="K583" s="84">
        <v>490</v>
      </c>
      <c r="L583" s="81">
        <f t="shared" si="228"/>
        <v>621.12405390000004</v>
      </c>
      <c r="M583" s="82">
        <f t="shared" si="238"/>
        <v>0</v>
      </c>
      <c r="N583" s="82">
        <f t="shared" si="239"/>
        <v>0</v>
      </c>
      <c r="O583" s="82">
        <f>N583+'BM 004'!O583</f>
        <v>0</v>
      </c>
      <c r="P583" s="80">
        <f t="shared" si="240"/>
        <v>10780</v>
      </c>
      <c r="Q583" s="82">
        <f t="shared" si="241"/>
        <v>13664.72</v>
      </c>
      <c r="R583" s="82">
        <f t="shared" si="242"/>
        <v>13664.72</v>
      </c>
    </row>
    <row r="584" spans="1:23" ht="58.2">
      <c r="A584" s="34"/>
      <c r="B584" s="87" t="s">
        <v>1143</v>
      </c>
      <c r="C584" s="88" t="s">
        <v>1144</v>
      </c>
      <c r="D584" s="89" t="s">
        <v>63</v>
      </c>
      <c r="E584" s="92">
        <v>3</v>
      </c>
      <c r="F584" s="91"/>
      <c r="G584" s="91"/>
      <c r="H584" s="91"/>
      <c r="I584" s="91">
        <f>SUM(G584:H584)+'BM 004'!I584</f>
        <v>0</v>
      </c>
      <c r="J584" s="91">
        <f t="shared" si="229"/>
        <v>3</v>
      </c>
      <c r="K584" s="84">
        <v>2480</v>
      </c>
      <c r="L584" s="81">
        <f t="shared" si="228"/>
        <v>3143.6482728000001</v>
      </c>
      <c r="M584" s="82">
        <f t="shared" si="238"/>
        <v>0</v>
      </c>
      <c r="N584" s="82">
        <f t="shared" si="239"/>
        <v>0</v>
      </c>
      <c r="O584" s="82">
        <f>N584+'BM 004'!O584</f>
        <v>0</v>
      </c>
      <c r="P584" s="80">
        <f t="shared" si="240"/>
        <v>7440</v>
      </c>
      <c r="Q584" s="82">
        <f t="shared" si="241"/>
        <v>9430.94</v>
      </c>
      <c r="R584" s="82">
        <f t="shared" si="242"/>
        <v>9430.94</v>
      </c>
      <c r="S584" s="34"/>
      <c r="T584" s="34"/>
      <c r="U584" s="34"/>
      <c r="V584" s="34"/>
      <c r="W584" s="34"/>
    </row>
    <row r="585" spans="1:23" ht="24">
      <c r="A585" s="34"/>
      <c r="B585" s="87" t="s">
        <v>1145</v>
      </c>
      <c r="C585" s="88" t="s">
        <v>1146</v>
      </c>
      <c r="D585" s="89" t="s">
        <v>63</v>
      </c>
      <c r="E585" s="92">
        <v>7</v>
      </c>
      <c r="F585" s="91"/>
      <c r="G585" s="91"/>
      <c r="H585" s="91"/>
      <c r="I585" s="91">
        <f>SUM(G585:H585)+'BM 004'!I585</f>
        <v>0</v>
      </c>
      <c r="J585" s="91">
        <f t="shared" si="229"/>
        <v>7</v>
      </c>
      <c r="K585" s="84">
        <v>950</v>
      </c>
      <c r="L585" s="81">
        <f t="shared" si="228"/>
        <v>1204.2201045000002</v>
      </c>
      <c r="M585" s="82">
        <f t="shared" si="238"/>
        <v>0</v>
      </c>
      <c r="N585" s="82">
        <f t="shared" si="239"/>
        <v>0</v>
      </c>
      <c r="O585" s="82">
        <f>N585+'BM 004'!O585</f>
        <v>0</v>
      </c>
      <c r="P585" s="80">
        <f t="shared" si="240"/>
        <v>6650</v>
      </c>
      <c r="Q585" s="82">
        <f t="shared" si="241"/>
        <v>8429.5400000000009</v>
      </c>
      <c r="R585" s="82">
        <f t="shared" si="242"/>
        <v>8429.5400000000009</v>
      </c>
      <c r="S585" s="34"/>
      <c r="T585" s="34"/>
      <c r="U585" s="34"/>
      <c r="V585" s="34"/>
      <c r="W585" s="34"/>
    </row>
    <row r="586" spans="1:23" ht="35.4">
      <c r="A586" s="34"/>
      <c r="B586" s="87" t="s">
        <v>1147</v>
      </c>
      <c r="C586" s="88" t="s">
        <v>1148</v>
      </c>
      <c r="D586" s="89" t="s">
        <v>63</v>
      </c>
      <c r="E586" s="92">
        <v>43</v>
      </c>
      <c r="F586" s="91"/>
      <c r="G586" s="91"/>
      <c r="H586" s="91"/>
      <c r="I586" s="91">
        <f>SUM(G586:H586)+'BM 004'!I586</f>
        <v>0</v>
      </c>
      <c r="J586" s="91">
        <f t="shared" si="229"/>
        <v>43</v>
      </c>
      <c r="K586" s="84">
        <v>300</v>
      </c>
      <c r="L586" s="81">
        <f t="shared" si="228"/>
        <v>380.280033</v>
      </c>
      <c r="M586" s="82">
        <f t="shared" si="238"/>
        <v>0</v>
      </c>
      <c r="N586" s="82">
        <f t="shared" si="239"/>
        <v>0</v>
      </c>
      <c r="O586" s="82">
        <f>N586+'BM 004'!O586</f>
        <v>0</v>
      </c>
      <c r="P586" s="80">
        <f t="shared" si="240"/>
        <v>12900</v>
      </c>
      <c r="Q586" s="82">
        <f t="shared" si="241"/>
        <v>16352.04</v>
      </c>
      <c r="R586" s="82">
        <f t="shared" si="242"/>
        <v>16352.04</v>
      </c>
      <c r="S586" s="34"/>
      <c r="T586" s="34"/>
      <c r="U586" s="34"/>
      <c r="V586" s="34"/>
      <c r="W586" s="34"/>
    </row>
    <row r="587" spans="1:23" ht="35.4">
      <c r="A587" s="34"/>
      <c r="B587" s="87" t="s">
        <v>1149</v>
      </c>
      <c r="C587" s="88" t="s">
        <v>1150</v>
      </c>
      <c r="D587" s="89" t="s">
        <v>63</v>
      </c>
      <c r="E587" s="92">
        <v>4</v>
      </c>
      <c r="F587" s="91"/>
      <c r="G587" s="91"/>
      <c r="H587" s="91"/>
      <c r="I587" s="91">
        <f>SUM(G587:H587)+'BM 004'!I587</f>
        <v>0</v>
      </c>
      <c r="J587" s="91">
        <f t="shared" si="229"/>
        <v>4</v>
      </c>
      <c r="K587" s="84">
        <v>3852</v>
      </c>
      <c r="L587" s="81">
        <f t="shared" si="228"/>
        <v>4882.7956237200005</v>
      </c>
      <c r="M587" s="82">
        <f t="shared" si="238"/>
        <v>0</v>
      </c>
      <c r="N587" s="82">
        <f t="shared" si="239"/>
        <v>0</v>
      </c>
      <c r="O587" s="82">
        <f>N587+'BM 004'!O587</f>
        <v>0</v>
      </c>
      <c r="P587" s="80">
        <f t="shared" si="240"/>
        <v>15408</v>
      </c>
      <c r="Q587" s="82">
        <f t="shared" si="241"/>
        <v>19531.18</v>
      </c>
      <c r="R587" s="82">
        <f t="shared" si="242"/>
        <v>19531.18</v>
      </c>
      <c r="S587" s="34"/>
      <c r="T587" s="34"/>
      <c r="U587" s="34"/>
      <c r="V587" s="34"/>
      <c r="W587" s="34"/>
    </row>
    <row r="588" spans="1:23">
      <c r="A588" s="34"/>
      <c r="B588" s="60" t="s">
        <v>1151</v>
      </c>
      <c r="C588" s="61" t="s">
        <v>1152</v>
      </c>
      <c r="D588" s="60"/>
      <c r="E588" s="62"/>
      <c r="F588" s="63"/>
      <c r="G588" s="63"/>
      <c r="H588" s="63"/>
      <c r="I588" s="63">
        <f>SUM(G588:H588)+'BM 004'!I588</f>
        <v>0</v>
      </c>
      <c r="J588" s="63">
        <f t="shared" si="229"/>
        <v>0</v>
      </c>
      <c r="K588" s="63"/>
      <c r="L588" s="63">
        <f t="shared" si="228"/>
        <v>0</v>
      </c>
      <c r="M588" s="63">
        <f t="shared" ref="M588:R588" si="243">SUM(M589:M590)</f>
        <v>0</v>
      </c>
      <c r="N588" s="63">
        <f t="shared" si="243"/>
        <v>0</v>
      </c>
      <c r="O588" s="63">
        <f t="shared" si="243"/>
        <v>0</v>
      </c>
      <c r="P588" s="63">
        <f t="shared" si="243"/>
        <v>30555.67</v>
      </c>
      <c r="Q588" s="63">
        <f t="shared" si="243"/>
        <v>38732.36</v>
      </c>
      <c r="R588" s="63">
        <f t="shared" si="243"/>
        <v>38732.36</v>
      </c>
      <c r="S588" s="34"/>
      <c r="T588" s="34"/>
      <c r="U588" s="34"/>
      <c r="V588" s="34"/>
      <c r="W588" s="34"/>
    </row>
    <row r="589" spans="1:23" s="122" customFormat="1" ht="23.4">
      <c r="A589" s="34"/>
      <c r="B589" s="75" t="s">
        <v>1153</v>
      </c>
      <c r="C589" s="76" t="s">
        <v>1154</v>
      </c>
      <c r="D589" s="121" t="s">
        <v>63</v>
      </c>
      <c r="E589" s="78">
        <v>1</v>
      </c>
      <c r="F589" s="79"/>
      <c r="G589" s="79"/>
      <c r="H589" s="79"/>
      <c r="I589" s="79">
        <f>SUM(G589:H589)+'BM 004'!I589</f>
        <v>0</v>
      </c>
      <c r="J589" s="79">
        <f t="shared" si="229"/>
        <v>1</v>
      </c>
      <c r="K589" s="84">
        <v>5076.55</v>
      </c>
      <c r="L589" s="81">
        <f t="shared" si="228"/>
        <v>6435.0353384205009</v>
      </c>
      <c r="M589" s="82">
        <f>TRUNC(F589*L589,2)</f>
        <v>0</v>
      </c>
      <c r="N589" s="82">
        <f>TRUNC(G589*L589,2)</f>
        <v>0</v>
      </c>
      <c r="O589" s="82">
        <f>N589+'BM 004'!O589</f>
        <v>0</v>
      </c>
      <c r="P589" s="80">
        <f>E589*K589</f>
        <v>5076.55</v>
      </c>
      <c r="Q589" s="82">
        <f>TRUNC(E589*L589,2)</f>
        <v>6435.03</v>
      </c>
      <c r="R589" s="82">
        <f>Q589-O589</f>
        <v>6435.03</v>
      </c>
      <c r="S589" s="34"/>
      <c r="T589" s="34"/>
      <c r="U589" s="34"/>
      <c r="V589" s="34"/>
      <c r="W589" s="34"/>
    </row>
    <row r="590" spans="1:23" s="122" customFormat="1" ht="13.8">
      <c r="A590" s="34"/>
      <c r="B590" s="75" t="s">
        <v>1155</v>
      </c>
      <c r="C590" s="76" t="s">
        <v>1156</v>
      </c>
      <c r="D590" s="77" t="s">
        <v>79</v>
      </c>
      <c r="E590" s="93">
        <v>6369.78</v>
      </c>
      <c r="F590" s="79"/>
      <c r="G590" s="79"/>
      <c r="H590" s="79"/>
      <c r="I590" s="79">
        <f>SUM(G590:H590)+'BM 004'!I590</f>
        <v>0</v>
      </c>
      <c r="J590" s="79">
        <f t="shared" si="229"/>
        <v>6369.78</v>
      </c>
      <c r="K590" s="123">
        <v>4</v>
      </c>
      <c r="L590" s="81">
        <f t="shared" si="228"/>
        <v>5.0704004400000002</v>
      </c>
      <c r="M590" s="82">
        <f>TRUNC(F590*L590,2)</f>
        <v>0</v>
      </c>
      <c r="N590" s="82">
        <f>TRUNC(G590*L590,2)</f>
        <v>0</v>
      </c>
      <c r="O590" s="82">
        <f>N590+'BM 004'!O590</f>
        <v>0</v>
      </c>
      <c r="P590" s="124">
        <f>E590*K590</f>
        <v>25479.119999999999</v>
      </c>
      <c r="Q590" s="82">
        <f>TRUNC(E590*L590,2)</f>
        <v>32297.33</v>
      </c>
      <c r="R590" s="82">
        <f>Q590-O590</f>
        <v>32297.33</v>
      </c>
      <c r="S590" s="34"/>
      <c r="T590" s="34"/>
      <c r="U590" s="34"/>
      <c r="V590" s="34"/>
      <c r="W590" s="34"/>
    </row>
    <row r="591" spans="1:23" s="122" customFormat="1" ht="13.8">
      <c r="A591" s="34"/>
      <c r="B591" s="125"/>
      <c r="C591" s="126"/>
      <c r="D591" s="127"/>
      <c r="E591" s="128"/>
      <c r="F591" s="128"/>
      <c r="G591" s="128"/>
      <c r="H591" s="128"/>
      <c r="I591" s="128"/>
      <c r="J591" s="128"/>
      <c r="K591" s="129"/>
      <c r="L591" s="129"/>
      <c r="M591" s="130"/>
      <c r="N591" s="130"/>
      <c r="O591" s="130"/>
      <c r="P591" s="130"/>
      <c r="Q591" s="130"/>
      <c r="R591" s="130"/>
      <c r="S591" s="34"/>
      <c r="T591" s="34"/>
      <c r="U591" s="34"/>
      <c r="V591" s="34"/>
      <c r="W591" s="34"/>
    </row>
    <row r="592" spans="1:23" s="122" customFormat="1" ht="31.5" customHeight="1">
      <c r="A592" s="2"/>
      <c r="B592" s="533" t="s">
        <v>1157</v>
      </c>
      <c r="C592" s="533"/>
      <c r="D592" s="533"/>
      <c r="E592" s="533"/>
      <c r="F592" s="533"/>
      <c r="G592" s="533"/>
      <c r="H592" s="533"/>
      <c r="I592" s="533"/>
      <c r="J592" s="533"/>
      <c r="K592" s="533"/>
      <c r="L592" s="533"/>
      <c r="M592" s="131">
        <f>M27+M46+M58+M88+M126+M134+M148+M162+M167+M171+M216+M225+M234+M319+M432+M447+M463+M491</f>
        <v>139096.55000000002</v>
      </c>
      <c r="N592" s="132">
        <f>SUM(N27,N52,N62,N94,N131,N139,N155,N170,N175,N178,N215,N222,N225,N317,N328,N481,N507,N566,N588)</f>
        <v>875219.04</v>
      </c>
      <c r="O592" s="132">
        <f>SUM(O27,O52,O62,O94,O131,O139,O155,O170,O175,O178,O215,O222,O225,O317,O328,O481,O507,O566,O588)</f>
        <v>3628181.3</v>
      </c>
      <c r="P592" s="132">
        <f>SUM(P27,P52,P62,P94,P131,P139,P155,P170,P175,P178,P215,P222,P225,P317,P328,P481,P507,P566,P588)</f>
        <v>20732092.142300002</v>
      </c>
      <c r="Q592" s="132">
        <f>SUM(Q27,Q52,Q62,Q94,Q131,Q139,Q155,Q170,Q175,Q178,Q215,Q222,Q225,Q317,Q328,Q481,Q507,Q566,Q588)</f>
        <v>26279999.999999993</v>
      </c>
      <c r="R592" s="132">
        <f>SUM(R27,R52,R62,R94,R131,R139,R155,R170,R175,R178,R215,R222,R225,R317,R328,R481,R507,R566,R588)</f>
        <v>22651818.699999996</v>
      </c>
      <c r="S592" s="2"/>
      <c r="T592" s="2"/>
      <c r="U592" s="2"/>
      <c r="V592" s="2"/>
      <c r="W592" s="2"/>
    </row>
    <row r="593" spans="1:23" s="122" customFormat="1" ht="31.5" customHeight="1">
      <c r="A593" s="2"/>
      <c r="B593" s="533" t="s">
        <v>1196</v>
      </c>
      <c r="C593" s="533"/>
      <c r="D593" s="533"/>
      <c r="E593" s="533"/>
      <c r="F593" s="533"/>
      <c r="G593" s="533"/>
      <c r="H593" s="533"/>
      <c r="I593" s="533"/>
      <c r="J593" s="533"/>
      <c r="K593" s="533"/>
      <c r="L593" s="533"/>
      <c r="M593" s="131"/>
      <c r="N593" s="133"/>
      <c r="O593" s="131"/>
      <c r="P593" s="132"/>
      <c r="Q593" s="132"/>
      <c r="R593" s="134"/>
      <c r="S593" s="2"/>
      <c r="T593" s="2"/>
      <c r="U593" s="2"/>
      <c r="V593" s="2"/>
      <c r="W593" s="2"/>
    </row>
    <row r="594" spans="1:23" s="122" customFormat="1" ht="31.5" customHeight="1">
      <c r="A594" s="2"/>
      <c r="B594" s="533" t="s">
        <v>1430</v>
      </c>
      <c r="C594" s="533"/>
      <c r="D594" s="533"/>
      <c r="E594" s="533"/>
      <c r="F594" s="533"/>
      <c r="G594" s="533"/>
      <c r="H594" s="533"/>
      <c r="I594" s="533"/>
      <c r="J594" s="533"/>
      <c r="K594" s="533"/>
      <c r="L594" s="533"/>
      <c r="M594" s="131"/>
      <c r="N594" s="133">
        <f>TRUNC(0.3*SUM(N70:N76,N85:N90,N97:N104,N109:N116,N123:N129),2)</f>
        <v>118394.27</v>
      </c>
      <c r="O594" s="131"/>
      <c r="P594" s="132"/>
      <c r="Q594" s="132"/>
      <c r="R594" s="134"/>
      <c r="S594" s="2"/>
      <c r="T594" s="2"/>
      <c r="U594" s="2"/>
      <c r="V594" s="2"/>
      <c r="W594" s="2"/>
    </row>
    <row r="595" spans="1:23" s="122" customFormat="1" ht="31.5" customHeight="1">
      <c r="A595" s="2"/>
      <c r="B595" s="533" t="s">
        <v>1320</v>
      </c>
      <c r="C595" s="533"/>
      <c r="D595" s="533"/>
      <c r="E595" s="533"/>
      <c r="F595" s="533"/>
      <c r="G595" s="533"/>
      <c r="H595" s="533"/>
      <c r="I595" s="533"/>
      <c r="J595" s="533"/>
      <c r="K595" s="533"/>
      <c r="L595" s="533"/>
      <c r="M595" s="131"/>
      <c r="N595" s="133">
        <v>0</v>
      </c>
      <c r="O595" s="131"/>
      <c r="P595" s="132"/>
      <c r="Q595" s="132"/>
      <c r="R595" s="134"/>
      <c r="S595" s="2"/>
      <c r="T595" s="2"/>
      <c r="U595" s="2"/>
      <c r="V595" s="2"/>
      <c r="W595" s="2"/>
    </row>
    <row r="596" spans="1:23" s="122" customFormat="1" ht="31.5" customHeight="1">
      <c r="A596" s="2"/>
      <c r="B596" s="533" t="s">
        <v>1161</v>
      </c>
      <c r="C596" s="533"/>
      <c r="D596" s="533"/>
      <c r="E596" s="533"/>
      <c r="F596" s="533"/>
      <c r="G596" s="533"/>
      <c r="H596" s="533"/>
      <c r="I596" s="533"/>
      <c r="J596" s="533"/>
      <c r="K596" s="533"/>
      <c r="L596" s="533"/>
      <c r="M596" s="131">
        <f>M28+M47+M59+M89+M127+M135+M149+M163+M168+M172+M217+M226+M235+M320+M433+M448+M464+M492</f>
        <v>57792.68</v>
      </c>
      <c r="N596" s="131">
        <f>N592-N593-N594-N595</f>
        <v>756824.77</v>
      </c>
      <c r="O596" s="131" t="s">
        <v>1162</v>
      </c>
      <c r="P596" s="132">
        <f>P28+P47+P59+P89+P127+P135+P149+P163+P168+P172+P217+P226+P235+P320+P433+P448+P464+P492</f>
        <v>1855118.2200000002</v>
      </c>
      <c r="Q596" s="132" t="s">
        <v>1162</v>
      </c>
      <c r="R596" s="134" t="s">
        <v>1162</v>
      </c>
      <c r="S596" s="2"/>
      <c r="T596" s="2"/>
      <c r="U596" s="2"/>
      <c r="V596" s="2"/>
      <c r="W596" s="2"/>
    </row>
    <row r="597" spans="1:23" s="122" customFormat="1" ht="8.25" customHeight="1">
      <c r="D597" s="135"/>
      <c r="E597" s="136"/>
      <c r="F597" s="136"/>
      <c r="G597" s="136"/>
      <c r="H597" s="136"/>
      <c r="I597" s="136"/>
      <c r="J597" s="137"/>
      <c r="K597" s="137"/>
      <c r="L597" s="137"/>
      <c r="M597" s="137"/>
      <c r="N597" s="137"/>
      <c r="O597" s="138"/>
      <c r="P597" s="139"/>
      <c r="Q597" s="139"/>
      <c r="R597" s="137"/>
    </row>
    <row r="598" spans="1:23" s="122" customFormat="1" ht="15.75" customHeight="1">
      <c r="B598" s="140" t="s">
        <v>1163</v>
      </c>
      <c r="C598" s="141" t="s">
        <v>1164</v>
      </c>
      <c r="D598" s="534" t="s">
        <v>1165</v>
      </c>
      <c r="E598" s="534"/>
      <c r="F598" s="142" t="s">
        <v>1163</v>
      </c>
      <c r="G598" s="143" t="s">
        <v>1164</v>
      </c>
      <c r="H598" s="144"/>
      <c r="I598" s="534" t="s">
        <v>1165</v>
      </c>
      <c r="J598" s="534"/>
      <c r="K598" s="145"/>
      <c r="L598" s="142" t="s">
        <v>1166</v>
      </c>
      <c r="M598" s="142"/>
      <c r="N598" s="146"/>
      <c r="O598" s="535" t="s">
        <v>1167</v>
      </c>
      <c r="P598" s="535"/>
      <c r="Q598" s="535"/>
      <c r="R598" s="137"/>
    </row>
    <row r="599" spans="1:23" s="122" customFormat="1" ht="19.5" customHeight="1">
      <c r="B599" s="147" t="s">
        <v>1168</v>
      </c>
      <c r="C599" s="148" t="s">
        <v>1169</v>
      </c>
      <c r="D599" s="536">
        <f>TRUNC(35%*11%*N596,2)</f>
        <v>29137.75</v>
      </c>
      <c r="E599" s="536"/>
      <c r="F599" s="149" t="s">
        <v>1170</v>
      </c>
      <c r="G599" s="150"/>
      <c r="H599" s="151"/>
      <c r="I599" s="537"/>
      <c r="J599" s="537"/>
      <c r="K599" s="152"/>
      <c r="L599" s="149" t="s">
        <v>1171</v>
      </c>
      <c r="M599" s="150" t="e">
        <f>#REF!</f>
        <v>#REF!</v>
      </c>
      <c r="N599" s="150"/>
      <c r="O599" s="535"/>
      <c r="P599" s="535"/>
      <c r="Q599" s="535"/>
      <c r="R599" s="137"/>
    </row>
    <row r="600" spans="1:23" s="122" customFormat="1" ht="19.5" customHeight="1">
      <c r="B600" s="147" t="s">
        <v>1172</v>
      </c>
      <c r="C600" s="148" t="s">
        <v>1198</v>
      </c>
      <c r="D600" s="536">
        <f>E608</f>
        <v>26488.86</v>
      </c>
      <c r="E600" s="536"/>
      <c r="F600" s="149" t="s">
        <v>1174</v>
      </c>
      <c r="G600" s="150"/>
      <c r="H600" s="151"/>
      <c r="I600" s="537"/>
      <c r="J600" s="537"/>
      <c r="K600" s="152"/>
      <c r="L600" s="149" t="s">
        <v>1175</v>
      </c>
      <c r="M600" s="150" t="e">
        <f>#REF!</f>
        <v>#REF!</v>
      </c>
      <c r="N600" s="150"/>
      <c r="O600" s="538">
        <f>N596-D599-D600-D601-I599-I600-I601-N599-N600-N601</f>
        <v>701198.16</v>
      </c>
      <c r="P600" s="538"/>
      <c r="Q600" s="538"/>
      <c r="R600" s="137"/>
    </row>
    <row r="601" spans="1:23" ht="19.5" customHeight="1">
      <c r="A601" s="122"/>
      <c r="B601" s="153" t="s">
        <v>1176</v>
      </c>
      <c r="C601" s="154">
        <v>0</v>
      </c>
      <c r="D601" s="539"/>
      <c r="E601" s="539"/>
      <c r="F601" s="155" t="s">
        <v>1177</v>
      </c>
      <c r="G601" s="156"/>
      <c r="H601" s="157"/>
      <c r="I601" s="540"/>
      <c r="J601" s="540"/>
      <c r="K601" s="159"/>
      <c r="L601" s="155" t="s">
        <v>1178</v>
      </c>
      <c r="M601" s="158"/>
      <c r="N601" s="158"/>
      <c r="O601" s="538"/>
      <c r="P601" s="538"/>
      <c r="Q601" s="538"/>
      <c r="R601" s="137"/>
      <c r="S601" s="122"/>
      <c r="T601" s="122"/>
      <c r="U601" s="122"/>
      <c r="V601" s="122"/>
      <c r="W601" s="122"/>
    </row>
    <row r="602" spans="1:23">
      <c r="A602" s="122"/>
      <c r="B602" s="122"/>
      <c r="C602" s="122"/>
      <c r="D602" s="135"/>
      <c r="E602" s="136"/>
      <c r="F602" s="136"/>
      <c r="G602" s="136"/>
      <c r="H602" s="136"/>
      <c r="I602" s="136"/>
      <c r="J602" s="137"/>
      <c r="K602" s="137"/>
      <c r="L602" s="137"/>
      <c r="M602" s="137"/>
      <c r="N602" s="137"/>
      <c r="O602" s="137"/>
      <c r="P602" s="139"/>
      <c r="Q602" s="139"/>
      <c r="R602" s="137"/>
      <c r="S602" s="122"/>
      <c r="T602" s="122"/>
      <c r="U602" s="122"/>
      <c r="V602" s="122"/>
      <c r="W602" s="122"/>
    </row>
    <row r="603" spans="1:23">
      <c r="A603" s="122"/>
      <c r="B603" s="122"/>
      <c r="C603" s="122"/>
      <c r="D603" s="135"/>
      <c r="E603" s="136"/>
      <c r="F603" s="136"/>
      <c r="G603" s="136"/>
      <c r="H603" s="136"/>
      <c r="I603" s="136"/>
      <c r="J603" s="137"/>
      <c r="K603" s="137"/>
      <c r="L603" s="137"/>
      <c r="M603" s="137"/>
      <c r="N603" s="137"/>
      <c r="O603" s="137"/>
      <c r="P603" s="139"/>
      <c r="Q603" s="139"/>
      <c r="R603" s="137"/>
      <c r="S603" s="122"/>
      <c r="T603" s="122"/>
      <c r="U603" s="122"/>
      <c r="V603" s="122"/>
      <c r="W603" s="122"/>
    </row>
    <row r="604" spans="1:23" ht="27.75" customHeight="1">
      <c r="A604" s="122"/>
      <c r="B604" s="122"/>
      <c r="C604" s="541" t="s">
        <v>1179</v>
      </c>
      <c r="D604" s="541"/>
      <c r="E604" s="541"/>
      <c r="F604" s="136"/>
      <c r="G604" s="136"/>
      <c r="H604" s="136"/>
      <c r="I604" s="136"/>
      <c r="J604" s="137"/>
      <c r="K604" s="137"/>
      <c r="L604" s="137"/>
      <c r="M604" s="137"/>
      <c r="N604" s="137"/>
      <c r="O604" s="137"/>
      <c r="P604" s="139"/>
      <c r="Q604" s="139"/>
      <c r="R604" s="137"/>
      <c r="S604" s="122"/>
      <c r="T604" s="122"/>
      <c r="U604" s="122"/>
      <c r="V604" s="122"/>
      <c r="W604" s="122"/>
    </row>
    <row r="605" spans="1:23" ht="24.75" customHeight="1">
      <c r="A605" s="122"/>
      <c r="B605" s="122"/>
      <c r="C605" s="542" t="s">
        <v>1180</v>
      </c>
      <c r="D605" s="542"/>
      <c r="E605" s="160">
        <f>N596</f>
        <v>756824.77</v>
      </c>
      <c r="F605" s="136"/>
      <c r="G605" s="136"/>
      <c r="H605" s="136"/>
      <c r="I605" s="136"/>
      <c r="J605" s="137"/>
      <c r="K605" s="137"/>
      <c r="L605" s="137"/>
      <c r="M605" s="137"/>
      <c r="N605" s="137"/>
      <c r="O605" s="137"/>
      <c r="P605" s="139"/>
      <c r="Q605" s="139"/>
      <c r="R605" s="137"/>
      <c r="S605" s="122"/>
      <c r="T605" s="122"/>
      <c r="U605" s="122"/>
      <c r="V605" s="122"/>
      <c r="W605" s="122"/>
    </row>
    <row r="606" spans="1:23" ht="24.75" customHeight="1">
      <c r="A606" s="122"/>
      <c r="B606" s="122"/>
      <c r="C606" s="543" t="s">
        <v>1183</v>
      </c>
      <c r="D606" s="543"/>
      <c r="E606" s="162">
        <f>0.7*E605</f>
        <v>529777.33900000004</v>
      </c>
      <c r="F606" s="136"/>
      <c r="G606" s="136"/>
      <c r="H606" s="136"/>
      <c r="I606" s="136"/>
      <c r="J606" s="137"/>
      <c r="K606" s="137"/>
      <c r="L606" s="137"/>
      <c r="M606" s="137"/>
      <c r="N606" s="137"/>
      <c r="O606" s="137"/>
      <c r="P606" s="139"/>
      <c r="Q606" s="139"/>
      <c r="R606" s="137"/>
      <c r="S606" s="122"/>
      <c r="T606" s="122"/>
      <c r="U606" s="122"/>
      <c r="V606" s="122"/>
      <c r="W606" s="122"/>
    </row>
    <row r="607" spans="1:23" ht="24.75" customHeight="1">
      <c r="A607" s="122"/>
      <c r="B607" s="122"/>
      <c r="C607" s="543" t="s">
        <v>1184</v>
      </c>
      <c r="D607" s="543"/>
      <c r="E607" s="163">
        <f>E606/E605</f>
        <v>0.70000000000000007</v>
      </c>
      <c r="F607" s="136"/>
      <c r="G607" s="136"/>
      <c r="H607" s="136"/>
      <c r="I607" s="136"/>
      <c r="J607" s="137"/>
      <c r="K607" s="137"/>
      <c r="L607" s="137"/>
      <c r="M607" s="137"/>
      <c r="N607" s="137"/>
      <c r="O607" s="137"/>
      <c r="P607" s="139"/>
      <c r="Q607" s="139"/>
      <c r="R607" s="137"/>
      <c r="S607" s="122"/>
      <c r="T607" s="122"/>
      <c r="U607" s="122"/>
      <c r="V607" s="122"/>
      <c r="W607" s="122"/>
    </row>
    <row r="608" spans="1:23" ht="24.75" customHeight="1">
      <c r="A608" s="122"/>
      <c r="B608" s="122"/>
      <c r="C608" s="545" t="s">
        <v>1185</v>
      </c>
      <c r="D608" s="545"/>
      <c r="E608" s="164">
        <f>TRUNC(E606*5%,2)</f>
        <v>26488.86</v>
      </c>
      <c r="F608" s="136"/>
      <c r="G608" s="136"/>
      <c r="H608" s="136"/>
      <c r="I608" s="136"/>
      <c r="J608" s="137"/>
      <c r="K608" s="137"/>
      <c r="L608" s="137"/>
      <c r="M608" s="137"/>
      <c r="N608" s="137"/>
      <c r="O608" s="137"/>
      <c r="P608" s="139"/>
      <c r="Q608" s="139"/>
      <c r="R608" s="137"/>
      <c r="S608" s="122"/>
      <c r="T608" s="122"/>
      <c r="U608" s="122"/>
      <c r="V608" s="122"/>
      <c r="W608" s="122"/>
    </row>
    <row r="610" spans="3:20" ht="19.5" customHeight="1">
      <c r="C610" s="546" t="s">
        <v>1186</v>
      </c>
      <c r="D610" s="546"/>
      <c r="E610" s="546"/>
      <c r="F610" s="546"/>
      <c r="G610" s="546"/>
      <c r="J610" s="4"/>
      <c r="N610" s="546" t="s">
        <v>1187</v>
      </c>
      <c r="O610" s="546"/>
      <c r="P610" s="546"/>
      <c r="Q610" s="546"/>
      <c r="R610" s="546"/>
      <c r="S610" s="5"/>
    </row>
    <row r="611" spans="3:20" ht="19.5" customHeight="1">
      <c r="C611" s="548" t="s">
        <v>1188</v>
      </c>
      <c r="D611" s="548"/>
      <c r="E611" s="168">
        <v>45390</v>
      </c>
      <c r="F611" s="166" t="s">
        <v>1189</v>
      </c>
      <c r="G611" s="167">
        <v>157132.10999999999</v>
      </c>
      <c r="J611" s="4"/>
      <c r="K611" s="4"/>
      <c r="N611" s="548" t="s">
        <v>1190</v>
      </c>
      <c r="O611" s="548"/>
      <c r="P611" s="168">
        <v>44973</v>
      </c>
      <c r="Q611" s="169" t="s">
        <v>1162</v>
      </c>
      <c r="R611" s="225"/>
      <c r="S611" s="6"/>
      <c r="T611" s="5"/>
    </row>
    <row r="612" spans="3:20" ht="19.5" customHeight="1">
      <c r="C612" s="549" t="s">
        <v>1191</v>
      </c>
      <c r="D612" s="549"/>
      <c r="E612" s="173">
        <v>45390</v>
      </c>
      <c r="F612" s="171" t="s">
        <v>1189</v>
      </c>
      <c r="G612" s="172">
        <v>12663.81</v>
      </c>
      <c r="J612" s="4"/>
      <c r="K612" s="4"/>
      <c r="N612" s="549" t="s">
        <v>1199</v>
      </c>
      <c r="O612" s="549"/>
      <c r="P612" s="173">
        <v>44973</v>
      </c>
      <c r="Q612" s="171" t="s">
        <v>1162</v>
      </c>
      <c r="R612" s="172">
        <v>354202.96</v>
      </c>
      <c r="S612" s="6"/>
      <c r="T612" s="5"/>
    </row>
    <row r="613" spans="3:20" ht="19.5" customHeight="1">
      <c r="C613" s="549" t="s">
        <v>1200</v>
      </c>
      <c r="D613" s="549"/>
      <c r="E613" s="173">
        <v>45421</v>
      </c>
      <c r="F613" s="171" t="s">
        <v>1189</v>
      </c>
      <c r="G613" s="172">
        <v>60499.5</v>
      </c>
      <c r="J613" s="4"/>
      <c r="K613" s="4"/>
      <c r="N613" s="549" t="s">
        <v>1201</v>
      </c>
      <c r="O613" s="549"/>
      <c r="P613" s="173"/>
      <c r="Q613" s="171"/>
      <c r="R613" s="172">
        <v>119528.5</v>
      </c>
      <c r="S613" s="6"/>
      <c r="T613" s="5"/>
    </row>
    <row r="614" spans="3:20" ht="19.5" customHeight="1">
      <c r="C614" s="549" t="s">
        <v>1202</v>
      </c>
      <c r="D614" s="549"/>
      <c r="E614" s="173">
        <v>45446</v>
      </c>
      <c r="F614" s="171" t="s">
        <v>1203</v>
      </c>
      <c r="G614" s="172">
        <v>60640</v>
      </c>
      <c r="J614" s="4"/>
      <c r="K614" s="4"/>
      <c r="N614" s="549" t="s">
        <v>1250</v>
      </c>
      <c r="O614" s="549"/>
      <c r="P614" s="173"/>
      <c r="Q614" s="171"/>
      <c r="R614" s="172">
        <v>155349.44</v>
      </c>
      <c r="S614" s="6"/>
      <c r="T614" s="5"/>
    </row>
    <row r="615" spans="3:20" ht="19.5" customHeight="1">
      <c r="C615" s="549" t="s">
        <v>1204</v>
      </c>
      <c r="D615" s="549"/>
      <c r="E615" s="173">
        <v>45446</v>
      </c>
      <c r="F615" s="171" t="s">
        <v>1203</v>
      </c>
      <c r="G615" s="172">
        <v>15160</v>
      </c>
      <c r="J615" s="4"/>
      <c r="K615" s="4"/>
      <c r="N615" s="549" t="s">
        <v>1431</v>
      </c>
      <c r="O615" s="549"/>
      <c r="P615" s="173"/>
      <c r="Q615" s="171"/>
      <c r="R615" s="172">
        <f>SUM(N593:N595)</f>
        <v>118394.27</v>
      </c>
      <c r="S615" s="6"/>
      <c r="T615" s="5"/>
    </row>
    <row r="616" spans="3:20" ht="19.5" customHeight="1">
      <c r="C616" s="549" t="s">
        <v>1205</v>
      </c>
      <c r="D616" s="549"/>
      <c r="E616" s="173">
        <v>45447</v>
      </c>
      <c r="F616" s="171" t="s">
        <v>1203</v>
      </c>
      <c r="G616" s="172">
        <v>193505</v>
      </c>
      <c r="J616" s="4"/>
      <c r="K616" s="4"/>
      <c r="N616" s="549"/>
      <c r="O616" s="549"/>
      <c r="P616" s="173"/>
      <c r="Q616" s="171"/>
      <c r="R616" s="172"/>
      <c r="S616" s="6"/>
      <c r="T616" s="5"/>
    </row>
    <row r="617" spans="3:20" ht="19.5" customHeight="1">
      <c r="C617" s="549" t="s">
        <v>1206</v>
      </c>
      <c r="D617" s="549"/>
      <c r="E617" s="173">
        <v>45457</v>
      </c>
      <c r="F617" s="171" t="s">
        <v>1189</v>
      </c>
      <c r="G617" s="172">
        <v>101107.04</v>
      </c>
      <c r="J617" s="4"/>
      <c r="K617" s="4"/>
      <c r="N617" s="549"/>
      <c r="O617" s="549"/>
      <c r="P617" s="173"/>
      <c r="Q617" s="171"/>
      <c r="R617" s="172"/>
      <c r="S617" s="6"/>
      <c r="T617" s="5"/>
    </row>
    <row r="618" spans="3:20" ht="19.5" customHeight="1">
      <c r="C618" s="549" t="s">
        <v>1251</v>
      </c>
      <c r="D618" s="549"/>
      <c r="E618" s="173">
        <v>45462</v>
      </c>
      <c r="F618" s="171" t="s">
        <v>1203</v>
      </c>
      <c r="G618" s="172">
        <v>37190</v>
      </c>
      <c r="J618" s="4"/>
      <c r="K618" s="4"/>
      <c r="N618" s="549"/>
      <c r="O618" s="549"/>
      <c r="P618" s="173"/>
      <c r="Q618" s="171"/>
      <c r="R618" s="172"/>
      <c r="S618" s="6"/>
      <c r="T618" s="5"/>
    </row>
    <row r="619" spans="3:20" ht="19.5" customHeight="1">
      <c r="C619" s="549" t="s">
        <v>1252</v>
      </c>
      <c r="D619" s="549"/>
      <c r="E619" s="173">
        <v>45463</v>
      </c>
      <c r="F619" s="171" t="s">
        <v>1189</v>
      </c>
      <c r="G619" s="172">
        <v>21981.17</v>
      </c>
      <c r="J619" s="4"/>
      <c r="K619" s="4"/>
      <c r="N619" s="549"/>
      <c r="O619" s="549"/>
      <c r="P619" s="173"/>
      <c r="Q619" s="171"/>
      <c r="R619" s="172"/>
      <c r="S619" s="6"/>
      <c r="T619" s="5"/>
    </row>
    <row r="620" spans="3:20" ht="19.5" customHeight="1">
      <c r="C620" s="549" t="s">
        <v>1253</v>
      </c>
      <c r="D620" s="549"/>
      <c r="E620" s="173">
        <v>45463</v>
      </c>
      <c r="F620" s="171" t="s">
        <v>1203</v>
      </c>
      <c r="G620" s="172">
        <v>65870.5</v>
      </c>
      <c r="J620" s="4"/>
      <c r="K620" s="4"/>
      <c r="N620" s="550"/>
      <c r="O620" s="550"/>
      <c r="P620" s="175"/>
      <c r="Q620" s="176"/>
      <c r="R620" s="177"/>
      <c r="S620" s="6"/>
      <c r="T620" s="5"/>
    </row>
    <row r="621" spans="3:20" ht="19.5" customHeight="1">
      <c r="C621" s="549" t="s">
        <v>1254</v>
      </c>
      <c r="D621" s="549"/>
      <c r="E621" s="173">
        <v>45463</v>
      </c>
      <c r="F621" s="171" t="s">
        <v>1203</v>
      </c>
      <c r="G621" s="172">
        <v>16468</v>
      </c>
      <c r="J621" s="4"/>
      <c r="K621" s="4"/>
      <c r="N621" s="179"/>
      <c r="O621" s="180"/>
      <c r="P621" s="180"/>
      <c r="Q621" s="180"/>
      <c r="R621" s="181">
        <f>SUM(R611:R620)</f>
        <v>747475.17</v>
      </c>
      <c r="S621" s="6"/>
      <c r="T621" s="5"/>
    </row>
    <row r="622" spans="3:20" ht="19.5" customHeight="1">
      <c r="C622" s="549" t="s">
        <v>1321</v>
      </c>
      <c r="D622" s="549"/>
      <c r="E622" s="173">
        <v>45502</v>
      </c>
      <c r="F622" s="171" t="s">
        <v>1189</v>
      </c>
      <c r="G622" s="172">
        <v>75035.899999999994</v>
      </c>
      <c r="J622" s="4"/>
      <c r="K622" s="4"/>
      <c r="S622" s="6"/>
      <c r="T622" s="5"/>
    </row>
    <row r="623" spans="3:20" ht="19.5" customHeight="1">
      <c r="C623" s="549" t="s">
        <v>1322</v>
      </c>
      <c r="D623" s="549"/>
      <c r="E623" s="173">
        <v>45503</v>
      </c>
      <c r="F623" s="171" t="s">
        <v>1189</v>
      </c>
      <c r="G623" s="172">
        <v>3201.96</v>
      </c>
      <c r="J623" s="4"/>
      <c r="K623" s="4"/>
      <c r="R623" s="183"/>
      <c r="S623" s="6"/>
      <c r="T623" s="5"/>
    </row>
    <row r="624" spans="3:20" ht="19.5" customHeight="1">
      <c r="C624" s="549" t="s">
        <v>1323</v>
      </c>
      <c r="D624" s="549"/>
      <c r="E624" s="173">
        <v>45506</v>
      </c>
      <c r="F624" s="171" t="s">
        <v>1324</v>
      </c>
      <c r="G624" s="172">
        <v>43780</v>
      </c>
      <c r="J624" s="4"/>
      <c r="K624" s="4"/>
      <c r="S624" s="6"/>
      <c r="T624" s="5"/>
    </row>
    <row r="625" spans="3:20" ht="19.5" customHeight="1">
      <c r="C625" s="549" t="s">
        <v>1325</v>
      </c>
      <c r="D625" s="549"/>
      <c r="E625" s="173">
        <v>45510</v>
      </c>
      <c r="F625" s="171" t="s">
        <v>1189</v>
      </c>
      <c r="G625" s="172">
        <v>13904.88</v>
      </c>
      <c r="J625" s="4"/>
      <c r="K625" s="4"/>
      <c r="S625" s="6"/>
      <c r="T625" s="5"/>
    </row>
    <row r="626" spans="3:20" ht="19.5" customHeight="1">
      <c r="C626" s="549" t="s">
        <v>1326</v>
      </c>
      <c r="D626" s="549"/>
      <c r="E626" s="173">
        <v>45516</v>
      </c>
      <c r="F626" s="171" t="s">
        <v>1189</v>
      </c>
      <c r="G626" s="172">
        <v>171.67</v>
      </c>
      <c r="J626" s="4"/>
      <c r="K626" s="4"/>
      <c r="S626" s="6"/>
      <c r="T626" s="5"/>
    </row>
    <row r="627" spans="3:20" ht="19.5" customHeight="1">
      <c r="C627" s="549" t="s">
        <v>1327</v>
      </c>
      <c r="D627" s="549"/>
      <c r="E627" s="173">
        <v>45516</v>
      </c>
      <c r="F627" s="171" t="s">
        <v>1189</v>
      </c>
      <c r="G627" s="172">
        <v>29223.439999999999</v>
      </c>
      <c r="J627" s="4"/>
      <c r="K627" s="4"/>
      <c r="S627" s="6"/>
      <c r="T627" s="5"/>
    </row>
    <row r="628" spans="3:20" ht="19.5" customHeight="1">
      <c r="C628" s="549" t="s">
        <v>1328</v>
      </c>
      <c r="D628" s="549"/>
      <c r="E628" s="173">
        <v>45518</v>
      </c>
      <c r="F628" s="171" t="s">
        <v>1189</v>
      </c>
      <c r="G628" s="172">
        <v>7038.13</v>
      </c>
      <c r="J628" s="4"/>
      <c r="K628" s="4"/>
      <c r="S628" s="6"/>
      <c r="T628" s="5"/>
    </row>
    <row r="629" spans="3:20" ht="19.5" customHeight="1">
      <c r="C629" s="549"/>
      <c r="D629" s="549"/>
      <c r="E629" s="173"/>
      <c r="F629" s="171"/>
      <c r="G629" s="172"/>
      <c r="J629" s="4"/>
      <c r="K629" s="4"/>
      <c r="S629" s="6"/>
      <c r="T629" s="5"/>
    </row>
    <row r="630" spans="3:20" ht="19.5" customHeight="1">
      <c r="C630" s="549"/>
      <c r="D630" s="549"/>
      <c r="E630" s="173"/>
      <c r="F630" s="171"/>
      <c r="G630" s="172"/>
      <c r="J630" s="4"/>
      <c r="K630" s="4"/>
      <c r="S630" s="6"/>
      <c r="T630" s="5"/>
    </row>
    <row r="631" spans="3:20" ht="19.5" customHeight="1">
      <c r="C631" s="549"/>
      <c r="D631" s="549"/>
      <c r="E631" s="173"/>
      <c r="F631" s="171"/>
      <c r="G631" s="172"/>
      <c r="J631" s="4"/>
      <c r="K631" s="4"/>
      <c r="S631" s="6"/>
      <c r="T631" s="5"/>
    </row>
    <row r="632" spans="3:20" ht="19.5" customHeight="1">
      <c r="C632" s="549"/>
      <c r="D632" s="549"/>
      <c r="E632" s="173"/>
      <c r="F632" s="171"/>
      <c r="G632" s="172"/>
      <c r="J632" s="4"/>
      <c r="K632" s="4"/>
      <c r="S632" s="6"/>
      <c r="T632" s="5"/>
    </row>
    <row r="633" spans="3:20" ht="19.5" customHeight="1">
      <c r="C633" s="550"/>
      <c r="D633" s="550"/>
      <c r="E633" s="175"/>
      <c r="F633" s="176"/>
      <c r="G633" s="177"/>
      <c r="J633" s="4"/>
      <c r="K633" s="4"/>
      <c r="S633" s="6"/>
      <c r="T633" s="5"/>
    </row>
    <row r="634" spans="3:20" ht="19.5" customHeight="1">
      <c r="C634" s="179"/>
      <c r="D634" s="180"/>
      <c r="E634" s="180"/>
      <c r="F634" s="180"/>
      <c r="G634" s="181">
        <f>SUM(G611:G633)</f>
        <v>914573.11</v>
      </c>
      <c r="J634" s="4"/>
      <c r="K634" s="4"/>
      <c r="S634" s="6"/>
      <c r="T634" s="5"/>
    </row>
    <row r="637" spans="3:20" ht="28.8">
      <c r="C637" s="226" t="s">
        <v>1255</v>
      </c>
      <c r="D637" s="560" t="s">
        <v>1256</v>
      </c>
      <c r="E637" s="560"/>
      <c r="F637" s="560"/>
      <c r="G637" s="227" t="s">
        <v>1257</v>
      </c>
      <c r="H637" s="5"/>
      <c r="I637" s="228" t="s">
        <v>1258</v>
      </c>
      <c r="J637" s="229" t="s">
        <v>1259</v>
      </c>
    </row>
    <row r="638" spans="3:20">
      <c r="C638" s="230" t="s">
        <v>1260</v>
      </c>
      <c r="D638" s="564">
        <f>'BM 004'!D638:F638+N593</f>
        <v>388833.5</v>
      </c>
      <c r="E638" s="564"/>
      <c r="F638" s="564"/>
      <c r="G638" s="232" t="s">
        <v>1261</v>
      </c>
      <c r="H638" s="2"/>
      <c r="I638" s="233">
        <f>SUMIF($F$611:$F$633,G638,$G$611:$G$633)</f>
        <v>388833.5</v>
      </c>
      <c r="J638" s="233">
        <f t="shared" ref="J638:J648" si="244">I638-D638</f>
        <v>0</v>
      </c>
    </row>
    <row r="639" spans="3:20">
      <c r="C639" s="234" t="s">
        <v>1329</v>
      </c>
      <c r="D639" s="561">
        <f>'BM 004'!D639:F639+N594</f>
        <v>314861.67</v>
      </c>
      <c r="E639" s="561"/>
      <c r="F639" s="561"/>
      <c r="G639" s="235" t="s">
        <v>1263</v>
      </c>
      <c r="H639" s="2"/>
      <c r="I639" s="236">
        <f>SUMIF($F$611:$F$633,G639,$G$611:$G$633)</f>
        <v>481959.60999999993</v>
      </c>
      <c r="J639" s="236">
        <f t="shared" si="244"/>
        <v>167097.93999999994</v>
      </c>
    </row>
    <row r="640" spans="3:20">
      <c r="C640" s="234" t="s">
        <v>1330</v>
      </c>
      <c r="D640" s="561">
        <f>'BM 004'!D640:F640+N595</f>
        <v>43780</v>
      </c>
      <c r="E640" s="561"/>
      <c r="F640" s="561"/>
      <c r="G640" s="235" t="s">
        <v>1331</v>
      </c>
      <c r="H640" s="2"/>
      <c r="I640" s="236">
        <f>SUMIF($F$611:$F$633,G640,$G$611:$G$633)</f>
        <v>43780</v>
      </c>
      <c r="J640" s="236">
        <f t="shared" si="244"/>
        <v>0</v>
      </c>
    </row>
    <row r="641" spans="3:10">
      <c r="C641" s="234"/>
      <c r="D641" s="561"/>
      <c r="E641" s="561"/>
      <c r="F641" s="561"/>
      <c r="G641" s="235" t="s">
        <v>1265</v>
      </c>
      <c r="H641" s="2"/>
      <c r="I641" s="236">
        <f t="shared" ref="I641:I648" si="245">SUMIF($G$663:$G$701,G641,$H$663:$I$701)</f>
        <v>0</v>
      </c>
      <c r="J641" s="236">
        <f t="shared" si="244"/>
        <v>0</v>
      </c>
    </row>
    <row r="642" spans="3:10">
      <c r="C642" s="234"/>
      <c r="D642" s="561"/>
      <c r="E642" s="561"/>
      <c r="F642" s="561"/>
      <c r="G642" s="237" t="s">
        <v>1266</v>
      </c>
      <c r="H642" s="2"/>
      <c r="I642" s="238">
        <f t="shared" si="245"/>
        <v>0</v>
      </c>
      <c r="J642" s="236">
        <f t="shared" si="244"/>
        <v>0</v>
      </c>
    </row>
    <row r="643" spans="3:10">
      <c r="C643" s="234"/>
      <c r="D643" s="561"/>
      <c r="E643" s="561"/>
      <c r="F643" s="561"/>
      <c r="G643" s="237" t="s">
        <v>1267</v>
      </c>
      <c r="H643" s="2"/>
      <c r="I643" s="238">
        <f t="shared" si="245"/>
        <v>0</v>
      </c>
      <c r="J643" s="236">
        <f t="shared" si="244"/>
        <v>0</v>
      </c>
    </row>
    <row r="644" spans="3:10">
      <c r="C644" s="234"/>
      <c r="D644" s="561"/>
      <c r="E644" s="561"/>
      <c r="F644" s="561"/>
      <c r="G644" s="237" t="s">
        <v>1268</v>
      </c>
      <c r="H644" s="2"/>
      <c r="I644" s="238">
        <f t="shared" si="245"/>
        <v>0</v>
      </c>
      <c r="J644" s="236">
        <f t="shared" si="244"/>
        <v>0</v>
      </c>
    </row>
    <row r="645" spans="3:10">
      <c r="C645" s="234"/>
      <c r="D645" s="561"/>
      <c r="E645" s="561"/>
      <c r="F645" s="561"/>
      <c r="G645" s="237" t="s">
        <v>1269</v>
      </c>
      <c r="H645" s="2"/>
      <c r="I645" s="238">
        <f t="shared" si="245"/>
        <v>0</v>
      </c>
      <c r="J645" s="236">
        <f t="shared" si="244"/>
        <v>0</v>
      </c>
    </row>
    <row r="646" spans="3:10">
      <c r="C646" s="234"/>
      <c r="D646" s="561"/>
      <c r="E646" s="561"/>
      <c r="F646" s="561"/>
      <c r="G646" s="237"/>
      <c r="H646" s="2"/>
      <c r="I646" s="238">
        <f t="shared" si="245"/>
        <v>0</v>
      </c>
      <c r="J646" s="236">
        <f t="shared" si="244"/>
        <v>0</v>
      </c>
    </row>
    <row r="647" spans="3:10">
      <c r="C647" s="234"/>
      <c r="D647" s="561"/>
      <c r="E647" s="561"/>
      <c r="F647" s="561"/>
      <c r="G647" s="237"/>
      <c r="H647" s="2"/>
      <c r="I647" s="238">
        <f t="shared" si="245"/>
        <v>0</v>
      </c>
      <c r="J647" s="236">
        <f t="shared" si="244"/>
        <v>0</v>
      </c>
    </row>
    <row r="648" spans="3:10">
      <c r="C648" s="239"/>
      <c r="D648" s="562"/>
      <c r="E648" s="562"/>
      <c r="F648" s="562"/>
      <c r="G648" s="240"/>
      <c r="H648" s="2"/>
      <c r="I648" s="241">
        <f t="shared" si="245"/>
        <v>0</v>
      </c>
      <c r="J648" s="241">
        <f t="shared" si="244"/>
        <v>0</v>
      </c>
    </row>
    <row r="649" spans="3:10">
      <c r="D649" s="563">
        <f>SUM(D638:F648)</f>
        <v>747475.16999999993</v>
      </c>
      <c r="E649" s="563"/>
      <c r="F649" s="563"/>
      <c r="H649" s="2"/>
      <c r="I649" s="242">
        <f>SUM(I638:I648)</f>
        <v>914573.10999999987</v>
      </c>
      <c r="J649" s="242">
        <f>SUM(J638:J648)</f>
        <v>167097.93999999994</v>
      </c>
    </row>
  </sheetData>
  <mergeCells count="132">
    <mergeCell ref="D647:F647"/>
    <mergeCell ref="D648:F648"/>
    <mergeCell ref="D649:F649"/>
    <mergeCell ref="D638:F638"/>
    <mergeCell ref="D639:F639"/>
    <mergeCell ref="D640:F640"/>
    <mergeCell ref="D641:F641"/>
    <mergeCell ref="D642:F642"/>
    <mergeCell ref="D643:F643"/>
    <mergeCell ref="D644:F644"/>
    <mergeCell ref="D645:F645"/>
    <mergeCell ref="D646:F646"/>
    <mergeCell ref="C626:D626"/>
    <mergeCell ref="C627:D627"/>
    <mergeCell ref="C628:D628"/>
    <mergeCell ref="C629:D629"/>
    <mergeCell ref="C630:D630"/>
    <mergeCell ref="C631:D631"/>
    <mergeCell ref="C632:D632"/>
    <mergeCell ref="C633:D633"/>
    <mergeCell ref="D637:F637"/>
    <mergeCell ref="C619:D619"/>
    <mergeCell ref="N619:O619"/>
    <mergeCell ref="C620:D620"/>
    <mergeCell ref="N620:O620"/>
    <mergeCell ref="C621:D621"/>
    <mergeCell ref="C622:D622"/>
    <mergeCell ref="C623:D623"/>
    <mergeCell ref="C624:D624"/>
    <mergeCell ref="C625:D625"/>
    <mergeCell ref="C614:D614"/>
    <mergeCell ref="N614:O614"/>
    <mergeCell ref="C615:D615"/>
    <mergeCell ref="N615:O615"/>
    <mergeCell ref="C616:D616"/>
    <mergeCell ref="N616:O616"/>
    <mergeCell ref="C617:D617"/>
    <mergeCell ref="N617:O617"/>
    <mergeCell ref="C618:D618"/>
    <mergeCell ref="N618:O618"/>
    <mergeCell ref="C608:D608"/>
    <mergeCell ref="C610:G610"/>
    <mergeCell ref="N610:R610"/>
    <mergeCell ref="C611:D611"/>
    <mergeCell ref="N611:O611"/>
    <mergeCell ref="C612:D612"/>
    <mergeCell ref="N612:O612"/>
    <mergeCell ref="C613:D613"/>
    <mergeCell ref="N613:O613"/>
    <mergeCell ref="D600:E600"/>
    <mergeCell ref="I600:J600"/>
    <mergeCell ref="O600:Q601"/>
    <mergeCell ref="D601:E601"/>
    <mergeCell ref="I601:J601"/>
    <mergeCell ref="C604:E604"/>
    <mergeCell ref="C605:D605"/>
    <mergeCell ref="C606:D606"/>
    <mergeCell ref="C607:D607"/>
    <mergeCell ref="B592:L592"/>
    <mergeCell ref="B593:L593"/>
    <mergeCell ref="B594:L594"/>
    <mergeCell ref="B595:L595"/>
    <mergeCell ref="B596:L596"/>
    <mergeCell ref="D598:E598"/>
    <mergeCell ref="I598:J598"/>
    <mergeCell ref="O598:Q599"/>
    <mergeCell ref="D599:E599"/>
    <mergeCell ref="I599:J599"/>
    <mergeCell ref="B22:C22"/>
    <mergeCell ref="D22:J22"/>
    <mergeCell ref="L22:O22"/>
    <mergeCell ref="P22:R22"/>
    <mergeCell ref="B23:R23"/>
    <mergeCell ref="B25:B26"/>
    <mergeCell ref="C25:C26"/>
    <mergeCell ref="D25:D26"/>
    <mergeCell ref="E25:J25"/>
    <mergeCell ref="N25:R25"/>
    <mergeCell ref="B19:C19"/>
    <mergeCell ref="D19:J19"/>
    <mergeCell ref="L19:O19"/>
    <mergeCell ref="P19:R19"/>
    <mergeCell ref="B20:C20"/>
    <mergeCell ref="D20:J20"/>
    <mergeCell ref="L20:O20"/>
    <mergeCell ref="P20:R20"/>
    <mergeCell ref="B21:C21"/>
    <mergeCell ref="D21:J21"/>
    <mergeCell ref="L21:O21"/>
    <mergeCell ref="P21:R21"/>
    <mergeCell ref="B15:C15"/>
    <mergeCell ref="D15:G15"/>
    <mergeCell ref="I15:J15"/>
    <mergeCell ref="L15:N15"/>
    <mergeCell ref="P15:R15"/>
    <mergeCell ref="B16:R16"/>
    <mergeCell ref="B17:R17"/>
    <mergeCell ref="B18:C18"/>
    <mergeCell ref="D18:J18"/>
    <mergeCell ref="L18:O18"/>
    <mergeCell ref="P18:R18"/>
    <mergeCell ref="B13:C13"/>
    <mergeCell ref="D13:J13"/>
    <mergeCell ref="L13:O13"/>
    <mergeCell ref="P13:R13"/>
    <mergeCell ref="B14:C14"/>
    <mergeCell ref="D14:G14"/>
    <mergeCell ref="I14:J14"/>
    <mergeCell ref="L14:N14"/>
    <mergeCell ref="P14:R14"/>
    <mergeCell ref="B10:C10"/>
    <mergeCell ref="D10:J10"/>
    <mergeCell ref="L10:O10"/>
    <mergeCell ref="P10:R10"/>
    <mergeCell ref="B11:C11"/>
    <mergeCell ref="D11:J11"/>
    <mergeCell ref="L11:O11"/>
    <mergeCell ref="P11:R11"/>
    <mergeCell ref="B12:C12"/>
    <mergeCell ref="D12:G12"/>
    <mergeCell ref="I12:J12"/>
    <mergeCell ref="L12:N12"/>
    <mergeCell ref="P12:R12"/>
    <mergeCell ref="B2:R2"/>
    <mergeCell ref="B3:R3"/>
    <mergeCell ref="B4:R4"/>
    <mergeCell ref="B5:R5"/>
    <mergeCell ref="B6:R6"/>
    <mergeCell ref="B7:R7"/>
    <mergeCell ref="B8:R8"/>
    <mergeCell ref="B9:C9"/>
    <mergeCell ref="D9:R9"/>
  </mergeCells>
  <conditionalFormatting sqref="R27:R590">
    <cfRule type="cellIs" dxfId="9" priority="2" operator="lessThan">
      <formula>0</formula>
    </cfRule>
  </conditionalFormatting>
  <printOptions horizontalCentered="1"/>
  <pageMargins left="0.51180555555555596" right="0.51180555555555596" top="0.78749999999999998" bottom="1.1812499999999999" header="0.511811023622047" footer="0.511811023622047"/>
  <pageSetup paperSize="9" scale="38" fitToHeight="26" orientation="portrait" horizontalDpi="300" verticalDpi="300" r:id="rId1"/>
  <colBreaks count="1" manualBreakCount="1">
    <brk id="1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1"/>
  <sheetViews>
    <sheetView view="pageBreakPreview" topLeftCell="C592" zoomScale="75" zoomScaleNormal="70" zoomScalePageLayoutView="75" workbookViewId="0">
      <selection activeCell="D640" sqref="D640"/>
    </sheetView>
  </sheetViews>
  <sheetFormatPr defaultColWidth="9.109375" defaultRowHeight="14.4"/>
  <cols>
    <col min="1" max="1" width="3.6640625" style="2" hidden="1" customWidth="1"/>
    <col min="2" max="2" width="11.33203125" style="2" customWidth="1"/>
    <col min="3" max="3" width="40.33203125" style="2" customWidth="1"/>
    <col min="4" max="4" width="5.88671875" style="3" customWidth="1"/>
    <col min="5" max="5" width="15.33203125" style="4" customWidth="1"/>
    <col min="6" max="6" width="15.109375" style="4" customWidth="1"/>
    <col min="7" max="7" width="18" style="4" customWidth="1"/>
    <col min="8" max="8" width="4.44140625" style="4" hidden="1" customWidth="1"/>
    <col min="9" max="9" width="14.5546875" style="4" customWidth="1"/>
    <col min="10" max="10" width="14.33203125" style="5" customWidth="1"/>
    <col min="11" max="11" width="17" style="5" hidden="1" customWidth="1"/>
    <col min="12" max="12" width="15.88671875" style="5" customWidth="1"/>
    <col min="13" max="13" width="25.33203125" style="5" hidden="1" customWidth="1"/>
    <col min="14" max="15" width="23.5546875" style="5" customWidth="1"/>
    <col min="16" max="16" width="23.5546875" style="6" hidden="1" customWidth="1"/>
    <col min="17" max="17" width="23.5546875" style="6" customWidth="1"/>
    <col min="18" max="18" width="23.5546875" style="5" customWidth="1"/>
    <col min="19" max="19" width="3" style="2" customWidth="1"/>
    <col min="20" max="20" width="23.33203125" style="2" customWidth="1"/>
    <col min="21" max="21" width="22.6640625" style="2" customWidth="1"/>
    <col min="22" max="22" width="21.44140625" style="2" customWidth="1"/>
    <col min="23" max="23" width="17.109375" style="2" customWidth="1"/>
    <col min="24" max="16384" width="9.109375" style="2"/>
  </cols>
  <sheetData>
    <row r="1" spans="2:23" ht="6" customHeight="1"/>
    <row r="2" spans="2:23" ht="29.25" customHeight="1">
      <c r="B2" s="491"/>
      <c r="C2" s="491"/>
      <c r="D2" s="491"/>
      <c r="E2" s="491"/>
      <c r="F2" s="491"/>
      <c r="G2" s="491"/>
      <c r="H2" s="491"/>
      <c r="I2" s="491"/>
      <c r="J2" s="491"/>
      <c r="K2" s="491"/>
      <c r="L2" s="491"/>
      <c r="M2" s="491"/>
      <c r="N2" s="491"/>
      <c r="O2" s="491"/>
      <c r="P2" s="491"/>
      <c r="Q2" s="491"/>
      <c r="R2" s="491"/>
      <c r="S2" s="7"/>
    </row>
    <row r="3" spans="2:23" ht="29.25" customHeight="1">
      <c r="B3" s="492" t="s">
        <v>0</v>
      </c>
      <c r="C3" s="492"/>
      <c r="D3" s="492"/>
      <c r="E3" s="492"/>
      <c r="F3" s="492"/>
      <c r="G3" s="492"/>
      <c r="H3" s="492"/>
      <c r="I3" s="492"/>
      <c r="J3" s="492"/>
      <c r="K3" s="492"/>
      <c r="L3" s="492"/>
      <c r="M3" s="492"/>
      <c r="N3" s="492"/>
      <c r="O3" s="492"/>
      <c r="P3" s="492"/>
      <c r="Q3" s="492"/>
      <c r="R3" s="492"/>
      <c r="S3" s="7"/>
      <c r="W3" s="8"/>
    </row>
    <row r="4" spans="2:23" ht="29.25" customHeight="1">
      <c r="B4" s="493"/>
      <c r="C4" s="493"/>
      <c r="D4" s="493"/>
      <c r="E4" s="493"/>
      <c r="F4" s="493"/>
      <c r="G4" s="493"/>
      <c r="H4" s="493"/>
      <c r="I4" s="493"/>
      <c r="J4" s="493"/>
      <c r="K4" s="493"/>
      <c r="L4" s="493"/>
      <c r="M4" s="493"/>
      <c r="N4" s="493"/>
      <c r="O4" s="493"/>
      <c r="P4" s="493"/>
      <c r="Q4" s="493"/>
      <c r="R4" s="493"/>
      <c r="S4" s="9"/>
      <c r="T4" s="2">
        <v>12630000</v>
      </c>
    </row>
    <row r="5" spans="2:23" ht="8.25" customHeight="1">
      <c r="B5" s="494"/>
      <c r="C5" s="494"/>
      <c r="D5" s="494"/>
      <c r="E5" s="494"/>
      <c r="F5" s="494"/>
      <c r="G5" s="494"/>
      <c r="H5" s="494"/>
      <c r="I5" s="494"/>
      <c r="J5" s="494"/>
      <c r="K5" s="494"/>
      <c r="L5" s="494"/>
      <c r="M5" s="494"/>
      <c r="N5" s="494"/>
      <c r="O5" s="494"/>
      <c r="P5" s="494"/>
      <c r="Q5" s="494"/>
      <c r="R5" s="494"/>
      <c r="S5" s="9"/>
    </row>
    <row r="6" spans="2:23" ht="38.25" customHeight="1">
      <c r="B6" s="495" t="s">
        <v>1432</v>
      </c>
      <c r="C6" s="495"/>
      <c r="D6" s="495"/>
      <c r="E6" s="495"/>
      <c r="F6" s="495"/>
      <c r="G6" s="495"/>
      <c r="H6" s="495"/>
      <c r="I6" s="495"/>
      <c r="J6" s="495"/>
      <c r="K6" s="495"/>
      <c r="L6" s="495"/>
      <c r="M6" s="495"/>
      <c r="N6" s="495"/>
      <c r="O6" s="495"/>
      <c r="P6" s="495"/>
      <c r="Q6" s="495"/>
      <c r="R6" s="495"/>
      <c r="S6" s="7"/>
    </row>
    <row r="7" spans="2:23" ht="8.25" customHeight="1">
      <c r="B7" s="496"/>
      <c r="C7" s="496"/>
      <c r="D7" s="496"/>
      <c r="E7" s="496"/>
      <c r="F7" s="496"/>
      <c r="G7" s="496"/>
      <c r="H7" s="496"/>
      <c r="I7" s="496"/>
      <c r="J7" s="496"/>
      <c r="K7" s="496"/>
      <c r="L7" s="496"/>
      <c r="M7" s="496"/>
      <c r="N7" s="496"/>
      <c r="O7" s="496"/>
      <c r="P7" s="496"/>
      <c r="Q7" s="496"/>
      <c r="R7" s="496"/>
      <c r="S7" s="7"/>
    </row>
    <row r="8" spans="2:23" ht="25.5" customHeight="1">
      <c r="B8" s="497" t="s">
        <v>2</v>
      </c>
      <c r="C8" s="497"/>
      <c r="D8" s="497"/>
      <c r="E8" s="497"/>
      <c r="F8" s="497"/>
      <c r="G8" s="497"/>
      <c r="H8" s="497"/>
      <c r="I8" s="497"/>
      <c r="J8" s="497"/>
      <c r="K8" s="497"/>
      <c r="L8" s="497"/>
      <c r="M8" s="497"/>
      <c r="N8" s="497"/>
      <c r="O8" s="497"/>
      <c r="P8" s="497"/>
      <c r="Q8" s="497"/>
      <c r="R8" s="497"/>
      <c r="S8" s="7"/>
      <c r="T8" s="2">
        <f>480/30</f>
        <v>16</v>
      </c>
    </row>
    <row r="9" spans="2:23" s="10" customFormat="1" ht="31.5" customHeight="1">
      <c r="B9" s="498" t="s">
        <v>3</v>
      </c>
      <c r="C9" s="498"/>
      <c r="D9" s="499" t="s">
        <v>4</v>
      </c>
      <c r="E9" s="499"/>
      <c r="F9" s="499"/>
      <c r="G9" s="499"/>
      <c r="H9" s="499"/>
      <c r="I9" s="499"/>
      <c r="J9" s="499"/>
      <c r="K9" s="499"/>
      <c r="L9" s="499"/>
      <c r="M9" s="499"/>
      <c r="N9" s="499"/>
      <c r="O9" s="499"/>
      <c r="P9" s="499"/>
      <c r="Q9" s="499"/>
      <c r="R9" s="499"/>
      <c r="S9" s="11"/>
    </row>
    <row r="10" spans="2:23" s="10" customFormat="1" ht="31.5" customHeight="1">
      <c r="B10" s="498" t="s">
        <v>5</v>
      </c>
      <c r="C10" s="498"/>
      <c r="D10" s="500" t="s">
        <v>6</v>
      </c>
      <c r="E10" s="500"/>
      <c r="F10" s="500"/>
      <c r="G10" s="500"/>
      <c r="H10" s="500"/>
      <c r="I10" s="500"/>
      <c r="J10" s="500"/>
      <c r="K10" s="12"/>
      <c r="L10" s="501" t="s">
        <v>7</v>
      </c>
      <c r="M10" s="501"/>
      <c r="N10" s="501"/>
      <c r="O10" s="501"/>
      <c r="P10" s="502">
        <v>45383</v>
      </c>
      <c r="Q10" s="502"/>
      <c r="R10" s="502"/>
      <c r="S10" s="11"/>
    </row>
    <row r="11" spans="2:23" s="10" customFormat="1" ht="31.5" customHeight="1">
      <c r="B11" s="498" t="s">
        <v>8</v>
      </c>
      <c r="C11" s="498"/>
      <c r="D11" s="503" t="s">
        <v>9</v>
      </c>
      <c r="E11" s="503"/>
      <c r="F11" s="503"/>
      <c r="G11" s="503"/>
      <c r="H11" s="503"/>
      <c r="I11" s="503"/>
      <c r="J11" s="503"/>
      <c r="K11" s="12"/>
      <c r="L11" s="501" t="s">
        <v>10</v>
      </c>
      <c r="M11" s="501"/>
      <c r="N11" s="501"/>
      <c r="O11" s="501"/>
      <c r="P11" s="502">
        <f>P10+600</f>
        <v>45983</v>
      </c>
      <c r="Q11" s="502"/>
      <c r="R11" s="502"/>
      <c r="S11" s="11"/>
    </row>
    <row r="12" spans="2:23" s="10" customFormat="1" ht="36.75" customHeight="1">
      <c r="B12" s="504" t="s">
        <v>11</v>
      </c>
      <c r="C12" s="504"/>
      <c r="D12" s="505" t="s">
        <v>12</v>
      </c>
      <c r="E12" s="505"/>
      <c r="F12" s="505"/>
      <c r="G12" s="505"/>
      <c r="H12" s="13"/>
      <c r="I12" s="506"/>
      <c r="J12" s="506"/>
      <c r="K12" s="14"/>
      <c r="L12" s="507"/>
      <c r="M12" s="507"/>
      <c r="N12" s="507"/>
      <c r="O12" s="1" t="s">
        <v>13</v>
      </c>
      <c r="P12" s="502">
        <v>45383</v>
      </c>
      <c r="Q12" s="502"/>
      <c r="R12" s="502"/>
      <c r="S12" s="11"/>
      <c r="T12" s="15"/>
    </row>
    <row r="13" spans="2:23" s="10" customFormat="1" ht="31.5" customHeight="1">
      <c r="B13" s="508" t="s">
        <v>14</v>
      </c>
      <c r="C13" s="508"/>
      <c r="D13" s="509">
        <f>Q592</f>
        <v>26279999.999999993</v>
      </c>
      <c r="E13" s="509"/>
      <c r="F13" s="509"/>
      <c r="G13" s="509"/>
      <c r="H13" s="509"/>
      <c r="I13" s="509"/>
      <c r="J13" s="509"/>
      <c r="K13" s="16"/>
      <c r="L13" s="510" t="s">
        <v>15</v>
      </c>
      <c r="M13" s="510"/>
      <c r="N13" s="510"/>
      <c r="O13" s="510"/>
      <c r="P13" s="511" t="s">
        <v>16</v>
      </c>
      <c r="Q13" s="511"/>
      <c r="R13" s="511"/>
      <c r="S13" s="11"/>
    </row>
    <row r="14" spans="2:23" s="10" customFormat="1" ht="31.5" customHeight="1">
      <c r="B14" s="512" t="s">
        <v>17</v>
      </c>
      <c r="C14" s="512"/>
      <c r="D14" s="513"/>
      <c r="E14" s="513"/>
      <c r="F14" s="513"/>
      <c r="G14" s="513"/>
      <c r="H14" s="18"/>
      <c r="I14" s="514" t="s">
        <v>18</v>
      </c>
      <c r="J14" s="514"/>
      <c r="K14" s="17"/>
      <c r="L14" s="515"/>
      <c r="M14" s="515"/>
      <c r="N14" s="515"/>
      <c r="O14" s="19" t="s">
        <v>19</v>
      </c>
      <c r="P14" s="516"/>
      <c r="Q14" s="516"/>
      <c r="R14" s="516"/>
      <c r="S14" s="11"/>
      <c r="T14" s="15"/>
    </row>
    <row r="15" spans="2:23" s="10" customFormat="1" ht="31.5" customHeight="1">
      <c r="B15" s="517" t="s">
        <v>20</v>
      </c>
      <c r="C15" s="517"/>
      <c r="D15" s="518" t="s">
        <v>21</v>
      </c>
      <c r="E15" s="518"/>
      <c r="F15" s="518"/>
      <c r="G15" s="518"/>
      <c r="H15" s="20"/>
      <c r="I15" s="518" t="s">
        <v>18</v>
      </c>
      <c r="J15" s="518"/>
      <c r="K15" s="21"/>
      <c r="L15" s="519" t="s">
        <v>22</v>
      </c>
      <c r="M15" s="519"/>
      <c r="N15" s="519"/>
      <c r="O15" s="22" t="s">
        <v>19</v>
      </c>
      <c r="P15" s="520" t="s">
        <v>23</v>
      </c>
      <c r="Q15" s="520"/>
      <c r="R15" s="520"/>
      <c r="S15" s="11"/>
      <c r="T15" s="23">
        <f>D13</f>
        <v>26279999.999999993</v>
      </c>
      <c r="U15" s="24"/>
    </row>
    <row r="16" spans="2:23" s="10" customFormat="1" ht="6" customHeight="1">
      <c r="B16" s="521"/>
      <c r="C16" s="521"/>
      <c r="D16" s="521"/>
      <c r="E16" s="521"/>
      <c r="F16" s="521"/>
      <c r="G16" s="521"/>
      <c r="H16" s="521"/>
      <c r="I16" s="521"/>
      <c r="J16" s="521"/>
      <c r="K16" s="521"/>
      <c r="L16" s="521"/>
      <c r="M16" s="521"/>
      <c r="N16" s="521"/>
      <c r="O16" s="521"/>
      <c r="P16" s="521"/>
      <c r="Q16" s="521"/>
      <c r="R16" s="521"/>
      <c r="S16" s="11"/>
      <c r="T16" s="23"/>
      <c r="U16" s="25"/>
    </row>
    <row r="17" spans="1:23" s="10" customFormat="1" ht="27.75" customHeight="1">
      <c r="B17" s="497" t="s">
        <v>24</v>
      </c>
      <c r="C17" s="497"/>
      <c r="D17" s="497"/>
      <c r="E17" s="497"/>
      <c r="F17" s="497"/>
      <c r="G17" s="497"/>
      <c r="H17" s="497"/>
      <c r="I17" s="497"/>
      <c r="J17" s="497"/>
      <c r="K17" s="497"/>
      <c r="L17" s="497"/>
      <c r="M17" s="497"/>
      <c r="N17" s="497"/>
      <c r="O17" s="497"/>
      <c r="P17" s="497"/>
      <c r="Q17" s="497"/>
      <c r="R17" s="497"/>
      <c r="S17" s="11"/>
      <c r="T17" s="26"/>
      <c r="U17" s="27"/>
      <c r="W17" s="28"/>
    </row>
    <row r="18" spans="1:23" ht="43.5" customHeight="1">
      <c r="A18" s="10"/>
      <c r="B18" s="522" t="s">
        <v>25</v>
      </c>
      <c r="C18" s="522"/>
      <c r="D18" s="523" t="s">
        <v>4</v>
      </c>
      <c r="E18" s="523"/>
      <c r="F18" s="523"/>
      <c r="G18" s="523"/>
      <c r="H18" s="523"/>
      <c r="I18" s="523"/>
      <c r="J18" s="523"/>
      <c r="K18" s="29"/>
      <c r="L18" s="501" t="s">
        <v>26</v>
      </c>
      <c r="M18" s="501"/>
      <c r="N18" s="501"/>
      <c r="O18" s="501"/>
      <c r="P18" s="524">
        <f>N592</f>
        <v>782307.39</v>
      </c>
      <c r="Q18" s="524"/>
      <c r="R18" s="524"/>
      <c r="S18" s="30"/>
      <c r="T18" s="23">
        <f>T15-Q33-Q32</f>
        <v>23966799.799999993</v>
      </c>
      <c r="U18" s="31"/>
      <c r="V18" s="10"/>
      <c r="W18" s="28"/>
    </row>
    <row r="19" spans="1:23" ht="31.5" customHeight="1">
      <c r="A19" s="10"/>
      <c r="B19" s="522" t="s">
        <v>27</v>
      </c>
      <c r="C19" s="522"/>
      <c r="D19" s="525" t="s">
        <v>1433</v>
      </c>
      <c r="E19" s="525"/>
      <c r="F19" s="525"/>
      <c r="G19" s="525"/>
      <c r="H19" s="525"/>
      <c r="I19" s="525"/>
      <c r="J19" s="525"/>
      <c r="K19" s="29"/>
      <c r="L19" s="501" t="s">
        <v>29</v>
      </c>
      <c r="M19" s="501"/>
      <c r="N19" s="501"/>
      <c r="O19" s="501"/>
      <c r="P19" s="524">
        <f>P18-P20</f>
        <v>0</v>
      </c>
      <c r="Q19" s="524"/>
      <c r="R19" s="524"/>
      <c r="S19" s="30"/>
      <c r="T19" s="23">
        <f>P21-O33-O32</f>
        <v>4022333.7399999998</v>
      </c>
      <c r="U19" s="10"/>
      <c r="V19" s="10"/>
      <c r="W19" s="10"/>
    </row>
    <row r="20" spans="1:23" s="34" customFormat="1" ht="31.5" customHeight="1">
      <c r="A20" s="10"/>
      <c r="B20" s="526" t="s">
        <v>30</v>
      </c>
      <c r="C20" s="526"/>
      <c r="D20" s="523" t="s">
        <v>1434</v>
      </c>
      <c r="E20" s="523"/>
      <c r="F20" s="523"/>
      <c r="G20" s="523"/>
      <c r="H20" s="523"/>
      <c r="I20" s="523"/>
      <c r="J20" s="523"/>
      <c r="K20" s="29"/>
      <c r="L20" s="501" t="s">
        <v>32</v>
      </c>
      <c r="M20" s="501"/>
      <c r="N20" s="501"/>
      <c r="O20" s="501"/>
      <c r="P20" s="524">
        <f>N592</f>
        <v>782307.39</v>
      </c>
      <c r="Q20" s="524"/>
      <c r="R20" s="524"/>
      <c r="S20" s="30"/>
      <c r="T20" s="32">
        <f>T19/T18</f>
        <v>0.16782940457490703</v>
      </c>
      <c r="U20" s="24">
        <v>739429.5</v>
      </c>
      <c r="V20" s="10"/>
      <c r="W20" s="33"/>
    </row>
    <row r="21" spans="1:23" s="34" customFormat="1" ht="31.5" customHeight="1">
      <c r="A21" s="10"/>
      <c r="B21" s="526" t="s">
        <v>33</v>
      </c>
      <c r="C21" s="526"/>
      <c r="D21" s="527">
        <v>45565</v>
      </c>
      <c r="E21" s="527"/>
      <c r="F21" s="527"/>
      <c r="G21" s="527"/>
      <c r="H21" s="527"/>
      <c r="I21" s="527"/>
      <c r="J21" s="527"/>
      <c r="K21" s="35"/>
      <c r="L21" s="501" t="s">
        <v>34</v>
      </c>
      <c r="M21" s="501"/>
      <c r="N21" s="501"/>
      <c r="O21" s="501"/>
      <c r="P21" s="524">
        <f>P20+'BM 005'!P21:R21</f>
        <v>4410488.6899999995</v>
      </c>
      <c r="Q21" s="524"/>
      <c r="R21" s="524"/>
      <c r="S21" s="36"/>
      <c r="T21" s="32">
        <f>T20-I33</f>
        <v>2.940457490702153E-5</v>
      </c>
      <c r="U21" s="32"/>
      <c r="V21" s="10"/>
      <c r="W21" s="10"/>
    </row>
    <row r="22" spans="1:23" s="34" customFormat="1" ht="31.5" customHeight="1">
      <c r="A22" s="10"/>
      <c r="B22" s="526" t="s">
        <v>35</v>
      </c>
      <c r="C22" s="526"/>
      <c r="D22" s="527">
        <v>45566</v>
      </c>
      <c r="E22" s="527"/>
      <c r="F22" s="527"/>
      <c r="G22" s="527"/>
      <c r="H22" s="527"/>
      <c r="I22" s="527"/>
      <c r="J22" s="527"/>
      <c r="K22" s="35"/>
      <c r="L22" s="501" t="s">
        <v>36</v>
      </c>
      <c r="M22" s="501"/>
      <c r="N22" s="501"/>
      <c r="O22" s="501"/>
      <c r="P22" s="524">
        <f>R592</f>
        <v>21869511.309999999</v>
      </c>
      <c r="Q22" s="524"/>
      <c r="R22" s="524"/>
      <c r="S22" s="36"/>
      <c r="T22" s="31"/>
      <c r="U22" s="37"/>
      <c r="V22" s="10"/>
      <c r="W22" s="10"/>
    </row>
    <row r="23" spans="1:23" s="34" customFormat="1" ht="5.25" customHeight="1">
      <c r="A23" s="10"/>
      <c r="B23" s="528"/>
      <c r="C23" s="528"/>
      <c r="D23" s="528"/>
      <c r="E23" s="528"/>
      <c r="F23" s="528"/>
      <c r="G23" s="528"/>
      <c r="H23" s="528"/>
      <c r="I23" s="528"/>
      <c r="J23" s="528"/>
      <c r="K23" s="528"/>
      <c r="L23" s="528"/>
      <c r="M23" s="528"/>
      <c r="N23" s="528"/>
      <c r="O23" s="528"/>
      <c r="P23" s="528"/>
      <c r="Q23" s="528"/>
      <c r="R23" s="528"/>
      <c r="S23" s="10"/>
      <c r="T23" s="10"/>
      <c r="U23" s="10"/>
      <c r="V23" s="10"/>
      <c r="W23" s="10"/>
    </row>
    <row r="24" spans="1:23" s="34" customFormat="1" ht="2.25" customHeight="1">
      <c r="A24" s="2"/>
      <c r="B24" s="38"/>
      <c r="C24" s="39"/>
      <c r="D24" s="40"/>
      <c r="E24" s="41"/>
      <c r="F24" s="42"/>
      <c r="G24" s="43"/>
      <c r="H24" s="43"/>
      <c r="I24" s="43"/>
      <c r="J24" s="39"/>
      <c r="K24" s="39"/>
      <c r="L24" s="39"/>
      <c r="M24" s="39"/>
      <c r="N24" s="39"/>
      <c r="O24" s="39"/>
      <c r="P24" s="44"/>
      <c r="Q24" s="44"/>
      <c r="R24" s="45"/>
      <c r="S24" s="2"/>
      <c r="T24" s="2"/>
      <c r="U24" s="2"/>
      <c r="V24" s="2"/>
      <c r="W24" s="2"/>
    </row>
    <row r="25" spans="1:23" s="34" customFormat="1" ht="18" customHeight="1">
      <c r="A25" s="2"/>
      <c r="B25" s="529" t="s">
        <v>37</v>
      </c>
      <c r="C25" s="530" t="s">
        <v>38</v>
      </c>
      <c r="D25" s="530" t="s">
        <v>39</v>
      </c>
      <c r="E25" s="531" t="s">
        <v>40</v>
      </c>
      <c r="F25" s="531"/>
      <c r="G25" s="531"/>
      <c r="H25" s="531"/>
      <c r="I25" s="531"/>
      <c r="J25" s="531"/>
      <c r="K25" s="48" t="s">
        <v>41</v>
      </c>
      <c r="L25" s="48" t="s">
        <v>42</v>
      </c>
      <c r="M25" s="48"/>
      <c r="N25" s="532" t="s">
        <v>43</v>
      </c>
      <c r="O25" s="532"/>
      <c r="P25" s="532"/>
      <c r="Q25" s="532"/>
      <c r="R25" s="532"/>
      <c r="S25" s="2"/>
      <c r="T25" s="49" t="s">
        <v>44</v>
      </c>
      <c r="U25" s="50">
        <v>20732092.140000001</v>
      </c>
      <c r="V25" s="51">
        <v>0.26760000016091001</v>
      </c>
      <c r="W25" s="2"/>
    </row>
    <row r="26" spans="1:23" s="34" customFormat="1" ht="43.5" customHeight="1">
      <c r="A26" s="2"/>
      <c r="B26" s="529"/>
      <c r="C26" s="530"/>
      <c r="D26" s="530"/>
      <c r="E26" s="52" t="s">
        <v>45</v>
      </c>
      <c r="F26" s="53" t="s">
        <v>46</v>
      </c>
      <c r="G26" s="53" t="s">
        <v>47</v>
      </c>
      <c r="H26" s="54"/>
      <c r="I26" s="55" t="s">
        <v>48</v>
      </c>
      <c r="J26" s="55" t="s">
        <v>49</v>
      </c>
      <c r="K26" s="56" t="s">
        <v>50</v>
      </c>
      <c r="L26" s="47" t="s">
        <v>50</v>
      </c>
      <c r="M26" s="48" t="s">
        <v>51</v>
      </c>
      <c r="N26" s="57" t="s">
        <v>52</v>
      </c>
      <c r="O26" s="57" t="s">
        <v>53</v>
      </c>
      <c r="P26" s="57" t="s">
        <v>54</v>
      </c>
      <c r="Q26" s="57" t="s">
        <v>55</v>
      </c>
      <c r="R26" s="58" t="s">
        <v>56</v>
      </c>
      <c r="S26" s="2"/>
      <c r="T26" s="59">
        <v>0.26760011</v>
      </c>
      <c r="U26" s="50">
        <v>5547907.8600000003</v>
      </c>
      <c r="V26" s="50">
        <v>26280000</v>
      </c>
      <c r="W26" s="2"/>
    </row>
    <row r="27" spans="1:23" s="34" customFormat="1" ht="13.2">
      <c r="B27" s="60" t="s">
        <v>57</v>
      </c>
      <c r="C27" s="61" t="s">
        <v>58</v>
      </c>
      <c r="D27" s="60"/>
      <c r="E27" s="62"/>
      <c r="F27" s="63"/>
      <c r="G27" s="63"/>
      <c r="H27" s="63"/>
      <c r="I27" s="63"/>
      <c r="J27" s="63"/>
      <c r="K27" s="63"/>
      <c r="L27" s="64"/>
      <c r="M27" s="63">
        <f t="shared" ref="M27:R27" si="0">M28+M30+M35+M43</f>
        <v>88666.74</v>
      </c>
      <c r="N27" s="63">
        <f t="shared" si="0"/>
        <v>88666.74</v>
      </c>
      <c r="O27" s="63">
        <f t="shared" si="0"/>
        <v>909337.21</v>
      </c>
      <c r="P27" s="63">
        <f t="shared" si="0"/>
        <v>2403883</v>
      </c>
      <c r="Q27" s="63">
        <f t="shared" si="0"/>
        <v>3047162.2499999991</v>
      </c>
      <c r="R27" s="63">
        <f t="shared" si="0"/>
        <v>2137825.04</v>
      </c>
      <c r="U27" s="65"/>
    </row>
    <row r="28" spans="1:23" s="34" customFormat="1" ht="13.2">
      <c r="B28" s="66" t="s">
        <v>59</v>
      </c>
      <c r="C28" s="67" t="s">
        <v>60</v>
      </c>
      <c r="D28" s="68"/>
      <c r="E28" s="69"/>
      <c r="F28" s="70"/>
      <c r="G28" s="70"/>
      <c r="H28" s="70"/>
      <c r="I28" s="70"/>
      <c r="J28" s="70"/>
      <c r="K28" s="71"/>
      <c r="L28" s="72"/>
      <c r="M28" s="73">
        <f t="shared" ref="M28:R28" si="1">SUM(M29)</f>
        <v>0</v>
      </c>
      <c r="N28" s="73">
        <f t="shared" si="1"/>
        <v>0</v>
      </c>
      <c r="O28" s="73">
        <f t="shared" si="1"/>
        <v>41273.050000000003</v>
      </c>
      <c r="P28" s="73">
        <f t="shared" si="1"/>
        <v>32560</v>
      </c>
      <c r="Q28" s="73">
        <f t="shared" si="1"/>
        <v>41273.050000000003</v>
      </c>
      <c r="R28" s="73">
        <f t="shared" si="1"/>
        <v>0</v>
      </c>
      <c r="T28" s="74"/>
    </row>
    <row r="29" spans="1:23" s="34" customFormat="1" ht="13.2">
      <c r="B29" s="75" t="s">
        <v>61</v>
      </c>
      <c r="C29" s="76" t="s">
        <v>62</v>
      </c>
      <c r="D29" s="77" t="s">
        <v>63</v>
      </c>
      <c r="E29" s="78">
        <v>1</v>
      </c>
      <c r="F29" s="79"/>
      <c r="G29" s="79"/>
      <c r="H29" s="79"/>
      <c r="I29" s="79">
        <f>SUM(G29:H29)+'BM 005'!I29</f>
        <v>1</v>
      </c>
      <c r="J29" s="79">
        <f>E29-I29</f>
        <v>0</v>
      </c>
      <c r="K29" s="80">
        <v>32560</v>
      </c>
      <c r="L29" s="81">
        <f t="shared" ref="L29:L92" si="2">K29*(1+$T$26)</f>
        <v>41273.059581599999</v>
      </c>
      <c r="M29" s="82">
        <f>TRUNC(F29*L29,2)</f>
        <v>0</v>
      </c>
      <c r="N29" s="82">
        <f>TRUNC(G29*L29,2)</f>
        <v>0</v>
      </c>
      <c r="O29" s="82">
        <f>N29+'BM 005'!O29</f>
        <v>41273.050000000003</v>
      </c>
      <c r="P29" s="82">
        <f>E29*K29</f>
        <v>32560</v>
      </c>
      <c r="Q29" s="82">
        <f>TRUNC(E29*L29,2)</f>
        <v>41273.050000000003</v>
      </c>
      <c r="R29" s="82">
        <f>Q29-O29</f>
        <v>0</v>
      </c>
      <c r="T29" s="74"/>
    </row>
    <row r="30" spans="1:23" s="34" customFormat="1" ht="13.2">
      <c r="B30" s="66" t="s">
        <v>64</v>
      </c>
      <c r="C30" s="67" t="s">
        <v>65</v>
      </c>
      <c r="D30" s="68"/>
      <c r="E30" s="69"/>
      <c r="F30" s="70"/>
      <c r="G30" s="70"/>
      <c r="H30" s="70"/>
      <c r="I30" s="70">
        <f>SUM(G30:H30)+'BM 005'!I30</f>
        <v>0</v>
      </c>
      <c r="J30" s="70"/>
      <c r="K30" s="71"/>
      <c r="L30" s="71">
        <f t="shared" si="2"/>
        <v>0</v>
      </c>
      <c r="M30" s="73">
        <f t="shared" ref="M30:R30" si="3">SUM(M31:M34)</f>
        <v>68702.040000000008</v>
      </c>
      <c r="N30" s="73">
        <f t="shared" si="3"/>
        <v>68702.040000000008</v>
      </c>
      <c r="O30" s="73">
        <f t="shared" si="3"/>
        <v>388154.94999999995</v>
      </c>
      <c r="P30" s="73">
        <f t="shared" si="3"/>
        <v>1872865.9</v>
      </c>
      <c r="Q30" s="73">
        <f t="shared" si="3"/>
        <v>2374044.9999999995</v>
      </c>
      <c r="R30" s="73">
        <f t="shared" si="3"/>
        <v>1985890.0499999998</v>
      </c>
      <c r="T30" s="83"/>
    </row>
    <row r="31" spans="1:23" s="34" customFormat="1" ht="23.4">
      <c r="B31" s="75" t="s">
        <v>66</v>
      </c>
      <c r="C31" s="76" t="s">
        <v>67</v>
      </c>
      <c r="D31" s="77" t="s">
        <v>68</v>
      </c>
      <c r="E31" s="78">
        <v>20</v>
      </c>
      <c r="F31" s="79"/>
      <c r="G31" s="79">
        <f>F31</f>
        <v>0</v>
      </c>
      <c r="H31" s="79"/>
      <c r="I31" s="79">
        <f>SUM(G31:H31)+'BM 005'!I31</f>
        <v>0</v>
      </c>
      <c r="J31" s="79">
        <f t="shared" ref="J31:J94" si="4">E31-I31</f>
        <v>20</v>
      </c>
      <c r="K31" s="84">
        <v>1200</v>
      </c>
      <c r="L31" s="81">
        <f t="shared" si="2"/>
        <v>1521.120132</v>
      </c>
      <c r="M31" s="82">
        <f>TRUNC(F31*L31,2)</f>
        <v>0</v>
      </c>
      <c r="N31" s="82">
        <f>TRUNC(G31*L31,2)</f>
        <v>0</v>
      </c>
      <c r="O31" s="82">
        <f>N31+'BM 005'!O31</f>
        <v>0</v>
      </c>
      <c r="P31" s="82">
        <f>E31*K31</f>
        <v>24000</v>
      </c>
      <c r="Q31" s="82">
        <f>TRUNC(E31*L31,2)</f>
        <v>30422.400000000001</v>
      </c>
      <c r="R31" s="82">
        <f>Q31-O31</f>
        <v>30422.400000000001</v>
      </c>
    </row>
    <row r="32" spans="1:23" s="34" customFormat="1" ht="13.2">
      <c r="B32" s="75" t="s">
        <v>69</v>
      </c>
      <c r="C32" s="85" t="s">
        <v>70</v>
      </c>
      <c r="D32" s="77" t="s">
        <v>68</v>
      </c>
      <c r="E32" s="78">
        <v>20</v>
      </c>
      <c r="F32" s="86">
        <f>'M.C. MED. 06'!K20</f>
        <v>0.59399999999999986</v>
      </c>
      <c r="G32" s="86">
        <f>F32</f>
        <v>0.59399999999999986</v>
      </c>
      <c r="H32" s="79"/>
      <c r="I32" s="86">
        <f>SUM(G32:H32)+'BM 005'!I32</f>
        <v>3.3559999999999999</v>
      </c>
      <c r="J32" s="79">
        <f t="shared" si="4"/>
        <v>16.643999999999998</v>
      </c>
      <c r="K32" s="84">
        <v>51500.32</v>
      </c>
      <c r="L32" s="81">
        <f t="shared" si="2"/>
        <v>65281.811297035201</v>
      </c>
      <c r="M32" s="82">
        <f>TRUNC(F32*L32,2)</f>
        <v>38777.39</v>
      </c>
      <c r="N32" s="82">
        <f>TRUNC(G32*L32,2)</f>
        <v>38777.39</v>
      </c>
      <c r="O32" s="82">
        <f>N32+'BM 005'!O32</f>
        <v>219085.72999999998</v>
      </c>
      <c r="P32" s="82">
        <f>E32*K32</f>
        <v>1030006.4</v>
      </c>
      <c r="Q32" s="82">
        <f>TRUNC(E32*L32,2)</f>
        <v>1305636.22</v>
      </c>
      <c r="R32" s="82">
        <f>Q32-O32</f>
        <v>1086550.49</v>
      </c>
    </row>
    <row r="33" spans="1:21" s="34" customFormat="1" ht="194.4">
      <c r="B33" s="75" t="s">
        <v>71</v>
      </c>
      <c r="C33" s="85" t="s">
        <v>72</v>
      </c>
      <c r="D33" s="77" t="s">
        <v>39</v>
      </c>
      <c r="E33" s="78">
        <v>1</v>
      </c>
      <c r="F33" s="86">
        <f>'M.C. MED. 06'!K35</f>
        <v>2.9700000000000004E-2</v>
      </c>
      <c r="G33" s="86">
        <f>F33</f>
        <v>2.9700000000000004E-2</v>
      </c>
      <c r="H33" s="79"/>
      <c r="I33" s="86">
        <f>SUM(G33:H33)+'BM 005'!I33</f>
        <v>0.1678</v>
      </c>
      <c r="J33" s="79">
        <f t="shared" si="4"/>
        <v>0.83220000000000005</v>
      </c>
      <c r="K33" s="84">
        <v>794859.5</v>
      </c>
      <c r="L33" s="81">
        <f t="shared" si="2"/>
        <v>1007563.9896345451</v>
      </c>
      <c r="M33" s="82">
        <f>TRUNC(F33*L33,2)</f>
        <v>29924.65</v>
      </c>
      <c r="N33" s="82">
        <f>TRUNC(G33*L33,2)</f>
        <v>29924.65</v>
      </c>
      <c r="O33" s="82">
        <f>N33+'BM 005'!O33</f>
        <v>169069.22</v>
      </c>
      <c r="P33" s="82">
        <f>E33*K33</f>
        <v>794859.5</v>
      </c>
      <c r="Q33" s="82">
        <f>TRUNC(E33*L33,2)</f>
        <v>1007563.98</v>
      </c>
      <c r="R33" s="82">
        <f>Q33-O33</f>
        <v>838494.76</v>
      </c>
    </row>
    <row r="34" spans="1:21" s="34" customFormat="1" ht="23.4">
      <c r="B34" s="75" t="s">
        <v>73</v>
      </c>
      <c r="C34" s="76" t="s">
        <v>74</v>
      </c>
      <c r="D34" s="77" t="s">
        <v>68</v>
      </c>
      <c r="E34" s="78">
        <v>20</v>
      </c>
      <c r="F34" s="79"/>
      <c r="G34" s="79">
        <f>F34</f>
        <v>0</v>
      </c>
      <c r="H34" s="79"/>
      <c r="I34" s="79">
        <f>SUM(G34:H34)+'BM 005'!I34</f>
        <v>0</v>
      </c>
      <c r="J34" s="79">
        <f t="shared" si="4"/>
        <v>20</v>
      </c>
      <c r="K34" s="84">
        <v>1200</v>
      </c>
      <c r="L34" s="81">
        <f t="shared" si="2"/>
        <v>1521.120132</v>
      </c>
      <c r="M34" s="82">
        <f>TRUNC(F34*L34,2)</f>
        <v>0</v>
      </c>
      <c r="N34" s="82">
        <f>TRUNC(G34*L34,2)</f>
        <v>0</v>
      </c>
      <c r="O34" s="82">
        <f>N34+'BM 005'!O34</f>
        <v>0</v>
      </c>
      <c r="P34" s="82">
        <f>E34*K34</f>
        <v>24000</v>
      </c>
      <c r="Q34" s="82">
        <f>TRUNC(E34*L34,2)</f>
        <v>30422.400000000001</v>
      </c>
      <c r="R34" s="82">
        <f>Q34-O34</f>
        <v>30422.400000000001</v>
      </c>
    </row>
    <row r="35" spans="1:21" s="34" customFormat="1" ht="13.2">
      <c r="B35" s="66" t="s">
        <v>75</v>
      </c>
      <c r="C35" s="67" t="s">
        <v>76</v>
      </c>
      <c r="D35" s="68"/>
      <c r="E35" s="69"/>
      <c r="F35" s="70"/>
      <c r="G35" s="70"/>
      <c r="H35" s="70"/>
      <c r="I35" s="70">
        <f>SUM(G35:H35)+'BM 005'!I35</f>
        <v>0</v>
      </c>
      <c r="J35" s="70">
        <f t="shared" si="4"/>
        <v>0</v>
      </c>
      <c r="K35" s="71"/>
      <c r="L35" s="71">
        <f t="shared" si="2"/>
        <v>0</v>
      </c>
      <c r="M35" s="73">
        <f t="shared" ref="M35:R35" si="5">SUM(M36:M42)</f>
        <v>0</v>
      </c>
      <c r="N35" s="73">
        <f t="shared" si="5"/>
        <v>0</v>
      </c>
      <c r="O35" s="73">
        <f t="shared" si="5"/>
        <v>352925.19</v>
      </c>
      <c r="P35" s="73">
        <f t="shared" si="5"/>
        <v>278420</v>
      </c>
      <c r="Q35" s="73">
        <f t="shared" si="5"/>
        <v>352925.19</v>
      </c>
      <c r="R35" s="73">
        <f t="shared" si="5"/>
        <v>0</v>
      </c>
    </row>
    <row r="36" spans="1:21" s="34" customFormat="1" ht="13.2">
      <c r="B36" s="87" t="s">
        <v>77</v>
      </c>
      <c r="C36" s="88" t="s">
        <v>78</v>
      </c>
      <c r="D36" s="89" t="s">
        <v>79</v>
      </c>
      <c r="E36" s="90">
        <v>128</v>
      </c>
      <c r="F36" s="91"/>
      <c r="G36" s="91"/>
      <c r="H36" s="91"/>
      <c r="I36" s="79">
        <f>SUM(G36:H36)+'BM 005'!I36</f>
        <v>128</v>
      </c>
      <c r="J36" s="91">
        <f t="shared" si="4"/>
        <v>0</v>
      </c>
      <c r="K36" s="80">
        <v>125</v>
      </c>
      <c r="L36" s="81">
        <f t="shared" si="2"/>
        <v>158.45001375000001</v>
      </c>
      <c r="M36" s="82">
        <f t="shared" ref="M36:M42" si="6">TRUNC(F36*L36,2)</f>
        <v>0</v>
      </c>
      <c r="N36" s="82">
        <f t="shared" ref="N36:N42" si="7">TRUNC(G36*L36,2)</f>
        <v>0</v>
      </c>
      <c r="O36" s="82">
        <f>N36+'BM 005'!O36</f>
        <v>20281.599999999999</v>
      </c>
      <c r="P36" s="82">
        <f t="shared" ref="P36:P42" si="8">E36*K36</f>
        <v>16000</v>
      </c>
      <c r="Q36" s="82">
        <f t="shared" ref="Q36:Q42" si="9">TRUNC(E36*L36,2)</f>
        <v>20281.599999999999</v>
      </c>
      <c r="R36" s="82">
        <f t="shared" ref="R36:R42" si="10">Q36-O36</f>
        <v>0</v>
      </c>
    </row>
    <row r="37" spans="1:21" s="34" customFormat="1" ht="46.2">
      <c r="B37" s="87" t="s">
        <v>80</v>
      </c>
      <c r="C37" s="76" t="s">
        <v>81</v>
      </c>
      <c r="D37" s="77" t="s">
        <v>82</v>
      </c>
      <c r="E37" s="78">
        <v>156</v>
      </c>
      <c r="F37" s="91"/>
      <c r="G37" s="91"/>
      <c r="H37" s="91"/>
      <c r="I37" s="79">
        <f>SUM(G37:H37)+'BM 005'!I37</f>
        <v>156.0001</v>
      </c>
      <c r="J37" s="91">
        <f t="shared" si="4"/>
        <v>-1.0000000000331966E-4</v>
      </c>
      <c r="K37" s="80">
        <v>70</v>
      </c>
      <c r="L37" s="81">
        <f t="shared" si="2"/>
        <v>88.732007699999997</v>
      </c>
      <c r="M37" s="82">
        <f t="shared" si="6"/>
        <v>0</v>
      </c>
      <c r="N37" s="82">
        <f t="shared" si="7"/>
        <v>0</v>
      </c>
      <c r="O37" s="82">
        <f>N37+'BM 005'!O37</f>
        <v>13842.19</v>
      </c>
      <c r="P37" s="82">
        <f t="shared" si="8"/>
        <v>10920</v>
      </c>
      <c r="Q37" s="82">
        <f t="shared" si="9"/>
        <v>13842.19</v>
      </c>
      <c r="R37" s="82">
        <f t="shared" si="10"/>
        <v>0</v>
      </c>
    </row>
    <row r="38" spans="1:21" s="34" customFormat="1" ht="34.799999999999997">
      <c r="B38" s="87" t="s">
        <v>83</v>
      </c>
      <c r="C38" s="88" t="s">
        <v>84</v>
      </c>
      <c r="D38" s="89" t="s">
        <v>79</v>
      </c>
      <c r="E38" s="92">
        <v>40</v>
      </c>
      <c r="F38" s="91"/>
      <c r="G38" s="91"/>
      <c r="H38" s="91"/>
      <c r="I38" s="79">
        <f>SUM(G38:H38)+'BM 005'!I38</f>
        <v>40</v>
      </c>
      <c r="J38" s="91">
        <f t="shared" si="4"/>
        <v>0</v>
      </c>
      <c r="K38" s="80">
        <v>1150</v>
      </c>
      <c r="L38" s="81">
        <f t="shared" si="2"/>
        <v>1457.7401265000001</v>
      </c>
      <c r="M38" s="82">
        <f t="shared" si="6"/>
        <v>0</v>
      </c>
      <c r="N38" s="82">
        <f t="shared" si="7"/>
        <v>0</v>
      </c>
      <c r="O38" s="82">
        <f>N38+'BM 005'!O38</f>
        <v>58309.599999999999</v>
      </c>
      <c r="P38" s="82">
        <f t="shared" si="8"/>
        <v>46000</v>
      </c>
      <c r="Q38" s="82">
        <f t="shared" si="9"/>
        <v>58309.599999999999</v>
      </c>
      <c r="R38" s="82">
        <f t="shared" si="10"/>
        <v>0</v>
      </c>
    </row>
    <row r="39" spans="1:21" s="34" customFormat="1" ht="23.4">
      <c r="B39" s="87" t="s">
        <v>85</v>
      </c>
      <c r="C39" s="88" t="s">
        <v>86</v>
      </c>
      <c r="D39" s="89" t="s">
        <v>79</v>
      </c>
      <c r="E39" s="92">
        <v>68</v>
      </c>
      <c r="F39" s="91"/>
      <c r="G39" s="91"/>
      <c r="H39" s="91"/>
      <c r="I39" s="79">
        <f>SUM(G39:H39)+'BM 005'!I39</f>
        <v>68</v>
      </c>
      <c r="J39" s="91">
        <f t="shared" si="4"/>
        <v>0</v>
      </c>
      <c r="K39" s="80">
        <v>1000</v>
      </c>
      <c r="L39" s="81">
        <f t="shared" si="2"/>
        <v>1267.6001100000001</v>
      </c>
      <c r="M39" s="82">
        <f t="shared" si="6"/>
        <v>0</v>
      </c>
      <c r="N39" s="82">
        <f t="shared" si="7"/>
        <v>0</v>
      </c>
      <c r="O39" s="82">
        <f>N39+'BM 005'!O39</f>
        <v>86196.800000000003</v>
      </c>
      <c r="P39" s="82">
        <f t="shared" si="8"/>
        <v>68000</v>
      </c>
      <c r="Q39" s="82">
        <f t="shared" si="9"/>
        <v>86196.800000000003</v>
      </c>
      <c r="R39" s="82">
        <f t="shared" si="10"/>
        <v>0</v>
      </c>
    </row>
    <row r="40" spans="1:21" s="34" customFormat="1" ht="34.799999999999997">
      <c r="B40" s="87" t="s">
        <v>87</v>
      </c>
      <c r="C40" s="88" t="s">
        <v>88</v>
      </c>
      <c r="D40" s="89" t="s">
        <v>79</v>
      </c>
      <c r="E40" s="92">
        <v>60</v>
      </c>
      <c r="F40" s="91"/>
      <c r="G40" s="91"/>
      <c r="H40" s="91"/>
      <c r="I40" s="79">
        <f>SUM(G40:H40)+'BM 005'!I40</f>
        <v>60</v>
      </c>
      <c r="J40" s="91">
        <f t="shared" si="4"/>
        <v>0</v>
      </c>
      <c r="K40" s="80">
        <v>600</v>
      </c>
      <c r="L40" s="81">
        <f t="shared" si="2"/>
        <v>760.56006600000001</v>
      </c>
      <c r="M40" s="82">
        <f t="shared" si="6"/>
        <v>0</v>
      </c>
      <c r="N40" s="82">
        <f t="shared" si="7"/>
        <v>0</v>
      </c>
      <c r="O40" s="82">
        <f>N40+'BM 005'!O40</f>
        <v>45633.599999999999</v>
      </c>
      <c r="P40" s="82">
        <f t="shared" si="8"/>
        <v>36000</v>
      </c>
      <c r="Q40" s="82">
        <f t="shared" si="9"/>
        <v>45633.599999999999</v>
      </c>
      <c r="R40" s="82">
        <f t="shared" si="10"/>
        <v>0</v>
      </c>
      <c r="T40" s="83"/>
      <c r="U40" s="83"/>
    </row>
    <row r="41" spans="1:21" s="34" customFormat="1" ht="34.799999999999997">
      <c r="B41" s="87" t="s">
        <v>89</v>
      </c>
      <c r="C41" s="76" t="s">
        <v>90</v>
      </c>
      <c r="D41" s="77" t="s">
        <v>79</v>
      </c>
      <c r="E41" s="78">
        <v>60</v>
      </c>
      <c r="F41" s="79"/>
      <c r="G41" s="91"/>
      <c r="H41" s="79"/>
      <c r="I41" s="79">
        <f>SUM(G41:H41)+'BM 005'!I41</f>
        <v>60</v>
      </c>
      <c r="J41" s="79">
        <f t="shared" si="4"/>
        <v>0</v>
      </c>
      <c r="K41" s="80">
        <v>1150</v>
      </c>
      <c r="L41" s="81">
        <f t="shared" si="2"/>
        <v>1457.7401265000001</v>
      </c>
      <c r="M41" s="82">
        <f t="shared" si="6"/>
        <v>0</v>
      </c>
      <c r="N41" s="82">
        <f t="shared" si="7"/>
        <v>0</v>
      </c>
      <c r="O41" s="82">
        <f>N41+'BM 005'!O41</f>
        <v>87464.4</v>
      </c>
      <c r="P41" s="82">
        <f t="shared" si="8"/>
        <v>69000</v>
      </c>
      <c r="Q41" s="82">
        <f t="shared" si="9"/>
        <v>87464.4</v>
      </c>
      <c r="R41" s="82">
        <f t="shared" si="10"/>
        <v>0</v>
      </c>
    </row>
    <row r="42" spans="1:21" s="34" customFormat="1" ht="34.200000000000003">
      <c r="B42" s="87" t="s">
        <v>91</v>
      </c>
      <c r="C42" s="184" t="s">
        <v>1195</v>
      </c>
      <c r="D42" s="77" t="s">
        <v>79</v>
      </c>
      <c r="E42" s="78">
        <v>50</v>
      </c>
      <c r="F42" s="79"/>
      <c r="G42" s="91"/>
      <c r="H42" s="79"/>
      <c r="I42" s="79">
        <f>SUM(G42:H42)+'BM 005'!I42</f>
        <v>50</v>
      </c>
      <c r="J42" s="79">
        <f t="shared" si="4"/>
        <v>0</v>
      </c>
      <c r="K42" s="80">
        <v>650</v>
      </c>
      <c r="L42" s="81">
        <f t="shared" si="2"/>
        <v>823.94007150000004</v>
      </c>
      <c r="M42" s="82">
        <f t="shared" si="6"/>
        <v>0</v>
      </c>
      <c r="N42" s="82">
        <f t="shared" si="7"/>
        <v>0</v>
      </c>
      <c r="O42" s="82">
        <f>N42+'BM 005'!O42</f>
        <v>41197</v>
      </c>
      <c r="P42" s="82">
        <f t="shared" si="8"/>
        <v>32500</v>
      </c>
      <c r="Q42" s="82">
        <f t="shared" si="9"/>
        <v>41197</v>
      </c>
      <c r="R42" s="82">
        <f t="shared" si="10"/>
        <v>0</v>
      </c>
    </row>
    <row r="43" spans="1:21" s="34" customFormat="1" ht="13.2">
      <c r="B43" s="66" t="s">
        <v>93</v>
      </c>
      <c r="C43" s="67" t="s">
        <v>94</v>
      </c>
      <c r="D43" s="68"/>
      <c r="E43" s="69"/>
      <c r="F43" s="70"/>
      <c r="G43" s="70"/>
      <c r="H43" s="70"/>
      <c r="I43" s="70">
        <f>SUM(G43:H43)+'BM 005'!I43</f>
        <v>0</v>
      </c>
      <c r="J43" s="70">
        <f t="shared" si="4"/>
        <v>0</v>
      </c>
      <c r="K43" s="71"/>
      <c r="L43" s="71">
        <f t="shared" si="2"/>
        <v>0</v>
      </c>
      <c r="M43" s="73">
        <f t="shared" ref="M43:R43" si="11">SUM(M44:M51)</f>
        <v>19964.7</v>
      </c>
      <c r="N43" s="73">
        <f t="shared" si="11"/>
        <v>19964.7</v>
      </c>
      <c r="O43" s="73">
        <f t="shared" si="11"/>
        <v>126984.02</v>
      </c>
      <c r="P43" s="73">
        <f t="shared" si="11"/>
        <v>220037.1</v>
      </c>
      <c r="Q43" s="73">
        <f t="shared" si="11"/>
        <v>278919.01</v>
      </c>
      <c r="R43" s="73">
        <f t="shared" si="11"/>
        <v>151934.99</v>
      </c>
    </row>
    <row r="44" spans="1:21" s="34" customFormat="1" ht="34.799999999999997">
      <c r="A44" s="83"/>
      <c r="B44" s="87" t="s">
        <v>95</v>
      </c>
      <c r="C44" s="76" t="s">
        <v>96</v>
      </c>
      <c r="D44" s="77" t="s">
        <v>79</v>
      </c>
      <c r="E44" s="93">
        <v>2573.3000000000002</v>
      </c>
      <c r="F44" s="79"/>
      <c r="G44" s="79"/>
      <c r="H44" s="79"/>
      <c r="I44" s="79">
        <f>SUM(G44:H44)+'BM 005'!I44</f>
        <v>2573.3000000000002</v>
      </c>
      <c r="J44" s="79">
        <f t="shared" si="4"/>
        <v>0</v>
      </c>
      <c r="K44" s="80">
        <v>2</v>
      </c>
      <c r="L44" s="81">
        <f t="shared" si="2"/>
        <v>2.5352002200000001</v>
      </c>
      <c r="M44" s="82">
        <f t="shared" ref="M44:M51" si="12">TRUNC(F44*L44,2)</f>
        <v>0</v>
      </c>
      <c r="N44" s="82">
        <f t="shared" ref="N44:N51" si="13">TRUNC(G44*L44,2)</f>
        <v>0</v>
      </c>
      <c r="O44" s="82">
        <f>N44+'BM 005'!O44</f>
        <v>6523.83</v>
      </c>
      <c r="P44" s="82">
        <f t="shared" ref="P44:P51" si="14">E44*K44</f>
        <v>5146.6000000000004</v>
      </c>
      <c r="Q44" s="82">
        <f t="shared" ref="Q44:Q51" si="15">TRUNC(E44*L44,2)</f>
        <v>6523.83</v>
      </c>
      <c r="R44" s="82">
        <f t="shared" ref="R44:R51" si="16">Q44-O44</f>
        <v>0</v>
      </c>
    </row>
    <row r="45" spans="1:21" s="34" customFormat="1" ht="23.4">
      <c r="B45" s="87" t="s">
        <v>97</v>
      </c>
      <c r="C45" s="88" t="s">
        <v>98</v>
      </c>
      <c r="D45" s="89" t="s">
        <v>99</v>
      </c>
      <c r="E45" s="90">
        <v>5.9</v>
      </c>
      <c r="F45" s="91"/>
      <c r="G45" s="91"/>
      <c r="H45" s="91"/>
      <c r="I45" s="79">
        <f>SUM(G45:H45)+'BM 005'!I45</f>
        <v>5.9</v>
      </c>
      <c r="J45" s="91">
        <f t="shared" si="4"/>
        <v>0</v>
      </c>
      <c r="K45" s="80">
        <v>55</v>
      </c>
      <c r="L45" s="81">
        <f t="shared" si="2"/>
        <v>69.71800605</v>
      </c>
      <c r="M45" s="82">
        <f t="shared" si="12"/>
        <v>0</v>
      </c>
      <c r="N45" s="82">
        <f t="shared" si="13"/>
        <v>0</v>
      </c>
      <c r="O45" s="82">
        <f>N45+'BM 005'!O45</f>
        <v>411.33</v>
      </c>
      <c r="P45" s="82">
        <f t="shared" si="14"/>
        <v>324.5</v>
      </c>
      <c r="Q45" s="82">
        <f t="shared" si="15"/>
        <v>411.33</v>
      </c>
      <c r="R45" s="82">
        <f t="shared" si="16"/>
        <v>0</v>
      </c>
    </row>
    <row r="46" spans="1:21" s="34" customFormat="1" ht="13.2">
      <c r="B46" s="87" t="s">
        <v>100</v>
      </c>
      <c r="C46" s="88" t="s">
        <v>101</v>
      </c>
      <c r="D46" s="89" t="s">
        <v>79</v>
      </c>
      <c r="E46" s="90">
        <v>88</v>
      </c>
      <c r="F46" s="91"/>
      <c r="G46" s="91"/>
      <c r="H46" s="91"/>
      <c r="I46" s="79">
        <f>SUM(G46:H46)+'BM 005'!I46</f>
        <v>88</v>
      </c>
      <c r="J46" s="91">
        <f t="shared" si="4"/>
        <v>0</v>
      </c>
      <c r="K46" s="80">
        <v>10</v>
      </c>
      <c r="L46" s="81">
        <f t="shared" si="2"/>
        <v>12.676001100000001</v>
      </c>
      <c r="M46" s="82">
        <f t="shared" si="12"/>
        <v>0</v>
      </c>
      <c r="N46" s="82">
        <f t="shared" si="13"/>
        <v>0</v>
      </c>
      <c r="O46" s="82">
        <f>N46+'BM 005'!O46</f>
        <v>1115.48</v>
      </c>
      <c r="P46" s="82">
        <f t="shared" si="14"/>
        <v>880</v>
      </c>
      <c r="Q46" s="82">
        <f t="shared" si="15"/>
        <v>1115.48</v>
      </c>
      <c r="R46" s="82">
        <f t="shared" si="16"/>
        <v>0</v>
      </c>
    </row>
    <row r="47" spans="1:21" s="34" customFormat="1" ht="34.799999999999997">
      <c r="B47" s="87" t="s">
        <v>102</v>
      </c>
      <c r="C47" s="88" t="s">
        <v>103</v>
      </c>
      <c r="D47" s="89" t="s">
        <v>99</v>
      </c>
      <c r="E47" s="90">
        <v>6.8</v>
      </c>
      <c r="F47" s="91"/>
      <c r="G47" s="91"/>
      <c r="H47" s="91"/>
      <c r="I47" s="79">
        <f>SUM(G47:H47)+'BM 005'!I47</f>
        <v>6.8</v>
      </c>
      <c r="J47" s="91">
        <f t="shared" si="4"/>
        <v>0</v>
      </c>
      <c r="K47" s="80">
        <v>220</v>
      </c>
      <c r="L47" s="81">
        <f t="shared" si="2"/>
        <v>278.8720242</v>
      </c>
      <c r="M47" s="82">
        <f t="shared" si="12"/>
        <v>0</v>
      </c>
      <c r="N47" s="82">
        <f t="shared" si="13"/>
        <v>0</v>
      </c>
      <c r="O47" s="82">
        <f>N47+'BM 005'!O47</f>
        <v>1896.32</v>
      </c>
      <c r="P47" s="82">
        <f t="shared" si="14"/>
        <v>1496</v>
      </c>
      <c r="Q47" s="82">
        <f t="shared" si="15"/>
        <v>1896.32</v>
      </c>
      <c r="R47" s="82">
        <f t="shared" si="16"/>
        <v>0</v>
      </c>
    </row>
    <row r="48" spans="1:21" s="34" customFormat="1" ht="23.4">
      <c r="B48" s="87" t="s">
        <v>104</v>
      </c>
      <c r="C48" s="88" t="s">
        <v>105</v>
      </c>
      <c r="D48" s="89" t="s">
        <v>79</v>
      </c>
      <c r="E48" s="90">
        <v>88</v>
      </c>
      <c r="F48" s="91"/>
      <c r="G48" s="91"/>
      <c r="H48" s="91"/>
      <c r="I48" s="79">
        <f>SUM(G48:H48)+'BM 005'!I48</f>
        <v>88</v>
      </c>
      <c r="J48" s="91">
        <f t="shared" si="4"/>
        <v>0</v>
      </c>
      <c r="K48" s="80">
        <v>15</v>
      </c>
      <c r="L48" s="81">
        <f t="shared" si="2"/>
        <v>19.014001650000001</v>
      </c>
      <c r="M48" s="82">
        <f t="shared" si="12"/>
        <v>0</v>
      </c>
      <c r="N48" s="82">
        <f t="shared" si="13"/>
        <v>0</v>
      </c>
      <c r="O48" s="82">
        <f>N48+'BM 005'!O48</f>
        <v>1673.23</v>
      </c>
      <c r="P48" s="80">
        <f t="shared" si="14"/>
        <v>1320</v>
      </c>
      <c r="Q48" s="82">
        <f t="shared" si="15"/>
        <v>1673.23</v>
      </c>
      <c r="R48" s="82">
        <f t="shared" si="16"/>
        <v>0</v>
      </c>
    </row>
    <row r="49" spans="2:20" s="34" customFormat="1" ht="23.4">
      <c r="B49" s="87" t="s">
        <v>106</v>
      </c>
      <c r="C49" s="76" t="s">
        <v>107</v>
      </c>
      <c r="D49" s="89" t="s">
        <v>99</v>
      </c>
      <c r="E49" s="90">
        <v>4350</v>
      </c>
      <c r="F49" s="91"/>
      <c r="G49" s="91"/>
      <c r="H49" s="91"/>
      <c r="I49" s="79">
        <f>SUM(G49:H49)+'BM 005'!I49</f>
        <v>1616.87</v>
      </c>
      <c r="J49" s="91">
        <f t="shared" si="4"/>
        <v>2733.13</v>
      </c>
      <c r="K49" s="80">
        <v>10</v>
      </c>
      <c r="L49" s="81">
        <f t="shared" si="2"/>
        <v>12.676001100000001</v>
      </c>
      <c r="M49" s="82">
        <f t="shared" si="12"/>
        <v>0</v>
      </c>
      <c r="N49" s="82">
        <f t="shared" si="13"/>
        <v>0</v>
      </c>
      <c r="O49" s="82">
        <f>N49+'BM 005'!O49</f>
        <v>20495.439999999999</v>
      </c>
      <c r="P49" s="80">
        <f t="shared" si="14"/>
        <v>43500</v>
      </c>
      <c r="Q49" s="82">
        <f t="shared" si="15"/>
        <v>55140.6</v>
      </c>
      <c r="R49" s="82">
        <f t="shared" si="16"/>
        <v>34645.160000000003</v>
      </c>
      <c r="T49" s="185">
        <v>20000</v>
      </c>
    </row>
    <row r="50" spans="2:20" s="34" customFormat="1" ht="57.6">
      <c r="B50" s="87" t="s">
        <v>108</v>
      </c>
      <c r="C50" s="76" t="s">
        <v>109</v>
      </c>
      <c r="D50" s="89" t="s">
        <v>110</v>
      </c>
      <c r="E50" s="90">
        <v>3985</v>
      </c>
      <c r="F50" s="91">
        <f>'M.C. MED. 06'!K119</f>
        <v>375</v>
      </c>
      <c r="G50" s="91">
        <f>F50</f>
        <v>375</v>
      </c>
      <c r="H50" s="91"/>
      <c r="I50" s="79">
        <f>SUM(G50:H50)+'BM 005'!I50</f>
        <v>2452.87</v>
      </c>
      <c r="J50" s="91">
        <f t="shared" si="4"/>
        <v>1532.13</v>
      </c>
      <c r="K50" s="80">
        <v>12</v>
      </c>
      <c r="L50" s="81">
        <f t="shared" si="2"/>
        <v>15.211201320000001</v>
      </c>
      <c r="M50" s="82">
        <f t="shared" si="12"/>
        <v>5704.2</v>
      </c>
      <c r="N50" s="82">
        <f t="shared" si="13"/>
        <v>5704.2</v>
      </c>
      <c r="O50" s="82">
        <f>N50+'BM 005'!O50</f>
        <v>37311.090000000004</v>
      </c>
      <c r="P50" s="80">
        <f t="shared" si="14"/>
        <v>47820</v>
      </c>
      <c r="Q50" s="82">
        <f t="shared" si="15"/>
        <v>60616.63</v>
      </c>
      <c r="R50" s="82">
        <f t="shared" si="16"/>
        <v>23305.539999999994</v>
      </c>
      <c r="T50" s="83"/>
    </row>
    <row r="51" spans="2:20" s="34" customFormat="1" ht="34.799999999999997">
      <c r="B51" s="87" t="s">
        <v>111</v>
      </c>
      <c r="C51" s="76" t="s">
        <v>112</v>
      </c>
      <c r="D51" s="89" t="s">
        <v>113</v>
      </c>
      <c r="E51" s="90">
        <f>E50*30</f>
        <v>119550</v>
      </c>
      <c r="F51" s="91">
        <f>'M.C. MED. 06'!K132</f>
        <v>11250</v>
      </c>
      <c r="G51" s="91">
        <f>F51</f>
        <v>11250</v>
      </c>
      <c r="H51" s="91"/>
      <c r="I51" s="79">
        <f>SUM(G51:H51)+'BM 005'!I51</f>
        <v>45406.525000000001</v>
      </c>
      <c r="J51" s="91">
        <f t="shared" si="4"/>
        <v>74143.475000000006</v>
      </c>
      <c r="K51" s="80">
        <v>1</v>
      </c>
      <c r="L51" s="81">
        <f t="shared" si="2"/>
        <v>1.2676001100000001</v>
      </c>
      <c r="M51" s="82">
        <f t="shared" si="12"/>
        <v>14260.5</v>
      </c>
      <c r="N51" s="82">
        <f t="shared" si="13"/>
        <v>14260.5</v>
      </c>
      <c r="O51" s="82">
        <f>N51+'BM 005'!O51</f>
        <v>57557.3</v>
      </c>
      <c r="P51" s="80">
        <f t="shared" si="14"/>
        <v>119550</v>
      </c>
      <c r="Q51" s="82">
        <f t="shared" si="15"/>
        <v>151541.59</v>
      </c>
      <c r="R51" s="82">
        <f t="shared" si="16"/>
        <v>93984.29</v>
      </c>
    </row>
    <row r="52" spans="2:20" s="34" customFormat="1" ht="13.2">
      <c r="B52" s="60" t="s">
        <v>114</v>
      </c>
      <c r="C52" s="61" t="s">
        <v>115</v>
      </c>
      <c r="D52" s="60"/>
      <c r="E52" s="62"/>
      <c r="F52" s="63"/>
      <c r="G52" s="63"/>
      <c r="H52" s="63"/>
      <c r="I52" s="63">
        <f>SUM(G52:H52)+'BM 005'!I52</f>
        <v>0</v>
      </c>
      <c r="J52" s="63">
        <f t="shared" si="4"/>
        <v>0</v>
      </c>
      <c r="K52" s="63"/>
      <c r="L52" s="63">
        <f t="shared" si="2"/>
        <v>0</v>
      </c>
      <c r="M52" s="63">
        <f t="shared" ref="M52:R52" si="17">M53</f>
        <v>0</v>
      </c>
      <c r="N52" s="63">
        <f t="shared" si="17"/>
        <v>0</v>
      </c>
      <c r="O52" s="63">
        <f t="shared" si="17"/>
        <v>1043334.3999999999</v>
      </c>
      <c r="P52" s="63">
        <f t="shared" si="17"/>
        <v>823958.14</v>
      </c>
      <c r="Q52" s="63">
        <f t="shared" si="17"/>
        <v>1044449.3999999999</v>
      </c>
      <c r="R52" s="63">
        <f t="shared" si="17"/>
        <v>1115</v>
      </c>
    </row>
    <row r="53" spans="2:20" s="34" customFormat="1" ht="13.2">
      <c r="B53" s="66" t="s">
        <v>116</v>
      </c>
      <c r="C53" s="67" t="s">
        <v>117</v>
      </c>
      <c r="D53" s="68"/>
      <c r="E53" s="69"/>
      <c r="F53" s="70"/>
      <c r="G53" s="70"/>
      <c r="H53" s="70"/>
      <c r="I53" s="70">
        <f>SUM(G53:H53)+'BM 005'!I53</f>
        <v>0</v>
      </c>
      <c r="J53" s="70">
        <f t="shared" si="4"/>
        <v>0</v>
      </c>
      <c r="K53" s="71"/>
      <c r="L53" s="71">
        <f t="shared" si="2"/>
        <v>0</v>
      </c>
      <c r="M53" s="73">
        <f t="shared" ref="M53:R53" si="18">SUM(M54:M61)</f>
        <v>0</v>
      </c>
      <c r="N53" s="73">
        <f t="shared" si="18"/>
        <v>0</v>
      </c>
      <c r="O53" s="73">
        <f t="shared" si="18"/>
        <v>1043334.3999999999</v>
      </c>
      <c r="P53" s="73">
        <f t="shared" si="18"/>
        <v>823958.14</v>
      </c>
      <c r="Q53" s="73">
        <f t="shared" si="18"/>
        <v>1044449.3999999999</v>
      </c>
      <c r="R53" s="73">
        <f t="shared" si="18"/>
        <v>1115</v>
      </c>
    </row>
    <row r="54" spans="2:20" s="34" customFormat="1" ht="34.799999999999997">
      <c r="B54" s="87" t="s">
        <v>118</v>
      </c>
      <c r="C54" s="88" t="s">
        <v>119</v>
      </c>
      <c r="D54" s="89" t="s">
        <v>82</v>
      </c>
      <c r="E54" s="92">
        <v>196.9</v>
      </c>
      <c r="F54" s="91"/>
      <c r="G54" s="91"/>
      <c r="H54" s="91"/>
      <c r="I54" s="79">
        <f>SUM(G54:H54)+'BM 005'!I54</f>
        <v>196.9</v>
      </c>
      <c r="J54" s="91">
        <f t="shared" si="4"/>
        <v>0</v>
      </c>
      <c r="K54" s="80">
        <v>75</v>
      </c>
      <c r="L54" s="81">
        <f t="shared" si="2"/>
        <v>95.070008250000001</v>
      </c>
      <c r="M54" s="82">
        <f t="shared" ref="M54:M61" si="19">TRUNC(F54*L54,2)</f>
        <v>0</v>
      </c>
      <c r="N54" s="82">
        <f t="shared" ref="N54:N61" si="20">TRUNC(G54*L54,2)</f>
        <v>0</v>
      </c>
      <c r="O54" s="82">
        <f>N54+'BM 005'!O54</f>
        <v>18719.28</v>
      </c>
      <c r="P54" s="80">
        <f t="shared" ref="P54:P61" si="21">E54*K54</f>
        <v>14767.5</v>
      </c>
      <c r="Q54" s="82">
        <f t="shared" ref="Q54:Q61" si="22">TRUNC(E54*L54,2)</f>
        <v>18719.28</v>
      </c>
      <c r="R54" s="82">
        <f t="shared" ref="R54:R61" si="23">Q54-O54</f>
        <v>0</v>
      </c>
    </row>
    <row r="55" spans="2:20" s="34" customFormat="1" ht="34.799999999999997">
      <c r="B55" s="87" t="s">
        <v>120</v>
      </c>
      <c r="C55" s="88" t="s">
        <v>121</v>
      </c>
      <c r="D55" s="89" t="s">
        <v>63</v>
      </c>
      <c r="E55" s="92">
        <v>1</v>
      </c>
      <c r="F55" s="91"/>
      <c r="G55" s="91"/>
      <c r="H55" s="91"/>
      <c r="I55" s="79">
        <f>SUM(G55:H55)+'BM 005'!I55</f>
        <v>1</v>
      </c>
      <c r="J55" s="91">
        <f t="shared" si="4"/>
        <v>0</v>
      </c>
      <c r="K55" s="80">
        <v>11000</v>
      </c>
      <c r="L55" s="81">
        <f t="shared" si="2"/>
        <v>13943.601210000001</v>
      </c>
      <c r="M55" s="82">
        <f t="shared" si="19"/>
        <v>0</v>
      </c>
      <c r="N55" s="82">
        <f t="shared" si="20"/>
        <v>0</v>
      </c>
      <c r="O55" s="82">
        <f>N55+'BM 005'!O55</f>
        <v>13943.6</v>
      </c>
      <c r="P55" s="80">
        <f t="shared" si="21"/>
        <v>11000</v>
      </c>
      <c r="Q55" s="82">
        <f t="shared" si="22"/>
        <v>13943.6</v>
      </c>
      <c r="R55" s="82">
        <f t="shared" si="23"/>
        <v>0</v>
      </c>
    </row>
    <row r="56" spans="2:20" s="34" customFormat="1" ht="46.2">
      <c r="B56" s="87" t="s">
        <v>122</v>
      </c>
      <c r="C56" s="88" t="s">
        <v>123</v>
      </c>
      <c r="D56" s="89" t="s">
        <v>124</v>
      </c>
      <c r="E56" s="90">
        <v>1837</v>
      </c>
      <c r="F56" s="91"/>
      <c r="G56" s="91"/>
      <c r="H56" s="91"/>
      <c r="I56" s="79">
        <f>SUM(G56:H56)+'BM 005'!I56</f>
        <v>1837</v>
      </c>
      <c r="J56" s="91">
        <f t="shared" si="4"/>
        <v>0</v>
      </c>
      <c r="K56" s="80">
        <v>405</v>
      </c>
      <c r="L56" s="81">
        <f t="shared" si="2"/>
        <v>513.37804455000003</v>
      </c>
      <c r="M56" s="82">
        <f t="shared" si="19"/>
        <v>0</v>
      </c>
      <c r="N56" s="82">
        <f t="shared" si="20"/>
        <v>0</v>
      </c>
      <c r="O56" s="82">
        <f>N56+'BM 005'!O56</f>
        <v>943075.46</v>
      </c>
      <c r="P56" s="80">
        <f t="shared" si="21"/>
        <v>743985</v>
      </c>
      <c r="Q56" s="82">
        <f t="shared" si="22"/>
        <v>943075.46</v>
      </c>
      <c r="R56" s="82">
        <f t="shared" si="23"/>
        <v>0</v>
      </c>
    </row>
    <row r="57" spans="2:20" s="34" customFormat="1" ht="46.2">
      <c r="B57" s="87" t="s">
        <v>125</v>
      </c>
      <c r="C57" s="88" t="s">
        <v>126</v>
      </c>
      <c r="D57" s="89" t="s">
        <v>110</v>
      </c>
      <c r="E57" s="90">
        <v>293.92</v>
      </c>
      <c r="F57" s="91"/>
      <c r="G57" s="91"/>
      <c r="H57" s="91"/>
      <c r="I57" s="79">
        <f>SUM(G57:H57)+'BM 005'!I57</f>
        <v>293.92</v>
      </c>
      <c r="J57" s="91">
        <f t="shared" si="4"/>
        <v>0</v>
      </c>
      <c r="K57" s="80">
        <v>12</v>
      </c>
      <c r="L57" s="81">
        <f t="shared" si="2"/>
        <v>15.211201320000001</v>
      </c>
      <c r="M57" s="82">
        <f t="shared" si="19"/>
        <v>0</v>
      </c>
      <c r="N57" s="82">
        <f t="shared" si="20"/>
        <v>0</v>
      </c>
      <c r="O57" s="82">
        <f>N57+'BM 005'!O57</f>
        <v>4470.87</v>
      </c>
      <c r="P57" s="80">
        <f t="shared" si="21"/>
        <v>3527.04</v>
      </c>
      <c r="Q57" s="82">
        <f t="shared" si="22"/>
        <v>4470.87</v>
      </c>
      <c r="R57" s="82">
        <f t="shared" si="23"/>
        <v>0</v>
      </c>
    </row>
    <row r="58" spans="2:20" s="34" customFormat="1" ht="34.799999999999997">
      <c r="B58" s="87" t="s">
        <v>127</v>
      </c>
      <c r="C58" s="88" t="s">
        <v>128</v>
      </c>
      <c r="D58" s="89" t="s">
        <v>113</v>
      </c>
      <c r="E58" s="90">
        <f>E57*30</f>
        <v>8817.6</v>
      </c>
      <c r="F58" s="91"/>
      <c r="G58" s="91"/>
      <c r="H58" s="91"/>
      <c r="I58" s="79">
        <f>SUM(G58:H58)+'BM 005'!I58</f>
        <v>7938.0000000000009</v>
      </c>
      <c r="J58" s="91">
        <f t="shared" si="4"/>
        <v>879.59999999999945</v>
      </c>
      <c r="K58" s="80">
        <v>1</v>
      </c>
      <c r="L58" s="81">
        <f t="shared" si="2"/>
        <v>1.2676001100000001</v>
      </c>
      <c r="M58" s="82">
        <f t="shared" si="19"/>
        <v>0</v>
      </c>
      <c r="N58" s="82">
        <f t="shared" si="20"/>
        <v>0</v>
      </c>
      <c r="O58" s="82">
        <f>N58+'BM 005'!O58</f>
        <v>10062.200000000001</v>
      </c>
      <c r="P58" s="80">
        <f t="shared" si="21"/>
        <v>8817.6</v>
      </c>
      <c r="Q58" s="82">
        <f t="shared" si="22"/>
        <v>11177.19</v>
      </c>
      <c r="R58" s="82">
        <f t="shared" si="23"/>
        <v>1114.9899999999998</v>
      </c>
    </row>
    <row r="59" spans="2:20" s="34" customFormat="1" ht="23.4">
      <c r="B59" s="87" t="s">
        <v>129</v>
      </c>
      <c r="C59" s="88" t="s">
        <v>130</v>
      </c>
      <c r="D59" s="89" t="s">
        <v>131</v>
      </c>
      <c r="E59" s="92">
        <v>167</v>
      </c>
      <c r="F59" s="91"/>
      <c r="G59" s="91"/>
      <c r="H59" s="91"/>
      <c r="I59" s="79">
        <f>SUM(G59:H59)+'BM 005'!I59</f>
        <v>167</v>
      </c>
      <c r="J59" s="91">
        <f t="shared" si="4"/>
        <v>0</v>
      </c>
      <c r="K59" s="80">
        <v>23</v>
      </c>
      <c r="L59" s="81">
        <f t="shared" si="2"/>
        <v>29.154802530000001</v>
      </c>
      <c r="M59" s="82">
        <f t="shared" si="19"/>
        <v>0</v>
      </c>
      <c r="N59" s="82">
        <f t="shared" si="20"/>
        <v>0</v>
      </c>
      <c r="O59" s="82">
        <f>N59+'BM 005'!O59</f>
        <v>4868.84</v>
      </c>
      <c r="P59" s="80">
        <f t="shared" si="21"/>
        <v>3841</v>
      </c>
      <c r="Q59" s="82">
        <f t="shared" si="22"/>
        <v>4868.8500000000004</v>
      </c>
      <c r="R59" s="82">
        <f t="shared" si="23"/>
        <v>1.0000000000218279E-2</v>
      </c>
    </row>
    <row r="60" spans="2:20" s="34" customFormat="1" ht="13.2">
      <c r="B60" s="87" t="s">
        <v>132</v>
      </c>
      <c r="C60" s="88" t="s">
        <v>133</v>
      </c>
      <c r="D60" s="89" t="s">
        <v>63</v>
      </c>
      <c r="E60" s="92">
        <v>2</v>
      </c>
      <c r="F60" s="91"/>
      <c r="G60" s="91"/>
      <c r="H60" s="91"/>
      <c r="I60" s="79">
        <f>SUM(G60:H60)+'BM 005'!I60</f>
        <v>2</v>
      </c>
      <c r="J60" s="91">
        <f t="shared" si="4"/>
        <v>0</v>
      </c>
      <c r="K60" s="80">
        <v>14000</v>
      </c>
      <c r="L60" s="81">
        <f t="shared" si="2"/>
        <v>17746.401540000003</v>
      </c>
      <c r="M60" s="82">
        <f t="shared" si="19"/>
        <v>0</v>
      </c>
      <c r="N60" s="82">
        <f t="shared" si="20"/>
        <v>0</v>
      </c>
      <c r="O60" s="82">
        <f>N60+'BM 005'!O60</f>
        <v>35492.800000000003</v>
      </c>
      <c r="P60" s="80">
        <f t="shared" si="21"/>
        <v>28000</v>
      </c>
      <c r="Q60" s="82">
        <f t="shared" si="22"/>
        <v>35492.800000000003</v>
      </c>
      <c r="R60" s="82">
        <f t="shared" si="23"/>
        <v>0</v>
      </c>
    </row>
    <row r="61" spans="2:20" s="34" customFormat="1" ht="13.2">
      <c r="B61" s="87" t="s">
        <v>134</v>
      </c>
      <c r="C61" s="88" t="s">
        <v>135</v>
      </c>
      <c r="D61" s="89" t="s">
        <v>63</v>
      </c>
      <c r="E61" s="92">
        <v>167</v>
      </c>
      <c r="F61" s="91"/>
      <c r="G61" s="91"/>
      <c r="H61" s="91"/>
      <c r="I61" s="79">
        <f>SUM(G61:H61)+'BM 005'!I61</f>
        <v>167</v>
      </c>
      <c r="J61" s="91">
        <f t="shared" si="4"/>
        <v>0</v>
      </c>
      <c r="K61" s="80">
        <v>60</v>
      </c>
      <c r="L61" s="81">
        <f t="shared" si="2"/>
        <v>76.056006600000003</v>
      </c>
      <c r="M61" s="82">
        <f t="shared" si="19"/>
        <v>0</v>
      </c>
      <c r="N61" s="82">
        <f t="shared" si="20"/>
        <v>0</v>
      </c>
      <c r="O61" s="82">
        <f>N61+'BM 005'!O61</f>
        <v>12701.35</v>
      </c>
      <c r="P61" s="80">
        <f t="shared" si="21"/>
        <v>10020</v>
      </c>
      <c r="Q61" s="82">
        <f t="shared" si="22"/>
        <v>12701.35</v>
      </c>
      <c r="R61" s="82">
        <f t="shared" si="23"/>
        <v>0</v>
      </c>
    </row>
    <row r="62" spans="2:20" s="34" customFormat="1" ht="15.75" customHeight="1">
      <c r="B62" s="60" t="s">
        <v>136</v>
      </c>
      <c r="C62" s="61" t="s">
        <v>137</v>
      </c>
      <c r="D62" s="60"/>
      <c r="E62" s="62"/>
      <c r="F62" s="63"/>
      <c r="G62" s="63"/>
      <c r="H62" s="63"/>
      <c r="I62" s="63">
        <f>SUM(G62:H62)+'BM 005'!I62</f>
        <v>0</v>
      </c>
      <c r="J62" s="63">
        <f t="shared" si="4"/>
        <v>0</v>
      </c>
      <c r="K62" s="63"/>
      <c r="L62" s="63">
        <f t="shared" si="2"/>
        <v>0</v>
      </c>
      <c r="M62" s="63">
        <f t="shared" ref="M62:R62" si="24">SUM(M63,M79)</f>
        <v>0</v>
      </c>
      <c r="N62" s="63">
        <f t="shared" si="24"/>
        <v>0</v>
      </c>
      <c r="O62" s="63">
        <f t="shared" si="24"/>
        <v>788372.97</v>
      </c>
      <c r="P62" s="63">
        <f t="shared" si="24"/>
        <v>621941.5</v>
      </c>
      <c r="Q62" s="63">
        <f t="shared" si="24"/>
        <v>788372.97</v>
      </c>
      <c r="R62" s="63">
        <f t="shared" si="24"/>
        <v>0</v>
      </c>
    </row>
    <row r="63" spans="2:20" s="34" customFormat="1" ht="13.2">
      <c r="B63" s="66" t="s">
        <v>138</v>
      </c>
      <c r="C63" s="67" t="s">
        <v>139</v>
      </c>
      <c r="D63" s="68"/>
      <c r="E63" s="69"/>
      <c r="F63" s="70"/>
      <c r="G63" s="70"/>
      <c r="H63" s="70"/>
      <c r="I63" s="70">
        <f>SUM(G63:H63)+'BM 005'!I63</f>
        <v>0</v>
      </c>
      <c r="J63" s="70">
        <f t="shared" si="4"/>
        <v>0</v>
      </c>
      <c r="K63" s="71"/>
      <c r="L63" s="71">
        <f t="shared" si="2"/>
        <v>0</v>
      </c>
      <c r="M63" s="73">
        <f t="shared" ref="M63:R63" si="25">SUM(M64:M78)</f>
        <v>0</v>
      </c>
      <c r="N63" s="73">
        <f t="shared" si="25"/>
        <v>0</v>
      </c>
      <c r="O63" s="73">
        <f t="shared" si="25"/>
        <v>597801.35</v>
      </c>
      <c r="P63" s="73">
        <f t="shared" si="25"/>
        <v>471600.95</v>
      </c>
      <c r="Q63" s="73">
        <f t="shared" si="25"/>
        <v>597801.35</v>
      </c>
      <c r="R63" s="73">
        <f t="shared" si="25"/>
        <v>0</v>
      </c>
    </row>
    <row r="64" spans="2:20" s="34" customFormat="1" ht="23.4">
      <c r="B64" s="87" t="s">
        <v>140</v>
      </c>
      <c r="C64" s="88" t="s">
        <v>141</v>
      </c>
      <c r="D64" s="89" t="s">
        <v>110</v>
      </c>
      <c r="E64" s="90">
        <v>259.39</v>
      </c>
      <c r="F64" s="91"/>
      <c r="G64" s="91"/>
      <c r="H64" s="91"/>
      <c r="I64" s="79">
        <f>SUM(G64:H64)+'BM 005'!I64</f>
        <v>259.39</v>
      </c>
      <c r="J64" s="91">
        <f t="shared" si="4"/>
        <v>0</v>
      </c>
      <c r="K64" s="80">
        <v>80</v>
      </c>
      <c r="L64" s="81">
        <f t="shared" si="2"/>
        <v>101.4080088</v>
      </c>
      <c r="M64" s="82">
        <f t="shared" ref="M64:M78" si="26">TRUNC(F64*L64,2)</f>
        <v>0</v>
      </c>
      <c r="N64" s="82">
        <f t="shared" ref="N64:N78" si="27">TRUNC(G64*L64,2)</f>
        <v>0</v>
      </c>
      <c r="O64" s="82">
        <f>N64+'BM 005'!O64</f>
        <v>26304.22</v>
      </c>
      <c r="P64" s="80">
        <f t="shared" ref="P64:P78" si="28">E64*K64</f>
        <v>20751.199999999997</v>
      </c>
      <c r="Q64" s="82">
        <f t="shared" ref="Q64:Q78" si="29">TRUNC(E64*L64,2)</f>
        <v>26304.22</v>
      </c>
      <c r="R64" s="82">
        <f t="shared" ref="R64:R78" si="30">Q64-O64</f>
        <v>0</v>
      </c>
    </row>
    <row r="65" spans="2:20" s="34" customFormat="1" ht="23.4">
      <c r="B65" s="87" t="s">
        <v>142</v>
      </c>
      <c r="C65" s="88" t="s">
        <v>143</v>
      </c>
      <c r="D65" s="89" t="s">
        <v>79</v>
      </c>
      <c r="E65" s="92">
        <v>72.260000000000005</v>
      </c>
      <c r="F65" s="91"/>
      <c r="G65" s="91"/>
      <c r="H65" s="91"/>
      <c r="I65" s="79">
        <f>SUM(G65:H65)+'BM 005'!I65</f>
        <v>72.260000000000005</v>
      </c>
      <c r="J65" s="91">
        <f t="shared" si="4"/>
        <v>0</v>
      </c>
      <c r="K65" s="80">
        <v>30</v>
      </c>
      <c r="L65" s="81">
        <f t="shared" si="2"/>
        <v>38.028003300000002</v>
      </c>
      <c r="M65" s="82">
        <f t="shared" si="26"/>
        <v>0</v>
      </c>
      <c r="N65" s="82">
        <f t="shared" si="27"/>
        <v>0</v>
      </c>
      <c r="O65" s="82">
        <f>N65+'BM 005'!O65</f>
        <v>2747.9</v>
      </c>
      <c r="P65" s="80">
        <f t="shared" si="28"/>
        <v>2167.8000000000002</v>
      </c>
      <c r="Q65" s="82">
        <f t="shared" si="29"/>
        <v>2747.9</v>
      </c>
      <c r="R65" s="82">
        <f t="shared" si="30"/>
        <v>0</v>
      </c>
    </row>
    <row r="66" spans="2:20" s="34" customFormat="1" ht="23.4">
      <c r="B66" s="87" t="s">
        <v>144</v>
      </c>
      <c r="C66" s="88" t="s">
        <v>145</v>
      </c>
      <c r="D66" s="89" t="s">
        <v>110</v>
      </c>
      <c r="E66" s="92">
        <v>217.8</v>
      </c>
      <c r="F66" s="91"/>
      <c r="G66" s="91"/>
      <c r="H66" s="91"/>
      <c r="I66" s="79">
        <f>SUM(G66:H66)+'BM 005'!I66</f>
        <v>217.8</v>
      </c>
      <c r="J66" s="91">
        <f t="shared" si="4"/>
        <v>0</v>
      </c>
      <c r="K66" s="80">
        <v>25</v>
      </c>
      <c r="L66" s="81">
        <f t="shared" si="2"/>
        <v>31.690002750000001</v>
      </c>
      <c r="M66" s="82">
        <f t="shared" si="26"/>
        <v>0</v>
      </c>
      <c r="N66" s="82">
        <f t="shared" si="27"/>
        <v>0</v>
      </c>
      <c r="O66" s="82">
        <f>N66+'BM 005'!O66</f>
        <v>6902.08</v>
      </c>
      <c r="P66" s="80">
        <f t="shared" si="28"/>
        <v>5445</v>
      </c>
      <c r="Q66" s="82">
        <f t="shared" si="29"/>
        <v>6902.08</v>
      </c>
      <c r="R66" s="82">
        <f t="shared" si="30"/>
        <v>0</v>
      </c>
    </row>
    <row r="67" spans="2:20" s="34" customFormat="1" ht="46.2">
      <c r="B67" s="87" t="s">
        <v>146</v>
      </c>
      <c r="C67" s="88" t="s">
        <v>126</v>
      </c>
      <c r="D67" s="89" t="s">
        <v>110</v>
      </c>
      <c r="E67" s="90">
        <v>140.80000000000001</v>
      </c>
      <c r="F67" s="91"/>
      <c r="G67" s="91"/>
      <c r="H67" s="91"/>
      <c r="I67" s="79">
        <f>SUM(G67:H67)+'BM 005'!I67</f>
        <v>140.80000000000001</v>
      </c>
      <c r="J67" s="91">
        <f t="shared" si="4"/>
        <v>0</v>
      </c>
      <c r="K67" s="80">
        <v>12</v>
      </c>
      <c r="L67" s="81">
        <f t="shared" si="2"/>
        <v>15.211201320000001</v>
      </c>
      <c r="M67" s="82">
        <f t="shared" si="26"/>
        <v>0</v>
      </c>
      <c r="N67" s="82">
        <f t="shared" si="27"/>
        <v>0</v>
      </c>
      <c r="O67" s="82">
        <f>N67+'BM 005'!O67</f>
        <v>2141.73</v>
      </c>
      <c r="P67" s="80">
        <f t="shared" si="28"/>
        <v>1689.6000000000001</v>
      </c>
      <c r="Q67" s="82">
        <f t="shared" si="29"/>
        <v>2141.73</v>
      </c>
      <c r="R67" s="82">
        <f t="shared" si="30"/>
        <v>0</v>
      </c>
    </row>
    <row r="68" spans="2:20" s="34" customFormat="1" ht="34.799999999999997">
      <c r="B68" s="87" t="s">
        <v>147</v>
      </c>
      <c r="C68" s="88" t="s">
        <v>128</v>
      </c>
      <c r="D68" s="89" t="s">
        <v>113</v>
      </c>
      <c r="E68" s="90">
        <f>E64*30</f>
        <v>7781.7</v>
      </c>
      <c r="F68" s="91"/>
      <c r="G68" s="91"/>
      <c r="H68" s="91"/>
      <c r="I68" s="79">
        <f>SUM(G68:H68)+'BM 005'!I68</f>
        <v>7781.7</v>
      </c>
      <c r="J68" s="91">
        <f t="shared" si="4"/>
        <v>0</v>
      </c>
      <c r="K68" s="80">
        <v>1</v>
      </c>
      <c r="L68" s="81">
        <f t="shared" si="2"/>
        <v>1.2676001100000001</v>
      </c>
      <c r="M68" s="82">
        <f t="shared" si="26"/>
        <v>0</v>
      </c>
      <c r="N68" s="82">
        <f t="shared" si="27"/>
        <v>0</v>
      </c>
      <c r="O68" s="82">
        <f>N68+'BM 005'!O68</f>
        <v>9864.08</v>
      </c>
      <c r="P68" s="80">
        <f t="shared" si="28"/>
        <v>7781.7</v>
      </c>
      <c r="Q68" s="82">
        <f t="shared" si="29"/>
        <v>9864.08</v>
      </c>
      <c r="R68" s="82">
        <f t="shared" si="30"/>
        <v>0</v>
      </c>
      <c r="T68" s="83"/>
    </row>
    <row r="69" spans="2:20" s="34" customFormat="1" ht="23.4">
      <c r="B69" s="87" t="s">
        <v>148</v>
      </c>
      <c r="C69" s="88" t="s">
        <v>149</v>
      </c>
      <c r="D69" s="89" t="s">
        <v>79</v>
      </c>
      <c r="E69" s="90">
        <v>233.48</v>
      </c>
      <c r="F69" s="91"/>
      <c r="G69" s="91"/>
      <c r="H69" s="91"/>
      <c r="I69" s="79">
        <f>SUM(G69:H69)+'BM 005'!I69</f>
        <v>233.4802253775074</v>
      </c>
      <c r="J69" s="91">
        <f t="shared" si="4"/>
        <v>-2.2537750740525553E-4</v>
      </c>
      <c r="K69" s="80">
        <v>35</v>
      </c>
      <c r="L69" s="81">
        <f t="shared" si="2"/>
        <v>44.366003849999998</v>
      </c>
      <c r="M69" s="82">
        <f t="shared" si="26"/>
        <v>0</v>
      </c>
      <c r="N69" s="82">
        <f t="shared" si="27"/>
        <v>0</v>
      </c>
      <c r="O69" s="82">
        <f>N69+'BM 005'!O69</f>
        <v>10358.57</v>
      </c>
      <c r="P69" s="80">
        <f t="shared" si="28"/>
        <v>8171.7999999999993</v>
      </c>
      <c r="Q69" s="82">
        <f t="shared" si="29"/>
        <v>10358.57</v>
      </c>
      <c r="R69" s="82">
        <f t="shared" si="30"/>
        <v>0</v>
      </c>
    </row>
    <row r="70" spans="2:20" s="34" customFormat="1" ht="23.4">
      <c r="B70" s="87" t="s">
        <v>150</v>
      </c>
      <c r="C70" s="88" t="s">
        <v>151</v>
      </c>
      <c r="D70" s="89" t="s">
        <v>152</v>
      </c>
      <c r="E70" s="90">
        <v>190.3</v>
      </c>
      <c r="F70" s="91"/>
      <c r="G70" s="91"/>
      <c r="H70" s="91"/>
      <c r="I70" s="79">
        <f>SUM(G70:H70)+'BM 005'!I70</f>
        <v>190.3</v>
      </c>
      <c r="J70" s="91">
        <f t="shared" si="4"/>
        <v>0</v>
      </c>
      <c r="K70" s="80">
        <v>20</v>
      </c>
      <c r="L70" s="81">
        <f t="shared" si="2"/>
        <v>25.352002200000001</v>
      </c>
      <c r="M70" s="82">
        <f t="shared" si="26"/>
        <v>0</v>
      </c>
      <c r="N70" s="82">
        <f t="shared" si="27"/>
        <v>0</v>
      </c>
      <c r="O70" s="82">
        <f>N70+'BM 005'!O70</f>
        <v>4824.4799999999996</v>
      </c>
      <c r="P70" s="80">
        <f t="shared" si="28"/>
        <v>3806</v>
      </c>
      <c r="Q70" s="82">
        <f t="shared" si="29"/>
        <v>4824.4799999999996</v>
      </c>
      <c r="R70" s="82">
        <f t="shared" si="30"/>
        <v>0</v>
      </c>
    </row>
    <row r="71" spans="2:20" s="34" customFormat="1" ht="34.799999999999997">
      <c r="B71" s="87" t="s">
        <v>153</v>
      </c>
      <c r="C71" s="88" t="s">
        <v>154</v>
      </c>
      <c r="D71" s="89" t="s">
        <v>152</v>
      </c>
      <c r="E71" s="90">
        <v>77</v>
      </c>
      <c r="F71" s="91"/>
      <c r="G71" s="91"/>
      <c r="H71" s="91"/>
      <c r="I71" s="79">
        <f>SUM(G71:H71)+'BM 005'!I71</f>
        <v>77</v>
      </c>
      <c r="J71" s="91">
        <f t="shared" si="4"/>
        <v>0</v>
      </c>
      <c r="K71" s="80">
        <v>19</v>
      </c>
      <c r="L71" s="81">
        <f t="shared" si="2"/>
        <v>24.084402090000001</v>
      </c>
      <c r="M71" s="82">
        <f t="shared" si="26"/>
        <v>0</v>
      </c>
      <c r="N71" s="82">
        <f t="shared" si="27"/>
        <v>0</v>
      </c>
      <c r="O71" s="82">
        <f>N71+'BM 005'!O71</f>
        <v>1854.49</v>
      </c>
      <c r="P71" s="80">
        <f t="shared" si="28"/>
        <v>1463</v>
      </c>
      <c r="Q71" s="82">
        <f t="shared" si="29"/>
        <v>1854.49</v>
      </c>
      <c r="R71" s="82">
        <f t="shared" si="30"/>
        <v>0</v>
      </c>
    </row>
    <row r="72" spans="2:20" s="34" customFormat="1" ht="23.4">
      <c r="B72" s="87" t="s">
        <v>155</v>
      </c>
      <c r="C72" s="88" t="s">
        <v>156</v>
      </c>
      <c r="D72" s="89" t="s">
        <v>152</v>
      </c>
      <c r="E72" s="90">
        <v>566.5</v>
      </c>
      <c r="F72" s="91"/>
      <c r="G72" s="91"/>
      <c r="H72" s="91"/>
      <c r="I72" s="79">
        <f>SUM(G72:H72)+'BM 005'!I72</f>
        <v>566.50014977685623</v>
      </c>
      <c r="J72" s="91">
        <f t="shared" si="4"/>
        <v>-1.497768562330748E-4</v>
      </c>
      <c r="K72" s="80">
        <v>17.5</v>
      </c>
      <c r="L72" s="81">
        <f t="shared" si="2"/>
        <v>22.183001924999999</v>
      </c>
      <c r="M72" s="82">
        <f t="shared" si="26"/>
        <v>0</v>
      </c>
      <c r="N72" s="82">
        <f t="shared" si="27"/>
        <v>0</v>
      </c>
      <c r="O72" s="82">
        <f>N72+'BM 005'!O72</f>
        <v>12566.669999999998</v>
      </c>
      <c r="P72" s="80">
        <f t="shared" si="28"/>
        <v>9913.75</v>
      </c>
      <c r="Q72" s="82">
        <f t="shared" si="29"/>
        <v>12566.67</v>
      </c>
      <c r="R72" s="82">
        <f t="shared" si="30"/>
        <v>0</v>
      </c>
      <c r="T72" s="83"/>
    </row>
    <row r="73" spans="2:20" s="34" customFormat="1" ht="23.4">
      <c r="B73" s="87" t="s">
        <v>157</v>
      </c>
      <c r="C73" s="88" t="s">
        <v>158</v>
      </c>
      <c r="D73" s="89" t="s">
        <v>152</v>
      </c>
      <c r="E73" s="90">
        <v>1663.2</v>
      </c>
      <c r="F73" s="91"/>
      <c r="G73" s="91"/>
      <c r="H73" s="91"/>
      <c r="I73" s="79">
        <f>SUM(G73:H73)+'BM 005'!I73</f>
        <v>1663.2003</v>
      </c>
      <c r="J73" s="91">
        <f t="shared" si="4"/>
        <v>-2.9999999992469384E-4</v>
      </c>
      <c r="K73" s="80">
        <v>16</v>
      </c>
      <c r="L73" s="81">
        <f t="shared" si="2"/>
        <v>20.281601760000001</v>
      </c>
      <c r="M73" s="82">
        <f t="shared" si="26"/>
        <v>0</v>
      </c>
      <c r="N73" s="82">
        <f t="shared" si="27"/>
        <v>0</v>
      </c>
      <c r="O73" s="82">
        <f>N73+'BM 005'!O73</f>
        <v>33732.36</v>
      </c>
      <c r="P73" s="80">
        <f t="shared" si="28"/>
        <v>26611.200000000001</v>
      </c>
      <c r="Q73" s="82">
        <f t="shared" si="29"/>
        <v>33732.36</v>
      </c>
      <c r="R73" s="82">
        <f t="shared" si="30"/>
        <v>0</v>
      </c>
    </row>
    <row r="74" spans="2:20" s="34" customFormat="1" ht="23.4">
      <c r="B74" s="87" t="s">
        <v>159</v>
      </c>
      <c r="C74" s="88" t="s">
        <v>160</v>
      </c>
      <c r="D74" s="89" t="s">
        <v>152</v>
      </c>
      <c r="E74" s="90">
        <v>4944.5</v>
      </c>
      <c r="F74" s="91"/>
      <c r="G74" s="91"/>
      <c r="H74" s="91"/>
      <c r="I74" s="79">
        <f>SUM(G74:H74)+'BM 005'!I74</f>
        <v>4944.5003000000006</v>
      </c>
      <c r="J74" s="91">
        <f t="shared" si="4"/>
        <v>-3.0000000060681487E-4</v>
      </c>
      <c r="K74" s="80">
        <v>14.5</v>
      </c>
      <c r="L74" s="81">
        <f t="shared" si="2"/>
        <v>18.380201595000003</v>
      </c>
      <c r="M74" s="82">
        <f t="shared" si="26"/>
        <v>0</v>
      </c>
      <c r="N74" s="82">
        <f t="shared" si="27"/>
        <v>0</v>
      </c>
      <c r="O74" s="82">
        <f>N74+'BM 005'!O74</f>
        <v>90880.9</v>
      </c>
      <c r="P74" s="80">
        <f t="shared" si="28"/>
        <v>71695.25</v>
      </c>
      <c r="Q74" s="82">
        <f t="shared" si="29"/>
        <v>90880.9</v>
      </c>
      <c r="R74" s="82">
        <f t="shared" si="30"/>
        <v>0</v>
      </c>
    </row>
    <row r="75" spans="2:20" s="34" customFormat="1" ht="23.4">
      <c r="B75" s="87" t="s">
        <v>161</v>
      </c>
      <c r="C75" s="88" t="s">
        <v>162</v>
      </c>
      <c r="D75" s="89" t="s">
        <v>152</v>
      </c>
      <c r="E75" s="90">
        <v>115.5</v>
      </c>
      <c r="F75" s="91"/>
      <c r="G75" s="91"/>
      <c r="H75" s="91"/>
      <c r="I75" s="79">
        <f>SUM(G75:H75)+'BM 005'!I75</f>
        <v>115.5</v>
      </c>
      <c r="J75" s="91">
        <f t="shared" si="4"/>
        <v>0</v>
      </c>
      <c r="K75" s="94">
        <v>14.5</v>
      </c>
      <c r="L75" s="81">
        <f t="shared" si="2"/>
        <v>18.380201595000003</v>
      </c>
      <c r="M75" s="82">
        <f t="shared" si="26"/>
        <v>0</v>
      </c>
      <c r="N75" s="82">
        <f t="shared" si="27"/>
        <v>0</v>
      </c>
      <c r="O75" s="82">
        <f>N75+'BM 005'!O75</f>
        <v>2122.91</v>
      </c>
      <c r="P75" s="94">
        <f t="shared" si="28"/>
        <v>1674.75</v>
      </c>
      <c r="Q75" s="82">
        <f t="shared" si="29"/>
        <v>2122.91</v>
      </c>
      <c r="R75" s="82">
        <f t="shared" si="30"/>
        <v>0</v>
      </c>
    </row>
    <row r="76" spans="2:20" s="34" customFormat="1" ht="23.4">
      <c r="B76" s="87" t="s">
        <v>163</v>
      </c>
      <c r="C76" s="88" t="s">
        <v>164</v>
      </c>
      <c r="D76" s="89" t="s">
        <v>152</v>
      </c>
      <c r="E76" s="90">
        <v>7195.1</v>
      </c>
      <c r="F76" s="91"/>
      <c r="G76" s="91"/>
      <c r="H76" s="91"/>
      <c r="I76" s="79">
        <f>SUM(G76:H76)+'BM 005'!I76</f>
        <v>7195.1005000000005</v>
      </c>
      <c r="J76" s="91">
        <f t="shared" si="4"/>
        <v>-5.0000000010186341E-4</v>
      </c>
      <c r="K76" s="80">
        <v>14</v>
      </c>
      <c r="L76" s="81">
        <f t="shared" si="2"/>
        <v>17.746401540000001</v>
      </c>
      <c r="M76" s="82">
        <f t="shared" si="26"/>
        <v>0</v>
      </c>
      <c r="N76" s="82">
        <f t="shared" si="27"/>
        <v>0</v>
      </c>
      <c r="O76" s="82">
        <f>N76+'BM 005'!O76</f>
        <v>127687.13</v>
      </c>
      <c r="P76" s="80">
        <f t="shared" si="28"/>
        <v>100731.40000000001</v>
      </c>
      <c r="Q76" s="82">
        <f t="shared" si="29"/>
        <v>127687.13</v>
      </c>
      <c r="R76" s="82">
        <f t="shared" si="30"/>
        <v>0</v>
      </c>
    </row>
    <row r="77" spans="2:20" s="34" customFormat="1" ht="34.799999999999997">
      <c r="B77" s="87" t="s">
        <v>165</v>
      </c>
      <c r="C77" s="88" t="s">
        <v>166</v>
      </c>
      <c r="D77" s="89" t="s">
        <v>79</v>
      </c>
      <c r="E77" s="90">
        <v>415.8</v>
      </c>
      <c r="F77" s="91"/>
      <c r="G77" s="91"/>
      <c r="H77" s="91"/>
      <c r="I77" s="79">
        <f>SUM(G77:H77)+'BM 005'!I77</f>
        <v>415.80005</v>
      </c>
      <c r="J77" s="91">
        <f t="shared" si="4"/>
        <v>-4.9999999987448973E-5</v>
      </c>
      <c r="K77" s="80">
        <v>120</v>
      </c>
      <c r="L77" s="81">
        <f t="shared" si="2"/>
        <v>152.11201320000001</v>
      </c>
      <c r="M77" s="82">
        <f t="shared" si="26"/>
        <v>0</v>
      </c>
      <c r="N77" s="82">
        <f t="shared" si="27"/>
        <v>0</v>
      </c>
      <c r="O77" s="82">
        <f>N77+'BM 005'!O77</f>
        <v>63248.17</v>
      </c>
      <c r="P77" s="80">
        <f t="shared" si="28"/>
        <v>49896</v>
      </c>
      <c r="Q77" s="82">
        <f t="shared" si="29"/>
        <v>63248.17</v>
      </c>
      <c r="R77" s="82">
        <f t="shared" si="30"/>
        <v>0</v>
      </c>
    </row>
    <row r="78" spans="2:20" s="34" customFormat="1" ht="34.799999999999997">
      <c r="B78" s="87" t="s">
        <v>167</v>
      </c>
      <c r="C78" s="88" t="s">
        <v>168</v>
      </c>
      <c r="D78" s="89" t="s">
        <v>169</v>
      </c>
      <c r="E78" s="92">
        <v>213.07</v>
      </c>
      <c r="F78" s="91"/>
      <c r="G78" s="91"/>
      <c r="H78" s="91"/>
      <c r="I78" s="79">
        <f>SUM(G78:H78)+'BM 005'!I78</f>
        <v>213.07001051856443</v>
      </c>
      <c r="J78" s="91">
        <f t="shared" si="4"/>
        <v>-1.051856443723409E-5</v>
      </c>
      <c r="K78" s="95">
        <v>750</v>
      </c>
      <c r="L78" s="81">
        <f t="shared" si="2"/>
        <v>950.70008250000001</v>
      </c>
      <c r="M78" s="82">
        <f t="shared" si="26"/>
        <v>0</v>
      </c>
      <c r="N78" s="82">
        <f t="shared" si="27"/>
        <v>0</v>
      </c>
      <c r="O78" s="82">
        <f>N78+'BM 005'!O78</f>
        <v>202565.66</v>
      </c>
      <c r="P78" s="95">
        <f t="shared" si="28"/>
        <v>159802.5</v>
      </c>
      <c r="Q78" s="82">
        <f t="shared" si="29"/>
        <v>202565.66</v>
      </c>
      <c r="R78" s="82">
        <f t="shared" si="30"/>
        <v>0</v>
      </c>
    </row>
    <row r="79" spans="2:20" s="34" customFormat="1" ht="13.2">
      <c r="B79" s="66" t="s">
        <v>170</v>
      </c>
      <c r="C79" s="67" t="s">
        <v>171</v>
      </c>
      <c r="D79" s="68"/>
      <c r="E79" s="69"/>
      <c r="F79" s="70"/>
      <c r="G79" s="70"/>
      <c r="H79" s="70"/>
      <c r="I79" s="70">
        <f>SUM(G79:H79)+'BM 005'!I79</f>
        <v>0</v>
      </c>
      <c r="J79" s="70">
        <f t="shared" si="4"/>
        <v>0</v>
      </c>
      <c r="K79" s="71"/>
      <c r="L79" s="71">
        <f t="shared" si="2"/>
        <v>0</v>
      </c>
      <c r="M79" s="73">
        <f t="shared" ref="M79:R79" si="31">SUM(M80:M93)</f>
        <v>0</v>
      </c>
      <c r="N79" s="73">
        <f t="shared" si="31"/>
        <v>0</v>
      </c>
      <c r="O79" s="73">
        <f t="shared" si="31"/>
        <v>190571.62</v>
      </c>
      <c r="P79" s="73">
        <f t="shared" si="31"/>
        <v>150340.54999999999</v>
      </c>
      <c r="Q79" s="73">
        <f t="shared" si="31"/>
        <v>190571.62</v>
      </c>
      <c r="R79" s="73">
        <f t="shared" si="31"/>
        <v>0</v>
      </c>
    </row>
    <row r="80" spans="2:20" s="34" customFormat="1" ht="23.4">
      <c r="B80" s="87" t="s">
        <v>172</v>
      </c>
      <c r="C80" s="88" t="s">
        <v>141</v>
      </c>
      <c r="D80" s="89" t="s">
        <v>110</v>
      </c>
      <c r="E80" s="90">
        <v>268.39999999999998</v>
      </c>
      <c r="F80" s="91"/>
      <c r="G80" s="91"/>
      <c r="H80" s="91"/>
      <c r="I80" s="79">
        <f>SUM(G80:H80)+'BM 005'!I80</f>
        <v>268.39999999999998</v>
      </c>
      <c r="J80" s="91">
        <f t="shared" si="4"/>
        <v>0</v>
      </c>
      <c r="K80" s="80">
        <v>80</v>
      </c>
      <c r="L80" s="81">
        <f t="shared" si="2"/>
        <v>101.4080088</v>
      </c>
      <c r="M80" s="82">
        <f t="shared" ref="M80:M93" si="32">TRUNC(F80*L80,2)</f>
        <v>0</v>
      </c>
      <c r="N80" s="82">
        <f t="shared" ref="N80:N93" si="33">TRUNC(G80*L80,2)</f>
        <v>0</v>
      </c>
      <c r="O80" s="82">
        <f>N80+'BM 005'!O80</f>
        <v>27217.9</v>
      </c>
      <c r="P80" s="80">
        <f t="shared" ref="P80:P93" si="34">E80*K80</f>
        <v>21472</v>
      </c>
      <c r="Q80" s="82">
        <f t="shared" ref="Q80:Q93" si="35">TRUNC(E80*L80,2)</f>
        <v>27217.9</v>
      </c>
      <c r="R80" s="82">
        <f t="shared" ref="R80:R93" si="36">Q80-O80</f>
        <v>0</v>
      </c>
    </row>
    <row r="81" spans="2:21" s="34" customFormat="1" ht="23.4">
      <c r="B81" s="87" t="s">
        <v>173</v>
      </c>
      <c r="C81" s="88" t="s">
        <v>145</v>
      </c>
      <c r="D81" s="89" t="s">
        <v>110</v>
      </c>
      <c r="E81" s="92">
        <v>111.1</v>
      </c>
      <c r="F81" s="91"/>
      <c r="G81" s="91"/>
      <c r="H81" s="91"/>
      <c r="I81" s="79">
        <f>SUM(G81:H81)+'BM 005'!I81</f>
        <v>111.10031555693061</v>
      </c>
      <c r="J81" s="91">
        <f t="shared" si="4"/>
        <v>-3.1555693061591228E-4</v>
      </c>
      <c r="K81" s="80">
        <v>25</v>
      </c>
      <c r="L81" s="81">
        <f t="shared" si="2"/>
        <v>31.690002750000001</v>
      </c>
      <c r="M81" s="82">
        <f t="shared" si="32"/>
        <v>0</v>
      </c>
      <c r="N81" s="82">
        <f t="shared" si="33"/>
        <v>0</v>
      </c>
      <c r="O81" s="82">
        <f>N81+'BM 005'!O81</f>
        <v>3520.75</v>
      </c>
      <c r="P81" s="80">
        <f t="shared" si="34"/>
        <v>2777.5</v>
      </c>
      <c r="Q81" s="82">
        <f t="shared" si="35"/>
        <v>3520.75</v>
      </c>
      <c r="R81" s="82">
        <f t="shared" si="36"/>
        <v>0</v>
      </c>
      <c r="T81" s="83"/>
    </row>
    <row r="82" spans="2:21" s="34" customFormat="1" ht="46.2">
      <c r="B82" s="87" t="s">
        <v>174</v>
      </c>
      <c r="C82" s="88" t="s">
        <v>126</v>
      </c>
      <c r="D82" s="89" t="s">
        <v>110</v>
      </c>
      <c r="E82" s="92">
        <v>268.39999999999998</v>
      </c>
      <c r="F82" s="91"/>
      <c r="G82" s="91"/>
      <c r="H82" s="91"/>
      <c r="I82" s="79">
        <f>SUM(G82:H82)+'BM 005'!I82</f>
        <v>268.39999999999998</v>
      </c>
      <c r="J82" s="91">
        <f t="shared" si="4"/>
        <v>0</v>
      </c>
      <c r="K82" s="80">
        <v>10</v>
      </c>
      <c r="L82" s="81">
        <f t="shared" si="2"/>
        <v>12.676001100000001</v>
      </c>
      <c r="M82" s="82">
        <f t="shared" si="32"/>
        <v>0</v>
      </c>
      <c r="N82" s="82">
        <f t="shared" si="33"/>
        <v>0</v>
      </c>
      <c r="O82" s="82">
        <f>N82+'BM 005'!O82</f>
        <v>3402.2299999999996</v>
      </c>
      <c r="P82" s="80">
        <f t="shared" si="34"/>
        <v>2684</v>
      </c>
      <c r="Q82" s="82">
        <f t="shared" si="35"/>
        <v>3402.23</v>
      </c>
      <c r="R82" s="82">
        <f t="shared" si="36"/>
        <v>0</v>
      </c>
    </row>
    <row r="83" spans="2:21" s="34" customFormat="1" ht="34.799999999999997">
      <c r="B83" s="87" t="s">
        <v>175</v>
      </c>
      <c r="C83" s="88" t="s">
        <v>128</v>
      </c>
      <c r="D83" s="89" t="s">
        <v>113</v>
      </c>
      <c r="E83" s="90">
        <f>E82*30</f>
        <v>8051.9999999999991</v>
      </c>
      <c r="F83" s="91"/>
      <c r="G83" s="91"/>
      <c r="H83" s="91"/>
      <c r="I83" s="79">
        <f>SUM(G83:H83)+'BM 005'!I83</f>
        <v>8052.0026296410897</v>
      </c>
      <c r="J83" s="91">
        <f t="shared" si="4"/>
        <v>-2.6296410906070378E-3</v>
      </c>
      <c r="K83" s="80">
        <v>3</v>
      </c>
      <c r="L83" s="81">
        <f t="shared" si="2"/>
        <v>3.8028003300000002</v>
      </c>
      <c r="M83" s="82">
        <f t="shared" si="32"/>
        <v>0</v>
      </c>
      <c r="N83" s="82">
        <f t="shared" si="33"/>
        <v>0</v>
      </c>
      <c r="O83" s="82">
        <f>N83+'BM 005'!O83</f>
        <v>30620.140000000003</v>
      </c>
      <c r="P83" s="80">
        <f t="shared" si="34"/>
        <v>24155.999999999996</v>
      </c>
      <c r="Q83" s="82">
        <f t="shared" si="35"/>
        <v>30620.14</v>
      </c>
      <c r="R83" s="82">
        <f t="shared" si="36"/>
        <v>0</v>
      </c>
      <c r="T83" s="83"/>
    </row>
    <row r="84" spans="2:21" s="34" customFormat="1" ht="34.799999999999997">
      <c r="B84" s="87" t="s">
        <v>176</v>
      </c>
      <c r="C84" s="88" t="s">
        <v>177</v>
      </c>
      <c r="D84" s="89" t="s">
        <v>79</v>
      </c>
      <c r="E84" s="90">
        <v>243.1</v>
      </c>
      <c r="F84" s="91"/>
      <c r="G84" s="91"/>
      <c r="H84" s="91"/>
      <c r="I84" s="79">
        <f>SUM(G84:H84)+'BM 005'!I84</f>
        <v>243.10022539780761</v>
      </c>
      <c r="J84" s="91">
        <f t="shared" si="4"/>
        <v>-2.2539780761121619E-4</v>
      </c>
      <c r="K84" s="80">
        <v>35</v>
      </c>
      <c r="L84" s="81">
        <f t="shared" si="2"/>
        <v>44.366003849999998</v>
      </c>
      <c r="M84" s="82">
        <f t="shared" si="32"/>
        <v>0</v>
      </c>
      <c r="N84" s="82">
        <f t="shared" si="33"/>
        <v>0</v>
      </c>
      <c r="O84" s="82">
        <f>N84+'BM 005'!O84</f>
        <v>10785.369999999999</v>
      </c>
      <c r="P84" s="80">
        <f t="shared" si="34"/>
        <v>8508.5</v>
      </c>
      <c r="Q84" s="82">
        <f t="shared" si="35"/>
        <v>10785.37</v>
      </c>
      <c r="R84" s="82">
        <f t="shared" si="36"/>
        <v>0</v>
      </c>
      <c r="T84" s="83"/>
    </row>
    <row r="85" spans="2:21" s="34" customFormat="1" ht="23.4">
      <c r="B85" s="87" t="s">
        <v>178</v>
      </c>
      <c r="C85" s="88" t="s">
        <v>151</v>
      </c>
      <c r="D85" s="89" t="s">
        <v>152</v>
      </c>
      <c r="E85" s="90">
        <v>185.9</v>
      </c>
      <c r="F85" s="91"/>
      <c r="G85" s="91"/>
      <c r="H85" s="91"/>
      <c r="I85" s="79">
        <f>SUM(G85:H85)+'BM 005'!I85</f>
        <v>185.9</v>
      </c>
      <c r="J85" s="91">
        <f t="shared" si="4"/>
        <v>0</v>
      </c>
      <c r="K85" s="80">
        <v>20</v>
      </c>
      <c r="L85" s="81">
        <f t="shared" si="2"/>
        <v>25.352002200000001</v>
      </c>
      <c r="M85" s="82">
        <f t="shared" si="32"/>
        <v>0</v>
      </c>
      <c r="N85" s="82">
        <f t="shared" si="33"/>
        <v>0</v>
      </c>
      <c r="O85" s="82">
        <f>N85+'BM 005'!O85</f>
        <v>4712.93</v>
      </c>
      <c r="P85" s="80">
        <f t="shared" si="34"/>
        <v>3718</v>
      </c>
      <c r="Q85" s="82">
        <f t="shared" si="35"/>
        <v>4712.93</v>
      </c>
      <c r="R85" s="82">
        <f t="shared" si="36"/>
        <v>0</v>
      </c>
    </row>
    <row r="86" spans="2:21" s="34" customFormat="1" ht="23.4">
      <c r="B86" s="87" t="s">
        <v>179</v>
      </c>
      <c r="C86" s="88" t="s">
        <v>180</v>
      </c>
      <c r="D86" s="89" t="s">
        <v>152</v>
      </c>
      <c r="E86" s="90">
        <v>199.1</v>
      </c>
      <c r="F86" s="91"/>
      <c r="G86" s="91"/>
      <c r="H86" s="91"/>
      <c r="I86" s="79">
        <f>SUM(G86:H86)+'BM 005'!I86</f>
        <v>199.1</v>
      </c>
      <c r="J86" s="91">
        <f t="shared" si="4"/>
        <v>0</v>
      </c>
      <c r="K86" s="80">
        <v>19</v>
      </c>
      <c r="L86" s="81">
        <f t="shared" si="2"/>
        <v>24.084402090000001</v>
      </c>
      <c r="M86" s="82">
        <f t="shared" si="32"/>
        <v>0</v>
      </c>
      <c r="N86" s="82">
        <f t="shared" si="33"/>
        <v>0</v>
      </c>
      <c r="O86" s="82">
        <f>N86+'BM 005'!O86</f>
        <v>4795.2</v>
      </c>
      <c r="P86" s="80">
        <f t="shared" si="34"/>
        <v>3782.9</v>
      </c>
      <c r="Q86" s="82">
        <f t="shared" si="35"/>
        <v>4795.2</v>
      </c>
      <c r="R86" s="82">
        <f t="shared" si="36"/>
        <v>0</v>
      </c>
    </row>
    <row r="87" spans="2:21" s="34" customFormat="1" ht="23.4">
      <c r="B87" s="87" t="s">
        <v>181</v>
      </c>
      <c r="C87" s="88" t="s">
        <v>156</v>
      </c>
      <c r="D87" s="89" t="s">
        <v>152</v>
      </c>
      <c r="E87" s="90">
        <v>378.4</v>
      </c>
      <c r="F87" s="91"/>
      <c r="G87" s="91"/>
      <c r="H87" s="91"/>
      <c r="I87" s="79">
        <f>SUM(G87:H87)+'BM 005'!I87</f>
        <v>378.4</v>
      </c>
      <c r="J87" s="91">
        <f t="shared" si="4"/>
        <v>0</v>
      </c>
      <c r="K87" s="80">
        <v>17.5</v>
      </c>
      <c r="L87" s="81">
        <f t="shared" si="2"/>
        <v>22.183001924999999</v>
      </c>
      <c r="M87" s="82">
        <f t="shared" si="32"/>
        <v>0</v>
      </c>
      <c r="N87" s="82">
        <f t="shared" si="33"/>
        <v>0</v>
      </c>
      <c r="O87" s="82">
        <f>N87+'BM 005'!O87</f>
        <v>8394.0400000000009</v>
      </c>
      <c r="P87" s="80">
        <f t="shared" si="34"/>
        <v>6622</v>
      </c>
      <c r="Q87" s="82">
        <f t="shared" si="35"/>
        <v>8394.0400000000009</v>
      </c>
      <c r="R87" s="82">
        <f t="shared" si="36"/>
        <v>0</v>
      </c>
    </row>
    <row r="88" spans="2:21" s="34" customFormat="1" ht="23.4">
      <c r="B88" s="87" t="s">
        <v>182</v>
      </c>
      <c r="C88" s="88" t="s">
        <v>158</v>
      </c>
      <c r="D88" s="89" t="s">
        <v>152</v>
      </c>
      <c r="E88" s="90">
        <v>445.5</v>
      </c>
      <c r="F88" s="91"/>
      <c r="G88" s="91"/>
      <c r="H88" s="91"/>
      <c r="I88" s="79">
        <f>SUM(G88:H88)+'BM 005'!I88</f>
        <v>445.50009999999997</v>
      </c>
      <c r="J88" s="91">
        <f t="shared" si="4"/>
        <v>-9.9999999974897946E-5</v>
      </c>
      <c r="K88" s="80">
        <v>16</v>
      </c>
      <c r="L88" s="81">
        <f t="shared" si="2"/>
        <v>20.281601760000001</v>
      </c>
      <c r="M88" s="82">
        <f t="shared" si="32"/>
        <v>0</v>
      </c>
      <c r="N88" s="82">
        <f t="shared" si="33"/>
        <v>0</v>
      </c>
      <c r="O88" s="82">
        <f>N88+'BM 005'!O88</f>
        <v>9035.4500000000007</v>
      </c>
      <c r="P88" s="80">
        <f t="shared" si="34"/>
        <v>7128</v>
      </c>
      <c r="Q88" s="82">
        <f t="shared" si="35"/>
        <v>9035.4500000000007</v>
      </c>
      <c r="R88" s="82">
        <f t="shared" si="36"/>
        <v>0</v>
      </c>
    </row>
    <row r="89" spans="2:21" s="34" customFormat="1" ht="23.4">
      <c r="B89" s="87" t="s">
        <v>183</v>
      </c>
      <c r="C89" s="88" t="s">
        <v>160</v>
      </c>
      <c r="D89" s="89" t="s">
        <v>152</v>
      </c>
      <c r="E89" s="90">
        <v>177.1</v>
      </c>
      <c r="F89" s="91"/>
      <c r="G89" s="91"/>
      <c r="H89" s="91"/>
      <c r="I89" s="79">
        <f>SUM(G89:H89)+'BM 005'!I89</f>
        <v>177.1</v>
      </c>
      <c r="J89" s="91">
        <f t="shared" si="4"/>
        <v>0</v>
      </c>
      <c r="K89" s="80">
        <v>14.5</v>
      </c>
      <c r="L89" s="81">
        <f t="shared" si="2"/>
        <v>18.380201595000003</v>
      </c>
      <c r="M89" s="82">
        <f t="shared" si="32"/>
        <v>0</v>
      </c>
      <c r="N89" s="82">
        <f t="shared" si="33"/>
        <v>0</v>
      </c>
      <c r="O89" s="82">
        <f>N89+'BM 005'!O89</f>
        <v>3255.13</v>
      </c>
      <c r="P89" s="80">
        <f t="shared" si="34"/>
        <v>2567.9499999999998</v>
      </c>
      <c r="Q89" s="82">
        <f t="shared" si="35"/>
        <v>3255.13</v>
      </c>
      <c r="R89" s="82">
        <f t="shared" si="36"/>
        <v>0</v>
      </c>
    </row>
    <row r="90" spans="2:21" s="34" customFormat="1" ht="23.4">
      <c r="B90" s="87" t="s">
        <v>184</v>
      </c>
      <c r="C90" s="88" t="s">
        <v>162</v>
      </c>
      <c r="D90" s="89" t="s">
        <v>152</v>
      </c>
      <c r="E90" s="90">
        <v>61.6</v>
      </c>
      <c r="F90" s="91"/>
      <c r="G90" s="91"/>
      <c r="H90" s="91"/>
      <c r="I90" s="79">
        <f>SUM(G90:H90)+'BM 005'!I90</f>
        <v>61.6</v>
      </c>
      <c r="J90" s="91">
        <f t="shared" si="4"/>
        <v>0</v>
      </c>
      <c r="K90" s="94">
        <v>14.5</v>
      </c>
      <c r="L90" s="81">
        <f t="shared" si="2"/>
        <v>18.380201595000003</v>
      </c>
      <c r="M90" s="82">
        <f t="shared" si="32"/>
        <v>0</v>
      </c>
      <c r="N90" s="82">
        <f t="shared" si="33"/>
        <v>0</v>
      </c>
      <c r="O90" s="82">
        <f>N90+'BM 005'!O90</f>
        <v>1132.22</v>
      </c>
      <c r="P90" s="80">
        <f t="shared" si="34"/>
        <v>893.2</v>
      </c>
      <c r="Q90" s="82">
        <f t="shared" si="35"/>
        <v>1132.22</v>
      </c>
      <c r="R90" s="82">
        <f t="shared" si="36"/>
        <v>0</v>
      </c>
    </row>
    <row r="91" spans="2:21" s="34" customFormat="1" ht="34.799999999999997">
      <c r="B91" s="87" t="s">
        <v>185</v>
      </c>
      <c r="C91" s="88" t="s">
        <v>186</v>
      </c>
      <c r="D91" s="89" t="s">
        <v>79</v>
      </c>
      <c r="E91" s="90">
        <v>299.2</v>
      </c>
      <c r="F91" s="91"/>
      <c r="G91" s="91"/>
      <c r="H91" s="91"/>
      <c r="I91" s="79">
        <f>SUM(G91:H91)+'BM 005'!I91</f>
        <v>299.20005634945187</v>
      </c>
      <c r="J91" s="91">
        <f t="shared" si="4"/>
        <v>-5.6349451881487767E-5</v>
      </c>
      <c r="K91" s="80">
        <v>140</v>
      </c>
      <c r="L91" s="81">
        <f t="shared" si="2"/>
        <v>177.46401539999999</v>
      </c>
      <c r="M91" s="82">
        <f t="shared" si="32"/>
        <v>0</v>
      </c>
      <c r="N91" s="82">
        <f t="shared" si="33"/>
        <v>0</v>
      </c>
      <c r="O91" s="82">
        <f>N91+'BM 005'!O91</f>
        <v>53097.229999999996</v>
      </c>
      <c r="P91" s="80">
        <f t="shared" si="34"/>
        <v>41888</v>
      </c>
      <c r="Q91" s="82">
        <f t="shared" si="35"/>
        <v>53097.23</v>
      </c>
      <c r="R91" s="82">
        <f t="shared" si="36"/>
        <v>0</v>
      </c>
      <c r="T91" s="83"/>
      <c r="U91" s="83"/>
    </row>
    <row r="92" spans="2:21" s="34" customFormat="1" ht="23.4">
      <c r="B92" s="87" t="s">
        <v>187</v>
      </c>
      <c r="C92" s="88" t="s">
        <v>188</v>
      </c>
      <c r="D92" s="89" t="s">
        <v>169</v>
      </c>
      <c r="E92" s="92">
        <v>22.99</v>
      </c>
      <c r="F92" s="91"/>
      <c r="G92" s="91"/>
      <c r="H92" s="91"/>
      <c r="I92" s="79">
        <f>SUM(G92:H92)+'BM 005'!I92</f>
        <v>22.990010518564347</v>
      </c>
      <c r="J92" s="91">
        <f t="shared" si="4"/>
        <v>-1.0518564348416248E-5</v>
      </c>
      <c r="K92" s="95">
        <v>750</v>
      </c>
      <c r="L92" s="81">
        <f t="shared" si="2"/>
        <v>950.70008250000001</v>
      </c>
      <c r="M92" s="82">
        <f t="shared" si="32"/>
        <v>0</v>
      </c>
      <c r="N92" s="82">
        <f t="shared" si="33"/>
        <v>0</v>
      </c>
      <c r="O92" s="82">
        <f>N92+'BM 005'!O92</f>
        <v>21856.59</v>
      </c>
      <c r="P92" s="80">
        <f t="shared" si="34"/>
        <v>17242.5</v>
      </c>
      <c r="Q92" s="82">
        <f t="shared" si="35"/>
        <v>21856.59</v>
      </c>
      <c r="R92" s="82">
        <f t="shared" si="36"/>
        <v>0</v>
      </c>
      <c r="T92" s="83"/>
      <c r="U92" s="83"/>
    </row>
    <row r="93" spans="2:21" s="34" customFormat="1" ht="23.4">
      <c r="B93" s="87" t="s">
        <v>189</v>
      </c>
      <c r="C93" s="88" t="s">
        <v>190</v>
      </c>
      <c r="D93" s="89" t="s">
        <v>63</v>
      </c>
      <c r="E93" s="92">
        <v>230</v>
      </c>
      <c r="F93" s="91"/>
      <c r="G93" s="91"/>
      <c r="H93" s="91"/>
      <c r="I93" s="79">
        <f>SUM(G93:H93)+'BM 005'!I93</f>
        <v>230.00026296410891</v>
      </c>
      <c r="J93" s="91">
        <f t="shared" si="4"/>
        <v>-2.6296410891291089E-4</v>
      </c>
      <c r="K93" s="80">
        <v>30</v>
      </c>
      <c r="L93" s="81">
        <f t="shared" ref="L93:L156" si="37">K93*(1+$T$26)</f>
        <v>38.028003300000002</v>
      </c>
      <c r="M93" s="82">
        <f t="shared" si="32"/>
        <v>0</v>
      </c>
      <c r="N93" s="82">
        <f t="shared" si="33"/>
        <v>0</v>
      </c>
      <c r="O93" s="82">
        <f>N93+'BM 005'!O93</f>
        <v>8746.44</v>
      </c>
      <c r="P93" s="80">
        <f t="shared" si="34"/>
        <v>6900</v>
      </c>
      <c r="Q93" s="82">
        <f t="shared" si="35"/>
        <v>8746.44</v>
      </c>
      <c r="R93" s="82">
        <f t="shared" si="36"/>
        <v>0</v>
      </c>
      <c r="T93" s="83"/>
      <c r="U93" s="83"/>
    </row>
    <row r="94" spans="2:21" s="34" customFormat="1" ht="13.2">
      <c r="B94" s="60" t="s">
        <v>191</v>
      </c>
      <c r="C94" s="61" t="s">
        <v>192</v>
      </c>
      <c r="D94" s="60"/>
      <c r="E94" s="62"/>
      <c r="F94" s="63"/>
      <c r="G94" s="63"/>
      <c r="H94" s="63"/>
      <c r="I94" s="63">
        <f>SUM(G94:H94)+'BM 005'!I94</f>
        <v>0</v>
      </c>
      <c r="J94" s="63">
        <f t="shared" si="4"/>
        <v>0</v>
      </c>
      <c r="K94" s="63"/>
      <c r="L94" s="63">
        <f t="shared" si="37"/>
        <v>0</v>
      </c>
      <c r="M94" s="63">
        <f t="shared" ref="M94:R94" si="38">SUM(M95,M107,M120)</f>
        <v>685901.33</v>
      </c>
      <c r="N94" s="63">
        <f t="shared" si="38"/>
        <v>685901.33</v>
      </c>
      <c r="O94" s="63">
        <f t="shared" si="38"/>
        <v>1661704.79</v>
      </c>
      <c r="P94" s="63">
        <f t="shared" si="38"/>
        <v>4541959.5</v>
      </c>
      <c r="Q94" s="63">
        <f t="shared" si="38"/>
        <v>5757388.21</v>
      </c>
      <c r="R94" s="63">
        <f t="shared" si="38"/>
        <v>4095683.42</v>
      </c>
    </row>
    <row r="95" spans="2:21" s="34" customFormat="1" ht="13.2">
      <c r="B95" s="66" t="s">
        <v>193</v>
      </c>
      <c r="C95" s="67" t="s">
        <v>194</v>
      </c>
      <c r="D95" s="68"/>
      <c r="E95" s="69"/>
      <c r="F95" s="70"/>
      <c r="G95" s="70"/>
      <c r="H95" s="70"/>
      <c r="I95" s="70">
        <f>SUM(G95:H95)+'BM 005'!I95</f>
        <v>0</v>
      </c>
      <c r="J95" s="70">
        <f t="shared" ref="J95:J158" si="39">E95-I95</f>
        <v>0</v>
      </c>
      <c r="K95" s="71"/>
      <c r="L95" s="71">
        <f t="shared" si="37"/>
        <v>0</v>
      </c>
      <c r="M95" s="73">
        <f t="shared" ref="M95:R95" si="40">SUM(M96:M106)</f>
        <v>197386.35</v>
      </c>
      <c r="N95" s="73">
        <f t="shared" si="40"/>
        <v>197386.35</v>
      </c>
      <c r="O95" s="73">
        <f t="shared" si="40"/>
        <v>489507.41999999993</v>
      </c>
      <c r="P95" s="73">
        <f t="shared" si="40"/>
        <v>1372038.75</v>
      </c>
      <c r="Q95" s="73">
        <f t="shared" si="40"/>
        <v>1739196.42</v>
      </c>
      <c r="R95" s="73">
        <f t="shared" si="40"/>
        <v>1249688.9999999998</v>
      </c>
    </row>
    <row r="96" spans="2:21" s="34" customFormat="1" ht="34.799999999999997">
      <c r="B96" s="87" t="s">
        <v>195</v>
      </c>
      <c r="C96" s="88" t="s">
        <v>196</v>
      </c>
      <c r="D96" s="89" t="s">
        <v>79</v>
      </c>
      <c r="E96" s="92">
        <v>3575</v>
      </c>
      <c r="F96" s="91">
        <f>'M.C. MED. 06'!K550</f>
        <v>535.35</v>
      </c>
      <c r="G96" s="91">
        <f t="shared" ref="G96:G106" si="41">F96</f>
        <v>535.35</v>
      </c>
      <c r="H96" s="91"/>
      <c r="I96" s="79">
        <f>SUM(G96:H96)+'BM 005'!I96</f>
        <v>969.42000000000007</v>
      </c>
      <c r="J96" s="91">
        <f t="shared" si="39"/>
        <v>2605.58</v>
      </c>
      <c r="K96" s="80">
        <v>130</v>
      </c>
      <c r="L96" s="81">
        <f t="shared" si="37"/>
        <v>164.78801430000001</v>
      </c>
      <c r="M96" s="82">
        <f t="shared" ref="M96:M106" si="42">TRUNC(F96*L96,2)</f>
        <v>88219.26</v>
      </c>
      <c r="N96" s="82">
        <f t="shared" ref="N96:N106" si="43">TRUNC(G96*L96,2)</f>
        <v>88219.26</v>
      </c>
      <c r="O96" s="82">
        <f>N96+'BM 005'!O96</f>
        <v>159748.78999999998</v>
      </c>
      <c r="P96" s="80">
        <f t="shared" ref="P96:P106" si="44">E96*K96</f>
        <v>464750</v>
      </c>
      <c r="Q96" s="82">
        <f t="shared" ref="Q96:Q106" si="45">TRUNC(E96*L96,2)</f>
        <v>589117.15</v>
      </c>
      <c r="R96" s="82">
        <f t="shared" ref="R96:R106" si="46">Q96-O96</f>
        <v>429368.36000000004</v>
      </c>
    </row>
    <row r="97" spans="2:20" s="34" customFormat="1" ht="46.2">
      <c r="B97" s="87" t="s">
        <v>197</v>
      </c>
      <c r="C97" s="88" t="s">
        <v>198</v>
      </c>
      <c r="D97" s="89" t="s">
        <v>152</v>
      </c>
      <c r="E97" s="90">
        <v>2130.6999999999998</v>
      </c>
      <c r="F97" s="91">
        <f>'M.C. MED. 06'!K565</f>
        <v>169.06</v>
      </c>
      <c r="G97" s="91">
        <f t="shared" si="41"/>
        <v>169.06</v>
      </c>
      <c r="H97" s="91"/>
      <c r="I97" s="79">
        <f>SUM(G97:H97)+'BM 005'!I97</f>
        <v>466.01</v>
      </c>
      <c r="J97" s="91">
        <f t="shared" si="39"/>
        <v>1664.6899999999998</v>
      </c>
      <c r="K97" s="80">
        <v>20</v>
      </c>
      <c r="L97" s="81">
        <f t="shared" si="37"/>
        <v>25.352002200000001</v>
      </c>
      <c r="M97" s="82">
        <f t="shared" si="42"/>
        <v>4286</v>
      </c>
      <c r="N97" s="82">
        <f t="shared" si="43"/>
        <v>4286</v>
      </c>
      <c r="O97" s="82">
        <f>N97+'BM 005'!O97</f>
        <v>11814.27</v>
      </c>
      <c r="P97" s="80">
        <f t="shared" si="44"/>
        <v>42614</v>
      </c>
      <c r="Q97" s="82">
        <f t="shared" si="45"/>
        <v>54017.51</v>
      </c>
      <c r="R97" s="82">
        <f t="shared" si="46"/>
        <v>42203.240000000005</v>
      </c>
    </row>
    <row r="98" spans="2:20" s="34" customFormat="1" ht="46.2">
      <c r="B98" s="87" t="s">
        <v>199</v>
      </c>
      <c r="C98" s="88" t="s">
        <v>200</v>
      </c>
      <c r="D98" s="89" t="s">
        <v>152</v>
      </c>
      <c r="E98" s="90">
        <v>3031.6</v>
      </c>
      <c r="F98" s="91">
        <f>'M.C. MED. 06'!K580</f>
        <v>404.51</v>
      </c>
      <c r="G98" s="91">
        <f t="shared" si="41"/>
        <v>404.51</v>
      </c>
      <c r="H98" s="91"/>
      <c r="I98" s="79">
        <f>SUM(G98:H98)+'BM 005'!I98</f>
        <v>873.7</v>
      </c>
      <c r="J98" s="91">
        <f t="shared" si="39"/>
        <v>2157.8999999999996</v>
      </c>
      <c r="K98" s="80">
        <v>19</v>
      </c>
      <c r="L98" s="81">
        <f t="shared" si="37"/>
        <v>24.084402090000001</v>
      </c>
      <c r="M98" s="82">
        <f t="shared" si="42"/>
        <v>9742.3799999999992</v>
      </c>
      <c r="N98" s="82">
        <f t="shared" si="43"/>
        <v>9742.3799999999992</v>
      </c>
      <c r="O98" s="82">
        <f>N98+'BM 005'!O98</f>
        <v>21042.53</v>
      </c>
      <c r="P98" s="80">
        <f t="shared" si="44"/>
        <v>57600.4</v>
      </c>
      <c r="Q98" s="82">
        <f t="shared" si="45"/>
        <v>73014.27</v>
      </c>
      <c r="R98" s="82">
        <f t="shared" si="46"/>
        <v>51971.740000000005</v>
      </c>
    </row>
    <row r="99" spans="2:20" s="34" customFormat="1" ht="46.2">
      <c r="B99" s="87" t="s">
        <v>201</v>
      </c>
      <c r="C99" s="88" t="s">
        <v>202</v>
      </c>
      <c r="D99" s="89" t="s">
        <v>152</v>
      </c>
      <c r="E99" s="90">
        <v>5608.9</v>
      </c>
      <c r="F99" s="91">
        <f>'M.C. MED. 06'!K596</f>
        <v>285.02999999999997</v>
      </c>
      <c r="G99" s="91">
        <f t="shared" si="41"/>
        <v>285.02999999999997</v>
      </c>
      <c r="H99" s="91"/>
      <c r="I99" s="79">
        <f>SUM(G99:H99)+'BM 005'!I99</f>
        <v>1579.44</v>
      </c>
      <c r="J99" s="91">
        <f t="shared" si="39"/>
        <v>4029.4599999999996</v>
      </c>
      <c r="K99" s="80">
        <v>17.5</v>
      </c>
      <c r="L99" s="81">
        <f t="shared" si="37"/>
        <v>22.183001924999999</v>
      </c>
      <c r="M99" s="82">
        <f t="shared" si="42"/>
        <v>6322.82</v>
      </c>
      <c r="N99" s="82">
        <f t="shared" si="43"/>
        <v>6322.82</v>
      </c>
      <c r="O99" s="82">
        <f>N99+'BM 005'!O99</f>
        <v>35036.71</v>
      </c>
      <c r="P99" s="80">
        <f t="shared" si="44"/>
        <v>98155.75</v>
      </c>
      <c r="Q99" s="82">
        <f t="shared" si="45"/>
        <v>124422.23</v>
      </c>
      <c r="R99" s="82">
        <f t="shared" si="46"/>
        <v>89385.51999999999</v>
      </c>
    </row>
    <row r="100" spans="2:20" s="34" customFormat="1" ht="46.2">
      <c r="B100" s="87" t="s">
        <v>203</v>
      </c>
      <c r="C100" s="88" t="s">
        <v>204</v>
      </c>
      <c r="D100" s="89" t="s">
        <v>152</v>
      </c>
      <c r="E100" s="90">
        <v>4215.2</v>
      </c>
      <c r="F100" s="91">
        <f>'M.C. MED. 06'!K611</f>
        <v>439.11</v>
      </c>
      <c r="G100" s="91">
        <f t="shared" si="41"/>
        <v>439.11</v>
      </c>
      <c r="H100" s="91"/>
      <c r="I100" s="79">
        <f>SUM(G100:H100)+'BM 005'!I100</f>
        <v>836.82</v>
      </c>
      <c r="J100" s="91">
        <f t="shared" si="39"/>
        <v>3378.3799999999997</v>
      </c>
      <c r="K100" s="80">
        <v>16</v>
      </c>
      <c r="L100" s="81">
        <f t="shared" si="37"/>
        <v>20.281601760000001</v>
      </c>
      <c r="M100" s="82">
        <f t="shared" si="42"/>
        <v>8905.85</v>
      </c>
      <c r="N100" s="82">
        <f t="shared" si="43"/>
        <v>8905.85</v>
      </c>
      <c r="O100" s="82">
        <f>N100+'BM 005'!O100</f>
        <v>16972.04</v>
      </c>
      <c r="P100" s="80">
        <f t="shared" si="44"/>
        <v>67443.199999999997</v>
      </c>
      <c r="Q100" s="82">
        <f t="shared" si="45"/>
        <v>85491</v>
      </c>
      <c r="R100" s="82">
        <f t="shared" si="46"/>
        <v>68518.959999999992</v>
      </c>
    </row>
    <row r="101" spans="2:20" s="34" customFormat="1" ht="46.2">
      <c r="B101" s="87" t="s">
        <v>205</v>
      </c>
      <c r="C101" s="88" t="s">
        <v>206</v>
      </c>
      <c r="D101" s="89" t="s">
        <v>152</v>
      </c>
      <c r="E101" s="90">
        <v>3267</v>
      </c>
      <c r="F101" s="91">
        <f>'M.C. MED. 06'!K628</f>
        <v>188.55</v>
      </c>
      <c r="G101" s="91">
        <f t="shared" si="41"/>
        <v>188.55</v>
      </c>
      <c r="H101" s="91"/>
      <c r="I101" s="79">
        <f>SUM(G101:H101)+'BM 005'!I101</f>
        <v>2121.88</v>
      </c>
      <c r="J101" s="91">
        <f t="shared" si="39"/>
        <v>1145.1199999999999</v>
      </c>
      <c r="K101" s="80">
        <v>14.5</v>
      </c>
      <c r="L101" s="81">
        <f t="shared" si="37"/>
        <v>18.380201595000003</v>
      </c>
      <c r="M101" s="82">
        <f t="shared" si="42"/>
        <v>3465.58</v>
      </c>
      <c r="N101" s="82">
        <f t="shared" si="43"/>
        <v>3465.58</v>
      </c>
      <c r="O101" s="82">
        <f>N101+'BM 005'!O101</f>
        <v>39000.560000000005</v>
      </c>
      <c r="P101" s="80">
        <f t="shared" si="44"/>
        <v>47371.5</v>
      </c>
      <c r="Q101" s="82">
        <f t="shared" si="45"/>
        <v>60048.11</v>
      </c>
      <c r="R101" s="82">
        <f t="shared" si="46"/>
        <v>21047.549999999996</v>
      </c>
      <c r="T101" s="96"/>
    </row>
    <row r="102" spans="2:20" s="34" customFormat="1" ht="46.2">
      <c r="B102" s="87" t="s">
        <v>207</v>
      </c>
      <c r="C102" s="88" t="s">
        <v>208</v>
      </c>
      <c r="D102" s="89" t="s">
        <v>152</v>
      </c>
      <c r="E102" s="90">
        <v>8421.6</v>
      </c>
      <c r="F102" s="91">
        <f>'M.C. MED. 06'!K643</f>
        <v>442.62</v>
      </c>
      <c r="G102" s="91">
        <f t="shared" si="41"/>
        <v>442.62</v>
      </c>
      <c r="H102" s="91"/>
      <c r="I102" s="79">
        <f>SUM(G102:H102)+'BM 005'!I102</f>
        <v>1957.9699999999998</v>
      </c>
      <c r="J102" s="91">
        <f t="shared" si="39"/>
        <v>6463.630000000001</v>
      </c>
      <c r="K102" s="94">
        <v>14.5</v>
      </c>
      <c r="L102" s="81">
        <f t="shared" si="37"/>
        <v>18.380201595000003</v>
      </c>
      <c r="M102" s="82">
        <f t="shared" si="42"/>
        <v>8135.44</v>
      </c>
      <c r="N102" s="82">
        <f t="shared" si="43"/>
        <v>8135.44</v>
      </c>
      <c r="O102" s="82">
        <f>N102+'BM 005'!O102</f>
        <v>35987.86</v>
      </c>
      <c r="P102" s="80">
        <f t="shared" si="44"/>
        <v>122113.20000000001</v>
      </c>
      <c r="Q102" s="82">
        <f t="shared" si="45"/>
        <v>154790.70000000001</v>
      </c>
      <c r="R102" s="82">
        <f t="shared" si="46"/>
        <v>118802.84000000001</v>
      </c>
      <c r="T102" s="96"/>
    </row>
    <row r="103" spans="2:20" s="34" customFormat="1" ht="46.2">
      <c r="B103" s="87" t="s">
        <v>209</v>
      </c>
      <c r="C103" s="88" t="s">
        <v>210</v>
      </c>
      <c r="D103" s="89" t="s">
        <v>152</v>
      </c>
      <c r="E103" s="92">
        <v>7144.5</v>
      </c>
      <c r="F103" s="91">
        <f>'M.C. MED. 06'!K659</f>
        <v>1204.3900000000001</v>
      </c>
      <c r="G103" s="91">
        <f t="shared" si="41"/>
        <v>1204.3900000000001</v>
      </c>
      <c r="H103" s="91"/>
      <c r="I103" s="79">
        <f>SUM(G103:H103)+'BM 005'!I103</f>
        <v>2869.92</v>
      </c>
      <c r="J103" s="91">
        <f t="shared" si="39"/>
        <v>4274.58</v>
      </c>
      <c r="K103" s="80">
        <v>14</v>
      </c>
      <c r="L103" s="81">
        <f t="shared" si="37"/>
        <v>17.746401540000001</v>
      </c>
      <c r="M103" s="82">
        <f t="shared" si="42"/>
        <v>21373.58</v>
      </c>
      <c r="N103" s="82">
        <f t="shared" si="43"/>
        <v>21373.58</v>
      </c>
      <c r="O103" s="82">
        <f>N103+'BM 005'!O103</f>
        <v>50930.73</v>
      </c>
      <c r="P103" s="80">
        <f t="shared" si="44"/>
        <v>100023</v>
      </c>
      <c r="Q103" s="82">
        <f t="shared" si="45"/>
        <v>126789.16</v>
      </c>
      <c r="R103" s="82">
        <f t="shared" si="46"/>
        <v>75858.429999999993</v>
      </c>
      <c r="T103" s="96"/>
    </row>
    <row r="104" spans="2:20" s="34" customFormat="1" ht="46.2">
      <c r="B104" s="87" t="s">
        <v>211</v>
      </c>
      <c r="C104" s="88" t="s">
        <v>212</v>
      </c>
      <c r="D104" s="89" t="s">
        <v>152</v>
      </c>
      <c r="E104" s="92">
        <v>6531.8</v>
      </c>
      <c r="F104" s="91">
        <f>'M.C. MED. 06'!K675</f>
        <v>385.68</v>
      </c>
      <c r="G104" s="91">
        <f t="shared" si="41"/>
        <v>385.68</v>
      </c>
      <c r="H104" s="91"/>
      <c r="I104" s="79">
        <f>SUM(G104:H104)+'BM 005'!I104</f>
        <v>2615.0099999999998</v>
      </c>
      <c r="J104" s="91">
        <f t="shared" si="39"/>
        <v>3916.7900000000004</v>
      </c>
      <c r="K104" s="95">
        <v>14</v>
      </c>
      <c r="L104" s="81">
        <f t="shared" si="37"/>
        <v>17.746401540000001</v>
      </c>
      <c r="M104" s="82">
        <f t="shared" si="42"/>
        <v>6844.43</v>
      </c>
      <c r="N104" s="82">
        <f t="shared" si="43"/>
        <v>6844.43</v>
      </c>
      <c r="O104" s="82">
        <f>N104+'BM 005'!O104</f>
        <v>46407.01</v>
      </c>
      <c r="P104" s="80">
        <f t="shared" si="44"/>
        <v>91445.2</v>
      </c>
      <c r="Q104" s="82">
        <f t="shared" si="45"/>
        <v>115915.94</v>
      </c>
      <c r="R104" s="82">
        <f t="shared" si="46"/>
        <v>69508.929999999993</v>
      </c>
      <c r="T104" s="96"/>
    </row>
    <row r="105" spans="2:20" s="34" customFormat="1" ht="23.4">
      <c r="B105" s="87" t="s">
        <v>213</v>
      </c>
      <c r="C105" s="88" t="s">
        <v>190</v>
      </c>
      <c r="D105" s="89" t="s">
        <v>63</v>
      </c>
      <c r="E105" s="92">
        <v>240</v>
      </c>
      <c r="F105" s="91">
        <v>26</v>
      </c>
      <c r="G105" s="91">
        <f t="shared" si="41"/>
        <v>26</v>
      </c>
      <c r="H105" s="91"/>
      <c r="I105" s="79">
        <f>SUM(G105:H105)+'BM 005'!I105</f>
        <v>50</v>
      </c>
      <c r="J105" s="91">
        <f t="shared" si="39"/>
        <v>190</v>
      </c>
      <c r="K105" s="80">
        <v>30</v>
      </c>
      <c r="L105" s="81">
        <f t="shared" si="37"/>
        <v>38.028003300000002</v>
      </c>
      <c r="M105" s="82">
        <f t="shared" si="42"/>
        <v>988.72</v>
      </c>
      <c r="N105" s="82">
        <f t="shared" si="43"/>
        <v>988.72</v>
      </c>
      <c r="O105" s="82">
        <f>N105+'BM 005'!O105</f>
        <v>1901.3899999999999</v>
      </c>
      <c r="P105" s="80">
        <f t="shared" si="44"/>
        <v>7200</v>
      </c>
      <c r="Q105" s="82">
        <f t="shared" si="45"/>
        <v>9126.7199999999993</v>
      </c>
      <c r="R105" s="82">
        <f t="shared" si="46"/>
        <v>7225.33</v>
      </c>
      <c r="T105" s="96"/>
    </row>
    <row r="106" spans="2:20" s="34" customFormat="1" ht="23.4">
      <c r="B106" s="87" t="s">
        <v>214</v>
      </c>
      <c r="C106" s="88" t="s">
        <v>215</v>
      </c>
      <c r="D106" s="89" t="s">
        <v>169</v>
      </c>
      <c r="E106" s="92">
        <v>364.43</v>
      </c>
      <c r="F106" s="91">
        <f>'M.C. MED. 06'!K735</f>
        <v>41.13</v>
      </c>
      <c r="G106" s="91">
        <f t="shared" si="41"/>
        <v>41.13</v>
      </c>
      <c r="H106" s="91"/>
      <c r="I106" s="79">
        <f>SUM(G106:H106)+'BM 005'!I106</f>
        <v>74.330000000000013</v>
      </c>
      <c r="J106" s="91">
        <f t="shared" si="39"/>
        <v>290.10000000000002</v>
      </c>
      <c r="K106" s="95">
        <v>750</v>
      </c>
      <c r="L106" s="81">
        <f t="shared" si="37"/>
        <v>950.70008250000001</v>
      </c>
      <c r="M106" s="82">
        <f t="shared" si="42"/>
        <v>39102.29</v>
      </c>
      <c r="N106" s="82">
        <f t="shared" si="43"/>
        <v>39102.29</v>
      </c>
      <c r="O106" s="82">
        <f>N106+'BM 005'!O106</f>
        <v>70665.53</v>
      </c>
      <c r="P106" s="80">
        <f t="shared" si="44"/>
        <v>273322.5</v>
      </c>
      <c r="Q106" s="82">
        <f t="shared" si="45"/>
        <v>346463.63</v>
      </c>
      <c r="R106" s="82">
        <f t="shared" si="46"/>
        <v>275798.09999999998</v>
      </c>
      <c r="T106" s="96"/>
    </row>
    <row r="107" spans="2:20" s="34" customFormat="1" ht="13.2">
      <c r="B107" s="66" t="s">
        <v>216</v>
      </c>
      <c r="C107" s="67" t="s">
        <v>217</v>
      </c>
      <c r="D107" s="68"/>
      <c r="E107" s="69"/>
      <c r="F107" s="70"/>
      <c r="G107" s="70"/>
      <c r="H107" s="70"/>
      <c r="I107" s="70">
        <f>SUM(G107:H107)+'BM 005'!I107</f>
        <v>0</v>
      </c>
      <c r="J107" s="70">
        <f t="shared" si="39"/>
        <v>0</v>
      </c>
      <c r="K107" s="71"/>
      <c r="L107" s="71">
        <f t="shared" si="37"/>
        <v>0</v>
      </c>
      <c r="M107" s="73">
        <f t="shared" ref="M107:R107" si="47">SUM(M108:M119)</f>
        <v>118724.53000000001</v>
      </c>
      <c r="N107" s="73">
        <f t="shared" si="47"/>
        <v>118724.53000000001</v>
      </c>
      <c r="O107" s="73">
        <f t="shared" si="47"/>
        <v>429360.19000000006</v>
      </c>
      <c r="P107" s="73">
        <f t="shared" si="47"/>
        <v>951249.7</v>
      </c>
      <c r="Q107" s="73">
        <f t="shared" si="47"/>
        <v>1205804.17</v>
      </c>
      <c r="R107" s="73">
        <f t="shared" si="47"/>
        <v>776443.98</v>
      </c>
      <c r="T107" s="96"/>
    </row>
    <row r="108" spans="2:20" s="34" customFormat="1" ht="46.2">
      <c r="B108" s="87" t="s">
        <v>218</v>
      </c>
      <c r="C108" s="88" t="s">
        <v>219</v>
      </c>
      <c r="D108" s="89" t="s">
        <v>79</v>
      </c>
      <c r="E108" s="92">
        <v>2299</v>
      </c>
      <c r="F108" s="91">
        <v>276</v>
      </c>
      <c r="G108" s="91">
        <f t="shared" ref="G108:G119" si="48">F108</f>
        <v>276</v>
      </c>
      <c r="H108" s="91"/>
      <c r="I108" s="79">
        <f>SUM(G108:H108)+'BM 005'!I108</f>
        <v>827.76</v>
      </c>
      <c r="J108" s="91">
        <f t="shared" si="39"/>
        <v>1471.24</v>
      </c>
      <c r="K108" s="80">
        <v>60</v>
      </c>
      <c r="L108" s="81">
        <f t="shared" si="37"/>
        <v>76.056006600000003</v>
      </c>
      <c r="M108" s="82">
        <f t="shared" ref="M108:M119" si="49">TRUNC(F108*L108,2)</f>
        <v>20991.45</v>
      </c>
      <c r="N108" s="82">
        <f t="shared" ref="N108:N119" si="50">TRUNC(G108*L108,2)</f>
        <v>20991.45</v>
      </c>
      <c r="O108" s="82">
        <f>N108+'BM 005'!O108</f>
        <v>62956.100000000006</v>
      </c>
      <c r="P108" s="80">
        <f t="shared" ref="P108:P119" si="51">E108*K108</f>
        <v>137940</v>
      </c>
      <c r="Q108" s="82">
        <f t="shared" ref="Q108:Q119" si="52">TRUNC(E108*L108,2)</f>
        <v>174852.75</v>
      </c>
      <c r="R108" s="82">
        <f t="shared" ref="R108:R119" si="53">Q108-O108</f>
        <v>111896.65</v>
      </c>
      <c r="T108" s="96"/>
    </row>
    <row r="109" spans="2:20" s="34" customFormat="1" ht="46.2">
      <c r="B109" s="87" t="s">
        <v>220</v>
      </c>
      <c r="C109" s="88" t="s">
        <v>198</v>
      </c>
      <c r="D109" s="89" t="s">
        <v>152</v>
      </c>
      <c r="E109" s="90">
        <v>347.6</v>
      </c>
      <c r="F109" s="91">
        <f>'M.C. MED. 06'!K747</f>
        <v>0</v>
      </c>
      <c r="G109" s="91">
        <f t="shared" si="48"/>
        <v>0</v>
      </c>
      <c r="H109" s="91"/>
      <c r="I109" s="79">
        <f>SUM(G109:H109)+'BM 005'!I109</f>
        <v>113.30000000000001</v>
      </c>
      <c r="J109" s="91">
        <f t="shared" si="39"/>
        <v>234.3</v>
      </c>
      <c r="K109" s="80">
        <v>20</v>
      </c>
      <c r="L109" s="81">
        <f t="shared" si="37"/>
        <v>25.352002200000001</v>
      </c>
      <c r="M109" s="82">
        <f t="shared" si="49"/>
        <v>0</v>
      </c>
      <c r="N109" s="82">
        <f t="shared" si="50"/>
        <v>0</v>
      </c>
      <c r="O109" s="82">
        <f>N109+'BM 005'!O109</f>
        <v>2872.37</v>
      </c>
      <c r="P109" s="80">
        <f t="shared" si="51"/>
        <v>6952</v>
      </c>
      <c r="Q109" s="82">
        <f t="shared" si="52"/>
        <v>8812.35</v>
      </c>
      <c r="R109" s="82">
        <f t="shared" si="53"/>
        <v>5939.9800000000005</v>
      </c>
      <c r="T109" s="96"/>
    </row>
    <row r="110" spans="2:20" s="34" customFormat="1" ht="46.2">
      <c r="B110" s="87" t="s">
        <v>221</v>
      </c>
      <c r="C110" s="88" t="s">
        <v>222</v>
      </c>
      <c r="D110" s="89" t="s">
        <v>152</v>
      </c>
      <c r="E110" s="90">
        <v>3626.7</v>
      </c>
      <c r="F110" s="91">
        <f>'M.C. MED. 06'!K759</f>
        <v>241.9</v>
      </c>
      <c r="G110" s="91">
        <f t="shared" si="48"/>
        <v>241.9</v>
      </c>
      <c r="H110" s="91"/>
      <c r="I110" s="79">
        <f>SUM(G110:H110)+'BM 005'!I110</f>
        <v>1192.3100000000002</v>
      </c>
      <c r="J110" s="91">
        <f t="shared" si="39"/>
        <v>2434.3899999999994</v>
      </c>
      <c r="K110" s="80">
        <v>19</v>
      </c>
      <c r="L110" s="81">
        <f t="shared" si="37"/>
        <v>24.084402090000001</v>
      </c>
      <c r="M110" s="82">
        <f t="shared" si="49"/>
        <v>5826.01</v>
      </c>
      <c r="N110" s="82">
        <f t="shared" si="50"/>
        <v>5826.01</v>
      </c>
      <c r="O110" s="82">
        <f>N110+'BM 005'!O110</f>
        <v>28716.050000000003</v>
      </c>
      <c r="P110" s="80">
        <f t="shared" si="51"/>
        <v>68907.3</v>
      </c>
      <c r="Q110" s="82">
        <f t="shared" si="52"/>
        <v>87346.9</v>
      </c>
      <c r="R110" s="82">
        <f t="shared" si="53"/>
        <v>58630.849999999991</v>
      </c>
      <c r="T110" s="96"/>
    </row>
    <row r="111" spans="2:20" s="34" customFormat="1" ht="46.2">
      <c r="B111" s="87" t="s">
        <v>223</v>
      </c>
      <c r="C111" s="88" t="s">
        <v>202</v>
      </c>
      <c r="D111" s="89" t="s">
        <v>152</v>
      </c>
      <c r="E111" s="90">
        <v>1762.2</v>
      </c>
      <c r="F111" s="79">
        <f>'M.C. MED. 06'!K771</f>
        <v>228.11</v>
      </c>
      <c r="G111" s="91">
        <f t="shared" si="48"/>
        <v>228.11</v>
      </c>
      <c r="H111" s="91"/>
      <c r="I111" s="79">
        <f>SUM(G111:H111)+'BM 005'!I111</f>
        <v>580</v>
      </c>
      <c r="J111" s="91">
        <f t="shared" si="39"/>
        <v>1182.2</v>
      </c>
      <c r="K111" s="80">
        <v>17.5</v>
      </c>
      <c r="L111" s="81">
        <f t="shared" si="37"/>
        <v>22.183001924999999</v>
      </c>
      <c r="M111" s="82">
        <f t="shared" si="49"/>
        <v>5060.16</v>
      </c>
      <c r="N111" s="82">
        <f t="shared" si="50"/>
        <v>5060.16</v>
      </c>
      <c r="O111" s="82">
        <f>N111+'BM 005'!O111</f>
        <v>12866.13</v>
      </c>
      <c r="P111" s="80">
        <f t="shared" si="51"/>
        <v>30838.5</v>
      </c>
      <c r="Q111" s="82">
        <f t="shared" si="52"/>
        <v>39090.879999999997</v>
      </c>
      <c r="R111" s="82">
        <f t="shared" si="53"/>
        <v>26224.75</v>
      </c>
    </row>
    <row r="112" spans="2:20" s="34" customFormat="1" ht="46.2">
      <c r="B112" s="87" t="s">
        <v>224</v>
      </c>
      <c r="C112" s="88" t="s">
        <v>204</v>
      </c>
      <c r="D112" s="89" t="s">
        <v>152</v>
      </c>
      <c r="E112" s="90">
        <v>542.29999999999995</v>
      </c>
      <c r="F112" s="79">
        <f>'M.C. MED. 06'!K782</f>
        <v>0</v>
      </c>
      <c r="G112" s="91">
        <f t="shared" si="48"/>
        <v>0</v>
      </c>
      <c r="H112" s="91"/>
      <c r="I112" s="79">
        <f>SUM(G112:H112)+'BM 005'!I112</f>
        <v>198.23</v>
      </c>
      <c r="J112" s="91">
        <f t="shared" si="39"/>
        <v>344.06999999999994</v>
      </c>
      <c r="K112" s="80">
        <v>16</v>
      </c>
      <c r="L112" s="81">
        <f t="shared" si="37"/>
        <v>20.281601760000001</v>
      </c>
      <c r="M112" s="82">
        <f t="shared" si="49"/>
        <v>0</v>
      </c>
      <c r="N112" s="82">
        <f t="shared" si="50"/>
        <v>0</v>
      </c>
      <c r="O112" s="82">
        <f>N112+'BM 005'!O112</f>
        <v>4020.4100000000003</v>
      </c>
      <c r="P112" s="80">
        <f t="shared" si="51"/>
        <v>8676.7999999999993</v>
      </c>
      <c r="Q112" s="82">
        <f t="shared" si="52"/>
        <v>10998.71</v>
      </c>
      <c r="R112" s="82">
        <f t="shared" si="53"/>
        <v>6978.2999999999993</v>
      </c>
      <c r="T112" s="83"/>
    </row>
    <row r="113" spans="2:20" s="34" customFormat="1" ht="46.2">
      <c r="B113" s="87" t="s">
        <v>225</v>
      </c>
      <c r="C113" s="88" t="s">
        <v>206</v>
      </c>
      <c r="D113" s="89" t="s">
        <v>152</v>
      </c>
      <c r="E113" s="90">
        <v>3532.1</v>
      </c>
      <c r="F113" s="79">
        <f>'M.C. MED. 06'!K794</f>
        <v>422.97</v>
      </c>
      <c r="G113" s="91">
        <f t="shared" si="48"/>
        <v>422.97</v>
      </c>
      <c r="H113" s="91"/>
      <c r="I113" s="79">
        <f>SUM(G113:H113)+'BM 005'!I113</f>
        <v>867.29</v>
      </c>
      <c r="J113" s="91">
        <f t="shared" si="39"/>
        <v>2664.81</v>
      </c>
      <c r="K113" s="80">
        <v>14.5</v>
      </c>
      <c r="L113" s="81">
        <f t="shared" si="37"/>
        <v>18.380201595000003</v>
      </c>
      <c r="M113" s="82">
        <f t="shared" si="49"/>
        <v>7774.27</v>
      </c>
      <c r="N113" s="82">
        <f t="shared" si="50"/>
        <v>7774.27</v>
      </c>
      <c r="O113" s="82">
        <f>N113+'BM 005'!O113</f>
        <v>15940.95</v>
      </c>
      <c r="P113" s="80">
        <f t="shared" si="51"/>
        <v>51215.45</v>
      </c>
      <c r="Q113" s="82">
        <f t="shared" si="52"/>
        <v>64920.71</v>
      </c>
      <c r="R113" s="82">
        <f t="shared" si="53"/>
        <v>48979.759999999995</v>
      </c>
      <c r="T113" s="83"/>
    </row>
    <row r="114" spans="2:20" s="34" customFormat="1" ht="46.2">
      <c r="B114" s="87" t="s">
        <v>226</v>
      </c>
      <c r="C114" s="88" t="s">
        <v>208</v>
      </c>
      <c r="D114" s="89" t="s">
        <v>152</v>
      </c>
      <c r="E114" s="90">
        <v>7313.9</v>
      </c>
      <c r="F114" s="79">
        <f>'M.C. MED. 06'!K805</f>
        <v>0</v>
      </c>
      <c r="G114" s="91">
        <f t="shared" si="48"/>
        <v>0</v>
      </c>
      <c r="H114" s="91"/>
      <c r="I114" s="79">
        <f>SUM(G114:H114)+'BM 005'!I114</f>
        <v>3225.02</v>
      </c>
      <c r="J114" s="91">
        <f t="shared" si="39"/>
        <v>4088.8799999999997</v>
      </c>
      <c r="K114" s="94">
        <v>14.5</v>
      </c>
      <c r="L114" s="81">
        <f t="shared" si="37"/>
        <v>18.380201595000003</v>
      </c>
      <c r="M114" s="82">
        <f t="shared" si="49"/>
        <v>0</v>
      </c>
      <c r="N114" s="82">
        <f t="shared" si="50"/>
        <v>0</v>
      </c>
      <c r="O114" s="82">
        <f>N114+'BM 005'!O114</f>
        <v>59276.509999999995</v>
      </c>
      <c r="P114" s="80">
        <f t="shared" si="51"/>
        <v>106051.54999999999</v>
      </c>
      <c r="Q114" s="82">
        <f t="shared" si="52"/>
        <v>134430.95000000001</v>
      </c>
      <c r="R114" s="82">
        <f t="shared" si="53"/>
        <v>75154.440000000017</v>
      </c>
      <c r="T114" s="83"/>
    </row>
    <row r="115" spans="2:20" s="34" customFormat="1" ht="46.2">
      <c r="B115" s="87" t="s">
        <v>227</v>
      </c>
      <c r="C115" s="88" t="s">
        <v>210</v>
      </c>
      <c r="D115" s="89" t="s">
        <v>152</v>
      </c>
      <c r="E115" s="92">
        <v>4513.3</v>
      </c>
      <c r="F115" s="79">
        <f>'M.C. MED. 06'!K816</f>
        <v>0</v>
      </c>
      <c r="G115" s="91">
        <f t="shared" si="48"/>
        <v>0</v>
      </c>
      <c r="H115" s="91"/>
      <c r="I115" s="79">
        <f>SUM(G115:H115)+'BM 005'!I115</f>
        <v>2054.92</v>
      </c>
      <c r="J115" s="91">
        <f t="shared" si="39"/>
        <v>2458.38</v>
      </c>
      <c r="K115" s="80">
        <v>14</v>
      </c>
      <c r="L115" s="81">
        <f t="shared" si="37"/>
        <v>17.746401540000001</v>
      </c>
      <c r="M115" s="82">
        <f t="shared" si="49"/>
        <v>0</v>
      </c>
      <c r="N115" s="82">
        <f t="shared" si="50"/>
        <v>0</v>
      </c>
      <c r="O115" s="82">
        <f>N115+'BM 005'!O115</f>
        <v>36467.43</v>
      </c>
      <c r="P115" s="80">
        <f t="shared" si="51"/>
        <v>63186.200000000004</v>
      </c>
      <c r="Q115" s="82">
        <f t="shared" si="52"/>
        <v>80094.83</v>
      </c>
      <c r="R115" s="82">
        <f t="shared" si="53"/>
        <v>43627.4</v>
      </c>
      <c r="T115" s="83"/>
    </row>
    <row r="116" spans="2:20" s="34" customFormat="1" ht="46.2">
      <c r="B116" s="87" t="s">
        <v>228</v>
      </c>
      <c r="C116" s="88" t="s">
        <v>212</v>
      </c>
      <c r="D116" s="89" t="s">
        <v>152</v>
      </c>
      <c r="E116" s="92">
        <v>14626.7</v>
      </c>
      <c r="F116" s="79">
        <f>'M.C. MED. 06'!K828</f>
        <v>2197.13</v>
      </c>
      <c r="G116" s="91">
        <f t="shared" si="48"/>
        <v>2197.13</v>
      </c>
      <c r="H116" s="91"/>
      <c r="I116" s="79">
        <f>SUM(G116:H116)+'BM 005'!I116</f>
        <v>4661.26</v>
      </c>
      <c r="J116" s="91">
        <f t="shared" si="39"/>
        <v>9965.44</v>
      </c>
      <c r="K116" s="95">
        <v>14</v>
      </c>
      <c r="L116" s="81">
        <f t="shared" si="37"/>
        <v>17.746401540000001</v>
      </c>
      <c r="M116" s="82">
        <f t="shared" si="49"/>
        <v>38991.15</v>
      </c>
      <c r="N116" s="82">
        <f t="shared" si="50"/>
        <v>38991.15</v>
      </c>
      <c r="O116" s="82">
        <f>N116+'BM 005'!O116</f>
        <v>82720.58</v>
      </c>
      <c r="P116" s="80">
        <f t="shared" si="51"/>
        <v>204773.80000000002</v>
      </c>
      <c r="Q116" s="82">
        <f t="shared" si="52"/>
        <v>259571.29</v>
      </c>
      <c r="R116" s="82">
        <f t="shared" si="53"/>
        <v>176850.71000000002</v>
      </c>
      <c r="T116" s="83"/>
    </row>
    <row r="117" spans="2:20" s="34" customFormat="1" ht="22.8">
      <c r="B117" s="87" t="s">
        <v>229</v>
      </c>
      <c r="C117" s="88" t="s">
        <v>230</v>
      </c>
      <c r="D117" s="89" t="s">
        <v>231</v>
      </c>
      <c r="E117" s="92">
        <v>3177.02</v>
      </c>
      <c r="F117" s="91">
        <v>381</v>
      </c>
      <c r="G117" s="91">
        <f t="shared" si="48"/>
        <v>381</v>
      </c>
      <c r="H117" s="91"/>
      <c r="I117" s="79">
        <f>SUM(G117:H117)+'BM 005'!I117</f>
        <v>1143.48</v>
      </c>
      <c r="J117" s="91">
        <f t="shared" si="39"/>
        <v>2033.54</v>
      </c>
      <c r="K117" s="80">
        <v>30</v>
      </c>
      <c r="L117" s="81">
        <f t="shared" si="37"/>
        <v>38.028003300000002</v>
      </c>
      <c r="M117" s="82">
        <f t="shared" si="49"/>
        <v>14488.66</v>
      </c>
      <c r="N117" s="82">
        <f t="shared" si="50"/>
        <v>14488.66</v>
      </c>
      <c r="O117" s="82">
        <f>N117+'BM 005'!O117</f>
        <v>43484.240000000005</v>
      </c>
      <c r="P117" s="80">
        <f t="shared" si="51"/>
        <v>95310.6</v>
      </c>
      <c r="Q117" s="82">
        <f t="shared" si="52"/>
        <v>120815.72</v>
      </c>
      <c r="R117" s="82">
        <f t="shared" si="53"/>
        <v>77331.48</v>
      </c>
      <c r="T117" s="83"/>
    </row>
    <row r="118" spans="2:20" s="34" customFormat="1" ht="23.4">
      <c r="B118" s="87" t="s">
        <v>232</v>
      </c>
      <c r="C118" s="88" t="s">
        <v>190</v>
      </c>
      <c r="D118" s="89" t="s">
        <v>63</v>
      </c>
      <c r="E118" s="92">
        <v>240</v>
      </c>
      <c r="F118" s="91">
        <v>26</v>
      </c>
      <c r="G118" s="91">
        <f t="shared" si="48"/>
        <v>26</v>
      </c>
      <c r="H118" s="91"/>
      <c r="I118" s="79">
        <f>SUM(G118:H118)+'BM 005'!I118</f>
        <v>86</v>
      </c>
      <c r="J118" s="91">
        <f t="shared" si="39"/>
        <v>154</v>
      </c>
      <c r="K118" s="80">
        <v>30</v>
      </c>
      <c r="L118" s="81">
        <f t="shared" si="37"/>
        <v>38.028003300000002</v>
      </c>
      <c r="M118" s="82">
        <f t="shared" si="49"/>
        <v>988.72</v>
      </c>
      <c r="N118" s="82">
        <f t="shared" si="50"/>
        <v>988.72</v>
      </c>
      <c r="O118" s="82">
        <f>N118+'BM 005'!O118</f>
        <v>3270.3999999999996</v>
      </c>
      <c r="P118" s="80">
        <f t="shared" si="51"/>
        <v>7200</v>
      </c>
      <c r="Q118" s="82">
        <f t="shared" si="52"/>
        <v>9126.7199999999993</v>
      </c>
      <c r="R118" s="82">
        <f t="shared" si="53"/>
        <v>5856.32</v>
      </c>
      <c r="T118" s="83"/>
    </row>
    <row r="119" spans="2:20" s="34" customFormat="1" ht="23.4">
      <c r="B119" s="87" t="s">
        <v>233</v>
      </c>
      <c r="C119" s="88" t="s">
        <v>215</v>
      </c>
      <c r="D119" s="89" t="s">
        <v>169</v>
      </c>
      <c r="E119" s="92">
        <v>226.93</v>
      </c>
      <c r="F119" s="91">
        <f>'M.C. MED. 06'!K932</f>
        <v>25.88</v>
      </c>
      <c r="G119" s="91">
        <f t="shared" si="48"/>
        <v>25.88</v>
      </c>
      <c r="H119" s="91"/>
      <c r="I119" s="79">
        <f>SUM(G119:H119)+'BM 005'!I119</f>
        <v>80.75</v>
      </c>
      <c r="J119" s="91">
        <f t="shared" si="39"/>
        <v>146.18</v>
      </c>
      <c r="K119" s="95">
        <v>750</v>
      </c>
      <c r="L119" s="81">
        <f t="shared" si="37"/>
        <v>950.70008250000001</v>
      </c>
      <c r="M119" s="82">
        <f t="shared" si="49"/>
        <v>24604.11</v>
      </c>
      <c r="N119" s="82">
        <f t="shared" si="50"/>
        <v>24604.11</v>
      </c>
      <c r="O119" s="82">
        <f>N119+'BM 005'!O119</f>
        <v>76769.02</v>
      </c>
      <c r="P119" s="80">
        <f t="shared" si="51"/>
        <v>170197.5</v>
      </c>
      <c r="Q119" s="82">
        <f t="shared" si="52"/>
        <v>215742.36</v>
      </c>
      <c r="R119" s="82">
        <f t="shared" si="53"/>
        <v>138973.33999999997</v>
      </c>
      <c r="T119" s="83"/>
    </row>
    <row r="120" spans="2:20" s="34" customFormat="1" ht="13.2">
      <c r="B120" s="66" t="s">
        <v>234</v>
      </c>
      <c r="C120" s="67" t="s">
        <v>235</v>
      </c>
      <c r="D120" s="68"/>
      <c r="E120" s="69"/>
      <c r="F120" s="70"/>
      <c r="G120" s="70"/>
      <c r="H120" s="70"/>
      <c r="I120" s="70">
        <f>SUM(G120:H120)+'BM 005'!I120</f>
        <v>0</v>
      </c>
      <c r="J120" s="70">
        <f t="shared" si="39"/>
        <v>0</v>
      </c>
      <c r="K120" s="71"/>
      <c r="L120" s="71">
        <f t="shared" si="37"/>
        <v>0</v>
      </c>
      <c r="M120" s="73">
        <f t="shared" ref="M120:R120" si="54">SUM(M121:M130)</f>
        <v>369790.44999999995</v>
      </c>
      <c r="N120" s="73">
        <f t="shared" si="54"/>
        <v>369790.44999999995</v>
      </c>
      <c r="O120" s="73">
        <f t="shared" si="54"/>
        <v>742837.17999999993</v>
      </c>
      <c r="P120" s="73">
        <f t="shared" si="54"/>
        <v>2218671.0499999998</v>
      </c>
      <c r="Q120" s="73">
        <f t="shared" si="54"/>
        <v>2812387.62</v>
      </c>
      <c r="R120" s="73">
        <f t="shared" si="54"/>
        <v>2069550.44</v>
      </c>
      <c r="T120" s="83"/>
    </row>
    <row r="121" spans="2:20" s="34" customFormat="1" ht="57.6">
      <c r="B121" s="87" t="s">
        <v>236</v>
      </c>
      <c r="C121" s="88" t="s">
        <v>237</v>
      </c>
      <c r="D121" s="89" t="s">
        <v>79</v>
      </c>
      <c r="E121" s="92">
        <v>770.47</v>
      </c>
      <c r="F121" s="91">
        <f>'M.C. MED. 06'!K952</f>
        <v>47.43</v>
      </c>
      <c r="G121" s="91">
        <f t="shared" ref="G121:G130" si="55">F121</f>
        <v>47.43</v>
      </c>
      <c r="H121" s="91"/>
      <c r="I121" s="79">
        <f>SUM(G121:H121)+'BM 005'!I121</f>
        <v>90.3</v>
      </c>
      <c r="J121" s="91">
        <f t="shared" si="39"/>
        <v>680.17000000000007</v>
      </c>
      <c r="K121" s="80">
        <v>130</v>
      </c>
      <c r="L121" s="81">
        <f t="shared" si="37"/>
        <v>164.78801430000001</v>
      </c>
      <c r="M121" s="82">
        <f t="shared" ref="M121:M130" si="56">TRUNC(F121*L121,2)</f>
        <v>7815.89</v>
      </c>
      <c r="N121" s="82">
        <f t="shared" ref="N121:N130" si="57">TRUNC(G121*L121,2)</f>
        <v>7815.89</v>
      </c>
      <c r="O121" s="82">
        <f>N121+'BM 005'!O121</f>
        <v>14880.35</v>
      </c>
      <c r="P121" s="80">
        <f t="shared" ref="P121:P130" si="58">E121*K121</f>
        <v>100161.1</v>
      </c>
      <c r="Q121" s="82">
        <f t="shared" ref="Q121:Q130" si="59">TRUNC(E121*L121,2)</f>
        <v>126964.22</v>
      </c>
      <c r="R121" s="82">
        <f t="shared" ref="R121:R130" si="60">Q121-O121</f>
        <v>112083.87</v>
      </c>
      <c r="T121" s="83"/>
    </row>
    <row r="122" spans="2:20" s="34" customFormat="1" ht="69">
      <c r="B122" s="87" t="s">
        <v>238</v>
      </c>
      <c r="C122" s="88" t="s">
        <v>239</v>
      </c>
      <c r="D122" s="89" t="s">
        <v>79</v>
      </c>
      <c r="E122" s="92">
        <v>7163.62</v>
      </c>
      <c r="F122" s="91">
        <f>'M.C. MED. 06'!K550</f>
        <v>535.35</v>
      </c>
      <c r="G122" s="91">
        <f t="shared" si="55"/>
        <v>535.35</v>
      </c>
      <c r="H122" s="91"/>
      <c r="I122" s="79">
        <f>SUM(G122:H122)+'BM 005'!I122</f>
        <v>1027.94</v>
      </c>
      <c r="J122" s="91">
        <f t="shared" si="39"/>
        <v>6135.68</v>
      </c>
      <c r="K122" s="80">
        <v>130</v>
      </c>
      <c r="L122" s="81">
        <f t="shared" si="37"/>
        <v>164.78801430000001</v>
      </c>
      <c r="M122" s="82">
        <f t="shared" si="56"/>
        <v>88219.26</v>
      </c>
      <c r="N122" s="82">
        <f t="shared" si="57"/>
        <v>88219.26</v>
      </c>
      <c r="O122" s="82">
        <f>N122+'BM 005'!O122</f>
        <v>169392.18</v>
      </c>
      <c r="P122" s="80">
        <f t="shared" si="58"/>
        <v>931270.6</v>
      </c>
      <c r="Q122" s="82">
        <f t="shared" si="59"/>
        <v>1180478.71</v>
      </c>
      <c r="R122" s="82">
        <f t="shared" si="60"/>
        <v>1011086.53</v>
      </c>
      <c r="T122" s="83"/>
    </row>
    <row r="123" spans="2:20" s="34" customFormat="1" ht="46.2">
      <c r="B123" s="87" t="s">
        <v>240</v>
      </c>
      <c r="C123" s="88" t="s">
        <v>241</v>
      </c>
      <c r="D123" s="89" t="s">
        <v>152</v>
      </c>
      <c r="E123" s="92">
        <v>2362.8000000000002</v>
      </c>
      <c r="F123" s="91">
        <f>'M.C. MED. 06'!K995</f>
        <v>267.68</v>
      </c>
      <c r="G123" s="91">
        <f t="shared" si="55"/>
        <v>267.68</v>
      </c>
      <c r="H123" s="91"/>
      <c r="I123" s="79">
        <f>SUM(G123:H123)+'BM 005'!I123</f>
        <v>2236.87</v>
      </c>
      <c r="J123" s="91">
        <f t="shared" si="39"/>
        <v>125.93000000000029</v>
      </c>
      <c r="K123" s="80">
        <v>19</v>
      </c>
      <c r="L123" s="81">
        <f t="shared" si="37"/>
        <v>24.084402090000001</v>
      </c>
      <c r="M123" s="82">
        <f t="shared" si="56"/>
        <v>6446.91</v>
      </c>
      <c r="N123" s="82">
        <f t="shared" si="57"/>
        <v>6446.91</v>
      </c>
      <c r="O123" s="82">
        <f>N123+'BM 005'!O123</f>
        <v>53873.67</v>
      </c>
      <c r="P123" s="80">
        <f t="shared" si="58"/>
        <v>44893.200000000004</v>
      </c>
      <c r="Q123" s="82">
        <f t="shared" si="59"/>
        <v>56906.62</v>
      </c>
      <c r="R123" s="82">
        <f t="shared" si="60"/>
        <v>3032.9500000000044</v>
      </c>
      <c r="T123" s="83"/>
    </row>
    <row r="124" spans="2:20" s="34" customFormat="1" ht="46.2">
      <c r="B124" s="87" t="s">
        <v>242</v>
      </c>
      <c r="C124" s="88" t="s">
        <v>243</v>
      </c>
      <c r="D124" s="89" t="s">
        <v>152</v>
      </c>
      <c r="E124" s="90">
        <v>602.79999999999995</v>
      </c>
      <c r="F124" s="91">
        <f>'M.C. MED. 06'!K1010</f>
        <v>0</v>
      </c>
      <c r="G124" s="91">
        <f t="shared" si="55"/>
        <v>0</v>
      </c>
      <c r="H124" s="91"/>
      <c r="I124" s="79">
        <f>SUM(G124:H124)+'BM 005'!I124</f>
        <v>602.79999999999995</v>
      </c>
      <c r="J124" s="91">
        <f t="shared" si="39"/>
        <v>0</v>
      </c>
      <c r="K124" s="80">
        <v>17.5</v>
      </c>
      <c r="L124" s="81">
        <f t="shared" si="37"/>
        <v>22.183001924999999</v>
      </c>
      <c r="M124" s="82">
        <f t="shared" si="56"/>
        <v>0</v>
      </c>
      <c r="N124" s="82">
        <f t="shared" si="57"/>
        <v>0</v>
      </c>
      <c r="O124" s="82">
        <f>N124+'BM 005'!O124</f>
        <v>13371.91</v>
      </c>
      <c r="P124" s="80">
        <f t="shared" si="58"/>
        <v>10549</v>
      </c>
      <c r="Q124" s="82">
        <f t="shared" si="59"/>
        <v>13371.91</v>
      </c>
      <c r="R124" s="82">
        <f t="shared" si="60"/>
        <v>0</v>
      </c>
      <c r="T124" s="83"/>
    </row>
    <row r="125" spans="2:20" s="34" customFormat="1" ht="46.2">
      <c r="B125" s="87" t="s">
        <v>244</v>
      </c>
      <c r="C125" s="88" t="s">
        <v>245</v>
      </c>
      <c r="D125" s="89" t="s">
        <v>152</v>
      </c>
      <c r="E125" s="90">
        <v>3562.9</v>
      </c>
      <c r="F125" s="91">
        <f>'M.C. MED. 06'!K1026</f>
        <v>910</v>
      </c>
      <c r="G125" s="91">
        <f t="shared" si="55"/>
        <v>910</v>
      </c>
      <c r="H125" s="91"/>
      <c r="I125" s="79">
        <f>SUM(G125:H125)+'BM 005'!I125</f>
        <v>2055.1</v>
      </c>
      <c r="J125" s="91">
        <f t="shared" si="39"/>
        <v>1507.8000000000002</v>
      </c>
      <c r="K125" s="80">
        <v>16</v>
      </c>
      <c r="L125" s="81">
        <f t="shared" si="37"/>
        <v>20.281601760000001</v>
      </c>
      <c r="M125" s="82">
        <f t="shared" si="56"/>
        <v>18456.25</v>
      </c>
      <c r="N125" s="82">
        <f t="shared" si="57"/>
        <v>18456.25</v>
      </c>
      <c r="O125" s="82">
        <f>N125+'BM 005'!O125</f>
        <v>41680.71</v>
      </c>
      <c r="P125" s="80">
        <f t="shared" si="58"/>
        <v>57006.400000000001</v>
      </c>
      <c r="Q125" s="82">
        <f t="shared" si="59"/>
        <v>72261.31</v>
      </c>
      <c r="R125" s="82">
        <f t="shared" si="60"/>
        <v>30580.6</v>
      </c>
    </row>
    <row r="126" spans="2:20" s="34" customFormat="1" ht="46.2">
      <c r="B126" s="87" t="s">
        <v>246</v>
      </c>
      <c r="C126" s="88" t="s">
        <v>247</v>
      </c>
      <c r="D126" s="89" t="s">
        <v>152</v>
      </c>
      <c r="E126" s="90">
        <v>8278.6</v>
      </c>
      <c r="F126" s="91">
        <f>'M.C. MED. 06'!K1041</f>
        <v>1260</v>
      </c>
      <c r="G126" s="91">
        <f t="shared" si="55"/>
        <v>1260</v>
      </c>
      <c r="H126" s="91"/>
      <c r="I126" s="79">
        <f>SUM(G126:H126)+'BM 005'!I126</f>
        <v>3301.5299999999997</v>
      </c>
      <c r="J126" s="91">
        <f t="shared" si="39"/>
        <v>4977.0700000000006</v>
      </c>
      <c r="K126" s="80">
        <v>14.5</v>
      </c>
      <c r="L126" s="81">
        <f t="shared" si="37"/>
        <v>18.380201595000003</v>
      </c>
      <c r="M126" s="82">
        <f t="shared" si="56"/>
        <v>23159.05</v>
      </c>
      <c r="N126" s="82">
        <f t="shared" si="57"/>
        <v>23159.05</v>
      </c>
      <c r="O126" s="82">
        <f>N126+'BM 005'!O126</f>
        <v>60682.78</v>
      </c>
      <c r="P126" s="80">
        <f t="shared" si="58"/>
        <v>120039.70000000001</v>
      </c>
      <c r="Q126" s="82">
        <f t="shared" si="59"/>
        <v>152162.32999999999</v>
      </c>
      <c r="R126" s="82">
        <f t="shared" si="60"/>
        <v>91479.549999999988</v>
      </c>
    </row>
    <row r="127" spans="2:20" s="34" customFormat="1" ht="46.2">
      <c r="B127" s="87" t="s">
        <v>248</v>
      </c>
      <c r="C127" s="88" t="s">
        <v>249</v>
      </c>
      <c r="D127" s="89" t="s">
        <v>152</v>
      </c>
      <c r="E127" s="90">
        <v>8114.7</v>
      </c>
      <c r="F127" s="91">
        <f>'M.C. MED. 06'!K1056</f>
        <v>4970.41</v>
      </c>
      <c r="G127" s="91">
        <f t="shared" si="55"/>
        <v>4970.41</v>
      </c>
      <c r="H127" s="91"/>
      <c r="I127" s="79">
        <f>SUM(G127:H127)+'BM 005'!I127</f>
        <v>8114.7</v>
      </c>
      <c r="J127" s="91">
        <f t="shared" si="39"/>
        <v>0</v>
      </c>
      <c r="K127" s="94">
        <v>14.5</v>
      </c>
      <c r="L127" s="81">
        <f t="shared" si="37"/>
        <v>18.380201595000003</v>
      </c>
      <c r="M127" s="82">
        <f t="shared" si="56"/>
        <v>91357.13</v>
      </c>
      <c r="N127" s="82">
        <f t="shared" si="57"/>
        <v>91357.13</v>
      </c>
      <c r="O127" s="82">
        <f>N127+'BM 005'!O127</f>
        <v>149149.81</v>
      </c>
      <c r="P127" s="80">
        <f t="shared" si="58"/>
        <v>117663.15</v>
      </c>
      <c r="Q127" s="82">
        <f t="shared" si="59"/>
        <v>149149.82</v>
      </c>
      <c r="R127" s="82">
        <f t="shared" si="60"/>
        <v>1.0000000009313226E-2</v>
      </c>
    </row>
    <row r="128" spans="2:20" s="34" customFormat="1" ht="46.2">
      <c r="B128" s="87" t="s">
        <v>250</v>
      </c>
      <c r="C128" s="88" t="s">
        <v>251</v>
      </c>
      <c r="D128" s="89" t="s">
        <v>152</v>
      </c>
      <c r="E128" s="90">
        <v>11554.4</v>
      </c>
      <c r="F128" s="91">
        <f>'M.C. MED. 06'!K1071</f>
        <v>2473.7399999999998</v>
      </c>
      <c r="G128" s="91">
        <f t="shared" si="55"/>
        <v>2473.7399999999998</v>
      </c>
      <c r="H128" s="91"/>
      <c r="I128" s="79">
        <f>SUM(G128:H128)+'BM 005'!I128</f>
        <v>3799.87</v>
      </c>
      <c r="J128" s="91">
        <f t="shared" si="39"/>
        <v>7754.53</v>
      </c>
      <c r="K128" s="80">
        <v>14</v>
      </c>
      <c r="L128" s="81">
        <f t="shared" si="37"/>
        <v>17.746401540000001</v>
      </c>
      <c r="M128" s="82">
        <f t="shared" si="56"/>
        <v>43899.98</v>
      </c>
      <c r="N128" s="82">
        <f t="shared" si="57"/>
        <v>43899.98</v>
      </c>
      <c r="O128" s="82">
        <f>N128+'BM 005'!O128</f>
        <v>67434.010000000009</v>
      </c>
      <c r="P128" s="80">
        <f t="shared" si="58"/>
        <v>161761.60000000001</v>
      </c>
      <c r="Q128" s="82">
        <f t="shared" si="59"/>
        <v>205049.02</v>
      </c>
      <c r="R128" s="82">
        <f t="shared" si="60"/>
        <v>137615.00999999998</v>
      </c>
    </row>
    <row r="129" spans="2:21" s="34" customFormat="1" ht="57.6">
      <c r="B129" s="87" t="s">
        <v>252</v>
      </c>
      <c r="C129" s="88" t="s">
        <v>253</v>
      </c>
      <c r="D129" s="89" t="s">
        <v>152</v>
      </c>
      <c r="E129" s="90">
        <v>5166.7</v>
      </c>
      <c r="F129" s="91">
        <f>'M.C. MED. 06'!K1086</f>
        <v>90.84</v>
      </c>
      <c r="G129" s="91">
        <f t="shared" si="55"/>
        <v>90.84</v>
      </c>
      <c r="H129" s="91"/>
      <c r="I129" s="79">
        <f>SUM(G129:H129)+'BM 005'!I129</f>
        <v>930.02</v>
      </c>
      <c r="J129" s="91">
        <f t="shared" si="39"/>
        <v>4236.68</v>
      </c>
      <c r="K129" s="80">
        <v>14</v>
      </c>
      <c r="L129" s="81">
        <f t="shared" si="37"/>
        <v>17.746401540000001</v>
      </c>
      <c r="M129" s="82">
        <f t="shared" si="56"/>
        <v>1612.08</v>
      </c>
      <c r="N129" s="82">
        <f t="shared" si="57"/>
        <v>1612.08</v>
      </c>
      <c r="O129" s="82">
        <f>N129+'BM 005'!O129</f>
        <v>16504.5</v>
      </c>
      <c r="P129" s="80">
        <f t="shared" si="58"/>
        <v>72333.8</v>
      </c>
      <c r="Q129" s="82">
        <f t="shared" si="59"/>
        <v>91690.33</v>
      </c>
      <c r="R129" s="82">
        <f t="shared" si="60"/>
        <v>75185.83</v>
      </c>
    </row>
    <row r="130" spans="2:21" s="34" customFormat="1" ht="23.4">
      <c r="B130" s="87" t="s">
        <v>254</v>
      </c>
      <c r="C130" s="88" t="s">
        <v>215</v>
      </c>
      <c r="D130" s="89" t="s">
        <v>169</v>
      </c>
      <c r="E130" s="92">
        <v>803.99</v>
      </c>
      <c r="F130" s="91">
        <f>'M.C. MED. 06'!K1122</f>
        <v>93.43</v>
      </c>
      <c r="G130" s="91">
        <f t="shared" si="55"/>
        <v>93.43</v>
      </c>
      <c r="H130" s="91"/>
      <c r="I130" s="79">
        <f>SUM(G130:H130)+'BM 005'!I130</f>
        <v>163.95</v>
      </c>
      <c r="J130" s="91">
        <f t="shared" si="39"/>
        <v>640.04</v>
      </c>
      <c r="K130" s="95">
        <v>750</v>
      </c>
      <c r="L130" s="81">
        <f t="shared" si="37"/>
        <v>950.70008250000001</v>
      </c>
      <c r="M130" s="82">
        <f t="shared" si="56"/>
        <v>88823.9</v>
      </c>
      <c r="N130" s="82">
        <f t="shared" si="57"/>
        <v>88823.9</v>
      </c>
      <c r="O130" s="82">
        <f>N130+'BM 005'!O130</f>
        <v>155867.26</v>
      </c>
      <c r="P130" s="80">
        <f t="shared" si="58"/>
        <v>602992.5</v>
      </c>
      <c r="Q130" s="82">
        <f t="shared" si="59"/>
        <v>764353.35</v>
      </c>
      <c r="R130" s="82">
        <f t="shared" si="60"/>
        <v>608486.09</v>
      </c>
      <c r="T130" s="83"/>
      <c r="U130" s="83"/>
    </row>
    <row r="131" spans="2:21" s="34" customFormat="1" ht="17.399999999999999">
      <c r="B131" s="60" t="s">
        <v>255</v>
      </c>
      <c r="C131" s="61" t="s">
        <v>256</v>
      </c>
      <c r="D131" s="60"/>
      <c r="E131" s="62"/>
      <c r="F131" s="63"/>
      <c r="G131" s="63"/>
      <c r="H131" s="63"/>
      <c r="I131" s="63">
        <f>SUM(G131:H131)+'BM 005'!I131</f>
        <v>0</v>
      </c>
      <c r="J131" s="63">
        <f t="shared" si="39"/>
        <v>0</v>
      </c>
      <c r="K131" s="63"/>
      <c r="L131" s="63">
        <f t="shared" si="37"/>
        <v>0</v>
      </c>
      <c r="M131" s="63">
        <f t="shared" ref="M131:R131" si="61">SUM(M132:M138)</f>
        <v>0</v>
      </c>
      <c r="N131" s="63">
        <f t="shared" si="61"/>
        <v>0</v>
      </c>
      <c r="O131" s="63">
        <f t="shared" si="61"/>
        <v>0</v>
      </c>
      <c r="P131" s="63">
        <f t="shared" si="61"/>
        <v>1701680.9500000002</v>
      </c>
      <c r="Q131" s="63">
        <f t="shared" si="61"/>
        <v>2157050.9299999997</v>
      </c>
      <c r="R131" s="63">
        <f t="shared" si="61"/>
        <v>2157050.9299999997</v>
      </c>
      <c r="T131" s="97"/>
    </row>
    <row r="132" spans="2:21" s="34" customFormat="1" ht="23.4">
      <c r="B132" s="87" t="s">
        <v>257</v>
      </c>
      <c r="C132" s="98" t="s">
        <v>258</v>
      </c>
      <c r="D132" s="99" t="s">
        <v>169</v>
      </c>
      <c r="E132" s="100">
        <v>261.60000000000002</v>
      </c>
      <c r="F132" s="101"/>
      <c r="G132" s="101"/>
      <c r="H132" s="101"/>
      <c r="I132" s="79">
        <f>SUM(G132:H132)+'BM 005'!I132</f>
        <v>0</v>
      </c>
      <c r="J132" s="101">
        <f t="shared" si="39"/>
        <v>261.60000000000002</v>
      </c>
      <c r="K132" s="102">
        <v>620</v>
      </c>
      <c r="L132" s="81">
        <f t="shared" si="37"/>
        <v>785.91206820000002</v>
      </c>
      <c r="M132" s="82">
        <f t="shared" ref="M132:M138" si="62">TRUNC(F132*L132,2)</f>
        <v>0</v>
      </c>
      <c r="N132" s="82">
        <f t="shared" ref="N132:N138" si="63">TRUNC(G132*L132,2)</f>
        <v>0</v>
      </c>
      <c r="O132" s="82">
        <f>N132+'BM 005'!O132</f>
        <v>0</v>
      </c>
      <c r="P132" s="80">
        <f t="shared" ref="P132:P138" si="64">E132*K132</f>
        <v>162192</v>
      </c>
      <c r="Q132" s="82">
        <f t="shared" ref="Q132:Q138" si="65">TRUNC(E132*L132,2)</f>
        <v>205594.59</v>
      </c>
      <c r="R132" s="82">
        <f t="shared" ref="R132:R138" si="66">Q132-O132</f>
        <v>205594.59</v>
      </c>
    </row>
    <row r="133" spans="2:21" s="34" customFormat="1" ht="34.799999999999997">
      <c r="B133" s="87" t="s">
        <v>259</v>
      </c>
      <c r="C133" s="88" t="s">
        <v>260</v>
      </c>
      <c r="D133" s="89" t="s">
        <v>82</v>
      </c>
      <c r="E133" s="90">
        <v>3852</v>
      </c>
      <c r="F133" s="91"/>
      <c r="G133" s="91"/>
      <c r="H133" s="91"/>
      <c r="I133" s="79">
        <f>SUM(G133:H133)+'BM 005'!I133</f>
        <v>0</v>
      </c>
      <c r="J133" s="91">
        <f t="shared" si="39"/>
        <v>3852</v>
      </c>
      <c r="K133" s="84">
        <v>20</v>
      </c>
      <c r="L133" s="81">
        <f t="shared" si="37"/>
        <v>25.352002200000001</v>
      </c>
      <c r="M133" s="82">
        <f t="shared" si="62"/>
        <v>0</v>
      </c>
      <c r="N133" s="82">
        <f t="shared" si="63"/>
        <v>0</v>
      </c>
      <c r="O133" s="82">
        <f>N133+'BM 005'!O133</f>
        <v>0</v>
      </c>
      <c r="P133" s="80">
        <f t="shared" si="64"/>
        <v>77040</v>
      </c>
      <c r="Q133" s="82">
        <f t="shared" si="65"/>
        <v>97655.91</v>
      </c>
      <c r="R133" s="82">
        <f t="shared" si="66"/>
        <v>97655.91</v>
      </c>
    </row>
    <row r="134" spans="2:21" s="34" customFormat="1" ht="46.2">
      <c r="B134" s="87" t="s">
        <v>261</v>
      </c>
      <c r="C134" s="88" t="s">
        <v>262</v>
      </c>
      <c r="D134" s="89" t="s">
        <v>110</v>
      </c>
      <c r="E134" s="92">
        <v>112</v>
      </c>
      <c r="F134" s="91"/>
      <c r="G134" s="91"/>
      <c r="H134" s="91"/>
      <c r="I134" s="79">
        <f>SUM(G134:H134)+'BM 005'!I134</f>
        <v>0</v>
      </c>
      <c r="J134" s="91">
        <f t="shared" si="39"/>
        <v>112</v>
      </c>
      <c r="K134" s="84">
        <v>650</v>
      </c>
      <c r="L134" s="81">
        <f t="shared" si="37"/>
        <v>823.94007150000004</v>
      </c>
      <c r="M134" s="82">
        <f t="shared" si="62"/>
        <v>0</v>
      </c>
      <c r="N134" s="82">
        <f t="shared" si="63"/>
        <v>0</v>
      </c>
      <c r="O134" s="82">
        <f>N134+'BM 005'!O134</f>
        <v>0</v>
      </c>
      <c r="P134" s="80">
        <f t="shared" si="64"/>
        <v>72800</v>
      </c>
      <c r="Q134" s="82">
        <f t="shared" si="65"/>
        <v>92281.279999999999</v>
      </c>
      <c r="R134" s="82">
        <f t="shared" si="66"/>
        <v>92281.279999999999</v>
      </c>
    </row>
    <row r="135" spans="2:21" s="34" customFormat="1" ht="69">
      <c r="B135" s="87" t="s">
        <v>263</v>
      </c>
      <c r="C135" s="88" t="s">
        <v>264</v>
      </c>
      <c r="D135" s="89" t="s">
        <v>79</v>
      </c>
      <c r="E135" s="90">
        <v>15102.2</v>
      </c>
      <c r="F135" s="91"/>
      <c r="G135" s="91"/>
      <c r="H135" s="91"/>
      <c r="I135" s="79">
        <f>SUM(G135:H135)+'BM 005'!I135</f>
        <v>0</v>
      </c>
      <c r="J135" s="91">
        <f t="shared" si="39"/>
        <v>15102.2</v>
      </c>
      <c r="K135" s="84">
        <v>79.5</v>
      </c>
      <c r="L135" s="81">
        <f t="shared" si="37"/>
        <v>100.77420874500001</v>
      </c>
      <c r="M135" s="82">
        <f t="shared" si="62"/>
        <v>0</v>
      </c>
      <c r="N135" s="82">
        <f t="shared" si="63"/>
        <v>0</v>
      </c>
      <c r="O135" s="82">
        <f>N135+'BM 005'!O135</f>
        <v>0</v>
      </c>
      <c r="P135" s="80">
        <f t="shared" si="64"/>
        <v>1200624.9000000001</v>
      </c>
      <c r="Q135" s="82">
        <f t="shared" si="65"/>
        <v>1521912.25</v>
      </c>
      <c r="R135" s="82">
        <f t="shared" si="66"/>
        <v>1521912.25</v>
      </c>
    </row>
    <row r="136" spans="2:21" s="34" customFormat="1" ht="57.6">
      <c r="B136" s="87" t="s">
        <v>265</v>
      </c>
      <c r="C136" s="88" t="s">
        <v>266</v>
      </c>
      <c r="D136" s="89" t="s">
        <v>79</v>
      </c>
      <c r="E136" s="90">
        <v>772</v>
      </c>
      <c r="F136" s="91"/>
      <c r="G136" s="91"/>
      <c r="H136" s="91"/>
      <c r="I136" s="79">
        <f>SUM(G136:H136)+'BM 005'!I136</f>
        <v>0</v>
      </c>
      <c r="J136" s="91">
        <f t="shared" si="39"/>
        <v>772</v>
      </c>
      <c r="K136" s="84">
        <v>150</v>
      </c>
      <c r="L136" s="81">
        <f t="shared" si="37"/>
        <v>190.1400165</v>
      </c>
      <c r="M136" s="82">
        <f t="shared" si="62"/>
        <v>0</v>
      </c>
      <c r="N136" s="82">
        <f t="shared" si="63"/>
        <v>0</v>
      </c>
      <c r="O136" s="82">
        <f>N136+'BM 005'!O136</f>
        <v>0</v>
      </c>
      <c r="P136" s="80">
        <f t="shared" si="64"/>
        <v>115800</v>
      </c>
      <c r="Q136" s="82">
        <f t="shared" si="65"/>
        <v>146788.09</v>
      </c>
      <c r="R136" s="82">
        <f t="shared" si="66"/>
        <v>146788.09</v>
      </c>
    </row>
    <row r="137" spans="2:21" s="34" customFormat="1" ht="46.2">
      <c r="B137" s="87" t="s">
        <v>267</v>
      </c>
      <c r="C137" s="88" t="s">
        <v>268</v>
      </c>
      <c r="D137" s="89" t="s">
        <v>79</v>
      </c>
      <c r="E137" s="90">
        <v>210.05</v>
      </c>
      <c r="F137" s="91"/>
      <c r="G137" s="91"/>
      <c r="H137" s="91"/>
      <c r="I137" s="79">
        <f>SUM(G137:H137)+'BM 005'!I137</f>
        <v>0</v>
      </c>
      <c r="J137" s="91">
        <f t="shared" si="39"/>
        <v>210.05</v>
      </c>
      <c r="K137" s="84">
        <v>165</v>
      </c>
      <c r="L137" s="81">
        <f t="shared" si="37"/>
        <v>209.15401815000001</v>
      </c>
      <c r="M137" s="82">
        <f t="shared" si="62"/>
        <v>0</v>
      </c>
      <c r="N137" s="82">
        <f t="shared" si="63"/>
        <v>0</v>
      </c>
      <c r="O137" s="82">
        <f>N137+'BM 005'!O137</f>
        <v>0</v>
      </c>
      <c r="P137" s="80">
        <f t="shared" si="64"/>
        <v>34658.25</v>
      </c>
      <c r="Q137" s="82">
        <f t="shared" si="65"/>
        <v>43932.800000000003</v>
      </c>
      <c r="R137" s="82">
        <f t="shared" si="66"/>
        <v>43932.800000000003</v>
      </c>
    </row>
    <row r="138" spans="2:21" s="34" customFormat="1" ht="23.4">
      <c r="B138" s="87" t="s">
        <v>269</v>
      </c>
      <c r="C138" s="88" t="s">
        <v>270</v>
      </c>
      <c r="D138" s="89" t="s">
        <v>124</v>
      </c>
      <c r="E138" s="90">
        <v>550.94000000000005</v>
      </c>
      <c r="F138" s="91"/>
      <c r="G138" s="91"/>
      <c r="H138" s="91"/>
      <c r="I138" s="79">
        <f>SUM(G138:H138)+'BM 005'!I138</f>
        <v>0</v>
      </c>
      <c r="J138" s="91">
        <f t="shared" si="39"/>
        <v>550.94000000000005</v>
      </c>
      <c r="K138" s="84">
        <v>70</v>
      </c>
      <c r="L138" s="81">
        <f t="shared" si="37"/>
        <v>88.732007699999997</v>
      </c>
      <c r="M138" s="82">
        <f t="shared" si="62"/>
        <v>0</v>
      </c>
      <c r="N138" s="82">
        <f t="shared" si="63"/>
        <v>0</v>
      </c>
      <c r="O138" s="82">
        <f>N138+'BM 005'!O138</f>
        <v>0</v>
      </c>
      <c r="P138" s="80">
        <f t="shared" si="64"/>
        <v>38565.800000000003</v>
      </c>
      <c r="Q138" s="82">
        <f t="shared" si="65"/>
        <v>48886.01</v>
      </c>
      <c r="R138" s="82">
        <f t="shared" si="66"/>
        <v>48886.01</v>
      </c>
    </row>
    <row r="139" spans="2:21" s="34" customFormat="1" ht="13.2">
      <c r="B139" s="60" t="s">
        <v>271</v>
      </c>
      <c r="C139" s="61" t="s">
        <v>272</v>
      </c>
      <c r="D139" s="60"/>
      <c r="E139" s="62"/>
      <c r="F139" s="63"/>
      <c r="G139" s="63"/>
      <c r="H139" s="63"/>
      <c r="I139" s="63">
        <f>SUM(G139:H139)+'BM 005'!I139</f>
        <v>0</v>
      </c>
      <c r="J139" s="63">
        <f t="shared" si="39"/>
        <v>0</v>
      </c>
      <c r="K139" s="63"/>
      <c r="L139" s="63">
        <f t="shared" si="37"/>
        <v>0</v>
      </c>
      <c r="M139" s="63">
        <f t="shared" ref="M139:R139" si="67">SUM(M140,M148)</f>
        <v>0</v>
      </c>
      <c r="N139" s="63">
        <f t="shared" si="67"/>
        <v>0</v>
      </c>
      <c r="O139" s="63">
        <f t="shared" si="67"/>
        <v>0</v>
      </c>
      <c r="P139" s="63">
        <f t="shared" si="67"/>
        <v>2433803.8377</v>
      </c>
      <c r="Q139" s="63">
        <f t="shared" si="67"/>
        <v>3085089.94</v>
      </c>
      <c r="R139" s="63">
        <f t="shared" si="67"/>
        <v>3085089.94</v>
      </c>
    </row>
    <row r="140" spans="2:21" s="34" customFormat="1" ht="13.2">
      <c r="B140" s="66" t="s">
        <v>273</v>
      </c>
      <c r="C140" s="67" t="s">
        <v>274</v>
      </c>
      <c r="D140" s="68"/>
      <c r="E140" s="69"/>
      <c r="F140" s="70"/>
      <c r="G140" s="70"/>
      <c r="H140" s="70"/>
      <c r="I140" s="70">
        <f>SUM(G140:H140)+'BM 005'!I140</f>
        <v>0</v>
      </c>
      <c r="J140" s="70">
        <f t="shared" si="39"/>
        <v>0</v>
      </c>
      <c r="K140" s="71"/>
      <c r="L140" s="71">
        <f t="shared" si="37"/>
        <v>0</v>
      </c>
      <c r="M140" s="73">
        <f t="shared" ref="M140:R140" si="68">SUM(M141:M147)</f>
        <v>0</v>
      </c>
      <c r="N140" s="73">
        <f t="shared" si="68"/>
        <v>0</v>
      </c>
      <c r="O140" s="73">
        <f t="shared" si="68"/>
        <v>0</v>
      </c>
      <c r="P140" s="73">
        <f t="shared" si="68"/>
        <v>1345103.6276999998</v>
      </c>
      <c r="Q140" s="73">
        <f t="shared" si="68"/>
        <v>1705053.47</v>
      </c>
      <c r="R140" s="73">
        <f t="shared" si="68"/>
        <v>1705053.47</v>
      </c>
    </row>
    <row r="141" spans="2:21" s="34" customFormat="1" ht="46.2">
      <c r="B141" s="87" t="s">
        <v>275</v>
      </c>
      <c r="C141" s="88" t="s">
        <v>276</v>
      </c>
      <c r="D141" s="89" t="s">
        <v>79</v>
      </c>
      <c r="E141" s="90">
        <f>E135*2-E149</f>
        <v>26012.79</v>
      </c>
      <c r="F141" s="91"/>
      <c r="G141" s="91"/>
      <c r="H141" s="91"/>
      <c r="I141" s="79">
        <f>SUM(G141:H141)+'BM 005'!I141</f>
        <v>0</v>
      </c>
      <c r="J141" s="91">
        <f t="shared" si="39"/>
        <v>26012.79</v>
      </c>
      <c r="K141" s="84">
        <v>4.5</v>
      </c>
      <c r="L141" s="81">
        <f t="shared" si="37"/>
        <v>5.7042004950000003</v>
      </c>
      <c r="M141" s="82">
        <f t="shared" ref="M141:M147" si="69">TRUNC(F141*L141,2)</f>
        <v>0</v>
      </c>
      <c r="N141" s="82">
        <f t="shared" ref="N141:N147" si="70">TRUNC(G141*L141,2)</f>
        <v>0</v>
      </c>
      <c r="O141" s="82">
        <f>N141+'BM 005'!O141</f>
        <v>0</v>
      </c>
      <c r="P141" s="80">
        <f t="shared" ref="P141:P147" si="71">E141*K141</f>
        <v>117057.55500000001</v>
      </c>
      <c r="Q141" s="82">
        <f t="shared" ref="Q141:Q147" si="72">TRUNC(E141*L141,2)</f>
        <v>148382.16</v>
      </c>
      <c r="R141" s="82">
        <f t="shared" ref="R141:R147" si="73">Q141-O141</f>
        <v>148382.16</v>
      </c>
    </row>
    <row r="142" spans="2:21" s="34" customFormat="1" ht="69">
      <c r="B142" s="87" t="s">
        <v>277</v>
      </c>
      <c r="C142" s="88" t="s">
        <v>278</v>
      </c>
      <c r="D142" s="89" t="s">
        <v>79</v>
      </c>
      <c r="E142" s="90">
        <f>E145+E146</f>
        <v>462.83</v>
      </c>
      <c r="F142" s="91"/>
      <c r="G142" s="91"/>
      <c r="H142" s="91"/>
      <c r="I142" s="79">
        <f>SUM(G142:H142)+'BM 005'!I142</f>
        <v>0</v>
      </c>
      <c r="J142" s="91">
        <f t="shared" si="39"/>
        <v>462.83</v>
      </c>
      <c r="K142" s="84">
        <v>30</v>
      </c>
      <c r="L142" s="81">
        <f t="shared" si="37"/>
        <v>38.028003300000002</v>
      </c>
      <c r="M142" s="82">
        <f t="shared" si="69"/>
        <v>0</v>
      </c>
      <c r="N142" s="82">
        <f t="shared" si="70"/>
        <v>0</v>
      </c>
      <c r="O142" s="82">
        <f>N142+'BM 005'!O142</f>
        <v>0</v>
      </c>
      <c r="P142" s="80">
        <f t="shared" si="71"/>
        <v>13884.9</v>
      </c>
      <c r="Q142" s="82">
        <f t="shared" si="72"/>
        <v>17600.5</v>
      </c>
      <c r="R142" s="82">
        <f t="shared" si="73"/>
        <v>17600.5</v>
      </c>
    </row>
    <row r="143" spans="2:21" s="34" customFormat="1" ht="69">
      <c r="B143" s="87" t="s">
        <v>279</v>
      </c>
      <c r="C143" s="88" t="s">
        <v>280</v>
      </c>
      <c r="D143" s="89" t="s">
        <v>79</v>
      </c>
      <c r="E143" s="90">
        <f>E141-E142-E147</f>
        <v>25418.329999999998</v>
      </c>
      <c r="F143" s="91"/>
      <c r="G143" s="91"/>
      <c r="H143" s="91"/>
      <c r="I143" s="79">
        <f>SUM(G143:H143)+'BM 005'!I143</f>
        <v>0</v>
      </c>
      <c r="J143" s="91">
        <f t="shared" si="39"/>
        <v>25418.329999999998</v>
      </c>
      <c r="K143" s="84">
        <v>33.65</v>
      </c>
      <c r="L143" s="81">
        <f t="shared" si="37"/>
        <v>42.654743701500003</v>
      </c>
      <c r="M143" s="82">
        <f t="shared" si="69"/>
        <v>0</v>
      </c>
      <c r="N143" s="82">
        <f t="shared" si="70"/>
        <v>0</v>
      </c>
      <c r="O143" s="82">
        <f>N143+'BM 005'!O143</f>
        <v>0</v>
      </c>
      <c r="P143" s="80">
        <f t="shared" si="71"/>
        <v>855326.80449999985</v>
      </c>
      <c r="Q143" s="82">
        <f t="shared" si="72"/>
        <v>1084212.3500000001</v>
      </c>
      <c r="R143" s="82">
        <f t="shared" si="73"/>
        <v>1084212.3500000001</v>
      </c>
    </row>
    <row r="144" spans="2:21" s="34" customFormat="1" ht="23.4">
      <c r="B144" s="87" t="s">
        <v>281</v>
      </c>
      <c r="C144" s="88" t="s">
        <v>282</v>
      </c>
      <c r="D144" s="89" t="s">
        <v>79</v>
      </c>
      <c r="E144" s="90">
        <v>1328.83</v>
      </c>
      <c r="F144" s="91"/>
      <c r="G144" s="91"/>
      <c r="H144" s="91"/>
      <c r="I144" s="79">
        <f>SUM(G144:H144)+'BM 005'!I144</f>
        <v>0</v>
      </c>
      <c r="J144" s="91">
        <f t="shared" si="39"/>
        <v>1328.83</v>
      </c>
      <c r="K144" s="84">
        <v>162.54</v>
      </c>
      <c r="L144" s="81">
        <f t="shared" si="37"/>
        <v>206.0357218794</v>
      </c>
      <c r="M144" s="82">
        <f t="shared" si="69"/>
        <v>0</v>
      </c>
      <c r="N144" s="82">
        <f t="shared" si="70"/>
        <v>0</v>
      </c>
      <c r="O144" s="82">
        <f>N144+'BM 005'!O144</f>
        <v>0</v>
      </c>
      <c r="P144" s="80">
        <f t="shared" si="71"/>
        <v>215988.02819999997</v>
      </c>
      <c r="Q144" s="82">
        <f t="shared" si="72"/>
        <v>273786.44</v>
      </c>
      <c r="R144" s="82">
        <f t="shared" si="73"/>
        <v>273786.44</v>
      </c>
    </row>
    <row r="145" spans="2:18" s="34" customFormat="1" ht="46.2">
      <c r="B145" s="87" t="s">
        <v>283</v>
      </c>
      <c r="C145" s="88" t="s">
        <v>284</v>
      </c>
      <c r="D145" s="89" t="s">
        <v>79</v>
      </c>
      <c r="E145" s="92">
        <v>392.83</v>
      </c>
      <c r="F145" s="91"/>
      <c r="G145" s="91"/>
      <c r="H145" s="91"/>
      <c r="I145" s="79">
        <f>SUM(G145:H145)+'BM 005'!I145</f>
        <v>0</v>
      </c>
      <c r="J145" s="91">
        <f t="shared" si="39"/>
        <v>392.83</v>
      </c>
      <c r="K145" s="84">
        <v>148</v>
      </c>
      <c r="L145" s="81">
        <f t="shared" si="37"/>
        <v>187.60481628000002</v>
      </c>
      <c r="M145" s="82">
        <f t="shared" si="69"/>
        <v>0</v>
      </c>
      <c r="N145" s="82">
        <f t="shared" si="70"/>
        <v>0</v>
      </c>
      <c r="O145" s="82">
        <f>N145+'BM 005'!O145</f>
        <v>0</v>
      </c>
      <c r="P145" s="80">
        <f t="shared" si="71"/>
        <v>58138.84</v>
      </c>
      <c r="Q145" s="82">
        <f t="shared" si="72"/>
        <v>73696.789999999994</v>
      </c>
      <c r="R145" s="82">
        <f t="shared" si="73"/>
        <v>73696.789999999994</v>
      </c>
    </row>
    <row r="146" spans="2:18" s="34" customFormat="1" ht="13.2">
      <c r="B146" s="87" t="s">
        <v>285</v>
      </c>
      <c r="C146" s="88" t="s">
        <v>286</v>
      </c>
      <c r="D146" s="89" t="s">
        <v>79</v>
      </c>
      <c r="E146" s="92">
        <v>70</v>
      </c>
      <c r="F146" s="91"/>
      <c r="G146" s="91"/>
      <c r="H146" s="91"/>
      <c r="I146" s="79">
        <f>SUM(G146:H146)+'BM 005'!I146</f>
        <v>0</v>
      </c>
      <c r="J146" s="91">
        <f t="shared" si="39"/>
        <v>70</v>
      </c>
      <c r="K146" s="84">
        <v>740</v>
      </c>
      <c r="L146" s="81">
        <f t="shared" si="37"/>
        <v>938.0240814</v>
      </c>
      <c r="M146" s="82">
        <f t="shared" si="69"/>
        <v>0</v>
      </c>
      <c r="N146" s="82">
        <f t="shared" si="70"/>
        <v>0</v>
      </c>
      <c r="O146" s="82">
        <f>N146+'BM 005'!O146</f>
        <v>0</v>
      </c>
      <c r="P146" s="80">
        <f t="shared" si="71"/>
        <v>51800</v>
      </c>
      <c r="Q146" s="82">
        <f t="shared" si="72"/>
        <v>65661.679999999993</v>
      </c>
      <c r="R146" s="82">
        <f t="shared" si="73"/>
        <v>65661.679999999993</v>
      </c>
    </row>
    <row r="147" spans="2:18" s="34" customFormat="1" ht="13.2">
      <c r="B147" s="87" t="s">
        <v>287</v>
      </c>
      <c r="C147" s="88" t="s">
        <v>288</v>
      </c>
      <c r="D147" s="89" t="s">
        <v>79</v>
      </c>
      <c r="E147" s="90">
        <v>131.63</v>
      </c>
      <c r="F147" s="91"/>
      <c r="G147" s="91"/>
      <c r="H147" s="91"/>
      <c r="I147" s="79">
        <f>SUM(G147:H147)+'BM 005'!I147</f>
        <v>0</v>
      </c>
      <c r="J147" s="91">
        <f t="shared" si="39"/>
        <v>131.63</v>
      </c>
      <c r="K147" s="80">
        <v>250</v>
      </c>
      <c r="L147" s="81">
        <f t="shared" si="37"/>
        <v>316.90002750000002</v>
      </c>
      <c r="M147" s="82">
        <f t="shared" si="69"/>
        <v>0</v>
      </c>
      <c r="N147" s="82">
        <f t="shared" si="70"/>
        <v>0</v>
      </c>
      <c r="O147" s="82">
        <f>N147+'BM 005'!O147</f>
        <v>0</v>
      </c>
      <c r="P147" s="80">
        <f t="shared" si="71"/>
        <v>32907.5</v>
      </c>
      <c r="Q147" s="82">
        <f t="shared" si="72"/>
        <v>41713.550000000003</v>
      </c>
      <c r="R147" s="82">
        <f t="shared" si="73"/>
        <v>41713.550000000003</v>
      </c>
    </row>
    <row r="148" spans="2:18" s="34" customFormat="1" ht="13.2">
      <c r="B148" s="66" t="s">
        <v>289</v>
      </c>
      <c r="C148" s="67" t="s">
        <v>290</v>
      </c>
      <c r="D148" s="68"/>
      <c r="E148" s="69"/>
      <c r="F148" s="70"/>
      <c r="G148" s="70"/>
      <c r="H148" s="70"/>
      <c r="I148" s="70">
        <f>SUM(G148:H148)+'BM 005'!I148</f>
        <v>0</v>
      </c>
      <c r="J148" s="70">
        <f t="shared" si="39"/>
        <v>0</v>
      </c>
      <c r="K148" s="71"/>
      <c r="L148" s="71">
        <f t="shared" si="37"/>
        <v>0</v>
      </c>
      <c r="M148" s="73">
        <f t="shared" ref="M148:R148" si="74">SUM(M149:M154)</f>
        <v>0</v>
      </c>
      <c r="N148" s="73">
        <f t="shared" si="74"/>
        <v>0</v>
      </c>
      <c r="O148" s="73">
        <f t="shared" si="74"/>
        <v>0</v>
      </c>
      <c r="P148" s="73">
        <f t="shared" si="74"/>
        <v>1088700.21</v>
      </c>
      <c r="Q148" s="73">
        <f t="shared" si="74"/>
        <v>1380036.47</v>
      </c>
      <c r="R148" s="73">
        <f t="shared" si="74"/>
        <v>1380036.47</v>
      </c>
    </row>
    <row r="149" spans="2:18" s="34" customFormat="1" ht="57.6">
      <c r="B149" s="87" t="s">
        <v>291</v>
      </c>
      <c r="C149" s="88" t="s">
        <v>292</v>
      </c>
      <c r="D149" s="89" t="s">
        <v>79</v>
      </c>
      <c r="E149" s="90">
        <f>E151+E152+E153+E154</f>
        <v>4191.6100000000006</v>
      </c>
      <c r="F149" s="91"/>
      <c r="G149" s="91"/>
      <c r="H149" s="91"/>
      <c r="I149" s="79">
        <f>SUM(G149:H149)+'BM 005'!I149</f>
        <v>0</v>
      </c>
      <c r="J149" s="91">
        <f t="shared" si="39"/>
        <v>4191.6100000000006</v>
      </c>
      <c r="K149" s="84">
        <v>12</v>
      </c>
      <c r="L149" s="81">
        <f t="shared" si="37"/>
        <v>15.211201320000001</v>
      </c>
      <c r="M149" s="82">
        <f t="shared" ref="M149:M154" si="75">TRUNC(F149*L149,2)</f>
        <v>0</v>
      </c>
      <c r="N149" s="82">
        <f t="shared" ref="N149:N154" si="76">TRUNC(G149*L149,2)</f>
        <v>0</v>
      </c>
      <c r="O149" s="82">
        <f>N149+'BM 005'!O149</f>
        <v>0</v>
      </c>
      <c r="P149" s="80">
        <f t="shared" ref="P149:P154" si="77">E149*K149</f>
        <v>50299.320000000007</v>
      </c>
      <c r="Q149" s="82">
        <f t="shared" ref="Q149:Q154" si="78">TRUNC(E149*L149,2)</f>
        <v>63759.42</v>
      </c>
      <c r="R149" s="82">
        <f t="shared" ref="R149:R154" si="79">Q149-O149</f>
        <v>63759.42</v>
      </c>
    </row>
    <row r="150" spans="2:18" s="34" customFormat="1" ht="69">
      <c r="B150" s="87" t="s">
        <v>293</v>
      </c>
      <c r="C150" s="88" t="s">
        <v>294</v>
      </c>
      <c r="D150" s="89" t="s">
        <v>79</v>
      </c>
      <c r="E150" s="90">
        <f>E149</f>
        <v>4191.6100000000006</v>
      </c>
      <c r="F150" s="91"/>
      <c r="G150" s="91"/>
      <c r="H150" s="91"/>
      <c r="I150" s="79">
        <f>SUM(G150:H150)+'BM 005'!I150</f>
        <v>0</v>
      </c>
      <c r="J150" s="91">
        <f t="shared" si="39"/>
        <v>4191.6100000000006</v>
      </c>
      <c r="K150" s="84">
        <v>62</v>
      </c>
      <c r="L150" s="81">
        <f t="shared" si="37"/>
        <v>78.591206819999996</v>
      </c>
      <c r="M150" s="82">
        <f t="shared" si="75"/>
        <v>0</v>
      </c>
      <c r="N150" s="82">
        <f t="shared" si="76"/>
        <v>0</v>
      </c>
      <c r="O150" s="82">
        <f>N150+'BM 005'!O150</f>
        <v>0</v>
      </c>
      <c r="P150" s="80">
        <f t="shared" si="77"/>
        <v>259879.82000000004</v>
      </c>
      <c r="Q150" s="82">
        <f t="shared" si="78"/>
        <v>329423.68</v>
      </c>
      <c r="R150" s="82">
        <f t="shared" si="79"/>
        <v>329423.68</v>
      </c>
    </row>
    <row r="151" spans="2:18" s="34" customFormat="1" ht="23.4">
      <c r="B151" s="87" t="s">
        <v>295</v>
      </c>
      <c r="C151" s="88" t="s">
        <v>296</v>
      </c>
      <c r="D151" s="89" t="s">
        <v>79</v>
      </c>
      <c r="E151" s="90">
        <v>120.2</v>
      </c>
      <c r="F151" s="91"/>
      <c r="G151" s="91"/>
      <c r="H151" s="91"/>
      <c r="I151" s="79">
        <f>SUM(G151:H151)+'BM 005'!I151</f>
        <v>0</v>
      </c>
      <c r="J151" s="91">
        <f t="shared" si="39"/>
        <v>120.2</v>
      </c>
      <c r="K151" s="84">
        <v>178</v>
      </c>
      <c r="L151" s="81">
        <f t="shared" si="37"/>
        <v>225.63281958000002</v>
      </c>
      <c r="M151" s="82">
        <f t="shared" si="75"/>
        <v>0</v>
      </c>
      <c r="N151" s="82">
        <f t="shared" si="76"/>
        <v>0</v>
      </c>
      <c r="O151" s="82">
        <f>N151+'BM 005'!O151</f>
        <v>0</v>
      </c>
      <c r="P151" s="80">
        <f t="shared" si="77"/>
        <v>21395.600000000002</v>
      </c>
      <c r="Q151" s="82">
        <f t="shared" si="78"/>
        <v>27121.06</v>
      </c>
      <c r="R151" s="82">
        <f t="shared" si="79"/>
        <v>27121.06</v>
      </c>
    </row>
    <row r="152" spans="2:18" s="34" customFormat="1" ht="23.4">
      <c r="B152" s="87" t="s">
        <v>297</v>
      </c>
      <c r="C152" s="88" t="s">
        <v>298</v>
      </c>
      <c r="D152" s="89" t="s">
        <v>79</v>
      </c>
      <c r="E152" s="90">
        <v>52.6</v>
      </c>
      <c r="F152" s="91"/>
      <c r="G152" s="91"/>
      <c r="H152" s="91"/>
      <c r="I152" s="79">
        <f>SUM(G152:H152)+'BM 005'!I152</f>
        <v>0</v>
      </c>
      <c r="J152" s="91">
        <f t="shared" si="39"/>
        <v>52.6</v>
      </c>
      <c r="K152" s="84">
        <v>182</v>
      </c>
      <c r="L152" s="81">
        <f t="shared" si="37"/>
        <v>230.70322002</v>
      </c>
      <c r="M152" s="82">
        <f t="shared" si="75"/>
        <v>0</v>
      </c>
      <c r="N152" s="82">
        <f t="shared" si="76"/>
        <v>0</v>
      </c>
      <c r="O152" s="82">
        <f>N152+'BM 005'!O152</f>
        <v>0</v>
      </c>
      <c r="P152" s="80">
        <f t="shared" si="77"/>
        <v>9573.2000000000007</v>
      </c>
      <c r="Q152" s="82">
        <f t="shared" si="78"/>
        <v>12134.98</v>
      </c>
      <c r="R152" s="82">
        <f t="shared" si="79"/>
        <v>12134.98</v>
      </c>
    </row>
    <row r="153" spans="2:18" s="34" customFormat="1" ht="23.4">
      <c r="B153" s="87" t="s">
        <v>299</v>
      </c>
      <c r="C153" s="88" t="s">
        <v>300</v>
      </c>
      <c r="D153" s="89" t="s">
        <v>79</v>
      </c>
      <c r="E153" s="90">
        <v>2811.38</v>
      </c>
      <c r="F153" s="91"/>
      <c r="G153" s="91"/>
      <c r="H153" s="91"/>
      <c r="I153" s="79">
        <f>SUM(G153:H153)+'BM 005'!I153</f>
        <v>0</v>
      </c>
      <c r="J153" s="91">
        <f t="shared" si="39"/>
        <v>2811.38</v>
      </c>
      <c r="K153" s="84">
        <v>177</v>
      </c>
      <c r="L153" s="81">
        <f t="shared" si="37"/>
        <v>224.36521947</v>
      </c>
      <c r="M153" s="82">
        <f t="shared" si="75"/>
        <v>0</v>
      </c>
      <c r="N153" s="82">
        <f t="shared" si="76"/>
        <v>0</v>
      </c>
      <c r="O153" s="82">
        <f>N153+'BM 005'!O153</f>
        <v>0</v>
      </c>
      <c r="P153" s="80">
        <f t="shared" si="77"/>
        <v>497614.26</v>
      </c>
      <c r="Q153" s="82">
        <f t="shared" si="78"/>
        <v>630775.89</v>
      </c>
      <c r="R153" s="82">
        <f t="shared" si="79"/>
        <v>630775.89</v>
      </c>
    </row>
    <row r="154" spans="2:18" s="34" customFormat="1" ht="23.4">
      <c r="B154" s="87" t="s">
        <v>301</v>
      </c>
      <c r="C154" s="88" t="s">
        <v>302</v>
      </c>
      <c r="D154" s="89" t="s">
        <v>79</v>
      </c>
      <c r="E154" s="90">
        <v>1207.43</v>
      </c>
      <c r="F154" s="91"/>
      <c r="G154" s="91"/>
      <c r="H154" s="91"/>
      <c r="I154" s="79">
        <f>SUM(G154:H154)+'BM 005'!I154</f>
        <v>0</v>
      </c>
      <c r="J154" s="91">
        <f t="shared" si="39"/>
        <v>1207.43</v>
      </c>
      <c r="K154" s="84">
        <v>207</v>
      </c>
      <c r="L154" s="81">
        <f t="shared" si="37"/>
        <v>262.39322277000002</v>
      </c>
      <c r="M154" s="82">
        <f t="shared" si="75"/>
        <v>0</v>
      </c>
      <c r="N154" s="82">
        <f t="shared" si="76"/>
        <v>0</v>
      </c>
      <c r="O154" s="82">
        <f>N154+'BM 005'!O154</f>
        <v>0</v>
      </c>
      <c r="P154" s="80">
        <f t="shared" si="77"/>
        <v>249938.01</v>
      </c>
      <c r="Q154" s="82">
        <f t="shared" si="78"/>
        <v>316821.44</v>
      </c>
      <c r="R154" s="82">
        <f t="shared" si="79"/>
        <v>316821.44</v>
      </c>
    </row>
    <row r="155" spans="2:18" s="34" customFormat="1" ht="13.2">
      <c r="B155" s="60" t="s">
        <v>303</v>
      </c>
      <c r="C155" s="61" t="s">
        <v>304</v>
      </c>
      <c r="D155" s="60"/>
      <c r="E155" s="62"/>
      <c r="F155" s="63"/>
      <c r="G155" s="63"/>
      <c r="H155" s="63"/>
      <c r="I155" s="63">
        <f>SUM(G155:H155)+'BM 005'!I155</f>
        <v>0</v>
      </c>
      <c r="J155" s="63">
        <f t="shared" si="39"/>
        <v>0</v>
      </c>
      <c r="K155" s="63"/>
      <c r="L155" s="63">
        <f t="shared" si="37"/>
        <v>0</v>
      </c>
      <c r="M155" s="63">
        <f t="shared" ref="M155:R155" si="80">SUM(M156,M165)</f>
        <v>0</v>
      </c>
      <c r="N155" s="63">
        <f t="shared" si="80"/>
        <v>0</v>
      </c>
      <c r="O155" s="63">
        <f t="shared" si="80"/>
        <v>0</v>
      </c>
      <c r="P155" s="63">
        <f t="shared" si="80"/>
        <v>800757.83000000007</v>
      </c>
      <c r="Q155" s="63">
        <f t="shared" si="80"/>
        <v>1015040.66</v>
      </c>
      <c r="R155" s="63">
        <f t="shared" si="80"/>
        <v>1015040.66</v>
      </c>
    </row>
    <row r="156" spans="2:18" s="34" customFormat="1" ht="13.2">
      <c r="B156" s="66" t="s">
        <v>305</v>
      </c>
      <c r="C156" s="67" t="s">
        <v>306</v>
      </c>
      <c r="D156" s="68"/>
      <c r="E156" s="69"/>
      <c r="F156" s="70"/>
      <c r="G156" s="70"/>
      <c r="H156" s="70"/>
      <c r="I156" s="70">
        <f>SUM(G156:H156)+'BM 005'!I156</f>
        <v>0</v>
      </c>
      <c r="J156" s="70">
        <f t="shared" si="39"/>
        <v>0</v>
      </c>
      <c r="K156" s="71"/>
      <c r="L156" s="71">
        <f t="shared" si="37"/>
        <v>0</v>
      </c>
      <c r="M156" s="73">
        <f t="shared" ref="M156:R156" si="81">SUM(M157:M164)</f>
        <v>0</v>
      </c>
      <c r="N156" s="73">
        <f t="shared" si="81"/>
        <v>0</v>
      </c>
      <c r="O156" s="73">
        <f t="shared" si="81"/>
        <v>0</v>
      </c>
      <c r="P156" s="73">
        <f t="shared" si="81"/>
        <v>737633.33000000007</v>
      </c>
      <c r="Q156" s="73">
        <f t="shared" si="81"/>
        <v>935024.05</v>
      </c>
      <c r="R156" s="73">
        <f t="shared" si="81"/>
        <v>935024.05</v>
      </c>
    </row>
    <row r="157" spans="2:18" s="34" customFormat="1" ht="57.6">
      <c r="B157" s="87" t="s">
        <v>307</v>
      </c>
      <c r="C157" s="88" t="s">
        <v>308</v>
      </c>
      <c r="D157" s="89" t="s">
        <v>79</v>
      </c>
      <c r="E157" s="103">
        <v>7166.75</v>
      </c>
      <c r="F157" s="84"/>
      <c r="G157" s="84"/>
      <c r="H157" s="84"/>
      <c r="I157" s="79">
        <f>SUM(G157:H157)+'BM 005'!I157</f>
        <v>0</v>
      </c>
      <c r="J157" s="84">
        <f t="shared" si="39"/>
        <v>7166.75</v>
      </c>
      <c r="K157" s="84">
        <v>42.2</v>
      </c>
      <c r="L157" s="81">
        <f t="shared" ref="L157:L220" si="82">K157*(1+$T$26)</f>
        <v>53.492724642000006</v>
      </c>
      <c r="M157" s="82">
        <f t="shared" ref="M157:M164" si="83">TRUNC(F157*L157,2)</f>
        <v>0</v>
      </c>
      <c r="N157" s="82">
        <f t="shared" ref="N157:N164" si="84">TRUNC(G157*L157,2)</f>
        <v>0</v>
      </c>
      <c r="O157" s="82">
        <f>N157+'BM 005'!O157</f>
        <v>0</v>
      </c>
      <c r="P157" s="80">
        <f t="shared" ref="P157:P164" si="85">E157*K157</f>
        <v>302436.85000000003</v>
      </c>
      <c r="Q157" s="82">
        <f t="shared" ref="Q157:Q164" si="86">TRUNC(E157*L157,2)</f>
        <v>383368.98</v>
      </c>
      <c r="R157" s="82">
        <f t="shared" ref="R157:R164" si="87">Q157-O157</f>
        <v>383368.98</v>
      </c>
    </row>
    <row r="158" spans="2:18" s="34" customFormat="1" ht="46.2">
      <c r="B158" s="87" t="s">
        <v>309</v>
      </c>
      <c r="C158" s="88" t="s">
        <v>310</v>
      </c>
      <c r="D158" s="89" t="s">
        <v>79</v>
      </c>
      <c r="E158" s="104">
        <v>520.1</v>
      </c>
      <c r="F158" s="80"/>
      <c r="G158" s="80"/>
      <c r="H158" s="80"/>
      <c r="I158" s="79">
        <f>SUM(G158:H158)+'BM 005'!I158</f>
        <v>0</v>
      </c>
      <c r="J158" s="80">
        <f t="shared" si="39"/>
        <v>520.1</v>
      </c>
      <c r="K158" s="105">
        <v>35.200000000000003</v>
      </c>
      <c r="L158" s="81">
        <f t="shared" si="82"/>
        <v>44.619523872000009</v>
      </c>
      <c r="M158" s="82">
        <f t="shared" si="83"/>
        <v>0</v>
      </c>
      <c r="N158" s="82">
        <f t="shared" si="84"/>
        <v>0</v>
      </c>
      <c r="O158" s="82">
        <f>N158+'BM 005'!O158</f>
        <v>0</v>
      </c>
      <c r="P158" s="80">
        <f t="shared" si="85"/>
        <v>18307.520000000004</v>
      </c>
      <c r="Q158" s="82">
        <f t="shared" si="86"/>
        <v>23206.61</v>
      </c>
      <c r="R158" s="82">
        <f t="shared" si="87"/>
        <v>23206.61</v>
      </c>
    </row>
    <row r="159" spans="2:18" s="34" customFormat="1" ht="34.799999999999997">
      <c r="B159" s="87" t="s">
        <v>311</v>
      </c>
      <c r="C159" s="88" t="s">
        <v>312</v>
      </c>
      <c r="D159" s="89" t="s">
        <v>79</v>
      </c>
      <c r="E159" s="103">
        <v>1225.0999999999999</v>
      </c>
      <c r="F159" s="84"/>
      <c r="G159" s="84"/>
      <c r="H159" s="84"/>
      <c r="I159" s="79">
        <f>SUM(G159:H159)+'BM 005'!I159</f>
        <v>0</v>
      </c>
      <c r="J159" s="84">
        <f t="shared" ref="J159:J222" si="88">E159-I159</f>
        <v>1225.0999999999999</v>
      </c>
      <c r="K159" s="105">
        <v>60</v>
      </c>
      <c r="L159" s="81">
        <f t="shared" si="82"/>
        <v>76.056006600000003</v>
      </c>
      <c r="M159" s="82">
        <f t="shared" si="83"/>
        <v>0</v>
      </c>
      <c r="N159" s="82">
        <f t="shared" si="84"/>
        <v>0</v>
      </c>
      <c r="O159" s="82">
        <f>N159+'BM 005'!O159</f>
        <v>0</v>
      </c>
      <c r="P159" s="80">
        <f t="shared" si="85"/>
        <v>73506</v>
      </c>
      <c r="Q159" s="82">
        <f t="shared" si="86"/>
        <v>93176.21</v>
      </c>
      <c r="R159" s="82">
        <f t="shared" si="87"/>
        <v>93176.21</v>
      </c>
    </row>
    <row r="160" spans="2:18" s="34" customFormat="1" ht="46.2">
      <c r="B160" s="87" t="s">
        <v>313</v>
      </c>
      <c r="C160" s="88" t="s">
        <v>284</v>
      </c>
      <c r="D160" s="89" t="s">
        <v>79</v>
      </c>
      <c r="E160" s="106">
        <v>937</v>
      </c>
      <c r="F160" s="84"/>
      <c r="G160" s="84"/>
      <c r="H160" s="84"/>
      <c r="I160" s="79">
        <f>SUM(G160:H160)+'BM 005'!I160</f>
        <v>0</v>
      </c>
      <c r="J160" s="84">
        <f t="shared" si="88"/>
        <v>937</v>
      </c>
      <c r="K160" s="105">
        <v>158</v>
      </c>
      <c r="L160" s="81">
        <f t="shared" si="82"/>
        <v>200.28081738</v>
      </c>
      <c r="M160" s="82">
        <f t="shared" si="83"/>
        <v>0</v>
      </c>
      <c r="N160" s="82">
        <f t="shared" si="84"/>
        <v>0</v>
      </c>
      <c r="O160" s="82">
        <f>N160+'BM 005'!O160</f>
        <v>0</v>
      </c>
      <c r="P160" s="80">
        <f t="shared" si="85"/>
        <v>148046</v>
      </c>
      <c r="Q160" s="82">
        <f t="shared" si="86"/>
        <v>187663.12</v>
      </c>
      <c r="R160" s="82">
        <f t="shared" si="87"/>
        <v>187663.12</v>
      </c>
    </row>
    <row r="161" spans="2:18" s="34" customFormat="1" ht="46.2">
      <c r="B161" s="87" t="s">
        <v>314</v>
      </c>
      <c r="C161" s="88" t="s">
        <v>315</v>
      </c>
      <c r="D161" s="89" t="s">
        <v>79</v>
      </c>
      <c r="E161" s="106">
        <v>720.69</v>
      </c>
      <c r="F161" s="84"/>
      <c r="G161" s="84"/>
      <c r="H161" s="84"/>
      <c r="I161" s="79">
        <f>SUM(G161:H161)+'BM 005'!I161</f>
        <v>0</v>
      </c>
      <c r="J161" s="84">
        <f t="shared" si="88"/>
        <v>720.69</v>
      </c>
      <c r="K161" s="84">
        <v>185</v>
      </c>
      <c r="L161" s="81">
        <f t="shared" si="82"/>
        <v>234.50602035</v>
      </c>
      <c r="M161" s="82">
        <f t="shared" si="83"/>
        <v>0</v>
      </c>
      <c r="N161" s="82">
        <f t="shared" si="84"/>
        <v>0</v>
      </c>
      <c r="O161" s="82">
        <f>N161+'BM 005'!O161</f>
        <v>0</v>
      </c>
      <c r="P161" s="80">
        <f t="shared" si="85"/>
        <v>133327.65000000002</v>
      </c>
      <c r="Q161" s="82">
        <f t="shared" si="86"/>
        <v>169006.14</v>
      </c>
      <c r="R161" s="82">
        <f t="shared" si="87"/>
        <v>169006.14</v>
      </c>
    </row>
    <row r="162" spans="2:18" s="34" customFormat="1" ht="23.4">
      <c r="B162" s="87" t="s">
        <v>316</v>
      </c>
      <c r="C162" s="88" t="s">
        <v>317</v>
      </c>
      <c r="D162" s="89" t="s">
        <v>79</v>
      </c>
      <c r="E162" s="103">
        <v>50.69</v>
      </c>
      <c r="F162" s="84"/>
      <c r="G162" s="84"/>
      <c r="H162" s="84"/>
      <c r="I162" s="79">
        <f>SUM(G162:H162)+'BM 005'!I162</f>
        <v>0</v>
      </c>
      <c r="J162" s="84">
        <f t="shared" si="88"/>
        <v>50.69</v>
      </c>
      <c r="K162" s="84">
        <v>765</v>
      </c>
      <c r="L162" s="81">
        <f t="shared" si="82"/>
        <v>969.71408415000008</v>
      </c>
      <c r="M162" s="82">
        <f t="shared" si="83"/>
        <v>0</v>
      </c>
      <c r="N162" s="82">
        <f t="shared" si="84"/>
        <v>0</v>
      </c>
      <c r="O162" s="82">
        <f>N162+'BM 005'!O162</f>
        <v>0</v>
      </c>
      <c r="P162" s="80">
        <f t="shared" si="85"/>
        <v>38777.85</v>
      </c>
      <c r="Q162" s="82">
        <f t="shared" si="86"/>
        <v>49154.8</v>
      </c>
      <c r="R162" s="82">
        <f t="shared" si="87"/>
        <v>49154.8</v>
      </c>
    </row>
    <row r="163" spans="2:18" s="34" customFormat="1" ht="23.4">
      <c r="B163" s="87" t="s">
        <v>318</v>
      </c>
      <c r="C163" s="88" t="s">
        <v>319</v>
      </c>
      <c r="D163" s="89" t="s">
        <v>124</v>
      </c>
      <c r="E163" s="106">
        <v>36</v>
      </c>
      <c r="F163" s="84"/>
      <c r="G163" s="84"/>
      <c r="H163" s="84"/>
      <c r="I163" s="79">
        <f>SUM(G163:H163)+'BM 005'!I163</f>
        <v>0</v>
      </c>
      <c r="J163" s="84">
        <f t="shared" si="88"/>
        <v>36</v>
      </c>
      <c r="K163" s="84">
        <v>134</v>
      </c>
      <c r="L163" s="81">
        <f t="shared" si="82"/>
        <v>169.85841474</v>
      </c>
      <c r="M163" s="82">
        <f t="shared" si="83"/>
        <v>0</v>
      </c>
      <c r="N163" s="82">
        <f t="shared" si="84"/>
        <v>0</v>
      </c>
      <c r="O163" s="82">
        <f>N163+'BM 005'!O163</f>
        <v>0</v>
      </c>
      <c r="P163" s="80">
        <f t="shared" si="85"/>
        <v>4824</v>
      </c>
      <c r="Q163" s="82">
        <f t="shared" si="86"/>
        <v>6114.9</v>
      </c>
      <c r="R163" s="82">
        <f t="shared" si="87"/>
        <v>6114.9</v>
      </c>
    </row>
    <row r="164" spans="2:18" s="34" customFormat="1" ht="13.2">
      <c r="B164" s="87" t="s">
        <v>320</v>
      </c>
      <c r="C164" s="88" t="s">
        <v>321</v>
      </c>
      <c r="D164" s="89" t="s">
        <v>124</v>
      </c>
      <c r="E164" s="106">
        <v>123.54</v>
      </c>
      <c r="F164" s="84"/>
      <c r="G164" s="84"/>
      <c r="H164" s="84"/>
      <c r="I164" s="79">
        <f>SUM(G164:H164)+'BM 005'!I164</f>
        <v>0</v>
      </c>
      <c r="J164" s="84">
        <f t="shared" si="88"/>
        <v>123.54</v>
      </c>
      <c r="K164" s="84">
        <v>149</v>
      </c>
      <c r="L164" s="81">
        <f t="shared" si="82"/>
        <v>188.87241639000001</v>
      </c>
      <c r="M164" s="82">
        <f t="shared" si="83"/>
        <v>0</v>
      </c>
      <c r="N164" s="82">
        <f t="shared" si="84"/>
        <v>0</v>
      </c>
      <c r="O164" s="82">
        <f>N164+'BM 005'!O164</f>
        <v>0</v>
      </c>
      <c r="P164" s="80">
        <f t="shared" si="85"/>
        <v>18407.46</v>
      </c>
      <c r="Q164" s="82">
        <f t="shared" si="86"/>
        <v>23333.29</v>
      </c>
      <c r="R164" s="82">
        <f t="shared" si="87"/>
        <v>23333.29</v>
      </c>
    </row>
    <row r="165" spans="2:18" s="34" customFormat="1" ht="13.2">
      <c r="B165" s="66" t="s">
        <v>322</v>
      </c>
      <c r="C165" s="67" t="s">
        <v>323</v>
      </c>
      <c r="D165" s="68"/>
      <c r="E165" s="69"/>
      <c r="F165" s="70"/>
      <c r="G165" s="70"/>
      <c r="H165" s="70"/>
      <c r="I165" s="70">
        <f>SUM(G165:H165)+'BM 005'!I165</f>
        <v>0</v>
      </c>
      <c r="J165" s="70">
        <f t="shared" si="88"/>
        <v>0</v>
      </c>
      <c r="K165" s="71"/>
      <c r="L165" s="71">
        <f t="shared" si="82"/>
        <v>0</v>
      </c>
      <c r="M165" s="73">
        <f t="shared" ref="M165:R165" si="89">SUM(M166:M169)</f>
        <v>0</v>
      </c>
      <c r="N165" s="73">
        <f t="shared" si="89"/>
        <v>0</v>
      </c>
      <c r="O165" s="73">
        <f t="shared" si="89"/>
        <v>0</v>
      </c>
      <c r="P165" s="73">
        <f t="shared" si="89"/>
        <v>63124.5</v>
      </c>
      <c r="Q165" s="73">
        <f t="shared" si="89"/>
        <v>80016.61</v>
      </c>
      <c r="R165" s="73">
        <f t="shared" si="89"/>
        <v>80016.61</v>
      </c>
    </row>
    <row r="166" spans="2:18" s="34" customFormat="1" ht="34.799999999999997">
      <c r="B166" s="87" t="s">
        <v>324</v>
      </c>
      <c r="C166" s="88" t="s">
        <v>325</v>
      </c>
      <c r="D166" s="89" t="s">
        <v>79</v>
      </c>
      <c r="E166" s="90">
        <v>290.89999999999998</v>
      </c>
      <c r="F166" s="91"/>
      <c r="G166" s="91"/>
      <c r="H166" s="91"/>
      <c r="I166" s="79">
        <f>SUM(G166:H166)+'BM 005'!I166</f>
        <v>0</v>
      </c>
      <c r="J166" s="91">
        <f t="shared" si="88"/>
        <v>290.89999999999998</v>
      </c>
      <c r="K166" s="84">
        <v>105</v>
      </c>
      <c r="L166" s="81">
        <f t="shared" si="82"/>
        <v>133.09801155</v>
      </c>
      <c r="M166" s="82">
        <f>TRUNC(F166*L166,2)</f>
        <v>0</v>
      </c>
      <c r="N166" s="82">
        <f>TRUNC(G166*L166,2)</f>
        <v>0</v>
      </c>
      <c r="O166" s="82">
        <f>N166+'BM 005'!O166</f>
        <v>0</v>
      </c>
      <c r="P166" s="80">
        <f>E166*K166</f>
        <v>30544.499999999996</v>
      </c>
      <c r="Q166" s="82">
        <f>TRUNC(E166*L166,2)</f>
        <v>38718.21</v>
      </c>
      <c r="R166" s="82">
        <f>Q166-O166</f>
        <v>38718.21</v>
      </c>
    </row>
    <row r="167" spans="2:18" s="34" customFormat="1" ht="34.799999999999997">
      <c r="B167" s="87" t="s">
        <v>326</v>
      </c>
      <c r="C167" s="88" t="s">
        <v>327</v>
      </c>
      <c r="D167" s="89" t="s">
        <v>79</v>
      </c>
      <c r="E167" s="90">
        <v>230</v>
      </c>
      <c r="F167" s="91"/>
      <c r="G167" s="91"/>
      <c r="H167" s="91"/>
      <c r="I167" s="79">
        <f>SUM(G167:H167)+'BM 005'!I167</f>
        <v>0</v>
      </c>
      <c r="J167" s="91">
        <f t="shared" si="88"/>
        <v>230</v>
      </c>
      <c r="K167" s="84">
        <v>90</v>
      </c>
      <c r="L167" s="81">
        <f t="shared" si="82"/>
        <v>114.08400990000001</v>
      </c>
      <c r="M167" s="82">
        <f>TRUNC(F167*L167,2)</f>
        <v>0</v>
      </c>
      <c r="N167" s="82">
        <f>TRUNC(G167*L167,2)</f>
        <v>0</v>
      </c>
      <c r="O167" s="82">
        <f>N167+'BM 005'!O167</f>
        <v>0</v>
      </c>
      <c r="P167" s="80">
        <f>E167*K167</f>
        <v>20700</v>
      </c>
      <c r="Q167" s="82">
        <f>TRUNC(E167*L167,2)</f>
        <v>26239.32</v>
      </c>
      <c r="R167" s="82">
        <f>Q167-O167</f>
        <v>26239.32</v>
      </c>
    </row>
    <row r="168" spans="2:18" s="34" customFormat="1" ht="23.4">
      <c r="B168" s="87" t="s">
        <v>328</v>
      </c>
      <c r="C168" s="88" t="s">
        <v>329</v>
      </c>
      <c r="D168" s="89" t="s">
        <v>82</v>
      </c>
      <c r="E168" s="90">
        <v>72</v>
      </c>
      <c r="F168" s="91"/>
      <c r="G168" s="91"/>
      <c r="H168" s="91"/>
      <c r="I168" s="79">
        <f>SUM(G168:H168)+'BM 005'!I168</f>
        <v>0</v>
      </c>
      <c r="J168" s="91">
        <f t="shared" si="88"/>
        <v>72</v>
      </c>
      <c r="K168" s="84">
        <v>120</v>
      </c>
      <c r="L168" s="81">
        <f t="shared" si="82"/>
        <v>152.11201320000001</v>
      </c>
      <c r="M168" s="82">
        <f>TRUNC(F168*L168,2)</f>
        <v>0</v>
      </c>
      <c r="N168" s="82">
        <f>TRUNC(G168*L168,2)</f>
        <v>0</v>
      </c>
      <c r="O168" s="82">
        <f>N168+'BM 005'!O168</f>
        <v>0</v>
      </c>
      <c r="P168" s="80">
        <f>E168*K168</f>
        <v>8640</v>
      </c>
      <c r="Q168" s="82">
        <f>TRUNC(E168*L168,2)</f>
        <v>10952.06</v>
      </c>
      <c r="R168" s="82">
        <f>Q168-O168</f>
        <v>10952.06</v>
      </c>
    </row>
    <row r="169" spans="2:18" s="34" customFormat="1" ht="34.799999999999997">
      <c r="B169" s="87" t="s">
        <v>330</v>
      </c>
      <c r="C169" s="88" t="s">
        <v>331</v>
      </c>
      <c r="D169" s="89" t="s">
        <v>82</v>
      </c>
      <c r="E169" s="90">
        <v>72</v>
      </c>
      <c r="F169" s="91"/>
      <c r="G169" s="91"/>
      <c r="H169" s="91"/>
      <c r="I169" s="79">
        <f>SUM(G169:H169)+'BM 005'!I169</f>
        <v>0</v>
      </c>
      <c r="J169" s="91">
        <f t="shared" si="88"/>
        <v>72</v>
      </c>
      <c r="K169" s="84">
        <v>45</v>
      </c>
      <c r="L169" s="81">
        <f t="shared" si="82"/>
        <v>57.042004950000006</v>
      </c>
      <c r="M169" s="82">
        <f>TRUNC(F169*L169,2)</f>
        <v>0</v>
      </c>
      <c r="N169" s="82">
        <f>TRUNC(G169*L169,2)</f>
        <v>0</v>
      </c>
      <c r="O169" s="82">
        <f>N169+'BM 005'!O169</f>
        <v>0</v>
      </c>
      <c r="P169" s="80">
        <f>E169*K169</f>
        <v>3240</v>
      </c>
      <c r="Q169" s="82">
        <f>TRUNC(E169*L169,2)</f>
        <v>4107.0200000000004</v>
      </c>
      <c r="R169" s="82">
        <f>Q169-O169</f>
        <v>4107.0200000000004</v>
      </c>
    </row>
    <row r="170" spans="2:18" s="34" customFormat="1" ht="13.2">
      <c r="B170" s="60" t="s">
        <v>332</v>
      </c>
      <c r="C170" s="61" t="s">
        <v>333</v>
      </c>
      <c r="D170" s="60"/>
      <c r="E170" s="62"/>
      <c r="F170" s="63"/>
      <c r="G170" s="63"/>
      <c r="H170" s="63"/>
      <c r="I170" s="63">
        <f>SUM(G170:H170)+'BM 005'!I170</f>
        <v>0</v>
      </c>
      <c r="J170" s="63">
        <f t="shared" si="88"/>
        <v>0</v>
      </c>
      <c r="K170" s="63"/>
      <c r="L170" s="63">
        <f t="shared" si="82"/>
        <v>0</v>
      </c>
      <c r="M170" s="63">
        <f t="shared" ref="M170:R170" si="90">SUM(M171:M174)</f>
        <v>0</v>
      </c>
      <c r="N170" s="63">
        <f t="shared" si="90"/>
        <v>0</v>
      </c>
      <c r="O170" s="63">
        <f t="shared" si="90"/>
        <v>0</v>
      </c>
      <c r="P170" s="63">
        <f t="shared" si="90"/>
        <v>584904.20000000007</v>
      </c>
      <c r="Q170" s="63">
        <f t="shared" si="90"/>
        <v>741424.62000000011</v>
      </c>
      <c r="R170" s="63">
        <f t="shared" si="90"/>
        <v>741424.62000000011</v>
      </c>
    </row>
    <row r="171" spans="2:18" s="34" customFormat="1" ht="46.2">
      <c r="B171" s="87" t="s">
        <v>334</v>
      </c>
      <c r="C171" s="88" t="s">
        <v>335</v>
      </c>
      <c r="D171" s="89" t="s">
        <v>79</v>
      </c>
      <c r="E171" s="90">
        <v>3789.02</v>
      </c>
      <c r="F171" s="91"/>
      <c r="G171" s="91"/>
      <c r="H171" s="91"/>
      <c r="I171" s="79">
        <f>SUM(G171:H171)+'BM 005'!I171</f>
        <v>0</v>
      </c>
      <c r="J171" s="91">
        <f t="shared" si="88"/>
        <v>3789.02</v>
      </c>
      <c r="K171" s="84">
        <v>70</v>
      </c>
      <c r="L171" s="81">
        <f t="shared" si="82"/>
        <v>88.732007699999997</v>
      </c>
      <c r="M171" s="82">
        <f>TRUNC(F171*L171,2)</f>
        <v>0</v>
      </c>
      <c r="N171" s="82">
        <f>TRUNC(G171*L171,2)</f>
        <v>0</v>
      </c>
      <c r="O171" s="82">
        <f>N171+'BM 005'!O171</f>
        <v>0</v>
      </c>
      <c r="P171" s="80">
        <f>E171*K171</f>
        <v>265231.40000000002</v>
      </c>
      <c r="Q171" s="82">
        <f>TRUNC(E171*L171,2)</f>
        <v>336207.35</v>
      </c>
      <c r="R171" s="82">
        <f>Q171-O171</f>
        <v>336207.35</v>
      </c>
    </row>
    <row r="172" spans="2:18" s="34" customFormat="1" ht="23.4">
      <c r="B172" s="87" t="s">
        <v>336</v>
      </c>
      <c r="C172" s="88" t="s">
        <v>337</v>
      </c>
      <c r="D172" s="89" t="s">
        <v>79</v>
      </c>
      <c r="E172" s="90">
        <v>184.68</v>
      </c>
      <c r="F172" s="91"/>
      <c r="G172" s="91"/>
      <c r="H172" s="91"/>
      <c r="I172" s="79">
        <f>SUM(G172:H172)+'BM 005'!I172</f>
        <v>0</v>
      </c>
      <c r="J172" s="91">
        <f t="shared" si="88"/>
        <v>184.68</v>
      </c>
      <c r="K172" s="84">
        <v>735</v>
      </c>
      <c r="L172" s="81">
        <f t="shared" si="82"/>
        <v>931.68608085000005</v>
      </c>
      <c r="M172" s="82">
        <f>TRUNC(F172*L172,2)</f>
        <v>0</v>
      </c>
      <c r="N172" s="82">
        <f>TRUNC(G172*L172,2)</f>
        <v>0</v>
      </c>
      <c r="O172" s="82">
        <f>N172+'BM 005'!O172</f>
        <v>0</v>
      </c>
      <c r="P172" s="80">
        <f>E172*K172</f>
        <v>135739.80000000002</v>
      </c>
      <c r="Q172" s="82">
        <f>TRUNC(E172*L172,2)</f>
        <v>172063.78</v>
      </c>
      <c r="R172" s="82">
        <f>Q172-O172</f>
        <v>172063.78</v>
      </c>
    </row>
    <row r="173" spans="2:18" s="34" customFormat="1" ht="46.2">
      <c r="B173" s="87" t="s">
        <v>338</v>
      </c>
      <c r="C173" s="88" t="s">
        <v>339</v>
      </c>
      <c r="D173" s="89" t="s">
        <v>79</v>
      </c>
      <c r="E173" s="90">
        <v>798.6</v>
      </c>
      <c r="F173" s="91"/>
      <c r="G173" s="91"/>
      <c r="H173" s="91"/>
      <c r="I173" s="79">
        <f>SUM(G173:H173)+'BM 005'!I173</f>
        <v>0</v>
      </c>
      <c r="J173" s="91">
        <f t="shared" si="88"/>
        <v>798.6</v>
      </c>
      <c r="K173" s="84">
        <v>125</v>
      </c>
      <c r="L173" s="81">
        <f t="shared" si="82"/>
        <v>158.45001375000001</v>
      </c>
      <c r="M173" s="82">
        <f>TRUNC(F173*L173,2)</f>
        <v>0</v>
      </c>
      <c r="N173" s="82">
        <f>TRUNC(G173*L173,2)</f>
        <v>0</v>
      </c>
      <c r="O173" s="82">
        <f>N173+'BM 005'!O173</f>
        <v>0</v>
      </c>
      <c r="P173" s="80">
        <f>E173*K173</f>
        <v>99825</v>
      </c>
      <c r="Q173" s="82">
        <f>TRUNC(E173*L173,2)</f>
        <v>126538.18</v>
      </c>
      <c r="R173" s="82">
        <f>Q173-O173</f>
        <v>126538.18</v>
      </c>
    </row>
    <row r="174" spans="2:18" s="34" customFormat="1" ht="57.6">
      <c r="B174" s="87" t="s">
        <v>340</v>
      </c>
      <c r="C174" s="88" t="s">
        <v>341</v>
      </c>
      <c r="D174" s="89" t="s">
        <v>79</v>
      </c>
      <c r="E174" s="90">
        <v>489</v>
      </c>
      <c r="F174" s="91"/>
      <c r="G174" s="91"/>
      <c r="H174" s="91"/>
      <c r="I174" s="79">
        <f>SUM(G174:H174)+'BM 005'!I174</f>
        <v>0</v>
      </c>
      <c r="J174" s="91">
        <f t="shared" si="88"/>
        <v>489</v>
      </c>
      <c r="K174" s="84">
        <v>172</v>
      </c>
      <c r="L174" s="81">
        <f t="shared" si="82"/>
        <v>218.02721892</v>
      </c>
      <c r="M174" s="82">
        <f>TRUNC(F174*L174,2)</f>
        <v>0</v>
      </c>
      <c r="N174" s="82">
        <f>TRUNC(G174*L174,2)</f>
        <v>0</v>
      </c>
      <c r="O174" s="82">
        <f>N174+'BM 005'!O174</f>
        <v>0</v>
      </c>
      <c r="P174" s="80">
        <f>E174*K174</f>
        <v>84108</v>
      </c>
      <c r="Q174" s="82">
        <f>TRUNC(E174*L174,2)</f>
        <v>106615.31</v>
      </c>
      <c r="R174" s="82">
        <f>Q174-O174</f>
        <v>106615.31</v>
      </c>
    </row>
    <row r="175" spans="2:18" s="34" customFormat="1" ht="13.2">
      <c r="B175" s="60" t="s">
        <v>342</v>
      </c>
      <c r="C175" s="61" t="s">
        <v>343</v>
      </c>
      <c r="D175" s="60"/>
      <c r="E175" s="62"/>
      <c r="F175" s="63"/>
      <c r="G175" s="63"/>
      <c r="H175" s="63"/>
      <c r="I175" s="63">
        <f>SUM(G175:H175)+'BM 005'!I175</f>
        <v>0</v>
      </c>
      <c r="J175" s="63">
        <f t="shared" si="88"/>
        <v>0</v>
      </c>
      <c r="K175" s="63"/>
      <c r="L175" s="63">
        <f t="shared" si="82"/>
        <v>0</v>
      </c>
      <c r="M175" s="63">
        <f t="shared" ref="M175:R175" si="91">SUM(M176:M177)</f>
        <v>0</v>
      </c>
      <c r="N175" s="63">
        <f t="shared" si="91"/>
        <v>0</v>
      </c>
      <c r="O175" s="63">
        <f t="shared" si="91"/>
        <v>0</v>
      </c>
      <c r="P175" s="63">
        <f t="shared" si="91"/>
        <v>260085</v>
      </c>
      <c r="Q175" s="63">
        <f t="shared" si="91"/>
        <v>329683.77</v>
      </c>
      <c r="R175" s="63">
        <f t="shared" si="91"/>
        <v>329683.77</v>
      </c>
    </row>
    <row r="176" spans="2:18" s="34" customFormat="1" ht="34.799999999999997">
      <c r="B176" s="87" t="s">
        <v>344</v>
      </c>
      <c r="C176" s="88" t="s">
        <v>345</v>
      </c>
      <c r="D176" s="89" t="s">
        <v>79</v>
      </c>
      <c r="E176" s="90">
        <v>1785</v>
      </c>
      <c r="F176" s="91"/>
      <c r="G176" s="91"/>
      <c r="H176" s="91"/>
      <c r="I176" s="79">
        <f>SUM(G176:H176)+'BM 005'!I176</f>
        <v>0</v>
      </c>
      <c r="J176" s="91">
        <f t="shared" si="88"/>
        <v>1785</v>
      </c>
      <c r="K176" s="84">
        <v>125</v>
      </c>
      <c r="L176" s="81">
        <f t="shared" si="82"/>
        <v>158.45001375000001</v>
      </c>
      <c r="M176" s="82">
        <f>TRUNC(F176*L176,2)</f>
        <v>0</v>
      </c>
      <c r="N176" s="82">
        <f>TRUNC(G176*L176,2)</f>
        <v>0</v>
      </c>
      <c r="O176" s="82">
        <f>N176+'BM 005'!O176</f>
        <v>0</v>
      </c>
      <c r="P176" s="80">
        <f>E176*K176</f>
        <v>223125</v>
      </c>
      <c r="Q176" s="82">
        <f>TRUNC(E176*L176,2)</f>
        <v>282833.27</v>
      </c>
      <c r="R176" s="82">
        <f>Q176-O176</f>
        <v>282833.27</v>
      </c>
    </row>
    <row r="177" spans="2:18" s="34" customFormat="1" ht="34.799999999999997">
      <c r="B177" s="75" t="s">
        <v>346</v>
      </c>
      <c r="C177" s="76" t="s">
        <v>347</v>
      </c>
      <c r="D177" s="77" t="s">
        <v>79</v>
      </c>
      <c r="E177" s="93">
        <v>880</v>
      </c>
      <c r="F177" s="79"/>
      <c r="G177" s="79"/>
      <c r="H177" s="79"/>
      <c r="I177" s="79">
        <f>SUM(G177:H177)+'BM 005'!I177</f>
        <v>0</v>
      </c>
      <c r="J177" s="79">
        <f t="shared" si="88"/>
        <v>880</v>
      </c>
      <c r="K177" s="84">
        <v>42</v>
      </c>
      <c r="L177" s="81">
        <f t="shared" si="82"/>
        <v>53.239204620000002</v>
      </c>
      <c r="M177" s="82">
        <f>TRUNC(F177*L177,2)</f>
        <v>0</v>
      </c>
      <c r="N177" s="82">
        <f>TRUNC(G177*L177,2)</f>
        <v>0</v>
      </c>
      <c r="O177" s="82">
        <f>N177+'BM 005'!O177</f>
        <v>0</v>
      </c>
      <c r="P177" s="80">
        <f>E177*K177</f>
        <v>36960</v>
      </c>
      <c r="Q177" s="82">
        <f>TRUNC(E177*L177,2)</f>
        <v>46850.5</v>
      </c>
      <c r="R177" s="82">
        <f>Q177-O177</f>
        <v>46850.5</v>
      </c>
    </row>
    <row r="178" spans="2:18" s="34" customFormat="1" ht="13.2">
      <c r="B178" s="60" t="s">
        <v>348</v>
      </c>
      <c r="C178" s="61" t="s">
        <v>349</v>
      </c>
      <c r="D178" s="60"/>
      <c r="E178" s="62"/>
      <c r="F178" s="63"/>
      <c r="G178" s="63"/>
      <c r="H178" s="63"/>
      <c r="I178" s="63">
        <f>SUM(G178:H178)+'BM 005'!I178</f>
        <v>0</v>
      </c>
      <c r="J178" s="63">
        <f t="shared" si="88"/>
        <v>0</v>
      </c>
      <c r="K178" s="63"/>
      <c r="L178" s="63">
        <f t="shared" si="82"/>
        <v>0</v>
      </c>
      <c r="M178" s="63">
        <f t="shared" ref="M178:R178" si="92">SUM(M179,M205)</f>
        <v>0</v>
      </c>
      <c r="N178" s="63">
        <f t="shared" si="92"/>
        <v>0</v>
      </c>
      <c r="O178" s="63">
        <f t="shared" si="92"/>
        <v>0</v>
      </c>
      <c r="P178" s="63">
        <f t="shared" si="92"/>
        <v>3144051.95</v>
      </c>
      <c r="Q178" s="63">
        <f t="shared" si="92"/>
        <v>3985400.4499999997</v>
      </c>
      <c r="R178" s="63">
        <f t="shared" si="92"/>
        <v>3985400.4499999997</v>
      </c>
    </row>
    <row r="179" spans="2:18" s="34" customFormat="1" ht="13.2">
      <c r="B179" s="66" t="s">
        <v>350</v>
      </c>
      <c r="C179" s="67" t="s">
        <v>351</v>
      </c>
      <c r="D179" s="68"/>
      <c r="E179" s="69"/>
      <c r="F179" s="70"/>
      <c r="G179" s="70"/>
      <c r="H179" s="70"/>
      <c r="I179" s="70">
        <f>SUM(G179:H179)+'BM 005'!I179</f>
        <v>0</v>
      </c>
      <c r="J179" s="70">
        <f t="shared" si="88"/>
        <v>0</v>
      </c>
      <c r="K179" s="71"/>
      <c r="L179" s="71">
        <f t="shared" si="82"/>
        <v>0</v>
      </c>
      <c r="M179" s="73">
        <f t="shared" ref="M179:R179" si="93">SUM(M180:M204)</f>
        <v>0</v>
      </c>
      <c r="N179" s="73">
        <f t="shared" si="93"/>
        <v>0</v>
      </c>
      <c r="O179" s="73">
        <f t="shared" si="93"/>
        <v>0</v>
      </c>
      <c r="P179" s="73">
        <f t="shared" si="93"/>
        <v>2156515.4</v>
      </c>
      <c r="Q179" s="73">
        <f t="shared" si="93"/>
        <v>2733599.05</v>
      </c>
      <c r="R179" s="73">
        <f t="shared" si="93"/>
        <v>2733599.05</v>
      </c>
    </row>
    <row r="180" spans="2:18" s="34" customFormat="1" ht="114.6">
      <c r="B180" s="75" t="s">
        <v>352</v>
      </c>
      <c r="C180" s="88" t="s">
        <v>353</v>
      </c>
      <c r="D180" s="89" t="s">
        <v>63</v>
      </c>
      <c r="E180" s="92">
        <v>56</v>
      </c>
      <c r="F180" s="91"/>
      <c r="G180" s="91"/>
      <c r="H180" s="91"/>
      <c r="I180" s="79">
        <f>SUM(G180:H180)+'BM 005'!I180</f>
        <v>0</v>
      </c>
      <c r="J180" s="91">
        <f t="shared" si="88"/>
        <v>56</v>
      </c>
      <c r="K180" s="84">
        <v>3125</v>
      </c>
      <c r="L180" s="81">
        <f t="shared" si="82"/>
        <v>3961.25034375</v>
      </c>
      <c r="M180" s="82">
        <f t="shared" ref="M180:M204" si="94">TRUNC(F180*L180,2)</f>
        <v>0</v>
      </c>
      <c r="N180" s="82">
        <f t="shared" ref="N180:N204" si="95">TRUNC(G180*L180,2)</f>
        <v>0</v>
      </c>
      <c r="O180" s="82">
        <f>N180+'BM 005'!O180</f>
        <v>0</v>
      </c>
      <c r="P180" s="80">
        <f t="shared" ref="P180:P204" si="96">E180*K180</f>
        <v>175000</v>
      </c>
      <c r="Q180" s="82">
        <f t="shared" ref="Q180:Q204" si="97">TRUNC(E180*L180,2)</f>
        <v>221830.01</v>
      </c>
      <c r="R180" s="82">
        <f t="shared" ref="R180:R204" si="98">Q180-O180</f>
        <v>221830.01</v>
      </c>
    </row>
    <row r="181" spans="2:18" s="34" customFormat="1" ht="103.2">
      <c r="B181" s="75" t="s">
        <v>354</v>
      </c>
      <c r="C181" s="88" t="s">
        <v>355</v>
      </c>
      <c r="D181" s="89" t="s">
        <v>63</v>
      </c>
      <c r="E181" s="92">
        <v>51</v>
      </c>
      <c r="F181" s="91"/>
      <c r="G181" s="91"/>
      <c r="H181" s="91"/>
      <c r="I181" s="79">
        <f>SUM(G181:H181)+'BM 005'!I181</f>
        <v>0</v>
      </c>
      <c r="J181" s="91">
        <f t="shared" si="88"/>
        <v>51</v>
      </c>
      <c r="K181" s="84">
        <v>3580</v>
      </c>
      <c r="L181" s="81">
        <f t="shared" si="82"/>
        <v>4538.0083937999998</v>
      </c>
      <c r="M181" s="82">
        <f t="shared" si="94"/>
        <v>0</v>
      </c>
      <c r="N181" s="82">
        <f t="shared" si="95"/>
        <v>0</v>
      </c>
      <c r="O181" s="82">
        <f>N181+'BM 005'!O181</f>
        <v>0</v>
      </c>
      <c r="P181" s="80">
        <f t="shared" si="96"/>
        <v>182580</v>
      </c>
      <c r="Q181" s="82">
        <f t="shared" si="97"/>
        <v>231438.42</v>
      </c>
      <c r="R181" s="82">
        <f t="shared" si="98"/>
        <v>231438.42</v>
      </c>
    </row>
    <row r="182" spans="2:18" s="34" customFormat="1" ht="114.6">
      <c r="B182" s="75" t="s">
        <v>356</v>
      </c>
      <c r="C182" s="88" t="s">
        <v>357</v>
      </c>
      <c r="D182" s="89" t="s">
        <v>63</v>
      </c>
      <c r="E182" s="92">
        <v>11</v>
      </c>
      <c r="F182" s="91"/>
      <c r="G182" s="91"/>
      <c r="H182" s="91"/>
      <c r="I182" s="79">
        <f>SUM(G182:H182)+'BM 005'!I182</f>
        <v>0</v>
      </c>
      <c r="J182" s="91">
        <f t="shared" si="88"/>
        <v>11</v>
      </c>
      <c r="K182" s="84">
        <v>3995</v>
      </c>
      <c r="L182" s="81">
        <f t="shared" si="82"/>
        <v>5064.0624394500001</v>
      </c>
      <c r="M182" s="82">
        <f t="shared" si="94"/>
        <v>0</v>
      </c>
      <c r="N182" s="82">
        <f t="shared" si="95"/>
        <v>0</v>
      </c>
      <c r="O182" s="82">
        <f>N182+'BM 005'!O182</f>
        <v>0</v>
      </c>
      <c r="P182" s="80">
        <f t="shared" si="96"/>
        <v>43945</v>
      </c>
      <c r="Q182" s="82">
        <f t="shared" si="97"/>
        <v>55704.68</v>
      </c>
      <c r="R182" s="82">
        <f t="shared" si="98"/>
        <v>55704.68</v>
      </c>
    </row>
    <row r="183" spans="2:18" s="34" customFormat="1" ht="80.400000000000006">
      <c r="B183" s="75" t="s">
        <v>358</v>
      </c>
      <c r="C183" s="88" t="s">
        <v>359</v>
      </c>
      <c r="D183" s="89" t="s">
        <v>63</v>
      </c>
      <c r="E183" s="92">
        <v>2</v>
      </c>
      <c r="F183" s="91"/>
      <c r="G183" s="91"/>
      <c r="H183" s="91"/>
      <c r="I183" s="79">
        <f>SUM(G183:H183)+'BM 005'!I183</f>
        <v>0</v>
      </c>
      <c r="J183" s="91">
        <f t="shared" si="88"/>
        <v>2</v>
      </c>
      <c r="K183" s="84">
        <v>4100</v>
      </c>
      <c r="L183" s="81">
        <f t="shared" si="82"/>
        <v>5197.1604510000006</v>
      </c>
      <c r="M183" s="82">
        <f t="shared" si="94"/>
        <v>0</v>
      </c>
      <c r="N183" s="82">
        <f t="shared" si="95"/>
        <v>0</v>
      </c>
      <c r="O183" s="82">
        <f>N183+'BM 005'!O183</f>
        <v>0</v>
      </c>
      <c r="P183" s="80">
        <f t="shared" si="96"/>
        <v>8200</v>
      </c>
      <c r="Q183" s="82">
        <f t="shared" si="97"/>
        <v>10394.32</v>
      </c>
      <c r="R183" s="82">
        <f t="shared" si="98"/>
        <v>10394.32</v>
      </c>
    </row>
    <row r="184" spans="2:18" s="34" customFormat="1" ht="126">
      <c r="B184" s="75" t="s">
        <v>360</v>
      </c>
      <c r="C184" s="88" t="s">
        <v>361</v>
      </c>
      <c r="D184" s="89" t="s">
        <v>63</v>
      </c>
      <c r="E184" s="92">
        <v>24</v>
      </c>
      <c r="F184" s="91"/>
      <c r="G184" s="91"/>
      <c r="H184" s="91"/>
      <c r="I184" s="79">
        <f>SUM(G184:H184)+'BM 005'!I184</f>
        <v>0</v>
      </c>
      <c r="J184" s="91">
        <f t="shared" si="88"/>
        <v>24</v>
      </c>
      <c r="K184" s="84">
        <v>4425</v>
      </c>
      <c r="L184" s="81">
        <f t="shared" si="82"/>
        <v>5609.1304867500003</v>
      </c>
      <c r="M184" s="82">
        <f t="shared" si="94"/>
        <v>0</v>
      </c>
      <c r="N184" s="82">
        <f t="shared" si="95"/>
        <v>0</v>
      </c>
      <c r="O184" s="82">
        <f>N184+'BM 005'!O184</f>
        <v>0</v>
      </c>
      <c r="P184" s="80">
        <f t="shared" si="96"/>
        <v>106200</v>
      </c>
      <c r="Q184" s="82">
        <f t="shared" si="97"/>
        <v>134619.13</v>
      </c>
      <c r="R184" s="82">
        <f t="shared" si="98"/>
        <v>134619.13</v>
      </c>
    </row>
    <row r="185" spans="2:18" s="34" customFormat="1" ht="126">
      <c r="B185" s="75" t="s">
        <v>362</v>
      </c>
      <c r="C185" s="88" t="s">
        <v>363</v>
      </c>
      <c r="D185" s="89" t="s">
        <v>63</v>
      </c>
      <c r="E185" s="92">
        <v>8</v>
      </c>
      <c r="F185" s="91"/>
      <c r="G185" s="91"/>
      <c r="H185" s="91"/>
      <c r="I185" s="79">
        <f>SUM(G185:H185)+'BM 005'!I185</f>
        <v>0</v>
      </c>
      <c r="J185" s="91">
        <f t="shared" si="88"/>
        <v>8</v>
      </c>
      <c r="K185" s="84">
        <v>4495</v>
      </c>
      <c r="L185" s="81">
        <f t="shared" si="82"/>
        <v>5697.8624944500007</v>
      </c>
      <c r="M185" s="82">
        <f t="shared" si="94"/>
        <v>0</v>
      </c>
      <c r="N185" s="82">
        <f t="shared" si="95"/>
        <v>0</v>
      </c>
      <c r="O185" s="82">
        <f>N185+'BM 005'!O185</f>
        <v>0</v>
      </c>
      <c r="P185" s="80">
        <f t="shared" si="96"/>
        <v>35960</v>
      </c>
      <c r="Q185" s="82">
        <f t="shared" si="97"/>
        <v>45582.89</v>
      </c>
      <c r="R185" s="82">
        <f t="shared" si="98"/>
        <v>45582.89</v>
      </c>
    </row>
    <row r="186" spans="2:18" s="34" customFormat="1" ht="57.6">
      <c r="B186" s="75" t="s">
        <v>364</v>
      </c>
      <c r="C186" s="88" t="s">
        <v>365</v>
      </c>
      <c r="D186" s="89" t="s">
        <v>63</v>
      </c>
      <c r="E186" s="92">
        <v>3</v>
      </c>
      <c r="F186" s="91"/>
      <c r="G186" s="91"/>
      <c r="H186" s="91"/>
      <c r="I186" s="79">
        <f>SUM(G186:H186)+'BM 005'!I186</f>
        <v>0</v>
      </c>
      <c r="J186" s="91">
        <f t="shared" si="88"/>
        <v>3</v>
      </c>
      <c r="K186" s="84">
        <v>8550</v>
      </c>
      <c r="L186" s="81">
        <f t="shared" si="82"/>
        <v>10837.9809405</v>
      </c>
      <c r="M186" s="82">
        <f t="shared" si="94"/>
        <v>0</v>
      </c>
      <c r="N186" s="82">
        <f t="shared" si="95"/>
        <v>0</v>
      </c>
      <c r="O186" s="82">
        <f>N186+'BM 005'!O186</f>
        <v>0</v>
      </c>
      <c r="P186" s="80">
        <f t="shared" si="96"/>
        <v>25650</v>
      </c>
      <c r="Q186" s="82">
        <f t="shared" si="97"/>
        <v>32513.94</v>
      </c>
      <c r="R186" s="82">
        <f t="shared" si="98"/>
        <v>32513.94</v>
      </c>
    </row>
    <row r="187" spans="2:18" s="34" customFormat="1" ht="137.4">
      <c r="B187" s="75" t="s">
        <v>366</v>
      </c>
      <c r="C187" s="88" t="s">
        <v>367</v>
      </c>
      <c r="D187" s="89" t="s">
        <v>63</v>
      </c>
      <c r="E187" s="92">
        <v>2</v>
      </c>
      <c r="F187" s="91"/>
      <c r="G187" s="91"/>
      <c r="H187" s="91"/>
      <c r="I187" s="79">
        <f>SUM(G187:H187)+'BM 005'!I187</f>
        <v>0</v>
      </c>
      <c r="J187" s="91">
        <f t="shared" si="88"/>
        <v>2</v>
      </c>
      <c r="K187" s="84">
        <v>6750</v>
      </c>
      <c r="L187" s="81">
        <f t="shared" si="82"/>
        <v>8556.3007424999996</v>
      </c>
      <c r="M187" s="82">
        <f t="shared" si="94"/>
        <v>0</v>
      </c>
      <c r="N187" s="82">
        <f t="shared" si="95"/>
        <v>0</v>
      </c>
      <c r="O187" s="82">
        <f>N187+'BM 005'!O187</f>
        <v>0</v>
      </c>
      <c r="P187" s="80">
        <f t="shared" si="96"/>
        <v>13500</v>
      </c>
      <c r="Q187" s="82">
        <f t="shared" si="97"/>
        <v>17112.599999999999</v>
      </c>
      <c r="R187" s="82">
        <f t="shared" si="98"/>
        <v>17112.599999999999</v>
      </c>
    </row>
    <row r="188" spans="2:18" s="34" customFormat="1" ht="46.2">
      <c r="B188" s="75" t="s">
        <v>368</v>
      </c>
      <c r="C188" s="88" t="s">
        <v>369</v>
      </c>
      <c r="D188" s="89" t="s">
        <v>63</v>
      </c>
      <c r="E188" s="92">
        <v>18</v>
      </c>
      <c r="F188" s="91"/>
      <c r="G188" s="91"/>
      <c r="H188" s="91"/>
      <c r="I188" s="79">
        <f>SUM(G188:H188)+'BM 005'!I188</f>
        <v>0</v>
      </c>
      <c r="J188" s="91">
        <f t="shared" si="88"/>
        <v>18</v>
      </c>
      <c r="K188" s="84">
        <v>2490</v>
      </c>
      <c r="L188" s="81">
        <f t="shared" si="82"/>
        <v>3156.3242739000002</v>
      </c>
      <c r="M188" s="82">
        <f t="shared" si="94"/>
        <v>0</v>
      </c>
      <c r="N188" s="82">
        <f t="shared" si="95"/>
        <v>0</v>
      </c>
      <c r="O188" s="82">
        <f>N188+'BM 005'!O188</f>
        <v>0</v>
      </c>
      <c r="P188" s="80">
        <f t="shared" si="96"/>
        <v>44820</v>
      </c>
      <c r="Q188" s="82">
        <f t="shared" si="97"/>
        <v>56813.83</v>
      </c>
      <c r="R188" s="82">
        <f t="shared" si="98"/>
        <v>56813.83</v>
      </c>
    </row>
    <row r="189" spans="2:18" s="34" customFormat="1" ht="57.6">
      <c r="B189" s="75" t="s">
        <v>370</v>
      </c>
      <c r="C189" s="88" t="s">
        <v>371</v>
      </c>
      <c r="D189" s="89" t="s">
        <v>63</v>
      </c>
      <c r="E189" s="92">
        <v>1</v>
      </c>
      <c r="F189" s="91"/>
      <c r="G189" s="91"/>
      <c r="H189" s="91"/>
      <c r="I189" s="79">
        <f>SUM(G189:H189)+'BM 005'!I189</f>
        <v>0</v>
      </c>
      <c r="J189" s="91">
        <f t="shared" si="88"/>
        <v>1</v>
      </c>
      <c r="K189" s="84">
        <v>5950</v>
      </c>
      <c r="L189" s="81">
        <f t="shared" si="82"/>
        <v>7542.2206544999999</v>
      </c>
      <c r="M189" s="82">
        <f t="shared" si="94"/>
        <v>0</v>
      </c>
      <c r="N189" s="82">
        <f t="shared" si="95"/>
        <v>0</v>
      </c>
      <c r="O189" s="82">
        <f>N189+'BM 005'!O189</f>
        <v>0</v>
      </c>
      <c r="P189" s="80">
        <f t="shared" si="96"/>
        <v>5950</v>
      </c>
      <c r="Q189" s="82">
        <f t="shared" si="97"/>
        <v>7542.22</v>
      </c>
      <c r="R189" s="82">
        <f t="shared" si="98"/>
        <v>7542.22</v>
      </c>
    </row>
    <row r="190" spans="2:18" s="34" customFormat="1" ht="57.6">
      <c r="B190" s="75" t="s">
        <v>372</v>
      </c>
      <c r="C190" s="88" t="s">
        <v>373</v>
      </c>
      <c r="D190" s="89" t="s">
        <v>63</v>
      </c>
      <c r="E190" s="92">
        <v>1</v>
      </c>
      <c r="F190" s="91"/>
      <c r="G190" s="91"/>
      <c r="H190" s="91"/>
      <c r="I190" s="79">
        <f>SUM(G190:H190)+'BM 005'!I190</f>
        <v>0</v>
      </c>
      <c r="J190" s="91">
        <f t="shared" si="88"/>
        <v>1</v>
      </c>
      <c r="K190" s="84">
        <v>5950</v>
      </c>
      <c r="L190" s="81">
        <f t="shared" si="82"/>
        <v>7542.2206544999999</v>
      </c>
      <c r="M190" s="82">
        <f t="shared" si="94"/>
        <v>0</v>
      </c>
      <c r="N190" s="82">
        <f t="shared" si="95"/>
        <v>0</v>
      </c>
      <c r="O190" s="82">
        <f>N190+'BM 005'!O190</f>
        <v>0</v>
      </c>
      <c r="P190" s="80">
        <f t="shared" si="96"/>
        <v>5950</v>
      </c>
      <c r="Q190" s="82">
        <f t="shared" si="97"/>
        <v>7542.22</v>
      </c>
      <c r="R190" s="82">
        <f t="shared" si="98"/>
        <v>7542.22</v>
      </c>
    </row>
    <row r="191" spans="2:18" s="34" customFormat="1" ht="57.6">
      <c r="B191" s="75" t="s">
        <v>374</v>
      </c>
      <c r="C191" s="88" t="s">
        <v>375</v>
      </c>
      <c r="D191" s="89" t="s">
        <v>79</v>
      </c>
      <c r="E191" s="92">
        <v>184.04</v>
      </c>
      <c r="F191" s="91"/>
      <c r="G191" s="91"/>
      <c r="H191" s="91"/>
      <c r="I191" s="79">
        <f>SUM(G191:H191)+'BM 005'!I191</f>
        <v>0</v>
      </c>
      <c r="J191" s="91">
        <f t="shared" si="88"/>
        <v>184.04</v>
      </c>
      <c r="K191" s="84">
        <v>1265</v>
      </c>
      <c r="L191" s="81">
        <f t="shared" si="82"/>
        <v>1603.5141391500001</v>
      </c>
      <c r="M191" s="82">
        <f t="shared" si="94"/>
        <v>0</v>
      </c>
      <c r="N191" s="82">
        <f t="shared" si="95"/>
        <v>0</v>
      </c>
      <c r="O191" s="82">
        <f>N191+'BM 005'!O191</f>
        <v>0</v>
      </c>
      <c r="P191" s="80">
        <f t="shared" si="96"/>
        <v>232810.59999999998</v>
      </c>
      <c r="Q191" s="82">
        <f t="shared" si="97"/>
        <v>295110.74</v>
      </c>
      <c r="R191" s="82">
        <f t="shared" si="98"/>
        <v>295110.74</v>
      </c>
    </row>
    <row r="192" spans="2:18" s="34" customFormat="1" ht="46.2">
      <c r="B192" s="75" t="s">
        <v>376</v>
      </c>
      <c r="C192" s="88" t="s">
        <v>377</v>
      </c>
      <c r="D192" s="89" t="s">
        <v>79</v>
      </c>
      <c r="E192" s="92">
        <v>53.96</v>
      </c>
      <c r="F192" s="91"/>
      <c r="G192" s="91"/>
      <c r="H192" s="91"/>
      <c r="I192" s="79">
        <f>SUM(G192:H192)+'BM 005'!I192</f>
        <v>0</v>
      </c>
      <c r="J192" s="91">
        <f t="shared" si="88"/>
        <v>53.96</v>
      </c>
      <c r="K192" s="84">
        <v>1080</v>
      </c>
      <c r="L192" s="81">
        <f t="shared" si="82"/>
        <v>1369.0081188000001</v>
      </c>
      <c r="M192" s="82">
        <f t="shared" si="94"/>
        <v>0</v>
      </c>
      <c r="N192" s="82">
        <f t="shared" si="95"/>
        <v>0</v>
      </c>
      <c r="O192" s="82">
        <f>N192+'BM 005'!O192</f>
        <v>0</v>
      </c>
      <c r="P192" s="80">
        <f t="shared" si="96"/>
        <v>58276.800000000003</v>
      </c>
      <c r="Q192" s="82">
        <f t="shared" si="97"/>
        <v>73871.67</v>
      </c>
      <c r="R192" s="82">
        <f t="shared" si="98"/>
        <v>73871.67</v>
      </c>
    </row>
    <row r="193" spans="2:18" s="34" customFormat="1" ht="57.6">
      <c r="B193" s="75" t="s">
        <v>378</v>
      </c>
      <c r="C193" s="88" t="s">
        <v>379</v>
      </c>
      <c r="D193" s="89" t="s">
        <v>79</v>
      </c>
      <c r="E193" s="92">
        <v>130.29</v>
      </c>
      <c r="F193" s="91"/>
      <c r="G193" s="91"/>
      <c r="H193" s="91"/>
      <c r="I193" s="79">
        <f>SUM(G193:H193)+'BM 005'!I193</f>
        <v>0</v>
      </c>
      <c r="J193" s="91">
        <f t="shared" si="88"/>
        <v>130.29</v>
      </c>
      <c r="K193" s="84">
        <v>1220</v>
      </c>
      <c r="L193" s="81">
        <f t="shared" si="82"/>
        <v>1546.4721342</v>
      </c>
      <c r="M193" s="82">
        <f t="shared" si="94"/>
        <v>0</v>
      </c>
      <c r="N193" s="82">
        <f t="shared" si="95"/>
        <v>0</v>
      </c>
      <c r="O193" s="82">
        <f>N193+'BM 005'!O193</f>
        <v>0</v>
      </c>
      <c r="P193" s="80">
        <f t="shared" si="96"/>
        <v>158953.79999999999</v>
      </c>
      <c r="Q193" s="82">
        <f t="shared" si="97"/>
        <v>201489.85</v>
      </c>
      <c r="R193" s="82">
        <f t="shared" si="98"/>
        <v>201489.85</v>
      </c>
    </row>
    <row r="194" spans="2:18" s="34" customFormat="1" ht="57.6">
      <c r="B194" s="75" t="s">
        <v>380</v>
      </c>
      <c r="C194" s="88" t="s">
        <v>381</v>
      </c>
      <c r="D194" s="89" t="s">
        <v>79</v>
      </c>
      <c r="E194" s="92">
        <v>27.88</v>
      </c>
      <c r="F194" s="91"/>
      <c r="G194" s="91"/>
      <c r="H194" s="91"/>
      <c r="I194" s="79">
        <f>SUM(G194:H194)+'BM 005'!I194</f>
        <v>0</v>
      </c>
      <c r="J194" s="91">
        <f t="shared" si="88"/>
        <v>27.88</v>
      </c>
      <c r="K194" s="84">
        <v>2180</v>
      </c>
      <c r="L194" s="81">
        <f t="shared" si="82"/>
        <v>2763.3682398000001</v>
      </c>
      <c r="M194" s="82">
        <f t="shared" si="94"/>
        <v>0</v>
      </c>
      <c r="N194" s="82">
        <f t="shared" si="95"/>
        <v>0</v>
      </c>
      <c r="O194" s="82">
        <f>N194+'BM 005'!O194</f>
        <v>0</v>
      </c>
      <c r="P194" s="80">
        <f t="shared" si="96"/>
        <v>60778.400000000001</v>
      </c>
      <c r="Q194" s="82">
        <f t="shared" si="97"/>
        <v>77042.7</v>
      </c>
      <c r="R194" s="82">
        <f t="shared" si="98"/>
        <v>77042.7</v>
      </c>
    </row>
    <row r="195" spans="2:18" s="34" customFormat="1" ht="46.2">
      <c r="B195" s="75" t="s">
        <v>382</v>
      </c>
      <c r="C195" s="88" t="s">
        <v>383</v>
      </c>
      <c r="D195" s="89" t="s">
        <v>79</v>
      </c>
      <c r="E195" s="92">
        <v>24.23</v>
      </c>
      <c r="F195" s="91"/>
      <c r="G195" s="91"/>
      <c r="H195" s="91"/>
      <c r="I195" s="79">
        <f>SUM(G195:H195)+'BM 005'!I195</f>
        <v>0</v>
      </c>
      <c r="J195" s="91">
        <f t="shared" si="88"/>
        <v>24.23</v>
      </c>
      <c r="K195" s="84">
        <v>1170</v>
      </c>
      <c r="L195" s="81">
        <f t="shared" si="82"/>
        <v>1483.0921287000001</v>
      </c>
      <c r="M195" s="82">
        <f t="shared" si="94"/>
        <v>0</v>
      </c>
      <c r="N195" s="82">
        <f t="shared" si="95"/>
        <v>0</v>
      </c>
      <c r="O195" s="82">
        <f>N195+'BM 005'!O195</f>
        <v>0</v>
      </c>
      <c r="P195" s="80">
        <f t="shared" si="96"/>
        <v>28349.100000000002</v>
      </c>
      <c r="Q195" s="82">
        <f t="shared" si="97"/>
        <v>35935.32</v>
      </c>
      <c r="R195" s="82">
        <f t="shared" si="98"/>
        <v>35935.32</v>
      </c>
    </row>
    <row r="196" spans="2:18" s="34" customFormat="1" ht="57.6">
      <c r="B196" s="75" t="s">
        <v>384</v>
      </c>
      <c r="C196" s="88" t="s">
        <v>385</v>
      </c>
      <c r="D196" s="89" t="s">
        <v>79</v>
      </c>
      <c r="E196" s="92">
        <v>93.13</v>
      </c>
      <c r="F196" s="91"/>
      <c r="G196" s="91"/>
      <c r="H196" s="91"/>
      <c r="I196" s="79">
        <f>SUM(G196:H196)+'BM 005'!I196</f>
        <v>0</v>
      </c>
      <c r="J196" s="91">
        <f t="shared" si="88"/>
        <v>93.13</v>
      </c>
      <c r="K196" s="84">
        <v>1190</v>
      </c>
      <c r="L196" s="81">
        <f t="shared" si="82"/>
        <v>1508.4441309000001</v>
      </c>
      <c r="M196" s="82">
        <f t="shared" si="94"/>
        <v>0</v>
      </c>
      <c r="N196" s="82">
        <f t="shared" si="95"/>
        <v>0</v>
      </c>
      <c r="O196" s="82">
        <f>N196+'BM 005'!O196</f>
        <v>0</v>
      </c>
      <c r="P196" s="80">
        <f t="shared" si="96"/>
        <v>110824.7</v>
      </c>
      <c r="Q196" s="82">
        <f t="shared" si="97"/>
        <v>140481.4</v>
      </c>
      <c r="R196" s="82">
        <f t="shared" si="98"/>
        <v>140481.4</v>
      </c>
    </row>
    <row r="197" spans="2:18" s="34" customFormat="1" ht="91.8">
      <c r="B197" s="75" t="s">
        <v>386</v>
      </c>
      <c r="C197" s="88" t="s">
        <v>387</v>
      </c>
      <c r="D197" s="89" t="s">
        <v>79</v>
      </c>
      <c r="E197" s="92">
        <v>570.20000000000005</v>
      </c>
      <c r="F197" s="91"/>
      <c r="G197" s="91"/>
      <c r="H197" s="91"/>
      <c r="I197" s="79">
        <f>SUM(G197:H197)+'BM 005'!I197</f>
        <v>0</v>
      </c>
      <c r="J197" s="91">
        <f t="shared" si="88"/>
        <v>570.20000000000005</v>
      </c>
      <c r="K197" s="84">
        <v>1190</v>
      </c>
      <c r="L197" s="81">
        <f t="shared" si="82"/>
        <v>1508.4441309000001</v>
      </c>
      <c r="M197" s="82">
        <f t="shared" si="94"/>
        <v>0</v>
      </c>
      <c r="N197" s="82">
        <f t="shared" si="95"/>
        <v>0</v>
      </c>
      <c r="O197" s="82">
        <f>N197+'BM 005'!O197</f>
        <v>0</v>
      </c>
      <c r="P197" s="80">
        <f t="shared" si="96"/>
        <v>678538</v>
      </c>
      <c r="Q197" s="82">
        <f t="shared" si="97"/>
        <v>860114.84</v>
      </c>
      <c r="R197" s="82">
        <f t="shared" si="98"/>
        <v>860114.84</v>
      </c>
    </row>
    <row r="198" spans="2:18" s="34" customFormat="1" ht="23.4">
      <c r="B198" s="75" t="s">
        <v>388</v>
      </c>
      <c r="C198" s="88" t="s">
        <v>389</v>
      </c>
      <c r="D198" s="89" t="s">
        <v>390</v>
      </c>
      <c r="E198" s="92">
        <v>4</v>
      </c>
      <c r="F198" s="91"/>
      <c r="G198" s="91"/>
      <c r="H198" s="91"/>
      <c r="I198" s="79">
        <f>SUM(G198:H198)+'BM 005'!I198</f>
        <v>0</v>
      </c>
      <c r="J198" s="91">
        <f t="shared" si="88"/>
        <v>4</v>
      </c>
      <c r="K198" s="84">
        <v>1780</v>
      </c>
      <c r="L198" s="81">
        <f t="shared" si="82"/>
        <v>2256.3281958000002</v>
      </c>
      <c r="M198" s="82">
        <f t="shared" si="94"/>
        <v>0</v>
      </c>
      <c r="N198" s="82">
        <f t="shared" si="95"/>
        <v>0</v>
      </c>
      <c r="O198" s="82">
        <f>N198+'BM 005'!O198</f>
        <v>0</v>
      </c>
      <c r="P198" s="80">
        <f t="shared" si="96"/>
        <v>7120</v>
      </c>
      <c r="Q198" s="82">
        <f t="shared" si="97"/>
        <v>9025.31</v>
      </c>
      <c r="R198" s="82">
        <f t="shared" si="98"/>
        <v>9025.31</v>
      </c>
    </row>
    <row r="199" spans="2:18" s="34" customFormat="1" ht="23.4">
      <c r="B199" s="75" t="s">
        <v>391</v>
      </c>
      <c r="C199" s="88" t="s">
        <v>392</v>
      </c>
      <c r="D199" s="89" t="s">
        <v>390</v>
      </c>
      <c r="E199" s="92">
        <v>1</v>
      </c>
      <c r="F199" s="91"/>
      <c r="G199" s="91"/>
      <c r="H199" s="91"/>
      <c r="I199" s="79">
        <f>SUM(G199:H199)+'BM 005'!I199</f>
        <v>0</v>
      </c>
      <c r="J199" s="91">
        <f t="shared" si="88"/>
        <v>1</v>
      </c>
      <c r="K199" s="84">
        <v>840</v>
      </c>
      <c r="L199" s="81">
        <f t="shared" si="82"/>
        <v>1064.7840924</v>
      </c>
      <c r="M199" s="82">
        <f t="shared" si="94"/>
        <v>0</v>
      </c>
      <c r="N199" s="82">
        <f t="shared" si="95"/>
        <v>0</v>
      </c>
      <c r="O199" s="82">
        <f>N199+'BM 005'!O199</f>
        <v>0</v>
      </c>
      <c r="P199" s="80">
        <f t="shared" si="96"/>
        <v>840</v>
      </c>
      <c r="Q199" s="82">
        <f t="shared" si="97"/>
        <v>1064.78</v>
      </c>
      <c r="R199" s="82">
        <f t="shared" si="98"/>
        <v>1064.78</v>
      </c>
    </row>
    <row r="200" spans="2:18" s="34" customFormat="1" ht="23.4">
      <c r="B200" s="75" t="s">
        <v>393</v>
      </c>
      <c r="C200" s="88" t="s">
        <v>394</v>
      </c>
      <c r="D200" s="89" t="s">
        <v>390</v>
      </c>
      <c r="E200" s="92">
        <v>6</v>
      </c>
      <c r="F200" s="91"/>
      <c r="G200" s="91"/>
      <c r="H200" s="91"/>
      <c r="I200" s="79">
        <f>SUM(G200:H200)+'BM 005'!I200</f>
        <v>0</v>
      </c>
      <c r="J200" s="91">
        <f t="shared" si="88"/>
        <v>6</v>
      </c>
      <c r="K200" s="84">
        <v>2190</v>
      </c>
      <c r="L200" s="81">
        <f t="shared" si="82"/>
        <v>2776.0442409000002</v>
      </c>
      <c r="M200" s="82">
        <f t="shared" si="94"/>
        <v>0</v>
      </c>
      <c r="N200" s="82">
        <f t="shared" si="95"/>
        <v>0</v>
      </c>
      <c r="O200" s="82">
        <f>N200+'BM 005'!O200</f>
        <v>0</v>
      </c>
      <c r="P200" s="80">
        <f t="shared" si="96"/>
        <v>13140</v>
      </c>
      <c r="Q200" s="82">
        <f t="shared" si="97"/>
        <v>16656.259999999998</v>
      </c>
      <c r="R200" s="82">
        <f t="shared" si="98"/>
        <v>16656.259999999998</v>
      </c>
    </row>
    <row r="201" spans="2:18" s="34" customFormat="1" ht="46.2">
      <c r="B201" s="75" t="s">
        <v>395</v>
      </c>
      <c r="C201" s="88" t="s">
        <v>396</v>
      </c>
      <c r="D201" s="89" t="s">
        <v>390</v>
      </c>
      <c r="E201" s="92">
        <v>24</v>
      </c>
      <c r="F201" s="91"/>
      <c r="G201" s="91"/>
      <c r="H201" s="91"/>
      <c r="I201" s="79">
        <f>SUM(G201:H201)+'BM 005'!I201</f>
        <v>0</v>
      </c>
      <c r="J201" s="91">
        <f t="shared" si="88"/>
        <v>24</v>
      </c>
      <c r="K201" s="84">
        <v>1950</v>
      </c>
      <c r="L201" s="81">
        <f t="shared" si="82"/>
        <v>2471.8202145</v>
      </c>
      <c r="M201" s="82">
        <f t="shared" si="94"/>
        <v>0</v>
      </c>
      <c r="N201" s="82">
        <f t="shared" si="95"/>
        <v>0</v>
      </c>
      <c r="O201" s="82">
        <f>N201+'BM 005'!O201</f>
        <v>0</v>
      </c>
      <c r="P201" s="80">
        <f t="shared" si="96"/>
        <v>46800</v>
      </c>
      <c r="Q201" s="82">
        <f t="shared" si="97"/>
        <v>59323.68</v>
      </c>
      <c r="R201" s="82">
        <f t="shared" si="98"/>
        <v>59323.68</v>
      </c>
    </row>
    <row r="202" spans="2:18" s="34" customFormat="1" ht="34.799999999999997">
      <c r="B202" s="75" t="s">
        <v>397</v>
      </c>
      <c r="C202" s="88" t="s">
        <v>398</v>
      </c>
      <c r="D202" s="89" t="s">
        <v>79</v>
      </c>
      <c r="E202" s="92">
        <v>17.82</v>
      </c>
      <c r="F202" s="91"/>
      <c r="G202" s="91"/>
      <c r="H202" s="91"/>
      <c r="I202" s="79">
        <f>SUM(G202:H202)+'BM 005'!I202</f>
        <v>0</v>
      </c>
      <c r="J202" s="91">
        <f t="shared" si="88"/>
        <v>17.82</v>
      </c>
      <c r="K202" s="84">
        <v>950</v>
      </c>
      <c r="L202" s="81">
        <f t="shared" si="82"/>
        <v>1204.2201045000002</v>
      </c>
      <c r="M202" s="82">
        <f t="shared" si="94"/>
        <v>0</v>
      </c>
      <c r="N202" s="82">
        <f t="shared" si="95"/>
        <v>0</v>
      </c>
      <c r="O202" s="82">
        <f>N202+'BM 005'!O202</f>
        <v>0</v>
      </c>
      <c r="P202" s="80">
        <f t="shared" si="96"/>
        <v>16929</v>
      </c>
      <c r="Q202" s="82">
        <f t="shared" si="97"/>
        <v>21459.200000000001</v>
      </c>
      <c r="R202" s="82">
        <f t="shared" si="98"/>
        <v>21459.200000000001</v>
      </c>
    </row>
    <row r="203" spans="2:18" s="34" customFormat="1" ht="46.2">
      <c r="B203" s="75" t="s">
        <v>399</v>
      </c>
      <c r="C203" s="88" t="s">
        <v>400</v>
      </c>
      <c r="D203" s="89" t="s">
        <v>63</v>
      </c>
      <c r="E203" s="92">
        <v>18</v>
      </c>
      <c r="F203" s="91"/>
      <c r="G203" s="91"/>
      <c r="H203" s="91"/>
      <c r="I203" s="79">
        <f>SUM(G203:H203)+'BM 005'!I203</f>
        <v>0</v>
      </c>
      <c r="J203" s="91">
        <f t="shared" si="88"/>
        <v>18</v>
      </c>
      <c r="K203" s="84">
        <v>2480</v>
      </c>
      <c r="L203" s="81">
        <f t="shared" si="82"/>
        <v>3143.6482728000001</v>
      </c>
      <c r="M203" s="82">
        <f t="shared" si="94"/>
        <v>0</v>
      </c>
      <c r="N203" s="82">
        <f t="shared" si="95"/>
        <v>0</v>
      </c>
      <c r="O203" s="82">
        <f>N203+'BM 005'!O203</f>
        <v>0</v>
      </c>
      <c r="P203" s="80">
        <f t="shared" si="96"/>
        <v>44640</v>
      </c>
      <c r="Q203" s="82">
        <f t="shared" si="97"/>
        <v>56585.66</v>
      </c>
      <c r="R203" s="82">
        <f t="shared" si="98"/>
        <v>56585.66</v>
      </c>
    </row>
    <row r="204" spans="2:18" s="34" customFormat="1" ht="46.2">
      <c r="B204" s="75" t="s">
        <v>401</v>
      </c>
      <c r="C204" s="88" t="s">
        <v>402</v>
      </c>
      <c r="D204" s="89" t="s">
        <v>63</v>
      </c>
      <c r="E204" s="92">
        <v>47</v>
      </c>
      <c r="F204" s="91"/>
      <c r="G204" s="91"/>
      <c r="H204" s="91"/>
      <c r="I204" s="79">
        <f>SUM(G204:H204)+'BM 005'!I204</f>
        <v>0</v>
      </c>
      <c r="J204" s="91">
        <f t="shared" si="88"/>
        <v>47</v>
      </c>
      <c r="K204" s="84">
        <v>1080</v>
      </c>
      <c r="L204" s="81">
        <f t="shared" si="82"/>
        <v>1369.0081188000001</v>
      </c>
      <c r="M204" s="82">
        <f t="shared" si="94"/>
        <v>0</v>
      </c>
      <c r="N204" s="82">
        <f t="shared" si="95"/>
        <v>0</v>
      </c>
      <c r="O204" s="82">
        <f>N204+'BM 005'!O204</f>
        <v>0</v>
      </c>
      <c r="P204" s="80">
        <f t="shared" si="96"/>
        <v>50760</v>
      </c>
      <c r="Q204" s="82">
        <f t="shared" si="97"/>
        <v>64343.38</v>
      </c>
      <c r="R204" s="82">
        <f t="shared" si="98"/>
        <v>64343.38</v>
      </c>
    </row>
    <row r="205" spans="2:18" s="34" customFormat="1" ht="13.2">
      <c r="B205" s="66" t="s">
        <v>403</v>
      </c>
      <c r="C205" s="67" t="s">
        <v>404</v>
      </c>
      <c r="D205" s="68"/>
      <c r="E205" s="69"/>
      <c r="F205" s="70"/>
      <c r="G205" s="70"/>
      <c r="H205" s="70"/>
      <c r="I205" s="70">
        <f>SUM(G205:H205)+'BM 005'!I205</f>
        <v>0</v>
      </c>
      <c r="J205" s="70">
        <f t="shared" si="88"/>
        <v>0</v>
      </c>
      <c r="K205" s="71"/>
      <c r="L205" s="71">
        <f t="shared" si="82"/>
        <v>0</v>
      </c>
      <c r="M205" s="73">
        <f t="shared" ref="M205:R205" si="99">SUM(M206:M214)</f>
        <v>0</v>
      </c>
      <c r="N205" s="73">
        <f t="shared" si="99"/>
        <v>0</v>
      </c>
      <c r="O205" s="73">
        <f t="shared" si="99"/>
        <v>0</v>
      </c>
      <c r="P205" s="73">
        <f t="shared" si="99"/>
        <v>987536.55</v>
      </c>
      <c r="Q205" s="73">
        <f t="shared" si="99"/>
        <v>1251801.3999999999</v>
      </c>
      <c r="R205" s="73">
        <f t="shared" si="99"/>
        <v>1251801.3999999999</v>
      </c>
    </row>
    <row r="206" spans="2:18" s="34" customFormat="1" ht="46.2">
      <c r="B206" s="87" t="s">
        <v>405</v>
      </c>
      <c r="C206" s="88" t="s">
        <v>406</v>
      </c>
      <c r="D206" s="89" t="s">
        <v>124</v>
      </c>
      <c r="E206" s="92">
        <v>158.59</v>
      </c>
      <c r="F206" s="91"/>
      <c r="G206" s="91"/>
      <c r="H206" s="91"/>
      <c r="I206" s="79">
        <f>SUM(G206:H206)+'BM 005'!I206</f>
        <v>0</v>
      </c>
      <c r="J206" s="91">
        <f t="shared" si="88"/>
        <v>158.59</v>
      </c>
      <c r="K206" s="84">
        <v>415</v>
      </c>
      <c r="L206" s="81">
        <f t="shared" si="82"/>
        <v>526.05404565000003</v>
      </c>
      <c r="M206" s="82">
        <f t="shared" ref="M206:M214" si="100">TRUNC(F206*L206,2)</f>
        <v>0</v>
      </c>
      <c r="N206" s="82">
        <f t="shared" ref="N206:N214" si="101">TRUNC(G206*L206,2)</f>
        <v>0</v>
      </c>
      <c r="O206" s="82">
        <f>N206+'BM 005'!O206</f>
        <v>0</v>
      </c>
      <c r="P206" s="80">
        <f t="shared" ref="P206:P214" si="102">E206*K206</f>
        <v>65814.850000000006</v>
      </c>
      <c r="Q206" s="82">
        <f t="shared" ref="Q206:Q214" si="103">TRUNC(E206*L206,2)</f>
        <v>83426.91</v>
      </c>
      <c r="R206" s="82">
        <f t="shared" ref="R206:R214" si="104">Q206-O206</f>
        <v>83426.91</v>
      </c>
    </row>
    <row r="207" spans="2:18" s="34" customFormat="1" ht="13.2">
      <c r="B207" s="87" t="s">
        <v>407</v>
      </c>
      <c r="C207" s="88" t="s">
        <v>408</v>
      </c>
      <c r="D207" s="89" t="s">
        <v>124</v>
      </c>
      <c r="E207" s="92">
        <v>198.52</v>
      </c>
      <c r="F207" s="91"/>
      <c r="G207" s="91"/>
      <c r="H207" s="91"/>
      <c r="I207" s="79">
        <f>SUM(G207:H207)+'BM 005'!I207</f>
        <v>0</v>
      </c>
      <c r="J207" s="91">
        <f t="shared" si="88"/>
        <v>198.52</v>
      </c>
      <c r="K207" s="84">
        <v>455</v>
      </c>
      <c r="L207" s="81">
        <f t="shared" si="82"/>
        <v>576.75805005000007</v>
      </c>
      <c r="M207" s="82">
        <f t="shared" si="100"/>
        <v>0</v>
      </c>
      <c r="N207" s="82">
        <f t="shared" si="101"/>
        <v>0</v>
      </c>
      <c r="O207" s="82">
        <f>N207+'BM 005'!O207</f>
        <v>0</v>
      </c>
      <c r="P207" s="80">
        <f t="shared" si="102"/>
        <v>90326.6</v>
      </c>
      <c r="Q207" s="82">
        <f t="shared" si="103"/>
        <v>114498</v>
      </c>
      <c r="R207" s="82">
        <f t="shared" si="104"/>
        <v>114498</v>
      </c>
    </row>
    <row r="208" spans="2:18" s="34" customFormat="1" ht="23.4">
      <c r="B208" s="87" t="s">
        <v>409</v>
      </c>
      <c r="C208" s="88" t="s">
        <v>410</v>
      </c>
      <c r="D208" s="89" t="s">
        <v>124</v>
      </c>
      <c r="E208" s="92">
        <v>129.65</v>
      </c>
      <c r="F208" s="91"/>
      <c r="G208" s="91"/>
      <c r="H208" s="91"/>
      <c r="I208" s="79">
        <f>SUM(G208:H208)+'BM 005'!I208</f>
        <v>0</v>
      </c>
      <c r="J208" s="91">
        <f t="shared" si="88"/>
        <v>129.65</v>
      </c>
      <c r="K208" s="84">
        <v>745</v>
      </c>
      <c r="L208" s="81">
        <f t="shared" si="82"/>
        <v>944.36208195000006</v>
      </c>
      <c r="M208" s="82">
        <f t="shared" si="100"/>
        <v>0</v>
      </c>
      <c r="N208" s="82">
        <f t="shared" si="101"/>
        <v>0</v>
      </c>
      <c r="O208" s="82">
        <f>N208+'BM 005'!O208</f>
        <v>0</v>
      </c>
      <c r="P208" s="80">
        <f t="shared" si="102"/>
        <v>96589.25</v>
      </c>
      <c r="Q208" s="82">
        <f t="shared" si="103"/>
        <v>122436.54</v>
      </c>
      <c r="R208" s="82">
        <f t="shared" si="104"/>
        <v>122436.54</v>
      </c>
    </row>
    <row r="209" spans="1:23" s="34" customFormat="1" ht="23.4">
      <c r="B209" s="87" t="s">
        <v>411</v>
      </c>
      <c r="C209" s="88" t="s">
        <v>412</v>
      </c>
      <c r="D209" s="89" t="s">
        <v>124</v>
      </c>
      <c r="E209" s="92">
        <v>98.74</v>
      </c>
      <c r="F209" s="91"/>
      <c r="G209" s="91"/>
      <c r="H209" s="91"/>
      <c r="I209" s="79">
        <f>SUM(G209:H209)+'BM 005'!I209</f>
        <v>0</v>
      </c>
      <c r="J209" s="91">
        <f t="shared" si="88"/>
        <v>98.74</v>
      </c>
      <c r="K209" s="84">
        <v>855</v>
      </c>
      <c r="L209" s="81">
        <f t="shared" si="82"/>
        <v>1083.7980940500001</v>
      </c>
      <c r="M209" s="82">
        <f t="shared" si="100"/>
        <v>0</v>
      </c>
      <c r="N209" s="82">
        <f t="shared" si="101"/>
        <v>0</v>
      </c>
      <c r="O209" s="82">
        <f>N209+'BM 005'!O209</f>
        <v>0</v>
      </c>
      <c r="P209" s="80">
        <f t="shared" si="102"/>
        <v>84422.7</v>
      </c>
      <c r="Q209" s="82">
        <f t="shared" si="103"/>
        <v>107014.22</v>
      </c>
      <c r="R209" s="82">
        <f t="shared" si="104"/>
        <v>107014.22</v>
      </c>
    </row>
    <row r="210" spans="1:23" s="34" customFormat="1" ht="69">
      <c r="B210" s="87" t="s">
        <v>413</v>
      </c>
      <c r="C210" s="88" t="s">
        <v>414</v>
      </c>
      <c r="D210" s="89" t="s">
        <v>82</v>
      </c>
      <c r="E210" s="92">
        <v>12</v>
      </c>
      <c r="F210" s="91"/>
      <c r="G210" s="91"/>
      <c r="H210" s="91"/>
      <c r="I210" s="79">
        <f>SUM(G210:H210)+'BM 005'!I210</f>
        <v>0</v>
      </c>
      <c r="J210" s="91">
        <f t="shared" si="88"/>
        <v>12</v>
      </c>
      <c r="K210" s="84">
        <v>1650</v>
      </c>
      <c r="L210" s="81">
        <f t="shared" si="82"/>
        <v>2091.5401815</v>
      </c>
      <c r="M210" s="82">
        <f t="shared" si="100"/>
        <v>0</v>
      </c>
      <c r="N210" s="82">
        <f t="shared" si="101"/>
        <v>0</v>
      </c>
      <c r="O210" s="82">
        <f>N210+'BM 005'!O210</f>
        <v>0</v>
      </c>
      <c r="P210" s="80">
        <f t="shared" si="102"/>
        <v>19800</v>
      </c>
      <c r="Q210" s="82">
        <f t="shared" si="103"/>
        <v>25098.48</v>
      </c>
      <c r="R210" s="82">
        <f t="shared" si="104"/>
        <v>25098.48</v>
      </c>
    </row>
    <row r="211" spans="1:23" s="34" customFormat="1" ht="13.2">
      <c r="B211" s="87" t="s">
        <v>415</v>
      </c>
      <c r="C211" s="88" t="s">
        <v>416</v>
      </c>
      <c r="D211" s="89" t="s">
        <v>79</v>
      </c>
      <c r="E211" s="92">
        <v>72.650000000000006</v>
      </c>
      <c r="F211" s="91"/>
      <c r="G211" s="91"/>
      <c r="H211" s="91"/>
      <c r="I211" s="79">
        <f>SUM(G211:H211)+'BM 005'!I211</f>
        <v>0</v>
      </c>
      <c r="J211" s="91">
        <f t="shared" si="88"/>
        <v>72.650000000000006</v>
      </c>
      <c r="K211" s="84">
        <v>485</v>
      </c>
      <c r="L211" s="81">
        <f t="shared" si="82"/>
        <v>614.78605334999997</v>
      </c>
      <c r="M211" s="82">
        <f t="shared" si="100"/>
        <v>0</v>
      </c>
      <c r="N211" s="82">
        <f t="shared" si="101"/>
        <v>0</v>
      </c>
      <c r="O211" s="82">
        <f>N211+'BM 005'!O211</f>
        <v>0</v>
      </c>
      <c r="P211" s="80">
        <f t="shared" si="102"/>
        <v>35235.25</v>
      </c>
      <c r="Q211" s="82">
        <f t="shared" si="103"/>
        <v>44664.2</v>
      </c>
      <c r="R211" s="82">
        <f t="shared" si="104"/>
        <v>44664.2</v>
      </c>
    </row>
    <row r="212" spans="1:23" s="34" customFormat="1" ht="23.4">
      <c r="B212" s="87" t="s">
        <v>417</v>
      </c>
      <c r="C212" s="88" t="s">
        <v>418</v>
      </c>
      <c r="D212" s="89" t="s">
        <v>79</v>
      </c>
      <c r="E212" s="92">
        <v>51.22</v>
      </c>
      <c r="F212" s="91"/>
      <c r="G212" s="91"/>
      <c r="H212" s="91"/>
      <c r="I212" s="79">
        <f>SUM(G212:H212)+'BM 005'!I212</f>
        <v>0</v>
      </c>
      <c r="J212" s="91">
        <f t="shared" si="88"/>
        <v>51.22</v>
      </c>
      <c r="K212" s="84">
        <v>1350</v>
      </c>
      <c r="L212" s="81">
        <f t="shared" si="82"/>
        <v>1711.2601485</v>
      </c>
      <c r="M212" s="82">
        <f t="shared" si="100"/>
        <v>0</v>
      </c>
      <c r="N212" s="82">
        <f t="shared" si="101"/>
        <v>0</v>
      </c>
      <c r="O212" s="82">
        <f>N212+'BM 005'!O212</f>
        <v>0</v>
      </c>
      <c r="P212" s="80">
        <f t="shared" si="102"/>
        <v>69147</v>
      </c>
      <c r="Q212" s="82">
        <f t="shared" si="103"/>
        <v>87650.74</v>
      </c>
      <c r="R212" s="82">
        <f t="shared" si="104"/>
        <v>87650.74</v>
      </c>
    </row>
    <row r="213" spans="1:23" s="34" customFormat="1" ht="46.2">
      <c r="B213" s="87" t="s">
        <v>419</v>
      </c>
      <c r="C213" s="88" t="s">
        <v>420</v>
      </c>
      <c r="D213" s="89" t="s">
        <v>79</v>
      </c>
      <c r="E213" s="92">
        <v>98</v>
      </c>
      <c r="F213" s="91"/>
      <c r="G213" s="91"/>
      <c r="H213" s="91"/>
      <c r="I213" s="79">
        <f>SUM(G213:H213)+'BM 005'!I213</f>
        <v>0</v>
      </c>
      <c r="J213" s="91">
        <f t="shared" si="88"/>
        <v>98</v>
      </c>
      <c r="K213" s="84">
        <v>498</v>
      </c>
      <c r="L213" s="81">
        <f t="shared" si="82"/>
        <v>631.26485478000006</v>
      </c>
      <c r="M213" s="82">
        <f t="shared" si="100"/>
        <v>0</v>
      </c>
      <c r="N213" s="82">
        <f t="shared" si="101"/>
        <v>0</v>
      </c>
      <c r="O213" s="82">
        <f>N213+'BM 005'!O213</f>
        <v>0</v>
      </c>
      <c r="P213" s="80">
        <f t="shared" si="102"/>
        <v>48804</v>
      </c>
      <c r="Q213" s="82">
        <f t="shared" si="103"/>
        <v>61863.95</v>
      </c>
      <c r="R213" s="82">
        <f t="shared" si="104"/>
        <v>61863.95</v>
      </c>
    </row>
    <row r="214" spans="1:23" s="107" customFormat="1" ht="34.799999999999997">
      <c r="A214" s="34"/>
      <c r="B214" s="87" t="s">
        <v>421</v>
      </c>
      <c r="C214" s="88" t="s">
        <v>422</v>
      </c>
      <c r="D214" s="89" t="s">
        <v>79</v>
      </c>
      <c r="E214" s="92">
        <v>342.22</v>
      </c>
      <c r="F214" s="91"/>
      <c r="G214" s="91"/>
      <c r="H214" s="91"/>
      <c r="I214" s="79">
        <f>SUM(G214:H214)+'BM 005'!I214</f>
        <v>0</v>
      </c>
      <c r="J214" s="91">
        <f t="shared" si="88"/>
        <v>342.22</v>
      </c>
      <c r="K214" s="84">
        <v>1395</v>
      </c>
      <c r="L214" s="81">
        <f t="shared" si="82"/>
        <v>1768.3021534500001</v>
      </c>
      <c r="M214" s="82">
        <f t="shared" si="100"/>
        <v>0</v>
      </c>
      <c r="N214" s="82">
        <f t="shared" si="101"/>
        <v>0</v>
      </c>
      <c r="O214" s="82">
        <f>N214+'BM 005'!O214</f>
        <v>0</v>
      </c>
      <c r="P214" s="80">
        <f t="shared" si="102"/>
        <v>477396.9</v>
      </c>
      <c r="Q214" s="82">
        <f t="shared" si="103"/>
        <v>605148.36</v>
      </c>
      <c r="R214" s="82">
        <f t="shared" si="104"/>
        <v>605148.36</v>
      </c>
      <c r="S214" s="34"/>
      <c r="T214" s="34"/>
      <c r="U214" s="34"/>
      <c r="V214" s="34"/>
      <c r="W214" s="34"/>
    </row>
    <row r="215" spans="1:23" s="34" customFormat="1" ht="13.2">
      <c r="B215" s="60" t="s">
        <v>423</v>
      </c>
      <c r="C215" s="61" t="s">
        <v>424</v>
      </c>
      <c r="D215" s="60"/>
      <c r="E215" s="62"/>
      <c r="F215" s="63"/>
      <c r="G215" s="63"/>
      <c r="H215" s="63"/>
      <c r="I215" s="63">
        <f>SUM(G215:H215)+'BM 005'!I215</f>
        <v>0</v>
      </c>
      <c r="J215" s="63">
        <f t="shared" si="88"/>
        <v>0</v>
      </c>
      <c r="K215" s="63"/>
      <c r="L215" s="63">
        <f t="shared" si="82"/>
        <v>0</v>
      </c>
      <c r="M215" s="63">
        <f t="shared" ref="M215:R215" si="105">SUM(M216:M221)</f>
        <v>0</v>
      </c>
      <c r="N215" s="63">
        <f t="shared" si="105"/>
        <v>0</v>
      </c>
      <c r="O215" s="63">
        <f t="shared" si="105"/>
        <v>0</v>
      </c>
      <c r="P215" s="63">
        <f t="shared" si="105"/>
        <v>1326910.8099999998</v>
      </c>
      <c r="Q215" s="63">
        <f t="shared" si="105"/>
        <v>1681992.2700000003</v>
      </c>
      <c r="R215" s="63">
        <f t="shared" si="105"/>
        <v>1681992.2700000003</v>
      </c>
    </row>
    <row r="216" spans="1:23" s="34" customFormat="1" ht="23.4">
      <c r="B216" s="87" t="s">
        <v>425</v>
      </c>
      <c r="C216" s="88" t="s">
        <v>426</v>
      </c>
      <c r="D216" s="89" t="s">
        <v>79</v>
      </c>
      <c r="E216" s="90">
        <f>E143+E147</f>
        <v>25549.96</v>
      </c>
      <c r="F216" s="91"/>
      <c r="G216" s="91"/>
      <c r="H216" s="91"/>
      <c r="I216" s="79">
        <f>SUM(G216:H216)+'BM 005'!I216</f>
        <v>0</v>
      </c>
      <c r="J216" s="91">
        <f t="shared" si="88"/>
        <v>25549.96</v>
      </c>
      <c r="K216" s="84">
        <v>16</v>
      </c>
      <c r="L216" s="81">
        <f t="shared" si="82"/>
        <v>20.281601760000001</v>
      </c>
      <c r="M216" s="82">
        <f t="shared" ref="M216:M221" si="106">TRUNC(F216*L216,2)</f>
        <v>0</v>
      </c>
      <c r="N216" s="82">
        <f t="shared" ref="N216:N221" si="107">TRUNC(G216*L216,2)</f>
        <v>0</v>
      </c>
      <c r="O216" s="82">
        <f>N216+'BM 005'!O216</f>
        <v>0</v>
      </c>
      <c r="P216" s="80">
        <f t="shared" ref="P216:P221" si="108">E216*K216</f>
        <v>408799.36</v>
      </c>
      <c r="Q216" s="82">
        <f t="shared" ref="Q216:Q221" si="109">TRUNC(E216*L216,2)</f>
        <v>518194.11</v>
      </c>
      <c r="R216" s="82">
        <f t="shared" ref="R216:R221" si="110">Q216-O216</f>
        <v>518194.11</v>
      </c>
    </row>
    <row r="217" spans="1:23" s="34" customFormat="1" ht="23.4">
      <c r="B217" s="87" t="s">
        <v>427</v>
      </c>
      <c r="C217" s="88" t="s">
        <v>428</v>
      </c>
      <c r="D217" s="89" t="s">
        <v>79</v>
      </c>
      <c r="E217" s="90">
        <f>E171</f>
        <v>3789.02</v>
      </c>
      <c r="F217" s="91"/>
      <c r="G217" s="91"/>
      <c r="H217" s="91"/>
      <c r="I217" s="79">
        <f>SUM(G217:H217)+'BM 005'!I217</f>
        <v>0</v>
      </c>
      <c r="J217" s="91">
        <f t="shared" si="88"/>
        <v>3789.02</v>
      </c>
      <c r="K217" s="84">
        <v>25</v>
      </c>
      <c r="L217" s="81">
        <f t="shared" si="82"/>
        <v>31.690002750000001</v>
      </c>
      <c r="M217" s="82">
        <f t="shared" si="106"/>
        <v>0</v>
      </c>
      <c r="N217" s="82">
        <f t="shared" si="107"/>
        <v>0</v>
      </c>
      <c r="O217" s="82">
        <f>N217+'BM 005'!O217</f>
        <v>0</v>
      </c>
      <c r="P217" s="80">
        <f t="shared" si="108"/>
        <v>94725.5</v>
      </c>
      <c r="Q217" s="82">
        <f t="shared" si="109"/>
        <v>120074.05</v>
      </c>
      <c r="R217" s="82">
        <f t="shared" si="110"/>
        <v>120074.05</v>
      </c>
    </row>
    <row r="218" spans="1:23" s="34" customFormat="1" ht="23.4">
      <c r="B218" s="87" t="s">
        <v>429</v>
      </c>
      <c r="C218" s="88" t="s">
        <v>430</v>
      </c>
      <c r="D218" s="89" t="s">
        <v>79</v>
      </c>
      <c r="E218" s="90">
        <f>E216</f>
        <v>25549.96</v>
      </c>
      <c r="F218" s="91"/>
      <c r="G218" s="91"/>
      <c r="H218" s="91"/>
      <c r="I218" s="79">
        <f>SUM(G218:H218)+'BM 005'!I218</f>
        <v>0</v>
      </c>
      <c r="J218" s="91">
        <f t="shared" si="88"/>
        <v>25549.96</v>
      </c>
      <c r="K218" s="84">
        <v>4.5</v>
      </c>
      <c r="L218" s="81">
        <f t="shared" si="82"/>
        <v>5.7042004950000003</v>
      </c>
      <c r="M218" s="82">
        <f t="shared" si="106"/>
        <v>0</v>
      </c>
      <c r="N218" s="82">
        <f t="shared" si="107"/>
        <v>0</v>
      </c>
      <c r="O218" s="82">
        <f>N218+'BM 005'!O218</f>
        <v>0</v>
      </c>
      <c r="P218" s="80">
        <f t="shared" si="108"/>
        <v>114974.81999999999</v>
      </c>
      <c r="Q218" s="82">
        <f t="shared" si="109"/>
        <v>145742.09</v>
      </c>
      <c r="R218" s="82">
        <f t="shared" si="110"/>
        <v>145742.09</v>
      </c>
    </row>
    <row r="219" spans="1:23" s="34" customFormat="1" ht="23.4">
      <c r="B219" s="87" t="s">
        <v>431</v>
      </c>
      <c r="C219" s="88" t="s">
        <v>432</v>
      </c>
      <c r="D219" s="89" t="s">
        <v>79</v>
      </c>
      <c r="E219" s="90">
        <f>E217</f>
        <v>3789.02</v>
      </c>
      <c r="F219" s="91"/>
      <c r="G219" s="91"/>
      <c r="H219" s="91"/>
      <c r="I219" s="79">
        <f>SUM(G219:H219)+'BM 005'!I219</f>
        <v>0</v>
      </c>
      <c r="J219" s="91">
        <f t="shared" si="88"/>
        <v>3789.02</v>
      </c>
      <c r="K219" s="84">
        <v>5</v>
      </c>
      <c r="L219" s="81">
        <f t="shared" si="82"/>
        <v>6.3380005500000003</v>
      </c>
      <c r="M219" s="82">
        <f t="shared" si="106"/>
        <v>0</v>
      </c>
      <c r="N219" s="82">
        <f t="shared" si="107"/>
        <v>0</v>
      </c>
      <c r="O219" s="82">
        <f>N219+'BM 005'!O219</f>
        <v>0</v>
      </c>
      <c r="P219" s="80">
        <f t="shared" si="108"/>
        <v>18945.099999999999</v>
      </c>
      <c r="Q219" s="82">
        <f t="shared" si="109"/>
        <v>24014.81</v>
      </c>
      <c r="R219" s="82">
        <f t="shared" si="110"/>
        <v>24014.81</v>
      </c>
    </row>
    <row r="220" spans="1:23" s="34" customFormat="1" ht="23.4">
      <c r="B220" s="87" t="s">
        <v>433</v>
      </c>
      <c r="C220" s="88" t="s">
        <v>434</v>
      </c>
      <c r="D220" s="89" t="s">
        <v>79</v>
      </c>
      <c r="E220" s="90">
        <f>E216</f>
        <v>25549.96</v>
      </c>
      <c r="F220" s="91"/>
      <c r="G220" s="91"/>
      <c r="H220" s="91"/>
      <c r="I220" s="79">
        <f>SUM(G220:H220)+'BM 005'!I220</f>
        <v>0</v>
      </c>
      <c r="J220" s="91">
        <f t="shared" si="88"/>
        <v>25549.96</v>
      </c>
      <c r="K220" s="84">
        <v>23.5</v>
      </c>
      <c r="L220" s="81">
        <f t="shared" si="82"/>
        <v>29.788602585</v>
      </c>
      <c r="M220" s="82">
        <f t="shared" si="106"/>
        <v>0</v>
      </c>
      <c r="N220" s="82">
        <f t="shared" si="107"/>
        <v>0</v>
      </c>
      <c r="O220" s="82">
        <f>N220+'BM 005'!O220</f>
        <v>0</v>
      </c>
      <c r="P220" s="80">
        <f t="shared" si="108"/>
        <v>600424.05999999994</v>
      </c>
      <c r="Q220" s="82">
        <f t="shared" si="109"/>
        <v>761097.6</v>
      </c>
      <c r="R220" s="82">
        <f t="shared" si="110"/>
        <v>761097.6</v>
      </c>
    </row>
    <row r="221" spans="1:23" s="34" customFormat="1" ht="23.4">
      <c r="B221" s="87" t="s">
        <v>435</v>
      </c>
      <c r="C221" s="88" t="s">
        <v>436</v>
      </c>
      <c r="D221" s="89" t="s">
        <v>79</v>
      </c>
      <c r="E221" s="90">
        <f>E219</f>
        <v>3789.02</v>
      </c>
      <c r="F221" s="91"/>
      <c r="G221" s="91"/>
      <c r="H221" s="91"/>
      <c r="I221" s="79">
        <f>SUM(G221:H221)+'BM 005'!I221</f>
        <v>0</v>
      </c>
      <c r="J221" s="91">
        <f t="shared" si="88"/>
        <v>3789.02</v>
      </c>
      <c r="K221" s="84">
        <v>23.5</v>
      </c>
      <c r="L221" s="81">
        <f t="shared" ref="L221:L284" si="111">K221*(1+$T$26)</f>
        <v>29.788602585</v>
      </c>
      <c r="M221" s="82">
        <f t="shared" si="106"/>
        <v>0</v>
      </c>
      <c r="N221" s="82">
        <f t="shared" si="107"/>
        <v>0</v>
      </c>
      <c r="O221" s="82">
        <f>N221+'BM 005'!O221</f>
        <v>0</v>
      </c>
      <c r="P221" s="80">
        <f t="shared" si="108"/>
        <v>89041.97</v>
      </c>
      <c r="Q221" s="82">
        <f t="shared" si="109"/>
        <v>112869.61</v>
      </c>
      <c r="R221" s="82">
        <f t="shared" si="110"/>
        <v>112869.61</v>
      </c>
    </row>
    <row r="222" spans="1:23" s="34" customFormat="1" ht="13.2">
      <c r="A222" s="107"/>
      <c r="B222" s="60" t="s">
        <v>437</v>
      </c>
      <c r="C222" s="61" t="s">
        <v>438</v>
      </c>
      <c r="D222" s="60"/>
      <c r="E222" s="62"/>
      <c r="F222" s="63"/>
      <c r="G222" s="63"/>
      <c r="H222" s="63"/>
      <c r="I222" s="63">
        <f>SUM(G222:H222)+'BM 005'!I222</f>
        <v>0</v>
      </c>
      <c r="J222" s="63">
        <f t="shared" si="88"/>
        <v>0</v>
      </c>
      <c r="K222" s="63"/>
      <c r="L222" s="63">
        <f t="shared" si="111"/>
        <v>0</v>
      </c>
      <c r="M222" s="63">
        <f t="shared" ref="M222:R222" si="112">SUM(M223:M224)</f>
        <v>0</v>
      </c>
      <c r="N222" s="63">
        <f t="shared" si="112"/>
        <v>0</v>
      </c>
      <c r="O222" s="63">
        <f t="shared" si="112"/>
        <v>0</v>
      </c>
      <c r="P222" s="63">
        <f t="shared" si="112"/>
        <v>13739.5</v>
      </c>
      <c r="Q222" s="63">
        <f t="shared" si="112"/>
        <v>17416.18</v>
      </c>
      <c r="R222" s="63">
        <f t="shared" si="112"/>
        <v>17416.18</v>
      </c>
      <c r="S222" s="107"/>
      <c r="T222" s="107"/>
      <c r="U222" s="107"/>
      <c r="V222" s="107"/>
      <c r="W222" s="107"/>
    </row>
    <row r="223" spans="1:23" s="34" customFormat="1" ht="13.2">
      <c r="B223" s="87" t="s">
        <v>439</v>
      </c>
      <c r="C223" s="88" t="s">
        <v>440</v>
      </c>
      <c r="D223" s="89" t="s">
        <v>124</v>
      </c>
      <c r="E223" s="90">
        <v>199.3</v>
      </c>
      <c r="F223" s="91"/>
      <c r="G223" s="91"/>
      <c r="H223" s="91"/>
      <c r="I223" s="79">
        <f>SUM(G223:H223)+'BM 005'!I223</f>
        <v>0</v>
      </c>
      <c r="J223" s="91">
        <f t="shared" ref="J223:J286" si="113">E223-I223</f>
        <v>199.3</v>
      </c>
      <c r="K223" s="84">
        <v>25</v>
      </c>
      <c r="L223" s="81">
        <f t="shared" si="111"/>
        <v>31.690002750000001</v>
      </c>
      <c r="M223" s="82">
        <f>TRUNC(F223*L223,2)</f>
        <v>0</v>
      </c>
      <c r="N223" s="82">
        <f>TRUNC(G223*L223,2)</f>
        <v>0</v>
      </c>
      <c r="O223" s="82">
        <f>N223+'BM 005'!O223</f>
        <v>0</v>
      </c>
      <c r="P223" s="80">
        <f>E223*K223</f>
        <v>4982.5</v>
      </c>
      <c r="Q223" s="82">
        <f>TRUNC(E223*L223,2)</f>
        <v>6315.81</v>
      </c>
      <c r="R223" s="82">
        <f>Q223-O223</f>
        <v>6315.81</v>
      </c>
    </row>
    <row r="224" spans="1:23" s="34" customFormat="1" ht="23.4">
      <c r="B224" s="87" t="s">
        <v>441</v>
      </c>
      <c r="C224" s="88" t="s">
        <v>442</v>
      </c>
      <c r="D224" s="89" t="s">
        <v>124</v>
      </c>
      <c r="E224" s="92">
        <v>250.2</v>
      </c>
      <c r="F224" s="91"/>
      <c r="G224" s="91"/>
      <c r="H224" s="91"/>
      <c r="I224" s="79">
        <f>SUM(G224:H224)+'BM 005'!I224</f>
        <v>0</v>
      </c>
      <c r="J224" s="91">
        <f t="shared" si="113"/>
        <v>250.2</v>
      </c>
      <c r="K224" s="84">
        <v>35</v>
      </c>
      <c r="L224" s="81">
        <f t="shared" si="111"/>
        <v>44.366003849999998</v>
      </c>
      <c r="M224" s="82">
        <f>TRUNC(F224*L224,2)</f>
        <v>0</v>
      </c>
      <c r="N224" s="82">
        <f>TRUNC(G224*L224,2)</f>
        <v>0</v>
      </c>
      <c r="O224" s="82">
        <f>N224+'BM 005'!O224</f>
        <v>0</v>
      </c>
      <c r="P224" s="80">
        <f>E224*K224</f>
        <v>8757</v>
      </c>
      <c r="Q224" s="82">
        <f>TRUNC(E224*L224,2)</f>
        <v>11100.37</v>
      </c>
      <c r="R224" s="82">
        <f>Q224-O224</f>
        <v>11100.37</v>
      </c>
    </row>
    <row r="225" spans="2:20" s="34" customFormat="1" ht="13.2">
      <c r="B225" s="60" t="s">
        <v>443</v>
      </c>
      <c r="C225" s="61" t="s">
        <v>444</v>
      </c>
      <c r="D225" s="60"/>
      <c r="E225" s="62"/>
      <c r="F225" s="63"/>
      <c r="G225" s="63"/>
      <c r="H225" s="63"/>
      <c r="I225" s="63">
        <f>SUM(G225:H225)+'BM 005'!I225</f>
        <v>0</v>
      </c>
      <c r="J225" s="63">
        <f t="shared" si="113"/>
        <v>0</v>
      </c>
      <c r="K225" s="63"/>
      <c r="L225" s="63">
        <f t="shared" si="111"/>
        <v>0</v>
      </c>
      <c r="M225" s="63">
        <f t="shared" ref="M225:R225" si="114">SUM(M226,M240,M255,M291,M296,M307,M315)</f>
        <v>0</v>
      </c>
      <c r="N225" s="63">
        <f t="shared" si="114"/>
        <v>0</v>
      </c>
      <c r="O225" s="63">
        <f t="shared" si="114"/>
        <v>0</v>
      </c>
      <c r="P225" s="63">
        <f t="shared" si="114"/>
        <v>679789.94300000009</v>
      </c>
      <c r="Q225" s="63">
        <f t="shared" si="114"/>
        <v>861701.45999999985</v>
      </c>
      <c r="R225" s="63">
        <f t="shared" si="114"/>
        <v>861701.45999999985</v>
      </c>
    </row>
    <row r="226" spans="2:20" s="34" customFormat="1" ht="24">
      <c r="B226" s="66" t="s">
        <v>445</v>
      </c>
      <c r="C226" s="67" t="s">
        <v>446</v>
      </c>
      <c r="D226" s="68"/>
      <c r="E226" s="69"/>
      <c r="F226" s="70"/>
      <c r="G226" s="70"/>
      <c r="H226" s="70"/>
      <c r="I226" s="70">
        <f>SUM(G226:H226)+'BM 005'!I226</f>
        <v>0</v>
      </c>
      <c r="J226" s="70">
        <f t="shared" si="113"/>
        <v>0</v>
      </c>
      <c r="K226" s="71"/>
      <c r="L226" s="71">
        <f t="shared" si="111"/>
        <v>0</v>
      </c>
      <c r="M226" s="73">
        <f t="shared" ref="M226:R226" si="115">SUM(M227:M239)</f>
        <v>0</v>
      </c>
      <c r="N226" s="73">
        <f t="shared" si="115"/>
        <v>0</v>
      </c>
      <c r="O226" s="73">
        <f t="shared" si="115"/>
        <v>0</v>
      </c>
      <c r="P226" s="73">
        <f t="shared" si="115"/>
        <v>135121.34</v>
      </c>
      <c r="Q226" s="73">
        <f t="shared" si="115"/>
        <v>171279.75999999998</v>
      </c>
      <c r="R226" s="73">
        <f t="shared" si="115"/>
        <v>171279.75999999998</v>
      </c>
    </row>
    <row r="227" spans="2:20" s="34" customFormat="1" ht="23.4">
      <c r="B227" s="87" t="s">
        <v>447</v>
      </c>
      <c r="C227" s="88" t="s">
        <v>448</v>
      </c>
      <c r="D227" s="89" t="s">
        <v>82</v>
      </c>
      <c r="E227" s="90">
        <v>787.32</v>
      </c>
      <c r="F227" s="91"/>
      <c r="G227" s="91"/>
      <c r="H227" s="91"/>
      <c r="I227" s="91">
        <f>SUM(G227:H227)+'BM 005'!I227</f>
        <v>0</v>
      </c>
      <c r="J227" s="91">
        <f t="shared" si="113"/>
        <v>787.32</v>
      </c>
      <c r="K227" s="80">
        <v>70</v>
      </c>
      <c r="L227" s="81">
        <f t="shared" si="111"/>
        <v>88.732007699999997</v>
      </c>
      <c r="M227" s="82">
        <f t="shared" ref="M227:M239" si="116">TRUNC(F227*L227,2)</f>
        <v>0</v>
      </c>
      <c r="N227" s="82">
        <f t="shared" ref="N227:N239" si="117">TRUNC(G227*L227,2)</f>
        <v>0</v>
      </c>
      <c r="O227" s="82">
        <f>N227+'BM 005'!O227</f>
        <v>0</v>
      </c>
      <c r="P227" s="80">
        <f t="shared" ref="P227:P239" si="118">E227*K227</f>
        <v>55112.4</v>
      </c>
      <c r="Q227" s="82">
        <f t="shared" ref="Q227:Q239" si="119">TRUNC(E227*L227,2)</f>
        <v>69860.479999999996</v>
      </c>
      <c r="R227" s="82">
        <f t="shared" ref="R227:R239" si="120">Q227-O227</f>
        <v>69860.479999999996</v>
      </c>
    </row>
    <row r="228" spans="2:20" s="34" customFormat="1" ht="23.4">
      <c r="B228" s="87" t="s">
        <v>449</v>
      </c>
      <c r="C228" s="88" t="s">
        <v>450</v>
      </c>
      <c r="D228" s="89" t="s">
        <v>39</v>
      </c>
      <c r="E228" s="90">
        <v>30</v>
      </c>
      <c r="F228" s="91"/>
      <c r="G228" s="91"/>
      <c r="H228" s="91"/>
      <c r="I228" s="91">
        <f>SUM(G228:H228)+'BM 005'!I228</f>
        <v>0</v>
      </c>
      <c r="J228" s="91">
        <f t="shared" si="113"/>
        <v>30</v>
      </c>
      <c r="K228" s="80">
        <v>49.5</v>
      </c>
      <c r="L228" s="81">
        <f t="shared" si="111"/>
        <v>62.746205445000001</v>
      </c>
      <c r="M228" s="82">
        <f t="shared" si="116"/>
        <v>0</v>
      </c>
      <c r="N228" s="82">
        <f t="shared" si="117"/>
        <v>0</v>
      </c>
      <c r="O228" s="82">
        <f>N228+'BM 005'!O228</f>
        <v>0</v>
      </c>
      <c r="P228" s="80">
        <f t="shared" si="118"/>
        <v>1485</v>
      </c>
      <c r="Q228" s="82">
        <f t="shared" si="119"/>
        <v>1882.38</v>
      </c>
      <c r="R228" s="82">
        <f t="shared" si="120"/>
        <v>1882.38</v>
      </c>
    </row>
    <row r="229" spans="2:20" s="34" customFormat="1" ht="23.4">
      <c r="B229" s="87" t="s">
        <v>451</v>
      </c>
      <c r="C229" s="88" t="s">
        <v>452</v>
      </c>
      <c r="D229" s="89" t="s">
        <v>39</v>
      </c>
      <c r="E229" s="90">
        <v>38</v>
      </c>
      <c r="F229" s="91"/>
      <c r="G229" s="91"/>
      <c r="H229" s="91"/>
      <c r="I229" s="91">
        <f>SUM(G229:H229)+'BM 005'!I229</f>
        <v>0</v>
      </c>
      <c r="J229" s="91">
        <f t="shared" si="113"/>
        <v>38</v>
      </c>
      <c r="K229" s="80">
        <v>43.8</v>
      </c>
      <c r="L229" s="81">
        <f t="shared" si="111"/>
        <v>55.520884817999999</v>
      </c>
      <c r="M229" s="82">
        <f t="shared" si="116"/>
        <v>0</v>
      </c>
      <c r="N229" s="82">
        <f t="shared" si="117"/>
        <v>0</v>
      </c>
      <c r="O229" s="82">
        <f>N229+'BM 005'!O229</f>
        <v>0</v>
      </c>
      <c r="P229" s="80">
        <f t="shared" si="118"/>
        <v>1664.3999999999999</v>
      </c>
      <c r="Q229" s="82">
        <f t="shared" si="119"/>
        <v>2109.79</v>
      </c>
      <c r="R229" s="82">
        <f t="shared" si="120"/>
        <v>2109.79</v>
      </c>
    </row>
    <row r="230" spans="2:20" s="34" customFormat="1" ht="23.4">
      <c r="B230" s="87" t="s">
        <v>453</v>
      </c>
      <c r="C230" s="88" t="s">
        <v>454</v>
      </c>
      <c r="D230" s="89" t="s">
        <v>39</v>
      </c>
      <c r="E230" s="90">
        <v>24</v>
      </c>
      <c r="F230" s="91"/>
      <c r="G230" s="91"/>
      <c r="H230" s="91"/>
      <c r="I230" s="91">
        <f>SUM(G230:H230)+'BM 005'!I230</f>
        <v>0</v>
      </c>
      <c r="J230" s="91">
        <f t="shared" si="113"/>
        <v>24</v>
      </c>
      <c r="K230" s="80">
        <v>40</v>
      </c>
      <c r="L230" s="81">
        <f t="shared" si="111"/>
        <v>50.704004400000002</v>
      </c>
      <c r="M230" s="82">
        <f t="shared" si="116"/>
        <v>0</v>
      </c>
      <c r="N230" s="82">
        <f t="shared" si="117"/>
        <v>0</v>
      </c>
      <c r="O230" s="82">
        <f>N230+'BM 005'!O230</f>
        <v>0</v>
      </c>
      <c r="P230" s="80">
        <f t="shared" si="118"/>
        <v>960</v>
      </c>
      <c r="Q230" s="82">
        <f t="shared" si="119"/>
        <v>1216.8900000000001</v>
      </c>
      <c r="R230" s="82">
        <f t="shared" si="120"/>
        <v>1216.8900000000001</v>
      </c>
    </row>
    <row r="231" spans="2:20" s="34" customFormat="1" ht="23.4">
      <c r="B231" s="87" t="s">
        <v>455</v>
      </c>
      <c r="C231" s="88" t="s">
        <v>456</v>
      </c>
      <c r="D231" s="89" t="s">
        <v>39</v>
      </c>
      <c r="E231" s="90">
        <v>30</v>
      </c>
      <c r="F231" s="91"/>
      <c r="G231" s="91"/>
      <c r="H231" s="91"/>
      <c r="I231" s="91">
        <f>SUM(G231:H231)+'BM 005'!I231</f>
        <v>0</v>
      </c>
      <c r="J231" s="91">
        <f t="shared" si="113"/>
        <v>30</v>
      </c>
      <c r="K231" s="80">
        <v>50</v>
      </c>
      <c r="L231" s="81">
        <f t="shared" si="111"/>
        <v>63.380005500000003</v>
      </c>
      <c r="M231" s="82">
        <f t="shared" si="116"/>
        <v>0</v>
      </c>
      <c r="N231" s="82">
        <f t="shared" si="117"/>
        <v>0</v>
      </c>
      <c r="O231" s="82">
        <f>N231+'BM 005'!O231</f>
        <v>0</v>
      </c>
      <c r="P231" s="80">
        <f t="shared" si="118"/>
        <v>1500</v>
      </c>
      <c r="Q231" s="82">
        <f t="shared" si="119"/>
        <v>1901.4</v>
      </c>
      <c r="R231" s="82">
        <f t="shared" si="120"/>
        <v>1901.4</v>
      </c>
    </row>
    <row r="232" spans="2:20" s="34" customFormat="1" ht="23.4">
      <c r="B232" s="87" t="s">
        <v>457</v>
      </c>
      <c r="C232" s="88" t="s">
        <v>458</v>
      </c>
      <c r="D232" s="89" t="s">
        <v>39</v>
      </c>
      <c r="E232" s="90">
        <v>400</v>
      </c>
      <c r="F232" s="91"/>
      <c r="G232" s="91"/>
      <c r="H232" s="91"/>
      <c r="I232" s="91">
        <f>SUM(G232:H232)+'BM 005'!I232</f>
        <v>0</v>
      </c>
      <c r="J232" s="91">
        <f t="shared" si="113"/>
        <v>400</v>
      </c>
      <c r="K232" s="80">
        <v>9.7100000000000009</v>
      </c>
      <c r="L232" s="81">
        <f t="shared" si="111"/>
        <v>12.308397068100001</v>
      </c>
      <c r="M232" s="82">
        <f t="shared" si="116"/>
        <v>0</v>
      </c>
      <c r="N232" s="82">
        <f t="shared" si="117"/>
        <v>0</v>
      </c>
      <c r="O232" s="82">
        <f>N232+'BM 005'!O232</f>
        <v>0</v>
      </c>
      <c r="P232" s="80">
        <f t="shared" si="118"/>
        <v>3884.0000000000005</v>
      </c>
      <c r="Q232" s="82">
        <f t="shared" si="119"/>
        <v>4923.3500000000004</v>
      </c>
      <c r="R232" s="82">
        <f t="shared" si="120"/>
        <v>4923.3500000000004</v>
      </c>
    </row>
    <row r="233" spans="2:20" s="34" customFormat="1" ht="34.799999999999997">
      <c r="B233" s="87" t="s">
        <v>459</v>
      </c>
      <c r="C233" s="88" t="s">
        <v>460</v>
      </c>
      <c r="D233" s="89" t="s">
        <v>82</v>
      </c>
      <c r="E233" s="90">
        <v>53.61</v>
      </c>
      <c r="F233" s="91"/>
      <c r="G233" s="91"/>
      <c r="H233" s="91"/>
      <c r="I233" s="91">
        <f>SUM(G233:H233)+'BM 005'!I233</f>
        <v>0</v>
      </c>
      <c r="J233" s="91">
        <f t="shared" si="113"/>
        <v>53.61</v>
      </c>
      <c r="K233" s="80">
        <v>95</v>
      </c>
      <c r="L233" s="81">
        <f t="shared" si="111"/>
        <v>120.42201045</v>
      </c>
      <c r="M233" s="82">
        <f t="shared" si="116"/>
        <v>0</v>
      </c>
      <c r="N233" s="82">
        <f t="shared" si="117"/>
        <v>0</v>
      </c>
      <c r="O233" s="82">
        <f>N233+'BM 005'!O233</f>
        <v>0</v>
      </c>
      <c r="P233" s="80">
        <f t="shared" si="118"/>
        <v>5092.95</v>
      </c>
      <c r="Q233" s="82">
        <f t="shared" si="119"/>
        <v>6455.82</v>
      </c>
      <c r="R233" s="82">
        <f t="shared" si="120"/>
        <v>6455.82</v>
      </c>
    </row>
    <row r="234" spans="2:20" s="34" customFormat="1" ht="46.2">
      <c r="B234" s="87" t="s">
        <v>461</v>
      </c>
      <c r="C234" s="88" t="s">
        <v>462</v>
      </c>
      <c r="D234" s="89" t="s">
        <v>82</v>
      </c>
      <c r="E234" s="90">
        <v>91.42</v>
      </c>
      <c r="F234" s="91"/>
      <c r="G234" s="91"/>
      <c r="H234" s="91"/>
      <c r="I234" s="91">
        <f>SUM(G234:H234)+'BM 005'!I234</f>
        <v>0</v>
      </c>
      <c r="J234" s="91">
        <f t="shared" si="113"/>
        <v>91.42</v>
      </c>
      <c r="K234" s="80">
        <v>15</v>
      </c>
      <c r="L234" s="81">
        <f t="shared" si="111"/>
        <v>19.014001650000001</v>
      </c>
      <c r="M234" s="82">
        <f t="shared" si="116"/>
        <v>0</v>
      </c>
      <c r="N234" s="82">
        <f t="shared" si="117"/>
        <v>0</v>
      </c>
      <c r="O234" s="82">
        <f>N234+'BM 005'!O234</f>
        <v>0</v>
      </c>
      <c r="P234" s="80">
        <f t="shared" si="118"/>
        <v>1371.3</v>
      </c>
      <c r="Q234" s="82">
        <f t="shared" si="119"/>
        <v>1738.26</v>
      </c>
      <c r="R234" s="82">
        <f t="shared" si="120"/>
        <v>1738.26</v>
      </c>
    </row>
    <row r="235" spans="2:20" s="34" customFormat="1" ht="46.2">
      <c r="B235" s="87" t="s">
        <v>463</v>
      </c>
      <c r="C235" s="88" t="s">
        <v>464</v>
      </c>
      <c r="D235" s="89" t="s">
        <v>82</v>
      </c>
      <c r="E235" s="90">
        <v>8549.7900000000009</v>
      </c>
      <c r="F235" s="91"/>
      <c r="G235" s="91"/>
      <c r="H235" s="91"/>
      <c r="I235" s="91">
        <f>SUM(G235:H235)+'BM 005'!I235</f>
        <v>0</v>
      </c>
      <c r="J235" s="91">
        <f t="shared" si="113"/>
        <v>8549.7900000000009</v>
      </c>
      <c r="K235" s="80">
        <v>6</v>
      </c>
      <c r="L235" s="81">
        <f t="shared" si="111"/>
        <v>7.6056006600000003</v>
      </c>
      <c r="M235" s="82">
        <f t="shared" si="116"/>
        <v>0</v>
      </c>
      <c r="N235" s="82">
        <f t="shared" si="117"/>
        <v>0</v>
      </c>
      <c r="O235" s="82">
        <f>N235+'BM 005'!O235</f>
        <v>0</v>
      </c>
      <c r="P235" s="80">
        <f t="shared" si="118"/>
        <v>51298.740000000005</v>
      </c>
      <c r="Q235" s="82">
        <f t="shared" si="119"/>
        <v>65026.28</v>
      </c>
      <c r="R235" s="82">
        <f t="shared" si="120"/>
        <v>65026.28</v>
      </c>
    </row>
    <row r="236" spans="2:20" s="34" customFormat="1" ht="46.2">
      <c r="B236" s="87" t="s">
        <v>465</v>
      </c>
      <c r="C236" s="88" t="s">
        <v>466</v>
      </c>
      <c r="D236" s="89" t="s">
        <v>82</v>
      </c>
      <c r="E236" s="90">
        <v>98.51</v>
      </c>
      <c r="F236" s="91"/>
      <c r="G236" s="91"/>
      <c r="H236" s="91"/>
      <c r="I236" s="91">
        <f>SUM(G236:H236)+'BM 005'!I236</f>
        <v>0</v>
      </c>
      <c r="J236" s="91">
        <f t="shared" si="113"/>
        <v>98.51</v>
      </c>
      <c r="K236" s="80">
        <v>20</v>
      </c>
      <c r="L236" s="81">
        <f t="shared" si="111"/>
        <v>25.352002200000001</v>
      </c>
      <c r="M236" s="82">
        <f t="shared" si="116"/>
        <v>0</v>
      </c>
      <c r="N236" s="82">
        <f t="shared" si="117"/>
        <v>0</v>
      </c>
      <c r="O236" s="82">
        <f>N236+'BM 005'!O236</f>
        <v>0</v>
      </c>
      <c r="P236" s="80">
        <f t="shared" si="118"/>
        <v>1970.2</v>
      </c>
      <c r="Q236" s="82">
        <f t="shared" si="119"/>
        <v>2497.42</v>
      </c>
      <c r="R236" s="82">
        <f t="shared" si="120"/>
        <v>2497.42</v>
      </c>
      <c r="T236" s="83"/>
    </row>
    <row r="237" spans="2:20" s="34" customFormat="1" ht="23.4">
      <c r="B237" s="87" t="s">
        <v>467</v>
      </c>
      <c r="C237" s="88" t="s">
        <v>468</v>
      </c>
      <c r="D237" s="89" t="s">
        <v>39</v>
      </c>
      <c r="E237" s="90">
        <v>836</v>
      </c>
      <c r="F237" s="91"/>
      <c r="G237" s="91"/>
      <c r="H237" s="91"/>
      <c r="I237" s="91">
        <f>SUM(G237:H237)+'BM 005'!I237</f>
        <v>0</v>
      </c>
      <c r="J237" s="91">
        <f t="shared" si="113"/>
        <v>836</v>
      </c>
      <c r="K237" s="80">
        <v>8</v>
      </c>
      <c r="L237" s="81">
        <f t="shared" si="111"/>
        <v>10.14080088</v>
      </c>
      <c r="M237" s="82">
        <f t="shared" si="116"/>
        <v>0</v>
      </c>
      <c r="N237" s="82">
        <f t="shared" si="117"/>
        <v>0</v>
      </c>
      <c r="O237" s="82">
        <f>N237+'BM 005'!O237</f>
        <v>0</v>
      </c>
      <c r="P237" s="80">
        <f t="shared" si="118"/>
        <v>6688</v>
      </c>
      <c r="Q237" s="82">
        <f t="shared" si="119"/>
        <v>8477.7000000000007</v>
      </c>
      <c r="R237" s="82">
        <f t="shared" si="120"/>
        <v>8477.7000000000007</v>
      </c>
      <c r="T237" s="83"/>
    </row>
    <row r="238" spans="2:20" s="34" customFormat="1" ht="34.799999999999997">
      <c r="B238" s="87" t="s">
        <v>469</v>
      </c>
      <c r="C238" s="88" t="s">
        <v>470</v>
      </c>
      <c r="D238" s="89" t="s">
        <v>39</v>
      </c>
      <c r="E238" s="90">
        <v>1359</v>
      </c>
      <c r="F238" s="91"/>
      <c r="G238" s="91"/>
      <c r="H238" s="91"/>
      <c r="I238" s="91">
        <f>SUM(G238:H238)+'BM 005'!I238</f>
        <v>0</v>
      </c>
      <c r="J238" s="91">
        <f t="shared" si="113"/>
        <v>1359</v>
      </c>
      <c r="K238" s="80">
        <v>3</v>
      </c>
      <c r="L238" s="81">
        <f t="shared" si="111"/>
        <v>3.8028003300000002</v>
      </c>
      <c r="M238" s="82">
        <f t="shared" si="116"/>
        <v>0</v>
      </c>
      <c r="N238" s="82">
        <f t="shared" si="117"/>
        <v>0</v>
      </c>
      <c r="O238" s="82">
        <f>N238+'BM 005'!O238</f>
        <v>0</v>
      </c>
      <c r="P238" s="80">
        <f t="shared" si="118"/>
        <v>4077</v>
      </c>
      <c r="Q238" s="82">
        <f t="shared" si="119"/>
        <v>5168</v>
      </c>
      <c r="R238" s="82">
        <f t="shared" si="120"/>
        <v>5168</v>
      </c>
      <c r="T238" s="83"/>
    </row>
    <row r="239" spans="2:20" s="34" customFormat="1" ht="34.799999999999997">
      <c r="B239" s="87" t="s">
        <v>471</v>
      </c>
      <c r="C239" s="88" t="s">
        <v>472</v>
      </c>
      <c r="D239" s="89" t="s">
        <v>39</v>
      </c>
      <c r="E239" s="90">
        <v>5</v>
      </c>
      <c r="F239" s="91"/>
      <c r="G239" s="91"/>
      <c r="H239" s="91"/>
      <c r="I239" s="91">
        <f>SUM(G239:H239)+'BM 005'!I239</f>
        <v>0</v>
      </c>
      <c r="J239" s="91">
        <f t="shared" si="113"/>
        <v>5</v>
      </c>
      <c r="K239" s="80">
        <v>3.47</v>
      </c>
      <c r="L239" s="81">
        <f t="shared" si="111"/>
        <v>4.3985723817000002</v>
      </c>
      <c r="M239" s="82">
        <f t="shared" si="116"/>
        <v>0</v>
      </c>
      <c r="N239" s="82">
        <f t="shared" si="117"/>
        <v>0</v>
      </c>
      <c r="O239" s="82">
        <f>N239+'BM 005'!O239</f>
        <v>0</v>
      </c>
      <c r="P239" s="80">
        <f t="shared" si="118"/>
        <v>17.350000000000001</v>
      </c>
      <c r="Q239" s="82">
        <f t="shared" si="119"/>
        <v>21.99</v>
      </c>
      <c r="R239" s="82">
        <f t="shared" si="120"/>
        <v>21.99</v>
      </c>
      <c r="T239" s="83"/>
    </row>
    <row r="240" spans="2:20" s="34" customFormat="1" ht="13.2">
      <c r="B240" s="66" t="s">
        <v>473</v>
      </c>
      <c r="C240" s="67" t="s">
        <v>474</v>
      </c>
      <c r="D240" s="68"/>
      <c r="E240" s="69"/>
      <c r="F240" s="70"/>
      <c r="G240" s="70"/>
      <c r="H240" s="70"/>
      <c r="I240" s="70">
        <f>SUM(G240:H240)+'BM 005'!I240</f>
        <v>0</v>
      </c>
      <c r="J240" s="70">
        <f t="shared" si="113"/>
        <v>0</v>
      </c>
      <c r="K240" s="71"/>
      <c r="L240" s="71">
        <f t="shared" si="111"/>
        <v>0</v>
      </c>
      <c r="M240" s="73">
        <f t="shared" ref="M240:R240" si="121">SUM(M241:M254)</f>
        <v>0</v>
      </c>
      <c r="N240" s="73">
        <f t="shared" si="121"/>
        <v>0</v>
      </c>
      <c r="O240" s="73">
        <f t="shared" si="121"/>
        <v>0</v>
      </c>
      <c r="P240" s="73">
        <f t="shared" si="121"/>
        <v>310727.75299999997</v>
      </c>
      <c r="Q240" s="73">
        <f t="shared" si="121"/>
        <v>393878.46999999991</v>
      </c>
      <c r="R240" s="73">
        <f t="shared" si="121"/>
        <v>393878.46999999991</v>
      </c>
      <c r="T240" s="83"/>
    </row>
    <row r="241" spans="2:20" s="34" customFormat="1" ht="23.4">
      <c r="B241" s="87" t="s">
        <v>475</v>
      </c>
      <c r="C241" s="88" t="s">
        <v>476</v>
      </c>
      <c r="D241" s="89" t="s">
        <v>82</v>
      </c>
      <c r="E241" s="90">
        <v>1000</v>
      </c>
      <c r="F241" s="91"/>
      <c r="G241" s="91"/>
      <c r="H241" s="91"/>
      <c r="I241" s="91">
        <f>SUM(G241:H241)+'BM 005'!I241</f>
        <v>0</v>
      </c>
      <c r="J241" s="91">
        <f t="shared" si="113"/>
        <v>1000</v>
      </c>
      <c r="K241" s="80">
        <v>15</v>
      </c>
      <c r="L241" s="81">
        <f t="shared" si="111"/>
        <v>19.014001650000001</v>
      </c>
      <c r="M241" s="82">
        <f t="shared" ref="M241:M254" si="122">TRUNC(F241*L241,2)</f>
        <v>0</v>
      </c>
      <c r="N241" s="82">
        <f t="shared" ref="N241:N254" si="123">TRUNC(G241*L241,2)</f>
        <v>0</v>
      </c>
      <c r="O241" s="82">
        <f>N241+'BM 005'!O241</f>
        <v>0</v>
      </c>
      <c r="P241" s="80">
        <f t="shared" ref="P241:P254" si="124">E241*K241</f>
        <v>15000</v>
      </c>
      <c r="Q241" s="82">
        <f t="shared" ref="Q241:Q254" si="125">TRUNC(E241*L241,2)</f>
        <v>19014</v>
      </c>
      <c r="R241" s="82">
        <f t="shared" ref="R241:R254" si="126">Q241-O241</f>
        <v>19014</v>
      </c>
      <c r="T241" s="83"/>
    </row>
    <row r="242" spans="2:20" s="34" customFormat="1" ht="46.2">
      <c r="B242" s="87" t="s">
        <v>477</v>
      </c>
      <c r="C242" s="88" t="s">
        <v>478</v>
      </c>
      <c r="D242" s="89" t="s">
        <v>124</v>
      </c>
      <c r="E242" s="90">
        <v>9216.66</v>
      </c>
      <c r="F242" s="91"/>
      <c r="G242" s="91"/>
      <c r="H242" s="91"/>
      <c r="I242" s="91">
        <f>SUM(G242:H242)+'BM 005'!I242</f>
        <v>0</v>
      </c>
      <c r="J242" s="91">
        <f t="shared" si="113"/>
        <v>9216.66</v>
      </c>
      <c r="K242" s="80">
        <v>3.5</v>
      </c>
      <c r="L242" s="81">
        <f t="shared" si="111"/>
        <v>4.4366003850000002</v>
      </c>
      <c r="M242" s="82">
        <f t="shared" si="122"/>
        <v>0</v>
      </c>
      <c r="N242" s="82">
        <f t="shared" si="123"/>
        <v>0</v>
      </c>
      <c r="O242" s="82">
        <f>N242+'BM 005'!O242</f>
        <v>0</v>
      </c>
      <c r="P242" s="80">
        <f t="shared" si="124"/>
        <v>32258.309999999998</v>
      </c>
      <c r="Q242" s="82">
        <f t="shared" si="125"/>
        <v>40890.629999999997</v>
      </c>
      <c r="R242" s="82">
        <f t="shared" si="126"/>
        <v>40890.629999999997</v>
      </c>
    </row>
    <row r="243" spans="2:20" s="34" customFormat="1" ht="57.6">
      <c r="B243" s="87" t="s">
        <v>479</v>
      </c>
      <c r="C243" s="88" t="s">
        <v>480</v>
      </c>
      <c r="D243" s="89" t="s">
        <v>82</v>
      </c>
      <c r="E243" s="90">
        <v>16088.53</v>
      </c>
      <c r="F243" s="91"/>
      <c r="G243" s="91"/>
      <c r="H243" s="91"/>
      <c r="I243" s="91">
        <f>SUM(G243:H243)+'BM 005'!I243</f>
        <v>0</v>
      </c>
      <c r="J243" s="91">
        <f t="shared" si="113"/>
        <v>16088.53</v>
      </c>
      <c r="K243" s="80">
        <v>4.5</v>
      </c>
      <c r="L243" s="81">
        <f t="shared" si="111"/>
        <v>5.7042004950000003</v>
      </c>
      <c r="M243" s="82">
        <f t="shared" si="122"/>
        <v>0</v>
      </c>
      <c r="N243" s="82">
        <f t="shared" si="123"/>
        <v>0</v>
      </c>
      <c r="O243" s="82">
        <f>N243+'BM 005'!O243</f>
        <v>0</v>
      </c>
      <c r="P243" s="80">
        <f t="shared" si="124"/>
        <v>72398.385000000009</v>
      </c>
      <c r="Q243" s="82">
        <f t="shared" si="125"/>
        <v>91772.2</v>
      </c>
      <c r="R243" s="82">
        <f t="shared" si="126"/>
        <v>91772.2</v>
      </c>
    </row>
    <row r="244" spans="2:20" s="34" customFormat="1" ht="34.799999999999997">
      <c r="B244" s="87" t="s">
        <v>481</v>
      </c>
      <c r="C244" s="88" t="s">
        <v>482</v>
      </c>
      <c r="D244" s="89" t="s">
        <v>82</v>
      </c>
      <c r="E244" s="90">
        <v>1366.87</v>
      </c>
      <c r="F244" s="91"/>
      <c r="G244" s="91"/>
      <c r="H244" s="91"/>
      <c r="I244" s="91">
        <f>SUM(G244:H244)+'BM 005'!I244</f>
        <v>0</v>
      </c>
      <c r="J244" s="91">
        <f t="shared" si="113"/>
        <v>1366.87</v>
      </c>
      <c r="K244" s="80">
        <v>7</v>
      </c>
      <c r="L244" s="81">
        <f t="shared" si="111"/>
        <v>8.8732007700000004</v>
      </c>
      <c r="M244" s="82">
        <f t="shared" si="122"/>
        <v>0</v>
      </c>
      <c r="N244" s="82">
        <f t="shared" si="123"/>
        <v>0</v>
      </c>
      <c r="O244" s="82">
        <f>N244+'BM 005'!O244</f>
        <v>0</v>
      </c>
      <c r="P244" s="80">
        <f t="shared" si="124"/>
        <v>9568.09</v>
      </c>
      <c r="Q244" s="82">
        <f t="shared" si="125"/>
        <v>12128.51</v>
      </c>
      <c r="R244" s="82">
        <f t="shared" si="126"/>
        <v>12128.51</v>
      </c>
    </row>
    <row r="245" spans="2:20" s="34" customFormat="1" ht="57.6">
      <c r="B245" s="87" t="s">
        <v>483</v>
      </c>
      <c r="C245" s="88" t="s">
        <v>484</v>
      </c>
      <c r="D245" s="89" t="s">
        <v>82</v>
      </c>
      <c r="E245" s="90">
        <v>337.73</v>
      </c>
      <c r="F245" s="91"/>
      <c r="G245" s="91"/>
      <c r="H245" s="91"/>
      <c r="I245" s="91">
        <f>SUM(G245:H245)+'BM 005'!I245</f>
        <v>0</v>
      </c>
      <c r="J245" s="91">
        <f t="shared" si="113"/>
        <v>337.73</v>
      </c>
      <c r="K245" s="80">
        <v>10</v>
      </c>
      <c r="L245" s="81">
        <f t="shared" si="111"/>
        <v>12.676001100000001</v>
      </c>
      <c r="M245" s="82">
        <f t="shared" si="122"/>
        <v>0</v>
      </c>
      <c r="N245" s="82">
        <f t="shared" si="123"/>
        <v>0</v>
      </c>
      <c r="O245" s="82">
        <f>N245+'BM 005'!O245</f>
        <v>0</v>
      </c>
      <c r="P245" s="80">
        <f t="shared" si="124"/>
        <v>3377.3</v>
      </c>
      <c r="Q245" s="82">
        <f t="shared" si="125"/>
        <v>4281.0600000000004</v>
      </c>
      <c r="R245" s="82">
        <f t="shared" si="126"/>
        <v>4281.0600000000004</v>
      </c>
    </row>
    <row r="246" spans="2:20" s="34" customFormat="1" ht="34.799999999999997">
      <c r="B246" s="87" t="s">
        <v>485</v>
      </c>
      <c r="C246" s="88" t="s">
        <v>486</v>
      </c>
      <c r="D246" s="89" t="s">
        <v>82</v>
      </c>
      <c r="E246" s="90">
        <v>584.41</v>
      </c>
      <c r="F246" s="91"/>
      <c r="G246" s="91"/>
      <c r="H246" s="91"/>
      <c r="I246" s="91">
        <f>SUM(G246:H246)+'BM 005'!I246</f>
        <v>0</v>
      </c>
      <c r="J246" s="91">
        <f t="shared" si="113"/>
        <v>584.41</v>
      </c>
      <c r="K246" s="80">
        <v>11</v>
      </c>
      <c r="L246" s="81">
        <f t="shared" si="111"/>
        <v>13.943601210000001</v>
      </c>
      <c r="M246" s="82">
        <f t="shared" si="122"/>
        <v>0</v>
      </c>
      <c r="N246" s="82">
        <f t="shared" si="123"/>
        <v>0</v>
      </c>
      <c r="O246" s="82">
        <f>N246+'BM 005'!O246</f>
        <v>0</v>
      </c>
      <c r="P246" s="80">
        <f t="shared" si="124"/>
        <v>6428.5099999999993</v>
      </c>
      <c r="Q246" s="82">
        <f t="shared" si="125"/>
        <v>8148.77</v>
      </c>
      <c r="R246" s="82">
        <f t="shared" si="126"/>
        <v>8148.77</v>
      </c>
    </row>
    <row r="247" spans="2:20" s="34" customFormat="1" ht="34.799999999999997">
      <c r="B247" s="87" t="s">
        <v>487</v>
      </c>
      <c r="C247" s="88" t="s">
        <v>488</v>
      </c>
      <c r="D247" s="89" t="s">
        <v>82</v>
      </c>
      <c r="E247" s="90">
        <v>746.42</v>
      </c>
      <c r="F247" s="91"/>
      <c r="G247" s="91"/>
      <c r="H247" s="91"/>
      <c r="I247" s="91">
        <f>SUM(G247:H247)+'BM 005'!I247</f>
        <v>0</v>
      </c>
      <c r="J247" s="91">
        <f t="shared" si="113"/>
        <v>746.42</v>
      </c>
      <c r="K247" s="80">
        <v>18</v>
      </c>
      <c r="L247" s="81">
        <f t="shared" si="111"/>
        <v>22.816801980000001</v>
      </c>
      <c r="M247" s="82">
        <f t="shared" si="122"/>
        <v>0</v>
      </c>
      <c r="N247" s="82">
        <f t="shared" si="123"/>
        <v>0</v>
      </c>
      <c r="O247" s="82">
        <f>N247+'BM 005'!O247</f>
        <v>0</v>
      </c>
      <c r="P247" s="80">
        <f t="shared" si="124"/>
        <v>13435.56</v>
      </c>
      <c r="Q247" s="82">
        <f t="shared" si="125"/>
        <v>17030.91</v>
      </c>
      <c r="R247" s="82">
        <f t="shared" si="126"/>
        <v>17030.91</v>
      </c>
    </row>
    <row r="248" spans="2:20" s="34" customFormat="1" ht="34.799999999999997">
      <c r="B248" s="87" t="s">
        <v>489</v>
      </c>
      <c r="C248" s="88" t="s">
        <v>490</v>
      </c>
      <c r="D248" s="89" t="s">
        <v>82</v>
      </c>
      <c r="E248" s="90">
        <v>396.45</v>
      </c>
      <c r="F248" s="91"/>
      <c r="G248" s="91"/>
      <c r="H248" s="91"/>
      <c r="I248" s="91">
        <f>SUM(G248:H248)+'BM 005'!I248</f>
        <v>0</v>
      </c>
      <c r="J248" s="91">
        <f t="shared" si="113"/>
        <v>396.45</v>
      </c>
      <c r="K248" s="80">
        <v>25</v>
      </c>
      <c r="L248" s="81">
        <f t="shared" si="111"/>
        <v>31.690002750000001</v>
      </c>
      <c r="M248" s="82">
        <f t="shared" si="122"/>
        <v>0</v>
      </c>
      <c r="N248" s="82">
        <f t="shared" si="123"/>
        <v>0</v>
      </c>
      <c r="O248" s="82">
        <f>N248+'BM 005'!O248</f>
        <v>0</v>
      </c>
      <c r="P248" s="80">
        <f t="shared" si="124"/>
        <v>9911.25</v>
      </c>
      <c r="Q248" s="82">
        <f t="shared" si="125"/>
        <v>12563.5</v>
      </c>
      <c r="R248" s="82">
        <f t="shared" si="126"/>
        <v>12563.5</v>
      </c>
    </row>
    <row r="249" spans="2:20" s="34" customFormat="1" ht="57.6">
      <c r="B249" s="87" t="s">
        <v>491</v>
      </c>
      <c r="C249" s="88" t="s">
        <v>492</v>
      </c>
      <c r="D249" s="89" t="s">
        <v>82</v>
      </c>
      <c r="E249" s="90">
        <v>326.43</v>
      </c>
      <c r="F249" s="91"/>
      <c r="G249" s="91"/>
      <c r="H249" s="91"/>
      <c r="I249" s="91">
        <f>SUM(G249:H249)+'BM 005'!I249</f>
        <v>0</v>
      </c>
      <c r="J249" s="91">
        <f t="shared" si="113"/>
        <v>326.43</v>
      </c>
      <c r="K249" s="80">
        <v>40</v>
      </c>
      <c r="L249" s="81">
        <f t="shared" si="111"/>
        <v>50.704004400000002</v>
      </c>
      <c r="M249" s="82">
        <f t="shared" si="122"/>
        <v>0</v>
      </c>
      <c r="N249" s="82">
        <f t="shared" si="123"/>
        <v>0</v>
      </c>
      <c r="O249" s="82">
        <f>N249+'BM 005'!O249</f>
        <v>0</v>
      </c>
      <c r="P249" s="80">
        <f t="shared" si="124"/>
        <v>13057.2</v>
      </c>
      <c r="Q249" s="82">
        <f t="shared" si="125"/>
        <v>16551.3</v>
      </c>
      <c r="R249" s="82">
        <f t="shared" si="126"/>
        <v>16551.3</v>
      </c>
    </row>
    <row r="250" spans="2:20" s="34" customFormat="1" ht="46.2">
      <c r="B250" s="87" t="s">
        <v>493</v>
      </c>
      <c r="C250" s="88" t="s">
        <v>494</v>
      </c>
      <c r="D250" s="89" t="s">
        <v>82</v>
      </c>
      <c r="E250" s="90">
        <v>49.87</v>
      </c>
      <c r="F250" s="91"/>
      <c r="G250" s="91"/>
      <c r="H250" s="91"/>
      <c r="I250" s="91">
        <f>SUM(G250:H250)+'BM 005'!I250</f>
        <v>0</v>
      </c>
      <c r="J250" s="91">
        <f t="shared" si="113"/>
        <v>49.87</v>
      </c>
      <c r="K250" s="80">
        <v>125</v>
      </c>
      <c r="L250" s="81">
        <f t="shared" si="111"/>
        <v>158.45001375000001</v>
      </c>
      <c r="M250" s="82">
        <f t="shared" si="122"/>
        <v>0</v>
      </c>
      <c r="N250" s="82">
        <f t="shared" si="123"/>
        <v>0</v>
      </c>
      <c r="O250" s="82">
        <f>N250+'BM 005'!O250</f>
        <v>0</v>
      </c>
      <c r="P250" s="80">
        <f t="shared" si="124"/>
        <v>6233.75</v>
      </c>
      <c r="Q250" s="82">
        <f t="shared" si="125"/>
        <v>7901.9</v>
      </c>
      <c r="R250" s="82">
        <f t="shared" si="126"/>
        <v>7901.9</v>
      </c>
    </row>
    <row r="251" spans="2:20" s="34" customFormat="1" ht="46.2">
      <c r="B251" s="87" t="s">
        <v>495</v>
      </c>
      <c r="C251" s="88" t="s">
        <v>496</v>
      </c>
      <c r="D251" s="89" t="s">
        <v>82</v>
      </c>
      <c r="E251" s="90">
        <v>49.87</v>
      </c>
      <c r="F251" s="91"/>
      <c r="G251" s="91"/>
      <c r="H251" s="91"/>
      <c r="I251" s="91">
        <f>SUM(G251:H251)+'BM 005'!I251</f>
        <v>0</v>
      </c>
      <c r="J251" s="91">
        <f t="shared" si="113"/>
        <v>49.87</v>
      </c>
      <c r="K251" s="80">
        <v>170</v>
      </c>
      <c r="L251" s="81">
        <f t="shared" si="111"/>
        <v>215.49201870000002</v>
      </c>
      <c r="M251" s="82">
        <f t="shared" si="122"/>
        <v>0</v>
      </c>
      <c r="N251" s="82">
        <f t="shared" si="123"/>
        <v>0</v>
      </c>
      <c r="O251" s="82">
        <f>N251+'BM 005'!O251</f>
        <v>0</v>
      </c>
      <c r="P251" s="80">
        <f t="shared" si="124"/>
        <v>8477.9</v>
      </c>
      <c r="Q251" s="82">
        <f t="shared" si="125"/>
        <v>10746.58</v>
      </c>
      <c r="R251" s="82">
        <f t="shared" si="126"/>
        <v>10746.58</v>
      </c>
    </row>
    <row r="252" spans="2:20" s="34" customFormat="1" ht="46.2">
      <c r="B252" s="87" t="s">
        <v>497</v>
      </c>
      <c r="C252" s="88" t="s">
        <v>498</v>
      </c>
      <c r="D252" s="89" t="s">
        <v>82</v>
      </c>
      <c r="E252" s="90">
        <v>149.6</v>
      </c>
      <c r="F252" s="91"/>
      <c r="G252" s="91"/>
      <c r="H252" s="91"/>
      <c r="I252" s="91">
        <f>SUM(G252:H252)+'BM 005'!I252</f>
        <v>0</v>
      </c>
      <c r="J252" s="91">
        <f t="shared" si="113"/>
        <v>149.6</v>
      </c>
      <c r="K252" s="80">
        <v>290</v>
      </c>
      <c r="L252" s="81">
        <f t="shared" si="111"/>
        <v>367.6040319</v>
      </c>
      <c r="M252" s="82">
        <f t="shared" si="122"/>
        <v>0</v>
      </c>
      <c r="N252" s="82">
        <f t="shared" si="123"/>
        <v>0</v>
      </c>
      <c r="O252" s="82">
        <f>N252+'BM 005'!O252</f>
        <v>0</v>
      </c>
      <c r="P252" s="80">
        <f t="shared" si="124"/>
        <v>43384</v>
      </c>
      <c r="Q252" s="82">
        <f t="shared" si="125"/>
        <v>54993.56</v>
      </c>
      <c r="R252" s="82">
        <f t="shared" si="126"/>
        <v>54993.56</v>
      </c>
    </row>
    <row r="253" spans="2:20" s="34" customFormat="1" ht="23.4">
      <c r="B253" s="87" t="s">
        <v>499</v>
      </c>
      <c r="C253" s="88" t="s">
        <v>500</v>
      </c>
      <c r="D253" s="89" t="s">
        <v>82</v>
      </c>
      <c r="E253" s="90">
        <v>4482.08</v>
      </c>
      <c r="F253" s="91"/>
      <c r="G253" s="91"/>
      <c r="H253" s="91"/>
      <c r="I253" s="91">
        <f>SUM(G253:H253)+'BM 005'!I253</f>
        <v>0</v>
      </c>
      <c r="J253" s="91">
        <f t="shared" si="113"/>
        <v>4482.08</v>
      </c>
      <c r="K253" s="80">
        <v>9</v>
      </c>
      <c r="L253" s="81">
        <f t="shared" si="111"/>
        <v>11.408400990000001</v>
      </c>
      <c r="M253" s="82">
        <f t="shared" si="122"/>
        <v>0</v>
      </c>
      <c r="N253" s="82">
        <f t="shared" si="123"/>
        <v>0</v>
      </c>
      <c r="O253" s="82">
        <f>N253+'BM 005'!O253</f>
        <v>0</v>
      </c>
      <c r="P253" s="80">
        <f t="shared" si="124"/>
        <v>40338.720000000001</v>
      </c>
      <c r="Q253" s="82">
        <f t="shared" si="125"/>
        <v>51133.36</v>
      </c>
      <c r="R253" s="82">
        <f t="shared" si="126"/>
        <v>51133.36</v>
      </c>
    </row>
    <row r="254" spans="2:20" s="34" customFormat="1" ht="23.4">
      <c r="B254" s="87" t="s">
        <v>501</v>
      </c>
      <c r="C254" s="88" t="s">
        <v>502</v>
      </c>
      <c r="D254" s="89" t="s">
        <v>82</v>
      </c>
      <c r="E254" s="90">
        <v>3350.7979999999998</v>
      </c>
      <c r="F254" s="91"/>
      <c r="G254" s="91"/>
      <c r="H254" s="91"/>
      <c r="I254" s="91">
        <f>SUM(G254:H254)+'BM 005'!I254</f>
        <v>0</v>
      </c>
      <c r="J254" s="91">
        <f t="shared" si="113"/>
        <v>3350.7979999999998</v>
      </c>
      <c r="K254" s="80">
        <v>11</v>
      </c>
      <c r="L254" s="81">
        <f t="shared" si="111"/>
        <v>13.943601210000001</v>
      </c>
      <c r="M254" s="82">
        <f t="shared" si="122"/>
        <v>0</v>
      </c>
      <c r="N254" s="82">
        <f t="shared" si="123"/>
        <v>0</v>
      </c>
      <c r="O254" s="82">
        <f>N254+'BM 005'!O254</f>
        <v>0</v>
      </c>
      <c r="P254" s="80">
        <f t="shared" si="124"/>
        <v>36858.777999999998</v>
      </c>
      <c r="Q254" s="82">
        <f t="shared" si="125"/>
        <v>46722.19</v>
      </c>
      <c r="R254" s="82">
        <f t="shared" si="126"/>
        <v>46722.19</v>
      </c>
    </row>
    <row r="255" spans="2:20" s="34" customFormat="1" ht="13.2">
      <c r="B255" s="66" t="s">
        <v>503</v>
      </c>
      <c r="C255" s="67" t="s">
        <v>504</v>
      </c>
      <c r="D255" s="68"/>
      <c r="E255" s="69"/>
      <c r="F255" s="70"/>
      <c r="G255" s="70"/>
      <c r="H255" s="70"/>
      <c r="I255" s="70">
        <f>SUM(G255:H255)+'BM 005'!I255</f>
        <v>0</v>
      </c>
      <c r="J255" s="70">
        <f t="shared" si="113"/>
        <v>0</v>
      </c>
      <c r="K255" s="71"/>
      <c r="L255" s="71">
        <f t="shared" si="111"/>
        <v>0</v>
      </c>
      <c r="M255" s="73">
        <f t="shared" ref="M255:R255" si="127">SUM(M256:M290)</f>
        <v>0</v>
      </c>
      <c r="N255" s="73">
        <f t="shared" si="127"/>
        <v>0</v>
      </c>
      <c r="O255" s="73">
        <f t="shared" si="127"/>
        <v>0</v>
      </c>
      <c r="P255" s="73">
        <f t="shared" si="127"/>
        <v>65111</v>
      </c>
      <c r="Q255" s="73">
        <f t="shared" si="127"/>
        <v>82534.59</v>
      </c>
      <c r="R255" s="73">
        <f t="shared" si="127"/>
        <v>82534.59</v>
      </c>
    </row>
    <row r="256" spans="2:20" s="34" customFormat="1" ht="46.2">
      <c r="B256" s="87" t="s">
        <v>505</v>
      </c>
      <c r="C256" s="88" t="s">
        <v>506</v>
      </c>
      <c r="D256" s="89" t="s">
        <v>131</v>
      </c>
      <c r="E256" s="90">
        <v>3</v>
      </c>
      <c r="F256" s="91"/>
      <c r="G256" s="91"/>
      <c r="H256" s="91"/>
      <c r="I256" s="91">
        <f>SUM(G256:H256)+'BM 005'!I256</f>
        <v>0</v>
      </c>
      <c r="J256" s="91">
        <f t="shared" si="113"/>
        <v>3</v>
      </c>
      <c r="K256" s="80">
        <v>1080</v>
      </c>
      <c r="L256" s="81">
        <f t="shared" si="111"/>
        <v>1369.0081188000001</v>
      </c>
      <c r="M256" s="82">
        <f t="shared" ref="M256:M290" si="128">TRUNC(F256*L256,2)</f>
        <v>0</v>
      </c>
      <c r="N256" s="82">
        <f t="shared" ref="N256:N290" si="129">TRUNC(G256*L256,2)</f>
        <v>0</v>
      </c>
      <c r="O256" s="82">
        <f>N256+'BM 005'!O256</f>
        <v>0</v>
      </c>
      <c r="P256" s="80">
        <f t="shared" ref="P256:P290" si="130">E256*K256</f>
        <v>3240</v>
      </c>
      <c r="Q256" s="82">
        <f t="shared" ref="Q256:Q290" si="131">TRUNC(E256*L256,2)</f>
        <v>4107.0200000000004</v>
      </c>
      <c r="R256" s="82">
        <f t="shared" ref="R256:R290" si="132">Q256-O256</f>
        <v>4107.0200000000004</v>
      </c>
    </row>
    <row r="257" spans="2:18" s="34" customFormat="1" ht="46.2">
      <c r="B257" s="87" t="s">
        <v>507</v>
      </c>
      <c r="C257" s="88" t="s">
        <v>508</v>
      </c>
      <c r="D257" s="89" t="s">
        <v>131</v>
      </c>
      <c r="E257" s="90">
        <v>1</v>
      </c>
      <c r="F257" s="91"/>
      <c r="G257" s="91"/>
      <c r="H257" s="91"/>
      <c r="I257" s="91">
        <f>SUM(G257:H257)+'BM 005'!I257</f>
        <v>0</v>
      </c>
      <c r="J257" s="91">
        <f t="shared" si="113"/>
        <v>1</v>
      </c>
      <c r="K257" s="80">
        <v>1200</v>
      </c>
      <c r="L257" s="81">
        <f t="shared" si="111"/>
        <v>1521.120132</v>
      </c>
      <c r="M257" s="82">
        <f t="shared" si="128"/>
        <v>0</v>
      </c>
      <c r="N257" s="82">
        <f t="shared" si="129"/>
        <v>0</v>
      </c>
      <c r="O257" s="82">
        <f>N257+'BM 005'!O257</f>
        <v>0</v>
      </c>
      <c r="P257" s="80">
        <f t="shared" si="130"/>
        <v>1200</v>
      </c>
      <c r="Q257" s="82">
        <f t="shared" si="131"/>
        <v>1521.12</v>
      </c>
      <c r="R257" s="82">
        <f t="shared" si="132"/>
        <v>1521.12</v>
      </c>
    </row>
    <row r="258" spans="2:18" s="34" customFormat="1" ht="46.2">
      <c r="B258" s="87" t="s">
        <v>509</v>
      </c>
      <c r="C258" s="88" t="s">
        <v>510</v>
      </c>
      <c r="D258" s="89" t="s">
        <v>131</v>
      </c>
      <c r="E258" s="90">
        <v>4</v>
      </c>
      <c r="F258" s="91"/>
      <c r="G258" s="91"/>
      <c r="H258" s="91"/>
      <c r="I258" s="91">
        <f>SUM(G258:H258)+'BM 005'!I258</f>
        <v>0</v>
      </c>
      <c r="J258" s="91">
        <f t="shared" si="113"/>
        <v>4</v>
      </c>
      <c r="K258" s="80">
        <v>1890</v>
      </c>
      <c r="L258" s="81">
        <f t="shared" si="111"/>
        <v>2395.7642079000002</v>
      </c>
      <c r="M258" s="82">
        <f t="shared" si="128"/>
        <v>0</v>
      </c>
      <c r="N258" s="82">
        <f t="shared" si="129"/>
        <v>0</v>
      </c>
      <c r="O258" s="82">
        <f>N258+'BM 005'!O258</f>
        <v>0</v>
      </c>
      <c r="P258" s="80">
        <f t="shared" si="130"/>
        <v>7560</v>
      </c>
      <c r="Q258" s="82">
        <f t="shared" si="131"/>
        <v>9583.0499999999993</v>
      </c>
      <c r="R258" s="82">
        <f t="shared" si="132"/>
        <v>9583.0499999999993</v>
      </c>
    </row>
    <row r="259" spans="2:18" s="34" customFormat="1" ht="34.799999999999997">
      <c r="B259" s="87" t="s">
        <v>511</v>
      </c>
      <c r="C259" s="88" t="s">
        <v>512</v>
      </c>
      <c r="D259" s="89" t="s">
        <v>131</v>
      </c>
      <c r="E259" s="90">
        <v>19</v>
      </c>
      <c r="F259" s="91"/>
      <c r="G259" s="91"/>
      <c r="H259" s="91"/>
      <c r="I259" s="91">
        <f>SUM(G259:H259)+'BM 005'!I259</f>
        <v>0</v>
      </c>
      <c r="J259" s="91">
        <f t="shared" si="113"/>
        <v>19</v>
      </c>
      <c r="K259" s="80">
        <v>1000</v>
      </c>
      <c r="L259" s="81">
        <f t="shared" si="111"/>
        <v>1267.6001100000001</v>
      </c>
      <c r="M259" s="82">
        <f t="shared" si="128"/>
        <v>0</v>
      </c>
      <c r="N259" s="82">
        <f t="shared" si="129"/>
        <v>0</v>
      </c>
      <c r="O259" s="82">
        <f>N259+'BM 005'!O259</f>
        <v>0</v>
      </c>
      <c r="P259" s="80">
        <f t="shared" si="130"/>
        <v>19000</v>
      </c>
      <c r="Q259" s="82">
        <f t="shared" si="131"/>
        <v>24084.400000000001</v>
      </c>
      <c r="R259" s="82">
        <f t="shared" si="132"/>
        <v>24084.400000000001</v>
      </c>
    </row>
    <row r="260" spans="2:18" s="34" customFormat="1" ht="34.799999999999997">
      <c r="B260" s="87" t="s">
        <v>513</v>
      </c>
      <c r="C260" s="88" t="s">
        <v>514</v>
      </c>
      <c r="D260" s="89" t="s">
        <v>131</v>
      </c>
      <c r="E260" s="90">
        <v>2</v>
      </c>
      <c r="F260" s="91"/>
      <c r="G260" s="91"/>
      <c r="H260" s="91"/>
      <c r="I260" s="91">
        <f>SUM(G260:H260)+'BM 005'!I260</f>
        <v>0</v>
      </c>
      <c r="J260" s="91">
        <f t="shared" si="113"/>
        <v>2</v>
      </c>
      <c r="K260" s="80">
        <v>1400</v>
      </c>
      <c r="L260" s="81">
        <f t="shared" si="111"/>
        <v>1774.6401540000002</v>
      </c>
      <c r="M260" s="82">
        <f t="shared" si="128"/>
        <v>0</v>
      </c>
      <c r="N260" s="82">
        <f t="shared" si="129"/>
        <v>0</v>
      </c>
      <c r="O260" s="82">
        <f>N260+'BM 005'!O260</f>
        <v>0</v>
      </c>
      <c r="P260" s="80">
        <f t="shared" si="130"/>
        <v>2800</v>
      </c>
      <c r="Q260" s="82">
        <f t="shared" si="131"/>
        <v>3549.28</v>
      </c>
      <c r="R260" s="82">
        <f t="shared" si="132"/>
        <v>3549.28</v>
      </c>
    </row>
    <row r="261" spans="2:18" s="34" customFormat="1" ht="23.4">
      <c r="B261" s="87" t="s">
        <v>515</v>
      </c>
      <c r="C261" s="88" t="s">
        <v>516</v>
      </c>
      <c r="D261" s="89" t="s">
        <v>131</v>
      </c>
      <c r="E261" s="90">
        <v>2</v>
      </c>
      <c r="F261" s="91"/>
      <c r="G261" s="91"/>
      <c r="H261" s="91"/>
      <c r="I261" s="91">
        <f>SUM(G261:H261)+'BM 005'!I261</f>
        <v>0</v>
      </c>
      <c r="J261" s="91">
        <f t="shared" si="113"/>
        <v>2</v>
      </c>
      <c r="K261" s="80">
        <v>800</v>
      </c>
      <c r="L261" s="81">
        <f t="shared" si="111"/>
        <v>1014.080088</v>
      </c>
      <c r="M261" s="82">
        <f t="shared" si="128"/>
        <v>0</v>
      </c>
      <c r="N261" s="82">
        <f t="shared" si="129"/>
        <v>0</v>
      </c>
      <c r="O261" s="82">
        <f>N261+'BM 005'!O261</f>
        <v>0</v>
      </c>
      <c r="P261" s="80">
        <f t="shared" si="130"/>
        <v>1600</v>
      </c>
      <c r="Q261" s="82">
        <f t="shared" si="131"/>
        <v>2028.16</v>
      </c>
      <c r="R261" s="82">
        <f t="shared" si="132"/>
        <v>2028.16</v>
      </c>
    </row>
    <row r="262" spans="2:18" s="34" customFormat="1" ht="23.4">
      <c r="B262" s="87" t="s">
        <v>517</v>
      </c>
      <c r="C262" s="88" t="s">
        <v>518</v>
      </c>
      <c r="D262" s="89" t="s">
        <v>131</v>
      </c>
      <c r="E262" s="90">
        <v>1</v>
      </c>
      <c r="F262" s="91"/>
      <c r="G262" s="91"/>
      <c r="H262" s="91"/>
      <c r="I262" s="91">
        <f>SUM(G262:H262)+'BM 005'!I262</f>
        <v>0</v>
      </c>
      <c r="J262" s="91">
        <f t="shared" si="113"/>
        <v>1</v>
      </c>
      <c r="K262" s="80">
        <v>1200</v>
      </c>
      <c r="L262" s="81">
        <f t="shared" si="111"/>
        <v>1521.120132</v>
      </c>
      <c r="M262" s="82">
        <f t="shared" si="128"/>
        <v>0</v>
      </c>
      <c r="N262" s="82">
        <f t="shared" si="129"/>
        <v>0</v>
      </c>
      <c r="O262" s="82">
        <f>N262+'BM 005'!O262</f>
        <v>0</v>
      </c>
      <c r="P262" s="80">
        <f t="shared" si="130"/>
        <v>1200</v>
      </c>
      <c r="Q262" s="82">
        <f t="shared" si="131"/>
        <v>1521.12</v>
      </c>
      <c r="R262" s="82">
        <f t="shared" si="132"/>
        <v>1521.12</v>
      </c>
    </row>
    <row r="263" spans="2:18" s="34" customFormat="1" ht="23.4">
      <c r="B263" s="87" t="s">
        <v>519</v>
      </c>
      <c r="C263" s="88" t="s">
        <v>520</v>
      </c>
      <c r="D263" s="89" t="s">
        <v>131</v>
      </c>
      <c r="E263" s="90">
        <v>2</v>
      </c>
      <c r="F263" s="91"/>
      <c r="G263" s="91"/>
      <c r="H263" s="91"/>
      <c r="I263" s="91">
        <f>SUM(G263:H263)+'BM 005'!I263</f>
        <v>0</v>
      </c>
      <c r="J263" s="91">
        <f t="shared" si="113"/>
        <v>2</v>
      </c>
      <c r="K263" s="80">
        <v>2100</v>
      </c>
      <c r="L263" s="81">
        <f t="shared" si="111"/>
        <v>2661.960231</v>
      </c>
      <c r="M263" s="82">
        <f t="shared" si="128"/>
        <v>0</v>
      </c>
      <c r="N263" s="82">
        <f t="shared" si="129"/>
        <v>0</v>
      </c>
      <c r="O263" s="82">
        <f>N263+'BM 005'!O263</f>
        <v>0</v>
      </c>
      <c r="P263" s="80">
        <f t="shared" si="130"/>
        <v>4200</v>
      </c>
      <c r="Q263" s="82">
        <f t="shared" si="131"/>
        <v>5323.92</v>
      </c>
      <c r="R263" s="82">
        <f t="shared" si="132"/>
        <v>5323.92</v>
      </c>
    </row>
    <row r="264" spans="2:18" s="34" customFormat="1" ht="34.799999999999997">
      <c r="B264" s="87" t="s">
        <v>521</v>
      </c>
      <c r="C264" s="88" t="s">
        <v>522</v>
      </c>
      <c r="D264" s="89" t="s">
        <v>131</v>
      </c>
      <c r="E264" s="90">
        <v>16</v>
      </c>
      <c r="F264" s="91"/>
      <c r="G264" s="91"/>
      <c r="H264" s="91"/>
      <c r="I264" s="91">
        <f>SUM(G264:H264)+'BM 005'!I264</f>
        <v>0</v>
      </c>
      <c r="J264" s="91">
        <f t="shared" si="113"/>
        <v>16</v>
      </c>
      <c r="K264" s="80">
        <v>180</v>
      </c>
      <c r="L264" s="81">
        <f t="shared" si="111"/>
        <v>228.16801980000002</v>
      </c>
      <c r="M264" s="82">
        <f t="shared" si="128"/>
        <v>0</v>
      </c>
      <c r="N264" s="82">
        <f t="shared" si="129"/>
        <v>0</v>
      </c>
      <c r="O264" s="82">
        <f>N264+'BM 005'!O264</f>
        <v>0</v>
      </c>
      <c r="P264" s="80">
        <f t="shared" si="130"/>
        <v>2880</v>
      </c>
      <c r="Q264" s="82">
        <f t="shared" si="131"/>
        <v>3650.68</v>
      </c>
      <c r="R264" s="82">
        <f t="shared" si="132"/>
        <v>3650.68</v>
      </c>
    </row>
    <row r="265" spans="2:18" s="34" customFormat="1" ht="34.799999999999997">
      <c r="B265" s="87" t="s">
        <v>523</v>
      </c>
      <c r="C265" s="88" t="s">
        <v>524</v>
      </c>
      <c r="D265" s="89" t="s">
        <v>131</v>
      </c>
      <c r="E265" s="90">
        <v>8</v>
      </c>
      <c r="F265" s="91"/>
      <c r="G265" s="91"/>
      <c r="H265" s="91"/>
      <c r="I265" s="91">
        <f>SUM(G265:H265)+'BM 005'!I265</f>
        <v>0</v>
      </c>
      <c r="J265" s="91">
        <f t="shared" si="113"/>
        <v>8</v>
      </c>
      <c r="K265" s="80">
        <v>260</v>
      </c>
      <c r="L265" s="81">
        <f t="shared" si="111"/>
        <v>329.57602860000003</v>
      </c>
      <c r="M265" s="82">
        <f t="shared" si="128"/>
        <v>0</v>
      </c>
      <c r="N265" s="82">
        <f t="shared" si="129"/>
        <v>0</v>
      </c>
      <c r="O265" s="82">
        <f>N265+'BM 005'!O265</f>
        <v>0</v>
      </c>
      <c r="P265" s="80">
        <f t="shared" si="130"/>
        <v>2080</v>
      </c>
      <c r="Q265" s="82">
        <f t="shared" si="131"/>
        <v>2636.6</v>
      </c>
      <c r="R265" s="82">
        <f t="shared" si="132"/>
        <v>2636.6</v>
      </c>
    </row>
    <row r="266" spans="2:18" s="34" customFormat="1" ht="23.4">
      <c r="B266" s="87" t="s">
        <v>525</v>
      </c>
      <c r="C266" s="88" t="s">
        <v>526</v>
      </c>
      <c r="D266" s="89" t="s">
        <v>131</v>
      </c>
      <c r="E266" s="90">
        <v>1</v>
      </c>
      <c r="F266" s="91"/>
      <c r="G266" s="91"/>
      <c r="H266" s="91"/>
      <c r="I266" s="91">
        <f>SUM(G266:H266)+'BM 005'!I266</f>
        <v>0</v>
      </c>
      <c r="J266" s="91">
        <f t="shared" si="113"/>
        <v>1</v>
      </c>
      <c r="K266" s="80">
        <v>180</v>
      </c>
      <c r="L266" s="81">
        <f t="shared" si="111"/>
        <v>228.16801980000002</v>
      </c>
      <c r="M266" s="82">
        <f t="shared" si="128"/>
        <v>0</v>
      </c>
      <c r="N266" s="82">
        <f t="shared" si="129"/>
        <v>0</v>
      </c>
      <c r="O266" s="82">
        <f>N266+'BM 005'!O266</f>
        <v>0</v>
      </c>
      <c r="P266" s="80">
        <f t="shared" si="130"/>
        <v>180</v>
      </c>
      <c r="Q266" s="82">
        <f t="shared" si="131"/>
        <v>228.16</v>
      </c>
      <c r="R266" s="82">
        <f t="shared" si="132"/>
        <v>228.16</v>
      </c>
    </row>
    <row r="267" spans="2:18" s="34" customFormat="1" ht="23.4">
      <c r="B267" s="87" t="s">
        <v>527</v>
      </c>
      <c r="C267" s="88" t="s">
        <v>528</v>
      </c>
      <c r="D267" s="89" t="s">
        <v>131</v>
      </c>
      <c r="E267" s="90">
        <v>4</v>
      </c>
      <c r="F267" s="91"/>
      <c r="G267" s="91"/>
      <c r="H267" s="91"/>
      <c r="I267" s="91">
        <f>SUM(G267:H267)+'BM 005'!I267</f>
        <v>0</v>
      </c>
      <c r="J267" s="91">
        <f t="shared" si="113"/>
        <v>4</v>
      </c>
      <c r="K267" s="80">
        <v>180</v>
      </c>
      <c r="L267" s="81">
        <f t="shared" si="111"/>
        <v>228.16801980000002</v>
      </c>
      <c r="M267" s="82">
        <f t="shared" si="128"/>
        <v>0</v>
      </c>
      <c r="N267" s="82">
        <f t="shared" si="129"/>
        <v>0</v>
      </c>
      <c r="O267" s="82">
        <f>N267+'BM 005'!O267</f>
        <v>0</v>
      </c>
      <c r="P267" s="80">
        <f t="shared" si="130"/>
        <v>720</v>
      </c>
      <c r="Q267" s="82">
        <f t="shared" si="131"/>
        <v>912.67</v>
      </c>
      <c r="R267" s="82">
        <f t="shared" si="132"/>
        <v>912.67</v>
      </c>
    </row>
    <row r="268" spans="2:18" s="34" customFormat="1" ht="23.4">
      <c r="B268" s="87" t="s">
        <v>529</v>
      </c>
      <c r="C268" s="88" t="s">
        <v>530</v>
      </c>
      <c r="D268" s="89" t="s">
        <v>131</v>
      </c>
      <c r="E268" s="90">
        <v>11</v>
      </c>
      <c r="F268" s="91"/>
      <c r="G268" s="91"/>
      <c r="H268" s="91"/>
      <c r="I268" s="91">
        <f>SUM(G268:H268)+'BM 005'!I268</f>
        <v>0</v>
      </c>
      <c r="J268" s="91">
        <f t="shared" si="113"/>
        <v>11</v>
      </c>
      <c r="K268" s="80">
        <v>280</v>
      </c>
      <c r="L268" s="81">
        <f t="shared" si="111"/>
        <v>354.92803079999999</v>
      </c>
      <c r="M268" s="82">
        <f t="shared" si="128"/>
        <v>0</v>
      </c>
      <c r="N268" s="82">
        <f t="shared" si="129"/>
        <v>0</v>
      </c>
      <c r="O268" s="82">
        <f>N268+'BM 005'!O268</f>
        <v>0</v>
      </c>
      <c r="P268" s="80">
        <f t="shared" si="130"/>
        <v>3080</v>
      </c>
      <c r="Q268" s="82">
        <f t="shared" si="131"/>
        <v>3904.2</v>
      </c>
      <c r="R268" s="82">
        <f t="shared" si="132"/>
        <v>3904.2</v>
      </c>
    </row>
    <row r="269" spans="2:18" s="34" customFormat="1" ht="23.4">
      <c r="B269" s="87" t="s">
        <v>531</v>
      </c>
      <c r="C269" s="88" t="s">
        <v>532</v>
      </c>
      <c r="D269" s="89" t="s">
        <v>131</v>
      </c>
      <c r="E269" s="90">
        <v>4</v>
      </c>
      <c r="F269" s="91"/>
      <c r="G269" s="91"/>
      <c r="H269" s="91"/>
      <c r="I269" s="91">
        <f>SUM(G269:H269)+'BM 005'!I269</f>
        <v>0</v>
      </c>
      <c r="J269" s="91">
        <f t="shared" si="113"/>
        <v>4</v>
      </c>
      <c r="K269" s="80">
        <v>380</v>
      </c>
      <c r="L269" s="81">
        <f t="shared" si="111"/>
        <v>481.68804180000001</v>
      </c>
      <c r="M269" s="82">
        <f t="shared" si="128"/>
        <v>0</v>
      </c>
      <c r="N269" s="82">
        <f t="shared" si="129"/>
        <v>0</v>
      </c>
      <c r="O269" s="82">
        <f>N269+'BM 005'!O269</f>
        <v>0</v>
      </c>
      <c r="P269" s="80">
        <f t="shared" si="130"/>
        <v>1520</v>
      </c>
      <c r="Q269" s="82">
        <f t="shared" si="131"/>
        <v>1926.75</v>
      </c>
      <c r="R269" s="82">
        <f t="shared" si="132"/>
        <v>1926.75</v>
      </c>
    </row>
    <row r="270" spans="2:18" s="34" customFormat="1" ht="23.4">
      <c r="B270" s="87" t="s">
        <v>533</v>
      </c>
      <c r="C270" s="88" t="s">
        <v>534</v>
      </c>
      <c r="D270" s="89" t="s">
        <v>131</v>
      </c>
      <c r="E270" s="90">
        <v>1</v>
      </c>
      <c r="F270" s="91"/>
      <c r="G270" s="91"/>
      <c r="H270" s="91"/>
      <c r="I270" s="91">
        <f>SUM(G270:H270)+'BM 005'!I270</f>
        <v>0</v>
      </c>
      <c r="J270" s="91">
        <f t="shared" si="113"/>
        <v>1</v>
      </c>
      <c r="K270" s="80">
        <v>600</v>
      </c>
      <c r="L270" s="81">
        <f t="shared" si="111"/>
        <v>760.56006600000001</v>
      </c>
      <c r="M270" s="82">
        <f t="shared" si="128"/>
        <v>0</v>
      </c>
      <c r="N270" s="82">
        <f t="shared" si="129"/>
        <v>0</v>
      </c>
      <c r="O270" s="82">
        <f>N270+'BM 005'!O270</f>
        <v>0</v>
      </c>
      <c r="P270" s="80">
        <f t="shared" si="130"/>
        <v>600</v>
      </c>
      <c r="Q270" s="82">
        <f t="shared" si="131"/>
        <v>760.56</v>
      </c>
      <c r="R270" s="82">
        <f t="shared" si="132"/>
        <v>760.56</v>
      </c>
    </row>
    <row r="271" spans="2:18" s="34" customFormat="1" ht="13.2">
      <c r="B271" s="87" t="s">
        <v>535</v>
      </c>
      <c r="C271" s="88" t="s">
        <v>536</v>
      </c>
      <c r="D271" s="89" t="s">
        <v>131</v>
      </c>
      <c r="E271" s="90">
        <v>1</v>
      </c>
      <c r="F271" s="91"/>
      <c r="G271" s="91"/>
      <c r="H271" s="91"/>
      <c r="I271" s="91">
        <f>SUM(G271:H271)+'BM 005'!I271</f>
        <v>0</v>
      </c>
      <c r="J271" s="91">
        <f t="shared" si="113"/>
        <v>1</v>
      </c>
      <c r="K271" s="80">
        <v>350</v>
      </c>
      <c r="L271" s="81">
        <f t="shared" si="111"/>
        <v>443.66003850000004</v>
      </c>
      <c r="M271" s="82">
        <f t="shared" si="128"/>
        <v>0</v>
      </c>
      <c r="N271" s="82">
        <f t="shared" si="129"/>
        <v>0</v>
      </c>
      <c r="O271" s="82">
        <f>N271+'BM 005'!O271</f>
        <v>0</v>
      </c>
      <c r="P271" s="80">
        <f t="shared" si="130"/>
        <v>350</v>
      </c>
      <c r="Q271" s="82">
        <f t="shared" si="131"/>
        <v>443.66</v>
      </c>
      <c r="R271" s="82">
        <f t="shared" si="132"/>
        <v>443.66</v>
      </c>
    </row>
    <row r="272" spans="2:18" s="34" customFormat="1" ht="13.2">
      <c r="B272" s="87" t="s">
        <v>537</v>
      </c>
      <c r="C272" s="88" t="s">
        <v>538</v>
      </c>
      <c r="D272" s="89" t="s">
        <v>131</v>
      </c>
      <c r="E272" s="90">
        <v>6</v>
      </c>
      <c r="F272" s="91"/>
      <c r="G272" s="91"/>
      <c r="H272" s="91"/>
      <c r="I272" s="91">
        <f>SUM(G272:H272)+'BM 005'!I272</f>
        <v>0</v>
      </c>
      <c r="J272" s="91">
        <f t="shared" si="113"/>
        <v>6</v>
      </c>
      <c r="K272" s="80">
        <v>450</v>
      </c>
      <c r="L272" s="81">
        <f t="shared" si="111"/>
        <v>570.4200495</v>
      </c>
      <c r="M272" s="82">
        <f t="shared" si="128"/>
        <v>0</v>
      </c>
      <c r="N272" s="82">
        <f t="shared" si="129"/>
        <v>0</v>
      </c>
      <c r="O272" s="82">
        <f>N272+'BM 005'!O272</f>
        <v>0</v>
      </c>
      <c r="P272" s="80">
        <f t="shared" si="130"/>
        <v>2700</v>
      </c>
      <c r="Q272" s="82">
        <f t="shared" si="131"/>
        <v>3422.52</v>
      </c>
      <c r="R272" s="82">
        <f t="shared" si="132"/>
        <v>3422.52</v>
      </c>
    </row>
    <row r="273" spans="2:18" s="34" customFormat="1" ht="23.4">
      <c r="B273" s="87" t="s">
        <v>539</v>
      </c>
      <c r="C273" s="88" t="s">
        <v>540</v>
      </c>
      <c r="D273" s="89" t="s">
        <v>131</v>
      </c>
      <c r="E273" s="90">
        <v>1</v>
      </c>
      <c r="F273" s="91"/>
      <c r="G273" s="91"/>
      <c r="H273" s="91"/>
      <c r="I273" s="91">
        <f>SUM(G273:H273)+'BM 005'!I273</f>
        <v>0</v>
      </c>
      <c r="J273" s="91">
        <f t="shared" si="113"/>
        <v>1</v>
      </c>
      <c r="K273" s="80">
        <v>750</v>
      </c>
      <c r="L273" s="81">
        <f t="shared" si="111"/>
        <v>950.70008250000001</v>
      </c>
      <c r="M273" s="82">
        <f t="shared" si="128"/>
        <v>0</v>
      </c>
      <c r="N273" s="82">
        <f t="shared" si="129"/>
        <v>0</v>
      </c>
      <c r="O273" s="82">
        <f>N273+'BM 005'!O273</f>
        <v>0</v>
      </c>
      <c r="P273" s="80">
        <f t="shared" si="130"/>
        <v>750</v>
      </c>
      <c r="Q273" s="82">
        <f t="shared" si="131"/>
        <v>950.7</v>
      </c>
      <c r="R273" s="82">
        <f t="shared" si="132"/>
        <v>950.7</v>
      </c>
    </row>
    <row r="274" spans="2:18" s="34" customFormat="1" ht="34.799999999999997">
      <c r="B274" s="87" t="s">
        <v>541</v>
      </c>
      <c r="C274" s="88" t="s">
        <v>542</v>
      </c>
      <c r="D274" s="89" t="s">
        <v>131</v>
      </c>
      <c r="E274" s="90">
        <v>7</v>
      </c>
      <c r="F274" s="91"/>
      <c r="G274" s="91"/>
      <c r="H274" s="91"/>
      <c r="I274" s="91">
        <f>SUM(G274:H274)+'BM 005'!I274</f>
        <v>0</v>
      </c>
      <c r="J274" s="91">
        <f t="shared" si="113"/>
        <v>7</v>
      </c>
      <c r="K274" s="80">
        <v>20</v>
      </c>
      <c r="L274" s="81">
        <f t="shared" si="111"/>
        <v>25.352002200000001</v>
      </c>
      <c r="M274" s="82">
        <f t="shared" si="128"/>
        <v>0</v>
      </c>
      <c r="N274" s="82">
        <f t="shared" si="129"/>
        <v>0</v>
      </c>
      <c r="O274" s="82">
        <f>N274+'BM 005'!O274</f>
        <v>0</v>
      </c>
      <c r="P274" s="80">
        <f t="shared" si="130"/>
        <v>140</v>
      </c>
      <c r="Q274" s="82">
        <f t="shared" si="131"/>
        <v>177.46</v>
      </c>
      <c r="R274" s="82">
        <f t="shared" si="132"/>
        <v>177.46</v>
      </c>
    </row>
    <row r="275" spans="2:18" s="34" customFormat="1" ht="34.799999999999997">
      <c r="B275" s="87" t="s">
        <v>543</v>
      </c>
      <c r="C275" s="88" t="s">
        <v>544</v>
      </c>
      <c r="D275" s="89" t="s">
        <v>131</v>
      </c>
      <c r="E275" s="90">
        <v>17</v>
      </c>
      <c r="F275" s="91"/>
      <c r="G275" s="91"/>
      <c r="H275" s="91"/>
      <c r="I275" s="91">
        <f>SUM(G275:H275)+'BM 005'!I275</f>
        <v>0</v>
      </c>
      <c r="J275" s="91">
        <f t="shared" si="113"/>
        <v>17</v>
      </c>
      <c r="K275" s="80">
        <v>20</v>
      </c>
      <c r="L275" s="81">
        <f t="shared" si="111"/>
        <v>25.352002200000001</v>
      </c>
      <c r="M275" s="82">
        <f t="shared" si="128"/>
        <v>0</v>
      </c>
      <c r="N275" s="82">
        <f t="shared" si="129"/>
        <v>0</v>
      </c>
      <c r="O275" s="82">
        <f>N275+'BM 005'!O275</f>
        <v>0</v>
      </c>
      <c r="P275" s="80">
        <f t="shared" si="130"/>
        <v>340</v>
      </c>
      <c r="Q275" s="82">
        <f t="shared" si="131"/>
        <v>430.98</v>
      </c>
      <c r="R275" s="82">
        <f t="shared" si="132"/>
        <v>430.98</v>
      </c>
    </row>
    <row r="276" spans="2:18" s="34" customFormat="1" ht="34.799999999999997">
      <c r="B276" s="87" t="s">
        <v>545</v>
      </c>
      <c r="C276" s="88" t="s">
        <v>546</v>
      </c>
      <c r="D276" s="89" t="s">
        <v>131</v>
      </c>
      <c r="E276" s="90">
        <v>71</v>
      </c>
      <c r="F276" s="91"/>
      <c r="G276" s="91"/>
      <c r="H276" s="91"/>
      <c r="I276" s="91">
        <f>SUM(G276:H276)+'BM 005'!I276</f>
        <v>0</v>
      </c>
      <c r="J276" s="91">
        <f t="shared" si="113"/>
        <v>71</v>
      </c>
      <c r="K276" s="80">
        <v>20</v>
      </c>
      <c r="L276" s="81">
        <f t="shared" si="111"/>
        <v>25.352002200000001</v>
      </c>
      <c r="M276" s="82">
        <f t="shared" si="128"/>
        <v>0</v>
      </c>
      <c r="N276" s="82">
        <f t="shared" si="129"/>
        <v>0</v>
      </c>
      <c r="O276" s="82">
        <f>N276+'BM 005'!O276</f>
        <v>0</v>
      </c>
      <c r="P276" s="80">
        <f t="shared" si="130"/>
        <v>1420</v>
      </c>
      <c r="Q276" s="82">
        <f t="shared" si="131"/>
        <v>1799.99</v>
      </c>
      <c r="R276" s="82">
        <f t="shared" si="132"/>
        <v>1799.99</v>
      </c>
    </row>
    <row r="277" spans="2:18" s="34" customFormat="1" ht="34.799999999999997">
      <c r="B277" s="87" t="s">
        <v>547</v>
      </c>
      <c r="C277" s="88" t="s">
        <v>548</v>
      </c>
      <c r="D277" s="89" t="s">
        <v>131</v>
      </c>
      <c r="E277" s="90">
        <v>179</v>
      </c>
      <c r="F277" s="91"/>
      <c r="G277" s="91"/>
      <c r="H277" s="91"/>
      <c r="I277" s="91">
        <f>SUM(G277:H277)+'BM 005'!I277</f>
        <v>0</v>
      </c>
      <c r="J277" s="91">
        <f t="shared" si="113"/>
        <v>179</v>
      </c>
      <c r="K277" s="80">
        <v>20</v>
      </c>
      <c r="L277" s="81">
        <f t="shared" si="111"/>
        <v>25.352002200000001</v>
      </c>
      <c r="M277" s="82">
        <f t="shared" si="128"/>
        <v>0</v>
      </c>
      <c r="N277" s="82">
        <f t="shared" si="129"/>
        <v>0</v>
      </c>
      <c r="O277" s="82">
        <f>N277+'BM 005'!O277</f>
        <v>0</v>
      </c>
      <c r="P277" s="80">
        <f t="shared" si="130"/>
        <v>3580</v>
      </c>
      <c r="Q277" s="82">
        <f t="shared" si="131"/>
        <v>4538</v>
      </c>
      <c r="R277" s="82">
        <f t="shared" si="132"/>
        <v>4538</v>
      </c>
    </row>
    <row r="278" spans="2:18" s="34" customFormat="1" ht="34.799999999999997">
      <c r="B278" s="87" t="s">
        <v>549</v>
      </c>
      <c r="C278" s="88" t="s">
        <v>550</v>
      </c>
      <c r="D278" s="89" t="s">
        <v>131</v>
      </c>
      <c r="E278" s="90">
        <v>1</v>
      </c>
      <c r="F278" s="91"/>
      <c r="G278" s="91"/>
      <c r="H278" s="91"/>
      <c r="I278" s="91">
        <f>SUM(G278:H278)+'BM 005'!I278</f>
        <v>0</v>
      </c>
      <c r="J278" s="91">
        <f t="shared" si="113"/>
        <v>1</v>
      </c>
      <c r="K278" s="80">
        <v>25</v>
      </c>
      <c r="L278" s="81">
        <f t="shared" si="111"/>
        <v>31.690002750000001</v>
      </c>
      <c r="M278" s="82">
        <f t="shared" si="128"/>
        <v>0</v>
      </c>
      <c r="N278" s="82">
        <f t="shared" si="129"/>
        <v>0</v>
      </c>
      <c r="O278" s="82">
        <f>N278+'BM 005'!O278</f>
        <v>0</v>
      </c>
      <c r="P278" s="80">
        <f t="shared" si="130"/>
        <v>25</v>
      </c>
      <c r="Q278" s="82">
        <f t="shared" si="131"/>
        <v>31.69</v>
      </c>
      <c r="R278" s="82">
        <f t="shared" si="132"/>
        <v>31.69</v>
      </c>
    </row>
    <row r="279" spans="2:18" s="34" customFormat="1" ht="34.799999999999997">
      <c r="B279" s="87" t="s">
        <v>551</v>
      </c>
      <c r="C279" s="88" t="s">
        <v>552</v>
      </c>
      <c r="D279" s="89" t="s">
        <v>131</v>
      </c>
      <c r="E279" s="90">
        <v>8</v>
      </c>
      <c r="F279" s="91"/>
      <c r="G279" s="91"/>
      <c r="H279" s="91"/>
      <c r="I279" s="91">
        <f>SUM(G279:H279)+'BM 005'!I279</f>
        <v>0</v>
      </c>
      <c r="J279" s="91">
        <f t="shared" si="113"/>
        <v>8</v>
      </c>
      <c r="K279" s="80">
        <v>25</v>
      </c>
      <c r="L279" s="81">
        <f t="shared" si="111"/>
        <v>31.690002750000001</v>
      </c>
      <c r="M279" s="82">
        <f t="shared" si="128"/>
        <v>0</v>
      </c>
      <c r="N279" s="82">
        <f t="shared" si="129"/>
        <v>0</v>
      </c>
      <c r="O279" s="82">
        <f>N279+'BM 005'!O279</f>
        <v>0</v>
      </c>
      <c r="P279" s="80">
        <f t="shared" si="130"/>
        <v>200</v>
      </c>
      <c r="Q279" s="82">
        <f t="shared" si="131"/>
        <v>253.52</v>
      </c>
      <c r="R279" s="82">
        <f t="shared" si="132"/>
        <v>253.52</v>
      </c>
    </row>
    <row r="280" spans="2:18" s="34" customFormat="1" ht="34.799999999999997">
      <c r="B280" s="87" t="s">
        <v>553</v>
      </c>
      <c r="C280" s="88" t="s">
        <v>554</v>
      </c>
      <c r="D280" s="89" t="s">
        <v>131</v>
      </c>
      <c r="E280" s="90">
        <v>14</v>
      </c>
      <c r="F280" s="91"/>
      <c r="G280" s="91"/>
      <c r="H280" s="91"/>
      <c r="I280" s="91">
        <f>SUM(G280:H280)+'BM 005'!I280</f>
        <v>0</v>
      </c>
      <c r="J280" s="91">
        <f t="shared" si="113"/>
        <v>14</v>
      </c>
      <c r="K280" s="80">
        <v>25</v>
      </c>
      <c r="L280" s="81">
        <f t="shared" si="111"/>
        <v>31.690002750000001</v>
      </c>
      <c r="M280" s="82">
        <f t="shared" si="128"/>
        <v>0</v>
      </c>
      <c r="N280" s="82">
        <f t="shared" si="129"/>
        <v>0</v>
      </c>
      <c r="O280" s="82">
        <f>N280+'BM 005'!O280</f>
        <v>0</v>
      </c>
      <c r="P280" s="80">
        <f t="shared" si="130"/>
        <v>350</v>
      </c>
      <c r="Q280" s="82">
        <f t="shared" si="131"/>
        <v>443.66</v>
      </c>
      <c r="R280" s="82">
        <f t="shared" si="132"/>
        <v>443.66</v>
      </c>
    </row>
    <row r="281" spans="2:18" s="34" customFormat="1" ht="34.799999999999997">
      <c r="B281" s="87" t="s">
        <v>555</v>
      </c>
      <c r="C281" s="88" t="s">
        <v>556</v>
      </c>
      <c r="D281" s="89" t="s">
        <v>131</v>
      </c>
      <c r="E281" s="90">
        <v>5</v>
      </c>
      <c r="F281" s="91"/>
      <c r="G281" s="91"/>
      <c r="H281" s="91"/>
      <c r="I281" s="91">
        <f>SUM(G281:H281)+'BM 005'!I281</f>
        <v>0</v>
      </c>
      <c r="J281" s="91">
        <f t="shared" si="113"/>
        <v>5</v>
      </c>
      <c r="K281" s="80">
        <v>30</v>
      </c>
      <c r="L281" s="81">
        <f t="shared" si="111"/>
        <v>38.028003300000002</v>
      </c>
      <c r="M281" s="82">
        <f t="shared" si="128"/>
        <v>0</v>
      </c>
      <c r="N281" s="82">
        <f t="shared" si="129"/>
        <v>0</v>
      </c>
      <c r="O281" s="82">
        <f>N281+'BM 005'!O281</f>
        <v>0</v>
      </c>
      <c r="P281" s="80">
        <f t="shared" si="130"/>
        <v>150</v>
      </c>
      <c r="Q281" s="82">
        <f t="shared" si="131"/>
        <v>190.14</v>
      </c>
      <c r="R281" s="82">
        <f t="shared" si="132"/>
        <v>190.14</v>
      </c>
    </row>
    <row r="282" spans="2:18" s="34" customFormat="1" ht="34.799999999999997">
      <c r="B282" s="87" t="s">
        <v>557</v>
      </c>
      <c r="C282" s="88" t="s">
        <v>558</v>
      </c>
      <c r="D282" s="89" t="s">
        <v>131</v>
      </c>
      <c r="E282" s="90">
        <v>4</v>
      </c>
      <c r="F282" s="91"/>
      <c r="G282" s="91"/>
      <c r="H282" s="91"/>
      <c r="I282" s="91">
        <f>SUM(G282:H282)+'BM 005'!I282</f>
        <v>0</v>
      </c>
      <c r="J282" s="91">
        <f t="shared" si="113"/>
        <v>4</v>
      </c>
      <c r="K282" s="80">
        <v>40</v>
      </c>
      <c r="L282" s="81">
        <f t="shared" si="111"/>
        <v>50.704004400000002</v>
      </c>
      <c r="M282" s="82">
        <f t="shared" si="128"/>
        <v>0</v>
      </c>
      <c r="N282" s="82">
        <f t="shared" si="129"/>
        <v>0</v>
      </c>
      <c r="O282" s="82">
        <f>N282+'BM 005'!O282</f>
        <v>0</v>
      </c>
      <c r="P282" s="80">
        <f t="shared" si="130"/>
        <v>160</v>
      </c>
      <c r="Q282" s="82">
        <f t="shared" si="131"/>
        <v>202.81</v>
      </c>
      <c r="R282" s="82">
        <f t="shared" si="132"/>
        <v>202.81</v>
      </c>
    </row>
    <row r="283" spans="2:18" s="34" customFormat="1" ht="34.799999999999997">
      <c r="B283" s="87" t="s">
        <v>559</v>
      </c>
      <c r="C283" s="88" t="s">
        <v>560</v>
      </c>
      <c r="D283" s="89" t="s">
        <v>131</v>
      </c>
      <c r="E283" s="90">
        <v>4</v>
      </c>
      <c r="F283" s="91"/>
      <c r="G283" s="91"/>
      <c r="H283" s="91"/>
      <c r="I283" s="91">
        <f>SUM(G283:H283)+'BM 005'!I283</f>
        <v>0</v>
      </c>
      <c r="J283" s="91">
        <f t="shared" si="113"/>
        <v>4</v>
      </c>
      <c r="K283" s="80">
        <v>50</v>
      </c>
      <c r="L283" s="81">
        <f t="shared" si="111"/>
        <v>63.380005500000003</v>
      </c>
      <c r="M283" s="82">
        <f t="shared" si="128"/>
        <v>0</v>
      </c>
      <c r="N283" s="82">
        <f t="shared" si="129"/>
        <v>0</v>
      </c>
      <c r="O283" s="82">
        <f>N283+'BM 005'!O283</f>
        <v>0</v>
      </c>
      <c r="P283" s="80">
        <f t="shared" si="130"/>
        <v>200</v>
      </c>
      <c r="Q283" s="82">
        <f t="shared" si="131"/>
        <v>253.52</v>
      </c>
      <c r="R283" s="82">
        <f t="shared" si="132"/>
        <v>253.52</v>
      </c>
    </row>
    <row r="284" spans="2:18" s="34" customFormat="1" ht="34.799999999999997">
      <c r="B284" s="87" t="s">
        <v>561</v>
      </c>
      <c r="C284" s="88" t="s">
        <v>562</v>
      </c>
      <c r="D284" s="89" t="s">
        <v>131</v>
      </c>
      <c r="E284" s="90">
        <v>1</v>
      </c>
      <c r="F284" s="91"/>
      <c r="G284" s="91"/>
      <c r="H284" s="91"/>
      <c r="I284" s="91">
        <f>SUM(G284:H284)+'BM 005'!I284</f>
        <v>0</v>
      </c>
      <c r="J284" s="91">
        <f t="shared" si="113"/>
        <v>1</v>
      </c>
      <c r="K284" s="80">
        <v>80</v>
      </c>
      <c r="L284" s="81">
        <f t="shared" si="111"/>
        <v>101.4080088</v>
      </c>
      <c r="M284" s="82">
        <f t="shared" si="128"/>
        <v>0</v>
      </c>
      <c r="N284" s="82">
        <f t="shared" si="129"/>
        <v>0</v>
      </c>
      <c r="O284" s="82">
        <f>N284+'BM 005'!O284</f>
        <v>0</v>
      </c>
      <c r="P284" s="80">
        <f t="shared" si="130"/>
        <v>80</v>
      </c>
      <c r="Q284" s="82">
        <f t="shared" si="131"/>
        <v>101.4</v>
      </c>
      <c r="R284" s="82">
        <f t="shared" si="132"/>
        <v>101.4</v>
      </c>
    </row>
    <row r="285" spans="2:18" s="34" customFormat="1" ht="34.799999999999997">
      <c r="B285" s="87" t="s">
        <v>563</v>
      </c>
      <c r="C285" s="88" t="s">
        <v>564</v>
      </c>
      <c r="D285" s="89" t="s">
        <v>131</v>
      </c>
      <c r="E285" s="90">
        <v>9</v>
      </c>
      <c r="F285" s="91"/>
      <c r="G285" s="91"/>
      <c r="H285" s="91"/>
      <c r="I285" s="91">
        <f>SUM(G285:H285)+'BM 005'!I285</f>
        <v>0</v>
      </c>
      <c r="J285" s="91">
        <f t="shared" si="113"/>
        <v>9</v>
      </c>
      <c r="K285" s="80">
        <v>89</v>
      </c>
      <c r="L285" s="81">
        <f t="shared" ref="L285:L348" si="133">K285*(1+$T$26)</f>
        <v>112.81640979000001</v>
      </c>
      <c r="M285" s="82">
        <f t="shared" si="128"/>
        <v>0</v>
      </c>
      <c r="N285" s="82">
        <f t="shared" si="129"/>
        <v>0</v>
      </c>
      <c r="O285" s="82">
        <f>N285+'BM 005'!O285</f>
        <v>0</v>
      </c>
      <c r="P285" s="80">
        <f t="shared" si="130"/>
        <v>801</v>
      </c>
      <c r="Q285" s="82">
        <f t="shared" si="131"/>
        <v>1015.34</v>
      </c>
      <c r="R285" s="82">
        <f t="shared" si="132"/>
        <v>1015.34</v>
      </c>
    </row>
    <row r="286" spans="2:18" s="34" customFormat="1" ht="34.799999999999997">
      <c r="B286" s="87" t="s">
        <v>565</v>
      </c>
      <c r="C286" s="88" t="s">
        <v>566</v>
      </c>
      <c r="D286" s="89" t="s">
        <v>131</v>
      </c>
      <c r="E286" s="90">
        <v>4</v>
      </c>
      <c r="F286" s="91"/>
      <c r="G286" s="91"/>
      <c r="H286" s="91"/>
      <c r="I286" s="91">
        <f>SUM(G286:H286)+'BM 005'!I286</f>
        <v>0</v>
      </c>
      <c r="J286" s="91">
        <f t="shared" si="113"/>
        <v>4</v>
      </c>
      <c r="K286" s="80">
        <v>89</v>
      </c>
      <c r="L286" s="81">
        <f t="shared" si="133"/>
        <v>112.81640979000001</v>
      </c>
      <c r="M286" s="82">
        <f t="shared" si="128"/>
        <v>0</v>
      </c>
      <c r="N286" s="82">
        <f t="shared" si="129"/>
        <v>0</v>
      </c>
      <c r="O286" s="82">
        <f>N286+'BM 005'!O286</f>
        <v>0</v>
      </c>
      <c r="P286" s="80">
        <f t="shared" si="130"/>
        <v>356</v>
      </c>
      <c r="Q286" s="82">
        <f t="shared" si="131"/>
        <v>451.26</v>
      </c>
      <c r="R286" s="82">
        <f t="shared" si="132"/>
        <v>451.26</v>
      </c>
    </row>
    <row r="287" spans="2:18" s="34" customFormat="1" ht="34.799999999999997">
      <c r="B287" s="87" t="s">
        <v>567</v>
      </c>
      <c r="C287" s="88" t="s">
        <v>568</v>
      </c>
      <c r="D287" s="89" t="s">
        <v>131</v>
      </c>
      <c r="E287" s="90">
        <v>12</v>
      </c>
      <c r="F287" s="91"/>
      <c r="G287" s="91"/>
      <c r="H287" s="91"/>
      <c r="I287" s="91">
        <f>SUM(G287:H287)+'BM 005'!I287</f>
        <v>0</v>
      </c>
      <c r="J287" s="91">
        <f t="shared" ref="J287:J350" si="134">E287-I287</f>
        <v>12</v>
      </c>
      <c r="K287" s="80">
        <v>89</v>
      </c>
      <c r="L287" s="81">
        <f t="shared" si="133"/>
        <v>112.81640979000001</v>
      </c>
      <c r="M287" s="82">
        <f t="shared" si="128"/>
        <v>0</v>
      </c>
      <c r="N287" s="82">
        <f t="shared" si="129"/>
        <v>0</v>
      </c>
      <c r="O287" s="82">
        <f>N287+'BM 005'!O287</f>
        <v>0</v>
      </c>
      <c r="P287" s="80">
        <f t="shared" si="130"/>
        <v>1068</v>
      </c>
      <c r="Q287" s="82">
        <f t="shared" si="131"/>
        <v>1353.79</v>
      </c>
      <c r="R287" s="82">
        <f t="shared" si="132"/>
        <v>1353.79</v>
      </c>
    </row>
    <row r="288" spans="2:18" s="34" customFormat="1" ht="34.799999999999997">
      <c r="B288" s="87" t="s">
        <v>569</v>
      </c>
      <c r="C288" s="88" t="s">
        <v>570</v>
      </c>
      <c r="D288" s="89" t="s">
        <v>131</v>
      </c>
      <c r="E288" s="90">
        <v>4</v>
      </c>
      <c r="F288" s="91"/>
      <c r="G288" s="91"/>
      <c r="H288" s="91"/>
      <c r="I288" s="91">
        <f>SUM(G288:H288)+'BM 005'!I288</f>
        <v>0</v>
      </c>
      <c r="J288" s="91">
        <f t="shared" si="134"/>
        <v>4</v>
      </c>
      <c r="K288" s="80">
        <v>89</v>
      </c>
      <c r="L288" s="81">
        <f t="shared" si="133"/>
        <v>112.81640979000001</v>
      </c>
      <c r="M288" s="82">
        <f t="shared" si="128"/>
        <v>0</v>
      </c>
      <c r="N288" s="82">
        <f t="shared" si="129"/>
        <v>0</v>
      </c>
      <c r="O288" s="82">
        <f>N288+'BM 005'!O288</f>
        <v>0</v>
      </c>
      <c r="P288" s="80">
        <f t="shared" si="130"/>
        <v>356</v>
      </c>
      <c r="Q288" s="82">
        <f t="shared" si="131"/>
        <v>451.26</v>
      </c>
      <c r="R288" s="82">
        <f t="shared" si="132"/>
        <v>451.26</v>
      </c>
    </row>
    <row r="289" spans="2:18" s="34" customFormat="1" ht="34.799999999999997">
      <c r="B289" s="87" t="s">
        <v>571</v>
      </c>
      <c r="C289" s="88" t="s">
        <v>572</v>
      </c>
      <c r="D289" s="89" t="s">
        <v>131</v>
      </c>
      <c r="E289" s="90">
        <v>1</v>
      </c>
      <c r="F289" s="91"/>
      <c r="G289" s="91"/>
      <c r="H289" s="91"/>
      <c r="I289" s="91">
        <f>SUM(G289:H289)+'BM 005'!I289</f>
        <v>0</v>
      </c>
      <c r="J289" s="91">
        <f t="shared" si="134"/>
        <v>1</v>
      </c>
      <c r="K289" s="80">
        <v>110</v>
      </c>
      <c r="L289" s="81">
        <f t="shared" si="133"/>
        <v>139.4360121</v>
      </c>
      <c r="M289" s="82">
        <f t="shared" si="128"/>
        <v>0</v>
      </c>
      <c r="N289" s="82">
        <f t="shared" si="129"/>
        <v>0</v>
      </c>
      <c r="O289" s="82">
        <f>N289+'BM 005'!O289</f>
        <v>0</v>
      </c>
      <c r="P289" s="80">
        <f t="shared" si="130"/>
        <v>110</v>
      </c>
      <c r="Q289" s="82">
        <f t="shared" si="131"/>
        <v>139.43</v>
      </c>
      <c r="R289" s="82">
        <f t="shared" si="132"/>
        <v>139.43</v>
      </c>
    </row>
    <row r="290" spans="2:18" s="34" customFormat="1" ht="34.799999999999997">
      <c r="B290" s="87" t="s">
        <v>573</v>
      </c>
      <c r="C290" s="88" t="s">
        <v>574</v>
      </c>
      <c r="D290" s="89" t="s">
        <v>131</v>
      </c>
      <c r="E290" s="90">
        <v>1</v>
      </c>
      <c r="F290" s="91"/>
      <c r="G290" s="91"/>
      <c r="H290" s="91"/>
      <c r="I290" s="91">
        <f>SUM(G290:H290)+'BM 005'!I290</f>
        <v>0</v>
      </c>
      <c r="J290" s="91">
        <f t="shared" si="134"/>
        <v>1</v>
      </c>
      <c r="K290" s="80">
        <v>115</v>
      </c>
      <c r="L290" s="81">
        <f t="shared" si="133"/>
        <v>145.77401265</v>
      </c>
      <c r="M290" s="82">
        <f t="shared" si="128"/>
        <v>0</v>
      </c>
      <c r="N290" s="82">
        <f t="shared" si="129"/>
        <v>0</v>
      </c>
      <c r="O290" s="82">
        <f>N290+'BM 005'!O290</f>
        <v>0</v>
      </c>
      <c r="P290" s="80">
        <f t="shared" si="130"/>
        <v>115</v>
      </c>
      <c r="Q290" s="82">
        <f t="shared" si="131"/>
        <v>145.77000000000001</v>
      </c>
      <c r="R290" s="82">
        <f t="shared" si="132"/>
        <v>145.77000000000001</v>
      </c>
    </row>
    <row r="291" spans="2:18" s="34" customFormat="1" ht="13.2">
      <c r="B291" s="66" t="s">
        <v>575</v>
      </c>
      <c r="C291" s="67" t="s">
        <v>576</v>
      </c>
      <c r="D291" s="68"/>
      <c r="E291" s="69"/>
      <c r="F291" s="70"/>
      <c r="G291" s="70"/>
      <c r="H291" s="70"/>
      <c r="I291" s="70">
        <f>SUM(G291:H291)+'BM 005'!I291</f>
        <v>0</v>
      </c>
      <c r="J291" s="70">
        <f t="shared" si="134"/>
        <v>0</v>
      </c>
      <c r="K291" s="71"/>
      <c r="L291" s="71">
        <f t="shared" si="133"/>
        <v>0</v>
      </c>
      <c r="M291" s="73">
        <f t="shared" ref="M291:R291" si="135">SUM(M292:M295)</f>
        <v>0</v>
      </c>
      <c r="N291" s="73">
        <f t="shared" si="135"/>
        <v>0</v>
      </c>
      <c r="O291" s="73">
        <f t="shared" si="135"/>
        <v>0</v>
      </c>
      <c r="P291" s="73">
        <f t="shared" si="135"/>
        <v>100820.55</v>
      </c>
      <c r="Q291" s="73">
        <f t="shared" si="135"/>
        <v>127800.12</v>
      </c>
      <c r="R291" s="73">
        <f t="shared" si="135"/>
        <v>127800.12</v>
      </c>
    </row>
    <row r="292" spans="2:18" s="34" customFormat="1" ht="34.799999999999997">
      <c r="B292" s="87" t="s">
        <v>577</v>
      </c>
      <c r="C292" s="88" t="s">
        <v>578</v>
      </c>
      <c r="D292" s="89" t="s">
        <v>131</v>
      </c>
      <c r="E292" s="90">
        <v>55</v>
      </c>
      <c r="F292" s="91"/>
      <c r="G292" s="91"/>
      <c r="H292" s="91"/>
      <c r="I292" s="91">
        <f>SUM(G292:H292)+'BM 005'!I292</f>
        <v>0</v>
      </c>
      <c r="J292" s="91">
        <f t="shared" si="134"/>
        <v>55</v>
      </c>
      <c r="K292" s="80">
        <v>164.81</v>
      </c>
      <c r="L292" s="81">
        <f t="shared" si="133"/>
        <v>208.91317412910001</v>
      </c>
      <c r="M292" s="82">
        <f>TRUNC(F292*L292,2)</f>
        <v>0</v>
      </c>
      <c r="N292" s="82">
        <f>TRUNC(G292*L292,2)</f>
        <v>0</v>
      </c>
      <c r="O292" s="82">
        <f>N292+'BM 005'!O292</f>
        <v>0</v>
      </c>
      <c r="P292" s="80">
        <f>E292*K292</f>
        <v>9064.5499999999993</v>
      </c>
      <c r="Q292" s="82">
        <f>TRUNC(E292*L292,2)</f>
        <v>11490.22</v>
      </c>
      <c r="R292" s="82">
        <f>Q292-O292</f>
        <v>11490.22</v>
      </c>
    </row>
    <row r="293" spans="2:18" s="34" customFormat="1" ht="23.4">
      <c r="B293" s="87" t="s">
        <v>579</v>
      </c>
      <c r="C293" s="88" t="s">
        <v>580</v>
      </c>
      <c r="D293" s="89" t="s">
        <v>131</v>
      </c>
      <c r="E293" s="90">
        <v>887</v>
      </c>
      <c r="F293" s="91"/>
      <c r="G293" s="91"/>
      <c r="H293" s="91"/>
      <c r="I293" s="91">
        <f>SUM(G293:H293)+'BM 005'!I293</f>
        <v>0</v>
      </c>
      <c r="J293" s="91">
        <f t="shared" si="134"/>
        <v>887</v>
      </c>
      <c r="K293" s="80">
        <v>98</v>
      </c>
      <c r="L293" s="81">
        <f t="shared" si="133"/>
        <v>124.22481078000001</v>
      </c>
      <c r="M293" s="82">
        <f>TRUNC(F293*L293,2)</f>
        <v>0</v>
      </c>
      <c r="N293" s="82">
        <f>TRUNC(G293*L293,2)</f>
        <v>0</v>
      </c>
      <c r="O293" s="82">
        <f>N293+'BM 005'!O293</f>
        <v>0</v>
      </c>
      <c r="P293" s="80">
        <f>E293*K293</f>
        <v>86926</v>
      </c>
      <c r="Q293" s="82">
        <f>TRUNC(E293*L293,2)</f>
        <v>110187.4</v>
      </c>
      <c r="R293" s="82">
        <f>Q293-O293</f>
        <v>110187.4</v>
      </c>
    </row>
    <row r="294" spans="2:18" s="34" customFormat="1" ht="23.4">
      <c r="B294" s="87" t="s">
        <v>581</v>
      </c>
      <c r="C294" s="88" t="s">
        <v>582</v>
      </c>
      <c r="D294" s="89" t="s">
        <v>131</v>
      </c>
      <c r="E294" s="90">
        <v>15</v>
      </c>
      <c r="F294" s="91"/>
      <c r="G294" s="91"/>
      <c r="H294" s="91"/>
      <c r="I294" s="91">
        <f>SUM(G294:H294)+'BM 005'!I294</f>
        <v>0</v>
      </c>
      <c r="J294" s="91">
        <f t="shared" si="134"/>
        <v>15</v>
      </c>
      <c r="K294" s="80">
        <v>130</v>
      </c>
      <c r="L294" s="81">
        <f t="shared" si="133"/>
        <v>164.78801430000001</v>
      </c>
      <c r="M294" s="82">
        <f>TRUNC(F294*L294,2)</f>
        <v>0</v>
      </c>
      <c r="N294" s="82">
        <f>TRUNC(G294*L294,2)</f>
        <v>0</v>
      </c>
      <c r="O294" s="82">
        <f>N294+'BM 005'!O294</f>
        <v>0</v>
      </c>
      <c r="P294" s="80">
        <f>E294*K294</f>
        <v>1950</v>
      </c>
      <c r="Q294" s="82">
        <f>TRUNC(E294*L294,2)</f>
        <v>2471.8200000000002</v>
      </c>
      <c r="R294" s="82">
        <f>Q294-O294</f>
        <v>2471.8200000000002</v>
      </c>
    </row>
    <row r="295" spans="2:18" s="34" customFormat="1" ht="23.4">
      <c r="B295" s="87" t="s">
        <v>583</v>
      </c>
      <c r="C295" s="88" t="s">
        <v>584</v>
      </c>
      <c r="D295" s="89" t="s">
        <v>131</v>
      </c>
      <c r="E295" s="90">
        <v>32</v>
      </c>
      <c r="F295" s="91"/>
      <c r="G295" s="91"/>
      <c r="H295" s="91"/>
      <c r="I295" s="91">
        <f>SUM(G295:H295)+'BM 005'!I295</f>
        <v>0</v>
      </c>
      <c r="J295" s="91">
        <f t="shared" si="134"/>
        <v>32</v>
      </c>
      <c r="K295" s="80">
        <v>90</v>
      </c>
      <c r="L295" s="81">
        <f t="shared" si="133"/>
        <v>114.08400990000001</v>
      </c>
      <c r="M295" s="82">
        <f>TRUNC(F295*L295,2)</f>
        <v>0</v>
      </c>
      <c r="N295" s="82">
        <f>TRUNC(G295*L295,2)</f>
        <v>0</v>
      </c>
      <c r="O295" s="82">
        <f>N295+'BM 005'!O295</f>
        <v>0</v>
      </c>
      <c r="P295" s="80">
        <f>E295*K295</f>
        <v>2880</v>
      </c>
      <c r="Q295" s="82">
        <f>TRUNC(E295*L295,2)</f>
        <v>3650.68</v>
      </c>
      <c r="R295" s="82">
        <f>Q295-O295</f>
        <v>3650.68</v>
      </c>
    </row>
    <row r="296" spans="2:18" s="34" customFormat="1" ht="13.2">
      <c r="B296" s="66" t="s">
        <v>585</v>
      </c>
      <c r="C296" s="67" t="s">
        <v>586</v>
      </c>
      <c r="D296" s="68"/>
      <c r="E296" s="69"/>
      <c r="F296" s="70"/>
      <c r="G296" s="70"/>
      <c r="H296" s="70"/>
      <c r="I296" s="70">
        <f>SUM(G296:H296)+'BM 005'!I296</f>
        <v>0</v>
      </c>
      <c r="J296" s="70">
        <f t="shared" si="134"/>
        <v>0</v>
      </c>
      <c r="K296" s="71"/>
      <c r="L296" s="71">
        <f t="shared" si="133"/>
        <v>0</v>
      </c>
      <c r="M296" s="73">
        <f t="shared" ref="M296:R296" si="136">SUM(M297:M306)</f>
        <v>0</v>
      </c>
      <c r="N296" s="73">
        <f t="shared" si="136"/>
        <v>0</v>
      </c>
      <c r="O296" s="73">
        <f t="shared" si="136"/>
        <v>0</v>
      </c>
      <c r="P296" s="73">
        <f t="shared" si="136"/>
        <v>16787.3</v>
      </c>
      <c r="Q296" s="73">
        <f t="shared" si="136"/>
        <v>21279.56</v>
      </c>
      <c r="R296" s="73">
        <f t="shared" si="136"/>
        <v>21279.56</v>
      </c>
    </row>
    <row r="297" spans="2:18" s="34" customFormat="1" ht="46.2">
      <c r="B297" s="87" t="s">
        <v>587</v>
      </c>
      <c r="C297" s="88" t="s">
        <v>588</v>
      </c>
      <c r="D297" s="89" t="s">
        <v>131</v>
      </c>
      <c r="E297" s="90">
        <v>79</v>
      </c>
      <c r="F297" s="91"/>
      <c r="G297" s="91"/>
      <c r="H297" s="91"/>
      <c r="I297" s="91">
        <f>SUM(G297:H297)+'BM 005'!I297</f>
        <v>0</v>
      </c>
      <c r="J297" s="91">
        <f t="shared" si="134"/>
        <v>79</v>
      </c>
      <c r="K297" s="80">
        <v>32</v>
      </c>
      <c r="L297" s="81">
        <f t="shared" si="133"/>
        <v>40.563203520000002</v>
      </c>
      <c r="M297" s="82">
        <f t="shared" ref="M297:M306" si="137">TRUNC(F297*L297,2)</f>
        <v>0</v>
      </c>
      <c r="N297" s="82">
        <f t="shared" ref="N297:N306" si="138">TRUNC(G297*L297,2)</f>
        <v>0</v>
      </c>
      <c r="O297" s="82">
        <f>N297+'BM 005'!O297</f>
        <v>0</v>
      </c>
      <c r="P297" s="80">
        <f t="shared" ref="P297:P306" si="139">E297*K297</f>
        <v>2528</v>
      </c>
      <c r="Q297" s="82">
        <f t="shared" ref="Q297:Q306" si="140">TRUNC(E297*L297,2)</f>
        <v>3204.49</v>
      </c>
      <c r="R297" s="82">
        <f t="shared" ref="R297:R306" si="141">Q297-O297</f>
        <v>3204.49</v>
      </c>
    </row>
    <row r="298" spans="2:18" s="34" customFormat="1" ht="46.2">
      <c r="B298" s="87" t="s">
        <v>589</v>
      </c>
      <c r="C298" s="88" t="s">
        <v>590</v>
      </c>
      <c r="D298" s="89" t="s">
        <v>131</v>
      </c>
      <c r="E298" s="90">
        <v>73</v>
      </c>
      <c r="F298" s="91"/>
      <c r="G298" s="91"/>
      <c r="H298" s="91"/>
      <c r="I298" s="91">
        <f>SUM(G298:H298)+'BM 005'!I298</f>
        <v>0</v>
      </c>
      <c r="J298" s="91">
        <f t="shared" si="134"/>
        <v>73</v>
      </c>
      <c r="K298" s="80">
        <v>38</v>
      </c>
      <c r="L298" s="81">
        <f t="shared" si="133"/>
        <v>48.168804180000002</v>
      </c>
      <c r="M298" s="82">
        <f t="shared" si="137"/>
        <v>0</v>
      </c>
      <c r="N298" s="82">
        <f t="shared" si="138"/>
        <v>0</v>
      </c>
      <c r="O298" s="82">
        <f>N298+'BM 005'!O298</f>
        <v>0</v>
      </c>
      <c r="P298" s="80">
        <f t="shared" si="139"/>
        <v>2774</v>
      </c>
      <c r="Q298" s="82">
        <f t="shared" si="140"/>
        <v>3516.32</v>
      </c>
      <c r="R298" s="82">
        <f t="shared" si="141"/>
        <v>3516.32</v>
      </c>
    </row>
    <row r="299" spans="2:18" s="34" customFormat="1" ht="46.2">
      <c r="B299" s="87" t="s">
        <v>591</v>
      </c>
      <c r="C299" s="88" t="s">
        <v>592</v>
      </c>
      <c r="D299" s="89" t="s">
        <v>131</v>
      </c>
      <c r="E299" s="90">
        <v>34</v>
      </c>
      <c r="F299" s="91"/>
      <c r="G299" s="91"/>
      <c r="H299" s="91"/>
      <c r="I299" s="91">
        <f>SUM(G299:H299)+'BM 005'!I299</f>
        <v>0</v>
      </c>
      <c r="J299" s="91">
        <f t="shared" si="134"/>
        <v>34</v>
      </c>
      <c r="K299" s="80">
        <v>58.95</v>
      </c>
      <c r="L299" s="81">
        <f t="shared" si="133"/>
        <v>74.725026484500006</v>
      </c>
      <c r="M299" s="82">
        <f t="shared" si="137"/>
        <v>0</v>
      </c>
      <c r="N299" s="82">
        <f t="shared" si="138"/>
        <v>0</v>
      </c>
      <c r="O299" s="82">
        <f>N299+'BM 005'!O299</f>
        <v>0</v>
      </c>
      <c r="P299" s="80">
        <f t="shared" si="139"/>
        <v>2004.3000000000002</v>
      </c>
      <c r="Q299" s="82">
        <f t="shared" si="140"/>
        <v>2540.65</v>
      </c>
      <c r="R299" s="82">
        <f t="shared" si="141"/>
        <v>2540.65</v>
      </c>
    </row>
    <row r="300" spans="2:18" s="34" customFormat="1" ht="46.2">
      <c r="B300" s="87" t="s">
        <v>593</v>
      </c>
      <c r="C300" s="88" t="s">
        <v>594</v>
      </c>
      <c r="D300" s="89" t="s">
        <v>131</v>
      </c>
      <c r="E300" s="90">
        <v>55</v>
      </c>
      <c r="F300" s="91"/>
      <c r="G300" s="91"/>
      <c r="H300" s="91"/>
      <c r="I300" s="91">
        <f>SUM(G300:H300)+'BM 005'!I300</f>
        <v>0</v>
      </c>
      <c r="J300" s="91">
        <f t="shared" si="134"/>
        <v>55</v>
      </c>
      <c r="K300" s="80">
        <v>50</v>
      </c>
      <c r="L300" s="81">
        <f t="shared" si="133"/>
        <v>63.380005500000003</v>
      </c>
      <c r="M300" s="82">
        <f t="shared" si="137"/>
        <v>0</v>
      </c>
      <c r="N300" s="82">
        <f t="shared" si="138"/>
        <v>0</v>
      </c>
      <c r="O300" s="82">
        <f>N300+'BM 005'!O300</f>
        <v>0</v>
      </c>
      <c r="P300" s="80">
        <f t="shared" si="139"/>
        <v>2750</v>
      </c>
      <c r="Q300" s="82">
        <f t="shared" si="140"/>
        <v>3485.9</v>
      </c>
      <c r="R300" s="82">
        <f t="shared" si="141"/>
        <v>3485.9</v>
      </c>
    </row>
    <row r="301" spans="2:18" s="34" customFormat="1" ht="46.2">
      <c r="B301" s="87" t="s">
        <v>595</v>
      </c>
      <c r="C301" s="88" t="s">
        <v>596</v>
      </c>
      <c r="D301" s="89" t="s">
        <v>131</v>
      </c>
      <c r="E301" s="90">
        <v>41</v>
      </c>
      <c r="F301" s="91"/>
      <c r="G301" s="91"/>
      <c r="H301" s="91"/>
      <c r="I301" s="91">
        <f>SUM(G301:H301)+'BM 005'!I301</f>
        <v>0</v>
      </c>
      <c r="J301" s="91">
        <f t="shared" si="134"/>
        <v>41</v>
      </c>
      <c r="K301" s="80">
        <v>52</v>
      </c>
      <c r="L301" s="81">
        <f t="shared" si="133"/>
        <v>65.915205720000003</v>
      </c>
      <c r="M301" s="82">
        <f t="shared" si="137"/>
        <v>0</v>
      </c>
      <c r="N301" s="82">
        <f t="shared" si="138"/>
        <v>0</v>
      </c>
      <c r="O301" s="82">
        <f>N301+'BM 005'!O301</f>
        <v>0</v>
      </c>
      <c r="P301" s="80">
        <f t="shared" si="139"/>
        <v>2132</v>
      </c>
      <c r="Q301" s="82">
        <f t="shared" si="140"/>
        <v>2702.52</v>
      </c>
      <c r="R301" s="82">
        <f t="shared" si="141"/>
        <v>2702.52</v>
      </c>
    </row>
    <row r="302" spans="2:18" s="34" customFormat="1" ht="34.799999999999997">
      <c r="B302" s="87" t="s">
        <v>597</v>
      </c>
      <c r="C302" s="88" t="s">
        <v>598</v>
      </c>
      <c r="D302" s="89" t="s">
        <v>131</v>
      </c>
      <c r="E302" s="90">
        <v>3</v>
      </c>
      <c r="F302" s="91"/>
      <c r="G302" s="91"/>
      <c r="H302" s="91"/>
      <c r="I302" s="91">
        <f>SUM(G302:H302)+'BM 005'!I302</f>
        <v>0</v>
      </c>
      <c r="J302" s="91">
        <f t="shared" si="134"/>
        <v>3</v>
      </c>
      <c r="K302" s="80">
        <v>51</v>
      </c>
      <c r="L302" s="81">
        <f t="shared" si="133"/>
        <v>64.647605609999999</v>
      </c>
      <c r="M302" s="82">
        <f t="shared" si="137"/>
        <v>0</v>
      </c>
      <c r="N302" s="82">
        <f t="shared" si="138"/>
        <v>0</v>
      </c>
      <c r="O302" s="82">
        <f>N302+'BM 005'!O302</f>
        <v>0</v>
      </c>
      <c r="P302" s="80">
        <f t="shared" si="139"/>
        <v>153</v>
      </c>
      <c r="Q302" s="82">
        <f t="shared" si="140"/>
        <v>193.94</v>
      </c>
      <c r="R302" s="82">
        <f t="shared" si="141"/>
        <v>193.94</v>
      </c>
    </row>
    <row r="303" spans="2:18" s="34" customFormat="1" ht="34.799999999999997">
      <c r="B303" s="87" t="s">
        <v>599</v>
      </c>
      <c r="C303" s="88" t="s">
        <v>600</v>
      </c>
      <c r="D303" s="89" t="s">
        <v>131</v>
      </c>
      <c r="E303" s="90">
        <v>1</v>
      </c>
      <c r="F303" s="91"/>
      <c r="G303" s="91"/>
      <c r="H303" s="91"/>
      <c r="I303" s="91">
        <f>SUM(G303:H303)+'BM 005'!I303</f>
        <v>0</v>
      </c>
      <c r="J303" s="91">
        <f t="shared" si="134"/>
        <v>1</v>
      </c>
      <c r="K303" s="80">
        <v>60</v>
      </c>
      <c r="L303" s="81">
        <f t="shared" si="133"/>
        <v>76.056006600000003</v>
      </c>
      <c r="M303" s="82">
        <f t="shared" si="137"/>
        <v>0</v>
      </c>
      <c r="N303" s="82">
        <f t="shared" si="138"/>
        <v>0</v>
      </c>
      <c r="O303" s="82">
        <f>N303+'BM 005'!O303</f>
        <v>0</v>
      </c>
      <c r="P303" s="80">
        <f t="shared" si="139"/>
        <v>60</v>
      </c>
      <c r="Q303" s="82">
        <f t="shared" si="140"/>
        <v>76.05</v>
      </c>
      <c r="R303" s="82">
        <f t="shared" si="141"/>
        <v>76.05</v>
      </c>
    </row>
    <row r="304" spans="2:18" s="34" customFormat="1" ht="34.799999999999997">
      <c r="B304" s="87" t="s">
        <v>601</v>
      </c>
      <c r="C304" s="88" t="s">
        <v>602</v>
      </c>
      <c r="D304" s="89" t="s">
        <v>131</v>
      </c>
      <c r="E304" s="90">
        <v>15</v>
      </c>
      <c r="F304" s="91"/>
      <c r="G304" s="91"/>
      <c r="H304" s="91"/>
      <c r="I304" s="91">
        <f>SUM(G304:H304)+'BM 005'!I304</f>
        <v>0</v>
      </c>
      <c r="J304" s="91">
        <f t="shared" si="134"/>
        <v>15</v>
      </c>
      <c r="K304" s="80">
        <v>230</v>
      </c>
      <c r="L304" s="81">
        <f t="shared" si="133"/>
        <v>291.54802530000001</v>
      </c>
      <c r="M304" s="82">
        <f t="shared" si="137"/>
        <v>0</v>
      </c>
      <c r="N304" s="82">
        <f t="shared" si="138"/>
        <v>0</v>
      </c>
      <c r="O304" s="82">
        <f>N304+'BM 005'!O304</f>
        <v>0</v>
      </c>
      <c r="P304" s="80">
        <f t="shared" si="139"/>
        <v>3450</v>
      </c>
      <c r="Q304" s="82">
        <f t="shared" si="140"/>
        <v>4373.22</v>
      </c>
      <c r="R304" s="82">
        <f t="shared" si="141"/>
        <v>4373.22</v>
      </c>
    </row>
    <row r="305" spans="2:18" s="34" customFormat="1" ht="34.799999999999997">
      <c r="B305" s="87" t="s">
        <v>603</v>
      </c>
      <c r="C305" s="88" t="s">
        <v>604</v>
      </c>
      <c r="D305" s="89" t="s">
        <v>131</v>
      </c>
      <c r="E305" s="90">
        <v>5</v>
      </c>
      <c r="F305" s="91"/>
      <c r="G305" s="91"/>
      <c r="H305" s="91"/>
      <c r="I305" s="91">
        <f>SUM(G305:H305)+'BM 005'!I305</f>
        <v>0</v>
      </c>
      <c r="J305" s="91">
        <f t="shared" si="134"/>
        <v>5</v>
      </c>
      <c r="K305" s="80">
        <v>140</v>
      </c>
      <c r="L305" s="81">
        <f t="shared" si="133"/>
        <v>177.46401539999999</v>
      </c>
      <c r="M305" s="82">
        <f t="shared" si="137"/>
        <v>0</v>
      </c>
      <c r="N305" s="82">
        <f t="shared" si="138"/>
        <v>0</v>
      </c>
      <c r="O305" s="82">
        <f>N305+'BM 005'!O305</f>
        <v>0</v>
      </c>
      <c r="P305" s="80">
        <f t="shared" si="139"/>
        <v>700</v>
      </c>
      <c r="Q305" s="82">
        <f t="shared" si="140"/>
        <v>887.32</v>
      </c>
      <c r="R305" s="82">
        <f t="shared" si="141"/>
        <v>887.32</v>
      </c>
    </row>
    <row r="306" spans="2:18" s="34" customFormat="1" ht="46.2">
      <c r="B306" s="87" t="s">
        <v>605</v>
      </c>
      <c r="C306" s="88" t="s">
        <v>606</v>
      </c>
      <c r="D306" s="89" t="s">
        <v>131</v>
      </c>
      <c r="E306" s="90">
        <v>4</v>
      </c>
      <c r="F306" s="91"/>
      <c r="G306" s="91"/>
      <c r="H306" s="91"/>
      <c r="I306" s="91">
        <f>SUM(G306:H306)+'BM 005'!I306</f>
        <v>0</v>
      </c>
      <c r="J306" s="91">
        <f t="shared" si="134"/>
        <v>4</v>
      </c>
      <c r="K306" s="80">
        <v>59</v>
      </c>
      <c r="L306" s="81">
        <f t="shared" si="133"/>
        <v>74.78840649</v>
      </c>
      <c r="M306" s="82">
        <f t="shared" si="137"/>
        <v>0</v>
      </c>
      <c r="N306" s="82">
        <f t="shared" si="138"/>
        <v>0</v>
      </c>
      <c r="O306" s="82">
        <f>N306+'BM 005'!O306</f>
        <v>0</v>
      </c>
      <c r="P306" s="80">
        <f t="shared" si="139"/>
        <v>236</v>
      </c>
      <c r="Q306" s="82">
        <f t="shared" si="140"/>
        <v>299.14999999999998</v>
      </c>
      <c r="R306" s="82">
        <f t="shared" si="141"/>
        <v>299.14999999999998</v>
      </c>
    </row>
    <row r="307" spans="2:18" s="34" customFormat="1" ht="13.2">
      <c r="B307" s="66" t="s">
        <v>607</v>
      </c>
      <c r="C307" s="67" t="s">
        <v>608</v>
      </c>
      <c r="D307" s="68"/>
      <c r="E307" s="69"/>
      <c r="F307" s="70"/>
      <c r="G307" s="70"/>
      <c r="H307" s="70"/>
      <c r="I307" s="70">
        <f>SUM(G307:H307)+'BM 005'!I307</f>
        <v>0</v>
      </c>
      <c r="J307" s="70">
        <f t="shared" si="134"/>
        <v>0</v>
      </c>
      <c r="K307" s="71"/>
      <c r="L307" s="71">
        <f t="shared" si="133"/>
        <v>0</v>
      </c>
      <c r="M307" s="73">
        <f t="shared" ref="M307:R307" si="142">SUM(M308:M314)</f>
        <v>0</v>
      </c>
      <c r="N307" s="73">
        <f t="shared" si="142"/>
        <v>0</v>
      </c>
      <c r="O307" s="73">
        <f t="shared" si="142"/>
        <v>0</v>
      </c>
      <c r="P307" s="73">
        <f t="shared" si="142"/>
        <v>50562</v>
      </c>
      <c r="Q307" s="73">
        <f t="shared" si="142"/>
        <v>64092.350000000006</v>
      </c>
      <c r="R307" s="73">
        <f t="shared" si="142"/>
        <v>64092.350000000006</v>
      </c>
    </row>
    <row r="308" spans="2:18" s="34" customFormat="1" ht="46.2">
      <c r="B308" s="87" t="s">
        <v>609</v>
      </c>
      <c r="C308" s="88" t="s">
        <v>610</v>
      </c>
      <c r="D308" s="89" t="s">
        <v>131</v>
      </c>
      <c r="E308" s="90">
        <v>202</v>
      </c>
      <c r="F308" s="91"/>
      <c r="G308" s="91"/>
      <c r="H308" s="91"/>
      <c r="I308" s="91">
        <f>SUM(G308:H308)+'BM 005'!I308</f>
        <v>0</v>
      </c>
      <c r="J308" s="91">
        <f t="shared" si="134"/>
        <v>202</v>
      </c>
      <c r="K308" s="80">
        <v>38</v>
      </c>
      <c r="L308" s="81">
        <f t="shared" si="133"/>
        <v>48.168804180000002</v>
      </c>
      <c r="M308" s="82">
        <f t="shared" ref="M308:M314" si="143">TRUNC(F308*L308,2)</f>
        <v>0</v>
      </c>
      <c r="N308" s="82">
        <f t="shared" ref="N308:N314" si="144">TRUNC(G308*L308,2)</f>
        <v>0</v>
      </c>
      <c r="O308" s="82">
        <f>N308+'BM 005'!O308</f>
        <v>0</v>
      </c>
      <c r="P308" s="80">
        <f t="shared" ref="P308:P314" si="145">E308*K308</f>
        <v>7676</v>
      </c>
      <c r="Q308" s="82">
        <f t="shared" ref="Q308:Q314" si="146">TRUNC(E308*L308,2)</f>
        <v>9730.09</v>
      </c>
      <c r="R308" s="82">
        <f t="shared" ref="R308:R314" si="147">Q308-O308</f>
        <v>9730.09</v>
      </c>
    </row>
    <row r="309" spans="2:18" s="34" customFormat="1" ht="46.2">
      <c r="B309" s="87" t="s">
        <v>611</v>
      </c>
      <c r="C309" s="88" t="s">
        <v>612</v>
      </c>
      <c r="D309" s="89" t="s">
        <v>131</v>
      </c>
      <c r="E309" s="90">
        <v>508</v>
      </c>
      <c r="F309" s="91"/>
      <c r="G309" s="91"/>
      <c r="H309" s="91"/>
      <c r="I309" s="91">
        <f>SUM(G309:H309)+'BM 005'!I309</f>
        <v>0</v>
      </c>
      <c r="J309" s="91">
        <f t="shared" si="134"/>
        <v>508</v>
      </c>
      <c r="K309" s="80">
        <v>40</v>
      </c>
      <c r="L309" s="81">
        <f t="shared" si="133"/>
        <v>50.704004400000002</v>
      </c>
      <c r="M309" s="82">
        <f t="shared" si="143"/>
        <v>0</v>
      </c>
      <c r="N309" s="82">
        <f t="shared" si="144"/>
        <v>0</v>
      </c>
      <c r="O309" s="82">
        <f>N309+'BM 005'!O309</f>
        <v>0</v>
      </c>
      <c r="P309" s="80">
        <f t="shared" si="145"/>
        <v>20320</v>
      </c>
      <c r="Q309" s="82">
        <f t="shared" si="146"/>
        <v>25757.63</v>
      </c>
      <c r="R309" s="82">
        <f t="shared" si="147"/>
        <v>25757.63</v>
      </c>
    </row>
    <row r="310" spans="2:18" s="34" customFormat="1" ht="34.799999999999997">
      <c r="B310" s="87" t="s">
        <v>613</v>
      </c>
      <c r="C310" s="88" t="s">
        <v>614</v>
      </c>
      <c r="D310" s="89" t="s">
        <v>131</v>
      </c>
      <c r="E310" s="90">
        <v>52</v>
      </c>
      <c r="F310" s="91"/>
      <c r="G310" s="91"/>
      <c r="H310" s="91"/>
      <c r="I310" s="91">
        <f>SUM(G310:H310)+'BM 005'!I310</f>
        <v>0</v>
      </c>
      <c r="J310" s="91">
        <f t="shared" si="134"/>
        <v>52</v>
      </c>
      <c r="K310" s="80">
        <v>65</v>
      </c>
      <c r="L310" s="81">
        <f t="shared" si="133"/>
        <v>82.394007150000007</v>
      </c>
      <c r="M310" s="82">
        <f t="shared" si="143"/>
        <v>0</v>
      </c>
      <c r="N310" s="82">
        <f t="shared" si="144"/>
        <v>0</v>
      </c>
      <c r="O310" s="82">
        <f>N310+'BM 005'!O310</f>
        <v>0</v>
      </c>
      <c r="P310" s="80">
        <f t="shared" si="145"/>
        <v>3380</v>
      </c>
      <c r="Q310" s="82">
        <f t="shared" si="146"/>
        <v>4284.4799999999996</v>
      </c>
      <c r="R310" s="82">
        <f t="shared" si="147"/>
        <v>4284.4799999999996</v>
      </c>
    </row>
    <row r="311" spans="2:18" s="34" customFormat="1" ht="46.2">
      <c r="B311" s="87" t="s">
        <v>615</v>
      </c>
      <c r="C311" s="88" t="s">
        <v>610</v>
      </c>
      <c r="D311" s="89" t="s">
        <v>131</v>
      </c>
      <c r="E311" s="90">
        <v>2</v>
      </c>
      <c r="F311" s="91"/>
      <c r="G311" s="91"/>
      <c r="H311" s="91"/>
      <c r="I311" s="91">
        <f>SUM(G311:H311)+'BM 005'!I311</f>
        <v>0</v>
      </c>
      <c r="J311" s="91">
        <f t="shared" si="134"/>
        <v>2</v>
      </c>
      <c r="K311" s="80">
        <v>38</v>
      </c>
      <c r="L311" s="81">
        <f t="shared" si="133"/>
        <v>48.168804180000002</v>
      </c>
      <c r="M311" s="82">
        <f t="shared" si="143"/>
        <v>0</v>
      </c>
      <c r="N311" s="82">
        <f t="shared" si="144"/>
        <v>0</v>
      </c>
      <c r="O311" s="82">
        <f>N311+'BM 005'!O311</f>
        <v>0</v>
      </c>
      <c r="P311" s="80">
        <f t="shared" si="145"/>
        <v>76</v>
      </c>
      <c r="Q311" s="82">
        <f t="shared" si="146"/>
        <v>96.33</v>
      </c>
      <c r="R311" s="82">
        <f t="shared" si="147"/>
        <v>96.33</v>
      </c>
    </row>
    <row r="312" spans="2:18" s="34" customFormat="1" ht="23.4">
      <c r="B312" s="87" t="s">
        <v>616</v>
      </c>
      <c r="C312" s="88" t="s">
        <v>617</v>
      </c>
      <c r="D312" s="89" t="s">
        <v>131</v>
      </c>
      <c r="E312" s="90">
        <v>201</v>
      </c>
      <c r="F312" s="91"/>
      <c r="G312" s="91"/>
      <c r="H312" s="91"/>
      <c r="I312" s="91">
        <f>SUM(G312:H312)+'BM 005'!I312</f>
        <v>0</v>
      </c>
      <c r="J312" s="91">
        <f t="shared" si="134"/>
        <v>201</v>
      </c>
      <c r="K312" s="80">
        <v>30</v>
      </c>
      <c r="L312" s="81">
        <f t="shared" si="133"/>
        <v>38.028003300000002</v>
      </c>
      <c r="M312" s="82">
        <f t="shared" si="143"/>
        <v>0</v>
      </c>
      <c r="N312" s="82">
        <f t="shared" si="144"/>
        <v>0</v>
      </c>
      <c r="O312" s="82">
        <f>N312+'BM 005'!O312</f>
        <v>0</v>
      </c>
      <c r="P312" s="80">
        <f t="shared" si="145"/>
        <v>6030</v>
      </c>
      <c r="Q312" s="82">
        <f t="shared" si="146"/>
        <v>7643.62</v>
      </c>
      <c r="R312" s="82">
        <f t="shared" si="147"/>
        <v>7643.62</v>
      </c>
    </row>
    <row r="313" spans="2:18" s="34" customFormat="1" ht="23.4">
      <c r="B313" s="87" t="s">
        <v>618</v>
      </c>
      <c r="C313" s="88" t="s">
        <v>619</v>
      </c>
      <c r="D313" s="89" t="s">
        <v>131</v>
      </c>
      <c r="E313" s="90">
        <v>12</v>
      </c>
      <c r="F313" s="91"/>
      <c r="G313" s="91"/>
      <c r="H313" s="91"/>
      <c r="I313" s="91">
        <f>SUM(G313:H313)+'BM 005'!I313</f>
        <v>0</v>
      </c>
      <c r="J313" s="91">
        <f t="shared" si="134"/>
        <v>12</v>
      </c>
      <c r="K313" s="80">
        <v>40</v>
      </c>
      <c r="L313" s="81">
        <f t="shared" si="133"/>
        <v>50.704004400000002</v>
      </c>
      <c r="M313" s="82">
        <f t="shared" si="143"/>
        <v>0</v>
      </c>
      <c r="N313" s="82">
        <f t="shared" si="144"/>
        <v>0</v>
      </c>
      <c r="O313" s="82">
        <f>N313+'BM 005'!O313</f>
        <v>0</v>
      </c>
      <c r="P313" s="80">
        <f t="shared" si="145"/>
        <v>480</v>
      </c>
      <c r="Q313" s="82">
        <f t="shared" si="146"/>
        <v>608.44000000000005</v>
      </c>
      <c r="R313" s="82">
        <f t="shared" si="147"/>
        <v>608.44000000000005</v>
      </c>
    </row>
    <row r="314" spans="2:18" s="34" customFormat="1" ht="23.4">
      <c r="B314" s="87" t="s">
        <v>620</v>
      </c>
      <c r="C314" s="88" t="s">
        <v>621</v>
      </c>
      <c r="D314" s="89" t="s">
        <v>131</v>
      </c>
      <c r="E314" s="90">
        <v>180</v>
      </c>
      <c r="F314" s="91"/>
      <c r="G314" s="91"/>
      <c r="H314" s="91"/>
      <c r="I314" s="91">
        <f>SUM(G314:H314)+'BM 005'!I314</f>
        <v>0</v>
      </c>
      <c r="J314" s="91">
        <f t="shared" si="134"/>
        <v>180</v>
      </c>
      <c r="K314" s="80">
        <v>70</v>
      </c>
      <c r="L314" s="81">
        <f t="shared" si="133"/>
        <v>88.732007699999997</v>
      </c>
      <c r="M314" s="82">
        <f t="shared" si="143"/>
        <v>0</v>
      </c>
      <c r="N314" s="82">
        <f t="shared" si="144"/>
        <v>0</v>
      </c>
      <c r="O314" s="82">
        <f>N314+'BM 005'!O314</f>
        <v>0</v>
      </c>
      <c r="P314" s="80">
        <f t="shared" si="145"/>
        <v>12600</v>
      </c>
      <c r="Q314" s="82">
        <f t="shared" si="146"/>
        <v>15971.76</v>
      </c>
      <c r="R314" s="82">
        <f t="shared" si="147"/>
        <v>15971.76</v>
      </c>
    </row>
    <row r="315" spans="2:18" s="34" customFormat="1" ht="26.25" customHeight="1">
      <c r="B315" s="66" t="s">
        <v>622</v>
      </c>
      <c r="C315" s="67" t="s">
        <v>623</v>
      </c>
      <c r="D315" s="68"/>
      <c r="E315" s="69"/>
      <c r="F315" s="70"/>
      <c r="G315" s="70"/>
      <c r="H315" s="70"/>
      <c r="I315" s="70">
        <f>SUM(G315:H315)+'BM 005'!I315</f>
        <v>0</v>
      </c>
      <c r="J315" s="70">
        <f t="shared" si="134"/>
        <v>0</v>
      </c>
      <c r="K315" s="71"/>
      <c r="L315" s="71">
        <f t="shared" si="133"/>
        <v>0</v>
      </c>
      <c r="M315" s="73">
        <f t="shared" ref="M315:R315" si="148">SUM(M316)</f>
        <v>0</v>
      </c>
      <c r="N315" s="73">
        <f t="shared" si="148"/>
        <v>0</v>
      </c>
      <c r="O315" s="73">
        <f t="shared" si="148"/>
        <v>0</v>
      </c>
      <c r="P315" s="73">
        <f t="shared" si="148"/>
        <v>660</v>
      </c>
      <c r="Q315" s="73">
        <f t="shared" si="148"/>
        <v>836.61</v>
      </c>
      <c r="R315" s="73">
        <f t="shared" si="148"/>
        <v>836.61</v>
      </c>
    </row>
    <row r="316" spans="2:18" s="34" customFormat="1" ht="13.2">
      <c r="B316" s="75" t="s">
        <v>624</v>
      </c>
      <c r="C316" s="76" t="s">
        <v>625</v>
      </c>
      <c r="D316" s="77" t="s">
        <v>131</v>
      </c>
      <c r="E316" s="78">
        <v>3</v>
      </c>
      <c r="F316" s="79"/>
      <c r="G316" s="79"/>
      <c r="H316" s="79"/>
      <c r="I316" s="79">
        <f>SUM(G316:H316)+'BM 005'!I316</f>
        <v>0</v>
      </c>
      <c r="J316" s="79">
        <f t="shared" si="134"/>
        <v>3</v>
      </c>
      <c r="K316" s="84">
        <v>220</v>
      </c>
      <c r="L316" s="81">
        <f t="shared" si="133"/>
        <v>278.8720242</v>
      </c>
      <c r="M316" s="82">
        <f>TRUNC(F316*L316,2)</f>
        <v>0</v>
      </c>
      <c r="N316" s="82">
        <f>TRUNC(G316*L316,2)</f>
        <v>0</v>
      </c>
      <c r="O316" s="82">
        <f>N316+'BM 005'!O316</f>
        <v>0</v>
      </c>
      <c r="P316" s="80">
        <f>E316*K316</f>
        <v>660</v>
      </c>
      <c r="Q316" s="82">
        <f>TRUNC(E316*L316,2)</f>
        <v>836.61</v>
      </c>
      <c r="R316" s="82">
        <f>Q316-O316</f>
        <v>836.61</v>
      </c>
    </row>
    <row r="317" spans="2:18" s="34" customFormat="1" ht="13.2">
      <c r="B317" s="60" t="s">
        <v>626</v>
      </c>
      <c r="C317" s="61" t="s">
        <v>627</v>
      </c>
      <c r="D317" s="60"/>
      <c r="E317" s="62"/>
      <c r="F317" s="63"/>
      <c r="G317" s="63"/>
      <c r="H317" s="63"/>
      <c r="I317" s="63">
        <f>SUM(G317:H317)+'BM 005'!I317</f>
        <v>0</v>
      </c>
      <c r="J317" s="63">
        <f t="shared" si="134"/>
        <v>0</v>
      </c>
      <c r="K317" s="63"/>
      <c r="L317" s="63">
        <f t="shared" si="133"/>
        <v>0</v>
      </c>
      <c r="M317" s="63">
        <f t="shared" ref="M317:R317" si="149">SUM(M318:M327)</f>
        <v>0</v>
      </c>
      <c r="N317" s="63">
        <f t="shared" si="149"/>
        <v>0</v>
      </c>
      <c r="O317" s="63">
        <f t="shared" si="149"/>
        <v>0</v>
      </c>
      <c r="P317" s="63">
        <f t="shared" si="149"/>
        <v>37271.68</v>
      </c>
      <c r="Q317" s="63">
        <f t="shared" si="149"/>
        <v>47245.569999999992</v>
      </c>
      <c r="R317" s="63">
        <f t="shared" si="149"/>
        <v>47245.569999999992</v>
      </c>
    </row>
    <row r="318" spans="2:18" s="34" customFormat="1" ht="23.4">
      <c r="B318" s="75" t="s">
        <v>628</v>
      </c>
      <c r="C318" s="76" t="s">
        <v>629</v>
      </c>
      <c r="D318" s="77" t="s">
        <v>82</v>
      </c>
      <c r="E318" s="93">
        <v>170</v>
      </c>
      <c r="F318" s="79"/>
      <c r="G318" s="79"/>
      <c r="H318" s="79"/>
      <c r="I318" s="79">
        <f>SUM(G318:H318)+'BM 005'!I318</f>
        <v>0</v>
      </c>
      <c r="J318" s="79">
        <f t="shared" si="134"/>
        <v>170</v>
      </c>
      <c r="K318" s="80">
        <v>100</v>
      </c>
      <c r="L318" s="81">
        <f t="shared" si="133"/>
        <v>126.76001100000001</v>
      </c>
      <c r="M318" s="82">
        <f t="shared" ref="M318:M327" si="150">TRUNC(F318*L318,2)</f>
        <v>0</v>
      </c>
      <c r="N318" s="82">
        <f t="shared" ref="N318:N327" si="151">TRUNC(G318*L318,2)</f>
        <v>0</v>
      </c>
      <c r="O318" s="82">
        <f>N318+'BM 005'!O318</f>
        <v>0</v>
      </c>
      <c r="P318" s="80">
        <f t="shared" ref="P318:P327" si="152">E318*K318</f>
        <v>17000</v>
      </c>
      <c r="Q318" s="82">
        <f t="shared" ref="Q318:Q327" si="153">TRUNC(E318*L318,2)</f>
        <v>21549.200000000001</v>
      </c>
      <c r="R318" s="82">
        <f t="shared" ref="R318:R327" si="154">Q318-O318</f>
        <v>21549.200000000001</v>
      </c>
    </row>
    <row r="319" spans="2:18" s="34" customFormat="1" ht="23.4">
      <c r="B319" s="75" t="s">
        <v>630</v>
      </c>
      <c r="C319" s="76" t="s">
        <v>631</v>
      </c>
      <c r="D319" s="77" t="s">
        <v>131</v>
      </c>
      <c r="E319" s="93">
        <v>1</v>
      </c>
      <c r="F319" s="79"/>
      <c r="G319" s="79"/>
      <c r="H319" s="79"/>
      <c r="I319" s="79">
        <f>SUM(G319:H319)+'BM 005'!I319</f>
        <v>0</v>
      </c>
      <c r="J319" s="79">
        <f t="shared" si="134"/>
        <v>1</v>
      </c>
      <c r="K319" s="80">
        <v>1300</v>
      </c>
      <c r="L319" s="81">
        <f t="shared" si="133"/>
        <v>1647.8801430000001</v>
      </c>
      <c r="M319" s="82">
        <f t="shared" si="150"/>
        <v>0</v>
      </c>
      <c r="N319" s="82">
        <f t="shared" si="151"/>
        <v>0</v>
      </c>
      <c r="O319" s="82">
        <f>N319+'BM 005'!O319</f>
        <v>0</v>
      </c>
      <c r="P319" s="80">
        <f t="shared" si="152"/>
        <v>1300</v>
      </c>
      <c r="Q319" s="82">
        <f t="shared" si="153"/>
        <v>1647.88</v>
      </c>
      <c r="R319" s="82">
        <f t="shared" si="154"/>
        <v>1647.88</v>
      </c>
    </row>
    <row r="320" spans="2:18" s="34" customFormat="1" ht="23.4">
      <c r="B320" s="75" t="s">
        <v>632</v>
      </c>
      <c r="C320" s="76" t="s">
        <v>633</v>
      </c>
      <c r="D320" s="77" t="s">
        <v>82</v>
      </c>
      <c r="E320" s="93">
        <v>250</v>
      </c>
      <c r="F320" s="79"/>
      <c r="G320" s="79"/>
      <c r="H320" s="79"/>
      <c r="I320" s="79">
        <f>SUM(G320:H320)+'BM 005'!I320</f>
        <v>0</v>
      </c>
      <c r="J320" s="79">
        <f t="shared" si="134"/>
        <v>250</v>
      </c>
      <c r="K320" s="80">
        <v>38</v>
      </c>
      <c r="L320" s="81">
        <f t="shared" si="133"/>
        <v>48.168804180000002</v>
      </c>
      <c r="M320" s="82">
        <f t="shared" si="150"/>
        <v>0</v>
      </c>
      <c r="N320" s="82">
        <f t="shared" si="151"/>
        <v>0</v>
      </c>
      <c r="O320" s="82">
        <f>N320+'BM 005'!O320</f>
        <v>0</v>
      </c>
      <c r="P320" s="80">
        <f t="shared" si="152"/>
        <v>9500</v>
      </c>
      <c r="Q320" s="82">
        <f t="shared" si="153"/>
        <v>12042.2</v>
      </c>
      <c r="R320" s="82">
        <f t="shared" si="154"/>
        <v>12042.2</v>
      </c>
    </row>
    <row r="321" spans="2:18" s="34" customFormat="1" ht="13.2">
      <c r="B321" s="75" t="s">
        <v>634</v>
      </c>
      <c r="C321" s="76" t="s">
        <v>635</v>
      </c>
      <c r="D321" s="77" t="s">
        <v>39</v>
      </c>
      <c r="E321" s="78">
        <v>20</v>
      </c>
      <c r="F321" s="79"/>
      <c r="G321" s="79"/>
      <c r="H321" s="79"/>
      <c r="I321" s="79">
        <f>SUM(G321:H321)+'BM 005'!I321</f>
        <v>0</v>
      </c>
      <c r="J321" s="79">
        <f t="shared" si="134"/>
        <v>20</v>
      </c>
      <c r="K321" s="84">
        <v>42</v>
      </c>
      <c r="L321" s="81">
        <f t="shared" si="133"/>
        <v>53.239204620000002</v>
      </c>
      <c r="M321" s="82">
        <f t="shared" si="150"/>
        <v>0</v>
      </c>
      <c r="N321" s="82">
        <f t="shared" si="151"/>
        <v>0</v>
      </c>
      <c r="O321" s="82">
        <f>N321+'BM 005'!O321</f>
        <v>0</v>
      </c>
      <c r="P321" s="80">
        <f t="shared" si="152"/>
        <v>840</v>
      </c>
      <c r="Q321" s="82">
        <f t="shared" si="153"/>
        <v>1064.78</v>
      </c>
      <c r="R321" s="82">
        <f t="shared" si="154"/>
        <v>1064.78</v>
      </c>
    </row>
    <row r="322" spans="2:18" s="34" customFormat="1" ht="23.4">
      <c r="B322" s="75" t="s">
        <v>636</v>
      </c>
      <c r="C322" s="76" t="s">
        <v>637</v>
      </c>
      <c r="D322" s="77" t="s">
        <v>39</v>
      </c>
      <c r="E322" s="78">
        <v>30</v>
      </c>
      <c r="F322" s="79"/>
      <c r="G322" s="79"/>
      <c r="H322" s="79"/>
      <c r="I322" s="79">
        <f>SUM(G322:H322)+'BM 005'!I322</f>
        <v>0</v>
      </c>
      <c r="J322" s="79">
        <f t="shared" si="134"/>
        <v>30</v>
      </c>
      <c r="K322" s="84">
        <v>25</v>
      </c>
      <c r="L322" s="81">
        <f t="shared" si="133"/>
        <v>31.690002750000001</v>
      </c>
      <c r="M322" s="82">
        <f t="shared" si="150"/>
        <v>0</v>
      </c>
      <c r="N322" s="82">
        <f t="shared" si="151"/>
        <v>0</v>
      </c>
      <c r="O322" s="82">
        <f>N322+'BM 005'!O322</f>
        <v>0</v>
      </c>
      <c r="P322" s="80">
        <f t="shared" si="152"/>
        <v>750</v>
      </c>
      <c r="Q322" s="82">
        <f t="shared" si="153"/>
        <v>950.7</v>
      </c>
      <c r="R322" s="82">
        <f t="shared" si="154"/>
        <v>950.7</v>
      </c>
    </row>
    <row r="323" spans="2:18" s="34" customFormat="1" ht="46.2">
      <c r="B323" s="75" t="s">
        <v>638</v>
      </c>
      <c r="C323" s="76" t="s">
        <v>639</v>
      </c>
      <c r="D323" s="77" t="s">
        <v>39</v>
      </c>
      <c r="E323" s="78">
        <v>2</v>
      </c>
      <c r="F323" s="79"/>
      <c r="G323" s="79"/>
      <c r="H323" s="79"/>
      <c r="I323" s="79">
        <f>SUM(G323:H323)+'BM 005'!I323</f>
        <v>0</v>
      </c>
      <c r="J323" s="79">
        <f t="shared" si="134"/>
        <v>2</v>
      </c>
      <c r="K323" s="84">
        <v>1800</v>
      </c>
      <c r="L323" s="81">
        <f t="shared" si="133"/>
        <v>2281.680198</v>
      </c>
      <c r="M323" s="82">
        <f t="shared" si="150"/>
        <v>0</v>
      </c>
      <c r="N323" s="82">
        <f t="shared" si="151"/>
        <v>0</v>
      </c>
      <c r="O323" s="82">
        <f>N323+'BM 005'!O323</f>
        <v>0</v>
      </c>
      <c r="P323" s="80">
        <f t="shared" si="152"/>
        <v>3600</v>
      </c>
      <c r="Q323" s="82">
        <f t="shared" si="153"/>
        <v>4563.3599999999997</v>
      </c>
      <c r="R323" s="82">
        <f t="shared" si="154"/>
        <v>4563.3599999999997</v>
      </c>
    </row>
    <row r="324" spans="2:18" s="34" customFormat="1" ht="23.4">
      <c r="B324" s="75" t="s">
        <v>640</v>
      </c>
      <c r="C324" s="76" t="s">
        <v>641</v>
      </c>
      <c r="D324" s="77" t="s">
        <v>39</v>
      </c>
      <c r="E324" s="78">
        <v>17</v>
      </c>
      <c r="F324" s="79"/>
      <c r="G324" s="79"/>
      <c r="H324" s="79"/>
      <c r="I324" s="79">
        <f>SUM(G324:H324)+'BM 005'!I324</f>
        <v>0</v>
      </c>
      <c r="J324" s="79">
        <f t="shared" si="134"/>
        <v>17</v>
      </c>
      <c r="K324" s="84">
        <v>160</v>
      </c>
      <c r="L324" s="81">
        <f t="shared" si="133"/>
        <v>202.81601760000001</v>
      </c>
      <c r="M324" s="82">
        <f t="shared" si="150"/>
        <v>0</v>
      </c>
      <c r="N324" s="82">
        <f t="shared" si="151"/>
        <v>0</v>
      </c>
      <c r="O324" s="82">
        <f>N324+'BM 005'!O324</f>
        <v>0</v>
      </c>
      <c r="P324" s="80">
        <f t="shared" si="152"/>
        <v>2720</v>
      </c>
      <c r="Q324" s="82">
        <f t="shared" si="153"/>
        <v>3447.87</v>
      </c>
      <c r="R324" s="82">
        <f t="shared" si="154"/>
        <v>3447.87</v>
      </c>
    </row>
    <row r="325" spans="2:18" s="34" customFormat="1" ht="13.2">
      <c r="B325" s="75" t="s">
        <v>642</v>
      </c>
      <c r="C325" s="76" t="s">
        <v>643</v>
      </c>
      <c r="D325" s="77" t="s">
        <v>39</v>
      </c>
      <c r="E325" s="78">
        <v>100</v>
      </c>
      <c r="F325" s="79"/>
      <c r="G325" s="79"/>
      <c r="H325" s="79"/>
      <c r="I325" s="79">
        <f>SUM(G325:H325)+'BM 005'!I325</f>
        <v>0</v>
      </c>
      <c r="J325" s="79">
        <f t="shared" si="134"/>
        <v>100</v>
      </c>
      <c r="K325" s="84">
        <v>5.27</v>
      </c>
      <c r="L325" s="81">
        <f t="shared" si="133"/>
        <v>6.6802525796999994</v>
      </c>
      <c r="M325" s="82">
        <f t="shared" si="150"/>
        <v>0</v>
      </c>
      <c r="N325" s="82">
        <f t="shared" si="151"/>
        <v>0</v>
      </c>
      <c r="O325" s="82">
        <f>N325+'BM 005'!O325</f>
        <v>0</v>
      </c>
      <c r="P325" s="80">
        <f t="shared" si="152"/>
        <v>527</v>
      </c>
      <c r="Q325" s="82">
        <f t="shared" si="153"/>
        <v>668.02</v>
      </c>
      <c r="R325" s="82">
        <f t="shared" si="154"/>
        <v>668.02</v>
      </c>
    </row>
    <row r="326" spans="2:18" s="34" customFormat="1" ht="23.25" customHeight="1">
      <c r="B326" s="75" t="s">
        <v>644</v>
      </c>
      <c r="C326" s="76" t="s">
        <v>645</v>
      </c>
      <c r="D326" s="77" t="s">
        <v>124</v>
      </c>
      <c r="E326" s="78">
        <v>12</v>
      </c>
      <c r="F326" s="79"/>
      <c r="G326" s="79"/>
      <c r="H326" s="79"/>
      <c r="I326" s="79">
        <f>SUM(G326:H326)+'BM 005'!I326</f>
        <v>0</v>
      </c>
      <c r="J326" s="79">
        <f t="shared" si="134"/>
        <v>12</v>
      </c>
      <c r="K326" s="84">
        <v>15.39</v>
      </c>
      <c r="L326" s="81">
        <f t="shared" si="133"/>
        <v>19.5083656929</v>
      </c>
      <c r="M326" s="82">
        <f t="shared" si="150"/>
        <v>0</v>
      </c>
      <c r="N326" s="82">
        <f t="shared" si="151"/>
        <v>0</v>
      </c>
      <c r="O326" s="82">
        <f>N326+'BM 005'!O326</f>
        <v>0</v>
      </c>
      <c r="P326" s="80">
        <f t="shared" si="152"/>
        <v>184.68</v>
      </c>
      <c r="Q326" s="82">
        <f t="shared" si="153"/>
        <v>234.1</v>
      </c>
      <c r="R326" s="82">
        <f t="shared" si="154"/>
        <v>234.1</v>
      </c>
    </row>
    <row r="327" spans="2:18" s="34" customFormat="1" ht="23.4">
      <c r="B327" s="75" t="s">
        <v>646</v>
      </c>
      <c r="C327" s="76" t="s">
        <v>647</v>
      </c>
      <c r="D327" s="77" t="s">
        <v>39</v>
      </c>
      <c r="E327" s="78">
        <v>17</v>
      </c>
      <c r="F327" s="79"/>
      <c r="G327" s="79"/>
      <c r="H327" s="79"/>
      <c r="I327" s="79">
        <f>SUM(G327:H327)+'BM 005'!I327</f>
        <v>0</v>
      </c>
      <c r="J327" s="79">
        <f t="shared" si="134"/>
        <v>17</v>
      </c>
      <c r="K327" s="84">
        <v>50</v>
      </c>
      <c r="L327" s="81">
        <f t="shared" si="133"/>
        <v>63.380005500000003</v>
      </c>
      <c r="M327" s="82">
        <f t="shared" si="150"/>
        <v>0</v>
      </c>
      <c r="N327" s="82">
        <f t="shared" si="151"/>
        <v>0</v>
      </c>
      <c r="O327" s="82">
        <f>N327+'BM 005'!O327</f>
        <v>0</v>
      </c>
      <c r="P327" s="80">
        <f t="shared" si="152"/>
        <v>850</v>
      </c>
      <c r="Q327" s="82">
        <f t="shared" si="153"/>
        <v>1077.46</v>
      </c>
      <c r="R327" s="82">
        <f t="shared" si="154"/>
        <v>1077.46</v>
      </c>
    </row>
    <row r="328" spans="2:18" s="34" customFormat="1" ht="13.2">
      <c r="B328" s="60" t="s">
        <v>648</v>
      </c>
      <c r="C328" s="61" t="s">
        <v>649</v>
      </c>
      <c r="D328" s="60"/>
      <c r="E328" s="62"/>
      <c r="F328" s="63"/>
      <c r="G328" s="63"/>
      <c r="H328" s="63"/>
      <c r="I328" s="63">
        <f>SUM(G328:H328)+'BM 005'!I328</f>
        <v>0</v>
      </c>
      <c r="J328" s="63">
        <f t="shared" si="134"/>
        <v>0</v>
      </c>
      <c r="K328" s="63"/>
      <c r="L328" s="63">
        <f t="shared" si="133"/>
        <v>0</v>
      </c>
      <c r="M328" s="63">
        <f t="shared" ref="M328:R328" si="155">SUM(M329,M337,M395,M406,M474)</f>
        <v>6476.81</v>
      </c>
      <c r="N328" s="63">
        <f t="shared" si="155"/>
        <v>6476.81</v>
      </c>
      <c r="O328" s="63">
        <f t="shared" si="155"/>
        <v>6476.81</v>
      </c>
      <c r="P328" s="63">
        <f t="shared" si="155"/>
        <v>482517.43010000006</v>
      </c>
      <c r="Q328" s="63">
        <f t="shared" si="155"/>
        <v>611638.38000000012</v>
      </c>
      <c r="R328" s="63">
        <f t="shared" si="155"/>
        <v>605161.57000000007</v>
      </c>
    </row>
    <row r="329" spans="2:18" s="34" customFormat="1" ht="13.2">
      <c r="B329" s="66" t="s">
        <v>650</v>
      </c>
      <c r="C329" s="67" t="s">
        <v>651</v>
      </c>
      <c r="D329" s="68"/>
      <c r="E329" s="69"/>
      <c r="F329" s="70"/>
      <c r="G329" s="70"/>
      <c r="H329" s="70"/>
      <c r="I329" s="70">
        <f>SUM(G329:H329)+'BM 005'!I329</f>
        <v>0</v>
      </c>
      <c r="J329" s="70">
        <f t="shared" si="134"/>
        <v>0</v>
      </c>
      <c r="K329" s="71"/>
      <c r="L329" s="71">
        <f t="shared" si="133"/>
        <v>0</v>
      </c>
      <c r="M329" s="73">
        <f t="shared" ref="M329:R329" si="156">SUM(M330:M336)</f>
        <v>2814.07</v>
      </c>
      <c r="N329" s="73">
        <f t="shared" si="156"/>
        <v>2814.07</v>
      </c>
      <c r="O329" s="73">
        <f t="shared" si="156"/>
        <v>2814.07</v>
      </c>
      <c r="P329" s="73">
        <f t="shared" si="156"/>
        <v>39545.715000000004</v>
      </c>
      <c r="Q329" s="73">
        <f t="shared" si="156"/>
        <v>50128.12</v>
      </c>
      <c r="R329" s="73">
        <f t="shared" si="156"/>
        <v>47314.05</v>
      </c>
    </row>
    <row r="330" spans="2:18" s="34" customFormat="1" ht="23.4">
      <c r="B330" s="75" t="s">
        <v>652</v>
      </c>
      <c r="C330" s="76" t="s">
        <v>653</v>
      </c>
      <c r="D330" s="77" t="s">
        <v>82</v>
      </c>
      <c r="E330" s="90">
        <v>9.3800000000000008</v>
      </c>
      <c r="F330" s="91"/>
      <c r="G330" s="91"/>
      <c r="H330" s="91"/>
      <c r="I330" s="91">
        <f>SUM(G330:H330)+'BM 005'!I330</f>
        <v>0</v>
      </c>
      <c r="J330" s="91">
        <f t="shared" si="134"/>
        <v>9.3800000000000008</v>
      </c>
      <c r="K330" s="80">
        <v>6.5</v>
      </c>
      <c r="L330" s="81">
        <f t="shared" si="133"/>
        <v>8.2394007150000004</v>
      </c>
      <c r="M330" s="82">
        <f t="shared" ref="M330:M336" si="157">TRUNC(F330*L330,2)</f>
        <v>0</v>
      </c>
      <c r="N330" s="82">
        <f t="shared" ref="N330:N336" si="158">TRUNC(G330*L330,2)</f>
        <v>0</v>
      </c>
      <c r="O330" s="82">
        <f>N330+'BM 005'!O330</f>
        <v>0</v>
      </c>
      <c r="P330" s="80">
        <f t="shared" ref="P330:P336" si="159">E330*K330</f>
        <v>60.970000000000006</v>
      </c>
      <c r="Q330" s="82">
        <f t="shared" ref="Q330:Q336" si="160">TRUNC(E330*L330,2)</f>
        <v>77.28</v>
      </c>
      <c r="R330" s="82">
        <f t="shared" ref="R330:R336" si="161">Q330-O330</f>
        <v>77.28</v>
      </c>
    </row>
    <row r="331" spans="2:18" s="34" customFormat="1" ht="23.4">
      <c r="B331" s="75" t="s">
        <v>654</v>
      </c>
      <c r="C331" s="76" t="s">
        <v>655</v>
      </c>
      <c r="D331" s="77" t="s">
        <v>82</v>
      </c>
      <c r="E331" s="90">
        <v>1074.94</v>
      </c>
      <c r="F331" s="91"/>
      <c r="G331" s="91"/>
      <c r="H331" s="91"/>
      <c r="I331" s="91">
        <f>SUM(G331:H331)+'BM 005'!I331</f>
        <v>0</v>
      </c>
      <c r="J331" s="91">
        <f t="shared" si="134"/>
        <v>1074.94</v>
      </c>
      <c r="K331" s="80">
        <v>8</v>
      </c>
      <c r="L331" s="81">
        <f t="shared" si="133"/>
        <v>10.14080088</v>
      </c>
      <c r="M331" s="82">
        <f t="shared" si="157"/>
        <v>0</v>
      </c>
      <c r="N331" s="82">
        <f t="shared" si="158"/>
        <v>0</v>
      </c>
      <c r="O331" s="82">
        <f>N331+'BM 005'!O331</f>
        <v>0</v>
      </c>
      <c r="P331" s="80">
        <f t="shared" si="159"/>
        <v>8599.52</v>
      </c>
      <c r="Q331" s="82">
        <f t="shared" si="160"/>
        <v>10900.75</v>
      </c>
      <c r="R331" s="82">
        <f t="shared" si="161"/>
        <v>10900.75</v>
      </c>
    </row>
    <row r="332" spans="2:18" s="34" customFormat="1" ht="23.4">
      <c r="B332" s="75" t="s">
        <v>656</v>
      </c>
      <c r="C332" s="76" t="s">
        <v>657</v>
      </c>
      <c r="D332" s="77" t="s">
        <v>82</v>
      </c>
      <c r="E332" s="93">
        <v>17.41</v>
      </c>
      <c r="F332" s="79"/>
      <c r="G332" s="79"/>
      <c r="H332" s="79"/>
      <c r="I332" s="79">
        <f>SUM(G332:H332)+'BM 005'!I332</f>
        <v>0</v>
      </c>
      <c r="J332" s="79">
        <f t="shared" si="134"/>
        <v>17.41</v>
      </c>
      <c r="K332" s="80">
        <v>17.5</v>
      </c>
      <c r="L332" s="81">
        <f t="shared" si="133"/>
        <v>22.183001924999999</v>
      </c>
      <c r="M332" s="82">
        <f t="shared" si="157"/>
        <v>0</v>
      </c>
      <c r="N332" s="82">
        <f t="shared" si="158"/>
        <v>0</v>
      </c>
      <c r="O332" s="82">
        <f>N332+'BM 005'!O332</f>
        <v>0</v>
      </c>
      <c r="P332" s="80">
        <f t="shared" si="159"/>
        <v>304.67500000000001</v>
      </c>
      <c r="Q332" s="82">
        <f t="shared" si="160"/>
        <v>386.2</v>
      </c>
      <c r="R332" s="82">
        <f t="shared" si="161"/>
        <v>386.2</v>
      </c>
    </row>
    <row r="333" spans="2:18" s="34" customFormat="1" ht="23.4">
      <c r="B333" s="75" t="s">
        <v>658</v>
      </c>
      <c r="C333" s="76" t="s">
        <v>659</v>
      </c>
      <c r="D333" s="77" t="s">
        <v>82</v>
      </c>
      <c r="E333" s="93">
        <v>471.41</v>
      </c>
      <c r="F333" s="79"/>
      <c r="G333" s="79"/>
      <c r="H333" s="79"/>
      <c r="I333" s="79">
        <f>SUM(G333:H333)+'BM 005'!I333</f>
        <v>0</v>
      </c>
      <c r="J333" s="79">
        <f t="shared" si="134"/>
        <v>471.41</v>
      </c>
      <c r="K333" s="80">
        <v>23.5</v>
      </c>
      <c r="L333" s="81">
        <f t="shared" si="133"/>
        <v>29.788602585</v>
      </c>
      <c r="M333" s="82">
        <f t="shared" si="157"/>
        <v>0</v>
      </c>
      <c r="N333" s="82">
        <f t="shared" si="158"/>
        <v>0</v>
      </c>
      <c r="O333" s="82">
        <f>N333+'BM 005'!O333</f>
        <v>0</v>
      </c>
      <c r="P333" s="80">
        <f t="shared" si="159"/>
        <v>11078.135</v>
      </c>
      <c r="Q333" s="82">
        <f t="shared" si="160"/>
        <v>14042.64</v>
      </c>
      <c r="R333" s="82">
        <f t="shared" si="161"/>
        <v>14042.64</v>
      </c>
    </row>
    <row r="334" spans="2:18" s="34" customFormat="1" ht="23.4">
      <c r="B334" s="75" t="s">
        <v>660</v>
      </c>
      <c r="C334" s="76" t="s">
        <v>661</v>
      </c>
      <c r="D334" s="77" t="s">
        <v>82</v>
      </c>
      <c r="E334" s="93">
        <v>25.81</v>
      </c>
      <c r="F334" s="79"/>
      <c r="G334" s="79"/>
      <c r="H334" s="79"/>
      <c r="I334" s="79">
        <f>SUM(G334:H334)+'BM 005'!I334</f>
        <v>0</v>
      </c>
      <c r="J334" s="79">
        <f t="shared" si="134"/>
        <v>25.81</v>
      </c>
      <c r="K334" s="80">
        <v>27.5</v>
      </c>
      <c r="L334" s="81">
        <f t="shared" si="133"/>
        <v>34.859003025</v>
      </c>
      <c r="M334" s="82">
        <f t="shared" si="157"/>
        <v>0</v>
      </c>
      <c r="N334" s="82">
        <f t="shared" si="158"/>
        <v>0</v>
      </c>
      <c r="O334" s="82">
        <f>N334+'BM 005'!O334</f>
        <v>0</v>
      </c>
      <c r="P334" s="80">
        <f t="shared" si="159"/>
        <v>709.77499999999998</v>
      </c>
      <c r="Q334" s="82">
        <f t="shared" si="160"/>
        <v>899.71</v>
      </c>
      <c r="R334" s="82">
        <f t="shared" si="161"/>
        <v>899.71</v>
      </c>
    </row>
    <row r="335" spans="2:18" s="34" customFormat="1" ht="23.4">
      <c r="B335" s="75" t="s">
        <v>662</v>
      </c>
      <c r="C335" s="76" t="s">
        <v>663</v>
      </c>
      <c r="D335" s="77" t="s">
        <v>124</v>
      </c>
      <c r="E335" s="93">
        <v>165.66</v>
      </c>
      <c r="F335" s="79"/>
      <c r="G335" s="79"/>
      <c r="H335" s="79"/>
      <c r="I335" s="79">
        <f>SUM(G335:H335)+'BM 005'!I335</f>
        <v>0</v>
      </c>
      <c r="J335" s="79">
        <f t="shared" si="134"/>
        <v>165.66</v>
      </c>
      <c r="K335" s="80">
        <v>41</v>
      </c>
      <c r="L335" s="81">
        <f t="shared" si="133"/>
        <v>51.971604510000006</v>
      </c>
      <c r="M335" s="82">
        <f t="shared" si="157"/>
        <v>0</v>
      </c>
      <c r="N335" s="82">
        <f t="shared" si="158"/>
        <v>0</v>
      </c>
      <c r="O335" s="82">
        <f>N335+'BM 005'!O335</f>
        <v>0</v>
      </c>
      <c r="P335" s="80">
        <f t="shared" si="159"/>
        <v>6792.0599999999995</v>
      </c>
      <c r="Q335" s="82">
        <f t="shared" si="160"/>
        <v>8609.61</v>
      </c>
      <c r="R335" s="82">
        <f t="shared" si="161"/>
        <v>8609.61</v>
      </c>
    </row>
    <row r="336" spans="2:18" s="34" customFormat="1" ht="23.4">
      <c r="B336" s="75" t="s">
        <v>664</v>
      </c>
      <c r="C336" s="76" t="s">
        <v>665</v>
      </c>
      <c r="D336" s="77" t="s">
        <v>124</v>
      </c>
      <c r="E336" s="93">
        <v>162.16999999999999</v>
      </c>
      <c r="F336" s="79">
        <f>'M.C. MED. 06'!K1132</f>
        <v>30</v>
      </c>
      <c r="G336" s="79">
        <f>F336</f>
        <v>30</v>
      </c>
      <c r="H336" s="79"/>
      <c r="I336" s="79">
        <f>SUM(G336:H336)+'BM 005'!I336</f>
        <v>30</v>
      </c>
      <c r="J336" s="79">
        <f t="shared" si="134"/>
        <v>132.16999999999999</v>
      </c>
      <c r="K336" s="80">
        <v>74</v>
      </c>
      <c r="L336" s="81">
        <f t="shared" si="133"/>
        <v>93.802408140000011</v>
      </c>
      <c r="M336" s="82">
        <f t="shared" si="157"/>
        <v>2814.07</v>
      </c>
      <c r="N336" s="82">
        <f t="shared" si="158"/>
        <v>2814.07</v>
      </c>
      <c r="O336" s="82">
        <f>N336+'BM 005'!O336</f>
        <v>2814.07</v>
      </c>
      <c r="P336" s="80">
        <f t="shared" si="159"/>
        <v>12000.58</v>
      </c>
      <c r="Q336" s="82">
        <f t="shared" si="160"/>
        <v>15211.93</v>
      </c>
      <c r="R336" s="82">
        <f t="shared" si="161"/>
        <v>12397.86</v>
      </c>
    </row>
    <row r="337" spans="2:18" s="34" customFormat="1" ht="24">
      <c r="B337" s="66" t="s">
        <v>666</v>
      </c>
      <c r="C337" s="67" t="s">
        <v>667</v>
      </c>
      <c r="D337" s="68"/>
      <c r="E337" s="69"/>
      <c r="F337" s="70"/>
      <c r="G337" s="70"/>
      <c r="H337" s="70"/>
      <c r="I337" s="70">
        <f>SUM(G337:H337)+'BM 005'!I337</f>
        <v>0</v>
      </c>
      <c r="J337" s="70">
        <f t="shared" si="134"/>
        <v>0</v>
      </c>
      <c r="K337" s="71"/>
      <c r="L337" s="71">
        <f t="shared" si="133"/>
        <v>0</v>
      </c>
      <c r="M337" s="73">
        <f t="shared" ref="M337:R337" si="162">SUM(M338:M394)</f>
        <v>848.67</v>
      </c>
      <c r="N337" s="73">
        <f t="shared" si="162"/>
        <v>848.67</v>
      </c>
      <c r="O337" s="73">
        <f t="shared" si="162"/>
        <v>848.67</v>
      </c>
      <c r="P337" s="73">
        <f t="shared" si="162"/>
        <v>49585.86</v>
      </c>
      <c r="Q337" s="73">
        <f t="shared" si="162"/>
        <v>62854.749999999985</v>
      </c>
      <c r="R337" s="73">
        <f t="shared" si="162"/>
        <v>62006.079999999987</v>
      </c>
    </row>
    <row r="338" spans="2:18" s="34" customFormat="1" ht="46.2">
      <c r="B338" s="75" t="s">
        <v>668</v>
      </c>
      <c r="C338" s="76" t="s">
        <v>669</v>
      </c>
      <c r="D338" s="77" t="s">
        <v>131</v>
      </c>
      <c r="E338" s="93">
        <v>2</v>
      </c>
      <c r="F338" s="79"/>
      <c r="G338" s="79"/>
      <c r="H338" s="79"/>
      <c r="I338" s="79">
        <f>SUM(G338:H338)+'BM 005'!I338</f>
        <v>0</v>
      </c>
      <c r="J338" s="79">
        <f t="shared" si="134"/>
        <v>2</v>
      </c>
      <c r="K338" s="80">
        <v>119</v>
      </c>
      <c r="L338" s="81">
        <f t="shared" si="133"/>
        <v>150.84441309000002</v>
      </c>
      <c r="M338" s="82">
        <f t="shared" ref="M338:M369" si="163">TRUNC(F338*L338,2)</f>
        <v>0</v>
      </c>
      <c r="N338" s="82">
        <f t="shared" ref="N338:N369" si="164">TRUNC(G338*L338,2)</f>
        <v>0</v>
      </c>
      <c r="O338" s="82">
        <f>N338+'BM 005'!O338</f>
        <v>0</v>
      </c>
      <c r="P338" s="80">
        <f t="shared" ref="P338:P369" si="165">E338*K338</f>
        <v>238</v>
      </c>
      <c r="Q338" s="82">
        <f t="shared" ref="Q338:Q369" si="166">TRUNC(E338*L338,2)</f>
        <v>301.68</v>
      </c>
      <c r="R338" s="82">
        <f t="shared" ref="R338:R369" si="167">Q338-O338</f>
        <v>301.68</v>
      </c>
    </row>
    <row r="339" spans="2:18" s="34" customFormat="1" ht="46.2">
      <c r="B339" s="75" t="s">
        <v>670</v>
      </c>
      <c r="C339" s="76" t="s">
        <v>671</v>
      </c>
      <c r="D339" s="77" t="s">
        <v>131</v>
      </c>
      <c r="E339" s="93">
        <v>12</v>
      </c>
      <c r="F339" s="79"/>
      <c r="G339" s="79"/>
      <c r="H339" s="79"/>
      <c r="I339" s="79">
        <f>SUM(G339:H339)+'BM 005'!I339</f>
        <v>0</v>
      </c>
      <c r="J339" s="79">
        <f t="shared" si="134"/>
        <v>12</v>
      </c>
      <c r="K339" s="80">
        <v>215</v>
      </c>
      <c r="L339" s="81">
        <f t="shared" si="133"/>
        <v>272.53402364999999</v>
      </c>
      <c r="M339" s="82">
        <f t="shared" si="163"/>
        <v>0</v>
      </c>
      <c r="N339" s="82">
        <f t="shared" si="164"/>
        <v>0</v>
      </c>
      <c r="O339" s="82">
        <f>N339+'BM 005'!O339</f>
        <v>0</v>
      </c>
      <c r="P339" s="80">
        <f t="shared" si="165"/>
        <v>2580</v>
      </c>
      <c r="Q339" s="82">
        <f t="shared" si="166"/>
        <v>3270.4</v>
      </c>
      <c r="R339" s="82">
        <f t="shared" si="167"/>
        <v>3270.4</v>
      </c>
    </row>
    <row r="340" spans="2:18" s="34" customFormat="1" ht="23.4">
      <c r="B340" s="75" t="s">
        <v>672</v>
      </c>
      <c r="C340" s="76" t="s">
        <v>673</v>
      </c>
      <c r="D340" s="77" t="s">
        <v>131</v>
      </c>
      <c r="E340" s="93">
        <v>15</v>
      </c>
      <c r="F340" s="79"/>
      <c r="G340" s="79"/>
      <c r="H340" s="79"/>
      <c r="I340" s="79">
        <f>SUM(G340:H340)+'BM 005'!I340</f>
        <v>0</v>
      </c>
      <c r="J340" s="79">
        <f t="shared" si="134"/>
        <v>15</v>
      </c>
      <c r="K340" s="80">
        <v>98</v>
      </c>
      <c r="L340" s="81">
        <f t="shared" si="133"/>
        <v>124.22481078000001</v>
      </c>
      <c r="M340" s="82">
        <f t="shared" si="163"/>
        <v>0</v>
      </c>
      <c r="N340" s="82">
        <f t="shared" si="164"/>
        <v>0</v>
      </c>
      <c r="O340" s="82">
        <f>N340+'BM 005'!O340</f>
        <v>0</v>
      </c>
      <c r="P340" s="80">
        <f t="shared" si="165"/>
        <v>1470</v>
      </c>
      <c r="Q340" s="82">
        <f t="shared" si="166"/>
        <v>1863.37</v>
      </c>
      <c r="R340" s="82">
        <f t="shared" si="167"/>
        <v>1863.37</v>
      </c>
    </row>
    <row r="341" spans="2:18" s="34" customFormat="1" ht="34.799999999999997">
      <c r="B341" s="75" t="s">
        <v>674</v>
      </c>
      <c r="C341" s="76" t="s">
        <v>675</v>
      </c>
      <c r="D341" s="77" t="s">
        <v>131</v>
      </c>
      <c r="E341" s="93">
        <v>5</v>
      </c>
      <c r="F341" s="79"/>
      <c r="G341" s="79"/>
      <c r="H341" s="79"/>
      <c r="I341" s="79">
        <f>SUM(G341:H341)+'BM 005'!I341</f>
        <v>0</v>
      </c>
      <c r="J341" s="79">
        <f t="shared" si="134"/>
        <v>5</v>
      </c>
      <c r="K341" s="80">
        <v>52</v>
      </c>
      <c r="L341" s="81">
        <f t="shared" si="133"/>
        <v>65.915205720000003</v>
      </c>
      <c r="M341" s="82">
        <f t="shared" si="163"/>
        <v>0</v>
      </c>
      <c r="N341" s="82">
        <f t="shared" si="164"/>
        <v>0</v>
      </c>
      <c r="O341" s="82">
        <f>N341+'BM 005'!O341</f>
        <v>0</v>
      </c>
      <c r="P341" s="80">
        <f t="shared" si="165"/>
        <v>260</v>
      </c>
      <c r="Q341" s="82">
        <f t="shared" si="166"/>
        <v>329.57</v>
      </c>
      <c r="R341" s="82">
        <f t="shared" si="167"/>
        <v>329.57</v>
      </c>
    </row>
    <row r="342" spans="2:18" s="34" customFormat="1" ht="34.799999999999997">
      <c r="B342" s="75" t="s">
        <v>676</v>
      </c>
      <c r="C342" s="76" t="s">
        <v>677</v>
      </c>
      <c r="D342" s="77" t="s">
        <v>131</v>
      </c>
      <c r="E342" s="93">
        <v>160</v>
      </c>
      <c r="F342" s="79"/>
      <c r="G342" s="79"/>
      <c r="H342" s="79"/>
      <c r="I342" s="79">
        <f>SUM(G342:H342)+'BM 005'!I342</f>
        <v>0</v>
      </c>
      <c r="J342" s="79">
        <f t="shared" si="134"/>
        <v>160</v>
      </c>
      <c r="K342" s="80">
        <v>105.95</v>
      </c>
      <c r="L342" s="81">
        <f t="shared" si="133"/>
        <v>134.30223165450002</v>
      </c>
      <c r="M342" s="82">
        <f t="shared" si="163"/>
        <v>0</v>
      </c>
      <c r="N342" s="82">
        <f t="shared" si="164"/>
        <v>0</v>
      </c>
      <c r="O342" s="82">
        <f>N342+'BM 005'!O342</f>
        <v>0</v>
      </c>
      <c r="P342" s="80">
        <f t="shared" si="165"/>
        <v>16952</v>
      </c>
      <c r="Q342" s="82">
        <f t="shared" si="166"/>
        <v>21488.35</v>
      </c>
      <c r="R342" s="82">
        <f t="shared" si="167"/>
        <v>21488.35</v>
      </c>
    </row>
    <row r="343" spans="2:18" s="34" customFormat="1" ht="23.4">
      <c r="B343" s="75" t="s">
        <v>678</v>
      </c>
      <c r="C343" s="76" t="s">
        <v>679</v>
      </c>
      <c r="D343" s="77" t="s">
        <v>131</v>
      </c>
      <c r="E343" s="93">
        <v>11</v>
      </c>
      <c r="F343" s="79"/>
      <c r="G343" s="79"/>
      <c r="H343" s="79"/>
      <c r="I343" s="79">
        <f>SUM(G343:H343)+'BM 005'!I343</f>
        <v>0</v>
      </c>
      <c r="J343" s="79">
        <f t="shared" si="134"/>
        <v>11</v>
      </c>
      <c r="K343" s="80">
        <v>485</v>
      </c>
      <c r="L343" s="81">
        <f t="shared" si="133"/>
        <v>614.78605334999997</v>
      </c>
      <c r="M343" s="82">
        <f t="shared" si="163"/>
        <v>0</v>
      </c>
      <c r="N343" s="82">
        <f t="shared" si="164"/>
        <v>0</v>
      </c>
      <c r="O343" s="82">
        <f>N343+'BM 005'!O343</f>
        <v>0</v>
      </c>
      <c r="P343" s="80">
        <f t="shared" si="165"/>
        <v>5335</v>
      </c>
      <c r="Q343" s="82">
        <f t="shared" si="166"/>
        <v>6762.64</v>
      </c>
      <c r="R343" s="82">
        <f t="shared" si="167"/>
        <v>6762.64</v>
      </c>
    </row>
    <row r="344" spans="2:18" s="34" customFormat="1" ht="34.799999999999997">
      <c r="B344" s="75" t="s">
        <v>680</v>
      </c>
      <c r="C344" s="88" t="s">
        <v>681</v>
      </c>
      <c r="D344" s="89" t="s">
        <v>131</v>
      </c>
      <c r="E344" s="90">
        <v>3</v>
      </c>
      <c r="F344" s="91"/>
      <c r="G344" s="91"/>
      <c r="H344" s="91"/>
      <c r="I344" s="91">
        <f>SUM(G344:H344)+'BM 005'!I344</f>
        <v>0</v>
      </c>
      <c r="J344" s="91">
        <f t="shared" si="134"/>
        <v>3</v>
      </c>
      <c r="K344" s="80">
        <v>165</v>
      </c>
      <c r="L344" s="81">
        <f t="shared" si="133"/>
        <v>209.15401815000001</v>
      </c>
      <c r="M344" s="82">
        <f t="shared" si="163"/>
        <v>0</v>
      </c>
      <c r="N344" s="82">
        <f t="shared" si="164"/>
        <v>0</v>
      </c>
      <c r="O344" s="82">
        <f>N344+'BM 005'!O344</f>
        <v>0</v>
      </c>
      <c r="P344" s="80">
        <f t="shared" si="165"/>
        <v>495</v>
      </c>
      <c r="Q344" s="82">
        <f t="shared" si="166"/>
        <v>627.46</v>
      </c>
      <c r="R344" s="82">
        <f t="shared" si="167"/>
        <v>627.46</v>
      </c>
    </row>
    <row r="345" spans="2:18" s="34" customFormat="1" ht="23.4">
      <c r="B345" s="75" t="s">
        <v>682</v>
      </c>
      <c r="C345" s="88" t="s">
        <v>683</v>
      </c>
      <c r="D345" s="89" t="s">
        <v>131</v>
      </c>
      <c r="E345" s="90">
        <v>1</v>
      </c>
      <c r="F345" s="91"/>
      <c r="G345" s="91"/>
      <c r="H345" s="91"/>
      <c r="I345" s="91">
        <f>SUM(G345:H345)+'BM 005'!I345</f>
        <v>0</v>
      </c>
      <c r="J345" s="91">
        <f t="shared" si="134"/>
        <v>1</v>
      </c>
      <c r="K345" s="80">
        <v>169</v>
      </c>
      <c r="L345" s="81">
        <f t="shared" si="133"/>
        <v>214.22441859</v>
      </c>
      <c r="M345" s="82">
        <f t="shared" si="163"/>
        <v>0</v>
      </c>
      <c r="N345" s="82">
        <f t="shared" si="164"/>
        <v>0</v>
      </c>
      <c r="O345" s="82">
        <f>N345+'BM 005'!O345</f>
        <v>0</v>
      </c>
      <c r="P345" s="80">
        <f t="shared" si="165"/>
        <v>169</v>
      </c>
      <c r="Q345" s="82">
        <f t="shared" si="166"/>
        <v>214.22</v>
      </c>
      <c r="R345" s="82">
        <f t="shared" si="167"/>
        <v>214.22</v>
      </c>
    </row>
    <row r="346" spans="2:18" s="34" customFormat="1" ht="23.4">
      <c r="B346" s="75" t="s">
        <v>684</v>
      </c>
      <c r="C346" s="88" t="s">
        <v>685</v>
      </c>
      <c r="D346" s="89" t="s">
        <v>131</v>
      </c>
      <c r="E346" s="90">
        <v>1</v>
      </c>
      <c r="F346" s="91"/>
      <c r="G346" s="91"/>
      <c r="H346" s="91"/>
      <c r="I346" s="91">
        <f>SUM(G346:H346)+'BM 005'!I346</f>
        <v>0</v>
      </c>
      <c r="J346" s="91">
        <f t="shared" si="134"/>
        <v>1</v>
      </c>
      <c r="K346" s="80">
        <v>99</v>
      </c>
      <c r="L346" s="81">
        <f t="shared" si="133"/>
        <v>125.49241089</v>
      </c>
      <c r="M346" s="82">
        <f t="shared" si="163"/>
        <v>0</v>
      </c>
      <c r="N346" s="82">
        <f t="shared" si="164"/>
        <v>0</v>
      </c>
      <c r="O346" s="82">
        <f>N346+'BM 005'!O346</f>
        <v>0</v>
      </c>
      <c r="P346" s="80">
        <f t="shared" si="165"/>
        <v>99</v>
      </c>
      <c r="Q346" s="82">
        <f t="shared" si="166"/>
        <v>125.49</v>
      </c>
      <c r="R346" s="82">
        <f t="shared" si="167"/>
        <v>125.49</v>
      </c>
    </row>
    <row r="347" spans="2:18" s="34" customFormat="1" ht="23.4">
      <c r="B347" s="75" t="s">
        <v>686</v>
      </c>
      <c r="C347" s="88" t="s">
        <v>687</v>
      </c>
      <c r="D347" s="89" t="s">
        <v>131</v>
      </c>
      <c r="E347" s="90">
        <v>1</v>
      </c>
      <c r="F347" s="91"/>
      <c r="G347" s="91"/>
      <c r="H347" s="91"/>
      <c r="I347" s="91">
        <f>SUM(G347:H347)+'BM 005'!I347</f>
        <v>0</v>
      </c>
      <c r="J347" s="91">
        <f t="shared" si="134"/>
        <v>1</v>
      </c>
      <c r="K347" s="80">
        <v>265</v>
      </c>
      <c r="L347" s="81">
        <f t="shared" si="133"/>
        <v>335.91402915000003</v>
      </c>
      <c r="M347" s="82">
        <f t="shared" si="163"/>
        <v>0</v>
      </c>
      <c r="N347" s="82">
        <f t="shared" si="164"/>
        <v>0</v>
      </c>
      <c r="O347" s="82">
        <f>N347+'BM 005'!O347</f>
        <v>0</v>
      </c>
      <c r="P347" s="80">
        <f t="shared" si="165"/>
        <v>265</v>
      </c>
      <c r="Q347" s="82">
        <f t="shared" si="166"/>
        <v>335.91</v>
      </c>
      <c r="R347" s="82">
        <f t="shared" si="167"/>
        <v>335.91</v>
      </c>
    </row>
    <row r="348" spans="2:18" s="34" customFormat="1" ht="57.6">
      <c r="B348" s="75" t="s">
        <v>688</v>
      </c>
      <c r="C348" s="88" t="s">
        <v>689</v>
      </c>
      <c r="D348" s="89" t="s">
        <v>131</v>
      </c>
      <c r="E348" s="90">
        <v>16</v>
      </c>
      <c r="F348" s="91"/>
      <c r="G348" s="91"/>
      <c r="H348" s="91"/>
      <c r="I348" s="91">
        <f>SUM(G348:H348)+'BM 005'!I348</f>
        <v>0</v>
      </c>
      <c r="J348" s="91">
        <f t="shared" si="134"/>
        <v>16</v>
      </c>
      <c r="K348" s="80">
        <v>9.8000000000000007</v>
      </c>
      <c r="L348" s="81">
        <f t="shared" si="133"/>
        <v>12.422481078000002</v>
      </c>
      <c r="M348" s="82">
        <f t="shared" si="163"/>
        <v>0</v>
      </c>
      <c r="N348" s="82">
        <f t="shared" si="164"/>
        <v>0</v>
      </c>
      <c r="O348" s="82">
        <f>N348+'BM 005'!O348</f>
        <v>0</v>
      </c>
      <c r="P348" s="80">
        <f t="shared" si="165"/>
        <v>156.80000000000001</v>
      </c>
      <c r="Q348" s="82">
        <f t="shared" si="166"/>
        <v>198.75</v>
      </c>
      <c r="R348" s="82">
        <f t="shared" si="167"/>
        <v>198.75</v>
      </c>
    </row>
    <row r="349" spans="2:18" s="34" customFormat="1" ht="57.6">
      <c r="B349" s="75" t="s">
        <v>690</v>
      </c>
      <c r="C349" s="88" t="s">
        <v>691</v>
      </c>
      <c r="D349" s="89" t="s">
        <v>131</v>
      </c>
      <c r="E349" s="90">
        <v>4</v>
      </c>
      <c r="F349" s="91"/>
      <c r="G349" s="91"/>
      <c r="H349" s="91"/>
      <c r="I349" s="91">
        <f>SUM(G349:H349)+'BM 005'!I349</f>
        <v>0</v>
      </c>
      <c r="J349" s="91">
        <f t="shared" si="134"/>
        <v>4</v>
      </c>
      <c r="K349" s="80">
        <v>12.5</v>
      </c>
      <c r="L349" s="81">
        <f t="shared" ref="L349:L412" si="168">K349*(1+$T$26)</f>
        <v>15.845001375000001</v>
      </c>
      <c r="M349" s="82">
        <f t="shared" si="163"/>
        <v>0</v>
      </c>
      <c r="N349" s="82">
        <f t="shared" si="164"/>
        <v>0</v>
      </c>
      <c r="O349" s="82">
        <f>N349+'BM 005'!O349</f>
        <v>0</v>
      </c>
      <c r="P349" s="80">
        <f t="shared" si="165"/>
        <v>50</v>
      </c>
      <c r="Q349" s="82">
        <f t="shared" si="166"/>
        <v>63.38</v>
      </c>
      <c r="R349" s="82">
        <f t="shared" si="167"/>
        <v>63.38</v>
      </c>
    </row>
    <row r="350" spans="2:18" s="34" customFormat="1" ht="57.6">
      <c r="B350" s="75" t="s">
        <v>692</v>
      </c>
      <c r="C350" s="88" t="s">
        <v>693</v>
      </c>
      <c r="D350" s="89" t="s">
        <v>131</v>
      </c>
      <c r="E350" s="90">
        <v>2</v>
      </c>
      <c r="F350" s="91"/>
      <c r="G350" s="91"/>
      <c r="H350" s="91"/>
      <c r="I350" s="91">
        <f>SUM(G350:H350)+'BM 005'!I350</f>
        <v>0</v>
      </c>
      <c r="J350" s="91">
        <f t="shared" si="134"/>
        <v>2</v>
      </c>
      <c r="K350" s="80">
        <v>28</v>
      </c>
      <c r="L350" s="81">
        <f t="shared" si="168"/>
        <v>35.492803080000002</v>
      </c>
      <c r="M350" s="82">
        <f t="shared" si="163"/>
        <v>0</v>
      </c>
      <c r="N350" s="82">
        <f t="shared" si="164"/>
        <v>0</v>
      </c>
      <c r="O350" s="82">
        <f>N350+'BM 005'!O350</f>
        <v>0</v>
      </c>
      <c r="P350" s="80">
        <f t="shared" si="165"/>
        <v>56</v>
      </c>
      <c r="Q350" s="82">
        <f t="shared" si="166"/>
        <v>70.98</v>
      </c>
      <c r="R350" s="82">
        <f t="shared" si="167"/>
        <v>70.98</v>
      </c>
    </row>
    <row r="351" spans="2:18" s="34" customFormat="1" ht="57.6">
      <c r="B351" s="75" t="s">
        <v>694</v>
      </c>
      <c r="C351" s="88" t="s">
        <v>695</v>
      </c>
      <c r="D351" s="89" t="s">
        <v>131</v>
      </c>
      <c r="E351" s="90">
        <v>30</v>
      </c>
      <c r="F351" s="91"/>
      <c r="G351" s="91"/>
      <c r="H351" s="91"/>
      <c r="I351" s="91">
        <f>SUM(G351:H351)+'BM 005'!I351</f>
        <v>0</v>
      </c>
      <c r="J351" s="91">
        <f t="shared" ref="J351:J414" si="169">E351-I351</f>
        <v>30</v>
      </c>
      <c r="K351" s="80">
        <v>38</v>
      </c>
      <c r="L351" s="81">
        <f t="shared" si="168"/>
        <v>48.168804180000002</v>
      </c>
      <c r="M351" s="82">
        <f t="shared" si="163"/>
        <v>0</v>
      </c>
      <c r="N351" s="82">
        <f t="shared" si="164"/>
        <v>0</v>
      </c>
      <c r="O351" s="82">
        <f>N351+'BM 005'!O351</f>
        <v>0</v>
      </c>
      <c r="P351" s="80">
        <f t="shared" si="165"/>
        <v>1140</v>
      </c>
      <c r="Q351" s="82">
        <f t="shared" si="166"/>
        <v>1445.06</v>
      </c>
      <c r="R351" s="82">
        <f t="shared" si="167"/>
        <v>1445.06</v>
      </c>
    </row>
    <row r="352" spans="2:18" s="34" customFormat="1" ht="46.2">
      <c r="B352" s="75" t="s">
        <v>696</v>
      </c>
      <c r="C352" s="88" t="s">
        <v>697</v>
      </c>
      <c r="D352" s="89" t="s">
        <v>131</v>
      </c>
      <c r="E352" s="90">
        <v>320</v>
      </c>
      <c r="F352" s="91"/>
      <c r="G352" s="91"/>
      <c r="H352" s="91"/>
      <c r="I352" s="91">
        <f>SUM(G352:H352)+'BM 005'!I352</f>
        <v>0</v>
      </c>
      <c r="J352" s="91">
        <f t="shared" si="169"/>
        <v>320</v>
      </c>
      <c r="K352" s="80">
        <v>5.33</v>
      </c>
      <c r="L352" s="81">
        <f t="shared" si="168"/>
        <v>6.7563085863000003</v>
      </c>
      <c r="M352" s="82">
        <f t="shared" si="163"/>
        <v>0</v>
      </c>
      <c r="N352" s="82">
        <f t="shared" si="164"/>
        <v>0</v>
      </c>
      <c r="O352" s="82">
        <f>N352+'BM 005'!O352</f>
        <v>0</v>
      </c>
      <c r="P352" s="80">
        <f t="shared" si="165"/>
        <v>1705.6</v>
      </c>
      <c r="Q352" s="82">
        <f t="shared" si="166"/>
        <v>2162.0100000000002</v>
      </c>
      <c r="R352" s="82">
        <f t="shared" si="167"/>
        <v>2162.0100000000002</v>
      </c>
    </row>
    <row r="353" spans="2:18" s="34" customFormat="1" ht="23.4">
      <c r="B353" s="75" t="s">
        <v>698</v>
      </c>
      <c r="C353" s="88" t="s">
        <v>699</v>
      </c>
      <c r="D353" s="89" t="s">
        <v>131</v>
      </c>
      <c r="E353" s="90">
        <v>12</v>
      </c>
      <c r="F353" s="91"/>
      <c r="G353" s="91"/>
      <c r="H353" s="91"/>
      <c r="I353" s="91">
        <f>SUM(G353:H353)+'BM 005'!I353</f>
        <v>0</v>
      </c>
      <c r="J353" s="91">
        <f t="shared" si="169"/>
        <v>12</v>
      </c>
      <c r="K353" s="80">
        <v>4.92</v>
      </c>
      <c r="L353" s="81">
        <f t="shared" si="168"/>
        <v>6.2365925412000003</v>
      </c>
      <c r="M353" s="82">
        <f t="shared" si="163"/>
        <v>0</v>
      </c>
      <c r="N353" s="82">
        <f t="shared" si="164"/>
        <v>0</v>
      </c>
      <c r="O353" s="82">
        <f>N353+'BM 005'!O353</f>
        <v>0</v>
      </c>
      <c r="P353" s="80">
        <f t="shared" si="165"/>
        <v>59.04</v>
      </c>
      <c r="Q353" s="82">
        <f t="shared" si="166"/>
        <v>74.83</v>
      </c>
      <c r="R353" s="82">
        <f t="shared" si="167"/>
        <v>74.83</v>
      </c>
    </row>
    <row r="354" spans="2:18" s="34" customFormat="1" ht="23.4">
      <c r="B354" s="75" t="s">
        <v>700</v>
      </c>
      <c r="C354" s="88" t="s">
        <v>701</v>
      </c>
      <c r="D354" s="89" t="s">
        <v>131</v>
      </c>
      <c r="E354" s="90">
        <v>1</v>
      </c>
      <c r="F354" s="91"/>
      <c r="G354" s="91"/>
      <c r="H354" s="91"/>
      <c r="I354" s="91">
        <f>SUM(G354:H354)+'BM 005'!I354</f>
        <v>0</v>
      </c>
      <c r="J354" s="91">
        <f t="shared" si="169"/>
        <v>1</v>
      </c>
      <c r="K354" s="80">
        <v>5.49</v>
      </c>
      <c r="L354" s="81">
        <f t="shared" si="168"/>
        <v>6.9591246039000003</v>
      </c>
      <c r="M354" s="82">
        <f t="shared" si="163"/>
        <v>0</v>
      </c>
      <c r="N354" s="82">
        <f t="shared" si="164"/>
        <v>0</v>
      </c>
      <c r="O354" s="82">
        <f>N354+'BM 005'!O354</f>
        <v>0</v>
      </c>
      <c r="P354" s="80">
        <f t="shared" si="165"/>
        <v>5.49</v>
      </c>
      <c r="Q354" s="82">
        <f t="shared" si="166"/>
        <v>6.95</v>
      </c>
      <c r="R354" s="82">
        <f t="shared" si="167"/>
        <v>6.95</v>
      </c>
    </row>
    <row r="355" spans="2:18" s="34" customFormat="1" ht="23.4">
      <c r="B355" s="75" t="s">
        <v>702</v>
      </c>
      <c r="C355" s="88" t="s">
        <v>703</v>
      </c>
      <c r="D355" s="89" t="s">
        <v>131</v>
      </c>
      <c r="E355" s="90">
        <v>1</v>
      </c>
      <c r="F355" s="91"/>
      <c r="G355" s="91"/>
      <c r="H355" s="91"/>
      <c r="I355" s="91">
        <f>SUM(G355:H355)+'BM 005'!I355</f>
        <v>0</v>
      </c>
      <c r="J355" s="91">
        <f t="shared" si="169"/>
        <v>1</v>
      </c>
      <c r="K355" s="80">
        <v>8.5</v>
      </c>
      <c r="L355" s="81">
        <f t="shared" si="168"/>
        <v>10.774600935</v>
      </c>
      <c r="M355" s="82">
        <f t="shared" si="163"/>
        <v>0</v>
      </c>
      <c r="N355" s="82">
        <f t="shared" si="164"/>
        <v>0</v>
      </c>
      <c r="O355" s="82">
        <f>N355+'BM 005'!O355</f>
        <v>0</v>
      </c>
      <c r="P355" s="80">
        <f t="shared" si="165"/>
        <v>8.5</v>
      </c>
      <c r="Q355" s="82">
        <f t="shared" si="166"/>
        <v>10.77</v>
      </c>
      <c r="R355" s="82">
        <f t="shared" si="167"/>
        <v>10.77</v>
      </c>
    </row>
    <row r="356" spans="2:18" s="34" customFormat="1" ht="23.4">
      <c r="B356" s="75" t="s">
        <v>704</v>
      </c>
      <c r="C356" s="88" t="s">
        <v>705</v>
      </c>
      <c r="D356" s="89" t="s">
        <v>131</v>
      </c>
      <c r="E356" s="90">
        <v>1</v>
      </c>
      <c r="F356" s="91"/>
      <c r="G356" s="91"/>
      <c r="H356" s="91"/>
      <c r="I356" s="91">
        <f>SUM(G356:H356)+'BM 005'!I356</f>
        <v>0</v>
      </c>
      <c r="J356" s="91">
        <f t="shared" si="169"/>
        <v>1</v>
      </c>
      <c r="K356" s="80">
        <v>14.47</v>
      </c>
      <c r="L356" s="81">
        <f t="shared" si="168"/>
        <v>18.3421735917</v>
      </c>
      <c r="M356" s="82">
        <f t="shared" si="163"/>
        <v>0</v>
      </c>
      <c r="N356" s="82">
        <f t="shared" si="164"/>
        <v>0</v>
      </c>
      <c r="O356" s="82">
        <f>N356+'BM 005'!O356</f>
        <v>0</v>
      </c>
      <c r="P356" s="80">
        <f t="shared" si="165"/>
        <v>14.47</v>
      </c>
      <c r="Q356" s="82">
        <f t="shared" si="166"/>
        <v>18.34</v>
      </c>
      <c r="R356" s="82">
        <f t="shared" si="167"/>
        <v>18.34</v>
      </c>
    </row>
    <row r="357" spans="2:18" s="34" customFormat="1" ht="23.4">
      <c r="B357" s="75" t="s">
        <v>706</v>
      </c>
      <c r="C357" s="88" t="s">
        <v>707</v>
      </c>
      <c r="D357" s="89" t="s">
        <v>131</v>
      </c>
      <c r="E357" s="90">
        <v>4</v>
      </c>
      <c r="F357" s="91"/>
      <c r="G357" s="91"/>
      <c r="H357" s="91"/>
      <c r="I357" s="91">
        <f>SUM(G357:H357)+'BM 005'!I357</f>
        <v>0</v>
      </c>
      <c r="J357" s="91">
        <f t="shared" si="169"/>
        <v>4</v>
      </c>
      <c r="K357" s="80">
        <v>31.9</v>
      </c>
      <c r="L357" s="81">
        <f t="shared" si="168"/>
        <v>40.436443509</v>
      </c>
      <c r="M357" s="82">
        <f t="shared" si="163"/>
        <v>0</v>
      </c>
      <c r="N357" s="82">
        <f t="shared" si="164"/>
        <v>0</v>
      </c>
      <c r="O357" s="82">
        <f>N357+'BM 005'!O357</f>
        <v>0</v>
      </c>
      <c r="P357" s="80">
        <f t="shared" si="165"/>
        <v>127.6</v>
      </c>
      <c r="Q357" s="82">
        <f t="shared" si="166"/>
        <v>161.74</v>
      </c>
      <c r="R357" s="82">
        <f t="shared" si="167"/>
        <v>161.74</v>
      </c>
    </row>
    <row r="358" spans="2:18" s="34" customFormat="1" ht="23.4">
      <c r="B358" s="75" t="s">
        <v>708</v>
      </c>
      <c r="C358" s="88" t="s">
        <v>709</v>
      </c>
      <c r="D358" s="89" t="s">
        <v>131</v>
      </c>
      <c r="E358" s="90">
        <v>1</v>
      </c>
      <c r="F358" s="91"/>
      <c r="G358" s="91"/>
      <c r="H358" s="91"/>
      <c r="I358" s="91">
        <f>SUM(G358:H358)+'BM 005'!I358</f>
        <v>0</v>
      </c>
      <c r="J358" s="91">
        <f t="shared" si="169"/>
        <v>1</v>
      </c>
      <c r="K358" s="80">
        <v>11.22</v>
      </c>
      <c r="L358" s="81">
        <f t="shared" si="168"/>
        <v>14.222473234200001</v>
      </c>
      <c r="M358" s="82">
        <f t="shared" si="163"/>
        <v>0</v>
      </c>
      <c r="N358" s="82">
        <f t="shared" si="164"/>
        <v>0</v>
      </c>
      <c r="O358" s="82">
        <f>N358+'BM 005'!O358</f>
        <v>0</v>
      </c>
      <c r="P358" s="80">
        <f t="shared" si="165"/>
        <v>11.22</v>
      </c>
      <c r="Q358" s="82">
        <f t="shared" si="166"/>
        <v>14.22</v>
      </c>
      <c r="R358" s="82">
        <f t="shared" si="167"/>
        <v>14.22</v>
      </c>
    </row>
    <row r="359" spans="2:18" s="34" customFormat="1" ht="23.4">
      <c r="B359" s="75" t="s">
        <v>710</v>
      </c>
      <c r="C359" s="88" t="s">
        <v>711</v>
      </c>
      <c r="D359" s="89" t="s">
        <v>131</v>
      </c>
      <c r="E359" s="90">
        <v>57</v>
      </c>
      <c r="F359" s="91"/>
      <c r="G359" s="91"/>
      <c r="H359" s="91"/>
      <c r="I359" s="91">
        <f>SUM(G359:H359)+'BM 005'!I359</f>
        <v>0</v>
      </c>
      <c r="J359" s="91">
        <f t="shared" si="169"/>
        <v>57</v>
      </c>
      <c r="K359" s="80">
        <v>14.54</v>
      </c>
      <c r="L359" s="81">
        <f t="shared" si="168"/>
        <v>18.430905599399999</v>
      </c>
      <c r="M359" s="82">
        <f t="shared" si="163"/>
        <v>0</v>
      </c>
      <c r="N359" s="82">
        <f t="shared" si="164"/>
        <v>0</v>
      </c>
      <c r="O359" s="82">
        <f>N359+'BM 005'!O359</f>
        <v>0</v>
      </c>
      <c r="P359" s="80">
        <f t="shared" si="165"/>
        <v>828.78</v>
      </c>
      <c r="Q359" s="82">
        <f t="shared" si="166"/>
        <v>1050.56</v>
      </c>
      <c r="R359" s="82">
        <f t="shared" si="167"/>
        <v>1050.56</v>
      </c>
    </row>
    <row r="360" spans="2:18" s="34" customFormat="1" ht="23.4">
      <c r="B360" s="75" t="s">
        <v>712</v>
      </c>
      <c r="C360" s="88" t="s">
        <v>713</v>
      </c>
      <c r="D360" s="89" t="s">
        <v>131</v>
      </c>
      <c r="E360" s="90">
        <v>1</v>
      </c>
      <c r="F360" s="91"/>
      <c r="G360" s="91"/>
      <c r="H360" s="91"/>
      <c r="I360" s="91">
        <f>SUM(G360:H360)+'BM 005'!I360</f>
        <v>0</v>
      </c>
      <c r="J360" s="91">
        <f t="shared" si="169"/>
        <v>1</v>
      </c>
      <c r="K360" s="80">
        <v>16.8</v>
      </c>
      <c r="L360" s="81">
        <f t="shared" si="168"/>
        <v>21.295681848000001</v>
      </c>
      <c r="M360" s="82">
        <f t="shared" si="163"/>
        <v>0</v>
      </c>
      <c r="N360" s="82">
        <f t="shared" si="164"/>
        <v>0</v>
      </c>
      <c r="O360" s="82">
        <f>N360+'BM 005'!O360</f>
        <v>0</v>
      </c>
      <c r="P360" s="80">
        <f t="shared" si="165"/>
        <v>16.8</v>
      </c>
      <c r="Q360" s="82">
        <f t="shared" si="166"/>
        <v>21.29</v>
      </c>
      <c r="R360" s="82">
        <f t="shared" si="167"/>
        <v>21.29</v>
      </c>
    </row>
    <row r="361" spans="2:18" s="34" customFormat="1" ht="46.2">
      <c r="B361" s="75" t="s">
        <v>714</v>
      </c>
      <c r="C361" s="88" t="s">
        <v>715</v>
      </c>
      <c r="D361" s="89" t="s">
        <v>131</v>
      </c>
      <c r="E361" s="90">
        <v>1</v>
      </c>
      <c r="F361" s="91"/>
      <c r="G361" s="91"/>
      <c r="H361" s="91"/>
      <c r="I361" s="91">
        <f>SUM(G361:H361)+'BM 005'!I361</f>
        <v>0</v>
      </c>
      <c r="J361" s="91">
        <f t="shared" si="169"/>
        <v>1</v>
      </c>
      <c r="K361" s="80">
        <v>25</v>
      </c>
      <c r="L361" s="81">
        <f t="shared" si="168"/>
        <v>31.690002750000001</v>
      </c>
      <c r="M361" s="82">
        <f t="shared" si="163"/>
        <v>0</v>
      </c>
      <c r="N361" s="82">
        <f t="shared" si="164"/>
        <v>0</v>
      </c>
      <c r="O361" s="82">
        <f>N361+'BM 005'!O361</f>
        <v>0</v>
      </c>
      <c r="P361" s="80">
        <f t="shared" si="165"/>
        <v>25</v>
      </c>
      <c r="Q361" s="82">
        <f t="shared" si="166"/>
        <v>31.69</v>
      </c>
      <c r="R361" s="82">
        <f t="shared" si="167"/>
        <v>31.69</v>
      </c>
    </row>
    <row r="362" spans="2:18" s="34" customFormat="1" ht="34.799999999999997">
      <c r="B362" s="75" t="s">
        <v>716</v>
      </c>
      <c r="C362" s="88" t="s">
        <v>717</v>
      </c>
      <c r="D362" s="89" t="s">
        <v>131</v>
      </c>
      <c r="E362" s="90">
        <v>24</v>
      </c>
      <c r="F362" s="91"/>
      <c r="G362" s="91"/>
      <c r="H362" s="91"/>
      <c r="I362" s="91">
        <f>SUM(G362:H362)+'BM 005'!I362</f>
        <v>0</v>
      </c>
      <c r="J362" s="91">
        <f t="shared" si="169"/>
        <v>24</v>
      </c>
      <c r="K362" s="80">
        <v>5.37</v>
      </c>
      <c r="L362" s="81">
        <f t="shared" si="168"/>
        <v>6.8070125907000003</v>
      </c>
      <c r="M362" s="82">
        <f t="shared" si="163"/>
        <v>0</v>
      </c>
      <c r="N362" s="82">
        <f t="shared" si="164"/>
        <v>0</v>
      </c>
      <c r="O362" s="82">
        <f>N362+'BM 005'!O362</f>
        <v>0</v>
      </c>
      <c r="P362" s="80">
        <f t="shared" si="165"/>
        <v>128.88</v>
      </c>
      <c r="Q362" s="82">
        <f t="shared" si="166"/>
        <v>163.36000000000001</v>
      </c>
      <c r="R362" s="82">
        <f t="shared" si="167"/>
        <v>163.36000000000001</v>
      </c>
    </row>
    <row r="363" spans="2:18" s="34" customFormat="1" ht="34.799999999999997">
      <c r="B363" s="75" t="s">
        <v>718</v>
      </c>
      <c r="C363" s="88" t="s">
        <v>719</v>
      </c>
      <c r="D363" s="89" t="s">
        <v>131</v>
      </c>
      <c r="E363" s="90">
        <v>2</v>
      </c>
      <c r="F363" s="91"/>
      <c r="G363" s="91"/>
      <c r="H363" s="91"/>
      <c r="I363" s="91">
        <f>SUM(G363:H363)+'BM 005'!I363</f>
        <v>0</v>
      </c>
      <c r="J363" s="91">
        <f t="shared" si="169"/>
        <v>2</v>
      </c>
      <c r="K363" s="80">
        <v>8.76</v>
      </c>
      <c r="L363" s="81">
        <f t="shared" si="168"/>
        <v>11.104176963600001</v>
      </c>
      <c r="M363" s="82">
        <f t="shared" si="163"/>
        <v>0</v>
      </c>
      <c r="N363" s="82">
        <f t="shared" si="164"/>
        <v>0</v>
      </c>
      <c r="O363" s="82">
        <f>N363+'BM 005'!O363</f>
        <v>0</v>
      </c>
      <c r="P363" s="80">
        <f t="shared" si="165"/>
        <v>17.52</v>
      </c>
      <c r="Q363" s="82">
        <f t="shared" si="166"/>
        <v>22.2</v>
      </c>
      <c r="R363" s="82">
        <f t="shared" si="167"/>
        <v>22.2</v>
      </c>
    </row>
    <row r="364" spans="2:18" s="34" customFormat="1" ht="34.799999999999997">
      <c r="B364" s="75" t="s">
        <v>720</v>
      </c>
      <c r="C364" s="88" t="s">
        <v>721</v>
      </c>
      <c r="D364" s="89" t="s">
        <v>131</v>
      </c>
      <c r="E364" s="90">
        <v>4</v>
      </c>
      <c r="F364" s="91"/>
      <c r="G364" s="91"/>
      <c r="H364" s="91"/>
      <c r="I364" s="91">
        <f>SUM(G364:H364)+'BM 005'!I364</f>
        <v>0</v>
      </c>
      <c r="J364" s="91">
        <f t="shared" si="169"/>
        <v>4</v>
      </c>
      <c r="K364" s="80">
        <v>11.55</v>
      </c>
      <c r="L364" s="81">
        <f t="shared" si="168"/>
        <v>14.640781270500002</v>
      </c>
      <c r="M364" s="82">
        <f t="shared" si="163"/>
        <v>0</v>
      </c>
      <c r="N364" s="82">
        <f t="shared" si="164"/>
        <v>0</v>
      </c>
      <c r="O364" s="82">
        <f>N364+'BM 005'!O364</f>
        <v>0</v>
      </c>
      <c r="P364" s="80">
        <f t="shared" si="165"/>
        <v>46.2</v>
      </c>
      <c r="Q364" s="82">
        <f t="shared" si="166"/>
        <v>58.56</v>
      </c>
      <c r="R364" s="82">
        <f t="shared" si="167"/>
        <v>58.56</v>
      </c>
    </row>
    <row r="365" spans="2:18" s="34" customFormat="1" ht="34.799999999999997">
      <c r="B365" s="75" t="s">
        <v>722</v>
      </c>
      <c r="C365" s="88" t="s">
        <v>723</v>
      </c>
      <c r="D365" s="89" t="s">
        <v>131</v>
      </c>
      <c r="E365" s="90">
        <v>2</v>
      </c>
      <c r="F365" s="91"/>
      <c r="G365" s="91"/>
      <c r="H365" s="91"/>
      <c r="I365" s="91">
        <f>SUM(G365:H365)+'BM 005'!I365</f>
        <v>0</v>
      </c>
      <c r="J365" s="91">
        <f t="shared" si="169"/>
        <v>2</v>
      </c>
      <c r="K365" s="80">
        <v>34.32</v>
      </c>
      <c r="L365" s="81">
        <f t="shared" si="168"/>
        <v>43.504035775200002</v>
      </c>
      <c r="M365" s="82">
        <f t="shared" si="163"/>
        <v>0</v>
      </c>
      <c r="N365" s="82">
        <f t="shared" si="164"/>
        <v>0</v>
      </c>
      <c r="O365" s="82">
        <f>N365+'BM 005'!O365</f>
        <v>0</v>
      </c>
      <c r="P365" s="80">
        <f t="shared" si="165"/>
        <v>68.64</v>
      </c>
      <c r="Q365" s="82">
        <f t="shared" si="166"/>
        <v>87</v>
      </c>
      <c r="R365" s="82">
        <f t="shared" si="167"/>
        <v>87</v>
      </c>
    </row>
    <row r="366" spans="2:18" s="34" customFormat="1" ht="34.799999999999997">
      <c r="B366" s="75" t="s">
        <v>724</v>
      </c>
      <c r="C366" s="88" t="s">
        <v>725</v>
      </c>
      <c r="D366" s="89" t="s">
        <v>131</v>
      </c>
      <c r="E366" s="90">
        <v>3</v>
      </c>
      <c r="F366" s="91"/>
      <c r="G366" s="91"/>
      <c r="H366" s="91"/>
      <c r="I366" s="91">
        <f>SUM(G366:H366)+'BM 005'!I366</f>
        <v>0</v>
      </c>
      <c r="J366" s="91">
        <f t="shared" si="169"/>
        <v>3</v>
      </c>
      <c r="K366" s="80">
        <v>71.75</v>
      </c>
      <c r="L366" s="81">
        <f t="shared" si="168"/>
        <v>90.950307892500007</v>
      </c>
      <c r="M366" s="82">
        <f t="shared" si="163"/>
        <v>0</v>
      </c>
      <c r="N366" s="82">
        <f t="shared" si="164"/>
        <v>0</v>
      </c>
      <c r="O366" s="82">
        <f>N366+'BM 005'!O366</f>
        <v>0</v>
      </c>
      <c r="P366" s="80">
        <f t="shared" si="165"/>
        <v>215.25</v>
      </c>
      <c r="Q366" s="82">
        <f t="shared" si="166"/>
        <v>272.85000000000002</v>
      </c>
      <c r="R366" s="82">
        <f t="shared" si="167"/>
        <v>272.85000000000002</v>
      </c>
    </row>
    <row r="367" spans="2:18" s="34" customFormat="1" ht="46.2">
      <c r="B367" s="75" t="s">
        <v>726</v>
      </c>
      <c r="C367" s="88" t="s">
        <v>727</v>
      </c>
      <c r="D367" s="89" t="s">
        <v>131</v>
      </c>
      <c r="E367" s="90">
        <v>1</v>
      </c>
      <c r="F367" s="91"/>
      <c r="G367" s="91"/>
      <c r="H367" s="91"/>
      <c r="I367" s="91">
        <f>SUM(G367:H367)+'BM 005'!I367</f>
        <v>0</v>
      </c>
      <c r="J367" s="91">
        <f t="shared" si="169"/>
        <v>1</v>
      </c>
      <c r="K367" s="80">
        <v>14.38</v>
      </c>
      <c r="L367" s="81">
        <f t="shared" si="168"/>
        <v>18.228089581800003</v>
      </c>
      <c r="M367" s="82">
        <f t="shared" si="163"/>
        <v>0</v>
      </c>
      <c r="N367" s="82">
        <f t="shared" si="164"/>
        <v>0</v>
      </c>
      <c r="O367" s="82">
        <f>N367+'BM 005'!O367</f>
        <v>0</v>
      </c>
      <c r="P367" s="80">
        <f t="shared" si="165"/>
        <v>14.38</v>
      </c>
      <c r="Q367" s="82">
        <f t="shared" si="166"/>
        <v>18.22</v>
      </c>
      <c r="R367" s="82">
        <f t="shared" si="167"/>
        <v>18.22</v>
      </c>
    </row>
    <row r="368" spans="2:18" s="34" customFormat="1" ht="23.4">
      <c r="B368" s="75" t="s">
        <v>728</v>
      </c>
      <c r="C368" s="88" t="s">
        <v>729</v>
      </c>
      <c r="D368" s="89" t="s">
        <v>131</v>
      </c>
      <c r="E368" s="90">
        <v>22</v>
      </c>
      <c r="F368" s="91"/>
      <c r="G368" s="91"/>
      <c r="H368" s="91"/>
      <c r="I368" s="91">
        <f>SUM(G368:H368)+'BM 005'!I368</f>
        <v>0</v>
      </c>
      <c r="J368" s="91">
        <f t="shared" si="169"/>
        <v>22</v>
      </c>
      <c r="K368" s="80">
        <v>14.99</v>
      </c>
      <c r="L368" s="81">
        <f t="shared" si="168"/>
        <v>19.0013256489</v>
      </c>
      <c r="M368" s="82">
        <f t="shared" si="163"/>
        <v>0</v>
      </c>
      <c r="N368" s="82">
        <f t="shared" si="164"/>
        <v>0</v>
      </c>
      <c r="O368" s="82">
        <f>N368+'BM 005'!O368</f>
        <v>0</v>
      </c>
      <c r="P368" s="80">
        <f t="shared" si="165"/>
        <v>329.78000000000003</v>
      </c>
      <c r="Q368" s="82">
        <f t="shared" si="166"/>
        <v>418.02</v>
      </c>
      <c r="R368" s="82">
        <f t="shared" si="167"/>
        <v>418.02</v>
      </c>
    </row>
    <row r="369" spans="2:18" s="34" customFormat="1" ht="23.4">
      <c r="B369" s="75" t="s">
        <v>730</v>
      </c>
      <c r="C369" s="88" t="s">
        <v>731</v>
      </c>
      <c r="D369" s="89" t="s">
        <v>131</v>
      </c>
      <c r="E369" s="90">
        <v>289</v>
      </c>
      <c r="F369" s="91"/>
      <c r="G369" s="91"/>
      <c r="H369" s="91"/>
      <c r="I369" s="91">
        <f>SUM(G369:H369)+'BM 005'!I369</f>
        <v>0</v>
      </c>
      <c r="J369" s="91">
        <f t="shared" si="169"/>
        <v>289</v>
      </c>
      <c r="K369" s="80">
        <v>13.04</v>
      </c>
      <c r="L369" s="81">
        <f t="shared" si="168"/>
        <v>16.529505434400001</v>
      </c>
      <c r="M369" s="82">
        <f t="shared" si="163"/>
        <v>0</v>
      </c>
      <c r="N369" s="82">
        <f t="shared" si="164"/>
        <v>0</v>
      </c>
      <c r="O369" s="82">
        <f>N369+'BM 005'!O369</f>
        <v>0</v>
      </c>
      <c r="P369" s="80">
        <f t="shared" si="165"/>
        <v>3768.56</v>
      </c>
      <c r="Q369" s="82">
        <f t="shared" si="166"/>
        <v>4777.0200000000004</v>
      </c>
      <c r="R369" s="82">
        <f t="shared" si="167"/>
        <v>4777.0200000000004</v>
      </c>
    </row>
    <row r="370" spans="2:18" s="34" customFormat="1" ht="34.799999999999997">
      <c r="B370" s="75" t="s">
        <v>732</v>
      </c>
      <c r="C370" s="88" t="s">
        <v>733</v>
      </c>
      <c r="D370" s="89" t="s">
        <v>131</v>
      </c>
      <c r="E370" s="90">
        <v>7</v>
      </c>
      <c r="F370" s="91"/>
      <c r="G370" s="91"/>
      <c r="H370" s="91"/>
      <c r="I370" s="91">
        <f>SUM(G370:H370)+'BM 005'!I370</f>
        <v>0</v>
      </c>
      <c r="J370" s="91">
        <f t="shared" si="169"/>
        <v>7</v>
      </c>
      <c r="K370" s="80">
        <v>3.95</v>
      </c>
      <c r="L370" s="81">
        <f t="shared" si="168"/>
        <v>5.0070204345000002</v>
      </c>
      <c r="M370" s="82">
        <f t="shared" ref="M370:M394" si="170">TRUNC(F370*L370,2)</f>
        <v>0</v>
      </c>
      <c r="N370" s="82">
        <f t="shared" ref="N370:N394" si="171">TRUNC(G370*L370,2)</f>
        <v>0</v>
      </c>
      <c r="O370" s="82">
        <f>N370+'BM 005'!O370</f>
        <v>0</v>
      </c>
      <c r="P370" s="80">
        <f t="shared" ref="P370:P394" si="172">E370*K370</f>
        <v>27.650000000000002</v>
      </c>
      <c r="Q370" s="82">
        <f t="shared" ref="Q370:Q394" si="173">TRUNC(E370*L370,2)</f>
        <v>35.04</v>
      </c>
      <c r="R370" s="82">
        <f t="shared" ref="R370:R394" si="174">Q370-O370</f>
        <v>35.04</v>
      </c>
    </row>
    <row r="371" spans="2:18" s="34" customFormat="1" ht="34.799999999999997">
      <c r="B371" s="75" t="s">
        <v>734</v>
      </c>
      <c r="C371" s="88" t="s">
        <v>735</v>
      </c>
      <c r="D371" s="89" t="s">
        <v>131</v>
      </c>
      <c r="E371" s="90">
        <v>270</v>
      </c>
      <c r="F371" s="91"/>
      <c r="G371" s="91"/>
      <c r="H371" s="91"/>
      <c r="I371" s="91">
        <f>SUM(G371:H371)+'BM 005'!I371</f>
        <v>0</v>
      </c>
      <c r="J371" s="91">
        <f t="shared" si="169"/>
        <v>270</v>
      </c>
      <c r="K371" s="80">
        <v>4.67</v>
      </c>
      <c r="L371" s="81">
        <f t="shared" si="168"/>
        <v>5.9196925137000003</v>
      </c>
      <c r="M371" s="82">
        <f t="shared" si="170"/>
        <v>0</v>
      </c>
      <c r="N371" s="82">
        <f t="shared" si="171"/>
        <v>0</v>
      </c>
      <c r="O371" s="82">
        <f>N371+'BM 005'!O371</f>
        <v>0</v>
      </c>
      <c r="P371" s="80">
        <f t="shared" si="172"/>
        <v>1260.9000000000001</v>
      </c>
      <c r="Q371" s="82">
        <f t="shared" si="173"/>
        <v>1598.31</v>
      </c>
      <c r="R371" s="82">
        <f t="shared" si="174"/>
        <v>1598.31</v>
      </c>
    </row>
    <row r="372" spans="2:18" s="34" customFormat="1" ht="34.799999999999997">
      <c r="B372" s="75" t="s">
        <v>736</v>
      </c>
      <c r="C372" s="88" t="s">
        <v>737</v>
      </c>
      <c r="D372" s="89" t="s">
        <v>131</v>
      </c>
      <c r="E372" s="90">
        <v>3</v>
      </c>
      <c r="F372" s="91"/>
      <c r="G372" s="91"/>
      <c r="H372" s="91"/>
      <c r="I372" s="91">
        <f>SUM(G372:H372)+'BM 005'!I372</f>
        <v>0</v>
      </c>
      <c r="J372" s="91">
        <f t="shared" si="169"/>
        <v>3</v>
      </c>
      <c r="K372" s="80">
        <v>7.2</v>
      </c>
      <c r="L372" s="81">
        <f t="shared" si="168"/>
        <v>9.1267207920000004</v>
      </c>
      <c r="M372" s="82">
        <f t="shared" si="170"/>
        <v>0</v>
      </c>
      <c r="N372" s="82">
        <f t="shared" si="171"/>
        <v>0</v>
      </c>
      <c r="O372" s="82">
        <f>N372+'BM 005'!O372</f>
        <v>0</v>
      </c>
      <c r="P372" s="80">
        <f t="shared" si="172"/>
        <v>21.6</v>
      </c>
      <c r="Q372" s="82">
        <f t="shared" si="173"/>
        <v>27.38</v>
      </c>
      <c r="R372" s="82">
        <f t="shared" si="174"/>
        <v>27.38</v>
      </c>
    </row>
    <row r="373" spans="2:18" s="34" customFormat="1" ht="34.799999999999997">
      <c r="B373" s="75" t="s">
        <v>738</v>
      </c>
      <c r="C373" s="76" t="s">
        <v>739</v>
      </c>
      <c r="D373" s="77" t="s">
        <v>131</v>
      </c>
      <c r="E373" s="93">
        <v>128</v>
      </c>
      <c r="F373" s="79"/>
      <c r="G373" s="79"/>
      <c r="H373" s="79"/>
      <c r="I373" s="79">
        <f>SUM(G373:H373)+'BM 005'!I373</f>
        <v>0</v>
      </c>
      <c r="J373" s="79">
        <f t="shared" si="169"/>
        <v>128</v>
      </c>
      <c r="K373" s="80">
        <v>11.5</v>
      </c>
      <c r="L373" s="81">
        <f t="shared" si="168"/>
        <v>14.577401265000001</v>
      </c>
      <c r="M373" s="82">
        <f t="shared" si="170"/>
        <v>0</v>
      </c>
      <c r="N373" s="82">
        <f t="shared" si="171"/>
        <v>0</v>
      </c>
      <c r="O373" s="82">
        <f>N373+'BM 005'!O373</f>
        <v>0</v>
      </c>
      <c r="P373" s="80">
        <f t="shared" si="172"/>
        <v>1472</v>
      </c>
      <c r="Q373" s="82">
        <f t="shared" si="173"/>
        <v>1865.9</v>
      </c>
      <c r="R373" s="82">
        <f t="shared" si="174"/>
        <v>1865.9</v>
      </c>
    </row>
    <row r="374" spans="2:18" s="34" customFormat="1" ht="34.799999999999997">
      <c r="B374" s="75" t="s">
        <v>740</v>
      </c>
      <c r="C374" s="76" t="s">
        <v>741</v>
      </c>
      <c r="D374" s="77" t="s">
        <v>131</v>
      </c>
      <c r="E374" s="93">
        <v>4</v>
      </c>
      <c r="F374" s="79"/>
      <c r="G374" s="79"/>
      <c r="H374" s="79"/>
      <c r="I374" s="79">
        <f>SUM(G374:H374)+'BM 005'!I374</f>
        <v>0</v>
      </c>
      <c r="J374" s="79">
        <f t="shared" si="169"/>
        <v>4</v>
      </c>
      <c r="K374" s="80">
        <v>12.42</v>
      </c>
      <c r="L374" s="81">
        <f t="shared" si="168"/>
        <v>15.743593366200001</v>
      </c>
      <c r="M374" s="82">
        <f t="shared" si="170"/>
        <v>0</v>
      </c>
      <c r="N374" s="82">
        <f t="shared" si="171"/>
        <v>0</v>
      </c>
      <c r="O374" s="82">
        <f>N374+'BM 005'!O374</f>
        <v>0</v>
      </c>
      <c r="P374" s="80">
        <f t="shared" si="172"/>
        <v>49.68</v>
      </c>
      <c r="Q374" s="82">
        <f t="shared" si="173"/>
        <v>62.97</v>
      </c>
      <c r="R374" s="82">
        <f t="shared" si="174"/>
        <v>62.97</v>
      </c>
    </row>
    <row r="375" spans="2:18" s="34" customFormat="1" ht="34.799999999999997">
      <c r="B375" s="75" t="s">
        <v>742</v>
      </c>
      <c r="C375" s="76" t="s">
        <v>743</v>
      </c>
      <c r="D375" s="77" t="s">
        <v>131</v>
      </c>
      <c r="E375" s="93">
        <v>31</v>
      </c>
      <c r="F375" s="79"/>
      <c r="G375" s="79"/>
      <c r="H375" s="79"/>
      <c r="I375" s="79">
        <f>SUM(G375:H375)+'BM 005'!I375</f>
        <v>0</v>
      </c>
      <c r="J375" s="79">
        <f t="shared" si="169"/>
        <v>31</v>
      </c>
      <c r="K375" s="80">
        <v>35.909999999999997</v>
      </c>
      <c r="L375" s="81">
        <f t="shared" si="168"/>
        <v>45.519519950099998</v>
      </c>
      <c r="M375" s="82">
        <f t="shared" si="170"/>
        <v>0</v>
      </c>
      <c r="N375" s="82">
        <f t="shared" si="171"/>
        <v>0</v>
      </c>
      <c r="O375" s="82">
        <f>N375+'BM 005'!O375</f>
        <v>0</v>
      </c>
      <c r="P375" s="80">
        <f t="shared" si="172"/>
        <v>1113.2099999999998</v>
      </c>
      <c r="Q375" s="82">
        <f t="shared" si="173"/>
        <v>1411.1</v>
      </c>
      <c r="R375" s="82">
        <f t="shared" si="174"/>
        <v>1411.1</v>
      </c>
    </row>
    <row r="376" spans="2:18" s="34" customFormat="1" ht="46.2">
      <c r="B376" s="75" t="s">
        <v>744</v>
      </c>
      <c r="C376" s="76" t="s">
        <v>745</v>
      </c>
      <c r="D376" s="77" t="s">
        <v>131</v>
      </c>
      <c r="E376" s="93">
        <v>20</v>
      </c>
      <c r="F376" s="79">
        <v>6</v>
      </c>
      <c r="G376" s="79">
        <f>F376</f>
        <v>6</v>
      </c>
      <c r="H376" s="79"/>
      <c r="I376" s="79">
        <f>SUM(G376:H376)+'BM 005'!I376</f>
        <v>6</v>
      </c>
      <c r="J376" s="79">
        <f t="shared" si="169"/>
        <v>14</v>
      </c>
      <c r="K376" s="80">
        <v>90</v>
      </c>
      <c r="L376" s="81">
        <f t="shared" si="168"/>
        <v>114.08400990000001</v>
      </c>
      <c r="M376" s="82">
        <f t="shared" si="170"/>
        <v>684.5</v>
      </c>
      <c r="N376" s="82">
        <f t="shared" si="171"/>
        <v>684.5</v>
      </c>
      <c r="O376" s="82">
        <f>N376+'BM 005'!O376</f>
        <v>684.5</v>
      </c>
      <c r="P376" s="80">
        <f t="shared" si="172"/>
        <v>1800</v>
      </c>
      <c r="Q376" s="82">
        <f t="shared" si="173"/>
        <v>2281.6799999999998</v>
      </c>
      <c r="R376" s="82">
        <f t="shared" si="174"/>
        <v>1597.1799999999998</v>
      </c>
    </row>
    <row r="377" spans="2:18" s="34" customFormat="1" ht="13.2">
      <c r="B377" s="75" t="s">
        <v>746</v>
      </c>
      <c r="C377" s="76" t="s">
        <v>747</v>
      </c>
      <c r="D377" s="77" t="s">
        <v>131</v>
      </c>
      <c r="E377" s="93">
        <v>20</v>
      </c>
      <c r="F377" s="79"/>
      <c r="G377" s="79"/>
      <c r="H377" s="79"/>
      <c r="I377" s="79">
        <f>SUM(G377:H377)+'BM 005'!I377</f>
        <v>0</v>
      </c>
      <c r="J377" s="79">
        <f t="shared" si="169"/>
        <v>20</v>
      </c>
      <c r="K377" s="80">
        <v>5.14</v>
      </c>
      <c r="L377" s="81">
        <f t="shared" si="168"/>
        <v>6.5154645654000003</v>
      </c>
      <c r="M377" s="82">
        <f t="shared" si="170"/>
        <v>0</v>
      </c>
      <c r="N377" s="82">
        <f t="shared" si="171"/>
        <v>0</v>
      </c>
      <c r="O377" s="82">
        <f>N377+'BM 005'!O377</f>
        <v>0</v>
      </c>
      <c r="P377" s="80">
        <f t="shared" si="172"/>
        <v>102.8</v>
      </c>
      <c r="Q377" s="82">
        <f t="shared" si="173"/>
        <v>130.30000000000001</v>
      </c>
      <c r="R377" s="82">
        <f t="shared" si="174"/>
        <v>130.30000000000001</v>
      </c>
    </row>
    <row r="378" spans="2:18" s="34" customFormat="1" ht="13.2">
      <c r="B378" s="75" t="s">
        <v>748</v>
      </c>
      <c r="C378" s="76" t="s">
        <v>749</v>
      </c>
      <c r="D378" s="77" t="s">
        <v>131</v>
      </c>
      <c r="E378" s="93">
        <v>17</v>
      </c>
      <c r="F378" s="79"/>
      <c r="G378" s="79"/>
      <c r="H378" s="79"/>
      <c r="I378" s="79">
        <f>SUM(G378:H378)+'BM 005'!I378</f>
        <v>0</v>
      </c>
      <c r="J378" s="79">
        <f t="shared" si="169"/>
        <v>17</v>
      </c>
      <c r="K378" s="80">
        <v>11.25</v>
      </c>
      <c r="L378" s="81">
        <f t="shared" si="168"/>
        <v>14.260501237500002</v>
      </c>
      <c r="M378" s="82">
        <f t="shared" si="170"/>
        <v>0</v>
      </c>
      <c r="N378" s="82">
        <f t="shared" si="171"/>
        <v>0</v>
      </c>
      <c r="O378" s="82">
        <f>N378+'BM 005'!O378</f>
        <v>0</v>
      </c>
      <c r="P378" s="80">
        <f t="shared" si="172"/>
        <v>191.25</v>
      </c>
      <c r="Q378" s="82">
        <f t="shared" si="173"/>
        <v>242.42</v>
      </c>
      <c r="R378" s="82">
        <f t="shared" si="174"/>
        <v>242.42</v>
      </c>
    </row>
    <row r="379" spans="2:18" s="34" customFormat="1" ht="13.2">
      <c r="B379" s="75" t="s">
        <v>750</v>
      </c>
      <c r="C379" s="76" t="s">
        <v>751</v>
      </c>
      <c r="D379" s="77" t="s">
        <v>131</v>
      </c>
      <c r="E379" s="93">
        <v>1</v>
      </c>
      <c r="F379" s="79"/>
      <c r="G379" s="79"/>
      <c r="H379" s="79"/>
      <c r="I379" s="79">
        <f>SUM(G379:H379)+'BM 005'!I379</f>
        <v>0</v>
      </c>
      <c r="J379" s="79">
        <f t="shared" si="169"/>
        <v>1</v>
      </c>
      <c r="K379" s="80">
        <v>12.27</v>
      </c>
      <c r="L379" s="81">
        <f t="shared" si="168"/>
        <v>15.5534533497</v>
      </c>
      <c r="M379" s="82">
        <f t="shared" si="170"/>
        <v>0</v>
      </c>
      <c r="N379" s="82">
        <f t="shared" si="171"/>
        <v>0</v>
      </c>
      <c r="O379" s="82">
        <f>N379+'BM 005'!O379</f>
        <v>0</v>
      </c>
      <c r="P379" s="80">
        <f t="shared" si="172"/>
        <v>12.27</v>
      </c>
      <c r="Q379" s="82">
        <f t="shared" si="173"/>
        <v>15.55</v>
      </c>
      <c r="R379" s="82">
        <f t="shared" si="174"/>
        <v>15.55</v>
      </c>
    </row>
    <row r="380" spans="2:18" s="34" customFormat="1" ht="13.2">
      <c r="B380" s="75" t="s">
        <v>752</v>
      </c>
      <c r="C380" s="76" t="s">
        <v>753</v>
      </c>
      <c r="D380" s="77" t="s">
        <v>131</v>
      </c>
      <c r="E380" s="93">
        <v>12</v>
      </c>
      <c r="F380" s="79"/>
      <c r="G380" s="79"/>
      <c r="H380" s="79"/>
      <c r="I380" s="79">
        <f>SUM(G380:H380)+'BM 005'!I380</f>
        <v>0</v>
      </c>
      <c r="J380" s="79">
        <f t="shared" si="169"/>
        <v>12</v>
      </c>
      <c r="K380" s="80">
        <v>22.03</v>
      </c>
      <c r="L380" s="81">
        <f t="shared" si="168"/>
        <v>27.925230423300004</v>
      </c>
      <c r="M380" s="82">
        <f t="shared" si="170"/>
        <v>0</v>
      </c>
      <c r="N380" s="82">
        <f t="shared" si="171"/>
        <v>0</v>
      </c>
      <c r="O380" s="82">
        <f>N380+'BM 005'!O380</f>
        <v>0</v>
      </c>
      <c r="P380" s="80">
        <f t="shared" si="172"/>
        <v>264.36</v>
      </c>
      <c r="Q380" s="82">
        <f t="shared" si="173"/>
        <v>335.1</v>
      </c>
      <c r="R380" s="82">
        <f t="shared" si="174"/>
        <v>335.1</v>
      </c>
    </row>
    <row r="381" spans="2:18" s="34" customFormat="1" ht="13.2">
      <c r="B381" s="75" t="s">
        <v>754</v>
      </c>
      <c r="C381" s="76" t="s">
        <v>755</v>
      </c>
      <c r="D381" s="77" t="s">
        <v>131</v>
      </c>
      <c r="E381" s="93">
        <v>16</v>
      </c>
      <c r="F381" s="79">
        <v>4</v>
      </c>
      <c r="G381" s="79">
        <f>F381</f>
        <v>4</v>
      </c>
      <c r="H381" s="79"/>
      <c r="I381" s="79">
        <f>SUM(G381:H381)+'BM 005'!I381</f>
        <v>4</v>
      </c>
      <c r="J381" s="79">
        <f t="shared" si="169"/>
        <v>12</v>
      </c>
      <c r="K381" s="80">
        <v>32.380000000000003</v>
      </c>
      <c r="L381" s="81">
        <f t="shared" si="168"/>
        <v>41.044891561800007</v>
      </c>
      <c r="M381" s="82">
        <f t="shared" si="170"/>
        <v>164.17</v>
      </c>
      <c r="N381" s="82">
        <f t="shared" si="171"/>
        <v>164.17</v>
      </c>
      <c r="O381" s="82">
        <f>N381+'BM 005'!O381</f>
        <v>164.17</v>
      </c>
      <c r="P381" s="80">
        <f t="shared" si="172"/>
        <v>518.08000000000004</v>
      </c>
      <c r="Q381" s="82">
        <f t="shared" si="173"/>
        <v>656.71</v>
      </c>
      <c r="R381" s="82">
        <f t="shared" si="174"/>
        <v>492.54000000000008</v>
      </c>
    </row>
    <row r="382" spans="2:18" s="34" customFormat="1" ht="23.4">
      <c r="B382" s="75" t="s">
        <v>756</v>
      </c>
      <c r="C382" s="76" t="s">
        <v>757</v>
      </c>
      <c r="D382" s="77" t="s">
        <v>131</v>
      </c>
      <c r="E382" s="93">
        <v>16</v>
      </c>
      <c r="F382" s="79"/>
      <c r="G382" s="79"/>
      <c r="H382" s="79"/>
      <c r="I382" s="79">
        <f>SUM(G382:H382)+'BM 005'!I382</f>
        <v>0</v>
      </c>
      <c r="J382" s="79">
        <f t="shared" si="169"/>
        <v>16</v>
      </c>
      <c r="K382" s="80">
        <v>12.35</v>
      </c>
      <c r="L382" s="81">
        <f t="shared" si="168"/>
        <v>15.6548613585</v>
      </c>
      <c r="M382" s="82">
        <f t="shared" si="170"/>
        <v>0</v>
      </c>
      <c r="N382" s="82">
        <f t="shared" si="171"/>
        <v>0</v>
      </c>
      <c r="O382" s="82">
        <f>N382+'BM 005'!O382</f>
        <v>0</v>
      </c>
      <c r="P382" s="80">
        <f t="shared" si="172"/>
        <v>197.6</v>
      </c>
      <c r="Q382" s="82">
        <f t="shared" si="173"/>
        <v>250.47</v>
      </c>
      <c r="R382" s="82">
        <f t="shared" si="174"/>
        <v>250.47</v>
      </c>
    </row>
    <row r="383" spans="2:18" s="34" customFormat="1" ht="34.799999999999997">
      <c r="B383" s="75" t="s">
        <v>758</v>
      </c>
      <c r="C383" s="76" t="s">
        <v>759</v>
      </c>
      <c r="D383" s="77" t="s">
        <v>131</v>
      </c>
      <c r="E383" s="93">
        <v>3</v>
      </c>
      <c r="F383" s="79"/>
      <c r="G383" s="79"/>
      <c r="H383" s="79"/>
      <c r="I383" s="79">
        <f>SUM(G383:H383)+'BM 005'!I383</f>
        <v>0</v>
      </c>
      <c r="J383" s="79">
        <f t="shared" si="169"/>
        <v>3</v>
      </c>
      <c r="K383" s="80">
        <v>12.27</v>
      </c>
      <c r="L383" s="81">
        <f t="shared" si="168"/>
        <v>15.5534533497</v>
      </c>
      <c r="M383" s="82">
        <f t="shared" si="170"/>
        <v>0</v>
      </c>
      <c r="N383" s="82">
        <f t="shared" si="171"/>
        <v>0</v>
      </c>
      <c r="O383" s="82">
        <f>N383+'BM 005'!O383</f>
        <v>0</v>
      </c>
      <c r="P383" s="80">
        <f t="shared" si="172"/>
        <v>36.81</v>
      </c>
      <c r="Q383" s="82">
        <f t="shared" si="173"/>
        <v>46.66</v>
      </c>
      <c r="R383" s="82">
        <f t="shared" si="174"/>
        <v>46.66</v>
      </c>
    </row>
    <row r="384" spans="2:18" s="34" customFormat="1" ht="23.4">
      <c r="B384" s="75" t="s">
        <v>760</v>
      </c>
      <c r="C384" s="76" t="s">
        <v>761</v>
      </c>
      <c r="D384" s="77" t="s">
        <v>131</v>
      </c>
      <c r="E384" s="93">
        <v>34</v>
      </c>
      <c r="F384" s="79"/>
      <c r="G384" s="79"/>
      <c r="H384" s="79"/>
      <c r="I384" s="79">
        <f>SUM(G384:H384)+'BM 005'!I384</f>
        <v>0</v>
      </c>
      <c r="J384" s="79">
        <f t="shared" si="169"/>
        <v>34</v>
      </c>
      <c r="K384" s="80">
        <v>18.5</v>
      </c>
      <c r="L384" s="81">
        <f t="shared" si="168"/>
        <v>23.450602035000003</v>
      </c>
      <c r="M384" s="82">
        <f t="shared" si="170"/>
        <v>0</v>
      </c>
      <c r="N384" s="82">
        <f t="shared" si="171"/>
        <v>0</v>
      </c>
      <c r="O384" s="82">
        <f>N384+'BM 005'!O384</f>
        <v>0</v>
      </c>
      <c r="P384" s="80">
        <f t="shared" si="172"/>
        <v>629</v>
      </c>
      <c r="Q384" s="82">
        <f t="shared" si="173"/>
        <v>797.32</v>
      </c>
      <c r="R384" s="82">
        <f t="shared" si="174"/>
        <v>797.32</v>
      </c>
    </row>
    <row r="385" spans="2:18" s="34" customFormat="1" ht="23.4">
      <c r="B385" s="75" t="s">
        <v>762</v>
      </c>
      <c r="C385" s="76" t="s">
        <v>763</v>
      </c>
      <c r="D385" s="77" t="s">
        <v>131</v>
      </c>
      <c r="E385" s="93">
        <v>2</v>
      </c>
      <c r="F385" s="79"/>
      <c r="G385" s="79"/>
      <c r="H385" s="79"/>
      <c r="I385" s="79">
        <f>SUM(G385:H385)+'BM 005'!I385</f>
        <v>0</v>
      </c>
      <c r="J385" s="79">
        <f t="shared" si="169"/>
        <v>2</v>
      </c>
      <c r="K385" s="80">
        <v>24.61</v>
      </c>
      <c r="L385" s="81">
        <f t="shared" si="168"/>
        <v>31.195638707100002</v>
      </c>
      <c r="M385" s="82">
        <f t="shared" si="170"/>
        <v>0</v>
      </c>
      <c r="N385" s="82">
        <f t="shared" si="171"/>
        <v>0</v>
      </c>
      <c r="O385" s="82">
        <f>N385+'BM 005'!O385</f>
        <v>0</v>
      </c>
      <c r="P385" s="80">
        <f t="shared" si="172"/>
        <v>49.22</v>
      </c>
      <c r="Q385" s="82">
        <f t="shared" si="173"/>
        <v>62.39</v>
      </c>
      <c r="R385" s="82">
        <f t="shared" si="174"/>
        <v>62.39</v>
      </c>
    </row>
    <row r="386" spans="2:18" s="34" customFormat="1" ht="34.799999999999997">
      <c r="B386" s="75" t="s">
        <v>764</v>
      </c>
      <c r="C386" s="76" t="s">
        <v>765</v>
      </c>
      <c r="D386" s="77" t="s">
        <v>131</v>
      </c>
      <c r="E386" s="93">
        <v>9</v>
      </c>
      <c r="F386" s="79"/>
      <c r="G386" s="79"/>
      <c r="H386" s="79"/>
      <c r="I386" s="79">
        <f>SUM(G386:H386)+'BM 005'!I386</f>
        <v>0</v>
      </c>
      <c r="J386" s="79">
        <f t="shared" si="169"/>
        <v>9</v>
      </c>
      <c r="K386" s="80">
        <v>26.08</v>
      </c>
      <c r="L386" s="81">
        <f t="shared" si="168"/>
        <v>33.059010868800002</v>
      </c>
      <c r="M386" s="82">
        <f t="shared" si="170"/>
        <v>0</v>
      </c>
      <c r="N386" s="82">
        <f t="shared" si="171"/>
        <v>0</v>
      </c>
      <c r="O386" s="82">
        <f>N386+'BM 005'!O386</f>
        <v>0</v>
      </c>
      <c r="P386" s="80">
        <f t="shared" si="172"/>
        <v>234.71999999999997</v>
      </c>
      <c r="Q386" s="82">
        <f t="shared" si="173"/>
        <v>297.52999999999997</v>
      </c>
      <c r="R386" s="82">
        <f t="shared" si="174"/>
        <v>297.52999999999997</v>
      </c>
    </row>
    <row r="387" spans="2:18" s="34" customFormat="1" ht="23.4">
      <c r="B387" s="75" t="s">
        <v>766</v>
      </c>
      <c r="C387" s="88" t="s">
        <v>767</v>
      </c>
      <c r="D387" s="89" t="s">
        <v>131</v>
      </c>
      <c r="E387" s="90">
        <v>1</v>
      </c>
      <c r="F387" s="91"/>
      <c r="G387" s="91"/>
      <c r="H387" s="91"/>
      <c r="I387" s="91">
        <f>SUM(G387:H387)+'BM 005'!I387</f>
        <v>0</v>
      </c>
      <c r="J387" s="91">
        <f t="shared" si="169"/>
        <v>1</v>
      </c>
      <c r="K387" s="80">
        <v>40</v>
      </c>
      <c r="L387" s="81">
        <f t="shared" si="168"/>
        <v>50.704004400000002</v>
      </c>
      <c r="M387" s="82">
        <f t="shared" si="170"/>
        <v>0</v>
      </c>
      <c r="N387" s="82">
        <f t="shared" si="171"/>
        <v>0</v>
      </c>
      <c r="O387" s="82">
        <f>N387+'BM 005'!O387</f>
        <v>0</v>
      </c>
      <c r="P387" s="80">
        <f t="shared" si="172"/>
        <v>40</v>
      </c>
      <c r="Q387" s="82">
        <f t="shared" si="173"/>
        <v>50.7</v>
      </c>
      <c r="R387" s="82">
        <f t="shared" si="174"/>
        <v>50.7</v>
      </c>
    </row>
    <row r="388" spans="2:18" s="34" customFormat="1" ht="46.2">
      <c r="B388" s="75" t="s">
        <v>768</v>
      </c>
      <c r="C388" s="88" t="s">
        <v>769</v>
      </c>
      <c r="D388" s="89" t="s">
        <v>131</v>
      </c>
      <c r="E388" s="90">
        <v>29</v>
      </c>
      <c r="F388" s="91"/>
      <c r="G388" s="91"/>
      <c r="H388" s="91"/>
      <c r="I388" s="91">
        <f>SUM(G388:H388)+'BM 005'!I388</f>
        <v>0</v>
      </c>
      <c r="J388" s="91">
        <f t="shared" si="169"/>
        <v>29</v>
      </c>
      <c r="K388" s="80">
        <v>17.22</v>
      </c>
      <c r="L388" s="81">
        <f t="shared" si="168"/>
        <v>21.828073894199999</v>
      </c>
      <c r="M388" s="82">
        <f t="shared" si="170"/>
        <v>0</v>
      </c>
      <c r="N388" s="82">
        <f t="shared" si="171"/>
        <v>0</v>
      </c>
      <c r="O388" s="82">
        <f>N388+'BM 005'!O388</f>
        <v>0</v>
      </c>
      <c r="P388" s="80">
        <f t="shared" si="172"/>
        <v>499.38</v>
      </c>
      <c r="Q388" s="82">
        <f t="shared" si="173"/>
        <v>633.01</v>
      </c>
      <c r="R388" s="82">
        <f t="shared" si="174"/>
        <v>633.01</v>
      </c>
    </row>
    <row r="389" spans="2:18" s="34" customFormat="1" ht="23.4">
      <c r="B389" s="75" t="s">
        <v>770</v>
      </c>
      <c r="C389" s="76" t="s">
        <v>771</v>
      </c>
      <c r="D389" s="77" t="s">
        <v>131</v>
      </c>
      <c r="E389" s="93">
        <v>207</v>
      </c>
      <c r="F389" s="79"/>
      <c r="G389" s="79"/>
      <c r="H389" s="79"/>
      <c r="I389" s="79">
        <f>SUM(G389:H389)+'BM 005'!I389</f>
        <v>0</v>
      </c>
      <c r="J389" s="79">
        <f t="shared" si="169"/>
        <v>207</v>
      </c>
      <c r="K389" s="80">
        <v>6.59</v>
      </c>
      <c r="L389" s="81">
        <f t="shared" si="168"/>
        <v>8.3534847248999995</v>
      </c>
      <c r="M389" s="82">
        <f t="shared" si="170"/>
        <v>0</v>
      </c>
      <c r="N389" s="82">
        <f t="shared" si="171"/>
        <v>0</v>
      </c>
      <c r="O389" s="82">
        <f>N389+'BM 005'!O389</f>
        <v>0</v>
      </c>
      <c r="P389" s="80">
        <f t="shared" si="172"/>
        <v>1364.1299999999999</v>
      </c>
      <c r="Q389" s="82">
        <f t="shared" si="173"/>
        <v>1729.17</v>
      </c>
      <c r="R389" s="82">
        <f t="shared" si="174"/>
        <v>1729.17</v>
      </c>
    </row>
    <row r="390" spans="2:18" s="34" customFormat="1" ht="23.4">
      <c r="B390" s="75" t="s">
        <v>772</v>
      </c>
      <c r="C390" s="76" t="s">
        <v>773</v>
      </c>
      <c r="D390" s="77" t="s">
        <v>131</v>
      </c>
      <c r="E390" s="93">
        <v>50</v>
      </c>
      <c r="F390" s="79"/>
      <c r="G390" s="79"/>
      <c r="H390" s="79"/>
      <c r="I390" s="79">
        <f>SUM(G390:H390)+'BM 005'!I390</f>
        <v>0</v>
      </c>
      <c r="J390" s="79">
        <f t="shared" si="169"/>
        <v>50</v>
      </c>
      <c r="K390" s="80">
        <v>22.07</v>
      </c>
      <c r="L390" s="81">
        <f t="shared" si="168"/>
        <v>27.9759344277</v>
      </c>
      <c r="M390" s="82">
        <f t="shared" si="170"/>
        <v>0</v>
      </c>
      <c r="N390" s="82">
        <f t="shared" si="171"/>
        <v>0</v>
      </c>
      <c r="O390" s="82">
        <f>N390+'BM 005'!O390</f>
        <v>0</v>
      </c>
      <c r="P390" s="80">
        <f t="shared" si="172"/>
        <v>1103.5</v>
      </c>
      <c r="Q390" s="82">
        <f t="shared" si="173"/>
        <v>1398.79</v>
      </c>
      <c r="R390" s="82">
        <f t="shared" si="174"/>
        <v>1398.79</v>
      </c>
    </row>
    <row r="391" spans="2:18" s="34" customFormat="1" ht="23.4">
      <c r="B391" s="75" t="s">
        <v>774</v>
      </c>
      <c r="C391" s="76" t="s">
        <v>775</v>
      </c>
      <c r="D391" s="77" t="s">
        <v>131</v>
      </c>
      <c r="E391" s="93">
        <v>1</v>
      </c>
      <c r="F391" s="79"/>
      <c r="G391" s="79"/>
      <c r="H391" s="79"/>
      <c r="I391" s="79">
        <f>SUM(G391:H391)+'BM 005'!I391</f>
        <v>0</v>
      </c>
      <c r="J391" s="79">
        <f t="shared" si="169"/>
        <v>1</v>
      </c>
      <c r="K391" s="80">
        <v>19.649999999999999</v>
      </c>
      <c r="L391" s="81">
        <f t="shared" si="168"/>
        <v>24.908342161499998</v>
      </c>
      <c r="M391" s="82">
        <f t="shared" si="170"/>
        <v>0</v>
      </c>
      <c r="N391" s="82">
        <f t="shared" si="171"/>
        <v>0</v>
      </c>
      <c r="O391" s="82">
        <f>N391+'BM 005'!O391</f>
        <v>0</v>
      </c>
      <c r="P391" s="80">
        <f t="shared" si="172"/>
        <v>19.649999999999999</v>
      </c>
      <c r="Q391" s="82">
        <f t="shared" si="173"/>
        <v>24.9</v>
      </c>
      <c r="R391" s="82">
        <f t="shared" si="174"/>
        <v>24.9</v>
      </c>
    </row>
    <row r="392" spans="2:18" s="34" customFormat="1" ht="23.4">
      <c r="B392" s="75" t="s">
        <v>776</v>
      </c>
      <c r="C392" s="76" t="s">
        <v>777</v>
      </c>
      <c r="D392" s="77" t="s">
        <v>131</v>
      </c>
      <c r="E392" s="93">
        <v>19</v>
      </c>
      <c r="F392" s="79"/>
      <c r="G392" s="79"/>
      <c r="H392" s="79"/>
      <c r="I392" s="79">
        <f>SUM(G392:H392)+'BM 005'!I392</f>
        <v>0</v>
      </c>
      <c r="J392" s="79">
        <f t="shared" si="169"/>
        <v>19</v>
      </c>
      <c r="K392" s="80">
        <v>41.43</v>
      </c>
      <c r="L392" s="81">
        <f t="shared" si="168"/>
        <v>52.516672557300005</v>
      </c>
      <c r="M392" s="82">
        <f t="shared" si="170"/>
        <v>0</v>
      </c>
      <c r="N392" s="82">
        <f t="shared" si="171"/>
        <v>0</v>
      </c>
      <c r="O392" s="82">
        <f>N392+'BM 005'!O392</f>
        <v>0</v>
      </c>
      <c r="P392" s="80">
        <f t="shared" si="172"/>
        <v>787.17</v>
      </c>
      <c r="Q392" s="82">
        <f t="shared" si="173"/>
        <v>997.81</v>
      </c>
      <c r="R392" s="82">
        <f t="shared" si="174"/>
        <v>997.81</v>
      </c>
    </row>
    <row r="393" spans="2:18" s="34" customFormat="1" ht="46.2">
      <c r="B393" s="75" t="s">
        <v>778</v>
      </c>
      <c r="C393" s="76" t="s">
        <v>779</v>
      </c>
      <c r="D393" s="77" t="s">
        <v>131</v>
      </c>
      <c r="E393" s="93">
        <v>12</v>
      </c>
      <c r="F393" s="79"/>
      <c r="G393" s="79"/>
      <c r="H393" s="79"/>
      <c r="I393" s="79">
        <f>SUM(G393:H393)+'BM 005'!I393</f>
        <v>0</v>
      </c>
      <c r="J393" s="79">
        <f t="shared" si="169"/>
        <v>12</v>
      </c>
      <c r="K393" s="80">
        <v>76.31</v>
      </c>
      <c r="L393" s="81">
        <f t="shared" si="168"/>
        <v>96.730564394100014</v>
      </c>
      <c r="M393" s="82">
        <f t="shared" si="170"/>
        <v>0</v>
      </c>
      <c r="N393" s="82">
        <f t="shared" si="171"/>
        <v>0</v>
      </c>
      <c r="O393" s="82">
        <f>N393+'BM 005'!O393</f>
        <v>0</v>
      </c>
      <c r="P393" s="80">
        <f t="shared" si="172"/>
        <v>915.72</v>
      </c>
      <c r="Q393" s="82">
        <f t="shared" si="173"/>
        <v>1160.76</v>
      </c>
      <c r="R393" s="82">
        <f t="shared" si="174"/>
        <v>1160.76</v>
      </c>
    </row>
    <row r="394" spans="2:18" s="34" customFormat="1" ht="34.799999999999997">
      <c r="B394" s="75" t="s">
        <v>780</v>
      </c>
      <c r="C394" s="76" t="s">
        <v>781</v>
      </c>
      <c r="D394" s="77" t="s">
        <v>131</v>
      </c>
      <c r="E394" s="93">
        <v>3</v>
      </c>
      <c r="F394" s="79"/>
      <c r="G394" s="79"/>
      <c r="H394" s="79"/>
      <c r="I394" s="79">
        <f>SUM(G394:H394)+'BM 005'!I394</f>
        <v>0</v>
      </c>
      <c r="J394" s="79">
        <f t="shared" si="169"/>
        <v>3</v>
      </c>
      <c r="K394" s="80">
        <v>72.55</v>
      </c>
      <c r="L394" s="81">
        <f t="shared" si="168"/>
        <v>91.964387980500007</v>
      </c>
      <c r="M394" s="82">
        <f t="shared" si="170"/>
        <v>0</v>
      </c>
      <c r="N394" s="82">
        <f t="shared" si="171"/>
        <v>0</v>
      </c>
      <c r="O394" s="82">
        <f>N394+'BM 005'!O394</f>
        <v>0</v>
      </c>
      <c r="P394" s="80">
        <f t="shared" si="172"/>
        <v>217.64999999999998</v>
      </c>
      <c r="Q394" s="82">
        <f t="shared" si="173"/>
        <v>275.89</v>
      </c>
      <c r="R394" s="82">
        <f t="shared" si="174"/>
        <v>275.89</v>
      </c>
    </row>
    <row r="395" spans="2:18" s="34" customFormat="1" ht="24">
      <c r="B395" s="66" t="s">
        <v>782</v>
      </c>
      <c r="C395" s="67" t="s">
        <v>783</v>
      </c>
      <c r="D395" s="68"/>
      <c r="E395" s="69"/>
      <c r="F395" s="70"/>
      <c r="G395" s="70"/>
      <c r="H395" s="70"/>
      <c r="I395" s="70">
        <f>SUM(G395:H395)+'BM 005'!I395</f>
        <v>0</v>
      </c>
      <c r="J395" s="70">
        <f t="shared" si="169"/>
        <v>0</v>
      </c>
      <c r="K395" s="71"/>
      <c r="L395" s="71">
        <f t="shared" si="168"/>
        <v>0</v>
      </c>
      <c r="M395" s="73">
        <f t="shared" ref="M395:R395" si="175">SUM(M396:M405)</f>
        <v>2814.07</v>
      </c>
      <c r="N395" s="73">
        <f t="shared" si="175"/>
        <v>2814.07</v>
      </c>
      <c r="O395" s="73">
        <f t="shared" si="175"/>
        <v>2814.07</v>
      </c>
      <c r="P395" s="73">
        <f t="shared" si="175"/>
        <v>131062.87509999999</v>
      </c>
      <c r="Q395" s="73">
        <f t="shared" si="175"/>
        <v>166135.25</v>
      </c>
      <c r="R395" s="73">
        <f t="shared" si="175"/>
        <v>163321.18</v>
      </c>
    </row>
    <row r="396" spans="2:18" s="34" customFormat="1" ht="34.799999999999997">
      <c r="B396" s="75" t="s">
        <v>784</v>
      </c>
      <c r="C396" s="76" t="s">
        <v>785</v>
      </c>
      <c r="D396" s="77" t="s">
        <v>82</v>
      </c>
      <c r="E396" s="108">
        <v>867.48</v>
      </c>
      <c r="F396" s="109"/>
      <c r="G396" s="109"/>
      <c r="H396" s="109"/>
      <c r="I396" s="109">
        <f>SUM(G396:H396)+'BM 005'!I396</f>
        <v>0</v>
      </c>
      <c r="J396" s="109">
        <f t="shared" si="169"/>
        <v>867.48</v>
      </c>
      <c r="K396" s="80">
        <v>24.65</v>
      </c>
      <c r="L396" s="81">
        <f t="shared" si="168"/>
        <v>31.246342711499999</v>
      </c>
      <c r="M396" s="82">
        <f t="shared" ref="M396:M405" si="176">TRUNC(F396*L396,2)</f>
        <v>0</v>
      </c>
      <c r="N396" s="82">
        <f t="shared" ref="N396:N405" si="177">TRUNC(G396*L396,2)</f>
        <v>0</v>
      </c>
      <c r="O396" s="82">
        <f>N396+'BM 005'!O396</f>
        <v>0</v>
      </c>
      <c r="P396" s="80">
        <f t="shared" ref="P396:P405" si="178">E396*K396</f>
        <v>21383.381999999998</v>
      </c>
      <c r="Q396" s="82">
        <f t="shared" ref="Q396:Q405" si="179">TRUNC(E396*L396,2)</f>
        <v>27105.57</v>
      </c>
      <c r="R396" s="82">
        <f t="shared" ref="R396:R405" si="180">Q396-O396</f>
        <v>27105.57</v>
      </c>
    </row>
    <row r="397" spans="2:18" s="34" customFormat="1" ht="23.4">
      <c r="B397" s="75" t="s">
        <v>786</v>
      </c>
      <c r="C397" s="76" t="s">
        <v>653</v>
      </c>
      <c r="D397" s="77" t="s">
        <v>82</v>
      </c>
      <c r="E397" s="110">
        <v>18.04</v>
      </c>
      <c r="F397" s="111"/>
      <c r="G397" s="111"/>
      <c r="H397" s="111"/>
      <c r="I397" s="111">
        <f>SUM(G397:H397)+'BM 005'!I397</f>
        <v>0</v>
      </c>
      <c r="J397" s="111">
        <f t="shared" si="169"/>
        <v>18.04</v>
      </c>
      <c r="K397" s="80">
        <v>6.5</v>
      </c>
      <c r="L397" s="81">
        <f t="shared" si="168"/>
        <v>8.2394007150000004</v>
      </c>
      <c r="M397" s="82">
        <f t="shared" si="176"/>
        <v>0</v>
      </c>
      <c r="N397" s="82">
        <f t="shared" si="177"/>
        <v>0</v>
      </c>
      <c r="O397" s="82">
        <f>N397+'BM 005'!O397</f>
        <v>0</v>
      </c>
      <c r="P397" s="80">
        <f t="shared" si="178"/>
        <v>117.25999999999999</v>
      </c>
      <c r="Q397" s="82">
        <f t="shared" si="179"/>
        <v>148.63</v>
      </c>
      <c r="R397" s="82">
        <f t="shared" si="180"/>
        <v>148.63</v>
      </c>
    </row>
    <row r="398" spans="2:18" s="34" customFormat="1" ht="23.4">
      <c r="B398" s="75" t="s">
        <v>787</v>
      </c>
      <c r="C398" s="76" t="s">
        <v>655</v>
      </c>
      <c r="D398" s="77" t="s">
        <v>82</v>
      </c>
      <c r="E398" s="110">
        <v>739.18</v>
      </c>
      <c r="F398" s="111"/>
      <c r="G398" s="111"/>
      <c r="H398" s="111"/>
      <c r="I398" s="111">
        <f>SUM(G398:H398)+'BM 005'!I398</f>
        <v>0</v>
      </c>
      <c r="J398" s="111">
        <f t="shared" si="169"/>
        <v>739.18</v>
      </c>
      <c r="K398" s="80">
        <v>8</v>
      </c>
      <c r="L398" s="81">
        <f t="shared" si="168"/>
        <v>10.14080088</v>
      </c>
      <c r="M398" s="82">
        <f t="shared" si="176"/>
        <v>0</v>
      </c>
      <c r="N398" s="82">
        <f t="shared" si="177"/>
        <v>0</v>
      </c>
      <c r="O398" s="82">
        <f>N398+'BM 005'!O398</f>
        <v>0</v>
      </c>
      <c r="P398" s="80">
        <f t="shared" si="178"/>
        <v>5913.44</v>
      </c>
      <c r="Q398" s="82">
        <f t="shared" si="179"/>
        <v>7495.87</v>
      </c>
      <c r="R398" s="82">
        <f t="shared" si="180"/>
        <v>7495.87</v>
      </c>
    </row>
    <row r="399" spans="2:18" s="34" customFormat="1" ht="23.4">
      <c r="B399" s="75" t="s">
        <v>788</v>
      </c>
      <c r="C399" s="76" t="s">
        <v>659</v>
      </c>
      <c r="D399" s="77" t="s">
        <v>82</v>
      </c>
      <c r="E399" s="112">
        <v>19.510000000000002</v>
      </c>
      <c r="F399" s="113"/>
      <c r="G399" s="113"/>
      <c r="H399" s="113"/>
      <c r="I399" s="113">
        <f>SUM(G399:H399)+'BM 005'!I399</f>
        <v>0</v>
      </c>
      <c r="J399" s="113">
        <f t="shared" si="169"/>
        <v>19.510000000000002</v>
      </c>
      <c r="K399" s="80">
        <v>23.5</v>
      </c>
      <c r="L399" s="81">
        <f t="shared" si="168"/>
        <v>29.788602585</v>
      </c>
      <c r="M399" s="82">
        <f t="shared" si="176"/>
        <v>0</v>
      </c>
      <c r="N399" s="82">
        <f t="shared" si="177"/>
        <v>0</v>
      </c>
      <c r="O399" s="82">
        <f>N399+'BM 005'!O399</f>
        <v>0</v>
      </c>
      <c r="P399" s="80">
        <f t="shared" si="178"/>
        <v>458.48500000000001</v>
      </c>
      <c r="Q399" s="82">
        <f t="shared" si="179"/>
        <v>581.16999999999996</v>
      </c>
      <c r="R399" s="82">
        <f t="shared" si="180"/>
        <v>581.16999999999996</v>
      </c>
    </row>
    <row r="400" spans="2:18" s="34" customFormat="1" ht="34.799999999999997">
      <c r="B400" s="75" t="s">
        <v>789</v>
      </c>
      <c r="C400" s="76" t="s">
        <v>790</v>
      </c>
      <c r="D400" s="77" t="s">
        <v>82</v>
      </c>
      <c r="E400" s="108">
        <v>609.66</v>
      </c>
      <c r="F400" s="109"/>
      <c r="G400" s="109"/>
      <c r="H400" s="109"/>
      <c r="I400" s="109">
        <f>SUM(G400:H400)+'BM 005'!I400</f>
        <v>0</v>
      </c>
      <c r="J400" s="109">
        <f t="shared" si="169"/>
        <v>609.66</v>
      </c>
      <c r="K400" s="80">
        <v>27.5</v>
      </c>
      <c r="L400" s="81">
        <f t="shared" si="168"/>
        <v>34.859003025</v>
      </c>
      <c r="M400" s="82">
        <f t="shared" si="176"/>
        <v>0</v>
      </c>
      <c r="N400" s="82">
        <f t="shared" si="177"/>
        <v>0</v>
      </c>
      <c r="O400" s="82">
        <f>N400+'BM 005'!O400</f>
        <v>0</v>
      </c>
      <c r="P400" s="80">
        <f t="shared" si="178"/>
        <v>16765.649999999998</v>
      </c>
      <c r="Q400" s="82">
        <f t="shared" si="179"/>
        <v>21252.13</v>
      </c>
      <c r="R400" s="82">
        <f t="shared" si="180"/>
        <v>21252.13</v>
      </c>
    </row>
    <row r="401" spans="2:18" s="34" customFormat="1" ht="34.799999999999997">
      <c r="B401" s="75" t="s">
        <v>791</v>
      </c>
      <c r="C401" s="76" t="s">
        <v>792</v>
      </c>
      <c r="D401" s="77" t="s">
        <v>82</v>
      </c>
      <c r="E401" s="114">
        <v>307.39999999999998</v>
      </c>
      <c r="F401" s="82">
        <f>'M.C. MED. 06'!K1132</f>
        <v>30</v>
      </c>
      <c r="G401" s="82">
        <f>F401</f>
        <v>30</v>
      </c>
      <c r="H401" s="82"/>
      <c r="I401" s="82">
        <f>SUM(G401:H401)+'BM 005'!I401</f>
        <v>30</v>
      </c>
      <c r="J401" s="82">
        <f t="shared" si="169"/>
        <v>277.39999999999998</v>
      </c>
      <c r="K401" s="80">
        <v>74</v>
      </c>
      <c r="L401" s="81">
        <f t="shared" si="168"/>
        <v>93.802408140000011</v>
      </c>
      <c r="M401" s="82">
        <f t="shared" si="176"/>
        <v>2814.07</v>
      </c>
      <c r="N401" s="82">
        <f t="shared" si="177"/>
        <v>2814.07</v>
      </c>
      <c r="O401" s="82">
        <f>N401+'BM 005'!O401</f>
        <v>2814.07</v>
      </c>
      <c r="P401" s="80">
        <f t="shared" si="178"/>
        <v>22747.599999999999</v>
      </c>
      <c r="Q401" s="82">
        <f t="shared" si="179"/>
        <v>28834.86</v>
      </c>
      <c r="R401" s="82">
        <f t="shared" si="180"/>
        <v>26020.79</v>
      </c>
    </row>
    <row r="402" spans="2:18" s="34" customFormat="1" ht="34.799999999999997">
      <c r="B402" s="75" t="s">
        <v>793</v>
      </c>
      <c r="C402" s="76" t="s">
        <v>794</v>
      </c>
      <c r="D402" s="77" t="s">
        <v>82</v>
      </c>
      <c r="E402" s="114">
        <v>340.33</v>
      </c>
      <c r="F402" s="82"/>
      <c r="G402" s="82"/>
      <c r="H402" s="82"/>
      <c r="I402" s="82">
        <f>SUM(G402:H402)+'BM 005'!I402</f>
        <v>0</v>
      </c>
      <c r="J402" s="82">
        <f t="shared" si="169"/>
        <v>340.33</v>
      </c>
      <c r="K402" s="80">
        <v>34.57</v>
      </c>
      <c r="L402" s="81">
        <f t="shared" si="168"/>
        <v>43.820935802699999</v>
      </c>
      <c r="M402" s="82">
        <f t="shared" si="176"/>
        <v>0</v>
      </c>
      <c r="N402" s="82">
        <f t="shared" si="177"/>
        <v>0</v>
      </c>
      <c r="O402" s="82">
        <f>N402+'BM 005'!O402</f>
        <v>0</v>
      </c>
      <c r="P402" s="80">
        <f t="shared" si="178"/>
        <v>11765.2081</v>
      </c>
      <c r="Q402" s="82">
        <f t="shared" si="179"/>
        <v>14913.57</v>
      </c>
      <c r="R402" s="82">
        <f t="shared" si="180"/>
        <v>14913.57</v>
      </c>
    </row>
    <row r="403" spans="2:18" s="34" customFormat="1" ht="23.4">
      <c r="B403" s="75" t="s">
        <v>795</v>
      </c>
      <c r="C403" s="76" t="s">
        <v>796</v>
      </c>
      <c r="D403" s="77" t="s">
        <v>82</v>
      </c>
      <c r="E403" s="114">
        <v>52.07</v>
      </c>
      <c r="F403" s="82"/>
      <c r="G403" s="82"/>
      <c r="H403" s="82"/>
      <c r="I403" s="82">
        <f>SUM(G403:H403)+'BM 005'!I403</f>
        <v>0</v>
      </c>
      <c r="J403" s="82">
        <f t="shared" si="169"/>
        <v>52.07</v>
      </c>
      <c r="K403" s="80">
        <v>165</v>
      </c>
      <c r="L403" s="81">
        <f t="shared" si="168"/>
        <v>209.15401815000001</v>
      </c>
      <c r="M403" s="82">
        <f t="shared" si="176"/>
        <v>0</v>
      </c>
      <c r="N403" s="82">
        <f t="shared" si="177"/>
        <v>0</v>
      </c>
      <c r="O403" s="82">
        <f>N403+'BM 005'!O403</f>
        <v>0</v>
      </c>
      <c r="P403" s="80">
        <f t="shared" si="178"/>
        <v>8591.5499999999993</v>
      </c>
      <c r="Q403" s="82">
        <f t="shared" si="179"/>
        <v>10890.64</v>
      </c>
      <c r="R403" s="82">
        <f t="shared" si="180"/>
        <v>10890.64</v>
      </c>
    </row>
    <row r="404" spans="2:18" s="34" customFormat="1" ht="23.4">
      <c r="B404" s="75" t="s">
        <v>797</v>
      </c>
      <c r="C404" s="76" t="s">
        <v>796</v>
      </c>
      <c r="D404" s="77" t="s">
        <v>82</v>
      </c>
      <c r="E404" s="114">
        <v>3.02</v>
      </c>
      <c r="F404" s="82"/>
      <c r="G404" s="82"/>
      <c r="H404" s="82"/>
      <c r="I404" s="82">
        <f>SUM(G404:H404)+'BM 005'!I404</f>
        <v>0</v>
      </c>
      <c r="J404" s="82">
        <f t="shared" si="169"/>
        <v>3.02</v>
      </c>
      <c r="K404" s="80">
        <v>165</v>
      </c>
      <c r="L404" s="81">
        <f t="shared" si="168"/>
        <v>209.15401815000001</v>
      </c>
      <c r="M404" s="82">
        <f t="shared" si="176"/>
        <v>0</v>
      </c>
      <c r="N404" s="82">
        <f t="shared" si="177"/>
        <v>0</v>
      </c>
      <c r="O404" s="82">
        <f>N404+'BM 005'!O404</f>
        <v>0</v>
      </c>
      <c r="P404" s="80">
        <f t="shared" si="178"/>
        <v>498.3</v>
      </c>
      <c r="Q404" s="82">
        <f t="shared" si="179"/>
        <v>631.64</v>
      </c>
      <c r="R404" s="82">
        <f t="shared" si="180"/>
        <v>631.64</v>
      </c>
    </row>
    <row r="405" spans="2:18" s="34" customFormat="1" ht="23.4">
      <c r="B405" s="75" t="s">
        <v>798</v>
      </c>
      <c r="C405" s="76" t="s">
        <v>799</v>
      </c>
      <c r="D405" s="77" t="s">
        <v>82</v>
      </c>
      <c r="E405" s="114">
        <v>658.8</v>
      </c>
      <c r="F405" s="82"/>
      <c r="G405" s="82"/>
      <c r="H405" s="82"/>
      <c r="I405" s="82">
        <f>SUM(G405:H405)+'BM 005'!I405</f>
        <v>0</v>
      </c>
      <c r="J405" s="82">
        <f t="shared" si="169"/>
        <v>658.8</v>
      </c>
      <c r="K405" s="80">
        <v>65</v>
      </c>
      <c r="L405" s="81">
        <f t="shared" si="168"/>
        <v>82.394007150000007</v>
      </c>
      <c r="M405" s="82">
        <f t="shared" si="176"/>
        <v>0</v>
      </c>
      <c r="N405" s="82">
        <f t="shared" si="177"/>
        <v>0</v>
      </c>
      <c r="O405" s="82">
        <f>N405+'BM 005'!O405</f>
        <v>0</v>
      </c>
      <c r="P405" s="80">
        <f t="shared" si="178"/>
        <v>42822</v>
      </c>
      <c r="Q405" s="82">
        <f t="shared" si="179"/>
        <v>54281.17</v>
      </c>
      <c r="R405" s="82">
        <f t="shared" si="180"/>
        <v>54281.17</v>
      </c>
    </row>
    <row r="406" spans="2:18" s="34" customFormat="1" ht="36">
      <c r="B406" s="66" t="s">
        <v>800</v>
      </c>
      <c r="C406" s="115" t="s">
        <v>801</v>
      </c>
      <c r="D406" s="116"/>
      <c r="E406" s="117"/>
      <c r="F406" s="118"/>
      <c r="G406" s="118"/>
      <c r="H406" s="118"/>
      <c r="I406" s="118">
        <f>SUM(G406:H406)+'BM 005'!I406</f>
        <v>0</v>
      </c>
      <c r="J406" s="118">
        <f t="shared" si="169"/>
        <v>0</v>
      </c>
      <c r="K406" s="119"/>
      <c r="L406" s="119">
        <f t="shared" si="168"/>
        <v>0</v>
      </c>
      <c r="M406" s="73">
        <f t="shared" ref="M406:R406" si="181">SUM(M407:M473)</f>
        <v>0</v>
      </c>
      <c r="N406" s="73">
        <f t="shared" si="181"/>
        <v>0</v>
      </c>
      <c r="O406" s="73">
        <f t="shared" si="181"/>
        <v>0</v>
      </c>
      <c r="P406" s="73">
        <f t="shared" si="181"/>
        <v>84729.980000000025</v>
      </c>
      <c r="Q406" s="73">
        <f t="shared" si="181"/>
        <v>107403.37000000007</v>
      </c>
      <c r="R406" s="73">
        <f t="shared" si="181"/>
        <v>107403.37000000007</v>
      </c>
    </row>
    <row r="407" spans="2:18" s="34" customFormat="1" ht="46.2">
      <c r="B407" s="75" t="s">
        <v>802</v>
      </c>
      <c r="C407" s="76" t="s">
        <v>803</v>
      </c>
      <c r="D407" s="77" t="s">
        <v>131</v>
      </c>
      <c r="E407" s="93">
        <v>209</v>
      </c>
      <c r="F407" s="79"/>
      <c r="G407" s="79"/>
      <c r="H407" s="79"/>
      <c r="I407" s="79">
        <f>SUM(G407:H407)+'BM 005'!I407</f>
        <v>0</v>
      </c>
      <c r="J407" s="79">
        <f t="shared" si="169"/>
        <v>209</v>
      </c>
      <c r="K407" s="80">
        <v>15.61</v>
      </c>
      <c r="L407" s="81">
        <f t="shared" si="168"/>
        <v>19.787237717100002</v>
      </c>
      <c r="M407" s="82">
        <f t="shared" ref="M407:M438" si="182">TRUNC(F407*L407,2)</f>
        <v>0</v>
      </c>
      <c r="N407" s="82">
        <f t="shared" ref="N407:N438" si="183">TRUNC(G407*L407,2)</f>
        <v>0</v>
      </c>
      <c r="O407" s="82">
        <f>N407+'BM 005'!O407</f>
        <v>0</v>
      </c>
      <c r="P407" s="80">
        <f t="shared" ref="P407:P438" si="184">E407*K407</f>
        <v>3262.49</v>
      </c>
      <c r="Q407" s="82">
        <f t="shared" ref="Q407:Q438" si="185">TRUNC(E407*L407,2)</f>
        <v>4135.53</v>
      </c>
      <c r="R407" s="82">
        <f t="shared" ref="R407:R438" si="186">Q407-O407</f>
        <v>4135.53</v>
      </c>
    </row>
    <row r="408" spans="2:18" s="34" customFormat="1" ht="46.2">
      <c r="B408" s="75" t="s">
        <v>804</v>
      </c>
      <c r="C408" s="76" t="s">
        <v>805</v>
      </c>
      <c r="D408" s="77" t="s">
        <v>131</v>
      </c>
      <c r="E408" s="93">
        <v>127</v>
      </c>
      <c r="F408" s="79"/>
      <c r="G408" s="79"/>
      <c r="H408" s="79"/>
      <c r="I408" s="79">
        <f>SUM(G408:H408)+'BM 005'!I408</f>
        <v>0</v>
      </c>
      <c r="J408" s="79">
        <f t="shared" si="169"/>
        <v>127</v>
      </c>
      <c r="K408" s="80">
        <v>13.73</v>
      </c>
      <c r="L408" s="81">
        <f t="shared" si="168"/>
        <v>17.404149510300002</v>
      </c>
      <c r="M408" s="82">
        <f t="shared" si="182"/>
        <v>0</v>
      </c>
      <c r="N408" s="82">
        <f t="shared" si="183"/>
        <v>0</v>
      </c>
      <c r="O408" s="82">
        <f>N408+'BM 005'!O408</f>
        <v>0</v>
      </c>
      <c r="P408" s="80">
        <f t="shared" si="184"/>
        <v>1743.71</v>
      </c>
      <c r="Q408" s="82">
        <f t="shared" si="185"/>
        <v>2210.3200000000002</v>
      </c>
      <c r="R408" s="82">
        <f t="shared" si="186"/>
        <v>2210.3200000000002</v>
      </c>
    </row>
    <row r="409" spans="2:18" s="34" customFormat="1" ht="34.799999999999997">
      <c r="B409" s="75" t="s">
        <v>806</v>
      </c>
      <c r="C409" s="76" t="s">
        <v>807</v>
      </c>
      <c r="D409" s="77" t="s">
        <v>131</v>
      </c>
      <c r="E409" s="93">
        <v>286</v>
      </c>
      <c r="F409" s="79"/>
      <c r="G409" s="79"/>
      <c r="H409" s="79"/>
      <c r="I409" s="79">
        <f>SUM(G409:H409)+'BM 005'!I409</f>
        <v>0</v>
      </c>
      <c r="J409" s="79">
        <f t="shared" si="169"/>
        <v>286</v>
      </c>
      <c r="K409" s="80">
        <v>46.17</v>
      </c>
      <c r="L409" s="81">
        <f t="shared" si="168"/>
        <v>58.525097078700007</v>
      </c>
      <c r="M409" s="82">
        <f t="shared" si="182"/>
        <v>0</v>
      </c>
      <c r="N409" s="82">
        <f t="shared" si="183"/>
        <v>0</v>
      </c>
      <c r="O409" s="82">
        <f>N409+'BM 005'!O409</f>
        <v>0</v>
      </c>
      <c r="P409" s="80">
        <f t="shared" si="184"/>
        <v>13204.62</v>
      </c>
      <c r="Q409" s="82">
        <f t="shared" si="185"/>
        <v>16738.169999999998</v>
      </c>
      <c r="R409" s="82">
        <f t="shared" si="186"/>
        <v>16738.169999999998</v>
      </c>
    </row>
    <row r="410" spans="2:18" s="34" customFormat="1" ht="34.799999999999997">
      <c r="B410" s="75" t="s">
        <v>808</v>
      </c>
      <c r="C410" s="76" t="s">
        <v>809</v>
      </c>
      <c r="D410" s="77" t="s">
        <v>131</v>
      </c>
      <c r="E410" s="93">
        <v>2</v>
      </c>
      <c r="F410" s="79"/>
      <c r="G410" s="79"/>
      <c r="H410" s="79"/>
      <c r="I410" s="79">
        <f>SUM(G410:H410)+'BM 005'!I410</f>
        <v>0</v>
      </c>
      <c r="J410" s="79">
        <f t="shared" si="169"/>
        <v>2</v>
      </c>
      <c r="K410" s="80">
        <v>95</v>
      </c>
      <c r="L410" s="81">
        <f t="shared" si="168"/>
        <v>120.42201045</v>
      </c>
      <c r="M410" s="82">
        <f t="shared" si="182"/>
        <v>0</v>
      </c>
      <c r="N410" s="82">
        <f t="shared" si="183"/>
        <v>0</v>
      </c>
      <c r="O410" s="82">
        <f>N410+'BM 005'!O410</f>
        <v>0</v>
      </c>
      <c r="P410" s="80">
        <f t="shared" si="184"/>
        <v>190</v>
      </c>
      <c r="Q410" s="82">
        <f t="shared" si="185"/>
        <v>240.84</v>
      </c>
      <c r="R410" s="82">
        <f t="shared" si="186"/>
        <v>240.84</v>
      </c>
    </row>
    <row r="411" spans="2:18" s="34" customFormat="1" ht="34.799999999999997">
      <c r="B411" s="75" t="s">
        <v>810</v>
      </c>
      <c r="C411" s="76" t="s">
        <v>811</v>
      </c>
      <c r="D411" s="77" t="s">
        <v>131</v>
      </c>
      <c r="E411" s="93">
        <v>4</v>
      </c>
      <c r="F411" s="79"/>
      <c r="G411" s="79"/>
      <c r="H411" s="79"/>
      <c r="I411" s="79">
        <f>SUM(G411:H411)+'BM 005'!I411</f>
        <v>0</v>
      </c>
      <c r="J411" s="79">
        <f t="shared" si="169"/>
        <v>4</v>
      </c>
      <c r="K411" s="80">
        <v>240</v>
      </c>
      <c r="L411" s="81">
        <f t="shared" si="168"/>
        <v>304.22402640000001</v>
      </c>
      <c r="M411" s="82">
        <f t="shared" si="182"/>
        <v>0</v>
      </c>
      <c r="N411" s="82">
        <f t="shared" si="183"/>
        <v>0</v>
      </c>
      <c r="O411" s="82">
        <f>N411+'BM 005'!O411</f>
        <v>0</v>
      </c>
      <c r="P411" s="80">
        <f t="shared" si="184"/>
        <v>960</v>
      </c>
      <c r="Q411" s="82">
        <f t="shared" si="185"/>
        <v>1216.8900000000001</v>
      </c>
      <c r="R411" s="82">
        <f t="shared" si="186"/>
        <v>1216.8900000000001</v>
      </c>
    </row>
    <row r="412" spans="2:18" s="34" customFormat="1" ht="46.2">
      <c r="B412" s="75" t="s">
        <v>812</v>
      </c>
      <c r="C412" s="76" t="s">
        <v>813</v>
      </c>
      <c r="D412" s="77" t="s">
        <v>131</v>
      </c>
      <c r="E412" s="93">
        <v>412</v>
      </c>
      <c r="F412" s="79"/>
      <c r="G412" s="79"/>
      <c r="H412" s="79"/>
      <c r="I412" s="79">
        <f>SUM(G412:H412)+'BM 005'!I412</f>
        <v>0</v>
      </c>
      <c r="J412" s="79">
        <f t="shared" si="169"/>
        <v>412</v>
      </c>
      <c r="K412" s="80">
        <v>8.31</v>
      </c>
      <c r="L412" s="81">
        <f t="shared" si="168"/>
        <v>10.533756914100001</v>
      </c>
      <c r="M412" s="82">
        <f t="shared" si="182"/>
        <v>0</v>
      </c>
      <c r="N412" s="82">
        <f t="shared" si="183"/>
        <v>0</v>
      </c>
      <c r="O412" s="82">
        <f>N412+'BM 005'!O412</f>
        <v>0</v>
      </c>
      <c r="P412" s="80">
        <f t="shared" si="184"/>
        <v>3423.7200000000003</v>
      </c>
      <c r="Q412" s="82">
        <f t="shared" si="185"/>
        <v>4339.8999999999996</v>
      </c>
      <c r="R412" s="82">
        <f t="shared" si="186"/>
        <v>4339.8999999999996</v>
      </c>
    </row>
    <row r="413" spans="2:18" s="34" customFormat="1" ht="34.799999999999997">
      <c r="B413" s="75" t="s">
        <v>814</v>
      </c>
      <c r="C413" s="76" t="s">
        <v>815</v>
      </c>
      <c r="D413" s="77" t="s">
        <v>131</v>
      </c>
      <c r="E413" s="93">
        <v>2</v>
      </c>
      <c r="F413" s="79"/>
      <c r="G413" s="79"/>
      <c r="H413" s="79"/>
      <c r="I413" s="79">
        <f>SUM(G413:H413)+'BM 005'!I413</f>
        <v>0</v>
      </c>
      <c r="J413" s="79">
        <f t="shared" si="169"/>
        <v>2</v>
      </c>
      <c r="K413" s="80">
        <v>29</v>
      </c>
      <c r="L413" s="81">
        <f t="shared" ref="L413:L476" si="187">K413*(1+$T$26)</f>
        <v>36.760403190000005</v>
      </c>
      <c r="M413" s="82">
        <f t="shared" si="182"/>
        <v>0</v>
      </c>
      <c r="N413" s="82">
        <f t="shared" si="183"/>
        <v>0</v>
      </c>
      <c r="O413" s="82">
        <f>N413+'BM 005'!O413</f>
        <v>0</v>
      </c>
      <c r="P413" s="80">
        <f t="shared" si="184"/>
        <v>58</v>
      </c>
      <c r="Q413" s="82">
        <f t="shared" si="185"/>
        <v>73.52</v>
      </c>
      <c r="R413" s="82">
        <f t="shared" si="186"/>
        <v>73.52</v>
      </c>
    </row>
    <row r="414" spans="2:18" s="34" customFormat="1" ht="46.2">
      <c r="B414" s="75" t="s">
        <v>816</v>
      </c>
      <c r="C414" s="76" t="s">
        <v>817</v>
      </c>
      <c r="D414" s="77" t="s">
        <v>131</v>
      </c>
      <c r="E414" s="93">
        <v>115</v>
      </c>
      <c r="F414" s="79"/>
      <c r="G414" s="79"/>
      <c r="H414" s="79"/>
      <c r="I414" s="79">
        <f>SUM(G414:H414)+'BM 005'!I414</f>
        <v>0</v>
      </c>
      <c r="J414" s="79">
        <f t="shared" si="169"/>
        <v>115</v>
      </c>
      <c r="K414" s="80">
        <v>9.2899999999999991</v>
      </c>
      <c r="L414" s="81">
        <f t="shared" si="187"/>
        <v>11.7760050219</v>
      </c>
      <c r="M414" s="82">
        <f t="shared" si="182"/>
        <v>0</v>
      </c>
      <c r="N414" s="82">
        <f t="shared" si="183"/>
        <v>0</v>
      </c>
      <c r="O414" s="82">
        <f>N414+'BM 005'!O414</f>
        <v>0</v>
      </c>
      <c r="P414" s="80">
        <f t="shared" si="184"/>
        <v>1068.3499999999999</v>
      </c>
      <c r="Q414" s="82">
        <f t="shared" si="185"/>
        <v>1354.24</v>
      </c>
      <c r="R414" s="82">
        <f t="shared" si="186"/>
        <v>1354.24</v>
      </c>
    </row>
    <row r="415" spans="2:18" s="34" customFormat="1" ht="46.2">
      <c r="B415" s="75" t="s">
        <v>818</v>
      </c>
      <c r="C415" s="76" t="s">
        <v>819</v>
      </c>
      <c r="D415" s="77" t="s">
        <v>131</v>
      </c>
      <c r="E415" s="93">
        <v>158</v>
      </c>
      <c r="F415" s="79"/>
      <c r="G415" s="79"/>
      <c r="H415" s="79"/>
      <c r="I415" s="79">
        <f>SUM(G415:H415)+'BM 005'!I415</f>
        <v>0</v>
      </c>
      <c r="J415" s="79">
        <f t="shared" ref="J415:J478" si="188">E415-I415</f>
        <v>158</v>
      </c>
      <c r="K415" s="80">
        <v>14.75</v>
      </c>
      <c r="L415" s="81">
        <f t="shared" si="187"/>
        <v>18.6971016225</v>
      </c>
      <c r="M415" s="82">
        <f t="shared" si="182"/>
        <v>0</v>
      </c>
      <c r="N415" s="82">
        <f t="shared" si="183"/>
        <v>0</v>
      </c>
      <c r="O415" s="82">
        <f>N415+'BM 005'!O415</f>
        <v>0</v>
      </c>
      <c r="P415" s="80">
        <f t="shared" si="184"/>
        <v>2330.5</v>
      </c>
      <c r="Q415" s="82">
        <f t="shared" si="185"/>
        <v>2954.14</v>
      </c>
      <c r="R415" s="82">
        <f t="shared" si="186"/>
        <v>2954.14</v>
      </c>
    </row>
    <row r="416" spans="2:18" s="34" customFormat="1" ht="46.2">
      <c r="B416" s="75" t="s">
        <v>820</v>
      </c>
      <c r="C416" s="76" t="s">
        <v>821</v>
      </c>
      <c r="D416" s="77" t="s">
        <v>131</v>
      </c>
      <c r="E416" s="93">
        <v>28</v>
      </c>
      <c r="F416" s="79"/>
      <c r="G416" s="79"/>
      <c r="H416" s="79"/>
      <c r="I416" s="79">
        <f>SUM(G416:H416)+'BM 005'!I416</f>
        <v>0</v>
      </c>
      <c r="J416" s="79">
        <f t="shared" si="188"/>
        <v>28</v>
      </c>
      <c r="K416" s="80">
        <v>29.5</v>
      </c>
      <c r="L416" s="81">
        <f t="shared" si="187"/>
        <v>37.394203245</v>
      </c>
      <c r="M416" s="82">
        <f t="shared" si="182"/>
        <v>0</v>
      </c>
      <c r="N416" s="82">
        <f t="shared" si="183"/>
        <v>0</v>
      </c>
      <c r="O416" s="82">
        <f>N416+'BM 005'!O416</f>
        <v>0</v>
      </c>
      <c r="P416" s="80">
        <f t="shared" si="184"/>
        <v>826</v>
      </c>
      <c r="Q416" s="82">
        <f t="shared" si="185"/>
        <v>1047.03</v>
      </c>
      <c r="R416" s="82">
        <f t="shared" si="186"/>
        <v>1047.03</v>
      </c>
    </row>
    <row r="417" spans="2:18" s="34" customFormat="1" ht="22.5" customHeight="1">
      <c r="B417" s="75" t="s">
        <v>822</v>
      </c>
      <c r="C417" s="76" t="s">
        <v>823</v>
      </c>
      <c r="D417" s="77" t="s">
        <v>131</v>
      </c>
      <c r="E417" s="93">
        <v>37</v>
      </c>
      <c r="F417" s="79"/>
      <c r="G417" s="79"/>
      <c r="H417" s="79"/>
      <c r="I417" s="79">
        <f>SUM(G417:H417)+'BM 005'!I417</f>
        <v>0</v>
      </c>
      <c r="J417" s="79">
        <f t="shared" si="188"/>
        <v>37</v>
      </c>
      <c r="K417" s="80">
        <v>34.119999999999997</v>
      </c>
      <c r="L417" s="81">
        <f t="shared" si="187"/>
        <v>43.250515753199998</v>
      </c>
      <c r="M417" s="82">
        <f t="shared" si="182"/>
        <v>0</v>
      </c>
      <c r="N417" s="82">
        <f t="shared" si="183"/>
        <v>0</v>
      </c>
      <c r="O417" s="82">
        <f>N417+'BM 005'!O417</f>
        <v>0</v>
      </c>
      <c r="P417" s="80">
        <f t="shared" si="184"/>
        <v>1262.4399999999998</v>
      </c>
      <c r="Q417" s="82">
        <f t="shared" si="185"/>
        <v>1600.26</v>
      </c>
      <c r="R417" s="82">
        <f t="shared" si="186"/>
        <v>1600.26</v>
      </c>
    </row>
    <row r="418" spans="2:18" s="34" customFormat="1" ht="34.799999999999997">
      <c r="B418" s="75" t="s">
        <v>824</v>
      </c>
      <c r="C418" s="76" t="s">
        <v>825</v>
      </c>
      <c r="D418" s="77" t="s">
        <v>131</v>
      </c>
      <c r="E418" s="93">
        <v>77</v>
      </c>
      <c r="F418" s="79"/>
      <c r="G418" s="79"/>
      <c r="H418" s="79"/>
      <c r="I418" s="79">
        <f>SUM(G418:H418)+'BM 005'!I418</f>
        <v>0</v>
      </c>
      <c r="J418" s="79">
        <f t="shared" si="188"/>
        <v>77</v>
      </c>
      <c r="K418" s="80">
        <v>42</v>
      </c>
      <c r="L418" s="81">
        <f t="shared" si="187"/>
        <v>53.239204620000002</v>
      </c>
      <c r="M418" s="82">
        <f t="shared" si="182"/>
        <v>0</v>
      </c>
      <c r="N418" s="82">
        <f t="shared" si="183"/>
        <v>0</v>
      </c>
      <c r="O418" s="82">
        <f>N418+'BM 005'!O418</f>
        <v>0</v>
      </c>
      <c r="P418" s="80">
        <f t="shared" si="184"/>
        <v>3234</v>
      </c>
      <c r="Q418" s="82">
        <f t="shared" si="185"/>
        <v>4099.41</v>
      </c>
      <c r="R418" s="82">
        <f t="shared" si="186"/>
        <v>4099.41</v>
      </c>
    </row>
    <row r="419" spans="2:18" s="34" customFormat="1" ht="34.799999999999997">
      <c r="B419" s="75" t="s">
        <v>826</v>
      </c>
      <c r="C419" s="76" t="s">
        <v>827</v>
      </c>
      <c r="D419" s="77" t="s">
        <v>131</v>
      </c>
      <c r="E419" s="93">
        <v>1</v>
      </c>
      <c r="F419" s="79"/>
      <c r="G419" s="79"/>
      <c r="H419" s="79"/>
      <c r="I419" s="79">
        <f>SUM(G419:H419)+'BM 005'!I419</f>
        <v>0</v>
      </c>
      <c r="J419" s="79">
        <f t="shared" si="188"/>
        <v>1</v>
      </c>
      <c r="K419" s="80">
        <v>88</v>
      </c>
      <c r="L419" s="81">
        <f t="shared" si="187"/>
        <v>111.54880968000001</v>
      </c>
      <c r="M419" s="82">
        <f t="shared" si="182"/>
        <v>0</v>
      </c>
      <c r="N419" s="82">
        <f t="shared" si="183"/>
        <v>0</v>
      </c>
      <c r="O419" s="82">
        <f>N419+'BM 005'!O419</f>
        <v>0</v>
      </c>
      <c r="P419" s="80">
        <f t="shared" si="184"/>
        <v>88</v>
      </c>
      <c r="Q419" s="82">
        <f t="shared" si="185"/>
        <v>111.54</v>
      </c>
      <c r="R419" s="82">
        <f t="shared" si="186"/>
        <v>111.54</v>
      </c>
    </row>
    <row r="420" spans="2:18" s="34" customFormat="1" ht="34.799999999999997">
      <c r="B420" s="75" t="s">
        <v>828</v>
      </c>
      <c r="C420" s="76" t="s">
        <v>829</v>
      </c>
      <c r="D420" s="77" t="s">
        <v>131</v>
      </c>
      <c r="E420" s="93">
        <v>4</v>
      </c>
      <c r="F420" s="79"/>
      <c r="G420" s="79"/>
      <c r="H420" s="79"/>
      <c r="I420" s="79">
        <f>SUM(G420:H420)+'BM 005'!I420</f>
        <v>0</v>
      </c>
      <c r="J420" s="79">
        <f t="shared" si="188"/>
        <v>4</v>
      </c>
      <c r="K420" s="80">
        <v>235</v>
      </c>
      <c r="L420" s="81">
        <f t="shared" si="187"/>
        <v>297.88602585000001</v>
      </c>
      <c r="M420" s="82">
        <f t="shared" si="182"/>
        <v>0</v>
      </c>
      <c r="N420" s="82">
        <f t="shared" si="183"/>
        <v>0</v>
      </c>
      <c r="O420" s="82">
        <f>N420+'BM 005'!O420</f>
        <v>0</v>
      </c>
      <c r="P420" s="80">
        <f t="shared" si="184"/>
        <v>940</v>
      </c>
      <c r="Q420" s="82">
        <f t="shared" si="185"/>
        <v>1191.54</v>
      </c>
      <c r="R420" s="82">
        <f t="shared" si="186"/>
        <v>1191.54</v>
      </c>
    </row>
    <row r="421" spans="2:18" s="34" customFormat="1" ht="57.6">
      <c r="B421" s="75" t="s">
        <v>830</v>
      </c>
      <c r="C421" s="76" t="s">
        <v>831</v>
      </c>
      <c r="D421" s="77" t="s">
        <v>131</v>
      </c>
      <c r="E421" s="93">
        <v>326</v>
      </c>
      <c r="F421" s="79"/>
      <c r="G421" s="79"/>
      <c r="H421" s="79"/>
      <c r="I421" s="79">
        <f>SUM(G421:H421)+'BM 005'!I421</f>
        <v>0</v>
      </c>
      <c r="J421" s="79">
        <f t="shared" si="188"/>
        <v>326</v>
      </c>
      <c r="K421" s="80">
        <v>9.08</v>
      </c>
      <c r="L421" s="81">
        <f t="shared" si="187"/>
        <v>11.509808998800001</v>
      </c>
      <c r="M421" s="82">
        <f t="shared" si="182"/>
        <v>0</v>
      </c>
      <c r="N421" s="82">
        <f t="shared" si="183"/>
        <v>0</v>
      </c>
      <c r="O421" s="82">
        <f>N421+'BM 005'!O421</f>
        <v>0</v>
      </c>
      <c r="P421" s="80">
        <f t="shared" si="184"/>
        <v>2960.08</v>
      </c>
      <c r="Q421" s="82">
        <f t="shared" si="185"/>
        <v>3752.19</v>
      </c>
      <c r="R421" s="82">
        <f t="shared" si="186"/>
        <v>3752.19</v>
      </c>
    </row>
    <row r="422" spans="2:18" s="34" customFormat="1" ht="46.2">
      <c r="B422" s="75" t="s">
        <v>832</v>
      </c>
      <c r="C422" s="76" t="s">
        <v>833</v>
      </c>
      <c r="D422" s="77" t="s">
        <v>131</v>
      </c>
      <c r="E422" s="93">
        <v>166</v>
      </c>
      <c r="F422" s="79"/>
      <c r="G422" s="79"/>
      <c r="H422" s="79"/>
      <c r="I422" s="79">
        <f>SUM(G422:H422)+'BM 005'!I422</f>
        <v>0</v>
      </c>
      <c r="J422" s="79">
        <f t="shared" si="188"/>
        <v>166</v>
      </c>
      <c r="K422" s="80">
        <v>9.4600000000000009</v>
      </c>
      <c r="L422" s="81">
        <f t="shared" si="187"/>
        <v>11.991497040600002</v>
      </c>
      <c r="M422" s="82">
        <f t="shared" si="182"/>
        <v>0</v>
      </c>
      <c r="N422" s="82">
        <f t="shared" si="183"/>
        <v>0</v>
      </c>
      <c r="O422" s="82">
        <f>N422+'BM 005'!O422</f>
        <v>0</v>
      </c>
      <c r="P422" s="80">
        <f t="shared" si="184"/>
        <v>1570.3600000000001</v>
      </c>
      <c r="Q422" s="82">
        <f t="shared" si="185"/>
        <v>1990.58</v>
      </c>
      <c r="R422" s="82">
        <f t="shared" si="186"/>
        <v>1990.58</v>
      </c>
    </row>
    <row r="423" spans="2:18" s="34" customFormat="1" ht="13.2">
      <c r="B423" s="75" t="s">
        <v>834</v>
      </c>
      <c r="C423" s="76" t="s">
        <v>747</v>
      </c>
      <c r="D423" s="77" t="s">
        <v>131</v>
      </c>
      <c r="E423" s="93">
        <v>96</v>
      </c>
      <c r="F423" s="79"/>
      <c r="G423" s="79"/>
      <c r="H423" s="79"/>
      <c r="I423" s="79">
        <f>SUM(G423:H423)+'BM 005'!I423</f>
        <v>0</v>
      </c>
      <c r="J423" s="79">
        <f t="shared" si="188"/>
        <v>96</v>
      </c>
      <c r="K423" s="80">
        <v>5.14</v>
      </c>
      <c r="L423" s="81">
        <f t="shared" si="187"/>
        <v>6.5154645654000003</v>
      </c>
      <c r="M423" s="82">
        <f t="shared" si="182"/>
        <v>0</v>
      </c>
      <c r="N423" s="82">
        <f t="shared" si="183"/>
        <v>0</v>
      </c>
      <c r="O423" s="82">
        <f>N423+'BM 005'!O423</f>
        <v>0</v>
      </c>
      <c r="P423" s="80">
        <f t="shared" si="184"/>
        <v>493.43999999999994</v>
      </c>
      <c r="Q423" s="82">
        <f t="shared" si="185"/>
        <v>625.48</v>
      </c>
      <c r="R423" s="82">
        <f t="shared" si="186"/>
        <v>625.48</v>
      </c>
    </row>
    <row r="424" spans="2:18" s="34" customFormat="1" ht="46.2">
      <c r="B424" s="75" t="s">
        <v>835</v>
      </c>
      <c r="C424" s="76" t="s">
        <v>836</v>
      </c>
      <c r="D424" s="77" t="s">
        <v>131</v>
      </c>
      <c r="E424" s="93">
        <v>26</v>
      </c>
      <c r="F424" s="79"/>
      <c r="G424" s="79"/>
      <c r="H424" s="79"/>
      <c r="I424" s="79">
        <f>SUM(G424:H424)+'BM 005'!I424</f>
        <v>0</v>
      </c>
      <c r="J424" s="79">
        <f t="shared" si="188"/>
        <v>26</v>
      </c>
      <c r="K424" s="80">
        <v>21.35</v>
      </c>
      <c r="L424" s="81">
        <f t="shared" si="187"/>
        <v>27.063262348500004</v>
      </c>
      <c r="M424" s="82">
        <f t="shared" si="182"/>
        <v>0</v>
      </c>
      <c r="N424" s="82">
        <f t="shared" si="183"/>
        <v>0</v>
      </c>
      <c r="O424" s="82">
        <f>N424+'BM 005'!O424</f>
        <v>0</v>
      </c>
      <c r="P424" s="80">
        <f t="shared" si="184"/>
        <v>555.1</v>
      </c>
      <c r="Q424" s="82">
        <f t="shared" si="185"/>
        <v>703.64</v>
      </c>
      <c r="R424" s="82">
        <f t="shared" si="186"/>
        <v>703.64</v>
      </c>
    </row>
    <row r="425" spans="2:18" s="34" customFormat="1" ht="46.2">
      <c r="B425" s="75" t="s">
        <v>837</v>
      </c>
      <c r="C425" s="76" t="s">
        <v>838</v>
      </c>
      <c r="D425" s="77" t="s">
        <v>131</v>
      </c>
      <c r="E425" s="93">
        <v>86</v>
      </c>
      <c r="F425" s="79"/>
      <c r="G425" s="79"/>
      <c r="H425" s="79"/>
      <c r="I425" s="79">
        <f>SUM(G425:H425)+'BM 005'!I425</f>
        <v>0</v>
      </c>
      <c r="J425" s="79">
        <f t="shared" si="188"/>
        <v>86</v>
      </c>
      <c r="K425" s="80">
        <v>25.91</v>
      </c>
      <c r="L425" s="81">
        <f t="shared" si="187"/>
        <v>32.843518850100004</v>
      </c>
      <c r="M425" s="82">
        <f t="shared" si="182"/>
        <v>0</v>
      </c>
      <c r="N425" s="82">
        <f t="shared" si="183"/>
        <v>0</v>
      </c>
      <c r="O425" s="82">
        <f>N425+'BM 005'!O425</f>
        <v>0</v>
      </c>
      <c r="P425" s="80">
        <f t="shared" si="184"/>
        <v>2228.2600000000002</v>
      </c>
      <c r="Q425" s="82">
        <f t="shared" si="185"/>
        <v>2824.54</v>
      </c>
      <c r="R425" s="82">
        <f t="shared" si="186"/>
        <v>2824.54</v>
      </c>
    </row>
    <row r="426" spans="2:18" s="34" customFormat="1" ht="34.799999999999997">
      <c r="B426" s="75" t="s">
        <v>839</v>
      </c>
      <c r="C426" s="76" t="s">
        <v>840</v>
      </c>
      <c r="D426" s="77" t="s">
        <v>131</v>
      </c>
      <c r="E426" s="93">
        <v>19</v>
      </c>
      <c r="F426" s="79"/>
      <c r="G426" s="79"/>
      <c r="H426" s="79"/>
      <c r="I426" s="79">
        <f>SUM(G426:H426)+'BM 005'!I426</f>
        <v>0</v>
      </c>
      <c r="J426" s="79">
        <f t="shared" si="188"/>
        <v>19</v>
      </c>
      <c r="K426" s="80">
        <v>100.92</v>
      </c>
      <c r="L426" s="81">
        <f t="shared" si="187"/>
        <v>127.9262031012</v>
      </c>
      <c r="M426" s="82">
        <f t="shared" si="182"/>
        <v>0</v>
      </c>
      <c r="N426" s="82">
        <f t="shared" si="183"/>
        <v>0</v>
      </c>
      <c r="O426" s="82">
        <f>N426+'BM 005'!O426</f>
        <v>0</v>
      </c>
      <c r="P426" s="80">
        <f t="shared" si="184"/>
        <v>1917.48</v>
      </c>
      <c r="Q426" s="82">
        <f t="shared" si="185"/>
        <v>2430.59</v>
      </c>
      <c r="R426" s="82">
        <f t="shared" si="186"/>
        <v>2430.59</v>
      </c>
    </row>
    <row r="427" spans="2:18" s="34" customFormat="1" ht="34.799999999999997">
      <c r="B427" s="75" t="s">
        <v>841</v>
      </c>
      <c r="C427" s="76" t="s">
        <v>842</v>
      </c>
      <c r="D427" s="77" t="s">
        <v>131</v>
      </c>
      <c r="E427" s="93">
        <v>1</v>
      </c>
      <c r="F427" s="79"/>
      <c r="G427" s="79"/>
      <c r="H427" s="79"/>
      <c r="I427" s="79">
        <f>SUM(G427:H427)+'BM 005'!I427</f>
        <v>0</v>
      </c>
      <c r="J427" s="79">
        <f t="shared" si="188"/>
        <v>1</v>
      </c>
      <c r="K427" s="80">
        <v>135</v>
      </c>
      <c r="L427" s="81">
        <f t="shared" si="187"/>
        <v>171.12601485000002</v>
      </c>
      <c r="M427" s="82">
        <f t="shared" si="182"/>
        <v>0</v>
      </c>
      <c r="N427" s="82">
        <f t="shared" si="183"/>
        <v>0</v>
      </c>
      <c r="O427" s="82">
        <f>N427+'BM 005'!O427</f>
        <v>0</v>
      </c>
      <c r="P427" s="80">
        <f t="shared" si="184"/>
        <v>135</v>
      </c>
      <c r="Q427" s="82">
        <f t="shared" si="185"/>
        <v>171.12</v>
      </c>
      <c r="R427" s="82">
        <f t="shared" si="186"/>
        <v>171.12</v>
      </c>
    </row>
    <row r="428" spans="2:18" s="34" customFormat="1" ht="46.2">
      <c r="B428" s="75" t="s">
        <v>843</v>
      </c>
      <c r="C428" s="76" t="s">
        <v>844</v>
      </c>
      <c r="D428" s="77" t="s">
        <v>131</v>
      </c>
      <c r="E428" s="93">
        <v>38</v>
      </c>
      <c r="F428" s="79"/>
      <c r="G428" s="79"/>
      <c r="H428" s="79"/>
      <c r="I428" s="79">
        <f>SUM(G428:H428)+'BM 005'!I428</f>
        <v>0</v>
      </c>
      <c r="J428" s="79">
        <f t="shared" si="188"/>
        <v>38</v>
      </c>
      <c r="K428" s="80">
        <v>9.08</v>
      </c>
      <c r="L428" s="81">
        <f t="shared" si="187"/>
        <v>11.509808998800001</v>
      </c>
      <c r="M428" s="82">
        <f t="shared" si="182"/>
        <v>0</v>
      </c>
      <c r="N428" s="82">
        <f t="shared" si="183"/>
        <v>0</v>
      </c>
      <c r="O428" s="82">
        <f>N428+'BM 005'!O428</f>
        <v>0</v>
      </c>
      <c r="P428" s="80">
        <f t="shared" si="184"/>
        <v>345.04</v>
      </c>
      <c r="Q428" s="82">
        <f t="shared" si="185"/>
        <v>437.37</v>
      </c>
      <c r="R428" s="82">
        <f t="shared" si="186"/>
        <v>437.37</v>
      </c>
    </row>
    <row r="429" spans="2:18" s="34" customFormat="1" ht="46.2">
      <c r="B429" s="75" t="s">
        <v>845</v>
      </c>
      <c r="C429" s="76" t="s">
        <v>846</v>
      </c>
      <c r="D429" s="77" t="s">
        <v>131</v>
      </c>
      <c r="E429" s="93">
        <v>38</v>
      </c>
      <c r="F429" s="79"/>
      <c r="G429" s="79"/>
      <c r="H429" s="79"/>
      <c r="I429" s="79">
        <f>SUM(G429:H429)+'BM 005'!I429</f>
        <v>0</v>
      </c>
      <c r="J429" s="79">
        <f t="shared" si="188"/>
        <v>38</v>
      </c>
      <c r="K429" s="80">
        <v>25.03</v>
      </c>
      <c r="L429" s="81">
        <f t="shared" si="187"/>
        <v>31.728030753300004</v>
      </c>
      <c r="M429" s="82">
        <f t="shared" si="182"/>
        <v>0</v>
      </c>
      <c r="N429" s="82">
        <f t="shared" si="183"/>
        <v>0</v>
      </c>
      <c r="O429" s="82">
        <f>N429+'BM 005'!O429</f>
        <v>0</v>
      </c>
      <c r="P429" s="80">
        <f t="shared" si="184"/>
        <v>951.1400000000001</v>
      </c>
      <c r="Q429" s="82">
        <f t="shared" si="185"/>
        <v>1205.6600000000001</v>
      </c>
      <c r="R429" s="82">
        <f t="shared" si="186"/>
        <v>1205.6600000000001</v>
      </c>
    </row>
    <row r="430" spans="2:18" s="34" customFormat="1" ht="46.2">
      <c r="B430" s="75" t="s">
        <v>847</v>
      </c>
      <c r="C430" s="76" t="s">
        <v>848</v>
      </c>
      <c r="D430" s="77" t="s">
        <v>131</v>
      </c>
      <c r="E430" s="93">
        <v>9</v>
      </c>
      <c r="F430" s="79"/>
      <c r="G430" s="79"/>
      <c r="H430" s="79"/>
      <c r="I430" s="79">
        <f>SUM(G430:H430)+'BM 005'!I430</f>
        <v>0</v>
      </c>
      <c r="J430" s="79">
        <f t="shared" si="188"/>
        <v>9</v>
      </c>
      <c r="K430" s="80">
        <v>38.549999999999997</v>
      </c>
      <c r="L430" s="81">
        <f t="shared" si="187"/>
        <v>48.865984240499998</v>
      </c>
      <c r="M430" s="82">
        <f t="shared" si="182"/>
        <v>0</v>
      </c>
      <c r="N430" s="82">
        <f t="shared" si="183"/>
        <v>0</v>
      </c>
      <c r="O430" s="82">
        <f>N430+'BM 005'!O430</f>
        <v>0</v>
      </c>
      <c r="P430" s="80">
        <f t="shared" si="184"/>
        <v>346.95</v>
      </c>
      <c r="Q430" s="82">
        <f t="shared" si="185"/>
        <v>439.79</v>
      </c>
      <c r="R430" s="82">
        <f t="shared" si="186"/>
        <v>439.79</v>
      </c>
    </row>
    <row r="431" spans="2:18" s="34" customFormat="1" ht="57.6">
      <c r="B431" s="75" t="s">
        <v>849</v>
      </c>
      <c r="C431" s="76" t="s">
        <v>850</v>
      </c>
      <c r="D431" s="77" t="s">
        <v>131</v>
      </c>
      <c r="E431" s="93">
        <v>24</v>
      </c>
      <c r="F431" s="79"/>
      <c r="G431" s="79"/>
      <c r="H431" s="79"/>
      <c r="I431" s="79">
        <f>SUM(G431:H431)+'BM 005'!I431</f>
        <v>0</v>
      </c>
      <c r="J431" s="79">
        <f t="shared" si="188"/>
        <v>24</v>
      </c>
      <c r="K431" s="80">
        <v>48.29</v>
      </c>
      <c r="L431" s="81">
        <f t="shared" si="187"/>
        <v>61.212409311900004</v>
      </c>
      <c r="M431" s="82">
        <f t="shared" si="182"/>
        <v>0</v>
      </c>
      <c r="N431" s="82">
        <f t="shared" si="183"/>
        <v>0</v>
      </c>
      <c r="O431" s="82">
        <f>N431+'BM 005'!O431</f>
        <v>0</v>
      </c>
      <c r="P431" s="80">
        <f t="shared" si="184"/>
        <v>1158.96</v>
      </c>
      <c r="Q431" s="82">
        <f t="shared" si="185"/>
        <v>1469.09</v>
      </c>
      <c r="R431" s="82">
        <f t="shared" si="186"/>
        <v>1469.09</v>
      </c>
    </row>
    <row r="432" spans="2:18" s="34" customFormat="1" ht="23.4">
      <c r="B432" s="75" t="s">
        <v>851</v>
      </c>
      <c r="C432" s="76" t="s">
        <v>852</v>
      </c>
      <c r="D432" s="77" t="s">
        <v>131</v>
      </c>
      <c r="E432" s="93">
        <v>64</v>
      </c>
      <c r="F432" s="79"/>
      <c r="G432" s="79"/>
      <c r="H432" s="79"/>
      <c r="I432" s="79">
        <f>SUM(G432:H432)+'BM 005'!I432</f>
        <v>0</v>
      </c>
      <c r="J432" s="79">
        <f t="shared" si="188"/>
        <v>64</v>
      </c>
      <c r="K432" s="80">
        <v>28.98</v>
      </c>
      <c r="L432" s="81">
        <f t="shared" si="187"/>
        <v>36.735051187800003</v>
      </c>
      <c r="M432" s="82">
        <f t="shared" si="182"/>
        <v>0</v>
      </c>
      <c r="N432" s="82">
        <f t="shared" si="183"/>
        <v>0</v>
      </c>
      <c r="O432" s="82">
        <f>N432+'BM 005'!O432</f>
        <v>0</v>
      </c>
      <c r="P432" s="80">
        <f t="shared" si="184"/>
        <v>1854.72</v>
      </c>
      <c r="Q432" s="82">
        <f t="shared" si="185"/>
        <v>2351.04</v>
      </c>
      <c r="R432" s="82">
        <f t="shared" si="186"/>
        <v>2351.04</v>
      </c>
    </row>
    <row r="433" spans="2:18" s="34" customFormat="1" ht="23.4">
      <c r="B433" s="75" t="s">
        <v>853</v>
      </c>
      <c r="C433" s="76" t="s">
        <v>854</v>
      </c>
      <c r="D433" s="77" t="s">
        <v>131</v>
      </c>
      <c r="E433" s="93">
        <v>69</v>
      </c>
      <c r="F433" s="79"/>
      <c r="G433" s="79"/>
      <c r="H433" s="79"/>
      <c r="I433" s="79">
        <f>SUM(G433:H433)+'BM 005'!I433</f>
        <v>0</v>
      </c>
      <c r="J433" s="79">
        <f t="shared" si="188"/>
        <v>69</v>
      </c>
      <c r="K433" s="80">
        <v>44.64</v>
      </c>
      <c r="L433" s="81">
        <f t="shared" si="187"/>
        <v>56.585668910400003</v>
      </c>
      <c r="M433" s="82">
        <f t="shared" si="182"/>
        <v>0</v>
      </c>
      <c r="N433" s="82">
        <f t="shared" si="183"/>
        <v>0</v>
      </c>
      <c r="O433" s="82">
        <f>N433+'BM 005'!O433</f>
        <v>0</v>
      </c>
      <c r="P433" s="80">
        <f t="shared" si="184"/>
        <v>3080.16</v>
      </c>
      <c r="Q433" s="82">
        <f t="shared" si="185"/>
        <v>3904.41</v>
      </c>
      <c r="R433" s="82">
        <f t="shared" si="186"/>
        <v>3904.41</v>
      </c>
    </row>
    <row r="434" spans="2:18" s="34" customFormat="1" ht="23.4">
      <c r="B434" s="75" t="s">
        <v>855</v>
      </c>
      <c r="C434" s="76" t="s">
        <v>856</v>
      </c>
      <c r="D434" s="77" t="s">
        <v>131</v>
      </c>
      <c r="E434" s="93">
        <v>1</v>
      </c>
      <c r="F434" s="79"/>
      <c r="G434" s="79"/>
      <c r="H434" s="79"/>
      <c r="I434" s="79">
        <f>SUM(G434:H434)+'BM 005'!I434</f>
        <v>0</v>
      </c>
      <c r="J434" s="79">
        <f t="shared" si="188"/>
        <v>1</v>
      </c>
      <c r="K434" s="80">
        <v>51.15</v>
      </c>
      <c r="L434" s="81">
        <f t="shared" si="187"/>
        <v>64.837745626499995</v>
      </c>
      <c r="M434" s="82">
        <f t="shared" si="182"/>
        <v>0</v>
      </c>
      <c r="N434" s="82">
        <f t="shared" si="183"/>
        <v>0</v>
      </c>
      <c r="O434" s="82">
        <f>N434+'BM 005'!O434</f>
        <v>0</v>
      </c>
      <c r="P434" s="80">
        <f t="shared" si="184"/>
        <v>51.15</v>
      </c>
      <c r="Q434" s="82">
        <f t="shared" si="185"/>
        <v>64.83</v>
      </c>
      <c r="R434" s="82">
        <f t="shared" si="186"/>
        <v>64.83</v>
      </c>
    </row>
    <row r="435" spans="2:18" s="34" customFormat="1" ht="23.4">
      <c r="B435" s="75" t="s">
        <v>857</v>
      </c>
      <c r="C435" s="76" t="s">
        <v>858</v>
      </c>
      <c r="D435" s="77" t="s">
        <v>131</v>
      </c>
      <c r="E435" s="93">
        <v>52</v>
      </c>
      <c r="F435" s="79"/>
      <c r="G435" s="79"/>
      <c r="H435" s="79"/>
      <c r="I435" s="79">
        <f>SUM(G435:H435)+'BM 005'!I435</f>
        <v>0</v>
      </c>
      <c r="J435" s="79">
        <f t="shared" si="188"/>
        <v>52</v>
      </c>
      <c r="K435" s="80">
        <v>140</v>
      </c>
      <c r="L435" s="81">
        <f t="shared" si="187"/>
        <v>177.46401539999999</v>
      </c>
      <c r="M435" s="82">
        <f t="shared" si="182"/>
        <v>0</v>
      </c>
      <c r="N435" s="82">
        <f t="shared" si="183"/>
        <v>0</v>
      </c>
      <c r="O435" s="82">
        <f>N435+'BM 005'!O435</f>
        <v>0</v>
      </c>
      <c r="P435" s="80">
        <f t="shared" si="184"/>
        <v>7280</v>
      </c>
      <c r="Q435" s="82">
        <f t="shared" si="185"/>
        <v>9228.1200000000008</v>
      </c>
      <c r="R435" s="82">
        <f t="shared" si="186"/>
        <v>9228.1200000000008</v>
      </c>
    </row>
    <row r="436" spans="2:18" s="34" customFormat="1" ht="34.799999999999997">
      <c r="B436" s="75" t="s">
        <v>859</v>
      </c>
      <c r="C436" s="76" t="s">
        <v>860</v>
      </c>
      <c r="D436" s="77" t="s">
        <v>131</v>
      </c>
      <c r="E436" s="93">
        <v>68</v>
      </c>
      <c r="F436" s="79"/>
      <c r="G436" s="79"/>
      <c r="H436" s="79"/>
      <c r="I436" s="79">
        <f>SUM(G436:H436)+'BM 005'!I436</f>
        <v>0</v>
      </c>
      <c r="J436" s="79">
        <f t="shared" si="188"/>
        <v>68</v>
      </c>
      <c r="K436" s="80">
        <v>80</v>
      </c>
      <c r="L436" s="81">
        <f t="shared" si="187"/>
        <v>101.4080088</v>
      </c>
      <c r="M436" s="82">
        <f t="shared" si="182"/>
        <v>0</v>
      </c>
      <c r="N436" s="82">
        <f t="shared" si="183"/>
        <v>0</v>
      </c>
      <c r="O436" s="82">
        <f>N436+'BM 005'!O436</f>
        <v>0</v>
      </c>
      <c r="P436" s="80">
        <f t="shared" si="184"/>
        <v>5440</v>
      </c>
      <c r="Q436" s="82">
        <f t="shared" si="185"/>
        <v>6895.74</v>
      </c>
      <c r="R436" s="82">
        <f t="shared" si="186"/>
        <v>6895.74</v>
      </c>
    </row>
    <row r="437" spans="2:18" s="34" customFormat="1" ht="23.4">
      <c r="B437" s="75" t="s">
        <v>861</v>
      </c>
      <c r="C437" s="76" t="s">
        <v>862</v>
      </c>
      <c r="D437" s="77" t="s">
        <v>131</v>
      </c>
      <c r="E437" s="93">
        <v>10</v>
      </c>
      <c r="F437" s="79"/>
      <c r="G437" s="79"/>
      <c r="H437" s="79"/>
      <c r="I437" s="79">
        <f>SUM(G437:H437)+'BM 005'!I437</f>
        <v>0</v>
      </c>
      <c r="J437" s="79">
        <f t="shared" si="188"/>
        <v>10</v>
      </c>
      <c r="K437" s="80">
        <v>18.14</v>
      </c>
      <c r="L437" s="81">
        <f t="shared" si="187"/>
        <v>22.994265995400003</v>
      </c>
      <c r="M437" s="82">
        <f t="shared" si="182"/>
        <v>0</v>
      </c>
      <c r="N437" s="82">
        <f t="shared" si="183"/>
        <v>0</v>
      </c>
      <c r="O437" s="82">
        <f>N437+'BM 005'!O437</f>
        <v>0</v>
      </c>
      <c r="P437" s="80">
        <f t="shared" si="184"/>
        <v>181.4</v>
      </c>
      <c r="Q437" s="82">
        <f t="shared" si="185"/>
        <v>229.94</v>
      </c>
      <c r="R437" s="82">
        <f t="shared" si="186"/>
        <v>229.94</v>
      </c>
    </row>
    <row r="438" spans="2:18" s="34" customFormat="1" ht="23.4">
      <c r="B438" s="75" t="s">
        <v>863</v>
      </c>
      <c r="C438" s="76" t="s">
        <v>864</v>
      </c>
      <c r="D438" s="77" t="s">
        <v>131</v>
      </c>
      <c r="E438" s="93">
        <v>54</v>
      </c>
      <c r="F438" s="79"/>
      <c r="G438" s="79"/>
      <c r="H438" s="79"/>
      <c r="I438" s="79">
        <f>SUM(G438:H438)+'BM 005'!I438</f>
        <v>0</v>
      </c>
      <c r="J438" s="79">
        <f t="shared" si="188"/>
        <v>54</v>
      </c>
      <c r="K438" s="80">
        <v>21.55</v>
      </c>
      <c r="L438" s="81">
        <f t="shared" si="187"/>
        <v>27.316782370500004</v>
      </c>
      <c r="M438" s="82">
        <f t="shared" si="182"/>
        <v>0</v>
      </c>
      <c r="N438" s="82">
        <f t="shared" si="183"/>
        <v>0</v>
      </c>
      <c r="O438" s="82">
        <f>N438+'BM 005'!O438</f>
        <v>0</v>
      </c>
      <c r="P438" s="80">
        <f t="shared" si="184"/>
        <v>1163.7</v>
      </c>
      <c r="Q438" s="82">
        <f t="shared" si="185"/>
        <v>1475.1</v>
      </c>
      <c r="R438" s="82">
        <f t="shared" si="186"/>
        <v>1475.1</v>
      </c>
    </row>
    <row r="439" spans="2:18" s="34" customFormat="1" ht="23.4">
      <c r="B439" s="75" t="s">
        <v>865</v>
      </c>
      <c r="C439" s="76" t="s">
        <v>866</v>
      </c>
      <c r="D439" s="77" t="s">
        <v>131</v>
      </c>
      <c r="E439" s="93">
        <v>7</v>
      </c>
      <c r="F439" s="79"/>
      <c r="G439" s="79"/>
      <c r="H439" s="79"/>
      <c r="I439" s="79">
        <f>SUM(G439:H439)+'BM 005'!I439</f>
        <v>0</v>
      </c>
      <c r="J439" s="79">
        <f t="shared" si="188"/>
        <v>7</v>
      </c>
      <c r="K439" s="80">
        <v>22.95</v>
      </c>
      <c r="L439" s="81">
        <f t="shared" si="187"/>
        <v>29.0914225245</v>
      </c>
      <c r="M439" s="82">
        <f t="shared" ref="M439:M470" si="189">TRUNC(F439*L439,2)</f>
        <v>0</v>
      </c>
      <c r="N439" s="82">
        <f t="shared" ref="N439:N473" si="190">TRUNC(G439*L439,2)</f>
        <v>0</v>
      </c>
      <c r="O439" s="82">
        <f>N439+'BM 005'!O439</f>
        <v>0</v>
      </c>
      <c r="P439" s="80">
        <f t="shared" ref="P439:P464" si="191">E439*K439</f>
        <v>160.65</v>
      </c>
      <c r="Q439" s="82">
        <f t="shared" ref="Q439:Q473" si="192">TRUNC(E439*L439,2)</f>
        <v>203.63</v>
      </c>
      <c r="R439" s="82">
        <f t="shared" ref="R439:R470" si="193">Q439-O439</f>
        <v>203.63</v>
      </c>
    </row>
    <row r="440" spans="2:18" s="34" customFormat="1" ht="23.4">
      <c r="B440" s="75" t="s">
        <v>867</v>
      </c>
      <c r="C440" s="76" t="s">
        <v>868</v>
      </c>
      <c r="D440" s="77" t="s">
        <v>131</v>
      </c>
      <c r="E440" s="93">
        <v>48</v>
      </c>
      <c r="F440" s="79"/>
      <c r="G440" s="79"/>
      <c r="H440" s="79"/>
      <c r="I440" s="79">
        <f>SUM(G440:H440)+'BM 005'!I440</f>
        <v>0</v>
      </c>
      <c r="J440" s="79">
        <f t="shared" si="188"/>
        <v>48</v>
      </c>
      <c r="K440" s="80">
        <v>49</v>
      </c>
      <c r="L440" s="81">
        <f t="shared" si="187"/>
        <v>62.112405390000006</v>
      </c>
      <c r="M440" s="82">
        <f t="shared" si="189"/>
        <v>0</v>
      </c>
      <c r="N440" s="82">
        <f t="shared" si="190"/>
        <v>0</v>
      </c>
      <c r="O440" s="82">
        <f>N440+'BM 005'!O440</f>
        <v>0</v>
      </c>
      <c r="P440" s="80">
        <f t="shared" si="191"/>
        <v>2352</v>
      </c>
      <c r="Q440" s="82">
        <f t="shared" si="192"/>
        <v>2981.39</v>
      </c>
      <c r="R440" s="82">
        <f t="shared" si="193"/>
        <v>2981.39</v>
      </c>
    </row>
    <row r="441" spans="2:18" s="34" customFormat="1" ht="23.4">
      <c r="B441" s="75" t="s">
        <v>869</v>
      </c>
      <c r="C441" s="76" t="s">
        <v>870</v>
      </c>
      <c r="D441" s="77" t="s">
        <v>131</v>
      </c>
      <c r="E441" s="93">
        <v>1</v>
      </c>
      <c r="F441" s="79"/>
      <c r="G441" s="79"/>
      <c r="H441" s="79"/>
      <c r="I441" s="79">
        <f>SUM(G441:H441)+'BM 005'!I441</f>
        <v>0</v>
      </c>
      <c r="J441" s="79">
        <f t="shared" si="188"/>
        <v>1</v>
      </c>
      <c r="K441" s="80">
        <v>37.4</v>
      </c>
      <c r="L441" s="81">
        <f t="shared" si="187"/>
        <v>47.408244113999999</v>
      </c>
      <c r="M441" s="82">
        <f t="shared" si="189"/>
        <v>0</v>
      </c>
      <c r="N441" s="82">
        <f t="shared" si="190"/>
        <v>0</v>
      </c>
      <c r="O441" s="82">
        <f>N441+'BM 005'!O441</f>
        <v>0</v>
      </c>
      <c r="P441" s="80">
        <f t="shared" si="191"/>
        <v>37.4</v>
      </c>
      <c r="Q441" s="82">
        <f t="shared" si="192"/>
        <v>47.4</v>
      </c>
      <c r="R441" s="82">
        <f t="shared" si="193"/>
        <v>47.4</v>
      </c>
    </row>
    <row r="442" spans="2:18" s="34" customFormat="1" ht="23.4">
      <c r="B442" s="75" t="s">
        <v>871</v>
      </c>
      <c r="C442" s="76" t="s">
        <v>872</v>
      </c>
      <c r="D442" s="77" t="s">
        <v>131</v>
      </c>
      <c r="E442" s="93">
        <v>2</v>
      </c>
      <c r="F442" s="79"/>
      <c r="G442" s="79"/>
      <c r="H442" s="79"/>
      <c r="I442" s="79">
        <f>SUM(G442:H442)+'BM 005'!I442</f>
        <v>0</v>
      </c>
      <c r="J442" s="79">
        <f t="shared" si="188"/>
        <v>2</v>
      </c>
      <c r="K442" s="80">
        <v>78.239999999999995</v>
      </c>
      <c r="L442" s="81">
        <f t="shared" si="187"/>
        <v>99.177032606400005</v>
      </c>
      <c r="M442" s="82">
        <f t="shared" si="189"/>
        <v>0</v>
      </c>
      <c r="N442" s="82">
        <f t="shared" si="190"/>
        <v>0</v>
      </c>
      <c r="O442" s="82">
        <f>N442+'BM 005'!O442</f>
        <v>0</v>
      </c>
      <c r="P442" s="80">
        <f t="shared" si="191"/>
        <v>156.47999999999999</v>
      </c>
      <c r="Q442" s="82">
        <f t="shared" si="192"/>
        <v>198.35</v>
      </c>
      <c r="R442" s="82">
        <f t="shared" si="193"/>
        <v>198.35</v>
      </c>
    </row>
    <row r="443" spans="2:18" s="34" customFormat="1" ht="23.4">
      <c r="B443" s="75" t="s">
        <v>873</v>
      </c>
      <c r="C443" s="76" t="s">
        <v>874</v>
      </c>
      <c r="D443" s="77" t="s">
        <v>131</v>
      </c>
      <c r="E443" s="93">
        <v>1</v>
      </c>
      <c r="F443" s="79"/>
      <c r="G443" s="79"/>
      <c r="H443" s="79"/>
      <c r="I443" s="79">
        <f>SUM(G443:H443)+'BM 005'!I443</f>
        <v>0</v>
      </c>
      <c r="J443" s="79">
        <f t="shared" si="188"/>
        <v>1</v>
      </c>
      <c r="K443" s="80">
        <v>155</v>
      </c>
      <c r="L443" s="81">
        <f t="shared" si="187"/>
        <v>196.47801705000001</v>
      </c>
      <c r="M443" s="82">
        <f t="shared" si="189"/>
        <v>0</v>
      </c>
      <c r="N443" s="82">
        <f t="shared" si="190"/>
        <v>0</v>
      </c>
      <c r="O443" s="82">
        <f>N443+'BM 005'!O443</f>
        <v>0</v>
      </c>
      <c r="P443" s="80">
        <f t="shared" si="191"/>
        <v>155</v>
      </c>
      <c r="Q443" s="82">
        <f t="shared" si="192"/>
        <v>196.47</v>
      </c>
      <c r="R443" s="82">
        <f t="shared" si="193"/>
        <v>196.47</v>
      </c>
    </row>
    <row r="444" spans="2:18" s="34" customFormat="1" ht="23.4">
      <c r="B444" s="75" t="s">
        <v>875</v>
      </c>
      <c r="C444" s="76" t="s">
        <v>876</v>
      </c>
      <c r="D444" s="77" t="s">
        <v>131</v>
      </c>
      <c r="E444" s="93">
        <v>17</v>
      </c>
      <c r="F444" s="79"/>
      <c r="G444" s="79"/>
      <c r="H444" s="79"/>
      <c r="I444" s="79">
        <f>SUM(G444:H444)+'BM 005'!I444</f>
        <v>0</v>
      </c>
      <c r="J444" s="79">
        <f t="shared" si="188"/>
        <v>17</v>
      </c>
      <c r="K444" s="80">
        <v>8.85</v>
      </c>
      <c r="L444" s="81">
        <f t="shared" si="187"/>
        <v>11.2182609735</v>
      </c>
      <c r="M444" s="82">
        <f t="shared" si="189"/>
        <v>0</v>
      </c>
      <c r="N444" s="82">
        <f t="shared" si="190"/>
        <v>0</v>
      </c>
      <c r="O444" s="82">
        <f>N444+'BM 005'!O444</f>
        <v>0</v>
      </c>
      <c r="P444" s="80">
        <f t="shared" si="191"/>
        <v>150.44999999999999</v>
      </c>
      <c r="Q444" s="82">
        <f t="shared" si="192"/>
        <v>190.71</v>
      </c>
      <c r="R444" s="82">
        <f t="shared" si="193"/>
        <v>190.71</v>
      </c>
    </row>
    <row r="445" spans="2:18" s="34" customFormat="1" ht="34.799999999999997">
      <c r="B445" s="75" t="s">
        <v>877</v>
      </c>
      <c r="C445" s="76" t="s">
        <v>878</v>
      </c>
      <c r="D445" s="77" t="s">
        <v>131</v>
      </c>
      <c r="E445" s="93">
        <v>3</v>
      </c>
      <c r="F445" s="79"/>
      <c r="G445" s="79"/>
      <c r="H445" s="79"/>
      <c r="I445" s="79">
        <f>SUM(G445:H445)+'BM 005'!I445</f>
        <v>0</v>
      </c>
      <c r="J445" s="79">
        <f t="shared" si="188"/>
        <v>3</v>
      </c>
      <c r="K445" s="80">
        <v>7.63</v>
      </c>
      <c r="L445" s="81">
        <f t="shared" si="187"/>
        <v>9.6717888392999996</v>
      </c>
      <c r="M445" s="82">
        <f t="shared" si="189"/>
        <v>0</v>
      </c>
      <c r="N445" s="82">
        <f t="shared" si="190"/>
        <v>0</v>
      </c>
      <c r="O445" s="82">
        <f>N445+'BM 005'!O445</f>
        <v>0</v>
      </c>
      <c r="P445" s="80">
        <f t="shared" si="191"/>
        <v>22.89</v>
      </c>
      <c r="Q445" s="82">
        <f t="shared" si="192"/>
        <v>29.01</v>
      </c>
      <c r="R445" s="82">
        <f t="shared" si="193"/>
        <v>29.01</v>
      </c>
    </row>
    <row r="446" spans="2:18" s="34" customFormat="1" ht="23.4">
      <c r="B446" s="75" t="s">
        <v>879</v>
      </c>
      <c r="C446" s="88" t="s">
        <v>711</v>
      </c>
      <c r="D446" s="89" t="s">
        <v>131</v>
      </c>
      <c r="E446" s="90">
        <v>82</v>
      </c>
      <c r="F446" s="91"/>
      <c r="G446" s="91"/>
      <c r="H446" s="91"/>
      <c r="I446" s="91">
        <f>SUM(G446:H446)+'BM 005'!I446</f>
        <v>0</v>
      </c>
      <c r="J446" s="91">
        <f t="shared" si="188"/>
        <v>82</v>
      </c>
      <c r="K446" s="80">
        <v>14.54</v>
      </c>
      <c r="L446" s="81">
        <f t="shared" si="187"/>
        <v>18.430905599399999</v>
      </c>
      <c r="M446" s="82">
        <f t="shared" si="189"/>
        <v>0</v>
      </c>
      <c r="N446" s="82">
        <f t="shared" si="190"/>
        <v>0</v>
      </c>
      <c r="O446" s="82">
        <f>N446+'BM 005'!O446</f>
        <v>0</v>
      </c>
      <c r="P446" s="80">
        <f t="shared" si="191"/>
        <v>1192.28</v>
      </c>
      <c r="Q446" s="82">
        <f t="shared" si="192"/>
        <v>1511.33</v>
      </c>
      <c r="R446" s="82">
        <f t="shared" si="193"/>
        <v>1511.33</v>
      </c>
    </row>
    <row r="447" spans="2:18" s="34" customFormat="1" ht="23.4">
      <c r="B447" s="75" t="s">
        <v>880</v>
      </c>
      <c r="C447" s="76" t="s">
        <v>881</v>
      </c>
      <c r="D447" s="77" t="s">
        <v>131</v>
      </c>
      <c r="E447" s="93">
        <v>5</v>
      </c>
      <c r="F447" s="79"/>
      <c r="G447" s="79"/>
      <c r="H447" s="79"/>
      <c r="I447" s="79">
        <f>SUM(G447:H447)+'BM 005'!I447</f>
        <v>0</v>
      </c>
      <c r="J447" s="79">
        <f t="shared" si="188"/>
        <v>5</v>
      </c>
      <c r="K447" s="80">
        <v>19.91</v>
      </c>
      <c r="L447" s="81">
        <f t="shared" si="187"/>
        <v>25.2379181901</v>
      </c>
      <c r="M447" s="82">
        <f t="shared" si="189"/>
        <v>0</v>
      </c>
      <c r="N447" s="82">
        <f t="shared" si="190"/>
        <v>0</v>
      </c>
      <c r="O447" s="82">
        <f>N447+'BM 005'!O447</f>
        <v>0</v>
      </c>
      <c r="P447" s="80">
        <f t="shared" si="191"/>
        <v>99.55</v>
      </c>
      <c r="Q447" s="82">
        <f t="shared" si="192"/>
        <v>126.18</v>
      </c>
      <c r="R447" s="82">
        <f t="shared" si="193"/>
        <v>126.18</v>
      </c>
    </row>
    <row r="448" spans="2:18" s="34" customFormat="1" ht="23.4">
      <c r="B448" s="75" t="s">
        <v>882</v>
      </c>
      <c r="C448" s="76" t="s">
        <v>883</v>
      </c>
      <c r="D448" s="77" t="s">
        <v>131</v>
      </c>
      <c r="E448" s="93">
        <v>1</v>
      </c>
      <c r="F448" s="79"/>
      <c r="G448" s="79"/>
      <c r="H448" s="79"/>
      <c r="I448" s="79">
        <f>SUM(G448:H448)+'BM 005'!I448</f>
        <v>0</v>
      </c>
      <c r="J448" s="79">
        <f t="shared" si="188"/>
        <v>1</v>
      </c>
      <c r="K448" s="80">
        <v>25.24</v>
      </c>
      <c r="L448" s="81">
        <f t="shared" si="187"/>
        <v>31.994226776399998</v>
      </c>
      <c r="M448" s="82">
        <f t="shared" si="189"/>
        <v>0</v>
      </c>
      <c r="N448" s="82">
        <f t="shared" si="190"/>
        <v>0</v>
      </c>
      <c r="O448" s="82">
        <f>N448+'BM 005'!O448</f>
        <v>0</v>
      </c>
      <c r="P448" s="80">
        <f t="shared" si="191"/>
        <v>25.24</v>
      </c>
      <c r="Q448" s="82">
        <f t="shared" si="192"/>
        <v>31.99</v>
      </c>
      <c r="R448" s="82">
        <f t="shared" si="193"/>
        <v>31.99</v>
      </c>
    </row>
    <row r="449" spans="2:18" s="34" customFormat="1" ht="46.2">
      <c r="B449" s="75" t="s">
        <v>884</v>
      </c>
      <c r="C449" s="76" t="s">
        <v>885</v>
      </c>
      <c r="D449" s="77" t="s">
        <v>131</v>
      </c>
      <c r="E449" s="93">
        <v>79</v>
      </c>
      <c r="F449" s="79"/>
      <c r="G449" s="79"/>
      <c r="H449" s="79"/>
      <c r="I449" s="79">
        <f>SUM(G449:H449)+'BM 005'!I449</f>
        <v>0</v>
      </c>
      <c r="J449" s="79">
        <f t="shared" si="188"/>
        <v>79</v>
      </c>
      <c r="K449" s="80">
        <v>13.15</v>
      </c>
      <c r="L449" s="81">
        <f t="shared" si="187"/>
        <v>16.6689414465</v>
      </c>
      <c r="M449" s="82">
        <f t="shared" si="189"/>
        <v>0</v>
      </c>
      <c r="N449" s="82">
        <f t="shared" si="190"/>
        <v>0</v>
      </c>
      <c r="O449" s="82">
        <f>N449+'BM 005'!O449</f>
        <v>0</v>
      </c>
      <c r="P449" s="80">
        <f t="shared" si="191"/>
        <v>1038.8500000000001</v>
      </c>
      <c r="Q449" s="82">
        <f t="shared" si="192"/>
        <v>1316.84</v>
      </c>
      <c r="R449" s="82">
        <f t="shared" si="193"/>
        <v>1316.84</v>
      </c>
    </row>
    <row r="450" spans="2:18" s="34" customFormat="1" ht="23.4">
      <c r="B450" s="75" t="s">
        <v>886</v>
      </c>
      <c r="C450" s="76" t="s">
        <v>757</v>
      </c>
      <c r="D450" s="77" t="s">
        <v>131</v>
      </c>
      <c r="E450" s="93">
        <v>1</v>
      </c>
      <c r="F450" s="79"/>
      <c r="G450" s="79"/>
      <c r="H450" s="79"/>
      <c r="I450" s="79">
        <f>SUM(G450:H450)+'BM 005'!I450</f>
        <v>0</v>
      </c>
      <c r="J450" s="79">
        <f t="shared" si="188"/>
        <v>1</v>
      </c>
      <c r="K450" s="80">
        <v>12.35</v>
      </c>
      <c r="L450" s="81">
        <f t="shared" si="187"/>
        <v>15.6548613585</v>
      </c>
      <c r="M450" s="82">
        <f t="shared" si="189"/>
        <v>0</v>
      </c>
      <c r="N450" s="82">
        <f t="shared" si="190"/>
        <v>0</v>
      </c>
      <c r="O450" s="82">
        <f>N450+'BM 005'!O450</f>
        <v>0</v>
      </c>
      <c r="P450" s="80">
        <f t="shared" si="191"/>
        <v>12.35</v>
      </c>
      <c r="Q450" s="82">
        <f t="shared" si="192"/>
        <v>15.65</v>
      </c>
      <c r="R450" s="82">
        <f t="shared" si="193"/>
        <v>15.65</v>
      </c>
    </row>
    <row r="451" spans="2:18" s="34" customFormat="1" ht="23.4">
      <c r="B451" s="75" t="s">
        <v>887</v>
      </c>
      <c r="C451" s="76" t="s">
        <v>761</v>
      </c>
      <c r="D451" s="77" t="s">
        <v>131</v>
      </c>
      <c r="E451" s="93">
        <v>3</v>
      </c>
      <c r="F451" s="79"/>
      <c r="G451" s="79"/>
      <c r="H451" s="79"/>
      <c r="I451" s="79">
        <f>SUM(G451:H451)+'BM 005'!I451</f>
        <v>0</v>
      </c>
      <c r="J451" s="79">
        <f t="shared" si="188"/>
        <v>3</v>
      </c>
      <c r="K451" s="80">
        <v>18.5</v>
      </c>
      <c r="L451" s="81">
        <f t="shared" si="187"/>
        <v>23.450602035000003</v>
      </c>
      <c r="M451" s="82">
        <f t="shared" si="189"/>
        <v>0</v>
      </c>
      <c r="N451" s="82">
        <f t="shared" si="190"/>
        <v>0</v>
      </c>
      <c r="O451" s="82">
        <f>N451+'BM 005'!O451</f>
        <v>0</v>
      </c>
      <c r="P451" s="80">
        <f t="shared" si="191"/>
        <v>55.5</v>
      </c>
      <c r="Q451" s="82">
        <f t="shared" si="192"/>
        <v>70.349999999999994</v>
      </c>
      <c r="R451" s="82">
        <f t="shared" si="193"/>
        <v>70.349999999999994</v>
      </c>
    </row>
    <row r="452" spans="2:18" s="34" customFormat="1" ht="23.4">
      <c r="B452" s="75" t="s">
        <v>888</v>
      </c>
      <c r="C452" s="76" t="s">
        <v>771</v>
      </c>
      <c r="D452" s="77" t="s">
        <v>131</v>
      </c>
      <c r="E452" s="93">
        <v>77</v>
      </c>
      <c r="F452" s="79"/>
      <c r="G452" s="79"/>
      <c r="H452" s="79"/>
      <c r="I452" s="79">
        <f>SUM(G452:H452)+'BM 005'!I452</f>
        <v>0</v>
      </c>
      <c r="J452" s="79">
        <f t="shared" si="188"/>
        <v>77</v>
      </c>
      <c r="K452" s="80">
        <v>6.59</v>
      </c>
      <c r="L452" s="81">
        <f t="shared" si="187"/>
        <v>8.3534847248999995</v>
      </c>
      <c r="M452" s="82">
        <f t="shared" si="189"/>
        <v>0</v>
      </c>
      <c r="N452" s="82">
        <f t="shared" si="190"/>
        <v>0</v>
      </c>
      <c r="O452" s="82">
        <f>N452+'BM 005'!O452</f>
        <v>0</v>
      </c>
      <c r="P452" s="80">
        <f t="shared" si="191"/>
        <v>507.43</v>
      </c>
      <c r="Q452" s="82">
        <f t="shared" si="192"/>
        <v>643.21</v>
      </c>
      <c r="R452" s="82">
        <f t="shared" si="193"/>
        <v>643.21</v>
      </c>
    </row>
    <row r="453" spans="2:18" s="34" customFormat="1" ht="23.4">
      <c r="B453" s="75" t="s">
        <v>889</v>
      </c>
      <c r="C453" s="76" t="s">
        <v>773</v>
      </c>
      <c r="D453" s="77" t="s">
        <v>131</v>
      </c>
      <c r="E453" s="93">
        <v>3</v>
      </c>
      <c r="F453" s="79"/>
      <c r="G453" s="79"/>
      <c r="H453" s="79"/>
      <c r="I453" s="79">
        <f>SUM(G453:H453)+'BM 005'!I453</f>
        <v>0</v>
      </c>
      <c r="J453" s="79">
        <f t="shared" si="188"/>
        <v>3</v>
      </c>
      <c r="K453" s="80">
        <v>22.07</v>
      </c>
      <c r="L453" s="81">
        <f t="shared" si="187"/>
        <v>27.9759344277</v>
      </c>
      <c r="M453" s="82">
        <f t="shared" si="189"/>
        <v>0</v>
      </c>
      <c r="N453" s="82">
        <f t="shared" si="190"/>
        <v>0</v>
      </c>
      <c r="O453" s="82">
        <f>N453+'BM 005'!O453</f>
        <v>0</v>
      </c>
      <c r="P453" s="80">
        <f t="shared" si="191"/>
        <v>66.210000000000008</v>
      </c>
      <c r="Q453" s="82">
        <f t="shared" si="192"/>
        <v>83.92</v>
      </c>
      <c r="R453" s="82">
        <f t="shared" si="193"/>
        <v>83.92</v>
      </c>
    </row>
    <row r="454" spans="2:18" s="34" customFormat="1" ht="23.4">
      <c r="B454" s="75" t="s">
        <v>890</v>
      </c>
      <c r="C454" s="88" t="s">
        <v>711</v>
      </c>
      <c r="D454" s="89" t="s">
        <v>131</v>
      </c>
      <c r="E454" s="90">
        <v>14</v>
      </c>
      <c r="F454" s="91"/>
      <c r="G454" s="91"/>
      <c r="H454" s="91"/>
      <c r="I454" s="91">
        <f>SUM(G454:H454)+'BM 005'!I454</f>
        <v>0</v>
      </c>
      <c r="J454" s="91">
        <f t="shared" si="188"/>
        <v>14</v>
      </c>
      <c r="K454" s="80">
        <v>14.54</v>
      </c>
      <c r="L454" s="81">
        <f t="shared" si="187"/>
        <v>18.430905599399999</v>
      </c>
      <c r="M454" s="82">
        <f t="shared" si="189"/>
        <v>0</v>
      </c>
      <c r="N454" s="82">
        <f t="shared" si="190"/>
        <v>0</v>
      </c>
      <c r="O454" s="82">
        <f>N454+'BM 005'!O454</f>
        <v>0</v>
      </c>
      <c r="P454" s="80">
        <f t="shared" si="191"/>
        <v>203.56</v>
      </c>
      <c r="Q454" s="82">
        <f t="shared" si="192"/>
        <v>258.02999999999997</v>
      </c>
      <c r="R454" s="82">
        <f t="shared" si="193"/>
        <v>258.02999999999997</v>
      </c>
    </row>
    <row r="455" spans="2:18" s="34" customFormat="1" ht="46.2">
      <c r="B455" s="75" t="s">
        <v>891</v>
      </c>
      <c r="C455" s="76" t="s">
        <v>892</v>
      </c>
      <c r="D455" s="77" t="s">
        <v>131</v>
      </c>
      <c r="E455" s="93">
        <v>91</v>
      </c>
      <c r="F455" s="79"/>
      <c r="G455" s="79"/>
      <c r="H455" s="79"/>
      <c r="I455" s="79">
        <f>SUM(G455:H455)+'BM 005'!I455</f>
        <v>0</v>
      </c>
      <c r="J455" s="79">
        <f t="shared" si="188"/>
        <v>91</v>
      </c>
      <c r="K455" s="80">
        <v>22.83</v>
      </c>
      <c r="L455" s="81">
        <f t="shared" si="187"/>
        <v>28.9393105113</v>
      </c>
      <c r="M455" s="82">
        <f t="shared" si="189"/>
        <v>0</v>
      </c>
      <c r="N455" s="82">
        <f t="shared" si="190"/>
        <v>0</v>
      </c>
      <c r="O455" s="82">
        <f>N455+'BM 005'!O455</f>
        <v>0</v>
      </c>
      <c r="P455" s="80">
        <f t="shared" si="191"/>
        <v>2077.5299999999997</v>
      </c>
      <c r="Q455" s="82">
        <f t="shared" si="192"/>
        <v>2633.47</v>
      </c>
      <c r="R455" s="82">
        <f t="shared" si="193"/>
        <v>2633.47</v>
      </c>
    </row>
    <row r="456" spans="2:18" s="34" customFormat="1" ht="46.2">
      <c r="B456" s="75" t="s">
        <v>893</v>
      </c>
      <c r="C456" s="76" t="s">
        <v>894</v>
      </c>
      <c r="D456" s="77" t="s">
        <v>131</v>
      </c>
      <c r="E456" s="93">
        <v>26</v>
      </c>
      <c r="F456" s="79"/>
      <c r="G456" s="79"/>
      <c r="H456" s="79"/>
      <c r="I456" s="79">
        <f>SUM(G456:H456)+'BM 005'!I456</f>
        <v>0</v>
      </c>
      <c r="J456" s="79">
        <f t="shared" si="188"/>
        <v>26</v>
      </c>
      <c r="K456" s="80">
        <v>42.22</v>
      </c>
      <c r="L456" s="81">
        <f t="shared" si="187"/>
        <v>53.518076644200001</v>
      </c>
      <c r="M456" s="82">
        <f t="shared" si="189"/>
        <v>0</v>
      </c>
      <c r="N456" s="82">
        <f t="shared" si="190"/>
        <v>0</v>
      </c>
      <c r="O456" s="82">
        <f>N456+'BM 005'!O456</f>
        <v>0</v>
      </c>
      <c r="P456" s="80">
        <f t="shared" si="191"/>
        <v>1097.72</v>
      </c>
      <c r="Q456" s="82">
        <f t="shared" si="192"/>
        <v>1391.46</v>
      </c>
      <c r="R456" s="82">
        <f t="shared" si="193"/>
        <v>1391.46</v>
      </c>
    </row>
    <row r="457" spans="2:18" s="34" customFormat="1" ht="23.4">
      <c r="B457" s="75" t="s">
        <v>895</v>
      </c>
      <c r="C457" s="76" t="s">
        <v>896</v>
      </c>
      <c r="D457" s="77" t="s">
        <v>131</v>
      </c>
      <c r="E457" s="93">
        <v>46</v>
      </c>
      <c r="F457" s="79"/>
      <c r="G457" s="79"/>
      <c r="H457" s="79"/>
      <c r="I457" s="79">
        <f>SUM(G457:H457)+'BM 005'!I457</f>
        <v>0</v>
      </c>
      <c r="J457" s="79">
        <f t="shared" si="188"/>
        <v>46</v>
      </c>
      <c r="K457" s="80">
        <v>110</v>
      </c>
      <c r="L457" s="81">
        <f t="shared" si="187"/>
        <v>139.4360121</v>
      </c>
      <c r="M457" s="82">
        <f t="shared" si="189"/>
        <v>0</v>
      </c>
      <c r="N457" s="82">
        <f t="shared" si="190"/>
        <v>0</v>
      </c>
      <c r="O457" s="82">
        <f>N457+'BM 005'!O457</f>
        <v>0</v>
      </c>
      <c r="P457" s="80">
        <f t="shared" si="191"/>
        <v>5060</v>
      </c>
      <c r="Q457" s="82">
        <f t="shared" si="192"/>
        <v>6414.05</v>
      </c>
      <c r="R457" s="82">
        <f t="shared" si="193"/>
        <v>6414.05</v>
      </c>
    </row>
    <row r="458" spans="2:18" s="34" customFormat="1" ht="34.799999999999997">
      <c r="B458" s="75" t="s">
        <v>897</v>
      </c>
      <c r="C458" s="76" t="s">
        <v>898</v>
      </c>
      <c r="D458" s="77" t="s">
        <v>131</v>
      </c>
      <c r="E458" s="93">
        <v>11</v>
      </c>
      <c r="F458" s="79"/>
      <c r="G458" s="79"/>
      <c r="H458" s="79"/>
      <c r="I458" s="79">
        <f>SUM(G458:H458)+'BM 005'!I458</f>
        <v>0</v>
      </c>
      <c r="J458" s="79">
        <f t="shared" si="188"/>
        <v>11</v>
      </c>
      <c r="K458" s="80">
        <v>35.5</v>
      </c>
      <c r="L458" s="81">
        <f t="shared" si="187"/>
        <v>44.999803905</v>
      </c>
      <c r="M458" s="82">
        <f t="shared" si="189"/>
        <v>0</v>
      </c>
      <c r="N458" s="82">
        <f t="shared" si="190"/>
        <v>0</v>
      </c>
      <c r="O458" s="82">
        <f>N458+'BM 005'!O458</f>
        <v>0</v>
      </c>
      <c r="P458" s="80">
        <f t="shared" si="191"/>
        <v>390.5</v>
      </c>
      <c r="Q458" s="82">
        <f t="shared" si="192"/>
        <v>494.99</v>
      </c>
      <c r="R458" s="82">
        <f t="shared" si="193"/>
        <v>494.99</v>
      </c>
    </row>
    <row r="459" spans="2:18" s="34" customFormat="1" ht="46.2">
      <c r="B459" s="75" t="s">
        <v>899</v>
      </c>
      <c r="C459" s="76" t="s">
        <v>900</v>
      </c>
      <c r="D459" s="77" t="s">
        <v>131</v>
      </c>
      <c r="E459" s="93">
        <v>12</v>
      </c>
      <c r="F459" s="79"/>
      <c r="G459" s="79"/>
      <c r="H459" s="79"/>
      <c r="I459" s="79">
        <f>SUM(G459:H459)+'BM 005'!I459</f>
        <v>0</v>
      </c>
      <c r="J459" s="79">
        <f t="shared" si="188"/>
        <v>12</v>
      </c>
      <c r="K459" s="80">
        <v>37.299999999999997</v>
      </c>
      <c r="L459" s="81">
        <f t="shared" si="187"/>
        <v>47.281484102999997</v>
      </c>
      <c r="M459" s="82">
        <f t="shared" si="189"/>
        <v>0</v>
      </c>
      <c r="N459" s="82">
        <f t="shared" si="190"/>
        <v>0</v>
      </c>
      <c r="O459" s="82">
        <f>N459+'BM 005'!O459</f>
        <v>0</v>
      </c>
      <c r="P459" s="80">
        <f t="shared" si="191"/>
        <v>447.59999999999997</v>
      </c>
      <c r="Q459" s="82">
        <f t="shared" si="192"/>
        <v>567.37</v>
      </c>
      <c r="R459" s="82">
        <f t="shared" si="193"/>
        <v>567.37</v>
      </c>
    </row>
    <row r="460" spans="2:18" s="34" customFormat="1" ht="46.2">
      <c r="B460" s="75" t="s">
        <v>901</v>
      </c>
      <c r="C460" s="76" t="s">
        <v>902</v>
      </c>
      <c r="D460" s="77" t="s">
        <v>131</v>
      </c>
      <c r="E460" s="93">
        <v>2</v>
      </c>
      <c r="F460" s="79"/>
      <c r="G460" s="79"/>
      <c r="H460" s="79"/>
      <c r="I460" s="79">
        <f>SUM(G460:H460)+'BM 005'!I460</f>
        <v>0</v>
      </c>
      <c r="J460" s="79">
        <f t="shared" si="188"/>
        <v>2</v>
      </c>
      <c r="K460" s="80">
        <v>42.5</v>
      </c>
      <c r="L460" s="81">
        <f t="shared" si="187"/>
        <v>53.873004675000004</v>
      </c>
      <c r="M460" s="82">
        <f t="shared" si="189"/>
        <v>0</v>
      </c>
      <c r="N460" s="82">
        <f t="shared" si="190"/>
        <v>0</v>
      </c>
      <c r="O460" s="82">
        <f>N460+'BM 005'!O460</f>
        <v>0</v>
      </c>
      <c r="P460" s="80">
        <f t="shared" si="191"/>
        <v>85</v>
      </c>
      <c r="Q460" s="82">
        <f t="shared" si="192"/>
        <v>107.74</v>
      </c>
      <c r="R460" s="82">
        <f t="shared" si="193"/>
        <v>107.74</v>
      </c>
    </row>
    <row r="461" spans="2:18" s="34" customFormat="1" ht="23.4">
      <c r="B461" s="75" t="s">
        <v>903</v>
      </c>
      <c r="C461" s="76" t="s">
        <v>904</v>
      </c>
      <c r="D461" s="77" t="s">
        <v>131</v>
      </c>
      <c r="E461" s="93">
        <v>6</v>
      </c>
      <c r="F461" s="79"/>
      <c r="G461" s="79"/>
      <c r="H461" s="79"/>
      <c r="I461" s="79">
        <f>SUM(G461:H461)+'BM 005'!I461</f>
        <v>0</v>
      </c>
      <c r="J461" s="79">
        <f t="shared" si="188"/>
        <v>6</v>
      </c>
      <c r="K461" s="80">
        <v>68</v>
      </c>
      <c r="L461" s="81">
        <f t="shared" si="187"/>
        <v>86.196807480000004</v>
      </c>
      <c r="M461" s="82">
        <f t="shared" si="189"/>
        <v>0</v>
      </c>
      <c r="N461" s="82">
        <f t="shared" si="190"/>
        <v>0</v>
      </c>
      <c r="O461" s="82">
        <f>N461+'BM 005'!O461</f>
        <v>0</v>
      </c>
      <c r="P461" s="80">
        <f t="shared" si="191"/>
        <v>408</v>
      </c>
      <c r="Q461" s="82">
        <f t="shared" si="192"/>
        <v>517.17999999999995</v>
      </c>
      <c r="R461" s="82">
        <f t="shared" si="193"/>
        <v>517.17999999999995</v>
      </c>
    </row>
    <row r="462" spans="2:18" s="34" customFormat="1" ht="46.2">
      <c r="B462" s="75" t="s">
        <v>905</v>
      </c>
      <c r="C462" s="76" t="s">
        <v>906</v>
      </c>
      <c r="D462" s="77" t="s">
        <v>131</v>
      </c>
      <c r="E462" s="93">
        <v>3</v>
      </c>
      <c r="F462" s="79"/>
      <c r="G462" s="79"/>
      <c r="H462" s="79"/>
      <c r="I462" s="79">
        <f>SUM(G462:H462)+'BM 005'!I462</f>
        <v>0</v>
      </c>
      <c r="J462" s="79">
        <f t="shared" si="188"/>
        <v>3</v>
      </c>
      <c r="K462" s="80">
        <v>36.61</v>
      </c>
      <c r="L462" s="81">
        <f t="shared" si="187"/>
        <v>46.406840027100003</v>
      </c>
      <c r="M462" s="82">
        <f t="shared" si="189"/>
        <v>0</v>
      </c>
      <c r="N462" s="82">
        <f t="shared" si="190"/>
        <v>0</v>
      </c>
      <c r="O462" s="82">
        <f>N462+'BM 005'!O462</f>
        <v>0</v>
      </c>
      <c r="P462" s="80">
        <f t="shared" si="191"/>
        <v>109.83</v>
      </c>
      <c r="Q462" s="82">
        <f t="shared" si="192"/>
        <v>139.22</v>
      </c>
      <c r="R462" s="82">
        <f t="shared" si="193"/>
        <v>139.22</v>
      </c>
    </row>
    <row r="463" spans="2:18" s="34" customFormat="1" ht="46.2">
      <c r="B463" s="75" t="s">
        <v>907</v>
      </c>
      <c r="C463" s="76" t="s">
        <v>908</v>
      </c>
      <c r="D463" s="77" t="s">
        <v>131</v>
      </c>
      <c r="E463" s="93">
        <v>3</v>
      </c>
      <c r="F463" s="79"/>
      <c r="G463" s="79"/>
      <c r="H463" s="79"/>
      <c r="I463" s="79">
        <f>SUM(G463:H463)+'BM 005'!I463</f>
        <v>0</v>
      </c>
      <c r="J463" s="79">
        <f t="shared" si="188"/>
        <v>3</v>
      </c>
      <c r="K463" s="82">
        <v>11.81</v>
      </c>
      <c r="L463" s="81">
        <f t="shared" si="187"/>
        <v>14.970357299100002</v>
      </c>
      <c r="M463" s="82">
        <f t="shared" si="189"/>
        <v>0</v>
      </c>
      <c r="N463" s="82">
        <f t="shared" si="190"/>
        <v>0</v>
      </c>
      <c r="O463" s="82">
        <f>N463+'BM 005'!O463</f>
        <v>0</v>
      </c>
      <c r="P463" s="82">
        <f t="shared" si="191"/>
        <v>35.43</v>
      </c>
      <c r="Q463" s="82">
        <f t="shared" si="192"/>
        <v>44.91</v>
      </c>
      <c r="R463" s="82">
        <f t="shared" si="193"/>
        <v>44.91</v>
      </c>
    </row>
    <row r="464" spans="2:18" s="34" customFormat="1" ht="34.799999999999997">
      <c r="B464" s="75" t="s">
        <v>909</v>
      </c>
      <c r="C464" s="76" t="s">
        <v>910</v>
      </c>
      <c r="D464" s="77" t="s">
        <v>131</v>
      </c>
      <c r="E464" s="93">
        <v>72</v>
      </c>
      <c r="F464" s="79"/>
      <c r="G464" s="79"/>
      <c r="H464" s="79"/>
      <c r="I464" s="79">
        <f>SUM(G464:H464)+'BM 005'!I464</f>
        <v>0</v>
      </c>
      <c r="J464" s="79">
        <f t="shared" si="188"/>
        <v>72</v>
      </c>
      <c r="K464" s="82">
        <v>13</v>
      </c>
      <c r="L464" s="81">
        <f t="shared" si="187"/>
        <v>16.478801430000001</v>
      </c>
      <c r="M464" s="82">
        <f t="shared" si="189"/>
        <v>0</v>
      </c>
      <c r="N464" s="82">
        <f t="shared" si="190"/>
        <v>0</v>
      </c>
      <c r="O464" s="82">
        <f>N464+'BM 005'!O464</f>
        <v>0</v>
      </c>
      <c r="P464" s="82">
        <f t="shared" si="191"/>
        <v>936</v>
      </c>
      <c r="Q464" s="82">
        <f t="shared" si="192"/>
        <v>1186.47</v>
      </c>
      <c r="R464" s="82">
        <f t="shared" si="193"/>
        <v>1186.47</v>
      </c>
    </row>
    <row r="465" spans="2:18" s="34" customFormat="1" ht="13.2">
      <c r="B465" s="75" t="s">
        <v>911</v>
      </c>
      <c r="C465" s="76"/>
      <c r="D465" s="77"/>
      <c r="E465" s="93"/>
      <c r="F465" s="79"/>
      <c r="G465" s="79"/>
      <c r="H465" s="79"/>
      <c r="I465" s="79">
        <f>SUM(G465:H465)+'BM 005'!I465</f>
        <v>0</v>
      </c>
      <c r="J465" s="79">
        <f t="shared" si="188"/>
        <v>0</v>
      </c>
      <c r="K465" s="82"/>
      <c r="L465" s="81">
        <f t="shared" si="187"/>
        <v>0</v>
      </c>
      <c r="M465" s="82">
        <f t="shared" si="189"/>
        <v>0</v>
      </c>
      <c r="N465" s="82">
        <f t="shared" si="190"/>
        <v>0</v>
      </c>
      <c r="O465" s="82">
        <f>N465+'BM 005'!O465</f>
        <v>0</v>
      </c>
      <c r="P465" s="82"/>
      <c r="Q465" s="82">
        <f t="shared" si="192"/>
        <v>0</v>
      </c>
      <c r="R465" s="82">
        <f t="shared" si="193"/>
        <v>0</v>
      </c>
    </row>
    <row r="466" spans="2:18" s="34" customFormat="1" ht="34.799999999999997">
      <c r="B466" s="75" t="s">
        <v>912</v>
      </c>
      <c r="C466" s="76" t="s">
        <v>733</v>
      </c>
      <c r="D466" s="77" t="s">
        <v>131</v>
      </c>
      <c r="E466" s="93">
        <v>8</v>
      </c>
      <c r="F466" s="79"/>
      <c r="G466" s="79"/>
      <c r="H466" s="79"/>
      <c r="I466" s="79">
        <f>SUM(G466:H466)+'BM 005'!I466</f>
        <v>0</v>
      </c>
      <c r="J466" s="79">
        <f t="shared" si="188"/>
        <v>8</v>
      </c>
      <c r="K466" s="82">
        <v>3.95</v>
      </c>
      <c r="L466" s="81">
        <f t="shared" si="187"/>
        <v>5.0070204345000002</v>
      </c>
      <c r="M466" s="82">
        <f t="shared" si="189"/>
        <v>0</v>
      </c>
      <c r="N466" s="82">
        <f t="shared" si="190"/>
        <v>0</v>
      </c>
      <c r="O466" s="82">
        <f>N466+'BM 005'!O466</f>
        <v>0</v>
      </c>
      <c r="P466" s="82">
        <f t="shared" ref="P466:P473" si="194">E466*K466</f>
        <v>31.6</v>
      </c>
      <c r="Q466" s="82">
        <f t="shared" si="192"/>
        <v>40.049999999999997</v>
      </c>
      <c r="R466" s="82">
        <f t="shared" si="193"/>
        <v>40.049999999999997</v>
      </c>
    </row>
    <row r="467" spans="2:18" s="34" customFormat="1" ht="34.799999999999997">
      <c r="B467" s="75" t="s">
        <v>913</v>
      </c>
      <c r="C467" s="88" t="s">
        <v>735</v>
      </c>
      <c r="D467" s="89" t="s">
        <v>131</v>
      </c>
      <c r="E467" s="90">
        <v>238</v>
      </c>
      <c r="F467" s="91"/>
      <c r="G467" s="91"/>
      <c r="H467" s="91"/>
      <c r="I467" s="91">
        <f>SUM(G467:H467)+'BM 005'!I467</f>
        <v>0</v>
      </c>
      <c r="J467" s="91">
        <f t="shared" si="188"/>
        <v>238</v>
      </c>
      <c r="K467" s="80">
        <v>4.67</v>
      </c>
      <c r="L467" s="81">
        <f t="shared" si="187"/>
        <v>5.9196925137000003</v>
      </c>
      <c r="M467" s="82">
        <f t="shared" si="189"/>
        <v>0</v>
      </c>
      <c r="N467" s="82">
        <f t="shared" si="190"/>
        <v>0</v>
      </c>
      <c r="O467" s="82">
        <f>N467+'BM 005'!O467</f>
        <v>0</v>
      </c>
      <c r="P467" s="80">
        <f t="shared" si="194"/>
        <v>1111.46</v>
      </c>
      <c r="Q467" s="82">
        <f t="shared" si="192"/>
        <v>1408.88</v>
      </c>
      <c r="R467" s="82">
        <f t="shared" si="193"/>
        <v>1408.88</v>
      </c>
    </row>
    <row r="468" spans="2:18" s="34" customFormat="1" ht="34.799999999999997">
      <c r="B468" s="75" t="s">
        <v>914</v>
      </c>
      <c r="C468" s="76" t="s">
        <v>739</v>
      </c>
      <c r="D468" s="77" t="s">
        <v>131</v>
      </c>
      <c r="E468" s="93">
        <v>30</v>
      </c>
      <c r="F468" s="79"/>
      <c r="G468" s="79"/>
      <c r="H468" s="79"/>
      <c r="I468" s="79">
        <f>SUM(G468:H468)+'BM 005'!I468</f>
        <v>0</v>
      </c>
      <c r="J468" s="79">
        <f t="shared" si="188"/>
        <v>30</v>
      </c>
      <c r="K468" s="80">
        <v>11.5</v>
      </c>
      <c r="L468" s="81">
        <f t="shared" si="187"/>
        <v>14.577401265000001</v>
      </c>
      <c r="M468" s="82">
        <f t="shared" si="189"/>
        <v>0</v>
      </c>
      <c r="N468" s="82">
        <f t="shared" si="190"/>
        <v>0</v>
      </c>
      <c r="O468" s="82">
        <f>N468+'BM 005'!O468</f>
        <v>0</v>
      </c>
      <c r="P468" s="80">
        <f t="shared" si="194"/>
        <v>345</v>
      </c>
      <c r="Q468" s="82">
        <f t="shared" si="192"/>
        <v>437.32</v>
      </c>
      <c r="R468" s="82">
        <f t="shared" si="193"/>
        <v>437.32</v>
      </c>
    </row>
    <row r="469" spans="2:18" s="34" customFormat="1" ht="34.799999999999997">
      <c r="B469" s="75" t="s">
        <v>915</v>
      </c>
      <c r="C469" s="76" t="s">
        <v>916</v>
      </c>
      <c r="D469" s="77" t="s">
        <v>131</v>
      </c>
      <c r="E469" s="93">
        <v>1</v>
      </c>
      <c r="F469" s="79"/>
      <c r="G469" s="79"/>
      <c r="H469" s="79"/>
      <c r="I469" s="79">
        <f>SUM(G469:H469)+'BM 005'!I469</f>
        <v>0</v>
      </c>
      <c r="J469" s="79">
        <f t="shared" si="188"/>
        <v>1</v>
      </c>
      <c r="K469" s="80">
        <v>10.5</v>
      </c>
      <c r="L469" s="81">
        <f t="shared" si="187"/>
        <v>13.309801155000001</v>
      </c>
      <c r="M469" s="82">
        <f t="shared" si="189"/>
        <v>0</v>
      </c>
      <c r="N469" s="82">
        <f t="shared" si="190"/>
        <v>0</v>
      </c>
      <c r="O469" s="82">
        <f>N469+'BM 005'!O469</f>
        <v>0</v>
      </c>
      <c r="P469" s="80">
        <f t="shared" si="194"/>
        <v>10.5</v>
      </c>
      <c r="Q469" s="82">
        <f t="shared" si="192"/>
        <v>13.3</v>
      </c>
      <c r="R469" s="82">
        <f t="shared" si="193"/>
        <v>13.3</v>
      </c>
    </row>
    <row r="470" spans="2:18" s="34" customFormat="1" ht="34.799999999999997">
      <c r="B470" s="75" t="s">
        <v>917</v>
      </c>
      <c r="C470" s="76" t="s">
        <v>918</v>
      </c>
      <c r="D470" s="77" t="s">
        <v>131</v>
      </c>
      <c r="E470" s="93">
        <v>1</v>
      </c>
      <c r="F470" s="79"/>
      <c r="G470" s="79"/>
      <c r="H470" s="79"/>
      <c r="I470" s="79">
        <f>SUM(G470:H470)+'BM 005'!I470</f>
        <v>0</v>
      </c>
      <c r="J470" s="79">
        <f t="shared" si="188"/>
        <v>1</v>
      </c>
      <c r="K470" s="80">
        <v>10.14</v>
      </c>
      <c r="L470" s="81">
        <f t="shared" si="187"/>
        <v>12.853465115400001</v>
      </c>
      <c r="M470" s="82">
        <f t="shared" si="189"/>
        <v>0</v>
      </c>
      <c r="N470" s="82">
        <f t="shared" si="190"/>
        <v>0</v>
      </c>
      <c r="O470" s="82">
        <f>N470+'BM 005'!O470</f>
        <v>0</v>
      </c>
      <c r="P470" s="80">
        <f t="shared" si="194"/>
        <v>10.14</v>
      </c>
      <c r="Q470" s="82">
        <f t="shared" si="192"/>
        <v>12.85</v>
      </c>
      <c r="R470" s="82">
        <f t="shared" si="193"/>
        <v>12.85</v>
      </c>
    </row>
    <row r="471" spans="2:18" s="34" customFormat="1" ht="34.799999999999997">
      <c r="B471" s="75" t="s">
        <v>919</v>
      </c>
      <c r="C471" s="88" t="s">
        <v>717</v>
      </c>
      <c r="D471" s="89" t="s">
        <v>131</v>
      </c>
      <c r="E471" s="90">
        <v>238</v>
      </c>
      <c r="F471" s="91"/>
      <c r="G471" s="91"/>
      <c r="H471" s="91"/>
      <c r="I471" s="91">
        <f>SUM(G471:H471)+'BM 005'!I471</f>
        <v>0</v>
      </c>
      <c r="J471" s="91">
        <f t="shared" si="188"/>
        <v>238</v>
      </c>
      <c r="K471" s="80">
        <v>8</v>
      </c>
      <c r="L471" s="81">
        <f t="shared" si="187"/>
        <v>10.14080088</v>
      </c>
      <c r="M471" s="82">
        <f t="shared" ref="M471:M473" si="195">TRUNC(F471*L471,2)</f>
        <v>0</v>
      </c>
      <c r="N471" s="82">
        <f t="shared" si="190"/>
        <v>0</v>
      </c>
      <c r="O471" s="82">
        <f>N471+'BM 005'!O471</f>
        <v>0</v>
      </c>
      <c r="P471" s="80">
        <f t="shared" si="194"/>
        <v>1904</v>
      </c>
      <c r="Q471" s="82">
        <f t="shared" si="192"/>
        <v>2413.5100000000002</v>
      </c>
      <c r="R471" s="82">
        <f t="shared" ref="R471:R473" si="196">Q471-O471</f>
        <v>2413.5100000000002</v>
      </c>
    </row>
    <row r="472" spans="2:18" s="34" customFormat="1" ht="34.799999999999997">
      <c r="B472" s="75" t="s">
        <v>920</v>
      </c>
      <c r="C472" s="88" t="s">
        <v>921</v>
      </c>
      <c r="D472" s="89" t="s">
        <v>131</v>
      </c>
      <c r="E472" s="90">
        <v>6</v>
      </c>
      <c r="F472" s="91"/>
      <c r="G472" s="91"/>
      <c r="H472" s="91"/>
      <c r="I472" s="91">
        <f>SUM(G472:H472)+'BM 005'!I472</f>
        <v>0</v>
      </c>
      <c r="J472" s="91">
        <f t="shared" si="188"/>
        <v>6</v>
      </c>
      <c r="K472" s="80">
        <v>7.51</v>
      </c>
      <c r="L472" s="81">
        <f t="shared" si="187"/>
        <v>9.5196768260999995</v>
      </c>
      <c r="M472" s="82">
        <f t="shared" si="195"/>
        <v>0</v>
      </c>
      <c r="N472" s="82">
        <f t="shared" si="190"/>
        <v>0</v>
      </c>
      <c r="O472" s="82">
        <f>N472+'BM 005'!O472</f>
        <v>0</v>
      </c>
      <c r="P472" s="80">
        <f t="shared" si="194"/>
        <v>45.06</v>
      </c>
      <c r="Q472" s="82">
        <f t="shared" si="192"/>
        <v>57.11</v>
      </c>
      <c r="R472" s="82">
        <f t="shared" si="196"/>
        <v>57.11</v>
      </c>
    </row>
    <row r="473" spans="2:18" s="34" customFormat="1" ht="34.799999999999997">
      <c r="B473" s="87" t="s">
        <v>922</v>
      </c>
      <c r="C473" s="88" t="s">
        <v>721</v>
      </c>
      <c r="D473" s="89" t="s">
        <v>131</v>
      </c>
      <c r="E473" s="90">
        <v>8</v>
      </c>
      <c r="F473" s="91"/>
      <c r="G473" s="91"/>
      <c r="H473" s="91"/>
      <c r="I473" s="91">
        <f>SUM(G473:H473)+'BM 005'!I473</f>
        <v>0</v>
      </c>
      <c r="J473" s="91">
        <f t="shared" si="188"/>
        <v>8</v>
      </c>
      <c r="K473" s="80">
        <v>10.5</v>
      </c>
      <c r="L473" s="81">
        <f t="shared" si="187"/>
        <v>13.309801155000001</v>
      </c>
      <c r="M473" s="82">
        <f t="shared" si="195"/>
        <v>0</v>
      </c>
      <c r="N473" s="82">
        <f t="shared" si="190"/>
        <v>0</v>
      </c>
      <c r="O473" s="82">
        <f>N473+'BM 005'!O473</f>
        <v>0</v>
      </c>
      <c r="P473" s="80">
        <f t="shared" si="194"/>
        <v>84</v>
      </c>
      <c r="Q473" s="82">
        <f t="shared" si="192"/>
        <v>106.47</v>
      </c>
      <c r="R473" s="82">
        <f t="shared" si="196"/>
        <v>106.47</v>
      </c>
    </row>
    <row r="474" spans="2:18" s="34" customFormat="1" ht="24">
      <c r="B474" s="66" t="s">
        <v>923</v>
      </c>
      <c r="C474" s="67" t="s">
        <v>924</v>
      </c>
      <c r="D474" s="68"/>
      <c r="E474" s="69"/>
      <c r="F474" s="70"/>
      <c r="G474" s="70"/>
      <c r="H474" s="70"/>
      <c r="I474" s="70">
        <f>SUM(G474:H474)+'BM 005'!I474</f>
        <v>0</v>
      </c>
      <c r="J474" s="70">
        <f t="shared" si="188"/>
        <v>0</v>
      </c>
      <c r="K474" s="71"/>
      <c r="L474" s="71">
        <f t="shared" si="187"/>
        <v>0</v>
      </c>
      <c r="M474" s="73">
        <f t="shared" ref="M474:R474" si="197">SUM(M475:M480)</f>
        <v>0</v>
      </c>
      <c r="N474" s="73">
        <f t="shared" si="197"/>
        <v>0</v>
      </c>
      <c r="O474" s="73">
        <f t="shared" si="197"/>
        <v>0</v>
      </c>
      <c r="P474" s="73">
        <f t="shared" si="197"/>
        <v>177593</v>
      </c>
      <c r="Q474" s="73">
        <f t="shared" si="197"/>
        <v>225116.89</v>
      </c>
      <c r="R474" s="73">
        <f t="shared" si="197"/>
        <v>225116.89</v>
      </c>
    </row>
    <row r="475" spans="2:18" s="34" customFormat="1" ht="23.4">
      <c r="B475" s="87" t="s">
        <v>925</v>
      </c>
      <c r="C475" s="88" t="s">
        <v>926</v>
      </c>
      <c r="D475" s="89" t="s">
        <v>131</v>
      </c>
      <c r="E475" s="90">
        <v>1</v>
      </c>
      <c r="F475" s="91"/>
      <c r="G475" s="91"/>
      <c r="H475" s="91"/>
      <c r="I475" s="91">
        <f>SUM(G475:H475)+'BM 005'!I475</f>
        <v>0</v>
      </c>
      <c r="J475" s="91">
        <f t="shared" si="188"/>
        <v>1</v>
      </c>
      <c r="K475" s="80">
        <v>40</v>
      </c>
      <c r="L475" s="81">
        <f t="shared" si="187"/>
        <v>50.704004400000002</v>
      </c>
      <c r="M475" s="82">
        <f t="shared" ref="M475:M480" si="198">TRUNC(F475*L475,2)</f>
        <v>0</v>
      </c>
      <c r="N475" s="82">
        <f t="shared" ref="N475:N480" si="199">TRUNC(G475*L475,2)</f>
        <v>0</v>
      </c>
      <c r="O475" s="82">
        <f>N475+'BM 005'!O475</f>
        <v>0</v>
      </c>
      <c r="P475" s="80">
        <f t="shared" ref="P475:P480" si="200">E475*K475</f>
        <v>40</v>
      </c>
      <c r="Q475" s="82">
        <f t="shared" ref="Q475:Q480" si="201">TRUNC(E475*L475,2)</f>
        <v>50.7</v>
      </c>
      <c r="R475" s="82">
        <f t="shared" ref="R475:R480" si="202">Q475-O475</f>
        <v>50.7</v>
      </c>
    </row>
    <row r="476" spans="2:18" s="34" customFormat="1" ht="23.4">
      <c r="B476" s="87" t="s">
        <v>927</v>
      </c>
      <c r="C476" s="88" t="s">
        <v>928</v>
      </c>
      <c r="D476" s="89" t="s">
        <v>131</v>
      </c>
      <c r="E476" s="90">
        <v>69</v>
      </c>
      <c r="F476" s="91"/>
      <c r="G476" s="91"/>
      <c r="H476" s="91"/>
      <c r="I476" s="91">
        <f>SUM(G476:H476)+'BM 005'!I476</f>
        <v>0</v>
      </c>
      <c r="J476" s="91">
        <f t="shared" si="188"/>
        <v>69</v>
      </c>
      <c r="K476" s="80">
        <v>62</v>
      </c>
      <c r="L476" s="81">
        <f t="shared" si="187"/>
        <v>78.591206819999996</v>
      </c>
      <c r="M476" s="82">
        <f t="shared" si="198"/>
        <v>0</v>
      </c>
      <c r="N476" s="82">
        <f t="shared" si="199"/>
        <v>0</v>
      </c>
      <c r="O476" s="82">
        <f>N476+'BM 005'!O476</f>
        <v>0</v>
      </c>
      <c r="P476" s="80">
        <f t="shared" si="200"/>
        <v>4278</v>
      </c>
      <c r="Q476" s="82">
        <f t="shared" si="201"/>
        <v>5422.79</v>
      </c>
      <c r="R476" s="82">
        <f t="shared" si="202"/>
        <v>5422.79</v>
      </c>
    </row>
    <row r="477" spans="2:18" s="34" customFormat="1" ht="34.799999999999997">
      <c r="B477" s="87" t="s">
        <v>929</v>
      </c>
      <c r="C477" s="88" t="s">
        <v>930</v>
      </c>
      <c r="D477" s="89" t="s">
        <v>131</v>
      </c>
      <c r="E477" s="90">
        <v>3</v>
      </c>
      <c r="F477" s="91"/>
      <c r="G477" s="91"/>
      <c r="H477" s="91"/>
      <c r="I477" s="91">
        <f>SUM(G477:H477)+'BM 005'!I477</f>
        <v>0</v>
      </c>
      <c r="J477" s="91">
        <f t="shared" si="188"/>
        <v>3</v>
      </c>
      <c r="K477" s="80">
        <v>25</v>
      </c>
      <c r="L477" s="81">
        <f t="shared" ref="L477:L540" si="203">K477*(1+$T$26)</f>
        <v>31.690002750000001</v>
      </c>
      <c r="M477" s="82">
        <f t="shared" si="198"/>
        <v>0</v>
      </c>
      <c r="N477" s="82">
        <f t="shared" si="199"/>
        <v>0</v>
      </c>
      <c r="O477" s="82">
        <f>N477+'BM 005'!O477</f>
        <v>0</v>
      </c>
      <c r="P477" s="80">
        <f t="shared" si="200"/>
        <v>75</v>
      </c>
      <c r="Q477" s="82">
        <f t="shared" si="201"/>
        <v>95.07</v>
      </c>
      <c r="R477" s="82">
        <f t="shared" si="202"/>
        <v>95.07</v>
      </c>
    </row>
    <row r="478" spans="2:18" s="34" customFormat="1" ht="34.799999999999997">
      <c r="B478" s="87" t="s">
        <v>931</v>
      </c>
      <c r="C478" s="88" t="s">
        <v>932</v>
      </c>
      <c r="D478" s="89" t="s">
        <v>131</v>
      </c>
      <c r="E478" s="90">
        <v>2</v>
      </c>
      <c r="F478" s="91"/>
      <c r="G478" s="91"/>
      <c r="H478" s="91"/>
      <c r="I478" s="91">
        <f>SUM(G478:H478)+'BM 005'!I478</f>
        <v>0</v>
      </c>
      <c r="J478" s="91">
        <f t="shared" si="188"/>
        <v>2</v>
      </c>
      <c r="K478" s="80">
        <v>2100</v>
      </c>
      <c r="L478" s="81">
        <f t="shared" si="203"/>
        <v>2661.960231</v>
      </c>
      <c r="M478" s="82">
        <f t="shared" si="198"/>
        <v>0</v>
      </c>
      <c r="N478" s="82">
        <f t="shared" si="199"/>
        <v>0</v>
      </c>
      <c r="O478" s="82">
        <f>N478+'BM 005'!O478</f>
        <v>0</v>
      </c>
      <c r="P478" s="80">
        <f t="shared" si="200"/>
        <v>4200</v>
      </c>
      <c r="Q478" s="82">
        <f t="shared" si="201"/>
        <v>5323.92</v>
      </c>
      <c r="R478" s="82">
        <f t="shared" si="202"/>
        <v>5323.92</v>
      </c>
    </row>
    <row r="479" spans="2:18" s="34" customFormat="1" ht="34.799999999999997">
      <c r="B479" s="87" t="s">
        <v>933</v>
      </c>
      <c r="C479" s="88" t="s">
        <v>934</v>
      </c>
      <c r="D479" s="89" t="s">
        <v>131</v>
      </c>
      <c r="E479" s="90">
        <v>6</v>
      </c>
      <c r="F479" s="91"/>
      <c r="G479" s="91"/>
      <c r="H479" s="91"/>
      <c r="I479" s="91">
        <f>SUM(G479:H479)+'BM 005'!I479</f>
        <v>0</v>
      </c>
      <c r="J479" s="91">
        <f t="shared" ref="J479:J542" si="204">E479-I479</f>
        <v>6</v>
      </c>
      <c r="K479" s="80">
        <v>9000</v>
      </c>
      <c r="L479" s="81">
        <f t="shared" si="203"/>
        <v>11408.40099</v>
      </c>
      <c r="M479" s="82">
        <f t="shared" si="198"/>
        <v>0</v>
      </c>
      <c r="N479" s="82">
        <f t="shared" si="199"/>
        <v>0</v>
      </c>
      <c r="O479" s="82">
        <f>N479+'BM 005'!O479</f>
        <v>0</v>
      </c>
      <c r="P479" s="80">
        <f t="shared" si="200"/>
        <v>54000</v>
      </c>
      <c r="Q479" s="82">
        <f t="shared" si="201"/>
        <v>68450.399999999994</v>
      </c>
      <c r="R479" s="82">
        <f t="shared" si="202"/>
        <v>68450.399999999994</v>
      </c>
    </row>
    <row r="480" spans="2:18" s="34" customFormat="1" ht="23.4">
      <c r="B480" s="87" t="s">
        <v>935</v>
      </c>
      <c r="C480" s="88" t="s">
        <v>936</v>
      </c>
      <c r="D480" s="89" t="s">
        <v>131</v>
      </c>
      <c r="E480" s="90">
        <v>1</v>
      </c>
      <c r="F480" s="91"/>
      <c r="G480" s="91"/>
      <c r="H480" s="91"/>
      <c r="I480" s="91">
        <f>SUM(G480:H480)+'BM 005'!I480</f>
        <v>0</v>
      </c>
      <c r="J480" s="91">
        <f t="shared" si="204"/>
        <v>1</v>
      </c>
      <c r="K480" s="80">
        <v>115000</v>
      </c>
      <c r="L480" s="81">
        <f t="shared" si="203"/>
        <v>145774.01265000002</v>
      </c>
      <c r="M480" s="82">
        <f t="shared" si="198"/>
        <v>0</v>
      </c>
      <c r="N480" s="82">
        <f t="shared" si="199"/>
        <v>0</v>
      </c>
      <c r="O480" s="82">
        <f>N480+'BM 005'!O480</f>
        <v>0</v>
      </c>
      <c r="P480" s="80">
        <f t="shared" si="200"/>
        <v>115000</v>
      </c>
      <c r="Q480" s="82">
        <f t="shared" si="201"/>
        <v>145774.01</v>
      </c>
      <c r="R480" s="82">
        <f t="shared" si="202"/>
        <v>145774.01</v>
      </c>
    </row>
    <row r="481" spans="2:18" s="34" customFormat="1" ht="13.2">
      <c r="B481" s="60" t="s">
        <v>937</v>
      </c>
      <c r="C481" s="61" t="s">
        <v>938</v>
      </c>
      <c r="D481" s="60"/>
      <c r="E481" s="62"/>
      <c r="F481" s="63"/>
      <c r="G481" s="63"/>
      <c r="H481" s="63"/>
      <c r="I481" s="63">
        <f>SUM(G481:H481)+'BM 005'!I481</f>
        <v>0</v>
      </c>
      <c r="J481" s="63">
        <f t="shared" si="204"/>
        <v>0</v>
      </c>
      <c r="K481" s="63"/>
      <c r="L481" s="63">
        <f t="shared" si="203"/>
        <v>0</v>
      </c>
      <c r="M481" s="63">
        <f t="shared" ref="M481:R481" si="205">SUM(M482,M487)</f>
        <v>0</v>
      </c>
      <c r="N481" s="63">
        <f t="shared" si="205"/>
        <v>0</v>
      </c>
      <c r="O481" s="63">
        <f t="shared" si="205"/>
        <v>0</v>
      </c>
      <c r="P481" s="63">
        <f t="shared" si="205"/>
        <v>198555.35149999999</v>
      </c>
      <c r="Q481" s="63">
        <f t="shared" si="205"/>
        <v>251688.67</v>
      </c>
      <c r="R481" s="63">
        <f t="shared" si="205"/>
        <v>251688.67</v>
      </c>
    </row>
    <row r="482" spans="2:18" s="34" customFormat="1" ht="13.2">
      <c r="B482" s="66" t="s">
        <v>939</v>
      </c>
      <c r="C482" s="67" t="s">
        <v>940</v>
      </c>
      <c r="D482" s="68"/>
      <c r="E482" s="69"/>
      <c r="F482" s="70"/>
      <c r="G482" s="70"/>
      <c r="H482" s="70"/>
      <c r="I482" s="70">
        <f>SUM(G482:H482)+'BM 005'!I482</f>
        <v>0</v>
      </c>
      <c r="J482" s="70">
        <f t="shared" si="204"/>
        <v>0</v>
      </c>
      <c r="K482" s="71"/>
      <c r="L482" s="71">
        <f t="shared" si="203"/>
        <v>0</v>
      </c>
      <c r="M482" s="73">
        <f t="shared" ref="M482:R482" si="206">SUM(M483:M486)</f>
        <v>0</v>
      </c>
      <c r="N482" s="73">
        <f t="shared" si="206"/>
        <v>0</v>
      </c>
      <c r="O482" s="73">
        <f t="shared" si="206"/>
        <v>0</v>
      </c>
      <c r="P482" s="73">
        <f t="shared" si="206"/>
        <v>157288.71</v>
      </c>
      <c r="Q482" s="73">
        <f t="shared" si="206"/>
        <v>199379.17</v>
      </c>
      <c r="R482" s="73">
        <f t="shared" si="206"/>
        <v>199379.17</v>
      </c>
    </row>
    <row r="483" spans="2:18" s="34" customFormat="1" ht="46.2">
      <c r="B483" s="75" t="s">
        <v>941</v>
      </c>
      <c r="C483" s="76" t="s">
        <v>942</v>
      </c>
      <c r="D483" s="77" t="s">
        <v>82</v>
      </c>
      <c r="E483" s="93">
        <v>546.20000000000005</v>
      </c>
      <c r="F483" s="79"/>
      <c r="G483" s="79"/>
      <c r="H483" s="79"/>
      <c r="I483" s="79">
        <f>SUM(G483:H483)+'BM 005'!I483</f>
        <v>0</v>
      </c>
      <c r="J483" s="79">
        <f t="shared" si="204"/>
        <v>546.20000000000005</v>
      </c>
      <c r="K483" s="84">
        <v>71.55</v>
      </c>
      <c r="L483" s="81">
        <f t="shared" si="203"/>
        <v>90.696787870500003</v>
      </c>
      <c r="M483" s="82">
        <f>TRUNC(F483*L483,2)</f>
        <v>0</v>
      </c>
      <c r="N483" s="82">
        <f>TRUNC(G483*L483,2)</f>
        <v>0</v>
      </c>
      <c r="O483" s="82">
        <f>N483+'BM 005'!O483</f>
        <v>0</v>
      </c>
      <c r="P483" s="80">
        <f>E483*K483</f>
        <v>39080.61</v>
      </c>
      <c r="Q483" s="82">
        <f>TRUNC(E483*L483,2)</f>
        <v>49538.58</v>
      </c>
      <c r="R483" s="82">
        <f>Q483-O483</f>
        <v>49538.58</v>
      </c>
    </row>
    <row r="484" spans="2:18" s="34" customFormat="1" ht="46.2">
      <c r="B484" s="75" t="s">
        <v>943</v>
      </c>
      <c r="C484" s="76" t="s">
        <v>944</v>
      </c>
      <c r="D484" s="77" t="s">
        <v>124</v>
      </c>
      <c r="E484" s="93">
        <v>314</v>
      </c>
      <c r="F484" s="79"/>
      <c r="G484" s="79"/>
      <c r="H484" s="79"/>
      <c r="I484" s="79">
        <f>SUM(G484:H484)+'BM 005'!I484</f>
        <v>0</v>
      </c>
      <c r="J484" s="79">
        <f t="shared" si="204"/>
        <v>314</v>
      </c>
      <c r="K484" s="84">
        <v>120.15</v>
      </c>
      <c r="L484" s="81">
        <f t="shared" si="203"/>
        <v>152.30215321650002</v>
      </c>
      <c r="M484" s="82">
        <f>TRUNC(F484*L484,2)</f>
        <v>0</v>
      </c>
      <c r="N484" s="82">
        <f>TRUNC(G484*L484,2)</f>
        <v>0</v>
      </c>
      <c r="O484" s="82">
        <f>N484+'BM 005'!O484</f>
        <v>0</v>
      </c>
      <c r="P484" s="80">
        <f>E484*K484</f>
        <v>37727.1</v>
      </c>
      <c r="Q484" s="82">
        <f>TRUNC(E484*L484,2)</f>
        <v>47822.87</v>
      </c>
      <c r="R484" s="82">
        <f>Q484-O484</f>
        <v>47822.87</v>
      </c>
    </row>
    <row r="485" spans="2:18" s="34" customFormat="1" ht="46.2">
      <c r="B485" s="75" t="s">
        <v>945</v>
      </c>
      <c r="C485" s="76" t="s">
        <v>946</v>
      </c>
      <c r="D485" s="77" t="s">
        <v>82</v>
      </c>
      <c r="E485" s="78">
        <v>36.700000000000003</v>
      </c>
      <c r="F485" s="79"/>
      <c r="G485" s="79"/>
      <c r="H485" s="79"/>
      <c r="I485" s="79">
        <f>SUM(G485:H485)+'BM 005'!I485</f>
        <v>0</v>
      </c>
      <c r="J485" s="79">
        <f t="shared" si="204"/>
        <v>36.700000000000003</v>
      </c>
      <c r="K485" s="84">
        <v>149.85</v>
      </c>
      <c r="L485" s="81">
        <f t="shared" si="203"/>
        <v>189.94987648349999</v>
      </c>
      <c r="M485" s="82">
        <f>TRUNC(F485*L485,2)</f>
        <v>0</v>
      </c>
      <c r="N485" s="82">
        <f>TRUNC(G485*L485,2)</f>
        <v>0</v>
      </c>
      <c r="O485" s="82">
        <f>N485+'BM 005'!O485</f>
        <v>0</v>
      </c>
      <c r="P485" s="80">
        <f>E485*K485</f>
        <v>5499.4949999999999</v>
      </c>
      <c r="Q485" s="82">
        <f>TRUNC(E485*L485,2)</f>
        <v>6971.16</v>
      </c>
      <c r="R485" s="82">
        <f>Q485-O485</f>
        <v>6971.16</v>
      </c>
    </row>
    <row r="486" spans="2:18" s="34" customFormat="1" ht="46.2">
      <c r="B486" s="75" t="s">
        <v>947</v>
      </c>
      <c r="C486" s="76" t="s">
        <v>948</v>
      </c>
      <c r="D486" s="77" t="s">
        <v>82</v>
      </c>
      <c r="E486" s="93">
        <v>180.5</v>
      </c>
      <c r="F486" s="79"/>
      <c r="G486" s="79"/>
      <c r="H486" s="79"/>
      <c r="I486" s="79">
        <f>SUM(G486:H486)+'BM 005'!I486</f>
        <v>0</v>
      </c>
      <c r="J486" s="79">
        <f t="shared" si="204"/>
        <v>180.5</v>
      </c>
      <c r="K486" s="84">
        <v>415.41</v>
      </c>
      <c r="L486" s="81">
        <f t="shared" si="203"/>
        <v>526.57376169510007</v>
      </c>
      <c r="M486" s="82">
        <f>TRUNC(F486*L486,2)</f>
        <v>0</v>
      </c>
      <c r="N486" s="82">
        <f>TRUNC(G486*L486,2)</f>
        <v>0</v>
      </c>
      <c r="O486" s="82">
        <f>N486+'BM 005'!O486</f>
        <v>0</v>
      </c>
      <c r="P486" s="80">
        <f>E486*K486</f>
        <v>74981.505000000005</v>
      </c>
      <c r="Q486" s="82">
        <f>TRUNC(E486*L486,2)</f>
        <v>95046.56</v>
      </c>
      <c r="R486" s="82">
        <f>Q486-O486</f>
        <v>95046.56</v>
      </c>
    </row>
    <row r="487" spans="2:18" s="34" customFormat="1" ht="13.2">
      <c r="B487" s="66" t="s">
        <v>949</v>
      </c>
      <c r="C487" s="67" t="s">
        <v>950</v>
      </c>
      <c r="D487" s="68"/>
      <c r="E487" s="69"/>
      <c r="F487" s="70"/>
      <c r="G487" s="70"/>
      <c r="H487" s="70"/>
      <c r="I487" s="70">
        <f>SUM(G487:H487)+'BM 005'!I487</f>
        <v>0</v>
      </c>
      <c r="J487" s="70">
        <f t="shared" si="204"/>
        <v>0</v>
      </c>
      <c r="K487" s="71"/>
      <c r="L487" s="71">
        <f t="shared" si="203"/>
        <v>0</v>
      </c>
      <c r="M487" s="73">
        <f t="shared" ref="M487:R487" si="207">SUM(M488:M506)</f>
        <v>0</v>
      </c>
      <c r="N487" s="73">
        <f t="shared" si="207"/>
        <v>0</v>
      </c>
      <c r="O487" s="73">
        <f t="shared" si="207"/>
        <v>0</v>
      </c>
      <c r="P487" s="73">
        <f t="shared" si="207"/>
        <v>41266.641499999998</v>
      </c>
      <c r="Q487" s="73">
        <f t="shared" si="207"/>
        <v>52309.5</v>
      </c>
      <c r="R487" s="73">
        <f t="shared" si="207"/>
        <v>52309.5</v>
      </c>
    </row>
    <row r="488" spans="2:18" s="34" customFormat="1" ht="34.799999999999997">
      <c r="B488" s="75" t="s">
        <v>951</v>
      </c>
      <c r="C488" s="76" t="s">
        <v>952</v>
      </c>
      <c r="D488" s="77" t="s">
        <v>131</v>
      </c>
      <c r="E488" s="78">
        <v>362</v>
      </c>
      <c r="F488" s="79"/>
      <c r="G488" s="79"/>
      <c r="H488" s="79"/>
      <c r="I488" s="79">
        <f>SUM(G488:H488)+'BM 005'!I488</f>
        <v>0</v>
      </c>
      <c r="J488" s="79">
        <f t="shared" si="204"/>
        <v>362</v>
      </c>
      <c r="K488" s="84">
        <v>5.6295000000000002</v>
      </c>
      <c r="L488" s="81">
        <f t="shared" si="203"/>
        <v>7.1359548192450006</v>
      </c>
      <c r="M488" s="82">
        <f t="shared" ref="M488:M506" si="208">TRUNC(F488*L488,2)</f>
        <v>0</v>
      </c>
      <c r="N488" s="82">
        <f t="shared" ref="N488:N506" si="209">TRUNC(G488*L488,2)</f>
        <v>0</v>
      </c>
      <c r="O488" s="82">
        <f>N488+'BM 005'!O488</f>
        <v>0</v>
      </c>
      <c r="P488" s="80">
        <f t="shared" ref="P488:P506" si="210">E488*K488</f>
        <v>2037.8790000000001</v>
      </c>
      <c r="Q488" s="82">
        <f t="shared" ref="Q488:Q506" si="211">TRUNC(E488*L488,2)</f>
        <v>2583.21</v>
      </c>
      <c r="R488" s="82">
        <f t="shared" ref="R488:R506" si="212">Q488-O488</f>
        <v>2583.21</v>
      </c>
    </row>
    <row r="489" spans="2:18" s="34" customFormat="1" ht="34.799999999999997">
      <c r="B489" s="75" t="s">
        <v>953</v>
      </c>
      <c r="C489" s="76" t="s">
        <v>954</v>
      </c>
      <c r="D489" s="77" t="s">
        <v>131</v>
      </c>
      <c r="E489" s="78">
        <v>41</v>
      </c>
      <c r="F489" s="79"/>
      <c r="G489" s="79"/>
      <c r="H489" s="79"/>
      <c r="I489" s="79">
        <f>SUM(G489:H489)+'BM 005'!I489</f>
        <v>0</v>
      </c>
      <c r="J489" s="79">
        <f t="shared" si="204"/>
        <v>41</v>
      </c>
      <c r="K489" s="84">
        <v>12.771000000000001</v>
      </c>
      <c r="L489" s="81">
        <f t="shared" si="203"/>
        <v>16.188521004810003</v>
      </c>
      <c r="M489" s="82">
        <f t="shared" si="208"/>
        <v>0</v>
      </c>
      <c r="N489" s="82">
        <f t="shared" si="209"/>
        <v>0</v>
      </c>
      <c r="O489" s="82">
        <f>N489+'BM 005'!O489</f>
        <v>0</v>
      </c>
      <c r="P489" s="80">
        <f t="shared" si="210"/>
        <v>523.61099999999999</v>
      </c>
      <c r="Q489" s="82">
        <f t="shared" si="211"/>
        <v>663.72</v>
      </c>
      <c r="R489" s="82">
        <f t="shared" si="212"/>
        <v>663.72</v>
      </c>
    </row>
    <row r="490" spans="2:18" s="34" customFormat="1" ht="34.799999999999997">
      <c r="B490" s="75" t="s">
        <v>955</v>
      </c>
      <c r="C490" s="76" t="s">
        <v>956</v>
      </c>
      <c r="D490" s="77" t="s">
        <v>131</v>
      </c>
      <c r="E490" s="78">
        <v>4</v>
      </c>
      <c r="F490" s="79"/>
      <c r="G490" s="79"/>
      <c r="H490" s="79"/>
      <c r="I490" s="79">
        <f>SUM(G490:H490)+'BM 005'!I490</f>
        <v>0</v>
      </c>
      <c r="J490" s="79">
        <f t="shared" si="204"/>
        <v>4</v>
      </c>
      <c r="K490" s="84">
        <v>20.358000000000001</v>
      </c>
      <c r="L490" s="81">
        <f t="shared" si="203"/>
        <v>25.805803039380002</v>
      </c>
      <c r="M490" s="82">
        <f t="shared" si="208"/>
        <v>0</v>
      </c>
      <c r="N490" s="82">
        <f t="shared" si="209"/>
        <v>0</v>
      </c>
      <c r="O490" s="82">
        <f>N490+'BM 005'!O490</f>
        <v>0</v>
      </c>
      <c r="P490" s="80">
        <f t="shared" si="210"/>
        <v>81.432000000000002</v>
      </c>
      <c r="Q490" s="82">
        <f t="shared" si="211"/>
        <v>103.22</v>
      </c>
      <c r="R490" s="82">
        <f t="shared" si="212"/>
        <v>103.22</v>
      </c>
    </row>
    <row r="491" spans="2:18" s="34" customFormat="1" ht="34.799999999999997">
      <c r="B491" s="75" t="s">
        <v>957</v>
      </c>
      <c r="C491" s="76" t="s">
        <v>958</v>
      </c>
      <c r="D491" s="77" t="s">
        <v>131</v>
      </c>
      <c r="E491" s="78">
        <v>12</v>
      </c>
      <c r="F491" s="79"/>
      <c r="G491" s="79"/>
      <c r="H491" s="79"/>
      <c r="I491" s="79">
        <f>SUM(G491:H491)+'BM 005'!I491</f>
        <v>0</v>
      </c>
      <c r="J491" s="79">
        <f t="shared" si="204"/>
        <v>12</v>
      </c>
      <c r="K491" s="84">
        <v>68.418000000000006</v>
      </c>
      <c r="L491" s="81">
        <f t="shared" si="203"/>
        <v>86.726664325980011</v>
      </c>
      <c r="M491" s="82">
        <f t="shared" si="208"/>
        <v>0</v>
      </c>
      <c r="N491" s="82">
        <f t="shared" si="209"/>
        <v>0</v>
      </c>
      <c r="O491" s="82">
        <f>N491+'BM 005'!O491</f>
        <v>0</v>
      </c>
      <c r="P491" s="80">
        <f t="shared" si="210"/>
        <v>821.01600000000008</v>
      </c>
      <c r="Q491" s="82">
        <f t="shared" si="211"/>
        <v>1040.71</v>
      </c>
      <c r="R491" s="82">
        <f t="shared" si="212"/>
        <v>1040.71</v>
      </c>
    </row>
    <row r="492" spans="2:18" s="34" customFormat="1" ht="46.2">
      <c r="B492" s="75" t="s">
        <v>959</v>
      </c>
      <c r="C492" s="76" t="s">
        <v>960</v>
      </c>
      <c r="D492" s="77" t="s">
        <v>131</v>
      </c>
      <c r="E492" s="78">
        <v>106</v>
      </c>
      <c r="F492" s="79"/>
      <c r="G492" s="79"/>
      <c r="H492" s="79"/>
      <c r="I492" s="79">
        <f>SUM(G492:H492)+'BM 005'!I492</f>
        <v>0</v>
      </c>
      <c r="J492" s="79">
        <f t="shared" si="204"/>
        <v>106</v>
      </c>
      <c r="K492" s="84">
        <v>20.52</v>
      </c>
      <c r="L492" s="81">
        <f t="shared" si="203"/>
        <v>26.011154257200001</v>
      </c>
      <c r="M492" s="82">
        <f t="shared" si="208"/>
        <v>0</v>
      </c>
      <c r="N492" s="82">
        <f t="shared" si="209"/>
        <v>0</v>
      </c>
      <c r="O492" s="82">
        <f>N492+'BM 005'!O492</f>
        <v>0</v>
      </c>
      <c r="P492" s="80">
        <f t="shared" si="210"/>
        <v>2175.12</v>
      </c>
      <c r="Q492" s="82">
        <f t="shared" si="211"/>
        <v>2757.18</v>
      </c>
      <c r="R492" s="82">
        <f t="shared" si="212"/>
        <v>2757.18</v>
      </c>
    </row>
    <row r="493" spans="2:18" s="34" customFormat="1" ht="46.2">
      <c r="B493" s="75" t="s">
        <v>961</v>
      </c>
      <c r="C493" s="76" t="s">
        <v>962</v>
      </c>
      <c r="D493" s="77" t="s">
        <v>131</v>
      </c>
      <c r="E493" s="78">
        <v>14</v>
      </c>
      <c r="F493" s="79"/>
      <c r="G493" s="79"/>
      <c r="H493" s="79"/>
      <c r="I493" s="79">
        <f>SUM(G493:H493)+'BM 005'!I493</f>
        <v>0</v>
      </c>
      <c r="J493" s="79">
        <f t="shared" si="204"/>
        <v>14</v>
      </c>
      <c r="K493" s="84">
        <v>11.4885</v>
      </c>
      <c r="L493" s="81">
        <f t="shared" si="203"/>
        <v>14.562823863735002</v>
      </c>
      <c r="M493" s="82">
        <f t="shared" si="208"/>
        <v>0</v>
      </c>
      <c r="N493" s="82">
        <f t="shared" si="209"/>
        <v>0</v>
      </c>
      <c r="O493" s="82">
        <f>N493+'BM 005'!O493</f>
        <v>0</v>
      </c>
      <c r="P493" s="80">
        <f t="shared" si="210"/>
        <v>160.839</v>
      </c>
      <c r="Q493" s="82">
        <f t="shared" si="211"/>
        <v>203.87</v>
      </c>
      <c r="R493" s="82">
        <f t="shared" si="212"/>
        <v>203.87</v>
      </c>
    </row>
    <row r="494" spans="2:18" s="34" customFormat="1" ht="46.2">
      <c r="B494" s="75" t="s">
        <v>963</v>
      </c>
      <c r="C494" s="76" t="s">
        <v>964</v>
      </c>
      <c r="D494" s="77" t="s">
        <v>131</v>
      </c>
      <c r="E494" s="78">
        <v>6</v>
      </c>
      <c r="F494" s="79"/>
      <c r="G494" s="79"/>
      <c r="H494" s="79"/>
      <c r="I494" s="79">
        <f>SUM(G494:H494)+'BM 005'!I494</f>
        <v>0</v>
      </c>
      <c r="J494" s="79">
        <f t="shared" si="204"/>
        <v>6</v>
      </c>
      <c r="K494" s="84">
        <v>13.432499999999999</v>
      </c>
      <c r="L494" s="81">
        <f t="shared" si="203"/>
        <v>17.027038477575001</v>
      </c>
      <c r="M494" s="82">
        <f t="shared" si="208"/>
        <v>0</v>
      </c>
      <c r="N494" s="82">
        <f t="shared" si="209"/>
        <v>0</v>
      </c>
      <c r="O494" s="82">
        <f>N494+'BM 005'!O494</f>
        <v>0</v>
      </c>
      <c r="P494" s="80">
        <f t="shared" si="210"/>
        <v>80.594999999999999</v>
      </c>
      <c r="Q494" s="82">
        <f t="shared" si="211"/>
        <v>102.16</v>
      </c>
      <c r="R494" s="82">
        <f t="shared" si="212"/>
        <v>102.16</v>
      </c>
    </row>
    <row r="495" spans="2:18" s="34" customFormat="1" ht="23.4">
      <c r="B495" s="75" t="s">
        <v>965</v>
      </c>
      <c r="C495" s="76" t="s">
        <v>966</v>
      </c>
      <c r="D495" s="77" t="s">
        <v>131</v>
      </c>
      <c r="E495" s="78">
        <v>3</v>
      </c>
      <c r="F495" s="79"/>
      <c r="G495" s="79"/>
      <c r="H495" s="79"/>
      <c r="I495" s="79">
        <f>SUM(G495:H495)+'BM 005'!I495</f>
        <v>0</v>
      </c>
      <c r="J495" s="79">
        <f t="shared" si="204"/>
        <v>3</v>
      </c>
      <c r="K495" s="84">
        <v>42.214500000000001</v>
      </c>
      <c r="L495" s="81">
        <f t="shared" si="203"/>
        <v>53.511104843595007</v>
      </c>
      <c r="M495" s="82">
        <f t="shared" si="208"/>
        <v>0</v>
      </c>
      <c r="N495" s="82">
        <f t="shared" si="209"/>
        <v>0</v>
      </c>
      <c r="O495" s="82">
        <f>N495+'BM 005'!O495</f>
        <v>0</v>
      </c>
      <c r="P495" s="80">
        <f t="shared" si="210"/>
        <v>126.6435</v>
      </c>
      <c r="Q495" s="82">
        <f t="shared" si="211"/>
        <v>160.53</v>
      </c>
      <c r="R495" s="82">
        <f t="shared" si="212"/>
        <v>160.53</v>
      </c>
    </row>
    <row r="496" spans="2:18" s="34" customFormat="1" ht="34.799999999999997">
      <c r="B496" s="75" t="s">
        <v>967</v>
      </c>
      <c r="C496" s="76" t="s">
        <v>968</v>
      </c>
      <c r="D496" s="77" t="s">
        <v>131</v>
      </c>
      <c r="E496" s="78">
        <v>51</v>
      </c>
      <c r="F496" s="79"/>
      <c r="G496" s="79"/>
      <c r="H496" s="79"/>
      <c r="I496" s="79">
        <f>SUM(G496:H496)+'BM 005'!I496</f>
        <v>0</v>
      </c>
      <c r="J496" s="79">
        <f t="shared" si="204"/>
        <v>51</v>
      </c>
      <c r="K496" s="84">
        <v>15.1335</v>
      </c>
      <c r="L496" s="81">
        <f t="shared" si="203"/>
        <v>19.183226264685</v>
      </c>
      <c r="M496" s="82">
        <f t="shared" si="208"/>
        <v>0</v>
      </c>
      <c r="N496" s="82">
        <f t="shared" si="209"/>
        <v>0</v>
      </c>
      <c r="O496" s="82">
        <f>N496+'BM 005'!O496</f>
        <v>0</v>
      </c>
      <c r="P496" s="80">
        <f t="shared" si="210"/>
        <v>771.80849999999998</v>
      </c>
      <c r="Q496" s="82">
        <f t="shared" si="211"/>
        <v>978.34</v>
      </c>
      <c r="R496" s="82">
        <f t="shared" si="212"/>
        <v>978.34</v>
      </c>
    </row>
    <row r="497" spans="2:18" s="34" customFormat="1" ht="34.799999999999997">
      <c r="B497" s="75" t="s">
        <v>969</v>
      </c>
      <c r="C497" s="76" t="s">
        <v>970</v>
      </c>
      <c r="D497" s="77" t="s">
        <v>131</v>
      </c>
      <c r="E497" s="78">
        <v>8</v>
      </c>
      <c r="F497" s="79"/>
      <c r="G497" s="79"/>
      <c r="H497" s="79"/>
      <c r="I497" s="79">
        <f>SUM(G497:H497)+'BM 005'!I497</f>
        <v>0</v>
      </c>
      <c r="J497" s="79">
        <f t="shared" si="204"/>
        <v>8</v>
      </c>
      <c r="K497" s="84">
        <v>23.638500000000001</v>
      </c>
      <c r="L497" s="81">
        <f t="shared" si="203"/>
        <v>29.964165200235001</v>
      </c>
      <c r="M497" s="82">
        <f t="shared" si="208"/>
        <v>0</v>
      </c>
      <c r="N497" s="82">
        <f t="shared" si="209"/>
        <v>0</v>
      </c>
      <c r="O497" s="82">
        <f>N497+'BM 005'!O497</f>
        <v>0</v>
      </c>
      <c r="P497" s="80">
        <f t="shared" si="210"/>
        <v>189.108</v>
      </c>
      <c r="Q497" s="82">
        <f t="shared" si="211"/>
        <v>239.71</v>
      </c>
      <c r="R497" s="82">
        <f t="shared" si="212"/>
        <v>239.71</v>
      </c>
    </row>
    <row r="498" spans="2:18" s="34" customFormat="1" ht="34.799999999999997">
      <c r="B498" s="75" t="s">
        <v>971</v>
      </c>
      <c r="C498" s="76" t="s">
        <v>972</v>
      </c>
      <c r="D498" s="77" t="s">
        <v>131</v>
      </c>
      <c r="E498" s="78">
        <v>3</v>
      </c>
      <c r="F498" s="79"/>
      <c r="G498" s="79"/>
      <c r="H498" s="79"/>
      <c r="I498" s="79">
        <f>SUM(G498:H498)+'BM 005'!I498</f>
        <v>0</v>
      </c>
      <c r="J498" s="79">
        <f t="shared" si="204"/>
        <v>3</v>
      </c>
      <c r="K498" s="84">
        <v>32.656500000000001</v>
      </c>
      <c r="L498" s="81">
        <f t="shared" si="203"/>
        <v>41.395382992215005</v>
      </c>
      <c r="M498" s="82">
        <f t="shared" si="208"/>
        <v>0</v>
      </c>
      <c r="N498" s="82">
        <f t="shared" si="209"/>
        <v>0</v>
      </c>
      <c r="O498" s="82">
        <f>N498+'BM 005'!O498</f>
        <v>0</v>
      </c>
      <c r="P498" s="80">
        <f t="shared" si="210"/>
        <v>97.969500000000011</v>
      </c>
      <c r="Q498" s="82">
        <f t="shared" si="211"/>
        <v>124.18</v>
      </c>
      <c r="R498" s="82">
        <f t="shared" si="212"/>
        <v>124.18</v>
      </c>
    </row>
    <row r="499" spans="2:18" s="34" customFormat="1" ht="23.4">
      <c r="B499" s="75" t="s">
        <v>973</v>
      </c>
      <c r="C499" s="76" t="s">
        <v>974</v>
      </c>
      <c r="D499" s="77" t="s">
        <v>131</v>
      </c>
      <c r="E499" s="78">
        <v>14</v>
      </c>
      <c r="F499" s="79"/>
      <c r="G499" s="79"/>
      <c r="H499" s="79"/>
      <c r="I499" s="79">
        <f>SUM(G499:H499)+'BM 005'!I499</f>
        <v>0</v>
      </c>
      <c r="J499" s="79">
        <f t="shared" si="204"/>
        <v>14</v>
      </c>
      <c r="K499" s="84">
        <v>24.003</v>
      </c>
      <c r="L499" s="81">
        <f t="shared" si="203"/>
        <v>30.426205440330001</v>
      </c>
      <c r="M499" s="82">
        <f t="shared" si="208"/>
        <v>0</v>
      </c>
      <c r="N499" s="82">
        <f t="shared" si="209"/>
        <v>0</v>
      </c>
      <c r="O499" s="82">
        <f>N499+'BM 005'!O499</f>
        <v>0</v>
      </c>
      <c r="P499" s="80">
        <f t="shared" si="210"/>
        <v>336.04200000000003</v>
      </c>
      <c r="Q499" s="82">
        <f t="shared" si="211"/>
        <v>425.96</v>
      </c>
      <c r="R499" s="82">
        <f t="shared" si="212"/>
        <v>425.96</v>
      </c>
    </row>
    <row r="500" spans="2:18" s="34" customFormat="1" ht="23.4">
      <c r="B500" s="75" t="s">
        <v>975</v>
      </c>
      <c r="C500" s="76" t="s">
        <v>976</v>
      </c>
      <c r="D500" s="77" t="s">
        <v>131</v>
      </c>
      <c r="E500" s="78">
        <v>47</v>
      </c>
      <c r="F500" s="79"/>
      <c r="G500" s="79"/>
      <c r="H500" s="79"/>
      <c r="I500" s="79">
        <f>SUM(G500:H500)+'BM 005'!I500</f>
        <v>0</v>
      </c>
      <c r="J500" s="79">
        <f t="shared" si="204"/>
        <v>47</v>
      </c>
      <c r="K500" s="84">
        <v>54.7425</v>
      </c>
      <c r="L500" s="81">
        <f t="shared" si="203"/>
        <v>69.391599021675006</v>
      </c>
      <c r="M500" s="82">
        <f t="shared" si="208"/>
        <v>0</v>
      </c>
      <c r="N500" s="82">
        <f t="shared" si="209"/>
        <v>0</v>
      </c>
      <c r="O500" s="82">
        <f>N500+'BM 005'!O500</f>
        <v>0</v>
      </c>
      <c r="P500" s="80">
        <f t="shared" si="210"/>
        <v>2572.8975</v>
      </c>
      <c r="Q500" s="82">
        <f t="shared" si="211"/>
        <v>3261.4</v>
      </c>
      <c r="R500" s="82">
        <f t="shared" si="212"/>
        <v>3261.4</v>
      </c>
    </row>
    <row r="501" spans="2:18" s="34" customFormat="1" ht="23.4">
      <c r="B501" s="75" t="s">
        <v>977</v>
      </c>
      <c r="C501" s="76" t="s">
        <v>978</v>
      </c>
      <c r="D501" s="77" t="s">
        <v>131</v>
      </c>
      <c r="E501" s="78">
        <v>3</v>
      </c>
      <c r="F501" s="79"/>
      <c r="G501" s="79"/>
      <c r="H501" s="79"/>
      <c r="I501" s="79">
        <f>SUM(G501:H501)+'BM 005'!I501</f>
        <v>0</v>
      </c>
      <c r="J501" s="79">
        <f t="shared" si="204"/>
        <v>3</v>
      </c>
      <c r="K501" s="84">
        <v>79.393500000000003</v>
      </c>
      <c r="L501" s="81">
        <f t="shared" si="203"/>
        <v>100.63920933328501</v>
      </c>
      <c r="M501" s="82">
        <f t="shared" si="208"/>
        <v>0</v>
      </c>
      <c r="N501" s="82">
        <f t="shared" si="209"/>
        <v>0</v>
      </c>
      <c r="O501" s="82">
        <f>N501+'BM 005'!O501</f>
        <v>0</v>
      </c>
      <c r="P501" s="80">
        <f t="shared" si="210"/>
        <v>238.18049999999999</v>
      </c>
      <c r="Q501" s="82">
        <f t="shared" si="211"/>
        <v>301.91000000000003</v>
      </c>
      <c r="R501" s="82">
        <f t="shared" si="212"/>
        <v>301.91000000000003</v>
      </c>
    </row>
    <row r="502" spans="2:18" s="34" customFormat="1" ht="34.799999999999997">
      <c r="B502" s="75" t="s">
        <v>979</v>
      </c>
      <c r="C502" s="76" t="s">
        <v>980</v>
      </c>
      <c r="D502" s="77" t="s">
        <v>131</v>
      </c>
      <c r="E502" s="78">
        <v>3</v>
      </c>
      <c r="F502" s="79"/>
      <c r="G502" s="79"/>
      <c r="H502" s="79"/>
      <c r="I502" s="79">
        <f>SUM(G502:H502)+'BM 005'!I502</f>
        <v>0</v>
      </c>
      <c r="J502" s="79">
        <f t="shared" si="204"/>
        <v>3</v>
      </c>
      <c r="K502" s="84">
        <v>634.5</v>
      </c>
      <c r="L502" s="81">
        <f t="shared" si="203"/>
        <v>804.29226979500004</v>
      </c>
      <c r="M502" s="82">
        <f t="shared" si="208"/>
        <v>0</v>
      </c>
      <c r="N502" s="82">
        <f t="shared" si="209"/>
        <v>0</v>
      </c>
      <c r="O502" s="82">
        <f>N502+'BM 005'!O502</f>
        <v>0</v>
      </c>
      <c r="P502" s="80">
        <f t="shared" si="210"/>
        <v>1903.5</v>
      </c>
      <c r="Q502" s="82">
        <f t="shared" si="211"/>
        <v>2412.87</v>
      </c>
      <c r="R502" s="82">
        <f t="shared" si="212"/>
        <v>2412.87</v>
      </c>
    </row>
    <row r="503" spans="2:18" s="34" customFormat="1" ht="23.4">
      <c r="B503" s="75" t="s">
        <v>981</v>
      </c>
      <c r="C503" s="76" t="s">
        <v>982</v>
      </c>
      <c r="D503" s="77" t="s">
        <v>131</v>
      </c>
      <c r="E503" s="78">
        <v>6</v>
      </c>
      <c r="F503" s="79"/>
      <c r="G503" s="79"/>
      <c r="H503" s="79"/>
      <c r="I503" s="79">
        <f>SUM(G503:H503)+'BM 005'!I503</f>
        <v>0</v>
      </c>
      <c r="J503" s="79">
        <f t="shared" si="204"/>
        <v>6</v>
      </c>
      <c r="K503" s="84">
        <v>985</v>
      </c>
      <c r="L503" s="81">
        <f t="shared" si="203"/>
        <v>1248.5861083500001</v>
      </c>
      <c r="M503" s="82">
        <f t="shared" si="208"/>
        <v>0</v>
      </c>
      <c r="N503" s="82">
        <f t="shared" si="209"/>
        <v>0</v>
      </c>
      <c r="O503" s="82">
        <f>N503+'BM 005'!O503</f>
        <v>0</v>
      </c>
      <c r="P503" s="80">
        <f t="shared" si="210"/>
        <v>5910</v>
      </c>
      <c r="Q503" s="82">
        <f t="shared" si="211"/>
        <v>7491.51</v>
      </c>
      <c r="R503" s="82">
        <f t="shared" si="212"/>
        <v>7491.51</v>
      </c>
    </row>
    <row r="504" spans="2:18" s="34" customFormat="1" ht="23.4">
      <c r="B504" s="75" t="s">
        <v>983</v>
      </c>
      <c r="C504" s="76" t="s">
        <v>984</v>
      </c>
      <c r="D504" s="77" t="s">
        <v>131</v>
      </c>
      <c r="E504" s="78">
        <v>6</v>
      </c>
      <c r="F504" s="79"/>
      <c r="G504" s="79"/>
      <c r="H504" s="79"/>
      <c r="I504" s="79">
        <f>SUM(G504:H504)+'BM 005'!I504</f>
        <v>0</v>
      </c>
      <c r="J504" s="79">
        <f t="shared" si="204"/>
        <v>6</v>
      </c>
      <c r="K504" s="84">
        <v>895</v>
      </c>
      <c r="L504" s="81">
        <f t="shared" si="203"/>
        <v>1134.5020984499999</v>
      </c>
      <c r="M504" s="82">
        <f t="shared" si="208"/>
        <v>0</v>
      </c>
      <c r="N504" s="82">
        <f t="shared" si="209"/>
        <v>0</v>
      </c>
      <c r="O504" s="82">
        <f>N504+'BM 005'!O504</f>
        <v>0</v>
      </c>
      <c r="P504" s="80">
        <f t="shared" si="210"/>
        <v>5370</v>
      </c>
      <c r="Q504" s="82">
        <f t="shared" si="211"/>
        <v>6807.01</v>
      </c>
      <c r="R504" s="82">
        <f t="shared" si="212"/>
        <v>6807.01</v>
      </c>
    </row>
    <row r="505" spans="2:18" s="34" customFormat="1" ht="23.4">
      <c r="B505" s="75" t="s">
        <v>985</v>
      </c>
      <c r="C505" s="76" t="s">
        <v>986</v>
      </c>
      <c r="D505" s="77" t="s">
        <v>131</v>
      </c>
      <c r="E505" s="78">
        <v>6</v>
      </c>
      <c r="F505" s="79"/>
      <c r="G505" s="79"/>
      <c r="H505" s="79"/>
      <c r="I505" s="79">
        <f>SUM(G505:H505)+'BM 005'!I505</f>
        <v>0</v>
      </c>
      <c r="J505" s="79">
        <f t="shared" si="204"/>
        <v>6</v>
      </c>
      <c r="K505" s="84">
        <v>895</v>
      </c>
      <c r="L505" s="81">
        <f t="shared" si="203"/>
        <v>1134.5020984499999</v>
      </c>
      <c r="M505" s="82">
        <f t="shared" si="208"/>
        <v>0</v>
      </c>
      <c r="N505" s="82">
        <f t="shared" si="209"/>
        <v>0</v>
      </c>
      <c r="O505" s="82">
        <f>N505+'BM 005'!O505</f>
        <v>0</v>
      </c>
      <c r="P505" s="80">
        <f t="shared" si="210"/>
        <v>5370</v>
      </c>
      <c r="Q505" s="82">
        <f t="shared" si="211"/>
        <v>6807.01</v>
      </c>
      <c r="R505" s="82">
        <f t="shared" si="212"/>
        <v>6807.01</v>
      </c>
    </row>
    <row r="506" spans="2:18" s="34" customFormat="1" ht="34.799999999999997">
      <c r="B506" s="75" t="s">
        <v>987</v>
      </c>
      <c r="C506" s="76" t="s">
        <v>988</v>
      </c>
      <c r="D506" s="77" t="s">
        <v>131</v>
      </c>
      <c r="E506" s="78">
        <v>20</v>
      </c>
      <c r="F506" s="79"/>
      <c r="G506" s="79"/>
      <c r="H506" s="79"/>
      <c r="I506" s="79">
        <f>SUM(G506:H506)+'BM 005'!I506</f>
        <v>0</v>
      </c>
      <c r="J506" s="79">
        <f t="shared" si="204"/>
        <v>20</v>
      </c>
      <c r="K506" s="84">
        <v>625</v>
      </c>
      <c r="L506" s="81">
        <f t="shared" si="203"/>
        <v>792.25006875000008</v>
      </c>
      <c r="M506" s="82">
        <f t="shared" si="208"/>
        <v>0</v>
      </c>
      <c r="N506" s="82">
        <f t="shared" si="209"/>
        <v>0</v>
      </c>
      <c r="O506" s="82">
        <f>N506+'BM 005'!O506</f>
        <v>0</v>
      </c>
      <c r="P506" s="80">
        <f t="shared" si="210"/>
        <v>12500</v>
      </c>
      <c r="Q506" s="82">
        <f t="shared" si="211"/>
        <v>15845</v>
      </c>
      <c r="R506" s="82">
        <f t="shared" si="212"/>
        <v>15845</v>
      </c>
    </row>
    <row r="507" spans="2:18" s="34" customFormat="1" ht="13.2">
      <c r="B507" s="60" t="s">
        <v>989</v>
      </c>
      <c r="C507" s="61" t="s">
        <v>990</v>
      </c>
      <c r="D507" s="60"/>
      <c r="E507" s="62"/>
      <c r="F507" s="63"/>
      <c r="G507" s="63"/>
      <c r="H507" s="63"/>
      <c r="I507" s="63">
        <f>SUM(G507:H507)+'BM 005'!I507</f>
        <v>0</v>
      </c>
      <c r="J507" s="63">
        <f t="shared" si="204"/>
        <v>0</v>
      </c>
      <c r="K507" s="63"/>
      <c r="L507" s="63">
        <f t="shared" si="203"/>
        <v>0</v>
      </c>
      <c r="M507" s="63">
        <f t="shared" ref="M507:R507" si="213">SUM(M508,M520,M552,M554)</f>
        <v>1262.51</v>
      </c>
      <c r="N507" s="63">
        <f t="shared" si="213"/>
        <v>1262.51</v>
      </c>
      <c r="O507" s="63">
        <f t="shared" si="213"/>
        <v>1262.51</v>
      </c>
      <c r="P507" s="63">
        <f t="shared" si="213"/>
        <v>248226.55</v>
      </c>
      <c r="Q507" s="63">
        <f t="shared" si="213"/>
        <v>314651.83</v>
      </c>
      <c r="R507" s="63">
        <f t="shared" si="213"/>
        <v>313389.32</v>
      </c>
    </row>
    <row r="508" spans="2:18" s="34" customFormat="1" ht="13.2">
      <c r="B508" s="66" t="s">
        <v>991</v>
      </c>
      <c r="C508" s="67" t="s">
        <v>992</v>
      </c>
      <c r="D508" s="68"/>
      <c r="E508" s="69"/>
      <c r="F508" s="70"/>
      <c r="G508" s="70"/>
      <c r="H508" s="70"/>
      <c r="I508" s="70">
        <f>SUM(G508:H508)+'BM 005'!I508</f>
        <v>0</v>
      </c>
      <c r="J508" s="70">
        <f t="shared" si="204"/>
        <v>0</v>
      </c>
      <c r="K508" s="71"/>
      <c r="L508" s="71">
        <f t="shared" si="203"/>
        <v>0</v>
      </c>
      <c r="M508" s="73">
        <f t="shared" ref="M508:R508" si="214">SUM(M509:M519)</f>
        <v>836.61</v>
      </c>
      <c r="N508" s="73">
        <f t="shared" si="214"/>
        <v>836.61</v>
      </c>
      <c r="O508" s="73">
        <f t="shared" si="214"/>
        <v>836.61</v>
      </c>
      <c r="P508" s="73">
        <f t="shared" si="214"/>
        <v>96780</v>
      </c>
      <c r="Q508" s="73">
        <f t="shared" si="214"/>
        <v>122678.3</v>
      </c>
      <c r="R508" s="73">
        <f t="shared" si="214"/>
        <v>121841.69</v>
      </c>
    </row>
    <row r="509" spans="2:18" s="34" customFormat="1" ht="23.4">
      <c r="B509" s="75" t="s">
        <v>993</v>
      </c>
      <c r="C509" s="76" t="s">
        <v>994</v>
      </c>
      <c r="D509" s="77" t="s">
        <v>124</v>
      </c>
      <c r="E509" s="93">
        <v>300</v>
      </c>
      <c r="F509" s="79"/>
      <c r="G509" s="79"/>
      <c r="H509" s="79"/>
      <c r="I509" s="79">
        <f>SUM(G509:H509)+'BM 005'!I509</f>
        <v>0</v>
      </c>
      <c r="J509" s="79">
        <f t="shared" si="204"/>
        <v>300</v>
      </c>
      <c r="K509" s="84">
        <v>18</v>
      </c>
      <c r="L509" s="81">
        <f t="shared" si="203"/>
        <v>22.816801980000001</v>
      </c>
      <c r="M509" s="82">
        <f t="shared" ref="M509:M519" si="215">TRUNC(F509*L509,2)</f>
        <v>0</v>
      </c>
      <c r="N509" s="82">
        <f t="shared" ref="N509:N519" si="216">TRUNC(G509*L509,2)</f>
        <v>0</v>
      </c>
      <c r="O509" s="82">
        <f>N509+'BM 005'!O509</f>
        <v>0</v>
      </c>
      <c r="P509" s="80">
        <f t="shared" ref="P509:P519" si="217">E509*K509</f>
        <v>5400</v>
      </c>
      <c r="Q509" s="82">
        <f t="shared" ref="Q509:Q519" si="218">TRUNC(E509*L509,2)</f>
        <v>6845.04</v>
      </c>
      <c r="R509" s="82">
        <f t="shared" ref="R509:R519" si="219">Q509-O509</f>
        <v>6845.04</v>
      </c>
    </row>
    <row r="510" spans="2:18" s="34" customFormat="1" ht="34.799999999999997">
      <c r="B510" s="75" t="s">
        <v>995</v>
      </c>
      <c r="C510" s="76" t="s">
        <v>996</v>
      </c>
      <c r="D510" s="77" t="s">
        <v>390</v>
      </c>
      <c r="E510" s="93">
        <v>60</v>
      </c>
      <c r="F510" s="79"/>
      <c r="G510" s="79"/>
      <c r="H510" s="79"/>
      <c r="I510" s="79">
        <f>SUM(G510:H510)+'BM 005'!I510</f>
        <v>0</v>
      </c>
      <c r="J510" s="79">
        <f t="shared" si="204"/>
        <v>60</v>
      </c>
      <c r="K510" s="84">
        <v>39</v>
      </c>
      <c r="L510" s="81">
        <f t="shared" si="203"/>
        <v>49.436404289999999</v>
      </c>
      <c r="M510" s="82">
        <f t="shared" si="215"/>
        <v>0</v>
      </c>
      <c r="N510" s="82">
        <f t="shared" si="216"/>
        <v>0</v>
      </c>
      <c r="O510" s="82">
        <f>N510+'BM 005'!O510</f>
        <v>0</v>
      </c>
      <c r="P510" s="80">
        <f t="shared" si="217"/>
        <v>2340</v>
      </c>
      <c r="Q510" s="82">
        <f t="shared" si="218"/>
        <v>2966.18</v>
      </c>
      <c r="R510" s="82">
        <f t="shared" si="219"/>
        <v>2966.18</v>
      </c>
    </row>
    <row r="511" spans="2:18" s="34" customFormat="1" ht="13.2">
      <c r="B511" s="75" t="s">
        <v>997</v>
      </c>
      <c r="C511" s="76" t="s">
        <v>998</v>
      </c>
      <c r="D511" s="77" t="s">
        <v>390</v>
      </c>
      <c r="E511" s="93">
        <v>60</v>
      </c>
      <c r="F511" s="79"/>
      <c r="G511" s="79"/>
      <c r="H511" s="79"/>
      <c r="I511" s="79">
        <f>SUM(G511:H511)+'BM 005'!I511</f>
        <v>0</v>
      </c>
      <c r="J511" s="79">
        <f t="shared" si="204"/>
        <v>60</v>
      </c>
      <c r="K511" s="84">
        <v>18</v>
      </c>
      <c r="L511" s="81">
        <f t="shared" si="203"/>
        <v>22.816801980000001</v>
      </c>
      <c r="M511" s="82">
        <f t="shared" si="215"/>
        <v>0</v>
      </c>
      <c r="N511" s="82">
        <f t="shared" si="216"/>
        <v>0</v>
      </c>
      <c r="O511" s="82">
        <f>N511+'BM 005'!O511</f>
        <v>0</v>
      </c>
      <c r="P511" s="80">
        <f t="shared" si="217"/>
        <v>1080</v>
      </c>
      <c r="Q511" s="82">
        <f t="shared" si="218"/>
        <v>1369</v>
      </c>
      <c r="R511" s="82">
        <f t="shared" si="219"/>
        <v>1369</v>
      </c>
    </row>
    <row r="512" spans="2:18" s="34" customFormat="1" ht="46.2">
      <c r="B512" s="75" t="s">
        <v>999</v>
      </c>
      <c r="C512" s="76" t="s">
        <v>1000</v>
      </c>
      <c r="D512" s="77" t="s">
        <v>124</v>
      </c>
      <c r="E512" s="93">
        <v>210</v>
      </c>
      <c r="F512" s="79"/>
      <c r="G512" s="79"/>
      <c r="H512" s="79"/>
      <c r="I512" s="79">
        <f>SUM(G512:H512)+'BM 005'!I512</f>
        <v>0</v>
      </c>
      <c r="J512" s="79">
        <f t="shared" si="204"/>
        <v>210</v>
      </c>
      <c r="K512" s="84">
        <v>40</v>
      </c>
      <c r="L512" s="81">
        <f t="shared" si="203"/>
        <v>50.704004400000002</v>
      </c>
      <c r="M512" s="82">
        <f t="shared" si="215"/>
        <v>0</v>
      </c>
      <c r="N512" s="82">
        <f t="shared" si="216"/>
        <v>0</v>
      </c>
      <c r="O512" s="82">
        <f>N512+'BM 005'!O512</f>
        <v>0</v>
      </c>
      <c r="P512" s="80">
        <f t="shared" si="217"/>
        <v>8400</v>
      </c>
      <c r="Q512" s="82">
        <f t="shared" si="218"/>
        <v>10647.84</v>
      </c>
      <c r="R512" s="82">
        <f t="shared" si="219"/>
        <v>10647.84</v>
      </c>
    </row>
    <row r="513" spans="2:18" s="34" customFormat="1" ht="46.2">
      <c r="B513" s="75" t="s">
        <v>1001</v>
      </c>
      <c r="C513" s="76" t="s">
        <v>1002</v>
      </c>
      <c r="D513" s="77" t="s">
        <v>124</v>
      </c>
      <c r="E513" s="93">
        <v>120</v>
      </c>
      <c r="F513" s="79"/>
      <c r="G513" s="79"/>
      <c r="H513" s="79"/>
      <c r="I513" s="79">
        <f>SUM(G513:H513)+'BM 005'!I513</f>
        <v>0</v>
      </c>
      <c r="J513" s="79">
        <f t="shared" si="204"/>
        <v>120</v>
      </c>
      <c r="K513" s="84">
        <v>75</v>
      </c>
      <c r="L513" s="81">
        <f t="shared" si="203"/>
        <v>95.070008250000001</v>
      </c>
      <c r="M513" s="82">
        <f t="shared" si="215"/>
        <v>0</v>
      </c>
      <c r="N513" s="82">
        <f t="shared" si="216"/>
        <v>0</v>
      </c>
      <c r="O513" s="82">
        <f>N513+'BM 005'!O513</f>
        <v>0</v>
      </c>
      <c r="P513" s="80">
        <f t="shared" si="217"/>
        <v>9000</v>
      </c>
      <c r="Q513" s="82">
        <f t="shared" si="218"/>
        <v>11408.4</v>
      </c>
      <c r="R513" s="82">
        <f t="shared" si="219"/>
        <v>11408.4</v>
      </c>
    </row>
    <row r="514" spans="2:18" s="34" customFormat="1" ht="46.2">
      <c r="B514" s="75" t="s">
        <v>1003</v>
      </c>
      <c r="C514" s="76" t="s">
        <v>1004</v>
      </c>
      <c r="D514" s="77" t="s">
        <v>124</v>
      </c>
      <c r="E514" s="93">
        <v>36</v>
      </c>
      <c r="F514" s="79"/>
      <c r="G514" s="79"/>
      <c r="H514" s="79"/>
      <c r="I514" s="79">
        <f>SUM(G514:H514)+'BM 005'!I514</f>
        <v>0</v>
      </c>
      <c r="J514" s="79">
        <f t="shared" si="204"/>
        <v>36</v>
      </c>
      <c r="K514" s="84">
        <v>130</v>
      </c>
      <c r="L514" s="81">
        <f t="shared" si="203"/>
        <v>164.78801430000001</v>
      </c>
      <c r="M514" s="82">
        <f t="shared" si="215"/>
        <v>0</v>
      </c>
      <c r="N514" s="82">
        <f t="shared" si="216"/>
        <v>0</v>
      </c>
      <c r="O514" s="82">
        <f>N514+'BM 005'!O514</f>
        <v>0</v>
      </c>
      <c r="P514" s="80">
        <f t="shared" si="217"/>
        <v>4680</v>
      </c>
      <c r="Q514" s="82">
        <f t="shared" si="218"/>
        <v>5932.36</v>
      </c>
      <c r="R514" s="82">
        <f t="shared" si="219"/>
        <v>5932.36</v>
      </c>
    </row>
    <row r="515" spans="2:18" s="34" customFormat="1" ht="46.2">
      <c r="B515" s="75" t="s">
        <v>1005</v>
      </c>
      <c r="C515" s="76" t="s">
        <v>1006</v>
      </c>
      <c r="D515" s="77" t="s">
        <v>124</v>
      </c>
      <c r="E515" s="93">
        <v>36</v>
      </c>
      <c r="F515" s="79"/>
      <c r="G515" s="79"/>
      <c r="H515" s="79"/>
      <c r="I515" s="79">
        <f>SUM(G515:H515)+'BM 005'!I515</f>
        <v>0</v>
      </c>
      <c r="J515" s="79">
        <f t="shared" si="204"/>
        <v>36</v>
      </c>
      <c r="K515" s="84">
        <v>180</v>
      </c>
      <c r="L515" s="81">
        <f t="shared" si="203"/>
        <v>228.16801980000002</v>
      </c>
      <c r="M515" s="82">
        <f t="shared" si="215"/>
        <v>0</v>
      </c>
      <c r="N515" s="82">
        <f t="shared" si="216"/>
        <v>0</v>
      </c>
      <c r="O515" s="82">
        <f>N515+'BM 005'!O515</f>
        <v>0</v>
      </c>
      <c r="P515" s="80">
        <f t="shared" si="217"/>
        <v>6480</v>
      </c>
      <c r="Q515" s="82">
        <f t="shared" si="218"/>
        <v>8214.0400000000009</v>
      </c>
      <c r="R515" s="82">
        <f t="shared" si="219"/>
        <v>8214.0400000000009</v>
      </c>
    </row>
    <row r="516" spans="2:18" s="34" customFormat="1" ht="46.2">
      <c r="B516" s="75" t="s">
        <v>1007</v>
      </c>
      <c r="C516" s="76" t="s">
        <v>1008</v>
      </c>
      <c r="D516" s="77" t="s">
        <v>124</v>
      </c>
      <c r="E516" s="93">
        <v>120</v>
      </c>
      <c r="F516" s="79">
        <v>6</v>
      </c>
      <c r="G516" s="79">
        <f>F516</f>
        <v>6</v>
      </c>
      <c r="H516" s="79"/>
      <c r="I516" s="79">
        <f>SUM(G516:H516)+'BM 005'!I516</f>
        <v>6</v>
      </c>
      <c r="J516" s="79">
        <f t="shared" si="204"/>
        <v>114</v>
      </c>
      <c r="K516" s="84">
        <v>110</v>
      </c>
      <c r="L516" s="81">
        <f t="shared" si="203"/>
        <v>139.4360121</v>
      </c>
      <c r="M516" s="82">
        <f t="shared" si="215"/>
        <v>836.61</v>
      </c>
      <c r="N516" s="82">
        <f t="shared" si="216"/>
        <v>836.61</v>
      </c>
      <c r="O516" s="82">
        <f>N516+'BM 005'!O516</f>
        <v>836.61</v>
      </c>
      <c r="P516" s="80">
        <f t="shared" si="217"/>
        <v>13200</v>
      </c>
      <c r="Q516" s="82">
        <f t="shared" si="218"/>
        <v>16732.32</v>
      </c>
      <c r="R516" s="82">
        <f t="shared" si="219"/>
        <v>15895.71</v>
      </c>
    </row>
    <row r="517" spans="2:18" s="34" customFormat="1" ht="46.2">
      <c r="B517" s="75" t="s">
        <v>1009</v>
      </c>
      <c r="C517" s="76" t="s">
        <v>1010</v>
      </c>
      <c r="D517" s="77" t="s">
        <v>124</v>
      </c>
      <c r="E517" s="93">
        <v>120</v>
      </c>
      <c r="F517" s="79"/>
      <c r="G517" s="79"/>
      <c r="H517" s="79"/>
      <c r="I517" s="79">
        <f>SUM(G517:H517)+'BM 005'!I517</f>
        <v>0</v>
      </c>
      <c r="J517" s="79">
        <f t="shared" si="204"/>
        <v>120</v>
      </c>
      <c r="K517" s="84">
        <v>50</v>
      </c>
      <c r="L517" s="81">
        <f t="shared" si="203"/>
        <v>63.380005500000003</v>
      </c>
      <c r="M517" s="82">
        <f t="shared" si="215"/>
        <v>0</v>
      </c>
      <c r="N517" s="82">
        <f t="shared" si="216"/>
        <v>0</v>
      </c>
      <c r="O517" s="82">
        <f>N517+'BM 005'!O517</f>
        <v>0</v>
      </c>
      <c r="P517" s="80">
        <f t="shared" si="217"/>
        <v>6000</v>
      </c>
      <c r="Q517" s="82">
        <f t="shared" si="218"/>
        <v>7605.6</v>
      </c>
      <c r="R517" s="82">
        <f t="shared" si="219"/>
        <v>7605.6</v>
      </c>
    </row>
    <row r="518" spans="2:18" s="34" customFormat="1" ht="46.2">
      <c r="B518" s="75" t="s">
        <v>1011</v>
      </c>
      <c r="C518" s="76" t="s">
        <v>1012</v>
      </c>
      <c r="D518" s="77" t="s">
        <v>124</v>
      </c>
      <c r="E518" s="93">
        <v>120</v>
      </c>
      <c r="F518" s="79"/>
      <c r="G518" s="79"/>
      <c r="H518" s="79"/>
      <c r="I518" s="79">
        <f>SUM(G518:H518)+'BM 005'!I518</f>
        <v>0</v>
      </c>
      <c r="J518" s="79">
        <f t="shared" si="204"/>
        <v>120</v>
      </c>
      <c r="K518" s="84">
        <v>60</v>
      </c>
      <c r="L518" s="81">
        <f t="shared" si="203"/>
        <v>76.056006600000003</v>
      </c>
      <c r="M518" s="82">
        <f t="shared" si="215"/>
        <v>0</v>
      </c>
      <c r="N518" s="82">
        <f t="shared" si="216"/>
        <v>0</v>
      </c>
      <c r="O518" s="82">
        <f>N518+'BM 005'!O518</f>
        <v>0</v>
      </c>
      <c r="P518" s="80">
        <f t="shared" si="217"/>
        <v>7200</v>
      </c>
      <c r="Q518" s="82">
        <f t="shared" si="218"/>
        <v>9126.7199999999993</v>
      </c>
      <c r="R518" s="82">
        <f t="shared" si="219"/>
        <v>9126.7199999999993</v>
      </c>
    </row>
    <row r="519" spans="2:18" s="34" customFormat="1" ht="57.6">
      <c r="B519" s="75" t="s">
        <v>1013</v>
      </c>
      <c r="C519" s="76" t="s">
        <v>1014</v>
      </c>
      <c r="D519" s="77" t="s">
        <v>124</v>
      </c>
      <c r="E519" s="78">
        <v>300</v>
      </c>
      <c r="F519" s="79"/>
      <c r="G519" s="79"/>
      <c r="H519" s="79"/>
      <c r="I519" s="79">
        <f>SUM(G519:H519)+'BM 005'!I519</f>
        <v>0</v>
      </c>
      <c r="J519" s="79">
        <f t="shared" si="204"/>
        <v>300</v>
      </c>
      <c r="K519" s="84">
        <v>110</v>
      </c>
      <c r="L519" s="81">
        <f t="shared" si="203"/>
        <v>139.4360121</v>
      </c>
      <c r="M519" s="82">
        <f t="shared" si="215"/>
        <v>0</v>
      </c>
      <c r="N519" s="82">
        <f t="shared" si="216"/>
        <v>0</v>
      </c>
      <c r="O519" s="82">
        <f>N519+'BM 005'!O519</f>
        <v>0</v>
      </c>
      <c r="P519" s="80">
        <f t="shared" si="217"/>
        <v>33000</v>
      </c>
      <c r="Q519" s="82">
        <f t="shared" si="218"/>
        <v>41830.800000000003</v>
      </c>
      <c r="R519" s="82">
        <f t="shared" si="219"/>
        <v>41830.800000000003</v>
      </c>
    </row>
    <row r="520" spans="2:18" s="34" customFormat="1" ht="24">
      <c r="B520" s="66" t="s">
        <v>1015</v>
      </c>
      <c r="C520" s="67" t="s">
        <v>1016</v>
      </c>
      <c r="D520" s="68"/>
      <c r="E520" s="69"/>
      <c r="F520" s="70"/>
      <c r="G520" s="70"/>
      <c r="H520" s="70"/>
      <c r="I520" s="70">
        <f>SUM(G520:H520)+'BM 005'!I520</f>
        <v>0</v>
      </c>
      <c r="J520" s="70">
        <f t="shared" si="204"/>
        <v>0</v>
      </c>
      <c r="K520" s="71"/>
      <c r="L520" s="71">
        <f t="shared" si="203"/>
        <v>0</v>
      </c>
      <c r="M520" s="73">
        <f t="shared" ref="M520:R520" si="220">SUM(M521:M551)</f>
        <v>425.9</v>
      </c>
      <c r="N520" s="73">
        <f t="shared" si="220"/>
        <v>425.9</v>
      </c>
      <c r="O520" s="73">
        <f t="shared" si="220"/>
        <v>425.9</v>
      </c>
      <c r="P520" s="73">
        <f t="shared" si="220"/>
        <v>88676.55</v>
      </c>
      <c r="Q520" s="73">
        <f t="shared" si="220"/>
        <v>112406.29000000001</v>
      </c>
      <c r="R520" s="73">
        <f t="shared" si="220"/>
        <v>111980.38999999998</v>
      </c>
    </row>
    <row r="521" spans="2:18" s="34" customFormat="1" ht="46.2">
      <c r="B521" s="75" t="s">
        <v>1017</v>
      </c>
      <c r="C521" s="76" t="s">
        <v>1018</v>
      </c>
      <c r="D521" s="77" t="s">
        <v>39</v>
      </c>
      <c r="E521" s="78">
        <v>10</v>
      </c>
      <c r="F521" s="79">
        <v>1</v>
      </c>
      <c r="G521" s="79">
        <f>F521</f>
        <v>1</v>
      </c>
      <c r="H521" s="79"/>
      <c r="I521" s="79">
        <f>SUM(G521:H521)+'BM 005'!I521</f>
        <v>1</v>
      </c>
      <c r="J521" s="79">
        <f t="shared" si="204"/>
        <v>9</v>
      </c>
      <c r="K521" s="84">
        <v>198</v>
      </c>
      <c r="L521" s="81">
        <f t="shared" si="203"/>
        <v>250.98482178</v>
      </c>
      <c r="M521" s="82">
        <f t="shared" ref="M521:M551" si="221">TRUNC(F521*L521,2)</f>
        <v>250.98</v>
      </c>
      <c r="N521" s="82">
        <f t="shared" ref="N521:N551" si="222">TRUNC(G521*L521,2)</f>
        <v>250.98</v>
      </c>
      <c r="O521" s="82">
        <f>N521+'BM 005'!O521</f>
        <v>250.98</v>
      </c>
      <c r="P521" s="80">
        <f t="shared" ref="P521:P551" si="223">E521*K521</f>
        <v>1980</v>
      </c>
      <c r="Q521" s="82">
        <f t="shared" ref="Q521:Q551" si="224">TRUNC(E521*L521,2)</f>
        <v>2509.84</v>
      </c>
      <c r="R521" s="82">
        <f t="shared" ref="R521:R551" si="225">Q521-O521</f>
        <v>2258.86</v>
      </c>
    </row>
    <row r="522" spans="2:18" s="34" customFormat="1" ht="46.2">
      <c r="B522" s="75" t="s">
        <v>1019</v>
      </c>
      <c r="C522" s="76" t="s">
        <v>1020</v>
      </c>
      <c r="D522" s="77" t="s">
        <v>39</v>
      </c>
      <c r="E522" s="78">
        <v>173</v>
      </c>
      <c r="F522" s="79"/>
      <c r="G522" s="79"/>
      <c r="H522" s="79"/>
      <c r="I522" s="79">
        <f>SUM(G522:H522)+'BM 005'!I522</f>
        <v>0</v>
      </c>
      <c r="J522" s="79">
        <f t="shared" si="204"/>
        <v>173</v>
      </c>
      <c r="K522" s="84">
        <v>18</v>
      </c>
      <c r="L522" s="81">
        <f t="shared" si="203"/>
        <v>22.816801980000001</v>
      </c>
      <c r="M522" s="82">
        <f t="shared" si="221"/>
        <v>0</v>
      </c>
      <c r="N522" s="82">
        <f t="shared" si="222"/>
        <v>0</v>
      </c>
      <c r="O522" s="82">
        <f>N522+'BM 005'!O522</f>
        <v>0</v>
      </c>
      <c r="P522" s="80">
        <f t="shared" si="223"/>
        <v>3114</v>
      </c>
      <c r="Q522" s="82">
        <f t="shared" si="224"/>
        <v>3947.3</v>
      </c>
      <c r="R522" s="82">
        <f t="shared" si="225"/>
        <v>3947.3</v>
      </c>
    </row>
    <row r="523" spans="2:18" s="34" customFormat="1" ht="46.2">
      <c r="B523" s="75" t="s">
        <v>1021</v>
      </c>
      <c r="C523" s="76" t="s">
        <v>1022</v>
      </c>
      <c r="D523" s="77" t="s">
        <v>39</v>
      </c>
      <c r="E523" s="78">
        <v>7</v>
      </c>
      <c r="F523" s="79"/>
      <c r="G523" s="79"/>
      <c r="H523" s="79"/>
      <c r="I523" s="79">
        <f>SUM(G523:H523)+'BM 005'!I523</f>
        <v>0</v>
      </c>
      <c r="J523" s="79">
        <f t="shared" si="204"/>
        <v>7</v>
      </c>
      <c r="K523" s="84">
        <v>69</v>
      </c>
      <c r="L523" s="81">
        <f t="shared" si="203"/>
        <v>87.464407590000008</v>
      </c>
      <c r="M523" s="82">
        <f t="shared" si="221"/>
        <v>0</v>
      </c>
      <c r="N523" s="82">
        <f t="shared" si="222"/>
        <v>0</v>
      </c>
      <c r="O523" s="82">
        <f>N523+'BM 005'!O523</f>
        <v>0</v>
      </c>
      <c r="P523" s="80">
        <f t="shared" si="223"/>
        <v>483</v>
      </c>
      <c r="Q523" s="82">
        <f t="shared" si="224"/>
        <v>612.25</v>
      </c>
      <c r="R523" s="82">
        <f t="shared" si="225"/>
        <v>612.25</v>
      </c>
    </row>
    <row r="524" spans="2:18" s="34" customFormat="1" ht="46.2">
      <c r="B524" s="75" t="s">
        <v>1023</v>
      </c>
      <c r="C524" s="76" t="s">
        <v>1024</v>
      </c>
      <c r="D524" s="77" t="s">
        <v>39</v>
      </c>
      <c r="E524" s="78">
        <v>30</v>
      </c>
      <c r="F524" s="79"/>
      <c r="G524" s="79"/>
      <c r="H524" s="79"/>
      <c r="I524" s="79">
        <f>SUM(G524:H524)+'BM 005'!I524</f>
        <v>0</v>
      </c>
      <c r="J524" s="79">
        <f t="shared" si="204"/>
        <v>30</v>
      </c>
      <c r="K524" s="84">
        <v>94.65</v>
      </c>
      <c r="L524" s="81">
        <f t="shared" si="203"/>
        <v>119.97835041150002</v>
      </c>
      <c r="M524" s="82">
        <f t="shared" si="221"/>
        <v>0</v>
      </c>
      <c r="N524" s="82">
        <f t="shared" si="222"/>
        <v>0</v>
      </c>
      <c r="O524" s="82">
        <f>N524+'BM 005'!O524</f>
        <v>0</v>
      </c>
      <c r="P524" s="80">
        <f t="shared" si="223"/>
        <v>2839.5</v>
      </c>
      <c r="Q524" s="82">
        <f t="shared" si="224"/>
        <v>3599.35</v>
      </c>
      <c r="R524" s="82">
        <f t="shared" si="225"/>
        <v>3599.35</v>
      </c>
    </row>
    <row r="525" spans="2:18" s="34" customFormat="1" ht="46.2">
      <c r="B525" s="75" t="s">
        <v>1025</v>
      </c>
      <c r="C525" s="76" t="s">
        <v>1026</v>
      </c>
      <c r="D525" s="77" t="s">
        <v>39</v>
      </c>
      <c r="E525" s="78">
        <v>40</v>
      </c>
      <c r="F525" s="79"/>
      <c r="G525" s="79"/>
      <c r="H525" s="79"/>
      <c r="I525" s="79">
        <f>SUM(G525:H525)+'BM 005'!I525</f>
        <v>0</v>
      </c>
      <c r="J525" s="79">
        <f t="shared" si="204"/>
        <v>40</v>
      </c>
      <c r="K525" s="84">
        <v>60.11</v>
      </c>
      <c r="L525" s="81">
        <f t="shared" si="203"/>
        <v>76.19544261210001</v>
      </c>
      <c r="M525" s="82">
        <f t="shared" si="221"/>
        <v>0</v>
      </c>
      <c r="N525" s="82">
        <f t="shared" si="222"/>
        <v>0</v>
      </c>
      <c r="O525" s="82">
        <f>N525+'BM 005'!O525</f>
        <v>0</v>
      </c>
      <c r="P525" s="80">
        <f t="shared" si="223"/>
        <v>2404.4</v>
      </c>
      <c r="Q525" s="82">
        <f t="shared" si="224"/>
        <v>3047.81</v>
      </c>
      <c r="R525" s="82">
        <f t="shared" si="225"/>
        <v>3047.81</v>
      </c>
    </row>
    <row r="526" spans="2:18" s="34" customFormat="1" ht="46.2">
      <c r="B526" s="75" t="s">
        <v>1027</v>
      </c>
      <c r="C526" s="76" t="s">
        <v>1028</v>
      </c>
      <c r="D526" s="77" t="s">
        <v>39</v>
      </c>
      <c r="E526" s="78">
        <v>50</v>
      </c>
      <c r="F526" s="79"/>
      <c r="G526" s="79"/>
      <c r="H526" s="79"/>
      <c r="I526" s="79">
        <f>SUM(G526:H526)+'BM 005'!I526</f>
        <v>0</v>
      </c>
      <c r="J526" s="79">
        <f t="shared" si="204"/>
        <v>50</v>
      </c>
      <c r="K526" s="84">
        <v>36.9</v>
      </c>
      <c r="L526" s="81">
        <f t="shared" si="203"/>
        <v>46.774444058999997</v>
      </c>
      <c r="M526" s="82">
        <f t="shared" si="221"/>
        <v>0</v>
      </c>
      <c r="N526" s="82">
        <f t="shared" si="222"/>
        <v>0</v>
      </c>
      <c r="O526" s="82">
        <f>N526+'BM 005'!O526</f>
        <v>0</v>
      </c>
      <c r="P526" s="80">
        <f t="shared" si="223"/>
        <v>1845</v>
      </c>
      <c r="Q526" s="82">
        <f t="shared" si="224"/>
        <v>2338.7199999999998</v>
      </c>
      <c r="R526" s="82">
        <f t="shared" si="225"/>
        <v>2338.7199999999998</v>
      </c>
    </row>
    <row r="527" spans="2:18" s="34" customFormat="1" ht="46.2">
      <c r="B527" s="75" t="s">
        <v>1029</v>
      </c>
      <c r="C527" s="76" t="s">
        <v>1030</v>
      </c>
      <c r="D527" s="77" t="s">
        <v>39</v>
      </c>
      <c r="E527" s="78">
        <v>50</v>
      </c>
      <c r="F527" s="79"/>
      <c r="G527" s="79"/>
      <c r="H527" s="79"/>
      <c r="I527" s="79">
        <f>SUM(G527:H527)+'BM 005'!I527</f>
        <v>0</v>
      </c>
      <c r="J527" s="79">
        <f t="shared" si="204"/>
        <v>50</v>
      </c>
      <c r="K527" s="84">
        <v>42.56</v>
      </c>
      <c r="L527" s="81">
        <f t="shared" si="203"/>
        <v>53.949060681600002</v>
      </c>
      <c r="M527" s="82">
        <f t="shared" si="221"/>
        <v>0</v>
      </c>
      <c r="N527" s="82">
        <f t="shared" si="222"/>
        <v>0</v>
      </c>
      <c r="O527" s="82">
        <f>N527+'BM 005'!O527</f>
        <v>0</v>
      </c>
      <c r="P527" s="80">
        <f t="shared" si="223"/>
        <v>2128</v>
      </c>
      <c r="Q527" s="82">
        <f t="shared" si="224"/>
        <v>2697.45</v>
      </c>
      <c r="R527" s="82">
        <f t="shared" si="225"/>
        <v>2697.45</v>
      </c>
    </row>
    <row r="528" spans="2:18" s="34" customFormat="1" ht="34.799999999999997">
      <c r="B528" s="75" t="s">
        <v>1031</v>
      </c>
      <c r="C528" s="76" t="s">
        <v>1032</v>
      </c>
      <c r="D528" s="77" t="s">
        <v>39</v>
      </c>
      <c r="E528" s="78">
        <v>20</v>
      </c>
      <c r="F528" s="79"/>
      <c r="G528" s="79"/>
      <c r="H528" s="79"/>
      <c r="I528" s="79">
        <f>SUM(G528:H528)+'BM 005'!I528</f>
        <v>0</v>
      </c>
      <c r="J528" s="79">
        <f t="shared" si="204"/>
        <v>20</v>
      </c>
      <c r="K528" s="84">
        <v>78.33</v>
      </c>
      <c r="L528" s="81">
        <f t="shared" si="203"/>
        <v>99.291116616300002</v>
      </c>
      <c r="M528" s="82">
        <f t="shared" si="221"/>
        <v>0</v>
      </c>
      <c r="N528" s="82">
        <f t="shared" si="222"/>
        <v>0</v>
      </c>
      <c r="O528" s="82">
        <f>N528+'BM 005'!O528</f>
        <v>0</v>
      </c>
      <c r="P528" s="80">
        <f t="shared" si="223"/>
        <v>1566.6</v>
      </c>
      <c r="Q528" s="82">
        <f t="shared" si="224"/>
        <v>1985.82</v>
      </c>
      <c r="R528" s="82">
        <f t="shared" si="225"/>
        <v>1985.82</v>
      </c>
    </row>
    <row r="529" spans="2:18" s="34" customFormat="1" ht="34.799999999999997">
      <c r="B529" s="75" t="s">
        <v>1033</v>
      </c>
      <c r="C529" s="76" t="s">
        <v>1034</v>
      </c>
      <c r="D529" s="77" t="s">
        <v>39</v>
      </c>
      <c r="E529" s="78">
        <v>10</v>
      </c>
      <c r="F529" s="79"/>
      <c r="G529" s="79"/>
      <c r="H529" s="79"/>
      <c r="I529" s="79">
        <f>SUM(G529:H529)+'BM 005'!I529</f>
        <v>0</v>
      </c>
      <c r="J529" s="79">
        <f t="shared" si="204"/>
        <v>10</v>
      </c>
      <c r="K529" s="84">
        <v>95</v>
      </c>
      <c r="L529" s="81">
        <f t="shared" si="203"/>
        <v>120.42201045</v>
      </c>
      <c r="M529" s="82">
        <f t="shared" si="221"/>
        <v>0</v>
      </c>
      <c r="N529" s="82">
        <f t="shared" si="222"/>
        <v>0</v>
      </c>
      <c r="O529" s="82">
        <f>N529+'BM 005'!O529</f>
        <v>0</v>
      </c>
      <c r="P529" s="80">
        <f t="shared" si="223"/>
        <v>950</v>
      </c>
      <c r="Q529" s="82">
        <f t="shared" si="224"/>
        <v>1204.22</v>
      </c>
      <c r="R529" s="82">
        <f t="shared" si="225"/>
        <v>1204.22</v>
      </c>
    </row>
    <row r="530" spans="2:18" s="34" customFormat="1" ht="34.799999999999997">
      <c r="B530" s="75" t="s">
        <v>1035</v>
      </c>
      <c r="C530" s="76" t="s">
        <v>1036</v>
      </c>
      <c r="D530" s="77" t="s">
        <v>39</v>
      </c>
      <c r="E530" s="78">
        <v>10</v>
      </c>
      <c r="F530" s="79"/>
      <c r="G530" s="79"/>
      <c r="H530" s="79"/>
      <c r="I530" s="79">
        <f>SUM(G530:H530)+'BM 005'!I530</f>
        <v>0</v>
      </c>
      <c r="J530" s="79">
        <f t="shared" si="204"/>
        <v>10</v>
      </c>
      <c r="K530" s="84">
        <v>128</v>
      </c>
      <c r="L530" s="81">
        <f t="shared" si="203"/>
        <v>162.25281408000001</v>
      </c>
      <c r="M530" s="82">
        <f t="shared" si="221"/>
        <v>0</v>
      </c>
      <c r="N530" s="82">
        <f t="shared" si="222"/>
        <v>0</v>
      </c>
      <c r="O530" s="82">
        <f>N530+'BM 005'!O530</f>
        <v>0</v>
      </c>
      <c r="P530" s="80">
        <f t="shared" si="223"/>
        <v>1280</v>
      </c>
      <c r="Q530" s="82">
        <f t="shared" si="224"/>
        <v>1622.52</v>
      </c>
      <c r="R530" s="82">
        <f t="shared" si="225"/>
        <v>1622.52</v>
      </c>
    </row>
    <row r="531" spans="2:18" s="34" customFormat="1" ht="23.4">
      <c r="B531" s="75" t="s">
        <v>1037</v>
      </c>
      <c r="C531" s="76" t="s">
        <v>1038</v>
      </c>
      <c r="D531" s="77" t="s">
        <v>39</v>
      </c>
      <c r="E531" s="78">
        <v>173</v>
      </c>
      <c r="F531" s="79"/>
      <c r="G531" s="79"/>
      <c r="H531" s="79"/>
      <c r="I531" s="79">
        <f>SUM(G531:H531)+'BM 005'!I531</f>
        <v>0</v>
      </c>
      <c r="J531" s="79">
        <f t="shared" si="204"/>
        <v>173</v>
      </c>
      <c r="K531" s="84">
        <v>60</v>
      </c>
      <c r="L531" s="81">
        <f t="shared" si="203"/>
        <v>76.056006600000003</v>
      </c>
      <c r="M531" s="82">
        <f t="shared" si="221"/>
        <v>0</v>
      </c>
      <c r="N531" s="82">
        <f t="shared" si="222"/>
        <v>0</v>
      </c>
      <c r="O531" s="82">
        <f>N531+'BM 005'!O531</f>
        <v>0</v>
      </c>
      <c r="P531" s="80">
        <f t="shared" si="223"/>
        <v>10380</v>
      </c>
      <c r="Q531" s="82">
        <f t="shared" si="224"/>
        <v>13157.68</v>
      </c>
      <c r="R531" s="82">
        <f t="shared" si="225"/>
        <v>13157.68</v>
      </c>
    </row>
    <row r="532" spans="2:18" s="34" customFormat="1" ht="46.2">
      <c r="B532" s="75" t="s">
        <v>1039</v>
      </c>
      <c r="C532" s="76" t="s">
        <v>1040</v>
      </c>
      <c r="D532" s="77" t="s">
        <v>39</v>
      </c>
      <c r="E532" s="78">
        <v>20</v>
      </c>
      <c r="F532" s="79"/>
      <c r="G532" s="79"/>
      <c r="H532" s="79"/>
      <c r="I532" s="79">
        <f>SUM(G532:H532)+'BM 005'!I532</f>
        <v>0</v>
      </c>
      <c r="J532" s="79">
        <f t="shared" si="204"/>
        <v>20</v>
      </c>
      <c r="K532" s="84">
        <v>85</v>
      </c>
      <c r="L532" s="81">
        <f t="shared" si="203"/>
        <v>107.74600935000001</v>
      </c>
      <c r="M532" s="82">
        <f t="shared" si="221"/>
        <v>0</v>
      </c>
      <c r="N532" s="82">
        <f t="shared" si="222"/>
        <v>0</v>
      </c>
      <c r="O532" s="82">
        <f>N532+'BM 005'!O532</f>
        <v>0</v>
      </c>
      <c r="P532" s="80">
        <f t="shared" si="223"/>
        <v>1700</v>
      </c>
      <c r="Q532" s="82">
        <f t="shared" si="224"/>
        <v>2154.92</v>
      </c>
      <c r="R532" s="82">
        <f t="shared" si="225"/>
        <v>2154.92</v>
      </c>
    </row>
    <row r="533" spans="2:18" s="34" customFormat="1" ht="46.2">
      <c r="B533" s="75" t="s">
        <v>1041</v>
      </c>
      <c r="C533" s="76" t="s">
        <v>1042</v>
      </c>
      <c r="D533" s="77" t="s">
        <v>39</v>
      </c>
      <c r="E533" s="78">
        <v>6</v>
      </c>
      <c r="F533" s="79"/>
      <c r="G533" s="79"/>
      <c r="H533" s="79"/>
      <c r="I533" s="79">
        <f>SUM(G533:H533)+'BM 005'!I533</f>
        <v>0</v>
      </c>
      <c r="J533" s="79">
        <f t="shared" si="204"/>
        <v>6</v>
      </c>
      <c r="K533" s="84">
        <v>285</v>
      </c>
      <c r="L533" s="81">
        <f t="shared" si="203"/>
        <v>361.26603134999999</v>
      </c>
      <c r="M533" s="82">
        <f t="shared" si="221"/>
        <v>0</v>
      </c>
      <c r="N533" s="82">
        <f t="shared" si="222"/>
        <v>0</v>
      </c>
      <c r="O533" s="82">
        <f>N533+'BM 005'!O533</f>
        <v>0</v>
      </c>
      <c r="P533" s="80">
        <f t="shared" si="223"/>
        <v>1710</v>
      </c>
      <c r="Q533" s="82">
        <f t="shared" si="224"/>
        <v>2167.59</v>
      </c>
      <c r="R533" s="82">
        <f t="shared" si="225"/>
        <v>2167.59</v>
      </c>
    </row>
    <row r="534" spans="2:18" s="34" customFormat="1" ht="34.799999999999997">
      <c r="B534" s="75" t="s">
        <v>1043</v>
      </c>
      <c r="C534" s="76" t="s">
        <v>1044</v>
      </c>
      <c r="D534" s="77" t="s">
        <v>39</v>
      </c>
      <c r="E534" s="78">
        <v>20</v>
      </c>
      <c r="F534" s="79"/>
      <c r="G534" s="79"/>
      <c r="H534" s="79"/>
      <c r="I534" s="79">
        <f>SUM(G534:H534)+'BM 005'!I534</f>
        <v>0</v>
      </c>
      <c r="J534" s="79">
        <f t="shared" si="204"/>
        <v>20</v>
      </c>
      <c r="K534" s="84">
        <v>38</v>
      </c>
      <c r="L534" s="81">
        <f t="shared" si="203"/>
        <v>48.168804180000002</v>
      </c>
      <c r="M534" s="82">
        <f t="shared" si="221"/>
        <v>0</v>
      </c>
      <c r="N534" s="82">
        <f t="shared" si="222"/>
        <v>0</v>
      </c>
      <c r="O534" s="82">
        <f>N534+'BM 005'!O534</f>
        <v>0</v>
      </c>
      <c r="P534" s="80">
        <f t="shared" si="223"/>
        <v>760</v>
      </c>
      <c r="Q534" s="82">
        <f t="shared" si="224"/>
        <v>963.37</v>
      </c>
      <c r="R534" s="82">
        <f t="shared" si="225"/>
        <v>963.37</v>
      </c>
    </row>
    <row r="535" spans="2:18" s="34" customFormat="1" ht="34.799999999999997">
      <c r="B535" s="75" t="s">
        <v>1045</v>
      </c>
      <c r="C535" s="76" t="s">
        <v>1046</v>
      </c>
      <c r="D535" s="77" t="s">
        <v>39</v>
      </c>
      <c r="E535" s="78">
        <v>10</v>
      </c>
      <c r="F535" s="79"/>
      <c r="G535" s="79"/>
      <c r="H535" s="79"/>
      <c r="I535" s="79">
        <f>SUM(G535:H535)+'BM 005'!I535</f>
        <v>0</v>
      </c>
      <c r="J535" s="79">
        <f t="shared" si="204"/>
        <v>10</v>
      </c>
      <c r="K535" s="84">
        <v>118</v>
      </c>
      <c r="L535" s="81">
        <f t="shared" si="203"/>
        <v>149.57681298</v>
      </c>
      <c r="M535" s="82">
        <f t="shared" si="221"/>
        <v>0</v>
      </c>
      <c r="N535" s="82">
        <f t="shared" si="222"/>
        <v>0</v>
      </c>
      <c r="O535" s="82">
        <f>N535+'BM 005'!O535</f>
        <v>0</v>
      </c>
      <c r="P535" s="80">
        <f t="shared" si="223"/>
        <v>1180</v>
      </c>
      <c r="Q535" s="82">
        <f t="shared" si="224"/>
        <v>1495.76</v>
      </c>
      <c r="R535" s="82">
        <f t="shared" si="225"/>
        <v>1495.76</v>
      </c>
    </row>
    <row r="536" spans="2:18" s="34" customFormat="1" ht="23.4">
      <c r="B536" s="75" t="s">
        <v>1047</v>
      </c>
      <c r="C536" s="76" t="s">
        <v>1048</v>
      </c>
      <c r="D536" s="77" t="s">
        <v>39</v>
      </c>
      <c r="E536" s="78">
        <v>10</v>
      </c>
      <c r="F536" s="79"/>
      <c r="G536" s="79"/>
      <c r="H536" s="79"/>
      <c r="I536" s="79">
        <f>SUM(G536:H536)+'BM 005'!I536</f>
        <v>0</v>
      </c>
      <c r="J536" s="79">
        <f t="shared" si="204"/>
        <v>10</v>
      </c>
      <c r="K536" s="84">
        <v>88.39</v>
      </c>
      <c r="L536" s="81">
        <f t="shared" si="203"/>
        <v>112.04317372290001</v>
      </c>
      <c r="M536" s="82">
        <f t="shared" si="221"/>
        <v>0</v>
      </c>
      <c r="N536" s="82">
        <f t="shared" si="222"/>
        <v>0</v>
      </c>
      <c r="O536" s="82">
        <f>N536+'BM 005'!O536</f>
        <v>0</v>
      </c>
      <c r="P536" s="80">
        <f t="shared" si="223"/>
        <v>883.9</v>
      </c>
      <c r="Q536" s="82">
        <f t="shared" si="224"/>
        <v>1120.43</v>
      </c>
      <c r="R536" s="82">
        <f t="shared" si="225"/>
        <v>1120.43</v>
      </c>
    </row>
    <row r="537" spans="2:18" s="34" customFormat="1" ht="23.4">
      <c r="B537" s="75" t="s">
        <v>1049</v>
      </c>
      <c r="C537" s="76" t="s">
        <v>1050</v>
      </c>
      <c r="D537" s="77" t="s">
        <v>39</v>
      </c>
      <c r="E537" s="78">
        <v>20</v>
      </c>
      <c r="F537" s="79"/>
      <c r="G537" s="79"/>
      <c r="H537" s="79"/>
      <c r="I537" s="79">
        <f>SUM(G537:H537)+'BM 005'!I537</f>
        <v>0</v>
      </c>
      <c r="J537" s="79">
        <f t="shared" si="204"/>
        <v>20</v>
      </c>
      <c r="K537" s="84">
        <v>45.21</v>
      </c>
      <c r="L537" s="81">
        <f t="shared" si="203"/>
        <v>57.308200973100007</v>
      </c>
      <c r="M537" s="82">
        <f t="shared" si="221"/>
        <v>0</v>
      </c>
      <c r="N537" s="82">
        <f t="shared" si="222"/>
        <v>0</v>
      </c>
      <c r="O537" s="82">
        <f>N537+'BM 005'!O537</f>
        <v>0</v>
      </c>
      <c r="P537" s="80">
        <f t="shared" si="223"/>
        <v>904.2</v>
      </c>
      <c r="Q537" s="82">
        <f t="shared" si="224"/>
        <v>1146.1600000000001</v>
      </c>
      <c r="R537" s="82">
        <f t="shared" si="225"/>
        <v>1146.1600000000001</v>
      </c>
    </row>
    <row r="538" spans="2:18" s="34" customFormat="1" ht="23.4">
      <c r="B538" s="75" t="s">
        <v>1051</v>
      </c>
      <c r="C538" s="76" t="s">
        <v>1052</v>
      </c>
      <c r="D538" s="77" t="s">
        <v>39</v>
      </c>
      <c r="E538" s="78">
        <v>10</v>
      </c>
      <c r="F538" s="79"/>
      <c r="G538" s="79"/>
      <c r="H538" s="79"/>
      <c r="I538" s="79">
        <f>SUM(G538:H538)+'BM 005'!I538</f>
        <v>0</v>
      </c>
      <c r="J538" s="79">
        <f t="shared" si="204"/>
        <v>10</v>
      </c>
      <c r="K538" s="84">
        <v>65.290000000000006</v>
      </c>
      <c r="L538" s="81">
        <f t="shared" si="203"/>
        <v>82.761611181900008</v>
      </c>
      <c r="M538" s="82">
        <f t="shared" si="221"/>
        <v>0</v>
      </c>
      <c r="N538" s="82">
        <f t="shared" si="222"/>
        <v>0</v>
      </c>
      <c r="O538" s="82">
        <f>N538+'BM 005'!O538</f>
        <v>0</v>
      </c>
      <c r="P538" s="80">
        <f t="shared" si="223"/>
        <v>652.90000000000009</v>
      </c>
      <c r="Q538" s="82">
        <f t="shared" si="224"/>
        <v>827.61</v>
      </c>
      <c r="R538" s="82">
        <f t="shared" si="225"/>
        <v>827.61</v>
      </c>
    </row>
    <row r="539" spans="2:18" s="34" customFormat="1" ht="46.2">
      <c r="B539" s="75" t="s">
        <v>1053</v>
      </c>
      <c r="C539" s="76" t="s">
        <v>1054</v>
      </c>
      <c r="D539" s="77" t="s">
        <v>39</v>
      </c>
      <c r="E539" s="78">
        <v>30</v>
      </c>
      <c r="F539" s="79"/>
      <c r="G539" s="79"/>
      <c r="H539" s="79"/>
      <c r="I539" s="79">
        <f>SUM(G539:H539)+'BM 005'!I539</f>
        <v>0</v>
      </c>
      <c r="J539" s="79">
        <f t="shared" si="204"/>
        <v>30</v>
      </c>
      <c r="K539" s="84">
        <v>80</v>
      </c>
      <c r="L539" s="81">
        <f t="shared" si="203"/>
        <v>101.4080088</v>
      </c>
      <c r="M539" s="82">
        <f t="shared" si="221"/>
        <v>0</v>
      </c>
      <c r="N539" s="82">
        <f t="shared" si="222"/>
        <v>0</v>
      </c>
      <c r="O539" s="82">
        <f>N539+'BM 005'!O539</f>
        <v>0</v>
      </c>
      <c r="P539" s="80">
        <f t="shared" si="223"/>
        <v>2400</v>
      </c>
      <c r="Q539" s="82">
        <f t="shared" si="224"/>
        <v>3042.24</v>
      </c>
      <c r="R539" s="82">
        <f t="shared" si="225"/>
        <v>3042.24</v>
      </c>
    </row>
    <row r="540" spans="2:18" s="34" customFormat="1" ht="34.799999999999997">
      <c r="B540" s="75" t="s">
        <v>1055</v>
      </c>
      <c r="C540" s="76" t="s">
        <v>1056</v>
      </c>
      <c r="D540" s="77" t="s">
        <v>39</v>
      </c>
      <c r="E540" s="78">
        <v>50</v>
      </c>
      <c r="F540" s="79"/>
      <c r="G540" s="79"/>
      <c r="H540" s="79"/>
      <c r="I540" s="79">
        <f>SUM(G540:H540)+'BM 005'!I540</f>
        <v>0</v>
      </c>
      <c r="J540" s="79">
        <f t="shared" si="204"/>
        <v>50</v>
      </c>
      <c r="K540" s="84">
        <v>120</v>
      </c>
      <c r="L540" s="81">
        <f t="shared" si="203"/>
        <v>152.11201320000001</v>
      </c>
      <c r="M540" s="82">
        <f t="shared" si="221"/>
        <v>0</v>
      </c>
      <c r="N540" s="82">
        <f t="shared" si="222"/>
        <v>0</v>
      </c>
      <c r="O540" s="82">
        <f>N540+'BM 005'!O540</f>
        <v>0</v>
      </c>
      <c r="P540" s="80">
        <f t="shared" si="223"/>
        <v>6000</v>
      </c>
      <c r="Q540" s="82">
        <f t="shared" si="224"/>
        <v>7605.6</v>
      </c>
      <c r="R540" s="82">
        <f t="shared" si="225"/>
        <v>7605.6</v>
      </c>
    </row>
    <row r="541" spans="2:18" s="34" customFormat="1" ht="34.799999999999997">
      <c r="B541" s="75" t="s">
        <v>1057</v>
      </c>
      <c r="C541" s="76" t="s">
        <v>1058</v>
      </c>
      <c r="D541" s="77" t="s">
        <v>39</v>
      </c>
      <c r="E541" s="78">
        <v>10</v>
      </c>
      <c r="F541" s="79"/>
      <c r="G541" s="79"/>
      <c r="H541" s="79"/>
      <c r="I541" s="79">
        <f>SUM(G541:H541)+'BM 005'!I541</f>
        <v>0</v>
      </c>
      <c r="J541" s="79">
        <f t="shared" si="204"/>
        <v>10</v>
      </c>
      <c r="K541" s="84">
        <v>137.9</v>
      </c>
      <c r="L541" s="81">
        <f t="shared" ref="L541:L590" si="226">K541*(1+$T$26)</f>
        <v>174.80205516900003</v>
      </c>
      <c r="M541" s="82">
        <f t="shared" si="221"/>
        <v>0</v>
      </c>
      <c r="N541" s="82">
        <f t="shared" si="222"/>
        <v>0</v>
      </c>
      <c r="O541" s="82">
        <f>N541+'BM 005'!O541</f>
        <v>0</v>
      </c>
      <c r="P541" s="80">
        <f t="shared" si="223"/>
        <v>1379</v>
      </c>
      <c r="Q541" s="82">
        <f t="shared" si="224"/>
        <v>1748.02</v>
      </c>
      <c r="R541" s="82">
        <f t="shared" si="225"/>
        <v>1748.02</v>
      </c>
    </row>
    <row r="542" spans="2:18" s="34" customFormat="1" ht="23.4">
      <c r="B542" s="75" t="s">
        <v>1059</v>
      </c>
      <c r="C542" s="76" t="s">
        <v>1060</v>
      </c>
      <c r="D542" s="77" t="s">
        <v>39</v>
      </c>
      <c r="E542" s="78">
        <v>20</v>
      </c>
      <c r="F542" s="79">
        <v>2</v>
      </c>
      <c r="G542" s="79">
        <f>F542</f>
        <v>2</v>
      </c>
      <c r="H542" s="79"/>
      <c r="I542" s="79">
        <f>SUM(G542:H542)+'BM 005'!I542</f>
        <v>2</v>
      </c>
      <c r="J542" s="79">
        <f t="shared" si="204"/>
        <v>18</v>
      </c>
      <c r="K542" s="84">
        <v>69</v>
      </c>
      <c r="L542" s="81">
        <f t="shared" si="226"/>
        <v>87.464407590000008</v>
      </c>
      <c r="M542" s="82">
        <f t="shared" si="221"/>
        <v>174.92</v>
      </c>
      <c r="N542" s="82">
        <f t="shared" si="222"/>
        <v>174.92</v>
      </c>
      <c r="O542" s="82">
        <f>N542+'BM 005'!O542</f>
        <v>174.92</v>
      </c>
      <c r="P542" s="80">
        <f t="shared" si="223"/>
        <v>1380</v>
      </c>
      <c r="Q542" s="82">
        <f t="shared" si="224"/>
        <v>1749.28</v>
      </c>
      <c r="R542" s="82">
        <f t="shared" si="225"/>
        <v>1574.36</v>
      </c>
    </row>
    <row r="543" spans="2:18" s="34" customFormat="1" ht="46.2">
      <c r="B543" s="75" t="s">
        <v>1061</v>
      </c>
      <c r="C543" s="76" t="s">
        <v>1062</v>
      </c>
      <c r="D543" s="77" t="s">
        <v>39</v>
      </c>
      <c r="E543" s="78">
        <v>10</v>
      </c>
      <c r="F543" s="79"/>
      <c r="G543" s="79"/>
      <c r="H543" s="79"/>
      <c r="I543" s="79">
        <f>SUM(G543:H543)+'BM 005'!I543</f>
        <v>0</v>
      </c>
      <c r="J543" s="79">
        <f t="shared" ref="J543:J590" si="227">E543-I543</f>
        <v>10</v>
      </c>
      <c r="K543" s="84">
        <v>180</v>
      </c>
      <c r="L543" s="81">
        <f t="shared" si="226"/>
        <v>228.16801980000002</v>
      </c>
      <c r="M543" s="82">
        <f t="shared" si="221"/>
        <v>0</v>
      </c>
      <c r="N543" s="82">
        <f t="shared" si="222"/>
        <v>0</v>
      </c>
      <c r="O543" s="82">
        <f>N543+'BM 005'!O543</f>
        <v>0</v>
      </c>
      <c r="P543" s="80">
        <f t="shared" si="223"/>
        <v>1800</v>
      </c>
      <c r="Q543" s="82">
        <f t="shared" si="224"/>
        <v>2281.6799999999998</v>
      </c>
      <c r="R543" s="82">
        <f t="shared" si="225"/>
        <v>2281.6799999999998</v>
      </c>
    </row>
    <row r="544" spans="2:18" s="34" customFormat="1" ht="69">
      <c r="B544" s="75" t="s">
        <v>1063</v>
      </c>
      <c r="C544" s="76" t="s">
        <v>1064</v>
      </c>
      <c r="D544" s="77" t="s">
        <v>39</v>
      </c>
      <c r="E544" s="78">
        <v>1</v>
      </c>
      <c r="F544" s="79"/>
      <c r="G544" s="79"/>
      <c r="H544" s="79"/>
      <c r="I544" s="79">
        <f>SUM(G544:H544)+'BM 005'!I544</f>
        <v>0</v>
      </c>
      <c r="J544" s="79">
        <f t="shared" si="227"/>
        <v>1</v>
      </c>
      <c r="K544" s="84">
        <v>320</v>
      </c>
      <c r="L544" s="81">
        <f t="shared" si="226"/>
        <v>405.63203520000002</v>
      </c>
      <c r="M544" s="82">
        <f t="shared" si="221"/>
        <v>0</v>
      </c>
      <c r="N544" s="82">
        <f t="shared" si="222"/>
        <v>0</v>
      </c>
      <c r="O544" s="82">
        <f>N544+'BM 005'!O544</f>
        <v>0</v>
      </c>
      <c r="P544" s="80">
        <f t="shared" si="223"/>
        <v>320</v>
      </c>
      <c r="Q544" s="82">
        <f t="shared" si="224"/>
        <v>405.63</v>
      </c>
      <c r="R544" s="82">
        <f t="shared" si="225"/>
        <v>405.63</v>
      </c>
    </row>
    <row r="545" spans="2:18" s="34" customFormat="1" ht="57.6">
      <c r="B545" s="75" t="s">
        <v>1065</v>
      </c>
      <c r="C545" s="76" t="s">
        <v>1066</v>
      </c>
      <c r="D545" s="77" t="s">
        <v>39</v>
      </c>
      <c r="E545" s="78">
        <v>1</v>
      </c>
      <c r="F545" s="79"/>
      <c r="G545" s="79"/>
      <c r="H545" s="79"/>
      <c r="I545" s="79">
        <f>SUM(G545:H545)+'BM 005'!I545</f>
        <v>0</v>
      </c>
      <c r="J545" s="79">
        <f t="shared" si="227"/>
        <v>1</v>
      </c>
      <c r="K545" s="84">
        <v>800</v>
      </c>
      <c r="L545" s="81">
        <f t="shared" si="226"/>
        <v>1014.080088</v>
      </c>
      <c r="M545" s="82">
        <f t="shared" si="221"/>
        <v>0</v>
      </c>
      <c r="N545" s="82">
        <f t="shared" si="222"/>
        <v>0</v>
      </c>
      <c r="O545" s="82">
        <f>N545+'BM 005'!O545</f>
        <v>0</v>
      </c>
      <c r="P545" s="80">
        <f t="shared" si="223"/>
        <v>800</v>
      </c>
      <c r="Q545" s="82">
        <f t="shared" si="224"/>
        <v>1014.08</v>
      </c>
      <c r="R545" s="82">
        <f t="shared" si="225"/>
        <v>1014.08</v>
      </c>
    </row>
    <row r="546" spans="2:18" s="34" customFormat="1" ht="23.4">
      <c r="B546" s="75" t="s">
        <v>1067</v>
      </c>
      <c r="C546" s="76" t="s">
        <v>1068</v>
      </c>
      <c r="D546" s="77" t="s">
        <v>39</v>
      </c>
      <c r="E546" s="78">
        <v>2</v>
      </c>
      <c r="F546" s="79"/>
      <c r="G546" s="79"/>
      <c r="H546" s="79"/>
      <c r="I546" s="79">
        <f>SUM(G546:H546)+'BM 005'!I546</f>
        <v>0</v>
      </c>
      <c r="J546" s="79">
        <f t="shared" si="227"/>
        <v>2</v>
      </c>
      <c r="K546" s="84">
        <v>605.34</v>
      </c>
      <c r="L546" s="81">
        <f t="shared" si="226"/>
        <v>767.32905058740005</v>
      </c>
      <c r="M546" s="82">
        <f t="shared" si="221"/>
        <v>0</v>
      </c>
      <c r="N546" s="82">
        <f t="shared" si="222"/>
        <v>0</v>
      </c>
      <c r="O546" s="82">
        <f>N546+'BM 005'!O546</f>
        <v>0</v>
      </c>
      <c r="P546" s="80">
        <f t="shared" si="223"/>
        <v>1210.68</v>
      </c>
      <c r="Q546" s="82">
        <f t="shared" si="224"/>
        <v>1534.65</v>
      </c>
      <c r="R546" s="82">
        <f t="shared" si="225"/>
        <v>1534.65</v>
      </c>
    </row>
    <row r="547" spans="2:18" s="34" customFormat="1" ht="23.4">
      <c r="B547" s="75" t="s">
        <v>1069</v>
      </c>
      <c r="C547" s="76" t="s">
        <v>1070</v>
      </c>
      <c r="D547" s="77" t="s">
        <v>39</v>
      </c>
      <c r="E547" s="78">
        <v>3</v>
      </c>
      <c r="F547" s="79"/>
      <c r="G547" s="79"/>
      <c r="H547" s="79"/>
      <c r="I547" s="79">
        <f>SUM(G547:H547)+'BM 005'!I547</f>
        <v>0</v>
      </c>
      <c r="J547" s="79">
        <f t="shared" si="227"/>
        <v>3</v>
      </c>
      <c r="K547" s="84">
        <v>311.79000000000002</v>
      </c>
      <c r="L547" s="81">
        <f t="shared" si="226"/>
        <v>395.22503829690004</v>
      </c>
      <c r="M547" s="82">
        <f t="shared" si="221"/>
        <v>0</v>
      </c>
      <c r="N547" s="82">
        <f t="shared" si="222"/>
        <v>0</v>
      </c>
      <c r="O547" s="82">
        <f>N547+'BM 005'!O547</f>
        <v>0</v>
      </c>
      <c r="P547" s="80">
        <f t="shared" si="223"/>
        <v>935.37000000000012</v>
      </c>
      <c r="Q547" s="82">
        <f t="shared" si="224"/>
        <v>1185.67</v>
      </c>
      <c r="R547" s="82">
        <f t="shared" si="225"/>
        <v>1185.67</v>
      </c>
    </row>
    <row r="548" spans="2:18" s="34" customFormat="1" ht="23.4">
      <c r="B548" s="75" t="s">
        <v>1071</v>
      </c>
      <c r="C548" s="76" t="s">
        <v>1072</v>
      </c>
      <c r="D548" s="77" t="s">
        <v>39</v>
      </c>
      <c r="E548" s="78">
        <v>2</v>
      </c>
      <c r="F548" s="79"/>
      <c r="G548" s="79"/>
      <c r="H548" s="79"/>
      <c r="I548" s="79">
        <f>SUM(G548:H548)+'BM 005'!I548</f>
        <v>0</v>
      </c>
      <c r="J548" s="79">
        <f t="shared" si="227"/>
        <v>2</v>
      </c>
      <c r="K548" s="84">
        <v>195</v>
      </c>
      <c r="L548" s="81">
        <f t="shared" si="226"/>
        <v>247.18202145000001</v>
      </c>
      <c r="M548" s="82">
        <f t="shared" si="221"/>
        <v>0</v>
      </c>
      <c r="N548" s="82">
        <f t="shared" si="222"/>
        <v>0</v>
      </c>
      <c r="O548" s="82">
        <f>N548+'BM 005'!O548</f>
        <v>0</v>
      </c>
      <c r="P548" s="80">
        <f t="shared" si="223"/>
        <v>390</v>
      </c>
      <c r="Q548" s="82">
        <f t="shared" si="224"/>
        <v>494.36</v>
      </c>
      <c r="R548" s="82">
        <f t="shared" si="225"/>
        <v>494.36</v>
      </c>
    </row>
    <row r="549" spans="2:18" s="34" customFormat="1" ht="46.2">
      <c r="B549" s="75" t="s">
        <v>1073</v>
      </c>
      <c r="C549" s="76" t="s">
        <v>1074</v>
      </c>
      <c r="D549" s="77" t="s">
        <v>39</v>
      </c>
      <c r="E549" s="78">
        <v>1</v>
      </c>
      <c r="F549" s="79"/>
      <c r="G549" s="79"/>
      <c r="H549" s="79"/>
      <c r="I549" s="79">
        <f>SUM(G549:H549)+'BM 005'!I549</f>
        <v>0</v>
      </c>
      <c r="J549" s="79">
        <f t="shared" si="227"/>
        <v>1</v>
      </c>
      <c r="K549" s="84">
        <v>1400</v>
      </c>
      <c r="L549" s="81">
        <f t="shared" si="226"/>
        <v>1774.6401540000002</v>
      </c>
      <c r="M549" s="82">
        <f t="shared" si="221"/>
        <v>0</v>
      </c>
      <c r="N549" s="82">
        <f t="shared" si="222"/>
        <v>0</v>
      </c>
      <c r="O549" s="82">
        <f>N549+'BM 005'!O549</f>
        <v>0</v>
      </c>
      <c r="P549" s="80">
        <f t="shared" si="223"/>
        <v>1400</v>
      </c>
      <c r="Q549" s="82">
        <f t="shared" si="224"/>
        <v>1774.64</v>
      </c>
      <c r="R549" s="82">
        <f t="shared" si="225"/>
        <v>1774.64</v>
      </c>
    </row>
    <row r="550" spans="2:18" s="34" customFormat="1" ht="46.2">
      <c r="B550" s="75" t="s">
        <v>1075</v>
      </c>
      <c r="C550" s="76" t="s">
        <v>1076</v>
      </c>
      <c r="D550" s="77" t="s">
        <v>39</v>
      </c>
      <c r="E550" s="78">
        <v>16</v>
      </c>
      <c r="F550" s="79"/>
      <c r="G550" s="79"/>
      <c r="H550" s="79"/>
      <c r="I550" s="79">
        <f>SUM(G550:H550)+'BM 005'!I550</f>
        <v>0</v>
      </c>
      <c r="J550" s="79">
        <f t="shared" si="227"/>
        <v>16</v>
      </c>
      <c r="K550" s="84">
        <v>1900</v>
      </c>
      <c r="L550" s="81">
        <f t="shared" si="226"/>
        <v>2408.4402090000003</v>
      </c>
      <c r="M550" s="82">
        <f t="shared" si="221"/>
        <v>0</v>
      </c>
      <c r="N550" s="82">
        <f t="shared" si="222"/>
        <v>0</v>
      </c>
      <c r="O550" s="82">
        <f>N550+'BM 005'!O550</f>
        <v>0</v>
      </c>
      <c r="P550" s="80">
        <f t="shared" si="223"/>
        <v>30400</v>
      </c>
      <c r="Q550" s="82">
        <f t="shared" si="224"/>
        <v>38535.040000000001</v>
      </c>
      <c r="R550" s="82">
        <f t="shared" si="225"/>
        <v>38535.040000000001</v>
      </c>
    </row>
    <row r="551" spans="2:18" s="34" customFormat="1" ht="34.799999999999997">
      <c r="B551" s="75" t="s">
        <v>1077</v>
      </c>
      <c r="C551" s="76" t="s">
        <v>1078</v>
      </c>
      <c r="D551" s="77" t="s">
        <v>39</v>
      </c>
      <c r="E551" s="78">
        <v>140</v>
      </c>
      <c r="F551" s="79"/>
      <c r="G551" s="79"/>
      <c r="H551" s="79"/>
      <c r="I551" s="79">
        <f>SUM(G551:H551)+'BM 005'!I551</f>
        <v>0</v>
      </c>
      <c r="J551" s="79">
        <f t="shared" si="227"/>
        <v>140</v>
      </c>
      <c r="K551" s="84">
        <v>25</v>
      </c>
      <c r="L551" s="81">
        <f t="shared" si="226"/>
        <v>31.690002750000001</v>
      </c>
      <c r="M551" s="82">
        <f t="shared" si="221"/>
        <v>0</v>
      </c>
      <c r="N551" s="82">
        <f t="shared" si="222"/>
        <v>0</v>
      </c>
      <c r="O551" s="82">
        <f>N551+'BM 005'!O551</f>
        <v>0</v>
      </c>
      <c r="P551" s="80">
        <f t="shared" si="223"/>
        <v>3500</v>
      </c>
      <c r="Q551" s="82">
        <f t="shared" si="224"/>
        <v>4436.6000000000004</v>
      </c>
      <c r="R551" s="82">
        <f t="shared" si="225"/>
        <v>4436.6000000000004</v>
      </c>
    </row>
    <row r="552" spans="2:18" s="34" customFormat="1" ht="13.2">
      <c r="B552" s="66" t="s">
        <v>1079</v>
      </c>
      <c r="C552" s="67" t="s">
        <v>1080</v>
      </c>
      <c r="D552" s="68"/>
      <c r="E552" s="69"/>
      <c r="F552" s="70"/>
      <c r="G552" s="70"/>
      <c r="H552" s="70"/>
      <c r="I552" s="70">
        <f>SUM(G552:H552)+'BM 005'!I552</f>
        <v>0</v>
      </c>
      <c r="J552" s="70">
        <f t="shared" si="227"/>
        <v>0</v>
      </c>
      <c r="K552" s="71"/>
      <c r="L552" s="71">
        <f t="shared" si="226"/>
        <v>0</v>
      </c>
      <c r="M552" s="73">
        <f t="shared" ref="M552:R552" si="228">SUM(M553:M553)</f>
        <v>0</v>
      </c>
      <c r="N552" s="73">
        <f t="shared" si="228"/>
        <v>0</v>
      </c>
      <c r="O552" s="73">
        <f t="shared" si="228"/>
        <v>0</v>
      </c>
      <c r="P552" s="73">
        <f t="shared" si="228"/>
        <v>7310</v>
      </c>
      <c r="Q552" s="73">
        <f t="shared" si="228"/>
        <v>9266.15</v>
      </c>
      <c r="R552" s="73">
        <f t="shared" si="228"/>
        <v>9266.15</v>
      </c>
    </row>
    <row r="553" spans="2:18" s="34" customFormat="1" ht="34.799999999999997">
      <c r="B553" s="75" t="s">
        <v>1081</v>
      </c>
      <c r="C553" s="76" t="s">
        <v>1082</v>
      </c>
      <c r="D553" s="77" t="s">
        <v>63</v>
      </c>
      <c r="E553" s="78">
        <v>43</v>
      </c>
      <c r="F553" s="79"/>
      <c r="G553" s="79"/>
      <c r="H553" s="79"/>
      <c r="I553" s="79">
        <f>SUM(G553:H553)+'BM 005'!I553</f>
        <v>0</v>
      </c>
      <c r="J553" s="79">
        <f t="shared" si="227"/>
        <v>43</v>
      </c>
      <c r="K553" s="84">
        <v>170</v>
      </c>
      <c r="L553" s="81">
        <f t="shared" si="226"/>
        <v>215.49201870000002</v>
      </c>
      <c r="M553" s="82">
        <f>TRUNC(F553*L553,2)</f>
        <v>0</v>
      </c>
      <c r="N553" s="82">
        <f>TRUNC(G553*L553,2)</f>
        <v>0</v>
      </c>
      <c r="O553" s="82">
        <f>N553+'BM 005'!O553</f>
        <v>0</v>
      </c>
      <c r="P553" s="80">
        <f>E553*K553</f>
        <v>7310</v>
      </c>
      <c r="Q553" s="82">
        <f>TRUNC(E553*L553,2)</f>
        <v>9266.15</v>
      </c>
      <c r="R553" s="82">
        <f>Q553-O553</f>
        <v>9266.15</v>
      </c>
    </row>
    <row r="554" spans="2:18" s="34" customFormat="1" ht="13.2">
      <c r="B554" s="66" t="s">
        <v>1083</v>
      </c>
      <c r="C554" s="67" t="s">
        <v>1084</v>
      </c>
      <c r="D554" s="68"/>
      <c r="E554" s="69"/>
      <c r="F554" s="70"/>
      <c r="G554" s="70"/>
      <c r="H554" s="70"/>
      <c r="I554" s="70">
        <f>SUM(G554:H554)+'BM 005'!I554</f>
        <v>0</v>
      </c>
      <c r="J554" s="70">
        <f t="shared" si="227"/>
        <v>0</v>
      </c>
      <c r="K554" s="71"/>
      <c r="L554" s="120">
        <f t="shared" si="226"/>
        <v>0</v>
      </c>
      <c r="M554" s="73">
        <f t="shared" ref="M554:R554" si="229">SUM(M555:M565)</f>
        <v>0</v>
      </c>
      <c r="N554" s="73">
        <f t="shared" si="229"/>
        <v>0</v>
      </c>
      <c r="O554" s="73">
        <f t="shared" si="229"/>
        <v>0</v>
      </c>
      <c r="P554" s="73">
        <f t="shared" si="229"/>
        <v>55460</v>
      </c>
      <c r="Q554" s="73">
        <f t="shared" si="229"/>
        <v>70301.090000000011</v>
      </c>
      <c r="R554" s="73">
        <f t="shared" si="229"/>
        <v>70301.090000000011</v>
      </c>
    </row>
    <row r="555" spans="2:18" s="34" customFormat="1" ht="23.4">
      <c r="B555" s="75" t="s">
        <v>1085</v>
      </c>
      <c r="C555" s="76" t="s">
        <v>1086</v>
      </c>
      <c r="D555" s="77" t="s">
        <v>131</v>
      </c>
      <c r="E555" s="78">
        <v>1</v>
      </c>
      <c r="F555" s="79"/>
      <c r="G555" s="79"/>
      <c r="H555" s="79"/>
      <c r="I555" s="79">
        <f>SUM(G555:H555)+'BM 005'!I555</f>
        <v>0</v>
      </c>
      <c r="J555" s="79">
        <f t="shared" si="227"/>
        <v>1</v>
      </c>
      <c r="K555" s="84">
        <v>5800</v>
      </c>
      <c r="L555" s="81">
        <f t="shared" si="226"/>
        <v>7352.0806380000004</v>
      </c>
      <c r="M555" s="82">
        <f t="shared" ref="M555:M565" si="230">TRUNC(F555*L555,2)</f>
        <v>0</v>
      </c>
      <c r="N555" s="82">
        <f t="shared" ref="N555:N565" si="231">TRUNC(G555*L555,2)</f>
        <v>0</v>
      </c>
      <c r="O555" s="82">
        <f>N555+'BM 005'!O555</f>
        <v>0</v>
      </c>
      <c r="P555" s="80">
        <f t="shared" ref="P555:P565" si="232">E555*K555</f>
        <v>5800</v>
      </c>
      <c r="Q555" s="82">
        <f t="shared" ref="Q555:Q565" si="233">TRUNC(E555*L555,2)</f>
        <v>7352.08</v>
      </c>
      <c r="R555" s="82">
        <f t="shared" ref="R555:R565" si="234">Q555-O555</f>
        <v>7352.08</v>
      </c>
    </row>
    <row r="556" spans="2:18" s="34" customFormat="1" ht="57.6">
      <c r="B556" s="75" t="s">
        <v>1087</v>
      </c>
      <c r="C556" s="76" t="s">
        <v>1088</v>
      </c>
      <c r="D556" s="77" t="s">
        <v>131</v>
      </c>
      <c r="E556" s="78">
        <v>1</v>
      </c>
      <c r="F556" s="79"/>
      <c r="G556" s="79"/>
      <c r="H556" s="79"/>
      <c r="I556" s="79">
        <f>SUM(G556:H556)+'BM 005'!I556</f>
        <v>0</v>
      </c>
      <c r="J556" s="79">
        <f t="shared" si="227"/>
        <v>1</v>
      </c>
      <c r="K556" s="84">
        <v>2950</v>
      </c>
      <c r="L556" s="81">
        <f t="shared" si="226"/>
        <v>3739.4203245000003</v>
      </c>
      <c r="M556" s="82">
        <f t="shared" si="230"/>
        <v>0</v>
      </c>
      <c r="N556" s="82">
        <f t="shared" si="231"/>
        <v>0</v>
      </c>
      <c r="O556" s="82">
        <f>N556+'BM 005'!O556</f>
        <v>0</v>
      </c>
      <c r="P556" s="80">
        <f t="shared" si="232"/>
        <v>2950</v>
      </c>
      <c r="Q556" s="82">
        <f t="shared" si="233"/>
        <v>3739.42</v>
      </c>
      <c r="R556" s="82">
        <f t="shared" si="234"/>
        <v>3739.42</v>
      </c>
    </row>
    <row r="557" spans="2:18" s="34" customFormat="1" ht="34.799999999999997">
      <c r="B557" s="75" t="s">
        <v>1089</v>
      </c>
      <c r="C557" s="76" t="s">
        <v>1090</v>
      </c>
      <c r="D557" s="77" t="s">
        <v>131</v>
      </c>
      <c r="E557" s="78">
        <v>1</v>
      </c>
      <c r="F557" s="79"/>
      <c r="G557" s="79"/>
      <c r="H557" s="79"/>
      <c r="I557" s="79">
        <f>SUM(G557:H557)+'BM 005'!I557</f>
        <v>0</v>
      </c>
      <c r="J557" s="79">
        <f t="shared" si="227"/>
        <v>1</v>
      </c>
      <c r="K557" s="84">
        <v>5100</v>
      </c>
      <c r="L557" s="81">
        <f t="shared" si="226"/>
        <v>6464.7605610000001</v>
      </c>
      <c r="M557" s="82">
        <f t="shared" si="230"/>
        <v>0</v>
      </c>
      <c r="N557" s="82">
        <f t="shared" si="231"/>
        <v>0</v>
      </c>
      <c r="O557" s="82">
        <f>N557+'BM 005'!O557</f>
        <v>0</v>
      </c>
      <c r="P557" s="80">
        <f t="shared" si="232"/>
        <v>5100</v>
      </c>
      <c r="Q557" s="82">
        <f t="shared" si="233"/>
        <v>6464.76</v>
      </c>
      <c r="R557" s="82">
        <f t="shared" si="234"/>
        <v>6464.76</v>
      </c>
    </row>
    <row r="558" spans="2:18" s="34" customFormat="1" ht="34.799999999999997">
      <c r="B558" s="75" t="s">
        <v>1091</v>
      </c>
      <c r="C558" s="76" t="s">
        <v>1092</v>
      </c>
      <c r="D558" s="77" t="s">
        <v>131</v>
      </c>
      <c r="E558" s="78">
        <v>1</v>
      </c>
      <c r="F558" s="79"/>
      <c r="G558" s="79"/>
      <c r="H558" s="79"/>
      <c r="I558" s="79">
        <f>SUM(G558:H558)+'BM 005'!I558</f>
        <v>0</v>
      </c>
      <c r="J558" s="79">
        <f t="shared" si="227"/>
        <v>1</v>
      </c>
      <c r="K558" s="84">
        <v>6200</v>
      </c>
      <c r="L558" s="81">
        <f t="shared" si="226"/>
        <v>7859.1206820000007</v>
      </c>
      <c r="M558" s="82">
        <f t="shared" si="230"/>
        <v>0</v>
      </c>
      <c r="N558" s="82">
        <f t="shared" si="231"/>
        <v>0</v>
      </c>
      <c r="O558" s="82">
        <f>N558+'BM 005'!O558</f>
        <v>0</v>
      </c>
      <c r="P558" s="80">
        <f t="shared" si="232"/>
        <v>6200</v>
      </c>
      <c r="Q558" s="82">
        <f t="shared" si="233"/>
        <v>7859.12</v>
      </c>
      <c r="R558" s="82">
        <f t="shared" si="234"/>
        <v>7859.12</v>
      </c>
    </row>
    <row r="559" spans="2:18" s="34" customFormat="1" ht="23.4">
      <c r="B559" s="75" t="s">
        <v>1093</v>
      </c>
      <c r="C559" s="76" t="s">
        <v>1094</v>
      </c>
      <c r="D559" s="77" t="s">
        <v>131</v>
      </c>
      <c r="E559" s="78">
        <v>15</v>
      </c>
      <c r="F559" s="79"/>
      <c r="G559" s="79"/>
      <c r="H559" s="79"/>
      <c r="I559" s="79">
        <f>SUM(G559:H559)+'BM 005'!I559</f>
        <v>0</v>
      </c>
      <c r="J559" s="79">
        <f t="shared" si="227"/>
        <v>15</v>
      </c>
      <c r="K559" s="84">
        <v>250</v>
      </c>
      <c r="L559" s="81">
        <f t="shared" si="226"/>
        <v>316.90002750000002</v>
      </c>
      <c r="M559" s="82">
        <f t="shared" si="230"/>
        <v>0</v>
      </c>
      <c r="N559" s="82">
        <f t="shared" si="231"/>
        <v>0</v>
      </c>
      <c r="O559" s="82">
        <f>N559+'BM 005'!O559</f>
        <v>0</v>
      </c>
      <c r="P559" s="80">
        <f t="shared" si="232"/>
        <v>3750</v>
      </c>
      <c r="Q559" s="82">
        <f t="shared" si="233"/>
        <v>4753.5</v>
      </c>
      <c r="R559" s="82">
        <f t="shared" si="234"/>
        <v>4753.5</v>
      </c>
    </row>
    <row r="560" spans="2:18" s="34" customFormat="1" ht="23.4">
      <c r="B560" s="75" t="s">
        <v>1095</v>
      </c>
      <c r="C560" s="76" t="s">
        <v>1096</v>
      </c>
      <c r="D560" s="77" t="s">
        <v>131</v>
      </c>
      <c r="E560" s="78">
        <v>1</v>
      </c>
      <c r="F560" s="79"/>
      <c r="G560" s="79"/>
      <c r="H560" s="79"/>
      <c r="I560" s="79">
        <f>SUM(G560:H560)+'BM 005'!I560</f>
        <v>0</v>
      </c>
      <c r="J560" s="79">
        <f t="shared" si="227"/>
        <v>1</v>
      </c>
      <c r="K560" s="84">
        <v>350</v>
      </c>
      <c r="L560" s="81">
        <f t="shared" si="226"/>
        <v>443.66003850000004</v>
      </c>
      <c r="M560" s="82">
        <f t="shared" si="230"/>
        <v>0</v>
      </c>
      <c r="N560" s="82">
        <f t="shared" si="231"/>
        <v>0</v>
      </c>
      <c r="O560" s="82">
        <f>N560+'BM 005'!O560</f>
        <v>0</v>
      </c>
      <c r="P560" s="80">
        <f t="shared" si="232"/>
        <v>350</v>
      </c>
      <c r="Q560" s="82">
        <f t="shared" si="233"/>
        <v>443.66</v>
      </c>
      <c r="R560" s="82">
        <f t="shared" si="234"/>
        <v>443.66</v>
      </c>
    </row>
    <row r="561" spans="2:18" s="34" customFormat="1" ht="23.4">
      <c r="B561" s="75" t="s">
        <v>1097</v>
      </c>
      <c r="C561" s="76" t="s">
        <v>1098</v>
      </c>
      <c r="D561" s="77" t="s">
        <v>131</v>
      </c>
      <c r="E561" s="78">
        <v>15</v>
      </c>
      <c r="F561" s="79"/>
      <c r="G561" s="79"/>
      <c r="H561" s="79"/>
      <c r="I561" s="79">
        <f>SUM(G561:H561)+'BM 005'!I561</f>
        <v>0</v>
      </c>
      <c r="J561" s="79">
        <f t="shared" si="227"/>
        <v>15</v>
      </c>
      <c r="K561" s="84">
        <v>260</v>
      </c>
      <c r="L561" s="81">
        <f t="shared" si="226"/>
        <v>329.57602860000003</v>
      </c>
      <c r="M561" s="82">
        <f t="shared" si="230"/>
        <v>0</v>
      </c>
      <c r="N561" s="82">
        <f t="shared" si="231"/>
        <v>0</v>
      </c>
      <c r="O561" s="82">
        <f>N561+'BM 005'!O561</f>
        <v>0</v>
      </c>
      <c r="P561" s="80">
        <f t="shared" si="232"/>
        <v>3900</v>
      </c>
      <c r="Q561" s="82">
        <f t="shared" si="233"/>
        <v>4943.6400000000003</v>
      </c>
      <c r="R561" s="82">
        <f t="shared" si="234"/>
        <v>4943.6400000000003</v>
      </c>
    </row>
    <row r="562" spans="2:18" s="34" customFormat="1" ht="23.4">
      <c r="B562" s="75" t="s">
        <v>1099</v>
      </c>
      <c r="C562" s="76" t="s">
        <v>1100</v>
      </c>
      <c r="D562" s="77" t="s">
        <v>131</v>
      </c>
      <c r="E562" s="78">
        <v>1</v>
      </c>
      <c r="F562" s="79"/>
      <c r="G562" s="79"/>
      <c r="H562" s="79"/>
      <c r="I562" s="79">
        <f>SUM(G562:H562)+'BM 005'!I562</f>
        <v>0</v>
      </c>
      <c r="J562" s="79">
        <f t="shared" si="227"/>
        <v>1</v>
      </c>
      <c r="K562" s="84">
        <v>360</v>
      </c>
      <c r="L562" s="81">
        <f t="shared" si="226"/>
        <v>456.33603960000005</v>
      </c>
      <c r="M562" s="82">
        <f t="shared" si="230"/>
        <v>0</v>
      </c>
      <c r="N562" s="82">
        <f t="shared" si="231"/>
        <v>0</v>
      </c>
      <c r="O562" s="82">
        <f>N562+'BM 005'!O562</f>
        <v>0</v>
      </c>
      <c r="P562" s="80">
        <f t="shared" si="232"/>
        <v>360</v>
      </c>
      <c r="Q562" s="82">
        <f t="shared" si="233"/>
        <v>456.33</v>
      </c>
      <c r="R562" s="82">
        <f t="shared" si="234"/>
        <v>456.33</v>
      </c>
    </row>
    <row r="563" spans="2:18" s="34" customFormat="1" ht="13.2">
      <c r="B563" s="75" t="s">
        <v>1101</v>
      </c>
      <c r="C563" s="76" t="s">
        <v>1102</v>
      </c>
      <c r="D563" s="77" t="s">
        <v>131</v>
      </c>
      <c r="E563" s="78">
        <v>2</v>
      </c>
      <c r="F563" s="79"/>
      <c r="G563" s="79"/>
      <c r="H563" s="79"/>
      <c r="I563" s="79">
        <f>SUM(G563:H563)+'BM 005'!I563</f>
        <v>0</v>
      </c>
      <c r="J563" s="79">
        <f t="shared" si="227"/>
        <v>2</v>
      </c>
      <c r="K563" s="84">
        <v>3650</v>
      </c>
      <c r="L563" s="81">
        <f t="shared" si="226"/>
        <v>4626.7404015000002</v>
      </c>
      <c r="M563" s="82">
        <f t="shared" si="230"/>
        <v>0</v>
      </c>
      <c r="N563" s="82">
        <f t="shared" si="231"/>
        <v>0</v>
      </c>
      <c r="O563" s="82">
        <f>N563+'BM 005'!O563</f>
        <v>0</v>
      </c>
      <c r="P563" s="80">
        <f t="shared" si="232"/>
        <v>7300</v>
      </c>
      <c r="Q563" s="82">
        <f t="shared" si="233"/>
        <v>9253.48</v>
      </c>
      <c r="R563" s="82">
        <f t="shared" si="234"/>
        <v>9253.48</v>
      </c>
    </row>
    <row r="564" spans="2:18" s="34" customFormat="1" ht="23.4">
      <c r="B564" s="75" t="s">
        <v>1103</v>
      </c>
      <c r="C564" s="76" t="s">
        <v>1104</v>
      </c>
      <c r="D564" s="77" t="s">
        <v>131</v>
      </c>
      <c r="E564" s="78">
        <v>60</v>
      </c>
      <c r="F564" s="79"/>
      <c r="G564" s="79"/>
      <c r="H564" s="79"/>
      <c r="I564" s="79">
        <f>SUM(G564:H564)+'BM 005'!I564</f>
        <v>0</v>
      </c>
      <c r="J564" s="79">
        <f t="shared" si="227"/>
        <v>60</v>
      </c>
      <c r="K564" s="84">
        <v>280</v>
      </c>
      <c r="L564" s="81">
        <f t="shared" si="226"/>
        <v>354.92803079999999</v>
      </c>
      <c r="M564" s="82">
        <f t="shared" si="230"/>
        <v>0</v>
      </c>
      <c r="N564" s="82">
        <f t="shared" si="231"/>
        <v>0</v>
      </c>
      <c r="O564" s="82">
        <f>N564+'BM 005'!O564</f>
        <v>0</v>
      </c>
      <c r="P564" s="80">
        <f t="shared" si="232"/>
        <v>16800</v>
      </c>
      <c r="Q564" s="82">
        <f t="shared" si="233"/>
        <v>21295.68</v>
      </c>
      <c r="R564" s="82">
        <f t="shared" si="234"/>
        <v>21295.68</v>
      </c>
    </row>
    <row r="565" spans="2:18" s="34" customFormat="1" ht="34.799999999999997">
      <c r="B565" s="75" t="s">
        <v>1105</v>
      </c>
      <c r="C565" s="76" t="s">
        <v>1106</v>
      </c>
      <c r="D565" s="77" t="s">
        <v>131</v>
      </c>
      <c r="E565" s="78">
        <v>10</v>
      </c>
      <c r="F565" s="79"/>
      <c r="G565" s="79"/>
      <c r="H565" s="79"/>
      <c r="I565" s="79">
        <f>SUM(G565:H565)+'BM 005'!I565</f>
        <v>0</v>
      </c>
      <c r="J565" s="79">
        <f t="shared" si="227"/>
        <v>10</v>
      </c>
      <c r="K565" s="84">
        <v>295</v>
      </c>
      <c r="L565" s="81">
        <f t="shared" si="226"/>
        <v>373.94203245</v>
      </c>
      <c r="M565" s="82">
        <f t="shared" si="230"/>
        <v>0</v>
      </c>
      <c r="N565" s="82">
        <f t="shared" si="231"/>
        <v>0</v>
      </c>
      <c r="O565" s="82">
        <f>N565+'BM 005'!O565</f>
        <v>0</v>
      </c>
      <c r="P565" s="80">
        <f t="shared" si="232"/>
        <v>2950</v>
      </c>
      <c r="Q565" s="82">
        <f t="shared" si="233"/>
        <v>3739.42</v>
      </c>
      <c r="R565" s="82">
        <f t="shared" si="234"/>
        <v>3739.42</v>
      </c>
    </row>
    <row r="566" spans="2:18" s="34" customFormat="1" ht="13.2">
      <c r="B566" s="60" t="s">
        <v>1107</v>
      </c>
      <c r="C566" s="61" t="s">
        <v>1108</v>
      </c>
      <c r="D566" s="60"/>
      <c r="E566" s="62"/>
      <c r="F566" s="63"/>
      <c r="G566" s="63"/>
      <c r="H566" s="63"/>
      <c r="I566" s="63">
        <f>SUM(G566:H566)+'BM 005'!I566</f>
        <v>0</v>
      </c>
      <c r="J566" s="63">
        <f t="shared" si="227"/>
        <v>0</v>
      </c>
      <c r="K566" s="63"/>
      <c r="L566" s="63">
        <f t="shared" si="226"/>
        <v>0</v>
      </c>
      <c r="M566" s="63">
        <f t="shared" ref="M566:R566" si="235">SUM(M567:M587)</f>
        <v>0</v>
      </c>
      <c r="N566" s="63">
        <f t="shared" si="235"/>
        <v>0</v>
      </c>
      <c r="O566" s="63">
        <f t="shared" si="235"/>
        <v>0</v>
      </c>
      <c r="P566" s="63">
        <f t="shared" si="235"/>
        <v>397499.3</v>
      </c>
      <c r="Q566" s="63">
        <f t="shared" si="235"/>
        <v>503870.0799999999</v>
      </c>
      <c r="R566" s="63">
        <f t="shared" si="235"/>
        <v>503870.0799999999</v>
      </c>
    </row>
    <row r="567" spans="2:18" s="34" customFormat="1" ht="57.6">
      <c r="B567" s="87" t="s">
        <v>1109</v>
      </c>
      <c r="C567" s="88" t="s">
        <v>1110</v>
      </c>
      <c r="D567" s="89" t="s">
        <v>63</v>
      </c>
      <c r="E567" s="92">
        <v>33</v>
      </c>
      <c r="F567" s="91"/>
      <c r="G567" s="91"/>
      <c r="H567" s="91"/>
      <c r="I567" s="91">
        <f>SUM(G567:H567)+'BM 005'!I567</f>
        <v>0</v>
      </c>
      <c r="J567" s="91">
        <f t="shared" si="227"/>
        <v>33</v>
      </c>
      <c r="K567" s="84">
        <v>540</v>
      </c>
      <c r="L567" s="81">
        <f t="shared" si="226"/>
        <v>684.50405940000007</v>
      </c>
      <c r="M567" s="82">
        <f t="shared" ref="M567:M587" si="236">TRUNC(F567*L567,2)</f>
        <v>0</v>
      </c>
      <c r="N567" s="82">
        <f t="shared" ref="N567:N587" si="237">TRUNC(G567*L567,2)</f>
        <v>0</v>
      </c>
      <c r="O567" s="82">
        <f>N567+'BM 005'!O567</f>
        <v>0</v>
      </c>
      <c r="P567" s="80">
        <f t="shared" ref="P567:P587" si="238">E567*K567</f>
        <v>17820</v>
      </c>
      <c r="Q567" s="82">
        <f t="shared" ref="Q567:Q587" si="239">TRUNC(E567*L567,2)</f>
        <v>22588.63</v>
      </c>
      <c r="R567" s="82">
        <f t="shared" ref="R567:R587" si="240">Q567-O567</f>
        <v>22588.63</v>
      </c>
    </row>
    <row r="568" spans="2:18" s="34" customFormat="1" ht="57.6">
      <c r="B568" s="87" t="s">
        <v>1111</v>
      </c>
      <c r="C568" s="88" t="s">
        <v>1112</v>
      </c>
      <c r="D568" s="89" t="s">
        <v>63</v>
      </c>
      <c r="E568" s="90">
        <f>56-E567</f>
        <v>23</v>
      </c>
      <c r="F568" s="91"/>
      <c r="G568" s="91"/>
      <c r="H568" s="91"/>
      <c r="I568" s="91">
        <f>SUM(G568:H568)+'BM 005'!I568</f>
        <v>0</v>
      </c>
      <c r="J568" s="91">
        <f t="shared" si="227"/>
        <v>23</v>
      </c>
      <c r="K568" s="80">
        <v>685</v>
      </c>
      <c r="L568" s="81">
        <f t="shared" si="226"/>
        <v>868.30607535000001</v>
      </c>
      <c r="M568" s="82">
        <f t="shared" si="236"/>
        <v>0</v>
      </c>
      <c r="N568" s="82">
        <f t="shared" si="237"/>
        <v>0</v>
      </c>
      <c r="O568" s="82">
        <f>N568+'BM 005'!O568</f>
        <v>0</v>
      </c>
      <c r="P568" s="80">
        <f t="shared" si="238"/>
        <v>15755</v>
      </c>
      <c r="Q568" s="82">
        <f t="shared" si="239"/>
        <v>19971.03</v>
      </c>
      <c r="R568" s="82">
        <f t="shared" si="240"/>
        <v>19971.03</v>
      </c>
    </row>
    <row r="569" spans="2:18" s="34" customFormat="1" ht="34.799999999999997">
      <c r="B569" s="87" t="s">
        <v>1113</v>
      </c>
      <c r="C569" s="88" t="s">
        <v>1114</v>
      </c>
      <c r="D569" s="89" t="s">
        <v>131</v>
      </c>
      <c r="E569" s="92">
        <v>17</v>
      </c>
      <c r="F569" s="91"/>
      <c r="G569" s="91"/>
      <c r="H569" s="91"/>
      <c r="I569" s="91">
        <f>SUM(G569:H569)+'BM 005'!I569</f>
        <v>0</v>
      </c>
      <c r="J569" s="91">
        <f t="shared" si="227"/>
        <v>17</v>
      </c>
      <c r="K569" s="84">
        <v>725</v>
      </c>
      <c r="L569" s="81">
        <f t="shared" si="226"/>
        <v>919.01007975000005</v>
      </c>
      <c r="M569" s="82">
        <f t="shared" si="236"/>
        <v>0</v>
      </c>
      <c r="N569" s="82">
        <f t="shared" si="237"/>
        <v>0</v>
      </c>
      <c r="O569" s="82">
        <f>N569+'BM 005'!O569</f>
        <v>0</v>
      </c>
      <c r="P569" s="80">
        <f t="shared" si="238"/>
        <v>12325</v>
      </c>
      <c r="Q569" s="82">
        <f t="shared" si="239"/>
        <v>15623.17</v>
      </c>
      <c r="R569" s="82">
        <f t="shared" si="240"/>
        <v>15623.17</v>
      </c>
    </row>
    <row r="570" spans="2:18" s="34" customFormat="1" ht="23.4">
      <c r="B570" s="87" t="s">
        <v>1115</v>
      </c>
      <c r="C570" s="88" t="s">
        <v>1116</v>
      </c>
      <c r="D570" s="89" t="s">
        <v>63</v>
      </c>
      <c r="E570" s="92">
        <v>56</v>
      </c>
      <c r="F570" s="91"/>
      <c r="G570" s="91"/>
      <c r="H570" s="91"/>
      <c r="I570" s="91">
        <f>SUM(G570:H570)+'BM 005'!I570</f>
        <v>0</v>
      </c>
      <c r="J570" s="91">
        <f t="shared" si="227"/>
        <v>56</v>
      </c>
      <c r="K570" s="84">
        <v>175</v>
      </c>
      <c r="L570" s="81">
        <f t="shared" si="226"/>
        <v>221.83001925000002</v>
      </c>
      <c r="M570" s="82">
        <f t="shared" si="236"/>
        <v>0</v>
      </c>
      <c r="N570" s="82">
        <f t="shared" si="237"/>
        <v>0</v>
      </c>
      <c r="O570" s="82">
        <f>N570+'BM 005'!O570</f>
        <v>0</v>
      </c>
      <c r="P570" s="80">
        <f t="shared" si="238"/>
        <v>9800</v>
      </c>
      <c r="Q570" s="82">
        <f t="shared" si="239"/>
        <v>12422.48</v>
      </c>
      <c r="R570" s="82">
        <f t="shared" si="240"/>
        <v>12422.48</v>
      </c>
    </row>
    <row r="571" spans="2:18" s="34" customFormat="1" ht="23.4">
      <c r="B571" s="87" t="s">
        <v>1117</v>
      </c>
      <c r="C571" s="88" t="s">
        <v>1118</v>
      </c>
      <c r="D571" s="89" t="s">
        <v>63</v>
      </c>
      <c r="E571" s="92">
        <v>11</v>
      </c>
      <c r="F571" s="91"/>
      <c r="G571" s="91"/>
      <c r="H571" s="91"/>
      <c r="I571" s="91">
        <f>SUM(G571:H571)+'BM 005'!I571</f>
        <v>0</v>
      </c>
      <c r="J571" s="91">
        <f t="shared" si="227"/>
        <v>11</v>
      </c>
      <c r="K571" s="84">
        <v>120</v>
      </c>
      <c r="L571" s="81">
        <f t="shared" si="226"/>
        <v>152.11201320000001</v>
      </c>
      <c r="M571" s="82">
        <f t="shared" si="236"/>
        <v>0</v>
      </c>
      <c r="N571" s="82">
        <f t="shared" si="237"/>
        <v>0</v>
      </c>
      <c r="O571" s="82">
        <f>N571+'BM 005'!O571</f>
        <v>0</v>
      </c>
      <c r="P571" s="80">
        <f t="shared" si="238"/>
        <v>1320</v>
      </c>
      <c r="Q571" s="82">
        <f t="shared" si="239"/>
        <v>1673.23</v>
      </c>
      <c r="R571" s="82">
        <f t="shared" si="240"/>
        <v>1673.23</v>
      </c>
    </row>
    <row r="572" spans="2:18" s="34" customFormat="1" ht="46.2">
      <c r="B572" s="87" t="s">
        <v>1119</v>
      </c>
      <c r="C572" s="88" t="s">
        <v>1120</v>
      </c>
      <c r="D572" s="89" t="s">
        <v>63</v>
      </c>
      <c r="E572" s="92">
        <v>20</v>
      </c>
      <c r="F572" s="91"/>
      <c r="G572" s="91"/>
      <c r="H572" s="91"/>
      <c r="I572" s="91">
        <f>SUM(G572:H572)+'BM 005'!I572</f>
        <v>0</v>
      </c>
      <c r="J572" s="91">
        <f t="shared" si="227"/>
        <v>20</v>
      </c>
      <c r="K572" s="84">
        <v>205</v>
      </c>
      <c r="L572" s="81">
        <f t="shared" si="226"/>
        <v>259.85802254999999</v>
      </c>
      <c r="M572" s="82">
        <f t="shared" si="236"/>
        <v>0</v>
      </c>
      <c r="N572" s="82">
        <f t="shared" si="237"/>
        <v>0</v>
      </c>
      <c r="O572" s="82">
        <f>N572+'BM 005'!O572</f>
        <v>0</v>
      </c>
      <c r="P572" s="80">
        <f t="shared" si="238"/>
        <v>4100</v>
      </c>
      <c r="Q572" s="82">
        <f t="shared" si="239"/>
        <v>5197.16</v>
      </c>
      <c r="R572" s="82">
        <f t="shared" si="240"/>
        <v>5197.16</v>
      </c>
    </row>
    <row r="573" spans="2:18" s="34" customFormat="1" ht="23.4">
      <c r="B573" s="87" t="s">
        <v>1121</v>
      </c>
      <c r="C573" s="88" t="s">
        <v>1122</v>
      </c>
      <c r="D573" s="89" t="s">
        <v>63</v>
      </c>
      <c r="E573" s="92">
        <v>39</v>
      </c>
      <c r="F573" s="91"/>
      <c r="G573" s="91"/>
      <c r="H573" s="91"/>
      <c r="I573" s="91">
        <f>SUM(G573:H573)+'BM 005'!I573</f>
        <v>0</v>
      </c>
      <c r="J573" s="91">
        <f t="shared" si="227"/>
        <v>39</v>
      </c>
      <c r="K573" s="84">
        <v>730</v>
      </c>
      <c r="L573" s="81">
        <f t="shared" si="226"/>
        <v>925.34808029999999</v>
      </c>
      <c r="M573" s="82">
        <f t="shared" si="236"/>
        <v>0</v>
      </c>
      <c r="N573" s="82">
        <f t="shared" si="237"/>
        <v>0</v>
      </c>
      <c r="O573" s="82">
        <f>N573+'BM 005'!O573</f>
        <v>0</v>
      </c>
      <c r="P573" s="80">
        <f t="shared" si="238"/>
        <v>28470</v>
      </c>
      <c r="Q573" s="82">
        <f t="shared" si="239"/>
        <v>36088.57</v>
      </c>
      <c r="R573" s="82">
        <f t="shared" si="240"/>
        <v>36088.57</v>
      </c>
    </row>
    <row r="574" spans="2:18" s="34" customFormat="1" ht="23.4">
      <c r="B574" s="87" t="s">
        <v>1123</v>
      </c>
      <c r="C574" s="88" t="s">
        <v>1124</v>
      </c>
      <c r="D574" s="89" t="s">
        <v>63</v>
      </c>
      <c r="E574" s="92">
        <v>6</v>
      </c>
      <c r="F574" s="91"/>
      <c r="G574" s="91"/>
      <c r="H574" s="91"/>
      <c r="I574" s="91">
        <f>SUM(G574:H574)+'BM 005'!I574</f>
        <v>0</v>
      </c>
      <c r="J574" s="91">
        <f t="shared" si="227"/>
        <v>6</v>
      </c>
      <c r="K574" s="84">
        <v>4500</v>
      </c>
      <c r="L574" s="81">
        <f t="shared" si="226"/>
        <v>5704.200495</v>
      </c>
      <c r="M574" s="82">
        <f t="shared" si="236"/>
        <v>0</v>
      </c>
      <c r="N574" s="82">
        <f t="shared" si="237"/>
        <v>0</v>
      </c>
      <c r="O574" s="82">
        <f>N574+'BM 005'!O574</f>
        <v>0</v>
      </c>
      <c r="P574" s="80">
        <f t="shared" si="238"/>
        <v>27000</v>
      </c>
      <c r="Q574" s="82">
        <f t="shared" si="239"/>
        <v>34225.199999999997</v>
      </c>
      <c r="R574" s="82">
        <f t="shared" si="240"/>
        <v>34225.199999999997</v>
      </c>
    </row>
    <row r="575" spans="2:18" s="34" customFormat="1" ht="46.2">
      <c r="B575" s="87" t="s">
        <v>1125</v>
      </c>
      <c r="C575" s="88" t="s">
        <v>1126</v>
      </c>
      <c r="D575" s="89" t="s">
        <v>63</v>
      </c>
      <c r="E575" s="92">
        <v>59</v>
      </c>
      <c r="F575" s="91"/>
      <c r="G575" s="91"/>
      <c r="H575" s="91"/>
      <c r="I575" s="91">
        <f>SUM(G575:H575)+'BM 005'!I575</f>
        <v>0</v>
      </c>
      <c r="J575" s="91">
        <f t="shared" si="227"/>
        <v>59</v>
      </c>
      <c r="K575" s="84">
        <v>745</v>
      </c>
      <c r="L575" s="81">
        <f t="shared" si="226"/>
        <v>944.36208195000006</v>
      </c>
      <c r="M575" s="82">
        <f t="shared" si="236"/>
        <v>0</v>
      </c>
      <c r="N575" s="82">
        <f t="shared" si="237"/>
        <v>0</v>
      </c>
      <c r="O575" s="82">
        <f>N575+'BM 005'!O575</f>
        <v>0</v>
      </c>
      <c r="P575" s="80">
        <f t="shared" si="238"/>
        <v>43955</v>
      </c>
      <c r="Q575" s="82">
        <f t="shared" si="239"/>
        <v>55717.36</v>
      </c>
      <c r="R575" s="82">
        <f t="shared" si="240"/>
        <v>55717.36</v>
      </c>
    </row>
    <row r="576" spans="2:18" s="34" customFormat="1" ht="23.4">
      <c r="B576" s="87" t="s">
        <v>1127</v>
      </c>
      <c r="C576" s="88" t="s">
        <v>1128</v>
      </c>
      <c r="D576" s="89" t="s">
        <v>63</v>
      </c>
      <c r="E576" s="92">
        <v>74</v>
      </c>
      <c r="F576" s="91"/>
      <c r="G576" s="91"/>
      <c r="H576" s="91"/>
      <c r="I576" s="91">
        <f>SUM(G576:H576)+'BM 005'!I576</f>
        <v>0</v>
      </c>
      <c r="J576" s="91">
        <f t="shared" si="227"/>
        <v>74</v>
      </c>
      <c r="K576" s="84">
        <v>250</v>
      </c>
      <c r="L576" s="81">
        <f t="shared" si="226"/>
        <v>316.90002750000002</v>
      </c>
      <c r="M576" s="82">
        <f t="shared" si="236"/>
        <v>0</v>
      </c>
      <c r="N576" s="82">
        <f t="shared" si="237"/>
        <v>0</v>
      </c>
      <c r="O576" s="82">
        <f>N576+'BM 005'!O576</f>
        <v>0</v>
      </c>
      <c r="P576" s="80">
        <f t="shared" si="238"/>
        <v>18500</v>
      </c>
      <c r="Q576" s="82">
        <f t="shared" si="239"/>
        <v>23450.6</v>
      </c>
      <c r="R576" s="82">
        <f t="shared" si="240"/>
        <v>23450.6</v>
      </c>
    </row>
    <row r="577" spans="1:23" s="34" customFormat="1" ht="23.4">
      <c r="B577" s="87" t="s">
        <v>1129</v>
      </c>
      <c r="C577" s="88" t="s">
        <v>1130</v>
      </c>
      <c r="D577" s="89" t="s">
        <v>63</v>
      </c>
      <c r="E577" s="92">
        <v>49</v>
      </c>
      <c r="F577" s="91"/>
      <c r="G577" s="91"/>
      <c r="H577" s="91"/>
      <c r="I577" s="91">
        <f>SUM(G577:H577)+'BM 005'!I577</f>
        <v>0</v>
      </c>
      <c r="J577" s="91">
        <f t="shared" si="227"/>
        <v>49</v>
      </c>
      <c r="K577" s="84">
        <v>250</v>
      </c>
      <c r="L577" s="81">
        <f t="shared" si="226"/>
        <v>316.90002750000002</v>
      </c>
      <c r="M577" s="82">
        <f t="shared" si="236"/>
        <v>0</v>
      </c>
      <c r="N577" s="82">
        <f t="shared" si="237"/>
        <v>0</v>
      </c>
      <c r="O577" s="82">
        <f>N577+'BM 005'!O577</f>
        <v>0</v>
      </c>
      <c r="P577" s="80">
        <f t="shared" si="238"/>
        <v>12250</v>
      </c>
      <c r="Q577" s="82">
        <f t="shared" si="239"/>
        <v>15528.1</v>
      </c>
      <c r="R577" s="82">
        <f t="shared" si="240"/>
        <v>15528.1</v>
      </c>
    </row>
    <row r="578" spans="1:23" s="34" customFormat="1" ht="23.4">
      <c r="B578" s="87" t="s">
        <v>1131</v>
      </c>
      <c r="C578" s="88" t="s">
        <v>1132</v>
      </c>
      <c r="D578" s="89" t="s">
        <v>63</v>
      </c>
      <c r="E578" s="92">
        <v>102</v>
      </c>
      <c r="F578" s="91"/>
      <c r="G578" s="91"/>
      <c r="H578" s="91"/>
      <c r="I578" s="91">
        <f>SUM(G578:H578)+'BM 005'!I578</f>
        <v>0</v>
      </c>
      <c r="J578" s="91">
        <f t="shared" si="227"/>
        <v>102</v>
      </c>
      <c r="K578" s="84">
        <v>200</v>
      </c>
      <c r="L578" s="81">
        <f t="shared" si="226"/>
        <v>253.52002200000001</v>
      </c>
      <c r="M578" s="82">
        <f t="shared" si="236"/>
        <v>0</v>
      </c>
      <c r="N578" s="82">
        <f t="shared" si="237"/>
        <v>0</v>
      </c>
      <c r="O578" s="82">
        <f>N578+'BM 005'!O578</f>
        <v>0</v>
      </c>
      <c r="P578" s="80">
        <f t="shared" si="238"/>
        <v>20400</v>
      </c>
      <c r="Q578" s="82">
        <f t="shared" si="239"/>
        <v>25859.040000000001</v>
      </c>
      <c r="R578" s="82">
        <f t="shared" si="240"/>
        <v>25859.040000000001</v>
      </c>
    </row>
    <row r="579" spans="1:23" s="34" customFormat="1" ht="13.2">
      <c r="B579" s="87" t="s">
        <v>1133</v>
      </c>
      <c r="C579" s="88" t="s">
        <v>1134</v>
      </c>
      <c r="D579" s="89" t="s">
        <v>63</v>
      </c>
      <c r="E579" s="92">
        <v>135</v>
      </c>
      <c r="F579" s="91"/>
      <c r="G579" s="91"/>
      <c r="H579" s="91"/>
      <c r="I579" s="91">
        <f>SUM(G579:H579)+'BM 005'!I579</f>
        <v>0</v>
      </c>
      <c r="J579" s="91">
        <f t="shared" si="227"/>
        <v>135</v>
      </c>
      <c r="K579" s="84">
        <v>85</v>
      </c>
      <c r="L579" s="81">
        <f t="shared" si="226"/>
        <v>107.74600935000001</v>
      </c>
      <c r="M579" s="82">
        <f t="shared" si="236"/>
        <v>0</v>
      </c>
      <c r="N579" s="82">
        <f t="shared" si="237"/>
        <v>0</v>
      </c>
      <c r="O579" s="82">
        <f>N579+'BM 005'!O579</f>
        <v>0</v>
      </c>
      <c r="P579" s="80">
        <f t="shared" si="238"/>
        <v>11475</v>
      </c>
      <c r="Q579" s="82">
        <f t="shared" si="239"/>
        <v>14545.71</v>
      </c>
      <c r="R579" s="82">
        <f t="shared" si="240"/>
        <v>14545.71</v>
      </c>
    </row>
    <row r="580" spans="1:23" s="34" customFormat="1" ht="34.799999999999997">
      <c r="B580" s="87" t="s">
        <v>1135</v>
      </c>
      <c r="C580" s="88" t="s">
        <v>1136</v>
      </c>
      <c r="D580" s="89" t="s">
        <v>79</v>
      </c>
      <c r="E580" s="92">
        <v>43.42</v>
      </c>
      <c r="F580" s="91"/>
      <c r="G580" s="91"/>
      <c r="H580" s="91"/>
      <c r="I580" s="91">
        <f>SUM(G580:H580)+'BM 005'!I580</f>
        <v>0</v>
      </c>
      <c r="J580" s="91">
        <f t="shared" si="227"/>
        <v>43.42</v>
      </c>
      <c r="K580" s="84">
        <v>2590</v>
      </c>
      <c r="L580" s="81">
        <f t="shared" si="226"/>
        <v>3283.0842849000001</v>
      </c>
      <c r="M580" s="82">
        <f t="shared" si="236"/>
        <v>0</v>
      </c>
      <c r="N580" s="82">
        <f t="shared" si="237"/>
        <v>0</v>
      </c>
      <c r="O580" s="82">
        <f>N580+'BM 005'!O580</f>
        <v>0</v>
      </c>
      <c r="P580" s="80">
        <f t="shared" si="238"/>
        <v>112457.8</v>
      </c>
      <c r="Q580" s="82">
        <f t="shared" si="239"/>
        <v>142551.51</v>
      </c>
      <c r="R580" s="82">
        <f t="shared" si="240"/>
        <v>142551.51</v>
      </c>
    </row>
    <row r="581" spans="1:23" s="34" customFormat="1" ht="34.799999999999997">
      <c r="B581" s="87" t="s">
        <v>1137</v>
      </c>
      <c r="C581" s="88" t="s">
        <v>1138</v>
      </c>
      <c r="D581" s="89" t="s">
        <v>79</v>
      </c>
      <c r="E581" s="92">
        <v>8.93</v>
      </c>
      <c r="F581" s="91"/>
      <c r="G581" s="91"/>
      <c r="H581" s="91"/>
      <c r="I581" s="91">
        <f>SUM(G581:H581)+'BM 005'!I581</f>
        <v>0</v>
      </c>
      <c r="J581" s="91">
        <f t="shared" si="227"/>
        <v>8.93</v>
      </c>
      <c r="K581" s="84">
        <v>950</v>
      </c>
      <c r="L581" s="81">
        <f t="shared" si="226"/>
        <v>1204.2201045000002</v>
      </c>
      <c r="M581" s="82">
        <f t="shared" si="236"/>
        <v>0</v>
      </c>
      <c r="N581" s="82">
        <f t="shared" si="237"/>
        <v>0</v>
      </c>
      <c r="O581" s="82">
        <f>N581+'BM 005'!O581</f>
        <v>0</v>
      </c>
      <c r="P581" s="80">
        <f t="shared" si="238"/>
        <v>8483.5</v>
      </c>
      <c r="Q581" s="82">
        <f t="shared" si="239"/>
        <v>10753.68</v>
      </c>
      <c r="R581" s="82">
        <f t="shared" si="240"/>
        <v>10753.68</v>
      </c>
    </row>
    <row r="582" spans="1:23" s="34" customFormat="1" ht="23.4">
      <c r="B582" s="87" t="s">
        <v>1139</v>
      </c>
      <c r="C582" s="88" t="s">
        <v>1140</v>
      </c>
      <c r="D582" s="89" t="s">
        <v>63</v>
      </c>
      <c r="E582" s="92">
        <v>1</v>
      </c>
      <c r="F582" s="91"/>
      <c r="G582" s="91"/>
      <c r="H582" s="91"/>
      <c r="I582" s="91">
        <f>SUM(G582:H582)+'BM 005'!I582</f>
        <v>0</v>
      </c>
      <c r="J582" s="91">
        <f t="shared" si="227"/>
        <v>1</v>
      </c>
      <c r="K582" s="84">
        <v>210</v>
      </c>
      <c r="L582" s="81">
        <f t="shared" si="226"/>
        <v>266.19602309999999</v>
      </c>
      <c r="M582" s="82">
        <f t="shared" si="236"/>
        <v>0</v>
      </c>
      <c r="N582" s="82">
        <f t="shared" si="237"/>
        <v>0</v>
      </c>
      <c r="O582" s="82">
        <f>N582+'BM 005'!O582</f>
        <v>0</v>
      </c>
      <c r="P582" s="80">
        <f t="shared" si="238"/>
        <v>210</v>
      </c>
      <c r="Q582" s="82">
        <f t="shared" si="239"/>
        <v>266.19</v>
      </c>
      <c r="R582" s="82">
        <f t="shared" si="240"/>
        <v>266.19</v>
      </c>
    </row>
    <row r="583" spans="1:23" s="34" customFormat="1" ht="34.799999999999997">
      <c r="B583" s="87" t="s">
        <v>1141</v>
      </c>
      <c r="C583" s="88" t="s">
        <v>1142</v>
      </c>
      <c r="D583" s="89" t="s">
        <v>63</v>
      </c>
      <c r="E583" s="92">
        <v>22</v>
      </c>
      <c r="F583" s="91"/>
      <c r="G583" s="91"/>
      <c r="H583" s="91"/>
      <c r="I583" s="91">
        <f>SUM(G583:H583)+'BM 005'!I583</f>
        <v>0</v>
      </c>
      <c r="J583" s="91">
        <f t="shared" si="227"/>
        <v>22</v>
      </c>
      <c r="K583" s="84">
        <v>490</v>
      </c>
      <c r="L583" s="81">
        <f t="shared" si="226"/>
        <v>621.12405390000004</v>
      </c>
      <c r="M583" s="82">
        <f t="shared" si="236"/>
        <v>0</v>
      </c>
      <c r="N583" s="82">
        <f t="shared" si="237"/>
        <v>0</v>
      </c>
      <c r="O583" s="82">
        <f>N583+'BM 005'!O583</f>
        <v>0</v>
      </c>
      <c r="P583" s="80">
        <f t="shared" si="238"/>
        <v>10780</v>
      </c>
      <c r="Q583" s="82">
        <f t="shared" si="239"/>
        <v>13664.72</v>
      </c>
      <c r="R583" s="82">
        <f t="shared" si="240"/>
        <v>13664.72</v>
      </c>
    </row>
    <row r="584" spans="1:23" ht="58.2">
      <c r="A584" s="34"/>
      <c r="B584" s="87" t="s">
        <v>1143</v>
      </c>
      <c r="C584" s="88" t="s">
        <v>1144</v>
      </c>
      <c r="D584" s="89" t="s">
        <v>63</v>
      </c>
      <c r="E584" s="92">
        <v>3</v>
      </c>
      <c r="F584" s="91"/>
      <c r="G584" s="91"/>
      <c r="H584" s="91"/>
      <c r="I584" s="91">
        <f>SUM(G584:H584)+'BM 005'!I584</f>
        <v>0</v>
      </c>
      <c r="J584" s="91">
        <f t="shared" si="227"/>
        <v>3</v>
      </c>
      <c r="K584" s="84">
        <v>2480</v>
      </c>
      <c r="L584" s="81">
        <f t="shared" si="226"/>
        <v>3143.6482728000001</v>
      </c>
      <c r="M584" s="82">
        <f t="shared" si="236"/>
        <v>0</v>
      </c>
      <c r="N584" s="82">
        <f t="shared" si="237"/>
        <v>0</v>
      </c>
      <c r="O584" s="82">
        <f>N584+'BM 005'!O584</f>
        <v>0</v>
      </c>
      <c r="P584" s="80">
        <f t="shared" si="238"/>
        <v>7440</v>
      </c>
      <c r="Q584" s="82">
        <f t="shared" si="239"/>
        <v>9430.94</v>
      </c>
      <c r="R584" s="82">
        <f t="shared" si="240"/>
        <v>9430.94</v>
      </c>
      <c r="S584" s="34"/>
      <c r="T584" s="34"/>
      <c r="U584" s="34"/>
      <c r="V584" s="34"/>
      <c r="W584" s="34"/>
    </row>
    <row r="585" spans="1:23" ht="24">
      <c r="A585" s="34"/>
      <c r="B585" s="87" t="s">
        <v>1145</v>
      </c>
      <c r="C585" s="88" t="s">
        <v>1146</v>
      </c>
      <c r="D585" s="89" t="s">
        <v>63</v>
      </c>
      <c r="E585" s="92">
        <v>7</v>
      </c>
      <c r="F585" s="91"/>
      <c r="G585" s="91"/>
      <c r="H585" s="91"/>
      <c r="I585" s="91">
        <f>SUM(G585:H585)+'BM 005'!I585</f>
        <v>0</v>
      </c>
      <c r="J585" s="91">
        <f t="shared" si="227"/>
        <v>7</v>
      </c>
      <c r="K585" s="84">
        <v>950</v>
      </c>
      <c r="L585" s="81">
        <f t="shared" si="226"/>
        <v>1204.2201045000002</v>
      </c>
      <c r="M585" s="82">
        <f t="shared" si="236"/>
        <v>0</v>
      </c>
      <c r="N585" s="82">
        <f t="shared" si="237"/>
        <v>0</v>
      </c>
      <c r="O585" s="82">
        <f>N585+'BM 005'!O585</f>
        <v>0</v>
      </c>
      <c r="P585" s="80">
        <f t="shared" si="238"/>
        <v>6650</v>
      </c>
      <c r="Q585" s="82">
        <f t="shared" si="239"/>
        <v>8429.5400000000009</v>
      </c>
      <c r="R585" s="82">
        <f t="shared" si="240"/>
        <v>8429.5400000000009</v>
      </c>
      <c r="S585" s="34"/>
      <c r="T585" s="34"/>
      <c r="U585" s="34"/>
      <c r="V585" s="34"/>
      <c r="W585" s="34"/>
    </row>
    <row r="586" spans="1:23" ht="35.4">
      <c r="A586" s="34"/>
      <c r="B586" s="87" t="s">
        <v>1147</v>
      </c>
      <c r="C586" s="88" t="s">
        <v>1148</v>
      </c>
      <c r="D586" s="89" t="s">
        <v>63</v>
      </c>
      <c r="E586" s="92">
        <v>43</v>
      </c>
      <c r="F586" s="91"/>
      <c r="G586" s="91"/>
      <c r="H586" s="91"/>
      <c r="I586" s="91">
        <f>SUM(G586:H586)+'BM 005'!I586</f>
        <v>0</v>
      </c>
      <c r="J586" s="91">
        <f t="shared" si="227"/>
        <v>43</v>
      </c>
      <c r="K586" s="84">
        <v>300</v>
      </c>
      <c r="L586" s="81">
        <f t="shared" si="226"/>
        <v>380.280033</v>
      </c>
      <c r="M586" s="82">
        <f t="shared" si="236"/>
        <v>0</v>
      </c>
      <c r="N586" s="82">
        <f t="shared" si="237"/>
        <v>0</v>
      </c>
      <c r="O586" s="82">
        <f>N586+'BM 005'!O586</f>
        <v>0</v>
      </c>
      <c r="P586" s="80">
        <f t="shared" si="238"/>
        <v>12900</v>
      </c>
      <c r="Q586" s="82">
        <f t="shared" si="239"/>
        <v>16352.04</v>
      </c>
      <c r="R586" s="82">
        <f t="shared" si="240"/>
        <v>16352.04</v>
      </c>
      <c r="S586" s="34"/>
      <c r="T586" s="34"/>
      <c r="U586" s="34"/>
      <c r="V586" s="34"/>
      <c r="W586" s="34"/>
    </row>
    <row r="587" spans="1:23" ht="35.4">
      <c r="A587" s="34"/>
      <c r="B587" s="87" t="s">
        <v>1149</v>
      </c>
      <c r="C587" s="88" t="s">
        <v>1150</v>
      </c>
      <c r="D587" s="89" t="s">
        <v>63</v>
      </c>
      <c r="E587" s="92">
        <v>4</v>
      </c>
      <c r="F587" s="91"/>
      <c r="G587" s="91"/>
      <c r="H587" s="91"/>
      <c r="I587" s="91">
        <f>SUM(G587:H587)+'BM 005'!I587</f>
        <v>0</v>
      </c>
      <c r="J587" s="91">
        <f t="shared" si="227"/>
        <v>4</v>
      </c>
      <c r="K587" s="84">
        <v>3852</v>
      </c>
      <c r="L587" s="81">
        <f t="shared" si="226"/>
        <v>4882.7956237200005</v>
      </c>
      <c r="M587" s="82">
        <f t="shared" si="236"/>
        <v>0</v>
      </c>
      <c r="N587" s="82">
        <f t="shared" si="237"/>
        <v>0</v>
      </c>
      <c r="O587" s="82">
        <f>N587+'BM 005'!O587</f>
        <v>0</v>
      </c>
      <c r="P587" s="80">
        <f t="shared" si="238"/>
        <v>15408</v>
      </c>
      <c r="Q587" s="82">
        <f t="shared" si="239"/>
        <v>19531.18</v>
      </c>
      <c r="R587" s="82">
        <f t="shared" si="240"/>
        <v>19531.18</v>
      </c>
      <c r="S587" s="34"/>
      <c r="T587" s="34"/>
      <c r="U587" s="34"/>
      <c r="V587" s="34"/>
      <c r="W587" s="34"/>
    </row>
    <row r="588" spans="1:23">
      <c r="A588" s="34"/>
      <c r="B588" s="60" t="s">
        <v>1151</v>
      </c>
      <c r="C588" s="61" t="s">
        <v>1152</v>
      </c>
      <c r="D588" s="60"/>
      <c r="E588" s="62"/>
      <c r="F588" s="63"/>
      <c r="G588" s="63"/>
      <c r="H588" s="63"/>
      <c r="I588" s="63">
        <f>SUM(G588:H588)+'BM 005'!I588</f>
        <v>0</v>
      </c>
      <c r="J588" s="63">
        <f t="shared" si="227"/>
        <v>0</v>
      </c>
      <c r="K588" s="63"/>
      <c r="L588" s="63">
        <f t="shared" si="226"/>
        <v>0</v>
      </c>
      <c r="M588" s="63">
        <f t="shared" ref="M588:R588" si="241">SUM(M589:M590)</f>
        <v>0</v>
      </c>
      <c r="N588" s="63">
        <f t="shared" si="241"/>
        <v>0</v>
      </c>
      <c r="O588" s="63">
        <f t="shared" si="241"/>
        <v>0</v>
      </c>
      <c r="P588" s="63">
        <f t="shared" si="241"/>
        <v>30555.67</v>
      </c>
      <c r="Q588" s="63">
        <f t="shared" si="241"/>
        <v>38732.36</v>
      </c>
      <c r="R588" s="63">
        <f t="shared" si="241"/>
        <v>38732.36</v>
      </c>
      <c r="S588" s="34"/>
      <c r="T588" s="34"/>
      <c r="U588" s="34"/>
      <c r="V588" s="34"/>
      <c r="W588" s="34"/>
    </row>
    <row r="589" spans="1:23" s="122" customFormat="1" ht="23.4">
      <c r="A589" s="34"/>
      <c r="B589" s="75" t="s">
        <v>1153</v>
      </c>
      <c r="C589" s="76" t="s">
        <v>1154</v>
      </c>
      <c r="D589" s="121" t="s">
        <v>63</v>
      </c>
      <c r="E589" s="78">
        <v>1</v>
      </c>
      <c r="F589" s="79"/>
      <c r="G589" s="79"/>
      <c r="H589" s="79"/>
      <c r="I589" s="79">
        <f>SUM(G589:H589)+'BM 005'!I589</f>
        <v>0</v>
      </c>
      <c r="J589" s="79">
        <f t="shared" si="227"/>
        <v>1</v>
      </c>
      <c r="K589" s="84">
        <v>5076.55</v>
      </c>
      <c r="L589" s="81">
        <f t="shared" si="226"/>
        <v>6435.0353384205009</v>
      </c>
      <c r="M589" s="82">
        <f>TRUNC(F589*L589,2)</f>
        <v>0</v>
      </c>
      <c r="N589" s="82">
        <f>TRUNC(G589*L589,2)</f>
        <v>0</v>
      </c>
      <c r="O589" s="82">
        <f>N589+'BM 005'!O589</f>
        <v>0</v>
      </c>
      <c r="P589" s="80">
        <f>E589*K589</f>
        <v>5076.55</v>
      </c>
      <c r="Q589" s="82">
        <f>TRUNC(E589*L589,2)</f>
        <v>6435.03</v>
      </c>
      <c r="R589" s="82">
        <f>Q589-O589</f>
        <v>6435.03</v>
      </c>
      <c r="S589" s="34"/>
      <c r="T589" s="34"/>
      <c r="U589" s="34"/>
      <c r="V589" s="34"/>
      <c r="W589" s="34"/>
    </row>
    <row r="590" spans="1:23" s="122" customFormat="1" ht="13.8">
      <c r="A590" s="34"/>
      <c r="B590" s="75" t="s">
        <v>1155</v>
      </c>
      <c r="C590" s="76" t="s">
        <v>1156</v>
      </c>
      <c r="D590" s="77" t="s">
        <v>79</v>
      </c>
      <c r="E590" s="93">
        <v>6369.78</v>
      </c>
      <c r="F590" s="79"/>
      <c r="G590" s="79"/>
      <c r="H590" s="79"/>
      <c r="I590" s="79">
        <f>SUM(G590:H590)+'BM 005'!I590</f>
        <v>0</v>
      </c>
      <c r="J590" s="79">
        <f t="shared" si="227"/>
        <v>6369.78</v>
      </c>
      <c r="K590" s="123">
        <v>4</v>
      </c>
      <c r="L590" s="81">
        <f t="shared" si="226"/>
        <v>5.0704004400000002</v>
      </c>
      <c r="M590" s="82">
        <f>TRUNC(F590*L590,2)</f>
        <v>0</v>
      </c>
      <c r="N590" s="82">
        <f>TRUNC(G590*L590,2)</f>
        <v>0</v>
      </c>
      <c r="O590" s="82">
        <f>N590+'BM 005'!O590</f>
        <v>0</v>
      </c>
      <c r="P590" s="124">
        <f>E590*K590</f>
        <v>25479.119999999999</v>
      </c>
      <c r="Q590" s="82">
        <f>TRUNC(E590*L590,2)</f>
        <v>32297.33</v>
      </c>
      <c r="R590" s="82">
        <f>Q590-O590</f>
        <v>32297.33</v>
      </c>
      <c r="S590" s="34"/>
      <c r="T590" s="34"/>
      <c r="U590" s="34"/>
      <c r="V590" s="34"/>
      <c r="W590" s="34"/>
    </row>
    <row r="591" spans="1:23" s="122" customFormat="1" ht="13.8">
      <c r="A591" s="34"/>
      <c r="B591" s="125"/>
      <c r="C591" s="126"/>
      <c r="D591" s="127"/>
      <c r="E591" s="128"/>
      <c r="F591" s="128"/>
      <c r="G591" s="128"/>
      <c r="H591" s="128"/>
      <c r="I591" s="128"/>
      <c r="J591" s="128"/>
      <c r="K591" s="129"/>
      <c r="L591" s="129"/>
      <c r="M591" s="130"/>
      <c r="N591" s="130"/>
      <c r="O591" s="130"/>
      <c r="P591" s="130"/>
      <c r="Q591" s="130"/>
      <c r="R591" s="130"/>
      <c r="S591" s="34"/>
      <c r="T591" s="34"/>
      <c r="U591" s="34"/>
      <c r="V591" s="34"/>
      <c r="W591" s="34"/>
    </row>
    <row r="592" spans="1:23" s="122" customFormat="1" ht="31.5" customHeight="1">
      <c r="A592" s="2"/>
      <c r="B592" s="533" t="s">
        <v>1157</v>
      </c>
      <c r="C592" s="533"/>
      <c r="D592" s="533"/>
      <c r="E592" s="533"/>
      <c r="F592" s="533"/>
      <c r="G592" s="533"/>
      <c r="H592" s="533"/>
      <c r="I592" s="533"/>
      <c r="J592" s="533"/>
      <c r="K592" s="533"/>
      <c r="L592" s="533"/>
      <c r="M592" s="131">
        <f>M27+M46+M58+M88+M126+M134+M148+M162+M167+M171+M216+M225+M234+M319+M432+M447+M463+M491</f>
        <v>111825.79000000001</v>
      </c>
      <c r="N592" s="132">
        <f>SUM(N27,N52,N62,N94,N131,N139,N155,N170,N175,N178,N215,N222,N225,N317,N328,N481,N507,N566,N588)</f>
        <v>782307.39</v>
      </c>
      <c r="O592" s="132">
        <f>SUM(O27,O52,O62,O94,O131,O139,O155,O170,O175,O178,O215,O222,O225,O317,O328,O481,O507,O566,O588)</f>
        <v>4410488.6899999995</v>
      </c>
      <c r="P592" s="132">
        <f>SUM(P27,P52,P62,P94,P131,P139,P155,P170,P175,P178,P215,P222,P225,P317,P328,P481,P507,P566,P588)</f>
        <v>20732092.142300002</v>
      </c>
      <c r="Q592" s="132">
        <f>SUM(Q27,Q52,Q62,Q94,Q131,Q139,Q155,Q170,Q175,Q178,Q215,Q222,Q225,Q317,Q328,Q481,Q507,Q566,Q588)</f>
        <v>26279999.999999993</v>
      </c>
      <c r="R592" s="132">
        <f>SUM(R27,R52,R62,R94,R131,R139,R155,R170,R175,R178,R215,R222,R225,R317,R328,R481,R507,R566,R588)</f>
        <v>21869511.309999999</v>
      </c>
      <c r="S592" s="2"/>
      <c r="T592" s="2"/>
      <c r="U592" s="2"/>
      <c r="V592" s="2"/>
      <c r="W592" s="2"/>
    </row>
    <row r="593" spans="1:23" s="122" customFormat="1" ht="31.5" customHeight="1">
      <c r="A593" s="2"/>
      <c r="B593" s="533" t="s">
        <v>1196</v>
      </c>
      <c r="C593" s="533"/>
      <c r="D593" s="533"/>
      <c r="E593" s="533"/>
      <c r="F593" s="533"/>
      <c r="G593" s="533"/>
      <c r="H593" s="533"/>
      <c r="I593" s="533"/>
      <c r="J593" s="533"/>
      <c r="K593" s="533"/>
      <c r="L593" s="533"/>
      <c r="M593" s="131"/>
      <c r="N593" s="133"/>
      <c r="O593" s="131"/>
      <c r="P593" s="132"/>
      <c r="Q593" s="132"/>
      <c r="R593" s="134"/>
      <c r="S593" s="2"/>
      <c r="T593" s="2"/>
      <c r="U593" s="2"/>
      <c r="V593" s="2"/>
      <c r="W593" s="2"/>
    </row>
    <row r="594" spans="1:23" s="122" customFormat="1" ht="31.5" customHeight="1">
      <c r="A594" s="2"/>
      <c r="B594" s="533" t="s">
        <v>1430</v>
      </c>
      <c r="C594" s="533"/>
      <c r="D594" s="533"/>
      <c r="E594" s="533"/>
      <c r="F594" s="533"/>
      <c r="G594" s="533"/>
      <c r="H594" s="533"/>
      <c r="I594" s="533"/>
      <c r="J594" s="533"/>
      <c r="K594" s="533"/>
      <c r="L594" s="533"/>
      <c r="M594" s="131"/>
      <c r="N594" s="133">
        <f>TRUNC(0.25*SUM(N70:N76,N85:N90,N97:N104,N109:N116,N123:N129),2)</f>
        <v>77914.759999999995</v>
      </c>
      <c r="O594" s="131"/>
      <c r="P594" s="132"/>
      <c r="Q594" s="132"/>
      <c r="R594" s="134"/>
      <c r="S594" s="2"/>
      <c r="T594" s="2"/>
      <c r="U594" s="2"/>
      <c r="V594" s="2"/>
      <c r="W594" s="2"/>
    </row>
    <row r="595" spans="1:23" s="122" customFormat="1" ht="31.5" customHeight="1">
      <c r="A595" s="2"/>
      <c r="B595" s="533" t="s">
        <v>1320</v>
      </c>
      <c r="C595" s="533"/>
      <c r="D595" s="533"/>
      <c r="E595" s="533"/>
      <c r="F595" s="533"/>
      <c r="G595" s="533"/>
      <c r="H595" s="533"/>
      <c r="I595" s="533"/>
      <c r="J595" s="533"/>
      <c r="K595" s="533"/>
      <c r="L595" s="533"/>
      <c r="M595" s="131"/>
      <c r="N595" s="133">
        <f>G630</f>
        <v>68671.320000000007</v>
      </c>
      <c r="O595" s="131"/>
      <c r="P595" s="132"/>
      <c r="Q595" s="132"/>
      <c r="R595" s="134"/>
      <c r="S595" s="2"/>
      <c r="T595" s="2"/>
      <c r="U595" s="2"/>
      <c r="V595" s="2"/>
      <c r="W595" s="2"/>
    </row>
    <row r="596" spans="1:23" s="122" customFormat="1" ht="31.5" customHeight="1">
      <c r="A596" s="2"/>
      <c r="B596" s="533" t="s">
        <v>1161</v>
      </c>
      <c r="C596" s="533"/>
      <c r="D596" s="533"/>
      <c r="E596" s="533"/>
      <c r="F596" s="533"/>
      <c r="G596" s="533"/>
      <c r="H596" s="533"/>
      <c r="I596" s="533"/>
      <c r="J596" s="533"/>
      <c r="K596" s="533"/>
      <c r="L596" s="533"/>
      <c r="M596" s="131">
        <f>M28+M47+M59+M89+M127+M135+M149+M163+M168+M172+M217+M226+M235+M320+M433+M448+M464+M492</f>
        <v>91357.13</v>
      </c>
      <c r="N596" s="131">
        <f>N592-N593-N594-N595</f>
        <v>635721.31000000006</v>
      </c>
      <c r="O596" s="131" t="s">
        <v>1162</v>
      </c>
      <c r="P596" s="132">
        <f>P28+P47+P59+P89+P127+P135+P149+P163+P168+P172+P217+P226+P235+P320+P433+P448+P464+P492</f>
        <v>1855118.2200000002</v>
      </c>
      <c r="Q596" s="132" t="s">
        <v>1162</v>
      </c>
      <c r="R596" s="134" t="s">
        <v>1162</v>
      </c>
      <c r="S596" s="2"/>
      <c r="T596" s="2"/>
      <c r="U596" s="2"/>
      <c r="V596" s="2"/>
      <c r="W596" s="2"/>
    </row>
    <row r="597" spans="1:23" s="122" customFormat="1" ht="8.25" customHeight="1">
      <c r="D597" s="135"/>
      <c r="E597" s="136"/>
      <c r="F597" s="136"/>
      <c r="G597" s="136"/>
      <c r="H597" s="136"/>
      <c r="I597" s="136"/>
      <c r="J597" s="137"/>
      <c r="K597" s="137"/>
      <c r="L597" s="137"/>
      <c r="M597" s="137"/>
      <c r="N597" s="137"/>
      <c r="O597" s="138"/>
      <c r="P597" s="139"/>
      <c r="Q597" s="139"/>
      <c r="R597" s="137"/>
    </row>
    <row r="598" spans="1:23" s="122" customFormat="1" ht="15.75" customHeight="1">
      <c r="B598" s="140" t="s">
        <v>1163</v>
      </c>
      <c r="C598" s="141" t="s">
        <v>1164</v>
      </c>
      <c r="D598" s="534" t="s">
        <v>1165</v>
      </c>
      <c r="E598" s="534"/>
      <c r="F598" s="142" t="s">
        <v>1163</v>
      </c>
      <c r="G598" s="143" t="s">
        <v>1164</v>
      </c>
      <c r="H598" s="144"/>
      <c r="I598" s="534" t="s">
        <v>1165</v>
      </c>
      <c r="J598" s="534"/>
      <c r="K598" s="145"/>
      <c r="L598" s="142" t="s">
        <v>1166</v>
      </c>
      <c r="M598" s="142"/>
      <c r="N598" s="146"/>
      <c r="O598" s="535" t="s">
        <v>1167</v>
      </c>
      <c r="P598" s="535"/>
      <c r="Q598" s="535"/>
      <c r="R598" s="137"/>
    </row>
    <row r="599" spans="1:23" s="122" customFormat="1" ht="19.5" customHeight="1">
      <c r="B599" s="147" t="s">
        <v>1168</v>
      </c>
      <c r="C599" s="148" t="s">
        <v>1169</v>
      </c>
      <c r="D599" s="536">
        <f>TRUNC(35%*11%*N596,2)</f>
        <v>24475.27</v>
      </c>
      <c r="E599" s="536"/>
      <c r="F599" s="149" t="s">
        <v>1170</v>
      </c>
      <c r="G599" s="150"/>
      <c r="H599" s="151"/>
      <c r="I599" s="537"/>
      <c r="J599" s="537"/>
      <c r="K599" s="152"/>
      <c r="L599" s="149" t="s">
        <v>1171</v>
      </c>
      <c r="M599" s="150" t="e">
        <f>#REF!</f>
        <v>#REF!</v>
      </c>
      <c r="N599" s="150"/>
      <c r="O599" s="535"/>
      <c r="P599" s="535"/>
      <c r="Q599" s="535"/>
      <c r="R599" s="137"/>
    </row>
    <row r="600" spans="1:23" s="122" customFormat="1" ht="19.5" customHeight="1">
      <c r="B600" s="147" t="s">
        <v>1172</v>
      </c>
      <c r="C600" s="148" t="s">
        <v>1198</v>
      </c>
      <c r="D600" s="536">
        <f>E608</f>
        <v>22250.240000000002</v>
      </c>
      <c r="E600" s="536"/>
      <c r="F600" s="149" t="s">
        <v>1174</v>
      </c>
      <c r="G600" s="150"/>
      <c r="H600" s="151"/>
      <c r="I600" s="537"/>
      <c r="J600" s="537"/>
      <c r="K600" s="152"/>
      <c r="L600" s="149" t="s">
        <v>1175</v>
      </c>
      <c r="M600" s="150" t="e">
        <f>#REF!</f>
        <v>#REF!</v>
      </c>
      <c r="N600" s="150"/>
      <c r="O600" s="538">
        <f>N596-D599-D600-D601-I599-I600-I601-N599-N600-N601</f>
        <v>588995.80000000005</v>
      </c>
      <c r="P600" s="538"/>
      <c r="Q600" s="538"/>
      <c r="R600" s="137"/>
    </row>
    <row r="601" spans="1:23" ht="19.5" customHeight="1">
      <c r="A601" s="122"/>
      <c r="B601" s="153" t="s">
        <v>1176</v>
      </c>
      <c r="C601" s="154">
        <v>0</v>
      </c>
      <c r="D601" s="539"/>
      <c r="E601" s="539"/>
      <c r="F601" s="155" t="s">
        <v>1177</v>
      </c>
      <c r="G601" s="156"/>
      <c r="H601" s="157"/>
      <c r="I601" s="540"/>
      <c r="J601" s="540"/>
      <c r="K601" s="159"/>
      <c r="L601" s="155" t="s">
        <v>1178</v>
      </c>
      <c r="M601" s="158"/>
      <c r="N601" s="158"/>
      <c r="O601" s="538"/>
      <c r="P601" s="538"/>
      <c r="Q601" s="538"/>
      <c r="R601" s="137"/>
      <c r="S601" s="122"/>
      <c r="T601" s="122"/>
      <c r="U601" s="122"/>
      <c r="V601" s="122"/>
      <c r="W601" s="122"/>
    </row>
    <row r="602" spans="1:23">
      <c r="A602" s="122"/>
      <c r="B602" s="122"/>
      <c r="C602" s="122"/>
      <c r="D602" s="135"/>
      <c r="E602" s="136"/>
      <c r="F602" s="136"/>
      <c r="G602" s="136"/>
      <c r="H602" s="136"/>
      <c r="I602" s="136"/>
      <c r="J602" s="137"/>
      <c r="K602" s="137"/>
      <c r="L602" s="137"/>
      <c r="M602" s="137"/>
      <c r="N602" s="137"/>
      <c r="O602" s="137"/>
      <c r="P602" s="139"/>
      <c r="Q602" s="139"/>
      <c r="R602" s="137"/>
      <c r="S602" s="122"/>
      <c r="T602" s="122"/>
      <c r="U602" s="122"/>
      <c r="V602" s="122"/>
      <c r="W602" s="122"/>
    </row>
    <row r="603" spans="1:23">
      <c r="A603" s="122"/>
      <c r="B603" s="122"/>
      <c r="C603" s="122"/>
      <c r="D603" s="135"/>
      <c r="E603" s="136"/>
      <c r="F603" s="136"/>
      <c r="G603" s="136"/>
      <c r="H603" s="136"/>
      <c r="I603" s="136"/>
      <c r="J603" s="137"/>
      <c r="K603" s="137"/>
      <c r="L603" s="137"/>
      <c r="M603" s="137"/>
      <c r="N603" s="137"/>
      <c r="O603" s="137"/>
      <c r="P603" s="139"/>
      <c r="Q603" s="139"/>
      <c r="R603" s="137"/>
      <c r="S603" s="122"/>
      <c r="T603" s="122"/>
      <c r="U603" s="122"/>
      <c r="V603" s="122"/>
      <c r="W603" s="122"/>
    </row>
    <row r="604" spans="1:23" ht="27.75" customHeight="1">
      <c r="A604" s="122"/>
      <c r="B604" s="122"/>
      <c r="C604" s="541" t="s">
        <v>1179</v>
      </c>
      <c r="D604" s="541"/>
      <c r="E604" s="541"/>
      <c r="F604" s="136"/>
      <c r="G604" s="136"/>
      <c r="H604" s="136"/>
      <c r="I604" s="136"/>
      <c r="J604" s="137"/>
      <c r="K604" s="137"/>
      <c r="L604" s="137"/>
      <c r="M604" s="137"/>
      <c r="N604" s="137"/>
      <c r="O604" s="137"/>
      <c r="P604" s="139"/>
      <c r="Q604" s="139"/>
      <c r="R604" s="137"/>
      <c r="S604" s="122"/>
      <c r="T604" s="122"/>
      <c r="U604" s="122"/>
      <c r="V604" s="122"/>
      <c r="W604" s="122"/>
    </row>
    <row r="605" spans="1:23" ht="24.75" customHeight="1">
      <c r="A605" s="122"/>
      <c r="B605" s="122"/>
      <c r="C605" s="542" t="s">
        <v>1180</v>
      </c>
      <c r="D605" s="542"/>
      <c r="E605" s="160">
        <f>N596</f>
        <v>635721.31000000006</v>
      </c>
      <c r="F605" s="136"/>
      <c r="G605" s="136"/>
      <c r="H605" s="136"/>
      <c r="I605" s="136"/>
      <c r="J605" s="137"/>
      <c r="K605" s="137"/>
      <c r="L605" s="137"/>
      <c r="M605" s="137"/>
      <c r="N605" s="137"/>
      <c r="O605" s="137"/>
      <c r="P605" s="139"/>
      <c r="Q605" s="139"/>
      <c r="R605" s="137"/>
      <c r="S605" s="122"/>
      <c r="T605" s="122"/>
      <c r="U605" s="122"/>
      <c r="V605" s="122"/>
      <c r="W605" s="122"/>
    </row>
    <row r="606" spans="1:23" ht="24.75" customHeight="1">
      <c r="A606" s="122"/>
      <c r="B606" s="122"/>
      <c r="C606" s="543" t="s">
        <v>1183</v>
      </c>
      <c r="D606" s="543"/>
      <c r="E606" s="162">
        <f>0.7*E605</f>
        <v>445004.91700000002</v>
      </c>
      <c r="F606" s="136"/>
      <c r="G606" s="136"/>
      <c r="H606" s="136"/>
      <c r="I606" s="136"/>
      <c r="J606" s="137"/>
      <c r="K606" s="137"/>
      <c r="L606" s="137"/>
      <c r="M606" s="137"/>
      <c r="N606" s="137"/>
      <c r="O606" s="137"/>
      <c r="P606" s="139"/>
      <c r="Q606" s="139"/>
      <c r="R606" s="137"/>
      <c r="S606" s="122"/>
      <c r="T606" s="122"/>
      <c r="U606" s="122"/>
      <c r="V606" s="122"/>
      <c r="W606" s="122"/>
    </row>
    <row r="607" spans="1:23" ht="24.75" customHeight="1">
      <c r="A607" s="122"/>
      <c r="B607" s="122"/>
      <c r="C607" s="543" t="s">
        <v>1184</v>
      </c>
      <c r="D607" s="543"/>
      <c r="E607" s="163">
        <f>E606/E605</f>
        <v>0.7</v>
      </c>
      <c r="F607" s="136"/>
      <c r="G607" s="136"/>
      <c r="H607" s="136"/>
      <c r="I607" s="136"/>
      <c r="J607" s="137"/>
      <c r="K607" s="137"/>
      <c r="L607" s="137"/>
      <c r="M607" s="137"/>
      <c r="N607" s="137"/>
      <c r="O607" s="137"/>
      <c r="P607" s="139"/>
      <c r="Q607" s="139"/>
      <c r="R607" s="137"/>
      <c r="S607" s="122"/>
      <c r="T607" s="122"/>
      <c r="U607" s="122"/>
      <c r="V607" s="122"/>
      <c r="W607" s="122"/>
    </row>
    <row r="608" spans="1:23" ht="24.75" customHeight="1">
      <c r="A608" s="122"/>
      <c r="B608" s="122"/>
      <c r="C608" s="545" t="s">
        <v>1185</v>
      </c>
      <c r="D608" s="545"/>
      <c r="E608" s="164">
        <f>TRUNC(E606*5%,2)</f>
        <v>22250.240000000002</v>
      </c>
      <c r="F608" s="136"/>
      <c r="G608" s="136"/>
      <c r="H608" s="136"/>
      <c r="I608" s="136"/>
      <c r="J608" s="137"/>
      <c r="K608" s="137"/>
      <c r="L608" s="137"/>
      <c r="M608" s="137"/>
      <c r="N608" s="137"/>
      <c r="O608" s="137"/>
      <c r="P608" s="139"/>
      <c r="Q608" s="139"/>
      <c r="R608" s="137"/>
      <c r="S608" s="122"/>
      <c r="T608" s="122"/>
      <c r="U608" s="122"/>
      <c r="V608" s="122"/>
      <c r="W608" s="122"/>
    </row>
    <row r="610" spans="3:20" ht="19.5" customHeight="1">
      <c r="C610" s="546" t="s">
        <v>1186</v>
      </c>
      <c r="D610" s="546"/>
      <c r="E610" s="546"/>
      <c r="F610" s="546"/>
      <c r="G610" s="546"/>
      <c r="J610" s="4"/>
      <c r="N610" s="546" t="s">
        <v>1187</v>
      </c>
      <c r="O610" s="546"/>
      <c r="P610" s="546"/>
      <c r="Q610" s="546"/>
      <c r="R610" s="546"/>
      <c r="S610" s="5"/>
    </row>
    <row r="611" spans="3:20" ht="19.5" customHeight="1">
      <c r="C611" s="548" t="s">
        <v>1188</v>
      </c>
      <c r="D611" s="548"/>
      <c r="E611" s="168">
        <v>45390</v>
      </c>
      <c r="F611" s="166" t="s">
        <v>1189</v>
      </c>
      <c r="G611" s="167">
        <v>157132.10999999999</v>
      </c>
      <c r="J611" s="4"/>
      <c r="K611" s="4"/>
      <c r="N611" s="548" t="s">
        <v>1190</v>
      </c>
      <c r="O611" s="548"/>
      <c r="P611" s="168">
        <v>44973</v>
      </c>
      <c r="Q611" s="169" t="s">
        <v>1162</v>
      </c>
      <c r="R611" s="225"/>
      <c r="S611" s="6"/>
      <c r="T611" s="5"/>
    </row>
    <row r="612" spans="3:20" ht="19.5" customHeight="1">
      <c r="C612" s="549" t="s">
        <v>1191</v>
      </c>
      <c r="D612" s="549"/>
      <c r="E612" s="173">
        <v>45390</v>
      </c>
      <c r="F612" s="171" t="s">
        <v>1189</v>
      </c>
      <c r="G612" s="172">
        <v>12663.81</v>
      </c>
      <c r="J612" s="4"/>
      <c r="K612" s="4"/>
      <c r="N612" s="549" t="s">
        <v>1199</v>
      </c>
      <c r="O612" s="549"/>
      <c r="P612" s="173">
        <v>44973</v>
      </c>
      <c r="Q612" s="171" t="s">
        <v>1162</v>
      </c>
      <c r="R612" s="172">
        <v>354202.96</v>
      </c>
      <c r="S612" s="6"/>
      <c r="T612" s="5"/>
    </row>
    <row r="613" spans="3:20" ht="19.5" customHeight="1">
      <c r="C613" s="549" t="s">
        <v>1200</v>
      </c>
      <c r="D613" s="549"/>
      <c r="E613" s="173">
        <v>45421</v>
      </c>
      <c r="F613" s="171" t="s">
        <v>1189</v>
      </c>
      <c r="G613" s="172">
        <v>60499.5</v>
      </c>
      <c r="J613" s="4"/>
      <c r="K613" s="4"/>
      <c r="N613" s="549" t="s">
        <v>1201</v>
      </c>
      <c r="O613" s="549"/>
      <c r="P613" s="173"/>
      <c r="Q613" s="171"/>
      <c r="R613" s="172">
        <v>119528.5</v>
      </c>
      <c r="S613" s="6"/>
      <c r="T613" s="5"/>
    </row>
    <row r="614" spans="3:20" ht="19.5" customHeight="1">
      <c r="C614" s="549" t="s">
        <v>1202</v>
      </c>
      <c r="D614" s="549"/>
      <c r="E614" s="173">
        <v>45446</v>
      </c>
      <c r="F614" s="171" t="s">
        <v>1203</v>
      </c>
      <c r="G614" s="172">
        <v>60640</v>
      </c>
      <c r="J614" s="4"/>
      <c r="K614" s="4"/>
      <c r="N614" s="549" t="s">
        <v>1250</v>
      </c>
      <c r="O614" s="549"/>
      <c r="P614" s="173"/>
      <c r="Q614" s="171"/>
      <c r="R614" s="172">
        <v>155349.44</v>
      </c>
      <c r="S614" s="6"/>
      <c r="T614" s="5"/>
    </row>
    <row r="615" spans="3:20" ht="19.5" customHeight="1">
      <c r="C615" s="549" t="s">
        <v>1204</v>
      </c>
      <c r="D615" s="549"/>
      <c r="E615" s="173">
        <v>45446</v>
      </c>
      <c r="F615" s="171" t="s">
        <v>1203</v>
      </c>
      <c r="G615" s="172">
        <v>15160</v>
      </c>
      <c r="J615" s="4"/>
      <c r="K615" s="4"/>
      <c r="N615" s="549" t="s">
        <v>1431</v>
      </c>
      <c r="O615" s="549"/>
      <c r="P615" s="173"/>
      <c r="Q615" s="171"/>
      <c r="R615" s="172">
        <v>118394.27</v>
      </c>
      <c r="S615" s="6"/>
      <c r="T615" s="5"/>
    </row>
    <row r="616" spans="3:20" ht="19.5" customHeight="1">
      <c r="C616" s="549" t="s">
        <v>1205</v>
      </c>
      <c r="D616" s="549"/>
      <c r="E616" s="173">
        <v>45447</v>
      </c>
      <c r="F616" s="171" t="s">
        <v>1203</v>
      </c>
      <c r="G616" s="172">
        <v>193505</v>
      </c>
      <c r="J616" s="4"/>
      <c r="K616" s="4"/>
      <c r="N616" s="549" t="s">
        <v>1435</v>
      </c>
      <c r="O616" s="549"/>
      <c r="P616" s="173"/>
      <c r="Q616" s="171"/>
      <c r="R616" s="172">
        <f>SUM(N593:N595)</f>
        <v>146586.08000000002</v>
      </c>
      <c r="S616" s="6"/>
      <c r="T616" s="5"/>
    </row>
    <row r="617" spans="3:20" ht="19.5" customHeight="1">
      <c r="C617" s="549" t="s">
        <v>1206</v>
      </c>
      <c r="D617" s="549"/>
      <c r="E617" s="173">
        <v>45457</v>
      </c>
      <c r="F617" s="171" t="s">
        <v>1189</v>
      </c>
      <c r="G617" s="172">
        <v>101107.04</v>
      </c>
      <c r="J617" s="4"/>
      <c r="K617" s="4"/>
      <c r="N617" s="549"/>
      <c r="O617" s="549"/>
      <c r="P617" s="173"/>
      <c r="Q617" s="171"/>
      <c r="R617" s="172"/>
      <c r="S617" s="6"/>
      <c r="T617" s="5"/>
    </row>
    <row r="618" spans="3:20" ht="19.5" customHeight="1">
      <c r="C618" s="549" t="s">
        <v>1251</v>
      </c>
      <c r="D618" s="549"/>
      <c r="E618" s="173">
        <v>45462</v>
      </c>
      <c r="F618" s="171" t="s">
        <v>1203</v>
      </c>
      <c r="G618" s="172">
        <v>37190</v>
      </c>
      <c r="J618" s="4"/>
      <c r="K618" s="4"/>
      <c r="N618" s="549"/>
      <c r="O618" s="549"/>
      <c r="P618" s="173"/>
      <c r="Q618" s="171"/>
      <c r="R618" s="172"/>
      <c r="S618" s="6"/>
      <c r="T618" s="5"/>
    </row>
    <row r="619" spans="3:20" ht="19.5" customHeight="1">
      <c r="C619" s="549" t="s">
        <v>1252</v>
      </c>
      <c r="D619" s="549"/>
      <c r="E619" s="173">
        <v>45463</v>
      </c>
      <c r="F619" s="171" t="s">
        <v>1189</v>
      </c>
      <c r="G619" s="172">
        <v>21981.17</v>
      </c>
      <c r="J619" s="4"/>
      <c r="K619" s="4"/>
      <c r="N619" s="549"/>
      <c r="O619" s="549"/>
      <c r="P619" s="173"/>
      <c r="Q619" s="171"/>
      <c r="R619" s="172"/>
      <c r="S619" s="6"/>
      <c r="T619" s="5"/>
    </row>
    <row r="620" spans="3:20" ht="19.5" customHeight="1">
      <c r="C620" s="549" t="s">
        <v>1253</v>
      </c>
      <c r="D620" s="549"/>
      <c r="E620" s="173">
        <v>45463</v>
      </c>
      <c r="F620" s="171" t="s">
        <v>1203</v>
      </c>
      <c r="G620" s="172">
        <v>65870.5</v>
      </c>
      <c r="J620" s="4"/>
      <c r="K620" s="4"/>
      <c r="N620" s="550"/>
      <c r="O620" s="550"/>
      <c r="P620" s="175"/>
      <c r="Q620" s="176"/>
      <c r="R620" s="177"/>
      <c r="S620" s="6"/>
      <c r="T620" s="5"/>
    </row>
    <row r="621" spans="3:20" ht="19.5" customHeight="1">
      <c r="C621" s="549" t="s">
        <v>1254</v>
      </c>
      <c r="D621" s="549"/>
      <c r="E621" s="173">
        <v>45463</v>
      </c>
      <c r="F621" s="171" t="s">
        <v>1203</v>
      </c>
      <c r="G621" s="172">
        <v>16468</v>
      </c>
      <c r="J621" s="4"/>
      <c r="K621" s="4"/>
      <c r="N621" s="179"/>
      <c r="O621" s="180"/>
      <c r="P621" s="180"/>
      <c r="Q621" s="180"/>
      <c r="R621" s="181">
        <f>SUM(R611:R620)</f>
        <v>894061.25</v>
      </c>
      <c r="S621" s="6"/>
      <c r="T621" s="5"/>
    </row>
    <row r="622" spans="3:20" ht="19.5" customHeight="1">
      <c r="C622" s="549" t="s">
        <v>1321</v>
      </c>
      <c r="D622" s="549"/>
      <c r="E622" s="173">
        <v>45502</v>
      </c>
      <c r="F622" s="171" t="s">
        <v>1189</v>
      </c>
      <c r="G622" s="172">
        <v>75035.899999999994</v>
      </c>
      <c r="J622" s="4"/>
      <c r="K622" s="4"/>
      <c r="S622" s="6"/>
      <c r="T622" s="5"/>
    </row>
    <row r="623" spans="3:20" ht="19.5" customHeight="1">
      <c r="C623" s="549" t="s">
        <v>1322</v>
      </c>
      <c r="D623" s="549"/>
      <c r="E623" s="173">
        <v>45503</v>
      </c>
      <c r="F623" s="171" t="s">
        <v>1189</v>
      </c>
      <c r="G623" s="172">
        <v>3201.96</v>
      </c>
      <c r="J623" s="4"/>
      <c r="K623" s="4"/>
      <c r="R623" s="183"/>
      <c r="S623" s="6"/>
      <c r="T623" s="5"/>
    </row>
    <row r="624" spans="3:20" ht="19.5" customHeight="1">
      <c r="C624" s="549" t="s">
        <v>1323</v>
      </c>
      <c r="D624" s="549"/>
      <c r="E624" s="173">
        <v>45506</v>
      </c>
      <c r="F624" s="171" t="s">
        <v>1324</v>
      </c>
      <c r="G624" s="172">
        <v>43780</v>
      </c>
      <c r="J624" s="4"/>
      <c r="K624" s="4"/>
      <c r="S624" s="6"/>
      <c r="T624" s="5"/>
    </row>
    <row r="625" spans="3:20" ht="19.5" customHeight="1">
      <c r="C625" s="549" t="s">
        <v>1325</v>
      </c>
      <c r="D625" s="549"/>
      <c r="E625" s="173">
        <v>45510</v>
      </c>
      <c r="F625" s="171" t="s">
        <v>1189</v>
      </c>
      <c r="G625" s="172">
        <v>13904.88</v>
      </c>
      <c r="J625" s="4"/>
      <c r="K625" s="4"/>
      <c r="S625" s="6"/>
      <c r="T625" s="5"/>
    </row>
    <row r="626" spans="3:20" ht="19.5" customHeight="1">
      <c r="C626" s="549" t="s">
        <v>1326</v>
      </c>
      <c r="D626" s="549"/>
      <c r="E626" s="173">
        <v>45516</v>
      </c>
      <c r="F626" s="171" t="s">
        <v>1189</v>
      </c>
      <c r="G626" s="172">
        <v>171.67</v>
      </c>
      <c r="J626" s="4"/>
      <c r="K626" s="4"/>
      <c r="S626" s="6"/>
      <c r="T626" s="5"/>
    </row>
    <row r="627" spans="3:20" ht="19.5" customHeight="1">
      <c r="C627" s="549" t="s">
        <v>1327</v>
      </c>
      <c r="D627" s="549"/>
      <c r="E627" s="173">
        <v>45516</v>
      </c>
      <c r="F627" s="171" t="s">
        <v>1189</v>
      </c>
      <c r="G627" s="172">
        <v>29223.439999999999</v>
      </c>
      <c r="J627" s="4"/>
      <c r="K627" s="4"/>
      <c r="S627" s="6"/>
      <c r="T627" s="5"/>
    </row>
    <row r="628" spans="3:20" ht="19.5" customHeight="1">
      <c r="C628" s="549" t="s">
        <v>1328</v>
      </c>
      <c r="D628" s="549"/>
      <c r="E628" s="173">
        <v>45518</v>
      </c>
      <c r="F628" s="171" t="s">
        <v>1189</v>
      </c>
      <c r="G628" s="172">
        <v>7038.13</v>
      </c>
      <c r="J628" s="4"/>
      <c r="K628" s="4"/>
      <c r="S628" s="6"/>
      <c r="T628" s="5"/>
    </row>
    <row r="629" spans="3:20" ht="19.5" customHeight="1">
      <c r="C629" s="549" t="s">
        <v>1436</v>
      </c>
      <c r="D629" s="549"/>
      <c r="E629" s="173">
        <v>45545</v>
      </c>
      <c r="F629" s="171" t="s">
        <v>1189</v>
      </c>
      <c r="G629" s="172">
        <v>38536.79</v>
      </c>
      <c r="J629" s="4"/>
      <c r="K629" s="4"/>
      <c r="S629" s="6"/>
      <c r="T629" s="5"/>
    </row>
    <row r="630" spans="3:20" ht="19.5" customHeight="1">
      <c r="C630" s="549" t="s">
        <v>1437</v>
      </c>
      <c r="D630" s="549"/>
      <c r="E630" s="173">
        <v>45541</v>
      </c>
      <c r="F630" s="171" t="s">
        <v>1324</v>
      </c>
      <c r="G630" s="172">
        <v>68671.320000000007</v>
      </c>
      <c r="J630" s="4"/>
      <c r="K630" s="4"/>
      <c r="S630" s="6"/>
      <c r="T630" s="5"/>
    </row>
    <row r="631" spans="3:20" ht="19.5" customHeight="1">
      <c r="C631" s="549" t="s">
        <v>1438</v>
      </c>
      <c r="D631" s="549"/>
      <c r="E631" s="173">
        <v>45566</v>
      </c>
      <c r="F631" s="171" t="s">
        <v>1324</v>
      </c>
      <c r="G631" s="172">
        <v>17795</v>
      </c>
      <c r="J631" s="4"/>
      <c r="K631" s="4"/>
      <c r="S631" s="6"/>
      <c r="T631" s="5"/>
    </row>
    <row r="632" spans="3:20" ht="19.5" customHeight="1">
      <c r="C632" s="549" t="s">
        <v>1439</v>
      </c>
      <c r="D632" s="549"/>
      <c r="E632" s="173">
        <v>45581</v>
      </c>
      <c r="F632" s="171" t="s">
        <v>1189</v>
      </c>
      <c r="G632" s="172">
        <v>86512.68</v>
      </c>
      <c r="J632" s="4"/>
      <c r="K632" s="4"/>
      <c r="S632" s="6"/>
      <c r="T632" s="5"/>
    </row>
    <row r="633" spans="3:20" ht="19.5" customHeight="1">
      <c r="C633" s="549"/>
      <c r="D633" s="549"/>
      <c r="E633" s="173"/>
      <c r="F633" s="171"/>
      <c r="G633" s="172"/>
      <c r="J633" s="4"/>
      <c r="K633" s="4"/>
      <c r="S633" s="6"/>
      <c r="T633" s="5"/>
    </row>
    <row r="634" spans="3:20" ht="19.5" customHeight="1">
      <c r="C634" s="549"/>
      <c r="D634" s="549"/>
      <c r="E634" s="173"/>
      <c r="F634" s="171"/>
      <c r="G634" s="172"/>
      <c r="J634" s="4"/>
      <c r="K634" s="4"/>
      <c r="S634" s="6"/>
      <c r="T634" s="5"/>
    </row>
    <row r="635" spans="3:20" ht="19.5" customHeight="1">
      <c r="C635" s="550"/>
      <c r="D635" s="550"/>
      <c r="E635" s="175"/>
      <c r="F635" s="176"/>
      <c r="G635" s="177"/>
      <c r="J635" s="4"/>
      <c r="K635" s="4"/>
      <c r="S635" s="6"/>
      <c r="T635" s="5"/>
    </row>
    <row r="636" spans="3:20" ht="19.5" customHeight="1">
      <c r="C636" s="179"/>
      <c r="D636" s="180"/>
      <c r="E636" s="180"/>
      <c r="F636" s="180"/>
      <c r="G636" s="181">
        <f>SUM(G611:G635)</f>
        <v>1126088.8999999999</v>
      </c>
      <c r="J636" s="4"/>
      <c r="K636" s="4"/>
      <c r="S636" s="6"/>
      <c r="T636" s="5"/>
    </row>
    <row r="639" spans="3:20" ht="28.8">
      <c r="C639" s="226" t="s">
        <v>1255</v>
      </c>
      <c r="D639" s="560" t="s">
        <v>1256</v>
      </c>
      <c r="E639" s="560"/>
      <c r="F639" s="560"/>
      <c r="G639" s="227" t="s">
        <v>1257</v>
      </c>
      <c r="H639" s="5"/>
      <c r="I639" s="228" t="s">
        <v>1258</v>
      </c>
      <c r="J639" s="229" t="s">
        <v>1259</v>
      </c>
    </row>
    <row r="640" spans="3:20">
      <c r="C640" s="230" t="s">
        <v>1260</v>
      </c>
      <c r="D640" s="564">
        <f>'BM 005'!D638:F638+N593</f>
        <v>388833.5</v>
      </c>
      <c r="E640" s="564"/>
      <c r="F640" s="564"/>
      <c r="G640" s="232" t="s">
        <v>1261</v>
      </c>
      <c r="H640" s="2"/>
      <c r="I640" s="233">
        <f>SUMIF($F$611:$F$635,G640,$G$611:$G$635)</f>
        <v>388833.5</v>
      </c>
      <c r="J640" s="233">
        <f t="shared" ref="J640:J650" si="242">I640-D640</f>
        <v>0</v>
      </c>
    </row>
    <row r="641" spans="3:10">
      <c r="C641" s="234" t="s">
        <v>1329</v>
      </c>
      <c r="D641" s="561">
        <f>'BM 005'!D639:F639+N594</f>
        <v>392776.43</v>
      </c>
      <c r="E641" s="561"/>
      <c r="F641" s="561"/>
      <c r="G641" s="235" t="s">
        <v>1263</v>
      </c>
      <c r="H641" s="2"/>
      <c r="I641" s="236">
        <f>SUMIF($F$611:$F$635,G641,$G$611:$G$635)</f>
        <v>607009.07999999984</v>
      </c>
      <c r="J641" s="236">
        <f t="shared" si="242"/>
        <v>214232.64999999985</v>
      </c>
    </row>
    <row r="642" spans="3:10">
      <c r="C642" s="234" t="s">
        <v>1330</v>
      </c>
      <c r="D642" s="561">
        <f>'BM 005'!D640:F640+N595</f>
        <v>112451.32</v>
      </c>
      <c r="E642" s="561"/>
      <c r="F642" s="561"/>
      <c r="G642" s="235" t="s">
        <v>1331</v>
      </c>
      <c r="H642" s="2"/>
      <c r="I642" s="236">
        <f>SUMIF($F$611:$F$635,G642,$G$611:$G$635)</f>
        <v>130246.32</v>
      </c>
      <c r="J642" s="236">
        <f t="shared" si="242"/>
        <v>17795</v>
      </c>
    </row>
    <row r="643" spans="3:10">
      <c r="C643" s="234"/>
      <c r="D643" s="561"/>
      <c r="E643" s="561"/>
      <c r="F643" s="561"/>
      <c r="G643" s="235" t="s">
        <v>1265</v>
      </c>
      <c r="H643" s="2"/>
      <c r="I643" s="236">
        <f t="shared" ref="I643:I650" si="243">SUMIF($G$665:$G$703,G643,$H$665:$I$703)</f>
        <v>0</v>
      </c>
      <c r="J643" s="236">
        <f t="shared" si="242"/>
        <v>0</v>
      </c>
    </row>
    <row r="644" spans="3:10">
      <c r="C644" s="234"/>
      <c r="D644" s="561"/>
      <c r="E644" s="561"/>
      <c r="F644" s="561"/>
      <c r="G644" s="237" t="s">
        <v>1266</v>
      </c>
      <c r="H644" s="2"/>
      <c r="I644" s="238">
        <f t="shared" si="243"/>
        <v>0</v>
      </c>
      <c r="J644" s="236">
        <f t="shared" si="242"/>
        <v>0</v>
      </c>
    </row>
    <row r="645" spans="3:10">
      <c r="C645" s="234"/>
      <c r="D645" s="561"/>
      <c r="E645" s="561"/>
      <c r="F645" s="561"/>
      <c r="G645" s="237" t="s">
        <v>1267</v>
      </c>
      <c r="H645" s="2"/>
      <c r="I645" s="238">
        <f t="shared" si="243"/>
        <v>0</v>
      </c>
      <c r="J645" s="236">
        <f t="shared" si="242"/>
        <v>0</v>
      </c>
    </row>
    <row r="646" spans="3:10">
      <c r="C646" s="234"/>
      <c r="D646" s="561"/>
      <c r="E646" s="561"/>
      <c r="F646" s="561"/>
      <c r="G646" s="237" t="s">
        <v>1268</v>
      </c>
      <c r="H646" s="2"/>
      <c r="I646" s="238">
        <f t="shared" si="243"/>
        <v>0</v>
      </c>
      <c r="J646" s="236">
        <f t="shared" si="242"/>
        <v>0</v>
      </c>
    </row>
    <row r="647" spans="3:10">
      <c r="C647" s="234"/>
      <c r="D647" s="561"/>
      <c r="E647" s="561"/>
      <c r="F647" s="561"/>
      <c r="G647" s="237" t="s">
        <v>1269</v>
      </c>
      <c r="H647" s="2"/>
      <c r="I647" s="238">
        <f t="shared" si="243"/>
        <v>0</v>
      </c>
      <c r="J647" s="236">
        <f t="shared" si="242"/>
        <v>0</v>
      </c>
    </row>
    <row r="648" spans="3:10">
      <c r="C648" s="234"/>
      <c r="D648" s="561"/>
      <c r="E648" s="561"/>
      <c r="F648" s="561"/>
      <c r="G648" s="237"/>
      <c r="H648" s="2"/>
      <c r="I648" s="238">
        <f t="shared" si="243"/>
        <v>0</v>
      </c>
      <c r="J648" s="236">
        <f t="shared" si="242"/>
        <v>0</v>
      </c>
    </row>
    <row r="649" spans="3:10">
      <c r="C649" s="234"/>
      <c r="D649" s="561"/>
      <c r="E649" s="561"/>
      <c r="F649" s="561"/>
      <c r="G649" s="237"/>
      <c r="H649" s="2"/>
      <c r="I649" s="238">
        <f t="shared" si="243"/>
        <v>0</v>
      </c>
      <c r="J649" s="236">
        <f t="shared" si="242"/>
        <v>0</v>
      </c>
    </row>
    <row r="650" spans="3:10">
      <c r="C650" s="239"/>
      <c r="D650" s="562"/>
      <c r="E650" s="562"/>
      <c r="F650" s="562"/>
      <c r="G650" s="240"/>
      <c r="H650" s="2"/>
      <c r="I650" s="241">
        <f t="shared" si="243"/>
        <v>0</v>
      </c>
      <c r="J650" s="241">
        <f t="shared" si="242"/>
        <v>0</v>
      </c>
    </row>
    <row r="651" spans="3:10">
      <c r="D651" s="563">
        <f>SUM(D640:F650)</f>
        <v>894061.25</v>
      </c>
      <c r="E651" s="563"/>
      <c r="F651" s="563"/>
      <c r="H651" s="2"/>
      <c r="I651" s="242">
        <f>SUM(I640:I650)</f>
        <v>1126088.8999999999</v>
      </c>
      <c r="J651" s="242">
        <f>SUM(J640:J650)</f>
        <v>232027.64999999985</v>
      </c>
    </row>
  </sheetData>
  <mergeCells count="134">
    <mergeCell ref="D647:F647"/>
    <mergeCell ref="D648:F648"/>
    <mergeCell ref="D649:F649"/>
    <mergeCell ref="D650:F650"/>
    <mergeCell ref="D651:F651"/>
    <mergeCell ref="C635:D635"/>
    <mergeCell ref="D639:F639"/>
    <mergeCell ref="D640:F640"/>
    <mergeCell ref="D641:F641"/>
    <mergeCell ref="D642:F642"/>
    <mergeCell ref="D643:F643"/>
    <mergeCell ref="D644:F644"/>
    <mergeCell ref="D645:F645"/>
    <mergeCell ref="D646:F646"/>
    <mergeCell ref="C626:D626"/>
    <mergeCell ref="C627:D627"/>
    <mergeCell ref="C628:D628"/>
    <mergeCell ref="C629:D629"/>
    <mergeCell ref="C630:D630"/>
    <mergeCell ref="C631:D631"/>
    <mergeCell ref="C632:D632"/>
    <mergeCell ref="C633:D633"/>
    <mergeCell ref="C634:D634"/>
    <mergeCell ref="C619:D619"/>
    <mergeCell ref="N619:O619"/>
    <mergeCell ref="C620:D620"/>
    <mergeCell ref="N620:O620"/>
    <mergeCell ref="C621:D621"/>
    <mergeCell ref="C622:D622"/>
    <mergeCell ref="C623:D623"/>
    <mergeCell ref="C624:D624"/>
    <mergeCell ref="C625:D625"/>
    <mergeCell ref="C614:D614"/>
    <mergeCell ref="N614:O614"/>
    <mergeCell ref="C615:D615"/>
    <mergeCell ref="N615:O615"/>
    <mergeCell ref="C616:D616"/>
    <mergeCell ref="N616:O616"/>
    <mergeCell ref="C617:D617"/>
    <mergeCell ref="N617:O617"/>
    <mergeCell ref="C618:D618"/>
    <mergeCell ref="N618:O618"/>
    <mergeCell ref="C608:D608"/>
    <mergeCell ref="C610:G610"/>
    <mergeCell ref="N610:R610"/>
    <mergeCell ref="C611:D611"/>
    <mergeCell ref="N611:O611"/>
    <mergeCell ref="C612:D612"/>
    <mergeCell ref="N612:O612"/>
    <mergeCell ref="C613:D613"/>
    <mergeCell ref="N613:O613"/>
    <mergeCell ref="D600:E600"/>
    <mergeCell ref="I600:J600"/>
    <mergeCell ref="O600:Q601"/>
    <mergeCell ref="D601:E601"/>
    <mergeCell ref="I601:J601"/>
    <mergeCell ref="C604:E604"/>
    <mergeCell ref="C605:D605"/>
    <mergeCell ref="C606:D606"/>
    <mergeCell ref="C607:D607"/>
    <mergeCell ref="B592:L592"/>
    <mergeCell ref="B593:L593"/>
    <mergeCell ref="B594:L594"/>
    <mergeCell ref="B595:L595"/>
    <mergeCell ref="B596:L596"/>
    <mergeCell ref="D598:E598"/>
    <mergeCell ref="I598:J598"/>
    <mergeCell ref="O598:Q599"/>
    <mergeCell ref="D599:E599"/>
    <mergeCell ref="I599:J599"/>
    <mergeCell ref="B22:C22"/>
    <mergeCell ref="D22:J22"/>
    <mergeCell ref="L22:O22"/>
    <mergeCell ref="P22:R22"/>
    <mergeCell ref="B23:R23"/>
    <mergeCell ref="B25:B26"/>
    <mergeCell ref="C25:C26"/>
    <mergeCell ref="D25:D26"/>
    <mergeCell ref="E25:J25"/>
    <mergeCell ref="N25:R25"/>
    <mergeCell ref="B19:C19"/>
    <mergeCell ref="D19:J19"/>
    <mergeCell ref="L19:O19"/>
    <mergeCell ref="P19:R19"/>
    <mergeCell ref="B20:C20"/>
    <mergeCell ref="D20:J20"/>
    <mergeCell ref="L20:O20"/>
    <mergeCell ref="P20:R20"/>
    <mergeCell ref="B21:C21"/>
    <mergeCell ref="D21:J21"/>
    <mergeCell ref="L21:O21"/>
    <mergeCell ref="P21:R21"/>
    <mergeCell ref="B15:C15"/>
    <mergeCell ref="D15:G15"/>
    <mergeCell ref="I15:J15"/>
    <mergeCell ref="L15:N15"/>
    <mergeCell ref="P15:R15"/>
    <mergeCell ref="B16:R16"/>
    <mergeCell ref="B17:R17"/>
    <mergeCell ref="B18:C18"/>
    <mergeCell ref="D18:J18"/>
    <mergeCell ref="L18:O18"/>
    <mergeCell ref="P18:R18"/>
    <mergeCell ref="B13:C13"/>
    <mergeCell ref="D13:J13"/>
    <mergeCell ref="L13:O13"/>
    <mergeCell ref="P13:R13"/>
    <mergeCell ref="B14:C14"/>
    <mergeCell ref="D14:G14"/>
    <mergeCell ref="I14:J14"/>
    <mergeCell ref="L14:N14"/>
    <mergeCell ref="P14:R14"/>
    <mergeCell ref="B10:C10"/>
    <mergeCell ref="D10:J10"/>
    <mergeCell ref="L10:O10"/>
    <mergeCell ref="P10:R10"/>
    <mergeCell ref="B11:C11"/>
    <mergeCell ref="D11:J11"/>
    <mergeCell ref="L11:O11"/>
    <mergeCell ref="P11:R11"/>
    <mergeCell ref="B12:C12"/>
    <mergeCell ref="D12:G12"/>
    <mergeCell ref="I12:J12"/>
    <mergeCell ref="L12:N12"/>
    <mergeCell ref="P12:R12"/>
    <mergeCell ref="B2:R2"/>
    <mergeCell ref="B3:R3"/>
    <mergeCell ref="B4:R4"/>
    <mergeCell ref="B5:R5"/>
    <mergeCell ref="B6:R6"/>
    <mergeCell ref="B7:R7"/>
    <mergeCell ref="B8:R8"/>
    <mergeCell ref="B9:C9"/>
    <mergeCell ref="D9:R9"/>
  </mergeCells>
  <conditionalFormatting sqref="R27:R590">
    <cfRule type="cellIs" dxfId="8" priority="2" operator="lessThan">
      <formula>0</formula>
    </cfRule>
  </conditionalFormatting>
  <printOptions horizontalCentered="1"/>
  <pageMargins left="0.51180555555555596" right="0.51180555555555596" top="0.78749999999999998" bottom="1.1812499999999999" header="0.511811023622047" footer="0.511811023622047"/>
  <pageSetup paperSize="9" scale="38" fitToHeight="26" orientation="portrait" horizontalDpi="300" verticalDpi="300" r:id="rId1"/>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N956"/>
  <sheetViews>
    <sheetView view="pageBreakPreview" topLeftCell="A793" zoomScale="75" zoomScaleNormal="80" zoomScalePageLayoutView="75" workbookViewId="0">
      <selection activeCell="G780" sqref="G780"/>
    </sheetView>
  </sheetViews>
  <sheetFormatPr defaultColWidth="8.88671875" defaultRowHeight="14.4"/>
  <cols>
    <col min="1" max="1" width="2.44140625" customWidth="1"/>
    <col min="2" max="2" width="32.88671875" customWidth="1"/>
    <col min="3" max="3" width="13.5546875" customWidth="1"/>
    <col min="4" max="4" width="9.44140625" customWidth="1"/>
    <col min="5" max="5" width="10.109375" customWidth="1"/>
    <col min="6" max="6" width="10.6640625" customWidth="1"/>
    <col min="7" max="8" width="9.44140625" customWidth="1"/>
    <col min="9" max="9" width="14.5546875" customWidth="1"/>
    <col min="10" max="10" width="10.88671875" customWidth="1"/>
    <col min="11" max="11" width="16.88671875" customWidth="1"/>
    <col min="12" max="12" width="25" customWidth="1"/>
    <col min="13" max="13" width="2.5546875" customWidth="1"/>
    <col min="14" max="14" width="10.109375" customWidth="1"/>
    <col min="17" max="17" width="10.109375" customWidth="1"/>
  </cols>
  <sheetData>
    <row r="1" spans="2:12" ht="6" customHeight="1"/>
    <row r="2" spans="2:12" ht="29.25" customHeight="1">
      <c r="B2" s="551"/>
      <c r="C2" s="551"/>
      <c r="D2" s="551"/>
      <c r="E2" s="551"/>
      <c r="F2" s="551"/>
      <c r="G2" s="551"/>
      <c r="H2" s="551"/>
      <c r="I2" s="551"/>
      <c r="J2" s="551"/>
      <c r="K2" s="551"/>
      <c r="L2" s="551"/>
    </row>
    <row r="3" spans="2:12" ht="29.25" customHeight="1">
      <c r="B3" s="552" t="s">
        <v>4</v>
      </c>
      <c r="C3" s="552"/>
      <c r="D3" s="552"/>
      <c r="E3" s="552"/>
      <c r="F3" s="552"/>
      <c r="G3" s="552"/>
      <c r="H3" s="552"/>
      <c r="I3" s="552"/>
      <c r="J3" s="552"/>
      <c r="K3" s="552"/>
      <c r="L3" s="552"/>
    </row>
    <row r="4" spans="2:12" ht="29.25" customHeight="1">
      <c r="B4" s="553"/>
      <c r="C4" s="553"/>
      <c r="D4" s="553"/>
      <c r="E4" s="553"/>
      <c r="F4" s="553"/>
      <c r="G4" s="553"/>
      <c r="H4" s="553"/>
      <c r="I4" s="553"/>
      <c r="J4" s="553"/>
      <c r="K4" s="553"/>
      <c r="L4" s="553"/>
    </row>
    <row r="5" spans="2:12" ht="6" customHeight="1">
      <c r="B5" s="186"/>
      <c r="C5" s="186"/>
      <c r="D5" s="186"/>
      <c r="E5" s="186"/>
      <c r="F5" s="186"/>
      <c r="G5" s="186"/>
      <c r="H5" s="186"/>
      <c r="I5" s="186"/>
      <c r="J5" s="186"/>
      <c r="K5" s="186"/>
      <c r="L5" s="186"/>
    </row>
    <row r="6" spans="2:12" ht="22.8">
      <c r="B6" s="554" t="s">
        <v>1440</v>
      </c>
      <c r="C6" s="554"/>
      <c r="D6" s="554"/>
      <c r="E6" s="554"/>
      <c r="F6" s="554"/>
      <c r="G6" s="554"/>
      <c r="H6" s="554"/>
      <c r="I6" s="554"/>
      <c r="J6" s="554"/>
      <c r="K6" s="554"/>
      <c r="L6" s="554"/>
    </row>
    <row r="8" spans="2:12" ht="14.25" customHeight="1">
      <c r="B8" s="555" t="s">
        <v>1208</v>
      </c>
      <c r="C8" s="555"/>
      <c r="D8" s="555"/>
      <c r="E8" s="555"/>
      <c r="F8" s="555"/>
      <c r="G8" s="555"/>
      <c r="H8" s="555"/>
      <c r="I8" s="555"/>
      <c r="J8" s="555"/>
      <c r="K8" s="555"/>
      <c r="L8" s="555"/>
    </row>
    <row r="9" spans="2:12">
      <c r="B9" s="187" t="s">
        <v>1209</v>
      </c>
      <c r="C9" s="187"/>
      <c r="D9" s="187" t="s">
        <v>39</v>
      </c>
      <c r="E9" s="187" t="s">
        <v>1210</v>
      </c>
      <c r="F9" s="187" t="s">
        <v>1211</v>
      </c>
      <c r="G9" s="187" t="s">
        <v>1212</v>
      </c>
      <c r="H9" s="187" t="s">
        <v>1213</v>
      </c>
      <c r="I9" s="187" t="s">
        <v>1214</v>
      </c>
      <c r="J9" s="187" t="s">
        <v>1215</v>
      </c>
      <c r="K9" s="187" t="s">
        <v>1216</v>
      </c>
      <c r="L9" s="187" t="s">
        <v>1217</v>
      </c>
    </row>
    <row r="10" spans="2:12">
      <c r="B10" s="188" t="s">
        <v>1218</v>
      </c>
      <c r="C10" s="189" t="s">
        <v>1219</v>
      </c>
      <c r="D10" s="190" t="s">
        <v>1220</v>
      </c>
      <c r="E10" s="191"/>
      <c r="F10" s="192"/>
      <c r="G10" s="192"/>
      <c r="H10" s="191"/>
      <c r="I10" s="193">
        <f>20*0.0206</f>
        <v>0.41200000000000003</v>
      </c>
      <c r="J10" s="194"/>
      <c r="K10" s="195">
        <f>IF(E10*F10*G10&lt;&gt;0,E10*F10*G10,IF(E10*F10&lt;&gt;0,E10*F10,IF(F10*G10&lt;&gt;0,F10*G10,IF(E10*G10&lt;&gt;0,E10*G10,IF(E10&lt;&gt;0,E10,IF(F10&lt;&gt;0,F10,IF(G10&lt;&gt;0,G10,0)))))))*(IF(H10&lt;&gt;0,H10,1))+I10-J10</f>
        <v>0.41200000000000003</v>
      </c>
      <c r="L10" s="196"/>
    </row>
    <row r="11" spans="2:12">
      <c r="B11" s="197" t="s">
        <v>1218</v>
      </c>
      <c r="C11" s="189" t="s">
        <v>1240</v>
      </c>
      <c r="D11" s="190" t="s">
        <v>1226</v>
      </c>
      <c r="E11" s="199"/>
      <c r="F11" s="199"/>
      <c r="G11" s="199"/>
      <c r="H11" s="199"/>
      <c r="I11" s="193">
        <f>20*0.0358</f>
        <v>0.71599999999999997</v>
      </c>
      <c r="J11" s="201"/>
      <c r="K11" s="195">
        <f>IF(E11*F11*G11&lt;&gt;0,E11*F11*G11,IF(E11*F11&lt;&gt;0,E11*F11,IF(F11*G11&lt;&gt;0,F11*G11,IF(E11*G11&lt;&gt;0,E11*G11,IF(E11&lt;&gt;0,E11,IF(F11&lt;&gt;0,F11,IF(G11&lt;&gt;0,G11,0)))))))*(IF(H11&lt;&gt;0,H11,1))+I11-J11</f>
        <v>0.71599999999999997</v>
      </c>
      <c r="L11" s="196"/>
    </row>
    <row r="12" spans="2:12">
      <c r="B12" s="197" t="s">
        <v>1218</v>
      </c>
      <c r="C12" s="189" t="s">
        <v>1271</v>
      </c>
      <c r="D12" s="190" t="s">
        <v>1226</v>
      </c>
      <c r="E12" s="199"/>
      <c r="F12" s="199"/>
      <c r="G12" s="199"/>
      <c r="H12" s="199"/>
      <c r="I12" s="193">
        <f>20*0.0216</f>
        <v>0.43200000000000005</v>
      </c>
      <c r="J12" s="201"/>
      <c r="K12" s="195">
        <f>IF(E12*F12*G12&lt;&gt;0,E12*F12*G12,IF(E12*F12&lt;&gt;0,E12*F12,IF(F12*G12&lt;&gt;0,F12*G12,IF(E12*G12&lt;&gt;0,E12*G12,IF(E12&lt;&gt;0,E12,IF(F12&lt;&gt;0,F12,IF(G12&lt;&gt;0,G12,0)))))))*(IF(H12&lt;&gt;0,H12,1))+I12-J12</f>
        <v>0.43200000000000005</v>
      </c>
      <c r="L12" s="196"/>
    </row>
    <row r="13" spans="2:12">
      <c r="B13" s="197" t="s">
        <v>1218</v>
      </c>
      <c r="C13" s="189" t="s">
        <v>1333</v>
      </c>
      <c r="D13" s="190" t="s">
        <v>1226</v>
      </c>
      <c r="E13" s="199"/>
      <c r="F13" s="199"/>
      <c r="G13" s="199"/>
      <c r="H13" s="199"/>
      <c r="I13" s="193">
        <f>20*0.0268</f>
        <v>0.53600000000000003</v>
      </c>
      <c r="J13" s="201"/>
      <c r="K13" s="195">
        <f>IF(E13*F13*G13&lt;&gt;0,E13*F13*G13,IF(E13*F13&lt;&gt;0,E13*F13,IF(F13*G13&lt;&gt;0,F13*G13,IF(E13*G13&lt;&gt;0,E13*G13,IF(E13&lt;&gt;0,E13,IF(F13&lt;&gt;0,F13,IF(G13&lt;&gt;0,G13,0)))))))*(IF(H13&lt;&gt;0,H13,1))+I13-J13</f>
        <v>0.53600000000000003</v>
      </c>
      <c r="L13" s="196"/>
    </row>
    <row r="14" spans="2:12">
      <c r="B14" s="197" t="s">
        <v>1218</v>
      </c>
      <c r="C14" s="189" t="s">
        <v>1441</v>
      </c>
      <c r="D14" s="190" t="s">
        <v>1226</v>
      </c>
      <c r="E14" s="199"/>
      <c r="F14" s="199"/>
      <c r="G14" s="199"/>
      <c r="H14" s="199"/>
      <c r="I14" s="193">
        <f>20*(0.0278+0.0055)</f>
        <v>0.66599999999999993</v>
      </c>
      <c r="J14" s="201"/>
      <c r="K14" s="195">
        <f>IF(E14*F14*G14&lt;&gt;0,E14*F14*G14,IF(E14*F14&lt;&gt;0,E14*F14,IF(F14*G14&lt;&gt;0,F14*G14,IF(E14*G14&lt;&gt;0,E14*G14,IF(E14&lt;&gt;0,E14,IF(F14&lt;&gt;0,F14,IF(G14&lt;&gt;0,G14,0)))))))*(IF(H14&lt;&gt;0,H14,1))+I14-J14</f>
        <v>0.66599999999999993</v>
      </c>
      <c r="L14" s="196"/>
    </row>
    <row r="15" spans="2:12">
      <c r="B15" s="197"/>
      <c r="C15" s="189"/>
      <c r="D15" s="190"/>
      <c r="E15" s="199"/>
      <c r="F15" s="199"/>
      <c r="G15" s="199"/>
      <c r="H15" s="199"/>
      <c r="I15" s="193"/>
      <c r="J15" s="201"/>
      <c r="K15" s="195"/>
      <c r="L15" s="196"/>
    </row>
    <row r="16" spans="2:12">
      <c r="B16" s="202"/>
      <c r="C16" s="203"/>
      <c r="D16" s="203"/>
      <c r="E16" s="203"/>
      <c r="F16" s="203"/>
      <c r="G16" s="203"/>
      <c r="H16" s="204"/>
      <c r="I16" s="556" t="s">
        <v>1221</v>
      </c>
      <c r="J16" s="556"/>
      <c r="K16" s="206">
        <f>SUM(K10:K15)</f>
        <v>2.762</v>
      </c>
      <c r="L16" s="207"/>
    </row>
    <row r="17" spans="2:12">
      <c r="B17" s="208"/>
      <c r="C17" s="204"/>
      <c r="D17" s="204"/>
      <c r="E17" s="204"/>
      <c r="F17" s="204"/>
      <c r="G17" s="204"/>
      <c r="H17" s="209"/>
      <c r="I17" s="557" t="s">
        <v>1222</v>
      </c>
      <c r="J17" s="557"/>
      <c r="K17" s="211">
        <v>20</v>
      </c>
      <c r="L17" s="207"/>
    </row>
    <row r="18" spans="2:12">
      <c r="B18" s="208"/>
      <c r="C18" s="204"/>
      <c r="D18" s="204"/>
      <c r="E18" s="204"/>
      <c r="F18" s="204"/>
      <c r="G18" s="204"/>
      <c r="H18" s="558" t="s">
        <v>1223</v>
      </c>
      <c r="I18" s="558"/>
      <c r="J18" s="558"/>
      <c r="K18" s="212">
        <v>2.0960000000000001</v>
      </c>
      <c r="L18" s="207"/>
    </row>
    <row r="19" spans="2:12">
      <c r="B19" s="208"/>
      <c r="C19" s="204"/>
      <c r="D19" s="204"/>
      <c r="E19" s="204"/>
      <c r="F19" s="204"/>
      <c r="G19" s="204"/>
      <c r="H19" s="558" t="s">
        <v>1431</v>
      </c>
      <c r="I19" s="558"/>
      <c r="J19" s="558"/>
      <c r="K19" s="212">
        <f>IF(K16&gt;K17,K17,K16)-K18</f>
        <v>0.66599999999999993</v>
      </c>
      <c r="L19" s="207"/>
    </row>
    <row r="20" spans="2:12">
      <c r="B20" s="213"/>
      <c r="C20" s="214"/>
      <c r="D20" s="214"/>
      <c r="E20" s="214"/>
      <c r="F20" s="214"/>
      <c r="G20" s="214"/>
      <c r="H20" s="559" t="s">
        <v>1224</v>
      </c>
      <c r="I20" s="559"/>
      <c r="J20" s="559"/>
      <c r="K20" s="215">
        <f>IF(K16&gt;K17,K16-K17,0)</f>
        <v>0</v>
      </c>
      <c r="L20" s="209"/>
    </row>
    <row r="22" spans="2:12" ht="58.35" customHeight="1">
      <c r="B22" s="555" t="s">
        <v>1225</v>
      </c>
      <c r="C22" s="555"/>
      <c r="D22" s="555"/>
      <c r="E22" s="555"/>
      <c r="F22" s="555"/>
      <c r="G22" s="555"/>
      <c r="H22" s="555"/>
      <c r="I22" s="555"/>
      <c r="J22" s="555"/>
      <c r="K22" s="555"/>
      <c r="L22" s="555"/>
    </row>
    <row r="23" spans="2:12">
      <c r="B23" s="187" t="s">
        <v>1209</v>
      </c>
      <c r="C23" s="187"/>
      <c r="D23" s="187" t="s">
        <v>39</v>
      </c>
      <c r="E23" s="187" t="s">
        <v>1210</v>
      </c>
      <c r="F23" s="187" t="s">
        <v>1211</v>
      </c>
      <c r="G23" s="187" t="s">
        <v>1212</v>
      </c>
      <c r="H23" s="187" t="s">
        <v>1213</v>
      </c>
      <c r="I23" s="187" t="s">
        <v>1214</v>
      </c>
      <c r="J23" s="187" t="s">
        <v>1215</v>
      </c>
      <c r="K23" s="187" t="s">
        <v>1216</v>
      </c>
      <c r="L23" s="187" t="s">
        <v>1217</v>
      </c>
    </row>
    <row r="24" spans="2:12">
      <c r="B24" s="188" t="s">
        <v>1218</v>
      </c>
      <c r="C24" s="189" t="s">
        <v>1219</v>
      </c>
      <c r="D24" s="190" t="s">
        <v>1226</v>
      </c>
      <c r="E24" s="191"/>
      <c r="F24" s="192"/>
      <c r="G24" s="192"/>
      <c r="H24" s="191"/>
      <c r="I24" s="193">
        <v>2.06E-2</v>
      </c>
      <c r="J24" s="194"/>
      <c r="K24" s="195">
        <f t="shared" ref="K24:K29" si="0">IF(E24*F24*G24&lt;&gt;0,E24*F24*G24,IF(E24*F24&lt;&gt;0,E24*F24,IF(F24*G24&lt;&gt;0,F24*G24,IF(E24*G24&lt;&gt;0,E24*G24,IF(E24&lt;&gt;0,E24,IF(F24&lt;&gt;0,F24,IF(G24&lt;&gt;0,G24,0)))))))*(IF(H24&lt;&gt;0,H24,1))+I24-J24</f>
        <v>2.06E-2</v>
      </c>
      <c r="L24" s="196"/>
    </row>
    <row r="25" spans="2:12">
      <c r="B25" s="197" t="s">
        <v>1218</v>
      </c>
      <c r="C25" s="189" t="s">
        <v>1240</v>
      </c>
      <c r="D25" s="190" t="s">
        <v>1226</v>
      </c>
      <c r="E25" s="199"/>
      <c r="F25" s="199"/>
      <c r="G25" s="199"/>
      <c r="H25" s="199"/>
      <c r="I25" s="193">
        <f>0.0239-0.004+0.0159</f>
        <v>3.5799999999999998E-2</v>
      </c>
      <c r="J25" s="201"/>
      <c r="K25" s="195">
        <f t="shared" si="0"/>
        <v>3.5799999999999998E-2</v>
      </c>
      <c r="L25" s="196"/>
    </row>
    <row r="26" spans="2:12">
      <c r="B26" s="197" t="s">
        <v>1218</v>
      </c>
      <c r="C26" s="189" t="s">
        <v>1271</v>
      </c>
      <c r="D26" s="190" t="s">
        <v>1226</v>
      </c>
      <c r="E26" s="199"/>
      <c r="F26" s="199"/>
      <c r="G26" s="199"/>
      <c r="H26" s="199"/>
      <c r="I26" s="193">
        <f>0.0166+0.005</f>
        <v>2.1600000000000001E-2</v>
      </c>
      <c r="J26" s="201"/>
      <c r="K26" s="195">
        <f t="shared" si="0"/>
        <v>2.1600000000000001E-2</v>
      </c>
      <c r="L26" s="196"/>
    </row>
    <row r="27" spans="2:12">
      <c r="B27" s="197" t="s">
        <v>1218</v>
      </c>
      <c r="C27" s="189" t="s">
        <v>1333</v>
      </c>
      <c r="D27" s="190" t="s">
        <v>1226</v>
      </c>
      <c r="E27" s="199"/>
      <c r="F27" s="199"/>
      <c r="G27" s="199"/>
      <c r="H27" s="199"/>
      <c r="I27" s="193">
        <v>2.6800000000000001E-2</v>
      </c>
      <c r="J27" s="201"/>
      <c r="K27" s="195">
        <f t="shared" si="0"/>
        <v>2.6800000000000001E-2</v>
      </c>
      <c r="L27" s="196"/>
    </row>
    <row r="28" spans="2:12">
      <c r="B28" s="197" t="s">
        <v>1218</v>
      </c>
      <c r="C28" s="189" t="s">
        <v>1441</v>
      </c>
      <c r="D28" s="190" t="s">
        <v>1226</v>
      </c>
      <c r="E28" s="199"/>
      <c r="F28" s="199"/>
      <c r="G28" s="199"/>
      <c r="H28" s="199"/>
      <c r="I28" s="193">
        <f>0.0278+0.0055</f>
        <v>3.3299999999999996E-2</v>
      </c>
      <c r="J28" s="201"/>
      <c r="K28" s="195">
        <f t="shared" si="0"/>
        <v>3.3299999999999996E-2</v>
      </c>
      <c r="L28" s="196"/>
    </row>
    <row r="29" spans="2:12">
      <c r="B29" s="197"/>
      <c r="C29" s="189"/>
      <c r="D29" s="190"/>
      <c r="E29" s="199"/>
      <c r="F29" s="199"/>
      <c r="G29" s="199"/>
      <c r="H29" s="199"/>
      <c r="I29" s="193"/>
      <c r="J29" s="201"/>
      <c r="K29" s="195">
        <f t="shared" si="0"/>
        <v>0</v>
      </c>
      <c r="L29" s="196"/>
    </row>
    <row r="30" spans="2:12">
      <c r="B30" s="202"/>
      <c r="C30" s="203"/>
      <c r="D30" s="203"/>
      <c r="E30" s="203"/>
      <c r="F30" s="203"/>
      <c r="G30" s="203"/>
      <c r="H30" s="204"/>
      <c r="I30" s="556" t="s">
        <v>1221</v>
      </c>
      <c r="J30" s="556"/>
      <c r="K30" s="206">
        <f>SUM(K24:K29)</f>
        <v>0.1381</v>
      </c>
      <c r="L30" s="207"/>
    </row>
    <row r="31" spans="2:12">
      <c r="B31" s="208"/>
      <c r="C31" s="204"/>
      <c r="D31" s="204"/>
      <c r="E31" s="204"/>
      <c r="F31" s="204"/>
      <c r="G31" s="204"/>
      <c r="H31" s="209"/>
      <c r="I31" s="557" t="s">
        <v>1222</v>
      </c>
      <c r="J31" s="557"/>
      <c r="K31" s="211">
        <v>1</v>
      </c>
      <c r="L31" s="207"/>
    </row>
    <row r="32" spans="2:12">
      <c r="B32" s="208"/>
      <c r="C32" s="204"/>
      <c r="D32" s="204"/>
      <c r="E32" s="204"/>
      <c r="F32" s="204"/>
      <c r="G32" s="204"/>
      <c r="H32" s="558" t="s">
        <v>1223</v>
      </c>
      <c r="I32" s="558"/>
      <c r="J32" s="558"/>
      <c r="K32" s="212">
        <v>0.1048</v>
      </c>
      <c r="L32" s="207"/>
    </row>
    <row r="33" spans="2:12">
      <c r="B33" s="208"/>
      <c r="C33" s="204"/>
      <c r="D33" s="204"/>
      <c r="E33" s="204"/>
      <c r="F33" s="204"/>
      <c r="G33" s="204"/>
      <c r="H33" s="558" t="s">
        <v>1431</v>
      </c>
      <c r="I33" s="558"/>
      <c r="J33" s="558"/>
      <c r="K33" s="212">
        <f>IF(K30&gt;K31,K31,K30)-K32</f>
        <v>3.3299999999999996E-2</v>
      </c>
      <c r="L33" s="207"/>
    </row>
    <row r="34" spans="2:12">
      <c r="B34" s="213"/>
      <c r="C34" s="214"/>
      <c r="D34" s="214"/>
      <c r="E34" s="214"/>
      <c r="F34" s="214"/>
      <c r="G34" s="214"/>
      <c r="H34" s="559" t="s">
        <v>1224</v>
      </c>
      <c r="I34" s="559"/>
      <c r="J34" s="559"/>
      <c r="K34" s="215">
        <f>IF(K30&gt;K31,K30-K31,0)</f>
        <v>0</v>
      </c>
      <c r="L34" s="209"/>
    </row>
    <row r="36" spans="2:12" ht="14.25" customHeight="1">
      <c r="B36" s="555" t="s">
        <v>1227</v>
      </c>
      <c r="C36" s="555"/>
      <c r="D36" s="555"/>
      <c r="E36" s="555"/>
      <c r="F36" s="555"/>
      <c r="G36" s="555"/>
      <c r="H36" s="555"/>
      <c r="I36" s="555"/>
      <c r="J36" s="555"/>
      <c r="K36" s="555"/>
      <c r="L36" s="555"/>
    </row>
    <row r="37" spans="2:12">
      <c r="B37" s="187" t="s">
        <v>1209</v>
      </c>
      <c r="C37" s="187"/>
      <c r="D37" s="187" t="s">
        <v>39</v>
      </c>
      <c r="E37" s="187" t="s">
        <v>1210</v>
      </c>
      <c r="F37" s="187" t="s">
        <v>1211</v>
      </c>
      <c r="G37" s="187" t="s">
        <v>1212</v>
      </c>
      <c r="H37" s="187" t="s">
        <v>1213</v>
      </c>
      <c r="I37" s="187" t="s">
        <v>1214</v>
      </c>
      <c r="J37" s="187" t="s">
        <v>1215</v>
      </c>
      <c r="K37" s="187" t="s">
        <v>1216</v>
      </c>
      <c r="L37" s="187" t="s">
        <v>1217</v>
      </c>
    </row>
    <row r="38" spans="2:12">
      <c r="B38" s="188" t="s">
        <v>1228</v>
      </c>
      <c r="C38" s="189" t="s">
        <v>1219</v>
      </c>
      <c r="D38" s="190" t="s">
        <v>39</v>
      </c>
      <c r="E38" s="191">
        <v>64</v>
      </c>
      <c r="F38" s="192"/>
      <c r="G38" s="192">
        <v>2</v>
      </c>
      <c r="H38" s="191"/>
      <c r="I38" s="191"/>
      <c r="J38" s="216"/>
      <c r="K38" s="217">
        <f>IF(E38*F38*G38&lt;&gt;0,E38*F38*G38,IF(E38*F38&lt;&gt;0,E38*F38,IF(F38*G38&lt;&gt;0,F38*G38,IF(E38*G38&lt;&gt;0,E38*G38,IF(E38&lt;&gt;0,E38,IF(F38&lt;&gt;0,F38,IF(G38&lt;&gt;0,G38,0)))))))*(IF(H38&lt;&gt;0,H38,1))+I38-J38</f>
        <v>128</v>
      </c>
      <c r="L38" s="218"/>
    </row>
    <row r="39" spans="2:12">
      <c r="B39" s="197"/>
      <c r="C39" s="189"/>
      <c r="D39" s="198"/>
      <c r="E39" s="199"/>
      <c r="F39" s="199"/>
      <c r="G39" s="199"/>
      <c r="H39" s="199"/>
      <c r="I39" s="199"/>
      <c r="J39" s="219"/>
      <c r="K39" s="217">
        <f>IF(E39*F39*G39&lt;&gt;0,E39*F39*G39,IF(E39*F39&lt;&gt;0,E39*F39,IF(F39*G39&lt;&gt;0,F39*G39,IF(E39*G39&lt;&gt;0,E39*G39,IF(E39&lt;&gt;0,E39,IF(F39&lt;&gt;0,F39,IF(G39&lt;&gt;0,G39,0)))))))*(IF(H39&lt;&gt;0,H39,1))+I39-J39</f>
        <v>0</v>
      </c>
      <c r="L39" s="218"/>
    </row>
    <row r="40" spans="2:12">
      <c r="B40" s="202"/>
      <c r="C40" s="203"/>
      <c r="D40" s="203"/>
      <c r="E40" s="203"/>
      <c r="F40" s="203"/>
      <c r="G40" s="203"/>
      <c r="H40" s="204"/>
      <c r="I40" s="556" t="s">
        <v>1221</v>
      </c>
      <c r="J40" s="556"/>
      <c r="K40" s="220">
        <f>SUM(K38:K39)</f>
        <v>128</v>
      </c>
      <c r="L40" s="207"/>
    </row>
    <row r="41" spans="2:12">
      <c r="B41" s="208"/>
      <c r="C41" s="204"/>
      <c r="D41" s="204"/>
      <c r="E41" s="204"/>
      <c r="F41" s="204"/>
      <c r="G41" s="204"/>
      <c r="H41" s="209"/>
      <c r="I41" s="557" t="s">
        <v>1222</v>
      </c>
      <c r="J41" s="557"/>
      <c r="K41" s="221">
        <v>128</v>
      </c>
      <c r="L41" s="207"/>
    </row>
    <row r="42" spans="2:12">
      <c r="B42" s="208"/>
      <c r="C42" s="204"/>
      <c r="D42" s="204"/>
      <c r="E42" s="204"/>
      <c r="F42" s="204"/>
      <c r="G42" s="204"/>
      <c r="H42" s="558" t="s">
        <v>1223</v>
      </c>
      <c r="I42" s="558"/>
      <c r="J42" s="558"/>
      <c r="K42" s="222"/>
      <c r="L42" s="207"/>
    </row>
    <row r="43" spans="2:12">
      <c r="B43" s="208"/>
      <c r="C43" s="204"/>
      <c r="D43" s="204"/>
      <c r="E43" s="204"/>
      <c r="F43" s="204"/>
      <c r="G43" s="204"/>
      <c r="H43" s="558" t="s">
        <v>1190</v>
      </c>
      <c r="I43" s="558"/>
      <c r="J43" s="558"/>
      <c r="K43" s="222">
        <f>IF(K40&gt;K41,K41,K40)-K42</f>
        <v>128</v>
      </c>
      <c r="L43" s="207"/>
    </row>
    <row r="44" spans="2:12">
      <c r="B44" s="213"/>
      <c r="C44" s="214"/>
      <c r="D44" s="214"/>
      <c r="E44" s="214"/>
      <c r="F44" s="214"/>
      <c r="G44" s="214"/>
      <c r="H44" s="559" t="s">
        <v>1224</v>
      </c>
      <c r="I44" s="559"/>
      <c r="J44" s="559"/>
      <c r="K44" s="223">
        <f>IF(K40&gt;K41,K40-K41,0)</f>
        <v>0</v>
      </c>
      <c r="L44" s="209"/>
    </row>
    <row r="46" spans="2:12" ht="14.25" customHeight="1">
      <c r="B46" s="555" t="s">
        <v>1229</v>
      </c>
      <c r="C46" s="555"/>
      <c r="D46" s="555"/>
      <c r="E46" s="555"/>
      <c r="F46" s="555"/>
      <c r="G46" s="555"/>
      <c r="H46" s="555"/>
      <c r="I46" s="555"/>
      <c r="J46" s="555"/>
      <c r="K46" s="555"/>
      <c r="L46" s="555"/>
    </row>
    <row r="47" spans="2:12">
      <c r="B47" s="187" t="s">
        <v>1209</v>
      </c>
      <c r="C47" s="187"/>
      <c r="D47" s="187" t="s">
        <v>39</v>
      </c>
      <c r="E47" s="187" t="s">
        <v>1210</v>
      </c>
      <c r="F47" s="187" t="s">
        <v>1211</v>
      </c>
      <c r="G47" s="187" t="s">
        <v>1212</v>
      </c>
      <c r="H47" s="187" t="s">
        <v>1213</v>
      </c>
      <c r="I47" s="187" t="s">
        <v>1214</v>
      </c>
      <c r="J47" s="187" t="s">
        <v>1215</v>
      </c>
      <c r="K47" s="187" t="s">
        <v>1216</v>
      </c>
      <c r="L47" s="187" t="s">
        <v>1217</v>
      </c>
    </row>
    <row r="48" spans="2:12">
      <c r="B48" s="188" t="s">
        <v>1228</v>
      </c>
      <c r="C48" s="189" t="s">
        <v>1219</v>
      </c>
      <c r="D48" s="190" t="s">
        <v>79</v>
      </c>
      <c r="E48" s="191">
        <f>30/4</f>
        <v>7.5</v>
      </c>
      <c r="F48" s="192">
        <v>4</v>
      </c>
      <c r="G48" s="192"/>
      <c r="H48" s="191"/>
      <c r="I48" s="191"/>
      <c r="J48" s="216"/>
      <c r="K48" s="217">
        <f>IF(E48*F48*G48&lt;&gt;0,E48*F48*G48,IF(E48*F48&lt;&gt;0,E48*F48,IF(F48*G48&lt;&gt;0,F48*G48,IF(E48*G48&lt;&gt;0,E48*G48,IF(E48&lt;&gt;0,E48,IF(F48&lt;&gt;0,F48,IF(G48&lt;&gt;0,G48,0)))))))*(IF(H48&lt;&gt;0,H48,1))+I48-J48</f>
        <v>30</v>
      </c>
      <c r="L48" s="218"/>
    </row>
    <row r="49" spans="2:12">
      <c r="B49" s="188" t="s">
        <v>1228</v>
      </c>
      <c r="C49" s="189" t="s">
        <v>1240</v>
      </c>
      <c r="D49" s="190" t="s">
        <v>79</v>
      </c>
      <c r="E49" s="191">
        <v>2.5</v>
      </c>
      <c r="F49" s="192">
        <v>4</v>
      </c>
      <c r="G49" s="192"/>
      <c r="H49" s="191"/>
      <c r="I49" s="191"/>
      <c r="J49" s="216"/>
      <c r="K49" s="217">
        <f>IF(E49*F49*G49&lt;&gt;0,E49*F49*G49,IF(E49*F49&lt;&gt;0,E49*F49,IF(F49*G49&lt;&gt;0,F49*G49,IF(E49*G49&lt;&gt;0,E49*G49,IF(E49&lt;&gt;0,E49,IF(F49&lt;&gt;0,F49,IF(G49&lt;&gt;0,G49,0)))))))*(IF(H49&lt;&gt;0,H49,1))+I49-J49</f>
        <v>10</v>
      </c>
      <c r="L49" s="218"/>
    </row>
    <row r="50" spans="2:12">
      <c r="B50" s="202"/>
      <c r="C50" s="203"/>
      <c r="D50" s="203"/>
      <c r="E50" s="203"/>
      <c r="F50" s="203"/>
      <c r="G50" s="203"/>
      <c r="H50" s="204"/>
      <c r="I50" s="556" t="s">
        <v>1221</v>
      </c>
      <c r="J50" s="556"/>
      <c r="K50" s="220">
        <f>SUM(K48:K49)</f>
        <v>40</v>
      </c>
      <c r="L50" s="207"/>
    </row>
    <row r="51" spans="2:12">
      <c r="B51" s="208"/>
      <c r="C51" s="204"/>
      <c r="D51" s="204"/>
      <c r="E51" s="204"/>
      <c r="F51" s="204"/>
      <c r="G51" s="204"/>
      <c r="H51" s="209"/>
      <c r="I51" s="557" t="s">
        <v>1222</v>
      </c>
      <c r="J51" s="557"/>
      <c r="K51" s="221">
        <v>40</v>
      </c>
      <c r="L51" s="207"/>
    </row>
    <row r="52" spans="2:12">
      <c r="B52" s="208"/>
      <c r="C52" s="204"/>
      <c r="D52" s="204"/>
      <c r="E52" s="204"/>
      <c r="F52" s="204"/>
      <c r="G52" s="204"/>
      <c r="H52" s="558" t="s">
        <v>1223</v>
      </c>
      <c r="I52" s="558"/>
      <c r="J52" s="558"/>
      <c r="K52" s="222">
        <v>30</v>
      </c>
      <c r="L52" s="207"/>
    </row>
    <row r="53" spans="2:12">
      <c r="B53" s="208"/>
      <c r="C53" s="204"/>
      <c r="D53" s="204"/>
      <c r="E53" s="204"/>
      <c r="F53" s="204"/>
      <c r="G53" s="204"/>
      <c r="H53" s="558" t="s">
        <v>1199</v>
      </c>
      <c r="I53" s="558"/>
      <c r="J53" s="558"/>
      <c r="K53" s="222">
        <f>IF(K50&gt;K51,K51,K50)-K52</f>
        <v>10</v>
      </c>
      <c r="L53" s="207"/>
    </row>
    <row r="54" spans="2:12">
      <c r="B54" s="213"/>
      <c r="C54" s="214"/>
      <c r="D54" s="214"/>
      <c r="E54" s="214"/>
      <c r="F54" s="214"/>
      <c r="G54" s="214"/>
      <c r="H54" s="559" t="s">
        <v>1224</v>
      </c>
      <c r="I54" s="559"/>
      <c r="J54" s="559"/>
      <c r="K54" s="223">
        <f>IF(K50&gt;K51,K50-K51,0)</f>
        <v>0</v>
      </c>
      <c r="L54" s="209"/>
    </row>
    <row r="56" spans="2:12" ht="14.25" customHeight="1">
      <c r="B56" s="555" t="s">
        <v>1230</v>
      </c>
      <c r="C56" s="555"/>
      <c r="D56" s="555"/>
      <c r="E56" s="555"/>
      <c r="F56" s="555"/>
      <c r="G56" s="555"/>
      <c r="H56" s="555"/>
      <c r="I56" s="555"/>
      <c r="J56" s="555"/>
      <c r="K56" s="555"/>
      <c r="L56" s="555"/>
    </row>
    <row r="57" spans="2:12">
      <c r="B57" s="187" t="s">
        <v>1209</v>
      </c>
      <c r="C57" s="187"/>
      <c r="D57" s="187" t="s">
        <v>39</v>
      </c>
      <c r="E57" s="187" t="s">
        <v>1210</v>
      </c>
      <c r="F57" s="187" t="s">
        <v>1211</v>
      </c>
      <c r="G57" s="187" t="s">
        <v>1212</v>
      </c>
      <c r="H57" s="187" t="s">
        <v>1213</v>
      </c>
      <c r="I57" s="187" t="s">
        <v>1214</v>
      </c>
      <c r="J57" s="187" t="s">
        <v>1215</v>
      </c>
      <c r="K57" s="187" t="s">
        <v>1216</v>
      </c>
      <c r="L57" s="187" t="s">
        <v>1217</v>
      </c>
    </row>
    <row r="58" spans="2:12">
      <c r="B58" s="188" t="s">
        <v>1228</v>
      </c>
      <c r="C58" s="189" t="s">
        <v>1219</v>
      </c>
      <c r="D58" s="190" t="s">
        <v>39</v>
      </c>
      <c r="E58" s="191">
        <f>48/4</f>
        <v>12</v>
      </c>
      <c r="F58" s="192">
        <v>4</v>
      </c>
      <c r="G58" s="192"/>
      <c r="H58" s="191"/>
      <c r="I58" s="191"/>
      <c r="J58" s="216"/>
      <c r="K58" s="217">
        <f>IF(E58*F58*G58&lt;&gt;0,E58*F58*G58,IF(E58*F58&lt;&gt;0,E58*F58,IF(F58*G58&lt;&gt;0,F58*G58,IF(E58*G58&lt;&gt;0,E58*G58,IF(E58&lt;&gt;0,E58,IF(F58&lt;&gt;0,F58,IF(G58&lt;&gt;0,G58,0)))))))*(IF(H58&lt;&gt;0,H58,1))+I58-J58</f>
        <v>48</v>
      </c>
      <c r="L58" s="218"/>
    </row>
    <row r="59" spans="2:12">
      <c r="B59" s="188" t="s">
        <v>1228</v>
      </c>
      <c r="C59" s="189" t="s">
        <v>1240</v>
      </c>
      <c r="D59" s="190" t="s">
        <v>39</v>
      </c>
      <c r="E59" s="191">
        <v>5</v>
      </c>
      <c r="F59" s="192">
        <v>4</v>
      </c>
      <c r="G59" s="192"/>
      <c r="H59" s="191"/>
      <c r="I59" s="191"/>
      <c r="J59" s="219"/>
      <c r="K59" s="217">
        <f>IF(E59*F59*G59&lt;&gt;0,E59*F59*G59,IF(E59*F59&lt;&gt;0,E59*F59,IF(F59*G59&lt;&gt;0,F59*G59,IF(E59*G59&lt;&gt;0,E59*G59,IF(E59&lt;&gt;0,E59,IF(F59&lt;&gt;0,F59,IF(G59&lt;&gt;0,G59,0)))))))*(IF(H59&lt;&gt;0,H59,1))+I59-J59</f>
        <v>20</v>
      </c>
      <c r="L59" s="218"/>
    </row>
    <row r="60" spans="2:12">
      <c r="B60" s="202"/>
      <c r="C60" s="203"/>
      <c r="D60" s="203"/>
      <c r="E60" s="203"/>
      <c r="F60" s="203"/>
      <c r="G60" s="203"/>
      <c r="H60" s="204"/>
      <c r="I60" s="556" t="s">
        <v>1221</v>
      </c>
      <c r="J60" s="556"/>
      <c r="K60" s="220">
        <f>SUM(K58:K59)</f>
        <v>68</v>
      </c>
      <c r="L60" s="207"/>
    </row>
    <row r="61" spans="2:12">
      <c r="B61" s="208"/>
      <c r="C61" s="204"/>
      <c r="D61" s="204"/>
      <c r="E61" s="204"/>
      <c r="F61" s="204"/>
      <c r="G61" s="204"/>
      <c r="H61" s="209"/>
      <c r="I61" s="557" t="s">
        <v>1222</v>
      </c>
      <c r="J61" s="557"/>
      <c r="K61" s="221">
        <v>68</v>
      </c>
      <c r="L61" s="207"/>
    </row>
    <row r="62" spans="2:12">
      <c r="B62" s="208"/>
      <c r="C62" s="204"/>
      <c r="D62" s="204"/>
      <c r="E62" s="204"/>
      <c r="F62" s="204"/>
      <c r="G62" s="204"/>
      <c r="H62" s="558" t="s">
        <v>1223</v>
      </c>
      <c r="I62" s="558"/>
      <c r="J62" s="558"/>
      <c r="K62" s="222">
        <v>48</v>
      </c>
      <c r="L62" s="207"/>
    </row>
    <row r="63" spans="2:12">
      <c r="B63" s="208"/>
      <c r="C63" s="204"/>
      <c r="D63" s="204"/>
      <c r="E63" s="204"/>
      <c r="F63" s="204"/>
      <c r="G63" s="204"/>
      <c r="H63" s="558" t="s">
        <v>1199</v>
      </c>
      <c r="I63" s="558"/>
      <c r="J63" s="558"/>
      <c r="K63" s="222">
        <f>IF(K60&gt;K61,K61,K60)-K62</f>
        <v>20</v>
      </c>
      <c r="L63" s="207"/>
    </row>
    <row r="64" spans="2:12">
      <c r="B64" s="213"/>
      <c r="C64" s="214"/>
      <c r="D64" s="214"/>
      <c r="E64" s="214"/>
      <c r="F64" s="214"/>
      <c r="G64" s="214"/>
      <c r="H64" s="559" t="s">
        <v>1224</v>
      </c>
      <c r="I64" s="559"/>
      <c r="J64" s="559"/>
      <c r="K64" s="223">
        <f>IF(K60&gt;K61,K60-K61,0)</f>
        <v>0</v>
      </c>
      <c r="L64" s="209"/>
    </row>
    <row r="66" spans="2:12" ht="14.25" customHeight="1">
      <c r="B66" s="555" t="s">
        <v>1231</v>
      </c>
      <c r="C66" s="555"/>
      <c r="D66" s="555"/>
      <c r="E66" s="555"/>
      <c r="F66" s="555"/>
      <c r="G66" s="555"/>
      <c r="H66" s="555"/>
      <c r="I66" s="555"/>
      <c r="J66" s="555"/>
      <c r="K66" s="555"/>
      <c r="L66" s="555"/>
    </row>
    <row r="67" spans="2:12">
      <c r="B67" s="187" t="s">
        <v>1209</v>
      </c>
      <c r="C67" s="187"/>
      <c r="D67" s="187" t="s">
        <v>39</v>
      </c>
      <c r="E67" s="187" t="s">
        <v>1210</v>
      </c>
      <c r="F67" s="187" t="s">
        <v>1211</v>
      </c>
      <c r="G67" s="187" t="s">
        <v>1212</v>
      </c>
      <c r="H67" s="187" t="s">
        <v>1213</v>
      </c>
      <c r="I67" s="187" t="s">
        <v>1214</v>
      </c>
      <c r="J67" s="187" t="s">
        <v>1215</v>
      </c>
      <c r="K67" s="187" t="s">
        <v>1216</v>
      </c>
      <c r="L67" s="187" t="s">
        <v>1217</v>
      </c>
    </row>
    <row r="68" spans="2:12">
      <c r="B68" s="188" t="s">
        <v>1228</v>
      </c>
      <c r="C68" s="189" t="s">
        <v>1219</v>
      </c>
      <c r="D68" s="190" t="s">
        <v>39</v>
      </c>
      <c r="E68" s="191">
        <v>15</v>
      </c>
      <c r="F68" s="192">
        <v>4</v>
      </c>
      <c r="G68" s="192"/>
      <c r="H68" s="191"/>
      <c r="I68" s="191"/>
      <c r="J68" s="216"/>
      <c r="K68" s="217">
        <f>IF(E68*F68*G68&lt;&gt;0,E68*F68*G68,IF(E68*F68&lt;&gt;0,E68*F68,IF(F68*G68&lt;&gt;0,F68*G68,IF(E68*G68&lt;&gt;0,E68*G68,IF(E68&lt;&gt;0,E68,IF(F68&lt;&gt;0,F68,IF(G68&lt;&gt;0,G68,0)))))))*(IF(H68&lt;&gt;0,H68,1))+I68-J68</f>
        <v>60</v>
      </c>
      <c r="L68" s="218"/>
    </row>
    <row r="69" spans="2:12">
      <c r="B69" s="197"/>
      <c r="C69" s="189"/>
      <c r="D69" s="198"/>
      <c r="E69" s="199"/>
      <c r="F69" s="199"/>
      <c r="G69" s="199"/>
      <c r="H69" s="199"/>
      <c r="I69" s="199"/>
      <c r="J69" s="219"/>
      <c r="K69" s="217">
        <f>IF(E69*F69*G69&lt;&gt;0,E69*F69*G69,IF(E69*F69&lt;&gt;0,E69*F69,IF(F69*G69&lt;&gt;0,F69*G69,IF(E69*G69&lt;&gt;0,E69*G69,IF(E69&lt;&gt;0,E69,IF(F69&lt;&gt;0,F69,IF(G69&lt;&gt;0,G69,0)))))))*(IF(H69&lt;&gt;0,H69,1))+I69-J69</f>
        <v>0</v>
      </c>
      <c r="L69" s="218"/>
    </row>
    <row r="70" spans="2:12">
      <c r="B70" s="202"/>
      <c r="C70" s="203"/>
      <c r="D70" s="203"/>
      <c r="E70" s="203"/>
      <c r="F70" s="203"/>
      <c r="G70" s="203"/>
      <c r="H70" s="204"/>
      <c r="I70" s="556" t="s">
        <v>1221</v>
      </c>
      <c r="J70" s="556"/>
      <c r="K70" s="220">
        <f>SUM(K68:K69)</f>
        <v>60</v>
      </c>
      <c r="L70" s="207"/>
    </row>
    <row r="71" spans="2:12">
      <c r="B71" s="208"/>
      <c r="C71" s="204"/>
      <c r="D71" s="204"/>
      <c r="E71" s="204"/>
      <c r="F71" s="204"/>
      <c r="G71" s="204"/>
      <c r="H71" s="209"/>
      <c r="I71" s="557" t="s">
        <v>1222</v>
      </c>
      <c r="J71" s="557"/>
      <c r="K71" s="221">
        <v>60</v>
      </c>
      <c r="L71" s="207"/>
    </row>
    <row r="72" spans="2:12">
      <c r="B72" s="208"/>
      <c r="C72" s="204"/>
      <c r="D72" s="204"/>
      <c r="E72" s="204"/>
      <c r="F72" s="204"/>
      <c r="G72" s="204"/>
      <c r="H72" s="558" t="s">
        <v>1223</v>
      </c>
      <c r="I72" s="558"/>
      <c r="J72" s="558"/>
      <c r="K72" s="222"/>
      <c r="L72" s="207"/>
    </row>
    <row r="73" spans="2:12">
      <c r="B73" s="208"/>
      <c r="C73" s="204"/>
      <c r="D73" s="204"/>
      <c r="E73" s="204"/>
      <c r="F73" s="204"/>
      <c r="G73" s="204"/>
      <c r="H73" s="558" t="s">
        <v>1190</v>
      </c>
      <c r="I73" s="558"/>
      <c r="J73" s="558"/>
      <c r="K73" s="222">
        <f>IF(K70&gt;K71,K71,K70)-K72</f>
        <v>60</v>
      </c>
      <c r="L73" s="207"/>
    </row>
    <row r="74" spans="2:12">
      <c r="B74" s="213"/>
      <c r="C74" s="214"/>
      <c r="D74" s="214"/>
      <c r="E74" s="214"/>
      <c r="F74" s="214"/>
      <c r="G74" s="214"/>
      <c r="H74" s="559" t="s">
        <v>1224</v>
      </c>
      <c r="I74" s="559"/>
      <c r="J74" s="559"/>
      <c r="K74" s="223">
        <f>IF(K70&gt;K71,K70-K71,0)</f>
        <v>0</v>
      </c>
      <c r="L74" s="209"/>
    </row>
    <row r="76" spans="2:12" ht="14.25" customHeight="1">
      <c r="B76" s="555" t="s">
        <v>1232</v>
      </c>
      <c r="C76" s="555"/>
      <c r="D76" s="555"/>
      <c r="E76" s="555"/>
      <c r="F76" s="555"/>
      <c r="G76" s="555"/>
      <c r="H76" s="555"/>
      <c r="I76" s="555"/>
      <c r="J76" s="555"/>
      <c r="K76" s="555"/>
      <c r="L76" s="555"/>
    </row>
    <row r="77" spans="2:12">
      <c r="B77" s="187" t="s">
        <v>1209</v>
      </c>
      <c r="C77" s="187"/>
      <c r="D77" s="187" t="s">
        <v>39</v>
      </c>
      <c r="E77" s="187" t="s">
        <v>1210</v>
      </c>
      <c r="F77" s="187" t="s">
        <v>1211</v>
      </c>
      <c r="G77" s="187" t="s">
        <v>1212</v>
      </c>
      <c r="H77" s="187" t="s">
        <v>1213</v>
      </c>
      <c r="I77" s="187" t="s">
        <v>1214</v>
      </c>
      <c r="J77" s="187" t="s">
        <v>1215</v>
      </c>
      <c r="K77" s="187" t="s">
        <v>1216</v>
      </c>
      <c r="L77" s="187" t="s">
        <v>1217</v>
      </c>
    </row>
    <row r="78" spans="2:12">
      <c r="B78" s="188" t="s">
        <v>1228</v>
      </c>
      <c r="C78" s="189" t="s">
        <v>1219</v>
      </c>
      <c r="D78" s="190" t="s">
        <v>39</v>
      </c>
      <c r="E78" s="191">
        <v>5</v>
      </c>
      <c r="F78" s="192">
        <v>4</v>
      </c>
      <c r="G78" s="192"/>
      <c r="H78" s="191"/>
      <c r="I78" s="191"/>
      <c r="J78" s="216"/>
      <c r="K78" s="217">
        <f>IF(E78*F78*G78&lt;&gt;0,E78*F78*G78,IF(E78*F78&lt;&gt;0,E78*F78,IF(F78*G78&lt;&gt;0,F78*G78,IF(E78*G78&lt;&gt;0,E78*G78,IF(E78&lt;&gt;0,E78,IF(F78&lt;&gt;0,F78,IF(G78&lt;&gt;0,G78,0)))))))*(IF(H78&lt;&gt;0,H78,1))+I78-J78</f>
        <v>20</v>
      </c>
      <c r="L78" s="218"/>
    </row>
    <row r="79" spans="2:12">
      <c r="B79" s="188" t="s">
        <v>1228</v>
      </c>
      <c r="C79" s="189" t="s">
        <v>1240</v>
      </c>
      <c r="D79" s="190" t="s">
        <v>39</v>
      </c>
      <c r="E79" s="191">
        <v>10</v>
      </c>
      <c r="F79" s="192">
        <v>4</v>
      </c>
      <c r="G79" s="192"/>
      <c r="H79" s="191"/>
      <c r="I79" s="191"/>
      <c r="J79" s="219"/>
      <c r="K79" s="217">
        <f>IF(E79*F79*G79&lt;&gt;0,E79*F79*G79,IF(E79*F79&lt;&gt;0,E79*F79,IF(F79*G79&lt;&gt;0,F79*G79,IF(E79*G79&lt;&gt;0,E79*G79,IF(E79&lt;&gt;0,E79,IF(F79&lt;&gt;0,F79,IF(G79&lt;&gt;0,G79,0)))))))*(IF(H79&lt;&gt;0,H79,1))+I79-J79</f>
        <v>40</v>
      </c>
      <c r="L79" s="218"/>
    </row>
    <row r="80" spans="2:12">
      <c r="B80" s="202"/>
      <c r="C80" s="203"/>
      <c r="D80" s="203"/>
      <c r="E80" s="203"/>
      <c r="F80" s="203"/>
      <c r="G80" s="203"/>
      <c r="H80" s="204"/>
      <c r="I80" s="556" t="s">
        <v>1221</v>
      </c>
      <c r="J80" s="556"/>
      <c r="K80" s="220">
        <f>SUM(K78:K79)</f>
        <v>60</v>
      </c>
      <c r="L80" s="207"/>
    </row>
    <row r="81" spans="2:12">
      <c r="B81" s="208"/>
      <c r="C81" s="204"/>
      <c r="D81" s="204"/>
      <c r="E81" s="204"/>
      <c r="F81" s="204"/>
      <c r="G81" s="204"/>
      <c r="H81" s="209"/>
      <c r="I81" s="557" t="s">
        <v>1222</v>
      </c>
      <c r="J81" s="557"/>
      <c r="K81" s="221">
        <v>60</v>
      </c>
      <c r="L81" s="207"/>
    </row>
    <row r="82" spans="2:12">
      <c r="B82" s="208"/>
      <c r="C82" s="204"/>
      <c r="D82" s="204"/>
      <c r="E82" s="204"/>
      <c r="F82" s="204"/>
      <c r="G82" s="204"/>
      <c r="H82" s="558" t="s">
        <v>1223</v>
      </c>
      <c r="I82" s="558"/>
      <c r="J82" s="558"/>
      <c r="K82" s="222">
        <v>20</v>
      </c>
      <c r="L82" s="207"/>
    </row>
    <row r="83" spans="2:12">
      <c r="B83" s="208"/>
      <c r="C83" s="204"/>
      <c r="D83" s="204"/>
      <c r="E83" s="204"/>
      <c r="F83" s="204"/>
      <c r="G83" s="204"/>
      <c r="H83" s="558" t="s">
        <v>1199</v>
      </c>
      <c r="I83" s="558"/>
      <c r="J83" s="558"/>
      <c r="K83" s="222">
        <f>IF(K80&gt;K81,K81,K80)-K82</f>
        <v>40</v>
      </c>
      <c r="L83" s="207"/>
    </row>
    <row r="84" spans="2:12">
      <c r="B84" s="213"/>
      <c r="C84" s="214"/>
      <c r="D84" s="214"/>
      <c r="E84" s="214"/>
      <c r="F84" s="214"/>
      <c r="G84" s="214"/>
      <c r="H84" s="559" t="s">
        <v>1224</v>
      </c>
      <c r="I84" s="559"/>
      <c r="J84" s="559"/>
      <c r="K84" s="223">
        <f>IF(K80&gt;K81,K80-K81,0)</f>
        <v>0</v>
      </c>
      <c r="L84" s="209"/>
    </row>
    <row r="86" spans="2:12" ht="14.25" customHeight="1">
      <c r="B86" s="555" t="s">
        <v>1233</v>
      </c>
      <c r="C86" s="555"/>
      <c r="D86" s="555"/>
      <c r="E86" s="555"/>
      <c r="F86" s="555"/>
      <c r="G86" s="555"/>
      <c r="H86" s="555"/>
      <c r="I86" s="555"/>
      <c r="J86" s="555"/>
      <c r="K86" s="555"/>
      <c r="L86" s="555"/>
    </row>
    <row r="87" spans="2:12">
      <c r="B87" s="187" t="s">
        <v>1209</v>
      </c>
      <c r="C87" s="187"/>
      <c r="D87" s="187" t="s">
        <v>39</v>
      </c>
      <c r="E87" s="187" t="s">
        <v>1210</v>
      </c>
      <c r="F87" s="187" t="s">
        <v>1211</v>
      </c>
      <c r="G87" s="187" t="s">
        <v>1212</v>
      </c>
      <c r="H87" s="187" t="s">
        <v>1213</v>
      </c>
      <c r="I87" s="187" t="s">
        <v>1214</v>
      </c>
      <c r="J87" s="187" t="s">
        <v>1215</v>
      </c>
      <c r="K87" s="187" t="s">
        <v>1216</v>
      </c>
      <c r="L87" s="187" t="s">
        <v>1217</v>
      </c>
    </row>
    <row r="88" spans="2:12">
      <c r="B88" s="188" t="s">
        <v>1228</v>
      </c>
      <c r="C88" s="189" t="s">
        <v>1219</v>
      </c>
      <c r="D88" s="190" t="s">
        <v>39</v>
      </c>
      <c r="E88" s="191">
        <v>5</v>
      </c>
      <c r="F88" s="192">
        <v>4</v>
      </c>
      <c r="G88" s="192"/>
      <c r="H88" s="191"/>
      <c r="I88" s="191"/>
      <c r="J88" s="216"/>
      <c r="K88" s="217">
        <f>IF(E88*F88*G88&lt;&gt;0,E88*F88*G88,IF(E88*F88&lt;&gt;0,E88*F88,IF(F88*G88&lt;&gt;0,F88*G88,IF(E88*G88&lt;&gt;0,E88*G88,IF(E88&lt;&gt;0,E88,IF(F88&lt;&gt;0,F88,IF(G88&lt;&gt;0,G88,0)))))))*(IF(H88&lt;&gt;0,H88,1))+I88-J88</f>
        <v>20</v>
      </c>
      <c r="L88" s="218"/>
    </row>
    <row r="89" spans="2:12">
      <c r="B89" s="188" t="s">
        <v>1228</v>
      </c>
      <c r="C89" s="189" t="s">
        <v>1219</v>
      </c>
      <c r="D89" s="190" t="s">
        <v>39</v>
      </c>
      <c r="E89" s="191">
        <v>7.5</v>
      </c>
      <c r="F89" s="192">
        <v>4</v>
      </c>
      <c r="G89" s="192"/>
      <c r="H89" s="191"/>
      <c r="I89" s="191"/>
      <c r="J89" s="216"/>
      <c r="K89" s="217">
        <f>IF(E89*F89*G89&lt;&gt;0,E89*F89*G89,IF(E89*F89&lt;&gt;0,E89*F89,IF(F89*G89&lt;&gt;0,F89*G89,IF(E89*G89&lt;&gt;0,E89*G89,IF(E89&lt;&gt;0,E89,IF(F89&lt;&gt;0,F89,IF(G89&lt;&gt;0,G89,0)))))))*(IF(H89&lt;&gt;0,H89,1))+I89-J89</f>
        <v>30</v>
      </c>
      <c r="L89" s="218"/>
    </row>
    <row r="90" spans="2:12">
      <c r="B90" s="202"/>
      <c r="C90" s="203"/>
      <c r="D90" s="203"/>
      <c r="E90" s="203"/>
      <c r="F90" s="203"/>
      <c r="G90" s="203"/>
      <c r="H90" s="204"/>
      <c r="I90" s="556" t="s">
        <v>1221</v>
      </c>
      <c r="J90" s="556"/>
      <c r="K90" s="220">
        <f>SUM(K88:K89)</f>
        <v>50</v>
      </c>
      <c r="L90" s="207"/>
    </row>
    <row r="91" spans="2:12">
      <c r="B91" s="208"/>
      <c r="C91" s="204"/>
      <c r="D91" s="204"/>
      <c r="E91" s="204"/>
      <c r="F91" s="204"/>
      <c r="G91" s="204"/>
      <c r="H91" s="209"/>
      <c r="I91" s="557" t="s">
        <v>1222</v>
      </c>
      <c r="J91" s="557"/>
      <c r="K91" s="221">
        <v>50</v>
      </c>
      <c r="L91" s="207"/>
    </row>
    <row r="92" spans="2:12">
      <c r="B92" s="208"/>
      <c r="C92" s="204"/>
      <c r="D92" s="204"/>
      <c r="E92" s="204"/>
      <c r="F92" s="204"/>
      <c r="G92" s="204"/>
      <c r="H92" s="558" t="s">
        <v>1223</v>
      </c>
      <c r="I92" s="558"/>
      <c r="J92" s="558"/>
      <c r="K92" s="222">
        <v>20</v>
      </c>
      <c r="L92" s="207"/>
    </row>
    <row r="93" spans="2:12">
      <c r="B93" s="208"/>
      <c r="C93" s="204"/>
      <c r="D93" s="204"/>
      <c r="E93" s="204"/>
      <c r="F93" s="204"/>
      <c r="G93" s="204"/>
      <c r="H93" s="558" t="s">
        <v>1199</v>
      </c>
      <c r="I93" s="558"/>
      <c r="J93" s="558"/>
      <c r="K93" s="222">
        <f>IF(K90&gt;K91,K91,K90)-K92</f>
        <v>30</v>
      </c>
      <c r="L93" s="207"/>
    </row>
    <row r="94" spans="2:12">
      <c r="B94" s="213"/>
      <c r="C94" s="214"/>
      <c r="D94" s="214"/>
      <c r="E94" s="214"/>
      <c r="F94" s="214"/>
      <c r="G94" s="214"/>
      <c r="H94" s="559" t="s">
        <v>1224</v>
      </c>
      <c r="I94" s="559"/>
      <c r="J94" s="559"/>
      <c r="K94" s="223">
        <f>IF(K90&gt;K91,K90-K91,0)</f>
        <v>0</v>
      </c>
      <c r="L94" s="209"/>
    </row>
    <row r="96" spans="2:12" ht="15" customHeight="1">
      <c r="B96" s="555" t="s">
        <v>1234</v>
      </c>
      <c r="C96" s="555"/>
      <c r="D96" s="555"/>
      <c r="E96" s="555"/>
      <c r="F96" s="555"/>
      <c r="G96" s="555"/>
      <c r="H96" s="555"/>
      <c r="I96" s="555"/>
      <c r="J96" s="555"/>
      <c r="K96" s="555"/>
      <c r="L96" s="555"/>
    </row>
    <row r="97" spans="2:12">
      <c r="B97" s="187" t="s">
        <v>1209</v>
      </c>
      <c r="C97" s="187"/>
      <c r="D97" s="187" t="s">
        <v>39</v>
      </c>
      <c r="E97" s="187" t="s">
        <v>1210</v>
      </c>
      <c r="F97" s="187" t="s">
        <v>1211</v>
      </c>
      <c r="G97" s="187" t="s">
        <v>1212</v>
      </c>
      <c r="H97" s="187" t="s">
        <v>1213</v>
      </c>
      <c r="I97" s="187" t="s">
        <v>1214</v>
      </c>
      <c r="J97" s="187" t="s">
        <v>1215</v>
      </c>
      <c r="K97" s="187" t="s">
        <v>1216</v>
      </c>
      <c r="L97" s="187" t="s">
        <v>1217</v>
      </c>
    </row>
    <row r="98" spans="2:12">
      <c r="B98" s="188" t="s">
        <v>1235</v>
      </c>
      <c r="C98" s="189" t="s">
        <v>1219</v>
      </c>
      <c r="D98" s="190" t="s">
        <v>169</v>
      </c>
      <c r="E98" s="191">
        <v>1616.87</v>
      </c>
      <c r="F98" s="192"/>
      <c r="G98" s="192">
        <v>0.75</v>
      </c>
      <c r="H98" s="191"/>
      <c r="I98" s="191"/>
      <c r="J98" s="216"/>
      <c r="K98" s="217">
        <f>IF(E98*F98*G98&lt;&gt;0,E98*F98*G98,IF(E98*F98&lt;&gt;0,E98*F98,IF(F98*G98&lt;&gt;0,F98*G98,IF(E98*G98&lt;&gt;0,E98*G98,IF(E98&lt;&gt;0,E98,IF(F98&lt;&gt;0,F98,IF(G98&lt;&gt;0,G98,0)))))))*(IF(H98&lt;&gt;0,H98,1))+I98-J98</f>
        <v>1212.6524999999999</v>
      </c>
      <c r="L98" s="218"/>
    </row>
    <row r="99" spans="2:12">
      <c r="B99" s="188" t="s">
        <v>1235</v>
      </c>
      <c r="C99" s="189" t="s">
        <v>1271</v>
      </c>
      <c r="D99" s="190" t="s">
        <v>169</v>
      </c>
      <c r="E99" s="199">
        <v>1616.87</v>
      </c>
      <c r="F99" s="199"/>
      <c r="G99" s="199">
        <v>0.25</v>
      </c>
      <c r="H99" s="199"/>
      <c r="I99" s="199"/>
      <c r="J99" s="219"/>
      <c r="K99" s="217">
        <f>IF(E99*F99*G99&lt;&gt;0,E99*F99*G99,IF(E99*F99&lt;&gt;0,E99*F99,IF(F99*G99&lt;&gt;0,F99*G99,IF(E99*G99&lt;&gt;0,E99*G99,IF(E99&lt;&gt;0,E99,IF(F99&lt;&gt;0,F99,IF(G99&lt;&gt;0,G99,0)))))))*(IF(H99&lt;&gt;0,H99,1))+I99-J99</f>
        <v>404.21749999999997</v>
      </c>
      <c r="L99" s="218"/>
    </row>
    <row r="100" spans="2:12">
      <c r="B100" s="197"/>
      <c r="C100" s="189"/>
      <c r="D100" s="198"/>
      <c r="E100" s="199"/>
      <c r="F100" s="199"/>
      <c r="G100" s="199"/>
      <c r="H100" s="199"/>
      <c r="I100" s="199"/>
      <c r="J100" s="219"/>
      <c r="K100" s="217">
        <f>IF(E100*F100*G100&lt;&gt;0,E100*F100*G100,IF(E100*F100&lt;&gt;0,E100*F100,IF(F100*G100&lt;&gt;0,F100*G100,IF(E100*G100&lt;&gt;0,E100*G100,IF(E100&lt;&gt;0,E100,IF(F100&lt;&gt;0,F100,IF(G100&lt;&gt;0,G100,0)))))))*(IF(H100&lt;&gt;0,H100,1))+I100-J100</f>
        <v>0</v>
      </c>
      <c r="L100" s="218"/>
    </row>
    <row r="101" spans="2:12">
      <c r="B101" s="202"/>
      <c r="C101" s="203"/>
      <c r="D101" s="203"/>
      <c r="E101" s="203"/>
      <c r="F101" s="203"/>
      <c r="G101" s="203"/>
      <c r="H101" s="204"/>
      <c r="I101" s="556" t="s">
        <v>1221</v>
      </c>
      <c r="J101" s="556"/>
      <c r="K101" s="220">
        <f>SUM(K98:K100)</f>
        <v>1616.87</v>
      </c>
      <c r="L101" s="207"/>
    </row>
    <row r="102" spans="2:12">
      <c r="B102" s="208"/>
      <c r="C102" s="204"/>
      <c r="D102" s="204"/>
      <c r="E102" s="204"/>
      <c r="F102" s="204"/>
      <c r="G102" s="204"/>
      <c r="H102" s="209"/>
      <c r="I102" s="557" t="s">
        <v>1222</v>
      </c>
      <c r="J102" s="557"/>
      <c r="K102" s="221">
        <v>4350</v>
      </c>
      <c r="L102" s="207"/>
    </row>
    <row r="103" spans="2:12">
      <c r="B103" s="208"/>
      <c r="C103" s="204"/>
      <c r="D103" s="204"/>
      <c r="E103" s="204"/>
      <c r="F103" s="204"/>
      <c r="G103" s="204"/>
      <c r="H103" s="558" t="s">
        <v>1223</v>
      </c>
      <c r="I103" s="558"/>
      <c r="J103" s="558"/>
      <c r="K103" s="222">
        <v>1616.87</v>
      </c>
      <c r="L103" s="207"/>
    </row>
    <row r="104" spans="2:12">
      <c r="B104" s="208"/>
      <c r="C104" s="204"/>
      <c r="D104" s="204"/>
      <c r="E104" s="204"/>
      <c r="F104" s="204"/>
      <c r="G104" s="204"/>
      <c r="H104" s="558" t="s">
        <v>1431</v>
      </c>
      <c r="I104" s="558"/>
      <c r="J104" s="558"/>
      <c r="K104" s="222">
        <f>IF(K101&gt;K102,K102,K101)-K103</f>
        <v>0</v>
      </c>
      <c r="L104" s="207"/>
    </row>
    <row r="105" spans="2:12">
      <c r="B105" s="213"/>
      <c r="C105" s="214"/>
      <c r="D105" s="214"/>
      <c r="E105" s="214"/>
      <c r="F105" s="214"/>
      <c r="G105" s="214"/>
      <c r="H105" s="559" t="s">
        <v>1224</v>
      </c>
      <c r="I105" s="559"/>
      <c r="J105" s="559"/>
      <c r="K105" s="223">
        <f>IF(K101&gt;K102,K101-K102,0)</f>
        <v>0</v>
      </c>
      <c r="L105" s="209"/>
    </row>
    <row r="106" spans="2:12" ht="15" customHeight="1"/>
    <row r="107" spans="2:12" ht="24" customHeight="1">
      <c r="B107" s="555" t="s">
        <v>1236</v>
      </c>
      <c r="C107" s="555"/>
      <c r="D107" s="555"/>
      <c r="E107" s="555"/>
      <c r="F107" s="555"/>
      <c r="G107" s="555"/>
      <c r="H107" s="555"/>
      <c r="I107" s="555"/>
      <c r="J107" s="555"/>
      <c r="K107" s="555"/>
      <c r="L107" s="555"/>
    </row>
    <row r="108" spans="2:12">
      <c r="B108" s="187" t="s">
        <v>1209</v>
      </c>
      <c r="C108" s="187"/>
      <c r="D108" s="187" t="s">
        <v>39</v>
      </c>
      <c r="E108" s="187" t="s">
        <v>1210</v>
      </c>
      <c r="F108" s="187" t="s">
        <v>1211</v>
      </c>
      <c r="G108" s="187" t="s">
        <v>1212</v>
      </c>
      <c r="H108" s="187" t="s">
        <v>1213</v>
      </c>
      <c r="I108" s="187" t="s">
        <v>1214</v>
      </c>
      <c r="J108" s="187" t="s">
        <v>1215</v>
      </c>
      <c r="K108" s="187" t="s">
        <v>1216</v>
      </c>
      <c r="L108" s="187" t="s">
        <v>1217</v>
      </c>
    </row>
    <row r="109" spans="2:12">
      <c r="B109" s="188" t="s">
        <v>1235</v>
      </c>
      <c r="C109" s="189" t="s">
        <v>1219</v>
      </c>
      <c r="D109" s="190" t="s">
        <v>169</v>
      </c>
      <c r="E109" s="191">
        <v>1616.87</v>
      </c>
      <c r="F109" s="192"/>
      <c r="G109" s="192">
        <v>0.75</v>
      </c>
      <c r="H109" s="191"/>
      <c r="I109" s="191"/>
      <c r="J109" s="216"/>
      <c r="K109" s="217">
        <f>IF(E109*F109*G109&lt;&gt;0,E109*F109*G109,IF(E109*F109&lt;&gt;0,E109*F109,IF(F109*G109&lt;&gt;0,F109*G109,IF(E109*G109&lt;&gt;0,E109*G109,IF(E109&lt;&gt;0,E109,IF(F109&lt;&gt;0,F109,IF(G109&lt;&gt;0,G109,0)))))))*(IF(H109&lt;&gt;0,H109,1))+I109-J109</f>
        <v>1212.6524999999999</v>
      </c>
      <c r="L109" s="218"/>
    </row>
    <row r="110" spans="2:12">
      <c r="B110" s="188" t="s">
        <v>1235</v>
      </c>
      <c r="C110" s="189" t="s">
        <v>1271</v>
      </c>
      <c r="D110" s="190" t="s">
        <v>169</v>
      </c>
      <c r="E110" s="199">
        <v>1616.87</v>
      </c>
      <c r="F110" s="199"/>
      <c r="G110" s="199">
        <v>0.25</v>
      </c>
      <c r="H110" s="199"/>
      <c r="I110" s="199"/>
      <c r="J110" s="219"/>
      <c r="K110" s="217">
        <f>IF(E110*F110*G110&lt;&gt;0,E110*F110*G110,IF(E110*F110&lt;&gt;0,E110*F110,IF(F110*G110&lt;&gt;0,F110*G110,IF(E110*G110&lt;&gt;0,E110*G110,IF(E110&lt;&gt;0,E110,IF(F110&lt;&gt;0,F110,IF(G110&lt;&gt;0,G110,0)))))))*(IF(H110&lt;&gt;0,H110,1))+I110-J110</f>
        <v>404.21749999999997</v>
      </c>
      <c r="L110" s="218"/>
    </row>
    <row r="111" spans="2:12">
      <c r="B111" s="188" t="s">
        <v>1235</v>
      </c>
      <c r="C111" s="189" t="s">
        <v>1271</v>
      </c>
      <c r="D111" s="190" t="s">
        <v>169</v>
      </c>
      <c r="E111" s="199">
        <v>922</v>
      </c>
      <c r="F111" s="199"/>
      <c r="G111" s="199">
        <v>0.5</v>
      </c>
      <c r="H111" s="199"/>
      <c r="I111" s="199"/>
      <c r="J111" s="219"/>
      <c r="K111" s="217">
        <f>IF(E111*F111*G111&lt;&gt;0,E111*F111*G111,IF(E111*F111&lt;&gt;0,E111*F111,IF(F111*G111&lt;&gt;0,F111*G111,IF(E111*G111&lt;&gt;0,E111*G111,IF(E111&lt;&gt;0,E111,IF(F111&lt;&gt;0,F111,IF(G111&lt;&gt;0,G111,0)))))))*(IF(H111&lt;&gt;0,H111,1))+I111-J111</f>
        <v>461</v>
      </c>
      <c r="L111" s="218"/>
    </row>
    <row r="112" spans="2:12">
      <c r="B112" s="197"/>
      <c r="C112" s="189"/>
      <c r="D112" s="198"/>
      <c r="E112" s="199"/>
      <c r="F112" s="199"/>
      <c r="G112" s="199"/>
      <c r="H112" s="199"/>
      <c r="I112" s="199"/>
      <c r="J112" s="219"/>
      <c r="K112" s="217">
        <f>IF(E112*F112*G112&lt;&gt;0,E112*F112*G112,IF(E112*F112&lt;&gt;0,E112*F112,IF(F112*G112&lt;&gt;0,F112*G112,IF(E112*G112&lt;&gt;0,E112*G112,IF(E112&lt;&gt;0,E112,IF(F112&lt;&gt;0,F112,IF(G112&lt;&gt;0,G112,0)))))))*(IF(H112&lt;&gt;0,H112,1))+I112-J112</f>
        <v>0</v>
      </c>
      <c r="L112" s="218"/>
    </row>
    <row r="113" spans="2:12">
      <c r="B113" s="202"/>
      <c r="C113" s="203"/>
      <c r="D113" s="203"/>
      <c r="E113" s="203"/>
      <c r="F113" s="203"/>
      <c r="G113" s="203"/>
      <c r="H113" s="204"/>
      <c r="I113" s="556" t="s">
        <v>1221</v>
      </c>
      <c r="J113" s="556"/>
      <c r="K113" s="220">
        <f>SUM(K109:K112)</f>
        <v>2077.87</v>
      </c>
      <c r="L113" s="207"/>
    </row>
    <row r="114" spans="2:12">
      <c r="B114" s="208"/>
      <c r="C114" s="204"/>
      <c r="D114" s="204"/>
      <c r="E114" s="204"/>
      <c r="F114" s="204"/>
      <c r="G114" s="204"/>
      <c r="H114" s="209"/>
      <c r="I114" s="557" t="s">
        <v>1222</v>
      </c>
      <c r="J114" s="557"/>
      <c r="K114" s="221">
        <v>3985</v>
      </c>
      <c r="L114" s="207"/>
    </row>
    <row r="115" spans="2:12">
      <c r="B115" s="208"/>
      <c r="C115" s="204"/>
      <c r="D115" s="204"/>
      <c r="E115" s="204"/>
      <c r="F115" s="204"/>
      <c r="G115" s="204"/>
      <c r="H115" s="558" t="s">
        <v>1223</v>
      </c>
      <c r="I115" s="558"/>
      <c r="J115" s="558"/>
      <c r="K115" s="222">
        <v>1616.87</v>
      </c>
      <c r="L115" s="207"/>
    </row>
    <row r="116" spans="2:12">
      <c r="B116" s="208"/>
      <c r="C116" s="204"/>
      <c r="D116" s="204"/>
      <c r="E116" s="204"/>
      <c r="F116" s="204"/>
      <c r="G116" s="204"/>
      <c r="H116" s="558" t="s">
        <v>1431</v>
      </c>
      <c r="I116" s="558"/>
      <c r="J116" s="558"/>
      <c r="K116" s="222">
        <f>IF(K113&gt;K114,K114,K113)-K115</f>
        <v>461</v>
      </c>
      <c r="L116" s="207"/>
    </row>
    <row r="117" spans="2:12" ht="15" customHeight="1">
      <c r="B117" s="213"/>
      <c r="C117" s="214"/>
      <c r="D117" s="214"/>
      <c r="E117" s="214"/>
      <c r="F117" s="214"/>
      <c r="G117" s="214"/>
      <c r="H117" s="559" t="s">
        <v>1224</v>
      </c>
      <c r="I117" s="559"/>
      <c r="J117" s="559"/>
      <c r="K117" s="223">
        <f>IF(K113&gt;K114,K113-K114,0)</f>
        <v>0</v>
      </c>
      <c r="L117" s="209"/>
    </row>
    <row r="119" spans="2:12" ht="14.25" customHeight="1">
      <c r="B119" s="555" t="s">
        <v>1237</v>
      </c>
      <c r="C119" s="555"/>
      <c r="D119" s="555"/>
      <c r="E119" s="555"/>
      <c r="F119" s="555"/>
      <c r="G119" s="555"/>
      <c r="H119" s="555"/>
      <c r="I119" s="555"/>
      <c r="J119" s="555"/>
      <c r="K119" s="555"/>
      <c r="L119" s="555"/>
    </row>
    <row r="120" spans="2:12">
      <c r="B120" s="187" t="s">
        <v>1209</v>
      </c>
      <c r="C120" s="187"/>
      <c r="D120" s="187" t="s">
        <v>39</v>
      </c>
      <c r="E120" s="187" t="s">
        <v>1210</v>
      </c>
      <c r="F120" s="187" t="s">
        <v>1211</v>
      </c>
      <c r="G120" s="187" t="s">
        <v>1212</v>
      </c>
      <c r="H120" s="187" t="s">
        <v>1213</v>
      </c>
      <c r="I120" s="187" t="s">
        <v>1214</v>
      </c>
      <c r="J120" s="187" t="s">
        <v>1215</v>
      </c>
      <c r="K120" s="187" t="s">
        <v>1216</v>
      </c>
      <c r="L120" s="187" t="s">
        <v>1217</v>
      </c>
    </row>
    <row r="121" spans="2:12">
      <c r="B121" s="188" t="s">
        <v>1238</v>
      </c>
      <c r="C121" s="189" t="s">
        <v>1219</v>
      </c>
      <c r="D121" s="190" t="s">
        <v>113</v>
      </c>
      <c r="E121" s="191"/>
      <c r="F121" s="192"/>
      <c r="G121" s="192"/>
      <c r="H121" s="191"/>
      <c r="I121" s="191">
        <v>8200</v>
      </c>
      <c r="J121" s="216"/>
      <c r="K121" s="217">
        <f>IF(E121*F121*G121&lt;&gt;0,E121*F121*G121,IF(E121*F121&lt;&gt;0,E121*F121,IF(F121*G121&lt;&gt;0,F121*G121,IF(E121*G121&lt;&gt;0,E121*G121,IF(E121&lt;&gt;0,E121,IF(F121&lt;&gt;0,F121,IF(G121&lt;&gt;0,G121,0)))))))*(IF(H121&lt;&gt;0,H121,1))+I121-J121</f>
        <v>8200</v>
      </c>
      <c r="L121" s="218"/>
    </row>
    <row r="122" spans="2:12">
      <c r="B122" s="188" t="s">
        <v>1235</v>
      </c>
      <c r="C122" s="189" t="s">
        <v>1271</v>
      </c>
      <c r="D122" s="190" t="s">
        <v>169</v>
      </c>
      <c r="E122" s="199">
        <v>1616.87</v>
      </c>
      <c r="F122" s="199"/>
      <c r="G122" s="199">
        <v>0.25</v>
      </c>
      <c r="H122" s="199">
        <v>30</v>
      </c>
      <c r="I122" s="199"/>
      <c r="J122" s="219"/>
      <c r="K122" s="217">
        <f>IF(E122*F122*G122&lt;&gt;0,E122*F122*G122,IF(E122*F122&lt;&gt;0,E122*F122,IF(F122*G122&lt;&gt;0,F122*G122,IF(E122*G122&lt;&gt;0,E122*G122,IF(E122&lt;&gt;0,E122,IF(F122&lt;&gt;0,F122,IF(G122&lt;&gt;0,G122,0)))))))*(IF(H122&lt;&gt;0,H122,1))+I122-J122</f>
        <v>12126.525</v>
      </c>
      <c r="L122" s="218"/>
    </row>
    <row r="123" spans="2:12">
      <c r="B123" s="188" t="s">
        <v>1235</v>
      </c>
      <c r="C123" s="189" t="s">
        <v>1271</v>
      </c>
      <c r="D123" s="190" t="s">
        <v>169</v>
      </c>
      <c r="E123" s="199">
        <v>922</v>
      </c>
      <c r="F123" s="199"/>
      <c r="G123" s="199">
        <v>0.5</v>
      </c>
      <c r="H123" s="199">
        <v>30</v>
      </c>
      <c r="I123" s="199"/>
      <c r="J123" s="219"/>
      <c r="K123" s="217">
        <f>IF(E123*F123*G123&lt;&gt;0,E123*F123*G123,IF(E123*F123&lt;&gt;0,E123*F123,IF(F123*G123&lt;&gt;0,F123*G123,IF(E123*G123&lt;&gt;0,E123*G123,IF(E123&lt;&gt;0,E123,IF(F123&lt;&gt;0,F123,IF(G123&lt;&gt;0,G123,0)))))))*(IF(H123&lt;&gt;0,H123,1))+I123-J123</f>
        <v>13830</v>
      </c>
      <c r="L123" s="218"/>
    </row>
    <row r="124" spans="2:12">
      <c r="B124" s="197"/>
      <c r="C124" s="189"/>
      <c r="D124" s="198"/>
      <c r="E124" s="199"/>
      <c r="F124" s="199"/>
      <c r="G124" s="199"/>
      <c r="H124" s="199"/>
      <c r="I124" s="199"/>
      <c r="J124" s="219"/>
      <c r="K124" s="217">
        <f>IF(E124*F124*G124&lt;&gt;0,E124*F124*G124,IF(E124*F124&lt;&gt;0,E124*F124,IF(F124*G124&lt;&gt;0,F124*G124,IF(E124*G124&lt;&gt;0,E124*G124,IF(E124&lt;&gt;0,E124,IF(F124&lt;&gt;0,F124,IF(G124&lt;&gt;0,G124,0)))))))*(IF(H124&lt;&gt;0,H124,1))+I124-J124</f>
        <v>0</v>
      </c>
      <c r="L124" s="218"/>
    </row>
    <row r="125" spans="2:12">
      <c r="B125" s="202"/>
      <c r="C125" s="203"/>
      <c r="D125" s="203"/>
      <c r="E125" s="203"/>
      <c r="F125" s="203"/>
      <c r="G125" s="203"/>
      <c r="H125" s="204"/>
      <c r="I125" s="556" t="s">
        <v>1221</v>
      </c>
      <c r="J125" s="556"/>
      <c r="K125" s="220">
        <f>SUM(K121:K124)</f>
        <v>34156.525000000001</v>
      </c>
      <c r="L125" s="207"/>
    </row>
    <row r="126" spans="2:12">
      <c r="B126" s="208"/>
      <c r="C126" s="204"/>
      <c r="D126" s="204"/>
      <c r="E126" s="204"/>
      <c r="F126" s="204"/>
      <c r="G126" s="204"/>
      <c r="H126" s="209"/>
      <c r="I126" s="557" t="s">
        <v>1222</v>
      </c>
      <c r="J126" s="557"/>
      <c r="K126" s="221">
        <v>119550</v>
      </c>
      <c r="L126" s="207"/>
    </row>
    <row r="127" spans="2:12">
      <c r="B127" s="208"/>
      <c r="C127" s="204"/>
      <c r="D127" s="204"/>
      <c r="E127" s="204"/>
      <c r="F127" s="204"/>
      <c r="G127" s="204"/>
      <c r="H127" s="558" t="s">
        <v>1223</v>
      </c>
      <c r="I127" s="558"/>
      <c r="J127" s="558"/>
      <c r="K127" s="222">
        <v>20326.525000000001</v>
      </c>
      <c r="L127" s="207"/>
    </row>
    <row r="128" spans="2:12">
      <c r="B128" s="208"/>
      <c r="C128" s="204"/>
      <c r="D128" s="204"/>
      <c r="E128" s="204"/>
      <c r="F128" s="204"/>
      <c r="G128" s="204"/>
      <c r="H128" s="558" t="s">
        <v>1431</v>
      </c>
      <c r="I128" s="558"/>
      <c r="J128" s="558"/>
      <c r="K128" s="222">
        <f>IF(K125&gt;K126,K126,K125)-K127</f>
        <v>13830</v>
      </c>
      <c r="L128" s="207"/>
    </row>
    <row r="129" spans="2:14">
      <c r="B129" s="213"/>
      <c r="C129" s="214"/>
      <c r="D129" s="214"/>
      <c r="E129" s="214"/>
      <c r="F129" s="214"/>
      <c r="G129" s="214"/>
      <c r="H129" s="559" t="s">
        <v>1224</v>
      </c>
      <c r="I129" s="559"/>
      <c r="J129" s="559"/>
      <c r="K129" s="223">
        <f>IF(K125&gt;K126,K125-K126,0)</f>
        <v>0</v>
      </c>
      <c r="L129" s="209"/>
    </row>
    <row r="131" spans="2:14" ht="14.25" customHeight="1">
      <c r="B131" s="555" t="s">
        <v>1241</v>
      </c>
      <c r="C131" s="555"/>
      <c r="D131" s="555"/>
      <c r="E131" s="555"/>
      <c r="F131" s="555"/>
      <c r="G131" s="555"/>
      <c r="H131" s="555"/>
      <c r="I131" s="555"/>
      <c r="J131" s="555"/>
      <c r="K131" s="555"/>
      <c r="L131" s="555"/>
    </row>
    <row r="132" spans="2:14">
      <c r="B132" s="187" t="s">
        <v>1209</v>
      </c>
      <c r="C132" s="187"/>
      <c r="D132" s="187" t="s">
        <v>39</v>
      </c>
      <c r="E132" s="187" t="s">
        <v>1210</v>
      </c>
      <c r="F132" s="187" t="s">
        <v>1211</v>
      </c>
      <c r="G132" s="187" t="s">
        <v>1212</v>
      </c>
      <c r="H132" s="187" t="s">
        <v>1213</v>
      </c>
      <c r="I132" s="187" t="s">
        <v>1214</v>
      </c>
      <c r="J132" s="187" t="s">
        <v>1215</v>
      </c>
      <c r="K132" s="187" t="s">
        <v>1216</v>
      </c>
      <c r="L132" s="187" t="s">
        <v>1217</v>
      </c>
    </row>
    <row r="133" spans="2:14">
      <c r="B133" s="188" t="s">
        <v>117</v>
      </c>
      <c r="C133" s="189" t="s">
        <v>1240</v>
      </c>
      <c r="D133" s="190" t="s">
        <v>82</v>
      </c>
      <c r="E133" s="191">
        <v>10</v>
      </c>
      <c r="F133" s="192">
        <f>45/40</f>
        <v>1.125</v>
      </c>
      <c r="G133" s="192"/>
      <c r="H133" s="191">
        <v>147</v>
      </c>
      <c r="I133" s="191"/>
      <c r="J133" s="216"/>
      <c r="K133" s="217">
        <f>IF(E133*F133*G133&lt;&gt;0,E133*F133*G133,IF(E133*F133&lt;&gt;0,E133*F133,IF(F133*G133&lt;&gt;0,F133*G133,IF(E133*G133&lt;&gt;0,E133*G133,IF(E133&lt;&gt;0,E133,IF(F133&lt;&gt;0,F133,IF(G133&lt;&gt;0,G133,0)))))))*(IF(H133&lt;&gt;0,H133,1))+I133-J133</f>
        <v>1653.75</v>
      </c>
      <c r="L133" s="218"/>
    </row>
    <row r="134" spans="2:14">
      <c r="B134" s="188" t="s">
        <v>117</v>
      </c>
      <c r="C134" s="189" t="s">
        <v>1271</v>
      </c>
      <c r="D134" s="190" t="s">
        <v>82</v>
      </c>
      <c r="E134" s="191">
        <v>10</v>
      </c>
      <c r="F134" s="192">
        <f>45/40</f>
        <v>1.125</v>
      </c>
      <c r="G134" s="192"/>
      <c r="H134" s="191">
        <f>173-147</f>
        <v>26</v>
      </c>
      <c r="I134" s="191"/>
      <c r="J134" s="216"/>
      <c r="K134" s="217">
        <f>IF(E134*F134*G134&lt;&gt;0,E134*F134*G134,IF(E134*F134&lt;&gt;0,E134*F134,IF(F134*G134&lt;&gt;0,F134*G134,IF(E134*G134&lt;&gt;0,E134*G134,IF(E134&lt;&gt;0,E134,IF(F134&lt;&gt;0,F134,IF(G134&lt;&gt;0,G134,0)))))))*(IF(H134&lt;&gt;0,H134,1))+I134-J134</f>
        <v>292.5</v>
      </c>
      <c r="L134" s="218"/>
    </row>
    <row r="135" spans="2:14">
      <c r="B135" s="197"/>
      <c r="C135" s="189"/>
      <c r="D135" s="198"/>
      <c r="E135" s="199"/>
      <c r="F135" s="199"/>
      <c r="G135" s="199"/>
      <c r="H135" s="199"/>
      <c r="I135" s="199"/>
      <c r="J135" s="219"/>
      <c r="K135" s="217">
        <f>IF(E135*F135*G135&lt;&gt;0,E135*F135*G135,IF(E135*F135&lt;&gt;0,E135*F135,IF(F135*G135&lt;&gt;0,F135*G135,IF(E135*G135&lt;&gt;0,E135*G135,IF(E135&lt;&gt;0,E135,IF(F135&lt;&gt;0,F135,IF(G135&lt;&gt;0,G135,0)))))))*(IF(H135&lt;&gt;0,H135,1))+I135-J135</f>
        <v>0</v>
      </c>
      <c r="L135" s="218"/>
    </row>
    <row r="136" spans="2:14">
      <c r="B136" s="202"/>
      <c r="C136" s="203"/>
      <c r="D136" s="203"/>
      <c r="E136" s="203"/>
      <c r="F136" s="203"/>
      <c r="G136" s="203"/>
      <c r="H136" s="204"/>
      <c r="I136" s="556" t="s">
        <v>1221</v>
      </c>
      <c r="J136" s="556"/>
      <c r="K136" s="220">
        <f>SUM(K133:K135)</f>
        <v>1946.25</v>
      </c>
      <c r="L136" s="207"/>
    </row>
    <row r="137" spans="2:14">
      <c r="B137" s="208"/>
      <c r="C137" s="204"/>
      <c r="D137" s="204"/>
      <c r="E137" s="204"/>
      <c r="F137" s="204"/>
      <c r="G137" s="204"/>
      <c r="H137" s="209"/>
      <c r="I137" s="557" t="s">
        <v>1222</v>
      </c>
      <c r="J137" s="557"/>
      <c r="K137" s="221">
        <v>1837</v>
      </c>
      <c r="L137" s="207"/>
    </row>
    <row r="138" spans="2:14">
      <c r="B138" s="208"/>
      <c r="C138" s="204"/>
      <c r="D138" s="204"/>
      <c r="E138" s="204"/>
      <c r="F138" s="204"/>
      <c r="G138" s="204"/>
      <c r="H138" s="558" t="s">
        <v>1223</v>
      </c>
      <c r="I138" s="558"/>
      <c r="J138" s="558"/>
      <c r="K138" s="222">
        <v>1653.75</v>
      </c>
      <c r="L138" s="207"/>
    </row>
    <row r="139" spans="2:14">
      <c r="B139" s="208"/>
      <c r="C139" s="204"/>
      <c r="D139" s="204"/>
      <c r="E139" s="204"/>
      <c r="F139" s="204"/>
      <c r="G139" s="204"/>
      <c r="H139" s="558" t="s">
        <v>1199</v>
      </c>
      <c r="I139" s="558"/>
      <c r="J139" s="558"/>
      <c r="K139" s="222">
        <f>IF(K136&gt;K137,K137,K136)-K138</f>
        <v>183.25</v>
      </c>
      <c r="L139" s="207"/>
      <c r="N139" s="224"/>
    </row>
    <row r="140" spans="2:14">
      <c r="B140" s="213"/>
      <c r="C140" s="214"/>
      <c r="D140" s="214"/>
      <c r="E140" s="214"/>
      <c r="F140" s="214"/>
      <c r="G140" s="214"/>
      <c r="H140" s="559" t="s">
        <v>1224</v>
      </c>
      <c r="I140" s="559"/>
      <c r="J140" s="559"/>
      <c r="K140" s="223">
        <f>IF(K136&gt;K137,K136-K137,0)</f>
        <v>109.25</v>
      </c>
      <c r="L140" s="209"/>
    </row>
    <row r="142" spans="2:14" ht="14.25" customHeight="1">
      <c r="B142" s="555" t="s">
        <v>1242</v>
      </c>
      <c r="C142" s="555"/>
      <c r="D142" s="555"/>
      <c r="E142" s="555"/>
      <c r="F142" s="555"/>
      <c r="G142" s="555"/>
      <c r="H142" s="555"/>
      <c r="I142" s="555"/>
      <c r="J142" s="555"/>
      <c r="K142" s="555"/>
      <c r="L142" s="555"/>
    </row>
    <row r="143" spans="2:14">
      <c r="B143" s="187" t="s">
        <v>1209</v>
      </c>
      <c r="C143" s="187"/>
      <c r="D143" s="187" t="s">
        <v>39</v>
      </c>
      <c r="E143" s="187" t="s">
        <v>1210</v>
      </c>
      <c r="F143" s="187" t="s">
        <v>1211</v>
      </c>
      <c r="G143" s="187" t="s">
        <v>1212</v>
      </c>
      <c r="H143" s="187" t="s">
        <v>1213</v>
      </c>
      <c r="I143" s="187" t="s">
        <v>1214</v>
      </c>
      <c r="J143" s="187" t="s">
        <v>1215</v>
      </c>
      <c r="K143" s="187" t="s">
        <v>1216</v>
      </c>
      <c r="L143" s="187" t="s">
        <v>1217</v>
      </c>
    </row>
    <row r="144" spans="2:14">
      <c r="B144" s="188" t="s">
        <v>117</v>
      </c>
      <c r="C144" s="189" t="s">
        <v>1240</v>
      </c>
      <c r="D144" s="190" t="s">
        <v>110</v>
      </c>
      <c r="E144" s="191">
        <f>K139</f>
        <v>183.25</v>
      </c>
      <c r="F144" s="192">
        <v>0.16</v>
      </c>
      <c r="G144" s="192"/>
      <c r="H144" s="191"/>
      <c r="I144" s="191"/>
      <c r="J144" s="216"/>
      <c r="K144" s="217">
        <f>IF(E144*F144*G144&lt;&gt;0,E144*F144*G144,IF(E144*F144&lt;&gt;0,E144*F144,IF(F144*G144&lt;&gt;0,F144*G144,IF(E144*G144&lt;&gt;0,E144*G144,IF(E144&lt;&gt;0,E144,IF(F144&lt;&gt;0,F144,IF(G144&lt;&gt;0,G144,0)))))))*(IF(H144&lt;&gt;0,H144,1))+I144-J144</f>
        <v>29.32</v>
      </c>
      <c r="L144" s="218"/>
    </row>
    <row r="145" spans="2:12">
      <c r="B145" s="197"/>
      <c r="C145" s="189"/>
      <c r="D145" s="198"/>
      <c r="E145" s="199"/>
      <c r="F145" s="199"/>
      <c r="G145" s="199"/>
      <c r="H145" s="199"/>
      <c r="I145" s="199"/>
      <c r="J145" s="219"/>
      <c r="K145" s="217">
        <f>IF(E145*F145*G145&lt;&gt;0,E145*F145*G145,IF(E145*F145&lt;&gt;0,E145*F145,IF(F145*G145&lt;&gt;0,F145*G145,IF(E145*G145&lt;&gt;0,E145*G145,IF(E145&lt;&gt;0,E145,IF(F145&lt;&gt;0,F145,IF(G145&lt;&gt;0,G145,0)))))))*(IF(H145&lt;&gt;0,H145,1))+I145-J145</f>
        <v>0</v>
      </c>
      <c r="L145" s="218"/>
    </row>
    <row r="146" spans="2:12">
      <c r="B146" s="202"/>
      <c r="C146" s="203"/>
      <c r="D146" s="203"/>
      <c r="E146" s="203"/>
      <c r="F146" s="203"/>
      <c r="G146" s="203"/>
      <c r="H146" s="204"/>
      <c r="I146" s="556" t="s">
        <v>1221</v>
      </c>
      <c r="J146" s="556"/>
      <c r="K146" s="220">
        <f>SUM(K144:K145)</f>
        <v>29.32</v>
      </c>
      <c r="L146" s="207"/>
    </row>
    <row r="147" spans="2:12">
      <c r="B147" s="208"/>
      <c r="C147" s="204"/>
      <c r="D147" s="204"/>
      <c r="E147" s="204"/>
      <c r="F147" s="204"/>
      <c r="G147" s="204"/>
      <c r="H147" s="209"/>
      <c r="I147" s="557" t="s">
        <v>1222</v>
      </c>
      <c r="J147" s="557"/>
      <c r="K147" s="221">
        <v>293.92</v>
      </c>
      <c r="L147" s="207"/>
    </row>
    <row r="148" spans="2:12">
      <c r="B148" s="208"/>
      <c r="C148" s="204"/>
      <c r="D148" s="204"/>
      <c r="E148" s="204"/>
      <c r="F148" s="204"/>
      <c r="G148" s="204"/>
      <c r="H148" s="558" t="s">
        <v>1223</v>
      </c>
      <c r="I148" s="558"/>
      <c r="J148" s="558"/>
      <c r="K148" s="222"/>
      <c r="L148" s="207"/>
    </row>
    <row r="149" spans="2:12">
      <c r="B149" s="208"/>
      <c r="C149" s="204"/>
      <c r="D149" s="204"/>
      <c r="E149" s="204"/>
      <c r="F149" s="204"/>
      <c r="G149" s="204"/>
      <c r="H149" s="558" t="s">
        <v>1199</v>
      </c>
      <c r="I149" s="558"/>
      <c r="J149" s="558"/>
      <c r="K149" s="222">
        <f>IF(K146&gt;K147,K147,K146)-K148</f>
        <v>29.32</v>
      </c>
      <c r="L149" s="207"/>
    </row>
    <row r="150" spans="2:12">
      <c r="B150" s="213"/>
      <c r="C150" s="214"/>
      <c r="D150" s="214"/>
      <c r="E150" s="214"/>
      <c r="F150" s="214"/>
      <c r="G150" s="214"/>
      <c r="H150" s="559" t="s">
        <v>1224</v>
      </c>
      <c r="I150" s="559"/>
      <c r="J150" s="559"/>
      <c r="K150" s="223">
        <f>IF(K146&gt;K147,K146-K147,0)</f>
        <v>0</v>
      </c>
      <c r="L150" s="209"/>
    </row>
    <row r="152" spans="2:12" ht="14.25" customHeight="1">
      <c r="B152" s="555" t="s">
        <v>1243</v>
      </c>
      <c r="C152" s="555"/>
      <c r="D152" s="555"/>
      <c r="E152" s="555"/>
      <c r="F152" s="555"/>
      <c r="G152" s="555"/>
      <c r="H152" s="555"/>
      <c r="I152" s="555"/>
      <c r="J152" s="555"/>
      <c r="K152" s="555"/>
      <c r="L152" s="555"/>
    </row>
    <row r="153" spans="2:12">
      <c r="B153" s="187" t="s">
        <v>1209</v>
      </c>
      <c r="C153" s="187"/>
      <c r="D153" s="187" t="s">
        <v>39</v>
      </c>
      <c r="E153" s="187" t="s">
        <v>1210</v>
      </c>
      <c r="F153" s="187" t="s">
        <v>1211</v>
      </c>
      <c r="G153" s="187" t="s">
        <v>1212</v>
      </c>
      <c r="H153" s="187" t="s">
        <v>1213</v>
      </c>
      <c r="I153" s="187" t="s">
        <v>1214</v>
      </c>
      <c r="J153" s="187" t="s">
        <v>1215</v>
      </c>
      <c r="K153" s="187" t="s">
        <v>1216</v>
      </c>
      <c r="L153" s="187" t="s">
        <v>1217</v>
      </c>
    </row>
    <row r="154" spans="2:12">
      <c r="B154" s="188" t="s">
        <v>117</v>
      </c>
      <c r="C154" s="189" t="s">
        <v>1240</v>
      </c>
      <c r="D154" s="190" t="s">
        <v>113</v>
      </c>
      <c r="E154" s="191">
        <f>K139</f>
        <v>183.25</v>
      </c>
      <c r="F154" s="192">
        <v>0.16</v>
      </c>
      <c r="G154" s="192"/>
      <c r="H154" s="191">
        <v>30</v>
      </c>
      <c r="I154" s="191"/>
      <c r="J154" s="216"/>
      <c r="K154" s="217">
        <f>IF(E154*F154*G154&lt;&gt;0,E154*F154*G154,IF(E154*F154&lt;&gt;0,E154*F154,IF(F154*G154&lt;&gt;0,F154*G154,IF(E154*G154&lt;&gt;0,E154*G154,IF(E154&lt;&gt;0,E154,IF(F154&lt;&gt;0,F154,IF(G154&lt;&gt;0,G154,0)))))))*(IF(H154&lt;&gt;0,H154,1))+I154-J154</f>
        <v>879.6</v>
      </c>
      <c r="L154" s="218"/>
    </row>
    <row r="155" spans="2:12">
      <c r="B155" s="197"/>
      <c r="C155" s="189"/>
      <c r="D155" s="198"/>
      <c r="E155" s="199"/>
      <c r="F155" s="199"/>
      <c r="G155" s="199"/>
      <c r="H155" s="199"/>
      <c r="I155" s="199"/>
      <c r="J155" s="219"/>
      <c r="K155" s="217">
        <f>IF(E155*F155*G155&lt;&gt;0,E155*F155*G155,IF(E155*F155&lt;&gt;0,E155*F155,IF(F155*G155&lt;&gt;0,F155*G155,IF(E155*G155&lt;&gt;0,E155*G155,IF(E155&lt;&gt;0,E155,IF(F155&lt;&gt;0,F155,IF(G155&lt;&gt;0,G155,0)))))))*(IF(H155&lt;&gt;0,H155,1))+I155-J155</f>
        <v>0</v>
      </c>
      <c r="L155" s="218"/>
    </row>
    <row r="156" spans="2:12">
      <c r="B156" s="202"/>
      <c r="C156" s="203"/>
      <c r="D156" s="203"/>
      <c r="E156" s="203"/>
      <c r="F156" s="203"/>
      <c r="G156" s="203"/>
      <c r="H156" s="204"/>
      <c r="I156" s="556" t="s">
        <v>1221</v>
      </c>
      <c r="J156" s="556"/>
      <c r="K156" s="220">
        <f>SUM(K154:K155)</f>
        <v>879.6</v>
      </c>
      <c r="L156" s="207"/>
    </row>
    <row r="157" spans="2:12">
      <c r="B157" s="208"/>
      <c r="C157" s="204"/>
      <c r="D157" s="204"/>
      <c r="E157" s="204"/>
      <c r="F157" s="204"/>
      <c r="G157" s="204"/>
      <c r="H157" s="209"/>
      <c r="I157" s="557" t="s">
        <v>1222</v>
      </c>
      <c r="J157" s="557"/>
      <c r="K157" s="221">
        <v>8817.6</v>
      </c>
      <c r="L157" s="207"/>
    </row>
    <row r="158" spans="2:12">
      <c r="B158" s="208"/>
      <c r="C158" s="204"/>
      <c r="D158" s="204"/>
      <c r="E158" s="204"/>
      <c r="F158" s="204"/>
      <c r="G158" s="204"/>
      <c r="H158" s="558" t="s">
        <v>1223</v>
      </c>
      <c r="I158" s="558"/>
      <c r="J158" s="558"/>
      <c r="K158" s="222"/>
      <c r="L158" s="207"/>
    </row>
    <row r="159" spans="2:12">
      <c r="B159" s="208"/>
      <c r="C159" s="204"/>
      <c r="D159" s="204"/>
      <c r="E159" s="204"/>
      <c r="F159" s="204"/>
      <c r="G159" s="204"/>
      <c r="H159" s="558" t="s">
        <v>1199</v>
      </c>
      <c r="I159" s="558"/>
      <c r="J159" s="558"/>
      <c r="K159" s="222">
        <f>IF(K156&gt;K157,K157,K156)-K158</f>
        <v>879.6</v>
      </c>
      <c r="L159" s="207"/>
    </row>
    <row r="160" spans="2:12">
      <c r="B160" s="213"/>
      <c r="C160" s="214"/>
      <c r="D160" s="214"/>
      <c r="E160" s="214"/>
      <c r="F160" s="214"/>
      <c r="G160" s="214"/>
      <c r="H160" s="559" t="s">
        <v>1224</v>
      </c>
      <c r="I160" s="559"/>
      <c r="J160" s="559"/>
      <c r="K160" s="223">
        <f>IF(K156&gt;K157,K156-K157,0)</f>
        <v>0</v>
      </c>
      <c r="L160" s="209"/>
    </row>
    <row r="162" spans="2:12" ht="14.25" customHeight="1">
      <c r="B162" s="555" t="s">
        <v>1244</v>
      </c>
      <c r="C162" s="555"/>
      <c r="D162" s="555"/>
      <c r="E162" s="555"/>
      <c r="F162" s="555"/>
      <c r="G162" s="555"/>
      <c r="H162" s="555"/>
      <c r="I162" s="555"/>
      <c r="J162" s="555"/>
      <c r="K162" s="555"/>
      <c r="L162" s="555"/>
    </row>
    <row r="163" spans="2:12">
      <c r="B163" s="187" t="s">
        <v>1209</v>
      </c>
      <c r="C163" s="187"/>
      <c r="D163" s="187" t="s">
        <v>39</v>
      </c>
      <c r="E163" s="187" t="s">
        <v>1210</v>
      </c>
      <c r="F163" s="187" t="s">
        <v>1211</v>
      </c>
      <c r="G163" s="187" t="s">
        <v>1212</v>
      </c>
      <c r="H163" s="187" t="s">
        <v>1213</v>
      </c>
      <c r="I163" s="187" t="s">
        <v>1214</v>
      </c>
      <c r="J163" s="187" t="s">
        <v>1215</v>
      </c>
      <c r="K163" s="187" t="s">
        <v>1216</v>
      </c>
      <c r="L163" s="187" t="s">
        <v>1217</v>
      </c>
    </row>
    <row r="164" spans="2:12">
      <c r="B164" s="188" t="s">
        <v>117</v>
      </c>
      <c r="C164" s="189" t="s">
        <v>1240</v>
      </c>
      <c r="D164" s="190" t="s">
        <v>39</v>
      </c>
      <c r="E164" s="191"/>
      <c r="F164" s="192"/>
      <c r="G164" s="192"/>
      <c r="H164" s="191"/>
      <c r="I164" s="191">
        <v>40</v>
      </c>
      <c r="J164" s="216"/>
      <c r="K164" s="217">
        <f>IF(E164*F164*G164&lt;&gt;0,E164*F164*G164,IF(E164*F164&lt;&gt;0,E164*F164,IF(F164*G164&lt;&gt;0,F164*G164,IF(E164*G164&lt;&gt;0,E164*G164,IF(E164&lt;&gt;0,E164,IF(F164&lt;&gt;0,F164,IF(G164&lt;&gt;0,G164,0)))))))*(IF(H164&lt;&gt;0,H164,1))+I164-J164</f>
        <v>40</v>
      </c>
      <c r="L164" s="218"/>
    </row>
    <row r="165" spans="2:12">
      <c r="B165" s="188" t="s">
        <v>117</v>
      </c>
      <c r="C165" s="189" t="s">
        <v>1271</v>
      </c>
      <c r="D165" s="190" t="s">
        <v>39</v>
      </c>
      <c r="E165" s="191"/>
      <c r="F165" s="192"/>
      <c r="G165" s="192"/>
      <c r="H165" s="191"/>
      <c r="I165" s="191">
        <f>133</f>
        <v>133</v>
      </c>
      <c r="J165" s="216"/>
      <c r="K165" s="217">
        <f>IF(E165*F165*G165&lt;&gt;0,E165*F165*G165,IF(E165*F165&lt;&gt;0,E165*F165,IF(F165*G165&lt;&gt;0,F165*G165,IF(E165*G165&lt;&gt;0,E165*G165,IF(E165&lt;&gt;0,E165,IF(F165&lt;&gt;0,F165,IF(G165&lt;&gt;0,G165,0)))))))*(IF(H165&lt;&gt;0,H165,1))+I165-J165</f>
        <v>133</v>
      </c>
      <c r="L165" s="218"/>
    </row>
    <row r="166" spans="2:12">
      <c r="B166" s="197"/>
      <c r="C166" s="189"/>
      <c r="D166" s="198"/>
      <c r="E166" s="199"/>
      <c r="F166" s="199"/>
      <c r="G166" s="199"/>
      <c r="H166" s="199"/>
      <c r="I166" s="199"/>
      <c r="J166" s="219"/>
      <c r="K166" s="217">
        <f>IF(E166*F166*G166&lt;&gt;0,E166*F166*G166,IF(E166*F166&lt;&gt;0,E166*F166,IF(F166*G166&lt;&gt;0,F166*G166,IF(E166*G166&lt;&gt;0,E166*G166,IF(E166&lt;&gt;0,E166,IF(F166&lt;&gt;0,F166,IF(G166&lt;&gt;0,G166,0)))))))*(IF(H166&lt;&gt;0,H166,1))+I166-J166</f>
        <v>0</v>
      </c>
      <c r="L166" s="218"/>
    </row>
    <row r="167" spans="2:12">
      <c r="B167" s="202"/>
      <c r="C167" s="203"/>
      <c r="D167" s="203"/>
      <c r="E167" s="203"/>
      <c r="F167" s="203"/>
      <c r="G167" s="203"/>
      <c r="H167" s="204"/>
      <c r="I167" s="556" t="s">
        <v>1221</v>
      </c>
      <c r="J167" s="556"/>
      <c r="K167" s="220">
        <f>SUM(K164:K166)</f>
        <v>173</v>
      </c>
      <c r="L167" s="207"/>
    </row>
    <row r="168" spans="2:12">
      <c r="B168" s="208"/>
      <c r="C168" s="204"/>
      <c r="D168" s="204"/>
      <c r="E168" s="204"/>
      <c r="F168" s="204"/>
      <c r="G168" s="204"/>
      <c r="H168" s="209"/>
      <c r="I168" s="557" t="s">
        <v>1222</v>
      </c>
      <c r="J168" s="557"/>
      <c r="K168" s="221">
        <v>167</v>
      </c>
      <c r="L168" s="207"/>
    </row>
    <row r="169" spans="2:12">
      <c r="B169" s="208"/>
      <c r="C169" s="204"/>
      <c r="D169" s="204"/>
      <c r="E169" s="204"/>
      <c r="F169" s="204"/>
      <c r="G169" s="204"/>
      <c r="H169" s="558" t="s">
        <v>1223</v>
      </c>
      <c r="I169" s="558"/>
      <c r="J169" s="558"/>
      <c r="K169" s="222">
        <v>40</v>
      </c>
      <c r="L169" s="207"/>
    </row>
    <row r="170" spans="2:12">
      <c r="B170" s="208"/>
      <c r="C170" s="204"/>
      <c r="D170" s="204"/>
      <c r="E170" s="204"/>
      <c r="F170" s="204"/>
      <c r="G170" s="204"/>
      <c r="H170" s="558" t="s">
        <v>1199</v>
      </c>
      <c r="I170" s="558"/>
      <c r="J170" s="558"/>
      <c r="K170" s="222">
        <f>IF(K167&gt;K168,K168,K167)-K169</f>
        <v>127</v>
      </c>
      <c r="L170" s="207"/>
    </row>
    <row r="171" spans="2:12">
      <c r="B171" s="213"/>
      <c r="C171" s="214"/>
      <c r="D171" s="214"/>
      <c r="E171" s="214"/>
      <c r="F171" s="214"/>
      <c r="G171" s="214"/>
      <c r="H171" s="559" t="s">
        <v>1224</v>
      </c>
      <c r="I171" s="559"/>
      <c r="J171" s="559"/>
      <c r="K171" s="223">
        <f>IF(K167&gt;K168,K167-K168,0)</f>
        <v>6</v>
      </c>
      <c r="L171" s="209"/>
    </row>
    <row r="173" spans="2:12" ht="14.25" customHeight="1">
      <c r="B173" s="555" t="s">
        <v>1245</v>
      </c>
      <c r="C173" s="555"/>
      <c r="D173" s="555"/>
      <c r="E173" s="555"/>
      <c r="F173" s="555"/>
      <c r="G173" s="555"/>
      <c r="H173" s="555"/>
      <c r="I173" s="555"/>
      <c r="J173" s="555"/>
      <c r="K173" s="555"/>
      <c r="L173" s="555"/>
    </row>
    <row r="174" spans="2:12">
      <c r="B174" s="187" t="s">
        <v>1209</v>
      </c>
      <c r="C174" s="187"/>
      <c r="D174" s="187" t="s">
        <v>39</v>
      </c>
      <c r="E174" s="187" t="s">
        <v>1210</v>
      </c>
      <c r="F174" s="187" t="s">
        <v>1211</v>
      </c>
      <c r="G174" s="187" t="s">
        <v>1212</v>
      </c>
      <c r="H174" s="187" t="s">
        <v>1213</v>
      </c>
      <c r="I174" s="187" t="s">
        <v>1214</v>
      </c>
      <c r="J174" s="187" t="s">
        <v>1215</v>
      </c>
      <c r="K174" s="187" t="s">
        <v>1216</v>
      </c>
      <c r="L174" s="187" t="s">
        <v>1217</v>
      </c>
    </row>
    <row r="175" spans="2:12">
      <c r="B175" s="188" t="s">
        <v>1246</v>
      </c>
      <c r="C175" s="189" t="s">
        <v>1240</v>
      </c>
      <c r="D175" s="190" t="s">
        <v>39</v>
      </c>
      <c r="E175" s="191"/>
      <c r="F175" s="192"/>
      <c r="G175" s="192"/>
      <c r="H175" s="191"/>
      <c r="I175" s="191">
        <v>1</v>
      </c>
      <c r="J175" s="216"/>
      <c r="K175" s="217">
        <f>IF(E175*F175*G175&lt;&gt;0,E175*F175*G175,IF(E175*F175&lt;&gt;0,E175*F175,IF(F175*G175&lt;&gt;0,F175*G175,IF(E175*G175&lt;&gt;0,E175*G175,IF(E175&lt;&gt;0,E175,IF(F175&lt;&gt;0,F175,IF(G175&lt;&gt;0,G175,0)))))))*(IF(H175&lt;&gt;0,H175,1))+I175-J175</f>
        <v>1</v>
      </c>
      <c r="L175" s="218"/>
    </row>
    <row r="176" spans="2:12">
      <c r="B176" s="188" t="s">
        <v>1246</v>
      </c>
      <c r="C176" s="189" t="s">
        <v>1271</v>
      </c>
      <c r="D176" s="190" t="s">
        <v>39</v>
      </c>
      <c r="E176" s="191"/>
      <c r="F176" s="192"/>
      <c r="G176" s="192"/>
      <c r="H176" s="191"/>
      <c r="I176" s="191">
        <v>1</v>
      </c>
      <c r="J176" s="216"/>
      <c r="K176" s="217">
        <f>IF(E176*F176*G176&lt;&gt;0,E176*F176*G176,IF(E176*F176&lt;&gt;0,E176*F176,IF(F176*G176&lt;&gt;0,F176*G176,IF(E176*G176&lt;&gt;0,E176*G176,IF(E176&lt;&gt;0,E176,IF(F176&lt;&gt;0,F176,IF(G176&lt;&gt;0,G176,0)))))))*(IF(H176&lt;&gt;0,H176,1))+I176-J176</f>
        <v>1</v>
      </c>
      <c r="L176" s="218"/>
    </row>
    <row r="177" spans="2:14">
      <c r="B177" s="197"/>
      <c r="C177" s="189"/>
      <c r="D177" s="198"/>
      <c r="E177" s="199"/>
      <c r="F177" s="199"/>
      <c r="G177" s="199"/>
      <c r="H177" s="199"/>
      <c r="I177" s="199"/>
      <c r="J177" s="219"/>
      <c r="K177" s="217">
        <f>IF(E177*F177*G177&lt;&gt;0,E177*F177*G177,IF(E177*F177&lt;&gt;0,E177*F177,IF(F177*G177&lt;&gt;0,F177*G177,IF(E177*G177&lt;&gt;0,E177*G177,IF(E177&lt;&gt;0,E177,IF(F177&lt;&gt;0,F177,IF(G177&lt;&gt;0,G177,0)))))))*(IF(H177&lt;&gt;0,H177,1))+I177-J177</f>
        <v>0</v>
      </c>
      <c r="L177" s="218"/>
    </row>
    <row r="178" spans="2:14">
      <c r="B178" s="202"/>
      <c r="C178" s="203"/>
      <c r="D178" s="203"/>
      <c r="E178" s="203"/>
      <c r="F178" s="203"/>
      <c r="G178" s="203"/>
      <c r="H178" s="204"/>
      <c r="I178" s="556" t="s">
        <v>1221</v>
      </c>
      <c r="J178" s="556"/>
      <c r="K178" s="220">
        <f>SUM(K175:K177)</f>
        <v>2</v>
      </c>
      <c r="L178" s="207"/>
    </row>
    <row r="179" spans="2:14">
      <c r="B179" s="208"/>
      <c r="C179" s="204"/>
      <c r="D179" s="204"/>
      <c r="E179" s="204"/>
      <c r="F179" s="204"/>
      <c r="G179" s="204"/>
      <c r="H179" s="209"/>
      <c r="I179" s="557" t="s">
        <v>1222</v>
      </c>
      <c r="J179" s="557"/>
      <c r="K179" s="221">
        <v>2</v>
      </c>
      <c r="L179" s="207"/>
    </row>
    <row r="180" spans="2:14">
      <c r="B180" s="208"/>
      <c r="C180" s="204"/>
      <c r="D180" s="204"/>
      <c r="E180" s="204"/>
      <c r="F180" s="204"/>
      <c r="G180" s="204"/>
      <c r="H180" s="558" t="s">
        <v>1223</v>
      </c>
      <c r="I180" s="558"/>
      <c r="J180" s="558"/>
      <c r="K180" s="222">
        <v>1</v>
      </c>
      <c r="L180" s="207"/>
    </row>
    <row r="181" spans="2:14">
      <c r="B181" s="208"/>
      <c r="C181" s="204"/>
      <c r="D181" s="204"/>
      <c r="E181" s="204"/>
      <c r="F181" s="204"/>
      <c r="G181" s="204"/>
      <c r="H181" s="558" t="s">
        <v>1199</v>
      </c>
      <c r="I181" s="558"/>
      <c r="J181" s="558"/>
      <c r="K181" s="222">
        <f>IF(K178&gt;K179,K179,K178)-K180</f>
        <v>1</v>
      </c>
      <c r="L181" s="207"/>
    </row>
    <row r="182" spans="2:14">
      <c r="B182" s="213"/>
      <c r="C182" s="214"/>
      <c r="D182" s="214"/>
      <c r="E182" s="214"/>
      <c r="F182" s="214"/>
      <c r="G182" s="214"/>
      <c r="H182" s="559" t="s">
        <v>1224</v>
      </c>
      <c r="I182" s="559"/>
      <c r="J182" s="559"/>
      <c r="K182" s="223">
        <f>IF(K178&gt;K179,K178-K179,0)</f>
        <v>0</v>
      </c>
      <c r="L182" s="209"/>
    </row>
    <row r="184" spans="2:14" ht="14.25" customHeight="1">
      <c r="B184" s="555" t="s">
        <v>1334</v>
      </c>
      <c r="C184" s="555"/>
      <c r="D184" s="555"/>
      <c r="E184" s="555"/>
      <c r="F184" s="555"/>
      <c r="G184" s="555"/>
      <c r="H184" s="555"/>
      <c r="I184" s="555"/>
      <c r="J184" s="555"/>
      <c r="K184" s="555"/>
      <c r="L184" s="555"/>
    </row>
    <row r="185" spans="2:14">
      <c r="B185" s="187" t="s">
        <v>1209</v>
      </c>
      <c r="C185" s="187"/>
      <c r="D185" s="187" t="s">
        <v>39</v>
      </c>
      <c r="E185" s="187" t="s">
        <v>1210</v>
      </c>
      <c r="F185" s="187" t="s">
        <v>1211</v>
      </c>
      <c r="G185" s="187" t="s">
        <v>1212</v>
      </c>
      <c r="H185" s="187" t="s">
        <v>1213</v>
      </c>
      <c r="I185" s="187" t="s">
        <v>1214</v>
      </c>
      <c r="J185" s="187" t="s">
        <v>1215</v>
      </c>
      <c r="K185" s="187" t="s">
        <v>1216</v>
      </c>
      <c r="L185" s="187" t="s">
        <v>1217</v>
      </c>
    </row>
    <row r="186" spans="2:14">
      <c r="B186" s="197" t="s">
        <v>1285</v>
      </c>
      <c r="C186" s="189" t="s">
        <v>1271</v>
      </c>
      <c r="D186" s="198" t="s">
        <v>1335</v>
      </c>
      <c r="E186" s="199">
        <v>2.2999999999999998</v>
      </c>
      <c r="F186" s="199">
        <v>1.3</v>
      </c>
      <c r="G186" s="199"/>
      <c r="H186" s="199"/>
      <c r="I186" s="199"/>
      <c r="J186" s="219"/>
      <c r="K186" s="217">
        <f t="shared" ref="K186:K217" si="1">IF(E186*F186*G186&lt;&gt;0,E186*F186*G186,IF(E186*F186&lt;&gt;0,E186*F186,IF(F186*G186&lt;&gt;0,F186*G186,IF(E186*G186&lt;&gt;0,E186*G186,IF(E186&lt;&gt;0,E186,IF(F186&lt;&gt;0,F186,IF(G186&lt;&gt;0,G186,0)))))))*(IF(H186&lt;&gt;0,H186,1))+I186-J186</f>
        <v>2.9899999999999998</v>
      </c>
      <c r="L186" s="218"/>
      <c r="N186" s="224"/>
    </row>
    <row r="187" spans="2:14">
      <c r="B187" s="197" t="s">
        <v>1286</v>
      </c>
      <c r="C187" s="189" t="s">
        <v>1271</v>
      </c>
      <c r="D187" s="198" t="s">
        <v>1335</v>
      </c>
      <c r="E187" s="199">
        <v>2.6</v>
      </c>
      <c r="F187" s="199">
        <v>2.6</v>
      </c>
      <c r="G187" s="199"/>
      <c r="H187" s="199"/>
      <c r="I187" s="199"/>
      <c r="J187" s="219"/>
      <c r="K187" s="217">
        <f t="shared" si="1"/>
        <v>6.7600000000000007</v>
      </c>
      <c r="L187" s="218"/>
    </row>
    <row r="188" spans="2:14">
      <c r="B188" s="197" t="s">
        <v>1287</v>
      </c>
      <c r="C188" s="189" t="s">
        <v>1271</v>
      </c>
      <c r="D188" s="198" t="s">
        <v>1335</v>
      </c>
      <c r="E188" s="199">
        <v>2.6</v>
      </c>
      <c r="F188" s="199">
        <v>2.6</v>
      </c>
      <c r="G188" s="199"/>
      <c r="H188" s="199"/>
      <c r="I188" s="199"/>
      <c r="J188" s="219"/>
      <c r="K188" s="217">
        <f t="shared" si="1"/>
        <v>6.7600000000000007</v>
      </c>
      <c r="L188" s="218"/>
    </row>
    <row r="189" spans="2:14">
      <c r="B189" s="197" t="s">
        <v>1288</v>
      </c>
      <c r="C189" s="189" t="s">
        <v>1271</v>
      </c>
      <c r="D189" s="198" t="s">
        <v>1335</v>
      </c>
      <c r="E189" s="199">
        <v>2.2999999999999998</v>
      </c>
      <c r="F189" s="199">
        <v>1.3</v>
      </c>
      <c r="G189" s="199"/>
      <c r="H189" s="199"/>
      <c r="I189" s="199"/>
      <c r="J189" s="219"/>
      <c r="K189" s="217">
        <f t="shared" si="1"/>
        <v>2.9899999999999998</v>
      </c>
      <c r="L189" s="218"/>
    </row>
    <row r="190" spans="2:14">
      <c r="B190" s="197" t="s">
        <v>1289</v>
      </c>
      <c r="C190" s="189" t="s">
        <v>1271</v>
      </c>
      <c r="D190" s="198" t="s">
        <v>1335</v>
      </c>
      <c r="E190" s="199">
        <v>1.4</v>
      </c>
      <c r="F190" s="199">
        <v>1.4</v>
      </c>
      <c r="G190" s="199"/>
      <c r="H190" s="199"/>
      <c r="I190" s="199"/>
      <c r="J190" s="219"/>
      <c r="K190" s="217">
        <f t="shared" si="1"/>
        <v>1.9599999999999997</v>
      </c>
      <c r="L190" s="218"/>
    </row>
    <row r="191" spans="2:14">
      <c r="B191" s="197" t="s">
        <v>1290</v>
      </c>
      <c r="C191" s="189" t="s">
        <v>1271</v>
      </c>
      <c r="D191" s="198" t="s">
        <v>1335</v>
      </c>
      <c r="E191" s="199"/>
      <c r="F191" s="199"/>
      <c r="G191" s="199"/>
      <c r="H191" s="199"/>
      <c r="I191" s="199">
        <v>3.29</v>
      </c>
      <c r="J191" s="219"/>
      <c r="K191" s="217">
        <f t="shared" si="1"/>
        <v>3.29</v>
      </c>
      <c r="L191" s="218"/>
    </row>
    <row r="192" spans="2:14">
      <c r="B192" s="197" t="s">
        <v>1291</v>
      </c>
      <c r="C192" s="189" t="s">
        <v>1271</v>
      </c>
      <c r="D192" s="198" t="s">
        <v>1335</v>
      </c>
      <c r="E192" s="199">
        <v>2.6</v>
      </c>
      <c r="F192" s="199">
        <v>2.6</v>
      </c>
      <c r="G192" s="199"/>
      <c r="H192" s="199"/>
      <c r="I192" s="199"/>
      <c r="J192" s="219"/>
      <c r="K192" s="217">
        <f t="shared" si="1"/>
        <v>6.7600000000000007</v>
      </c>
      <c r="L192" s="218"/>
    </row>
    <row r="193" spans="2:12">
      <c r="B193" s="197" t="s">
        <v>1292</v>
      </c>
      <c r="C193" s="189" t="s">
        <v>1271</v>
      </c>
      <c r="D193" s="198" t="s">
        <v>1335</v>
      </c>
      <c r="E193" s="199">
        <v>2.6</v>
      </c>
      <c r="F193" s="199">
        <v>2.6</v>
      </c>
      <c r="G193" s="199"/>
      <c r="H193" s="199"/>
      <c r="I193" s="199"/>
      <c r="J193" s="219"/>
      <c r="K193" s="217">
        <f t="shared" si="1"/>
        <v>6.7600000000000007</v>
      </c>
      <c r="L193" s="218"/>
    </row>
    <row r="194" spans="2:12">
      <c r="B194" s="197" t="s">
        <v>1293</v>
      </c>
      <c r="C194" s="189" t="s">
        <v>1271</v>
      </c>
      <c r="D194" s="198" t="s">
        <v>1335</v>
      </c>
      <c r="E194" s="199">
        <v>2.6</v>
      </c>
      <c r="F194" s="199">
        <v>2.6</v>
      </c>
      <c r="G194" s="199"/>
      <c r="H194" s="199"/>
      <c r="I194" s="199"/>
      <c r="J194" s="219"/>
      <c r="K194" s="217">
        <f t="shared" si="1"/>
        <v>6.7600000000000007</v>
      </c>
      <c r="L194" s="218"/>
    </row>
    <row r="195" spans="2:12">
      <c r="B195" s="197" t="s">
        <v>1294</v>
      </c>
      <c r="C195" s="189" t="s">
        <v>1271</v>
      </c>
      <c r="D195" s="198" t="s">
        <v>1335</v>
      </c>
      <c r="E195" s="199">
        <v>1.4</v>
      </c>
      <c r="F195" s="199">
        <v>1.4</v>
      </c>
      <c r="G195" s="199"/>
      <c r="H195" s="199"/>
      <c r="I195" s="199"/>
      <c r="J195" s="219"/>
      <c r="K195" s="217">
        <f t="shared" si="1"/>
        <v>1.9599999999999997</v>
      </c>
      <c r="L195" s="218"/>
    </row>
    <row r="196" spans="2:12">
      <c r="B196" s="197" t="s">
        <v>1295</v>
      </c>
      <c r="C196" s="189" t="s">
        <v>1271</v>
      </c>
      <c r="D196" s="198" t="s">
        <v>1335</v>
      </c>
      <c r="E196" s="199"/>
      <c r="F196" s="199"/>
      <c r="G196" s="199"/>
      <c r="H196" s="199"/>
      <c r="I196" s="199">
        <v>3.29</v>
      </c>
      <c r="J196" s="219"/>
      <c r="K196" s="217">
        <f t="shared" si="1"/>
        <v>3.29</v>
      </c>
      <c r="L196" s="218"/>
    </row>
    <row r="197" spans="2:12">
      <c r="B197" s="197" t="s">
        <v>1336</v>
      </c>
      <c r="C197" s="189" t="s">
        <v>1271</v>
      </c>
      <c r="D197" s="198" t="s">
        <v>1335</v>
      </c>
      <c r="E197" s="199">
        <v>2.6</v>
      </c>
      <c r="F197" s="199">
        <v>2.6</v>
      </c>
      <c r="G197" s="199"/>
      <c r="H197" s="199"/>
      <c r="I197" s="199"/>
      <c r="J197" s="219"/>
      <c r="K197" s="217">
        <f t="shared" si="1"/>
        <v>6.7600000000000007</v>
      </c>
      <c r="L197" s="218"/>
    </row>
    <row r="198" spans="2:12">
      <c r="B198" s="197" t="s">
        <v>1337</v>
      </c>
      <c r="C198" s="189" t="s">
        <v>1271</v>
      </c>
      <c r="D198" s="198" t="s">
        <v>1335</v>
      </c>
      <c r="E198" s="199">
        <v>2.6</v>
      </c>
      <c r="F198" s="199">
        <v>2.6</v>
      </c>
      <c r="G198" s="199"/>
      <c r="H198" s="199"/>
      <c r="I198" s="199"/>
      <c r="J198" s="219"/>
      <c r="K198" s="217">
        <f t="shared" si="1"/>
        <v>6.7600000000000007</v>
      </c>
      <c r="L198" s="218"/>
    </row>
    <row r="199" spans="2:12">
      <c r="B199" s="197" t="s">
        <v>1338</v>
      </c>
      <c r="C199" s="189" t="s">
        <v>1271</v>
      </c>
      <c r="D199" s="198" t="s">
        <v>1335</v>
      </c>
      <c r="E199" s="199">
        <v>2.6</v>
      </c>
      <c r="F199" s="199">
        <v>2.6</v>
      </c>
      <c r="G199" s="199"/>
      <c r="H199" s="199"/>
      <c r="I199" s="199"/>
      <c r="J199" s="219"/>
      <c r="K199" s="217">
        <f t="shared" si="1"/>
        <v>6.7600000000000007</v>
      </c>
      <c r="L199" s="218"/>
    </row>
    <row r="200" spans="2:12">
      <c r="B200" s="197" t="s">
        <v>1339</v>
      </c>
      <c r="C200" s="189" t="s">
        <v>1271</v>
      </c>
      <c r="D200" s="198" t="s">
        <v>1335</v>
      </c>
      <c r="E200" s="199">
        <v>1.4</v>
      </c>
      <c r="F200" s="199">
        <v>1.4</v>
      </c>
      <c r="G200" s="199"/>
      <c r="H200" s="199"/>
      <c r="I200" s="199"/>
      <c r="J200" s="219"/>
      <c r="K200" s="217">
        <f t="shared" si="1"/>
        <v>1.9599999999999997</v>
      </c>
      <c r="L200" s="218"/>
    </row>
    <row r="201" spans="2:12">
      <c r="B201" s="197" t="s">
        <v>1340</v>
      </c>
      <c r="C201" s="189" t="s">
        <v>1271</v>
      </c>
      <c r="D201" s="198" t="s">
        <v>1335</v>
      </c>
      <c r="E201" s="199">
        <v>2.2999999999999998</v>
      </c>
      <c r="F201" s="199">
        <v>1.3</v>
      </c>
      <c r="G201" s="199"/>
      <c r="H201" s="199"/>
      <c r="I201" s="199"/>
      <c r="J201" s="219"/>
      <c r="K201" s="217">
        <f t="shared" si="1"/>
        <v>2.9899999999999998</v>
      </c>
      <c r="L201" s="218"/>
    </row>
    <row r="202" spans="2:12">
      <c r="B202" s="197" t="s">
        <v>1296</v>
      </c>
      <c r="C202" s="189" t="s">
        <v>1271</v>
      </c>
      <c r="D202" s="198" t="s">
        <v>1335</v>
      </c>
      <c r="E202" s="199">
        <v>2.2999999999999998</v>
      </c>
      <c r="F202" s="199">
        <v>1.3</v>
      </c>
      <c r="G202" s="199"/>
      <c r="H202" s="199"/>
      <c r="I202" s="199"/>
      <c r="J202" s="219"/>
      <c r="K202" s="217">
        <f t="shared" si="1"/>
        <v>2.9899999999999998</v>
      </c>
      <c r="L202" s="218"/>
    </row>
    <row r="203" spans="2:12">
      <c r="B203" s="197" t="s">
        <v>1341</v>
      </c>
      <c r="C203" s="189" t="s">
        <v>1271</v>
      </c>
      <c r="D203" s="198" t="s">
        <v>1335</v>
      </c>
      <c r="E203" s="199"/>
      <c r="F203" s="199"/>
      <c r="G203" s="199"/>
      <c r="H203" s="199"/>
      <c r="I203" s="199">
        <v>3.29</v>
      </c>
      <c r="J203" s="219"/>
      <c r="K203" s="217">
        <f t="shared" si="1"/>
        <v>3.29</v>
      </c>
      <c r="L203" s="218"/>
    </row>
    <row r="204" spans="2:12">
      <c r="B204" s="197" t="s">
        <v>1342</v>
      </c>
      <c r="C204" s="189" t="s">
        <v>1333</v>
      </c>
      <c r="D204" s="198" t="s">
        <v>1335</v>
      </c>
      <c r="E204" s="199">
        <v>3.54</v>
      </c>
      <c r="F204" s="199">
        <v>3.54</v>
      </c>
      <c r="G204" s="199"/>
      <c r="H204" s="199"/>
      <c r="I204" s="199"/>
      <c r="J204" s="219"/>
      <c r="K204" s="217">
        <f t="shared" si="1"/>
        <v>12.531600000000001</v>
      </c>
      <c r="L204" s="218"/>
    </row>
    <row r="205" spans="2:12">
      <c r="B205" s="197" t="s">
        <v>1343</v>
      </c>
      <c r="C205" s="189" t="s">
        <v>1333</v>
      </c>
      <c r="D205" s="198" t="s">
        <v>1335</v>
      </c>
      <c r="E205" s="199">
        <v>2.6</v>
      </c>
      <c r="F205" s="199">
        <v>2.6</v>
      </c>
      <c r="G205" s="199"/>
      <c r="H205" s="199"/>
      <c r="I205" s="199"/>
      <c r="J205" s="219"/>
      <c r="K205" s="217">
        <f t="shared" si="1"/>
        <v>6.7600000000000007</v>
      </c>
      <c r="L205" s="218"/>
    </row>
    <row r="206" spans="2:12">
      <c r="B206" s="197" t="s">
        <v>1297</v>
      </c>
      <c r="C206" s="189" t="s">
        <v>1333</v>
      </c>
      <c r="D206" s="198" t="s">
        <v>1335</v>
      </c>
      <c r="E206" s="199">
        <v>3.8</v>
      </c>
      <c r="F206" s="199">
        <v>1.4</v>
      </c>
      <c r="G206" s="199"/>
      <c r="H206" s="199"/>
      <c r="I206" s="199"/>
      <c r="J206" s="219"/>
      <c r="K206" s="217">
        <f t="shared" si="1"/>
        <v>5.3199999999999994</v>
      </c>
      <c r="L206" s="218"/>
    </row>
    <row r="207" spans="2:12">
      <c r="B207" s="197" t="s">
        <v>1344</v>
      </c>
      <c r="C207" s="189" t="s">
        <v>1333</v>
      </c>
      <c r="D207" s="198" t="s">
        <v>1335</v>
      </c>
      <c r="E207" s="199">
        <v>2.6</v>
      </c>
      <c r="F207" s="199">
        <v>2.6</v>
      </c>
      <c r="G207" s="199"/>
      <c r="H207" s="199"/>
      <c r="I207" s="199"/>
      <c r="J207" s="219"/>
      <c r="K207" s="217">
        <f t="shared" si="1"/>
        <v>6.7600000000000007</v>
      </c>
      <c r="L207" s="218"/>
    </row>
    <row r="208" spans="2:12">
      <c r="B208" s="197" t="s">
        <v>1345</v>
      </c>
      <c r="C208" s="189" t="s">
        <v>1333</v>
      </c>
      <c r="D208" s="198" t="s">
        <v>1335</v>
      </c>
      <c r="E208" s="199">
        <v>2.6</v>
      </c>
      <c r="F208" s="199">
        <v>2.6</v>
      </c>
      <c r="G208" s="199"/>
      <c r="H208" s="199"/>
      <c r="I208" s="199"/>
      <c r="J208" s="219"/>
      <c r="K208" s="217">
        <f t="shared" si="1"/>
        <v>6.7600000000000007</v>
      </c>
      <c r="L208" s="218"/>
    </row>
    <row r="209" spans="2:12">
      <c r="B209" s="197" t="s">
        <v>1298</v>
      </c>
      <c r="C209" s="189" t="s">
        <v>1333</v>
      </c>
      <c r="D209" s="198" t="s">
        <v>1335</v>
      </c>
      <c r="E209" s="199">
        <v>3.8</v>
      </c>
      <c r="F209" s="199">
        <v>2.6</v>
      </c>
      <c r="G209" s="199"/>
      <c r="H209" s="199"/>
      <c r="I209" s="199"/>
      <c r="J209" s="219"/>
      <c r="K209" s="217">
        <f t="shared" si="1"/>
        <v>9.879999999999999</v>
      </c>
      <c r="L209" s="218"/>
    </row>
    <row r="210" spans="2:12">
      <c r="B210" s="197" t="s">
        <v>1346</v>
      </c>
      <c r="C210" s="189" t="s">
        <v>1333</v>
      </c>
      <c r="D210" s="198" t="s">
        <v>1335</v>
      </c>
      <c r="E210" s="199">
        <v>2.6</v>
      </c>
      <c r="F210" s="199">
        <v>2.6</v>
      </c>
      <c r="G210" s="199"/>
      <c r="H210" s="199"/>
      <c r="I210" s="199"/>
      <c r="J210" s="219"/>
      <c r="K210" s="217">
        <f t="shared" si="1"/>
        <v>6.7600000000000007</v>
      </c>
      <c r="L210" s="218"/>
    </row>
    <row r="211" spans="2:12">
      <c r="B211" s="197" t="s">
        <v>1347</v>
      </c>
      <c r="C211" s="189" t="s">
        <v>1333</v>
      </c>
      <c r="D211" s="198" t="s">
        <v>1335</v>
      </c>
      <c r="E211" s="199"/>
      <c r="F211" s="199"/>
      <c r="G211" s="199"/>
      <c r="H211" s="199"/>
      <c r="I211" s="199">
        <v>3.29</v>
      </c>
      <c r="J211" s="219"/>
      <c r="K211" s="217">
        <f t="shared" si="1"/>
        <v>3.29</v>
      </c>
      <c r="L211" s="218"/>
    </row>
    <row r="212" spans="2:12">
      <c r="B212" s="197" t="s">
        <v>1348</v>
      </c>
      <c r="C212" s="189" t="s">
        <v>1333</v>
      </c>
      <c r="D212" s="198" t="s">
        <v>1335</v>
      </c>
      <c r="E212" s="199">
        <v>3.54</v>
      </c>
      <c r="F212" s="199">
        <v>3.54</v>
      </c>
      <c r="G212" s="199"/>
      <c r="H212" s="199"/>
      <c r="I212" s="199"/>
      <c r="J212" s="219"/>
      <c r="K212" s="217">
        <f t="shared" si="1"/>
        <v>12.531600000000001</v>
      </c>
      <c r="L212" s="218"/>
    </row>
    <row r="213" spans="2:12">
      <c r="B213" s="197" t="s">
        <v>1349</v>
      </c>
      <c r="C213" s="189" t="s">
        <v>1333</v>
      </c>
      <c r="D213" s="198" t="s">
        <v>1335</v>
      </c>
      <c r="E213" s="199">
        <v>3.8</v>
      </c>
      <c r="F213" s="199">
        <v>2.6</v>
      </c>
      <c r="G213" s="199"/>
      <c r="H213" s="199"/>
      <c r="I213" s="199"/>
      <c r="J213" s="219"/>
      <c r="K213" s="217">
        <f t="shared" si="1"/>
        <v>9.879999999999999</v>
      </c>
      <c r="L213" s="218"/>
    </row>
    <row r="214" spans="2:12">
      <c r="B214" s="197" t="s">
        <v>1350</v>
      </c>
      <c r="C214" s="189" t="s">
        <v>1333</v>
      </c>
      <c r="D214" s="198" t="s">
        <v>1335</v>
      </c>
      <c r="E214" s="199">
        <v>3.8</v>
      </c>
      <c r="F214" s="199">
        <v>2.6</v>
      </c>
      <c r="G214" s="199"/>
      <c r="H214" s="199"/>
      <c r="I214" s="199"/>
      <c r="J214" s="219"/>
      <c r="K214" s="217">
        <f t="shared" si="1"/>
        <v>9.879999999999999</v>
      </c>
      <c r="L214" s="218"/>
    </row>
    <row r="215" spans="2:12">
      <c r="B215" s="197" t="s">
        <v>1351</v>
      </c>
      <c r="C215" s="189" t="s">
        <v>1333</v>
      </c>
      <c r="D215" s="198" t="s">
        <v>1335</v>
      </c>
      <c r="E215" s="199">
        <v>2.6</v>
      </c>
      <c r="F215" s="199">
        <v>2.6</v>
      </c>
      <c r="G215" s="199"/>
      <c r="H215" s="199"/>
      <c r="I215" s="199"/>
      <c r="J215" s="219"/>
      <c r="K215" s="217">
        <f t="shared" si="1"/>
        <v>6.7600000000000007</v>
      </c>
      <c r="L215" s="218"/>
    </row>
    <row r="216" spans="2:12">
      <c r="B216" s="197" t="s">
        <v>1352</v>
      </c>
      <c r="C216" s="189" t="s">
        <v>1333</v>
      </c>
      <c r="D216" s="198" t="s">
        <v>1335</v>
      </c>
      <c r="E216" s="199">
        <v>1.4</v>
      </c>
      <c r="F216" s="199">
        <v>1.4</v>
      </c>
      <c r="G216" s="199"/>
      <c r="H216" s="199"/>
      <c r="I216" s="199"/>
      <c r="J216" s="219"/>
      <c r="K216" s="217">
        <f t="shared" si="1"/>
        <v>1.9599999999999997</v>
      </c>
      <c r="L216" s="218"/>
    </row>
    <row r="217" spans="2:12">
      <c r="B217" s="197" t="s">
        <v>1353</v>
      </c>
      <c r="C217" s="189" t="s">
        <v>1333</v>
      </c>
      <c r="D217" s="198" t="s">
        <v>1335</v>
      </c>
      <c r="E217" s="199">
        <v>1.4</v>
      </c>
      <c r="F217" s="199">
        <v>1.4</v>
      </c>
      <c r="G217" s="199"/>
      <c r="H217" s="199"/>
      <c r="I217" s="199"/>
      <c r="J217" s="219"/>
      <c r="K217" s="217">
        <f t="shared" si="1"/>
        <v>1.9599999999999997</v>
      </c>
      <c r="L217" s="218"/>
    </row>
    <row r="218" spans="2:12">
      <c r="B218" s="197" t="s">
        <v>1354</v>
      </c>
      <c r="C218" s="189" t="s">
        <v>1333</v>
      </c>
      <c r="D218" s="198" t="s">
        <v>1335</v>
      </c>
      <c r="E218" s="199">
        <v>1.4</v>
      </c>
      <c r="F218" s="199">
        <v>1.4</v>
      </c>
      <c r="G218" s="199"/>
      <c r="H218" s="199"/>
      <c r="I218" s="199"/>
      <c r="J218" s="219"/>
      <c r="K218" s="217">
        <f t="shared" ref="K218:K238" si="2">IF(E218*F218*G218&lt;&gt;0,E218*F218*G218,IF(E218*F218&lt;&gt;0,E218*F218,IF(F218*G218&lt;&gt;0,F218*G218,IF(E218*G218&lt;&gt;0,E218*G218,IF(E218&lt;&gt;0,E218,IF(F218&lt;&gt;0,F218,IF(G218&lt;&gt;0,G218,0)))))))*(IF(H218&lt;&gt;0,H218,1))+I218-J218</f>
        <v>1.9599999999999997</v>
      </c>
      <c r="L218" s="218"/>
    </row>
    <row r="219" spans="2:12">
      <c r="B219" s="197" t="s">
        <v>1355</v>
      </c>
      <c r="C219" s="189" t="s">
        <v>1333</v>
      </c>
      <c r="D219" s="198" t="s">
        <v>1335</v>
      </c>
      <c r="E219" s="199">
        <v>1.4</v>
      </c>
      <c r="F219" s="199">
        <v>1.4</v>
      </c>
      <c r="G219" s="199"/>
      <c r="H219" s="199"/>
      <c r="I219" s="199"/>
      <c r="J219" s="219"/>
      <c r="K219" s="217">
        <f t="shared" si="2"/>
        <v>1.9599999999999997</v>
      </c>
      <c r="L219" s="218"/>
    </row>
    <row r="220" spans="2:12">
      <c r="B220" s="197" t="s">
        <v>1356</v>
      </c>
      <c r="C220" s="189" t="s">
        <v>1333</v>
      </c>
      <c r="D220" s="198" t="s">
        <v>1335</v>
      </c>
      <c r="E220" s="199">
        <v>2.6</v>
      </c>
      <c r="F220" s="199">
        <v>2.6</v>
      </c>
      <c r="G220" s="199"/>
      <c r="H220" s="199"/>
      <c r="I220" s="199"/>
      <c r="J220" s="219"/>
      <c r="K220" s="217">
        <f t="shared" si="2"/>
        <v>6.7600000000000007</v>
      </c>
      <c r="L220" s="218"/>
    </row>
    <row r="221" spans="2:12">
      <c r="B221" s="197" t="s">
        <v>1357</v>
      </c>
      <c r="C221" s="189" t="s">
        <v>1333</v>
      </c>
      <c r="D221" s="198" t="s">
        <v>1335</v>
      </c>
      <c r="E221" s="199">
        <v>2.6</v>
      </c>
      <c r="F221" s="199">
        <v>2.6</v>
      </c>
      <c r="G221" s="199"/>
      <c r="H221" s="199"/>
      <c r="I221" s="199"/>
      <c r="J221" s="219"/>
      <c r="K221" s="217">
        <f t="shared" si="2"/>
        <v>6.7600000000000007</v>
      </c>
      <c r="L221" s="218"/>
    </row>
    <row r="222" spans="2:12">
      <c r="B222" s="197" t="s">
        <v>1358</v>
      </c>
      <c r="C222" s="189" t="s">
        <v>1333</v>
      </c>
      <c r="D222" s="198" t="s">
        <v>1335</v>
      </c>
      <c r="E222" s="199">
        <v>2.6</v>
      </c>
      <c r="F222" s="199">
        <v>2.6</v>
      </c>
      <c r="G222" s="199"/>
      <c r="H222" s="199"/>
      <c r="I222" s="199"/>
      <c r="J222" s="219"/>
      <c r="K222" s="217">
        <f t="shared" si="2"/>
        <v>6.7600000000000007</v>
      </c>
      <c r="L222" s="218"/>
    </row>
    <row r="223" spans="2:12">
      <c r="B223" s="197" t="s">
        <v>1359</v>
      </c>
      <c r="C223" s="189" t="s">
        <v>1333</v>
      </c>
      <c r="D223" s="198" t="s">
        <v>1335</v>
      </c>
      <c r="E223" s="199">
        <v>2.6</v>
      </c>
      <c r="F223" s="199">
        <v>2.6</v>
      </c>
      <c r="G223" s="199"/>
      <c r="H223" s="199"/>
      <c r="I223" s="199"/>
      <c r="J223" s="219"/>
      <c r="K223" s="217">
        <f t="shared" si="2"/>
        <v>6.7600000000000007</v>
      </c>
      <c r="L223" s="218"/>
    </row>
    <row r="224" spans="2:12">
      <c r="B224" s="197" t="s">
        <v>1360</v>
      </c>
      <c r="C224" s="189" t="s">
        <v>1333</v>
      </c>
      <c r="D224" s="198" t="s">
        <v>1335</v>
      </c>
      <c r="E224" s="199">
        <v>1.4</v>
      </c>
      <c r="F224" s="199">
        <v>1.4</v>
      </c>
      <c r="G224" s="199"/>
      <c r="H224" s="199"/>
      <c r="I224" s="199"/>
      <c r="J224" s="219"/>
      <c r="K224" s="217">
        <f t="shared" si="2"/>
        <v>1.9599999999999997</v>
      </c>
      <c r="L224" s="218"/>
    </row>
    <row r="225" spans="2:12">
      <c r="B225" s="197" t="s">
        <v>1361</v>
      </c>
      <c r="C225" s="189" t="s">
        <v>1333</v>
      </c>
      <c r="D225" s="198" t="s">
        <v>1335</v>
      </c>
      <c r="E225" s="199">
        <v>1.4</v>
      </c>
      <c r="F225" s="199">
        <v>1.4</v>
      </c>
      <c r="G225" s="199"/>
      <c r="H225" s="199"/>
      <c r="I225" s="199"/>
      <c r="J225" s="219"/>
      <c r="K225" s="217">
        <f t="shared" si="2"/>
        <v>1.9599999999999997</v>
      </c>
      <c r="L225" s="218"/>
    </row>
    <row r="226" spans="2:12">
      <c r="B226" s="197" t="s">
        <v>1362</v>
      </c>
      <c r="C226" s="189" t="s">
        <v>1333</v>
      </c>
      <c r="D226" s="198" t="s">
        <v>1335</v>
      </c>
      <c r="E226" s="199">
        <v>2.6</v>
      </c>
      <c r="F226" s="199">
        <v>2.6</v>
      </c>
      <c r="G226" s="199"/>
      <c r="H226" s="199"/>
      <c r="I226" s="199"/>
      <c r="J226" s="219"/>
      <c r="K226" s="217">
        <f t="shared" si="2"/>
        <v>6.7600000000000007</v>
      </c>
      <c r="L226" s="218"/>
    </row>
    <row r="227" spans="2:12">
      <c r="B227" s="197" t="s">
        <v>1363</v>
      </c>
      <c r="C227" s="189" t="s">
        <v>1333</v>
      </c>
      <c r="D227" s="198" t="s">
        <v>1335</v>
      </c>
      <c r="E227" s="199">
        <v>2.6</v>
      </c>
      <c r="F227" s="199">
        <v>2.6</v>
      </c>
      <c r="G227" s="199"/>
      <c r="H227" s="199"/>
      <c r="I227" s="199"/>
      <c r="J227" s="219"/>
      <c r="K227" s="217">
        <f t="shared" si="2"/>
        <v>6.7600000000000007</v>
      </c>
      <c r="L227" s="218"/>
    </row>
    <row r="228" spans="2:12">
      <c r="B228" s="197" t="s">
        <v>1364</v>
      </c>
      <c r="C228" s="189" t="s">
        <v>1333</v>
      </c>
      <c r="D228" s="198" t="s">
        <v>1335</v>
      </c>
      <c r="E228" s="199">
        <v>2.2999999999999998</v>
      </c>
      <c r="F228" s="199">
        <v>1.3</v>
      </c>
      <c r="G228" s="199"/>
      <c r="H228" s="199"/>
      <c r="I228" s="199"/>
      <c r="J228" s="219"/>
      <c r="K228" s="217">
        <f t="shared" si="2"/>
        <v>2.9899999999999998</v>
      </c>
      <c r="L228" s="218"/>
    </row>
    <row r="229" spans="2:12">
      <c r="B229" s="197" t="s">
        <v>1442</v>
      </c>
      <c r="C229" s="189" t="s">
        <v>1441</v>
      </c>
      <c r="D229" s="198" t="s">
        <v>1335</v>
      </c>
      <c r="E229" s="199">
        <v>3.8</v>
      </c>
      <c r="F229" s="199">
        <v>2.4</v>
      </c>
      <c r="G229" s="199"/>
      <c r="H229" s="199"/>
      <c r="I229" s="199"/>
      <c r="J229" s="219"/>
      <c r="K229" s="217">
        <f t="shared" si="2"/>
        <v>9.1199999999999992</v>
      </c>
      <c r="L229" s="218"/>
    </row>
    <row r="230" spans="2:12">
      <c r="B230" s="197" t="s">
        <v>1443</v>
      </c>
      <c r="C230" s="189" t="s">
        <v>1441</v>
      </c>
      <c r="D230" s="198" t="s">
        <v>1335</v>
      </c>
      <c r="E230" s="199">
        <v>3.8</v>
      </c>
      <c r="F230" s="199">
        <v>2.4</v>
      </c>
      <c r="G230" s="199"/>
      <c r="H230" s="199"/>
      <c r="I230" s="199"/>
      <c r="J230" s="219"/>
      <c r="K230" s="217">
        <f t="shared" si="2"/>
        <v>9.1199999999999992</v>
      </c>
      <c r="L230" s="218"/>
    </row>
    <row r="231" spans="2:12">
      <c r="B231" s="197" t="s">
        <v>1444</v>
      </c>
      <c r="C231" s="189" t="s">
        <v>1441</v>
      </c>
      <c r="D231" s="198" t="s">
        <v>1335</v>
      </c>
      <c r="E231" s="199">
        <v>2.2999999999999998</v>
      </c>
      <c r="F231" s="199">
        <v>1.3</v>
      </c>
      <c r="G231" s="199"/>
      <c r="H231" s="199"/>
      <c r="I231" s="199"/>
      <c r="J231" s="219"/>
      <c r="K231" s="217">
        <f t="shared" si="2"/>
        <v>2.9899999999999998</v>
      </c>
      <c r="L231" s="218"/>
    </row>
    <row r="232" spans="2:12">
      <c r="B232" s="197" t="s">
        <v>1445</v>
      </c>
      <c r="C232" s="189" t="s">
        <v>1441</v>
      </c>
      <c r="D232" s="198" t="s">
        <v>1335</v>
      </c>
      <c r="E232" s="199">
        <v>2.2999999999999998</v>
      </c>
      <c r="F232" s="199">
        <v>1.3</v>
      </c>
      <c r="G232" s="199"/>
      <c r="H232" s="199"/>
      <c r="I232" s="199"/>
      <c r="J232" s="219"/>
      <c r="K232" s="217">
        <f t="shared" si="2"/>
        <v>2.9899999999999998</v>
      </c>
      <c r="L232" s="218"/>
    </row>
    <row r="233" spans="2:12">
      <c r="B233" s="197" t="s">
        <v>1446</v>
      </c>
      <c r="C233" s="189" t="s">
        <v>1441</v>
      </c>
      <c r="D233" s="198" t="s">
        <v>1335</v>
      </c>
      <c r="E233" s="199"/>
      <c r="F233" s="199"/>
      <c r="G233" s="199"/>
      <c r="H233" s="199"/>
      <c r="I233" s="199">
        <v>4.8499999999999996</v>
      </c>
      <c r="J233" s="219"/>
      <c r="K233" s="217">
        <f t="shared" si="2"/>
        <v>4.8499999999999996</v>
      </c>
      <c r="L233" s="218"/>
    </row>
    <row r="234" spans="2:12">
      <c r="B234" s="197" t="s">
        <v>1447</v>
      </c>
      <c r="C234" s="189" t="s">
        <v>1441</v>
      </c>
      <c r="D234" s="198" t="s">
        <v>1335</v>
      </c>
      <c r="E234" s="199"/>
      <c r="F234" s="199"/>
      <c r="G234" s="199"/>
      <c r="H234" s="199"/>
      <c r="I234" s="199">
        <v>4.8499999999999996</v>
      </c>
      <c r="J234" s="219"/>
      <c r="K234" s="217">
        <f t="shared" si="2"/>
        <v>4.8499999999999996</v>
      </c>
      <c r="L234" s="218"/>
    </row>
    <row r="235" spans="2:12">
      <c r="B235" s="197"/>
      <c r="C235" s="189" t="s">
        <v>1441</v>
      </c>
      <c r="D235" s="198" t="s">
        <v>1335</v>
      </c>
      <c r="E235" s="199"/>
      <c r="F235" s="199"/>
      <c r="G235" s="199"/>
      <c r="H235" s="199"/>
      <c r="I235" s="199">
        <v>2.2537750732476899E-4</v>
      </c>
      <c r="J235" s="219"/>
      <c r="K235" s="217">
        <f t="shared" si="2"/>
        <v>2.2537750732476899E-4</v>
      </c>
      <c r="L235" s="218"/>
    </row>
    <row r="236" spans="2:12">
      <c r="B236" s="197"/>
      <c r="C236" s="189" t="s">
        <v>1441</v>
      </c>
      <c r="D236" s="198" t="s">
        <v>1335</v>
      </c>
      <c r="E236" s="199"/>
      <c r="F236" s="199"/>
      <c r="G236" s="199"/>
      <c r="H236" s="199"/>
      <c r="I236" s="199"/>
      <c r="J236" s="219"/>
      <c r="K236" s="217">
        <f t="shared" si="2"/>
        <v>0</v>
      </c>
      <c r="L236" s="218"/>
    </row>
    <row r="237" spans="2:12">
      <c r="B237" s="197"/>
      <c r="C237" s="189" t="s">
        <v>1441</v>
      </c>
      <c r="D237" s="198" t="s">
        <v>1335</v>
      </c>
      <c r="E237" s="199"/>
      <c r="F237" s="199"/>
      <c r="G237" s="199"/>
      <c r="H237" s="199"/>
      <c r="I237" s="199"/>
      <c r="J237" s="219"/>
      <c r="K237" s="217">
        <f t="shared" si="2"/>
        <v>0</v>
      </c>
      <c r="L237" s="218"/>
    </row>
    <row r="238" spans="2:12">
      <c r="B238" s="197"/>
      <c r="C238" s="189"/>
      <c r="D238" s="198"/>
      <c r="E238" s="199"/>
      <c r="F238" s="199"/>
      <c r="G238" s="199"/>
      <c r="H238" s="199"/>
      <c r="I238" s="199"/>
      <c r="J238" s="219"/>
      <c r="K238" s="217">
        <f t="shared" si="2"/>
        <v>0</v>
      </c>
      <c r="L238" s="218"/>
    </row>
    <row r="239" spans="2:12">
      <c r="B239" s="202"/>
      <c r="C239" s="203"/>
      <c r="D239" s="203"/>
      <c r="E239" s="203"/>
      <c r="F239" s="203"/>
      <c r="G239" s="203"/>
      <c r="H239" s="204"/>
      <c r="I239" s="556" t="s">
        <v>1221</v>
      </c>
      <c r="J239" s="556"/>
      <c r="K239" s="220">
        <f>SUM(K186:K238)</f>
        <v>268.13342537750736</v>
      </c>
      <c r="L239" s="207"/>
    </row>
    <row r="240" spans="2:12">
      <c r="B240" s="208"/>
      <c r="C240" s="204"/>
      <c r="D240" s="204"/>
      <c r="E240" s="204"/>
      <c r="F240" s="204"/>
      <c r="G240" s="204"/>
      <c r="H240" s="209"/>
      <c r="I240" s="557" t="s">
        <v>1222</v>
      </c>
      <c r="J240" s="557"/>
      <c r="K240" s="221">
        <v>233.48</v>
      </c>
      <c r="L240" s="207"/>
    </row>
    <row r="241" spans="2:12">
      <c r="B241" s="208"/>
      <c r="C241" s="204"/>
      <c r="D241" s="204"/>
      <c r="E241" s="204"/>
      <c r="F241" s="204"/>
      <c r="G241" s="204"/>
      <c r="H241" s="558" t="s">
        <v>1223</v>
      </c>
      <c r="I241" s="558"/>
      <c r="J241" s="558"/>
      <c r="K241" s="222">
        <v>168.22919999999999</v>
      </c>
      <c r="L241" s="207"/>
    </row>
    <row r="242" spans="2:12">
      <c r="B242" s="208"/>
      <c r="C242" s="204"/>
      <c r="D242" s="204"/>
      <c r="E242" s="204"/>
      <c r="F242" s="204"/>
      <c r="G242" s="204"/>
      <c r="H242" s="558" t="s">
        <v>1431</v>
      </c>
      <c r="I242" s="558"/>
      <c r="J242" s="558"/>
      <c r="K242" s="222">
        <f>IF(K239&gt;K240,K240,K239)-K241+0.000225377507324769</f>
        <v>65.251025377507318</v>
      </c>
      <c r="L242" s="207"/>
    </row>
    <row r="243" spans="2:12">
      <c r="B243" s="213"/>
      <c r="C243" s="214"/>
      <c r="D243" s="214"/>
      <c r="E243" s="214"/>
      <c r="F243" s="214"/>
      <c r="G243" s="214"/>
      <c r="H243" s="559" t="s">
        <v>1224</v>
      </c>
      <c r="I243" s="559"/>
      <c r="J243" s="559"/>
      <c r="K243" s="223">
        <f>IF(K239&gt;K240,K239-K240,0)</f>
        <v>34.653425377507375</v>
      </c>
      <c r="L243" s="209"/>
    </row>
    <row r="245" spans="2:12" ht="14.25" customHeight="1">
      <c r="B245" s="555" t="s">
        <v>1272</v>
      </c>
      <c r="C245" s="555"/>
      <c r="D245" s="555"/>
      <c r="E245" s="555"/>
      <c r="F245" s="555"/>
      <c r="G245" s="555"/>
      <c r="H245" s="555"/>
      <c r="I245" s="555"/>
      <c r="J245" s="555"/>
      <c r="K245" s="555"/>
      <c r="L245" s="555"/>
    </row>
    <row r="246" spans="2:12">
      <c r="B246" s="187" t="s">
        <v>1209</v>
      </c>
      <c r="C246" s="187"/>
      <c r="D246" s="187" t="s">
        <v>39</v>
      </c>
      <c r="E246" s="187" t="s">
        <v>1210</v>
      </c>
      <c r="F246" s="187" t="s">
        <v>1211</v>
      </c>
      <c r="G246" s="187" t="s">
        <v>1212</v>
      </c>
      <c r="H246" s="187" t="s">
        <v>1213</v>
      </c>
      <c r="I246" s="187" t="s">
        <v>1214</v>
      </c>
      <c r="J246" s="187" t="s">
        <v>1215</v>
      </c>
      <c r="K246" s="187" t="s">
        <v>1216</v>
      </c>
      <c r="L246" s="187" t="s">
        <v>1217</v>
      </c>
    </row>
    <row r="247" spans="2:12">
      <c r="B247" s="188" t="s">
        <v>1273</v>
      </c>
      <c r="C247" s="189" t="s">
        <v>1271</v>
      </c>
      <c r="D247" s="190" t="s">
        <v>1274</v>
      </c>
      <c r="E247" s="191">
        <v>1014</v>
      </c>
      <c r="F247" s="243">
        <v>0.154</v>
      </c>
      <c r="G247" s="192">
        <v>1.1000000000000001</v>
      </c>
      <c r="H247" s="191"/>
      <c r="I247" s="191"/>
      <c r="J247" s="216"/>
      <c r="K247" s="217">
        <f>IF(E247*F247*G247&lt;&gt;0,E247*F247*G247,IF(E247*F247&lt;&gt;0,E247*F247,IF(F247*G247&lt;&gt;0,F247*G247,IF(E247*G247&lt;&gt;0,E247*G247,IF(E247&lt;&gt;0,E247,IF(F247&lt;&gt;0,F247,IF(G247&lt;&gt;0,G247,0)))))))*(IF(H247&lt;&gt;0,H247,1))+I247-J247</f>
        <v>171.77160000000001</v>
      </c>
      <c r="L247" s="218"/>
    </row>
    <row r="248" spans="2:12">
      <c r="B248" s="188" t="s">
        <v>1275</v>
      </c>
      <c r="C248" s="189" t="s">
        <v>1333</v>
      </c>
      <c r="D248" s="190" t="s">
        <v>1274</v>
      </c>
      <c r="E248" s="191"/>
      <c r="F248" s="243"/>
      <c r="G248" s="192"/>
      <c r="H248" s="191"/>
      <c r="I248" s="191"/>
      <c r="J248" s="216"/>
      <c r="K248" s="217">
        <f>IF(E248*F248*G248&lt;&gt;0,E248*F248*G248,IF(E248*F248&lt;&gt;0,E248*F248,IF(F248*G248&lt;&gt;0,F248*G248,IF(E248*G248&lt;&gt;0,E248*G248,IF(E248&lt;&gt;0,E248,IF(F248&lt;&gt;0,F248,IF(G248&lt;&gt;0,G248,0)))))))*(IF(H248&lt;&gt;0,H248,1))+I248-J248</f>
        <v>0</v>
      </c>
      <c r="L248" s="218"/>
    </row>
    <row r="249" spans="2:12">
      <c r="B249" s="188" t="s">
        <v>1448</v>
      </c>
      <c r="C249" s="189" t="s">
        <v>1441</v>
      </c>
      <c r="D249" s="190" t="s">
        <v>1274</v>
      </c>
      <c r="E249" s="191">
        <v>123.508</v>
      </c>
      <c r="F249" s="243"/>
      <c r="G249" s="192"/>
      <c r="H249" s="191">
        <v>0.25</v>
      </c>
      <c r="I249" s="191"/>
      <c r="J249" s="216"/>
      <c r="K249" s="217">
        <f>IF(E249*F249*G249&lt;&gt;0,E249*F249*G249,IF(E249*F249&lt;&gt;0,E249*F249,IF(F249*G249&lt;&gt;0,F249*G249,IF(E249*G249&lt;&gt;0,E249*G249,IF(E249&lt;&gt;0,E249,IF(F249&lt;&gt;0,F249,IF(G249&lt;&gt;0,G249,0)))))))*(IF(H249&lt;&gt;0,H249,1))+I249-J249</f>
        <v>30.876999999999999</v>
      </c>
      <c r="L249" s="218"/>
    </row>
    <row r="250" spans="2:12">
      <c r="B250" s="197"/>
      <c r="C250" s="189"/>
      <c r="D250" s="198"/>
      <c r="E250" s="199"/>
      <c r="F250" s="244"/>
      <c r="G250" s="199"/>
      <c r="H250" s="199"/>
      <c r="I250" s="199"/>
      <c r="J250" s="219"/>
      <c r="K250" s="217">
        <f>IF(E250*F250*G250&lt;&gt;0,E250*F250*G250,IF(E250*F250&lt;&gt;0,E250*F250,IF(F250*G250&lt;&gt;0,F250*G250,IF(E250*G250&lt;&gt;0,E250*G250,IF(E250&lt;&gt;0,E250,IF(F250&lt;&gt;0,F250,IF(G250&lt;&gt;0,G250,0)))))))*(IF(H250&lt;&gt;0,H250,1))+I250-J250</f>
        <v>0</v>
      </c>
      <c r="L250" s="218"/>
    </row>
    <row r="251" spans="2:12">
      <c r="B251" s="202"/>
      <c r="C251" s="203"/>
      <c r="D251" s="203"/>
      <c r="E251" s="203"/>
      <c r="F251" s="203"/>
      <c r="G251" s="203"/>
      <c r="H251" s="204"/>
      <c r="I251" s="556" t="s">
        <v>1221</v>
      </c>
      <c r="J251" s="556"/>
      <c r="K251" s="220">
        <f>SUM(K247:K250)</f>
        <v>202.64860000000002</v>
      </c>
      <c r="L251" s="207"/>
    </row>
    <row r="252" spans="2:12">
      <c r="B252" s="208"/>
      <c r="C252" s="204"/>
      <c r="D252" s="204"/>
      <c r="E252" s="204"/>
      <c r="F252" s="204"/>
      <c r="G252" s="204"/>
      <c r="H252" s="209"/>
      <c r="I252" s="557" t="s">
        <v>1222</v>
      </c>
      <c r="J252" s="557"/>
      <c r="K252" s="221">
        <v>190.3</v>
      </c>
      <c r="L252" s="207"/>
    </row>
    <row r="253" spans="2:12">
      <c r="B253" s="208"/>
      <c r="C253" s="204"/>
      <c r="D253" s="204"/>
      <c r="E253" s="204"/>
      <c r="F253" s="204"/>
      <c r="G253" s="204"/>
      <c r="H253" s="558" t="s">
        <v>1223</v>
      </c>
      <c r="I253" s="558"/>
      <c r="J253" s="558"/>
      <c r="K253" s="222">
        <v>171.77160000000001</v>
      </c>
      <c r="L253" s="207"/>
    </row>
    <row r="254" spans="2:12">
      <c r="B254" s="208"/>
      <c r="C254" s="204"/>
      <c r="D254" s="204"/>
      <c r="E254" s="204"/>
      <c r="F254" s="204"/>
      <c r="G254" s="204"/>
      <c r="H254" s="558" t="s">
        <v>1250</v>
      </c>
      <c r="I254" s="558"/>
      <c r="J254" s="558"/>
      <c r="K254" s="222">
        <f>IF(K251&gt;K252,K252,K251)-K253</f>
        <v>18.528400000000005</v>
      </c>
      <c r="L254" s="207"/>
    </row>
    <row r="255" spans="2:12">
      <c r="B255" s="213"/>
      <c r="C255" s="214"/>
      <c r="D255" s="214"/>
      <c r="E255" s="214"/>
      <c r="F255" s="214"/>
      <c r="G255" s="214"/>
      <c r="H255" s="559" t="s">
        <v>1224</v>
      </c>
      <c r="I255" s="559"/>
      <c r="J255" s="559"/>
      <c r="K255" s="223">
        <f>IF(K251&gt;K252,K251-K252,0)</f>
        <v>12.348600000000005</v>
      </c>
      <c r="L255" s="209"/>
    </row>
    <row r="257" spans="2:12" ht="14.25" customHeight="1">
      <c r="B257" s="555" t="s">
        <v>1276</v>
      </c>
      <c r="C257" s="555"/>
      <c r="D257" s="555"/>
      <c r="E257" s="555"/>
      <c r="F257" s="555"/>
      <c r="G257" s="555"/>
      <c r="H257" s="555"/>
      <c r="I257" s="555"/>
      <c r="J257" s="555"/>
      <c r="K257" s="555"/>
      <c r="L257" s="555"/>
    </row>
    <row r="258" spans="2:12">
      <c r="B258" s="187" t="s">
        <v>1209</v>
      </c>
      <c r="C258" s="187"/>
      <c r="D258" s="187" t="s">
        <v>39</v>
      </c>
      <c r="E258" s="187" t="s">
        <v>1210</v>
      </c>
      <c r="F258" s="187" t="s">
        <v>1211</v>
      </c>
      <c r="G258" s="187" t="s">
        <v>1212</v>
      </c>
      <c r="H258" s="187" t="s">
        <v>1213</v>
      </c>
      <c r="I258" s="187" t="s">
        <v>1214</v>
      </c>
      <c r="J258" s="187" t="s">
        <v>1215</v>
      </c>
      <c r="K258" s="187" t="s">
        <v>1216</v>
      </c>
      <c r="L258" s="187" t="s">
        <v>1217</v>
      </c>
    </row>
    <row r="259" spans="2:12">
      <c r="B259" s="188" t="s">
        <v>1273</v>
      </c>
      <c r="C259" s="189" t="s">
        <v>1271</v>
      </c>
      <c r="D259" s="190" t="s">
        <v>1274</v>
      </c>
      <c r="E259" s="191">
        <v>333</v>
      </c>
      <c r="F259" s="243">
        <v>0.245</v>
      </c>
      <c r="G259" s="192">
        <v>1.1000000000000001</v>
      </c>
      <c r="H259" s="191"/>
      <c r="I259" s="191"/>
      <c r="J259" s="216"/>
      <c r="K259" s="217">
        <f>IF(E259*F259*G259&lt;&gt;0,E259*F259*G259,IF(E259*F259&lt;&gt;0,E259*F259,IF(F259*G259&lt;&gt;0,F259*G259,IF(E259*G259&lt;&gt;0,E259*G259,IF(E259&lt;&gt;0,E259,IF(F259&lt;&gt;0,F259,IF(G259&lt;&gt;0,G259,0)))))))*(IF(H259&lt;&gt;0,H259,1))+I259-J259</f>
        <v>89.743499999999997</v>
      </c>
      <c r="L259" s="218"/>
    </row>
    <row r="260" spans="2:12">
      <c r="B260" s="188" t="s">
        <v>1275</v>
      </c>
      <c r="C260" s="189" t="s">
        <v>1333</v>
      </c>
      <c r="D260" s="190" t="s">
        <v>1274</v>
      </c>
      <c r="E260" s="191">
        <v>411</v>
      </c>
      <c r="F260" s="243">
        <v>0.245</v>
      </c>
      <c r="G260" s="192">
        <v>1.1000000000000001</v>
      </c>
      <c r="H260" s="191"/>
      <c r="I260" s="191"/>
      <c r="J260" s="216"/>
      <c r="K260" s="217">
        <f>IF(E260*F260*G260&lt;&gt;0,E260*F260*G260,IF(E260*F260&lt;&gt;0,E260*F260,IF(F260*G260&lt;&gt;0,F260*G260,IF(E260*G260&lt;&gt;0,E260*G260,IF(E260&lt;&gt;0,E260,IF(F260&lt;&gt;0,F260,IF(G260&lt;&gt;0,G260,0)))))))*(IF(H260&lt;&gt;0,H260,1))+I260-J260</f>
        <v>110.7645</v>
      </c>
      <c r="L260" s="218"/>
    </row>
    <row r="261" spans="2:12">
      <c r="B261" s="197"/>
      <c r="C261" s="189"/>
      <c r="D261" s="198"/>
      <c r="E261" s="199"/>
      <c r="F261" s="199"/>
      <c r="G261" s="199"/>
      <c r="H261" s="199"/>
      <c r="I261" s="199"/>
      <c r="J261" s="219"/>
      <c r="K261" s="217">
        <f>IF(E261*F261*G261&lt;&gt;0,E261*F261*G261,IF(E261*F261&lt;&gt;0,E261*F261,IF(F261*G261&lt;&gt;0,F261*G261,IF(E261*G261&lt;&gt;0,E261*G261,IF(E261&lt;&gt;0,E261,IF(F261&lt;&gt;0,F261,IF(G261&lt;&gt;0,G261,0)))))))*(IF(H261&lt;&gt;0,H261,1))+I261-J261</f>
        <v>0</v>
      </c>
      <c r="L261" s="218"/>
    </row>
    <row r="262" spans="2:12">
      <c r="B262" s="202"/>
      <c r="C262" s="203"/>
      <c r="D262" s="203"/>
      <c r="E262" s="203"/>
      <c r="F262" s="203"/>
      <c r="G262" s="203"/>
      <c r="H262" s="204"/>
      <c r="I262" s="556" t="s">
        <v>1221</v>
      </c>
      <c r="J262" s="556"/>
      <c r="K262" s="220">
        <f>SUM(K259:K261)</f>
        <v>200.50799999999998</v>
      </c>
      <c r="L262" s="207"/>
    </row>
    <row r="263" spans="2:12">
      <c r="B263" s="208"/>
      <c r="C263" s="204"/>
      <c r="D263" s="204"/>
      <c r="E263" s="204"/>
      <c r="F263" s="204"/>
      <c r="G263" s="204"/>
      <c r="H263" s="209"/>
      <c r="I263" s="557" t="s">
        <v>1222</v>
      </c>
      <c r="J263" s="557"/>
      <c r="K263" s="221">
        <v>77</v>
      </c>
      <c r="L263" s="207"/>
    </row>
    <row r="264" spans="2:12">
      <c r="B264" s="208"/>
      <c r="C264" s="204"/>
      <c r="D264" s="204"/>
      <c r="E264" s="204"/>
      <c r="F264" s="204"/>
      <c r="G264" s="204"/>
      <c r="H264" s="558" t="s">
        <v>1223</v>
      </c>
      <c r="I264" s="558"/>
      <c r="J264" s="558"/>
      <c r="K264" s="222">
        <v>77</v>
      </c>
      <c r="L264" s="207"/>
    </row>
    <row r="265" spans="2:12">
      <c r="B265" s="208"/>
      <c r="C265" s="204"/>
      <c r="D265" s="204"/>
      <c r="E265" s="204"/>
      <c r="F265" s="204"/>
      <c r="G265" s="204"/>
      <c r="H265" s="558" t="s">
        <v>1250</v>
      </c>
      <c r="I265" s="558"/>
      <c r="J265" s="558"/>
      <c r="K265" s="222">
        <f>IF(K262&gt;K263,K263,K262)-K264</f>
        <v>0</v>
      </c>
      <c r="L265" s="207"/>
    </row>
    <row r="266" spans="2:12">
      <c r="B266" s="213"/>
      <c r="C266" s="214"/>
      <c r="D266" s="214"/>
      <c r="E266" s="214"/>
      <c r="F266" s="214"/>
      <c r="G266" s="214"/>
      <c r="H266" s="559" t="s">
        <v>1224</v>
      </c>
      <c r="I266" s="559"/>
      <c r="J266" s="559"/>
      <c r="K266" s="223">
        <f>IF(K262&gt;K263,K262-K263,0)</f>
        <v>123.50799999999998</v>
      </c>
      <c r="L266" s="209"/>
    </row>
    <row r="268" spans="2:12" ht="14.25" customHeight="1">
      <c r="B268" s="555" t="s">
        <v>1277</v>
      </c>
      <c r="C268" s="555"/>
      <c r="D268" s="555"/>
      <c r="E268" s="555"/>
      <c r="F268" s="555"/>
      <c r="G268" s="555"/>
      <c r="H268" s="555"/>
      <c r="I268" s="555"/>
      <c r="J268" s="555"/>
      <c r="K268" s="555"/>
      <c r="L268" s="555"/>
    </row>
    <row r="269" spans="2:12">
      <c r="B269" s="187" t="s">
        <v>1209</v>
      </c>
      <c r="C269" s="187"/>
      <c r="D269" s="187" t="s">
        <v>39</v>
      </c>
      <c r="E269" s="187" t="s">
        <v>1210</v>
      </c>
      <c r="F269" s="187" t="s">
        <v>1211</v>
      </c>
      <c r="G269" s="187" t="s">
        <v>1212</v>
      </c>
      <c r="H269" s="187" t="s">
        <v>1213</v>
      </c>
      <c r="I269" s="187" t="s">
        <v>1214</v>
      </c>
      <c r="J269" s="187" t="s">
        <v>1215</v>
      </c>
      <c r="K269" s="187" t="s">
        <v>1216</v>
      </c>
      <c r="L269" s="187" t="s">
        <v>1217</v>
      </c>
    </row>
    <row r="270" spans="2:12">
      <c r="B270" s="188" t="s">
        <v>1273</v>
      </c>
      <c r="C270" s="189" t="s">
        <v>1271</v>
      </c>
      <c r="D270" s="190" t="s">
        <v>1274</v>
      </c>
      <c r="E270" s="191">
        <v>938</v>
      </c>
      <c r="F270" s="243">
        <v>0.39500000000000002</v>
      </c>
      <c r="G270" s="192">
        <v>1.1000000000000001</v>
      </c>
      <c r="H270" s="191"/>
      <c r="I270" s="191"/>
      <c r="J270" s="216"/>
      <c r="K270" s="217">
        <f>IF(E270*F270*G270&lt;&gt;0,E270*F270*G270,IF(E270*F270&lt;&gt;0,E270*F270,IF(F270*G270&lt;&gt;0,F270*G270,IF(E270*G270&lt;&gt;0,E270*G270,IF(E270&lt;&gt;0,E270,IF(F270&lt;&gt;0,F270,IF(G270&lt;&gt;0,G270,0)))))))*(IF(H270&lt;&gt;0,H270,1))+I270-J270</f>
        <v>407.56100000000004</v>
      </c>
      <c r="L270" s="218"/>
    </row>
    <row r="271" spans="2:12">
      <c r="B271" s="188" t="s">
        <v>1275</v>
      </c>
      <c r="C271" s="189" t="s">
        <v>1333</v>
      </c>
      <c r="D271" s="190" t="s">
        <v>1274</v>
      </c>
      <c r="E271" s="191">
        <v>197</v>
      </c>
      <c r="F271" s="243">
        <v>0.39500000000000002</v>
      </c>
      <c r="G271" s="192">
        <v>1.1000000000000001</v>
      </c>
      <c r="H271" s="191"/>
      <c r="I271" s="191"/>
      <c r="J271" s="216"/>
      <c r="K271" s="217">
        <f>IF(E271*F271*G271&lt;&gt;0,E271*F271*G271,IF(E271*F271&lt;&gt;0,E271*F271,IF(F271*G271&lt;&gt;0,F271*G271,IF(E271*G271&lt;&gt;0,E271*G271,IF(E271&lt;&gt;0,E271,IF(F271&lt;&gt;0,F271,IF(G271&lt;&gt;0,G271,0)))))))*(IF(H271&lt;&gt;0,H271,1))+I271-J271</f>
        <v>85.596500000000006</v>
      </c>
      <c r="L271" s="218"/>
    </row>
    <row r="272" spans="2:12">
      <c r="B272" s="188" t="s">
        <v>1448</v>
      </c>
      <c r="C272" s="189" t="s">
        <v>1441</v>
      </c>
      <c r="D272" s="190" t="s">
        <v>1274</v>
      </c>
      <c r="E272" s="191">
        <v>123.508</v>
      </c>
      <c r="F272" s="243"/>
      <c r="G272" s="192"/>
      <c r="H272" s="191">
        <v>0.75</v>
      </c>
      <c r="I272" s="191"/>
      <c r="J272" s="216"/>
      <c r="K272" s="217">
        <f>IF(E272*F272*G272&lt;&gt;0,E272*F272*G272,IF(E272*F272&lt;&gt;0,E272*F272,IF(F272*G272&lt;&gt;0,F272*G272,IF(E272*G272&lt;&gt;0,E272*G272,IF(E272&lt;&gt;0,E272,IF(F272&lt;&gt;0,F272,IF(G272&lt;&gt;0,G272,0)))))))*(IF(H272&lt;&gt;0,H272,1))+I272-J272</f>
        <v>92.631</v>
      </c>
      <c r="L272" s="218"/>
    </row>
    <row r="273" spans="2:12">
      <c r="B273" s="197"/>
      <c r="C273" s="189"/>
      <c r="D273" s="198"/>
      <c r="E273" s="199"/>
      <c r="F273" s="199"/>
      <c r="G273" s="199"/>
      <c r="H273" s="199"/>
      <c r="I273" s="199"/>
      <c r="J273" s="219"/>
      <c r="K273" s="217">
        <f>IF(E273*F273*G273&lt;&gt;0,E273*F273*G273,IF(E273*F273&lt;&gt;0,E273*F273,IF(F273*G273&lt;&gt;0,F273*G273,IF(E273*G273&lt;&gt;0,E273*G273,IF(E273&lt;&gt;0,E273,IF(F273&lt;&gt;0,F273,IF(G273&lt;&gt;0,G273,0)))))))*(IF(H273&lt;&gt;0,H273,1))+I273-J273</f>
        <v>0</v>
      </c>
      <c r="L273" s="218"/>
    </row>
    <row r="274" spans="2:12">
      <c r="B274" s="202"/>
      <c r="C274" s="203"/>
      <c r="D274" s="203"/>
      <c r="E274" s="203"/>
      <c r="F274" s="203"/>
      <c r="G274" s="203"/>
      <c r="H274" s="204"/>
      <c r="I274" s="556" t="s">
        <v>1221</v>
      </c>
      <c r="J274" s="556"/>
      <c r="K274" s="220">
        <f>SUM(K270:K273)</f>
        <v>585.7885</v>
      </c>
      <c r="L274" s="207"/>
    </row>
    <row r="275" spans="2:12">
      <c r="B275" s="208"/>
      <c r="C275" s="204"/>
      <c r="D275" s="204"/>
      <c r="E275" s="204"/>
      <c r="F275" s="204"/>
      <c r="G275" s="204"/>
      <c r="H275" s="209"/>
      <c r="I275" s="557" t="s">
        <v>1222</v>
      </c>
      <c r="J275" s="557"/>
      <c r="K275" s="221">
        <v>566.5</v>
      </c>
      <c r="L275" s="207"/>
    </row>
    <row r="276" spans="2:12">
      <c r="B276" s="208"/>
      <c r="C276" s="204"/>
      <c r="D276" s="204"/>
      <c r="E276" s="204"/>
      <c r="F276" s="204"/>
      <c r="G276" s="204"/>
      <c r="H276" s="558" t="s">
        <v>1223</v>
      </c>
      <c r="I276" s="558"/>
      <c r="J276" s="558"/>
      <c r="K276" s="222">
        <v>493.15750000000003</v>
      </c>
      <c r="L276" s="207"/>
    </row>
    <row r="277" spans="2:12">
      <c r="B277" s="208"/>
      <c r="C277" s="204"/>
      <c r="D277" s="204"/>
      <c r="E277" s="204"/>
      <c r="F277" s="204"/>
      <c r="G277" s="204"/>
      <c r="H277" s="558" t="s">
        <v>1250</v>
      </c>
      <c r="I277" s="558"/>
      <c r="J277" s="558"/>
      <c r="K277" s="222">
        <f>IF(K274&gt;K275,K275,K274)-K276</f>
        <v>73.342499999999973</v>
      </c>
      <c r="L277" s="207"/>
    </row>
    <row r="278" spans="2:12">
      <c r="B278" s="213"/>
      <c r="C278" s="214"/>
      <c r="D278" s="214"/>
      <c r="E278" s="214"/>
      <c r="F278" s="214"/>
      <c r="G278" s="214"/>
      <c r="H278" s="559" t="s">
        <v>1224</v>
      </c>
      <c r="I278" s="559"/>
      <c r="J278" s="559"/>
      <c r="K278" s="223">
        <f>IF(K274&gt;K275,K274-K275,0)</f>
        <v>19.288499999999999</v>
      </c>
      <c r="L278" s="209"/>
    </row>
    <row r="280" spans="2:12" ht="14.25" customHeight="1">
      <c r="B280" s="555" t="s">
        <v>1278</v>
      </c>
      <c r="C280" s="555"/>
      <c r="D280" s="555"/>
      <c r="E280" s="555"/>
      <c r="F280" s="555"/>
      <c r="G280" s="555"/>
      <c r="H280" s="555"/>
      <c r="I280" s="555"/>
      <c r="J280" s="555"/>
      <c r="K280" s="555"/>
      <c r="L280" s="555"/>
    </row>
    <row r="281" spans="2:12">
      <c r="B281" s="187" t="s">
        <v>1209</v>
      </c>
      <c r="C281" s="187"/>
      <c r="D281" s="187" t="s">
        <v>39</v>
      </c>
      <c r="E281" s="187" t="s">
        <v>1210</v>
      </c>
      <c r="F281" s="187" t="s">
        <v>1211</v>
      </c>
      <c r="G281" s="187" t="s">
        <v>1212</v>
      </c>
      <c r="H281" s="187" t="s">
        <v>1213</v>
      </c>
      <c r="I281" s="187" t="s">
        <v>1214</v>
      </c>
      <c r="J281" s="187" t="s">
        <v>1215</v>
      </c>
      <c r="K281" s="187" t="s">
        <v>1216</v>
      </c>
      <c r="L281" s="187" t="s">
        <v>1217</v>
      </c>
    </row>
    <row r="282" spans="2:12">
      <c r="B282" s="188" t="s">
        <v>1273</v>
      </c>
      <c r="C282" s="189" t="s">
        <v>1271</v>
      </c>
      <c r="D282" s="190" t="s">
        <v>1274</v>
      </c>
      <c r="E282" s="191">
        <v>737</v>
      </c>
      <c r="F282" s="243">
        <v>0.61699999999999999</v>
      </c>
      <c r="G282" s="192">
        <v>1.1000000000000001</v>
      </c>
      <c r="H282" s="191"/>
      <c r="I282" s="191"/>
      <c r="J282" s="216"/>
      <c r="K282" s="217">
        <f>IF(E282*F282*G282&lt;&gt;0,E282*F282*G282,IF(E282*F282&lt;&gt;0,E282*F282,IF(F282*G282&lt;&gt;0,F282*G282,IF(E282*G282&lt;&gt;0,E282*G282,IF(E282&lt;&gt;0,E282,IF(F282&lt;&gt;0,F282,IF(G282&lt;&gt;0,G282,0)))))))*(IF(H282&lt;&gt;0,H282,1))+I282-J282</f>
        <v>500.20190000000002</v>
      </c>
      <c r="L282" s="218"/>
    </row>
    <row r="283" spans="2:12">
      <c r="B283" s="188" t="s">
        <v>1275</v>
      </c>
      <c r="C283" s="189" t="s">
        <v>1333</v>
      </c>
      <c r="D283" s="190" t="s">
        <v>1274</v>
      </c>
      <c r="E283" s="191">
        <v>1837</v>
      </c>
      <c r="F283" s="243">
        <v>0.61699999999999999</v>
      </c>
      <c r="G283" s="192">
        <v>1.1000000000000001</v>
      </c>
      <c r="H283" s="191"/>
      <c r="I283" s="191"/>
      <c r="J283" s="216"/>
      <c r="K283" s="217">
        <f>IF(E283*F283*G283&lt;&gt;0,E283*F283*G283,IF(E283*F283&lt;&gt;0,E283*F283,IF(F283*G283&lt;&gt;0,F283*G283,IF(E283*G283&lt;&gt;0,E283*G283,IF(E283&lt;&gt;0,E283,IF(F283&lt;&gt;0,F283,IF(G283&lt;&gt;0,G283,0)))))))*(IF(H283&lt;&gt;0,H283,1))+I283-J283</f>
        <v>1246.7719000000002</v>
      </c>
      <c r="L283" s="218"/>
    </row>
    <row r="284" spans="2:12">
      <c r="B284" s="197"/>
      <c r="C284" s="189"/>
      <c r="D284" s="198"/>
      <c r="E284" s="199"/>
      <c r="F284" s="244"/>
      <c r="G284" s="199"/>
      <c r="H284" s="199"/>
      <c r="I284" s="199"/>
      <c r="J284" s="219"/>
      <c r="K284" s="217">
        <f>IF(E284*F284*G284&lt;&gt;0,E284*F284*G284,IF(E284*F284&lt;&gt;0,E284*F284,IF(F284*G284&lt;&gt;0,F284*G284,IF(E284*G284&lt;&gt;0,E284*G284,IF(E284&lt;&gt;0,E284,IF(F284&lt;&gt;0,F284,IF(G284&lt;&gt;0,G284,0)))))))*(IF(H284&lt;&gt;0,H284,1))+I284-J284</f>
        <v>0</v>
      </c>
      <c r="L284" s="218"/>
    </row>
    <row r="285" spans="2:12">
      <c r="B285" s="202"/>
      <c r="C285" s="203"/>
      <c r="D285" s="203"/>
      <c r="E285" s="203"/>
      <c r="F285" s="203"/>
      <c r="G285" s="203"/>
      <c r="H285" s="204"/>
      <c r="I285" s="556" t="s">
        <v>1221</v>
      </c>
      <c r="J285" s="556"/>
      <c r="K285" s="220">
        <f>SUM(K282:K284)</f>
        <v>1746.9738000000002</v>
      </c>
      <c r="L285" s="207"/>
    </row>
    <row r="286" spans="2:12">
      <c r="B286" s="208"/>
      <c r="C286" s="204"/>
      <c r="D286" s="204"/>
      <c r="E286" s="204"/>
      <c r="F286" s="204"/>
      <c r="G286" s="204"/>
      <c r="H286" s="209"/>
      <c r="I286" s="557" t="s">
        <v>1222</v>
      </c>
      <c r="J286" s="557"/>
      <c r="K286" s="221">
        <v>1663.2</v>
      </c>
      <c r="L286" s="207"/>
    </row>
    <row r="287" spans="2:12">
      <c r="B287" s="208"/>
      <c r="C287" s="204"/>
      <c r="D287" s="204"/>
      <c r="E287" s="204"/>
      <c r="F287" s="204"/>
      <c r="G287" s="204"/>
      <c r="H287" s="558" t="s">
        <v>1223</v>
      </c>
      <c r="I287" s="558"/>
      <c r="J287" s="558"/>
      <c r="K287" s="222">
        <v>500.20190000000002</v>
      </c>
      <c r="L287" s="207"/>
    </row>
    <row r="288" spans="2:12">
      <c r="B288" s="208"/>
      <c r="C288" s="204"/>
      <c r="D288" s="204"/>
      <c r="E288" s="204"/>
      <c r="F288" s="204"/>
      <c r="G288" s="204"/>
      <c r="H288" s="558" t="s">
        <v>1250</v>
      </c>
      <c r="I288" s="558"/>
      <c r="J288" s="558"/>
      <c r="K288" s="222">
        <f>IF(K285&gt;K286,K286,K285)-K287</f>
        <v>1162.9981</v>
      </c>
      <c r="L288" s="207"/>
    </row>
    <row r="289" spans="2:12">
      <c r="B289" s="213"/>
      <c r="C289" s="214"/>
      <c r="D289" s="214"/>
      <c r="E289" s="214"/>
      <c r="F289" s="214"/>
      <c r="G289" s="214"/>
      <c r="H289" s="559" t="s">
        <v>1224</v>
      </c>
      <c r="I289" s="559"/>
      <c r="J289" s="559"/>
      <c r="K289" s="223">
        <f>IF(K285&gt;K286,K285-K286,0)</f>
        <v>83.773800000000165</v>
      </c>
      <c r="L289" s="209"/>
    </row>
    <row r="291" spans="2:12" ht="14.25" customHeight="1">
      <c r="B291" s="555" t="s">
        <v>1279</v>
      </c>
      <c r="C291" s="555"/>
      <c r="D291" s="555"/>
      <c r="E291" s="555"/>
      <c r="F291" s="555"/>
      <c r="G291" s="555"/>
      <c r="H291" s="555"/>
      <c r="I291" s="555"/>
      <c r="J291" s="555"/>
      <c r="K291" s="555"/>
      <c r="L291" s="555"/>
    </row>
    <row r="292" spans="2:12">
      <c r="B292" s="187" t="s">
        <v>1209</v>
      </c>
      <c r="C292" s="187"/>
      <c r="D292" s="187" t="s">
        <v>39</v>
      </c>
      <c r="E292" s="187" t="s">
        <v>1210</v>
      </c>
      <c r="F292" s="187" t="s">
        <v>1211</v>
      </c>
      <c r="G292" s="187" t="s">
        <v>1212</v>
      </c>
      <c r="H292" s="187" t="s">
        <v>1213</v>
      </c>
      <c r="I292" s="187" t="s">
        <v>1214</v>
      </c>
      <c r="J292" s="187" t="s">
        <v>1215</v>
      </c>
      <c r="K292" s="187" t="s">
        <v>1216</v>
      </c>
      <c r="L292" s="187" t="s">
        <v>1217</v>
      </c>
    </row>
    <row r="293" spans="2:12">
      <c r="B293" s="188" t="s">
        <v>1273</v>
      </c>
      <c r="C293" s="189" t="s">
        <v>1271</v>
      </c>
      <c r="D293" s="190" t="s">
        <v>1274</v>
      </c>
      <c r="E293" s="191">
        <v>3329</v>
      </c>
      <c r="F293" s="243">
        <v>0.96299999999999997</v>
      </c>
      <c r="G293" s="192">
        <v>1.1000000000000001</v>
      </c>
      <c r="H293" s="191"/>
      <c r="I293" s="191"/>
      <c r="J293" s="216"/>
      <c r="K293" s="217">
        <f>IF(E293*F293*G293&lt;&gt;0,E293*F293*G293,IF(E293*F293&lt;&gt;0,E293*F293,IF(F293*G293&lt;&gt;0,F293*G293,IF(E293*G293&lt;&gt;0,E293*G293,IF(E293&lt;&gt;0,E293,IF(F293&lt;&gt;0,F293,IF(G293&lt;&gt;0,G293,0)))))))*(IF(H293&lt;&gt;0,H293,1))+I293-J293</f>
        <v>3526.4097000000002</v>
      </c>
      <c r="L293" s="218"/>
    </row>
    <row r="294" spans="2:12">
      <c r="B294" s="188" t="s">
        <v>1275</v>
      </c>
      <c r="C294" s="189" t="s">
        <v>1333</v>
      </c>
      <c r="D294" s="190" t="s">
        <v>1274</v>
      </c>
      <c r="E294" s="191">
        <v>2624</v>
      </c>
      <c r="F294" s="243">
        <v>0.96299999999999997</v>
      </c>
      <c r="G294" s="192">
        <v>1.1000000000000001</v>
      </c>
      <c r="H294" s="191"/>
      <c r="I294" s="191"/>
      <c r="J294" s="216"/>
      <c r="K294" s="217">
        <f>IF(E294*F294*G294&lt;&gt;0,E294*F294*G294,IF(E294*F294&lt;&gt;0,E294*F294,IF(F294*G294&lt;&gt;0,F294*G294,IF(E294*G294&lt;&gt;0,E294*G294,IF(E294&lt;&gt;0,E294,IF(F294&lt;&gt;0,F294,IF(G294&lt;&gt;0,G294,0)))))))*(IF(H294&lt;&gt;0,H294,1))+I294-J294</f>
        <v>2779.6032</v>
      </c>
      <c r="L294" s="218"/>
    </row>
    <row r="295" spans="2:12">
      <c r="B295" s="197"/>
      <c r="C295" s="189"/>
      <c r="D295" s="198"/>
      <c r="E295" s="199"/>
      <c r="F295" s="244"/>
      <c r="G295" s="199"/>
      <c r="H295" s="199"/>
      <c r="I295" s="199"/>
      <c r="J295" s="219"/>
      <c r="K295" s="217">
        <f>IF(E295*F295*G295&lt;&gt;0,E295*F295*G295,IF(E295*F295&lt;&gt;0,E295*F295,IF(F295*G295&lt;&gt;0,F295*G295,IF(E295*G295&lt;&gt;0,E295*G295,IF(E295&lt;&gt;0,E295,IF(F295&lt;&gt;0,F295,IF(G295&lt;&gt;0,G295,0)))))))*(IF(H295&lt;&gt;0,H295,1))+I295-J295</f>
        <v>0</v>
      </c>
      <c r="L295" s="218"/>
    </row>
    <row r="296" spans="2:12">
      <c r="B296" s="202"/>
      <c r="C296" s="203"/>
      <c r="D296" s="203"/>
      <c r="E296" s="203"/>
      <c r="F296" s="203"/>
      <c r="G296" s="203"/>
      <c r="H296" s="204"/>
      <c r="I296" s="556" t="s">
        <v>1221</v>
      </c>
      <c r="J296" s="556"/>
      <c r="K296" s="220">
        <f>SUM(K293:K295)</f>
        <v>6306.0128999999997</v>
      </c>
      <c r="L296" s="207"/>
    </row>
    <row r="297" spans="2:12">
      <c r="B297" s="208"/>
      <c r="C297" s="204"/>
      <c r="D297" s="204"/>
      <c r="E297" s="204"/>
      <c r="F297" s="204"/>
      <c r="G297" s="204"/>
      <c r="H297" s="209"/>
      <c r="I297" s="557" t="s">
        <v>1222</v>
      </c>
      <c r="J297" s="557"/>
      <c r="K297" s="221">
        <v>4944.5</v>
      </c>
      <c r="L297" s="207"/>
    </row>
    <row r="298" spans="2:12">
      <c r="B298" s="208"/>
      <c r="C298" s="204"/>
      <c r="D298" s="204"/>
      <c r="E298" s="204"/>
      <c r="F298" s="204"/>
      <c r="G298" s="204"/>
      <c r="H298" s="558" t="s">
        <v>1223</v>
      </c>
      <c r="I298" s="558"/>
      <c r="J298" s="558"/>
      <c r="K298" s="222">
        <v>3541.0572999999999</v>
      </c>
      <c r="L298" s="207"/>
    </row>
    <row r="299" spans="2:12">
      <c r="B299" s="208"/>
      <c r="C299" s="204"/>
      <c r="D299" s="204"/>
      <c r="E299" s="204"/>
      <c r="F299" s="204"/>
      <c r="G299" s="204"/>
      <c r="H299" s="558" t="s">
        <v>1250</v>
      </c>
      <c r="I299" s="558"/>
      <c r="J299" s="558"/>
      <c r="K299" s="222">
        <f>IF(K296&gt;K297,K297,K296)-K298</f>
        <v>1403.4427000000001</v>
      </c>
      <c r="L299" s="207"/>
    </row>
    <row r="300" spans="2:12">
      <c r="B300" s="213"/>
      <c r="C300" s="214"/>
      <c r="D300" s="214"/>
      <c r="E300" s="214"/>
      <c r="F300" s="214"/>
      <c r="G300" s="214"/>
      <c r="H300" s="559" t="s">
        <v>1224</v>
      </c>
      <c r="I300" s="559"/>
      <c r="J300" s="559"/>
      <c r="K300" s="223">
        <f>IF(K296&gt;K297,K296-K297,0)</f>
        <v>1361.5128999999997</v>
      </c>
      <c r="L300" s="209"/>
    </row>
    <row r="302" spans="2:12" ht="14.25" customHeight="1">
      <c r="B302" s="555" t="s">
        <v>1280</v>
      </c>
      <c r="C302" s="555"/>
      <c r="D302" s="555"/>
      <c r="E302" s="555"/>
      <c r="F302" s="555"/>
      <c r="G302" s="555"/>
      <c r="H302" s="555"/>
      <c r="I302" s="555"/>
      <c r="J302" s="555"/>
      <c r="K302" s="555"/>
      <c r="L302" s="555"/>
    </row>
    <row r="303" spans="2:12">
      <c r="B303" s="187" t="s">
        <v>1209</v>
      </c>
      <c r="C303" s="187"/>
      <c r="D303" s="187" t="s">
        <v>39</v>
      </c>
      <c r="E303" s="187" t="s">
        <v>1210</v>
      </c>
      <c r="F303" s="187" t="s">
        <v>1211</v>
      </c>
      <c r="G303" s="187" t="s">
        <v>1212</v>
      </c>
      <c r="H303" s="187" t="s">
        <v>1213</v>
      </c>
      <c r="I303" s="187" t="s">
        <v>1214</v>
      </c>
      <c r="J303" s="187" t="s">
        <v>1215</v>
      </c>
      <c r="K303" s="187" t="s">
        <v>1216</v>
      </c>
      <c r="L303" s="187" t="s">
        <v>1217</v>
      </c>
    </row>
    <row r="304" spans="2:12">
      <c r="B304" s="188" t="s">
        <v>1273</v>
      </c>
      <c r="C304" s="189" t="s">
        <v>1271</v>
      </c>
      <c r="D304" s="190" t="s">
        <v>1274</v>
      </c>
      <c r="E304" s="191"/>
      <c r="F304" s="243"/>
      <c r="G304" s="192"/>
      <c r="H304" s="191"/>
      <c r="I304" s="191"/>
      <c r="J304" s="216"/>
      <c r="K304" s="217">
        <f>IF(E304*F304*G304&lt;&gt;0,E304*F304*G304,IF(E304*F304&lt;&gt;0,E304*F304,IF(F304*G304&lt;&gt;0,F304*G304,IF(E304*G304&lt;&gt;0,E304*G304,IF(E304&lt;&gt;0,E304,IF(F304&lt;&gt;0,F304,IF(G304&lt;&gt;0,G304,0)))))))*(IF(H304&lt;&gt;0,H304,1))+I304-J304</f>
        <v>0</v>
      </c>
      <c r="L304" s="218"/>
    </row>
    <row r="305" spans="2:12">
      <c r="B305" s="188" t="s">
        <v>1275</v>
      </c>
      <c r="C305" s="189" t="s">
        <v>1333</v>
      </c>
      <c r="D305" s="190" t="s">
        <v>1274</v>
      </c>
      <c r="E305" s="191">
        <v>67</v>
      </c>
      <c r="F305" s="243">
        <v>1.5780000000000001</v>
      </c>
      <c r="G305" s="192">
        <v>1.1000000000000001</v>
      </c>
      <c r="H305" s="191"/>
      <c r="I305" s="191"/>
      <c r="J305" s="216"/>
      <c r="K305" s="217">
        <f>IF(E305*F305*G305&lt;&gt;0,E305*F305*G305,IF(E305*F305&lt;&gt;0,E305*F305,IF(F305*G305&lt;&gt;0,F305*G305,IF(E305*G305&lt;&gt;0,E305*G305,IF(E305&lt;&gt;0,E305,IF(F305&lt;&gt;0,F305,IF(G305&lt;&gt;0,G305,0)))))))*(IF(H305&lt;&gt;0,H305,1))+I305-J305</f>
        <v>116.29860000000001</v>
      </c>
      <c r="L305" s="218"/>
    </row>
    <row r="306" spans="2:12">
      <c r="B306" s="197"/>
      <c r="C306" s="189"/>
      <c r="D306" s="198"/>
      <c r="E306" s="199"/>
      <c r="F306" s="199"/>
      <c r="G306" s="199"/>
      <c r="H306" s="199"/>
      <c r="I306" s="199"/>
      <c r="J306" s="219"/>
      <c r="K306" s="217">
        <f>IF(E306*F306*G306&lt;&gt;0,E306*F306*G306,IF(E306*F306&lt;&gt;0,E306*F306,IF(F306*G306&lt;&gt;0,F306*G306,IF(E306*G306&lt;&gt;0,E306*G306,IF(E306&lt;&gt;0,E306,IF(F306&lt;&gt;0,F306,IF(G306&lt;&gt;0,G306,0)))))))*(IF(H306&lt;&gt;0,H306,1))+I306-J306</f>
        <v>0</v>
      </c>
      <c r="L306" s="218"/>
    </row>
    <row r="307" spans="2:12">
      <c r="B307" s="202"/>
      <c r="C307" s="203"/>
      <c r="D307" s="203"/>
      <c r="E307" s="203"/>
      <c r="F307" s="203"/>
      <c r="G307" s="203"/>
      <c r="H307" s="204"/>
      <c r="I307" s="556" t="s">
        <v>1221</v>
      </c>
      <c r="J307" s="556"/>
      <c r="K307" s="220">
        <f>SUM(K304:K306)</f>
        <v>116.29860000000001</v>
      </c>
      <c r="L307" s="207"/>
    </row>
    <row r="308" spans="2:12">
      <c r="B308" s="208"/>
      <c r="C308" s="204"/>
      <c r="D308" s="204"/>
      <c r="E308" s="204"/>
      <c r="F308" s="204"/>
      <c r="G308" s="204"/>
      <c r="H308" s="209"/>
      <c r="I308" s="557" t="s">
        <v>1222</v>
      </c>
      <c r="J308" s="557"/>
      <c r="K308" s="221">
        <v>115.5</v>
      </c>
      <c r="L308" s="207"/>
    </row>
    <row r="309" spans="2:12">
      <c r="B309" s="208"/>
      <c r="C309" s="204"/>
      <c r="D309" s="204"/>
      <c r="E309" s="204"/>
      <c r="F309" s="204"/>
      <c r="G309" s="204"/>
      <c r="H309" s="558" t="s">
        <v>1223</v>
      </c>
      <c r="I309" s="558"/>
      <c r="J309" s="558"/>
      <c r="K309" s="222">
        <v>115.5</v>
      </c>
      <c r="L309" s="207"/>
    </row>
    <row r="310" spans="2:12">
      <c r="B310" s="208"/>
      <c r="C310" s="204"/>
      <c r="D310" s="204"/>
      <c r="E310" s="204"/>
      <c r="F310" s="204"/>
      <c r="G310" s="204"/>
      <c r="H310" s="558" t="s">
        <v>1250</v>
      </c>
      <c r="I310" s="558"/>
      <c r="J310" s="558"/>
      <c r="K310" s="222">
        <f>IF(K307&gt;K308,K308,K307)-K309</f>
        <v>0</v>
      </c>
      <c r="L310" s="207"/>
    </row>
    <row r="311" spans="2:12">
      <c r="B311" s="213"/>
      <c r="C311" s="214"/>
      <c r="D311" s="214"/>
      <c r="E311" s="214"/>
      <c r="F311" s="214"/>
      <c r="G311" s="214"/>
      <c r="H311" s="559" t="s">
        <v>1224</v>
      </c>
      <c r="I311" s="559"/>
      <c r="J311" s="559"/>
      <c r="K311" s="223">
        <f>IF(K307&gt;K308,K307-K308,0)</f>
        <v>0.79860000000000753</v>
      </c>
      <c r="L311" s="209"/>
    </row>
    <row r="313" spans="2:12" ht="14.25" customHeight="1">
      <c r="B313" s="555" t="s">
        <v>1281</v>
      </c>
      <c r="C313" s="555"/>
      <c r="D313" s="555"/>
      <c r="E313" s="555"/>
      <c r="F313" s="555"/>
      <c r="G313" s="555"/>
      <c r="H313" s="555"/>
      <c r="I313" s="555"/>
      <c r="J313" s="555"/>
      <c r="K313" s="555"/>
      <c r="L313" s="555"/>
    </row>
    <row r="314" spans="2:12">
      <c r="B314" s="187" t="s">
        <v>1209</v>
      </c>
      <c r="C314" s="187"/>
      <c r="D314" s="187" t="s">
        <v>39</v>
      </c>
      <c r="E314" s="187" t="s">
        <v>1210</v>
      </c>
      <c r="F314" s="187" t="s">
        <v>1211</v>
      </c>
      <c r="G314" s="187" t="s">
        <v>1212</v>
      </c>
      <c r="H314" s="187" t="s">
        <v>1213</v>
      </c>
      <c r="I314" s="187" t="s">
        <v>1214</v>
      </c>
      <c r="J314" s="187" t="s">
        <v>1215</v>
      </c>
      <c r="K314" s="187" t="s">
        <v>1216</v>
      </c>
      <c r="L314" s="187" t="s">
        <v>1217</v>
      </c>
    </row>
    <row r="315" spans="2:12">
      <c r="B315" s="188" t="s">
        <v>1273</v>
      </c>
      <c r="C315" s="189" t="s">
        <v>1271</v>
      </c>
      <c r="D315" s="190" t="s">
        <v>1274</v>
      </c>
      <c r="E315" s="191">
        <v>369</v>
      </c>
      <c r="F315" s="243">
        <v>2.4660000000000002</v>
      </c>
      <c r="G315" s="192">
        <v>1.1000000000000001</v>
      </c>
      <c r="H315" s="191"/>
      <c r="I315" s="191"/>
      <c r="J315" s="216"/>
      <c r="K315" s="217">
        <f>IF(E315*F315*G315&lt;&gt;0,E315*F315*G315,IF(E315*F315&lt;&gt;0,E315*F315,IF(F315*G315&lt;&gt;0,F315*G315,IF(E315*G315&lt;&gt;0,E315*G315,IF(E315&lt;&gt;0,E315,IF(F315&lt;&gt;0,F315,IF(G315&lt;&gt;0,G315,0)))))))*(IF(H315&lt;&gt;0,H315,1))+I315-J315</f>
        <v>1000.9494000000002</v>
      </c>
      <c r="L315" s="245" t="s">
        <v>1282</v>
      </c>
    </row>
    <row r="316" spans="2:12">
      <c r="B316" s="188" t="s">
        <v>1273</v>
      </c>
      <c r="C316" s="189" t="s">
        <v>1271</v>
      </c>
      <c r="D316" s="190" t="s">
        <v>1274</v>
      </c>
      <c r="E316" s="191">
        <v>623</v>
      </c>
      <c r="F316" s="243">
        <v>3.8530000000000002</v>
      </c>
      <c r="G316" s="192">
        <v>1.1000000000000001</v>
      </c>
      <c r="H316" s="191"/>
      <c r="I316" s="191"/>
      <c r="J316" s="216"/>
      <c r="K316" s="217">
        <f>IF(E316*F316*G316&lt;&gt;0,E316*F316*G316,IF(E316*F316&lt;&gt;0,E316*F316,IF(F316*G316&lt;&gt;0,F316*G316,IF(E316*G316&lt;&gt;0,E316*G316,IF(E316&lt;&gt;0,E316,IF(F316&lt;&gt;0,F316,IF(G316&lt;&gt;0,G316,0)))))))*(IF(H316&lt;&gt;0,H316,1))+I316-J316</f>
        <v>2640.4609000000005</v>
      </c>
      <c r="L316" s="245" t="s">
        <v>1283</v>
      </c>
    </row>
    <row r="317" spans="2:12">
      <c r="B317" s="188" t="s">
        <v>1275</v>
      </c>
      <c r="C317" s="189" t="s">
        <v>1333</v>
      </c>
      <c r="D317" s="190" t="s">
        <v>1274</v>
      </c>
      <c r="E317" s="191">
        <v>1522</v>
      </c>
      <c r="F317" s="243">
        <v>2.4660000000000002</v>
      </c>
      <c r="G317" s="192">
        <v>1.1000000000000001</v>
      </c>
      <c r="H317" s="191"/>
      <c r="I317" s="191"/>
      <c r="J317" s="216"/>
      <c r="K317" s="217">
        <f>IF(E317*F317*G317&lt;&gt;0,E317*F317*G317,IF(E317*F317&lt;&gt;0,E317*F317,IF(F317*G317&lt;&gt;0,F317*G317,IF(E317*G317&lt;&gt;0,E317*G317,IF(E317&lt;&gt;0,E317,IF(F317&lt;&gt;0,F317,IF(G317&lt;&gt;0,G317,0)))))))*(IF(H317&lt;&gt;0,H317,1))+I317-J317</f>
        <v>4128.5772000000006</v>
      </c>
      <c r="L317" s="245" t="s">
        <v>1282</v>
      </c>
    </row>
    <row r="318" spans="2:12">
      <c r="B318" s="197"/>
      <c r="C318" s="189"/>
      <c r="D318" s="198"/>
      <c r="E318" s="199"/>
      <c r="F318" s="244"/>
      <c r="G318" s="199"/>
      <c r="H318" s="199"/>
      <c r="I318" s="199"/>
      <c r="J318" s="219"/>
      <c r="K318" s="217">
        <f>IF(E318*F318*G318&lt;&gt;0,E318*F318*G318,IF(E318*F318&lt;&gt;0,E318*F318,IF(F318*G318&lt;&gt;0,F318*G318,IF(E318*G318&lt;&gt;0,E318*G318,IF(E318&lt;&gt;0,E318,IF(F318&lt;&gt;0,F318,IF(G318&lt;&gt;0,G318,0)))))))*(IF(H318&lt;&gt;0,H318,1))+I318-J318</f>
        <v>0</v>
      </c>
      <c r="L318" s="218"/>
    </row>
    <row r="319" spans="2:12">
      <c r="B319" s="202"/>
      <c r="C319" s="203"/>
      <c r="D319" s="203"/>
      <c r="E319" s="203"/>
      <c r="F319" s="203"/>
      <c r="G319" s="203"/>
      <c r="H319" s="204"/>
      <c r="I319" s="556" t="s">
        <v>1221</v>
      </c>
      <c r="J319" s="556"/>
      <c r="K319" s="220">
        <f>SUM(K315:K318)</f>
        <v>7769.9875000000011</v>
      </c>
      <c r="L319" s="207"/>
    </row>
    <row r="320" spans="2:12">
      <c r="B320" s="208"/>
      <c r="C320" s="204"/>
      <c r="D320" s="204"/>
      <c r="E320" s="204"/>
      <c r="F320" s="204"/>
      <c r="G320" s="204"/>
      <c r="H320" s="209"/>
      <c r="I320" s="557" t="s">
        <v>1222</v>
      </c>
      <c r="J320" s="557"/>
      <c r="K320" s="221">
        <v>7195.1</v>
      </c>
      <c r="L320" s="207"/>
    </row>
    <row r="321" spans="2:12">
      <c r="B321" s="208"/>
      <c r="C321" s="204"/>
      <c r="D321" s="204"/>
      <c r="E321" s="204"/>
      <c r="F321" s="204"/>
      <c r="G321" s="204"/>
      <c r="H321" s="558" t="s">
        <v>1223</v>
      </c>
      <c r="I321" s="558"/>
      <c r="J321" s="558"/>
      <c r="K321" s="222">
        <v>3641.4103</v>
      </c>
      <c r="L321" s="207"/>
    </row>
    <row r="322" spans="2:12">
      <c r="B322" s="208"/>
      <c r="C322" s="204"/>
      <c r="D322" s="204"/>
      <c r="E322" s="204"/>
      <c r="F322" s="204"/>
      <c r="G322" s="204"/>
      <c r="H322" s="558" t="s">
        <v>1250</v>
      </c>
      <c r="I322" s="558"/>
      <c r="J322" s="558"/>
      <c r="K322" s="222">
        <f>IF(K319&gt;K320,K320,K319)-K321</f>
        <v>3553.6897000000004</v>
      </c>
      <c r="L322" s="207"/>
    </row>
    <row r="323" spans="2:12">
      <c r="B323" s="213"/>
      <c r="C323" s="214"/>
      <c r="D323" s="214"/>
      <c r="E323" s="214"/>
      <c r="F323" s="214"/>
      <c r="G323" s="214"/>
      <c r="H323" s="559" t="s">
        <v>1224</v>
      </c>
      <c r="I323" s="559"/>
      <c r="J323" s="559"/>
      <c r="K323" s="223">
        <f>IF(K319&gt;K320,K319-K320,0)</f>
        <v>574.88750000000073</v>
      </c>
      <c r="L323" s="209"/>
    </row>
    <row r="325" spans="2:12" ht="14.25" customHeight="1">
      <c r="B325" s="555" t="s">
        <v>1284</v>
      </c>
      <c r="C325" s="555"/>
      <c r="D325" s="555"/>
      <c r="E325" s="555"/>
      <c r="F325" s="555"/>
      <c r="G325" s="555"/>
      <c r="H325" s="555"/>
      <c r="I325" s="555"/>
      <c r="J325" s="555"/>
      <c r="K325" s="555"/>
      <c r="L325" s="555"/>
    </row>
    <row r="326" spans="2:12">
      <c r="B326" s="187" t="s">
        <v>1209</v>
      </c>
      <c r="C326" s="187"/>
      <c r="D326" s="187" t="s">
        <v>39</v>
      </c>
      <c r="E326" s="187" t="s">
        <v>1210</v>
      </c>
      <c r="F326" s="187" t="s">
        <v>1211</v>
      </c>
      <c r="G326" s="187" t="s">
        <v>1212</v>
      </c>
      <c r="H326" s="187" t="s">
        <v>1213</v>
      </c>
      <c r="I326" s="187" t="s">
        <v>1214</v>
      </c>
      <c r="J326" s="187" t="s">
        <v>1215</v>
      </c>
      <c r="K326" s="187" t="s">
        <v>1216</v>
      </c>
      <c r="L326" s="187" t="s">
        <v>1217</v>
      </c>
    </row>
    <row r="327" spans="2:12">
      <c r="B327" s="197" t="s">
        <v>1285</v>
      </c>
      <c r="C327" s="189" t="s">
        <v>1271</v>
      </c>
      <c r="D327" s="198" t="s">
        <v>169</v>
      </c>
      <c r="E327" s="199">
        <v>1.9</v>
      </c>
      <c r="F327" s="244">
        <v>0.9</v>
      </c>
      <c r="G327" s="199">
        <v>0.7</v>
      </c>
      <c r="H327" s="199"/>
      <c r="I327" s="199"/>
      <c r="J327" s="219"/>
      <c r="K327" s="217">
        <f t="shared" ref="K327:K372" si="3">IF(E327*F327*G327&lt;&gt;0,E327*F327*G327,IF(E327*F327&lt;&gt;0,E327*F327,IF(F327*G327&lt;&gt;0,F327*G327,IF(E327*G327&lt;&gt;0,E327*G327,IF(E327&lt;&gt;0,E327,IF(F327&lt;&gt;0,F327,IF(G327&lt;&gt;0,G327,0)))))))*(IF(H327&lt;&gt;0,H327,1))+I327-J327</f>
        <v>1.1969999999999998</v>
      </c>
      <c r="L327" s="218"/>
    </row>
    <row r="328" spans="2:12">
      <c r="B328" s="197" t="s">
        <v>1286</v>
      </c>
      <c r="C328" s="189" t="s">
        <v>1271</v>
      </c>
      <c r="D328" s="198" t="s">
        <v>169</v>
      </c>
      <c r="E328" s="199">
        <v>2.2000000000000002</v>
      </c>
      <c r="F328" s="244">
        <v>2.2000000000000002</v>
      </c>
      <c r="G328" s="199">
        <v>1.1000000000000001</v>
      </c>
      <c r="H328" s="199"/>
      <c r="I328" s="199"/>
      <c r="J328" s="219"/>
      <c r="K328" s="217">
        <f t="shared" si="3"/>
        <v>5.3240000000000016</v>
      </c>
      <c r="L328" s="218"/>
    </row>
    <row r="329" spans="2:12">
      <c r="B329" s="197" t="s">
        <v>1287</v>
      </c>
      <c r="C329" s="189" t="s">
        <v>1271</v>
      </c>
      <c r="D329" s="198" t="s">
        <v>169</v>
      </c>
      <c r="E329" s="199">
        <v>2.2000000000000002</v>
      </c>
      <c r="F329" s="244">
        <v>2.2000000000000002</v>
      </c>
      <c r="G329" s="199">
        <v>1.1000000000000001</v>
      </c>
      <c r="H329" s="199"/>
      <c r="I329" s="199"/>
      <c r="J329" s="219"/>
      <c r="K329" s="217">
        <f t="shared" si="3"/>
        <v>5.3240000000000016</v>
      </c>
      <c r="L329" s="218"/>
    </row>
    <row r="330" spans="2:12">
      <c r="B330" s="197" t="s">
        <v>1288</v>
      </c>
      <c r="C330" s="189" t="s">
        <v>1271</v>
      </c>
      <c r="D330" s="198" t="s">
        <v>169</v>
      </c>
      <c r="E330" s="199">
        <v>1.9</v>
      </c>
      <c r="F330" s="244">
        <v>0.9</v>
      </c>
      <c r="G330" s="199">
        <v>1</v>
      </c>
      <c r="H330" s="199"/>
      <c r="I330" s="199"/>
      <c r="J330" s="219"/>
      <c r="K330" s="217">
        <f t="shared" si="3"/>
        <v>1.71</v>
      </c>
      <c r="L330" s="218"/>
    </row>
    <row r="331" spans="2:12">
      <c r="B331" s="197" t="s">
        <v>1289</v>
      </c>
      <c r="C331" s="189" t="s">
        <v>1271</v>
      </c>
      <c r="D331" s="198" t="s">
        <v>169</v>
      </c>
      <c r="E331" s="199">
        <v>1</v>
      </c>
      <c r="F331" s="244">
        <v>1</v>
      </c>
      <c r="G331" s="199">
        <v>0.9</v>
      </c>
      <c r="H331" s="199"/>
      <c r="I331" s="199"/>
      <c r="J331" s="219"/>
      <c r="K331" s="217">
        <f t="shared" si="3"/>
        <v>0.9</v>
      </c>
      <c r="L331" s="218"/>
    </row>
    <row r="332" spans="2:12">
      <c r="B332" s="197" t="s">
        <v>1290</v>
      </c>
      <c r="C332" s="189" t="s">
        <v>1271</v>
      </c>
      <c r="D332" s="198" t="s">
        <v>169</v>
      </c>
      <c r="E332" s="199"/>
      <c r="F332" s="244"/>
      <c r="G332" s="199"/>
      <c r="H332" s="199"/>
      <c r="I332" s="199">
        <v>2.95614</v>
      </c>
      <c r="J332" s="219"/>
      <c r="K332" s="217">
        <f t="shared" si="3"/>
        <v>2.95614</v>
      </c>
      <c r="L332" s="218"/>
    </row>
    <row r="333" spans="2:12">
      <c r="B333" s="197" t="s">
        <v>1291</v>
      </c>
      <c r="C333" s="189" t="s">
        <v>1271</v>
      </c>
      <c r="D333" s="198" t="s">
        <v>169</v>
      </c>
      <c r="E333" s="199">
        <v>2.2000000000000002</v>
      </c>
      <c r="F333" s="244">
        <v>2.2000000000000002</v>
      </c>
      <c r="G333" s="199">
        <v>1.1000000000000001</v>
      </c>
      <c r="H333" s="199"/>
      <c r="I333" s="199"/>
      <c r="J333" s="219"/>
      <c r="K333" s="217">
        <f t="shared" si="3"/>
        <v>5.3240000000000016</v>
      </c>
      <c r="L333" s="218"/>
    </row>
    <row r="334" spans="2:12">
      <c r="B334" s="197" t="s">
        <v>1292</v>
      </c>
      <c r="C334" s="189" t="s">
        <v>1271</v>
      </c>
      <c r="D334" s="198" t="s">
        <v>169</v>
      </c>
      <c r="E334" s="199">
        <v>2.2000000000000002</v>
      </c>
      <c r="F334" s="244">
        <v>2.2000000000000002</v>
      </c>
      <c r="G334" s="199">
        <v>1.1000000000000001</v>
      </c>
      <c r="H334" s="199"/>
      <c r="I334" s="199"/>
      <c r="J334" s="219"/>
      <c r="K334" s="217">
        <f t="shared" si="3"/>
        <v>5.3240000000000016</v>
      </c>
      <c r="L334" s="218"/>
    </row>
    <row r="335" spans="2:12">
      <c r="B335" s="197" t="s">
        <v>1293</v>
      </c>
      <c r="C335" s="189" t="s">
        <v>1271</v>
      </c>
      <c r="D335" s="198" t="s">
        <v>169</v>
      </c>
      <c r="E335" s="199">
        <v>2.2000000000000002</v>
      </c>
      <c r="F335" s="244">
        <v>2.2000000000000002</v>
      </c>
      <c r="G335" s="199">
        <v>1.1000000000000001</v>
      </c>
      <c r="H335" s="199"/>
      <c r="I335" s="199"/>
      <c r="J335" s="219"/>
      <c r="K335" s="217">
        <f t="shared" si="3"/>
        <v>5.3240000000000016</v>
      </c>
      <c r="L335" s="218"/>
    </row>
    <row r="336" spans="2:12">
      <c r="B336" s="197" t="s">
        <v>1294</v>
      </c>
      <c r="C336" s="189" t="s">
        <v>1271</v>
      </c>
      <c r="D336" s="198" t="s">
        <v>169</v>
      </c>
      <c r="E336" s="199">
        <v>1</v>
      </c>
      <c r="F336" s="244">
        <v>1</v>
      </c>
      <c r="G336" s="199">
        <v>0.7</v>
      </c>
      <c r="H336" s="199"/>
      <c r="I336" s="199"/>
      <c r="J336" s="219"/>
      <c r="K336" s="217">
        <f t="shared" si="3"/>
        <v>0.7</v>
      </c>
      <c r="L336" s="218"/>
    </row>
    <row r="337" spans="2:12">
      <c r="B337" s="197" t="s">
        <v>1295</v>
      </c>
      <c r="C337" s="189" t="s">
        <v>1271</v>
      </c>
      <c r="D337" s="198" t="s">
        <v>169</v>
      </c>
      <c r="E337" s="199"/>
      <c r="F337" s="244"/>
      <c r="G337" s="199"/>
      <c r="H337" s="199"/>
      <c r="I337" s="199">
        <v>2.95614</v>
      </c>
      <c r="J337" s="219"/>
      <c r="K337" s="217">
        <f t="shared" si="3"/>
        <v>2.95614</v>
      </c>
      <c r="L337" s="218"/>
    </row>
    <row r="338" spans="2:12">
      <c r="B338" s="197" t="s">
        <v>1336</v>
      </c>
      <c r="C338" s="189" t="s">
        <v>1271</v>
      </c>
      <c r="D338" s="198" t="s">
        <v>169</v>
      </c>
      <c r="E338" s="199">
        <v>2.2000000000000002</v>
      </c>
      <c r="F338" s="244">
        <v>2.2000000000000002</v>
      </c>
      <c r="G338" s="199">
        <v>1.1000000000000001</v>
      </c>
      <c r="H338" s="199"/>
      <c r="I338" s="199"/>
      <c r="J338" s="219"/>
      <c r="K338" s="217">
        <f t="shared" si="3"/>
        <v>5.3240000000000016</v>
      </c>
      <c r="L338" s="218"/>
    </row>
    <row r="339" spans="2:12">
      <c r="B339" s="197" t="s">
        <v>1337</v>
      </c>
      <c r="C339" s="189" t="s">
        <v>1271</v>
      </c>
      <c r="D339" s="198" t="s">
        <v>169</v>
      </c>
      <c r="E339" s="199">
        <v>2.2000000000000002</v>
      </c>
      <c r="F339" s="244">
        <v>2.2000000000000002</v>
      </c>
      <c r="G339" s="199">
        <v>1.1000000000000001</v>
      </c>
      <c r="H339" s="199"/>
      <c r="I339" s="199"/>
      <c r="J339" s="219"/>
      <c r="K339" s="217">
        <f t="shared" si="3"/>
        <v>5.3240000000000016</v>
      </c>
      <c r="L339" s="218"/>
    </row>
    <row r="340" spans="2:12">
      <c r="B340" s="197" t="s">
        <v>1338</v>
      </c>
      <c r="C340" s="189" t="s">
        <v>1271</v>
      </c>
      <c r="D340" s="198" t="s">
        <v>169</v>
      </c>
      <c r="E340" s="199">
        <v>2.2000000000000002</v>
      </c>
      <c r="F340" s="244">
        <v>2.2000000000000002</v>
      </c>
      <c r="G340" s="199">
        <v>1.1000000000000001</v>
      </c>
      <c r="H340" s="199"/>
      <c r="I340" s="199"/>
      <c r="J340" s="219"/>
      <c r="K340" s="217">
        <f t="shared" si="3"/>
        <v>5.3240000000000016</v>
      </c>
      <c r="L340" s="218"/>
    </row>
    <row r="341" spans="2:12">
      <c r="B341" s="197" t="s">
        <v>1339</v>
      </c>
      <c r="C341" s="189" t="s">
        <v>1271</v>
      </c>
      <c r="D341" s="198" t="s">
        <v>169</v>
      </c>
      <c r="E341" s="199">
        <v>1</v>
      </c>
      <c r="F341" s="244">
        <v>1</v>
      </c>
      <c r="G341" s="199">
        <v>0.7</v>
      </c>
      <c r="H341" s="199"/>
      <c r="I341" s="199"/>
      <c r="J341" s="219"/>
      <c r="K341" s="217">
        <f t="shared" si="3"/>
        <v>0.7</v>
      </c>
      <c r="L341" s="218"/>
    </row>
    <row r="342" spans="2:12">
      <c r="B342" s="197" t="s">
        <v>1340</v>
      </c>
      <c r="C342" s="189" t="s">
        <v>1271</v>
      </c>
      <c r="D342" s="198" t="s">
        <v>169</v>
      </c>
      <c r="E342" s="199">
        <v>1.9</v>
      </c>
      <c r="F342" s="244">
        <v>0.9</v>
      </c>
      <c r="G342" s="199">
        <v>0.7</v>
      </c>
      <c r="H342" s="199"/>
      <c r="I342" s="199"/>
      <c r="J342" s="219"/>
      <c r="K342" s="217">
        <f t="shared" si="3"/>
        <v>1.1969999999999998</v>
      </c>
      <c r="L342" s="218"/>
    </row>
    <row r="343" spans="2:12">
      <c r="B343" s="197" t="s">
        <v>1296</v>
      </c>
      <c r="C343" s="189" t="s">
        <v>1271</v>
      </c>
      <c r="D343" s="198" t="s">
        <v>169</v>
      </c>
      <c r="E343" s="199">
        <v>1.9</v>
      </c>
      <c r="F343" s="244">
        <v>0.9</v>
      </c>
      <c r="G343" s="199">
        <v>0.7</v>
      </c>
      <c r="H343" s="199"/>
      <c r="I343" s="199"/>
      <c r="J343" s="219"/>
      <c r="K343" s="217">
        <f t="shared" si="3"/>
        <v>1.1969999999999998</v>
      </c>
      <c r="L343" s="218"/>
    </row>
    <row r="344" spans="2:12">
      <c r="B344" s="197" t="s">
        <v>1341</v>
      </c>
      <c r="C344" s="189" t="s">
        <v>1271</v>
      </c>
      <c r="D344" s="198" t="s">
        <v>169</v>
      </c>
      <c r="E344" s="199"/>
      <c r="F344" s="244"/>
      <c r="G344" s="199"/>
      <c r="H344" s="199"/>
      <c r="I344" s="199">
        <v>2.95614</v>
      </c>
      <c r="J344" s="219"/>
      <c r="K344" s="217">
        <f t="shared" si="3"/>
        <v>2.95614</v>
      </c>
      <c r="L344" s="218"/>
    </row>
    <row r="345" spans="2:12">
      <c r="B345" s="197" t="s">
        <v>1342</v>
      </c>
      <c r="C345" s="189" t="s">
        <v>1333</v>
      </c>
      <c r="D345" s="198" t="s">
        <v>169</v>
      </c>
      <c r="E345" s="199">
        <v>3.14</v>
      </c>
      <c r="F345" s="244">
        <v>3.14</v>
      </c>
      <c r="G345" s="199">
        <v>2.1</v>
      </c>
      <c r="H345" s="199"/>
      <c r="I345" s="199"/>
      <c r="J345" s="219"/>
      <c r="K345" s="217">
        <f t="shared" si="3"/>
        <v>20.705160000000003</v>
      </c>
      <c r="L345" s="218"/>
    </row>
    <row r="346" spans="2:12">
      <c r="B346" s="197" t="s">
        <v>1343</v>
      </c>
      <c r="C346" s="189" t="s">
        <v>1333</v>
      </c>
      <c r="D346" s="198" t="s">
        <v>169</v>
      </c>
      <c r="E346" s="199">
        <v>2.2000000000000002</v>
      </c>
      <c r="F346" s="244">
        <v>2.2000000000000002</v>
      </c>
      <c r="G346" s="199">
        <v>1.1000000000000001</v>
      </c>
      <c r="H346" s="199"/>
      <c r="I346" s="199"/>
      <c r="J346" s="219"/>
      <c r="K346" s="217">
        <f t="shared" si="3"/>
        <v>5.3240000000000016</v>
      </c>
      <c r="L346" s="218"/>
    </row>
    <row r="347" spans="2:12">
      <c r="B347" s="197" t="s">
        <v>1297</v>
      </c>
      <c r="C347" s="189" t="s">
        <v>1333</v>
      </c>
      <c r="D347" s="198" t="s">
        <v>169</v>
      </c>
      <c r="E347" s="199">
        <v>3.4</v>
      </c>
      <c r="F347" s="244">
        <v>1</v>
      </c>
      <c r="G347" s="199">
        <v>1.2</v>
      </c>
      <c r="H347" s="199"/>
      <c r="I347" s="199"/>
      <c r="J347" s="219"/>
      <c r="K347" s="217">
        <f t="shared" si="3"/>
        <v>4.08</v>
      </c>
      <c r="L347" s="218"/>
    </row>
    <row r="348" spans="2:12">
      <c r="B348" s="197" t="s">
        <v>1344</v>
      </c>
      <c r="C348" s="189" t="s">
        <v>1333</v>
      </c>
      <c r="D348" s="198" t="s">
        <v>169</v>
      </c>
      <c r="E348" s="199">
        <v>2.2000000000000002</v>
      </c>
      <c r="F348" s="244">
        <v>2.2000000000000002</v>
      </c>
      <c r="G348" s="199">
        <v>1.1000000000000001</v>
      </c>
      <c r="H348" s="199"/>
      <c r="I348" s="199"/>
      <c r="J348" s="219"/>
      <c r="K348" s="217">
        <f t="shared" si="3"/>
        <v>5.3240000000000016</v>
      </c>
      <c r="L348" s="218"/>
    </row>
    <row r="349" spans="2:12">
      <c r="B349" s="197" t="s">
        <v>1345</v>
      </c>
      <c r="C349" s="189" t="s">
        <v>1333</v>
      </c>
      <c r="D349" s="198" t="s">
        <v>169</v>
      </c>
      <c r="E349" s="199">
        <v>2.2000000000000002</v>
      </c>
      <c r="F349" s="244">
        <v>2.2000000000000002</v>
      </c>
      <c r="G349" s="199">
        <v>1.1000000000000001</v>
      </c>
      <c r="H349" s="199"/>
      <c r="I349" s="199"/>
      <c r="J349" s="219"/>
      <c r="K349" s="217">
        <f t="shared" si="3"/>
        <v>5.3240000000000016</v>
      </c>
      <c r="L349" s="218"/>
    </row>
    <row r="350" spans="2:12">
      <c r="B350" s="197" t="s">
        <v>1298</v>
      </c>
      <c r="C350" s="189" t="s">
        <v>1333</v>
      </c>
      <c r="D350" s="198" t="s">
        <v>169</v>
      </c>
      <c r="E350" s="199">
        <v>3.4</v>
      </c>
      <c r="F350" s="244">
        <v>2.2000000000000002</v>
      </c>
      <c r="G350" s="199">
        <v>1.34</v>
      </c>
      <c r="H350" s="199"/>
      <c r="I350" s="199"/>
      <c r="J350" s="219"/>
      <c r="K350" s="217">
        <f t="shared" si="3"/>
        <v>10.023200000000001</v>
      </c>
      <c r="L350" s="218"/>
    </row>
    <row r="351" spans="2:12">
      <c r="B351" s="197" t="s">
        <v>1346</v>
      </c>
      <c r="C351" s="189" t="s">
        <v>1333</v>
      </c>
      <c r="D351" s="198" t="s">
        <v>169</v>
      </c>
      <c r="E351" s="199">
        <v>2.2000000000000002</v>
      </c>
      <c r="F351" s="244">
        <v>2.2000000000000002</v>
      </c>
      <c r="G351" s="199">
        <v>1.1000000000000001</v>
      </c>
      <c r="H351" s="199"/>
      <c r="I351" s="199"/>
      <c r="J351" s="219"/>
      <c r="K351" s="217">
        <f t="shared" si="3"/>
        <v>5.3240000000000016</v>
      </c>
      <c r="L351" s="218"/>
    </row>
    <row r="352" spans="2:12">
      <c r="B352" s="197" t="s">
        <v>1347</v>
      </c>
      <c r="C352" s="189" t="s">
        <v>1333</v>
      </c>
      <c r="D352" s="198" t="s">
        <v>169</v>
      </c>
      <c r="E352" s="199"/>
      <c r="F352" s="244"/>
      <c r="G352" s="199"/>
      <c r="H352" s="199"/>
      <c r="I352" s="199">
        <v>2.95614</v>
      </c>
      <c r="J352" s="219"/>
      <c r="K352" s="217">
        <f t="shared" si="3"/>
        <v>2.95614</v>
      </c>
      <c r="L352" s="218"/>
    </row>
    <row r="353" spans="2:12">
      <c r="B353" s="197" t="s">
        <v>1348</v>
      </c>
      <c r="C353" s="189" t="s">
        <v>1333</v>
      </c>
      <c r="D353" s="198" t="s">
        <v>169</v>
      </c>
      <c r="E353" s="199">
        <v>3.14</v>
      </c>
      <c r="F353" s="244">
        <v>3.14</v>
      </c>
      <c r="G353" s="199">
        <v>2.1</v>
      </c>
      <c r="H353" s="199"/>
      <c r="I353" s="199"/>
      <c r="J353" s="219"/>
      <c r="K353" s="217">
        <f t="shared" si="3"/>
        <v>20.705160000000003</v>
      </c>
      <c r="L353" s="218"/>
    </row>
    <row r="354" spans="2:12">
      <c r="B354" s="197" t="s">
        <v>1349</v>
      </c>
      <c r="C354" s="189" t="s">
        <v>1333</v>
      </c>
      <c r="D354" s="198" t="s">
        <v>169</v>
      </c>
      <c r="E354" s="199">
        <v>3.4</v>
      </c>
      <c r="F354" s="244">
        <v>2.2000000000000002</v>
      </c>
      <c r="G354" s="199">
        <v>1.1000000000000001</v>
      </c>
      <c r="H354" s="199"/>
      <c r="I354" s="199"/>
      <c r="J354" s="219"/>
      <c r="K354" s="217">
        <f t="shared" si="3"/>
        <v>8.2280000000000015</v>
      </c>
      <c r="L354" s="218"/>
    </row>
    <row r="355" spans="2:12">
      <c r="B355" s="197" t="s">
        <v>1350</v>
      </c>
      <c r="C355" s="189" t="s">
        <v>1333</v>
      </c>
      <c r="D355" s="198" t="s">
        <v>169</v>
      </c>
      <c r="E355" s="199">
        <v>3.4</v>
      </c>
      <c r="F355" s="244">
        <v>2.2000000000000002</v>
      </c>
      <c r="G355" s="199">
        <v>1.1000000000000001</v>
      </c>
      <c r="H355" s="199"/>
      <c r="I355" s="199"/>
      <c r="J355" s="219"/>
      <c r="K355" s="217">
        <f t="shared" si="3"/>
        <v>8.2280000000000015</v>
      </c>
      <c r="L355" s="218"/>
    </row>
    <row r="356" spans="2:12">
      <c r="B356" s="197" t="s">
        <v>1351</v>
      </c>
      <c r="C356" s="189" t="s">
        <v>1333</v>
      </c>
      <c r="D356" s="198" t="s">
        <v>169</v>
      </c>
      <c r="E356" s="199">
        <v>2.2000000000000002</v>
      </c>
      <c r="F356" s="244">
        <v>2.2000000000000002</v>
      </c>
      <c r="G356" s="199">
        <v>1.1000000000000001</v>
      </c>
      <c r="H356" s="199"/>
      <c r="I356" s="199"/>
      <c r="J356" s="219"/>
      <c r="K356" s="217">
        <f t="shared" si="3"/>
        <v>5.3240000000000016</v>
      </c>
      <c r="L356" s="218"/>
    </row>
    <row r="357" spans="2:12">
      <c r="B357" s="197" t="s">
        <v>1352</v>
      </c>
      <c r="C357" s="189" t="s">
        <v>1333</v>
      </c>
      <c r="D357" s="198" t="s">
        <v>169</v>
      </c>
      <c r="E357" s="199">
        <v>1</v>
      </c>
      <c r="F357" s="244">
        <v>1</v>
      </c>
      <c r="G357" s="199">
        <v>0.7</v>
      </c>
      <c r="H357" s="199"/>
      <c r="I357" s="199"/>
      <c r="J357" s="219"/>
      <c r="K357" s="217">
        <f t="shared" si="3"/>
        <v>0.7</v>
      </c>
      <c r="L357" s="218"/>
    </row>
    <row r="358" spans="2:12">
      <c r="B358" s="197" t="s">
        <v>1353</v>
      </c>
      <c r="C358" s="189" t="s">
        <v>1333</v>
      </c>
      <c r="D358" s="198" t="s">
        <v>169</v>
      </c>
      <c r="E358" s="199">
        <v>1</v>
      </c>
      <c r="F358" s="244">
        <v>1</v>
      </c>
      <c r="G358" s="199">
        <v>0.7</v>
      </c>
      <c r="H358" s="199"/>
      <c r="I358" s="199"/>
      <c r="J358" s="219"/>
      <c r="K358" s="217">
        <f t="shared" si="3"/>
        <v>0.7</v>
      </c>
      <c r="L358" s="218"/>
    </row>
    <row r="359" spans="2:12">
      <c r="B359" s="197" t="s">
        <v>1354</v>
      </c>
      <c r="C359" s="189" t="s">
        <v>1333</v>
      </c>
      <c r="D359" s="198" t="s">
        <v>169</v>
      </c>
      <c r="E359" s="199">
        <v>1</v>
      </c>
      <c r="F359" s="244">
        <v>1</v>
      </c>
      <c r="G359" s="199">
        <v>0.7</v>
      </c>
      <c r="H359" s="199"/>
      <c r="I359" s="199"/>
      <c r="J359" s="219"/>
      <c r="K359" s="217">
        <f t="shared" si="3"/>
        <v>0.7</v>
      </c>
      <c r="L359" s="218"/>
    </row>
    <row r="360" spans="2:12">
      <c r="B360" s="197" t="s">
        <v>1355</v>
      </c>
      <c r="C360" s="189" t="s">
        <v>1333</v>
      </c>
      <c r="D360" s="198" t="s">
        <v>169</v>
      </c>
      <c r="E360" s="199">
        <v>1</v>
      </c>
      <c r="F360" s="244">
        <v>1</v>
      </c>
      <c r="G360" s="199">
        <v>0.7</v>
      </c>
      <c r="H360" s="199"/>
      <c r="I360" s="199"/>
      <c r="J360" s="219"/>
      <c r="K360" s="217">
        <f t="shared" si="3"/>
        <v>0.7</v>
      </c>
      <c r="L360" s="218"/>
    </row>
    <row r="361" spans="2:12">
      <c r="B361" s="197" t="s">
        <v>1356</v>
      </c>
      <c r="C361" s="189" t="s">
        <v>1333</v>
      </c>
      <c r="D361" s="198" t="s">
        <v>169</v>
      </c>
      <c r="E361" s="199">
        <v>2.2000000000000002</v>
      </c>
      <c r="F361" s="244">
        <v>2.2000000000000002</v>
      </c>
      <c r="G361" s="199">
        <v>1.1000000000000001</v>
      </c>
      <c r="H361" s="199"/>
      <c r="I361" s="199"/>
      <c r="J361" s="219"/>
      <c r="K361" s="217">
        <f t="shared" si="3"/>
        <v>5.3240000000000016</v>
      </c>
      <c r="L361" s="218"/>
    </row>
    <row r="362" spans="2:12">
      <c r="B362" s="197" t="s">
        <v>1357</v>
      </c>
      <c r="C362" s="189" t="s">
        <v>1333</v>
      </c>
      <c r="D362" s="198" t="s">
        <v>169</v>
      </c>
      <c r="E362" s="199">
        <v>2.2000000000000002</v>
      </c>
      <c r="F362" s="244">
        <v>2.2000000000000002</v>
      </c>
      <c r="G362" s="199">
        <v>1.1000000000000001</v>
      </c>
      <c r="H362" s="199"/>
      <c r="I362" s="199"/>
      <c r="J362" s="219"/>
      <c r="K362" s="217">
        <f t="shared" si="3"/>
        <v>5.3240000000000016</v>
      </c>
      <c r="L362" s="218"/>
    </row>
    <row r="363" spans="2:12">
      <c r="B363" s="197" t="s">
        <v>1358</v>
      </c>
      <c r="C363" s="189" t="s">
        <v>1333</v>
      </c>
      <c r="D363" s="198" t="s">
        <v>169</v>
      </c>
      <c r="E363" s="199">
        <v>2.2000000000000002</v>
      </c>
      <c r="F363" s="244">
        <v>2.2000000000000002</v>
      </c>
      <c r="G363" s="199">
        <v>1.1000000000000001</v>
      </c>
      <c r="H363" s="199"/>
      <c r="I363" s="199"/>
      <c r="J363" s="219"/>
      <c r="K363" s="217">
        <f t="shared" si="3"/>
        <v>5.3240000000000016</v>
      </c>
      <c r="L363" s="218"/>
    </row>
    <row r="364" spans="2:12">
      <c r="B364" s="197" t="s">
        <v>1359</v>
      </c>
      <c r="C364" s="189" t="s">
        <v>1333</v>
      </c>
      <c r="D364" s="198" t="s">
        <v>169</v>
      </c>
      <c r="E364" s="199">
        <v>2.2000000000000002</v>
      </c>
      <c r="F364" s="244">
        <v>2.2000000000000002</v>
      </c>
      <c r="G364" s="199">
        <v>1.1000000000000001</v>
      </c>
      <c r="H364" s="199"/>
      <c r="I364" s="199"/>
      <c r="J364" s="219"/>
      <c r="K364" s="217">
        <f t="shared" si="3"/>
        <v>5.3240000000000016</v>
      </c>
      <c r="L364" s="218"/>
    </row>
    <row r="365" spans="2:12">
      <c r="B365" s="197" t="s">
        <v>1360</v>
      </c>
      <c r="C365" s="189" t="s">
        <v>1333</v>
      </c>
      <c r="D365" s="198" t="s">
        <v>169</v>
      </c>
      <c r="E365" s="199">
        <v>1</v>
      </c>
      <c r="F365" s="244">
        <v>1</v>
      </c>
      <c r="G365" s="199">
        <v>0.7</v>
      </c>
      <c r="H365" s="199"/>
      <c r="I365" s="199"/>
      <c r="J365" s="219"/>
      <c r="K365" s="217">
        <f t="shared" si="3"/>
        <v>0.7</v>
      </c>
      <c r="L365" s="218"/>
    </row>
    <row r="366" spans="2:12">
      <c r="B366" s="197" t="s">
        <v>1361</v>
      </c>
      <c r="C366" s="189" t="s">
        <v>1333</v>
      </c>
      <c r="D366" s="198" t="s">
        <v>169</v>
      </c>
      <c r="E366" s="199">
        <v>1</v>
      </c>
      <c r="F366" s="244">
        <v>1</v>
      </c>
      <c r="G366" s="199">
        <v>0.7</v>
      </c>
      <c r="H366" s="199"/>
      <c r="I366" s="199"/>
      <c r="J366" s="219"/>
      <c r="K366" s="217">
        <f t="shared" si="3"/>
        <v>0.7</v>
      </c>
      <c r="L366" s="218"/>
    </row>
    <row r="367" spans="2:12">
      <c r="B367" s="197" t="s">
        <v>1362</v>
      </c>
      <c r="C367" s="189" t="s">
        <v>1333</v>
      </c>
      <c r="D367" s="198" t="s">
        <v>169</v>
      </c>
      <c r="E367" s="199">
        <v>2.2000000000000002</v>
      </c>
      <c r="F367" s="244">
        <v>2.2000000000000002</v>
      </c>
      <c r="G367" s="199">
        <v>1.1000000000000001</v>
      </c>
      <c r="H367" s="199"/>
      <c r="I367" s="199"/>
      <c r="J367" s="219"/>
      <c r="K367" s="217">
        <f t="shared" si="3"/>
        <v>5.3240000000000016</v>
      </c>
      <c r="L367" s="218"/>
    </row>
    <row r="368" spans="2:12">
      <c r="B368" s="197" t="s">
        <v>1363</v>
      </c>
      <c r="C368" s="189" t="s">
        <v>1333</v>
      </c>
      <c r="D368" s="198" t="s">
        <v>169</v>
      </c>
      <c r="E368" s="199">
        <v>2.2000000000000002</v>
      </c>
      <c r="F368" s="244">
        <v>2.2000000000000002</v>
      </c>
      <c r="G368" s="199">
        <v>1.1000000000000001</v>
      </c>
      <c r="H368" s="199"/>
      <c r="I368" s="199"/>
      <c r="J368" s="219"/>
      <c r="K368" s="217">
        <f t="shared" si="3"/>
        <v>5.3240000000000016</v>
      </c>
      <c r="L368" s="218"/>
    </row>
    <row r="369" spans="2:12">
      <c r="B369" s="197" t="s">
        <v>1364</v>
      </c>
      <c r="C369" s="189" t="s">
        <v>1333</v>
      </c>
      <c r="D369" s="198" t="s">
        <v>169</v>
      </c>
      <c r="E369" s="199">
        <v>1.9</v>
      </c>
      <c r="F369" s="244">
        <v>0.9</v>
      </c>
      <c r="G369" s="199">
        <v>1</v>
      </c>
      <c r="H369" s="199"/>
      <c r="I369" s="199"/>
      <c r="J369" s="219"/>
      <c r="K369" s="217">
        <f t="shared" si="3"/>
        <v>1.71</v>
      </c>
      <c r="L369" s="218"/>
    </row>
    <row r="370" spans="2:12">
      <c r="B370" s="197" t="s">
        <v>1442</v>
      </c>
      <c r="C370" s="189" t="s">
        <v>1441</v>
      </c>
      <c r="D370" s="198" t="s">
        <v>169</v>
      </c>
      <c r="E370" s="199">
        <v>3.4</v>
      </c>
      <c r="F370" s="244">
        <v>2</v>
      </c>
      <c r="G370" s="199">
        <v>1.3</v>
      </c>
      <c r="H370" s="199"/>
      <c r="I370" s="199"/>
      <c r="J370" s="219"/>
      <c r="K370" s="217">
        <f t="shared" si="3"/>
        <v>8.84</v>
      </c>
      <c r="L370" s="218"/>
    </row>
    <row r="371" spans="2:12">
      <c r="B371" s="197" t="s">
        <v>1443</v>
      </c>
      <c r="C371" s="189" t="s">
        <v>1441</v>
      </c>
      <c r="D371" s="198" t="s">
        <v>169</v>
      </c>
      <c r="E371" s="199">
        <v>3.4</v>
      </c>
      <c r="F371" s="244">
        <v>2</v>
      </c>
      <c r="G371" s="199">
        <v>1.3</v>
      </c>
      <c r="H371" s="199"/>
      <c r="I371" s="199">
        <f>0.01/'BM 005'!L78</f>
        <v>1.051856435491579E-5</v>
      </c>
      <c r="J371" s="219"/>
      <c r="K371" s="217">
        <f t="shared" si="3"/>
        <v>8.8400105185643554</v>
      </c>
      <c r="L371" s="218"/>
    </row>
    <row r="372" spans="2:12">
      <c r="B372" s="197"/>
      <c r="C372" s="189"/>
      <c r="D372" s="198"/>
      <c r="E372" s="199"/>
      <c r="F372" s="244"/>
      <c r="G372" s="199"/>
      <c r="H372" s="199"/>
      <c r="I372" s="199"/>
      <c r="J372" s="219"/>
      <c r="K372" s="217">
        <f t="shared" si="3"/>
        <v>0</v>
      </c>
      <c r="L372" s="218"/>
    </row>
    <row r="373" spans="2:12">
      <c r="B373" s="202"/>
      <c r="C373" s="203"/>
      <c r="D373" s="203"/>
      <c r="E373" s="203"/>
      <c r="F373" s="203"/>
      <c r="G373" s="203"/>
      <c r="H373" s="204"/>
      <c r="I373" s="556" t="s">
        <v>1221</v>
      </c>
      <c r="J373" s="556"/>
      <c r="K373" s="220">
        <f>SUM(K327:K372)</f>
        <v>216.14109051856443</v>
      </c>
      <c r="L373" s="207"/>
    </row>
    <row r="374" spans="2:12">
      <c r="B374" s="208"/>
      <c r="C374" s="204"/>
      <c r="D374" s="204"/>
      <c r="E374" s="204"/>
      <c r="F374" s="204"/>
      <c r="G374" s="204"/>
      <c r="H374" s="209"/>
      <c r="I374" s="557" t="s">
        <v>1222</v>
      </c>
      <c r="J374" s="557"/>
      <c r="K374" s="221">
        <v>213.07</v>
      </c>
      <c r="L374" s="207"/>
    </row>
    <row r="375" spans="2:12">
      <c r="B375" s="208"/>
      <c r="C375" s="204"/>
      <c r="D375" s="204"/>
      <c r="E375" s="204"/>
      <c r="F375" s="204"/>
      <c r="G375" s="204"/>
      <c r="H375" s="558" t="s">
        <v>1223</v>
      </c>
      <c r="I375" s="558"/>
      <c r="J375" s="558"/>
      <c r="K375" s="222">
        <v>198.46108000000001</v>
      </c>
      <c r="L375" s="207"/>
    </row>
    <row r="376" spans="2:12">
      <c r="B376" s="208"/>
      <c r="C376" s="204"/>
      <c r="D376" s="204"/>
      <c r="E376" s="204"/>
      <c r="F376" s="204"/>
      <c r="G376" s="204"/>
      <c r="H376" s="558" t="s">
        <v>1431</v>
      </c>
      <c r="I376" s="558"/>
      <c r="J376" s="558"/>
      <c r="K376" s="222">
        <f>IF(K373&gt;K374,K374,K373)-K375+0.0000105185643549158</f>
        <v>14.608930518564339</v>
      </c>
      <c r="L376" s="207"/>
    </row>
    <row r="377" spans="2:12">
      <c r="B377" s="213"/>
      <c r="C377" s="214"/>
      <c r="D377" s="214"/>
      <c r="E377" s="214"/>
      <c r="F377" s="214"/>
      <c r="G377" s="214"/>
      <c r="H377" s="559" t="s">
        <v>1224</v>
      </c>
      <c r="I377" s="559"/>
      <c r="J377" s="559"/>
      <c r="K377" s="223">
        <f>IF(K373&gt;K374,K373-K374,0)</f>
        <v>3.0710905185644322</v>
      </c>
      <c r="L377" s="209"/>
    </row>
    <row r="379" spans="2:12" ht="14.25" customHeight="1">
      <c r="B379" s="555" t="s">
        <v>1300</v>
      </c>
      <c r="C379" s="555"/>
      <c r="D379" s="555"/>
      <c r="E379" s="555"/>
      <c r="F379" s="555"/>
      <c r="G379" s="555"/>
      <c r="H379" s="555"/>
      <c r="I379" s="555"/>
      <c r="J379" s="555"/>
      <c r="K379" s="555"/>
      <c r="L379" s="555"/>
    </row>
    <row r="380" spans="2:12">
      <c r="B380" s="187" t="s">
        <v>1209</v>
      </c>
      <c r="C380" s="187"/>
      <c r="D380" s="187" t="s">
        <v>39</v>
      </c>
      <c r="E380" s="187" t="s">
        <v>1210</v>
      </c>
      <c r="F380" s="187" t="s">
        <v>1211</v>
      </c>
      <c r="G380" s="187" t="s">
        <v>1212</v>
      </c>
      <c r="H380" s="187" t="s">
        <v>1213</v>
      </c>
      <c r="I380" s="187" t="s">
        <v>1214</v>
      </c>
      <c r="J380" s="187" t="s">
        <v>1215</v>
      </c>
      <c r="K380" s="187" t="s">
        <v>1216</v>
      </c>
      <c r="L380" s="187" t="s">
        <v>1217</v>
      </c>
    </row>
    <row r="381" spans="2:12">
      <c r="B381" s="188" t="s">
        <v>1301</v>
      </c>
      <c r="C381" s="189" t="s">
        <v>1271</v>
      </c>
      <c r="D381" s="190" t="s">
        <v>1274</v>
      </c>
      <c r="E381" s="191">
        <v>646</v>
      </c>
      <c r="F381" s="243">
        <v>0.16</v>
      </c>
      <c r="G381" s="192"/>
      <c r="H381" s="191">
        <v>1.1000000000000001</v>
      </c>
      <c r="I381" s="191"/>
      <c r="J381" s="216"/>
      <c r="K381" s="217">
        <f>IF(E381*F381*G381&lt;&gt;0,E381*F381*G381,IF(E381*F381&lt;&gt;0,E381*F381,IF(F381*G381&lt;&gt;0,F381*G381,IF(E381*G381&lt;&gt;0,E381*G381,IF(E381&lt;&gt;0,E381,IF(F381&lt;&gt;0,F381,IF(G381&lt;&gt;0,G381,0)))))))*(IF(H381&lt;&gt;0,H381,1))+I381-J381</f>
        <v>113.69600000000001</v>
      </c>
      <c r="L381" s="218"/>
    </row>
    <row r="382" spans="2:12">
      <c r="B382" s="188" t="s">
        <v>1302</v>
      </c>
      <c r="C382" s="189" t="s">
        <v>1271</v>
      </c>
      <c r="D382" s="190" t="s">
        <v>1274</v>
      </c>
      <c r="E382" s="191">
        <v>348</v>
      </c>
      <c r="F382" s="243">
        <v>0.16</v>
      </c>
      <c r="G382" s="192"/>
      <c r="H382" s="191">
        <v>1.1000000000000001</v>
      </c>
      <c r="I382" s="191"/>
      <c r="J382" s="216"/>
      <c r="K382" s="217">
        <f>IF(E382*F382*G382&lt;&gt;0,E382*F382*G382,IF(E382*F382&lt;&gt;0,E382*F382,IF(F382*G382&lt;&gt;0,F382*G382,IF(E382*G382&lt;&gt;0,E382*G382,IF(E382&lt;&gt;0,E382,IF(F382&lt;&gt;0,F382,IF(G382&lt;&gt;0,G382,0)))))))*(IF(H382&lt;&gt;0,H382,1))+I382-J382</f>
        <v>61.248000000000005</v>
      </c>
      <c r="L382" s="218"/>
    </row>
    <row r="383" spans="2:12">
      <c r="B383" s="188" t="s">
        <v>1365</v>
      </c>
      <c r="C383" s="189" t="s">
        <v>1271</v>
      </c>
      <c r="D383" s="190" t="s">
        <v>1274</v>
      </c>
      <c r="E383" s="191">
        <v>43.18</v>
      </c>
      <c r="F383" s="243"/>
      <c r="G383" s="192"/>
      <c r="H383" s="191">
        <v>0.26</v>
      </c>
      <c r="I383" s="191"/>
      <c r="J383" s="216"/>
      <c r="K383" s="217">
        <f>IF(E383*F383*G383&lt;&gt;0,E383*F383*G383,IF(E383*F383&lt;&gt;0,E383*F383,IF(F383*G383&lt;&gt;0,F383*G383,IF(E383*G383&lt;&gt;0,E383*G383,IF(E383&lt;&gt;0,E383,IF(F383&lt;&gt;0,F383,IF(G383&lt;&gt;0,G383,0)))))))*(IF(H383&lt;&gt;0,H383,1))+I383-J383</f>
        <v>11.226800000000001</v>
      </c>
      <c r="L383" s="245" t="s">
        <v>1366</v>
      </c>
    </row>
    <row r="384" spans="2:12">
      <c r="B384" s="197"/>
      <c r="C384" s="189"/>
      <c r="D384" s="198"/>
      <c r="E384" s="199"/>
      <c r="F384" s="244"/>
      <c r="G384" s="199"/>
      <c r="H384" s="199"/>
      <c r="I384" s="199"/>
      <c r="J384" s="219"/>
      <c r="K384" s="217">
        <f>IF(E384*F384*G384&lt;&gt;0,E384*F384*G384,IF(E384*F384&lt;&gt;0,E384*F384,IF(F384*G384&lt;&gt;0,F384*G384,IF(E384*G384&lt;&gt;0,E384*G384,IF(E384&lt;&gt;0,E384,IF(F384&lt;&gt;0,F384,IF(G384&lt;&gt;0,G384,0)))))))*(IF(H384&lt;&gt;0,H384,1))+I384-J384</f>
        <v>0</v>
      </c>
      <c r="L384" s="218"/>
    </row>
    <row r="385" spans="2:12">
      <c r="B385" s="202"/>
      <c r="C385" s="203"/>
      <c r="D385" s="203"/>
      <c r="E385" s="203"/>
      <c r="F385" s="203"/>
      <c r="G385" s="203"/>
      <c r="H385" s="204"/>
      <c r="I385" s="556" t="s">
        <v>1221</v>
      </c>
      <c r="J385" s="556"/>
      <c r="K385" s="220">
        <f>SUM(K381:K384)</f>
        <v>186.17080000000001</v>
      </c>
      <c r="L385" s="207"/>
    </row>
    <row r="386" spans="2:12">
      <c r="B386" s="208"/>
      <c r="C386" s="204"/>
      <c r="D386" s="204"/>
      <c r="E386" s="204"/>
      <c r="F386" s="204"/>
      <c r="G386" s="204"/>
      <c r="H386" s="209"/>
      <c r="I386" s="557" t="s">
        <v>1222</v>
      </c>
      <c r="J386" s="557"/>
      <c r="K386" s="221">
        <v>185.9</v>
      </c>
      <c r="L386" s="207"/>
    </row>
    <row r="387" spans="2:12">
      <c r="B387" s="208"/>
      <c r="C387" s="204"/>
      <c r="D387" s="204"/>
      <c r="E387" s="204"/>
      <c r="F387" s="204"/>
      <c r="G387" s="204"/>
      <c r="H387" s="558" t="s">
        <v>1223</v>
      </c>
      <c r="I387" s="558"/>
      <c r="J387" s="558"/>
      <c r="K387" s="222">
        <v>163.02440000000001</v>
      </c>
      <c r="L387" s="207"/>
    </row>
    <row r="388" spans="2:12">
      <c r="B388" s="208"/>
      <c r="C388" s="204"/>
      <c r="D388" s="204"/>
      <c r="E388" s="204"/>
      <c r="F388" s="204"/>
      <c r="G388" s="204"/>
      <c r="H388" s="558" t="s">
        <v>1250</v>
      </c>
      <c r="I388" s="558"/>
      <c r="J388" s="558"/>
      <c r="K388" s="222">
        <f>IF(K385&gt;K386,K386,K385)-K387</f>
        <v>22.875599999999991</v>
      </c>
      <c r="L388" s="246">
        <f>K386-K385</f>
        <v>-0.27080000000000837</v>
      </c>
    </row>
    <row r="389" spans="2:12">
      <c r="B389" s="213"/>
      <c r="C389" s="214"/>
      <c r="D389" s="214"/>
      <c r="E389" s="214"/>
      <c r="F389" s="214"/>
      <c r="G389" s="214"/>
      <c r="H389" s="559" t="s">
        <v>1224</v>
      </c>
      <c r="I389" s="559"/>
      <c r="J389" s="559"/>
      <c r="K389" s="223">
        <f>IF(K385&gt;K386,K385-K386,0)</f>
        <v>0.27080000000000837</v>
      </c>
      <c r="L389" s="209"/>
    </row>
    <row r="391" spans="2:12" ht="14.25" customHeight="1">
      <c r="B391" s="555" t="s">
        <v>1303</v>
      </c>
      <c r="C391" s="555"/>
      <c r="D391" s="555"/>
      <c r="E391" s="555"/>
      <c r="F391" s="555"/>
      <c r="G391" s="555"/>
      <c r="H391" s="555"/>
      <c r="I391" s="555"/>
      <c r="J391" s="555"/>
      <c r="K391" s="555"/>
      <c r="L391" s="555"/>
    </row>
    <row r="392" spans="2:12">
      <c r="B392" s="187" t="s">
        <v>1209</v>
      </c>
      <c r="C392" s="187"/>
      <c r="D392" s="187" t="s">
        <v>39</v>
      </c>
      <c r="E392" s="187" t="s">
        <v>1210</v>
      </c>
      <c r="F392" s="187" t="s">
        <v>1211</v>
      </c>
      <c r="G392" s="187" t="s">
        <v>1212</v>
      </c>
      <c r="H392" s="187" t="s">
        <v>1213</v>
      </c>
      <c r="I392" s="187" t="s">
        <v>1214</v>
      </c>
      <c r="J392" s="187" t="s">
        <v>1215</v>
      </c>
      <c r="K392" s="187" t="s">
        <v>1216</v>
      </c>
      <c r="L392" s="187" t="s">
        <v>1217</v>
      </c>
    </row>
    <row r="393" spans="2:12">
      <c r="B393" s="188" t="s">
        <v>1301</v>
      </c>
      <c r="C393" s="189" t="s">
        <v>1271</v>
      </c>
      <c r="D393" s="190" t="s">
        <v>1274</v>
      </c>
      <c r="E393" s="191">
        <v>257</v>
      </c>
      <c r="F393" s="243">
        <v>0.245</v>
      </c>
      <c r="G393" s="192"/>
      <c r="H393" s="191">
        <v>1.1000000000000001</v>
      </c>
      <c r="I393" s="191"/>
      <c r="J393" s="216"/>
      <c r="K393" s="217">
        <f>IF(E393*F393*G393&lt;&gt;0,E393*F393*G393,IF(E393*F393&lt;&gt;0,E393*F393,IF(F393*G393&lt;&gt;0,F393*G393,IF(E393*G393&lt;&gt;0,E393*G393,IF(E393&lt;&gt;0,E393,IF(F393&lt;&gt;0,F393,IF(G393&lt;&gt;0,G393,0)))))))*(IF(H393&lt;&gt;0,H393,1))+I393-J393</f>
        <v>69.261499999999998</v>
      </c>
      <c r="L393" s="218"/>
    </row>
    <row r="394" spans="2:12">
      <c r="B394" s="188" t="s">
        <v>1302</v>
      </c>
      <c r="C394" s="189" t="s">
        <v>1271</v>
      </c>
      <c r="D394" s="190" t="s">
        <v>1274</v>
      </c>
      <c r="E394" s="191">
        <v>642</v>
      </c>
      <c r="F394" s="243">
        <v>0.245</v>
      </c>
      <c r="G394" s="192"/>
      <c r="H394" s="191">
        <v>1.1000000000000001</v>
      </c>
      <c r="I394" s="191"/>
      <c r="J394" s="216"/>
      <c r="K394" s="217">
        <f>IF(E394*F394*G394&lt;&gt;0,E394*F394*G394,IF(E394*F394&lt;&gt;0,E394*F394,IF(F394*G394&lt;&gt;0,F394*G394,IF(E394*G394&lt;&gt;0,E394*G394,IF(E394&lt;&gt;0,E394,IF(F394&lt;&gt;0,F394,IF(G394&lt;&gt;0,G394,0)))))))*(IF(H394&lt;&gt;0,H394,1))+I394-J394</f>
        <v>173.01900000000001</v>
      </c>
      <c r="L394" s="218"/>
    </row>
    <row r="395" spans="2:12">
      <c r="B395" s="197"/>
      <c r="C395" s="189"/>
      <c r="D395" s="198"/>
      <c r="E395" s="199"/>
      <c r="F395" s="244"/>
      <c r="G395" s="199"/>
      <c r="H395" s="199"/>
      <c r="I395" s="199"/>
      <c r="J395" s="219"/>
      <c r="K395" s="217">
        <f>IF(E395*F395*G395&lt;&gt;0,E395*F395*G395,IF(E395*F395&lt;&gt;0,E395*F395,IF(F395*G395&lt;&gt;0,F395*G395,IF(E395*G395&lt;&gt;0,E395*G395,IF(E395&lt;&gt;0,E395,IF(F395&lt;&gt;0,F395,IF(G395&lt;&gt;0,G395,0)))))))*(IF(H395&lt;&gt;0,H395,1))+I395-J395</f>
        <v>0</v>
      </c>
      <c r="L395" s="218"/>
    </row>
    <row r="396" spans="2:12">
      <c r="B396" s="202"/>
      <c r="C396" s="203"/>
      <c r="D396" s="203"/>
      <c r="E396" s="203"/>
      <c r="F396" s="203"/>
      <c r="G396" s="203"/>
      <c r="H396" s="204"/>
      <c r="I396" s="556" t="s">
        <v>1221</v>
      </c>
      <c r="J396" s="556"/>
      <c r="K396" s="220">
        <f>SUM(K393:K395)</f>
        <v>242.28050000000002</v>
      </c>
      <c r="L396" s="207"/>
    </row>
    <row r="397" spans="2:12">
      <c r="B397" s="208"/>
      <c r="C397" s="204"/>
      <c r="D397" s="204"/>
      <c r="E397" s="204"/>
      <c r="F397" s="204"/>
      <c r="G397" s="204"/>
      <c r="H397" s="209"/>
      <c r="I397" s="557" t="s">
        <v>1222</v>
      </c>
      <c r="J397" s="557"/>
      <c r="K397" s="221">
        <v>199.1</v>
      </c>
      <c r="L397" s="207"/>
    </row>
    <row r="398" spans="2:12">
      <c r="B398" s="208"/>
      <c r="C398" s="204"/>
      <c r="D398" s="204"/>
      <c r="E398" s="204"/>
      <c r="F398" s="204"/>
      <c r="G398" s="204"/>
      <c r="H398" s="558" t="s">
        <v>1223</v>
      </c>
      <c r="I398" s="558"/>
      <c r="J398" s="558"/>
      <c r="K398" s="222">
        <v>0</v>
      </c>
      <c r="L398" s="207"/>
    </row>
    <row r="399" spans="2:12">
      <c r="B399" s="208"/>
      <c r="C399" s="204"/>
      <c r="D399" s="204"/>
      <c r="E399" s="204"/>
      <c r="F399" s="204"/>
      <c r="G399" s="204"/>
      <c r="H399" s="558" t="s">
        <v>1201</v>
      </c>
      <c r="I399" s="558"/>
      <c r="J399" s="558"/>
      <c r="K399" s="222">
        <f>IF(K396&gt;K397,K397,K396)-K398</f>
        <v>199.1</v>
      </c>
      <c r="L399" s="207"/>
    </row>
    <row r="400" spans="2:12">
      <c r="B400" s="213"/>
      <c r="C400" s="214"/>
      <c r="D400" s="214"/>
      <c r="E400" s="214"/>
      <c r="F400" s="214"/>
      <c r="G400" s="214"/>
      <c r="H400" s="559" t="s">
        <v>1224</v>
      </c>
      <c r="I400" s="559"/>
      <c r="J400" s="559"/>
      <c r="K400" s="223">
        <f>IF(K396&gt;K397,K396-K397,0)</f>
        <v>43.180500000000023</v>
      </c>
      <c r="L400" s="209"/>
    </row>
    <row r="402" spans="2:12" ht="14.25" customHeight="1">
      <c r="B402" s="555" t="s">
        <v>1304</v>
      </c>
      <c r="C402" s="555"/>
      <c r="D402" s="555"/>
      <c r="E402" s="555"/>
      <c r="F402" s="555"/>
      <c r="G402" s="555"/>
      <c r="H402" s="555"/>
      <c r="I402" s="555"/>
      <c r="J402" s="555"/>
      <c r="K402" s="555"/>
      <c r="L402" s="555"/>
    </row>
    <row r="403" spans="2:12">
      <c r="B403" s="187" t="s">
        <v>1209</v>
      </c>
      <c r="C403" s="187"/>
      <c r="D403" s="187" t="s">
        <v>39</v>
      </c>
      <c r="E403" s="187" t="s">
        <v>1210</v>
      </c>
      <c r="F403" s="187" t="s">
        <v>1211</v>
      </c>
      <c r="G403" s="187" t="s">
        <v>1212</v>
      </c>
      <c r="H403" s="187" t="s">
        <v>1213</v>
      </c>
      <c r="I403" s="187" t="s">
        <v>1214</v>
      </c>
      <c r="J403" s="187" t="s">
        <v>1215</v>
      </c>
      <c r="K403" s="187" t="s">
        <v>1216</v>
      </c>
      <c r="L403" s="187" t="s">
        <v>1217</v>
      </c>
    </row>
    <row r="404" spans="2:12">
      <c r="B404" s="188" t="s">
        <v>1301</v>
      </c>
      <c r="C404" s="189" t="s">
        <v>1271</v>
      </c>
      <c r="D404" s="190" t="s">
        <v>1274</v>
      </c>
      <c r="E404" s="191">
        <v>566</v>
      </c>
      <c r="F404" s="243">
        <v>0.39500000000000002</v>
      </c>
      <c r="G404" s="192"/>
      <c r="H404" s="191">
        <v>1.1000000000000001</v>
      </c>
      <c r="I404" s="191"/>
      <c r="J404" s="216"/>
      <c r="K404" s="217">
        <f>IF(E404*F404*G404&lt;&gt;0,E404*F404*G404,IF(E404*F404&lt;&gt;0,E404*F404,IF(F404*G404&lt;&gt;0,F404*G404,IF(E404*G404&lt;&gt;0,E404*G404,IF(E404&lt;&gt;0,E404,IF(F404&lt;&gt;0,F404,IF(G404&lt;&gt;0,G404,0)))))))*(IF(H404&lt;&gt;0,H404,1))+I404-J404</f>
        <v>245.92700000000005</v>
      </c>
      <c r="L404" s="218"/>
    </row>
    <row r="405" spans="2:12">
      <c r="B405" s="188" t="s">
        <v>1302</v>
      </c>
      <c r="C405" s="189" t="s">
        <v>1271</v>
      </c>
      <c r="D405" s="190" t="s">
        <v>1274</v>
      </c>
      <c r="E405" s="191">
        <v>641</v>
      </c>
      <c r="F405" s="243">
        <v>0.39500000000000002</v>
      </c>
      <c r="G405" s="192"/>
      <c r="H405" s="191">
        <v>1.1000000000000001</v>
      </c>
      <c r="I405" s="191"/>
      <c r="J405" s="216"/>
      <c r="K405" s="217">
        <f>IF(E405*F405*G405&lt;&gt;0,E405*F405*G405,IF(E405*F405&lt;&gt;0,E405*F405,IF(F405*G405&lt;&gt;0,F405*G405,IF(E405*G405&lt;&gt;0,E405*G405,IF(E405&lt;&gt;0,E405,IF(F405&lt;&gt;0,F405,IF(G405&lt;&gt;0,G405,0)))))))*(IF(H405&lt;&gt;0,H405,1))+I405-J405</f>
        <v>278.51450000000006</v>
      </c>
      <c r="L405" s="218"/>
    </row>
    <row r="406" spans="2:12">
      <c r="B406" s="197"/>
      <c r="C406" s="189"/>
      <c r="D406" s="198"/>
      <c r="E406" s="199"/>
      <c r="F406" s="244"/>
      <c r="G406" s="199"/>
      <c r="H406" s="199"/>
      <c r="I406" s="199"/>
      <c r="J406" s="219"/>
      <c r="K406" s="217">
        <f>IF(E406*F406*G406&lt;&gt;0,E406*F406*G406,IF(E406*F406&lt;&gt;0,E406*F406,IF(F406*G406&lt;&gt;0,F406*G406,IF(E406*G406&lt;&gt;0,E406*G406,IF(E406&lt;&gt;0,E406,IF(F406&lt;&gt;0,F406,IF(G406&lt;&gt;0,G406,0)))))))*(IF(H406&lt;&gt;0,H406,1))+I406-J406</f>
        <v>0</v>
      </c>
      <c r="L406" s="218"/>
    </row>
    <row r="407" spans="2:12">
      <c r="B407" s="202"/>
      <c r="C407" s="203"/>
      <c r="D407" s="203"/>
      <c r="E407" s="203"/>
      <c r="F407" s="203"/>
      <c r="G407" s="203"/>
      <c r="H407" s="204"/>
      <c r="I407" s="556" t="s">
        <v>1221</v>
      </c>
      <c r="J407" s="556"/>
      <c r="K407" s="220">
        <f>SUM(K404:K406)</f>
        <v>524.44150000000013</v>
      </c>
      <c r="L407" s="207"/>
    </row>
    <row r="408" spans="2:12">
      <c r="B408" s="208"/>
      <c r="C408" s="204"/>
      <c r="D408" s="204"/>
      <c r="E408" s="204"/>
      <c r="F408" s="204"/>
      <c r="G408" s="204"/>
      <c r="H408" s="209"/>
      <c r="I408" s="557" t="s">
        <v>1222</v>
      </c>
      <c r="J408" s="557"/>
      <c r="K408" s="221">
        <v>378.4</v>
      </c>
      <c r="L408" s="207"/>
    </row>
    <row r="409" spans="2:12">
      <c r="B409" s="208"/>
      <c r="C409" s="204"/>
      <c r="D409" s="204"/>
      <c r="E409" s="204"/>
      <c r="F409" s="204"/>
      <c r="G409" s="204"/>
      <c r="H409" s="558" t="s">
        <v>1223</v>
      </c>
      <c r="I409" s="558"/>
      <c r="J409" s="558"/>
      <c r="K409" s="222">
        <v>0</v>
      </c>
      <c r="L409" s="207"/>
    </row>
    <row r="410" spans="2:12">
      <c r="B410" s="208"/>
      <c r="C410" s="204"/>
      <c r="D410" s="204"/>
      <c r="E410" s="204"/>
      <c r="F410" s="204"/>
      <c r="G410" s="204"/>
      <c r="H410" s="558" t="s">
        <v>1201</v>
      </c>
      <c r="I410" s="558"/>
      <c r="J410" s="558"/>
      <c r="K410" s="222">
        <f>IF(K407&gt;K408,K408,K407)-K409</f>
        <v>378.4</v>
      </c>
      <c r="L410" s="207"/>
    </row>
    <row r="411" spans="2:12">
      <c r="B411" s="213"/>
      <c r="C411" s="214"/>
      <c r="D411" s="214"/>
      <c r="E411" s="214"/>
      <c r="F411" s="214"/>
      <c r="G411" s="214"/>
      <c r="H411" s="559" t="s">
        <v>1224</v>
      </c>
      <c r="I411" s="559"/>
      <c r="J411" s="559"/>
      <c r="K411" s="223">
        <f>IF(K407&gt;K408,K407-K408,0)</f>
        <v>146.04150000000016</v>
      </c>
      <c r="L411" s="209"/>
    </row>
    <row r="413" spans="2:12" ht="14.25" customHeight="1">
      <c r="B413" s="555" t="s">
        <v>1305</v>
      </c>
      <c r="C413" s="555"/>
      <c r="D413" s="555"/>
      <c r="E413" s="555"/>
      <c r="F413" s="555"/>
      <c r="G413" s="555"/>
      <c r="H413" s="555"/>
      <c r="I413" s="555"/>
      <c r="J413" s="555"/>
      <c r="K413" s="555"/>
      <c r="L413" s="555"/>
    </row>
    <row r="414" spans="2:12">
      <c r="B414" s="187" t="s">
        <v>1209</v>
      </c>
      <c r="C414" s="187"/>
      <c r="D414" s="187" t="s">
        <v>39</v>
      </c>
      <c r="E414" s="187" t="s">
        <v>1210</v>
      </c>
      <c r="F414" s="187" t="s">
        <v>1211</v>
      </c>
      <c r="G414" s="187" t="s">
        <v>1212</v>
      </c>
      <c r="H414" s="187" t="s">
        <v>1213</v>
      </c>
      <c r="I414" s="187" t="s">
        <v>1214</v>
      </c>
      <c r="J414" s="187" t="s">
        <v>1215</v>
      </c>
      <c r="K414" s="187" t="s">
        <v>1216</v>
      </c>
      <c r="L414" s="187" t="s">
        <v>1217</v>
      </c>
    </row>
    <row r="415" spans="2:12">
      <c r="B415" s="188" t="s">
        <v>1301</v>
      </c>
      <c r="C415" s="189" t="s">
        <v>1271</v>
      </c>
      <c r="D415" s="190" t="s">
        <v>1274</v>
      </c>
      <c r="E415" s="191">
        <v>522</v>
      </c>
      <c r="F415" s="243">
        <v>0.61699999999999999</v>
      </c>
      <c r="G415" s="192"/>
      <c r="H415" s="191">
        <v>1.1000000000000001</v>
      </c>
      <c r="I415" s="191"/>
      <c r="J415" s="216"/>
      <c r="K415" s="217">
        <f>IF(E415*F415*G415&lt;&gt;0,E415*F415*G415,IF(E415*F415&lt;&gt;0,E415*F415,IF(F415*G415&lt;&gt;0,F415*G415,IF(E415*G415&lt;&gt;0,E415*G415,IF(E415&lt;&gt;0,E415,IF(F415&lt;&gt;0,F415,IF(G415&lt;&gt;0,G415,0)))))))*(IF(H415&lt;&gt;0,H415,1))+I415-J415</f>
        <v>354.28140000000002</v>
      </c>
      <c r="L415" s="218"/>
    </row>
    <row r="416" spans="2:12">
      <c r="B416" s="188" t="s">
        <v>1302</v>
      </c>
      <c r="C416" s="189" t="s">
        <v>1271</v>
      </c>
      <c r="D416" s="190" t="s">
        <v>1274</v>
      </c>
      <c r="E416" s="191">
        <v>150</v>
      </c>
      <c r="F416" s="243">
        <v>0.61699999999999999</v>
      </c>
      <c r="G416" s="192"/>
      <c r="H416" s="191">
        <v>1.1000000000000001</v>
      </c>
      <c r="I416" s="191">
        <v>1E-4</v>
      </c>
      <c r="J416" s="216"/>
      <c r="K416" s="217">
        <f>IF(E416*F416*G416&lt;&gt;0,E416*F416*G416,IF(E416*F416&lt;&gt;0,E416*F416,IF(F416*G416&lt;&gt;0,F416*G416,IF(E416*G416&lt;&gt;0,E416*G416,IF(E416&lt;&gt;0,E416,IF(F416&lt;&gt;0,F416,IF(G416&lt;&gt;0,G416,0)))))))*(IF(H416&lt;&gt;0,H416,1))+I416-J416</f>
        <v>101.80510000000001</v>
      </c>
      <c r="L416" s="218"/>
    </row>
    <row r="417" spans="2:12">
      <c r="B417" s="197"/>
      <c r="C417" s="189"/>
      <c r="D417" s="198"/>
      <c r="E417" s="199"/>
      <c r="F417" s="244"/>
      <c r="G417" s="199"/>
      <c r="H417" s="199"/>
      <c r="I417" s="199"/>
      <c r="J417" s="219"/>
      <c r="K417" s="217">
        <f>IF(E417*F417*G417&lt;&gt;0,E417*F417*G417,IF(E417*F417&lt;&gt;0,E417*F417,IF(F417*G417&lt;&gt;0,F417*G417,IF(E417*G417&lt;&gt;0,E417*G417,IF(E417&lt;&gt;0,E417,IF(F417&lt;&gt;0,F417,IF(G417&lt;&gt;0,G417,0)))))))*(IF(H417&lt;&gt;0,H417,1))+I417-J417</f>
        <v>0</v>
      </c>
      <c r="L417" s="218"/>
    </row>
    <row r="418" spans="2:12">
      <c r="B418" s="202"/>
      <c r="C418" s="203"/>
      <c r="D418" s="203"/>
      <c r="E418" s="203"/>
      <c r="F418" s="203"/>
      <c r="G418" s="203"/>
      <c r="H418" s="204"/>
      <c r="I418" s="556" t="s">
        <v>1221</v>
      </c>
      <c r="J418" s="556"/>
      <c r="K418" s="220">
        <f>SUM(K415:K417)</f>
        <v>456.0865</v>
      </c>
      <c r="L418" s="207"/>
    </row>
    <row r="419" spans="2:12">
      <c r="B419" s="208"/>
      <c r="C419" s="204"/>
      <c r="D419" s="204"/>
      <c r="E419" s="204"/>
      <c r="F419" s="204"/>
      <c r="G419" s="204"/>
      <c r="H419" s="209"/>
      <c r="I419" s="557" t="s">
        <v>1222</v>
      </c>
      <c r="J419" s="557"/>
      <c r="K419" s="221">
        <f>445.5+0.0001</f>
        <v>445.50009999999997</v>
      </c>
      <c r="L419" s="207"/>
    </row>
    <row r="420" spans="2:12">
      <c r="B420" s="208"/>
      <c r="C420" s="204"/>
      <c r="D420" s="204"/>
      <c r="E420" s="204"/>
      <c r="F420" s="204"/>
      <c r="G420" s="204"/>
      <c r="H420" s="558" t="s">
        <v>1223</v>
      </c>
      <c r="I420" s="558"/>
      <c r="J420" s="558"/>
      <c r="K420" s="222">
        <v>354.28140000000002</v>
      </c>
      <c r="L420" s="207"/>
    </row>
    <row r="421" spans="2:12">
      <c r="B421" s="208"/>
      <c r="C421" s="204"/>
      <c r="D421" s="204"/>
      <c r="E421" s="204"/>
      <c r="F421" s="204"/>
      <c r="G421" s="204"/>
      <c r="H421" s="558" t="s">
        <v>1201</v>
      </c>
      <c r="I421" s="558"/>
      <c r="J421" s="558"/>
      <c r="K421" s="222">
        <f>IF(K418&gt;K419,K419,K418)-K420</f>
        <v>91.218699999999956</v>
      </c>
      <c r="L421" s="207"/>
    </row>
    <row r="422" spans="2:12">
      <c r="B422" s="213"/>
      <c r="C422" s="214"/>
      <c r="D422" s="214"/>
      <c r="E422" s="214"/>
      <c r="F422" s="214"/>
      <c r="G422" s="214"/>
      <c r="H422" s="559" t="s">
        <v>1224</v>
      </c>
      <c r="I422" s="559"/>
      <c r="J422" s="559"/>
      <c r="K422" s="223">
        <f>IF(K418&gt;K419,K418-K419,0)</f>
        <v>10.586400000000026</v>
      </c>
      <c r="L422" s="209"/>
    </row>
    <row r="424" spans="2:12" ht="14.25" customHeight="1">
      <c r="B424" s="555" t="s">
        <v>1306</v>
      </c>
      <c r="C424" s="555"/>
      <c r="D424" s="555"/>
      <c r="E424" s="555"/>
      <c r="F424" s="555"/>
      <c r="G424" s="555"/>
      <c r="H424" s="555"/>
      <c r="I424" s="555"/>
      <c r="J424" s="555"/>
      <c r="K424" s="555"/>
      <c r="L424" s="555"/>
    </row>
    <row r="425" spans="2:12">
      <c r="B425" s="187" t="s">
        <v>1209</v>
      </c>
      <c r="C425" s="187"/>
      <c r="D425" s="187" t="s">
        <v>39</v>
      </c>
      <c r="E425" s="187" t="s">
        <v>1210</v>
      </c>
      <c r="F425" s="187" t="s">
        <v>1211</v>
      </c>
      <c r="G425" s="187" t="s">
        <v>1212</v>
      </c>
      <c r="H425" s="187" t="s">
        <v>1213</v>
      </c>
      <c r="I425" s="187" t="s">
        <v>1214</v>
      </c>
      <c r="J425" s="187" t="s">
        <v>1215</v>
      </c>
      <c r="K425" s="187" t="s">
        <v>1216</v>
      </c>
      <c r="L425" s="187" t="s">
        <v>1217</v>
      </c>
    </row>
    <row r="426" spans="2:12">
      <c r="B426" s="188" t="s">
        <v>1367</v>
      </c>
      <c r="C426" s="189" t="s">
        <v>1271</v>
      </c>
      <c r="D426" s="190" t="s">
        <v>1274</v>
      </c>
      <c r="E426" s="191"/>
      <c r="F426" s="243"/>
      <c r="G426" s="192"/>
      <c r="H426" s="191"/>
      <c r="I426" s="191"/>
      <c r="J426" s="216"/>
      <c r="K426" s="217">
        <f>IF(E426*F426*G426&lt;&gt;0,E426*F426*G426,IF(E426*F426&lt;&gt;0,E426*F426,IF(F426*G426&lt;&gt;0,F426*G426,IF(E426*G426&lt;&gt;0,E426*G426,IF(E426&lt;&gt;0,E426,IF(F426&lt;&gt;0,F426,IF(G426&lt;&gt;0,G426,0)))))))*(IF(H426&lt;&gt;0,H426,1))+I426-J426</f>
        <v>0</v>
      </c>
      <c r="L426" s="218"/>
    </row>
    <row r="427" spans="2:12">
      <c r="B427" s="188" t="s">
        <v>1302</v>
      </c>
      <c r="C427" s="189" t="s">
        <v>1271</v>
      </c>
      <c r="D427" s="190" t="s">
        <v>1274</v>
      </c>
      <c r="E427" s="191">
        <v>287</v>
      </c>
      <c r="F427" s="243">
        <v>0.96299999999999997</v>
      </c>
      <c r="G427" s="192"/>
      <c r="H427" s="191">
        <v>1.1000000000000001</v>
      </c>
      <c r="I427" s="191"/>
      <c r="J427" s="216"/>
      <c r="K427" s="217">
        <f>IF(E427*F427*G427&lt;&gt;0,E427*F427*G427,IF(E427*F427&lt;&gt;0,E427*F427,IF(F427*G427&lt;&gt;0,F427*G427,IF(E427*G427&lt;&gt;0,E427*G427,IF(E427&lt;&gt;0,E427,IF(F427&lt;&gt;0,F427,IF(G427&lt;&gt;0,G427,0)))))))*(IF(H427&lt;&gt;0,H427,1))+I427-J427</f>
        <v>304.01909999999998</v>
      </c>
      <c r="L427" s="218"/>
    </row>
    <row r="428" spans="2:12">
      <c r="B428" s="197"/>
      <c r="C428" s="189"/>
      <c r="D428" s="198"/>
      <c r="E428" s="199"/>
      <c r="F428" s="244"/>
      <c r="G428" s="199"/>
      <c r="H428" s="199"/>
      <c r="I428" s="199"/>
      <c r="J428" s="219"/>
      <c r="K428" s="217">
        <f>IF(E428*F428*G428&lt;&gt;0,E428*F428*G428,IF(E428*F428&lt;&gt;0,E428*F428,IF(F428*G428&lt;&gt;0,F428*G428,IF(E428*G428&lt;&gt;0,E428*G428,IF(E428&lt;&gt;0,E428,IF(F428&lt;&gt;0,F428,IF(G428&lt;&gt;0,G428,0)))))))*(IF(H428&lt;&gt;0,H428,1))+I428-J428</f>
        <v>0</v>
      </c>
      <c r="L428" s="218"/>
    </row>
    <row r="429" spans="2:12">
      <c r="B429" s="202"/>
      <c r="C429" s="203"/>
      <c r="D429" s="203"/>
      <c r="E429" s="203"/>
      <c r="F429" s="203"/>
      <c r="G429" s="203"/>
      <c r="H429" s="204"/>
      <c r="I429" s="556" t="s">
        <v>1221</v>
      </c>
      <c r="J429" s="556"/>
      <c r="K429" s="220">
        <f>SUM(K426:K428)</f>
        <v>304.01909999999998</v>
      </c>
      <c r="L429" s="207"/>
    </row>
    <row r="430" spans="2:12">
      <c r="B430" s="208"/>
      <c r="C430" s="204"/>
      <c r="D430" s="204"/>
      <c r="E430" s="204"/>
      <c r="F430" s="204"/>
      <c r="G430" s="204"/>
      <c r="H430" s="209"/>
      <c r="I430" s="557" t="s">
        <v>1222</v>
      </c>
      <c r="J430" s="557"/>
      <c r="K430" s="221">
        <v>177.1</v>
      </c>
      <c r="L430" s="207"/>
    </row>
    <row r="431" spans="2:12">
      <c r="B431" s="208"/>
      <c r="C431" s="204"/>
      <c r="D431" s="204"/>
      <c r="E431" s="204"/>
      <c r="F431" s="204"/>
      <c r="G431" s="204"/>
      <c r="H431" s="558" t="s">
        <v>1223</v>
      </c>
      <c r="I431" s="558"/>
      <c r="J431" s="558"/>
      <c r="K431" s="222">
        <v>0</v>
      </c>
      <c r="L431" s="207"/>
    </row>
    <row r="432" spans="2:12">
      <c r="B432" s="208"/>
      <c r="C432" s="204"/>
      <c r="D432" s="204"/>
      <c r="E432" s="204"/>
      <c r="F432" s="204"/>
      <c r="G432" s="204"/>
      <c r="H432" s="558" t="s">
        <v>1201</v>
      </c>
      <c r="I432" s="558"/>
      <c r="J432" s="558"/>
      <c r="K432" s="222">
        <f>IF(K429&gt;K430,K430,K429)-K431</f>
        <v>177.1</v>
      </c>
      <c r="L432" s="207"/>
    </row>
    <row r="433" spans="2:12">
      <c r="B433" s="213"/>
      <c r="C433" s="214"/>
      <c r="D433" s="214"/>
      <c r="E433" s="214"/>
      <c r="F433" s="214"/>
      <c r="G433" s="214"/>
      <c r="H433" s="559" t="s">
        <v>1224</v>
      </c>
      <c r="I433" s="559"/>
      <c r="J433" s="559"/>
      <c r="K433" s="223">
        <f>IF(K429&gt;K430,K429-K430,0)</f>
        <v>126.91909999999999</v>
      </c>
      <c r="L433" s="209"/>
    </row>
    <row r="435" spans="2:12" ht="14.25" customHeight="1">
      <c r="B435" s="555" t="s">
        <v>1307</v>
      </c>
      <c r="C435" s="555"/>
      <c r="D435" s="555"/>
      <c r="E435" s="555"/>
      <c r="F435" s="555"/>
      <c r="G435" s="555"/>
      <c r="H435" s="555"/>
      <c r="I435" s="555"/>
      <c r="J435" s="555"/>
      <c r="K435" s="555"/>
      <c r="L435" s="555"/>
    </row>
    <row r="436" spans="2:12">
      <c r="B436" s="187" t="s">
        <v>1209</v>
      </c>
      <c r="C436" s="187"/>
      <c r="D436" s="187" t="s">
        <v>39</v>
      </c>
      <c r="E436" s="187" t="s">
        <v>1210</v>
      </c>
      <c r="F436" s="187" t="s">
        <v>1211</v>
      </c>
      <c r="G436" s="187" t="s">
        <v>1212</v>
      </c>
      <c r="H436" s="187" t="s">
        <v>1213</v>
      </c>
      <c r="I436" s="187" t="s">
        <v>1214</v>
      </c>
      <c r="J436" s="187" t="s">
        <v>1215</v>
      </c>
      <c r="K436" s="187" t="s">
        <v>1216</v>
      </c>
      <c r="L436" s="187" t="s">
        <v>1217</v>
      </c>
    </row>
    <row r="437" spans="2:12">
      <c r="B437" s="188" t="s">
        <v>1301</v>
      </c>
      <c r="C437" s="189" t="s">
        <v>1271</v>
      </c>
      <c r="D437" s="190" t="s">
        <v>1274</v>
      </c>
      <c r="E437" s="191"/>
      <c r="F437" s="243"/>
      <c r="G437" s="192"/>
      <c r="H437" s="191"/>
      <c r="I437" s="191"/>
      <c r="J437" s="216"/>
      <c r="K437" s="217">
        <f>IF(E437*F437*G437&lt;&gt;0,E437*F437*G437,IF(E437*F437&lt;&gt;0,E437*F437,IF(F437*G437&lt;&gt;0,F437*G437,IF(E437*G437&lt;&gt;0,E437*G437,IF(E437&lt;&gt;0,E437,IF(F437&lt;&gt;0,F437,IF(G437&lt;&gt;0,G437,0)))))))*(IF(H437&lt;&gt;0,H437,1))+I437-J437</f>
        <v>0</v>
      </c>
      <c r="L437" s="218"/>
    </row>
    <row r="438" spans="2:12">
      <c r="B438" s="188" t="s">
        <v>1302</v>
      </c>
      <c r="C438" s="189" t="s">
        <v>1271</v>
      </c>
      <c r="D438" s="190" t="s">
        <v>1274</v>
      </c>
      <c r="E438" s="191">
        <v>35.5</v>
      </c>
      <c r="F438" s="243">
        <v>1.5780000000000001</v>
      </c>
      <c r="G438" s="192"/>
      <c r="H438" s="191">
        <v>1.1000000000000001</v>
      </c>
      <c r="I438" s="191"/>
      <c r="J438" s="216"/>
      <c r="K438" s="217">
        <f>IF(E438*F438*G438&lt;&gt;0,E438*F438*G438,IF(E438*F438&lt;&gt;0,E438*F438,IF(F438*G438&lt;&gt;0,F438*G438,IF(E438*G438&lt;&gt;0,E438*G438,IF(E438&lt;&gt;0,E438,IF(F438&lt;&gt;0,F438,IF(G438&lt;&gt;0,G438,0)))))))*(IF(H438&lt;&gt;0,H438,1))+I438-J438</f>
        <v>61.620900000000013</v>
      </c>
      <c r="L438" s="218"/>
    </row>
    <row r="439" spans="2:12">
      <c r="B439" s="197"/>
      <c r="C439" s="189"/>
      <c r="D439" s="198"/>
      <c r="E439" s="199"/>
      <c r="F439" s="244"/>
      <c r="G439" s="199"/>
      <c r="H439" s="199"/>
      <c r="I439" s="199"/>
      <c r="J439" s="219"/>
      <c r="K439" s="217">
        <f>IF(E439*F439*G439&lt;&gt;0,E439*F439*G439,IF(E439*F439&lt;&gt;0,E439*F439,IF(F439*G439&lt;&gt;0,F439*G439,IF(E439*G439&lt;&gt;0,E439*G439,IF(E439&lt;&gt;0,E439,IF(F439&lt;&gt;0,F439,IF(G439&lt;&gt;0,G439,0)))))))*(IF(H439&lt;&gt;0,H439,1))+I439-J439</f>
        <v>0</v>
      </c>
      <c r="L439" s="218"/>
    </row>
    <row r="440" spans="2:12">
      <c r="B440" s="202"/>
      <c r="C440" s="203"/>
      <c r="D440" s="203"/>
      <c r="E440" s="203"/>
      <c r="F440" s="203"/>
      <c r="G440" s="203"/>
      <c r="H440" s="204"/>
      <c r="I440" s="556" t="s">
        <v>1221</v>
      </c>
      <c r="J440" s="556"/>
      <c r="K440" s="220">
        <f>SUM(K437:K439)</f>
        <v>61.620900000000013</v>
      </c>
      <c r="L440" s="207"/>
    </row>
    <row r="441" spans="2:12">
      <c r="B441" s="208"/>
      <c r="C441" s="204"/>
      <c r="D441" s="204"/>
      <c r="E441" s="204"/>
      <c r="F441" s="204"/>
      <c r="G441" s="204"/>
      <c r="H441" s="209"/>
      <c r="I441" s="557" t="s">
        <v>1222</v>
      </c>
      <c r="J441" s="557"/>
      <c r="K441" s="221">
        <v>61.6</v>
      </c>
      <c r="L441" s="207"/>
    </row>
    <row r="442" spans="2:12">
      <c r="B442" s="208"/>
      <c r="C442" s="204"/>
      <c r="D442" s="204"/>
      <c r="E442" s="204"/>
      <c r="F442" s="204"/>
      <c r="G442" s="204"/>
      <c r="H442" s="558" t="s">
        <v>1223</v>
      </c>
      <c r="I442" s="558"/>
      <c r="J442" s="558"/>
      <c r="K442" s="222">
        <v>0</v>
      </c>
      <c r="L442" s="207"/>
    </row>
    <row r="443" spans="2:12">
      <c r="B443" s="208"/>
      <c r="C443" s="204"/>
      <c r="D443" s="204"/>
      <c r="E443" s="204"/>
      <c r="F443" s="204"/>
      <c r="G443" s="204"/>
      <c r="H443" s="558" t="s">
        <v>1201</v>
      </c>
      <c r="I443" s="558"/>
      <c r="J443" s="558"/>
      <c r="K443" s="222">
        <f>IF(K440&gt;K441,K441,K440)-K442</f>
        <v>61.6</v>
      </c>
      <c r="L443" s="207"/>
    </row>
    <row r="444" spans="2:12">
      <c r="B444" s="213"/>
      <c r="C444" s="214"/>
      <c r="D444" s="214"/>
      <c r="E444" s="214"/>
      <c r="F444" s="214"/>
      <c r="G444" s="214"/>
      <c r="H444" s="559" t="s">
        <v>1224</v>
      </c>
      <c r="I444" s="559"/>
      <c r="J444" s="559"/>
      <c r="K444" s="223">
        <f>IF(K440&gt;K441,K440-K441,0)</f>
        <v>2.0900000000011687E-2</v>
      </c>
      <c r="L444" s="209"/>
    </row>
    <row r="446" spans="2:12" ht="14.25" customHeight="1">
      <c r="B446" s="555" t="s">
        <v>1308</v>
      </c>
      <c r="C446" s="555"/>
      <c r="D446" s="555"/>
      <c r="E446" s="555"/>
      <c r="F446" s="555"/>
      <c r="G446" s="555"/>
      <c r="H446" s="555"/>
      <c r="I446" s="555"/>
      <c r="J446" s="555"/>
      <c r="K446" s="555"/>
      <c r="L446" s="555"/>
    </row>
    <row r="447" spans="2:12">
      <c r="B447" s="187" t="s">
        <v>1209</v>
      </c>
      <c r="C447" s="187"/>
      <c r="D447" s="187" t="s">
        <v>39</v>
      </c>
      <c r="E447" s="187" t="s">
        <v>1210</v>
      </c>
      <c r="F447" s="187" t="s">
        <v>1211</v>
      </c>
      <c r="G447" s="187" t="s">
        <v>1212</v>
      </c>
      <c r="H447" s="187" t="s">
        <v>1213</v>
      </c>
      <c r="I447" s="187" t="s">
        <v>1214</v>
      </c>
      <c r="J447" s="187" t="s">
        <v>1215</v>
      </c>
      <c r="K447" s="187" t="s">
        <v>1216</v>
      </c>
      <c r="L447" s="187" t="s">
        <v>1217</v>
      </c>
    </row>
    <row r="448" spans="2:12">
      <c r="B448" s="188" t="s">
        <v>1309</v>
      </c>
      <c r="C448" s="189" t="s">
        <v>1271</v>
      </c>
      <c r="D448" s="190" t="s">
        <v>169</v>
      </c>
      <c r="E448" s="191">
        <v>5.18</v>
      </c>
      <c r="F448" s="192">
        <v>0.7</v>
      </c>
      <c r="G448" s="192">
        <v>0.7</v>
      </c>
      <c r="H448" s="191">
        <v>1</v>
      </c>
      <c r="I448" s="191"/>
      <c r="J448" s="216"/>
      <c r="K448" s="217">
        <f t="shared" ref="K448:K475" si="4">IF(E448*F448*G448&lt;&gt;0,E448*F448*G448,IF(E448*F448&lt;&gt;0,E448*F448,IF(F448*G448&lt;&gt;0,F448*G448,IF(E448*G448&lt;&gt;0,E448*G448,IF(E448&lt;&gt;0,E448,IF(F448&lt;&gt;0,F448,IF(G448&lt;&gt;0,G448,0)))))))*(IF(H448&lt;&gt;0,H448,1))+I448-J448</f>
        <v>2.5381999999999993</v>
      </c>
      <c r="L448" s="218"/>
    </row>
    <row r="449" spans="2:12">
      <c r="B449" s="188" t="s">
        <v>1310</v>
      </c>
      <c r="C449" s="189" t="s">
        <v>1271</v>
      </c>
      <c r="D449" s="190" t="s">
        <v>169</v>
      </c>
      <c r="E449" s="191">
        <v>6.94</v>
      </c>
      <c r="F449" s="192">
        <v>0.7</v>
      </c>
      <c r="G449" s="192">
        <v>0.7</v>
      </c>
      <c r="H449" s="191">
        <v>1</v>
      </c>
      <c r="I449" s="191"/>
      <c r="J449" s="216"/>
      <c r="K449" s="217">
        <f t="shared" si="4"/>
        <v>3.4005999999999994</v>
      </c>
      <c r="L449" s="218"/>
    </row>
    <row r="450" spans="2:12">
      <c r="B450" s="188" t="s">
        <v>1311</v>
      </c>
      <c r="C450" s="189" t="s">
        <v>1271</v>
      </c>
      <c r="D450" s="190" t="s">
        <v>169</v>
      </c>
      <c r="E450" s="191">
        <v>3.89</v>
      </c>
      <c r="F450" s="192">
        <v>0.2</v>
      </c>
      <c r="G450" s="192">
        <v>0.7</v>
      </c>
      <c r="H450" s="191">
        <v>1</v>
      </c>
      <c r="I450" s="191"/>
      <c r="J450" s="216"/>
      <c r="K450" s="217">
        <f t="shared" si="4"/>
        <v>0.54459999999999997</v>
      </c>
      <c r="L450" s="218"/>
    </row>
    <row r="451" spans="2:12">
      <c r="B451" s="188" t="s">
        <v>1312</v>
      </c>
      <c r="C451" s="189" t="s">
        <v>1271</v>
      </c>
      <c r="D451" s="190" t="s">
        <v>169</v>
      </c>
      <c r="E451" s="191">
        <v>2.33</v>
      </c>
      <c r="F451" s="192">
        <v>0.2</v>
      </c>
      <c r="G451" s="192">
        <v>0.7</v>
      </c>
      <c r="H451" s="191">
        <v>1</v>
      </c>
      <c r="I451" s="191"/>
      <c r="J451" s="216"/>
      <c r="K451" s="217">
        <f t="shared" si="4"/>
        <v>0.32619999999999999</v>
      </c>
      <c r="L451" s="218"/>
    </row>
    <row r="452" spans="2:12">
      <c r="B452" s="188" t="s">
        <v>1313</v>
      </c>
      <c r="C452" s="189" t="s">
        <v>1271</v>
      </c>
      <c r="D452" s="190" t="s">
        <v>169</v>
      </c>
      <c r="E452" s="191">
        <v>2.33</v>
      </c>
      <c r="F452" s="192">
        <v>0.2</v>
      </c>
      <c r="G452" s="192">
        <v>0.7</v>
      </c>
      <c r="H452" s="191">
        <v>1</v>
      </c>
      <c r="I452" s="191"/>
      <c r="J452" s="216"/>
      <c r="K452" s="217">
        <f t="shared" si="4"/>
        <v>0.32619999999999999</v>
      </c>
      <c r="L452" s="218"/>
    </row>
    <row r="453" spans="2:12">
      <c r="B453" s="188" t="s">
        <v>1314</v>
      </c>
      <c r="C453" s="189" t="s">
        <v>1271</v>
      </c>
      <c r="D453" s="190" t="s">
        <v>169</v>
      </c>
      <c r="E453" s="191">
        <v>4.93</v>
      </c>
      <c r="F453" s="192">
        <v>0.2</v>
      </c>
      <c r="G453" s="192">
        <v>0.7</v>
      </c>
      <c r="H453" s="191">
        <v>1</v>
      </c>
      <c r="I453" s="191"/>
      <c r="J453" s="216"/>
      <c r="K453" s="217">
        <f t="shared" si="4"/>
        <v>0.69019999999999992</v>
      </c>
      <c r="L453" s="218"/>
    </row>
    <row r="454" spans="2:12">
      <c r="B454" s="188" t="s">
        <v>1315</v>
      </c>
      <c r="C454" s="189" t="s">
        <v>1271</v>
      </c>
      <c r="D454" s="190" t="s">
        <v>169</v>
      </c>
      <c r="E454" s="191">
        <v>4.33</v>
      </c>
      <c r="F454" s="192">
        <v>0.2</v>
      </c>
      <c r="G454" s="192">
        <v>0.7</v>
      </c>
      <c r="H454" s="191">
        <v>1</v>
      </c>
      <c r="I454" s="191"/>
      <c r="J454" s="216"/>
      <c r="K454" s="217">
        <f t="shared" si="4"/>
        <v>0.60620000000000007</v>
      </c>
      <c r="L454" s="218"/>
    </row>
    <row r="455" spans="2:12">
      <c r="B455" s="197" t="s">
        <v>1368</v>
      </c>
      <c r="C455" s="189" t="s">
        <v>1333</v>
      </c>
      <c r="D455" s="190" t="s">
        <v>169</v>
      </c>
      <c r="E455" s="199">
        <v>3.32</v>
      </c>
      <c r="F455" s="199">
        <v>0.2</v>
      </c>
      <c r="G455" s="199">
        <v>0.7</v>
      </c>
      <c r="H455" s="199">
        <v>1</v>
      </c>
      <c r="I455" s="199"/>
      <c r="J455" s="219"/>
      <c r="K455" s="217">
        <f t="shared" si="4"/>
        <v>0.46479999999999999</v>
      </c>
      <c r="L455" s="218"/>
    </row>
    <row r="456" spans="2:12">
      <c r="B456" s="197" t="s">
        <v>1369</v>
      </c>
      <c r="C456" s="189" t="s">
        <v>1333</v>
      </c>
      <c r="D456" s="190" t="s">
        <v>169</v>
      </c>
      <c r="E456" s="199">
        <v>4.78</v>
      </c>
      <c r="F456" s="199">
        <v>0.2</v>
      </c>
      <c r="G456" s="199">
        <v>0.7</v>
      </c>
      <c r="H456" s="199">
        <v>1</v>
      </c>
      <c r="I456" s="199"/>
      <c r="J456" s="219"/>
      <c r="K456" s="217">
        <f t="shared" si="4"/>
        <v>0.66920000000000002</v>
      </c>
      <c r="L456" s="218"/>
    </row>
    <row r="457" spans="2:12">
      <c r="B457" s="197" t="s">
        <v>1370</v>
      </c>
      <c r="C457" s="189" t="s">
        <v>1333</v>
      </c>
      <c r="D457" s="190" t="s">
        <v>169</v>
      </c>
      <c r="E457" s="199">
        <v>2.7</v>
      </c>
      <c r="F457" s="199">
        <v>0.2</v>
      </c>
      <c r="G457" s="199">
        <v>0.7</v>
      </c>
      <c r="H457" s="199">
        <v>1</v>
      </c>
      <c r="I457" s="199"/>
      <c r="J457" s="219"/>
      <c r="K457" s="217">
        <f t="shared" si="4"/>
        <v>0.378</v>
      </c>
      <c r="L457" s="218"/>
    </row>
    <row r="458" spans="2:12">
      <c r="B458" s="197" t="s">
        <v>1371</v>
      </c>
      <c r="C458" s="189" t="s">
        <v>1333</v>
      </c>
      <c r="D458" s="190" t="s">
        <v>169</v>
      </c>
      <c r="E458" s="199">
        <v>2.7</v>
      </c>
      <c r="F458" s="199">
        <v>0.2</v>
      </c>
      <c r="G458" s="199">
        <v>0.7</v>
      </c>
      <c r="H458" s="199">
        <v>1</v>
      </c>
      <c r="I458" s="199"/>
      <c r="J458" s="219"/>
      <c r="K458" s="217">
        <f t="shared" si="4"/>
        <v>0.378</v>
      </c>
      <c r="L458" s="218"/>
    </row>
    <row r="459" spans="2:12">
      <c r="B459" s="197" t="s">
        <v>1372</v>
      </c>
      <c r="C459" s="189" t="s">
        <v>1333</v>
      </c>
      <c r="D459" s="190" t="s">
        <v>169</v>
      </c>
      <c r="E459" s="199">
        <v>5.62</v>
      </c>
      <c r="F459" s="199">
        <v>0.2</v>
      </c>
      <c r="G459" s="199">
        <v>0.7</v>
      </c>
      <c r="H459" s="199">
        <v>1</v>
      </c>
      <c r="I459" s="199"/>
      <c r="J459" s="219"/>
      <c r="K459" s="217">
        <f t="shared" si="4"/>
        <v>0.78680000000000005</v>
      </c>
      <c r="L459" s="218"/>
    </row>
    <row r="460" spans="2:12">
      <c r="B460" s="197" t="s">
        <v>1373</v>
      </c>
      <c r="C460" s="189" t="s">
        <v>1333</v>
      </c>
      <c r="D460" s="190" t="s">
        <v>169</v>
      </c>
      <c r="E460" s="199">
        <v>5.62</v>
      </c>
      <c r="F460" s="199">
        <v>0.2</v>
      </c>
      <c r="G460" s="199">
        <v>0.7</v>
      </c>
      <c r="H460" s="199">
        <v>1</v>
      </c>
      <c r="I460" s="199"/>
      <c r="J460" s="219"/>
      <c r="K460" s="217">
        <f t="shared" si="4"/>
        <v>0.78680000000000005</v>
      </c>
      <c r="L460" s="218"/>
    </row>
    <row r="461" spans="2:12">
      <c r="B461" s="197" t="s">
        <v>1374</v>
      </c>
      <c r="C461" s="189" t="s">
        <v>1333</v>
      </c>
      <c r="D461" s="190" t="s">
        <v>169</v>
      </c>
      <c r="E461" s="199">
        <v>2.38</v>
      </c>
      <c r="F461" s="199">
        <v>0.2</v>
      </c>
      <c r="G461" s="199">
        <v>0.7</v>
      </c>
      <c r="H461" s="199">
        <v>1</v>
      </c>
      <c r="I461" s="199"/>
      <c r="J461" s="219"/>
      <c r="K461" s="217">
        <f t="shared" si="4"/>
        <v>0.33319999999999994</v>
      </c>
      <c r="L461" s="218"/>
    </row>
    <row r="462" spans="2:12">
      <c r="B462" s="197" t="s">
        <v>1375</v>
      </c>
      <c r="C462" s="189" t="s">
        <v>1333</v>
      </c>
      <c r="D462" s="190" t="s">
        <v>169</v>
      </c>
      <c r="E462" s="199">
        <v>3.84</v>
      </c>
      <c r="F462" s="199">
        <v>0.2</v>
      </c>
      <c r="G462" s="199">
        <v>0.7</v>
      </c>
      <c r="H462" s="199">
        <v>1</v>
      </c>
      <c r="I462" s="199"/>
      <c r="J462" s="219"/>
      <c r="K462" s="217">
        <f t="shared" si="4"/>
        <v>0.53759999999999997</v>
      </c>
      <c r="L462" s="218"/>
    </row>
    <row r="463" spans="2:12">
      <c r="B463" s="197" t="s">
        <v>1376</v>
      </c>
      <c r="C463" s="189" t="s">
        <v>1333</v>
      </c>
      <c r="D463" s="190" t="s">
        <v>169</v>
      </c>
      <c r="E463" s="199">
        <v>4.4400000000000004</v>
      </c>
      <c r="F463" s="199">
        <v>0.3</v>
      </c>
      <c r="G463" s="199">
        <v>0.7</v>
      </c>
      <c r="H463" s="199">
        <v>1</v>
      </c>
      <c r="I463" s="199"/>
      <c r="J463" s="219"/>
      <c r="K463" s="217">
        <f t="shared" si="4"/>
        <v>0.93240000000000001</v>
      </c>
      <c r="L463" s="218"/>
    </row>
    <row r="464" spans="2:12">
      <c r="B464" s="197" t="s">
        <v>1377</v>
      </c>
      <c r="C464" s="189" t="s">
        <v>1333</v>
      </c>
      <c r="D464" s="190" t="s">
        <v>169</v>
      </c>
      <c r="E464" s="199">
        <f>1.73+0.66</f>
        <v>2.39</v>
      </c>
      <c r="F464" s="199">
        <v>0.7</v>
      </c>
      <c r="G464" s="199">
        <v>0.7</v>
      </c>
      <c r="H464" s="199">
        <v>1</v>
      </c>
      <c r="I464" s="199"/>
      <c r="J464" s="219"/>
      <c r="K464" s="217">
        <f t="shared" si="4"/>
        <v>1.1711</v>
      </c>
      <c r="L464" s="218"/>
    </row>
    <row r="465" spans="2:12">
      <c r="B465" s="197" t="s">
        <v>1378</v>
      </c>
      <c r="C465" s="189" t="s">
        <v>1333</v>
      </c>
      <c r="D465" s="190" t="s">
        <v>169</v>
      </c>
      <c r="E465" s="199">
        <v>1.46</v>
      </c>
      <c r="F465" s="199">
        <v>0.2</v>
      </c>
      <c r="G465" s="199">
        <v>0.7</v>
      </c>
      <c r="H465" s="199">
        <v>1</v>
      </c>
      <c r="I465" s="199"/>
      <c r="J465" s="219"/>
      <c r="K465" s="217">
        <f t="shared" si="4"/>
        <v>0.20439999999999997</v>
      </c>
      <c r="L465" s="218"/>
    </row>
    <row r="466" spans="2:12">
      <c r="B466" s="197" t="s">
        <v>1379</v>
      </c>
      <c r="C466" s="189" t="s">
        <v>1333</v>
      </c>
      <c r="D466" s="190" t="s">
        <v>169</v>
      </c>
      <c r="E466" s="199">
        <v>0.91</v>
      </c>
      <c r="F466" s="199">
        <v>0.2</v>
      </c>
      <c r="G466" s="199">
        <v>0.7</v>
      </c>
      <c r="H466" s="199">
        <v>1</v>
      </c>
      <c r="I466" s="199"/>
      <c r="J466" s="219"/>
      <c r="K466" s="217">
        <f t="shared" si="4"/>
        <v>0.12740000000000001</v>
      </c>
      <c r="L466" s="218"/>
    </row>
    <row r="467" spans="2:12">
      <c r="B467" s="197" t="s">
        <v>1380</v>
      </c>
      <c r="C467" s="189" t="s">
        <v>1333</v>
      </c>
      <c r="D467" s="190" t="s">
        <v>169</v>
      </c>
      <c r="E467" s="199">
        <v>0.97</v>
      </c>
      <c r="F467" s="199">
        <v>0.2</v>
      </c>
      <c r="G467" s="199">
        <v>0.7</v>
      </c>
      <c r="H467" s="199">
        <v>1</v>
      </c>
      <c r="I467" s="199"/>
      <c r="J467" s="219"/>
      <c r="K467" s="217">
        <f t="shared" si="4"/>
        <v>0.1358</v>
      </c>
      <c r="L467" s="218"/>
    </row>
    <row r="468" spans="2:12">
      <c r="B468" s="197" t="s">
        <v>1381</v>
      </c>
      <c r="C468" s="189" t="s">
        <v>1333</v>
      </c>
      <c r="D468" s="190" t="s">
        <v>169</v>
      </c>
      <c r="E468" s="199">
        <v>1.37</v>
      </c>
      <c r="F468" s="199">
        <v>0.2</v>
      </c>
      <c r="G468" s="199">
        <v>0.7</v>
      </c>
      <c r="H468" s="199">
        <v>1</v>
      </c>
      <c r="I468" s="199"/>
      <c r="J468" s="219"/>
      <c r="K468" s="217">
        <f t="shared" si="4"/>
        <v>0.1918</v>
      </c>
      <c r="L468" s="218"/>
    </row>
    <row r="469" spans="2:12">
      <c r="B469" s="197" t="s">
        <v>1449</v>
      </c>
      <c r="C469" s="189" t="s">
        <v>1441</v>
      </c>
      <c r="D469" s="190" t="s">
        <v>169</v>
      </c>
      <c r="E469" s="199">
        <v>10.96</v>
      </c>
      <c r="F469" s="199">
        <v>0.2</v>
      </c>
      <c r="G469" s="199">
        <v>0.7</v>
      </c>
      <c r="H469" s="199">
        <v>1</v>
      </c>
      <c r="I469" s="199"/>
      <c r="J469" s="219"/>
      <c r="K469" s="217">
        <f t="shared" si="4"/>
        <v>1.5344</v>
      </c>
      <c r="L469" s="218"/>
    </row>
    <row r="470" spans="2:12">
      <c r="B470" s="197" t="s">
        <v>1450</v>
      </c>
      <c r="C470" s="189" t="s">
        <v>1441</v>
      </c>
      <c r="D470" s="190" t="s">
        <v>169</v>
      </c>
      <c r="E470" s="199">
        <v>8.35</v>
      </c>
      <c r="F470" s="199">
        <v>0.2</v>
      </c>
      <c r="G470" s="199">
        <v>0.7</v>
      </c>
      <c r="H470" s="199">
        <v>1</v>
      </c>
      <c r="I470" s="199"/>
      <c r="J470" s="219"/>
      <c r="K470" s="217">
        <f t="shared" si="4"/>
        <v>1.1689999999999998</v>
      </c>
      <c r="L470" s="218"/>
    </row>
    <row r="471" spans="2:12">
      <c r="B471" s="197" t="s">
        <v>1451</v>
      </c>
      <c r="C471" s="189" t="s">
        <v>1441</v>
      </c>
      <c r="D471" s="190" t="s">
        <v>169</v>
      </c>
      <c r="E471" s="199">
        <v>6.88</v>
      </c>
      <c r="F471" s="199">
        <v>0.2</v>
      </c>
      <c r="G471" s="199">
        <v>0.7</v>
      </c>
      <c r="H471" s="199">
        <v>1</v>
      </c>
      <c r="I471" s="199"/>
      <c r="J471" s="219"/>
      <c r="K471" s="217">
        <f t="shared" si="4"/>
        <v>0.96320000000000006</v>
      </c>
      <c r="L471" s="218"/>
    </row>
    <row r="472" spans="2:12">
      <c r="B472" s="197" t="s">
        <v>1452</v>
      </c>
      <c r="C472" s="189" t="s">
        <v>1441</v>
      </c>
      <c r="D472" s="190" t="s">
        <v>169</v>
      </c>
      <c r="E472" s="199">
        <v>6.93</v>
      </c>
      <c r="F472" s="199">
        <v>0.2</v>
      </c>
      <c r="G472" s="199">
        <v>0.7</v>
      </c>
      <c r="H472" s="199">
        <v>1</v>
      </c>
      <c r="I472" s="199"/>
      <c r="J472" s="219"/>
      <c r="K472" s="217">
        <f t="shared" si="4"/>
        <v>0.97020000000000006</v>
      </c>
      <c r="L472" s="218"/>
    </row>
    <row r="473" spans="2:12">
      <c r="B473" s="197" t="s">
        <v>1453</v>
      </c>
      <c r="C473" s="189" t="s">
        <v>1441</v>
      </c>
      <c r="D473" s="190" t="s">
        <v>169</v>
      </c>
      <c r="E473" s="199">
        <v>8.01</v>
      </c>
      <c r="F473" s="199">
        <v>0.2</v>
      </c>
      <c r="G473" s="199">
        <v>0.7</v>
      </c>
      <c r="H473" s="199">
        <v>1</v>
      </c>
      <c r="I473" s="199"/>
      <c r="J473" s="219"/>
      <c r="K473" s="217">
        <f t="shared" si="4"/>
        <v>1.1214</v>
      </c>
      <c r="L473" s="218"/>
    </row>
    <row r="474" spans="2:12">
      <c r="B474" s="197" t="s">
        <v>1454</v>
      </c>
      <c r="C474" s="189" t="s">
        <v>1441</v>
      </c>
      <c r="D474" s="190" t="s">
        <v>169</v>
      </c>
      <c r="E474" s="199">
        <v>3.6</v>
      </c>
      <c r="F474" s="199">
        <v>1</v>
      </c>
      <c r="G474" s="199">
        <v>0.6</v>
      </c>
      <c r="H474" s="199">
        <v>1</v>
      </c>
      <c r="I474" s="199">
        <v>1.05185643549158E-5</v>
      </c>
      <c r="J474" s="219"/>
      <c r="K474" s="217">
        <f t="shared" si="4"/>
        <v>2.1600105185643552</v>
      </c>
      <c r="L474" s="218"/>
    </row>
    <row r="475" spans="2:12">
      <c r="B475" s="197"/>
      <c r="C475" s="189"/>
      <c r="D475" s="198"/>
      <c r="E475" s="199"/>
      <c r="F475" s="199"/>
      <c r="G475" s="199"/>
      <c r="H475" s="199"/>
      <c r="I475" s="199"/>
      <c r="J475" s="219"/>
      <c r="K475" s="217">
        <f t="shared" si="4"/>
        <v>0</v>
      </c>
      <c r="L475" s="218"/>
    </row>
    <row r="476" spans="2:12">
      <c r="B476" s="202"/>
      <c r="C476" s="203"/>
      <c r="D476" s="203"/>
      <c r="E476" s="203"/>
      <c r="F476" s="203"/>
      <c r="G476" s="203"/>
      <c r="H476" s="204"/>
      <c r="I476" s="556" t="s">
        <v>1221</v>
      </c>
      <c r="J476" s="556"/>
      <c r="K476" s="220">
        <f>SUM(K448:K475)</f>
        <v>23.447710518564353</v>
      </c>
      <c r="L476" s="207"/>
    </row>
    <row r="477" spans="2:12">
      <c r="B477" s="208"/>
      <c r="C477" s="204"/>
      <c r="D477" s="204"/>
      <c r="E477" s="204"/>
      <c r="F477" s="204"/>
      <c r="G477" s="204"/>
      <c r="H477" s="209"/>
      <c r="I477" s="557" t="s">
        <v>1222</v>
      </c>
      <c r="J477" s="557"/>
      <c r="K477" s="221">
        <v>22.99</v>
      </c>
      <c r="L477" s="207"/>
    </row>
    <row r="478" spans="2:12">
      <c r="B478" s="208"/>
      <c r="C478" s="204"/>
      <c r="D478" s="204"/>
      <c r="E478" s="204"/>
      <c r="F478" s="204"/>
      <c r="G478" s="204"/>
      <c r="H478" s="558" t="s">
        <v>1223</v>
      </c>
      <c r="I478" s="558"/>
      <c r="J478" s="558"/>
      <c r="K478" s="222">
        <v>15.529500000000001</v>
      </c>
      <c r="L478" s="207"/>
    </row>
    <row r="479" spans="2:12">
      <c r="B479" s="208"/>
      <c r="C479" s="204"/>
      <c r="D479" s="204"/>
      <c r="E479" s="204"/>
      <c r="F479" s="204"/>
      <c r="G479" s="204"/>
      <c r="H479" s="558" t="s">
        <v>1431</v>
      </c>
      <c r="I479" s="558"/>
      <c r="J479" s="558"/>
      <c r="K479" s="222">
        <f>IF(K476&gt;K477,K477,K476)-K478+0.0000105185643549158</f>
        <v>7.4605105185643525</v>
      </c>
      <c r="L479" s="207"/>
    </row>
    <row r="480" spans="2:12">
      <c r="B480" s="213"/>
      <c r="C480" s="214"/>
      <c r="D480" s="214"/>
      <c r="E480" s="214"/>
      <c r="F480" s="214"/>
      <c r="G480" s="214"/>
      <c r="H480" s="559" t="s">
        <v>1224</v>
      </c>
      <c r="I480" s="559"/>
      <c r="J480" s="559"/>
      <c r="K480" s="223">
        <f>IF(K476&gt;K477,K476-K477,0)</f>
        <v>0.45771051856435463</v>
      </c>
      <c r="L480" s="209"/>
    </row>
    <row r="482" spans="2:12">
      <c r="B482" s="247" t="s">
        <v>195</v>
      </c>
      <c r="C482" s="565" t="str">
        <f>VLOOKUP(B482,'BM 004'!$B$27:$R$590,2,0)</f>
        <v xml:space="preserve">Fabricação, montagem e desmontagem de fôrma de viga, escoramento metálico, pé-direito duplo, em chapa de madeira resinada, 8 utilizações. </v>
      </c>
      <c r="D482" s="565"/>
      <c r="E482" s="565"/>
      <c r="F482" s="565"/>
      <c r="G482" s="565"/>
      <c r="H482" s="565"/>
      <c r="I482" s="565"/>
      <c r="J482" s="565"/>
      <c r="K482" s="565"/>
      <c r="L482" s="565"/>
    </row>
    <row r="483" spans="2:12">
      <c r="B483" s="248" t="s">
        <v>1209</v>
      </c>
      <c r="C483" s="248"/>
      <c r="D483" s="248" t="s">
        <v>39</v>
      </c>
      <c r="E483" s="248" t="s">
        <v>1210</v>
      </c>
      <c r="F483" s="248" t="s">
        <v>1388</v>
      </c>
      <c r="G483" s="248" t="s">
        <v>1212</v>
      </c>
      <c r="H483" s="248" t="s">
        <v>1455</v>
      </c>
      <c r="I483" s="248" t="s">
        <v>1214</v>
      </c>
      <c r="J483" s="248" t="s">
        <v>1385</v>
      </c>
      <c r="K483" s="248" t="s">
        <v>1216</v>
      </c>
      <c r="L483" s="248" t="s">
        <v>1217</v>
      </c>
    </row>
    <row r="484" spans="2:12">
      <c r="B484" s="249" t="s">
        <v>1456</v>
      </c>
      <c r="C484" s="250" t="s">
        <v>1441</v>
      </c>
      <c r="D484" s="205" t="s">
        <v>79</v>
      </c>
      <c r="E484" s="199">
        <v>0.64</v>
      </c>
      <c r="F484" s="199">
        <v>0.15</v>
      </c>
      <c r="G484" s="199">
        <v>1</v>
      </c>
      <c r="H484" s="199"/>
      <c r="I484" s="199">
        <f t="shared" ref="I484:I505" si="5">E484*(2*G484+F484)</f>
        <v>1.3759999999999999</v>
      </c>
      <c r="J484" s="219">
        <f t="shared" ref="J484:J505" si="6">E484*F484*G484</f>
        <v>9.6000000000000002E-2</v>
      </c>
      <c r="K484" s="220">
        <f t="shared" ref="K484:K506" si="7">IF(E484*F484*G484&lt;&gt;0,E484*F484*G484,IF(E484*F484&lt;&gt;0,E484*F484,IF(F484*G484&lt;&gt;0,F484*G484,IF(E484*G484&lt;&gt;0,E484*G484,IF(E484&lt;&gt;0,E484,IF(F484&lt;&gt;0,F484,IF(G484&lt;&gt;0,G484,0)))))))*(IF(H484&lt;&gt;0,H484,1))+I484-J484</f>
        <v>1.3759999999999999</v>
      </c>
      <c r="L484" s="255"/>
    </row>
    <row r="485" spans="2:12">
      <c r="B485" s="249" t="s">
        <v>1457</v>
      </c>
      <c r="C485" s="250" t="s">
        <v>1441</v>
      </c>
      <c r="D485" s="205" t="s">
        <v>79</v>
      </c>
      <c r="E485" s="199">
        <v>7.2</v>
      </c>
      <c r="F485" s="199">
        <v>0.15</v>
      </c>
      <c r="G485" s="199">
        <v>0.7</v>
      </c>
      <c r="H485" s="199"/>
      <c r="I485" s="199">
        <f t="shared" si="5"/>
        <v>11.159999999999998</v>
      </c>
      <c r="J485" s="219">
        <f t="shared" si="6"/>
        <v>0.75600000000000001</v>
      </c>
      <c r="K485" s="220">
        <f t="shared" si="7"/>
        <v>11.159999999999998</v>
      </c>
      <c r="L485" s="255"/>
    </row>
    <row r="486" spans="2:12">
      <c r="B486" s="249" t="s">
        <v>1458</v>
      </c>
      <c r="C486" s="250" t="s">
        <v>1441</v>
      </c>
      <c r="D486" s="205" t="s">
        <v>79</v>
      </c>
      <c r="E486" s="199">
        <v>13.07</v>
      </c>
      <c r="F486" s="199">
        <v>0.15</v>
      </c>
      <c r="G486" s="199">
        <v>0.7</v>
      </c>
      <c r="H486" s="199"/>
      <c r="I486" s="199">
        <f t="shared" si="5"/>
        <v>20.258499999999998</v>
      </c>
      <c r="J486" s="219">
        <f t="shared" si="6"/>
        <v>1.37235</v>
      </c>
      <c r="K486" s="220">
        <f t="shared" si="7"/>
        <v>20.258499999999998</v>
      </c>
      <c r="L486" s="255"/>
    </row>
    <row r="487" spans="2:12">
      <c r="B487" s="249" t="s">
        <v>1459</v>
      </c>
      <c r="C487" s="250" t="s">
        <v>1441</v>
      </c>
      <c r="D487" s="205" t="s">
        <v>79</v>
      </c>
      <c r="E487" s="199">
        <v>0.94</v>
      </c>
      <c r="F487" s="199">
        <v>0.2</v>
      </c>
      <c r="G487" s="199">
        <v>0.6</v>
      </c>
      <c r="H487" s="199"/>
      <c r="I487" s="199">
        <f t="shared" si="5"/>
        <v>1.3159999999999998</v>
      </c>
      <c r="J487" s="219">
        <f t="shared" si="6"/>
        <v>0.1128</v>
      </c>
      <c r="K487" s="220">
        <f t="shared" si="7"/>
        <v>1.3159999999999998</v>
      </c>
      <c r="L487" s="255"/>
    </row>
    <row r="488" spans="2:12">
      <c r="B488" s="249" t="s">
        <v>1460</v>
      </c>
      <c r="C488" s="250" t="s">
        <v>1441</v>
      </c>
      <c r="D488" s="205" t="s">
        <v>79</v>
      </c>
      <c r="E488" s="199">
        <v>6.7</v>
      </c>
      <c r="F488" s="199">
        <v>0.2</v>
      </c>
      <c r="G488" s="199">
        <v>0.6</v>
      </c>
      <c r="H488" s="199"/>
      <c r="I488" s="199">
        <f t="shared" si="5"/>
        <v>9.379999999999999</v>
      </c>
      <c r="J488" s="219">
        <f t="shared" si="6"/>
        <v>0.80400000000000005</v>
      </c>
      <c r="K488" s="220">
        <f t="shared" si="7"/>
        <v>9.379999999999999</v>
      </c>
      <c r="L488" s="255"/>
    </row>
    <row r="489" spans="2:12">
      <c r="B489" s="249" t="s">
        <v>1460</v>
      </c>
      <c r="C489" s="250" t="s">
        <v>1441</v>
      </c>
      <c r="D489" s="205" t="s">
        <v>79</v>
      </c>
      <c r="E489" s="199">
        <v>14.04</v>
      </c>
      <c r="F489" s="199">
        <v>0.2</v>
      </c>
      <c r="G489" s="199">
        <v>1.2</v>
      </c>
      <c r="H489" s="199"/>
      <c r="I489" s="199">
        <f t="shared" si="5"/>
        <v>36.503999999999998</v>
      </c>
      <c r="J489" s="219">
        <f t="shared" si="6"/>
        <v>3.3695999999999997</v>
      </c>
      <c r="K489" s="220">
        <f t="shared" si="7"/>
        <v>36.503999999999998</v>
      </c>
      <c r="L489" s="255"/>
    </row>
    <row r="490" spans="2:12">
      <c r="B490" s="249" t="s">
        <v>1461</v>
      </c>
      <c r="C490" s="250" t="s">
        <v>1441</v>
      </c>
      <c r="D490" s="205" t="s">
        <v>79</v>
      </c>
      <c r="E490" s="199">
        <v>7.64</v>
      </c>
      <c r="F490" s="199">
        <v>0.15</v>
      </c>
      <c r="G490" s="199">
        <v>0.8</v>
      </c>
      <c r="H490" s="199"/>
      <c r="I490" s="199">
        <f t="shared" si="5"/>
        <v>13.37</v>
      </c>
      <c r="J490" s="219">
        <f t="shared" si="6"/>
        <v>0.91679999999999995</v>
      </c>
      <c r="K490" s="220">
        <f t="shared" si="7"/>
        <v>13.37</v>
      </c>
      <c r="L490" s="255"/>
    </row>
    <row r="491" spans="2:12">
      <c r="B491" s="249" t="s">
        <v>1461</v>
      </c>
      <c r="C491" s="250" t="s">
        <v>1441</v>
      </c>
      <c r="D491" s="205" t="s">
        <v>79</v>
      </c>
      <c r="E491" s="199">
        <v>20.96</v>
      </c>
      <c r="F491" s="199">
        <v>0.15</v>
      </c>
      <c r="G491" s="199">
        <v>1.2</v>
      </c>
      <c r="H491" s="199"/>
      <c r="I491" s="199">
        <f t="shared" si="5"/>
        <v>53.448</v>
      </c>
      <c r="J491" s="219">
        <f t="shared" si="6"/>
        <v>3.7728000000000002</v>
      </c>
      <c r="K491" s="220">
        <f t="shared" si="7"/>
        <v>53.447999999999993</v>
      </c>
      <c r="L491" s="255"/>
    </row>
    <row r="492" spans="2:12">
      <c r="B492" s="249" t="s">
        <v>1462</v>
      </c>
      <c r="C492" s="250" t="s">
        <v>1441</v>
      </c>
      <c r="D492" s="205" t="s">
        <v>79</v>
      </c>
      <c r="E492" s="199">
        <v>22.34</v>
      </c>
      <c r="F492" s="199">
        <v>0.2</v>
      </c>
      <c r="G492" s="199">
        <v>0.6</v>
      </c>
      <c r="H492" s="199"/>
      <c r="I492" s="199">
        <f t="shared" si="5"/>
        <v>31.275999999999996</v>
      </c>
      <c r="J492" s="219">
        <f t="shared" si="6"/>
        <v>2.6808000000000001</v>
      </c>
      <c r="K492" s="220">
        <f t="shared" si="7"/>
        <v>31.275999999999993</v>
      </c>
      <c r="L492" s="255"/>
    </row>
    <row r="493" spans="2:12">
      <c r="B493" s="249" t="s">
        <v>1463</v>
      </c>
      <c r="C493" s="250" t="s">
        <v>1441</v>
      </c>
      <c r="D493" s="205" t="s">
        <v>79</v>
      </c>
      <c r="E493" s="199">
        <v>5.72</v>
      </c>
      <c r="F493" s="199">
        <v>0.15</v>
      </c>
      <c r="G493" s="199">
        <v>0.6</v>
      </c>
      <c r="H493" s="199"/>
      <c r="I493" s="199">
        <f t="shared" si="5"/>
        <v>7.7219999999999986</v>
      </c>
      <c r="J493" s="219">
        <f t="shared" si="6"/>
        <v>0.51479999999999992</v>
      </c>
      <c r="K493" s="220">
        <f t="shared" si="7"/>
        <v>7.7219999999999986</v>
      </c>
      <c r="L493" s="255"/>
    </row>
    <row r="494" spans="2:12">
      <c r="B494" s="249" t="s">
        <v>1464</v>
      </c>
      <c r="C494" s="250" t="s">
        <v>1441</v>
      </c>
      <c r="D494" s="205" t="s">
        <v>79</v>
      </c>
      <c r="E494" s="199">
        <v>22.34</v>
      </c>
      <c r="F494" s="199">
        <v>0.2</v>
      </c>
      <c r="G494" s="199">
        <v>0.6</v>
      </c>
      <c r="H494" s="199"/>
      <c r="I494" s="199">
        <f t="shared" si="5"/>
        <v>31.275999999999996</v>
      </c>
      <c r="J494" s="219">
        <f t="shared" si="6"/>
        <v>2.6808000000000001</v>
      </c>
      <c r="K494" s="220">
        <f t="shared" si="7"/>
        <v>31.275999999999993</v>
      </c>
      <c r="L494" s="255"/>
    </row>
    <row r="495" spans="2:12">
      <c r="B495" s="249" t="s">
        <v>1465</v>
      </c>
      <c r="C495" s="250" t="s">
        <v>1441</v>
      </c>
      <c r="D495" s="205" t="s">
        <v>79</v>
      </c>
      <c r="E495" s="199">
        <v>4.42</v>
      </c>
      <c r="F495" s="199">
        <v>0.2</v>
      </c>
      <c r="G495" s="199">
        <v>0.6</v>
      </c>
      <c r="H495" s="199"/>
      <c r="I495" s="199">
        <f t="shared" si="5"/>
        <v>6.1879999999999997</v>
      </c>
      <c r="J495" s="219">
        <f t="shared" si="6"/>
        <v>0.53039999999999998</v>
      </c>
      <c r="K495" s="220">
        <f t="shared" si="7"/>
        <v>6.1879999999999997</v>
      </c>
      <c r="L495" s="255"/>
    </row>
    <row r="496" spans="2:12">
      <c r="B496" s="249" t="s">
        <v>1466</v>
      </c>
      <c r="C496" s="250" t="s">
        <v>1441</v>
      </c>
      <c r="D496" s="205" t="s">
        <v>79</v>
      </c>
      <c r="E496" s="199">
        <v>28.84</v>
      </c>
      <c r="F496" s="199">
        <v>0.2</v>
      </c>
      <c r="G496" s="199">
        <v>0.6</v>
      </c>
      <c r="H496" s="199"/>
      <c r="I496" s="199">
        <f t="shared" si="5"/>
        <v>40.375999999999998</v>
      </c>
      <c r="J496" s="219">
        <f t="shared" si="6"/>
        <v>3.4608000000000003</v>
      </c>
      <c r="K496" s="220">
        <f t="shared" si="7"/>
        <v>40.375999999999998</v>
      </c>
      <c r="L496" s="255"/>
    </row>
    <row r="497" spans="2:12">
      <c r="B497" s="249" t="s">
        <v>1467</v>
      </c>
      <c r="C497" s="250" t="s">
        <v>1441</v>
      </c>
      <c r="D497" s="205" t="s">
        <v>79</v>
      </c>
      <c r="E497" s="199">
        <v>24.09</v>
      </c>
      <c r="F497" s="199">
        <v>0.15</v>
      </c>
      <c r="G497" s="199">
        <v>1</v>
      </c>
      <c r="H497" s="199"/>
      <c r="I497" s="199">
        <f t="shared" si="5"/>
        <v>51.793499999999995</v>
      </c>
      <c r="J497" s="219">
        <f t="shared" si="6"/>
        <v>3.6134999999999997</v>
      </c>
      <c r="K497" s="220">
        <f t="shared" si="7"/>
        <v>51.793499999999995</v>
      </c>
      <c r="L497" s="255"/>
    </row>
    <row r="498" spans="2:12">
      <c r="B498" s="249" t="s">
        <v>1468</v>
      </c>
      <c r="C498" s="250" t="s">
        <v>1441</v>
      </c>
      <c r="D498" s="205" t="s">
        <v>79</v>
      </c>
      <c r="E498" s="199">
        <v>9.8800000000000008</v>
      </c>
      <c r="F498" s="199">
        <v>0.15</v>
      </c>
      <c r="G498" s="199">
        <v>0.6</v>
      </c>
      <c r="H498" s="199"/>
      <c r="I498" s="199">
        <f t="shared" si="5"/>
        <v>13.337999999999999</v>
      </c>
      <c r="J498" s="219">
        <f t="shared" si="6"/>
        <v>0.88919999999999999</v>
      </c>
      <c r="K498" s="220">
        <f t="shared" si="7"/>
        <v>13.337999999999999</v>
      </c>
      <c r="L498" s="255"/>
    </row>
    <row r="499" spans="2:12">
      <c r="B499" s="249" t="s">
        <v>1469</v>
      </c>
      <c r="C499" s="250" t="s">
        <v>1441</v>
      </c>
      <c r="D499" s="205" t="s">
        <v>79</v>
      </c>
      <c r="E499" s="199">
        <v>12</v>
      </c>
      <c r="F499" s="199">
        <v>0.2</v>
      </c>
      <c r="G499" s="199">
        <v>0.6</v>
      </c>
      <c r="H499" s="199"/>
      <c r="I499" s="199">
        <f t="shared" si="5"/>
        <v>16.799999999999997</v>
      </c>
      <c r="J499" s="219">
        <f t="shared" si="6"/>
        <v>1.4400000000000002</v>
      </c>
      <c r="K499" s="220">
        <f t="shared" si="7"/>
        <v>16.799999999999997</v>
      </c>
      <c r="L499" s="255"/>
    </row>
    <row r="500" spans="2:12">
      <c r="B500" s="249" t="s">
        <v>1470</v>
      </c>
      <c r="C500" s="250" t="s">
        <v>1441</v>
      </c>
      <c r="D500" s="205" t="s">
        <v>79</v>
      </c>
      <c r="E500" s="199">
        <v>1.81</v>
      </c>
      <c r="F500" s="199">
        <v>0.2</v>
      </c>
      <c r="G500" s="199">
        <v>0.8</v>
      </c>
      <c r="H500" s="199"/>
      <c r="I500" s="199">
        <f t="shared" si="5"/>
        <v>3.258</v>
      </c>
      <c r="J500" s="219">
        <f t="shared" si="6"/>
        <v>0.28960000000000002</v>
      </c>
      <c r="K500" s="220">
        <f t="shared" si="7"/>
        <v>3.258</v>
      </c>
      <c r="L500" s="255"/>
    </row>
    <row r="501" spans="2:12">
      <c r="B501" s="249" t="s">
        <v>1471</v>
      </c>
      <c r="C501" s="250" t="s">
        <v>1441</v>
      </c>
      <c r="D501" s="205" t="s">
        <v>79</v>
      </c>
      <c r="E501" s="199">
        <v>5.92</v>
      </c>
      <c r="F501" s="199">
        <v>0.15</v>
      </c>
      <c r="G501" s="199">
        <v>1.2</v>
      </c>
      <c r="H501" s="199"/>
      <c r="I501" s="199">
        <f t="shared" si="5"/>
        <v>15.095999999999998</v>
      </c>
      <c r="J501" s="219">
        <f t="shared" si="6"/>
        <v>1.0655999999999999</v>
      </c>
      <c r="K501" s="220">
        <f t="shared" si="7"/>
        <v>15.096</v>
      </c>
      <c r="L501" s="255"/>
    </row>
    <row r="502" spans="2:12">
      <c r="B502" s="249" t="s">
        <v>1472</v>
      </c>
      <c r="C502" s="250" t="s">
        <v>1441</v>
      </c>
      <c r="D502" s="205" t="s">
        <v>79</v>
      </c>
      <c r="E502" s="199">
        <v>12.49</v>
      </c>
      <c r="F502" s="199">
        <v>0.15</v>
      </c>
      <c r="G502" s="199">
        <v>1</v>
      </c>
      <c r="H502" s="199"/>
      <c r="I502" s="199">
        <f t="shared" si="5"/>
        <v>26.8535</v>
      </c>
      <c r="J502" s="219">
        <f t="shared" si="6"/>
        <v>1.8734999999999999</v>
      </c>
      <c r="K502" s="220">
        <f t="shared" si="7"/>
        <v>26.8535</v>
      </c>
      <c r="L502" s="255"/>
    </row>
    <row r="503" spans="2:12">
      <c r="B503" s="249" t="s">
        <v>1472</v>
      </c>
      <c r="C503" s="250" t="s">
        <v>1441</v>
      </c>
      <c r="D503" s="205" t="s">
        <v>79</v>
      </c>
      <c r="E503" s="199">
        <v>6</v>
      </c>
      <c r="F503" s="199">
        <v>0.15</v>
      </c>
      <c r="G503" s="199">
        <v>1.2</v>
      </c>
      <c r="H503" s="199"/>
      <c r="I503" s="199">
        <f t="shared" si="5"/>
        <v>15.299999999999999</v>
      </c>
      <c r="J503" s="219">
        <f t="shared" si="6"/>
        <v>1.0799999999999998</v>
      </c>
      <c r="K503" s="220">
        <f t="shared" si="7"/>
        <v>15.299999999999999</v>
      </c>
      <c r="L503" s="255"/>
    </row>
    <row r="504" spans="2:12">
      <c r="B504" s="249" t="s">
        <v>1473</v>
      </c>
      <c r="C504" s="250" t="s">
        <v>1441</v>
      </c>
      <c r="D504" s="205" t="s">
        <v>79</v>
      </c>
      <c r="E504" s="199">
        <v>4.83</v>
      </c>
      <c r="F504" s="199">
        <v>0.15</v>
      </c>
      <c r="G504" s="199">
        <v>0.6</v>
      </c>
      <c r="H504" s="199"/>
      <c r="I504" s="199">
        <f t="shared" si="5"/>
        <v>6.5204999999999993</v>
      </c>
      <c r="J504" s="219">
        <f t="shared" si="6"/>
        <v>0.43470000000000003</v>
      </c>
      <c r="K504" s="220">
        <f t="shared" si="7"/>
        <v>6.5204999999999993</v>
      </c>
      <c r="L504" s="255"/>
    </row>
    <row r="505" spans="2:12">
      <c r="B505" s="249" t="s">
        <v>1474</v>
      </c>
      <c r="C505" s="250" t="s">
        <v>1441</v>
      </c>
      <c r="D505" s="205" t="s">
        <v>79</v>
      </c>
      <c r="E505" s="199">
        <v>13.85</v>
      </c>
      <c r="F505" s="199">
        <v>0.15</v>
      </c>
      <c r="G505" s="199">
        <v>0.7</v>
      </c>
      <c r="H505" s="199"/>
      <c r="I505" s="199">
        <f t="shared" si="5"/>
        <v>21.467499999999998</v>
      </c>
      <c r="J505" s="219">
        <f t="shared" si="6"/>
        <v>1.4542499999999996</v>
      </c>
      <c r="K505" s="220">
        <f t="shared" si="7"/>
        <v>21.467499999999998</v>
      </c>
      <c r="L505" s="255"/>
    </row>
    <row r="506" spans="2:12">
      <c r="B506" s="249"/>
      <c r="C506" s="250"/>
      <c r="D506" s="205"/>
      <c r="E506" s="199"/>
      <c r="F506" s="199"/>
      <c r="G506" s="199"/>
      <c r="H506" s="199"/>
      <c r="I506" s="199"/>
      <c r="J506" s="219"/>
      <c r="K506" s="220">
        <f t="shared" si="7"/>
        <v>0</v>
      </c>
      <c r="L506" s="255"/>
    </row>
    <row r="507" spans="2:12">
      <c r="B507" s="208"/>
      <c r="C507" s="204"/>
      <c r="D507" s="204"/>
      <c r="E507" s="204"/>
      <c r="F507" s="204"/>
      <c r="G507" s="204"/>
      <c r="H507" s="204"/>
      <c r="I507" s="557" t="s">
        <v>1221</v>
      </c>
      <c r="J507" s="557"/>
      <c r="K507" s="262">
        <f>SUM(K484:K506)</f>
        <v>434.07749999999999</v>
      </c>
      <c r="L507" s="207"/>
    </row>
    <row r="508" spans="2:12">
      <c r="B508" s="208"/>
      <c r="C508" s="204"/>
      <c r="D508" s="204"/>
      <c r="E508" s="204"/>
      <c r="F508" s="204"/>
      <c r="G508" s="204"/>
      <c r="H508" s="209"/>
      <c r="I508" s="557" t="s">
        <v>1222</v>
      </c>
      <c r="J508" s="557"/>
      <c r="K508" s="221">
        <f>VLOOKUP(B482,'BM 004'!$B$27:$R$590,4,0)</f>
        <v>3575</v>
      </c>
      <c r="L508" s="207"/>
    </row>
    <row r="509" spans="2:12">
      <c r="B509" s="208"/>
      <c r="C509" s="204"/>
      <c r="D509" s="204"/>
      <c r="E509" s="204"/>
      <c r="F509" s="204"/>
      <c r="G509" s="204"/>
      <c r="H509" s="558" t="s">
        <v>1223</v>
      </c>
      <c r="I509" s="558"/>
      <c r="J509" s="558"/>
      <c r="K509" s="222"/>
      <c r="L509" s="207"/>
    </row>
    <row r="510" spans="2:12">
      <c r="B510" s="208"/>
      <c r="C510" s="204"/>
      <c r="D510" s="204"/>
      <c r="E510" s="204"/>
      <c r="F510" s="204"/>
      <c r="G510" s="204"/>
      <c r="H510" s="558" t="s">
        <v>1431</v>
      </c>
      <c r="I510" s="558"/>
      <c r="J510" s="558"/>
      <c r="K510" s="222">
        <f>TRUNC(SUMIF(C484:C506,H510,K484:K506),2)</f>
        <v>434.07</v>
      </c>
      <c r="L510" s="207"/>
    </row>
    <row r="511" spans="2:12">
      <c r="B511" s="213"/>
      <c r="C511" s="214"/>
      <c r="D511" s="214"/>
      <c r="E511" s="214"/>
      <c r="F511" s="214"/>
      <c r="G511" s="214"/>
      <c r="H511" s="559" t="s">
        <v>1224</v>
      </c>
      <c r="I511" s="559"/>
      <c r="J511" s="559"/>
      <c r="K511" s="223">
        <f>IF(K507&gt;K508,K507-K508,0)</f>
        <v>0</v>
      </c>
      <c r="L511" s="209"/>
    </row>
    <row r="513" spans="2:12">
      <c r="B513" s="247" t="s">
        <v>197</v>
      </c>
      <c r="C513" s="565" t="str">
        <f>VLOOKUP(B513,'BM 004'!$B$27:$R$590,2,0)</f>
        <v xml:space="preserve">Armação de pilar ou viga de uma estrutura convencional de concreto armado em um edifício de múltiplos pavimentos utilizando aço ca-60 de 5,0 mm - montagem. </v>
      </c>
      <c r="D513" s="565"/>
      <c r="E513" s="565"/>
      <c r="F513" s="565"/>
      <c r="G513" s="565"/>
      <c r="H513" s="565"/>
      <c r="I513" s="565"/>
      <c r="J513" s="565"/>
      <c r="K513" s="565"/>
      <c r="L513" s="565"/>
    </row>
    <row r="514" spans="2:12">
      <c r="B514" s="248" t="s">
        <v>1209</v>
      </c>
      <c r="C514" s="248"/>
      <c r="D514" s="248" t="s">
        <v>39</v>
      </c>
      <c r="E514" s="248" t="s">
        <v>1210</v>
      </c>
      <c r="F514" s="248" t="s">
        <v>1382</v>
      </c>
      <c r="G514" s="248" t="s">
        <v>1383</v>
      </c>
      <c r="H514" s="248" t="s">
        <v>1384</v>
      </c>
      <c r="I514" s="248" t="s">
        <v>1214</v>
      </c>
      <c r="J514" s="248" t="s">
        <v>1385</v>
      </c>
      <c r="K514" s="248" t="s">
        <v>1216</v>
      </c>
      <c r="L514" s="248" t="s">
        <v>1217</v>
      </c>
    </row>
    <row r="515" spans="2:12">
      <c r="B515" s="249" t="s">
        <v>1367</v>
      </c>
      <c r="C515" s="250" t="s">
        <v>1333</v>
      </c>
      <c r="D515" s="205" t="s">
        <v>152</v>
      </c>
      <c r="E515" s="251">
        <v>661</v>
      </c>
      <c r="F515" s="252">
        <v>0.154</v>
      </c>
      <c r="G515" s="251"/>
      <c r="H515" s="251">
        <v>1.1000000000000001</v>
      </c>
      <c r="I515" s="251"/>
      <c r="J515" s="253"/>
      <c r="K515" s="254">
        <f>IF(E515*F515*G515&lt;&gt;0,E515*F515*G515,IF(E515*F515&lt;&gt;0,E515*F515,IF(F515*G515&lt;&gt;0,F515*G515,IF(E515*G515&lt;&gt;0,E515*G515,IF(E515&lt;&gt;0,E515,IF(F515&lt;&gt;0,F515,IF(G515&lt;&gt;0,G515,0)))))))*(IF(H515&lt;&gt;0,H515,1))+I515-J515</f>
        <v>111.97340000000001</v>
      </c>
      <c r="L515" s="255"/>
    </row>
    <row r="516" spans="2:12">
      <c r="B516" s="249" t="s">
        <v>1386</v>
      </c>
      <c r="C516" s="250" t="s">
        <v>1333</v>
      </c>
      <c r="D516" s="205" t="s">
        <v>152</v>
      </c>
      <c r="E516" s="251">
        <v>433</v>
      </c>
      <c r="F516" s="252">
        <v>0.154</v>
      </c>
      <c r="G516" s="251"/>
      <c r="H516" s="251">
        <v>1.1000000000000001</v>
      </c>
      <c r="I516" s="251"/>
      <c r="J516" s="253"/>
      <c r="K516" s="254">
        <f>IF(E516*F516*G516&lt;&gt;0,E516*F516*G516,IF(E516*F516&lt;&gt;0,E516*F516,IF(F516*G516&lt;&gt;0,F516*G516,IF(E516*G516&lt;&gt;0,E516*G516,IF(E516&lt;&gt;0,E516,IF(F516&lt;&gt;0,F516,IF(G516&lt;&gt;0,G516,0)))))))*(IF(H516&lt;&gt;0,H516,1))+I516-J516</f>
        <v>73.350200000000015</v>
      </c>
      <c r="L516" s="255"/>
    </row>
    <row r="517" spans="2:12">
      <c r="B517" s="263" t="s">
        <v>1475</v>
      </c>
      <c r="C517" s="264" t="s">
        <v>1441</v>
      </c>
      <c r="D517" s="205" t="s">
        <v>152</v>
      </c>
      <c r="E517" s="251">
        <v>257</v>
      </c>
      <c r="F517" s="252">
        <v>0.154</v>
      </c>
      <c r="G517" s="251"/>
      <c r="H517" s="251">
        <v>1.1000000000000001</v>
      </c>
      <c r="I517" s="251"/>
      <c r="J517" s="253"/>
      <c r="K517" s="254">
        <f>IF(E517*F517*G517&lt;&gt;0,E517*F517*G517,IF(E517*F517&lt;&gt;0,E517*F517,IF(F517*G517&lt;&gt;0,F517*G517,IF(E517*G517&lt;&gt;0,E517*G517,IF(E517&lt;&gt;0,E517,IF(F517&lt;&gt;0,F517,IF(G517&lt;&gt;0,G517,0)))))))*(IF(H517&lt;&gt;0,H517,1))+I517-J517</f>
        <v>43.535800000000009</v>
      </c>
      <c r="L517" s="255"/>
    </row>
    <row r="518" spans="2:12">
      <c r="B518" s="263" t="s">
        <v>1476</v>
      </c>
      <c r="C518" s="264" t="s">
        <v>1441</v>
      </c>
      <c r="D518" s="205" t="s">
        <v>152</v>
      </c>
      <c r="E518" s="251">
        <v>402</v>
      </c>
      <c r="F518" s="252">
        <v>0.154</v>
      </c>
      <c r="G518" s="251"/>
      <c r="H518" s="251">
        <v>1.1000000000000001</v>
      </c>
      <c r="I518" s="251"/>
      <c r="J518" s="253"/>
      <c r="K518" s="254">
        <f>IF(E518*F518*G518&lt;&gt;0,E518*F518*G518,IF(E518*F518&lt;&gt;0,E518*F518,IF(F518*G518&lt;&gt;0,F518*G518,IF(E518*G518&lt;&gt;0,E518*G518,IF(E518&lt;&gt;0,E518,IF(F518&lt;&gt;0,F518,IF(G518&lt;&gt;0,G518,0)))))))*(IF(H518&lt;&gt;0,H518,1))+I518-J518</f>
        <v>68.098800000000011</v>
      </c>
      <c r="L518" s="255"/>
    </row>
    <row r="519" spans="2:12">
      <c r="B519" s="256"/>
      <c r="C519" s="210"/>
      <c r="D519" s="210"/>
      <c r="E519" s="257"/>
      <c r="F519" s="258"/>
      <c r="G519" s="257"/>
      <c r="H519" s="257"/>
      <c r="I519" s="257"/>
      <c r="J519" s="259"/>
      <c r="K519" s="260">
        <f>IF(E519*F519*G519&lt;&gt;0,E519*F519*G519,IF(E519*F519&lt;&gt;0,E519*F519,IF(F519*G519&lt;&gt;0,F519*G519,IF(E519*G519&lt;&gt;0,E519*G519,IF(E519&lt;&gt;0,E519,IF(F519&lt;&gt;0,F519,IF(G519&lt;&gt;0,G519,0)))))))*(IF(H519&lt;&gt;0,H519,1))+I519-J519</f>
        <v>0</v>
      </c>
      <c r="L519" s="210"/>
    </row>
    <row r="520" spans="2:12">
      <c r="B520" s="202"/>
      <c r="C520" s="203"/>
      <c r="D520" s="203"/>
      <c r="E520" s="203"/>
      <c r="F520" s="203"/>
      <c r="G520" s="203"/>
      <c r="H520" s="204"/>
      <c r="I520" s="556" t="s">
        <v>1221</v>
      </c>
      <c r="J520" s="556"/>
      <c r="K520" s="220">
        <f>SUM(K515:K519)</f>
        <v>296.95820000000003</v>
      </c>
      <c r="L520" s="207"/>
    </row>
    <row r="521" spans="2:12">
      <c r="B521" s="208"/>
      <c r="C521" s="204"/>
      <c r="D521" s="204"/>
      <c r="E521" s="204"/>
      <c r="F521" s="204"/>
      <c r="G521" s="204"/>
      <c r="H521" s="209"/>
      <c r="I521" s="557" t="s">
        <v>1222</v>
      </c>
      <c r="J521" s="557"/>
      <c r="K521" s="221">
        <f>VLOOKUP(B513,'BM 004'!$B$27:$R$590,4,0)</f>
        <v>2130.6999999999998</v>
      </c>
      <c r="L521" s="207"/>
    </row>
    <row r="522" spans="2:12">
      <c r="B522" s="208"/>
      <c r="C522" s="204"/>
      <c r="D522" s="204"/>
      <c r="E522" s="204"/>
      <c r="F522" s="204"/>
      <c r="G522" s="204"/>
      <c r="H522" s="558" t="s">
        <v>1223</v>
      </c>
      <c r="I522" s="558"/>
      <c r="J522" s="558"/>
      <c r="K522" s="222">
        <v>185.32</v>
      </c>
      <c r="L522" s="207"/>
    </row>
    <row r="523" spans="2:12">
      <c r="B523" s="208"/>
      <c r="C523" s="204"/>
      <c r="D523" s="204"/>
      <c r="E523" s="204"/>
      <c r="F523" s="204"/>
      <c r="G523" s="204"/>
      <c r="H523" s="558" t="s">
        <v>1431</v>
      </c>
      <c r="I523" s="558"/>
      <c r="J523" s="558"/>
      <c r="K523" s="222">
        <f>TRUNC(SUMIF(C515:C519,H523,K515:K519),2)</f>
        <v>111.63</v>
      </c>
      <c r="L523" s="207"/>
    </row>
    <row r="524" spans="2:12">
      <c r="B524" s="213"/>
      <c r="C524" s="214"/>
      <c r="D524" s="214"/>
      <c r="E524" s="214"/>
      <c r="F524" s="214"/>
      <c r="G524" s="214"/>
      <c r="H524" s="559" t="s">
        <v>1224</v>
      </c>
      <c r="I524" s="559"/>
      <c r="J524" s="559"/>
      <c r="K524" s="223">
        <f>IF(K520&gt;K521,K520-K521,0)</f>
        <v>0</v>
      </c>
      <c r="L524" s="209"/>
    </row>
    <row r="526" spans="2:12">
      <c r="B526" s="247" t="s">
        <v>199</v>
      </c>
      <c r="C526" s="565" t="str">
        <f>VLOOKUP(B526,'BM 004'!$B$27:$R$590,2,0)</f>
        <v xml:space="preserve">Armação de pilar ou viga de uma estrutura convencional de concreto armado em um edifício de múltiplos pavimentos utilizando aço ca-50 de 6,3 mm - montagem.  </v>
      </c>
      <c r="D526" s="565"/>
      <c r="E526" s="565"/>
      <c r="F526" s="565"/>
      <c r="G526" s="565"/>
      <c r="H526" s="565"/>
      <c r="I526" s="565"/>
      <c r="J526" s="565"/>
      <c r="K526" s="565"/>
      <c r="L526" s="565"/>
    </row>
    <row r="527" spans="2:12">
      <c r="B527" s="248" t="s">
        <v>1209</v>
      </c>
      <c r="C527" s="248"/>
      <c r="D527" s="248" t="s">
        <v>39</v>
      </c>
      <c r="E527" s="248" t="s">
        <v>1210</v>
      </c>
      <c r="F527" s="248" t="s">
        <v>1382</v>
      </c>
      <c r="G527" s="248" t="s">
        <v>1383</v>
      </c>
      <c r="H527" s="248" t="s">
        <v>1384</v>
      </c>
      <c r="I527" s="248" t="s">
        <v>1214</v>
      </c>
      <c r="J527" s="248" t="s">
        <v>1385</v>
      </c>
      <c r="K527" s="248" t="s">
        <v>1216</v>
      </c>
      <c r="L527" s="248" t="s">
        <v>1217</v>
      </c>
    </row>
    <row r="528" spans="2:12">
      <c r="B528" s="249" t="s">
        <v>1367</v>
      </c>
      <c r="C528" s="250" t="s">
        <v>1333</v>
      </c>
      <c r="D528" s="205" t="s">
        <v>152</v>
      </c>
      <c r="E528" s="251">
        <v>510</v>
      </c>
      <c r="F528" s="252">
        <v>0.245</v>
      </c>
      <c r="G528" s="251"/>
      <c r="H528" s="251">
        <v>1.1000000000000001</v>
      </c>
      <c r="I528" s="251"/>
      <c r="J528" s="253"/>
      <c r="K528" s="254">
        <f>IF(E528*F528*G528&lt;&gt;0,E528*F528*G528,IF(E528*F528&lt;&gt;0,E528*F528,IF(F528*G528&lt;&gt;0,F528*G528,IF(E528*G528&lt;&gt;0,E528*G528,IF(E528&lt;&gt;0,E528,IF(F528&lt;&gt;0,F528,IF(G528&lt;&gt;0,G528,0)))))))*(IF(H528&lt;&gt;0,H528,1))+I528-J528</f>
        <v>137.44500000000002</v>
      </c>
      <c r="L528" s="255"/>
    </row>
    <row r="529" spans="2:12">
      <c r="B529" s="249" t="s">
        <v>1386</v>
      </c>
      <c r="C529" s="250" t="s">
        <v>1333</v>
      </c>
      <c r="D529" s="205" t="s">
        <v>152</v>
      </c>
      <c r="E529" s="251">
        <v>363</v>
      </c>
      <c r="F529" s="252">
        <v>0.245</v>
      </c>
      <c r="G529" s="251"/>
      <c r="H529" s="251">
        <v>1.1000000000000001</v>
      </c>
      <c r="I529" s="251"/>
      <c r="J529" s="253"/>
      <c r="K529" s="254">
        <f>IF(E529*F529*G529&lt;&gt;0,E529*F529*G529,IF(E529*F529&lt;&gt;0,E529*F529,IF(F529*G529&lt;&gt;0,F529*G529,IF(E529*G529&lt;&gt;0,E529*G529,IF(E529&lt;&gt;0,E529,IF(F529&lt;&gt;0,F529,IF(G529&lt;&gt;0,G529,0)))))))*(IF(H529&lt;&gt;0,H529,1))+I529-J529</f>
        <v>97.828500000000005</v>
      </c>
      <c r="L529" s="255"/>
    </row>
    <row r="530" spans="2:12">
      <c r="B530" s="263" t="s">
        <v>1475</v>
      </c>
      <c r="C530" s="264" t="s">
        <v>1441</v>
      </c>
      <c r="D530" s="205" t="s">
        <v>152</v>
      </c>
      <c r="E530" s="251">
        <v>425</v>
      </c>
      <c r="F530" s="252">
        <v>0.245</v>
      </c>
      <c r="G530" s="251"/>
      <c r="H530" s="251">
        <v>1.1000000000000001</v>
      </c>
      <c r="I530" s="251"/>
      <c r="J530" s="253"/>
      <c r="K530" s="254">
        <f>IF(E530*F530*G530&lt;&gt;0,E530*F530*G530,IF(E530*F530&lt;&gt;0,E530*F530,IF(F530*G530&lt;&gt;0,F530*G530,IF(E530*G530&lt;&gt;0,E530*G530,IF(E530&lt;&gt;0,E530,IF(F530&lt;&gt;0,F530,IF(G530&lt;&gt;0,G530,0)))))))*(IF(H530&lt;&gt;0,H530,1))+I530-J530</f>
        <v>114.53750000000001</v>
      </c>
      <c r="L530" s="255"/>
    </row>
    <row r="531" spans="2:12">
      <c r="B531" s="263" t="s">
        <v>1476</v>
      </c>
      <c r="C531" s="264" t="s">
        <v>1441</v>
      </c>
      <c r="D531" s="205" t="s">
        <v>152</v>
      </c>
      <c r="E531" s="251">
        <v>443</v>
      </c>
      <c r="F531" s="252">
        <v>0.245</v>
      </c>
      <c r="G531" s="251"/>
      <c r="H531" s="251">
        <v>1.1000000000000001</v>
      </c>
      <c r="I531" s="251"/>
      <c r="J531" s="253"/>
      <c r="K531" s="254">
        <f>IF(E531*F531*G531&lt;&gt;0,E531*F531*G531,IF(E531*F531&lt;&gt;0,E531*F531,IF(F531*G531&lt;&gt;0,F531*G531,IF(E531*G531&lt;&gt;0,E531*G531,IF(E531&lt;&gt;0,E531,IF(F531&lt;&gt;0,F531,IF(G531&lt;&gt;0,G531,0)))))))*(IF(H531&lt;&gt;0,H531,1))+I531-J531</f>
        <v>119.38850000000001</v>
      </c>
      <c r="L531" s="255"/>
    </row>
    <row r="532" spans="2:12">
      <c r="B532" s="256"/>
      <c r="C532" s="210"/>
      <c r="D532" s="210"/>
      <c r="E532" s="257"/>
      <c r="F532" s="258"/>
      <c r="G532" s="257"/>
      <c r="H532" s="257"/>
      <c r="I532" s="257"/>
      <c r="J532" s="259"/>
      <c r="K532" s="260">
        <f>IF(E532*F532*G532&lt;&gt;0,E532*F532*G532,IF(E532*F532&lt;&gt;0,E532*F532,IF(F532*G532&lt;&gt;0,F532*G532,IF(E532*G532&lt;&gt;0,E532*G532,IF(E532&lt;&gt;0,E532,IF(F532&lt;&gt;0,F532,IF(G532&lt;&gt;0,G532,0)))))))*(IF(H532&lt;&gt;0,H532,1))+I532-J532</f>
        <v>0</v>
      </c>
      <c r="L532" s="210"/>
    </row>
    <row r="533" spans="2:12">
      <c r="B533" s="202"/>
      <c r="C533" s="203"/>
      <c r="D533" s="203"/>
      <c r="E533" s="203"/>
      <c r="F533" s="203"/>
      <c r="G533" s="203"/>
      <c r="H533" s="204"/>
      <c r="I533" s="556" t="s">
        <v>1221</v>
      </c>
      <c r="J533" s="556"/>
      <c r="K533" s="220">
        <f>SUM(K528:K532)</f>
        <v>469.19950000000006</v>
      </c>
      <c r="L533" s="207"/>
    </row>
    <row r="534" spans="2:12">
      <c r="B534" s="208"/>
      <c r="C534" s="204"/>
      <c r="D534" s="204"/>
      <c r="E534" s="204"/>
      <c r="F534" s="204"/>
      <c r="G534" s="204"/>
      <c r="H534" s="209"/>
      <c r="I534" s="557" t="s">
        <v>1222</v>
      </c>
      <c r="J534" s="557"/>
      <c r="K534" s="221">
        <f>VLOOKUP(B526,'BM 004'!$B$27:$R$590,4,0)</f>
        <v>3031.6</v>
      </c>
      <c r="L534" s="207"/>
    </row>
    <row r="535" spans="2:12">
      <c r="B535" s="208"/>
      <c r="C535" s="204"/>
      <c r="D535" s="204"/>
      <c r="E535" s="204"/>
      <c r="F535" s="204"/>
      <c r="G535" s="204"/>
      <c r="H535" s="558" t="s">
        <v>1223</v>
      </c>
      <c r="I535" s="558"/>
      <c r="J535" s="558"/>
      <c r="K535" s="222">
        <f>SUM(K528:K529)</f>
        <v>235.27350000000001</v>
      </c>
      <c r="L535" s="207"/>
    </row>
    <row r="536" spans="2:12">
      <c r="B536" s="208"/>
      <c r="C536" s="204"/>
      <c r="D536" s="204"/>
      <c r="E536" s="204"/>
      <c r="F536" s="204"/>
      <c r="G536" s="204"/>
      <c r="H536" s="558" t="s">
        <v>1431</v>
      </c>
      <c r="I536" s="558"/>
      <c r="J536" s="558"/>
      <c r="K536" s="222">
        <f>TRUNC(SUMIF(C528:C532,H536,K528:K532),2)</f>
        <v>233.92</v>
      </c>
      <c r="L536" s="207"/>
    </row>
    <row r="537" spans="2:12">
      <c r="B537" s="213"/>
      <c r="C537" s="214"/>
      <c r="D537" s="214"/>
      <c r="E537" s="214"/>
      <c r="F537" s="214"/>
      <c r="G537" s="214"/>
      <c r="H537" s="559" t="s">
        <v>1224</v>
      </c>
      <c r="I537" s="559"/>
      <c r="J537" s="559"/>
      <c r="K537" s="223">
        <f>IF(K533&gt;K534,K533-K534,0)</f>
        <v>0</v>
      </c>
      <c r="L537" s="209"/>
    </row>
    <row r="539" spans="2:12">
      <c r="B539" s="247" t="s">
        <v>201</v>
      </c>
      <c r="C539" s="565" t="str">
        <f>VLOOKUP(B539,'BM 004'!$B$27:$R$590,2,0)</f>
        <v xml:space="preserve">Armação de pilar ou viga de uma estrutura convencional de concreto armado em um edifício de múltiplos pavimentos utilizando aço ca-50 de 8,0 mm - montagem. </v>
      </c>
      <c r="D539" s="565"/>
      <c r="E539" s="565"/>
      <c r="F539" s="565"/>
      <c r="G539" s="565"/>
      <c r="H539" s="565"/>
      <c r="I539" s="565"/>
      <c r="J539" s="565"/>
      <c r="K539" s="565"/>
      <c r="L539" s="565"/>
    </row>
    <row r="540" spans="2:12">
      <c r="B540" s="248" t="s">
        <v>1209</v>
      </c>
      <c r="C540" s="248"/>
      <c r="D540" s="248" t="s">
        <v>39</v>
      </c>
      <c r="E540" s="248" t="s">
        <v>1210</v>
      </c>
      <c r="F540" s="248" t="s">
        <v>1382</v>
      </c>
      <c r="G540" s="248" t="s">
        <v>1383</v>
      </c>
      <c r="H540" s="248" t="s">
        <v>1384</v>
      </c>
      <c r="I540" s="248" t="s">
        <v>1214</v>
      </c>
      <c r="J540" s="248" t="s">
        <v>1385</v>
      </c>
      <c r="K540" s="248" t="s">
        <v>1216</v>
      </c>
      <c r="L540" s="248" t="s">
        <v>1217</v>
      </c>
    </row>
    <row r="541" spans="2:12">
      <c r="B541" s="249" t="s">
        <v>1367</v>
      </c>
      <c r="C541" s="250" t="s">
        <v>1333</v>
      </c>
      <c r="D541" s="205" t="s">
        <v>152</v>
      </c>
      <c r="E541" s="251">
        <v>415</v>
      </c>
      <c r="F541" s="252">
        <v>0.39500000000000002</v>
      </c>
      <c r="G541" s="251"/>
      <c r="H541" s="251">
        <v>1.1000000000000001</v>
      </c>
      <c r="I541" s="251"/>
      <c r="J541" s="253"/>
      <c r="K541" s="254">
        <f t="shared" ref="K541:K546" si="8">IF(E541*F541*G541&lt;&gt;0,E541*F541*G541,IF(E541*F541&lt;&gt;0,E541*F541,IF(F541*G541&lt;&gt;0,F541*G541,IF(E541*G541&lt;&gt;0,E541*G541,IF(E541&lt;&gt;0,E541,IF(F541&lt;&gt;0,F541,IF(G541&lt;&gt;0,G541,0)))))))*(IF(H541&lt;&gt;0,H541,1))+I541-J541</f>
        <v>180.31750000000002</v>
      </c>
      <c r="L541" s="255"/>
    </row>
    <row r="542" spans="2:12">
      <c r="B542" s="249" t="s">
        <v>1386</v>
      </c>
      <c r="C542" s="250" t="s">
        <v>1333</v>
      </c>
      <c r="D542" s="205" t="s">
        <v>152</v>
      </c>
      <c r="E542" s="251">
        <v>427</v>
      </c>
      <c r="F542" s="252">
        <v>0.39500000000000002</v>
      </c>
      <c r="G542" s="251"/>
      <c r="H542" s="251">
        <v>1.1000000000000001</v>
      </c>
      <c r="I542" s="251"/>
      <c r="J542" s="253"/>
      <c r="K542" s="254">
        <f t="shared" si="8"/>
        <v>185.53150000000005</v>
      </c>
      <c r="L542" s="255"/>
    </row>
    <row r="543" spans="2:12">
      <c r="B543" s="263" t="s">
        <v>1475</v>
      </c>
      <c r="C543" s="264" t="s">
        <v>1441</v>
      </c>
      <c r="D543" s="205" t="s">
        <v>152</v>
      </c>
      <c r="E543" s="251">
        <v>851</v>
      </c>
      <c r="F543" s="252">
        <v>0.39500000000000002</v>
      </c>
      <c r="G543" s="251"/>
      <c r="H543" s="251">
        <v>1.1000000000000001</v>
      </c>
      <c r="I543" s="251"/>
      <c r="J543" s="253"/>
      <c r="K543" s="254">
        <f t="shared" si="8"/>
        <v>369.75950000000006</v>
      </c>
      <c r="L543" s="255"/>
    </row>
    <row r="544" spans="2:12">
      <c r="B544" s="263" t="s">
        <v>1476</v>
      </c>
      <c r="C544" s="264" t="s">
        <v>1441</v>
      </c>
      <c r="D544" s="205" t="s">
        <v>152</v>
      </c>
      <c r="E544" s="251">
        <v>950</v>
      </c>
      <c r="F544" s="252">
        <v>0.39500000000000002</v>
      </c>
      <c r="G544" s="251"/>
      <c r="H544" s="251">
        <v>1.1000000000000001</v>
      </c>
      <c r="I544" s="251"/>
      <c r="J544" s="253"/>
      <c r="K544" s="254">
        <f t="shared" si="8"/>
        <v>412.77500000000003</v>
      </c>
      <c r="L544" s="255"/>
    </row>
    <row r="545" spans="2:12">
      <c r="B545" s="263" t="s">
        <v>1477</v>
      </c>
      <c r="C545" s="264" t="s">
        <v>1441</v>
      </c>
      <c r="D545" s="205" t="s">
        <v>152</v>
      </c>
      <c r="E545" s="251"/>
      <c r="F545" s="252"/>
      <c r="G545" s="251"/>
      <c r="H545" s="251"/>
      <c r="I545" s="251">
        <v>146.04</v>
      </c>
      <c r="J545" s="253"/>
      <c r="K545" s="254">
        <f t="shared" si="8"/>
        <v>146.04</v>
      </c>
      <c r="L545" s="255"/>
    </row>
    <row r="546" spans="2:12">
      <c r="B546" s="256"/>
      <c r="C546" s="210"/>
      <c r="D546" s="210"/>
      <c r="E546" s="257"/>
      <c r="F546" s="258"/>
      <c r="G546" s="257"/>
      <c r="H546" s="257"/>
      <c r="I546" s="257"/>
      <c r="J546" s="259"/>
      <c r="K546" s="260">
        <f t="shared" si="8"/>
        <v>0</v>
      </c>
      <c r="L546" s="210"/>
    </row>
    <row r="547" spans="2:12">
      <c r="B547" s="202"/>
      <c r="C547" s="203"/>
      <c r="D547" s="203"/>
      <c r="E547" s="203"/>
      <c r="F547" s="203"/>
      <c r="G547" s="203"/>
      <c r="H547" s="204"/>
      <c r="I547" s="556" t="s">
        <v>1221</v>
      </c>
      <c r="J547" s="556"/>
      <c r="K547" s="220">
        <f>SUM(K541:K546)</f>
        <v>1294.4235000000001</v>
      </c>
      <c r="L547" s="207"/>
    </row>
    <row r="548" spans="2:12">
      <c r="B548" s="208"/>
      <c r="C548" s="204"/>
      <c r="D548" s="204"/>
      <c r="E548" s="204"/>
      <c r="F548" s="204"/>
      <c r="G548" s="204"/>
      <c r="H548" s="209"/>
      <c r="I548" s="557" t="s">
        <v>1222</v>
      </c>
      <c r="J548" s="557"/>
      <c r="K548" s="221">
        <f>VLOOKUP(B539,'BM 004'!$B$27:$R$590,4,0)</f>
        <v>5608.9</v>
      </c>
      <c r="L548" s="207"/>
    </row>
    <row r="549" spans="2:12">
      <c r="B549" s="208"/>
      <c r="C549" s="204"/>
      <c r="D549" s="204"/>
      <c r="E549" s="204"/>
      <c r="F549" s="204"/>
      <c r="G549" s="204"/>
      <c r="H549" s="558" t="s">
        <v>1223</v>
      </c>
      <c r="I549" s="558"/>
      <c r="J549" s="558"/>
      <c r="K549" s="222">
        <v>365.84</v>
      </c>
      <c r="L549" s="207"/>
    </row>
    <row r="550" spans="2:12">
      <c r="B550" s="208"/>
      <c r="C550" s="204"/>
      <c r="D550" s="204"/>
      <c r="E550" s="204"/>
      <c r="F550" s="204"/>
      <c r="G550" s="204"/>
      <c r="H550" s="558" t="s">
        <v>1431</v>
      </c>
      <c r="I550" s="558"/>
      <c r="J550" s="558"/>
      <c r="K550" s="222">
        <f>TRUNC(SUMIF(C541:C546,H550,K541:K546),2)</f>
        <v>928.57</v>
      </c>
      <c r="L550" s="207"/>
    </row>
    <row r="551" spans="2:12">
      <c r="B551" s="213"/>
      <c r="C551" s="214"/>
      <c r="D551" s="214"/>
      <c r="E551" s="214"/>
      <c r="F551" s="214"/>
      <c r="G551" s="214"/>
      <c r="H551" s="559" t="s">
        <v>1224</v>
      </c>
      <c r="I551" s="559"/>
      <c r="J551" s="559"/>
      <c r="K551" s="223">
        <f>IF(K547&gt;K548,K547-K548,0)</f>
        <v>0</v>
      </c>
      <c r="L551" s="209"/>
    </row>
    <row r="553" spans="2:12">
      <c r="B553" s="247" t="s">
        <v>203</v>
      </c>
      <c r="C553" s="565" t="str">
        <f>VLOOKUP(B553,'BM 004'!$B$27:$R$590,2,0)</f>
        <v xml:space="preserve">Armação de pilar ou viga de uma estrutura convencional de concreto armado em um edifício de múltiplos pavimentos utilizando aço ca-50 de 10,0 mm - montagem. </v>
      </c>
      <c r="D553" s="565"/>
      <c r="E553" s="565"/>
      <c r="F553" s="565"/>
      <c r="G553" s="565"/>
      <c r="H553" s="565"/>
      <c r="I553" s="565"/>
      <c r="J553" s="565"/>
      <c r="K553" s="565"/>
      <c r="L553" s="565"/>
    </row>
    <row r="554" spans="2:12">
      <c r="B554" s="248" t="s">
        <v>1209</v>
      </c>
      <c r="C554" s="248"/>
      <c r="D554" s="248" t="s">
        <v>39</v>
      </c>
      <c r="E554" s="248" t="s">
        <v>1210</v>
      </c>
      <c r="F554" s="248" t="s">
        <v>1382</v>
      </c>
      <c r="G554" s="248" t="s">
        <v>1383</v>
      </c>
      <c r="H554" s="248" t="s">
        <v>1384</v>
      </c>
      <c r="I554" s="248" t="s">
        <v>1214</v>
      </c>
      <c r="J554" s="248" t="s">
        <v>1385</v>
      </c>
      <c r="K554" s="248" t="s">
        <v>1216</v>
      </c>
      <c r="L554" s="248" t="s">
        <v>1217</v>
      </c>
    </row>
    <row r="555" spans="2:12">
      <c r="B555" s="249" t="s">
        <v>1367</v>
      </c>
      <c r="C555" s="250" t="s">
        <v>1333</v>
      </c>
      <c r="D555" s="205" t="s">
        <v>152</v>
      </c>
      <c r="E555" s="251">
        <v>89</v>
      </c>
      <c r="F555" s="252">
        <v>0.61699999999999999</v>
      </c>
      <c r="G555" s="251"/>
      <c r="H555" s="251">
        <v>1.1000000000000001</v>
      </c>
      <c r="I555" s="251"/>
      <c r="J555" s="253"/>
      <c r="K555" s="254">
        <f>IF(E555*F555*G555&lt;&gt;0,E555*F555*G555,IF(E555*F555&lt;&gt;0,E555*F555,IF(F555*G555&lt;&gt;0,F555*G555,IF(E555*G555&lt;&gt;0,E555*G555,IF(E555&lt;&gt;0,E555,IF(F555&lt;&gt;0,F555,IF(G555&lt;&gt;0,G555,0)))))))*(IF(H555&lt;&gt;0,H555,1))+I555-J555</f>
        <v>60.404299999999999</v>
      </c>
      <c r="L555" s="255"/>
    </row>
    <row r="556" spans="2:12">
      <c r="B556" s="249" t="s">
        <v>1386</v>
      </c>
      <c r="C556" s="250" t="s">
        <v>1333</v>
      </c>
      <c r="D556" s="205" t="s">
        <v>152</v>
      </c>
      <c r="E556" s="251">
        <v>92</v>
      </c>
      <c r="F556" s="252">
        <v>0.61699999999999999</v>
      </c>
      <c r="G556" s="251"/>
      <c r="H556" s="251">
        <v>1.1000000000000001</v>
      </c>
      <c r="I556" s="251"/>
      <c r="J556" s="253"/>
      <c r="K556" s="254">
        <f>IF(E556*F556*G556&lt;&gt;0,E556*F556*G556,IF(E556*F556&lt;&gt;0,E556*F556,IF(F556*G556&lt;&gt;0,F556*G556,IF(E556*G556&lt;&gt;0,E556*G556,IF(E556&lt;&gt;0,E556,IF(F556&lt;&gt;0,F556,IF(G556&lt;&gt;0,G556,0)))))))*(IF(H556&lt;&gt;0,H556,1))+I556-J556</f>
        <v>62.440400000000004</v>
      </c>
      <c r="L556" s="255"/>
    </row>
    <row r="557" spans="2:12">
      <c r="B557" s="263" t="s">
        <v>1475</v>
      </c>
      <c r="C557" s="264" t="s">
        <v>1441</v>
      </c>
      <c r="D557" s="205" t="s">
        <v>152</v>
      </c>
      <c r="E557" s="251">
        <v>238</v>
      </c>
      <c r="F557" s="252">
        <v>0.61699999999999999</v>
      </c>
      <c r="G557" s="251"/>
      <c r="H557" s="251">
        <v>1.1000000000000001</v>
      </c>
      <c r="I557" s="251"/>
      <c r="J557" s="253"/>
      <c r="K557" s="254">
        <f>IF(E557*F557*G557&lt;&gt;0,E557*F557*G557,IF(E557*F557&lt;&gt;0,E557*F557,IF(F557*G557&lt;&gt;0,F557*G557,IF(E557*G557&lt;&gt;0,E557*G557,IF(E557&lt;&gt;0,E557,IF(F557&lt;&gt;0,F557,IF(G557&lt;&gt;0,G557,0)))))))*(IF(H557&lt;&gt;0,H557,1))+I557-J557</f>
        <v>161.53060000000002</v>
      </c>
      <c r="L557" s="255"/>
    </row>
    <row r="558" spans="2:12">
      <c r="B558" s="263" t="s">
        <v>1476</v>
      </c>
      <c r="C558" s="264" t="s">
        <v>1441</v>
      </c>
      <c r="D558" s="205" t="s">
        <v>152</v>
      </c>
      <c r="E558" s="251">
        <v>167</v>
      </c>
      <c r="F558" s="252">
        <v>0.61699999999999999</v>
      </c>
      <c r="G558" s="251"/>
      <c r="H558" s="251">
        <v>1.1000000000000001</v>
      </c>
      <c r="I558" s="251"/>
      <c r="J558" s="253"/>
      <c r="K558" s="254">
        <f>IF(E558*F558*G558&lt;&gt;0,E558*F558*G558,IF(E558*F558&lt;&gt;0,E558*F558,IF(F558*G558&lt;&gt;0,F558*G558,IF(E558*G558&lt;&gt;0,E558*G558,IF(E558&lt;&gt;0,E558,IF(F558&lt;&gt;0,F558,IF(G558&lt;&gt;0,G558,0)))))))*(IF(H558&lt;&gt;0,H558,1))+I558-J558</f>
        <v>113.34290000000001</v>
      </c>
      <c r="L558" s="255"/>
    </row>
    <row r="559" spans="2:12">
      <c r="B559" s="256"/>
      <c r="C559" s="210"/>
      <c r="D559" s="210"/>
      <c r="E559" s="257"/>
      <c r="F559" s="258"/>
      <c r="G559" s="257"/>
      <c r="H559" s="257"/>
      <c r="I559" s="257"/>
      <c r="J559" s="259"/>
      <c r="K559" s="260">
        <f>IF(E559*F559*G559&lt;&gt;0,E559*F559*G559,IF(E559*F559&lt;&gt;0,E559*F559,IF(F559*G559&lt;&gt;0,F559*G559,IF(E559*G559&lt;&gt;0,E559*G559,IF(E559&lt;&gt;0,E559,IF(F559&lt;&gt;0,F559,IF(G559&lt;&gt;0,G559,0)))))))*(IF(H559&lt;&gt;0,H559,1))+I559-J559</f>
        <v>0</v>
      </c>
      <c r="L559" s="210"/>
    </row>
    <row r="560" spans="2:12">
      <c r="B560" s="202"/>
      <c r="C560" s="203"/>
      <c r="D560" s="203"/>
      <c r="E560" s="203"/>
      <c r="F560" s="203"/>
      <c r="G560" s="203"/>
      <c r="H560" s="204"/>
      <c r="I560" s="556" t="s">
        <v>1221</v>
      </c>
      <c r="J560" s="556"/>
      <c r="K560" s="220">
        <f>SUM(K555:K559)</f>
        <v>397.71820000000002</v>
      </c>
      <c r="L560" s="207"/>
    </row>
    <row r="561" spans="2:12">
      <c r="B561" s="208"/>
      <c r="C561" s="204"/>
      <c r="D561" s="204"/>
      <c r="E561" s="204"/>
      <c r="F561" s="204"/>
      <c r="G561" s="204"/>
      <c r="H561" s="209"/>
      <c r="I561" s="557" t="s">
        <v>1222</v>
      </c>
      <c r="J561" s="557"/>
      <c r="K561" s="221">
        <f>VLOOKUP(B553,'BM 004'!$B$27:$R$590,4,0)</f>
        <v>4215.2</v>
      </c>
      <c r="L561" s="207"/>
    </row>
    <row r="562" spans="2:12">
      <c r="B562" s="208"/>
      <c r="C562" s="204"/>
      <c r="D562" s="204"/>
      <c r="E562" s="204"/>
      <c r="F562" s="204"/>
      <c r="G562" s="204"/>
      <c r="H562" s="558" t="s">
        <v>1223</v>
      </c>
      <c r="I562" s="558"/>
      <c r="J562" s="558"/>
      <c r="K562" s="222">
        <v>122.84</v>
      </c>
      <c r="L562" s="207"/>
    </row>
    <row r="563" spans="2:12">
      <c r="B563" s="208"/>
      <c r="C563" s="204"/>
      <c r="D563" s="204"/>
      <c r="E563" s="204"/>
      <c r="F563" s="204"/>
      <c r="G563" s="204"/>
      <c r="H563" s="558" t="s">
        <v>1431</v>
      </c>
      <c r="I563" s="558"/>
      <c r="J563" s="558"/>
      <c r="K563" s="222">
        <f>TRUNC(SUMIF(C555:C559,H563,K555:K559),2)</f>
        <v>274.87</v>
      </c>
      <c r="L563" s="207"/>
    </row>
    <row r="564" spans="2:12">
      <c r="B564" s="213"/>
      <c r="C564" s="214"/>
      <c r="D564" s="214"/>
      <c r="E564" s="214"/>
      <c r="F564" s="214"/>
      <c r="G564" s="214"/>
      <c r="H564" s="559" t="s">
        <v>1224</v>
      </c>
      <c r="I564" s="559"/>
      <c r="J564" s="559"/>
      <c r="K564" s="223">
        <f>IF(K560&gt;K561,K560-K561,0)</f>
        <v>0</v>
      </c>
      <c r="L564" s="209"/>
    </row>
    <row r="566" spans="2:12">
      <c r="B566" s="247" t="s">
        <v>205</v>
      </c>
      <c r="C566" s="565" t="str">
        <f>VLOOKUP(B566,'BM 004'!$B$27:$R$590,2,0)</f>
        <v xml:space="preserve">Armação de pilar ou viga de uma estrutura convencional de concreto armado em um edifício de múltiplos pavimentos utilizando aço ca-50 de 12,5 mm - montagem. </v>
      </c>
      <c r="D566" s="565"/>
      <c r="E566" s="565"/>
      <c r="F566" s="565"/>
      <c r="G566" s="565"/>
      <c r="H566" s="565"/>
      <c r="I566" s="565"/>
      <c r="J566" s="565"/>
      <c r="K566" s="565"/>
      <c r="L566" s="565"/>
    </row>
    <row r="567" spans="2:12">
      <c r="B567" s="248" t="s">
        <v>1209</v>
      </c>
      <c r="C567" s="248"/>
      <c r="D567" s="248" t="s">
        <v>39</v>
      </c>
      <c r="E567" s="248" t="s">
        <v>1210</v>
      </c>
      <c r="F567" s="248" t="s">
        <v>1382</v>
      </c>
      <c r="G567" s="248" t="s">
        <v>1383</v>
      </c>
      <c r="H567" s="248" t="s">
        <v>1384</v>
      </c>
      <c r="I567" s="248" t="s">
        <v>1214</v>
      </c>
      <c r="J567" s="248" t="s">
        <v>1385</v>
      </c>
      <c r="K567" s="248" t="s">
        <v>1216</v>
      </c>
      <c r="L567" s="248" t="s">
        <v>1217</v>
      </c>
    </row>
    <row r="568" spans="2:12">
      <c r="B568" s="249" t="s">
        <v>1367</v>
      </c>
      <c r="C568" s="250" t="s">
        <v>1333</v>
      </c>
      <c r="D568" s="205" t="s">
        <v>152</v>
      </c>
      <c r="E568" s="251">
        <v>89</v>
      </c>
      <c r="F568" s="252">
        <v>0.96299999999999997</v>
      </c>
      <c r="G568" s="251"/>
      <c r="H568" s="251">
        <v>1.1000000000000001</v>
      </c>
      <c r="I568" s="251"/>
      <c r="J568" s="253"/>
      <c r="K568" s="254">
        <f t="shared" ref="K568:K573" si="9">IF(E568*F568*G568&lt;&gt;0,E568*F568*G568,IF(E568*F568&lt;&gt;0,E568*F568,IF(F568*G568&lt;&gt;0,F568*G568,IF(E568*G568&lt;&gt;0,E568*G568,IF(E568&lt;&gt;0,E568,IF(F568&lt;&gt;0,F568,IF(G568&lt;&gt;0,G568,0)))))))*(IF(H568&lt;&gt;0,H568,1))+I568-J568</f>
        <v>94.277699999999996</v>
      </c>
      <c r="L568" s="255"/>
    </row>
    <row r="569" spans="2:12">
      <c r="B569" s="249" t="s">
        <v>1386</v>
      </c>
      <c r="C569" s="250" t="s">
        <v>1333</v>
      </c>
      <c r="D569" s="205" t="s">
        <v>152</v>
      </c>
      <c r="E569" s="251">
        <v>72</v>
      </c>
      <c r="F569" s="252">
        <v>0.96299999999999997</v>
      </c>
      <c r="G569" s="251"/>
      <c r="H569" s="251">
        <v>1.1000000000000001</v>
      </c>
      <c r="I569" s="251"/>
      <c r="J569" s="253"/>
      <c r="K569" s="254">
        <f t="shared" si="9"/>
        <v>76.269600000000011</v>
      </c>
      <c r="L569" s="255"/>
    </row>
    <row r="570" spans="2:12">
      <c r="B570" s="263" t="s">
        <v>1475</v>
      </c>
      <c r="C570" s="264" t="s">
        <v>1441</v>
      </c>
      <c r="D570" s="205" t="s">
        <v>152</v>
      </c>
      <c r="E570" s="251">
        <v>140</v>
      </c>
      <c r="F570" s="252">
        <v>0.96299999999999997</v>
      </c>
      <c r="G570" s="251"/>
      <c r="H570" s="251">
        <v>1.1000000000000001</v>
      </c>
      <c r="I570" s="251"/>
      <c r="J570" s="253"/>
      <c r="K570" s="254">
        <f t="shared" si="9"/>
        <v>148.30199999999999</v>
      </c>
      <c r="L570" s="255"/>
    </row>
    <row r="571" spans="2:12">
      <c r="B571" s="263" t="s">
        <v>1476</v>
      </c>
      <c r="C571" s="264" t="s">
        <v>1441</v>
      </c>
      <c r="D571" s="205" t="s">
        <v>152</v>
      </c>
      <c r="E571" s="251">
        <v>119</v>
      </c>
      <c r="F571" s="252">
        <v>0.96299999999999997</v>
      </c>
      <c r="G571" s="251"/>
      <c r="H571" s="251">
        <v>1.1000000000000001</v>
      </c>
      <c r="I571" s="251"/>
      <c r="J571" s="253"/>
      <c r="K571" s="254">
        <f t="shared" si="9"/>
        <v>126.05670000000001</v>
      </c>
      <c r="L571" s="255"/>
    </row>
    <row r="572" spans="2:12">
      <c r="B572" s="256" t="s">
        <v>1478</v>
      </c>
      <c r="C572" s="210" t="s">
        <v>1441</v>
      </c>
      <c r="D572" s="210" t="s">
        <v>152</v>
      </c>
      <c r="E572" s="258"/>
      <c r="F572" s="258"/>
      <c r="G572" s="257"/>
      <c r="H572" s="257"/>
      <c r="I572" s="257">
        <v>1361.5128999999999</v>
      </c>
      <c r="J572" s="259"/>
      <c r="K572" s="260">
        <f t="shared" si="9"/>
        <v>1361.5128999999999</v>
      </c>
      <c r="L572" s="210"/>
    </row>
    <row r="573" spans="2:12">
      <c r="B573" s="256" t="s">
        <v>1479</v>
      </c>
      <c r="C573" s="210" t="s">
        <v>1441</v>
      </c>
      <c r="D573" s="210" t="s">
        <v>152</v>
      </c>
      <c r="E573" s="258"/>
      <c r="F573" s="258"/>
      <c r="G573" s="257"/>
      <c r="H573" s="257"/>
      <c r="I573" s="257">
        <v>126.92</v>
      </c>
      <c r="J573" s="259"/>
      <c r="K573" s="260">
        <f t="shared" si="9"/>
        <v>126.92</v>
      </c>
      <c r="L573" s="210"/>
    </row>
    <row r="574" spans="2:12">
      <c r="B574" s="263"/>
      <c r="C574" s="264"/>
      <c r="D574" s="210"/>
      <c r="E574" s="257"/>
      <c r="F574" s="258"/>
      <c r="G574" s="257"/>
      <c r="H574" s="257"/>
      <c r="I574" s="257"/>
      <c r="J574" s="259"/>
      <c r="K574" s="265"/>
      <c r="L574" s="266"/>
    </row>
    <row r="575" spans="2:12">
      <c r="B575" s="202"/>
      <c r="C575" s="203"/>
      <c r="D575" s="203"/>
      <c r="E575" s="203"/>
      <c r="F575" s="203"/>
      <c r="G575" s="203"/>
      <c r="H575" s="204"/>
      <c r="I575" s="556" t="s">
        <v>1221</v>
      </c>
      <c r="J575" s="556"/>
      <c r="K575" s="220">
        <f>SUM(K568:K574)</f>
        <v>1933.3389</v>
      </c>
      <c r="L575" s="207"/>
    </row>
    <row r="576" spans="2:12">
      <c r="B576" s="208"/>
      <c r="C576" s="204"/>
      <c r="D576" s="204"/>
      <c r="E576" s="204"/>
      <c r="F576" s="204"/>
      <c r="G576" s="204"/>
      <c r="H576" s="209"/>
      <c r="I576" s="557" t="s">
        <v>1222</v>
      </c>
      <c r="J576" s="557"/>
      <c r="K576" s="221">
        <f>VLOOKUP(B566,'BM 004'!$B$27:$R$590,4,0)</f>
        <v>3267</v>
      </c>
      <c r="L576" s="207"/>
    </row>
    <row r="577" spans="2:12">
      <c r="B577" s="208"/>
      <c r="C577" s="204"/>
      <c r="D577" s="204"/>
      <c r="E577" s="204"/>
      <c r="F577" s="204"/>
      <c r="G577" s="204"/>
      <c r="H577" s="558" t="s">
        <v>1223</v>
      </c>
      <c r="I577" s="558"/>
      <c r="J577" s="558"/>
      <c r="K577" s="222">
        <v>170.54</v>
      </c>
      <c r="L577" s="207"/>
    </row>
    <row r="578" spans="2:12">
      <c r="B578" s="208"/>
      <c r="C578" s="204"/>
      <c r="D578" s="204"/>
      <c r="E578" s="204"/>
      <c r="F578" s="204"/>
      <c r="G578" s="204"/>
      <c r="H578" s="558" t="s">
        <v>1431</v>
      </c>
      <c r="I578" s="558"/>
      <c r="J578" s="558"/>
      <c r="K578" s="222">
        <f>TRUNC(SUMIF(C568:C574,H578,K568:K574),2)</f>
        <v>1762.79</v>
      </c>
      <c r="L578" s="207"/>
    </row>
    <row r="579" spans="2:12">
      <c r="B579" s="213"/>
      <c r="C579" s="214"/>
      <c r="D579" s="214"/>
      <c r="E579" s="214"/>
      <c r="F579" s="214"/>
      <c r="G579" s="214"/>
      <c r="H579" s="559" t="s">
        <v>1224</v>
      </c>
      <c r="I579" s="559"/>
      <c r="J579" s="559"/>
      <c r="K579" s="223">
        <f>IF(K575&gt;K576,K575-K576,0)</f>
        <v>0</v>
      </c>
      <c r="L579" s="209"/>
    </row>
    <row r="581" spans="2:12">
      <c r="B581" s="247" t="s">
        <v>207</v>
      </c>
      <c r="C581" s="565" t="str">
        <f>VLOOKUP(B581,'BM 004'!$B$27:$R$590,2,0)</f>
        <v xml:space="preserve">Armação de pilar ou viga de uma estrutura convencional de concreto armado em um edifício de múltiplos pavimentos utilizando aço ca-50 de 16,0 mm - montagem. </v>
      </c>
      <c r="D581" s="565"/>
      <c r="E581" s="565"/>
      <c r="F581" s="565"/>
      <c r="G581" s="565"/>
      <c r="H581" s="565"/>
      <c r="I581" s="565"/>
      <c r="J581" s="565"/>
      <c r="K581" s="565"/>
      <c r="L581" s="565"/>
    </row>
    <row r="582" spans="2:12">
      <c r="B582" s="248" t="s">
        <v>1209</v>
      </c>
      <c r="C582" s="248"/>
      <c r="D582" s="248" t="s">
        <v>39</v>
      </c>
      <c r="E582" s="248" t="s">
        <v>1210</v>
      </c>
      <c r="F582" s="248" t="s">
        <v>1382</v>
      </c>
      <c r="G582" s="248" t="s">
        <v>1383</v>
      </c>
      <c r="H582" s="248" t="s">
        <v>1384</v>
      </c>
      <c r="I582" s="248" t="s">
        <v>1214</v>
      </c>
      <c r="J582" s="248" t="s">
        <v>1385</v>
      </c>
      <c r="K582" s="248" t="s">
        <v>1216</v>
      </c>
      <c r="L582" s="248" t="s">
        <v>1217</v>
      </c>
    </row>
    <row r="583" spans="2:12">
      <c r="B583" s="249" t="s">
        <v>1367</v>
      </c>
      <c r="C583" s="250" t="s">
        <v>1333</v>
      </c>
      <c r="D583" s="205" t="s">
        <v>152</v>
      </c>
      <c r="E583" s="251">
        <v>221</v>
      </c>
      <c r="F583" s="252">
        <v>1.5780000000000001</v>
      </c>
      <c r="G583" s="251"/>
      <c r="H583" s="251">
        <v>1.1000000000000001</v>
      </c>
      <c r="I583" s="251"/>
      <c r="J583" s="253"/>
      <c r="K583" s="254">
        <f>IF(E583*F583*G583&lt;&gt;0,E583*F583*G583,IF(E583*F583&lt;&gt;0,E583*F583,IF(F583*G583&lt;&gt;0,F583*G583,IF(E583*G583&lt;&gt;0,E583*G583,IF(E583&lt;&gt;0,E583,IF(F583&lt;&gt;0,F583,IF(G583&lt;&gt;0,G583,0)))))))*(IF(H583&lt;&gt;0,H583,1))+I583-J583</f>
        <v>383.61180000000002</v>
      </c>
      <c r="L583" s="255"/>
    </row>
    <row r="584" spans="2:12">
      <c r="B584" s="249" t="s">
        <v>1386</v>
      </c>
      <c r="C584" s="250" t="s">
        <v>1333</v>
      </c>
      <c r="D584" s="205" t="s">
        <v>152</v>
      </c>
      <c r="E584" s="251">
        <v>236</v>
      </c>
      <c r="F584" s="252">
        <v>1.5780000000000001</v>
      </c>
      <c r="G584" s="251"/>
      <c r="H584" s="251">
        <v>1.1000000000000001</v>
      </c>
      <c r="I584" s="251"/>
      <c r="J584" s="253"/>
      <c r="K584" s="254">
        <f>IF(E584*F584*G584&lt;&gt;0,E584*F584*G584,IF(E584*F584&lt;&gt;0,E584*F584,IF(F584*G584&lt;&gt;0,F584*G584,IF(E584*G584&lt;&gt;0,E584*G584,IF(E584&lt;&gt;0,E584,IF(F584&lt;&gt;0,F584,IF(G584&lt;&gt;0,G584,0)))))))*(IF(H584&lt;&gt;0,H584,1))+I584-J584</f>
        <v>409.64880000000005</v>
      </c>
      <c r="L584" s="255"/>
    </row>
    <row r="585" spans="2:12">
      <c r="B585" s="263" t="s">
        <v>1475</v>
      </c>
      <c r="C585" s="264" t="s">
        <v>1441</v>
      </c>
      <c r="D585" s="205" t="s">
        <v>152</v>
      </c>
      <c r="E585" s="251">
        <v>201</v>
      </c>
      <c r="F585" s="252">
        <v>1.5780000000000001</v>
      </c>
      <c r="G585" s="251"/>
      <c r="H585" s="251">
        <v>1.1000000000000001</v>
      </c>
      <c r="I585" s="251"/>
      <c r="J585" s="253"/>
      <c r="K585" s="254">
        <f>IF(E585*F585*G585&lt;&gt;0,E585*F585*G585,IF(E585*F585&lt;&gt;0,E585*F585,IF(F585*G585&lt;&gt;0,F585*G585,IF(E585*G585&lt;&gt;0,E585*G585,IF(E585&lt;&gt;0,E585,IF(F585&lt;&gt;0,F585,IF(G585&lt;&gt;0,G585,0)))))))*(IF(H585&lt;&gt;0,H585,1))+I585-J585</f>
        <v>348.89580000000001</v>
      </c>
      <c r="L585" s="255"/>
    </row>
    <row r="586" spans="2:12">
      <c r="B586" s="263" t="s">
        <v>1476</v>
      </c>
      <c r="C586" s="264" t="s">
        <v>1441</v>
      </c>
      <c r="D586" s="205" t="s">
        <v>152</v>
      </c>
      <c r="E586" s="251">
        <v>215</v>
      </c>
      <c r="F586" s="252">
        <v>1.5780000000000001</v>
      </c>
      <c r="G586" s="251"/>
      <c r="H586" s="251">
        <v>1.1000000000000001</v>
      </c>
      <c r="I586" s="251"/>
      <c r="J586" s="253"/>
      <c r="K586" s="254">
        <f>IF(E586*F586*G586&lt;&gt;0,E586*F586*G586,IF(E586*F586&lt;&gt;0,E586*F586,IF(F586*G586&lt;&gt;0,F586*G586,IF(E586*G586&lt;&gt;0,E586*G586,IF(E586&lt;&gt;0,E586,IF(F586&lt;&gt;0,F586,IF(G586&lt;&gt;0,G586,0)))))))*(IF(H586&lt;&gt;0,H586,1))+I586-J586</f>
        <v>373.19700000000006</v>
      </c>
      <c r="L586" s="255"/>
    </row>
    <row r="587" spans="2:12">
      <c r="B587" s="256"/>
      <c r="C587" s="210"/>
      <c r="D587" s="210"/>
      <c r="E587" s="257"/>
      <c r="F587" s="258"/>
      <c r="G587" s="257"/>
      <c r="H587" s="257"/>
      <c r="I587" s="257"/>
      <c r="J587" s="259"/>
      <c r="K587" s="260">
        <f>IF(E587*F587*G587&lt;&gt;0,E587*F587*G587,IF(E587*F587&lt;&gt;0,E587*F587,IF(F587*G587&lt;&gt;0,F587*G587,IF(E587*G587&lt;&gt;0,E587*G587,IF(E587&lt;&gt;0,E587,IF(F587&lt;&gt;0,F587,IF(G587&lt;&gt;0,G587,0)))))))*(IF(H587&lt;&gt;0,H587,1))+I587-J587</f>
        <v>0</v>
      </c>
      <c r="L587" s="210"/>
    </row>
    <row r="588" spans="2:12">
      <c r="B588" s="202"/>
      <c r="C588" s="203"/>
      <c r="D588" s="203"/>
      <c r="E588" s="203"/>
      <c r="F588" s="203"/>
      <c r="G588" s="203"/>
      <c r="H588" s="204"/>
      <c r="I588" s="556" t="s">
        <v>1221</v>
      </c>
      <c r="J588" s="556"/>
      <c r="K588" s="220">
        <f>SUM(K583:K587)</f>
        <v>1515.3534000000002</v>
      </c>
      <c r="L588" s="207"/>
    </row>
    <row r="589" spans="2:12">
      <c r="B589" s="208"/>
      <c r="C589" s="204"/>
      <c r="D589" s="204"/>
      <c r="E589" s="204"/>
      <c r="F589" s="204"/>
      <c r="G589" s="204"/>
      <c r="H589" s="209"/>
      <c r="I589" s="557" t="s">
        <v>1222</v>
      </c>
      <c r="J589" s="557"/>
      <c r="K589" s="221">
        <f>VLOOKUP(B581,'BM 004'!$B$27:$R$590,4,0)</f>
        <v>8421.6</v>
      </c>
      <c r="L589" s="207"/>
    </row>
    <row r="590" spans="2:12">
      <c r="B590" s="208"/>
      <c r="C590" s="204"/>
      <c r="D590" s="204"/>
      <c r="E590" s="204"/>
      <c r="F590" s="204"/>
      <c r="G590" s="204"/>
      <c r="H590" s="558" t="s">
        <v>1223</v>
      </c>
      <c r="I590" s="558"/>
      <c r="J590" s="558"/>
      <c r="K590" s="222"/>
      <c r="L590" s="207"/>
    </row>
    <row r="591" spans="2:12">
      <c r="B591" s="208"/>
      <c r="C591" s="204"/>
      <c r="D591" s="204"/>
      <c r="E591" s="204"/>
      <c r="F591" s="204"/>
      <c r="G591" s="204"/>
      <c r="H591" s="558" t="s">
        <v>1431</v>
      </c>
      <c r="I591" s="558"/>
      <c r="J591" s="558"/>
      <c r="K591" s="222">
        <f>TRUNC(SUMIF(C583:C587,H591,K583:K587),2)</f>
        <v>722.09</v>
      </c>
      <c r="L591" s="207"/>
    </row>
    <row r="592" spans="2:12">
      <c r="B592" s="213"/>
      <c r="C592" s="214"/>
      <c r="D592" s="214"/>
      <c r="E592" s="214"/>
      <c r="F592" s="214"/>
      <c r="G592" s="214"/>
      <c r="H592" s="559" t="s">
        <v>1224</v>
      </c>
      <c r="I592" s="559"/>
      <c r="J592" s="559"/>
      <c r="K592" s="223">
        <f>IF(K588&gt;K589,K588-K589,0)</f>
        <v>0</v>
      </c>
      <c r="L592" s="209"/>
    </row>
    <row r="594" spans="2:12">
      <c r="B594" s="247" t="s">
        <v>209</v>
      </c>
      <c r="C594" s="565" t="str">
        <f>VLOOKUP(B594,'BM 004'!$B$27:$R$590,2,0)</f>
        <v xml:space="preserve">Armação de pilar ou viga de uma estrutura convencional de concreto armado em um edifício de múltiplos pavimentos utilizando aço ca-50 de 20,0 mm - montagem. </v>
      </c>
      <c r="D594" s="565"/>
      <c r="E594" s="565"/>
      <c r="F594" s="565"/>
      <c r="G594" s="565"/>
      <c r="H594" s="565"/>
      <c r="I594" s="565"/>
      <c r="J594" s="565"/>
      <c r="K594" s="565"/>
      <c r="L594" s="565"/>
    </row>
    <row r="595" spans="2:12">
      <c r="B595" s="248" t="s">
        <v>1209</v>
      </c>
      <c r="C595" s="248"/>
      <c r="D595" s="248" t="s">
        <v>39</v>
      </c>
      <c r="E595" s="248" t="s">
        <v>1210</v>
      </c>
      <c r="F595" s="248" t="s">
        <v>1382</v>
      </c>
      <c r="G595" s="248" t="s">
        <v>1383</v>
      </c>
      <c r="H595" s="248" t="s">
        <v>1384</v>
      </c>
      <c r="I595" s="248" t="s">
        <v>1214</v>
      </c>
      <c r="J595" s="248" t="s">
        <v>1385</v>
      </c>
      <c r="K595" s="248" t="s">
        <v>1216</v>
      </c>
      <c r="L595" s="248" t="s">
        <v>1217</v>
      </c>
    </row>
    <row r="596" spans="2:12">
      <c r="B596" s="249" t="s">
        <v>1367</v>
      </c>
      <c r="C596" s="250" t="s">
        <v>1333</v>
      </c>
      <c r="D596" s="205" t="s">
        <v>152</v>
      </c>
      <c r="E596" s="251">
        <v>75</v>
      </c>
      <c r="F596" s="252">
        <v>2.4660000000000002</v>
      </c>
      <c r="G596" s="251"/>
      <c r="H596" s="251">
        <v>1.1000000000000001</v>
      </c>
      <c r="I596" s="251"/>
      <c r="J596" s="253"/>
      <c r="K596" s="254">
        <f t="shared" ref="K596:K601" si="10">IF(E596*F596*G596&lt;&gt;0,E596*F596*G596,IF(E596*F596&lt;&gt;0,E596*F596,IF(F596*G596&lt;&gt;0,F596*G596,IF(E596*G596&lt;&gt;0,E596*G596,IF(E596&lt;&gt;0,E596,IF(F596&lt;&gt;0,F596,IF(G596&lt;&gt;0,G596,0)))))))*(IF(H596&lt;&gt;0,H596,1))+I596-J596</f>
        <v>203.44500000000002</v>
      </c>
      <c r="L596" s="255"/>
    </row>
    <row r="597" spans="2:12">
      <c r="B597" s="249" t="s">
        <v>1386</v>
      </c>
      <c r="C597" s="250" t="s">
        <v>1333</v>
      </c>
      <c r="D597" s="205" t="s">
        <v>152</v>
      </c>
      <c r="E597" s="251">
        <v>95</v>
      </c>
      <c r="F597" s="252">
        <v>2.4660000000000002</v>
      </c>
      <c r="G597" s="251"/>
      <c r="H597" s="251">
        <v>1.1000000000000001</v>
      </c>
      <c r="I597" s="251"/>
      <c r="J597" s="253"/>
      <c r="K597" s="254">
        <f t="shared" si="10"/>
        <v>257.69700000000006</v>
      </c>
      <c r="L597" s="255"/>
    </row>
    <row r="598" spans="2:12">
      <c r="B598" s="263" t="s">
        <v>1475</v>
      </c>
      <c r="C598" s="264" t="s">
        <v>1441</v>
      </c>
      <c r="D598" s="205" t="s">
        <v>152</v>
      </c>
      <c r="E598" s="251">
        <v>150</v>
      </c>
      <c r="F598" s="252">
        <v>2.4660000000000002</v>
      </c>
      <c r="G598" s="251"/>
      <c r="H598" s="251">
        <v>1.1000000000000001</v>
      </c>
      <c r="I598" s="251"/>
      <c r="J598" s="253"/>
      <c r="K598" s="254">
        <f t="shared" si="10"/>
        <v>406.89000000000004</v>
      </c>
      <c r="L598" s="255"/>
    </row>
    <row r="599" spans="2:12">
      <c r="B599" s="263" t="s">
        <v>1476</v>
      </c>
      <c r="C599" s="264" t="s">
        <v>1441</v>
      </c>
      <c r="D599" s="205" t="s">
        <v>152</v>
      </c>
      <c r="E599" s="251">
        <v>137</v>
      </c>
      <c r="F599" s="252">
        <v>2.4660000000000002</v>
      </c>
      <c r="G599" s="251"/>
      <c r="H599" s="251">
        <v>1.1000000000000001</v>
      </c>
      <c r="I599" s="251"/>
      <c r="J599" s="253"/>
      <c r="K599" s="254">
        <f t="shared" si="10"/>
        <v>371.6262000000001</v>
      </c>
      <c r="L599" s="255"/>
    </row>
    <row r="600" spans="2:12">
      <c r="B600" s="263" t="s">
        <v>1302</v>
      </c>
      <c r="C600" s="264" t="s">
        <v>1441</v>
      </c>
      <c r="D600" s="205" t="s">
        <v>152</v>
      </c>
      <c r="E600" s="251">
        <v>157</v>
      </c>
      <c r="F600" s="252">
        <v>2.4660000000000002</v>
      </c>
      <c r="G600" s="251"/>
      <c r="H600" s="251">
        <v>1.1000000000000001</v>
      </c>
      <c r="I600" s="251"/>
      <c r="J600" s="253"/>
      <c r="K600" s="254">
        <f t="shared" si="10"/>
        <v>425.87820000000005</v>
      </c>
      <c r="L600" s="255"/>
    </row>
    <row r="601" spans="2:12">
      <c r="B601" s="256"/>
      <c r="C601" s="210"/>
      <c r="D601" s="210"/>
      <c r="E601" s="257"/>
      <c r="F601" s="258"/>
      <c r="G601" s="257"/>
      <c r="H601" s="257"/>
      <c r="I601" s="257"/>
      <c r="J601" s="259"/>
      <c r="K601" s="260">
        <f t="shared" si="10"/>
        <v>0</v>
      </c>
      <c r="L601" s="210"/>
    </row>
    <row r="602" spans="2:12">
      <c r="B602" s="202"/>
      <c r="C602" s="203"/>
      <c r="D602" s="203"/>
      <c r="E602" s="203"/>
      <c r="F602" s="203"/>
      <c r="G602" s="203"/>
      <c r="H602" s="204"/>
      <c r="I602" s="556" t="s">
        <v>1221</v>
      </c>
      <c r="J602" s="556"/>
      <c r="K602" s="220">
        <f>SUM(K596:K601)</f>
        <v>1665.5364000000004</v>
      </c>
      <c r="L602" s="207"/>
    </row>
    <row r="603" spans="2:12">
      <c r="B603" s="208"/>
      <c r="C603" s="204"/>
      <c r="D603" s="204"/>
      <c r="E603" s="204"/>
      <c r="F603" s="204"/>
      <c r="G603" s="204"/>
      <c r="H603" s="209"/>
      <c r="I603" s="557" t="s">
        <v>1222</v>
      </c>
      <c r="J603" s="557"/>
      <c r="K603" s="221">
        <f>VLOOKUP(B594,'BM 004'!$B$27:$R$590,4,0)</f>
        <v>7144.5</v>
      </c>
      <c r="L603" s="207"/>
    </row>
    <row r="604" spans="2:12">
      <c r="B604" s="208"/>
      <c r="C604" s="204"/>
      <c r="D604" s="204"/>
      <c r="E604" s="204"/>
      <c r="F604" s="204"/>
      <c r="G604" s="204"/>
      <c r="H604" s="558" t="s">
        <v>1223</v>
      </c>
      <c r="I604" s="558"/>
      <c r="J604" s="558"/>
      <c r="K604" s="222">
        <v>461.14</v>
      </c>
      <c r="L604" s="207"/>
    </row>
    <row r="605" spans="2:12">
      <c r="B605" s="208"/>
      <c r="C605" s="204"/>
      <c r="D605" s="204"/>
      <c r="E605" s="204"/>
      <c r="F605" s="204"/>
      <c r="G605" s="204"/>
      <c r="H605" s="558" t="s">
        <v>1431</v>
      </c>
      <c r="I605" s="558"/>
      <c r="J605" s="558"/>
      <c r="K605" s="222">
        <f>TRUNC(SUMIF(C596:C601,H605,K596:K601),2)</f>
        <v>1204.3900000000001</v>
      </c>
      <c r="L605" s="207"/>
    </row>
    <row r="606" spans="2:12">
      <c r="B606" s="213"/>
      <c r="C606" s="214"/>
      <c r="D606" s="214"/>
      <c r="E606" s="214"/>
      <c r="F606" s="214"/>
      <c r="G606" s="214"/>
      <c r="H606" s="559" t="s">
        <v>1224</v>
      </c>
      <c r="I606" s="559"/>
      <c r="J606" s="559"/>
      <c r="K606" s="223">
        <f>IF(K602&gt;K603,K602-K603,0)</f>
        <v>0</v>
      </c>
      <c r="L606" s="209"/>
    </row>
    <row r="608" spans="2:12">
      <c r="B608" s="247" t="s">
        <v>211</v>
      </c>
      <c r="C608" s="565" t="str">
        <f>VLOOKUP(B608,'BM 004'!$B$27:$R$590,2,0)</f>
        <v xml:space="preserve">Armação de pilar ou viga de uma estrutura convencional de concreto armado em um edifício de múltiplos pavimentos utilizando aço ca-50 de 25,0 mm - montagem. </v>
      </c>
      <c r="D608" s="565"/>
      <c r="E608" s="565"/>
      <c r="F608" s="565"/>
      <c r="G608" s="565"/>
      <c r="H608" s="565"/>
      <c r="I608" s="565"/>
      <c r="J608" s="565"/>
      <c r="K608" s="565"/>
      <c r="L608" s="565"/>
    </row>
    <row r="609" spans="2:12">
      <c r="B609" s="248" t="s">
        <v>1209</v>
      </c>
      <c r="C609" s="248"/>
      <c r="D609" s="248" t="s">
        <v>39</v>
      </c>
      <c r="E609" s="248" t="s">
        <v>1210</v>
      </c>
      <c r="F609" s="248" t="s">
        <v>1382</v>
      </c>
      <c r="G609" s="248" t="s">
        <v>1383</v>
      </c>
      <c r="H609" s="248" t="s">
        <v>1384</v>
      </c>
      <c r="I609" s="248" t="s">
        <v>1214</v>
      </c>
      <c r="J609" s="248" t="s">
        <v>1385</v>
      </c>
      <c r="K609" s="248" t="s">
        <v>1216</v>
      </c>
      <c r="L609" s="248" t="s">
        <v>1217</v>
      </c>
    </row>
    <row r="610" spans="2:12">
      <c r="B610" s="249" t="s">
        <v>1367</v>
      </c>
      <c r="C610" s="250" t="s">
        <v>1333</v>
      </c>
      <c r="D610" s="205" t="s">
        <v>152</v>
      </c>
      <c r="E610" s="251">
        <v>16</v>
      </c>
      <c r="F610" s="252">
        <v>3.8530000000000002</v>
      </c>
      <c r="G610" s="251"/>
      <c r="H610" s="251">
        <v>1.1000000000000001</v>
      </c>
      <c r="I610" s="251"/>
      <c r="J610" s="253"/>
      <c r="K610" s="254">
        <f t="shared" ref="K610:K615" si="11">IF(E610*F610*G610&lt;&gt;0,E610*F610*G610,IF(E610*F610&lt;&gt;0,E610*F610,IF(F610*G610&lt;&gt;0,F610*G610,IF(E610*G610&lt;&gt;0,E610*G610,IF(E610&lt;&gt;0,E610,IF(F610&lt;&gt;0,F610,IF(G610&lt;&gt;0,G610,0)))))))*(IF(H610&lt;&gt;0,H610,1))+I610-J610</f>
        <v>67.81280000000001</v>
      </c>
      <c r="L610" s="255"/>
    </row>
    <row r="611" spans="2:12">
      <c r="B611" s="249" t="s">
        <v>1386</v>
      </c>
      <c r="C611" s="250" t="s">
        <v>1333</v>
      </c>
      <c r="D611" s="205" t="s">
        <v>152</v>
      </c>
      <c r="E611" s="251">
        <v>44</v>
      </c>
      <c r="F611" s="252">
        <v>3.8530000000000002</v>
      </c>
      <c r="G611" s="251"/>
      <c r="H611" s="251">
        <v>1.1000000000000001</v>
      </c>
      <c r="I611" s="251"/>
      <c r="J611" s="253"/>
      <c r="K611" s="254">
        <f t="shared" si="11"/>
        <v>186.48520000000002</v>
      </c>
      <c r="L611" s="255"/>
    </row>
    <row r="612" spans="2:12">
      <c r="B612" s="263" t="s">
        <v>1475</v>
      </c>
      <c r="C612" s="264" t="s">
        <v>1441</v>
      </c>
      <c r="D612" s="205" t="s">
        <v>152</v>
      </c>
      <c r="E612" s="251">
        <v>148</v>
      </c>
      <c r="F612" s="252">
        <v>3.8530000000000002</v>
      </c>
      <c r="G612" s="251"/>
      <c r="H612" s="251">
        <v>1.1000000000000001</v>
      </c>
      <c r="I612" s="251"/>
      <c r="J612" s="253"/>
      <c r="K612" s="254">
        <f t="shared" si="11"/>
        <v>627.26840000000004</v>
      </c>
      <c r="L612" s="255"/>
    </row>
    <row r="613" spans="2:12">
      <c r="B613" s="263" t="s">
        <v>1476</v>
      </c>
      <c r="C613" s="264" t="s">
        <v>1441</v>
      </c>
      <c r="D613" s="205" t="s">
        <v>152</v>
      </c>
      <c r="E613" s="251">
        <v>96</v>
      </c>
      <c r="F613" s="252">
        <v>3.8530000000000002</v>
      </c>
      <c r="G613" s="251"/>
      <c r="H613" s="251">
        <v>1.1000000000000001</v>
      </c>
      <c r="I613" s="251"/>
      <c r="J613" s="253"/>
      <c r="K613" s="254">
        <f t="shared" si="11"/>
        <v>406.87680000000006</v>
      </c>
      <c r="L613" s="255"/>
    </row>
    <row r="614" spans="2:12">
      <c r="B614" s="263" t="s">
        <v>1302</v>
      </c>
      <c r="C614" s="264" t="s">
        <v>1441</v>
      </c>
      <c r="D614" s="205" t="s">
        <v>152</v>
      </c>
      <c r="E614" s="251">
        <v>222</v>
      </c>
      <c r="F614" s="252">
        <v>3.8530000000000002</v>
      </c>
      <c r="G614" s="251"/>
      <c r="H614" s="251">
        <v>1.1000000000000001</v>
      </c>
      <c r="I614" s="251"/>
      <c r="J614" s="253"/>
      <c r="K614" s="254">
        <f t="shared" si="11"/>
        <v>940.90260000000023</v>
      </c>
      <c r="L614" s="255"/>
    </row>
    <row r="615" spans="2:12">
      <c r="B615" s="256"/>
      <c r="C615" s="210"/>
      <c r="D615" s="210"/>
      <c r="E615" s="257"/>
      <c r="F615" s="258"/>
      <c r="G615" s="257"/>
      <c r="H615" s="257"/>
      <c r="I615" s="257"/>
      <c r="J615" s="259"/>
      <c r="K615" s="260">
        <f t="shared" si="11"/>
        <v>0</v>
      </c>
      <c r="L615" s="210"/>
    </row>
    <row r="616" spans="2:12">
      <c r="B616" s="202"/>
      <c r="C616" s="203"/>
      <c r="D616" s="203"/>
      <c r="E616" s="203"/>
      <c r="F616" s="203"/>
      <c r="G616" s="203"/>
      <c r="H616" s="204"/>
      <c r="I616" s="556" t="s">
        <v>1221</v>
      </c>
      <c r="J616" s="556"/>
      <c r="K616" s="220">
        <f>SUM(K610:K615)</f>
        <v>2229.3458000000005</v>
      </c>
      <c r="L616" s="207"/>
    </row>
    <row r="617" spans="2:12">
      <c r="B617" s="208"/>
      <c r="C617" s="204"/>
      <c r="D617" s="204"/>
      <c r="E617" s="204"/>
      <c r="F617" s="204"/>
      <c r="G617" s="204"/>
      <c r="H617" s="209"/>
      <c r="I617" s="557" t="s">
        <v>1222</v>
      </c>
      <c r="J617" s="557"/>
      <c r="K617" s="221">
        <f>VLOOKUP(B608,'BM 004'!$B$27:$R$590,4,0)</f>
        <v>6531.8</v>
      </c>
      <c r="L617" s="207"/>
    </row>
    <row r="618" spans="2:12">
      <c r="B618" s="208"/>
      <c r="C618" s="204"/>
      <c r="D618" s="204"/>
      <c r="E618" s="204"/>
      <c r="F618" s="204"/>
      <c r="G618" s="204"/>
      <c r="H618" s="558" t="s">
        <v>1223</v>
      </c>
      <c r="I618" s="558"/>
      <c r="J618" s="558"/>
      <c r="K618" s="222">
        <v>254.29</v>
      </c>
      <c r="L618" s="207"/>
    </row>
    <row r="619" spans="2:12">
      <c r="B619" s="208"/>
      <c r="C619" s="204"/>
      <c r="D619" s="204"/>
      <c r="E619" s="204"/>
      <c r="F619" s="204"/>
      <c r="G619" s="204"/>
      <c r="H619" s="558" t="s">
        <v>1431</v>
      </c>
      <c r="I619" s="558"/>
      <c r="J619" s="558"/>
      <c r="K619" s="222">
        <f>TRUNC(SUMIF(C610:C615,H619,K610:K615),2)</f>
        <v>1975.04</v>
      </c>
      <c r="L619" s="207"/>
    </row>
    <row r="620" spans="2:12">
      <c r="B620" s="213"/>
      <c r="C620" s="214"/>
      <c r="D620" s="214"/>
      <c r="E620" s="214"/>
      <c r="F620" s="214"/>
      <c r="G620" s="214"/>
      <c r="H620" s="559" t="s">
        <v>1224</v>
      </c>
      <c r="I620" s="559"/>
      <c r="J620" s="559"/>
      <c r="K620" s="223">
        <f>IF(K616&gt;K617,K616-K617,0)</f>
        <v>0</v>
      </c>
      <c r="L620" s="209"/>
    </row>
    <row r="622" spans="2:12">
      <c r="B622" s="247" t="s">
        <v>214</v>
      </c>
      <c r="C622" s="565" t="str">
        <f>VLOOKUP(B622,'BM 004'!$B$27:$R$590,2,0)</f>
        <v xml:space="preserve">Concreto simples usinado fck=35mpa, bombeado, lançado e adensado em superestrutura </v>
      </c>
      <c r="D622" s="565"/>
      <c r="E622" s="565"/>
      <c r="F622" s="565"/>
      <c r="G622" s="565"/>
      <c r="H622" s="565"/>
      <c r="I622" s="565"/>
      <c r="J622" s="565"/>
      <c r="K622" s="565"/>
      <c r="L622" s="565"/>
    </row>
    <row r="623" spans="2:12">
      <c r="B623" s="248" t="s">
        <v>1209</v>
      </c>
      <c r="C623" s="248"/>
      <c r="D623" s="248" t="s">
        <v>39</v>
      </c>
      <c r="E623" s="248" t="s">
        <v>1210</v>
      </c>
      <c r="F623" s="248" t="s">
        <v>1388</v>
      </c>
      <c r="G623" s="248" t="s">
        <v>1212</v>
      </c>
      <c r="H623" s="248" t="s">
        <v>1455</v>
      </c>
      <c r="I623" s="248" t="s">
        <v>1214</v>
      </c>
      <c r="J623" s="248" t="s">
        <v>1385</v>
      </c>
      <c r="K623" s="248" t="s">
        <v>1216</v>
      </c>
      <c r="L623" s="248" t="s">
        <v>1217</v>
      </c>
    </row>
    <row r="624" spans="2:12">
      <c r="B624" s="249" t="s">
        <v>1456</v>
      </c>
      <c r="C624" s="250" t="s">
        <v>1441</v>
      </c>
      <c r="D624" s="205" t="s">
        <v>79</v>
      </c>
      <c r="E624" s="199">
        <v>0.64</v>
      </c>
      <c r="F624" s="199">
        <v>0.15</v>
      </c>
      <c r="G624" s="199">
        <v>1</v>
      </c>
      <c r="H624" s="199"/>
      <c r="I624" s="199"/>
      <c r="J624" s="219"/>
      <c r="K624" s="220">
        <f t="shared" ref="K624:K646" si="12">IF(E624*F624*G624&lt;&gt;0,E624*F624*G624,IF(E624*F624&lt;&gt;0,E624*F624,IF(F624*G624&lt;&gt;0,F624*G624,IF(E624*G624&lt;&gt;0,E624*G624,IF(E624&lt;&gt;0,E624,IF(F624&lt;&gt;0,F624,IF(G624&lt;&gt;0,G624,0)))))))*(IF(H624&lt;&gt;0,H624,1))+I624-J624</f>
        <v>9.6000000000000002E-2</v>
      </c>
      <c r="L624" s="255"/>
    </row>
    <row r="625" spans="2:12">
      <c r="B625" s="249" t="s">
        <v>1457</v>
      </c>
      <c r="C625" s="250" t="s">
        <v>1441</v>
      </c>
      <c r="D625" s="205" t="s">
        <v>79</v>
      </c>
      <c r="E625" s="199">
        <v>7.2</v>
      </c>
      <c r="F625" s="199">
        <v>0.15</v>
      </c>
      <c r="G625" s="199">
        <v>0.7</v>
      </c>
      <c r="H625" s="199"/>
      <c r="I625" s="199"/>
      <c r="J625" s="219"/>
      <c r="K625" s="220">
        <f t="shared" si="12"/>
        <v>0.75600000000000001</v>
      </c>
      <c r="L625" s="255"/>
    </row>
    <row r="626" spans="2:12">
      <c r="B626" s="249" t="s">
        <v>1458</v>
      </c>
      <c r="C626" s="250" t="s">
        <v>1441</v>
      </c>
      <c r="D626" s="205" t="s">
        <v>79</v>
      </c>
      <c r="E626" s="199">
        <v>13.07</v>
      </c>
      <c r="F626" s="199">
        <v>0.15</v>
      </c>
      <c r="G626" s="199">
        <v>0.7</v>
      </c>
      <c r="H626" s="199"/>
      <c r="I626" s="199"/>
      <c r="J626" s="219"/>
      <c r="K626" s="220">
        <f t="shared" si="12"/>
        <v>1.37235</v>
      </c>
      <c r="L626" s="255"/>
    </row>
    <row r="627" spans="2:12">
      <c r="B627" s="249" t="s">
        <v>1459</v>
      </c>
      <c r="C627" s="250" t="s">
        <v>1441</v>
      </c>
      <c r="D627" s="205" t="s">
        <v>79</v>
      </c>
      <c r="E627" s="199">
        <v>0.94</v>
      </c>
      <c r="F627" s="199">
        <v>0.2</v>
      </c>
      <c r="G627" s="199">
        <v>0.6</v>
      </c>
      <c r="H627" s="199"/>
      <c r="I627" s="199"/>
      <c r="J627" s="219"/>
      <c r="K627" s="220">
        <f t="shared" si="12"/>
        <v>0.1128</v>
      </c>
      <c r="L627" s="255"/>
    </row>
    <row r="628" spans="2:12">
      <c r="B628" s="249" t="s">
        <v>1460</v>
      </c>
      <c r="C628" s="250" t="s">
        <v>1441</v>
      </c>
      <c r="D628" s="205" t="s">
        <v>79</v>
      </c>
      <c r="E628" s="199">
        <v>6.7</v>
      </c>
      <c r="F628" s="199">
        <v>0.2</v>
      </c>
      <c r="G628" s="199">
        <v>0.6</v>
      </c>
      <c r="H628" s="199"/>
      <c r="I628" s="199"/>
      <c r="J628" s="219"/>
      <c r="K628" s="220">
        <f t="shared" si="12"/>
        <v>0.80400000000000005</v>
      </c>
      <c r="L628" s="255"/>
    </row>
    <row r="629" spans="2:12">
      <c r="B629" s="249" t="s">
        <v>1460</v>
      </c>
      <c r="C629" s="250" t="s">
        <v>1441</v>
      </c>
      <c r="D629" s="205" t="s">
        <v>79</v>
      </c>
      <c r="E629" s="199">
        <v>14.04</v>
      </c>
      <c r="F629" s="199">
        <v>0.2</v>
      </c>
      <c r="G629" s="199">
        <v>1.2</v>
      </c>
      <c r="H629" s="199"/>
      <c r="I629" s="199"/>
      <c r="J629" s="219"/>
      <c r="K629" s="220">
        <f t="shared" si="12"/>
        <v>3.3695999999999997</v>
      </c>
      <c r="L629" s="255"/>
    </row>
    <row r="630" spans="2:12">
      <c r="B630" s="249" t="s">
        <v>1461</v>
      </c>
      <c r="C630" s="250" t="s">
        <v>1441</v>
      </c>
      <c r="D630" s="205" t="s">
        <v>79</v>
      </c>
      <c r="E630" s="199">
        <v>7.64</v>
      </c>
      <c r="F630" s="199">
        <v>0.15</v>
      </c>
      <c r="G630" s="199">
        <v>0.8</v>
      </c>
      <c r="H630" s="199"/>
      <c r="I630" s="199"/>
      <c r="J630" s="219"/>
      <c r="K630" s="220">
        <f t="shared" si="12"/>
        <v>0.91679999999999995</v>
      </c>
      <c r="L630" s="255"/>
    </row>
    <row r="631" spans="2:12">
      <c r="B631" s="249" t="s">
        <v>1461</v>
      </c>
      <c r="C631" s="250" t="s">
        <v>1441</v>
      </c>
      <c r="D631" s="205" t="s">
        <v>79</v>
      </c>
      <c r="E631" s="199">
        <v>20.96</v>
      </c>
      <c r="F631" s="199">
        <v>0.15</v>
      </c>
      <c r="G631" s="199">
        <v>1.2</v>
      </c>
      <c r="H631" s="199"/>
      <c r="I631" s="199"/>
      <c r="J631" s="219"/>
      <c r="K631" s="220">
        <f t="shared" si="12"/>
        <v>3.7728000000000002</v>
      </c>
      <c r="L631" s="255"/>
    </row>
    <row r="632" spans="2:12">
      <c r="B632" s="249" t="s">
        <v>1462</v>
      </c>
      <c r="C632" s="250" t="s">
        <v>1441</v>
      </c>
      <c r="D632" s="205" t="s">
        <v>79</v>
      </c>
      <c r="E632" s="199">
        <v>22.34</v>
      </c>
      <c r="F632" s="199">
        <v>0.2</v>
      </c>
      <c r="G632" s="199">
        <v>0.6</v>
      </c>
      <c r="H632" s="199"/>
      <c r="I632" s="199"/>
      <c r="J632" s="219"/>
      <c r="K632" s="220">
        <f t="shared" si="12"/>
        <v>2.6808000000000001</v>
      </c>
      <c r="L632" s="255"/>
    </row>
    <row r="633" spans="2:12">
      <c r="B633" s="249" t="s">
        <v>1463</v>
      </c>
      <c r="C633" s="250" t="s">
        <v>1441</v>
      </c>
      <c r="D633" s="205" t="s">
        <v>79</v>
      </c>
      <c r="E633" s="199">
        <v>5.72</v>
      </c>
      <c r="F633" s="199">
        <v>0.15</v>
      </c>
      <c r="G633" s="199">
        <v>0.6</v>
      </c>
      <c r="H633" s="199"/>
      <c r="I633" s="199"/>
      <c r="J633" s="219"/>
      <c r="K633" s="220">
        <f t="shared" si="12"/>
        <v>0.51479999999999992</v>
      </c>
      <c r="L633" s="255"/>
    </row>
    <row r="634" spans="2:12">
      <c r="B634" s="249" t="s">
        <v>1464</v>
      </c>
      <c r="C634" s="250" t="s">
        <v>1441</v>
      </c>
      <c r="D634" s="205" t="s">
        <v>79</v>
      </c>
      <c r="E634" s="199">
        <v>22.34</v>
      </c>
      <c r="F634" s="199">
        <v>0.2</v>
      </c>
      <c r="G634" s="199">
        <v>0.6</v>
      </c>
      <c r="H634" s="199"/>
      <c r="I634" s="199"/>
      <c r="J634" s="219"/>
      <c r="K634" s="220">
        <f t="shared" si="12"/>
        <v>2.6808000000000001</v>
      </c>
      <c r="L634" s="255"/>
    </row>
    <row r="635" spans="2:12">
      <c r="B635" s="249" t="s">
        <v>1465</v>
      </c>
      <c r="C635" s="250" t="s">
        <v>1441</v>
      </c>
      <c r="D635" s="205" t="s">
        <v>79</v>
      </c>
      <c r="E635" s="199">
        <v>4.42</v>
      </c>
      <c r="F635" s="199">
        <v>0.2</v>
      </c>
      <c r="G635" s="199">
        <v>0.6</v>
      </c>
      <c r="H635" s="199"/>
      <c r="I635" s="199"/>
      <c r="J635" s="219"/>
      <c r="K635" s="220">
        <f t="shared" si="12"/>
        <v>0.53039999999999998</v>
      </c>
      <c r="L635" s="255"/>
    </row>
    <row r="636" spans="2:12">
      <c r="B636" s="249" t="s">
        <v>1466</v>
      </c>
      <c r="C636" s="250" t="s">
        <v>1441</v>
      </c>
      <c r="D636" s="205" t="s">
        <v>79</v>
      </c>
      <c r="E636" s="199">
        <v>28.84</v>
      </c>
      <c r="F636" s="199">
        <v>0.2</v>
      </c>
      <c r="G636" s="199">
        <v>0.6</v>
      </c>
      <c r="H636" s="199"/>
      <c r="I636" s="199"/>
      <c r="J636" s="219"/>
      <c r="K636" s="220">
        <f t="shared" si="12"/>
        <v>3.4608000000000003</v>
      </c>
      <c r="L636" s="255"/>
    </row>
    <row r="637" spans="2:12">
      <c r="B637" s="249" t="s">
        <v>1467</v>
      </c>
      <c r="C637" s="250" t="s">
        <v>1441</v>
      </c>
      <c r="D637" s="205" t="s">
        <v>79</v>
      </c>
      <c r="E637" s="199">
        <v>24.09</v>
      </c>
      <c r="F637" s="199">
        <v>0.15</v>
      </c>
      <c r="G637" s="199">
        <v>1</v>
      </c>
      <c r="H637" s="199"/>
      <c r="I637" s="199"/>
      <c r="J637" s="219"/>
      <c r="K637" s="220">
        <f t="shared" si="12"/>
        <v>3.6134999999999997</v>
      </c>
      <c r="L637" s="255"/>
    </row>
    <row r="638" spans="2:12">
      <c r="B638" s="249" t="s">
        <v>1468</v>
      </c>
      <c r="C638" s="250" t="s">
        <v>1441</v>
      </c>
      <c r="D638" s="205" t="s">
        <v>79</v>
      </c>
      <c r="E638" s="199">
        <v>9.8800000000000008</v>
      </c>
      <c r="F638" s="199">
        <v>0.15</v>
      </c>
      <c r="G638" s="199">
        <v>0.6</v>
      </c>
      <c r="H638" s="199"/>
      <c r="I638" s="199"/>
      <c r="J638" s="219"/>
      <c r="K638" s="220">
        <f t="shared" si="12"/>
        <v>0.88919999999999999</v>
      </c>
      <c r="L638" s="255"/>
    </row>
    <row r="639" spans="2:12">
      <c r="B639" s="249" t="s">
        <v>1469</v>
      </c>
      <c r="C639" s="250" t="s">
        <v>1441</v>
      </c>
      <c r="D639" s="205" t="s">
        <v>79</v>
      </c>
      <c r="E639" s="199">
        <v>12</v>
      </c>
      <c r="F639" s="199">
        <v>0.2</v>
      </c>
      <c r="G639" s="199">
        <v>0.6</v>
      </c>
      <c r="H639" s="199"/>
      <c r="I639" s="199"/>
      <c r="J639" s="219"/>
      <c r="K639" s="220">
        <f t="shared" si="12"/>
        <v>1.4400000000000002</v>
      </c>
      <c r="L639" s="255"/>
    </row>
    <row r="640" spans="2:12">
      <c r="B640" s="249" t="s">
        <v>1470</v>
      </c>
      <c r="C640" s="250" t="s">
        <v>1441</v>
      </c>
      <c r="D640" s="205" t="s">
        <v>79</v>
      </c>
      <c r="E640" s="199">
        <v>1.81</v>
      </c>
      <c r="F640" s="199">
        <v>0.2</v>
      </c>
      <c r="G640" s="199">
        <v>0.8</v>
      </c>
      <c r="H640" s="199"/>
      <c r="I640" s="199"/>
      <c r="J640" s="219"/>
      <c r="K640" s="220">
        <f t="shared" si="12"/>
        <v>0.28960000000000002</v>
      </c>
      <c r="L640" s="255"/>
    </row>
    <row r="641" spans="2:12">
      <c r="B641" s="249" t="s">
        <v>1471</v>
      </c>
      <c r="C641" s="250" t="s">
        <v>1441</v>
      </c>
      <c r="D641" s="205" t="s">
        <v>79</v>
      </c>
      <c r="E641" s="199">
        <v>5.92</v>
      </c>
      <c r="F641" s="199">
        <v>0.15</v>
      </c>
      <c r="G641" s="199">
        <v>1.2</v>
      </c>
      <c r="H641" s="199"/>
      <c r="I641" s="199"/>
      <c r="J641" s="219"/>
      <c r="K641" s="220">
        <f t="shared" si="12"/>
        <v>1.0655999999999999</v>
      </c>
      <c r="L641" s="255"/>
    </row>
    <row r="642" spans="2:12">
      <c r="B642" s="249" t="s">
        <v>1472</v>
      </c>
      <c r="C642" s="250" t="s">
        <v>1441</v>
      </c>
      <c r="D642" s="205" t="s">
        <v>79</v>
      </c>
      <c r="E642" s="199">
        <v>12.49</v>
      </c>
      <c r="F642" s="199">
        <v>0.15</v>
      </c>
      <c r="G642" s="199">
        <v>1</v>
      </c>
      <c r="H642" s="199"/>
      <c r="I642" s="199"/>
      <c r="J642" s="219"/>
      <c r="K642" s="220">
        <f t="shared" si="12"/>
        <v>1.8734999999999999</v>
      </c>
      <c r="L642" s="255"/>
    </row>
    <row r="643" spans="2:12">
      <c r="B643" s="249" t="s">
        <v>1472</v>
      </c>
      <c r="C643" s="250" t="s">
        <v>1441</v>
      </c>
      <c r="D643" s="205" t="s">
        <v>79</v>
      </c>
      <c r="E643" s="199">
        <v>6</v>
      </c>
      <c r="F643" s="199">
        <v>0.15</v>
      </c>
      <c r="G643" s="199">
        <v>1.2</v>
      </c>
      <c r="H643" s="199"/>
      <c r="I643" s="199"/>
      <c r="J643" s="219"/>
      <c r="K643" s="220">
        <f t="shared" si="12"/>
        <v>1.0799999999999998</v>
      </c>
      <c r="L643" s="255"/>
    </row>
    <row r="644" spans="2:12">
      <c r="B644" s="249" t="s">
        <v>1473</v>
      </c>
      <c r="C644" s="250" t="s">
        <v>1441</v>
      </c>
      <c r="D644" s="205" t="s">
        <v>79</v>
      </c>
      <c r="E644" s="199">
        <v>4.83</v>
      </c>
      <c r="F644" s="199">
        <v>0.15</v>
      </c>
      <c r="G644" s="199">
        <v>0.6</v>
      </c>
      <c r="H644" s="199"/>
      <c r="I644" s="199"/>
      <c r="J644" s="219"/>
      <c r="K644" s="220">
        <f t="shared" si="12"/>
        <v>0.43470000000000003</v>
      </c>
      <c r="L644" s="255"/>
    </row>
    <row r="645" spans="2:12">
      <c r="B645" s="249" t="s">
        <v>1474</v>
      </c>
      <c r="C645" s="250" t="s">
        <v>1441</v>
      </c>
      <c r="D645" s="205" t="s">
        <v>79</v>
      </c>
      <c r="E645" s="199">
        <v>13.85</v>
      </c>
      <c r="F645" s="199">
        <v>0.15</v>
      </c>
      <c r="G645" s="199">
        <v>0.7</v>
      </c>
      <c r="H645" s="199"/>
      <c r="I645" s="199"/>
      <c r="J645" s="219"/>
      <c r="K645" s="220">
        <f t="shared" si="12"/>
        <v>1.4542499999999996</v>
      </c>
      <c r="L645" s="255"/>
    </row>
    <row r="646" spans="2:12">
      <c r="B646" s="249"/>
      <c r="C646" s="250"/>
      <c r="D646" s="205"/>
      <c r="E646" s="199"/>
      <c r="F646" s="199"/>
      <c r="G646" s="199"/>
      <c r="H646" s="199"/>
      <c r="I646" s="199"/>
      <c r="J646" s="219"/>
      <c r="K646" s="220">
        <f t="shared" si="12"/>
        <v>0</v>
      </c>
      <c r="L646" s="255"/>
    </row>
    <row r="647" spans="2:12">
      <c r="B647" s="208"/>
      <c r="C647" s="204"/>
      <c r="D647" s="204"/>
      <c r="E647" s="204"/>
      <c r="F647" s="204"/>
      <c r="G647" s="204"/>
      <c r="H647" s="204"/>
      <c r="I647" s="557" t="s">
        <v>1221</v>
      </c>
      <c r="J647" s="557"/>
      <c r="K647" s="262">
        <f>SUM(K624:K646)</f>
        <v>33.208299999999994</v>
      </c>
      <c r="L647" s="207"/>
    </row>
    <row r="648" spans="2:12">
      <c r="B648" s="208"/>
      <c r="C648" s="204"/>
      <c r="D648" s="204"/>
      <c r="E648" s="204"/>
      <c r="F648" s="204"/>
      <c r="G648" s="204"/>
      <c r="H648" s="209"/>
      <c r="I648" s="557" t="s">
        <v>1222</v>
      </c>
      <c r="J648" s="557"/>
      <c r="K648" s="221">
        <f>VLOOKUP(B622,'BM 004'!$B$27:$R$590,4,0)</f>
        <v>364.43</v>
      </c>
      <c r="L648" s="207"/>
    </row>
    <row r="649" spans="2:12">
      <c r="B649" s="208"/>
      <c r="C649" s="204"/>
      <c r="D649" s="204"/>
      <c r="E649" s="204"/>
      <c r="F649" s="204"/>
      <c r="G649" s="204"/>
      <c r="H649" s="558" t="s">
        <v>1223</v>
      </c>
      <c r="I649" s="558"/>
      <c r="J649" s="558"/>
      <c r="K649" s="222"/>
      <c r="L649" s="207"/>
    </row>
    <row r="650" spans="2:12">
      <c r="B650" s="208"/>
      <c r="C650" s="204"/>
      <c r="D650" s="204"/>
      <c r="E650" s="204"/>
      <c r="F650" s="204"/>
      <c r="G650" s="204"/>
      <c r="H650" s="558" t="s">
        <v>1431</v>
      </c>
      <c r="I650" s="558"/>
      <c r="J650" s="558"/>
      <c r="K650" s="222">
        <f>TRUNC(SUMIF(C624:C646,H650,K624:K646),2)</f>
        <v>33.200000000000003</v>
      </c>
      <c r="L650" s="207"/>
    </row>
    <row r="651" spans="2:12">
      <c r="B651" s="213"/>
      <c r="C651" s="214"/>
      <c r="D651" s="214"/>
      <c r="E651" s="214"/>
      <c r="F651" s="214"/>
      <c r="G651" s="214"/>
      <c r="H651" s="559" t="s">
        <v>1224</v>
      </c>
      <c r="I651" s="559"/>
      <c r="J651" s="559"/>
      <c r="K651" s="223">
        <f>IF(K647&gt;K648,K647-K648,0)</f>
        <v>0</v>
      </c>
      <c r="L651" s="209"/>
    </row>
    <row r="653" spans="2:12">
      <c r="B653" s="247" t="s">
        <v>220</v>
      </c>
      <c r="C653" s="565" t="str">
        <f>VLOOKUP(B653,'BM 004'!$B$27:$R$590,2,0)</f>
        <v xml:space="preserve">Armação de pilar ou viga de uma estrutura convencional de concreto armado em um edifício de múltiplos pavimentos utilizando aço ca-60 de 5,0 mm - montagem. </v>
      </c>
      <c r="D653" s="565"/>
      <c r="E653" s="565"/>
      <c r="F653" s="565"/>
      <c r="G653" s="565"/>
      <c r="H653" s="565"/>
      <c r="I653" s="565"/>
      <c r="J653" s="565"/>
      <c r="K653" s="565"/>
      <c r="L653" s="565"/>
    </row>
    <row r="654" spans="2:12">
      <c r="B654" s="248" t="s">
        <v>1209</v>
      </c>
      <c r="C654" s="248"/>
      <c r="D654" s="248" t="s">
        <v>39</v>
      </c>
      <c r="E654" s="248" t="s">
        <v>1210</v>
      </c>
      <c r="F654" s="248" t="s">
        <v>1382</v>
      </c>
      <c r="G654" s="248" t="s">
        <v>1383</v>
      </c>
      <c r="H654" s="248" t="s">
        <v>1384</v>
      </c>
      <c r="I654" s="248" t="s">
        <v>1214</v>
      </c>
      <c r="J654" s="248" t="s">
        <v>1385</v>
      </c>
      <c r="K654" s="248" t="s">
        <v>1216</v>
      </c>
      <c r="L654" s="248" t="s">
        <v>1217</v>
      </c>
    </row>
    <row r="655" spans="2:12">
      <c r="B655" s="249" t="s">
        <v>1387</v>
      </c>
      <c r="C655" s="250" t="s">
        <v>1333</v>
      </c>
      <c r="D655" s="205" t="s">
        <v>152</v>
      </c>
      <c r="E655" s="251">
        <v>208</v>
      </c>
      <c r="F655" s="252">
        <v>0.154</v>
      </c>
      <c r="G655" s="251">
        <v>1.1000000000000001</v>
      </c>
      <c r="H655" s="251">
        <v>0.55000000000000004</v>
      </c>
      <c r="I655" s="251"/>
      <c r="J655" s="253"/>
      <c r="K655" s="254">
        <f>IF(E655*F655*G655&lt;&gt;0,E655*F655*G655,IF(E655*F655&lt;&gt;0,E655*F655,IF(F655*G655&lt;&gt;0,F655*G655,IF(E655*G655&lt;&gt;0,E655*G655,IF(E655&lt;&gt;0,E655,IF(F655&lt;&gt;0,F655,IF(G655&lt;&gt;0,G655,0)))))))*(IF(H655&lt;&gt;0,H655,1))+I655-J655</f>
        <v>19.379360000000002</v>
      </c>
      <c r="L655" s="255"/>
    </row>
    <row r="656" spans="2:12">
      <c r="B656" s="249" t="s">
        <v>1480</v>
      </c>
      <c r="C656" s="250" t="s">
        <v>1441</v>
      </c>
      <c r="D656" s="205" t="s">
        <v>152</v>
      </c>
      <c r="E656" s="251">
        <v>1109</v>
      </c>
      <c r="F656" s="252">
        <f>F655</f>
        <v>0.154</v>
      </c>
      <c r="G656" s="251">
        <f>G655</f>
        <v>1.1000000000000001</v>
      </c>
      <c r="H656" s="251">
        <v>0.5</v>
      </c>
      <c r="I656" s="251"/>
      <c r="J656" s="253"/>
      <c r="K656" s="254">
        <f>IF(E656*F656*G656&lt;&gt;0,E656*F656*G656,IF(E656*F656&lt;&gt;0,E656*F656,IF(F656*G656&lt;&gt;0,F656*G656,IF(E656*G656&lt;&gt;0,E656*G656,IF(E656&lt;&gt;0,E656,IF(F656&lt;&gt;0,F656,IF(G656&lt;&gt;0,G656,0)))))))*(IF(H656&lt;&gt;0,H656,1))+I656-J656</f>
        <v>93.932300000000012</v>
      </c>
      <c r="L656" s="205"/>
    </row>
    <row r="657" spans="2:12">
      <c r="B657" s="267"/>
      <c r="C657" s="205"/>
      <c r="D657" s="205"/>
      <c r="E657" s="251"/>
      <c r="F657" s="252"/>
      <c r="G657" s="251"/>
      <c r="H657" s="251"/>
      <c r="I657" s="251"/>
      <c r="J657" s="253"/>
      <c r="K657" s="254">
        <f>IF(E657*F657*G657&lt;&gt;0,E657*F657*G657,IF(E657*F657&lt;&gt;0,E657*F657,IF(F657*G657&lt;&gt;0,F657*G657,IF(E657*G657&lt;&gt;0,E657*G657,IF(E657&lt;&gt;0,E657,IF(F657&lt;&gt;0,F657,IF(G657&lt;&gt;0,G657,0)))))))*(IF(H657&lt;&gt;0,H657,1))+I657-J657</f>
        <v>0</v>
      </c>
      <c r="L657" s="205"/>
    </row>
    <row r="658" spans="2:12">
      <c r="B658" s="208"/>
      <c r="C658" s="204"/>
      <c r="D658" s="204"/>
      <c r="E658" s="204"/>
      <c r="F658" s="204"/>
      <c r="G658" s="204"/>
      <c r="H658" s="204"/>
      <c r="I658" s="556" t="s">
        <v>1221</v>
      </c>
      <c r="J658" s="556"/>
      <c r="K658" s="262">
        <f>SUM(K655:K657)</f>
        <v>113.31166000000002</v>
      </c>
      <c r="L658" s="207"/>
    </row>
    <row r="659" spans="2:12">
      <c r="B659" s="208"/>
      <c r="C659" s="204"/>
      <c r="D659" s="204"/>
      <c r="E659" s="204"/>
      <c r="F659" s="204"/>
      <c r="G659" s="204"/>
      <c r="H659" s="209"/>
      <c r="I659" s="557" t="s">
        <v>1222</v>
      </c>
      <c r="J659" s="557"/>
      <c r="K659" s="221">
        <f>VLOOKUP(B653,'BM 004'!$B$27:$R$590,4,0)</f>
        <v>347.6</v>
      </c>
      <c r="L659" s="207"/>
    </row>
    <row r="660" spans="2:12">
      <c r="B660" s="208"/>
      <c r="C660" s="204"/>
      <c r="D660" s="204"/>
      <c r="E660" s="204"/>
      <c r="F660" s="204"/>
      <c r="G660" s="204"/>
      <c r="H660" s="558" t="s">
        <v>1223</v>
      </c>
      <c r="I660" s="558"/>
      <c r="J660" s="558"/>
      <c r="K660" s="222"/>
      <c r="L660" s="207"/>
    </row>
    <row r="661" spans="2:12">
      <c r="B661" s="208"/>
      <c r="C661" s="204"/>
      <c r="D661" s="204"/>
      <c r="E661" s="204"/>
      <c r="F661" s="204"/>
      <c r="G661" s="204"/>
      <c r="H661" s="558" t="s">
        <v>1431</v>
      </c>
      <c r="I661" s="558"/>
      <c r="J661" s="558"/>
      <c r="K661" s="222">
        <f>TRUNC(SUMIF(C655:C657,H661,K655:K657),2)</f>
        <v>93.93</v>
      </c>
      <c r="L661" s="207"/>
    </row>
    <row r="662" spans="2:12">
      <c r="B662" s="213"/>
      <c r="C662" s="214"/>
      <c r="D662" s="214"/>
      <c r="E662" s="214"/>
      <c r="F662" s="214"/>
      <c r="G662" s="214"/>
      <c r="H662" s="559" t="s">
        <v>1224</v>
      </c>
      <c r="I662" s="559"/>
      <c r="J662" s="559"/>
      <c r="K662" s="223">
        <f>IF(K658&gt;K659,K658-K659,0)</f>
        <v>0</v>
      </c>
      <c r="L662" s="209"/>
    </row>
    <row r="664" spans="2:12">
      <c r="B664" s="247" t="s">
        <v>221</v>
      </c>
      <c r="C664" s="565" t="str">
        <f>VLOOKUP(B664,'BM 004'!$B$27:$R$590,2,0)</f>
        <v>Armação de pilar ou viga de uma estrutura convencional de concreto armado em um edifício de múltiplos pavimentos utilizando aço ca-50 de 6,3 mm - montagem.</v>
      </c>
      <c r="D664" s="565"/>
      <c r="E664" s="565"/>
      <c r="F664" s="565"/>
      <c r="G664" s="565"/>
      <c r="H664" s="565"/>
      <c r="I664" s="565"/>
      <c r="J664" s="565"/>
      <c r="K664" s="565"/>
      <c r="L664" s="565"/>
    </row>
    <row r="665" spans="2:12">
      <c r="B665" s="248" t="s">
        <v>1209</v>
      </c>
      <c r="C665" s="248"/>
      <c r="D665" s="248" t="s">
        <v>39</v>
      </c>
      <c r="E665" s="248" t="s">
        <v>1210</v>
      </c>
      <c r="F665" s="248" t="s">
        <v>1382</v>
      </c>
      <c r="G665" s="248" t="s">
        <v>1383</v>
      </c>
      <c r="H665" s="248" t="s">
        <v>1384</v>
      </c>
      <c r="I665" s="248" t="s">
        <v>1214</v>
      </c>
      <c r="J665" s="248" t="s">
        <v>1385</v>
      </c>
      <c r="K665" s="248" t="s">
        <v>1216</v>
      </c>
      <c r="L665" s="248" t="s">
        <v>1217</v>
      </c>
    </row>
    <row r="666" spans="2:12">
      <c r="B666" s="249" t="s">
        <v>1387</v>
      </c>
      <c r="C666" s="250" t="s">
        <v>1333</v>
      </c>
      <c r="D666" s="205" t="s">
        <v>152</v>
      </c>
      <c r="E666" s="251">
        <v>4472</v>
      </c>
      <c r="F666" s="252">
        <v>0.245</v>
      </c>
      <c r="G666" s="251">
        <v>1.1000000000000001</v>
      </c>
      <c r="H666" s="251">
        <v>0.55000000000000004</v>
      </c>
      <c r="I666" s="251"/>
      <c r="J666" s="253"/>
      <c r="K666" s="254">
        <f>IF(E666*F666*G666&lt;&gt;0,E666*F666*G666,IF(E666*F666&lt;&gt;0,E666*F666,IF(F666*G666&lt;&gt;0,F666*G666,IF(E666*G666&lt;&gt;0,E666*G666,IF(E666&lt;&gt;0,E666,IF(F666&lt;&gt;0,F666,IF(G666&lt;&gt;0,G666,0)))))))*(IF(H666&lt;&gt;0,H666,1))+I666-J666</f>
        <v>662.86220000000003</v>
      </c>
      <c r="L666" s="255"/>
    </row>
    <row r="667" spans="2:12">
      <c r="B667" s="249" t="s">
        <v>1480</v>
      </c>
      <c r="C667" s="250" t="s">
        <v>1441</v>
      </c>
      <c r="D667" s="205" t="s">
        <v>152</v>
      </c>
      <c r="E667" s="251">
        <v>2134</v>
      </c>
      <c r="F667" s="252">
        <f>F666</f>
        <v>0.245</v>
      </c>
      <c r="G667" s="251">
        <f>G666</f>
        <v>1.1000000000000001</v>
      </c>
      <c r="H667" s="251">
        <v>0.5</v>
      </c>
      <c r="I667" s="251"/>
      <c r="J667" s="253"/>
      <c r="K667" s="254">
        <f>IF(E667*F667*G667&lt;&gt;0,E667*F667*G667,IF(E667*F667&lt;&gt;0,E667*F667,IF(F667*G667&lt;&gt;0,F667*G667,IF(E667*G667&lt;&gt;0,E667*G667,IF(E667&lt;&gt;0,E667,IF(F667&lt;&gt;0,F667,IF(G667&lt;&gt;0,G667,0)))))))*(IF(H667&lt;&gt;0,H667,1))+I667-J667</f>
        <v>287.55650000000003</v>
      </c>
      <c r="L667" s="205"/>
    </row>
    <row r="668" spans="2:12">
      <c r="B668" s="267"/>
      <c r="C668" s="205"/>
      <c r="D668" s="205"/>
      <c r="E668" s="251"/>
      <c r="F668" s="252"/>
      <c r="G668" s="251"/>
      <c r="H668" s="251"/>
      <c r="I668" s="251"/>
      <c r="J668" s="253"/>
      <c r="K668" s="254">
        <f>IF(E668*F668*G668&lt;&gt;0,E668*F668*G668,IF(E668*F668&lt;&gt;0,E668*F668,IF(F668*G668&lt;&gt;0,F668*G668,IF(E668*G668&lt;&gt;0,E668*G668,IF(E668&lt;&gt;0,E668,IF(F668&lt;&gt;0,F668,IF(G668&lt;&gt;0,G668,0)))))))*(IF(H668&lt;&gt;0,H668,1))+I668-J668</f>
        <v>0</v>
      </c>
      <c r="L668" s="205"/>
    </row>
    <row r="669" spans="2:12">
      <c r="B669" s="208"/>
      <c r="C669" s="204"/>
      <c r="D669" s="204"/>
      <c r="E669" s="204"/>
      <c r="F669" s="204"/>
      <c r="G669" s="204"/>
      <c r="H669" s="204"/>
      <c r="I669" s="556" t="s">
        <v>1221</v>
      </c>
      <c r="J669" s="556"/>
      <c r="K669" s="262">
        <f>SUM(K666:K668)</f>
        <v>950.41870000000006</v>
      </c>
      <c r="L669" s="207"/>
    </row>
    <row r="670" spans="2:12">
      <c r="B670" s="208"/>
      <c r="C670" s="204"/>
      <c r="D670" s="204"/>
      <c r="E670" s="204"/>
      <c r="F670" s="204"/>
      <c r="G670" s="204"/>
      <c r="H670" s="209"/>
      <c r="I670" s="557" t="s">
        <v>1222</v>
      </c>
      <c r="J670" s="557"/>
      <c r="K670" s="221">
        <f>VLOOKUP(B664,'BM 004'!$B$27:$R$590,4,0)</f>
        <v>3626.7</v>
      </c>
      <c r="L670" s="207"/>
    </row>
    <row r="671" spans="2:12">
      <c r="B671" s="208"/>
      <c r="C671" s="204"/>
      <c r="D671" s="204"/>
      <c r="E671" s="204"/>
      <c r="F671" s="204"/>
      <c r="G671" s="204"/>
      <c r="H671" s="558" t="s">
        <v>1223</v>
      </c>
      <c r="I671" s="558"/>
      <c r="J671" s="558"/>
      <c r="K671" s="222"/>
      <c r="L671" s="207"/>
    </row>
    <row r="672" spans="2:12">
      <c r="B672" s="208"/>
      <c r="C672" s="204"/>
      <c r="D672" s="204"/>
      <c r="E672" s="204"/>
      <c r="F672" s="204"/>
      <c r="G672" s="204"/>
      <c r="H672" s="558" t="s">
        <v>1431</v>
      </c>
      <c r="I672" s="558"/>
      <c r="J672" s="558"/>
      <c r="K672" s="222">
        <f>TRUNC(SUMIF(C666:C668,H672,K666:K668),2)</f>
        <v>287.55</v>
      </c>
      <c r="L672" s="207"/>
    </row>
    <row r="673" spans="2:12">
      <c r="B673" s="213"/>
      <c r="C673" s="214"/>
      <c r="D673" s="214"/>
      <c r="E673" s="214"/>
      <c r="F673" s="214"/>
      <c r="G673" s="214"/>
      <c r="H673" s="559" t="s">
        <v>1224</v>
      </c>
      <c r="I673" s="559"/>
      <c r="J673" s="559"/>
      <c r="K673" s="223">
        <f>IF(K669&gt;K670,K669-K670,0)</f>
        <v>0</v>
      </c>
      <c r="L673" s="209"/>
    </row>
    <row r="675" spans="2:12">
      <c r="B675" s="247" t="s">
        <v>223</v>
      </c>
      <c r="C675" s="565" t="str">
        <f>VLOOKUP(B675,'BM 004'!$B$27:$R$590,2,0)</f>
        <v xml:space="preserve">Armação de pilar ou viga de uma estrutura convencional de concreto armado em um edifício de múltiplos pavimentos utilizando aço ca-50 de 8,0 mm - montagem. </v>
      </c>
      <c r="D675" s="565"/>
      <c r="E675" s="565"/>
      <c r="F675" s="565"/>
      <c r="G675" s="565"/>
      <c r="H675" s="565"/>
      <c r="I675" s="565"/>
      <c r="J675" s="565"/>
      <c r="K675" s="565"/>
      <c r="L675" s="565"/>
    </row>
    <row r="676" spans="2:12">
      <c r="B676" s="248" t="s">
        <v>1209</v>
      </c>
      <c r="C676" s="248"/>
      <c r="D676" s="248" t="s">
        <v>39</v>
      </c>
      <c r="E676" s="248" t="s">
        <v>1210</v>
      </c>
      <c r="F676" s="248" t="s">
        <v>1382</v>
      </c>
      <c r="G676" s="248" t="s">
        <v>1383</v>
      </c>
      <c r="H676" s="248" t="s">
        <v>1384</v>
      </c>
      <c r="I676" s="248" t="s">
        <v>1214</v>
      </c>
      <c r="J676" s="248" t="s">
        <v>1385</v>
      </c>
      <c r="K676" s="248" t="s">
        <v>1216</v>
      </c>
      <c r="L676" s="248" t="s">
        <v>1217</v>
      </c>
    </row>
    <row r="677" spans="2:12">
      <c r="B677" s="249" t="s">
        <v>1387</v>
      </c>
      <c r="C677" s="250" t="s">
        <v>1333</v>
      </c>
      <c r="D677" s="205" t="s">
        <v>152</v>
      </c>
      <c r="E677" s="251">
        <v>1288</v>
      </c>
      <c r="F677" s="252">
        <v>0.39500000000000002</v>
      </c>
      <c r="G677" s="251">
        <v>1.1000000000000001</v>
      </c>
      <c r="H677" s="251">
        <v>0.55000000000000004</v>
      </c>
      <c r="I677" s="251"/>
      <c r="J677" s="253"/>
      <c r="K677" s="254">
        <f>IF(E677*F677*G677&lt;&gt;0,E677*F677*G677,IF(E677*F677&lt;&gt;0,E677*F677,IF(F677*G677&lt;&gt;0,F677*G677,IF(E677*G677&lt;&gt;0,E677*G677,IF(E677&lt;&gt;0,E677,IF(F677&lt;&gt;0,F677,IF(G677&lt;&gt;0,G677,0)))))))*(IF(H677&lt;&gt;0,H677,1))+I677-J677</f>
        <v>307.79980000000006</v>
      </c>
      <c r="L677" s="255"/>
    </row>
    <row r="678" spans="2:12">
      <c r="B678" s="249" t="s">
        <v>1480</v>
      </c>
      <c r="C678" s="250" t="s">
        <v>1441</v>
      </c>
      <c r="D678" s="205" t="s">
        <v>152</v>
      </c>
      <c r="E678" s="251">
        <v>203</v>
      </c>
      <c r="F678" s="252">
        <f>F677</f>
        <v>0.39500000000000002</v>
      </c>
      <c r="G678" s="251">
        <f>G677</f>
        <v>1.1000000000000001</v>
      </c>
      <c r="H678" s="251">
        <v>0.5</v>
      </c>
      <c r="I678" s="251"/>
      <c r="J678" s="253"/>
      <c r="K678" s="254">
        <f>IF(E678*F678*G678&lt;&gt;0,E678*F678*G678,IF(E678*F678&lt;&gt;0,E678*F678,IF(F678*G678&lt;&gt;0,F678*G678,IF(E678*G678&lt;&gt;0,E678*G678,IF(E678&lt;&gt;0,E678,IF(F678&lt;&gt;0,F678,IF(G678&lt;&gt;0,G678,0)))))))*(IF(H678&lt;&gt;0,H678,1))+I678-J678</f>
        <v>44.101750000000003</v>
      </c>
      <c r="L678" s="205"/>
    </row>
    <row r="679" spans="2:12">
      <c r="B679" s="267"/>
      <c r="C679" s="205"/>
      <c r="D679" s="205"/>
      <c r="E679" s="251"/>
      <c r="F679" s="252"/>
      <c r="G679" s="251"/>
      <c r="H679" s="251"/>
      <c r="I679" s="251"/>
      <c r="J679" s="253"/>
      <c r="K679" s="254">
        <f>IF(E679*F679*G679&lt;&gt;0,E679*F679*G679,IF(E679*F679&lt;&gt;0,E679*F679,IF(F679*G679&lt;&gt;0,F679*G679,IF(E679*G679&lt;&gt;0,E679*G679,IF(E679&lt;&gt;0,E679,IF(F679&lt;&gt;0,F679,IF(G679&lt;&gt;0,G679,0)))))))*(IF(H679&lt;&gt;0,H679,1))+I679-J679</f>
        <v>0</v>
      </c>
      <c r="L679" s="205"/>
    </row>
    <row r="680" spans="2:12">
      <c r="B680" s="208"/>
      <c r="C680" s="204"/>
      <c r="D680" s="204"/>
      <c r="E680" s="204"/>
      <c r="F680" s="204"/>
      <c r="G680" s="204"/>
      <c r="H680" s="204"/>
      <c r="I680" s="556" t="s">
        <v>1221</v>
      </c>
      <c r="J680" s="556"/>
      <c r="K680" s="262">
        <f>SUM(K677:K679)</f>
        <v>351.90155000000004</v>
      </c>
      <c r="L680" s="207"/>
    </row>
    <row r="681" spans="2:12">
      <c r="B681" s="208"/>
      <c r="C681" s="204"/>
      <c r="D681" s="204"/>
      <c r="E681" s="204"/>
      <c r="F681" s="204"/>
      <c r="G681" s="204"/>
      <c r="H681" s="209"/>
      <c r="I681" s="557" t="s">
        <v>1222</v>
      </c>
      <c r="J681" s="557"/>
      <c r="K681" s="221">
        <f>VLOOKUP(B675,'BM 004'!$B$27:$R$590,4,0)</f>
        <v>1762.2</v>
      </c>
      <c r="L681" s="207"/>
    </row>
    <row r="682" spans="2:12">
      <c r="B682" s="208"/>
      <c r="C682" s="204"/>
      <c r="D682" s="204"/>
      <c r="E682" s="204"/>
      <c r="F682" s="204"/>
      <c r="G682" s="204"/>
      <c r="H682" s="558" t="s">
        <v>1223</v>
      </c>
      <c r="I682" s="558"/>
      <c r="J682" s="558"/>
      <c r="K682" s="222">
        <v>352.33605</v>
      </c>
      <c r="L682" s="207"/>
    </row>
    <row r="683" spans="2:12">
      <c r="B683" s="208"/>
      <c r="C683" s="204"/>
      <c r="D683" s="204"/>
      <c r="E683" s="204"/>
      <c r="F683" s="204"/>
      <c r="G683" s="204"/>
      <c r="H683" s="558" t="s">
        <v>1431</v>
      </c>
      <c r="I683" s="558"/>
      <c r="J683" s="558"/>
      <c r="K683" s="222">
        <f>TRUNC(SUMIF(C677:C679,H683,K677:K679),2)</f>
        <v>44.1</v>
      </c>
      <c r="L683" s="207"/>
    </row>
    <row r="684" spans="2:12">
      <c r="B684" s="213"/>
      <c r="C684" s="214"/>
      <c r="D684" s="214"/>
      <c r="E684" s="214"/>
      <c r="F684" s="214"/>
      <c r="G684" s="214"/>
      <c r="H684" s="559" t="s">
        <v>1224</v>
      </c>
      <c r="I684" s="559"/>
      <c r="J684" s="559"/>
      <c r="K684" s="223">
        <f>IF(K680&gt;K681,K680-K681,0)</f>
        <v>0</v>
      </c>
      <c r="L684" s="209"/>
    </row>
    <row r="686" spans="2:12">
      <c r="B686" s="247" t="s">
        <v>224</v>
      </c>
      <c r="C686" s="565" t="str">
        <f>VLOOKUP(B686,'BM 004'!$B$27:$R$590,2,0)</f>
        <v xml:space="preserve">Armação de pilar ou viga de uma estrutura convencional de concreto armado em um edifício de múltiplos pavimentos utilizando aço ca-50 de 10,0 mm - montagem. </v>
      </c>
      <c r="D686" s="565"/>
      <c r="E686" s="565"/>
      <c r="F686" s="565"/>
      <c r="G686" s="565"/>
      <c r="H686" s="565"/>
      <c r="I686" s="565"/>
      <c r="J686" s="565"/>
      <c r="K686" s="565"/>
      <c r="L686" s="565"/>
    </row>
    <row r="687" spans="2:12">
      <c r="B687" s="248" t="s">
        <v>1209</v>
      </c>
      <c r="C687" s="248"/>
      <c r="D687" s="248" t="s">
        <v>39</v>
      </c>
      <c r="E687" s="248" t="s">
        <v>1210</v>
      </c>
      <c r="F687" s="248" t="s">
        <v>1382</v>
      </c>
      <c r="G687" s="248" t="s">
        <v>1383</v>
      </c>
      <c r="H687" s="248" t="s">
        <v>1384</v>
      </c>
      <c r="I687" s="248" t="s">
        <v>1214</v>
      </c>
      <c r="J687" s="248" t="s">
        <v>1385</v>
      </c>
      <c r="K687" s="248" t="s">
        <v>1216</v>
      </c>
      <c r="L687" s="248" t="s">
        <v>1217</v>
      </c>
    </row>
    <row r="688" spans="2:12">
      <c r="B688" s="249" t="s">
        <v>1387</v>
      </c>
      <c r="C688" s="250" t="s">
        <v>1333</v>
      </c>
      <c r="D688" s="205" t="s">
        <v>152</v>
      </c>
      <c r="E688" s="251">
        <v>82</v>
      </c>
      <c r="F688" s="252">
        <v>0.61699999999999999</v>
      </c>
      <c r="G688" s="251">
        <v>1.1000000000000001</v>
      </c>
      <c r="H688" s="251">
        <v>0.55000000000000004</v>
      </c>
      <c r="I688" s="251"/>
      <c r="J688" s="253"/>
      <c r="K688" s="254">
        <f>IF(E688*F688*G688&lt;&gt;0,E688*F688*G688,IF(E688*F688&lt;&gt;0,E688*F688,IF(F688*G688&lt;&gt;0,F688*G688,IF(E688*G688&lt;&gt;0,E688*G688,IF(E688&lt;&gt;0,E688,IF(F688&lt;&gt;0,F688,IF(G688&lt;&gt;0,G688,0)))))))*(IF(H688&lt;&gt;0,H688,1))+I688-J688</f>
        <v>30.609370000000006</v>
      </c>
      <c r="L688" s="255"/>
    </row>
    <row r="689" spans="2:12">
      <c r="B689" s="249" t="s">
        <v>1480</v>
      </c>
      <c r="C689" s="250" t="s">
        <v>1441</v>
      </c>
      <c r="D689" s="205" t="s">
        <v>152</v>
      </c>
      <c r="E689" s="251">
        <v>494</v>
      </c>
      <c r="F689" s="252">
        <f>F688</f>
        <v>0.61699999999999999</v>
      </c>
      <c r="G689" s="251">
        <f>G688</f>
        <v>1.1000000000000001</v>
      </c>
      <c r="H689" s="251">
        <v>0.5</v>
      </c>
      <c r="I689" s="251"/>
      <c r="J689" s="253"/>
      <c r="K689" s="254">
        <f>IF(E689*F689*G689&lt;&gt;0,E689*F689*G689,IF(E689*F689&lt;&gt;0,E689*F689,IF(F689*G689&lt;&gt;0,F689*G689,IF(E689*G689&lt;&gt;0,E689*G689,IF(E689&lt;&gt;0,E689,IF(F689&lt;&gt;0,F689,IF(G689&lt;&gt;0,G689,0)))))))*(IF(H689&lt;&gt;0,H689,1))+I689-J689</f>
        <v>167.63890000000001</v>
      </c>
      <c r="L689" s="205"/>
    </row>
    <row r="690" spans="2:12">
      <c r="B690" s="267"/>
      <c r="C690" s="205"/>
      <c r="D690" s="205"/>
      <c r="E690" s="251"/>
      <c r="F690" s="252"/>
      <c r="G690" s="251"/>
      <c r="H690" s="251"/>
      <c r="I690" s="251"/>
      <c r="J690" s="253"/>
      <c r="K690" s="254">
        <f>IF(E690*F690*G690&lt;&gt;0,E690*F690*G690,IF(E690*F690&lt;&gt;0,E690*F690,IF(F690*G690&lt;&gt;0,F690*G690,IF(E690*G690&lt;&gt;0,E690*G690,IF(E690&lt;&gt;0,E690,IF(F690&lt;&gt;0,F690,IF(G690&lt;&gt;0,G690,0)))))))*(IF(H690&lt;&gt;0,H690,1))+I690-J690</f>
        <v>0</v>
      </c>
      <c r="L690" s="205"/>
    </row>
    <row r="691" spans="2:12">
      <c r="B691" s="208"/>
      <c r="C691" s="204"/>
      <c r="D691" s="204"/>
      <c r="E691" s="204"/>
      <c r="F691" s="204"/>
      <c r="G691" s="204"/>
      <c r="H691" s="204"/>
      <c r="I691" s="556" t="s">
        <v>1221</v>
      </c>
      <c r="J691" s="556"/>
      <c r="K691" s="262">
        <f>SUM(K688:K690)</f>
        <v>198.24827000000002</v>
      </c>
      <c r="L691" s="207"/>
    </row>
    <row r="692" spans="2:12">
      <c r="B692" s="208"/>
      <c r="C692" s="204"/>
      <c r="D692" s="204"/>
      <c r="E692" s="204"/>
      <c r="F692" s="204"/>
      <c r="G692" s="204"/>
      <c r="H692" s="209"/>
      <c r="I692" s="557" t="s">
        <v>1222</v>
      </c>
      <c r="J692" s="557"/>
      <c r="K692" s="221">
        <f>VLOOKUP(B686,'BM 004'!$B$27:$R$590,4,0)</f>
        <v>542.29999999999995</v>
      </c>
      <c r="L692" s="207"/>
    </row>
    <row r="693" spans="2:12">
      <c r="B693" s="208"/>
      <c r="C693" s="204"/>
      <c r="D693" s="204"/>
      <c r="E693" s="204"/>
      <c r="F693" s="204"/>
      <c r="G693" s="204"/>
      <c r="H693" s="558" t="s">
        <v>1223</v>
      </c>
      <c r="I693" s="558"/>
      <c r="J693" s="558"/>
      <c r="K693" s="222">
        <v>30.609369999999998</v>
      </c>
      <c r="L693" s="207"/>
    </row>
    <row r="694" spans="2:12">
      <c r="B694" s="208"/>
      <c r="C694" s="204"/>
      <c r="D694" s="204"/>
      <c r="E694" s="204"/>
      <c r="F694" s="204"/>
      <c r="G694" s="204"/>
      <c r="H694" s="558" t="s">
        <v>1431</v>
      </c>
      <c r="I694" s="558"/>
      <c r="J694" s="558"/>
      <c r="K694" s="222">
        <f>TRUNC(SUMIF(C688:C690,H694,K688:K690),2)</f>
        <v>167.63</v>
      </c>
      <c r="L694" s="207"/>
    </row>
    <row r="695" spans="2:12">
      <c r="B695" s="213"/>
      <c r="C695" s="214"/>
      <c r="D695" s="214"/>
      <c r="E695" s="214"/>
      <c r="F695" s="214"/>
      <c r="G695" s="214"/>
      <c r="H695" s="559" t="s">
        <v>1224</v>
      </c>
      <c r="I695" s="559"/>
      <c r="J695" s="559"/>
      <c r="K695" s="223">
        <f>IF(K691&gt;K692,K691-K692,0)</f>
        <v>0</v>
      </c>
      <c r="L695" s="209"/>
    </row>
    <row r="697" spans="2:12">
      <c r="B697" s="247" t="s">
        <v>225</v>
      </c>
      <c r="C697" s="565" t="str">
        <f>VLOOKUP(B697,'BM 004'!$B$27:$R$590,2,0)</f>
        <v xml:space="preserve">Armação de pilar ou viga de uma estrutura convencional de concreto armado em um edifício de múltiplos pavimentos utilizando aço ca-50 de 12,5 mm - montagem. </v>
      </c>
      <c r="D697" s="565"/>
      <c r="E697" s="565"/>
      <c r="F697" s="565"/>
      <c r="G697" s="565"/>
      <c r="H697" s="565"/>
      <c r="I697" s="565"/>
      <c r="J697" s="565"/>
      <c r="K697" s="565"/>
      <c r="L697" s="565"/>
    </row>
    <row r="698" spans="2:12">
      <c r="B698" s="248" t="s">
        <v>1209</v>
      </c>
      <c r="C698" s="248"/>
      <c r="D698" s="248" t="s">
        <v>39</v>
      </c>
      <c r="E698" s="248" t="s">
        <v>1210</v>
      </c>
      <c r="F698" s="248" t="s">
        <v>1382</v>
      </c>
      <c r="G698" s="248" t="s">
        <v>1383</v>
      </c>
      <c r="H698" s="248" t="s">
        <v>1384</v>
      </c>
      <c r="I698" s="248" t="s">
        <v>1214</v>
      </c>
      <c r="J698" s="248" t="s">
        <v>1385</v>
      </c>
      <c r="K698" s="248" t="s">
        <v>1216</v>
      </c>
      <c r="L698" s="248" t="s">
        <v>1217</v>
      </c>
    </row>
    <row r="699" spans="2:12">
      <c r="B699" s="249" t="s">
        <v>1387</v>
      </c>
      <c r="C699" s="250" t="s">
        <v>1333</v>
      </c>
      <c r="D699" s="205" t="s">
        <v>152</v>
      </c>
      <c r="E699" s="251">
        <v>169</v>
      </c>
      <c r="F699" s="252">
        <v>0.96299999999999997</v>
      </c>
      <c r="G699" s="251">
        <v>1.1000000000000001</v>
      </c>
      <c r="H699" s="251">
        <v>0.55000000000000004</v>
      </c>
      <c r="I699" s="251"/>
      <c r="J699" s="253"/>
      <c r="K699" s="254">
        <f>IF(E699*F699*G699&lt;&gt;0,E699*F699*G699,IF(E699*F699&lt;&gt;0,E699*F699,IF(F699*G699&lt;&gt;0,F699*G699,IF(E699*G699&lt;&gt;0,E699*G699,IF(E699&lt;&gt;0,E699,IF(F699&lt;&gt;0,F699,IF(G699&lt;&gt;0,G699,0)))))))*(IF(H699&lt;&gt;0,H699,1))+I699-J699</f>
        <v>98.461935000000011</v>
      </c>
      <c r="L699" s="255"/>
    </row>
    <row r="700" spans="2:12">
      <c r="B700" s="249" t="s">
        <v>1480</v>
      </c>
      <c r="C700" s="250" t="s">
        <v>1441</v>
      </c>
      <c r="D700" s="205" t="s">
        <v>152</v>
      </c>
      <c r="E700" s="251">
        <v>653</v>
      </c>
      <c r="F700" s="252">
        <f>F699</f>
        <v>0.96299999999999997</v>
      </c>
      <c r="G700" s="251">
        <f>G699</f>
        <v>1.1000000000000001</v>
      </c>
      <c r="H700" s="251">
        <v>0.5</v>
      </c>
      <c r="I700" s="251"/>
      <c r="J700" s="253"/>
      <c r="K700" s="254">
        <f>IF(E700*F700*G700&lt;&gt;0,E700*F700*G700,IF(E700*F700&lt;&gt;0,E700*F700,IF(F700*G700&lt;&gt;0,F700*G700,IF(E700*G700&lt;&gt;0,E700*G700,IF(E700&lt;&gt;0,E700,IF(F700&lt;&gt;0,F700,IF(G700&lt;&gt;0,G700,0)))))))*(IF(H700&lt;&gt;0,H700,1))+I700-J700</f>
        <v>345.86144999999999</v>
      </c>
      <c r="L700" s="205"/>
    </row>
    <row r="701" spans="2:12">
      <c r="B701" s="267"/>
      <c r="C701" s="205"/>
      <c r="D701" s="205"/>
      <c r="E701" s="251"/>
      <c r="F701" s="252"/>
      <c r="G701" s="251"/>
      <c r="H701" s="251"/>
      <c r="I701" s="251"/>
      <c r="J701" s="253"/>
      <c r="K701" s="254">
        <f>IF(E701*F701*G701&lt;&gt;0,E701*F701*G701,IF(E701*F701&lt;&gt;0,E701*F701,IF(F701*G701&lt;&gt;0,F701*G701,IF(E701*G701&lt;&gt;0,E701*G701,IF(E701&lt;&gt;0,E701,IF(F701&lt;&gt;0,F701,IF(G701&lt;&gt;0,G701,0)))))))*(IF(H701&lt;&gt;0,H701,1))+I701-J701</f>
        <v>0</v>
      </c>
      <c r="L701" s="205"/>
    </row>
    <row r="702" spans="2:12">
      <c r="B702" s="208"/>
      <c r="C702" s="204"/>
      <c r="D702" s="204"/>
      <c r="E702" s="204"/>
      <c r="F702" s="204"/>
      <c r="G702" s="204"/>
      <c r="H702" s="204"/>
      <c r="I702" s="556" t="s">
        <v>1221</v>
      </c>
      <c r="J702" s="556"/>
      <c r="K702" s="262">
        <f>SUM(K699:K701)</f>
        <v>444.32338500000003</v>
      </c>
      <c r="L702" s="207"/>
    </row>
    <row r="703" spans="2:12">
      <c r="B703" s="208"/>
      <c r="C703" s="204"/>
      <c r="D703" s="204"/>
      <c r="E703" s="204"/>
      <c r="F703" s="204"/>
      <c r="G703" s="204"/>
      <c r="H703" s="209"/>
      <c r="I703" s="557" t="s">
        <v>1222</v>
      </c>
      <c r="J703" s="557"/>
      <c r="K703" s="221">
        <f>VLOOKUP(B697,'BM 004'!$B$27:$R$590,4,0)</f>
        <v>3532.1</v>
      </c>
      <c r="L703" s="207"/>
    </row>
    <row r="704" spans="2:12">
      <c r="B704" s="208"/>
      <c r="C704" s="204"/>
      <c r="D704" s="204"/>
      <c r="E704" s="204"/>
      <c r="F704" s="204"/>
      <c r="G704" s="204"/>
      <c r="H704" s="558" t="s">
        <v>1223</v>
      </c>
      <c r="I704" s="558"/>
      <c r="J704" s="558"/>
      <c r="K704" s="222">
        <v>98.461934999999997</v>
      </c>
      <c r="L704" s="207"/>
    </row>
    <row r="705" spans="2:12">
      <c r="B705" s="208"/>
      <c r="C705" s="204"/>
      <c r="D705" s="204"/>
      <c r="E705" s="204"/>
      <c r="F705" s="204"/>
      <c r="G705" s="204"/>
      <c r="H705" s="558" t="s">
        <v>1431</v>
      </c>
      <c r="I705" s="558"/>
      <c r="J705" s="558"/>
      <c r="K705" s="222">
        <f>TRUNC(SUMIF(C699:C701,H705,K699:K701),2)</f>
        <v>345.86</v>
      </c>
      <c r="L705" s="207"/>
    </row>
    <row r="706" spans="2:12">
      <c r="B706" s="213"/>
      <c r="C706" s="214"/>
      <c r="D706" s="214"/>
      <c r="E706" s="214"/>
      <c r="F706" s="214"/>
      <c r="G706" s="214"/>
      <c r="H706" s="559" t="s">
        <v>1224</v>
      </c>
      <c r="I706" s="559"/>
      <c r="J706" s="559"/>
      <c r="K706" s="223">
        <f>IF(K702&gt;K703,K702-K703,0)</f>
        <v>0</v>
      </c>
      <c r="L706" s="209"/>
    </row>
    <row r="708" spans="2:12">
      <c r="B708" s="247" t="s">
        <v>226</v>
      </c>
      <c r="C708" s="565" t="str">
        <f>VLOOKUP(B708,'BM 004'!$B$27:$R$590,2,0)</f>
        <v xml:space="preserve">Armação de pilar ou viga de uma estrutura convencional de concreto armado em um edifício de múltiplos pavimentos utilizando aço ca-50 de 16,0 mm - montagem. </v>
      </c>
      <c r="D708" s="565"/>
      <c r="E708" s="565"/>
      <c r="F708" s="565"/>
      <c r="G708" s="565"/>
      <c r="H708" s="565"/>
      <c r="I708" s="565"/>
      <c r="J708" s="565"/>
      <c r="K708" s="565"/>
      <c r="L708" s="565"/>
    </row>
    <row r="709" spans="2:12">
      <c r="B709" s="248" t="s">
        <v>1209</v>
      </c>
      <c r="C709" s="248"/>
      <c r="D709" s="248" t="s">
        <v>39</v>
      </c>
      <c r="E709" s="248" t="s">
        <v>1210</v>
      </c>
      <c r="F709" s="248" t="s">
        <v>1382</v>
      </c>
      <c r="G709" s="248" t="s">
        <v>1383</v>
      </c>
      <c r="H709" s="248" t="s">
        <v>1384</v>
      </c>
      <c r="I709" s="248" t="s">
        <v>1214</v>
      </c>
      <c r="J709" s="248" t="s">
        <v>1385</v>
      </c>
      <c r="K709" s="248" t="s">
        <v>1216</v>
      </c>
      <c r="L709" s="248" t="s">
        <v>1217</v>
      </c>
    </row>
    <row r="710" spans="2:12">
      <c r="B710" s="249" t="s">
        <v>1387</v>
      </c>
      <c r="C710" s="250" t="s">
        <v>1333</v>
      </c>
      <c r="D710" s="205" t="s">
        <v>152</v>
      </c>
      <c r="E710" s="251">
        <v>3239</v>
      </c>
      <c r="F710" s="252">
        <v>1.5780000000000001</v>
      </c>
      <c r="G710" s="251">
        <v>1.1000000000000001</v>
      </c>
      <c r="H710" s="251">
        <v>0.55000000000000004</v>
      </c>
      <c r="I710" s="251"/>
      <c r="J710" s="253"/>
      <c r="K710" s="254">
        <f>IF(E710*F710*G710&lt;&gt;0,E710*F710*G710,IF(E710*F710&lt;&gt;0,E710*F710,IF(F710*G710&lt;&gt;0,F710*G710,IF(E710*G710&lt;&gt;0,E710*G710,IF(E710&lt;&gt;0,E710,IF(F710&lt;&gt;0,F710,IF(G710&lt;&gt;0,G710,0)))))))*(IF(H710&lt;&gt;0,H710,1))+I710-J710</f>
        <v>3092.24091</v>
      </c>
      <c r="L710" s="255"/>
    </row>
    <row r="711" spans="2:12">
      <c r="B711" s="249" t="s">
        <v>1480</v>
      </c>
      <c r="C711" s="250" t="s">
        <v>1441</v>
      </c>
      <c r="D711" s="205" t="s">
        <v>152</v>
      </c>
      <c r="E711" s="251">
        <v>153</v>
      </c>
      <c r="F711" s="252">
        <f>F710</f>
        <v>1.5780000000000001</v>
      </c>
      <c r="G711" s="251">
        <f>G710</f>
        <v>1.1000000000000001</v>
      </c>
      <c r="H711" s="251">
        <v>0.5</v>
      </c>
      <c r="I711" s="251"/>
      <c r="J711" s="253"/>
      <c r="K711" s="254">
        <f>IF(E711*F711*G711&lt;&gt;0,E711*F711*G711,IF(E711*F711&lt;&gt;0,E711*F711,IF(F711*G711&lt;&gt;0,F711*G711,IF(E711*G711&lt;&gt;0,E711*G711,IF(E711&lt;&gt;0,E711,IF(F711&lt;&gt;0,F711,IF(G711&lt;&gt;0,G711,0)))))))*(IF(H711&lt;&gt;0,H711,1))+I711-J711</f>
        <v>132.78870000000001</v>
      </c>
      <c r="L711" s="205"/>
    </row>
    <row r="712" spans="2:12">
      <c r="B712" s="267"/>
      <c r="C712" s="205"/>
      <c r="D712" s="205"/>
      <c r="E712" s="251"/>
      <c r="F712" s="252"/>
      <c r="G712" s="251"/>
      <c r="H712" s="251"/>
      <c r="I712" s="251"/>
      <c r="J712" s="253"/>
      <c r="K712" s="254">
        <f>IF(E712*F712*G712&lt;&gt;0,E712*F712*G712,IF(E712*F712&lt;&gt;0,E712*F712,IF(F712*G712&lt;&gt;0,F712*G712,IF(E712*G712&lt;&gt;0,E712*G712,IF(E712&lt;&gt;0,E712,IF(F712&lt;&gt;0,F712,IF(G712&lt;&gt;0,G712,0)))))))*(IF(H712&lt;&gt;0,H712,1))+I712-J712</f>
        <v>0</v>
      </c>
      <c r="L712" s="205"/>
    </row>
    <row r="713" spans="2:12">
      <c r="B713" s="208"/>
      <c r="C713" s="204"/>
      <c r="D713" s="204"/>
      <c r="E713" s="204"/>
      <c r="F713" s="204"/>
      <c r="G713" s="204"/>
      <c r="H713" s="204"/>
      <c r="I713" s="556" t="s">
        <v>1221</v>
      </c>
      <c r="J713" s="556"/>
      <c r="K713" s="262">
        <f>SUM(K710:K712)</f>
        <v>3225.02961</v>
      </c>
      <c r="L713" s="207"/>
    </row>
    <row r="714" spans="2:12">
      <c r="B714" s="208"/>
      <c r="C714" s="204"/>
      <c r="D714" s="204"/>
      <c r="E714" s="204"/>
      <c r="F714" s="204"/>
      <c r="G714" s="204"/>
      <c r="H714" s="209"/>
      <c r="I714" s="557" t="s">
        <v>1222</v>
      </c>
      <c r="J714" s="557"/>
      <c r="K714" s="221">
        <f>VLOOKUP(B708,'BM 004'!$B$27:$R$590,4,0)</f>
        <v>7313.9</v>
      </c>
      <c r="L714" s="207"/>
    </row>
    <row r="715" spans="2:12">
      <c r="B715" s="208"/>
      <c r="C715" s="204"/>
      <c r="D715" s="204"/>
      <c r="E715" s="204"/>
      <c r="F715" s="204"/>
      <c r="G715" s="204"/>
      <c r="H715" s="558" t="s">
        <v>1223</v>
      </c>
      <c r="I715" s="558"/>
      <c r="J715" s="558"/>
      <c r="K715" s="222">
        <v>3092.24091</v>
      </c>
      <c r="L715" s="207"/>
    </row>
    <row r="716" spans="2:12">
      <c r="B716" s="208"/>
      <c r="C716" s="204"/>
      <c r="D716" s="204"/>
      <c r="E716" s="204"/>
      <c r="F716" s="204"/>
      <c r="G716" s="204"/>
      <c r="H716" s="558" t="s">
        <v>1431</v>
      </c>
      <c r="I716" s="558"/>
      <c r="J716" s="558"/>
      <c r="K716" s="222">
        <f>TRUNC(SUMIF(C710:C712,H716,K710:K712),2)</f>
        <v>132.78</v>
      </c>
      <c r="L716" s="207"/>
    </row>
    <row r="717" spans="2:12">
      <c r="B717" s="213"/>
      <c r="C717" s="214"/>
      <c r="D717" s="214"/>
      <c r="E717" s="214"/>
      <c r="F717" s="214"/>
      <c r="G717" s="214"/>
      <c r="H717" s="559" t="s">
        <v>1224</v>
      </c>
      <c r="I717" s="559"/>
      <c r="J717" s="559"/>
      <c r="K717" s="223">
        <f>IF(K713&gt;K714,K713-K714,0)</f>
        <v>0</v>
      </c>
      <c r="L717" s="209"/>
    </row>
    <row r="719" spans="2:12">
      <c r="B719" s="247" t="s">
        <v>227</v>
      </c>
      <c r="C719" s="565" t="str">
        <f>VLOOKUP(B719,'BM 004'!$B$27:$R$590,2,0)</f>
        <v xml:space="preserve">Armação de pilar ou viga de uma estrutura convencional de concreto armado em um edifício de múltiplos pavimentos utilizando aço ca-50 de 20,0 mm - montagem. </v>
      </c>
      <c r="D719" s="565"/>
      <c r="E719" s="565"/>
      <c r="F719" s="565"/>
      <c r="G719" s="565"/>
      <c r="H719" s="565"/>
      <c r="I719" s="565"/>
      <c r="J719" s="565"/>
      <c r="K719" s="565"/>
      <c r="L719" s="565"/>
    </row>
    <row r="720" spans="2:12">
      <c r="B720" s="248" t="s">
        <v>1209</v>
      </c>
      <c r="C720" s="248"/>
      <c r="D720" s="248" t="s">
        <v>39</v>
      </c>
      <c r="E720" s="248" t="s">
        <v>1210</v>
      </c>
      <c r="F720" s="248" t="s">
        <v>1382</v>
      </c>
      <c r="G720" s="248" t="s">
        <v>1383</v>
      </c>
      <c r="H720" s="248" t="s">
        <v>1384</v>
      </c>
      <c r="I720" s="248" t="s">
        <v>1214</v>
      </c>
      <c r="J720" s="248" t="s">
        <v>1385</v>
      </c>
      <c r="K720" s="248" t="s">
        <v>1216</v>
      </c>
      <c r="L720" s="248" t="s">
        <v>1217</v>
      </c>
    </row>
    <row r="721" spans="2:12">
      <c r="B721" s="249" t="s">
        <v>1387</v>
      </c>
      <c r="C721" s="250" t="s">
        <v>1333</v>
      </c>
      <c r="D721" s="205" t="s">
        <v>152</v>
      </c>
      <c r="E721" s="251">
        <v>991</v>
      </c>
      <c r="F721" s="252">
        <v>2.4660000000000002</v>
      </c>
      <c r="G721" s="251">
        <v>1.1000000000000001</v>
      </c>
      <c r="H721" s="251">
        <v>0.55000000000000004</v>
      </c>
      <c r="I721" s="251"/>
      <c r="J721" s="253"/>
      <c r="K721" s="254">
        <f>IF(E721*F721*G721&lt;&gt;0,E721*F721*G721,IF(E721*F721&lt;&gt;0,E721*F721,IF(F721*G721&lt;&gt;0,F721*G721,IF(E721*G721&lt;&gt;0,E721*G721,IF(E721&lt;&gt;0,E721,IF(F721&lt;&gt;0,F721,IF(G721&lt;&gt;0,G721,0)))))))*(IF(H721&lt;&gt;0,H721,1))+I721-J721</f>
        <v>1478.5026300000004</v>
      </c>
      <c r="L721" s="255"/>
    </row>
    <row r="722" spans="2:12">
      <c r="B722" s="249" t="s">
        <v>1480</v>
      </c>
      <c r="C722" s="250" t="s">
        <v>1441</v>
      </c>
      <c r="D722" s="205" t="s">
        <v>152</v>
      </c>
      <c r="E722" s="251">
        <v>425</v>
      </c>
      <c r="F722" s="252">
        <f>F721</f>
        <v>2.4660000000000002</v>
      </c>
      <c r="G722" s="251">
        <f>G721</f>
        <v>1.1000000000000001</v>
      </c>
      <c r="H722" s="251">
        <v>0.5</v>
      </c>
      <c r="I722" s="251"/>
      <c r="J722" s="253"/>
      <c r="K722" s="254">
        <f>IF(E722*F722*G722&lt;&gt;0,E722*F722*G722,IF(E722*F722&lt;&gt;0,E722*F722,IF(F722*G722&lt;&gt;0,F722*G722,IF(E722*G722&lt;&gt;0,E722*G722,IF(E722&lt;&gt;0,E722,IF(F722&lt;&gt;0,F722,IF(G722&lt;&gt;0,G722,0)))))))*(IF(H722&lt;&gt;0,H722,1))+I722-J722</f>
        <v>576.42750000000012</v>
      </c>
      <c r="L722" s="205"/>
    </row>
    <row r="723" spans="2:12">
      <c r="B723" s="267"/>
      <c r="C723" s="205"/>
      <c r="D723" s="205"/>
      <c r="E723" s="251"/>
      <c r="F723" s="252"/>
      <c r="G723" s="251"/>
      <c r="H723" s="251"/>
      <c r="I723" s="251"/>
      <c r="J723" s="253"/>
      <c r="K723" s="254">
        <f>IF(E723*F723*G723&lt;&gt;0,E723*F723*G723,IF(E723*F723&lt;&gt;0,E723*F723,IF(F723*G723&lt;&gt;0,F723*G723,IF(E723*G723&lt;&gt;0,E723*G723,IF(E723&lt;&gt;0,E723,IF(F723&lt;&gt;0,F723,IF(G723&lt;&gt;0,G723,0)))))))*(IF(H723&lt;&gt;0,H723,1))+I723-J723</f>
        <v>0</v>
      </c>
      <c r="L723" s="205"/>
    </row>
    <row r="724" spans="2:12">
      <c r="B724" s="208"/>
      <c r="C724" s="204"/>
      <c r="D724" s="204"/>
      <c r="E724" s="204"/>
      <c r="F724" s="204"/>
      <c r="G724" s="204"/>
      <c r="H724" s="204"/>
      <c r="I724" s="556" t="s">
        <v>1221</v>
      </c>
      <c r="J724" s="556"/>
      <c r="K724" s="262">
        <f>SUM(K721:K723)</f>
        <v>2054.9301300000006</v>
      </c>
      <c r="L724" s="207"/>
    </row>
    <row r="725" spans="2:12">
      <c r="B725" s="208"/>
      <c r="C725" s="204"/>
      <c r="D725" s="204"/>
      <c r="E725" s="204"/>
      <c r="F725" s="204"/>
      <c r="G725" s="204"/>
      <c r="H725" s="209"/>
      <c r="I725" s="557" t="s">
        <v>1222</v>
      </c>
      <c r="J725" s="557"/>
      <c r="K725" s="221">
        <f>VLOOKUP(B719,'BM 004'!$B$27:$R$590,4,0)</f>
        <v>4513.3</v>
      </c>
      <c r="L725" s="207"/>
    </row>
    <row r="726" spans="2:12">
      <c r="B726" s="208"/>
      <c r="C726" s="204"/>
      <c r="D726" s="204"/>
      <c r="E726" s="204"/>
      <c r="F726" s="204"/>
      <c r="G726" s="204"/>
      <c r="H726" s="558" t="s">
        <v>1223</v>
      </c>
      <c r="I726" s="558"/>
      <c r="J726" s="558"/>
      <c r="K726" s="222">
        <v>1478.50263</v>
      </c>
      <c r="L726" s="207"/>
    </row>
    <row r="727" spans="2:12">
      <c r="B727" s="208"/>
      <c r="C727" s="204"/>
      <c r="D727" s="204"/>
      <c r="E727" s="204"/>
      <c r="F727" s="204"/>
      <c r="G727" s="204"/>
      <c r="H727" s="558" t="s">
        <v>1431</v>
      </c>
      <c r="I727" s="558"/>
      <c r="J727" s="558"/>
      <c r="K727" s="222">
        <f>TRUNC(SUMIF(C721:C723,H727,K721:K723),2)</f>
        <v>576.41999999999996</v>
      </c>
      <c r="L727" s="207"/>
    </row>
    <row r="728" spans="2:12">
      <c r="B728" s="213"/>
      <c r="C728" s="214"/>
      <c r="D728" s="214"/>
      <c r="E728" s="214"/>
      <c r="F728" s="214"/>
      <c r="G728" s="214"/>
      <c r="H728" s="559" t="s">
        <v>1224</v>
      </c>
      <c r="I728" s="559"/>
      <c r="J728" s="559"/>
      <c r="K728" s="223">
        <f>IF(K724&gt;K725,K724-K725,0)</f>
        <v>0</v>
      </c>
      <c r="L728" s="209"/>
    </row>
    <row r="730" spans="2:12">
      <c r="B730" s="247" t="s">
        <v>228</v>
      </c>
      <c r="C730" s="565" t="str">
        <f>VLOOKUP(B730,'BM 004'!$B$27:$R$590,2,0)</f>
        <v xml:space="preserve">Armação de pilar ou viga de uma estrutura convencional de concreto armado em um edifício de múltiplos pavimentos utilizando aço ca-50 de 25,0 mm - montagem. </v>
      </c>
      <c r="D730" s="565"/>
      <c r="E730" s="565"/>
      <c r="F730" s="565"/>
      <c r="G730" s="565"/>
      <c r="H730" s="565"/>
      <c r="I730" s="565"/>
      <c r="J730" s="565"/>
      <c r="K730" s="565"/>
      <c r="L730" s="565"/>
    </row>
    <row r="731" spans="2:12">
      <c r="B731" s="248" t="s">
        <v>1209</v>
      </c>
      <c r="C731" s="248"/>
      <c r="D731" s="248" t="s">
        <v>39</v>
      </c>
      <c r="E731" s="248" t="s">
        <v>1210</v>
      </c>
      <c r="F731" s="248" t="s">
        <v>1382</v>
      </c>
      <c r="G731" s="248" t="s">
        <v>1383</v>
      </c>
      <c r="H731" s="248" t="s">
        <v>1384</v>
      </c>
      <c r="I731" s="248" t="s">
        <v>1214</v>
      </c>
      <c r="J731" s="248" t="s">
        <v>1385</v>
      </c>
      <c r="K731" s="248" t="s">
        <v>1216</v>
      </c>
      <c r="L731" s="248" t="s">
        <v>1217</v>
      </c>
    </row>
    <row r="732" spans="2:12">
      <c r="B732" s="249" t="s">
        <v>1387</v>
      </c>
      <c r="C732" s="250" t="s">
        <v>1333</v>
      </c>
      <c r="D732" s="205" t="s">
        <v>152</v>
      </c>
      <c r="E732" s="251">
        <v>928</v>
      </c>
      <c r="F732" s="252">
        <v>3.8530000000000002</v>
      </c>
      <c r="G732" s="251">
        <v>1.1000000000000001</v>
      </c>
      <c r="H732" s="251">
        <v>0.55000000000000004</v>
      </c>
      <c r="I732" s="251"/>
      <c r="J732" s="253"/>
      <c r="K732" s="254">
        <f>IF(E732*F732*G732&lt;&gt;0,E732*F732*G732,IF(E732*F732&lt;&gt;0,E732*F732,IF(F732*G732&lt;&gt;0,F732*G732,IF(E732*G732&lt;&gt;0,E732*G732,IF(E732&lt;&gt;0,E732,IF(F732&lt;&gt;0,F732,IF(G732&lt;&gt;0,G732,0)))))))*(IF(H732&lt;&gt;0,H732,1))+I732-J732</f>
        <v>2163.2283200000006</v>
      </c>
      <c r="L732" s="255"/>
    </row>
    <row r="733" spans="2:12">
      <c r="B733" s="249" t="s">
        <v>1480</v>
      </c>
      <c r="C733" s="250" t="s">
        <v>1441</v>
      </c>
      <c r="D733" s="205" t="s">
        <v>152</v>
      </c>
      <c r="E733" s="251">
        <v>142</v>
      </c>
      <c r="F733" s="252">
        <f>F732</f>
        <v>3.8530000000000002</v>
      </c>
      <c r="G733" s="251">
        <f>G732</f>
        <v>1.1000000000000001</v>
      </c>
      <c r="H733" s="251">
        <v>0.5</v>
      </c>
      <c r="I733" s="251"/>
      <c r="J733" s="253"/>
      <c r="K733" s="254">
        <f>IF(E733*F733*G733&lt;&gt;0,E733*F733*G733,IF(E733*F733&lt;&gt;0,E733*F733,IF(F733*G733&lt;&gt;0,F733*G733,IF(E733*G733&lt;&gt;0,E733*G733,IF(E733&lt;&gt;0,E733,IF(F733&lt;&gt;0,F733,IF(G733&lt;&gt;0,G733,0)))))))*(IF(H733&lt;&gt;0,H733,1))+I733-J733</f>
        <v>300.91930000000002</v>
      </c>
      <c r="L733" s="205"/>
    </row>
    <row r="734" spans="2:12">
      <c r="B734" s="267"/>
      <c r="C734" s="205"/>
      <c r="D734" s="205"/>
      <c r="E734" s="251"/>
      <c r="F734" s="252"/>
      <c r="G734" s="251"/>
      <c r="H734" s="251"/>
      <c r="I734" s="251"/>
      <c r="J734" s="253"/>
      <c r="K734" s="254">
        <f>IF(E734*F734*G734&lt;&gt;0,E734*F734*G734,IF(E734*F734&lt;&gt;0,E734*F734,IF(F734*G734&lt;&gt;0,F734*G734,IF(E734*G734&lt;&gt;0,E734*G734,IF(E734&lt;&gt;0,E734,IF(F734&lt;&gt;0,F734,IF(G734&lt;&gt;0,G734,0)))))))*(IF(H734&lt;&gt;0,H734,1))+I734-J734</f>
        <v>0</v>
      </c>
      <c r="L734" s="205"/>
    </row>
    <row r="735" spans="2:12">
      <c r="B735" s="208"/>
      <c r="C735" s="204"/>
      <c r="D735" s="204"/>
      <c r="E735" s="204"/>
      <c r="F735" s="204"/>
      <c r="G735" s="204"/>
      <c r="H735" s="204"/>
      <c r="I735" s="556" t="s">
        <v>1221</v>
      </c>
      <c r="J735" s="556"/>
      <c r="K735" s="262">
        <f>SUM(K732:K734)</f>
        <v>2464.1476200000006</v>
      </c>
      <c r="L735" s="207"/>
    </row>
    <row r="736" spans="2:12">
      <c r="B736" s="208"/>
      <c r="C736" s="204"/>
      <c r="D736" s="204"/>
      <c r="E736" s="204"/>
      <c r="F736" s="204"/>
      <c r="G736" s="204"/>
      <c r="H736" s="209"/>
      <c r="I736" s="557" t="s">
        <v>1222</v>
      </c>
      <c r="J736" s="557"/>
      <c r="K736" s="221">
        <f>VLOOKUP(B730,'BM 004'!$B$27:$R$590,4,0)</f>
        <v>14626.7</v>
      </c>
      <c r="L736" s="207"/>
    </row>
    <row r="737" spans="2:12">
      <c r="B737" s="208"/>
      <c r="C737" s="204"/>
      <c r="D737" s="204"/>
      <c r="E737" s="204"/>
      <c r="F737" s="204"/>
      <c r="G737" s="204"/>
      <c r="H737" s="558" t="s">
        <v>1223</v>
      </c>
      <c r="I737" s="558"/>
      <c r="J737" s="558"/>
      <c r="K737" s="222">
        <v>2163.2283200000002</v>
      </c>
      <c r="L737" s="207"/>
    </row>
    <row r="738" spans="2:12">
      <c r="B738" s="208"/>
      <c r="C738" s="204"/>
      <c r="D738" s="204"/>
      <c r="E738" s="204"/>
      <c r="F738" s="204"/>
      <c r="G738" s="204"/>
      <c r="H738" s="558" t="s">
        <v>1431</v>
      </c>
      <c r="I738" s="558"/>
      <c r="J738" s="558"/>
      <c r="K738" s="222">
        <f>TRUNC(SUMIF(C732:C734,H738,K732:K734),2)</f>
        <v>300.91000000000003</v>
      </c>
      <c r="L738" s="207"/>
    </row>
    <row r="739" spans="2:12">
      <c r="B739" s="213"/>
      <c r="C739" s="214"/>
      <c r="D739" s="214"/>
      <c r="E739" s="214"/>
      <c r="F739" s="214"/>
      <c r="G739" s="214"/>
      <c r="H739" s="559" t="s">
        <v>1224</v>
      </c>
      <c r="I739" s="559"/>
      <c r="J739" s="559"/>
      <c r="K739" s="223">
        <f>IF(K735&gt;K736,K735-K736,0)</f>
        <v>0</v>
      </c>
      <c r="L739" s="209"/>
    </row>
    <row r="741" spans="2:12">
      <c r="B741" s="247" t="s">
        <v>233</v>
      </c>
      <c r="C741" s="565" t="str">
        <f>VLOOKUP(B741,'BM 004'!$B$27:$R$590,2,0)</f>
        <v xml:space="preserve">Concreto simples usinado fck=35mpa, bombeado, lançado e adensado em superestrutura </v>
      </c>
      <c r="D741" s="565"/>
      <c r="E741" s="565"/>
      <c r="F741" s="565"/>
      <c r="G741" s="565"/>
      <c r="H741" s="565"/>
      <c r="I741" s="565"/>
      <c r="J741" s="565"/>
      <c r="K741" s="565"/>
      <c r="L741" s="565"/>
    </row>
    <row r="742" spans="2:12">
      <c r="B742" s="248" t="s">
        <v>1209</v>
      </c>
      <c r="C742" s="248"/>
      <c r="D742" s="248" t="s">
        <v>39</v>
      </c>
      <c r="E742" s="248" t="s">
        <v>1210</v>
      </c>
      <c r="F742" s="248" t="s">
        <v>1388</v>
      </c>
      <c r="G742" s="248" t="s">
        <v>1212</v>
      </c>
      <c r="H742" s="248" t="s">
        <v>1213</v>
      </c>
      <c r="I742" s="248" t="s">
        <v>1214</v>
      </c>
      <c r="J742" s="248" t="s">
        <v>1385</v>
      </c>
      <c r="K742" s="248" t="s">
        <v>1216</v>
      </c>
      <c r="L742" s="248" t="s">
        <v>1217</v>
      </c>
    </row>
    <row r="743" spans="2:12">
      <c r="B743" s="249" t="s">
        <v>1389</v>
      </c>
      <c r="C743" s="250" t="s">
        <v>1333</v>
      </c>
      <c r="D743" s="205" t="s">
        <v>110</v>
      </c>
      <c r="E743" s="199">
        <v>0.5</v>
      </c>
      <c r="F743" s="199">
        <v>0.4</v>
      </c>
      <c r="G743" s="199">
        <v>5.12</v>
      </c>
      <c r="H743" s="199">
        <v>1</v>
      </c>
      <c r="I743" s="199"/>
      <c r="J743" s="253"/>
      <c r="K743" s="254">
        <f t="shared" ref="K743:K774" si="13">IF(E743*F743*G743&lt;&gt;0,E743*F743*G743,IF(E743*F743&lt;&gt;0,E743*F743,IF(F743*G743&lt;&gt;0,F743*G743,IF(E743*G743&lt;&gt;0,E743*G743,IF(E743&lt;&gt;0,E743,IF(F743&lt;&gt;0,F743,IF(G743&lt;&gt;0,G743,0)))))))*(IF(H743&lt;&gt;0,H743,1))+I743-J743</f>
        <v>1.024</v>
      </c>
      <c r="L743" s="255"/>
    </row>
    <row r="744" spans="2:12">
      <c r="B744" s="256" t="s">
        <v>1390</v>
      </c>
      <c r="C744" s="250" t="s">
        <v>1333</v>
      </c>
      <c r="D744" s="205" t="s">
        <v>110</v>
      </c>
      <c r="E744" s="261">
        <v>1</v>
      </c>
      <c r="F744" s="261">
        <v>0.2</v>
      </c>
      <c r="G744" s="261">
        <v>5.12</v>
      </c>
      <c r="H744" s="261">
        <v>1</v>
      </c>
      <c r="I744" s="261"/>
      <c r="J744" s="259"/>
      <c r="K744" s="260">
        <f t="shared" si="13"/>
        <v>1.024</v>
      </c>
      <c r="L744" s="210"/>
    </row>
    <row r="745" spans="2:12">
      <c r="B745" s="256" t="s">
        <v>1391</v>
      </c>
      <c r="C745" s="250" t="s">
        <v>1333</v>
      </c>
      <c r="D745" s="205" t="s">
        <v>110</v>
      </c>
      <c r="E745" s="261">
        <v>1</v>
      </c>
      <c r="F745" s="261">
        <v>0.2</v>
      </c>
      <c r="G745" s="261">
        <v>5.12</v>
      </c>
      <c r="H745" s="261">
        <v>1</v>
      </c>
      <c r="I745" s="261"/>
      <c r="J745" s="259"/>
      <c r="K745" s="260">
        <f t="shared" si="13"/>
        <v>1.024</v>
      </c>
      <c r="L745" s="210"/>
    </row>
    <row r="746" spans="2:12">
      <c r="B746" s="256" t="s">
        <v>1392</v>
      </c>
      <c r="C746" s="250" t="s">
        <v>1333</v>
      </c>
      <c r="D746" s="205" t="s">
        <v>110</v>
      </c>
      <c r="E746" s="261">
        <v>0.4</v>
      </c>
      <c r="F746" s="261">
        <v>0.4</v>
      </c>
      <c r="G746" s="261">
        <v>5.12</v>
      </c>
      <c r="H746" s="261">
        <v>1</v>
      </c>
      <c r="I746" s="261"/>
      <c r="J746" s="259"/>
      <c r="K746" s="260">
        <f t="shared" si="13"/>
        <v>0.81920000000000015</v>
      </c>
      <c r="L746" s="210"/>
    </row>
    <row r="747" spans="2:12">
      <c r="B747" s="256" t="s">
        <v>1393</v>
      </c>
      <c r="C747" s="250" t="s">
        <v>1333</v>
      </c>
      <c r="D747" s="205" t="s">
        <v>110</v>
      </c>
      <c r="E747" s="261">
        <v>0.3</v>
      </c>
      <c r="F747" s="261">
        <v>0.3</v>
      </c>
      <c r="G747" s="261">
        <v>5.12</v>
      </c>
      <c r="H747" s="261">
        <v>1</v>
      </c>
      <c r="I747" s="261"/>
      <c r="J747" s="259"/>
      <c r="K747" s="260">
        <f t="shared" si="13"/>
        <v>0.46079999999999999</v>
      </c>
      <c r="L747" s="210"/>
    </row>
    <row r="748" spans="2:12">
      <c r="B748" s="256" t="s">
        <v>1394</v>
      </c>
      <c r="C748" s="250" t="s">
        <v>1333</v>
      </c>
      <c r="D748" s="205" t="s">
        <v>110</v>
      </c>
      <c r="E748" s="261">
        <v>0.4</v>
      </c>
      <c r="F748" s="261">
        <v>0.4</v>
      </c>
      <c r="G748" s="261">
        <v>5.12</v>
      </c>
      <c r="H748" s="261">
        <v>1</v>
      </c>
      <c r="I748" s="261"/>
      <c r="J748" s="259"/>
      <c r="K748" s="260">
        <f t="shared" si="13"/>
        <v>0.81920000000000015</v>
      </c>
      <c r="L748" s="210"/>
    </row>
    <row r="749" spans="2:12">
      <c r="B749" s="256" t="s">
        <v>1395</v>
      </c>
      <c r="C749" s="250" t="s">
        <v>1333</v>
      </c>
      <c r="D749" s="205" t="s">
        <v>110</v>
      </c>
      <c r="E749" s="199">
        <v>0.5</v>
      </c>
      <c r="F749" s="199">
        <v>0.4</v>
      </c>
      <c r="G749" s="261">
        <v>5.12</v>
      </c>
      <c r="H749" s="261">
        <v>1</v>
      </c>
      <c r="I749" s="261"/>
      <c r="J749" s="259"/>
      <c r="K749" s="260">
        <f t="shared" si="13"/>
        <v>1.024</v>
      </c>
      <c r="L749" s="210"/>
    </row>
    <row r="750" spans="2:12">
      <c r="B750" s="256" t="s">
        <v>1396</v>
      </c>
      <c r="C750" s="250" t="s">
        <v>1333</v>
      </c>
      <c r="D750" s="205" t="s">
        <v>110</v>
      </c>
      <c r="E750" s="199">
        <v>0.5</v>
      </c>
      <c r="F750" s="199">
        <v>0.4</v>
      </c>
      <c r="G750" s="261">
        <v>5.12</v>
      </c>
      <c r="H750" s="261">
        <v>1</v>
      </c>
      <c r="I750" s="261"/>
      <c r="J750" s="259"/>
      <c r="K750" s="260">
        <f t="shared" si="13"/>
        <v>1.024</v>
      </c>
      <c r="L750" s="210"/>
    </row>
    <row r="751" spans="2:12">
      <c r="B751" s="256" t="s">
        <v>1397</v>
      </c>
      <c r="C751" s="250" t="s">
        <v>1333</v>
      </c>
      <c r="D751" s="205" t="s">
        <v>110</v>
      </c>
      <c r="E751" s="261">
        <v>1</v>
      </c>
      <c r="F751" s="261">
        <v>0.2</v>
      </c>
      <c r="G751" s="261">
        <v>5.12</v>
      </c>
      <c r="H751" s="261">
        <v>1</v>
      </c>
      <c r="I751" s="261"/>
      <c r="J751" s="259"/>
      <c r="K751" s="260">
        <f t="shared" si="13"/>
        <v>1.024</v>
      </c>
      <c r="L751" s="210"/>
    </row>
    <row r="752" spans="2:12">
      <c r="B752" s="256" t="s">
        <v>1398</v>
      </c>
      <c r="C752" s="250" t="s">
        <v>1333</v>
      </c>
      <c r="D752" s="205" t="s">
        <v>110</v>
      </c>
      <c r="E752" s="261">
        <v>0.3</v>
      </c>
      <c r="F752" s="261">
        <v>0.3</v>
      </c>
      <c r="G752" s="261">
        <v>5.12</v>
      </c>
      <c r="H752" s="261">
        <v>1</v>
      </c>
      <c r="I752" s="261"/>
      <c r="J752" s="259"/>
      <c r="K752" s="260">
        <f t="shared" si="13"/>
        <v>0.46079999999999999</v>
      </c>
      <c r="L752" s="210"/>
    </row>
    <row r="753" spans="2:12">
      <c r="B753" s="256" t="s">
        <v>1399</v>
      </c>
      <c r="C753" s="250" t="s">
        <v>1333</v>
      </c>
      <c r="D753" s="205" t="s">
        <v>110</v>
      </c>
      <c r="E753" s="261">
        <v>0.4</v>
      </c>
      <c r="F753" s="261">
        <v>0.4</v>
      </c>
      <c r="G753" s="261">
        <v>5.12</v>
      </c>
      <c r="H753" s="261">
        <v>1</v>
      </c>
      <c r="I753" s="261"/>
      <c r="J753" s="259"/>
      <c r="K753" s="260">
        <f t="shared" si="13"/>
        <v>0.81920000000000015</v>
      </c>
      <c r="L753" s="210"/>
    </row>
    <row r="754" spans="2:12">
      <c r="B754" s="256" t="s">
        <v>1400</v>
      </c>
      <c r="C754" s="250" t="s">
        <v>1333</v>
      </c>
      <c r="D754" s="205" t="s">
        <v>110</v>
      </c>
      <c r="E754" s="199">
        <v>0.5</v>
      </c>
      <c r="F754" s="199">
        <v>0.4</v>
      </c>
      <c r="G754" s="261">
        <v>5.12</v>
      </c>
      <c r="H754" s="261">
        <v>1</v>
      </c>
      <c r="I754" s="261"/>
      <c r="J754" s="259"/>
      <c r="K754" s="260">
        <f t="shared" si="13"/>
        <v>1.024</v>
      </c>
      <c r="L754" s="210"/>
    </row>
    <row r="755" spans="2:12">
      <c r="B755" s="256" t="s">
        <v>1401</v>
      </c>
      <c r="C755" s="250" t="s">
        <v>1333</v>
      </c>
      <c r="D755" s="205" t="s">
        <v>110</v>
      </c>
      <c r="E755" s="199">
        <v>0.5</v>
      </c>
      <c r="F755" s="199">
        <v>0.4</v>
      </c>
      <c r="G755" s="261">
        <v>5.12</v>
      </c>
      <c r="H755" s="261">
        <v>1</v>
      </c>
      <c r="I755" s="261"/>
      <c r="J755" s="259"/>
      <c r="K755" s="260">
        <f t="shared" si="13"/>
        <v>1.024</v>
      </c>
      <c r="L755" s="210"/>
    </row>
    <row r="756" spans="2:12">
      <c r="B756" s="256" t="s">
        <v>1402</v>
      </c>
      <c r="C756" s="250" t="s">
        <v>1333</v>
      </c>
      <c r="D756" s="205" t="s">
        <v>110</v>
      </c>
      <c r="E756" s="261">
        <v>1</v>
      </c>
      <c r="F756" s="261">
        <v>0.2</v>
      </c>
      <c r="G756" s="261">
        <v>5.12</v>
      </c>
      <c r="H756" s="261">
        <v>1</v>
      </c>
      <c r="I756" s="261"/>
      <c r="J756" s="259"/>
      <c r="K756" s="260">
        <f t="shared" si="13"/>
        <v>1.024</v>
      </c>
      <c r="L756" s="210"/>
    </row>
    <row r="757" spans="2:12">
      <c r="B757" s="256" t="s">
        <v>1403</v>
      </c>
      <c r="C757" s="250" t="s">
        <v>1333</v>
      </c>
      <c r="D757" s="205" t="s">
        <v>110</v>
      </c>
      <c r="E757" s="261">
        <v>0.3</v>
      </c>
      <c r="F757" s="261">
        <v>0.3</v>
      </c>
      <c r="G757" s="261">
        <v>5.12</v>
      </c>
      <c r="H757" s="261">
        <v>1</v>
      </c>
      <c r="I757" s="261"/>
      <c r="J757" s="259"/>
      <c r="K757" s="260">
        <f t="shared" si="13"/>
        <v>0.46079999999999999</v>
      </c>
      <c r="L757" s="210"/>
    </row>
    <row r="758" spans="2:12">
      <c r="B758" s="256" t="s">
        <v>1404</v>
      </c>
      <c r="C758" s="250" t="s">
        <v>1333</v>
      </c>
      <c r="D758" s="205" t="s">
        <v>110</v>
      </c>
      <c r="E758" s="261">
        <v>0.6</v>
      </c>
      <c r="F758" s="261">
        <v>0.2</v>
      </c>
      <c r="G758" s="261">
        <v>5.12</v>
      </c>
      <c r="H758" s="261">
        <v>1</v>
      </c>
      <c r="I758" s="261"/>
      <c r="J758" s="259"/>
      <c r="K758" s="260">
        <f t="shared" si="13"/>
        <v>0.61439999999999995</v>
      </c>
      <c r="L758" s="210"/>
    </row>
    <row r="759" spans="2:12">
      <c r="B759" s="256" t="s">
        <v>1405</v>
      </c>
      <c r="C759" s="250" t="s">
        <v>1333</v>
      </c>
      <c r="D759" s="205" t="s">
        <v>110</v>
      </c>
      <c r="E759" s="261">
        <v>0.6</v>
      </c>
      <c r="F759" s="261">
        <v>0.2</v>
      </c>
      <c r="G759" s="261">
        <v>5.12</v>
      </c>
      <c r="H759" s="261">
        <v>1</v>
      </c>
      <c r="I759" s="261"/>
      <c r="J759" s="259"/>
      <c r="K759" s="260">
        <f t="shared" si="13"/>
        <v>0.61439999999999995</v>
      </c>
      <c r="L759" s="210"/>
    </row>
    <row r="760" spans="2:12">
      <c r="B760" s="256" t="s">
        <v>1406</v>
      </c>
      <c r="C760" s="250" t="s">
        <v>1333</v>
      </c>
      <c r="D760" s="205" t="s">
        <v>110</v>
      </c>
      <c r="E760" s="261">
        <v>0.4</v>
      </c>
      <c r="F760" s="261">
        <v>0.4</v>
      </c>
      <c r="G760" s="261">
        <v>5.12</v>
      </c>
      <c r="H760" s="261">
        <v>1</v>
      </c>
      <c r="I760" s="261"/>
      <c r="J760" s="259"/>
      <c r="K760" s="260">
        <f t="shared" si="13"/>
        <v>0.81920000000000015</v>
      </c>
      <c r="L760" s="210"/>
    </row>
    <row r="761" spans="2:12">
      <c r="B761" s="256" t="s">
        <v>1407</v>
      </c>
      <c r="C761" s="250" t="s">
        <v>1333</v>
      </c>
      <c r="D761" s="205" t="s">
        <v>110</v>
      </c>
      <c r="E761" s="199">
        <v>0.5</v>
      </c>
      <c r="F761" s="199">
        <v>0.4</v>
      </c>
      <c r="G761" s="261">
        <v>5.12</v>
      </c>
      <c r="H761" s="261">
        <v>1</v>
      </c>
      <c r="I761" s="261"/>
      <c r="J761" s="259"/>
      <c r="K761" s="260">
        <f t="shared" si="13"/>
        <v>1.024</v>
      </c>
      <c r="L761" s="210"/>
    </row>
    <row r="762" spans="2:12">
      <c r="B762" s="256" t="s">
        <v>1408</v>
      </c>
      <c r="C762" s="250" t="s">
        <v>1333</v>
      </c>
      <c r="D762" s="205" t="s">
        <v>110</v>
      </c>
      <c r="E762" s="261">
        <v>0.5</v>
      </c>
      <c r="F762" s="261">
        <v>0.4</v>
      </c>
      <c r="G762" s="261">
        <v>5.12</v>
      </c>
      <c r="H762" s="261">
        <v>1</v>
      </c>
      <c r="I762" s="261"/>
      <c r="J762" s="259"/>
      <c r="K762" s="260">
        <f t="shared" si="13"/>
        <v>1.024</v>
      </c>
      <c r="L762" s="210"/>
    </row>
    <row r="763" spans="2:12">
      <c r="B763" s="256" t="s">
        <v>1409</v>
      </c>
      <c r="C763" s="250" t="s">
        <v>1333</v>
      </c>
      <c r="D763" s="205" t="s">
        <v>110</v>
      </c>
      <c r="E763" s="261">
        <v>1</v>
      </c>
      <c r="F763" s="261">
        <v>0.2</v>
      </c>
      <c r="G763" s="261">
        <v>5.12</v>
      </c>
      <c r="H763" s="261">
        <v>1</v>
      </c>
      <c r="I763" s="261"/>
      <c r="J763" s="259"/>
      <c r="K763" s="260">
        <f t="shared" si="13"/>
        <v>1.024</v>
      </c>
      <c r="L763" s="210"/>
    </row>
    <row r="764" spans="2:12">
      <c r="B764" s="256" t="s">
        <v>1410</v>
      </c>
      <c r="C764" s="250" t="s">
        <v>1333</v>
      </c>
      <c r="D764" s="205" t="s">
        <v>110</v>
      </c>
      <c r="E764" s="261">
        <v>0.45</v>
      </c>
      <c r="F764" s="261">
        <v>0.3</v>
      </c>
      <c r="G764" s="261">
        <v>5.12</v>
      </c>
      <c r="H764" s="261">
        <v>1</v>
      </c>
      <c r="I764" s="261"/>
      <c r="J764" s="259"/>
      <c r="K764" s="260">
        <f t="shared" si="13"/>
        <v>0.69120000000000004</v>
      </c>
      <c r="L764" s="210"/>
    </row>
    <row r="765" spans="2:12">
      <c r="B765" s="256" t="s">
        <v>1411</v>
      </c>
      <c r="C765" s="250" t="s">
        <v>1333</v>
      </c>
      <c r="D765" s="205" t="s">
        <v>110</v>
      </c>
      <c r="E765" s="261">
        <v>0.45</v>
      </c>
      <c r="F765" s="261">
        <v>0.3</v>
      </c>
      <c r="G765" s="261">
        <v>5.12</v>
      </c>
      <c r="H765" s="261">
        <v>1</v>
      </c>
      <c r="I765" s="261"/>
      <c r="J765" s="259"/>
      <c r="K765" s="260">
        <f t="shared" si="13"/>
        <v>0.69120000000000004</v>
      </c>
      <c r="L765" s="210"/>
    </row>
    <row r="766" spans="2:12">
      <c r="B766" s="256" t="s">
        <v>1412</v>
      </c>
      <c r="C766" s="250" t="s">
        <v>1333</v>
      </c>
      <c r="D766" s="205" t="s">
        <v>110</v>
      </c>
      <c r="E766" s="261">
        <v>0.55000000000000004</v>
      </c>
      <c r="F766" s="261">
        <v>0.3</v>
      </c>
      <c r="G766" s="261">
        <v>5.12</v>
      </c>
      <c r="H766" s="261">
        <v>1</v>
      </c>
      <c r="I766" s="261"/>
      <c r="J766" s="259"/>
      <c r="K766" s="260">
        <f t="shared" si="13"/>
        <v>0.84480000000000011</v>
      </c>
      <c r="L766" s="210"/>
    </row>
    <row r="767" spans="2:12">
      <c r="B767" s="256" t="s">
        <v>1413</v>
      </c>
      <c r="C767" s="250" t="s">
        <v>1333</v>
      </c>
      <c r="D767" s="205" t="s">
        <v>110</v>
      </c>
      <c r="E767" s="261">
        <v>0.55000000000000004</v>
      </c>
      <c r="F767" s="261">
        <v>0.3</v>
      </c>
      <c r="G767" s="261">
        <v>5.12</v>
      </c>
      <c r="H767" s="261">
        <v>1</v>
      </c>
      <c r="I767" s="261"/>
      <c r="J767" s="259"/>
      <c r="K767" s="260">
        <f t="shared" si="13"/>
        <v>0.84480000000000011</v>
      </c>
      <c r="L767" s="210"/>
    </row>
    <row r="768" spans="2:12">
      <c r="B768" s="256" t="s">
        <v>1414</v>
      </c>
      <c r="C768" s="250" t="s">
        <v>1333</v>
      </c>
      <c r="D768" s="205" t="s">
        <v>110</v>
      </c>
      <c r="E768" s="261">
        <v>0.55000000000000004</v>
      </c>
      <c r="F768" s="261">
        <v>0.3</v>
      </c>
      <c r="G768" s="261">
        <v>5.12</v>
      </c>
      <c r="H768" s="261">
        <v>1</v>
      </c>
      <c r="I768" s="261"/>
      <c r="J768" s="259"/>
      <c r="K768" s="260">
        <f t="shared" si="13"/>
        <v>0.84480000000000011</v>
      </c>
      <c r="L768" s="210"/>
    </row>
    <row r="769" spans="2:12">
      <c r="B769" s="256" t="s">
        <v>1415</v>
      </c>
      <c r="C769" s="250" t="s">
        <v>1333</v>
      </c>
      <c r="D769" s="205" t="s">
        <v>110</v>
      </c>
      <c r="E769" s="261">
        <v>0.55000000000000004</v>
      </c>
      <c r="F769" s="261">
        <v>0.3</v>
      </c>
      <c r="G769" s="261">
        <v>5.12</v>
      </c>
      <c r="H769" s="261">
        <v>1</v>
      </c>
      <c r="I769" s="261"/>
      <c r="J769" s="259"/>
      <c r="K769" s="260">
        <f t="shared" si="13"/>
        <v>0.84480000000000011</v>
      </c>
      <c r="L769" s="210"/>
    </row>
    <row r="770" spans="2:12">
      <c r="B770" s="256" t="s">
        <v>1416</v>
      </c>
      <c r="C770" s="250" t="s">
        <v>1333</v>
      </c>
      <c r="D770" s="205" t="s">
        <v>110</v>
      </c>
      <c r="E770" s="261">
        <v>0.45</v>
      </c>
      <c r="F770" s="261">
        <v>0.3</v>
      </c>
      <c r="G770" s="261">
        <v>5.12</v>
      </c>
      <c r="H770" s="261">
        <v>1</v>
      </c>
      <c r="I770" s="261"/>
      <c r="J770" s="259"/>
      <c r="K770" s="260">
        <f t="shared" si="13"/>
        <v>0.69120000000000004</v>
      </c>
      <c r="L770" s="210"/>
    </row>
    <row r="771" spans="2:12">
      <c r="B771" s="256" t="s">
        <v>1417</v>
      </c>
      <c r="C771" s="250" t="s">
        <v>1333</v>
      </c>
      <c r="D771" s="205" t="s">
        <v>110</v>
      </c>
      <c r="E771" s="261">
        <v>0.45</v>
      </c>
      <c r="F771" s="261">
        <v>0.3</v>
      </c>
      <c r="G771" s="261">
        <v>5.12</v>
      </c>
      <c r="H771" s="261">
        <v>1</v>
      </c>
      <c r="I771" s="261"/>
      <c r="J771" s="259"/>
      <c r="K771" s="260">
        <f t="shared" si="13"/>
        <v>0.69120000000000004</v>
      </c>
      <c r="L771" s="210"/>
    </row>
    <row r="772" spans="2:12">
      <c r="B772" s="256" t="s">
        <v>1418</v>
      </c>
      <c r="C772" s="250" t="s">
        <v>1333</v>
      </c>
      <c r="D772" s="205" t="s">
        <v>110</v>
      </c>
      <c r="E772" s="261">
        <v>0.8</v>
      </c>
      <c r="F772" s="261">
        <v>0.2</v>
      </c>
      <c r="G772" s="261">
        <v>5.12</v>
      </c>
      <c r="H772" s="261">
        <v>1</v>
      </c>
      <c r="I772" s="261"/>
      <c r="J772" s="259"/>
      <c r="K772" s="260">
        <f t="shared" si="13"/>
        <v>0.81920000000000015</v>
      </c>
      <c r="L772" s="210"/>
    </row>
    <row r="773" spans="2:12">
      <c r="B773" s="256" t="s">
        <v>1419</v>
      </c>
      <c r="C773" s="250" t="s">
        <v>1333</v>
      </c>
      <c r="D773" s="205" t="s">
        <v>110</v>
      </c>
      <c r="E773" s="261">
        <v>0.8</v>
      </c>
      <c r="F773" s="261">
        <v>0.2</v>
      </c>
      <c r="G773" s="261">
        <v>6.62</v>
      </c>
      <c r="H773" s="261">
        <v>1</v>
      </c>
      <c r="I773" s="261"/>
      <c r="J773" s="259"/>
      <c r="K773" s="260">
        <f t="shared" si="13"/>
        <v>1.0592000000000001</v>
      </c>
      <c r="L773" s="210"/>
    </row>
    <row r="774" spans="2:12">
      <c r="B774" s="256" t="s">
        <v>1420</v>
      </c>
      <c r="C774" s="250" t="s">
        <v>1333</v>
      </c>
      <c r="D774" s="205" t="s">
        <v>110</v>
      </c>
      <c r="E774" s="261">
        <v>0.8</v>
      </c>
      <c r="F774" s="261">
        <v>0.3</v>
      </c>
      <c r="G774" s="261">
        <v>6.62</v>
      </c>
      <c r="H774" s="261">
        <v>1</v>
      </c>
      <c r="I774" s="261"/>
      <c r="J774" s="259"/>
      <c r="K774" s="260">
        <f t="shared" si="13"/>
        <v>1.5888</v>
      </c>
      <c r="L774" s="210"/>
    </row>
    <row r="775" spans="2:12">
      <c r="B775" s="256" t="s">
        <v>1421</v>
      </c>
      <c r="C775" s="250" t="s">
        <v>1333</v>
      </c>
      <c r="D775" s="205" t="s">
        <v>110</v>
      </c>
      <c r="E775" s="261">
        <v>0.8</v>
      </c>
      <c r="F775" s="261">
        <v>0.2</v>
      </c>
      <c r="G775" s="261">
        <v>6.62</v>
      </c>
      <c r="H775" s="261">
        <v>1</v>
      </c>
      <c r="I775" s="261"/>
      <c r="J775" s="259"/>
      <c r="K775" s="260">
        <f t="shared" ref="K775:K797" si="14">IF(E775*F775*G775&lt;&gt;0,E775*F775*G775,IF(E775*F775&lt;&gt;0,E775*F775,IF(F775*G775&lt;&gt;0,F775*G775,IF(E775*G775&lt;&gt;0,E775*G775,IF(E775&lt;&gt;0,E775,IF(F775&lt;&gt;0,F775,IF(G775&lt;&gt;0,G775,0)))))))*(IF(H775&lt;&gt;0,H775,1))+I775-J775</f>
        <v>1.0592000000000001</v>
      </c>
      <c r="L775" s="210"/>
    </row>
    <row r="776" spans="2:12">
      <c r="B776" s="256" t="s">
        <v>1422</v>
      </c>
      <c r="C776" s="250" t="s">
        <v>1333</v>
      </c>
      <c r="D776" s="205" t="s">
        <v>110</v>
      </c>
      <c r="E776" s="261">
        <v>0.8</v>
      </c>
      <c r="F776" s="261">
        <v>0.3</v>
      </c>
      <c r="G776" s="261">
        <v>6.62</v>
      </c>
      <c r="H776" s="261">
        <v>1</v>
      </c>
      <c r="I776" s="261"/>
      <c r="J776" s="259"/>
      <c r="K776" s="260">
        <f t="shared" si="14"/>
        <v>1.5888</v>
      </c>
      <c r="L776" s="210"/>
    </row>
    <row r="777" spans="2:12">
      <c r="B777" s="256" t="s">
        <v>1423</v>
      </c>
      <c r="C777" s="250" t="s">
        <v>1333</v>
      </c>
      <c r="D777" s="205" t="s">
        <v>110</v>
      </c>
      <c r="E777" s="261">
        <v>0.7</v>
      </c>
      <c r="F777" s="261">
        <v>0.4</v>
      </c>
      <c r="G777" s="261">
        <v>5.12</v>
      </c>
      <c r="H777" s="261">
        <v>1</v>
      </c>
      <c r="I777" s="261"/>
      <c r="J777" s="259"/>
      <c r="K777" s="260">
        <f t="shared" si="14"/>
        <v>1.4336</v>
      </c>
      <c r="L777" s="210"/>
    </row>
    <row r="778" spans="2:12">
      <c r="B778" s="256" t="s">
        <v>1424</v>
      </c>
      <c r="C778" s="250" t="s">
        <v>1333</v>
      </c>
      <c r="D778" s="205" t="s">
        <v>110</v>
      </c>
      <c r="E778" s="261">
        <v>0.7</v>
      </c>
      <c r="F778" s="261">
        <v>0.5</v>
      </c>
      <c r="G778" s="261">
        <v>5.12</v>
      </c>
      <c r="H778" s="261">
        <v>1</v>
      </c>
      <c r="I778" s="261"/>
      <c r="J778" s="259"/>
      <c r="K778" s="260">
        <f t="shared" si="14"/>
        <v>1.7919999999999998</v>
      </c>
      <c r="L778" s="210"/>
    </row>
    <row r="779" spans="2:12">
      <c r="B779" s="256" t="s">
        <v>1425</v>
      </c>
      <c r="C779" s="250" t="s">
        <v>1333</v>
      </c>
      <c r="D779" s="205" t="s">
        <v>110</v>
      </c>
      <c r="E779" s="261">
        <v>0.7</v>
      </c>
      <c r="F779" s="261">
        <v>0.5</v>
      </c>
      <c r="G779" s="261">
        <v>5.12</v>
      </c>
      <c r="H779" s="261">
        <v>1</v>
      </c>
      <c r="I779" s="261"/>
      <c r="J779" s="259"/>
      <c r="K779" s="260">
        <f t="shared" si="14"/>
        <v>1.7919999999999998</v>
      </c>
      <c r="L779" s="210"/>
    </row>
    <row r="780" spans="2:12">
      <c r="B780" s="256" t="s">
        <v>1426</v>
      </c>
      <c r="C780" s="250" t="s">
        <v>1333</v>
      </c>
      <c r="D780" s="205" t="s">
        <v>110</v>
      </c>
      <c r="E780" s="261">
        <v>0.5</v>
      </c>
      <c r="F780" s="261">
        <v>0.4</v>
      </c>
      <c r="G780" s="261">
        <v>5.12</v>
      </c>
      <c r="H780" s="261">
        <v>1</v>
      </c>
      <c r="I780" s="261"/>
      <c r="J780" s="259"/>
      <c r="K780" s="260">
        <f t="shared" si="14"/>
        <v>1.024</v>
      </c>
      <c r="L780" s="210"/>
    </row>
    <row r="781" spans="2:12">
      <c r="B781" s="256" t="s">
        <v>1481</v>
      </c>
      <c r="C781" s="250" t="s">
        <v>1441</v>
      </c>
      <c r="D781" s="205" t="s">
        <v>110</v>
      </c>
      <c r="E781" s="261">
        <v>0.25</v>
      </c>
      <c r="F781" s="261">
        <v>0.4</v>
      </c>
      <c r="G781" s="261">
        <v>5.12</v>
      </c>
      <c r="H781" s="261">
        <v>1</v>
      </c>
      <c r="I781" s="261"/>
      <c r="J781" s="259"/>
      <c r="K781" s="260">
        <f t="shared" si="14"/>
        <v>0.51200000000000001</v>
      </c>
      <c r="L781" s="210"/>
    </row>
    <row r="782" spans="2:12">
      <c r="B782" s="256" t="s">
        <v>1482</v>
      </c>
      <c r="C782" s="250" t="s">
        <v>1441</v>
      </c>
      <c r="D782" s="205" t="s">
        <v>110</v>
      </c>
      <c r="E782" s="261">
        <v>0.3</v>
      </c>
      <c r="F782" s="261">
        <v>0.3</v>
      </c>
      <c r="G782" s="261">
        <v>5.12</v>
      </c>
      <c r="H782" s="261">
        <v>1</v>
      </c>
      <c r="I782" s="261"/>
      <c r="J782" s="259"/>
      <c r="K782" s="260">
        <f t="shared" si="14"/>
        <v>0.46079999999999999</v>
      </c>
      <c r="L782" s="210"/>
    </row>
    <row r="783" spans="2:12">
      <c r="B783" s="256" t="s">
        <v>1483</v>
      </c>
      <c r="C783" s="250" t="s">
        <v>1441</v>
      </c>
      <c r="D783" s="205" t="s">
        <v>110</v>
      </c>
      <c r="E783" s="261">
        <v>0.3</v>
      </c>
      <c r="F783" s="261">
        <v>0.3</v>
      </c>
      <c r="G783" s="261">
        <v>5.12</v>
      </c>
      <c r="H783" s="261">
        <v>1</v>
      </c>
      <c r="I783" s="261"/>
      <c r="J783" s="259"/>
      <c r="K783" s="260">
        <f t="shared" si="14"/>
        <v>0.46079999999999999</v>
      </c>
      <c r="L783" s="210"/>
    </row>
    <row r="784" spans="2:12">
      <c r="B784" s="256" t="s">
        <v>1484</v>
      </c>
      <c r="C784" s="250" t="s">
        <v>1441</v>
      </c>
      <c r="D784" s="205" t="s">
        <v>110</v>
      </c>
      <c r="E784" s="261">
        <v>0.4</v>
      </c>
      <c r="F784" s="261">
        <v>0.4</v>
      </c>
      <c r="G784" s="261">
        <v>5.12</v>
      </c>
      <c r="H784" s="261">
        <v>1</v>
      </c>
      <c r="I784" s="261"/>
      <c r="J784" s="259"/>
      <c r="K784" s="260">
        <f t="shared" si="14"/>
        <v>0.81920000000000015</v>
      </c>
      <c r="L784" s="210"/>
    </row>
    <row r="785" spans="2:12">
      <c r="B785" s="256" t="s">
        <v>1485</v>
      </c>
      <c r="C785" s="250" t="s">
        <v>1441</v>
      </c>
      <c r="D785" s="205" t="s">
        <v>110</v>
      </c>
      <c r="E785" s="261">
        <v>0.4</v>
      </c>
      <c r="F785" s="261">
        <v>0.6</v>
      </c>
      <c r="G785" s="261">
        <v>5.12</v>
      </c>
      <c r="H785" s="261">
        <v>1</v>
      </c>
      <c r="I785" s="261"/>
      <c r="J785" s="259"/>
      <c r="K785" s="260">
        <f t="shared" si="14"/>
        <v>1.2287999999999999</v>
      </c>
      <c r="L785" s="210"/>
    </row>
    <row r="786" spans="2:12">
      <c r="B786" s="256" t="s">
        <v>1486</v>
      </c>
      <c r="C786" s="250" t="s">
        <v>1441</v>
      </c>
      <c r="D786" s="205" t="s">
        <v>110</v>
      </c>
      <c r="E786" s="261">
        <v>0.2</v>
      </c>
      <c r="F786" s="261">
        <v>2.94</v>
      </c>
      <c r="G786" s="261">
        <f>5.12+2</f>
        <v>7.12</v>
      </c>
      <c r="H786" s="261">
        <v>1</v>
      </c>
      <c r="I786" s="261"/>
      <c r="J786" s="259"/>
      <c r="K786" s="260">
        <f t="shared" si="14"/>
        <v>4.1865600000000001</v>
      </c>
      <c r="L786" s="210"/>
    </row>
    <row r="787" spans="2:12">
      <c r="B787" s="256" t="s">
        <v>1487</v>
      </c>
      <c r="C787" s="250" t="s">
        <v>1441</v>
      </c>
      <c r="D787" s="205" t="s">
        <v>110</v>
      </c>
      <c r="E787" s="261">
        <v>0.2</v>
      </c>
      <c r="F787" s="261">
        <v>2.94</v>
      </c>
      <c r="G787" s="261">
        <f>5.12+2</f>
        <v>7.12</v>
      </c>
      <c r="H787" s="261">
        <v>1</v>
      </c>
      <c r="I787" s="261"/>
      <c r="J787" s="259"/>
      <c r="K787" s="260">
        <f t="shared" si="14"/>
        <v>4.1865600000000001</v>
      </c>
      <c r="L787" s="210"/>
    </row>
    <row r="788" spans="2:12">
      <c r="B788" s="256" t="s">
        <v>1488</v>
      </c>
      <c r="C788" s="250" t="s">
        <v>1441</v>
      </c>
      <c r="D788" s="205" t="s">
        <v>110</v>
      </c>
      <c r="E788" s="261">
        <v>0.6</v>
      </c>
      <c r="F788" s="261">
        <v>0.5</v>
      </c>
      <c r="G788" s="261">
        <v>5.12</v>
      </c>
      <c r="H788" s="261">
        <v>1</v>
      </c>
      <c r="I788" s="261"/>
      <c r="J788" s="259"/>
      <c r="K788" s="260">
        <f t="shared" si="14"/>
        <v>1.536</v>
      </c>
      <c r="L788" s="210"/>
    </row>
    <row r="789" spans="2:12">
      <c r="B789" s="256" t="s">
        <v>1489</v>
      </c>
      <c r="C789" s="250" t="s">
        <v>1441</v>
      </c>
      <c r="D789" s="205" t="s">
        <v>110</v>
      </c>
      <c r="E789" s="261">
        <v>0.4</v>
      </c>
      <c r="F789" s="261">
        <v>0.4</v>
      </c>
      <c r="G789" s="261">
        <v>5.12</v>
      </c>
      <c r="H789" s="261">
        <v>1</v>
      </c>
      <c r="I789" s="261"/>
      <c r="J789" s="259"/>
      <c r="K789" s="260">
        <f t="shared" si="14"/>
        <v>0.81920000000000015</v>
      </c>
      <c r="L789" s="210"/>
    </row>
    <row r="790" spans="2:12">
      <c r="B790" s="256" t="s">
        <v>1490</v>
      </c>
      <c r="C790" s="250" t="s">
        <v>1441</v>
      </c>
      <c r="D790" s="205" t="s">
        <v>110</v>
      </c>
      <c r="E790" s="261">
        <v>0.2</v>
      </c>
      <c r="F790" s="261">
        <v>0.8</v>
      </c>
      <c r="G790" s="261">
        <v>5.12</v>
      </c>
      <c r="H790" s="261">
        <v>1</v>
      </c>
      <c r="I790" s="261"/>
      <c r="J790" s="259"/>
      <c r="K790" s="260">
        <f t="shared" si="14"/>
        <v>0.81920000000000015</v>
      </c>
      <c r="L790" s="210"/>
    </row>
    <row r="791" spans="2:12">
      <c r="B791" s="256" t="s">
        <v>1491</v>
      </c>
      <c r="C791" s="250" t="s">
        <v>1441</v>
      </c>
      <c r="D791" s="205" t="s">
        <v>110</v>
      </c>
      <c r="E791" s="261">
        <v>0.3</v>
      </c>
      <c r="F791" s="261">
        <v>0.3</v>
      </c>
      <c r="G791" s="261">
        <v>5.12</v>
      </c>
      <c r="H791" s="261">
        <v>1</v>
      </c>
      <c r="I791" s="261"/>
      <c r="J791" s="259"/>
      <c r="K791" s="260">
        <f t="shared" si="14"/>
        <v>0.46079999999999999</v>
      </c>
      <c r="L791" s="210"/>
    </row>
    <row r="792" spans="2:12">
      <c r="B792" s="256" t="s">
        <v>1492</v>
      </c>
      <c r="C792" s="250" t="s">
        <v>1441</v>
      </c>
      <c r="D792" s="205" t="s">
        <v>110</v>
      </c>
      <c r="E792" s="261">
        <v>0.3</v>
      </c>
      <c r="F792" s="261">
        <v>0.3</v>
      </c>
      <c r="G792" s="261">
        <v>5.12</v>
      </c>
      <c r="H792" s="261">
        <v>1</v>
      </c>
      <c r="I792" s="261"/>
      <c r="J792" s="259"/>
      <c r="K792" s="260">
        <f t="shared" si="14"/>
        <v>0.46079999999999999</v>
      </c>
      <c r="L792" s="210"/>
    </row>
    <row r="793" spans="2:12">
      <c r="B793" s="256" t="s">
        <v>1493</v>
      </c>
      <c r="C793" s="250" t="s">
        <v>1441</v>
      </c>
      <c r="D793" s="205" t="s">
        <v>110</v>
      </c>
      <c r="E793" s="261">
        <v>0.4</v>
      </c>
      <c r="F793" s="261">
        <v>0.4</v>
      </c>
      <c r="G793" s="261">
        <v>5.12</v>
      </c>
      <c r="H793" s="261">
        <v>1</v>
      </c>
      <c r="I793" s="261"/>
      <c r="J793" s="259"/>
      <c r="K793" s="260">
        <f t="shared" si="14"/>
        <v>0.81920000000000015</v>
      </c>
      <c r="L793" s="210"/>
    </row>
    <row r="794" spans="2:12">
      <c r="B794" s="256" t="s">
        <v>1494</v>
      </c>
      <c r="C794" s="250" t="s">
        <v>1441</v>
      </c>
      <c r="D794" s="205" t="s">
        <v>110</v>
      </c>
      <c r="E794" s="261">
        <v>0.4</v>
      </c>
      <c r="F794" s="261">
        <v>0.4</v>
      </c>
      <c r="G794" s="261">
        <v>5.12</v>
      </c>
      <c r="H794" s="261">
        <v>1</v>
      </c>
      <c r="I794" s="261"/>
      <c r="J794" s="259"/>
      <c r="K794" s="260">
        <f t="shared" si="14"/>
        <v>0.81920000000000015</v>
      </c>
      <c r="L794" s="210"/>
    </row>
    <row r="795" spans="2:12">
      <c r="B795" s="256" t="s">
        <v>1495</v>
      </c>
      <c r="C795" s="250" t="s">
        <v>1441</v>
      </c>
      <c r="D795" s="205" t="s">
        <v>110</v>
      </c>
      <c r="E795" s="261">
        <v>0.4</v>
      </c>
      <c r="F795" s="261">
        <v>0.4</v>
      </c>
      <c r="G795" s="261">
        <v>5.12</v>
      </c>
      <c r="H795" s="261">
        <v>1</v>
      </c>
      <c r="I795" s="261"/>
      <c r="J795" s="259"/>
      <c r="K795" s="260">
        <f t="shared" si="14"/>
        <v>0.81920000000000015</v>
      </c>
      <c r="L795" s="210"/>
    </row>
    <row r="796" spans="2:12">
      <c r="B796" s="256"/>
      <c r="C796" s="250" t="s">
        <v>1441</v>
      </c>
      <c r="D796" s="205" t="s">
        <v>110</v>
      </c>
      <c r="E796" s="261"/>
      <c r="F796" s="261"/>
      <c r="G796" s="261"/>
      <c r="H796" s="261"/>
      <c r="I796" s="261"/>
      <c r="J796" s="259"/>
      <c r="K796" s="260">
        <f t="shared" si="14"/>
        <v>0</v>
      </c>
      <c r="L796" s="210"/>
    </row>
    <row r="797" spans="2:12">
      <c r="B797" s="256"/>
      <c r="C797" s="210"/>
      <c r="D797" s="210"/>
      <c r="E797" s="261"/>
      <c r="F797" s="261"/>
      <c r="G797" s="261"/>
      <c r="H797" s="261"/>
      <c r="I797" s="261"/>
      <c r="J797" s="259"/>
      <c r="K797" s="260">
        <f t="shared" si="14"/>
        <v>0</v>
      </c>
      <c r="L797" s="210"/>
    </row>
    <row r="798" spans="2:12">
      <c r="B798" s="202"/>
      <c r="C798" s="203"/>
      <c r="D798" s="203"/>
      <c r="E798" s="203"/>
      <c r="F798" s="203"/>
      <c r="G798" s="203"/>
      <c r="H798" s="204"/>
      <c r="I798" s="556" t="s">
        <v>1221</v>
      </c>
      <c r="J798" s="556"/>
      <c r="K798" s="220">
        <f>SUM(K743:K797)</f>
        <v>54.885120000000008</v>
      </c>
      <c r="L798" s="207"/>
    </row>
    <row r="799" spans="2:12">
      <c r="B799" s="208"/>
      <c r="C799" s="204"/>
      <c r="D799" s="204"/>
      <c r="E799" s="204"/>
      <c r="F799" s="204"/>
      <c r="G799" s="204"/>
      <c r="H799" s="209"/>
      <c r="I799" s="557" t="s">
        <v>1222</v>
      </c>
      <c r="J799" s="557"/>
      <c r="K799" s="221">
        <f>VLOOKUP(B741,'BM 004'!$B$27:$R$590,4,0)</f>
        <v>226.93</v>
      </c>
      <c r="L799" s="207"/>
    </row>
    <row r="800" spans="2:12">
      <c r="B800" s="208"/>
      <c r="C800" s="204"/>
      <c r="D800" s="204"/>
      <c r="E800" s="204"/>
      <c r="F800" s="204"/>
      <c r="G800" s="204"/>
      <c r="H800" s="558" t="s">
        <v>1223</v>
      </c>
      <c r="I800" s="558"/>
      <c r="J800" s="558"/>
      <c r="K800" s="222">
        <v>36.476799999999997</v>
      </c>
      <c r="L800" s="207"/>
    </row>
    <row r="801" spans="2:12">
      <c r="B801" s="208"/>
      <c r="C801" s="204"/>
      <c r="D801" s="204"/>
      <c r="E801" s="204"/>
      <c r="F801" s="204"/>
      <c r="G801" s="204"/>
      <c r="H801" s="558" t="s">
        <v>1431</v>
      </c>
      <c r="I801" s="558"/>
      <c r="J801" s="558"/>
      <c r="K801" s="222">
        <f>TRUNC(SUMIF(C743:C797,H801,K743:K797),2)</f>
        <v>18.399999999999999</v>
      </c>
      <c r="L801" s="207"/>
    </row>
    <row r="802" spans="2:12">
      <c r="B802" s="213"/>
      <c r="C802" s="214"/>
      <c r="D802" s="214"/>
      <c r="E802" s="214"/>
      <c r="F802" s="214"/>
      <c r="G802" s="214"/>
      <c r="H802" s="559" t="s">
        <v>1224</v>
      </c>
      <c r="I802" s="559"/>
      <c r="J802" s="559"/>
      <c r="K802" s="223">
        <f>IF(K798&gt;K799,K798-K799,0)</f>
        <v>0</v>
      </c>
      <c r="L802" s="209"/>
    </row>
    <row r="804" spans="2:12">
      <c r="B804" s="247" t="s">
        <v>236</v>
      </c>
      <c r="C804" s="565" t="str">
        <f>VLOOKUP(B804,'BM 004'!$B$27:$R$590,2,0)</f>
        <v xml:space="preserve">FABRICAÇÃO, MONTAGEM E DESMONTAGEM DE FÔRMA DE LAJE MACIÇA, PÉ-DIREITO DUPLO, EM CHAPA DE MADEIRA COMPENSADA RESINADA, INCLUSIVE ESCORAMENTO h=3,00 à 4,50 m, 6 UTILIZAÇÕES. </v>
      </c>
      <c r="D804" s="565"/>
      <c r="E804" s="565"/>
      <c r="F804" s="565"/>
      <c r="G804" s="565"/>
      <c r="H804" s="565"/>
      <c r="I804" s="565"/>
      <c r="J804" s="565"/>
      <c r="K804" s="565"/>
      <c r="L804" s="565"/>
    </row>
    <row r="805" spans="2:12">
      <c r="B805" s="248" t="s">
        <v>1209</v>
      </c>
      <c r="C805" s="248"/>
      <c r="D805" s="248" t="s">
        <v>39</v>
      </c>
      <c r="E805" s="248" t="s">
        <v>1210</v>
      </c>
      <c r="F805" s="248" t="s">
        <v>1388</v>
      </c>
      <c r="G805" s="248" t="s">
        <v>1212</v>
      </c>
      <c r="H805" s="248" t="s">
        <v>1213</v>
      </c>
      <c r="I805" s="248" t="s">
        <v>1214</v>
      </c>
      <c r="J805" s="248" t="s">
        <v>1385</v>
      </c>
      <c r="K805" s="248" t="s">
        <v>1216</v>
      </c>
      <c r="L805" s="248" t="s">
        <v>1217</v>
      </c>
    </row>
    <row r="806" spans="2:12">
      <c r="B806" s="249" t="s">
        <v>1496</v>
      </c>
      <c r="C806" s="250" t="s">
        <v>1441</v>
      </c>
      <c r="D806" s="205" t="s">
        <v>79</v>
      </c>
      <c r="E806" s="251">
        <v>5.85</v>
      </c>
      <c r="F806" s="252">
        <v>0.49</v>
      </c>
      <c r="G806" s="251"/>
      <c r="H806" s="251"/>
      <c r="I806" s="251"/>
      <c r="J806" s="253"/>
      <c r="K806" s="254">
        <f t="shared" ref="K806:K811" si="15">IF(E806*F806*G806&lt;&gt;0,E806*F806*G806,IF(E806*F806&lt;&gt;0,E806*F806,IF(F806*G806&lt;&gt;0,F806*G806,IF(E806*G806&lt;&gt;0,E806*G806,IF(E806&lt;&gt;0,E806,IF(F806&lt;&gt;0,F806,IF(G806&lt;&gt;0,G806,0)))))))*(IF(H806&lt;&gt;0,H806,1))+I806-J806</f>
        <v>2.8664999999999998</v>
      </c>
      <c r="L806" s="255"/>
    </row>
    <row r="807" spans="2:12">
      <c r="B807" s="256" t="s">
        <v>1497</v>
      </c>
      <c r="C807" s="250" t="s">
        <v>1441</v>
      </c>
      <c r="D807" s="205" t="s">
        <v>79</v>
      </c>
      <c r="E807" s="257">
        <v>3.83</v>
      </c>
      <c r="F807" s="258">
        <v>0.49</v>
      </c>
      <c r="G807" s="257"/>
      <c r="H807" s="257"/>
      <c r="I807" s="257"/>
      <c r="J807" s="259"/>
      <c r="K807" s="260">
        <f t="shared" si="15"/>
        <v>1.8767</v>
      </c>
      <c r="L807" s="210"/>
    </row>
    <row r="808" spans="2:12">
      <c r="B808" s="256" t="s">
        <v>1498</v>
      </c>
      <c r="C808" s="250" t="s">
        <v>1441</v>
      </c>
      <c r="D808" s="205" t="s">
        <v>79</v>
      </c>
      <c r="E808" s="257">
        <v>5.93</v>
      </c>
      <c r="F808" s="258">
        <v>1.92</v>
      </c>
      <c r="G808" s="257"/>
      <c r="H808" s="257"/>
      <c r="I808" s="257"/>
      <c r="J808" s="259"/>
      <c r="K808" s="260">
        <f t="shared" si="15"/>
        <v>11.385599999999998</v>
      </c>
      <c r="L808" s="210"/>
    </row>
    <row r="809" spans="2:12">
      <c r="B809" s="256" t="s">
        <v>1499</v>
      </c>
      <c r="C809" s="250" t="s">
        <v>1441</v>
      </c>
      <c r="D809" s="205" t="s">
        <v>79</v>
      </c>
      <c r="E809" s="257">
        <v>7.62</v>
      </c>
      <c r="F809" s="258">
        <v>1.92</v>
      </c>
      <c r="G809" s="257"/>
      <c r="H809" s="257"/>
      <c r="I809" s="257"/>
      <c r="J809" s="259"/>
      <c r="K809" s="260">
        <f t="shared" si="15"/>
        <v>14.6304</v>
      </c>
      <c r="L809" s="210"/>
    </row>
    <row r="810" spans="2:12">
      <c r="B810" s="256" t="s">
        <v>1500</v>
      </c>
      <c r="C810" s="250" t="s">
        <v>1441</v>
      </c>
      <c r="D810" s="205" t="s">
        <v>79</v>
      </c>
      <c r="E810" s="257">
        <v>4.42</v>
      </c>
      <c r="F810" s="258">
        <v>2.74</v>
      </c>
      <c r="G810" s="257"/>
      <c r="H810" s="257"/>
      <c r="I810" s="257"/>
      <c r="J810" s="259"/>
      <c r="K810" s="260">
        <f t="shared" si="15"/>
        <v>12.110800000000001</v>
      </c>
      <c r="L810" s="210"/>
    </row>
    <row r="811" spans="2:12">
      <c r="B811" s="256"/>
      <c r="C811" s="210"/>
      <c r="D811" s="210"/>
      <c r="E811" s="257"/>
      <c r="F811" s="258"/>
      <c r="G811" s="257"/>
      <c r="H811" s="257"/>
      <c r="I811" s="257"/>
      <c r="J811" s="259"/>
      <c r="K811" s="260">
        <f t="shared" si="15"/>
        <v>0</v>
      </c>
      <c r="L811" s="210"/>
    </row>
    <row r="812" spans="2:12">
      <c r="B812" s="202"/>
      <c r="C812" s="203"/>
      <c r="D812" s="203"/>
      <c r="E812" s="203"/>
      <c r="F812" s="203"/>
      <c r="G812" s="203"/>
      <c r="H812" s="204"/>
      <c r="I812" s="556" t="s">
        <v>1221</v>
      </c>
      <c r="J812" s="556"/>
      <c r="K812" s="220">
        <f>SUM(K806:K811)</f>
        <v>42.870000000000005</v>
      </c>
      <c r="L812" s="207"/>
    </row>
    <row r="813" spans="2:12">
      <c r="B813" s="208"/>
      <c r="C813" s="204"/>
      <c r="D813" s="204"/>
      <c r="E813" s="204"/>
      <c r="F813" s="204"/>
      <c r="G813" s="204"/>
      <c r="H813" s="209"/>
      <c r="I813" s="557" t="s">
        <v>1222</v>
      </c>
      <c r="J813" s="557"/>
      <c r="K813" s="221">
        <f>VLOOKUP(B804,'BM 004'!$B$27:$R$590,4,0)</f>
        <v>770.47</v>
      </c>
      <c r="L813" s="207"/>
    </row>
    <row r="814" spans="2:12">
      <c r="B814" s="208"/>
      <c r="C814" s="204"/>
      <c r="D814" s="204"/>
      <c r="E814" s="204"/>
      <c r="F814" s="204"/>
      <c r="G814" s="204"/>
      <c r="H814" s="558" t="s">
        <v>1223</v>
      </c>
      <c r="I814" s="558"/>
      <c r="J814" s="558"/>
      <c r="K814" s="222"/>
      <c r="L814" s="207"/>
    </row>
    <row r="815" spans="2:12">
      <c r="B815" s="208"/>
      <c r="C815" s="204"/>
      <c r="D815" s="204"/>
      <c r="E815" s="204"/>
      <c r="F815" s="204"/>
      <c r="G815" s="204"/>
      <c r="H815" s="558" t="s">
        <v>1431</v>
      </c>
      <c r="I815" s="558"/>
      <c r="J815" s="558"/>
      <c r="K815" s="222">
        <f>TRUNC(SUMIF(C806:C811,H815,K806:K811),2)</f>
        <v>42.87</v>
      </c>
      <c r="L815" s="207"/>
    </row>
    <row r="816" spans="2:12">
      <c r="B816" s="213"/>
      <c r="C816" s="214"/>
      <c r="D816" s="214"/>
      <c r="E816" s="214"/>
      <c r="F816" s="214"/>
      <c r="G816" s="214"/>
      <c r="H816" s="559" t="s">
        <v>1224</v>
      </c>
      <c r="I816" s="559"/>
      <c r="J816" s="559"/>
      <c r="K816" s="223">
        <f>IF(K812&gt;K813,K812-K813,0)</f>
        <v>0</v>
      </c>
      <c r="L816" s="209"/>
    </row>
    <row r="818" spans="2:12">
      <c r="B818" s="247" t="s">
        <v>238</v>
      </c>
      <c r="C818" s="565" t="str">
        <f>VLOOKUP(B818,'BM 004'!$B$27:$R$590,2,0)</f>
        <v>FABRICAÇÃO, MONTAGEM E DESMONTAGEM DE FÔRMA DE LAJE NERVURADA COM CUBETA E ASSOALHO, PÉ-DIREITO DUPLO, EM CHAPA DE MADEIRA COMPENSADA RESINADA, INCLUSIVE ESCORAMENTO h=3,00 à 4,50 m, 06 UTILIZAÇÕES.</v>
      </c>
      <c r="D818" s="565"/>
      <c r="E818" s="565"/>
      <c r="F818" s="565"/>
      <c r="G818" s="565"/>
      <c r="H818" s="565"/>
      <c r="I818" s="565"/>
      <c r="J818" s="565"/>
      <c r="K818" s="565"/>
      <c r="L818" s="565"/>
    </row>
    <row r="819" spans="2:12">
      <c r="B819" s="248" t="s">
        <v>1209</v>
      </c>
      <c r="C819" s="248"/>
      <c r="D819" s="248" t="s">
        <v>39</v>
      </c>
      <c r="E819" s="248" t="s">
        <v>1210</v>
      </c>
      <c r="F819" s="248" t="s">
        <v>1388</v>
      </c>
      <c r="G819" s="248" t="s">
        <v>1212</v>
      </c>
      <c r="H819" s="248" t="s">
        <v>1213</v>
      </c>
      <c r="I819" s="248" t="s">
        <v>1214</v>
      </c>
      <c r="J819" s="248" t="s">
        <v>1385</v>
      </c>
      <c r="K819" s="248" t="s">
        <v>1216</v>
      </c>
      <c r="L819" s="248" t="s">
        <v>1217</v>
      </c>
    </row>
    <row r="820" spans="2:12">
      <c r="B820" s="205" t="s">
        <v>1501</v>
      </c>
      <c r="C820" s="250" t="s">
        <v>1441</v>
      </c>
      <c r="D820" s="205" t="s">
        <v>79</v>
      </c>
      <c r="E820" s="251">
        <v>7</v>
      </c>
      <c r="F820" s="252">
        <v>5.91</v>
      </c>
      <c r="G820" s="251"/>
      <c r="H820" s="251">
        <v>1</v>
      </c>
      <c r="I820" s="251"/>
      <c r="J820" s="253"/>
      <c r="K820" s="254">
        <f t="shared" ref="K820:K830" si="16">IF(E820*F820*G820&lt;&gt;0,E820*F820*G820,IF(E820*F820&lt;&gt;0,E820*F820,IF(F820*G820&lt;&gt;0,F820*G820,IF(E820*G820&lt;&gt;0,E820*G820,IF(E820&lt;&gt;0,E820,IF(F820&lt;&gt;0,F820,IF(G820&lt;&gt;0,G820,0)))))))*(IF(H820&lt;&gt;0,H820,1))+I820-J820</f>
        <v>41.370000000000005</v>
      </c>
      <c r="L820" s="255"/>
    </row>
    <row r="821" spans="2:12">
      <c r="B821" s="205" t="s">
        <v>1502</v>
      </c>
      <c r="C821" s="250" t="s">
        <v>1441</v>
      </c>
      <c r="D821" s="205" t="s">
        <v>79</v>
      </c>
      <c r="E821" s="251">
        <v>13.72</v>
      </c>
      <c r="F821" s="252">
        <v>5.91</v>
      </c>
      <c r="G821" s="251"/>
      <c r="H821" s="251">
        <v>1</v>
      </c>
      <c r="I821" s="251"/>
      <c r="J821" s="253"/>
      <c r="K821" s="254">
        <f t="shared" si="16"/>
        <v>81.0852</v>
      </c>
      <c r="L821" s="255"/>
    </row>
    <row r="822" spans="2:12">
      <c r="B822" s="205" t="s">
        <v>1503</v>
      </c>
      <c r="C822" s="250" t="s">
        <v>1441</v>
      </c>
      <c r="D822" s="205" t="s">
        <v>79</v>
      </c>
      <c r="E822" s="251">
        <v>14.35</v>
      </c>
      <c r="F822" s="252">
        <v>3.73</v>
      </c>
      <c r="G822" s="251"/>
      <c r="H822" s="251">
        <v>1</v>
      </c>
      <c r="I822" s="251"/>
      <c r="J822" s="253"/>
      <c r="K822" s="254">
        <f t="shared" si="16"/>
        <v>53.525500000000001</v>
      </c>
      <c r="L822" s="255"/>
    </row>
    <row r="823" spans="2:12">
      <c r="B823" s="205" t="s">
        <v>1504</v>
      </c>
      <c r="C823" s="250" t="s">
        <v>1441</v>
      </c>
      <c r="D823" s="205" t="s">
        <v>79</v>
      </c>
      <c r="E823" s="251">
        <v>6.49</v>
      </c>
      <c r="F823" s="252">
        <v>3.73</v>
      </c>
      <c r="G823" s="251"/>
      <c r="H823" s="251">
        <v>1</v>
      </c>
      <c r="I823" s="251"/>
      <c r="J823" s="253"/>
      <c r="K823" s="254">
        <f t="shared" si="16"/>
        <v>24.207699999999999</v>
      </c>
      <c r="L823" s="255"/>
    </row>
    <row r="824" spans="2:12">
      <c r="B824" s="205" t="s">
        <v>1505</v>
      </c>
      <c r="C824" s="250" t="s">
        <v>1441</v>
      </c>
      <c r="D824" s="205" t="s">
        <v>79</v>
      </c>
      <c r="E824" s="251">
        <v>7.49</v>
      </c>
      <c r="F824" s="252">
        <v>1.81</v>
      </c>
      <c r="G824" s="251"/>
      <c r="H824" s="251">
        <v>1</v>
      </c>
      <c r="I824" s="251"/>
      <c r="J824" s="253"/>
      <c r="K824" s="254">
        <f t="shared" si="16"/>
        <v>13.556900000000001</v>
      </c>
      <c r="L824" s="255"/>
    </row>
    <row r="825" spans="2:12">
      <c r="B825" s="205" t="s">
        <v>1506</v>
      </c>
      <c r="C825" s="250" t="s">
        <v>1441</v>
      </c>
      <c r="D825" s="205" t="s">
        <v>79</v>
      </c>
      <c r="E825" s="251">
        <v>7.1</v>
      </c>
      <c r="F825" s="252">
        <v>1.81</v>
      </c>
      <c r="G825" s="251"/>
      <c r="H825" s="251">
        <v>1</v>
      </c>
      <c r="I825" s="251"/>
      <c r="J825" s="253"/>
      <c r="K825" s="254">
        <f t="shared" si="16"/>
        <v>12.850999999999999</v>
      </c>
      <c r="L825" s="255"/>
    </row>
    <row r="826" spans="2:12">
      <c r="B826" s="205" t="s">
        <v>1507</v>
      </c>
      <c r="C826" s="250" t="s">
        <v>1441</v>
      </c>
      <c r="D826" s="205" t="s">
        <v>79</v>
      </c>
      <c r="E826" s="251">
        <v>7.05</v>
      </c>
      <c r="F826" s="252">
        <v>1.81</v>
      </c>
      <c r="G826" s="251"/>
      <c r="H826" s="251">
        <v>1</v>
      </c>
      <c r="I826" s="251"/>
      <c r="J826" s="253"/>
      <c r="K826" s="254">
        <f t="shared" si="16"/>
        <v>12.7605</v>
      </c>
      <c r="L826" s="255"/>
    </row>
    <row r="827" spans="2:12">
      <c r="B827" s="205" t="s">
        <v>1508</v>
      </c>
      <c r="C827" s="250" t="s">
        <v>1441</v>
      </c>
      <c r="D827" s="205" t="s">
        <v>79</v>
      </c>
      <c r="E827" s="251">
        <v>22.04</v>
      </c>
      <c r="F827" s="252">
        <v>5.8</v>
      </c>
      <c r="G827" s="251"/>
      <c r="H827" s="251">
        <v>1</v>
      </c>
      <c r="I827" s="251"/>
      <c r="J827" s="253"/>
      <c r="K827" s="254">
        <f t="shared" si="16"/>
        <v>127.83199999999999</v>
      </c>
      <c r="L827" s="255"/>
    </row>
    <row r="828" spans="2:12">
      <c r="B828" s="205" t="s">
        <v>1509</v>
      </c>
      <c r="C828" s="250" t="s">
        <v>1441</v>
      </c>
      <c r="D828" s="205" t="s">
        <v>79</v>
      </c>
      <c r="E828" s="251">
        <v>22.04</v>
      </c>
      <c r="F828" s="252">
        <v>5.69</v>
      </c>
      <c r="G828" s="251"/>
      <c r="H828" s="251">
        <v>1</v>
      </c>
      <c r="I828" s="251"/>
      <c r="J828" s="253"/>
      <c r="K828" s="254">
        <f t="shared" si="16"/>
        <v>125.4076</v>
      </c>
      <c r="L828" s="255"/>
    </row>
    <row r="829" spans="2:12">
      <c r="B829" s="249"/>
      <c r="C829" s="250" t="s">
        <v>1441</v>
      </c>
      <c r="D829" s="205" t="s">
        <v>79</v>
      </c>
      <c r="E829" s="251"/>
      <c r="F829" s="252"/>
      <c r="G829" s="251"/>
      <c r="H829" s="251"/>
      <c r="I829" s="251"/>
      <c r="J829" s="253"/>
      <c r="K829" s="254">
        <f t="shared" si="16"/>
        <v>0</v>
      </c>
      <c r="L829" s="255"/>
    </row>
    <row r="830" spans="2:12">
      <c r="B830" s="256"/>
      <c r="C830" s="210"/>
      <c r="D830" s="210"/>
      <c r="E830" s="257"/>
      <c r="F830" s="258"/>
      <c r="G830" s="257"/>
      <c r="H830" s="257"/>
      <c r="I830" s="257"/>
      <c r="J830" s="259"/>
      <c r="K830" s="260">
        <f t="shared" si="16"/>
        <v>0</v>
      </c>
      <c r="L830" s="210"/>
    </row>
    <row r="831" spans="2:12">
      <c r="B831" s="202"/>
      <c r="C831" s="203"/>
      <c r="D831" s="203"/>
      <c r="E831" s="203"/>
      <c r="F831" s="203"/>
      <c r="G831" s="203"/>
      <c r="H831" s="204"/>
      <c r="I831" s="556" t="s">
        <v>1221</v>
      </c>
      <c r="J831" s="556"/>
      <c r="K831" s="220">
        <f>SUM(K820:K830)</f>
        <v>492.59640000000002</v>
      </c>
      <c r="L831" s="207"/>
    </row>
    <row r="832" spans="2:12">
      <c r="B832" s="208"/>
      <c r="C832" s="204"/>
      <c r="D832" s="204"/>
      <c r="E832" s="204"/>
      <c r="F832" s="204"/>
      <c r="G832" s="204"/>
      <c r="H832" s="209"/>
      <c r="I832" s="557" t="s">
        <v>1222</v>
      </c>
      <c r="J832" s="557"/>
      <c r="K832" s="221">
        <f>VLOOKUP(B818,'BM 004'!$B$27:$R$590,4,0)</f>
        <v>7163.62</v>
      </c>
      <c r="L832" s="207"/>
    </row>
    <row r="833" spans="2:12">
      <c r="B833" s="208"/>
      <c r="C833" s="204"/>
      <c r="D833" s="204"/>
      <c r="E833" s="204"/>
      <c r="F833" s="204"/>
      <c r="G833" s="204"/>
      <c r="H833" s="558" t="s">
        <v>1223</v>
      </c>
      <c r="I833" s="558"/>
      <c r="J833" s="558"/>
      <c r="K833" s="222"/>
      <c r="L833" s="207"/>
    </row>
    <row r="834" spans="2:12">
      <c r="B834" s="208"/>
      <c r="C834" s="204"/>
      <c r="D834" s="204"/>
      <c r="E834" s="204"/>
      <c r="F834" s="204"/>
      <c r="G834" s="204"/>
      <c r="H834" s="558" t="s">
        <v>1431</v>
      </c>
      <c r="I834" s="558"/>
      <c r="J834" s="558"/>
      <c r="K834" s="222">
        <f>TRUNC(SUMIF(C820:C830,H834,K820:K830),2)</f>
        <v>492.59</v>
      </c>
      <c r="L834" s="207"/>
    </row>
    <row r="835" spans="2:12">
      <c r="B835" s="213"/>
      <c r="C835" s="214"/>
      <c r="D835" s="214"/>
      <c r="E835" s="214"/>
      <c r="F835" s="214"/>
      <c r="G835" s="214"/>
      <c r="H835" s="559" t="s">
        <v>1224</v>
      </c>
      <c r="I835" s="559"/>
      <c r="J835" s="559"/>
      <c r="K835" s="223">
        <f>IF(K831&gt;K832,K831-K832,0)</f>
        <v>0</v>
      </c>
      <c r="L835" s="209"/>
    </row>
    <row r="837" spans="2:12">
      <c r="B837" s="247" t="s">
        <v>240</v>
      </c>
      <c r="C837" s="565" t="str">
        <f>VLOOKUP(B837,'BM 004'!$B$27:$R$590,2,0)</f>
        <v xml:space="preserve">Armação de laje de uma estrutura convencional de concreto armado em um edifício de múltiplos pavimentos utilizando aço ca-50 de 6,3 mm - montagem. </v>
      </c>
      <c r="D837" s="565"/>
      <c r="E837" s="565"/>
      <c r="F837" s="565"/>
      <c r="G837" s="565"/>
      <c r="H837" s="565"/>
      <c r="I837" s="565"/>
      <c r="J837" s="565"/>
      <c r="K837" s="565"/>
      <c r="L837" s="565"/>
    </row>
    <row r="838" spans="2:12">
      <c r="B838" s="248" t="s">
        <v>1209</v>
      </c>
      <c r="C838" s="248"/>
      <c r="D838" s="248" t="s">
        <v>39</v>
      </c>
      <c r="E838" s="248" t="s">
        <v>1210</v>
      </c>
      <c r="F838" s="248" t="s">
        <v>1388</v>
      </c>
      <c r="G838" s="248" t="s">
        <v>1212</v>
      </c>
      <c r="H838" s="248" t="s">
        <v>1213</v>
      </c>
      <c r="I838" s="248" t="s">
        <v>1214</v>
      </c>
      <c r="J838" s="248" t="s">
        <v>1385</v>
      </c>
      <c r="K838" s="248" t="s">
        <v>1216</v>
      </c>
      <c r="L838" s="248" t="s">
        <v>1217</v>
      </c>
    </row>
    <row r="839" spans="2:12">
      <c r="B839" s="205" t="s">
        <v>1510</v>
      </c>
      <c r="C839" s="250" t="s">
        <v>1441</v>
      </c>
      <c r="D839" s="205" t="s">
        <v>1274</v>
      </c>
      <c r="E839" s="251">
        <v>1148.82</v>
      </c>
      <c r="F839" s="252">
        <v>0.245</v>
      </c>
      <c r="G839" s="251">
        <v>0.45</v>
      </c>
      <c r="H839" s="251">
        <v>1.1000000000000001</v>
      </c>
      <c r="I839" s="251"/>
      <c r="J839" s="253"/>
      <c r="K839" s="254">
        <f t="shared" ref="K839:K845" si="17">IF(E839*F839*G839&lt;&gt;0,E839*F839*G839,IF(E839*F839&lt;&gt;0,E839*F839,IF(F839*G839&lt;&gt;0,F839*G839,IF(E839*G839&lt;&gt;0,E839*G839,IF(E839&lt;&gt;0,E839,IF(F839&lt;&gt;0,F839,IF(G839&lt;&gt;0,G839,0)))))))*(IF(H839&lt;&gt;0,H839,1))+I839-J839</f>
        <v>139.32314550000001</v>
      </c>
      <c r="L839" s="255" t="s">
        <v>1511</v>
      </c>
    </row>
    <row r="840" spans="2:12">
      <c r="B840" s="205" t="s">
        <v>1512</v>
      </c>
      <c r="C840" s="250" t="s">
        <v>1441</v>
      </c>
      <c r="D840" s="205" t="s">
        <v>1274</v>
      </c>
      <c r="E840" s="251">
        <v>764.81</v>
      </c>
      <c r="F840" s="252">
        <v>0.245</v>
      </c>
      <c r="G840" s="251">
        <v>0.45</v>
      </c>
      <c r="H840" s="251">
        <v>1.1000000000000001</v>
      </c>
      <c r="I840" s="251"/>
      <c r="J840" s="253"/>
      <c r="K840" s="254">
        <f t="shared" si="17"/>
        <v>92.752332750000008</v>
      </c>
      <c r="L840" s="255" t="s">
        <v>1511</v>
      </c>
    </row>
    <row r="841" spans="2:12">
      <c r="B841" s="205" t="s">
        <v>1513</v>
      </c>
      <c r="C841" s="250" t="s">
        <v>1441</v>
      </c>
      <c r="D841" s="205" t="s">
        <v>1274</v>
      </c>
      <c r="E841" s="251">
        <v>803</v>
      </c>
      <c r="F841" s="252">
        <v>0.245</v>
      </c>
      <c r="G841" s="251"/>
      <c r="H841" s="251">
        <v>1.1000000000000001</v>
      </c>
      <c r="I841" s="251"/>
      <c r="J841" s="253"/>
      <c r="K841" s="254">
        <f t="shared" si="17"/>
        <v>216.4085</v>
      </c>
      <c r="L841" s="255" t="s">
        <v>1511</v>
      </c>
    </row>
    <row r="842" spans="2:12">
      <c r="B842" s="205" t="s">
        <v>1514</v>
      </c>
      <c r="C842" s="250" t="s">
        <v>1441</v>
      </c>
      <c r="D842" s="205" t="s">
        <v>1274</v>
      </c>
      <c r="E842" s="251">
        <v>329</v>
      </c>
      <c r="F842" s="252">
        <v>0.245</v>
      </c>
      <c r="G842" s="251"/>
      <c r="H842" s="251">
        <v>1.1000000000000001</v>
      </c>
      <c r="I842" s="251"/>
      <c r="J842" s="253"/>
      <c r="K842" s="254">
        <f t="shared" si="17"/>
        <v>88.665500000000009</v>
      </c>
      <c r="L842" s="255" t="s">
        <v>1511</v>
      </c>
    </row>
    <row r="843" spans="2:12">
      <c r="B843" s="205" t="s">
        <v>1513</v>
      </c>
      <c r="C843" s="250" t="s">
        <v>1441</v>
      </c>
      <c r="D843" s="205" t="s">
        <v>1274</v>
      </c>
      <c r="E843" s="251">
        <v>8265</v>
      </c>
      <c r="F843" s="252">
        <v>0.154</v>
      </c>
      <c r="G843" s="251"/>
      <c r="H843" s="251">
        <v>1.1000000000000001</v>
      </c>
      <c r="I843" s="251"/>
      <c r="J843" s="253"/>
      <c r="K843" s="254">
        <f t="shared" si="17"/>
        <v>1400.0910000000001</v>
      </c>
      <c r="L843" s="266" t="s">
        <v>1515</v>
      </c>
    </row>
    <row r="844" spans="2:12">
      <c r="B844" s="205" t="s">
        <v>1516</v>
      </c>
      <c r="C844" s="250" t="s">
        <v>1441</v>
      </c>
      <c r="D844" s="205" t="s">
        <v>1274</v>
      </c>
      <c r="E844" s="251">
        <v>43.18</v>
      </c>
      <c r="F844" s="252"/>
      <c r="G844" s="251"/>
      <c r="H844" s="251">
        <v>0.74</v>
      </c>
      <c r="I844" s="251"/>
      <c r="J844" s="253"/>
      <c r="K844" s="254">
        <f t="shared" si="17"/>
        <v>31.953199999999999</v>
      </c>
      <c r="L844" s="266"/>
    </row>
    <row r="845" spans="2:12">
      <c r="B845" s="256"/>
      <c r="C845" s="210"/>
      <c r="D845" s="210"/>
      <c r="E845" s="257"/>
      <c r="F845" s="258"/>
      <c r="G845" s="257"/>
      <c r="H845" s="257"/>
      <c r="I845" s="257"/>
      <c r="J845" s="259"/>
      <c r="K845" s="260">
        <f t="shared" si="17"/>
        <v>0</v>
      </c>
      <c r="L845" s="210"/>
    </row>
    <row r="846" spans="2:12">
      <c r="B846" s="202"/>
      <c r="C846" s="203"/>
      <c r="D846" s="203"/>
      <c r="E846" s="203"/>
      <c r="F846" s="203"/>
      <c r="G846" s="203"/>
      <c r="H846" s="204"/>
      <c r="I846" s="556" t="s">
        <v>1221</v>
      </c>
      <c r="J846" s="556"/>
      <c r="K846" s="220">
        <f>SUM(K839:K845)</f>
        <v>1969.1936782500002</v>
      </c>
      <c r="L846" s="207"/>
    </row>
    <row r="847" spans="2:12">
      <c r="B847" s="208"/>
      <c r="C847" s="204"/>
      <c r="D847" s="204"/>
      <c r="E847" s="204"/>
      <c r="F847" s="204"/>
      <c r="G847" s="204"/>
      <c r="H847" s="209"/>
      <c r="I847" s="557" t="s">
        <v>1222</v>
      </c>
      <c r="J847" s="557"/>
      <c r="K847" s="221">
        <f>VLOOKUP(B837,'BM 004'!$B$27:$R$590,4,0)</f>
        <v>2362.8000000000002</v>
      </c>
      <c r="L847" s="207"/>
    </row>
    <row r="848" spans="2:12">
      <c r="B848" s="208"/>
      <c r="C848" s="204"/>
      <c r="D848" s="204"/>
      <c r="E848" s="204"/>
      <c r="F848" s="204"/>
      <c r="G848" s="204"/>
      <c r="H848" s="558" t="s">
        <v>1223</v>
      </c>
      <c r="I848" s="558"/>
      <c r="J848" s="558"/>
      <c r="K848" s="222"/>
      <c r="L848" s="207"/>
    </row>
    <row r="849" spans="2:12">
      <c r="B849" s="208"/>
      <c r="C849" s="204"/>
      <c r="D849" s="204"/>
      <c r="E849" s="204"/>
      <c r="F849" s="204"/>
      <c r="G849" s="204"/>
      <c r="H849" s="558" t="s">
        <v>1431</v>
      </c>
      <c r="I849" s="558"/>
      <c r="J849" s="558"/>
      <c r="K849" s="222">
        <f>TRUNC(SUMIF(C839:C845,H849,K839:K845),2)</f>
        <v>1969.19</v>
      </c>
      <c r="L849" s="207"/>
    </row>
    <row r="850" spans="2:12">
      <c r="B850" s="213"/>
      <c r="C850" s="214"/>
      <c r="D850" s="214"/>
      <c r="E850" s="214"/>
      <c r="F850" s="214"/>
      <c r="G850" s="214"/>
      <c r="H850" s="559" t="s">
        <v>1224</v>
      </c>
      <c r="I850" s="559"/>
      <c r="J850" s="559"/>
      <c r="K850" s="223">
        <f>IF(K846&gt;K847,K846-K847,0)</f>
        <v>0</v>
      </c>
      <c r="L850" s="209"/>
    </row>
    <row r="852" spans="2:12">
      <c r="B852" s="247" t="s">
        <v>242</v>
      </c>
      <c r="C852" s="565" t="str">
        <f>VLOOKUP(B852,'BM 004'!$B$27:$R$590,2,0)</f>
        <v>Armação de laje de uma estrutura convencional de concreto armado em um edifício de múltiplos pavimentos utilizando aço ca-50 de 8,0 mm - montagem.</v>
      </c>
      <c r="D852" s="565"/>
      <c r="E852" s="565"/>
      <c r="F852" s="565"/>
      <c r="G852" s="565"/>
      <c r="H852" s="565"/>
      <c r="I852" s="565"/>
      <c r="J852" s="565"/>
      <c r="K852" s="565"/>
      <c r="L852" s="565"/>
    </row>
    <row r="853" spans="2:12">
      <c r="B853" s="248" t="s">
        <v>1209</v>
      </c>
      <c r="C853" s="248"/>
      <c r="D853" s="248" t="s">
        <v>39</v>
      </c>
      <c r="E853" s="248" t="s">
        <v>1210</v>
      </c>
      <c r="F853" s="248" t="s">
        <v>1388</v>
      </c>
      <c r="G853" s="248" t="s">
        <v>1212</v>
      </c>
      <c r="H853" s="248" t="s">
        <v>1213</v>
      </c>
      <c r="I853" s="248" t="s">
        <v>1214</v>
      </c>
      <c r="J853" s="248" t="s">
        <v>1385</v>
      </c>
      <c r="K853" s="248" t="s">
        <v>1216</v>
      </c>
      <c r="L853" s="248" t="s">
        <v>1217</v>
      </c>
    </row>
    <row r="854" spans="2:12">
      <c r="B854" s="205" t="s">
        <v>1510</v>
      </c>
      <c r="C854" s="250" t="s">
        <v>1441</v>
      </c>
      <c r="D854" s="205" t="s">
        <v>1274</v>
      </c>
      <c r="E854" s="251">
        <v>224.4</v>
      </c>
      <c r="F854" s="252">
        <v>0.39500000000000002</v>
      </c>
      <c r="G854" s="251">
        <v>0.45</v>
      </c>
      <c r="H854" s="251">
        <v>1.1000000000000001</v>
      </c>
      <c r="I854" s="251"/>
      <c r="J854" s="253"/>
      <c r="K854" s="254">
        <f>IF(E854*F854*G854&lt;&gt;0,E854*F854*G854,IF(E854*F854&lt;&gt;0,E854*F854,IF(F854*G854&lt;&gt;0,F854*G854,IF(E854*G854&lt;&gt;0,E854*G854,IF(E854&lt;&gt;0,E854,IF(F854&lt;&gt;0,F854,IF(G854&lt;&gt;0,G854,0)))))))*(IF(H854&lt;&gt;0,H854,1))+I854-J854</f>
        <v>43.875810000000008</v>
      </c>
      <c r="L854" s="255"/>
    </row>
    <row r="855" spans="2:12">
      <c r="B855" s="205" t="s">
        <v>1512</v>
      </c>
      <c r="C855" s="250" t="s">
        <v>1441</v>
      </c>
      <c r="D855" s="205" t="s">
        <v>1274</v>
      </c>
      <c r="E855" s="251">
        <v>322.89999999999998</v>
      </c>
      <c r="F855" s="252">
        <v>0.39500000000000002</v>
      </c>
      <c r="G855" s="251">
        <v>0.45</v>
      </c>
      <c r="H855" s="251">
        <v>1.1000000000000001</v>
      </c>
      <c r="I855" s="251"/>
      <c r="J855" s="253"/>
      <c r="K855" s="254">
        <f>IF(E855*F855*G855&lt;&gt;0,E855*F855*G855,IF(E855*F855&lt;&gt;0,E855*F855,IF(F855*G855&lt;&gt;0,F855*G855,IF(E855*G855&lt;&gt;0,E855*G855,IF(E855&lt;&gt;0,E855,IF(F855&lt;&gt;0,F855,IF(G855&lt;&gt;0,G855,0)))))))*(IF(H855&lt;&gt;0,H855,1))+I855-J855</f>
        <v>63.135022500000005</v>
      </c>
      <c r="L855" s="255"/>
    </row>
    <row r="856" spans="2:12">
      <c r="B856" s="205" t="s">
        <v>1513</v>
      </c>
      <c r="C856" s="250" t="s">
        <v>1441</v>
      </c>
      <c r="D856" s="205" t="s">
        <v>1274</v>
      </c>
      <c r="E856" s="251">
        <v>99</v>
      </c>
      <c r="F856" s="252">
        <v>0.39500000000000002</v>
      </c>
      <c r="G856" s="251"/>
      <c r="H856" s="251">
        <v>1.1000000000000001</v>
      </c>
      <c r="I856" s="251"/>
      <c r="J856" s="253"/>
      <c r="K856" s="254">
        <f>IF(E856*F856*G856&lt;&gt;0,E856*F856*G856,IF(E856*F856&lt;&gt;0,E856*F856,IF(F856*G856&lt;&gt;0,F856*G856,IF(E856*G856&lt;&gt;0,E856*G856,IF(E856&lt;&gt;0,E856,IF(F856&lt;&gt;0,F856,IF(G856&lt;&gt;0,G856,0)))))))*(IF(H856&lt;&gt;0,H856,1))+I856-J856</f>
        <v>43.01550000000001</v>
      </c>
      <c r="L856" s="255"/>
    </row>
    <row r="857" spans="2:12">
      <c r="B857" s="205" t="s">
        <v>1514</v>
      </c>
      <c r="C857" s="250" t="s">
        <v>1441</v>
      </c>
      <c r="D857" s="205" t="s">
        <v>1274</v>
      </c>
      <c r="E857" s="251">
        <v>1170</v>
      </c>
      <c r="F857" s="252">
        <v>0.39500000000000002</v>
      </c>
      <c r="G857" s="251"/>
      <c r="H857" s="251">
        <v>1.1000000000000001</v>
      </c>
      <c r="I857" s="251"/>
      <c r="J857" s="253"/>
      <c r="K857" s="254">
        <f>IF(E857*F857*G857&lt;&gt;0,E857*F857*G857,IF(E857*F857&lt;&gt;0,E857*F857,IF(F857*G857&lt;&gt;0,F857*G857,IF(E857*G857&lt;&gt;0,E857*G857,IF(E857&lt;&gt;0,E857,IF(F857&lt;&gt;0,F857,IF(G857&lt;&gt;0,G857,0)))))))*(IF(H857&lt;&gt;0,H857,1))+I857-J857</f>
        <v>508.36500000000007</v>
      </c>
      <c r="L857" s="255"/>
    </row>
    <row r="858" spans="2:12">
      <c r="B858" s="256"/>
      <c r="C858" s="210"/>
      <c r="D858" s="210"/>
      <c r="E858" s="257"/>
      <c r="F858" s="258"/>
      <c r="G858" s="257"/>
      <c r="H858" s="257"/>
      <c r="I858" s="257"/>
      <c r="J858" s="259"/>
      <c r="K858" s="260">
        <f>IF(E858*F858*G858&lt;&gt;0,E858*F858*G858,IF(E858*F858&lt;&gt;0,E858*F858,IF(F858*G858&lt;&gt;0,F858*G858,IF(E858*G858&lt;&gt;0,E858*G858,IF(E858&lt;&gt;0,E858,IF(F858&lt;&gt;0,F858,IF(G858&lt;&gt;0,G858,0)))))))*(IF(H858&lt;&gt;0,H858,1))+I858-J858</f>
        <v>0</v>
      </c>
      <c r="L858" s="210"/>
    </row>
    <row r="859" spans="2:12">
      <c r="B859" s="202"/>
      <c r="C859" s="203"/>
      <c r="D859" s="203"/>
      <c r="E859" s="203"/>
      <c r="F859" s="203"/>
      <c r="G859" s="203"/>
      <c r="H859" s="204"/>
      <c r="I859" s="556" t="s">
        <v>1221</v>
      </c>
      <c r="J859" s="556"/>
      <c r="K859" s="220">
        <f>SUM(K854:K858)</f>
        <v>658.39133250000009</v>
      </c>
      <c r="L859" s="207"/>
    </row>
    <row r="860" spans="2:12">
      <c r="B860" s="208"/>
      <c r="C860" s="204"/>
      <c r="D860" s="204"/>
      <c r="E860" s="204"/>
      <c r="F860" s="204"/>
      <c r="G860" s="204"/>
      <c r="H860" s="209"/>
      <c r="I860" s="557" t="s">
        <v>1222</v>
      </c>
      <c r="J860" s="557"/>
      <c r="K860" s="221">
        <f>VLOOKUP(B852,'BM 004'!$B$27:$R$590,4,0)</f>
        <v>602.79999999999995</v>
      </c>
      <c r="L860" s="207"/>
    </row>
    <row r="861" spans="2:12">
      <c r="B861" s="208"/>
      <c r="C861" s="204"/>
      <c r="D861" s="204"/>
      <c r="E861" s="204"/>
      <c r="F861" s="204"/>
      <c r="G861" s="204"/>
      <c r="H861" s="558" t="s">
        <v>1223</v>
      </c>
      <c r="I861" s="558"/>
      <c r="J861" s="558"/>
      <c r="K861" s="222"/>
      <c r="L861" s="207"/>
    </row>
    <row r="862" spans="2:12">
      <c r="B862" s="208"/>
      <c r="C862" s="204"/>
      <c r="D862" s="204"/>
      <c r="E862" s="204"/>
      <c r="F862" s="204"/>
      <c r="G862" s="204"/>
      <c r="H862" s="558" t="s">
        <v>1431</v>
      </c>
      <c r="I862" s="558"/>
      <c r="J862" s="558"/>
      <c r="K862" s="222">
        <f>IF(K859&gt;K860,K860,K859)-K861</f>
        <v>602.79999999999995</v>
      </c>
      <c r="L862" s="207"/>
    </row>
    <row r="863" spans="2:12">
      <c r="B863" s="213"/>
      <c r="C863" s="214"/>
      <c r="D863" s="214"/>
      <c r="E863" s="214"/>
      <c r="F863" s="214"/>
      <c r="G863" s="214"/>
      <c r="H863" s="559" t="s">
        <v>1224</v>
      </c>
      <c r="I863" s="559"/>
      <c r="J863" s="559"/>
      <c r="K863" s="223">
        <f>IF(K859&gt;K860,K859-K860,0)</f>
        <v>55.591332500000135</v>
      </c>
      <c r="L863" s="209"/>
    </row>
    <row r="865" spans="2:12">
      <c r="B865" s="247" t="s">
        <v>244</v>
      </c>
      <c r="C865" s="565" t="str">
        <f>VLOOKUP(B865,'BM 004'!$B$27:$R$590,2,0)</f>
        <v xml:space="preserve">Armação de laje de uma estrutura convencional de concreto armado em um edifício de múltiplos pavimentos utilizando aço ca-50 de 10,0 mm - montagem. </v>
      </c>
      <c r="D865" s="565"/>
      <c r="E865" s="565"/>
      <c r="F865" s="565"/>
      <c r="G865" s="565"/>
      <c r="H865" s="565"/>
      <c r="I865" s="565"/>
      <c r="J865" s="565"/>
      <c r="K865" s="565"/>
      <c r="L865" s="565"/>
    </row>
    <row r="866" spans="2:12">
      <c r="B866" s="248" t="s">
        <v>1209</v>
      </c>
      <c r="C866" s="248"/>
      <c r="D866" s="248" t="s">
        <v>39</v>
      </c>
      <c r="E866" s="248" t="s">
        <v>1210</v>
      </c>
      <c r="F866" s="248" t="s">
        <v>1388</v>
      </c>
      <c r="G866" s="248" t="s">
        <v>1212</v>
      </c>
      <c r="H866" s="248" t="s">
        <v>1213</v>
      </c>
      <c r="I866" s="248" t="s">
        <v>1214</v>
      </c>
      <c r="J866" s="248" t="s">
        <v>1385</v>
      </c>
      <c r="K866" s="248" t="s">
        <v>1216</v>
      </c>
      <c r="L866" s="248" t="s">
        <v>1217</v>
      </c>
    </row>
    <row r="867" spans="2:12">
      <c r="B867" s="205" t="s">
        <v>1510</v>
      </c>
      <c r="C867" s="250" t="s">
        <v>1441</v>
      </c>
      <c r="D867" s="205" t="s">
        <v>1274</v>
      </c>
      <c r="E867" s="251">
        <v>922.65</v>
      </c>
      <c r="F867" s="252">
        <v>0.61699999999999999</v>
      </c>
      <c r="G867" s="251">
        <v>0.45</v>
      </c>
      <c r="H867" s="251">
        <v>1.1000000000000001</v>
      </c>
      <c r="I867" s="251"/>
      <c r="J867" s="253"/>
      <c r="K867" s="254">
        <f t="shared" ref="K867:K872" si="18">IF(E867*F867*G867&lt;&gt;0,E867*F867*G867,IF(E867*F867&lt;&gt;0,E867*F867,IF(F867*G867&lt;&gt;0,F867*G867,IF(E867*G867&lt;&gt;0,E867*G867,IF(E867&lt;&gt;0,E867,IF(F867&lt;&gt;0,F867,IF(G867&lt;&gt;0,G867,0)))))))*(IF(H867&lt;&gt;0,H867,1))+I867-J867</f>
        <v>281.79114974999999</v>
      </c>
      <c r="L867" s="255"/>
    </row>
    <row r="868" spans="2:12">
      <c r="B868" s="205" t="s">
        <v>1512</v>
      </c>
      <c r="C868" s="250" t="s">
        <v>1441</v>
      </c>
      <c r="D868" s="205" t="s">
        <v>1274</v>
      </c>
      <c r="E868" s="251">
        <v>886.9</v>
      </c>
      <c r="F868" s="252">
        <v>0.61699999999999999</v>
      </c>
      <c r="G868" s="251">
        <v>0.45</v>
      </c>
      <c r="H868" s="251">
        <v>1.1000000000000001</v>
      </c>
      <c r="I868" s="251"/>
      <c r="J868" s="253"/>
      <c r="K868" s="254">
        <f t="shared" si="18"/>
        <v>270.87256350000007</v>
      </c>
      <c r="L868" s="255"/>
    </row>
    <row r="869" spans="2:12">
      <c r="B869" s="205" t="s">
        <v>1513</v>
      </c>
      <c r="C869" s="250" t="s">
        <v>1441</v>
      </c>
      <c r="D869" s="205" t="s">
        <v>1274</v>
      </c>
      <c r="E869" s="251">
        <v>459</v>
      </c>
      <c r="F869" s="252">
        <v>0.61699999999999999</v>
      </c>
      <c r="G869" s="251"/>
      <c r="H869" s="251">
        <v>1.1000000000000001</v>
      </c>
      <c r="I869" s="251"/>
      <c r="J869" s="253"/>
      <c r="K869" s="254">
        <f t="shared" si="18"/>
        <v>311.52330000000001</v>
      </c>
      <c r="L869" s="255"/>
    </row>
    <row r="870" spans="2:12">
      <c r="B870" s="205" t="s">
        <v>1514</v>
      </c>
      <c r="C870" s="250" t="s">
        <v>1441</v>
      </c>
      <c r="D870" s="205" t="s">
        <v>1274</v>
      </c>
      <c r="E870" s="251">
        <v>332</v>
      </c>
      <c r="F870" s="252">
        <v>0.61699999999999999</v>
      </c>
      <c r="G870" s="251"/>
      <c r="H870" s="251">
        <v>1.1000000000000001</v>
      </c>
      <c r="I870" s="251"/>
      <c r="J870" s="253"/>
      <c r="K870" s="254">
        <f t="shared" si="18"/>
        <v>225.32840000000002</v>
      </c>
      <c r="L870" s="255"/>
    </row>
    <row r="871" spans="2:12">
      <c r="B871" s="205" t="s">
        <v>1517</v>
      </c>
      <c r="C871" s="250" t="s">
        <v>1441</v>
      </c>
      <c r="D871" s="205" t="s">
        <v>1274</v>
      </c>
      <c r="E871" s="251">
        <v>55.59</v>
      </c>
      <c r="F871" s="252"/>
      <c r="G871" s="251"/>
      <c r="H871" s="251"/>
      <c r="I871" s="251"/>
      <c r="J871" s="253"/>
      <c r="K871" s="254">
        <f t="shared" si="18"/>
        <v>55.59</v>
      </c>
      <c r="L871" s="255"/>
    </row>
    <row r="872" spans="2:12">
      <c r="B872" s="256"/>
      <c r="C872" s="210"/>
      <c r="D872" s="210"/>
      <c r="E872" s="257"/>
      <c r="F872" s="258"/>
      <c r="G872" s="257"/>
      <c r="H872" s="257"/>
      <c r="I872" s="257"/>
      <c r="J872" s="259"/>
      <c r="K872" s="260">
        <f t="shared" si="18"/>
        <v>0</v>
      </c>
      <c r="L872" s="210"/>
    </row>
    <row r="873" spans="2:12">
      <c r="B873" s="202"/>
      <c r="C873" s="203"/>
      <c r="D873" s="203"/>
      <c r="E873" s="203"/>
      <c r="F873" s="203"/>
      <c r="G873" s="203"/>
      <c r="H873" s="204"/>
      <c r="I873" s="556" t="s">
        <v>1221</v>
      </c>
      <c r="J873" s="556"/>
      <c r="K873" s="220">
        <f>SUM(K867:K872)</f>
        <v>1145.1054132500001</v>
      </c>
      <c r="L873" s="207"/>
    </row>
    <row r="874" spans="2:12">
      <c r="B874" s="208"/>
      <c r="C874" s="204"/>
      <c r="D874" s="204"/>
      <c r="E874" s="204"/>
      <c r="F874" s="204"/>
      <c r="G874" s="204"/>
      <c r="H874" s="209"/>
      <c r="I874" s="557" t="s">
        <v>1222</v>
      </c>
      <c r="J874" s="557"/>
      <c r="K874" s="221">
        <f>VLOOKUP(B865,'BM 004'!$B$27:$R$590,4,0)</f>
        <v>3562.9</v>
      </c>
      <c r="L874" s="207"/>
    </row>
    <row r="875" spans="2:12">
      <c r="B875" s="208"/>
      <c r="C875" s="204"/>
      <c r="D875" s="204"/>
      <c r="E875" s="204"/>
      <c r="F875" s="204"/>
      <c r="G875" s="204"/>
      <c r="H875" s="558" t="s">
        <v>1223</v>
      </c>
      <c r="I875" s="558"/>
      <c r="J875" s="558"/>
      <c r="K875" s="222"/>
      <c r="L875" s="207"/>
    </row>
    <row r="876" spans="2:12">
      <c r="B876" s="208"/>
      <c r="C876" s="204"/>
      <c r="D876" s="204"/>
      <c r="E876" s="204"/>
      <c r="F876" s="204"/>
      <c r="G876" s="204"/>
      <c r="H876" s="558" t="s">
        <v>1431</v>
      </c>
      <c r="I876" s="558"/>
      <c r="J876" s="558"/>
      <c r="K876" s="222">
        <f>TRUNC(SUMIF(C867:C872,H876,K867:K872),2)</f>
        <v>1145.0999999999999</v>
      </c>
      <c r="L876" s="207"/>
    </row>
    <row r="877" spans="2:12">
      <c r="B877" s="213"/>
      <c r="C877" s="214"/>
      <c r="D877" s="214"/>
      <c r="E877" s="214"/>
      <c r="F877" s="214"/>
      <c r="G877" s="214"/>
      <c r="H877" s="559" t="s">
        <v>1224</v>
      </c>
      <c r="I877" s="559"/>
      <c r="J877" s="559"/>
      <c r="K877" s="223">
        <f>IF(K873&gt;K874,K873-K874,0)</f>
        <v>0</v>
      </c>
      <c r="L877" s="209"/>
    </row>
    <row r="879" spans="2:12">
      <c r="B879" s="247" t="s">
        <v>246</v>
      </c>
      <c r="C879" s="565" t="str">
        <f>VLOOKUP(B879,'BM 004'!$B$27:$R$590,2,0)</f>
        <v xml:space="preserve">Armação de laje de uma estrutura convencional de concreto armado em um edifício de múltiplos pavimentos utilizando aço ca-50 de 12,5 mm - montagem. </v>
      </c>
      <c r="D879" s="565"/>
      <c r="E879" s="565"/>
      <c r="F879" s="565"/>
      <c r="G879" s="565"/>
      <c r="H879" s="565"/>
      <c r="I879" s="565"/>
      <c r="J879" s="565"/>
      <c r="K879" s="565"/>
      <c r="L879" s="565"/>
    </row>
    <row r="880" spans="2:12">
      <c r="B880" s="248" t="s">
        <v>1209</v>
      </c>
      <c r="C880" s="248"/>
      <c r="D880" s="248" t="s">
        <v>39</v>
      </c>
      <c r="E880" s="248" t="s">
        <v>1210</v>
      </c>
      <c r="F880" s="248" t="s">
        <v>1388</v>
      </c>
      <c r="G880" s="248" t="s">
        <v>1212</v>
      </c>
      <c r="H880" s="248" t="s">
        <v>1213</v>
      </c>
      <c r="I880" s="248" t="s">
        <v>1214</v>
      </c>
      <c r="J880" s="248" t="s">
        <v>1385</v>
      </c>
      <c r="K880" s="248" t="s">
        <v>1216</v>
      </c>
      <c r="L880" s="248" t="s">
        <v>1217</v>
      </c>
    </row>
    <row r="881" spans="2:12">
      <c r="B881" s="205" t="s">
        <v>1510</v>
      </c>
      <c r="C881" s="250" t="s">
        <v>1441</v>
      </c>
      <c r="D881" s="205" t="s">
        <v>1274</v>
      </c>
      <c r="E881" s="251">
        <v>815.6</v>
      </c>
      <c r="F881" s="252">
        <v>0.96299999999999997</v>
      </c>
      <c r="G881" s="251">
        <v>0.45</v>
      </c>
      <c r="H881" s="251">
        <v>1.1000000000000001</v>
      </c>
      <c r="I881" s="251"/>
      <c r="J881" s="253"/>
      <c r="K881" s="254">
        <f t="shared" ref="K881:K886" si="19">IF(E881*F881*G881&lt;&gt;0,E881*F881*G881,IF(E881*F881&lt;&gt;0,E881*F881,IF(F881*G881&lt;&gt;0,F881*G881,IF(E881*G881&lt;&gt;0,E881*G881,IF(E881&lt;&gt;0,E881,IF(F881&lt;&gt;0,F881,IF(G881&lt;&gt;0,G881,0)))))))*(IF(H881&lt;&gt;0,H881,1))+I881-J881</f>
        <v>388.78428600000001</v>
      </c>
      <c r="L881" s="255"/>
    </row>
    <row r="882" spans="2:12">
      <c r="B882" s="205" t="s">
        <v>1512</v>
      </c>
      <c r="C882" s="250" t="s">
        <v>1441</v>
      </c>
      <c r="D882" s="205" t="s">
        <v>1274</v>
      </c>
      <c r="E882" s="251">
        <v>760.5</v>
      </c>
      <c r="F882" s="252">
        <v>0.96299999999999997</v>
      </c>
      <c r="G882" s="251">
        <v>0.45</v>
      </c>
      <c r="H882" s="251">
        <v>1.1000000000000001</v>
      </c>
      <c r="I882" s="251"/>
      <c r="J882" s="253"/>
      <c r="K882" s="254">
        <f t="shared" si="19"/>
        <v>362.51894250000004</v>
      </c>
      <c r="L882" s="255"/>
    </row>
    <row r="883" spans="2:12">
      <c r="B883" s="205" t="s">
        <v>1513</v>
      </c>
      <c r="C883" s="250" t="s">
        <v>1441</v>
      </c>
      <c r="D883" s="205" t="s">
        <v>1274</v>
      </c>
      <c r="E883" s="251">
        <v>1053</v>
      </c>
      <c r="F883" s="252">
        <v>0.96299999999999997</v>
      </c>
      <c r="G883" s="251"/>
      <c r="H883" s="251">
        <v>1.1000000000000001</v>
      </c>
      <c r="I883" s="251"/>
      <c r="J883" s="253"/>
      <c r="K883" s="254">
        <f t="shared" si="19"/>
        <v>1115.4429</v>
      </c>
      <c r="L883" s="255"/>
    </row>
    <row r="884" spans="2:12">
      <c r="B884" s="205" t="s">
        <v>1514</v>
      </c>
      <c r="C884" s="250" t="s">
        <v>1441</v>
      </c>
      <c r="D884" s="205" t="s">
        <v>1274</v>
      </c>
      <c r="E884" s="251">
        <v>165</v>
      </c>
      <c r="F884" s="252">
        <v>0.96299999999999997</v>
      </c>
      <c r="G884" s="251"/>
      <c r="H884" s="251">
        <v>1.1000000000000001</v>
      </c>
      <c r="I884" s="251"/>
      <c r="J884" s="253"/>
      <c r="K884" s="254">
        <f t="shared" si="19"/>
        <v>174.78449999999998</v>
      </c>
      <c r="L884" s="255"/>
    </row>
    <row r="885" spans="2:12">
      <c r="B885" s="205"/>
      <c r="C885" s="250" t="s">
        <v>1441</v>
      </c>
      <c r="D885" s="205" t="s">
        <v>1274</v>
      </c>
      <c r="E885" s="251"/>
      <c r="F885" s="252"/>
      <c r="G885" s="251"/>
      <c r="H885" s="251"/>
      <c r="I885" s="251"/>
      <c r="J885" s="253"/>
      <c r="K885" s="254">
        <f t="shared" si="19"/>
        <v>0</v>
      </c>
      <c r="L885" s="255"/>
    </row>
    <row r="886" spans="2:12">
      <c r="B886" s="256"/>
      <c r="C886" s="210"/>
      <c r="D886" s="210"/>
      <c r="E886" s="257"/>
      <c r="F886" s="258"/>
      <c r="G886" s="257"/>
      <c r="H886" s="257"/>
      <c r="I886" s="257"/>
      <c r="J886" s="259"/>
      <c r="K886" s="260">
        <f t="shared" si="19"/>
        <v>0</v>
      </c>
      <c r="L886" s="210"/>
    </row>
    <row r="887" spans="2:12">
      <c r="B887" s="202"/>
      <c r="C887" s="203"/>
      <c r="D887" s="203"/>
      <c r="E887" s="203"/>
      <c r="F887" s="203"/>
      <c r="G887" s="203"/>
      <c r="H887" s="204"/>
      <c r="I887" s="556" t="s">
        <v>1221</v>
      </c>
      <c r="J887" s="556"/>
      <c r="K887" s="220">
        <f>SUM(K881:K886)</f>
        <v>2041.5306284999999</v>
      </c>
      <c r="L887" s="207"/>
    </row>
    <row r="888" spans="2:12">
      <c r="B888" s="208"/>
      <c r="C888" s="204"/>
      <c r="D888" s="204"/>
      <c r="E888" s="204"/>
      <c r="F888" s="204"/>
      <c r="G888" s="204"/>
      <c r="H888" s="209"/>
      <c r="I888" s="557" t="s">
        <v>1222</v>
      </c>
      <c r="J888" s="557"/>
      <c r="K888" s="221">
        <f>VLOOKUP(B879,'BM 004'!$B$27:$R$590,4,0)</f>
        <v>8278.6</v>
      </c>
      <c r="L888" s="207"/>
    </row>
    <row r="889" spans="2:12">
      <c r="B889" s="208"/>
      <c r="C889" s="204"/>
      <c r="D889" s="204"/>
      <c r="E889" s="204"/>
      <c r="F889" s="204"/>
      <c r="G889" s="204"/>
      <c r="H889" s="558" t="s">
        <v>1223</v>
      </c>
      <c r="I889" s="558"/>
      <c r="J889" s="558"/>
      <c r="K889" s="222"/>
      <c r="L889" s="207"/>
    </row>
    <row r="890" spans="2:12">
      <c r="B890" s="208"/>
      <c r="C890" s="204"/>
      <c r="D890" s="204"/>
      <c r="E890" s="204"/>
      <c r="F890" s="204"/>
      <c r="G890" s="204"/>
      <c r="H890" s="558" t="s">
        <v>1431</v>
      </c>
      <c r="I890" s="558"/>
      <c r="J890" s="558"/>
      <c r="K890" s="222">
        <f>TRUNC(SUMIF(C881:C886,H890,K881:K886),2)</f>
        <v>2041.53</v>
      </c>
      <c r="L890" s="207"/>
    </row>
    <row r="891" spans="2:12">
      <c r="B891" s="213"/>
      <c r="C891" s="214"/>
      <c r="D891" s="214"/>
      <c r="E891" s="214"/>
      <c r="F891" s="214"/>
      <c r="G891" s="214"/>
      <c r="H891" s="559" t="s">
        <v>1224</v>
      </c>
      <c r="I891" s="559"/>
      <c r="J891" s="559"/>
      <c r="K891" s="223">
        <f>IF(K887&gt;K888,K887-K888,0)</f>
        <v>0</v>
      </c>
      <c r="L891" s="209"/>
    </row>
    <row r="893" spans="2:12">
      <c r="B893" s="247" t="s">
        <v>248</v>
      </c>
      <c r="C893" s="565" t="str">
        <f>VLOOKUP(B893,'BM 004'!$B$27:$R$590,2,0)</f>
        <v xml:space="preserve">Armação de laje de uma estrutura convencional de concreto armado em um edifício de múltiplos pavimentos utilizando aço ca-50 de 16,0 mm - montagem. </v>
      </c>
      <c r="D893" s="565"/>
      <c r="E893" s="565"/>
      <c r="F893" s="565"/>
      <c r="G893" s="565"/>
      <c r="H893" s="565"/>
      <c r="I893" s="565"/>
      <c r="J893" s="565"/>
      <c r="K893" s="565"/>
      <c r="L893" s="565"/>
    </row>
    <row r="894" spans="2:12">
      <c r="B894" s="248" t="s">
        <v>1209</v>
      </c>
      <c r="C894" s="248"/>
      <c r="D894" s="248" t="s">
        <v>39</v>
      </c>
      <c r="E894" s="248" t="s">
        <v>1210</v>
      </c>
      <c r="F894" s="248" t="s">
        <v>1388</v>
      </c>
      <c r="G894" s="248" t="s">
        <v>1212</v>
      </c>
      <c r="H894" s="248" t="s">
        <v>1213</v>
      </c>
      <c r="I894" s="248" t="s">
        <v>1214</v>
      </c>
      <c r="J894" s="248" t="s">
        <v>1385</v>
      </c>
      <c r="K894" s="248" t="s">
        <v>1216</v>
      </c>
      <c r="L894" s="248" t="s">
        <v>1217</v>
      </c>
    </row>
    <row r="895" spans="2:12">
      <c r="B895" s="205" t="s">
        <v>1510</v>
      </c>
      <c r="C895" s="250" t="s">
        <v>1441</v>
      </c>
      <c r="D895" s="205" t="s">
        <v>1274</v>
      </c>
      <c r="E895" s="251">
        <v>758.1</v>
      </c>
      <c r="F895" s="252">
        <v>1.5780000000000001</v>
      </c>
      <c r="G895" s="251">
        <v>0.45</v>
      </c>
      <c r="H895" s="251">
        <v>1.1000000000000001</v>
      </c>
      <c r="I895" s="251"/>
      <c r="J895" s="253"/>
      <c r="K895" s="254">
        <f t="shared" ref="K895:K900" si="20">IF(E895*F895*G895&lt;&gt;0,E895*F895*G895,IF(E895*F895&lt;&gt;0,E895*F895,IF(F895*G895&lt;&gt;0,F895*G895,IF(E895*G895&lt;&gt;0,E895*G895,IF(E895&lt;&gt;0,E895,IF(F895&lt;&gt;0,F895,IF(G895&lt;&gt;0,G895,0)))))))*(IF(H895&lt;&gt;0,H895,1))+I895-J895</f>
        <v>592.15949100000012</v>
      </c>
      <c r="L895" s="255"/>
    </row>
    <row r="896" spans="2:12">
      <c r="B896" s="205" t="s">
        <v>1512</v>
      </c>
      <c r="C896" s="250" t="s">
        <v>1441</v>
      </c>
      <c r="D896" s="205" t="s">
        <v>1274</v>
      </c>
      <c r="E896" s="251">
        <v>365.1</v>
      </c>
      <c r="F896" s="252">
        <v>1.5780000000000001</v>
      </c>
      <c r="G896" s="251">
        <v>0.45</v>
      </c>
      <c r="H896" s="251">
        <v>1.1000000000000001</v>
      </c>
      <c r="I896" s="251"/>
      <c r="J896" s="253"/>
      <c r="K896" s="254">
        <f t="shared" si="20"/>
        <v>285.18326100000007</v>
      </c>
      <c r="L896" s="255"/>
    </row>
    <row r="897" spans="2:12">
      <c r="B897" s="205" t="s">
        <v>1513</v>
      </c>
      <c r="C897" s="250" t="s">
        <v>1441</v>
      </c>
      <c r="D897" s="205" t="s">
        <v>1274</v>
      </c>
      <c r="E897" s="251">
        <v>584</v>
      </c>
      <c r="F897" s="252">
        <v>1.5780000000000001</v>
      </c>
      <c r="G897" s="251"/>
      <c r="H897" s="251">
        <v>1.1000000000000001</v>
      </c>
      <c r="I897" s="251"/>
      <c r="J897" s="253"/>
      <c r="K897" s="254">
        <f t="shared" si="20"/>
        <v>1013.7072000000001</v>
      </c>
      <c r="L897" s="255"/>
    </row>
    <row r="898" spans="2:12">
      <c r="B898" s="205" t="s">
        <v>1514</v>
      </c>
      <c r="C898" s="250" t="s">
        <v>1441</v>
      </c>
      <c r="D898" s="205" t="s">
        <v>1274</v>
      </c>
      <c r="E898" s="251">
        <v>722</v>
      </c>
      <c r="F898" s="252">
        <v>1.5780000000000001</v>
      </c>
      <c r="G898" s="251"/>
      <c r="H898" s="251">
        <v>1.1000000000000001</v>
      </c>
      <c r="I898" s="251"/>
      <c r="J898" s="253"/>
      <c r="K898" s="254">
        <f t="shared" si="20"/>
        <v>1253.2476000000001</v>
      </c>
      <c r="L898" s="255"/>
    </row>
    <row r="899" spans="2:12">
      <c r="B899" s="205"/>
      <c r="C899" s="250" t="s">
        <v>1441</v>
      </c>
      <c r="D899" s="205" t="s">
        <v>1274</v>
      </c>
      <c r="E899" s="251"/>
      <c r="F899" s="252"/>
      <c r="G899" s="251"/>
      <c r="H899" s="251"/>
      <c r="I899" s="251"/>
      <c r="J899" s="253"/>
      <c r="K899" s="254">
        <f t="shared" si="20"/>
        <v>0</v>
      </c>
      <c r="L899" s="255"/>
    </row>
    <row r="900" spans="2:12">
      <c r="B900" s="256"/>
      <c r="C900" s="210"/>
      <c r="D900" s="210"/>
      <c r="E900" s="257"/>
      <c r="F900" s="258"/>
      <c r="G900" s="257"/>
      <c r="H900" s="257"/>
      <c r="I900" s="257"/>
      <c r="J900" s="259"/>
      <c r="K900" s="260">
        <f t="shared" si="20"/>
        <v>0</v>
      </c>
      <c r="L900" s="210"/>
    </row>
    <row r="901" spans="2:12">
      <c r="B901" s="202"/>
      <c r="C901" s="203"/>
      <c r="D901" s="203"/>
      <c r="E901" s="203"/>
      <c r="F901" s="203"/>
      <c r="G901" s="203"/>
      <c r="H901" s="204"/>
      <c r="I901" s="556" t="s">
        <v>1221</v>
      </c>
      <c r="J901" s="556"/>
      <c r="K901" s="220">
        <f>SUM(K895:K900)</f>
        <v>3144.2975520000005</v>
      </c>
      <c r="L901" s="207"/>
    </row>
    <row r="902" spans="2:12">
      <c r="B902" s="208"/>
      <c r="C902" s="204"/>
      <c r="D902" s="204"/>
      <c r="E902" s="204"/>
      <c r="F902" s="204"/>
      <c r="G902" s="204"/>
      <c r="H902" s="209"/>
      <c r="I902" s="557" t="s">
        <v>1222</v>
      </c>
      <c r="J902" s="557"/>
      <c r="K902" s="221">
        <f>VLOOKUP(B893,'BM 004'!$B$27:$R$590,4,0)</f>
        <v>8114.7</v>
      </c>
      <c r="L902" s="207"/>
    </row>
    <row r="903" spans="2:12">
      <c r="B903" s="208"/>
      <c r="C903" s="204"/>
      <c r="D903" s="204"/>
      <c r="E903" s="204"/>
      <c r="F903" s="204"/>
      <c r="G903" s="204"/>
      <c r="H903" s="558" t="s">
        <v>1223</v>
      </c>
      <c r="I903" s="558"/>
      <c r="J903" s="558"/>
      <c r="K903" s="222"/>
      <c r="L903" s="207"/>
    </row>
    <row r="904" spans="2:12">
      <c r="B904" s="208"/>
      <c r="C904" s="204"/>
      <c r="D904" s="204"/>
      <c r="E904" s="204"/>
      <c r="F904" s="204"/>
      <c r="G904" s="204"/>
      <c r="H904" s="558" t="s">
        <v>1431</v>
      </c>
      <c r="I904" s="558"/>
      <c r="J904" s="558"/>
      <c r="K904" s="222">
        <f>TRUNC(SUMIF(C895:C900,H904,K895:K900),2)</f>
        <v>3144.29</v>
      </c>
      <c r="L904" s="207"/>
    </row>
    <row r="905" spans="2:12">
      <c r="B905" s="213"/>
      <c r="C905" s="214"/>
      <c r="D905" s="214"/>
      <c r="E905" s="214"/>
      <c r="F905" s="214"/>
      <c r="G905" s="214"/>
      <c r="H905" s="559" t="s">
        <v>1224</v>
      </c>
      <c r="I905" s="559"/>
      <c r="J905" s="559"/>
      <c r="K905" s="223">
        <f>IF(K901&gt;K902,K901-K902,0)</f>
        <v>0</v>
      </c>
      <c r="L905" s="209"/>
    </row>
    <row r="907" spans="2:12">
      <c r="B907" s="247" t="s">
        <v>250</v>
      </c>
      <c r="C907" s="565" t="str">
        <f>VLOOKUP(B907,'BM 004'!$B$27:$R$590,2,0)</f>
        <v xml:space="preserve">Armação de laje de uma estrutura convencional de concreto armado em um edifício de múltiplos pavimentos utilizando aço ca-50 de 20,0 mm - montagem. </v>
      </c>
      <c r="D907" s="565"/>
      <c r="E907" s="565"/>
      <c r="F907" s="565"/>
      <c r="G907" s="565"/>
      <c r="H907" s="565"/>
      <c r="I907" s="565"/>
      <c r="J907" s="565"/>
      <c r="K907" s="565"/>
      <c r="L907" s="565"/>
    </row>
    <row r="908" spans="2:12">
      <c r="B908" s="248" t="s">
        <v>1209</v>
      </c>
      <c r="C908" s="248"/>
      <c r="D908" s="248" t="s">
        <v>39</v>
      </c>
      <c r="E908" s="248" t="s">
        <v>1210</v>
      </c>
      <c r="F908" s="248" t="s">
        <v>1388</v>
      </c>
      <c r="G908" s="248" t="s">
        <v>1212</v>
      </c>
      <c r="H908" s="248" t="s">
        <v>1213</v>
      </c>
      <c r="I908" s="248" t="s">
        <v>1214</v>
      </c>
      <c r="J908" s="248" t="s">
        <v>1385</v>
      </c>
      <c r="K908" s="248" t="s">
        <v>1216</v>
      </c>
      <c r="L908" s="248" t="s">
        <v>1217</v>
      </c>
    </row>
    <row r="909" spans="2:12">
      <c r="B909" s="205" t="s">
        <v>1510</v>
      </c>
      <c r="C909" s="250" t="s">
        <v>1441</v>
      </c>
      <c r="D909" s="205" t="s">
        <v>1274</v>
      </c>
      <c r="E909" s="251">
        <v>156.41999999999999</v>
      </c>
      <c r="F909" s="252">
        <v>2.4660000000000002</v>
      </c>
      <c r="G909" s="251">
        <v>0.45</v>
      </c>
      <c r="H909" s="251">
        <v>1.1000000000000001</v>
      </c>
      <c r="I909" s="251"/>
      <c r="J909" s="253"/>
      <c r="K909" s="254">
        <f t="shared" ref="K909:K914" si="21">IF(E909*F909*G909&lt;&gt;0,E909*F909*G909,IF(E909*F909&lt;&gt;0,E909*F909,IF(F909*G909&lt;&gt;0,F909*G909,IF(E909*G909&lt;&gt;0,E909*G909,IF(E909&lt;&gt;0,E909,IF(F909&lt;&gt;0,F909,IF(G909&lt;&gt;0,G909,0)))))))*(IF(H909&lt;&gt;0,H909,1))+I909-J909</f>
        <v>190.93720140000002</v>
      </c>
      <c r="L909" s="255"/>
    </row>
    <row r="910" spans="2:12">
      <c r="B910" s="205" t="s">
        <v>1512</v>
      </c>
      <c r="C910" s="250" t="s">
        <v>1441</v>
      </c>
      <c r="D910" s="205" t="s">
        <v>1274</v>
      </c>
      <c r="E910" s="251">
        <v>154.41999999999999</v>
      </c>
      <c r="F910" s="252">
        <v>2.4660000000000002</v>
      </c>
      <c r="G910" s="251">
        <v>0.45</v>
      </c>
      <c r="H910" s="251">
        <v>1.1000000000000001</v>
      </c>
      <c r="I910" s="251"/>
      <c r="J910" s="253"/>
      <c r="K910" s="254">
        <f t="shared" si="21"/>
        <v>188.4958614</v>
      </c>
      <c r="L910" s="255"/>
    </row>
    <row r="911" spans="2:12">
      <c r="B911" s="205" t="s">
        <v>1513</v>
      </c>
      <c r="C911" s="250" t="s">
        <v>1441</v>
      </c>
      <c r="D911" s="205" t="s">
        <v>1274</v>
      </c>
      <c r="E911" s="251">
        <v>51</v>
      </c>
      <c r="F911" s="252">
        <v>2.4660000000000002</v>
      </c>
      <c r="G911" s="251"/>
      <c r="H911" s="251">
        <v>1.1000000000000001</v>
      </c>
      <c r="I911" s="251"/>
      <c r="J911" s="253"/>
      <c r="K911" s="254">
        <f t="shared" si="21"/>
        <v>138.3426</v>
      </c>
      <c r="L911" s="255"/>
    </row>
    <row r="912" spans="2:12">
      <c r="B912" s="205" t="s">
        <v>1514</v>
      </c>
      <c r="C912" s="250" t="s">
        <v>1441</v>
      </c>
      <c r="D912" s="205" t="s">
        <v>1274</v>
      </c>
      <c r="E912" s="251">
        <v>298</v>
      </c>
      <c r="F912" s="252">
        <v>2.4660000000000002</v>
      </c>
      <c r="G912" s="251"/>
      <c r="H912" s="251">
        <v>1.1000000000000001</v>
      </c>
      <c r="I912" s="251"/>
      <c r="J912" s="253"/>
      <c r="K912" s="254">
        <f t="shared" si="21"/>
        <v>808.35480000000007</v>
      </c>
      <c r="L912" s="255"/>
    </row>
    <row r="913" spans="2:12">
      <c r="B913" s="205"/>
      <c r="C913" s="250" t="s">
        <v>1441</v>
      </c>
      <c r="D913" s="205" t="s">
        <v>1274</v>
      </c>
      <c r="E913" s="251"/>
      <c r="F913" s="252"/>
      <c r="G913" s="251"/>
      <c r="H913" s="251"/>
      <c r="I913" s="251"/>
      <c r="J913" s="253"/>
      <c r="K913" s="254">
        <f t="shared" si="21"/>
        <v>0</v>
      </c>
      <c r="L913" s="255"/>
    </row>
    <row r="914" spans="2:12">
      <c r="B914" s="256"/>
      <c r="C914" s="210"/>
      <c r="D914" s="210"/>
      <c r="E914" s="257"/>
      <c r="F914" s="258"/>
      <c r="G914" s="257"/>
      <c r="H914" s="257"/>
      <c r="I914" s="257"/>
      <c r="J914" s="259"/>
      <c r="K914" s="260">
        <f t="shared" si="21"/>
        <v>0</v>
      </c>
      <c r="L914" s="210"/>
    </row>
    <row r="915" spans="2:12">
      <c r="B915" s="202"/>
      <c r="C915" s="203"/>
      <c r="D915" s="203"/>
      <c r="E915" s="203"/>
      <c r="F915" s="203"/>
      <c r="G915" s="203"/>
      <c r="H915" s="204"/>
      <c r="I915" s="556" t="s">
        <v>1221</v>
      </c>
      <c r="J915" s="556"/>
      <c r="K915" s="220">
        <f>SUM(K909:K914)</f>
        <v>1326.1304628</v>
      </c>
      <c r="L915" s="207"/>
    </row>
    <row r="916" spans="2:12">
      <c r="B916" s="208"/>
      <c r="C916" s="204"/>
      <c r="D916" s="204"/>
      <c r="E916" s="204"/>
      <c r="F916" s="204"/>
      <c r="G916" s="204"/>
      <c r="H916" s="209"/>
      <c r="I916" s="557" t="s">
        <v>1222</v>
      </c>
      <c r="J916" s="557"/>
      <c r="K916" s="221">
        <f>VLOOKUP(B907,'BM 004'!$B$27:$R$590,4,0)</f>
        <v>11554.4</v>
      </c>
      <c r="L916" s="207"/>
    </row>
    <row r="917" spans="2:12">
      <c r="B917" s="208"/>
      <c r="C917" s="204"/>
      <c r="D917" s="204"/>
      <c r="E917" s="204"/>
      <c r="F917" s="204"/>
      <c r="G917" s="204"/>
      <c r="H917" s="558" t="s">
        <v>1223</v>
      </c>
      <c r="I917" s="558"/>
      <c r="J917" s="558"/>
      <c r="K917" s="222"/>
      <c r="L917" s="207"/>
    </row>
    <row r="918" spans="2:12">
      <c r="B918" s="208"/>
      <c r="C918" s="204"/>
      <c r="D918" s="204"/>
      <c r="E918" s="204"/>
      <c r="F918" s="204"/>
      <c r="G918" s="204"/>
      <c r="H918" s="558" t="s">
        <v>1431</v>
      </c>
      <c r="I918" s="558"/>
      <c r="J918" s="558"/>
      <c r="K918" s="222">
        <f>TRUNC(SUMIF(C909:C914,H918,K909:K914),2)</f>
        <v>1326.13</v>
      </c>
      <c r="L918" s="207"/>
    </row>
    <row r="919" spans="2:12">
      <c r="B919" s="213"/>
      <c r="C919" s="214"/>
      <c r="D919" s="214"/>
      <c r="E919" s="214"/>
      <c r="F919" s="214"/>
      <c r="G919" s="214"/>
      <c r="H919" s="559" t="s">
        <v>1224</v>
      </c>
      <c r="I919" s="559"/>
      <c r="J919" s="559"/>
      <c r="K919" s="223">
        <f>IF(K915&gt;K916,K915-K916,0)</f>
        <v>0</v>
      </c>
      <c r="L919" s="209"/>
    </row>
    <row r="921" spans="2:12">
      <c r="B921" s="247" t="s">
        <v>252</v>
      </c>
      <c r="C921" s="565" t="str">
        <f>VLOOKUP(B921,'BM 004'!$B$27:$R$590,2,0)</f>
        <v>ARMAÇÃO DE LAJE DE UMA ESTRUTURA CONVENCIONAL DE CONCRETO ARMADO EM UM EDIFÍCIO DE MÚLTIPLOS PAVIMENTOS UTILIZANDO AÇO CA-50 DE 25,0 MM - MONTAGEM.</v>
      </c>
      <c r="D921" s="565"/>
      <c r="E921" s="565"/>
      <c r="F921" s="565"/>
      <c r="G921" s="565"/>
      <c r="H921" s="565"/>
      <c r="I921" s="565"/>
      <c r="J921" s="565"/>
      <c r="K921" s="565"/>
      <c r="L921" s="565"/>
    </row>
    <row r="922" spans="2:12">
      <c r="B922" s="248" t="s">
        <v>1209</v>
      </c>
      <c r="C922" s="248"/>
      <c r="D922" s="248" t="s">
        <v>39</v>
      </c>
      <c r="E922" s="248" t="s">
        <v>1210</v>
      </c>
      <c r="F922" s="248" t="s">
        <v>1388</v>
      </c>
      <c r="G922" s="248" t="s">
        <v>1212</v>
      </c>
      <c r="H922" s="248" t="s">
        <v>1213</v>
      </c>
      <c r="I922" s="248" t="s">
        <v>1214</v>
      </c>
      <c r="J922" s="248" t="s">
        <v>1385</v>
      </c>
      <c r="K922" s="248" t="s">
        <v>1216</v>
      </c>
      <c r="L922" s="248" t="s">
        <v>1217</v>
      </c>
    </row>
    <row r="923" spans="2:12">
      <c r="B923" s="205" t="s">
        <v>1510</v>
      </c>
      <c r="C923" s="250" t="s">
        <v>1441</v>
      </c>
      <c r="D923" s="205" t="s">
        <v>1274</v>
      </c>
      <c r="E923" s="251">
        <v>372.94</v>
      </c>
      <c r="F923" s="252">
        <v>3.8530000000000002</v>
      </c>
      <c r="G923" s="251">
        <v>0.45</v>
      </c>
      <c r="H923" s="251">
        <v>1.1000000000000001</v>
      </c>
      <c r="I923" s="251"/>
      <c r="J923" s="253"/>
      <c r="K923" s="254">
        <f t="shared" ref="K923:K928" si="22">IF(E923*F923*G923&lt;&gt;0,E923*F923*G923,IF(E923*F923&lt;&gt;0,E923*F923,IF(F923*G923&lt;&gt;0,F923*G923,IF(E923*G923&lt;&gt;0,E923*G923,IF(E923&lt;&gt;0,E923,IF(F923&lt;&gt;0,F923,IF(G923&lt;&gt;0,G923,0)))))))*(IF(H923&lt;&gt;0,H923,1))+I923-J923</f>
        <v>711.28422090000004</v>
      </c>
      <c r="L923" s="255"/>
    </row>
    <row r="924" spans="2:12">
      <c r="B924" s="205" t="s">
        <v>1512</v>
      </c>
      <c r="C924" s="250" t="s">
        <v>1441</v>
      </c>
      <c r="D924" s="205" t="s">
        <v>1274</v>
      </c>
      <c r="E924" s="251">
        <v>47.06</v>
      </c>
      <c r="F924" s="252">
        <v>3.8530000000000002</v>
      </c>
      <c r="G924" s="251">
        <v>0.45</v>
      </c>
      <c r="H924" s="251">
        <v>1.1000000000000001</v>
      </c>
      <c r="I924" s="251"/>
      <c r="J924" s="253"/>
      <c r="K924" s="254">
        <f t="shared" si="22"/>
        <v>89.754479100000026</v>
      </c>
      <c r="L924" s="255"/>
    </row>
    <row r="925" spans="2:12">
      <c r="B925" s="205" t="s">
        <v>1513</v>
      </c>
      <c r="C925" s="250" t="s">
        <v>1441</v>
      </c>
      <c r="D925" s="205" t="s">
        <v>1274</v>
      </c>
      <c r="E925" s="251">
        <v>6</v>
      </c>
      <c r="F925" s="252">
        <v>3.8530000000000002</v>
      </c>
      <c r="G925" s="251"/>
      <c r="H925" s="251">
        <v>1.1000000000000001</v>
      </c>
      <c r="I925" s="251"/>
      <c r="J925" s="253"/>
      <c r="K925" s="254">
        <f t="shared" si="22"/>
        <v>25.429800000000004</v>
      </c>
      <c r="L925" s="255"/>
    </row>
    <row r="926" spans="2:12">
      <c r="B926" s="205" t="s">
        <v>1514</v>
      </c>
      <c r="C926" s="250" t="s">
        <v>1441</v>
      </c>
      <c r="D926" s="205" t="s">
        <v>1274</v>
      </c>
      <c r="E926" s="251">
        <v>3</v>
      </c>
      <c r="F926" s="252">
        <v>3.8530000000000002</v>
      </c>
      <c r="G926" s="251"/>
      <c r="H926" s="251">
        <v>1.1000000000000001</v>
      </c>
      <c r="I926" s="251"/>
      <c r="J926" s="253"/>
      <c r="K926" s="254">
        <f t="shared" si="22"/>
        <v>12.714900000000002</v>
      </c>
      <c r="L926" s="255"/>
    </row>
    <row r="927" spans="2:12">
      <c r="B927" s="205"/>
      <c r="C927" s="250" t="s">
        <v>1441</v>
      </c>
      <c r="D927" s="205" t="s">
        <v>1274</v>
      </c>
      <c r="E927" s="251"/>
      <c r="F927" s="252"/>
      <c r="G927" s="251"/>
      <c r="H927" s="251"/>
      <c r="I927" s="251"/>
      <c r="J927" s="253"/>
      <c r="K927" s="254">
        <f t="shared" si="22"/>
        <v>0</v>
      </c>
      <c r="L927" s="255"/>
    </row>
    <row r="928" spans="2:12">
      <c r="B928" s="256"/>
      <c r="C928" s="210"/>
      <c r="D928" s="210"/>
      <c r="E928" s="257"/>
      <c r="F928" s="258"/>
      <c r="G928" s="257"/>
      <c r="H928" s="257"/>
      <c r="I928" s="257"/>
      <c r="J928" s="259"/>
      <c r="K928" s="260">
        <f t="shared" si="22"/>
        <v>0</v>
      </c>
      <c r="L928" s="210"/>
    </row>
    <row r="929" spans="2:12">
      <c r="B929" s="202"/>
      <c r="C929" s="203"/>
      <c r="D929" s="203"/>
      <c r="E929" s="203"/>
      <c r="F929" s="203"/>
      <c r="G929" s="203"/>
      <c r="H929" s="204"/>
      <c r="I929" s="556" t="s">
        <v>1221</v>
      </c>
      <c r="J929" s="556"/>
      <c r="K929" s="220">
        <f>SUM(K923:K928)</f>
        <v>839.18340000000012</v>
      </c>
      <c r="L929" s="207"/>
    </row>
    <row r="930" spans="2:12">
      <c r="B930" s="208"/>
      <c r="C930" s="204"/>
      <c r="D930" s="204"/>
      <c r="E930" s="204"/>
      <c r="F930" s="204"/>
      <c r="G930" s="204"/>
      <c r="H930" s="209"/>
      <c r="I930" s="557" t="s">
        <v>1222</v>
      </c>
      <c r="J930" s="557"/>
      <c r="K930" s="221">
        <f>VLOOKUP(B921,'BM 004'!$B$27:$R$590,4,0)</f>
        <v>5166.7</v>
      </c>
      <c r="L930" s="207"/>
    </row>
    <row r="931" spans="2:12">
      <c r="B931" s="208"/>
      <c r="C931" s="204"/>
      <c r="D931" s="204"/>
      <c r="E931" s="204"/>
      <c r="F931" s="204"/>
      <c r="G931" s="204"/>
      <c r="H931" s="558" t="s">
        <v>1223</v>
      </c>
      <c r="I931" s="558"/>
      <c r="J931" s="558"/>
      <c r="K931" s="222"/>
      <c r="L931" s="207"/>
    </row>
    <row r="932" spans="2:12">
      <c r="B932" s="208"/>
      <c r="C932" s="204"/>
      <c r="D932" s="204"/>
      <c r="E932" s="204"/>
      <c r="F932" s="204"/>
      <c r="G932" s="204"/>
      <c r="H932" s="558" t="s">
        <v>1431</v>
      </c>
      <c r="I932" s="558"/>
      <c r="J932" s="558"/>
      <c r="K932" s="222">
        <f>TRUNC(SUMIF(C923:C928,H932,K923:K928),2)</f>
        <v>839.18</v>
      </c>
      <c r="L932" s="207"/>
    </row>
    <row r="933" spans="2:12">
      <c r="B933" s="213"/>
      <c r="C933" s="214"/>
      <c r="D933" s="214"/>
      <c r="E933" s="214"/>
      <c r="F933" s="214"/>
      <c r="G933" s="214"/>
      <c r="H933" s="559" t="s">
        <v>1224</v>
      </c>
      <c r="I933" s="559"/>
      <c r="J933" s="559"/>
      <c r="K933" s="223">
        <f>IF(K929&gt;K930,K929-K930,0)</f>
        <v>0</v>
      </c>
      <c r="L933" s="209"/>
    </row>
    <row r="935" spans="2:12">
      <c r="B935" s="247" t="s">
        <v>254</v>
      </c>
      <c r="C935" s="565" t="str">
        <f>VLOOKUP(B935,'BM 004'!$B$27:$R$590,2,0)</f>
        <v xml:space="preserve">Concreto simples usinado fck=35mpa, bombeado, lançado e adensado em superestrutura </v>
      </c>
      <c r="D935" s="565"/>
      <c r="E935" s="565"/>
      <c r="F935" s="565"/>
      <c r="G935" s="565"/>
      <c r="H935" s="565"/>
      <c r="I935" s="565"/>
      <c r="J935" s="565"/>
      <c r="K935" s="565"/>
      <c r="L935" s="565"/>
    </row>
    <row r="936" spans="2:12">
      <c r="B936" s="248" t="s">
        <v>1209</v>
      </c>
      <c r="C936" s="248"/>
      <c r="D936" s="248" t="s">
        <v>39</v>
      </c>
      <c r="E936" s="248" t="s">
        <v>1210</v>
      </c>
      <c r="F936" s="248" t="s">
        <v>1388</v>
      </c>
      <c r="G936" s="248" t="s">
        <v>1212</v>
      </c>
      <c r="H936" s="248" t="s">
        <v>1213</v>
      </c>
      <c r="I936" s="248" t="s">
        <v>1214</v>
      </c>
      <c r="J936" s="248" t="s">
        <v>1385</v>
      </c>
      <c r="K936" s="248" t="s">
        <v>1216</v>
      </c>
      <c r="L936" s="248" t="s">
        <v>1217</v>
      </c>
    </row>
    <row r="937" spans="2:12">
      <c r="B937" s="205" t="s">
        <v>1501</v>
      </c>
      <c r="C937" s="250" t="s">
        <v>1441</v>
      </c>
      <c r="D937" s="205" t="s">
        <v>169</v>
      </c>
      <c r="E937" s="251">
        <v>1</v>
      </c>
      <c r="F937" s="252">
        <v>7</v>
      </c>
      <c r="G937" s="251">
        <v>5.91</v>
      </c>
      <c r="H937" s="251">
        <v>0.3</v>
      </c>
      <c r="I937" s="251"/>
      <c r="J937" s="253">
        <v>6.3423999999999996</v>
      </c>
      <c r="K937" s="254">
        <f t="shared" ref="K937:K951" si="23">IF(E937*F937*G937&lt;&gt;0,E937*F937*G937,IF(E937*F937&lt;&gt;0,E937*F937,IF(F937*G937&lt;&gt;0,F937*G937,IF(E937*G937&lt;&gt;0,E937*G937,IF(E937&lt;&gt;0,E937,IF(F937&lt;&gt;0,F937,IF(G937&lt;&gt;0,G937,0)))))))*(IF(H937&lt;&gt;0,H937,1))+I937-J937</f>
        <v>6.0686000000000018</v>
      </c>
      <c r="L937" s="255" t="s">
        <v>1518</v>
      </c>
    </row>
    <row r="938" spans="2:12">
      <c r="B938" s="205" t="s">
        <v>1502</v>
      </c>
      <c r="C938" s="250" t="s">
        <v>1441</v>
      </c>
      <c r="D938" s="205" t="s">
        <v>169</v>
      </c>
      <c r="E938" s="251">
        <v>1</v>
      </c>
      <c r="F938" s="252">
        <v>13.72</v>
      </c>
      <c r="G938" s="251">
        <v>5.91</v>
      </c>
      <c r="H938" s="251">
        <v>0.3</v>
      </c>
      <c r="I938" s="251"/>
      <c r="J938" s="253">
        <v>12.56235</v>
      </c>
      <c r="K938" s="254">
        <f t="shared" si="23"/>
        <v>11.763209999999999</v>
      </c>
      <c r="L938" s="255" t="s">
        <v>1518</v>
      </c>
    </row>
    <row r="939" spans="2:12">
      <c r="B939" s="205" t="s">
        <v>1503</v>
      </c>
      <c r="C939" s="250" t="s">
        <v>1441</v>
      </c>
      <c r="D939" s="205" t="s">
        <v>169</v>
      </c>
      <c r="E939" s="251">
        <v>1</v>
      </c>
      <c r="F939" s="252">
        <v>14.35</v>
      </c>
      <c r="G939" s="251">
        <v>3.73</v>
      </c>
      <c r="H939" s="251">
        <v>0.25</v>
      </c>
      <c r="I939" s="251"/>
      <c r="J939" s="253">
        <v>6.8421599999999998</v>
      </c>
      <c r="K939" s="254">
        <f t="shared" si="23"/>
        <v>6.5392150000000004</v>
      </c>
      <c r="L939" s="255" t="s">
        <v>1519</v>
      </c>
    </row>
    <row r="940" spans="2:12">
      <c r="B940" s="205" t="s">
        <v>1504</v>
      </c>
      <c r="C940" s="250" t="s">
        <v>1441</v>
      </c>
      <c r="D940" s="205" t="s">
        <v>169</v>
      </c>
      <c r="E940" s="251">
        <v>1</v>
      </c>
      <c r="F940" s="252">
        <v>6.49</v>
      </c>
      <c r="G940" s="251">
        <v>3.73</v>
      </c>
      <c r="H940" s="251">
        <v>0.25</v>
      </c>
      <c r="I940" s="251"/>
      <c r="J940" s="253">
        <v>2.8173599999999999</v>
      </c>
      <c r="K940" s="254">
        <f t="shared" si="23"/>
        <v>3.2345649999999999</v>
      </c>
      <c r="L940" s="255" t="s">
        <v>1519</v>
      </c>
    </row>
    <row r="941" spans="2:12">
      <c r="B941" s="205" t="s">
        <v>1505</v>
      </c>
      <c r="C941" s="250" t="s">
        <v>1441</v>
      </c>
      <c r="D941" s="205" t="s">
        <v>169</v>
      </c>
      <c r="E941" s="251">
        <v>1</v>
      </c>
      <c r="F941" s="252">
        <v>7.49</v>
      </c>
      <c r="G941" s="251">
        <v>1.81</v>
      </c>
      <c r="H941" s="251">
        <v>0.25</v>
      </c>
      <c r="I941" s="251"/>
      <c r="J941" s="253">
        <v>1.55844</v>
      </c>
      <c r="K941" s="254">
        <f t="shared" si="23"/>
        <v>1.8307850000000001</v>
      </c>
      <c r="L941" s="255" t="s">
        <v>1519</v>
      </c>
    </row>
    <row r="942" spans="2:12">
      <c r="B942" s="205" t="s">
        <v>1506</v>
      </c>
      <c r="C942" s="250" t="s">
        <v>1441</v>
      </c>
      <c r="D942" s="205" t="s">
        <v>169</v>
      </c>
      <c r="E942" s="251">
        <v>1</v>
      </c>
      <c r="F942" s="252">
        <v>7.1</v>
      </c>
      <c r="G942" s="251">
        <v>1.81</v>
      </c>
      <c r="H942" s="251">
        <v>0.25</v>
      </c>
      <c r="I942" s="251"/>
      <c r="J942" s="253">
        <v>1.3852800000000001</v>
      </c>
      <c r="K942" s="254">
        <f t="shared" si="23"/>
        <v>1.8274699999999997</v>
      </c>
      <c r="L942" s="255" t="s">
        <v>1519</v>
      </c>
    </row>
    <row r="943" spans="2:12">
      <c r="B943" s="205" t="s">
        <v>1507</v>
      </c>
      <c r="C943" s="250" t="s">
        <v>1441</v>
      </c>
      <c r="D943" s="205" t="s">
        <v>169</v>
      </c>
      <c r="E943" s="251">
        <v>1</v>
      </c>
      <c r="F943" s="252">
        <v>7.05</v>
      </c>
      <c r="G943" s="251">
        <v>1.81</v>
      </c>
      <c r="H943" s="251">
        <v>0.25</v>
      </c>
      <c r="I943" s="251"/>
      <c r="J943" s="253">
        <v>1.3852800000000001</v>
      </c>
      <c r="K943" s="254">
        <f t="shared" si="23"/>
        <v>1.804845</v>
      </c>
      <c r="L943" s="255" t="s">
        <v>1519</v>
      </c>
    </row>
    <row r="944" spans="2:12">
      <c r="B944" s="205" t="s">
        <v>1508</v>
      </c>
      <c r="C944" s="250" t="s">
        <v>1441</v>
      </c>
      <c r="D944" s="205" t="s">
        <v>169</v>
      </c>
      <c r="E944" s="251">
        <v>1</v>
      </c>
      <c r="F944" s="252">
        <v>22.04</v>
      </c>
      <c r="G944" s="251">
        <v>5.8</v>
      </c>
      <c r="H944" s="251">
        <v>0.25</v>
      </c>
      <c r="I944" s="251"/>
      <c r="J944" s="253">
        <v>16.595279999999999</v>
      </c>
      <c r="K944" s="254">
        <f t="shared" si="23"/>
        <v>15.362719999999999</v>
      </c>
      <c r="L944" s="255" t="s">
        <v>1519</v>
      </c>
    </row>
    <row r="945" spans="2:12">
      <c r="B945" s="205" t="s">
        <v>1509</v>
      </c>
      <c r="C945" s="250" t="s">
        <v>1441</v>
      </c>
      <c r="D945" s="205" t="s">
        <v>169</v>
      </c>
      <c r="E945" s="251">
        <v>1</v>
      </c>
      <c r="F945" s="252">
        <v>22.04</v>
      </c>
      <c r="G945" s="251">
        <v>5.69</v>
      </c>
      <c r="H945" s="251">
        <v>0.25</v>
      </c>
      <c r="I945" s="251"/>
      <c r="J945" s="253">
        <v>15.54228</v>
      </c>
      <c r="K945" s="254">
        <f t="shared" si="23"/>
        <v>15.809620000000001</v>
      </c>
      <c r="L945" s="255" t="s">
        <v>1519</v>
      </c>
    </row>
    <row r="946" spans="2:12">
      <c r="B946" s="205" t="s">
        <v>1496</v>
      </c>
      <c r="C946" s="250" t="s">
        <v>1441</v>
      </c>
      <c r="D946" s="205" t="s">
        <v>169</v>
      </c>
      <c r="E946" s="251">
        <v>1</v>
      </c>
      <c r="F946" s="252">
        <v>5.85</v>
      </c>
      <c r="G946" s="251">
        <v>0.49</v>
      </c>
      <c r="H946" s="251">
        <v>0.12</v>
      </c>
      <c r="I946" s="251"/>
      <c r="J946" s="253"/>
      <c r="K946" s="254">
        <f t="shared" si="23"/>
        <v>0.34397999999999995</v>
      </c>
      <c r="L946" s="255"/>
    </row>
    <row r="947" spans="2:12">
      <c r="B947" s="205" t="s">
        <v>1497</v>
      </c>
      <c r="C947" s="250" t="s">
        <v>1441</v>
      </c>
      <c r="D947" s="205" t="s">
        <v>169</v>
      </c>
      <c r="E947" s="251">
        <v>1</v>
      </c>
      <c r="F947" s="252">
        <v>3.83</v>
      </c>
      <c r="G947" s="251">
        <v>0.49</v>
      </c>
      <c r="H947" s="251">
        <v>0.12</v>
      </c>
      <c r="I947" s="251"/>
      <c r="J947" s="253"/>
      <c r="K947" s="254">
        <f t="shared" si="23"/>
        <v>0.22520399999999999</v>
      </c>
      <c r="L947" s="255"/>
    </row>
    <row r="948" spans="2:12">
      <c r="B948" s="205" t="s">
        <v>1498</v>
      </c>
      <c r="C948" s="250" t="s">
        <v>1441</v>
      </c>
      <c r="D948" s="205" t="s">
        <v>169</v>
      </c>
      <c r="E948" s="251">
        <v>1</v>
      </c>
      <c r="F948" s="252">
        <v>5.93</v>
      </c>
      <c r="G948" s="251">
        <v>1.92</v>
      </c>
      <c r="H948" s="251">
        <v>0.15</v>
      </c>
      <c r="I948" s="251"/>
      <c r="J948" s="253"/>
      <c r="K948" s="254">
        <f t="shared" si="23"/>
        <v>1.7078399999999998</v>
      </c>
      <c r="L948" s="255"/>
    </row>
    <row r="949" spans="2:12">
      <c r="B949" s="205" t="s">
        <v>1499</v>
      </c>
      <c r="C949" s="250" t="s">
        <v>1441</v>
      </c>
      <c r="D949" s="205" t="s">
        <v>169</v>
      </c>
      <c r="E949" s="251">
        <v>1</v>
      </c>
      <c r="F949" s="252">
        <v>7.62</v>
      </c>
      <c r="G949" s="251">
        <v>1.92</v>
      </c>
      <c r="H949" s="251">
        <v>0.15</v>
      </c>
      <c r="I949" s="251"/>
      <c r="J949" s="253"/>
      <c r="K949" s="254">
        <f t="shared" si="23"/>
        <v>2.1945600000000001</v>
      </c>
      <c r="L949" s="255"/>
    </row>
    <row r="950" spans="2:12">
      <c r="B950" s="205" t="s">
        <v>1500</v>
      </c>
      <c r="C950" s="250" t="s">
        <v>1441</v>
      </c>
      <c r="D950" s="205" t="s">
        <v>169</v>
      </c>
      <c r="E950" s="251">
        <v>1</v>
      </c>
      <c r="F950" s="252">
        <v>4.42</v>
      </c>
      <c r="G950" s="251">
        <v>2.74</v>
      </c>
      <c r="H950" s="251">
        <v>0.15</v>
      </c>
      <c r="I950" s="251"/>
      <c r="J950" s="253"/>
      <c r="K950" s="254">
        <f t="shared" si="23"/>
        <v>1.8166200000000001</v>
      </c>
      <c r="L950" s="255"/>
    </row>
    <row r="951" spans="2:12">
      <c r="B951" s="256"/>
      <c r="C951" s="210"/>
      <c r="D951" s="210"/>
      <c r="E951" s="257"/>
      <c r="F951" s="258"/>
      <c r="G951" s="257"/>
      <c r="H951" s="257"/>
      <c r="I951" s="257"/>
      <c r="J951" s="259"/>
      <c r="K951" s="260">
        <f t="shared" si="23"/>
        <v>0</v>
      </c>
      <c r="L951" s="210"/>
    </row>
    <row r="952" spans="2:12">
      <c r="B952" s="202"/>
      <c r="C952" s="203"/>
      <c r="D952" s="203"/>
      <c r="E952" s="203"/>
      <c r="F952" s="203"/>
      <c r="G952" s="203"/>
      <c r="H952" s="204"/>
      <c r="I952" s="556" t="s">
        <v>1221</v>
      </c>
      <c r="J952" s="556"/>
      <c r="K952" s="220">
        <f>SUM(K937:K951)</f>
        <v>70.529234000000002</v>
      </c>
      <c r="L952" s="207"/>
    </row>
    <row r="953" spans="2:12">
      <c r="B953" s="208"/>
      <c r="C953" s="204"/>
      <c r="D953" s="204"/>
      <c r="E953" s="204"/>
      <c r="F953" s="204"/>
      <c r="G953" s="204"/>
      <c r="H953" s="209"/>
      <c r="I953" s="557" t="s">
        <v>1222</v>
      </c>
      <c r="J953" s="557"/>
      <c r="K953" s="221">
        <f>VLOOKUP(B935,'BM 004'!$B$27:$R$590,4,0)</f>
        <v>803.99</v>
      </c>
      <c r="L953" s="207"/>
    </row>
    <row r="954" spans="2:12">
      <c r="B954" s="208"/>
      <c r="C954" s="204"/>
      <c r="D954" s="204"/>
      <c r="E954" s="204"/>
      <c r="F954" s="204"/>
      <c r="G954" s="204"/>
      <c r="H954" s="558" t="s">
        <v>1223</v>
      </c>
      <c r="I954" s="558"/>
      <c r="J954" s="558"/>
      <c r="K954" s="222"/>
      <c r="L954" s="207"/>
    </row>
    <row r="955" spans="2:12">
      <c r="B955" s="208"/>
      <c r="C955" s="204"/>
      <c r="D955" s="204"/>
      <c r="E955" s="204"/>
      <c r="F955" s="204"/>
      <c r="G955" s="204"/>
      <c r="H955" s="558" t="s">
        <v>1431</v>
      </c>
      <c r="I955" s="558"/>
      <c r="J955" s="558"/>
      <c r="K955" s="222">
        <f>TRUNC(SUMIF(C937:C951,H955,K937:K951),2)</f>
        <v>70.52</v>
      </c>
      <c r="L955" s="207"/>
    </row>
    <row r="956" spans="2:12">
      <c r="B956" s="213"/>
      <c r="C956" s="214"/>
      <c r="D956" s="214"/>
      <c r="E956" s="214"/>
      <c r="F956" s="214"/>
      <c r="G956" s="214"/>
      <c r="H956" s="559" t="s">
        <v>1224</v>
      </c>
      <c r="I956" s="559"/>
      <c r="J956" s="559"/>
      <c r="K956" s="223">
        <f>IF(K952&gt;K953,K952-K953,0)</f>
        <v>0</v>
      </c>
      <c r="L956" s="209"/>
    </row>
  </sheetData>
  <mergeCells count="370">
    <mergeCell ref="H956:J956"/>
    <mergeCell ref="I930:J930"/>
    <mergeCell ref="H931:J931"/>
    <mergeCell ref="H932:J932"/>
    <mergeCell ref="H933:J933"/>
    <mergeCell ref="C935:L935"/>
    <mergeCell ref="I952:J952"/>
    <mergeCell ref="I953:J953"/>
    <mergeCell ref="H954:J954"/>
    <mergeCell ref="H955:J955"/>
    <mergeCell ref="H905:J905"/>
    <mergeCell ref="C907:L907"/>
    <mergeCell ref="I915:J915"/>
    <mergeCell ref="I916:J916"/>
    <mergeCell ref="H917:J917"/>
    <mergeCell ref="H918:J918"/>
    <mergeCell ref="H919:J919"/>
    <mergeCell ref="C921:L921"/>
    <mergeCell ref="I929:J929"/>
    <mergeCell ref="I888:J888"/>
    <mergeCell ref="H889:J889"/>
    <mergeCell ref="H890:J890"/>
    <mergeCell ref="H891:J891"/>
    <mergeCell ref="C893:L893"/>
    <mergeCell ref="I901:J901"/>
    <mergeCell ref="I902:J902"/>
    <mergeCell ref="H903:J903"/>
    <mergeCell ref="H904:J904"/>
    <mergeCell ref="H863:J863"/>
    <mergeCell ref="C865:L865"/>
    <mergeCell ref="I873:J873"/>
    <mergeCell ref="I874:J874"/>
    <mergeCell ref="H875:J875"/>
    <mergeCell ref="H876:J876"/>
    <mergeCell ref="H877:J877"/>
    <mergeCell ref="C879:L879"/>
    <mergeCell ref="I887:J887"/>
    <mergeCell ref="I847:J847"/>
    <mergeCell ref="H848:J848"/>
    <mergeCell ref="H849:J849"/>
    <mergeCell ref="H850:J850"/>
    <mergeCell ref="C852:L852"/>
    <mergeCell ref="I859:J859"/>
    <mergeCell ref="I860:J860"/>
    <mergeCell ref="H861:J861"/>
    <mergeCell ref="H862:J862"/>
    <mergeCell ref="H816:J816"/>
    <mergeCell ref="C818:L818"/>
    <mergeCell ref="I831:J831"/>
    <mergeCell ref="I832:J832"/>
    <mergeCell ref="H833:J833"/>
    <mergeCell ref="H834:J834"/>
    <mergeCell ref="H835:J835"/>
    <mergeCell ref="C837:L837"/>
    <mergeCell ref="I846:J846"/>
    <mergeCell ref="I799:J799"/>
    <mergeCell ref="H800:J800"/>
    <mergeCell ref="H801:J801"/>
    <mergeCell ref="H802:J802"/>
    <mergeCell ref="C804:L804"/>
    <mergeCell ref="I812:J812"/>
    <mergeCell ref="I813:J813"/>
    <mergeCell ref="H814:J814"/>
    <mergeCell ref="H815:J815"/>
    <mergeCell ref="H728:J728"/>
    <mergeCell ref="C730:L730"/>
    <mergeCell ref="I735:J735"/>
    <mergeCell ref="I736:J736"/>
    <mergeCell ref="H737:J737"/>
    <mergeCell ref="H738:J738"/>
    <mergeCell ref="H739:J739"/>
    <mergeCell ref="C741:L741"/>
    <mergeCell ref="I798:J798"/>
    <mergeCell ref="I714:J714"/>
    <mergeCell ref="H715:J715"/>
    <mergeCell ref="H716:J716"/>
    <mergeCell ref="H717:J717"/>
    <mergeCell ref="C719:L719"/>
    <mergeCell ref="I724:J724"/>
    <mergeCell ref="I725:J725"/>
    <mergeCell ref="H726:J726"/>
    <mergeCell ref="H727:J727"/>
    <mergeCell ref="H695:J695"/>
    <mergeCell ref="C697:L697"/>
    <mergeCell ref="I702:J702"/>
    <mergeCell ref="I703:J703"/>
    <mergeCell ref="H704:J704"/>
    <mergeCell ref="H705:J705"/>
    <mergeCell ref="H706:J706"/>
    <mergeCell ref="C708:L708"/>
    <mergeCell ref="I713:J713"/>
    <mergeCell ref="I681:J681"/>
    <mergeCell ref="H682:J682"/>
    <mergeCell ref="H683:J683"/>
    <mergeCell ref="H684:J684"/>
    <mergeCell ref="C686:L686"/>
    <mergeCell ref="I691:J691"/>
    <mergeCell ref="I692:J692"/>
    <mergeCell ref="H693:J693"/>
    <mergeCell ref="H694:J694"/>
    <mergeCell ref="H662:J662"/>
    <mergeCell ref="C664:L664"/>
    <mergeCell ref="I669:J669"/>
    <mergeCell ref="I670:J670"/>
    <mergeCell ref="H671:J671"/>
    <mergeCell ref="H672:J672"/>
    <mergeCell ref="H673:J673"/>
    <mergeCell ref="C675:L675"/>
    <mergeCell ref="I680:J680"/>
    <mergeCell ref="I648:J648"/>
    <mergeCell ref="H649:J649"/>
    <mergeCell ref="H650:J650"/>
    <mergeCell ref="H651:J651"/>
    <mergeCell ref="C653:L653"/>
    <mergeCell ref="I658:J658"/>
    <mergeCell ref="I659:J659"/>
    <mergeCell ref="H660:J660"/>
    <mergeCell ref="H661:J661"/>
    <mergeCell ref="H606:J606"/>
    <mergeCell ref="C608:L608"/>
    <mergeCell ref="I616:J616"/>
    <mergeCell ref="I617:J617"/>
    <mergeCell ref="H618:J618"/>
    <mergeCell ref="H619:J619"/>
    <mergeCell ref="H620:J620"/>
    <mergeCell ref="C622:L622"/>
    <mergeCell ref="I647:J647"/>
    <mergeCell ref="I589:J589"/>
    <mergeCell ref="H590:J590"/>
    <mergeCell ref="H591:J591"/>
    <mergeCell ref="H592:J592"/>
    <mergeCell ref="C594:L594"/>
    <mergeCell ref="I602:J602"/>
    <mergeCell ref="I603:J603"/>
    <mergeCell ref="H604:J604"/>
    <mergeCell ref="H605:J605"/>
    <mergeCell ref="H564:J564"/>
    <mergeCell ref="C566:L566"/>
    <mergeCell ref="I575:J575"/>
    <mergeCell ref="I576:J576"/>
    <mergeCell ref="H577:J577"/>
    <mergeCell ref="H578:J578"/>
    <mergeCell ref="H579:J579"/>
    <mergeCell ref="C581:L581"/>
    <mergeCell ref="I588:J588"/>
    <mergeCell ref="I548:J548"/>
    <mergeCell ref="H549:J549"/>
    <mergeCell ref="H550:J550"/>
    <mergeCell ref="H551:J551"/>
    <mergeCell ref="C553:L553"/>
    <mergeCell ref="I560:J560"/>
    <mergeCell ref="I561:J561"/>
    <mergeCell ref="H562:J562"/>
    <mergeCell ref="H563:J563"/>
    <mergeCell ref="H524:J524"/>
    <mergeCell ref="C526:L526"/>
    <mergeCell ref="I533:J533"/>
    <mergeCell ref="I534:J534"/>
    <mergeCell ref="H535:J535"/>
    <mergeCell ref="H536:J536"/>
    <mergeCell ref="H537:J537"/>
    <mergeCell ref="C539:L539"/>
    <mergeCell ref="I547:J547"/>
    <mergeCell ref="I508:J508"/>
    <mergeCell ref="H509:J509"/>
    <mergeCell ref="H510:J510"/>
    <mergeCell ref="H511:J511"/>
    <mergeCell ref="C513:L513"/>
    <mergeCell ref="I520:J520"/>
    <mergeCell ref="I521:J521"/>
    <mergeCell ref="H522:J522"/>
    <mergeCell ref="H523:J523"/>
    <mergeCell ref="H444:J444"/>
    <mergeCell ref="B446:L446"/>
    <mergeCell ref="I476:J476"/>
    <mergeCell ref="I477:J477"/>
    <mergeCell ref="H478:J478"/>
    <mergeCell ref="H479:J479"/>
    <mergeCell ref="H480:J480"/>
    <mergeCell ref="C482:L482"/>
    <mergeCell ref="I507:J507"/>
    <mergeCell ref="I430:J430"/>
    <mergeCell ref="H431:J431"/>
    <mergeCell ref="H432:J432"/>
    <mergeCell ref="H433:J433"/>
    <mergeCell ref="B435:L435"/>
    <mergeCell ref="I440:J440"/>
    <mergeCell ref="I441:J441"/>
    <mergeCell ref="H442:J442"/>
    <mergeCell ref="H443:J443"/>
    <mergeCell ref="H411:J411"/>
    <mergeCell ref="B413:L413"/>
    <mergeCell ref="I418:J418"/>
    <mergeCell ref="I419:J419"/>
    <mergeCell ref="H420:J420"/>
    <mergeCell ref="H421:J421"/>
    <mergeCell ref="H422:J422"/>
    <mergeCell ref="B424:L424"/>
    <mergeCell ref="I429:J429"/>
    <mergeCell ref="I397:J397"/>
    <mergeCell ref="H398:J398"/>
    <mergeCell ref="H399:J399"/>
    <mergeCell ref="H400:J400"/>
    <mergeCell ref="B402:L402"/>
    <mergeCell ref="I407:J407"/>
    <mergeCell ref="I408:J408"/>
    <mergeCell ref="H409:J409"/>
    <mergeCell ref="H410:J410"/>
    <mergeCell ref="H377:J377"/>
    <mergeCell ref="B379:L379"/>
    <mergeCell ref="I385:J385"/>
    <mergeCell ref="I386:J386"/>
    <mergeCell ref="H387:J387"/>
    <mergeCell ref="H388:J388"/>
    <mergeCell ref="H389:J389"/>
    <mergeCell ref="B391:L391"/>
    <mergeCell ref="I396:J396"/>
    <mergeCell ref="I320:J320"/>
    <mergeCell ref="H321:J321"/>
    <mergeCell ref="H322:J322"/>
    <mergeCell ref="H323:J323"/>
    <mergeCell ref="B325:L325"/>
    <mergeCell ref="I373:J373"/>
    <mergeCell ref="I374:J374"/>
    <mergeCell ref="H375:J375"/>
    <mergeCell ref="H376:J376"/>
    <mergeCell ref="H300:J300"/>
    <mergeCell ref="B302:L302"/>
    <mergeCell ref="I307:J307"/>
    <mergeCell ref="I308:J308"/>
    <mergeCell ref="H309:J309"/>
    <mergeCell ref="H310:J310"/>
    <mergeCell ref="H311:J311"/>
    <mergeCell ref="B313:L313"/>
    <mergeCell ref="I319:J319"/>
    <mergeCell ref="I286:J286"/>
    <mergeCell ref="H287:J287"/>
    <mergeCell ref="H288:J288"/>
    <mergeCell ref="H289:J289"/>
    <mergeCell ref="B291:L291"/>
    <mergeCell ref="I296:J296"/>
    <mergeCell ref="I297:J297"/>
    <mergeCell ref="H298:J298"/>
    <mergeCell ref="H299:J299"/>
    <mergeCell ref="H266:J266"/>
    <mergeCell ref="B268:L268"/>
    <mergeCell ref="I274:J274"/>
    <mergeCell ref="I275:J275"/>
    <mergeCell ref="H276:J276"/>
    <mergeCell ref="H277:J277"/>
    <mergeCell ref="H278:J278"/>
    <mergeCell ref="B280:L280"/>
    <mergeCell ref="I285:J285"/>
    <mergeCell ref="I252:J252"/>
    <mergeCell ref="H253:J253"/>
    <mergeCell ref="H254:J254"/>
    <mergeCell ref="H255:J255"/>
    <mergeCell ref="B257:L257"/>
    <mergeCell ref="I262:J262"/>
    <mergeCell ref="I263:J263"/>
    <mergeCell ref="H264:J264"/>
    <mergeCell ref="H265:J265"/>
    <mergeCell ref="H182:J182"/>
    <mergeCell ref="B184:L184"/>
    <mergeCell ref="I239:J239"/>
    <mergeCell ref="I240:J240"/>
    <mergeCell ref="H241:J241"/>
    <mergeCell ref="H242:J242"/>
    <mergeCell ref="H243:J243"/>
    <mergeCell ref="B245:L245"/>
    <mergeCell ref="I251:J251"/>
    <mergeCell ref="I168:J168"/>
    <mergeCell ref="H169:J169"/>
    <mergeCell ref="H170:J170"/>
    <mergeCell ref="H171:J171"/>
    <mergeCell ref="B173:L173"/>
    <mergeCell ref="I178:J178"/>
    <mergeCell ref="I179:J179"/>
    <mergeCell ref="H180:J180"/>
    <mergeCell ref="H181:J181"/>
    <mergeCell ref="H150:J150"/>
    <mergeCell ref="B152:L152"/>
    <mergeCell ref="I156:J156"/>
    <mergeCell ref="I157:J157"/>
    <mergeCell ref="H158:J158"/>
    <mergeCell ref="H159:J159"/>
    <mergeCell ref="H160:J160"/>
    <mergeCell ref="B162:L162"/>
    <mergeCell ref="I167:J167"/>
    <mergeCell ref="I137:J137"/>
    <mergeCell ref="H138:J138"/>
    <mergeCell ref="H139:J139"/>
    <mergeCell ref="H140:J140"/>
    <mergeCell ref="B142:L142"/>
    <mergeCell ref="I146:J146"/>
    <mergeCell ref="I147:J147"/>
    <mergeCell ref="H148:J148"/>
    <mergeCell ref="H149:J149"/>
    <mergeCell ref="H117:J117"/>
    <mergeCell ref="B119:L119"/>
    <mergeCell ref="I125:J125"/>
    <mergeCell ref="I126:J126"/>
    <mergeCell ref="H127:J127"/>
    <mergeCell ref="H128:J128"/>
    <mergeCell ref="H129:J129"/>
    <mergeCell ref="B131:L131"/>
    <mergeCell ref="I136:J136"/>
    <mergeCell ref="I102:J102"/>
    <mergeCell ref="H103:J103"/>
    <mergeCell ref="H104:J104"/>
    <mergeCell ref="H105:J105"/>
    <mergeCell ref="B107:L107"/>
    <mergeCell ref="I113:J113"/>
    <mergeCell ref="I114:J114"/>
    <mergeCell ref="H115:J115"/>
    <mergeCell ref="H116:J116"/>
    <mergeCell ref="H84:J84"/>
    <mergeCell ref="B86:L86"/>
    <mergeCell ref="I90:J90"/>
    <mergeCell ref="I91:J91"/>
    <mergeCell ref="H92:J92"/>
    <mergeCell ref="H93:J93"/>
    <mergeCell ref="H94:J94"/>
    <mergeCell ref="B96:L96"/>
    <mergeCell ref="I101:J101"/>
    <mergeCell ref="I71:J71"/>
    <mergeCell ref="H72:J72"/>
    <mergeCell ref="H73:J73"/>
    <mergeCell ref="H74:J74"/>
    <mergeCell ref="B76:L76"/>
    <mergeCell ref="I80:J80"/>
    <mergeCell ref="I81:J81"/>
    <mergeCell ref="H82:J82"/>
    <mergeCell ref="H83:J83"/>
    <mergeCell ref="H54:J54"/>
    <mergeCell ref="B56:L56"/>
    <mergeCell ref="I60:J60"/>
    <mergeCell ref="I61:J61"/>
    <mergeCell ref="H62:J62"/>
    <mergeCell ref="H63:J63"/>
    <mergeCell ref="H64:J64"/>
    <mergeCell ref="B66:L66"/>
    <mergeCell ref="I70:J70"/>
    <mergeCell ref="I41:J41"/>
    <mergeCell ref="H42:J42"/>
    <mergeCell ref="H43:J43"/>
    <mergeCell ref="H44:J44"/>
    <mergeCell ref="B46:L46"/>
    <mergeCell ref="I50:J50"/>
    <mergeCell ref="I51:J51"/>
    <mergeCell ref="H52:J52"/>
    <mergeCell ref="H53:J53"/>
    <mergeCell ref="H20:J20"/>
    <mergeCell ref="B22:L22"/>
    <mergeCell ref="I30:J30"/>
    <mergeCell ref="I31:J31"/>
    <mergeCell ref="H32:J32"/>
    <mergeCell ref="H33:J33"/>
    <mergeCell ref="H34:J34"/>
    <mergeCell ref="B36:L36"/>
    <mergeCell ref="I40:J40"/>
    <mergeCell ref="B2:L2"/>
    <mergeCell ref="B3:L3"/>
    <mergeCell ref="B4:L4"/>
    <mergeCell ref="B6:L6"/>
    <mergeCell ref="B8:L8"/>
    <mergeCell ref="I16:J16"/>
    <mergeCell ref="I17:J17"/>
    <mergeCell ref="H18:J18"/>
    <mergeCell ref="H19:J19"/>
  </mergeCells>
  <printOptions horizontalCentered="1"/>
  <pageMargins left="0.51180555555555596" right="0.51180555555555596" top="0.78749999999999998" bottom="0.98402777777777795" header="0.511811023622047" footer="0.511811023622047"/>
  <pageSetup paperSize="9" scale="56" fitToHeight="16"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O1133"/>
  <sheetViews>
    <sheetView view="pageBreakPreview" topLeftCell="A22" zoomScale="75" zoomScaleNormal="80" zoomScalePageLayoutView="75" workbookViewId="0">
      <selection activeCell="I31" sqref="I31"/>
    </sheetView>
  </sheetViews>
  <sheetFormatPr defaultColWidth="8.88671875" defaultRowHeight="14.4"/>
  <cols>
    <col min="1" max="1" width="2.44140625" customWidth="1"/>
    <col min="2" max="2" width="32.88671875" customWidth="1"/>
    <col min="3" max="3" width="13.5546875" customWidth="1"/>
    <col min="4" max="4" width="9.44140625" customWidth="1"/>
    <col min="5" max="5" width="10.109375" customWidth="1"/>
    <col min="6" max="6" width="10.6640625" customWidth="1"/>
    <col min="7" max="8" width="9.44140625" customWidth="1"/>
    <col min="9" max="9" width="14.5546875" customWidth="1"/>
    <col min="10" max="10" width="10.88671875" customWidth="1"/>
    <col min="11" max="11" width="16.88671875" customWidth="1"/>
    <col min="12" max="12" width="25" customWidth="1"/>
    <col min="13" max="13" width="2.5546875" customWidth="1"/>
    <col min="14" max="14" width="10.109375" customWidth="1"/>
    <col min="17" max="17" width="10.109375" customWidth="1"/>
  </cols>
  <sheetData>
    <row r="1" spans="2:12" ht="6" customHeight="1"/>
    <row r="2" spans="2:12" ht="29.25" customHeight="1">
      <c r="B2" s="551"/>
      <c r="C2" s="551"/>
      <c r="D2" s="551"/>
      <c r="E2" s="551"/>
      <c r="F2" s="551"/>
      <c r="G2" s="551"/>
      <c r="H2" s="551"/>
      <c r="I2" s="551"/>
      <c r="J2" s="551"/>
      <c r="K2" s="551"/>
      <c r="L2" s="551"/>
    </row>
    <row r="3" spans="2:12" ht="29.25" customHeight="1">
      <c r="B3" s="552" t="s">
        <v>4</v>
      </c>
      <c r="C3" s="552"/>
      <c r="D3" s="552"/>
      <c r="E3" s="552"/>
      <c r="F3" s="552"/>
      <c r="G3" s="552"/>
      <c r="H3" s="552"/>
      <c r="I3" s="552"/>
      <c r="J3" s="552"/>
      <c r="K3" s="552"/>
      <c r="L3" s="552"/>
    </row>
    <row r="4" spans="2:12" ht="29.25" customHeight="1">
      <c r="B4" s="553"/>
      <c r="C4" s="553"/>
      <c r="D4" s="553"/>
      <c r="E4" s="553"/>
      <c r="F4" s="553"/>
      <c r="G4" s="553"/>
      <c r="H4" s="553"/>
      <c r="I4" s="553"/>
      <c r="J4" s="553"/>
      <c r="K4" s="553"/>
      <c r="L4" s="553"/>
    </row>
    <row r="5" spans="2:12" ht="6" customHeight="1">
      <c r="B5" s="186"/>
      <c r="C5" s="186"/>
      <c r="D5" s="186"/>
      <c r="E5" s="186"/>
      <c r="F5" s="186"/>
      <c r="G5" s="186"/>
      <c r="H5" s="186"/>
      <c r="I5" s="186"/>
      <c r="J5" s="186"/>
      <c r="K5" s="186"/>
      <c r="L5" s="186"/>
    </row>
    <row r="6" spans="2:12" ht="22.8">
      <c r="B6" s="554" t="s">
        <v>1520</v>
      </c>
      <c r="C6" s="554"/>
      <c r="D6" s="554"/>
      <c r="E6" s="554"/>
      <c r="F6" s="554"/>
      <c r="G6" s="554"/>
      <c r="H6" s="554"/>
      <c r="I6" s="554"/>
      <c r="J6" s="554"/>
      <c r="K6" s="554"/>
      <c r="L6" s="554"/>
    </row>
    <row r="8" spans="2:12" ht="14.25" customHeight="1">
      <c r="B8" s="555" t="s">
        <v>1208</v>
      </c>
      <c r="C8" s="555"/>
      <c r="D8" s="555"/>
      <c r="E8" s="555"/>
      <c r="F8" s="555"/>
      <c r="G8" s="555"/>
      <c r="H8" s="555"/>
      <c r="I8" s="555"/>
      <c r="J8" s="555"/>
      <c r="K8" s="555"/>
      <c r="L8" s="555"/>
    </row>
    <row r="9" spans="2:12">
      <c r="B9" s="187" t="s">
        <v>1209</v>
      </c>
      <c r="C9" s="187"/>
      <c r="D9" s="187" t="s">
        <v>39</v>
      </c>
      <c r="E9" s="187" t="s">
        <v>1210</v>
      </c>
      <c r="F9" s="187" t="s">
        <v>1211</v>
      </c>
      <c r="G9" s="187" t="s">
        <v>1212</v>
      </c>
      <c r="H9" s="187" t="s">
        <v>1213</v>
      </c>
      <c r="I9" s="187" t="s">
        <v>1214</v>
      </c>
      <c r="J9" s="187" t="s">
        <v>1215</v>
      </c>
      <c r="K9" s="187" t="s">
        <v>1216</v>
      </c>
      <c r="L9" s="187" t="s">
        <v>1217</v>
      </c>
    </row>
    <row r="10" spans="2:12">
      <c r="B10" s="188" t="s">
        <v>1218</v>
      </c>
      <c r="C10" s="189" t="s">
        <v>1219</v>
      </c>
      <c r="D10" s="190" t="s">
        <v>1220</v>
      </c>
      <c r="E10" s="191"/>
      <c r="F10" s="192"/>
      <c r="G10" s="192"/>
      <c r="H10" s="191"/>
      <c r="I10" s="193">
        <f>20*0.0206</f>
        <v>0.41200000000000003</v>
      </c>
      <c r="J10" s="194"/>
      <c r="K10" s="195">
        <f t="shared" ref="K10:K15" si="0">IF(E10*F10*G10&lt;&gt;0,E10*F10*G10,IF(E10*F10&lt;&gt;0,E10*F10,IF(F10*G10&lt;&gt;0,F10*G10,IF(E10*G10&lt;&gt;0,E10*G10,IF(E10&lt;&gt;0,E10,IF(F10&lt;&gt;0,F10,IF(G10&lt;&gt;0,G10,0)))))))*(IF(H10&lt;&gt;0,H10,1))+I10-J10</f>
        <v>0.41200000000000003</v>
      </c>
      <c r="L10" s="196"/>
    </row>
    <row r="11" spans="2:12">
      <c r="B11" s="197" t="s">
        <v>1218</v>
      </c>
      <c r="C11" s="189" t="s">
        <v>1240</v>
      </c>
      <c r="D11" s="190" t="s">
        <v>1226</v>
      </c>
      <c r="E11" s="199"/>
      <c r="F11" s="199"/>
      <c r="G11" s="199"/>
      <c r="H11" s="199"/>
      <c r="I11" s="193">
        <f>20*0.0358</f>
        <v>0.71599999999999997</v>
      </c>
      <c r="J11" s="201"/>
      <c r="K11" s="195">
        <f t="shared" si="0"/>
        <v>0.71599999999999997</v>
      </c>
      <c r="L11" s="196"/>
    </row>
    <row r="12" spans="2:12">
      <c r="B12" s="197" t="s">
        <v>1218</v>
      </c>
      <c r="C12" s="189" t="s">
        <v>1271</v>
      </c>
      <c r="D12" s="190" t="s">
        <v>1226</v>
      </c>
      <c r="E12" s="199"/>
      <c r="F12" s="199"/>
      <c r="G12" s="199"/>
      <c r="H12" s="199"/>
      <c r="I12" s="193">
        <f>20*0.0216</f>
        <v>0.43200000000000005</v>
      </c>
      <c r="J12" s="201"/>
      <c r="K12" s="195">
        <f t="shared" si="0"/>
        <v>0.43200000000000005</v>
      </c>
      <c r="L12" s="196"/>
    </row>
    <row r="13" spans="2:12">
      <c r="B13" s="197" t="s">
        <v>1218</v>
      </c>
      <c r="C13" s="189" t="s">
        <v>1333</v>
      </c>
      <c r="D13" s="190" t="s">
        <v>1226</v>
      </c>
      <c r="E13" s="199"/>
      <c r="F13" s="199"/>
      <c r="G13" s="199"/>
      <c r="H13" s="199"/>
      <c r="I13" s="193">
        <f>20*0.0268</f>
        <v>0.53600000000000003</v>
      </c>
      <c r="J13" s="201"/>
      <c r="K13" s="195">
        <f t="shared" si="0"/>
        <v>0.53600000000000003</v>
      </c>
      <c r="L13" s="196"/>
    </row>
    <row r="14" spans="2:12">
      <c r="B14" s="197" t="s">
        <v>1218</v>
      </c>
      <c r="C14" s="189" t="s">
        <v>1441</v>
      </c>
      <c r="D14" s="190" t="s">
        <v>1226</v>
      </c>
      <c r="E14" s="199"/>
      <c r="F14" s="199"/>
      <c r="G14" s="199"/>
      <c r="H14" s="199"/>
      <c r="I14" s="193">
        <f>20*(0.0278+0.0055)</f>
        <v>0.66599999999999993</v>
      </c>
      <c r="J14" s="201"/>
      <c r="K14" s="195">
        <f t="shared" si="0"/>
        <v>0.66599999999999993</v>
      </c>
      <c r="L14" s="196"/>
    </row>
    <row r="15" spans="2:12">
      <c r="B15" s="197" t="s">
        <v>1218</v>
      </c>
      <c r="C15" s="189" t="s">
        <v>1521</v>
      </c>
      <c r="D15" s="190" t="s">
        <v>1226</v>
      </c>
      <c r="E15" s="199"/>
      <c r="F15" s="199"/>
      <c r="G15" s="199"/>
      <c r="H15" s="199"/>
      <c r="I15" s="193">
        <f>I30*20</f>
        <v>0.59399999999999997</v>
      </c>
      <c r="J15" s="201"/>
      <c r="K15" s="195">
        <f t="shared" si="0"/>
        <v>0.59399999999999997</v>
      </c>
      <c r="L15" s="196"/>
    </row>
    <row r="16" spans="2:12">
      <c r="B16" s="197"/>
      <c r="C16" s="189"/>
      <c r="D16" s="190"/>
      <c r="E16" s="199"/>
      <c r="F16" s="199"/>
      <c r="G16" s="199"/>
      <c r="H16" s="199"/>
      <c r="I16" s="193"/>
      <c r="J16" s="201"/>
      <c r="K16" s="195"/>
      <c r="L16" s="196"/>
    </row>
    <row r="17" spans="2:12">
      <c r="B17" s="202"/>
      <c r="C17" s="203"/>
      <c r="D17" s="203"/>
      <c r="E17" s="203"/>
      <c r="F17" s="203"/>
      <c r="G17" s="203"/>
      <c r="H17" s="204"/>
      <c r="I17" s="556" t="s">
        <v>1221</v>
      </c>
      <c r="J17" s="556"/>
      <c r="K17" s="206">
        <f>SUM(K10:K16)</f>
        <v>3.3559999999999999</v>
      </c>
      <c r="L17" s="207"/>
    </row>
    <row r="18" spans="2:12">
      <c r="B18" s="208"/>
      <c r="C18" s="204"/>
      <c r="D18" s="204"/>
      <c r="E18" s="204"/>
      <c r="F18" s="204"/>
      <c r="G18" s="204"/>
      <c r="H18" s="209"/>
      <c r="I18" s="557" t="s">
        <v>1222</v>
      </c>
      <c r="J18" s="557"/>
      <c r="K18" s="211">
        <v>20</v>
      </c>
      <c r="L18" s="207"/>
    </row>
    <row r="19" spans="2:12">
      <c r="B19" s="208"/>
      <c r="C19" s="204"/>
      <c r="D19" s="204"/>
      <c r="E19" s="204"/>
      <c r="F19" s="204"/>
      <c r="G19" s="204"/>
      <c r="H19" s="558" t="s">
        <v>1223</v>
      </c>
      <c r="I19" s="558"/>
      <c r="J19" s="558"/>
      <c r="K19" s="212">
        <f>SUM(K10:K14)</f>
        <v>2.762</v>
      </c>
      <c r="L19" s="207"/>
    </row>
    <row r="20" spans="2:12">
      <c r="B20" s="208"/>
      <c r="C20" s="204"/>
      <c r="D20" s="204"/>
      <c r="E20" s="204"/>
      <c r="F20" s="204"/>
      <c r="G20" s="204"/>
      <c r="H20" s="558" t="s">
        <v>1435</v>
      </c>
      <c r="I20" s="558"/>
      <c r="J20" s="558"/>
      <c r="K20" s="212">
        <f>IF(K17&gt;K18,K18,K17)-K19</f>
        <v>0.59399999999999986</v>
      </c>
      <c r="L20" s="207"/>
    </row>
    <row r="21" spans="2:12">
      <c r="B21" s="213"/>
      <c r="C21" s="214"/>
      <c r="D21" s="214"/>
      <c r="E21" s="214"/>
      <c r="F21" s="214"/>
      <c r="G21" s="214"/>
      <c r="H21" s="559" t="s">
        <v>1224</v>
      </c>
      <c r="I21" s="559"/>
      <c r="J21" s="559"/>
      <c r="K21" s="215">
        <f>IF(K17&gt;K18,K17-K18,0)</f>
        <v>0</v>
      </c>
      <c r="L21" s="209"/>
    </row>
    <row r="23" spans="2:12" ht="58.35" customHeight="1">
      <c r="B23" s="555" t="s">
        <v>1225</v>
      </c>
      <c r="C23" s="555"/>
      <c r="D23" s="555"/>
      <c r="E23" s="555"/>
      <c r="F23" s="555"/>
      <c r="G23" s="555"/>
      <c r="H23" s="555"/>
      <c r="I23" s="555"/>
      <c r="J23" s="555"/>
      <c r="K23" s="555"/>
      <c r="L23" s="555"/>
    </row>
    <row r="24" spans="2:12">
      <c r="B24" s="187" t="s">
        <v>1209</v>
      </c>
      <c r="C24" s="187"/>
      <c r="D24" s="187" t="s">
        <v>39</v>
      </c>
      <c r="E24" s="187" t="s">
        <v>1210</v>
      </c>
      <c r="F24" s="187" t="s">
        <v>1211</v>
      </c>
      <c r="G24" s="187" t="s">
        <v>1212</v>
      </c>
      <c r="H24" s="187" t="s">
        <v>1213</v>
      </c>
      <c r="I24" s="187" t="s">
        <v>1214</v>
      </c>
      <c r="J24" s="187" t="s">
        <v>1215</v>
      </c>
      <c r="K24" s="187" t="s">
        <v>1216</v>
      </c>
      <c r="L24" s="187" t="s">
        <v>1217</v>
      </c>
    </row>
    <row r="25" spans="2:12">
      <c r="B25" s="188" t="s">
        <v>1218</v>
      </c>
      <c r="C25" s="189" t="s">
        <v>1219</v>
      </c>
      <c r="D25" s="190" t="s">
        <v>1226</v>
      </c>
      <c r="E25" s="191"/>
      <c r="F25" s="192"/>
      <c r="G25" s="192"/>
      <c r="H25" s="191"/>
      <c r="I25" s="193">
        <v>2.06E-2</v>
      </c>
      <c r="J25" s="194"/>
      <c r="K25" s="195">
        <f t="shared" ref="K25:K31" si="1">IF(E25*F25*G25&lt;&gt;0,E25*F25*G25,IF(E25*F25&lt;&gt;0,E25*F25,IF(F25*G25&lt;&gt;0,F25*G25,IF(E25*G25&lt;&gt;0,E25*G25,IF(E25&lt;&gt;0,E25,IF(F25&lt;&gt;0,F25,IF(G25&lt;&gt;0,G25,0)))))))*(IF(H25&lt;&gt;0,H25,1))+I25-J25</f>
        <v>2.06E-2</v>
      </c>
      <c r="L25" s="196"/>
    </row>
    <row r="26" spans="2:12">
      <c r="B26" s="197" t="s">
        <v>1218</v>
      </c>
      <c r="C26" s="189" t="s">
        <v>1240</v>
      </c>
      <c r="D26" s="190" t="s">
        <v>1226</v>
      </c>
      <c r="E26" s="199"/>
      <c r="F26" s="199"/>
      <c r="G26" s="199"/>
      <c r="H26" s="199"/>
      <c r="I26" s="193">
        <f>0.0239-0.004+0.0159</f>
        <v>3.5799999999999998E-2</v>
      </c>
      <c r="J26" s="201"/>
      <c r="K26" s="195">
        <f t="shared" si="1"/>
        <v>3.5799999999999998E-2</v>
      </c>
      <c r="L26" s="196"/>
    </row>
    <row r="27" spans="2:12">
      <c r="B27" s="197" t="s">
        <v>1218</v>
      </c>
      <c r="C27" s="189" t="s">
        <v>1271</v>
      </c>
      <c r="D27" s="190" t="s">
        <v>1226</v>
      </c>
      <c r="E27" s="199"/>
      <c r="F27" s="199"/>
      <c r="G27" s="199"/>
      <c r="H27" s="199"/>
      <c r="I27" s="193">
        <f>0.0166+0.005</f>
        <v>2.1600000000000001E-2</v>
      </c>
      <c r="J27" s="201"/>
      <c r="K27" s="195">
        <f t="shared" si="1"/>
        <v>2.1600000000000001E-2</v>
      </c>
      <c r="L27" s="196"/>
    </row>
    <row r="28" spans="2:12">
      <c r="B28" s="197" t="s">
        <v>1218</v>
      </c>
      <c r="C28" s="189" t="s">
        <v>1333</v>
      </c>
      <c r="D28" s="190" t="s">
        <v>1226</v>
      </c>
      <c r="E28" s="199"/>
      <c r="F28" s="199"/>
      <c r="G28" s="199"/>
      <c r="H28" s="199"/>
      <c r="I28" s="193">
        <v>2.6800000000000001E-2</v>
      </c>
      <c r="J28" s="201"/>
      <c r="K28" s="195">
        <f t="shared" si="1"/>
        <v>2.6800000000000001E-2</v>
      </c>
      <c r="L28" s="196"/>
    </row>
    <row r="29" spans="2:12">
      <c r="B29" s="197" t="s">
        <v>1218</v>
      </c>
      <c r="C29" s="189" t="s">
        <v>1441</v>
      </c>
      <c r="D29" s="190" t="s">
        <v>1226</v>
      </c>
      <c r="E29" s="199"/>
      <c r="F29" s="199"/>
      <c r="G29" s="199"/>
      <c r="H29" s="199"/>
      <c r="I29" s="193">
        <f>0.0278+0.0055</f>
        <v>3.3299999999999996E-2</v>
      </c>
      <c r="J29" s="201"/>
      <c r="K29" s="195">
        <f t="shared" si="1"/>
        <v>3.3299999999999996E-2</v>
      </c>
      <c r="L29" s="196"/>
    </row>
    <row r="30" spans="2:12">
      <c r="B30" s="197" t="s">
        <v>1218</v>
      </c>
      <c r="C30" s="189" t="s">
        <v>1521</v>
      </c>
      <c r="D30" s="190" t="s">
        <v>1226</v>
      </c>
      <c r="E30" s="199"/>
      <c r="F30" s="199"/>
      <c r="G30" s="199"/>
      <c r="H30" s="199"/>
      <c r="I30" s="193">
        <v>2.9700000000000001E-2</v>
      </c>
      <c r="J30" s="201"/>
      <c r="K30" s="195">
        <f t="shared" si="1"/>
        <v>2.9700000000000001E-2</v>
      </c>
      <c r="L30" s="196"/>
    </row>
    <row r="31" spans="2:12">
      <c r="B31" s="197"/>
      <c r="C31" s="189"/>
      <c r="D31" s="190"/>
      <c r="E31" s="199"/>
      <c r="F31" s="199"/>
      <c r="G31" s="199"/>
      <c r="H31" s="199"/>
      <c r="I31" s="193"/>
      <c r="J31" s="201"/>
      <c r="K31" s="195">
        <f t="shared" si="1"/>
        <v>0</v>
      </c>
      <c r="L31" s="196"/>
    </row>
    <row r="32" spans="2:12">
      <c r="B32" s="202"/>
      <c r="C32" s="203"/>
      <c r="D32" s="203"/>
      <c r="E32" s="203"/>
      <c r="F32" s="203"/>
      <c r="G32" s="203"/>
      <c r="H32" s="204"/>
      <c r="I32" s="556" t="s">
        <v>1221</v>
      </c>
      <c r="J32" s="556"/>
      <c r="K32" s="206">
        <f>SUM(K25:K31)</f>
        <v>0.1678</v>
      </c>
      <c r="L32" s="207"/>
    </row>
    <row r="33" spans="2:12">
      <c r="B33" s="208"/>
      <c r="C33" s="204"/>
      <c r="D33" s="204"/>
      <c r="E33" s="204"/>
      <c r="F33" s="204"/>
      <c r="G33" s="204"/>
      <c r="H33" s="209"/>
      <c r="I33" s="557" t="s">
        <v>1222</v>
      </c>
      <c r="J33" s="557"/>
      <c r="K33" s="211">
        <v>1</v>
      </c>
      <c r="L33" s="207"/>
    </row>
    <row r="34" spans="2:12">
      <c r="B34" s="208"/>
      <c r="C34" s="204"/>
      <c r="D34" s="204"/>
      <c r="E34" s="204"/>
      <c r="F34" s="204"/>
      <c r="G34" s="204"/>
      <c r="H34" s="558" t="s">
        <v>1223</v>
      </c>
      <c r="I34" s="558"/>
      <c r="J34" s="558"/>
      <c r="K34" s="212">
        <f>SUM(K25:K29)</f>
        <v>0.1381</v>
      </c>
      <c r="L34" s="207"/>
    </row>
    <row r="35" spans="2:12">
      <c r="B35" s="208"/>
      <c r="C35" s="204"/>
      <c r="D35" s="204"/>
      <c r="E35" s="204"/>
      <c r="F35" s="204"/>
      <c r="G35" s="204"/>
      <c r="H35" s="558" t="s">
        <v>1435</v>
      </c>
      <c r="I35" s="558"/>
      <c r="J35" s="558"/>
      <c r="K35" s="212">
        <f>IF(K32&gt;K33,K33,K32)-K34</f>
        <v>2.9700000000000004E-2</v>
      </c>
      <c r="L35" s="207"/>
    </row>
    <row r="36" spans="2:12">
      <c r="B36" s="213"/>
      <c r="C36" s="214"/>
      <c r="D36" s="214"/>
      <c r="E36" s="214"/>
      <c r="F36" s="214"/>
      <c r="G36" s="214"/>
      <c r="H36" s="559" t="s">
        <v>1224</v>
      </c>
      <c r="I36" s="559"/>
      <c r="J36" s="559"/>
      <c r="K36" s="215">
        <f>IF(K32&gt;K33,K32-K33,0)</f>
        <v>0</v>
      </c>
      <c r="L36" s="209"/>
    </row>
    <row r="38" spans="2:12" ht="14.25" customHeight="1">
      <c r="B38" s="555" t="s">
        <v>1227</v>
      </c>
      <c r="C38" s="555"/>
      <c r="D38" s="555"/>
      <c r="E38" s="555"/>
      <c r="F38" s="555"/>
      <c r="G38" s="555"/>
      <c r="H38" s="555"/>
      <c r="I38" s="555"/>
      <c r="J38" s="555"/>
      <c r="K38" s="555"/>
      <c r="L38" s="555"/>
    </row>
    <row r="39" spans="2:12">
      <c r="B39" s="187" t="s">
        <v>1209</v>
      </c>
      <c r="C39" s="187"/>
      <c r="D39" s="187" t="s">
        <v>39</v>
      </c>
      <c r="E39" s="187" t="s">
        <v>1210</v>
      </c>
      <c r="F39" s="187" t="s">
        <v>1211</v>
      </c>
      <c r="G39" s="187" t="s">
        <v>1212</v>
      </c>
      <c r="H39" s="187" t="s">
        <v>1213</v>
      </c>
      <c r="I39" s="187" t="s">
        <v>1214</v>
      </c>
      <c r="J39" s="187" t="s">
        <v>1215</v>
      </c>
      <c r="K39" s="187" t="s">
        <v>1216</v>
      </c>
      <c r="L39" s="187" t="s">
        <v>1217</v>
      </c>
    </row>
    <row r="40" spans="2:12">
      <c r="B40" s="188" t="s">
        <v>1228</v>
      </c>
      <c r="C40" s="189" t="s">
        <v>1219</v>
      </c>
      <c r="D40" s="190" t="s">
        <v>39</v>
      </c>
      <c r="E40" s="191">
        <v>64</v>
      </c>
      <c r="F40" s="192"/>
      <c r="G40" s="192">
        <v>2</v>
      </c>
      <c r="H40" s="191"/>
      <c r="I40" s="191"/>
      <c r="J40" s="216"/>
      <c r="K40" s="217">
        <f>IF(E40*F40*G40&lt;&gt;0,E40*F40*G40,IF(E40*F40&lt;&gt;0,E40*F40,IF(F40*G40&lt;&gt;0,F40*G40,IF(E40*G40&lt;&gt;0,E40*G40,IF(E40&lt;&gt;0,E40,IF(F40&lt;&gt;0,F40,IF(G40&lt;&gt;0,G40,0)))))))*(IF(H40&lt;&gt;0,H40,1))+I40-J40</f>
        <v>128</v>
      </c>
      <c r="L40" s="218"/>
    </row>
    <row r="41" spans="2:12">
      <c r="B41" s="197"/>
      <c r="C41" s="189"/>
      <c r="D41" s="198"/>
      <c r="E41" s="199"/>
      <c r="F41" s="199"/>
      <c r="G41" s="199"/>
      <c r="H41" s="199"/>
      <c r="I41" s="199"/>
      <c r="J41" s="219"/>
      <c r="K41" s="217">
        <f>IF(E41*F41*G41&lt;&gt;0,E41*F41*G41,IF(E41*F41&lt;&gt;0,E41*F41,IF(F41*G41&lt;&gt;0,F41*G41,IF(E41*G41&lt;&gt;0,E41*G41,IF(E41&lt;&gt;0,E41,IF(F41&lt;&gt;0,F41,IF(G41&lt;&gt;0,G41,0)))))))*(IF(H41&lt;&gt;0,H41,1))+I41-J41</f>
        <v>0</v>
      </c>
      <c r="L41" s="218"/>
    </row>
    <row r="42" spans="2:12">
      <c r="B42" s="202"/>
      <c r="C42" s="203"/>
      <c r="D42" s="203"/>
      <c r="E42" s="203"/>
      <c r="F42" s="203"/>
      <c r="G42" s="203"/>
      <c r="H42" s="204"/>
      <c r="I42" s="556" t="s">
        <v>1221</v>
      </c>
      <c r="J42" s="556"/>
      <c r="K42" s="220">
        <f>SUM(K40:K41)</f>
        <v>128</v>
      </c>
      <c r="L42" s="207"/>
    </row>
    <row r="43" spans="2:12">
      <c r="B43" s="208"/>
      <c r="C43" s="204"/>
      <c r="D43" s="204"/>
      <c r="E43" s="204"/>
      <c r="F43" s="204"/>
      <c r="G43" s="204"/>
      <c r="H43" s="209"/>
      <c r="I43" s="557" t="s">
        <v>1222</v>
      </c>
      <c r="J43" s="557"/>
      <c r="K43" s="221">
        <v>128</v>
      </c>
      <c r="L43" s="207"/>
    </row>
    <row r="44" spans="2:12">
      <c r="B44" s="208"/>
      <c r="C44" s="204"/>
      <c r="D44" s="204"/>
      <c r="E44" s="204"/>
      <c r="F44" s="204"/>
      <c r="G44" s="204"/>
      <c r="H44" s="558" t="s">
        <v>1223</v>
      </c>
      <c r="I44" s="558"/>
      <c r="J44" s="558"/>
      <c r="K44" s="222"/>
      <c r="L44" s="207"/>
    </row>
    <row r="45" spans="2:12">
      <c r="B45" s="208"/>
      <c r="C45" s="204"/>
      <c r="D45" s="204"/>
      <c r="E45" s="204"/>
      <c r="F45" s="204"/>
      <c r="G45" s="204"/>
      <c r="H45" s="558" t="s">
        <v>1190</v>
      </c>
      <c r="I45" s="558"/>
      <c r="J45" s="558"/>
      <c r="K45" s="222">
        <f>IF(K42&gt;K43,K43,K42)-K44</f>
        <v>128</v>
      </c>
      <c r="L45" s="207"/>
    </row>
    <row r="46" spans="2:12">
      <c r="B46" s="213"/>
      <c r="C46" s="214"/>
      <c r="D46" s="214"/>
      <c r="E46" s="214"/>
      <c r="F46" s="214"/>
      <c r="G46" s="214"/>
      <c r="H46" s="559" t="s">
        <v>1224</v>
      </c>
      <c r="I46" s="559"/>
      <c r="J46" s="559"/>
      <c r="K46" s="223">
        <f>IF(K42&gt;K43,K42-K43,0)</f>
        <v>0</v>
      </c>
      <c r="L46" s="209"/>
    </row>
    <row r="48" spans="2:12" ht="14.25" customHeight="1">
      <c r="B48" s="555" t="s">
        <v>1229</v>
      </c>
      <c r="C48" s="555"/>
      <c r="D48" s="555"/>
      <c r="E48" s="555"/>
      <c r="F48" s="555"/>
      <c r="G48" s="555"/>
      <c r="H48" s="555"/>
      <c r="I48" s="555"/>
      <c r="J48" s="555"/>
      <c r="K48" s="555"/>
      <c r="L48" s="555"/>
    </row>
    <row r="49" spans="2:12">
      <c r="B49" s="187" t="s">
        <v>1209</v>
      </c>
      <c r="C49" s="187"/>
      <c r="D49" s="187" t="s">
        <v>39</v>
      </c>
      <c r="E49" s="187" t="s">
        <v>1210</v>
      </c>
      <c r="F49" s="187" t="s">
        <v>1211</v>
      </c>
      <c r="G49" s="187" t="s">
        <v>1212</v>
      </c>
      <c r="H49" s="187" t="s">
        <v>1213</v>
      </c>
      <c r="I49" s="187" t="s">
        <v>1214</v>
      </c>
      <c r="J49" s="187" t="s">
        <v>1215</v>
      </c>
      <c r="K49" s="187" t="s">
        <v>1216</v>
      </c>
      <c r="L49" s="187" t="s">
        <v>1217</v>
      </c>
    </row>
    <row r="50" spans="2:12">
      <c r="B50" s="188" t="s">
        <v>1228</v>
      </c>
      <c r="C50" s="189" t="s">
        <v>1219</v>
      </c>
      <c r="D50" s="190" t="s">
        <v>79</v>
      </c>
      <c r="E50" s="191">
        <f>30/4</f>
        <v>7.5</v>
      </c>
      <c r="F50" s="192">
        <v>4</v>
      </c>
      <c r="G50" s="192"/>
      <c r="H50" s="191"/>
      <c r="I50" s="191"/>
      <c r="J50" s="216"/>
      <c r="K50" s="217">
        <f>IF(E50*F50*G50&lt;&gt;0,E50*F50*G50,IF(E50*F50&lt;&gt;0,E50*F50,IF(F50*G50&lt;&gt;0,F50*G50,IF(E50*G50&lt;&gt;0,E50*G50,IF(E50&lt;&gt;0,E50,IF(F50&lt;&gt;0,F50,IF(G50&lt;&gt;0,G50,0)))))))*(IF(H50&lt;&gt;0,H50,1))+I50-J50</f>
        <v>30</v>
      </c>
      <c r="L50" s="218"/>
    </row>
    <row r="51" spans="2:12">
      <c r="B51" s="188" t="s">
        <v>1228</v>
      </c>
      <c r="C51" s="189" t="s">
        <v>1240</v>
      </c>
      <c r="D51" s="190" t="s">
        <v>79</v>
      </c>
      <c r="E51" s="191">
        <v>2.5</v>
      </c>
      <c r="F51" s="192">
        <v>4</v>
      </c>
      <c r="G51" s="192"/>
      <c r="H51" s="191"/>
      <c r="I51" s="191"/>
      <c r="J51" s="216"/>
      <c r="K51" s="217">
        <f>IF(E51*F51*G51&lt;&gt;0,E51*F51*G51,IF(E51*F51&lt;&gt;0,E51*F51,IF(F51*G51&lt;&gt;0,F51*G51,IF(E51*G51&lt;&gt;0,E51*G51,IF(E51&lt;&gt;0,E51,IF(F51&lt;&gt;0,F51,IF(G51&lt;&gt;0,G51,0)))))))*(IF(H51&lt;&gt;0,H51,1))+I51-J51</f>
        <v>10</v>
      </c>
      <c r="L51" s="218"/>
    </row>
    <row r="52" spans="2:12">
      <c r="B52" s="202"/>
      <c r="C52" s="203"/>
      <c r="D52" s="203"/>
      <c r="E52" s="203"/>
      <c r="F52" s="203"/>
      <c r="G52" s="203"/>
      <c r="H52" s="204"/>
      <c r="I52" s="556" t="s">
        <v>1221</v>
      </c>
      <c r="J52" s="556"/>
      <c r="K52" s="220">
        <f>SUM(K50:K51)</f>
        <v>40</v>
      </c>
      <c r="L52" s="207"/>
    </row>
    <row r="53" spans="2:12">
      <c r="B53" s="208"/>
      <c r="C53" s="204"/>
      <c r="D53" s="204"/>
      <c r="E53" s="204"/>
      <c r="F53" s="204"/>
      <c r="G53" s="204"/>
      <c r="H53" s="209"/>
      <c r="I53" s="557" t="s">
        <v>1222</v>
      </c>
      <c r="J53" s="557"/>
      <c r="K53" s="221">
        <v>40</v>
      </c>
      <c r="L53" s="207"/>
    </row>
    <row r="54" spans="2:12">
      <c r="B54" s="208"/>
      <c r="C54" s="204"/>
      <c r="D54" s="204"/>
      <c r="E54" s="204"/>
      <c r="F54" s="204"/>
      <c r="G54" s="204"/>
      <c r="H54" s="558" t="s">
        <v>1223</v>
      </c>
      <c r="I54" s="558"/>
      <c r="J54" s="558"/>
      <c r="K54" s="222">
        <v>30</v>
      </c>
      <c r="L54" s="207"/>
    </row>
    <row r="55" spans="2:12">
      <c r="B55" s="208"/>
      <c r="C55" s="204"/>
      <c r="D55" s="204"/>
      <c r="E55" s="204"/>
      <c r="F55" s="204"/>
      <c r="G55" s="204"/>
      <c r="H55" s="558" t="s">
        <v>1199</v>
      </c>
      <c r="I55" s="558"/>
      <c r="J55" s="558"/>
      <c r="K55" s="222">
        <f>IF(K52&gt;K53,K53,K52)-K54</f>
        <v>10</v>
      </c>
      <c r="L55" s="207"/>
    </row>
    <row r="56" spans="2:12">
      <c r="B56" s="213"/>
      <c r="C56" s="214"/>
      <c r="D56" s="214"/>
      <c r="E56" s="214"/>
      <c r="F56" s="214"/>
      <c r="G56" s="214"/>
      <c r="H56" s="559" t="s">
        <v>1224</v>
      </c>
      <c r="I56" s="559"/>
      <c r="J56" s="559"/>
      <c r="K56" s="223">
        <f>IF(K52&gt;K53,K52-K53,0)</f>
        <v>0</v>
      </c>
      <c r="L56" s="209"/>
    </row>
    <row r="58" spans="2:12" ht="14.25" customHeight="1">
      <c r="B58" s="555" t="s">
        <v>1230</v>
      </c>
      <c r="C58" s="555"/>
      <c r="D58" s="555"/>
      <c r="E58" s="555"/>
      <c r="F58" s="555"/>
      <c r="G58" s="555"/>
      <c r="H58" s="555"/>
      <c r="I58" s="555"/>
      <c r="J58" s="555"/>
      <c r="K58" s="555"/>
      <c r="L58" s="555"/>
    </row>
    <row r="59" spans="2:12">
      <c r="B59" s="187" t="s">
        <v>1209</v>
      </c>
      <c r="C59" s="187"/>
      <c r="D59" s="187" t="s">
        <v>39</v>
      </c>
      <c r="E59" s="187" t="s">
        <v>1210</v>
      </c>
      <c r="F59" s="187" t="s">
        <v>1211</v>
      </c>
      <c r="G59" s="187" t="s">
        <v>1212</v>
      </c>
      <c r="H59" s="187" t="s">
        <v>1213</v>
      </c>
      <c r="I59" s="187" t="s">
        <v>1214</v>
      </c>
      <c r="J59" s="187" t="s">
        <v>1215</v>
      </c>
      <c r="K59" s="187" t="s">
        <v>1216</v>
      </c>
      <c r="L59" s="187" t="s">
        <v>1217</v>
      </c>
    </row>
    <row r="60" spans="2:12">
      <c r="B60" s="188" t="s">
        <v>1228</v>
      </c>
      <c r="C60" s="189" t="s">
        <v>1219</v>
      </c>
      <c r="D60" s="190" t="s">
        <v>39</v>
      </c>
      <c r="E60" s="191">
        <f>48/4</f>
        <v>12</v>
      </c>
      <c r="F60" s="192">
        <v>4</v>
      </c>
      <c r="G60" s="192"/>
      <c r="H60" s="191"/>
      <c r="I60" s="191"/>
      <c r="J60" s="216"/>
      <c r="K60" s="217">
        <f>IF(E60*F60*G60&lt;&gt;0,E60*F60*G60,IF(E60*F60&lt;&gt;0,E60*F60,IF(F60*G60&lt;&gt;0,F60*G60,IF(E60*G60&lt;&gt;0,E60*G60,IF(E60&lt;&gt;0,E60,IF(F60&lt;&gt;0,F60,IF(G60&lt;&gt;0,G60,0)))))))*(IF(H60&lt;&gt;0,H60,1))+I60-J60</f>
        <v>48</v>
      </c>
      <c r="L60" s="218"/>
    </row>
    <row r="61" spans="2:12">
      <c r="B61" s="188" t="s">
        <v>1228</v>
      </c>
      <c r="C61" s="189" t="s">
        <v>1240</v>
      </c>
      <c r="D61" s="190" t="s">
        <v>39</v>
      </c>
      <c r="E61" s="191">
        <v>5</v>
      </c>
      <c r="F61" s="192">
        <v>4</v>
      </c>
      <c r="G61" s="192"/>
      <c r="H61" s="191"/>
      <c r="I61" s="191"/>
      <c r="J61" s="219"/>
      <c r="K61" s="217">
        <f>IF(E61*F61*G61&lt;&gt;0,E61*F61*G61,IF(E61*F61&lt;&gt;0,E61*F61,IF(F61*G61&lt;&gt;0,F61*G61,IF(E61*G61&lt;&gt;0,E61*G61,IF(E61&lt;&gt;0,E61,IF(F61&lt;&gt;0,F61,IF(G61&lt;&gt;0,G61,0)))))))*(IF(H61&lt;&gt;0,H61,1))+I61-J61</f>
        <v>20</v>
      </c>
      <c r="L61" s="218"/>
    </row>
    <row r="62" spans="2:12">
      <c r="B62" s="202"/>
      <c r="C62" s="203"/>
      <c r="D62" s="203"/>
      <c r="E62" s="203"/>
      <c r="F62" s="203"/>
      <c r="G62" s="203"/>
      <c r="H62" s="204"/>
      <c r="I62" s="556" t="s">
        <v>1221</v>
      </c>
      <c r="J62" s="556"/>
      <c r="K62" s="220">
        <f>SUM(K60:K61)</f>
        <v>68</v>
      </c>
      <c r="L62" s="207"/>
    </row>
    <row r="63" spans="2:12">
      <c r="B63" s="208"/>
      <c r="C63" s="204"/>
      <c r="D63" s="204"/>
      <c r="E63" s="204"/>
      <c r="F63" s="204"/>
      <c r="G63" s="204"/>
      <c r="H63" s="209"/>
      <c r="I63" s="557" t="s">
        <v>1222</v>
      </c>
      <c r="J63" s="557"/>
      <c r="K63" s="221">
        <v>68</v>
      </c>
      <c r="L63" s="207"/>
    </row>
    <row r="64" spans="2:12">
      <c r="B64" s="208"/>
      <c r="C64" s="204"/>
      <c r="D64" s="204"/>
      <c r="E64" s="204"/>
      <c r="F64" s="204"/>
      <c r="G64" s="204"/>
      <c r="H64" s="558" t="s">
        <v>1223</v>
      </c>
      <c r="I64" s="558"/>
      <c r="J64" s="558"/>
      <c r="K64" s="222">
        <v>48</v>
      </c>
      <c r="L64" s="207"/>
    </row>
    <row r="65" spans="2:12">
      <c r="B65" s="208"/>
      <c r="C65" s="204"/>
      <c r="D65" s="204"/>
      <c r="E65" s="204"/>
      <c r="F65" s="204"/>
      <c r="G65" s="204"/>
      <c r="H65" s="558" t="s">
        <v>1199</v>
      </c>
      <c r="I65" s="558"/>
      <c r="J65" s="558"/>
      <c r="K65" s="222">
        <f>IF(K62&gt;K63,K63,K62)-K64</f>
        <v>20</v>
      </c>
      <c r="L65" s="207"/>
    </row>
    <row r="66" spans="2:12">
      <c r="B66" s="213"/>
      <c r="C66" s="214"/>
      <c r="D66" s="214"/>
      <c r="E66" s="214"/>
      <c r="F66" s="214"/>
      <c r="G66" s="214"/>
      <c r="H66" s="559" t="s">
        <v>1224</v>
      </c>
      <c r="I66" s="559"/>
      <c r="J66" s="559"/>
      <c r="K66" s="223">
        <f>IF(K62&gt;K63,K62-K63,0)</f>
        <v>0</v>
      </c>
      <c r="L66" s="209"/>
    </row>
    <row r="68" spans="2:12" ht="14.25" customHeight="1">
      <c r="B68" s="555" t="s">
        <v>1231</v>
      </c>
      <c r="C68" s="555"/>
      <c r="D68" s="555"/>
      <c r="E68" s="555"/>
      <c r="F68" s="555"/>
      <c r="G68" s="555"/>
      <c r="H68" s="555"/>
      <c r="I68" s="555"/>
      <c r="J68" s="555"/>
      <c r="K68" s="555"/>
      <c r="L68" s="555"/>
    </row>
    <row r="69" spans="2:12">
      <c r="B69" s="187" t="s">
        <v>1209</v>
      </c>
      <c r="C69" s="187"/>
      <c r="D69" s="187" t="s">
        <v>39</v>
      </c>
      <c r="E69" s="187" t="s">
        <v>1210</v>
      </c>
      <c r="F69" s="187" t="s">
        <v>1211</v>
      </c>
      <c r="G69" s="187" t="s">
        <v>1212</v>
      </c>
      <c r="H69" s="187" t="s">
        <v>1213</v>
      </c>
      <c r="I69" s="187" t="s">
        <v>1214</v>
      </c>
      <c r="J69" s="187" t="s">
        <v>1215</v>
      </c>
      <c r="K69" s="187" t="s">
        <v>1216</v>
      </c>
      <c r="L69" s="187" t="s">
        <v>1217</v>
      </c>
    </row>
    <row r="70" spans="2:12">
      <c r="B70" s="188" t="s">
        <v>1228</v>
      </c>
      <c r="C70" s="189" t="s">
        <v>1219</v>
      </c>
      <c r="D70" s="190" t="s">
        <v>39</v>
      </c>
      <c r="E70" s="191">
        <v>15</v>
      </c>
      <c r="F70" s="192">
        <v>4</v>
      </c>
      <c r="G70" s="192"/>
      <c r="H70" s="191"/>
      <c r="I70" s="191"/>
      <c r="J70" s="216"/>
      <c r="K70" s="217">
        <f>IF(E70*F70*G70&lt;&gt;0,E70*F70*G70,IF(E70*F70&lt;&gt;0,E70*F70,IF(F70*G70&lt;&gt;0,F70*G70,IF(E70*G70&lt;&gt;0,E70*G70,IF(E70&lt;&gt;0,E70,IF(F70&lt;&gt;0,F70,IF(G70&lt;&gt;0,G70,0)))))))*(IF(H70&lt;&gt;0,H70,1))+I70-J70</f>
        <v>60</v>
      </c>
      <c r="L70" s="218"/>
    </row>
    <row r="71" spans="2:12">
      <c r="B71" s="197"/>
      <c r="C71" s="189"/>
      <c r="D71" s="198"/>
      <c r="E71" s="199"/>
      <c r="F71" s="199"/>
      <c r="G71" s="199"/>
      <c r="H71" s="199"/>
      <c r="I71" s="199"/>
      <c r="J71" s="219"/>
      <c r="K71" s="217">
        <f>IF(E71*F71*G71&lt;&gt;0,E71*F71*G71,IF(E71*F71&lt;&gt;0,E71*F71,IF(F71*G71&lt;&gt;0,F71*G71,IF(E71*G71&lt;&gt;0,E71*G71,IF(E71&lt;&gt;0,E71,IF(F71&lt;&gt;0,F71,IF(G71&lt;&gt;0,G71,0)))))))*(IF(H71&lt;&gt;0,H71,1))+I71-J71</f>
        <v>0</v>
      </c>
      <c r="L71" s="218"/>
    </row>
    <row r="72" spans="2:12">
      <c r="B72" s="202"/>
      <c r="C72" s="203"/>
      <c r="D72" s="203"/>
      <c r="E72" s="203"/>
      <c r="F72" s="203"/>
      <c r="G72" s="203"/>
      <c r="H72" s="204"/>
      <c r="I72" s="556" t="s">
        <v>1221</v>
      </c>
      <c r="J72" s="556"/>
      <c r="K72" s="220">
        <f>SUM(K70:K71)</f>
        <v>60</v>
      </c>
      <c r="L72" s="207"/>
    </row>
    <row r="73" spans="2:12">
      <c r="B73" s="208"/>
      <c r="C73" s="204"/>
      <c r="D73" s="204"/>
      <c r="E73" s="204"/>
      <c r="F73" s="204"/>
      <c r="G73" s="204"/>
      <c r="H73" s="209"/>
      <c r="I73" s="557" t="s">
        <v>1222</v>
      </c>
      <c r="J73" s="557"/>
      <c r="K73" s="221">
        <v>60</v>
      </c>
      <c r="L73" s="207"/>
    </row>
    <row r="74" spans="2:12">
      <c r="B74" s="208"/>
      <c r="C74" s="204"/>
      <c r="D74" s="204"/>
      <c r="E74" s="204"/>
      <c r="F74" s="204"/>
      <c r="G74" s="204"/>
      <c r="H74" s="558" t="s">
        <v>1223</v>
      </c>
      <c r="I74" s="558"/>
      <c r="J74" s="558"/>
      <c r="K74" s="222"/>
      <c r="L74" s="207"/>
    </row>
    <row r="75" spans="2:12">
      <c r="B75" s="208"/>
      <c r="C75" s="204"/>
      <c r="D75" s="204"/>
      <c r="E75" s="204"/>
      <c r="F75" s="204"/>
      <c r="G75" s="204"/>
      <c r="H75" s="558" t="s">
        <v>1190</v>
      </c>
      <c r="I75" s="558"/>
      <c r="J75" s="558"/>
      <c r="K75" s="222">
        <f>IF(K72&gt;K73,K73,K72)-K74</f>
        <v>60</v>
      </c>
      <c r="L75" s="207"/>
    </row>
    <row r="76" spans="2:12">
      <c r="B76" s="213"/>
      <c r="C76" s="214"/>
      <c r="D76" s="214"/>
      <c r="E76" s="214"/>
      <c r="F76" s="214"/>
      <c r="G76" s="214"/>
      <c r="H76" s="559" t="s">
        <v>1224</v>
      </c>
      <c r="I76" s="559"/>
      <c r="J76" s="559"/>
      <c r="K76" s="223">
        <f>IF(K72&gt;K73,K72-K73,0)</f>
        <v>0</v>
      </c>
      <c r="L76" s="209"/>
    </row>
    <row r="78" spans="2:12" ht="14.25" customHeight="1">
      <c r="B78" s="555" t="s">
        <v>1232</v>
      </c>
      <c r="C78" s="555"/>
      <c r="D78" s="555"/>
      <c r="E78" s="555"/>
      <c r="F78" s="555"/>
      <c r="G78" s="555"/>
      <c r="H78" s="555"/>
      <c r="I78" s="555"/>
      <c r="J78" s="555"/>
      <c r="K78" s="555"/>
      <c r="L78" s="555"/>
    </row>
    <row r="79" spans="2:12">
      <c r="B79" s="187" t="s">
        <v>1209</v>
      </c>
      <c r="C79" s="187"/>
      <c r="D79" s="187" t="s">
        <v>39</v>
      </c>
      <c r="E79" s="187" t="s">
        <v>1210</v>
      </c>
      <c r="F79" s="187" t="s">
        <v>1211</v>
      </c>
      <c r="G79" s="187" t="s">
        <v>1212</v>
      </c>
      <c r="H79" s="187" t="s">
        <v>1213</v>
      </c>
      <c r="I79" s="187" t="s">
        <v>1214</v>
      </c>
      <c r="J79" s="187" t="s">
        <v>1215</v>
      </c>
      <c r="K79" s="187" t="s">
        <v>1216</v>
      </c>
      <c r="L79" s="187" t="s">
        <v>1217</v>
      </c>
    </row>
    <row r="80" spans="2:12">
      <c r="B80" s="188" t="s">
        <v>1228</v>
      </c>
      <c r="C80" s="189" t="s">
        <v>1219</v>
      </c>
      <c r="D80" s="190" t="s">
        <v>39</v>
      </c>
      <c r="E80" s="191">
        <v>5</v>
      </c>
      <c r="F80" s="192">
        <v>4</v>
      </c>
      <c r="G80" s="192"/>
      <c r="H80" s="191"/>
      <c r="I80" s="191"/>
      <c r="J80" s="216"/>
      <c r="K80" s="217">
        <f>IF(E80*F80*G80&lt;&gt;0,E80*F80*G80,IF(E80*F80&lt;&gt;0,E80*F80,IF(F80*G80&lt;&gt;0,F80*G80,IF(E80*G80&lt;&gt;0,E80*G80,IF(E80&lt;&gt;0,E80,IF(F80&lt;&gt;0,F80,IF(G80&lt;&gt;0,G80,0)))))))*(IF(H80&lt;&gt;0,H80,1))+I80-J80</f>
        <v>20</v>
      </c>
      <c r="L80" s="218"/>
    </row>
    <row r="81" spans="2:12">
      <c r="B81" s="188" t="s">
        <v>1228</v>
      </c>
      <c r="C81" s="189" t="s">
        <v>1240</v>
      </c>
      <c r="D81" s="190" t="s">
        <v>39</v>
      </c>
      <c r="E81" s="191">
        <v>10</v>
      </c>
      <c r="F81" s="192">
        <v>4</v>
      </c>
      <c r="G81" s="192"/>
      <c r="H81" s="191"/>
      <c r="I81" s="191"/>
      <c r="J81" s="219"/>
      <c r="K81" s="217">
        <f>IF(E81*F81*G81&lt;&gt;0,E81*F81*G81,IF(E81*F81&lt;&gt;0,E81*F81,IF(F81*G81&lt;&gt;0,F81*G81,IF(E81*G81&lt;&gt;0,E81*G81,IF(E81&lt;&gt;0,E81,IF(F81&lt;&gt;0,F81,IF(G81&lt;&gt;0,G81,0)))))))*(IF(H81&lt;&gt;0,H81,1))+I81-J81</f>
        <v>40</v>
      </c>
      <c r="L81" s="218"/>
    </row>
    <row r="82" spans="2:12">
      <c r="B82" s="202"/>
      <c r="C82" s="203"/>
      <c r="D82" s="203"/>
      <c r="E82" s="203"/>
      <c r="F82" s="203"/>
      <c r="G82" s="203"/>
      <c r="H82" s="204"/>
      <c r="I82" s="556" t="s">
        <v>1221</v>
      </c>
      <c r="J82" s="556"/>
      <c r="K82" s="220">
        <f>SUM(K80:K81)</f>
        <v>60</v>
      </c>
      <c r="L82" s="207"/>
    </row>
    <row r="83" spans="2:12">
      <c r="B83" s="208"/>
      <c r="C83" s="204"/>
      <c r="D83" s="204"/>
      <c r="E83" s="204"/>
      <c r="F83" s="204"/>
      <c r="G83" s="204"/>
      <c r="H83" s="209"/>
      <c r="I83" s="557" t="s">
        <v>1222</v>
      </c>
      <c r="J83" s="557"/>
      <c r="K83" s="221">
        <v>60</v>
      </c>
      <c r="L83" s="207"/>
    </row>
    <row r="84" spans="2:12">
      <c r="B84" s="208"/>
      <c r="C84" s="204"/>
      <c r="D84" s="204"/>
      <c r="E84" s="204"/>
      <c r="F84" s="204"/>
      <c r="G84" s="204"/>
      <c r="H84" s="558" t="s">
        <v>1223</v>
      </c>
      <c r="I84" s="558"/>
      <c r="J84" s="558"/>
      <c r="K84" s="222">
        <v>20</v>
      </c>
      <c r="L84" s="207"/>
    </row>
    <row r="85" spans="2:12">
      <c r="B85" s="208"/>
      <c r="C85" s="204"/>
      <c r="D85" s="204"/>
      <c r="E85" s="204"/>
      <c r="F85" s="204"/>
      <c r="G85" s="204"/>
      <c r="H85" s="558" t="s">
        <v>1199</v>
      </c>
      <c r="I85" s="558"/>
      <c r="J85" s="558"/>
      <c r="K85" s="222">
        <f>IF(K82&gt;K83,K83,K82)-K84</f>
        <v>40</v>
      </c>
      <c r="L85" s="207"/>
    </row>
    <row r="86" spans="2:12">
      <c r="B86" s="213"/>
      <c r="C86" s="214"/>
      <c r="D86" s="214"/>
      <c r="E86" s="214"/>
      <c r="F86" s="214"/>
      <c r="G86" s="214"/>
      <c r="H86" s="559" t="s">
        <v>1224</v>
      </c>
      <c r="I86" s="559"/>
      <c r="J86" s="559"/>
      <c r="K86" s="223">
        <f>IF(K82&gt;K83,K82-K83,0)</f>
        <v>0</v>
      </c>
      <c r="L86" s="209"/>
    </row>
    <row r="88" spans="2:12" ht="14.25" customHeight="1">
      <c r="B88" s="555" t="s">
        <v>1233</v>
      </c>
      <c r="C88" s="555"/>
      <c r="D88" s="555"/>
      <c r="E88" s="555"/>
      <c r="F88" s="555"/>
      <c r="G88" s="555"/>
      <c r="H88" s="555"/>
      <c r="I88" s="555"/>
      <c r="J88" s="555"/>
      <c r="K88" s="555"/>
      <c r="L88" s="555"/>
    </row>
    <row r="89" spans="2:12">
      <c r="B89" s="187" t="s">
        <v>1209</v>
      </c>
      <c r="C89" s="187"/>
      <c r="D89" s="187" t="s">
        <v>39</v>
      </c>
      <c r="E89" s="187" t="s">
        <v>1210</v>
      </c>
      <c r="F89" s="187" t="s">
        <v>1211</v>
      </c>
      <c r="G89" s="187" t="s">
        <v>1212</v>
      </c>
      <c r="H89" s="187" t="s">
        <v>1213</v>
      </c>
      <c r="I89" s="187" t="s">
        <v>1214</v>
      </c>
      <c r="J89" s="187" t="s">
        <v>1215</v>
      </c>
      <c r="K89" s="187" t="s">
        <v>1216</v>
      </c>
      <c r="L89" s="187" t="s">
        <v>1217</v>
      </c>
    </row>
    <row r="90" spans="2:12">
      <c r="B90" s="188" t="s">
        <v>1228</v>
      </c>
      <c r="C90" s="189" t="s">
        <v>1219</v>
      </c>
      <c r="D90" s="190" t="s">
        <v>39</v>
      </c>
      <c r="E90" s="191">
        <v>5</v>
      </c>
      <c r="F90" s="192">
        <v>4</v>
      </c>
      <c r="G90" s="192"/>
      <c r="H90" s="191"/>
      <c r="I90" s="191"/>
      <c r="J90" s="216"/>
      <c r="K90" s="217">
        <f>IF(E90*F90*G90&lt;&gt;0,E90*F90*G90,IF(E90*F90&lt;&gt;0,E90*F90,IF(F90*G90&lt;&gt;0,F90*G90,IF(E90*G90&lt;&gt;0,E90*G90,IF(E90&lt;&gt;0,E90,IF(F90&lt;&gt;0,F90,IF(G90&lt;&gt;0,G90,0)))))))*(IF(H90&lt;&gt;0,H90,1))+I90-J90</f>
        <v>20</v>
      </c>
      <c r="L90" s="218"/>
    </row>
    <row r="91" spans="2:12">
      <c r="B91" s="188" t="s">
        <v>1228</v>
      </c>
      <c r="C91" s="189" t="s">
        <v>1219</v>
      </c>
      <c r="D91" s="190" t="s">
        <v>39</v>
      </c>
      <c r="E91" s="191">
        <v>7.5</v>
      </c>
      <c r="F91" s="192">
        <v>4</v>
      </c>
      <c r="G91" s="192"/>
      <c r="H91" s="191"/>
      <c r="I91" s="191"/>
      <c r="J91" s="216"/>
      <c r="K91" s="217">
        <f>IF(E91*F91*G91&lt;&gt;0,E91*F91*G91,IF(E91*F91&lt;&gt;0,E91*F91,IF(F91*G91&lt;&gt;0,F91*G91,IF(E91*G91&lt;&gt;0,E91*G91,IF(E91&lt;&gt;0,E91,IF(F91&lt;&gt;0,F91,IF(G91&lt;&gt;0,G91,0)))))))*(IF(H91&lt;&gt;0,H91,1))+I91-J91</f>
        <v>30</v>
      </c>
      <c r="L91" s="218"/>
    </row>
    <row r="92" spans="2:12">
      <c r="B92" s="202"/>
      <c r="C92" s="203"/>
      <c r="D92" s="203"/>
      <c r="E92" s="203"/>
      <c r="F92" s="203"/>
      <c r="G92" s="203"/>
      <c r="H92" s="204"/>
      <c r="I92" s="556" t="s">
        <v>1221</v>
      </c>
      <c r="J92" s="556"/>
      <c r="K92" s="220">
        <f>SUM(K90:K91)</f>
        <v>50</v>
      </c>
      <c r="L92" s="207"/>
    </row>
    <row r="93" spans="2:12">
      <c r="B93" s="208"/>
      <c r="C93" s="204"/>
      <c r="D93" s="204"/>
      <c r="E93" s="204"/>
      <c r="F93" s="204"/>
      <c r="G93" s="204"/>
      <c r="H93" s="209"/>
      <c r="I93" s="557" t="s">
        <v>1222</v>
      </c>
      <c r="J93" s="557"/>
      <c r="K93" s="221">
        <v>50</v>
      </c>
      <c r="L93" s="207"/>
    </row>
    <row r="94" spans="2:12">
      <c r="B94" s="208"/>
      <c r="C94" s="204"/>
      <c r="D94" s="204"/>
      <c r="E94" s="204"/>
      <c r="F94" s="204"/>
      <c r="G94" s="204"/>
      <c r="H94" s="558" t="s">
        <v>1223</v>
      </c>
      <c r="I94" s="558"/>
      <c r="J94" s="558"/>
      <c r="K94" s="222">
        <v>20</v>
      </c>
      <c r="L94" s="207"/>
    </row>
    <row r="95" spans="2:12">
      <c r="B95" s="208"/>
      <c r="C95" s="204"/>
      <c r="D95" s="204"/>
      <c r="E95" s="204"/>
      <c r="F95" s="204"/>
      <c r="G95" s="204"/>
      <c r="H95" s="558" t="s">
        <v>1199</v>
      </c>
      <c r="I95" s="558"/>
      <c r="J95" s="558"/>
      <c r="K95" s="222">
        <f>IF(K92&gt;K93,K93,K92)-K94</f>
        <v>30</v>
      </c>
      <c r="L95" s="207"/>
    </row>
    <row r="96" spans="2:12">
      <c r="B96" s="213"/>
      <c r="C96" s="214"/>
      <c r="D96" s="214"/>
      <c r="E96" s="214"/>
      <c r="F96" s="214"/>
      <c r="G96" s="214"/>
      <c r="H96" s="559" t="s">
        <v>1224</v>
      </c>
      <c r="I96" s="559"/>
      <c r="J96" s="559"/>
      <c r="K96" s="223">
        <f>IF(K92&gt;K93,K92-K93,0)</f>
        <v>0</v>
      </c>
      <c r="L96" s="209"/>
    </row>
    <row r="98" spans="2:12" ht="15" customHeight="1">
      <c r="B98" s="555" t="s">
        <v>1234</v>
      </c>
      <c r="C98" s="555"/>
      <c r="D98" s="555"/>
      <c r="E98" s="555"/>
      <c r="F98" s="555"/>
      <c r="G98" s="555"/>
      <c r="H98" s="555"/>
      <c r="I98" s="555"/>
      <c r="J98" s="555"/>
      <c r="K98" s="555"/>
      <c r="L98" s="555"/>
    </row>
    <row r="99" spans="2:12">
      <c r="B99" s="187" t="s">
        <v>1209</v>
      </c>
      <c r="C99" s="187"/>
      <c r="D99" s="187" t="s">
        <v>39</v>
      </c>
      <c r="E99" s="187" t="s">
        <v>1210</v>
      </c>
      <c r="F99" s="187" t="s">
        <v>1211</v>
      </c>
      <c r="G99" s="187" t="s">
        <v>1212</v>
      </c>
      <c r="H99" s="187" t="s">
        <v>1213</v>
      </c>
      <c r="I99" s="187" t="s">
        <v>1214</v>
      </c>
      <c r="J99" s="187" t="s">
        <v>1215</v>
      </c>
      <c r="K99" s="187" t="s">
        <v>1216</v>
      </c>
      <c r="L99" s="187" t="s">
        <v>1217</v>
      </c>
    </row>
    <row r="100" spans="2:12">
      <c r="B100" s="188" t="s">
        <v>1235</v>
      </c>
      <c r="C100" s="189" t="s">
        <v>1219</v>
      </c>
      <c r="D100" s="190" t="s">
        <v>169</v>
      </c>
      <c r="E100" s="191">
        <v>1616.87</v>
      </c>
      <c r="F100" s="192"/>
      <c r="G100" s="192">
        <v>0.75</v>
      </c>
      <c r="H100" s="191"/>
      <c r="I100" s="191"/>
      <c r="J100" s="216"/>
      <c r="K100" s="217">
        <f>IF(E100*F100*G100&lt;&gt;0,E100*F100*G100,IF(E100*F100&lt;&gt;0,E100*F100,IF(F100*G100&lt;&gt;0,F100*G100,IF(E100*G100&lt;&gt;0,E100*G100,IF(E100&lt;&gt;0,E100,IF(F100&lt;&gt;0,F100,IF(G100&lt;&gt;0,G100,0)))))))*(IF(H100&lt;&gt;0,H100,1))+I100-J100</f>
        <v>1212.6524999999999</v>
      </c>
      <c r="L100" s="218"/>
    </row>
    <row r="101" spans="2:12">
      <c r="B101" s="188" t="s">
        <v>1235</v>
      </c>
      <c r="C101" s="189" t="s">
        <v>1271</v>
      </c>
      <c r="D101" s="190" t="s">
        <v>169</v>
      </c>
      <c r="E101" s="199">
        <v>1616.87</v>
      </c>
      <c r="F101" s="199"/>
      <c r="G101" s="199">
        <v>0.25</v>
      </c>
      <c r="H101" s="199"/>
      <c r="I101" s="199"/>
      <c r="J101" s="219"/>
      <c r="K101" s="217">
        <f>IF(E101*F101*G101&lt;&gt;0,E101*F101*G101,IF(E101*F101&lt;&gt;0,E101*F101,IF(F101*G101&lt;&gt;0,F101*G101,IF(E101*G101&lt;&gt;0,E101*G101,IF(E101&lt;&gt;0,E101,IF(F101&lt;&gt;0,F101,IF(G101&lt;&gt;0,G101,0)))))))*(IF(H101&lt;&gt;0,H101,1))+I101-J101</f>
        <v>404.21749999999997</v>
      </c>
      <c r="L101" s="218"/>
    </row>
    <row r="102" spans="2:12">
      <c r="B102" s="197"/>
      <c r="C102" s="189"/>
      <c r="D102" s="198"/>
      <c r="E102" s="199"/>
      <c r="F102" s="199"/>
      <c r="G102" s="199"/>
      <c r="H102" s="199"/>
      <c r="I102" s="199"/>
      <c r="J102" s="219"/>
      <c r="K102" s="217">
        <f>IF(E102*F102*G102&lt;&gt;0,E102*F102*G102,IF(E102*F102&lt;&gt;0,E102*F102,IF(F102*G102&lt;&gt;0,F102*G102,IF(E102*G102&lt;&gt;0,E102*G102,IF(E102&lt;&gt;0,E102,IF(F102&lt;&gt;0,F102,IF(G102&lt;&gt;0,G102,0)))))))*(IF(H102&lt;&gt;0,H102,1))+I102-J102</f>
        <v>0</v>
      </c>
      <c r="L102" s="218"/>
    </row>
    <row r="103" spans="2:12">
      <c r="B103" s="202"/>
      <c r="C103" s="203"/>
      <c r="D103" s="203"/>
      <c r="E103" s="203"/>
      <c r="F103" s="203"/>
      <c r="G103" s="203"/>
      <c r="H103" s="204"/>
      <c r="I103" s="556" t="s">
        <v>1221</v>
      </c>
      <c r="J103" s="556"/>
      <c r="K103" s="220">
        <f>SUM(K100:K102)</f>
        <v>1616.87</v>
      </c>
      <c r="L103" s="207"/>
    </row>
    <row r="104" spans="2:12">
      <c r="B104" s="208"/>
      <c r="C104" s="204"/>
      <c r="D104" s="204"/>
      <c r="E104" s="204"/>
      <c r="F104" s="204"/>
      <c r="G104" s="204"/>
      <c r="H104" s="209"/>
      <c r="I104" s="557" t="s">
        <v>1222</v>
      </c>
      <c r="J104" s="557"/>
      <c r="K104" s="221">
        <v>4350</v>
      </c>
      <c r="L104" s="207"/>
    </row>
    <row r="105" spans="2:12">
      <c r="B105" s="208"/>
      <c r="C105" s="204"/>
      <c r="D105" s="204"/>
      <c r="E105" s="204"/>
      <c r="F105" s="204"/>
      <c r="G105" s="204"/>
      <c r="H105" s="558" t="s">
        <v>1223</v>
      </c>
      <c r="I105" s="558"/>
      <c r="J105" s="558"/>
      <c r="K105" s="222">
        <v>1616.87</v>
      </c>
      <c r="L105" s="207"/>
    </row>
    <row r="106" spans="2:12">
      <c r="B106" s="208"/>
      <c r="C106" s="204"/>
      <c r="D106" s="204"/>
      <c r="E106" s="204"/>
      <c r="F106" s="204"/>
      <c r="G106" s="204"/>
      <c r="H106" s="558" t="s">
        <v>1431</v>
      </c>
      <c r="I106" s="558"/>
      <c r="J106" s="558"/>
      <c r="K106" s="222">
        <f>IF(K103&gt;K104,K104,K103)-K105</f>
        <v>0</v>
      </c>
      <c r="L106" s="207"/>
    </row>
    <row r="107" spans="2:12">
      <c r="B107" s="213"/>
      <c r="C107" s="214"/>
      <c r="D107" s="214"/>
      <c r="E107" s="214"/>
      <c r="F107" s="214"/>
      <c r="G107" s="214"/>
      <c r="H107" s="559" t="s">
        <v>1224</v>
      </c>
      <c r="I107" s="559"/>
      <c r="J107" s="559"/>
      <c r="K107" s="223">
        <f>IF(K103&gt;K104,K103-K104,0)</f>
        <v>0</v>
      </c>
      <c r="L107" s="209"/>
    </row>
    <row r="108" spans="2:12" ht="15" customHeight="1"/>
    <row r="109" spans="2:12" ht="24" customHeight="1">
      <c r="B109" s="555" t="s">
        <v>1236</v>
      </c>
      <c r="C109" s="555"/>
      <c r="D109" s="555"/>
      <c r="E109" s="555"/>
      <c r="F109" s="555"/>
      <c r="G109" s="555"/>
      <c r="H109" s="555"/>
      <c r="I109" s="555"/>
      <c r="J109" s="555"/>
      <c r="K109" s="555"/>
      <c r="L109" s="555"/>
    </row>
    <row r="110" spans="2:12">
      <c r="B110" s="187" t="s">
        <v>1209</v>
      </c>
      <c r="C110" s="187"/>
      <c r="D110" s="187" t="s">
        <v>39</v>
      </c>
      <c r="E110" s="187" t="s">
        <v>1210</v>
      </c>
      <c r="F110" s="187" t="s">
        <v>1211</v>
      </c>
      <c r="G110" s="187" t="s">
        <v>1212</v>
      </c>
      <c r="H110" s="187" t="s">
        <v>1213</v>
      </c>
      <c r="I110" s="187" t="s">
        <v>1214</v>
      </c>
      <c r="J110" s="187" t="s">
        <v>1215</v>
      </c>
      <c r="K110" s="187" t="s">
        <v>1216</v>
      </c>
      <c r="L110" s="187" t="s">
        <v>1217</v>
      </c>
    </row>
    <row r="111" spans="2:12">
      <c r="B111" s="188" t="s">
        <v>1235</v>
      </c>
      <c r="C111" s="189" t="s">
        <v>1219</v>
      </c>
      <c r="D111" s="190" t="s">
        <v>169</v>
      </c>
      <c r="E111" s="191">
        <v>1616.87</v>
      </c>
      <c r="F111" s="192"/>
      <c r="G111" s="192">
        <v>0.75</v>
      </c>
      <c r="H111" s="191"/>
      <c r="I111" s="191"/>
      <c r="J111" s="216"/>
      <c r="K111" s="217">
        <f>IF(E111*F111*G111&lt;&gt;0,E111*F111*G111,IF(E111*F111&lt;&gt;0,E111*F111,IF(F111*G111&lt;&gt;0,F111*G111,IF(E111*G111&lt;&gt;0,E111*G111,IF(E111&lt;&gt;0,E111,IF(F111&lt;&gt;0,F111,IF(G111&lt;&gt;0,G111,0)))))))*(IF(H111&lt;&gt;0,H111,1))+I111-J111</f>
        <v>1212.6524999999999</v>
      </c>
      <c r="L111" s="218"/>
    </row>
    <row r="112" spans="2:12">
      <c r="B112" s="188" t="s">
        <v>1235</v>
      </c>
      <c r="C112" s="189" t="s">
        <v>1271</v>
      </c>
      <c r="D112" s="190" t="s">
        <v>169</v>
      </c>
      <c r="E112" s="199">
        <v>1616.87</v>
      </c>
      <c r="F112" s="199"/>
      <c r="G112" s="199">
        <v>0.25</v>
      </c>
      <c r="H112" s="199"/>
      <c r="I112" s="199"/>
      <c r="J112" s="219"/>
      <c r="K112" s="217">
        <f>IF(E112*F112*G112&lt;&gt;0,E112*F112*G112,IF(E112*F112&lt;&gt;0,E112*F112,IF(F112*G112&lt;&gt;0,F112*G112,IF(E112*G112&lt;&gt;0,E112*G112,IF(E112&lt;&gt;0,E112,IF(F112&lt;&gt;0,F112,IF(G112&lt;&gt;0,G112,0)))))))*(IF(H112&lt;&gt;0,H112,1))+I112-J112</f>
        <v>404.21749999999997</v>
      </c>
      <c r="L112" s="218"/>
    </row>
    <row r="113" spans="2:12">
      <c r="B113" s="188" t="s">
        <v>1235</v>
      </c>
      <c r="C113" s="189" t="s">
        <v>1271</v>
      </c>
      <c r="D113" s="190" t="s">
        <v>169</v>
      </c>
      <c r="E113" s="199">
        <v>922</v>
      </c>
      <c r="F113" s="199"/>
      <c r="G113" s="199">
        <v>0.5</v>
      </c>
      <c r="H113" s="199"/>
      <c r="I113" s="199"/>
      <c r="J113" s="219"/>
      <c r="K113" s="217">
        <f>IF(E113*F113*G113&lt;&gt;0,E113*F113*G113,IF(E113*F113&lt;&gt;0,E113*F113,IF(F113*G113&lt;&gt;0,F113*G113,IF(E113*G113&lt;&gt;0,E113*G113,IF(E113&lt;&gt;0,E113,IF(F113&lt;&gt;0,F113,IF(G113&lt;&gt;0,G113,0)))))))*(IF(H113&lt;&gt;0,H113,1))+I113-J113</f>
        <v>461</v>
      </c>
      <c r="L113" s="218"/>
    </row>
    <row r="114" spans="2:12">
      <c r="B114" s="188" t="s">
        <v>1522</v>
      </c>
      <c r="C114" s="189" t="s">
        <v>1521</v>
      </c>
      <c r="D114" s="190" t="s">
        <v>169</v>
      </c>
      <c r="E114" s="199">
        <v>15</v>
      </c>
      <c r="F114" s="199"/>
      <c r="G114" s="199">
        <v>25</v>
      </c>
      <c r="H114" s="199"/>
      <c r="I114" s="199"/>
      <c r="J114" s="219"/>
      <c r="K114" s="217">
        <f>IF(E114*F114*G114&lt;&gt;0,E114*F114*G114,IF(E114*F114&lt;&gt;0,E114*F114,IF(F114*G114&lt;&gt;0,F114*G114,IF(E114*G114&lt;&gt;0,E114*G114,IF(E114&lt;&gt;0,E114,IF(F114&lt;&gt;0,F114,IF(G114&lt;&gt;0,G114,0)))))))*(IF(H114&lt;&gt;0,H114,1))+I114-J114</f>
        <v>375</v>
      </c>
      <c r="L114" s="218"/>
    </row>
    <row r="115" spans="2:12">
      <c r="B115" s="197"/>
      <c r="C115" s="189"/>
      <c r="D115" s="198"/>
      <c r="E115" s="199"/>
      <c r="F115" s="199"/>
      <c r="G115" s="199"/>
      <c r="H115" s="199"/>
      <c r="I115" s="199"/>
      <c r="J115" s="219"/>
      <c r="K115" s="217">
        <f>IF(E115*F115*G115&lt;&gt;0,E115*F115*G115,IF(E115*F115&lt;&gt;0,E115*F115,IF(F115*G115&lt;&gt;0,F115*G115,IF(E115*G115&lt;&gt;0,E115*G115,IF(E115&lt;&gt;0,E115,IF(F115&lt;&gt;0,F115,IF(G115&lt;&gt;0,G115,0)))))))*(IF(H115&lt;&gt;0,H115,1))+I115-J115</f>
        <v>0</v>
      </c>
      <c r="L115" s="218"/>
    </row>
    <row r="116" spans="2:12">
      <c r="B116" s="202"/>
      <c r="C116" s="203"/>
      <c r="D116" s="203"/>
      <c r="E116" s="203"/>
      <c r="F116" s="203"/>
      <c r="G116" s="203"/>
      <c r="H116" s="204"/>
      <c r="I116" s="556" t="s">
        <v>1221</v>
      </c>
      <c r="J116" s="556"/>
      <c r="K116" s="220">
        <f>SUM(K111:K115)</f>
        <v>2452.87</v>
      </c>
      <c r="L116" s="207"/>
    </row>
    <row r="117" spans="2:12">
      <c r="B117" s="208"/>
      <c r="C117" s="204"/>
      <c r="D117" s="204"/>
      <c r="E117" s="204"/>
      <c r="F117" s="204"/>
      <c r="G117" s="204"/>
      <c r="H117" s="209"/>
      <c r="I117" s="557" t="s">
        <v>1222</v>
      </c>
      <c r="J117" s="557"/>
      <c r="K117" s="221">
        <v>3985</v>
      </c>
      <c r="L117" s="207"/>
    </row>
    <row r="118" spans="2:12">
      <c r="B118" s="208"/>
      <c r="C118" s="204"/>
      <c r="D118" s="204"/>
      <c r="E118" s="204"/>
      <c r="F118" s="204"/>
      <c r="G118" s="204"/>
      <c r="H118" s="558" t="s">
        <v>1223</v>
      </c>
      <c r="I118" s="558"/>
      <c r="J118" s="558"/>
      <c r="K118" s="222">
        <v>2077.87</v>
      </c>
      <c r="L118" s="207"/>
    </row>
    <row r="119" spans="2:12">
      <c r="B119" s="208"/>
      <c r="C119" s="204"/>
      <c r="D119" s="204"/>
      <c r="E119" s="204"/>
      <c r="F119" s="204"/>
      <c r="G119" s="204"/>
      <c r="H119" s="558" t="s">
        <v>1435</v>
      </c>
      <c r="I119" s="558"/>
      <c r="J119" s="558"/>
      <c r="K119" s="222">
        <f>IF(K116&gt;K117,K117,K116)-K118</f>
        <v>375</v>
      </c>
      <c r="L119" s="207"/>
    </row>
    <row r="120" spans="2:12" ht="15" customHeight="1">
      <c r="B120" s="213"/>
      <c r="C120" s="214"/>
      <c r="D120" s="214"/>
      <c r="E120" s="214"/>
      <c r="F120" s="214"/>
      <c r="G120" s="214"/>
      <c r="H120" s="559" t="s">
        <v>1224</v>
      </c>
      <c r="I120" s="559"/>
      <c r="J120" s="559"/>
      <c r="K120" s="223">
        <f>IF(K116&gt;K117,K116-K117,0)</f>
        <v>0</v>
      </c>
      <c r="L120" s="209"/>
    </row>
    <row r="122" spans="2:12" ht="14.25" customHeight="1">
      <c r="B122" s="555" t="s">
        <v>1237</v>
      </c>
      <c r="C122" s="555"/>
      <c r="D122" s="555"/>
      <c r="E122" s="555"/>
      <c r="F122" s="555"/>
      <c r="G122" s="555"/>
      <c r="H122" s="555"/>
      <c r="I122" s="555"/>
      <c r="J122" s="555"/>
      <c r="K122" s="555"/>
      <c r="L122" s="555"/>
    </row>
    <row r="123" spans="2:12">
      <c r="B123" s="187" t="s">
        <v>1209</v>
      </c>
      <c r="C123" s="187"/>
      <c r="D123" s="187" t="s">
        <v>39</v>
      </c>
      <c r="E123" s="187" t="s">
        <v>1210</v>
      </c>
      <c r="F123" s="187" t="s">
        <v>1211</v>
      </c>
      <c r="G123" s="187" t="s">
        <v>1212</v>
      </c>
      <c r="H123" s="187" t="s">
        <v>1213</v>
      </c>
      <c r="I123" s="187" t="s">
        <v>1214</v>
      </c>
      <c r="J123" s="187" t="s">
        <v>1215</v>
      </c>
      <c r="K123" s="187" t="s">
        <v>1216</v>
      </c>
      <c r="L123" s="187" t="s">
        <v>1217</v>
      </c>
    </row>
    <row r="124" spans="2:12">
      <c r="B124" s="188" t="s">
        <v>1238</v>
      </c>
      <c r="C124" s="189" t="s">
        <v>1219</v>
      </c>
      <c r="D124" s="190" t="s">
        <v>113</v>
      </c>
      <c r="E124" s="191"/>
      <c r="F124" s="192"/>
      <c r="G124" s="192"/>
      <c r="H124" s="191"/>
      <c r="I124" s="191">
        <v>8200</v>
      </c>
      <c r="J124" s="216"/>
      <c r="K124" s="217">
        <f>IF(E124*F124*G124&lt;&gt;0,E124*F124*G124,IF(E124*F124&lt;&gt;0,E124*F124,IF(F124*G124&lt;&gt;0,F124*G124,IF(E124*G124&lt;&gt;0,E124*G124,IF(E124&lt;&gt;0,E124,IF(F124&lt;&gt;0,F124,IF(G124&lt;&gt;0,G124,0)))))))*(IF(H124&lt;&gt;0,H124,1))+I124-J124</f>
        <v>8200</v>
      </c>
      <c r="L124" s="218"/>
    </row>
    <row r="125" spans="2:12">
      <c r="B125" s="188" t="s">
        <v>1235</v>
      </c>
      <c r="C125" s="189" t="s">
        <v>1271</v>
      </c>
      <c r="D125" s="190" t="s">
        <v>169</v>
      </c>
      <c r="E125" s="199">
        <v>1616.87</v>
      </c>
      <c r="F125" s="199"/>
      <c r="G125" s="199">
        <v>0.25</v>
      </c>
      <c r="H125" s="199">
        <v>30</v>
      </c>
      <c r="I125" s="199"/>
      <c r="J125" s="219"/>
      <c r="K125" s="217">
        <f>IF(E125*F125*G125&lt;&gt;0,E125*F125*G125,IF(E125*F125&lt;&gt;0,E125*F125,IF(F125*G125&lt;&gt;0,F125*G125,IF(E125*G125&lt;&gt;0,E125*G125,IF(E125&lt;&gt;0,E125,IF(F125&lt;&gt;0,F125,IF(G125&lt;&gt;0,G125,0)))))))*(IF(H125&lt;&gt;0,H125,1))+I125-J125</f>
        <v>12126.525</v>
      </c>
      <c r="L125" s="218"/>
    </row>
    <row r="126" spans="2:12">
      <c r="B126" s="188" t="s">
        <v>1235</v>
      </c>
      <c r="C126" s="189" t="s">
        <v>1271</v>
      </c>
      <c r="D126" s="190" t="s">
        <v>169</v>
      </c>
      <c r="E126" s="199">
        <v>922</v>
      </c>
      <c r="F126" s="199"/>
      <c r="G126" s="199">
        <v>0.5</v>
      </c>
      <c r="H126" s="199">
        <v>30</v>
      </c>
      <c r="I126" s="199"/>
      <c r="J126" s="219"/>
      <c r="K126" s="217">
        <f>IF(E126*F126*G126&lt;&gt;0,E126*F126*G126,IF(E126*F126&lt;&gt;0,E126*F126,IF(F126*G126&lt;&gt;0,F126*G126,IF(E126*G126&lt;&gt;0,E126*G126,IF(E126&lt;&gt;0,E126,IF(F126&lt;&gt;0,F126,IF(G126&lt;&gt;0,G126,0)))))))*(IF(H126&lt;&gt;0,H126,1))+I126-J126</f>
        <v>13830</v>
      </c>
      <c r="L126" s="218"/>
    </row>
    <row r="127" spans="2:12">
      <c r="B127" s="188" t="s">
        <v>1522</v>
      </c>
      <c r="C127" s="189" t="s">
        <v>1521</v>
      </c>
      <c r="D127" s="190" t="s">
        <v>169</v>
      </c>
      <c r="E127" s="199">
        <v>15</v>
      </c>
      <c r="F127" s="199"/>
      <c r="G127" s="199">
        <v>25</v>
      </c>
      <c r="H127" s="199">
        <v>30</v>
      </c>
      <c r="I127" s="199"/>
      <c r="J127" s="219"/>
      <c r="K127" s="217">
        <f>IF(E127*F127*G127&lt;&gt;0,E127*F127*G127,IF(E127*F127&lt;&gt;0,E127*F127,IF(F127*G127&lt;&gt;0,F127*G127,IF(E127*G127&lt;&gt;0,E127*G127,IF(E127&lt;&gt;0,E127,IF(F127&lt;&gt;0,F127,IF(G127&lt;&gt;0,G127,0)))))))*(IF(H127&lt;&gt;0,H127,1))+I127-J127</f>
        <v>11250</v>
      </c>
      <c r="L127" s="218"/>
    </row>
    <row r="128" spans="2:12">
      <c r="B128" s="197"/>
      <c r="C128" s="189"/>
      <c r="D128" s="198"/>
      <c r="E128" s="199"/>
      <c r="F128" s="199"/>
      <c r="G128" s="199"/>
      <c r="H128" s="199"/>
      <c r="I128" s="199"/>
      <c r="J128" s="219"/>
      <c r="K128" s="217">
        <f>IF(E128*F128*G128&lt;&gt;0,E128*F128*G128,IF(E128*F128&lt;&gt;0,E128*F128,IF(F128*G128&lt;&gt;0,F128*G128,IF(E128*G128&lt;&gt;0,E128*G128,IF(E128&lt;&gt;0,E128,IF(F128&lt;&gt;0,F128,IF(G128&lt;&gt;0,G128,0)))))))*(IF(H128&lt;&gt;0,H128,1))+I128-J128</f>
        <v>0</v>
      </c>
      <c r="L128" s="218"/>
    </row>
    <row r="129" spans="2:14">
      <c r="B129" s="202"/>
      <c r="C129" s="203"/>
      <c r="D129" s="203"/>
      <c r="E129" s="203"/>
      <c r="F129" s="203"/>
      <c r="G129" s="203"/>
      <c r="H129" s="204"/>
      <c r="I129" s="556" t="s">
        <v>1221</v>
      </c>
      <c r="J129" s="556"/>
      <c r="K129" s="220">
        <f>SUM(K124:K128)</f>
        <v>45406.525000000001</v>
      </c>
      <c r="L129" s="207"/>
    </row>
    <row r="130" spans="2:14">
      <c r="B130" s="208"/>
      <c r="C130" s="204"/>
      <c r="D130" s="204"/>
      <c r="E130" s="204"/>
      <c r="F130" s="204"/>
      <c r="G130" s="204"/>
      <c r="H130" s="209"/>
      <c r="I130" s="557" t="s">
        <v>1222</v>
      </c>
      <c r="J130" s="557"/>
      <c r="K130" s="221">
        <v>119550</v>
      </c>
      <c r="L130" s="207"/>
    </row>
    <row r="131" spans="2:14">
      <c r="B131" s="208"/>
      <c r="C131" s="204"/>
      <c r="D131" s="204"/>
      <c r="E131" s="204"/>
      <c r="F131" s="204"/>
      <c r="G131" s="204"/>
      <c r="H131" s="558" t="s">
        <v>1223</v>
      </c>
      <c r="I131" s="558"/>
      <c r="J131" s="558"/>
      <c r="K131" s="222">
        <v>34156.525000000001</v>
      </c>
      <c r="L131" s="207"/>
    </row>
    <row r="132" spans="2:14">
      <c r="B132" s="208"/>
      <c r="C132" s="204"/>
      <c r="D132" s="204"/>
      <c r="E132" s="204"/>
      <c r="F132" s="204"/>
      <c r="G132" s="204"/>
      <c r="H132" s="558" t="s">
        <v>1435</v>
      </c>
      <c r="I132" s="558"/>
      <c r="J132" s="558"/>
      <c r="K132" s="222">
        <f>IF(K129&gt;K130,K130,K129)-K131</f>
        <v>11250</v>
      </c>
      <c r="L132" s="207"/>
    </row>
    <row r="133" spans="2:14">
      <c r="B133" s="213"/>
      <c r="C133" s="214"/>
      <c r="D133" s="214"/>
      <c r="E133" s="214"/>
      <c r="F133" s="214"/>
      <c r="G133" s="214"/>
      <c r="H133" s="559" t="s">
        <v>1224</v>
      </c>
      <c r="I133" s="559"/>
      <c r="J133" s="559"/>
      <c r="K133" s="223">
        <f>IF(K129&gt;K130,K129-K130,0)</f>
        <v>0</v>
      </c>
      <c r="L133" s="209"/>
    </row>
    <row r="135" spans="2:14" ht="14.25" customHeight="1">
      <c r="B135" s="555" t="s">
        <v>1241</v>
      </c>
      <c r="C135" s="555"/>
      <c r="D135" s="555"/>
      <c r="E135" s="555"/>
      <c r="F135" s="555"/>
      <c r="G135" s="555"/>
      <c r="H135" s="555"/>
      <c r="I135" s="555"/>
      <c r="J135" s="555"/>
      <c r="K135" s="555"/>
      <c r="L135" s="555"/>
    </row>
    <row r="136" spans="2:14">
      <c r="B136" s="187" t="s">
        <v>1209</v>
      </c>
      <c r="C136" s="187"/>
      <c r="D136" s="187" t="s">
        <v>39</v>
      </c>
      <c r="E136" s="187" t="s">
        <v>1210</v>
      </c>
      <c r="F136" s="187" t="s">
        <v>1211</v>
      </c>
      <c r="G136" s="187" t="s">
        <v>1212</v>
      </c>
      <c r="H136" s="187" t="s">
        <v>1213</v>
      </c>
      <c r="I136" s="187" t="s">
        <v>1214</v>
      </c>
      <c r="J136" s="187" t="s">
        <v>1215</v>
      </c>
      <c r="K136" s="187" t="s">
        <v>1216</v>
      </c>
      <c r="L136" s="187" t="s">
        <v>1217</v>
      </c>
    </row>
    <row r="137" spans="2:14">
      <c r="B137" s="188" t="s">
        <v>117</v>
      </c>
      <c r="C137" s="189" t="s">
        <v>1240</v>
      </c>
      <c r="D137" s="190" t="s">
        <v>82</v>
      </c>
      <c r="E137" s="191">
        <v>10</v>
      </c>
      <c r="F137" s="192">
        <f>45/40</f>
        <v>1.125</v>
      </c>
      <c r="G137" s="192"/>
      <c r="H137" s="191">
        <v>147</v>
      </c>
      <c r="I137" s="191"/>
      <c r="J137" s="216"/>
      <c r="K137" s="217">
        <f>IF(E137*F137*G137&lt;&gt;0,E137*F137*G137,IF(E137*F137&lt;&gt;0,E137*F137,IF(F137*G137&lt;&gt;0,F137*G137,IF(E137*G137&lt;&gt;0,E137*G137,IF(E137&lt;&gt;0,E137,IF(F137&lt;&gt;0,F137,IF(G137&lt;&gt;0,G137,0)))))))*(IF(H137&lt;&gt;0,H137,1))+I137-J137</f>
        <v>1653.75</v>
      </c>
      <c r="L137" s="218"/>
    </row>
    <row r="138" spans="2:14">
      <c r="B138" s="188" t="s">
        <v>117</v>
      </c>
      <c r="C138" s="189" t="s">
        <v>1271</v>
      </c>
      <c r="D138" s="190" t="s">
        <v>82</v>
      </c>
      <c r="E138" s="191">
        <v>10</v>
      </c>
      <c r="F138" s="192">
        <f>45/40</f>
        <v>1.125</v>
      </c>
      <c r="G138" s="192"/>
      <c r="H138" s="191">
        <f>173-147</f>
        <v>26</v>
      </c>
      <c r="I138" s="191"/>
      <c r="J138" s="216"/>
      <c r="K138" s="217">
        <f>IF(E138*F138*G138&lt;&gt;0,E138*F138*G138,IF(E138*F138&lt;&gt;0,E138*F138,IF(F138*G138&lt;&gt;0,F138*G138,IF(E138*G138&lt;&gt;0,E138*G138,IF(E138&lt;&gt;0,E138,IF(F138&lt;&gt;0,F138,IF(G138&lt;&gt;0,G138,0)))))))*(IF(H138&lt;&gt;0,H138,1))+I138-J138</f>
        <v>292.5</v>
      </c>
      <c r="L138" s="218"/>
    </row>
    <row r="139" spans="2:14">
      <c r="B139" s="197"/>
      <c r="C139" s="189"/>
      <c r="D139" s="198"/>
      <c r="E139" s="199"/>
      <c r="F139" s="199"/>
      <c r="G139" s="199"/>
      <c r="H139" s="199"/>
      <c r="I139" s="199"/>
      <c r="J139" s="219"/>
      <c r="K139" s="217">
        <f>IF(E139*F139*G139&lt;&gt;0,E139*F139*G139,IF(E139*F139&lt;&gt;0,E139*F139,IF(F139*G139&lt;&gt;0,F139*G139,IF(E139*G139&lt;&gt;0,E139*G139,IF(E139&lt;&gt;0,E139,IF(F139&lt;&gt;0,F139,IF(G139&lt;&gt;0,G139,0)))))))*(IF(H139&lt;&gt;0,H139,1))+I139-J139</f>
        <v>0</v>
      </c>
      <c r="L139" s="218"/>
    </row>
    <row r="140" spans="2:14">
      <c r="B140" s="202"/>
      <c r="C140" s="203"/>
      <c r="D140" s="203"/>
      <c r="E140" s="203"/>
      <c r="F140" s="203"/>
      <c r="G140" s="203"/>
      <c r="H140" s="204"/>
      <c r="I140" s="556" t="s">
        <v>1221</v>
      </c>
      <c r="J140" s="556"/>
      <c r="K140" s="220">
        <f>SUM(K137:K139)</f>
        <v>1946.25</v>
      </c>
      <c r="L140" s="207"/>
    </row>
    <row r="141" spans="2:14">
      <c r="B141" s="208"/>
      <c r="C141" s="204"/>
      <c r="D141" s="204"/>
      <c r="E141" s="204"/>
      <c r="F141" s="204"/>
      <c r="G141" s="204"/>
      <c r="H141" s="209"/>
      <c r="I141" s="557" t="s">
        <v>1222</v>
      </c>
      <c r="J141" s="557"/>
      <c r="K141" s="221">
        <v>1837</v>
      </c>
      <c r="L141" s="207"/>
    </row>
    <row r="142" spans="2:14">
      <c r="B142" s="208"/>
      <c r="C142" s="204"/>
      <c r="D142" s="204"/>
      <c r="E142" s="204"/>
      <c r="F142" s="204"/>
      <c r="G142" s="204"/>
      <c r="H142" s="558" t="s">
        <v>1223</v>
      </c>
      <c r="I142" s="558"/>
      <c r="J142" s="558"/>
      <c r="K142" s="222">
        <v>1653.75</v>
      </c>
      <c r="L142" s="207"/>
    </row>
    <row r="143" spans="2:14">
      <c r="B143" s="208"/>
      <c r="C143" s="204"/>
      <c r="D143" s="204"/>
      <c r="E143" s="204"/>
      <c r="F143" s="204"/>
      <c r="G143" s="204"/>
      <c r="H143" s="558" t="s">
        <v>1199</v>
      </c>
      <c r="I143" s="558"/>
      <c r="J143" s="558"/>
      <c r="K143" s="222">
        <f>IF(K140&gt;K141,K141,K140)-K142</f>
        <v>183.25</v>
      </c>
      <c r="L143" s="207"/>
      <c r="N143" s="224"/>
    </row>
    <row r="144" spans="2:14">
      <c r="B144" s="213"/>
      <c r="C144" s="214"/>
      <c r="D144" s="214"/>
      <c r="E144" s="214"/>
      <c r="F144" s="214"/>
      <c r="G144" s="214"/>
      <c r="H144" s="559" t="s">
        <v>1224</v>
      </c>
      <c r="I144" s="559"/>
      <c r="J144" s="559"/>
      <c r="K144" s="223">
        <f>IF(K140&gt;K141,K140-K141,0)</f>
        <v>109.25</v>
      </c>
      <c r="L144" s="209"/>
    </row>
    <row r="146" spans="2:12" ht="14.25" customHeight="1">
      <c r="B146" s="555" t="s">
        <v>1242</v>
      </c>
      <c r="C146" s="555"/>
      <c r="D146" s="555"/>
      <c r="E146" s="555"/>
      <c r="F146" s="555"/>
      <c r="G146" s="555"/>
      <c r="H146" s="555"/>
      <c r="I146" s="555"/>
      <c r="J146" s="555"/>
      <c r="K146" s="555"/>
      <c r="L146" s="555"/>
    </row>
    <row r="147" spans="2:12">
      <c r="B147" s="187" t="s">
        <v>1209</v>
      </c>
      <c r="C147" s="187"/>
      <c r="D147" s="187" t="s">
        <v>39</v>
      </c>
      <c r="E147" s="187" t="s">
        <v>1210</v>
      </c>
      <c r="F147" s="187" t="s">
        <v>1211</v>
      </c>
      <c r="G147" s="187" t="s">
        <v>1212</v>
      </c>
      <c r="H147" s="187" t="s">
        <v>1213</v>
      </c>
      <c r="I147" s="187" t="s">
        <v>1214</v>
      </c>
      <c r="J147" s="187" t="s">
        <v>1215</v>
      </c>
      <c r="K147" s="187" t="s">
        <v>1216</v>
      </c>
      <c r="L147" s="187" t="s">
        <v>1217</v>
      </c>
    </row>
    <row r="148" spans="2:12">
      <c r="B148" s="188" t="s">
        <v>117</v>
      </c>
      <c r="C148" s="189" t="s">
        <v>1240</v>
      </c>
      <c r="D148" s="190" t="s">
        <v>110</v>
      </c>
      <c r="E148" s="191">
        <f>K143</f>
        <v>183.25</v>
      </c>
      <c r="F148" s="192">
        <v>0.16</v>
      </c>
      <c r="G148" s="192"/>
      <c r="H148" s="191"/>
      <c r="I148" s="191"/>
      <c r="J148" s="216"/>
      <c r="K148" s="217">
        <f>IF(E148*F148*G148&lt;&gt;0,E148*F148*G148,IF(E148*F148&lt;&gt;0,E148*F148,IF(F148*G148&lt;&gt;0,F148*G148,IF(E148*G148&lt;&gt;0,E148*G148,IF(E148&lt;&gt;0,E148,IF(F148&lt;&gt;0,F148,IF(G148&lt;&gt;0,G148,0)))))))*(IF(H148&lt;&gt;0,H148,1))+I148-J148</f>
        <v>29.32</v>
      </c>
      <c r="L148" s="218"/>
    </row>
    <row r="149" spans="2:12">
      <c r="B149" s="197"/>
      <c r="C149" s="189"/>
      <c r="D149" s="198"/>
      <c r="E149" s="199"/>
      <c r="F149" s="199"/>
      <c r="G149" s="199"/>
      <c r="H149" s="199"/>
      <c r="I149" s="199"/>
      <c r="J149" s="219"/>
      <c r="K149" s="217">
        <f>IF(E149*F149*G149&lt;&gt;0,E149*F149*G149,IF(E149*F149&lt;&gt;0,E149*F149,IF(F149*G149&lt;&gt;0,F149*G149,IF(E149*G149&lt;&gt;0,E149*G149,IF(E149&lt;&gt;0,E149,IF(F149&lt;&gt;0,F149,IF(G149&lt;&gt;0,G149,0)))))))*(IF(H149&lt;&gt;0,H149,1))+I149-J149</f>
        <v>0</v>
      </c>
      <c r="L149" s="218"/>
    </row>
    <row r="150" spans="2:12">
      <c r="B150" s="202"/>
      <c r="C150" s="203"/>
      <c r="D150" s="203"/>
      <c r="E150" s="203"/>
      <c r="F150" s="203"/>
      <c r="G150" s="203"/>
      <c r="H150" s="204"/>
      <c r="I150" s="556" t="s">
        <v>1221</v>
      </c>
      <c r="J150" s="556"/>
      <c r="K150" s="220">
        <f>SUM(K148:K149)</f>
        <v>29.32</v>
      </c>
      <c r="L150" s="207"/>
    </row>
    <row r="151" spans="2:12">
      <c r="B151" s="208"/>
      <c r="C151" s="204"/>
      <c r="D151" s="204"/>
      <c r="E151" s="204"/>
      <c r="F151" s="204"/>
      <c r="G151" s="204"/>
      <c r="H151" s="209"/>
      <c r="I151" s="557" t="s">
        <v>1222</v>
      </c>
      <c r="J151" s="557"/>
      <c r="K151" s="221">
        <v>293.92</v>
      </c>
      <c r="L151" s="207"/>
    </row>
    <row r="152" spans="2:12">
      <c r="B152" s="208"/>
      <c r="C152" s="204"/>
      <c r="D152" s="204"/>
      <c r="E152" s="204"/>
      <c r="F152" s="204"/>
      <c r="G152" s="204"/>
      <c r="H152" s="558" t="s">
        <v>1223</v>
      </c>
      <c r="I152" s="558"/>
      <c r="J152" s="558"/>
      <c r="K152" s="222"/>
      <c r="L152" s="207"/>
    </row>
    <row r="153" spans="2:12">
      <c r="B153" s="208"/>
      <c r="C153" s="204"/>
      <c r="D153" s="204"/>
      <c r="E153" s="204"/>
      <c r="F153" s="204"/>
      <c r="G153" s="204"/>
      <c r="H153" s="558" t="s">
        <v>1199</v>
      </c>
      <c r="I153" s="558"/>
      <c r="J153" s="558"/>
      <c r="K153" s="222">
        <f>IF(K150&gt;K151,K151,K150)-K152</f>
        <v>29.32</v>
      </c>
      <c r="L153" s="207"/>
    </row>
    <row r="154" spans="2:12">
      <c r="B154" s="213"/>
      <c r="C154" s="214"/>
      <c r="D154" s="214"/>
      <c r="E154" s="214"/>
      <c r="F154" s="214"/>
      <c r="G154" s="214"/>
      <c r="H154" s="559" t="s">
        <v>1224</v>
      </c>
      <c r="I154" s="559"/>
      <c r="J154" s="559"/>
      <c r="K154" s="223">
        <f>IF(K150&gt;K151,K150-K151,0)</f>
        <v>0</v>
      </c>
      <c r="L154" s="209"/>
    </row>
    <row r="156" spans="2:12" ht="14.25" customHeight="1">
      <c r="B156" s="555" t="s">
        <v>1243</v>
      </c>
      <c r="C156" s="555"/>
      <c r="D156" s="555"/>
      <c r="E156" s="555"/>
      <c r="F156" s="555"/>
      <c r="G156" s="555"/>
      <c r="H156" s="555"/>
      <c r="I156" s="555"/>
      <c r="J156" s="555"/>
      <c r="K156" s="555"/>
      <c r="L156" s="555"/>
    </row>
    <row r="157" spans="2:12">
      <c r="B157" s="187" t="s">
        <v>1209</v>
      </c>
      <c r="C157" s="187"/>
      <c r="D157" s="187" t="s">
        <v>39</v>
      </c>
      <c r="E157" s="187" t="s">
        <v>1210</v>
      </c>
      <c r="F157" s="187" t="s">
        <v>1211</v>
      </c>
      <c r="G157" s="187" t="s">
        <v>1212</v>
      </c>
      <c r="H157" s="187" t="s">
        <v>1213</v>
      </c>
      <c r="I157" s="187" t="s">
        <v>1214</v>
      </c>
      <c r="J157" s="187" t="s">
        <v>1215</v>
      </c>
      <c r="K157" s="187" t="s">
        <v>1216</v>
      </c>
      <c r="L157" s="187" t="s">
        <v>1217</v>
      </c>
    </row>
    <row r="158" spans="2:12">
      <c r="B158" s="188" t="s">
        <v>117</v>
      </c>
      <c r="C158" s="189" t="s">
        <v>1240</v>
      </c>
      <c r="D158" s="190" t="s">
        <v>113</v>
      </c>
      <c r="E158" s="191">
        <f>K143</f>
        <v>183.25</v>
      </c>
      <c r="F158" s="192">
        <v>0.16</v>
      </c>
      <c r="G158" s="192"/>
      <c r="H158" s="191">
        <v>30</v>
      </c>
      <c r="I158" s="191"/>
      <c r="J158" s="216"/>
      <c r="K158" s="217">
        <f>IF(E158*F158*G158&lt;&gt;0,E158*F158*G158,IF(E158*F158&lt;&gt;0,E158*F158,IF(F158*G158&lt;&gt;0,F158*G158,IF(E158*G158&lt;&gt;0,E158*G158,IF(E158&lt;&gt;0,E158,IF(F158&lt;&gt;0,F158,IF(G158&lt;&gt;0,G158,0)))))))*(IF(H158&lt;&gt;0,H158,1))+I158-J158</f>
        <v>879.6</v>
      </c>
      <c r="L158" s="218"/>
    </row>
    <row r="159" spans="2:12">
      <c r="B159" s="197"/>
      <c r="C159" s="189"/>
      <c r="D159" s="198"/>
      <c r="E159" s="199"/>
      <c r="F159" s="199"/>
      <c r="G159" s="199"/>
      <c r="H159" s="199"/>
      <c r="I159" s="199"/>
      <c r="J159" s="219"/>
      <c r="K159" s="217">
        <f>IF(E159*F159*G159&lt;&gt;0,E159*F159*G159,IF(E159*F159&lt;&gt;0,E159*F159,IF(F159*G159&lt;&gt;0,F159*G159,IF(E159*G159&lt;&gt;0,E159*G159,IF(E159&lt;&gt;0,E159,IF(F159&lt;&gt;0,F159,IF(G159&lt;&gt;0,G159,0)))))))*(IF(H159&lt;&gt;0,H159,1))+I159-J159</f>
        <v>0</v>
      </c>
      <c r="L159" s="218"/>
    </row>
    <row r="160" spans="2:12">
      <c r="B160" s="202"/>
      <c r="C160" s="203"/>
      <c r="D160" s="203"/>
      <c r="E160" s="203"/>
      <c r="F160" s="203"/>
      <c r="G160" s="203"/>
      <c r="H160" s="204"/>
      <c r="I160" s="556" t="s">
        <v>1221</v>
      </c>
      <c r="J160" s="556"/>
      <c r="K160" s="220">
        <f>SUM(K158:K159)</f>
        <v>879.6</v>
      </c>
      <c r="L160" s="207"/>
    </row>
    <row r="161" spans="2:12">
      <c r="B161" s="208"/>
      <c r="C161" s="204"/>
      <c r="D161" s="204"/>
      <c r="E161" s="204"/>
      <c r="F161" s="204"/>
      <c r="G161" s="204"/>
      <c r="H161" s="209"/>
      <c r="I161" s="557" t="s">
        <v>1222</v>
      </c>
      <c r="J161" s="557"/>
      <c r="K161" s="221">
        <v>8817.6</v>
      </c>
      <c r="L161" s="207"/>
    </row>
    <row r="162" spans="2:12">
      <c r="B162" s="208"/>
      <c r="C162" s="204"/>
      <c r="D162" s="204"/>
      <c r="E162" s="204"/>
      <c r="F162" s="204"/>
      <c r="G162" s="204"/>
      <c r="H162" s="558" t="s">
        <v>1223</v>
      </c>
      <c r="I162" s="558"/>
      <c r="J162" s="558"/>
      <c r="K162" s="222"/>
      <c r="L162" s="207"/>
    </row>
    <row r="163" spans="2:12">
      <c r="B163" s="208"/>
      <c r="C163" s="204"/>
      <c r="D163" s="204"/>
      <c r="E163" s="204"/>
      <c r="F163" s="204"/>
      <c r="G163" s="204"/>
      <c r="H163" s="558" t="s">
        <v>1199</v>
      </c>
      <c r="I163" s="558"/>
      <c r="J163" s="558"/>
      <c r="K163" s="222">
        <f>IF(K160&gt;K161,K161,K160)-K162</f>
        <v>879.6</v>
      </c>
      <c r="L163" s="207"/>
    </row>
    <row r="164" spans="2:12">
      <c r="B164" s="213"/>
      <c r="C164" s="214"/>
      <c r="D164" s="214"/>
      <c r="E164" s="214"/>
      <c r="F164" s="214"/>
      <c r="G164" s="214"/>
      <c r="H164" s="559" t="s">
        <v>1224</v>
      </c>
      <c r="I164" s="559"/>
      <c r="J164" s="559"/>
      <c r="K164" s="223">
        <f>IF(K160&gt;K161,K160-K161,0)</f>
        <v>0</v>
      </c>
      <c r="L164" s="209"/>
    </row>
    <row r="166" spans="2:12" ht="14.25" customHeight="1">
      <c r="B166" s="555" t="s">
        <v>1244</v>
      </c>
      <c r="C166" s="555"/>
      <c r="D166" s="555"/>
      <c r="E166" s="555"/>
      <c r="F166" s="555"/>
      <c r="G166" s="555"/>
      <c r="H166" s="555"/>
      <c r="I166" s="555"/>
      <c r="J166" s="555"/>
      <c r="K166" s="555"/>
      <c r="L166" s="555"/>
    </row>
    <row r="167" spans="2:12">
      <c r="B167" s="187" t="s">
        <v>1209</v>
      </c>
      <c r="C167" s="187"/>
      <c r="D167" s="187" t="s">
        <v>39</v>
      </c>
      <c r="E167" s="187" t="s">
        <v>1210</v>
      </c>
      <c r="F167" s="187" t="s">
        <v>1211</v>
      </c>
      <c r="G167" s="187" t="s">
        <v>1212</v>
      </c>
      <c r="H167" s="187" t="s">
        <v>1213</v>
      </c>
      <c r="I167" s="187" t="s">
        <v>1214</v>
      </c>
      <c r="J167" s="187" t="s">
        <v>1215</v>
      </c>
      <c r="K167" s="187" t="s">
        <v>1216</v>
      </c>
      <c r="L167" s="187" t="s">
        <v>1217</v>
      </c>
    </row>
    <row r="168" spans="2:12">
      <c r="B168" s="188" t="s">
        <v>117</v>
      </c>
      <c r="C168" s="189" t="s">
        <v>1240</v>
      </c>
      <c r="D168" s="190" t="s">
        <v>39</v>
      </c>
      <c r="E168" s="191"/>
      <c r="F168" s="192"/>
      <c r="G168" s="192"/>
      <c r="H168" s="191"/>
      <c r="I168" s="191">
        <v>40</v>
      </c>
      <c r="J168" s="216"/>
      <c r="K168" s="217">
        <f>IF(E168*F168*G168&lt;&gt;0,E168*F168*G168,IF(E168*F168&lt;&gt;0,E168*F168,IF(F168*G168&lt;&gt;0,F168*G168,IF(E168*G168&lt;&gt;0,E168*G168,IF(E168&lt;&gt;0,E168,IF(F168&lt;&gt;0,F168,IF(G168&lt;&gt;0,G168,0)))))))*(IF(H168&lt;&gt;0,H168,1))+I168-J168</f>
        <v>40</v>
      </c>
      <c r="L168" s="218"/>
    </row>
    <row r="169" spans="2:12">
      <c r="B169" s="188" t="s">
        <v>117</v>
      </c>
      <c r="C169" s="189" t="s">
        <v>1271</v>
      </c>
      <c r="D169" s="190" t="s">
        <v>39</v>
      </c>
      <c r="E169" s="191"/>
      <c r="F169" s="192"/>
      <c r="G169" s="192"/>
      <c r="H169" s="191"/>
      <c r="I169" s="191">
        <f>133</f>
        <v>133</v>
      </c>
      <c r="J169" s="216"/>
      <c r="K169" s="217">
        <f>IF(E169*F169*G169&lt;&gt;0,E169*F169*G169,IF(E169*F169&lt;&gt;0,E169*F169,IF(F169*G169&lt;&gt;0,F169*G169,IF(E169*G169&lt;&gt;0,E169*G169,IF(E169&lt;&gt;0,E169,IF(F169&lt;&gt;0,F169,IF(G169&lt;&gt;0,G169,0)))))))*(IF(H169&lt;&gt;0,H169,1))+I169-J169</f>
        <v>133</v>
      </c>
      <c r="L169" s="218"/>
    </row>
    <row r="170" spans="2:12">
      <c r="B170" s="197"/>
      <c r="C170" s="189"/>
      <c r="D170" s="198"/>
      <c r="E170" s="199"/>
      <c r="F170" s="199"/>
      <c r="G170" s="199"/>
      <c r="H170" s="199"/>
      <c r="I170" s="199"/>
      <c r="J170" s="219"/>
      <c r="K170" s="217">
        <f>IF(E170*F170*G170&lt;&gt;0,E170*F170*G170,IF(E170*F170&lt;&gt;0,E170*F170,IF(F170*G170&lt;&gt;0,F170*G170,IF(E170*G170&lt;&gt;0,E170*G170,IF(E170&lt;&gt;0,E170,IF(F170&lt;&gt;0,F170,IF(G170&lt;&gt;0,G170,0)))))))*(IF(H170&lt;&gt;0,H170,1))+I170-J170</f>
        <v>0</v>
      </c>
      <c r="L170" s="218"/>
    </row>
    <row r="171" spans="2:12">
      <c r="B171" s="202"/>
      <c r="C171" s="203"/>
      <c r="D171" s="203"/>
      <c r="E171" s="203"/>
      <c r="F171" s="203"/>
      <c r="G171" s="203"/>
      <c r="H171" s="204"/>
      <c r="I171" s="556" t="s">
        <v>1221</v>
      </c>
      <c r="J171" s="556"/>
      <c r="K171" s="220">
        <f>SUM(K168:K170)</f>
        <v>173</v>
      </c>
      <c r="L171" s="207"/>
    </row>
    <row r="172" spans="2:12">
      <c r="B172" s="208"/>
      <c r="C172" s="204"/>
      <c r="D172" s="204"/>
      <c r="E172" s="204"/>
      <c r="F172" s="204"/>
      <c r="G172" s="204"/>
      <c r="H172" s="209"/>
      <c r="I172" s="557" t="s">
        <v>1222</v>
      </c>
      <c r="J172" s="557"/>
      <c r="K172" s="221">
        <v>167</v>
      </c>
      <c r="L172" s="207"/>
    </row>
    <row r="173" spans="2:12">
      <c r="B173" s="208"/>
      <c r="C173" s="204"/>
      <c r="D173" s="204"/>
      <c r="E173" s="204"/>
      <c r="F173" s="204"/>
      <c r="G173" s="204"/>
      <c r="H173" s="558" t="s">
        <v>1223</v>
      </c>
      <c r="I173" s="558"/>
      <c r="J173" s="558"/>
      <c r="K173" s="222">
        <v>40</v>
      </c>
      <c r="L173" s="207"/>
    </row>
    <row r="174" spans="2:12">
      <c r="B174" s="208"/>
      <c r="C174" s="204"/>
      <c r="D174" s="204"/>
      <c r="E174" s="204"/>
      <c r="F174" s="204"/>
      <c r="G174" s="204"/>
      <c r="H174" s="558" t="s">
        <v>1199</v>
      </c>
      <c r="I174" s="558"/>
      <c r="J174" s="558"/>
      <c r="K174" s="222">
        <f>IF(K171&gt;K172,K172,K171)-K173</f>
        <v>127</v>
      </c>
      <c r="L174" s="207"/>
    </row>
    <row r="175" spans="2:12">
      <c r="B175" s="213"/>
      <c r="C175" s="214"/>
      <c r="D175" s="214"/>
      <c r="E175" s="214"/>
      <c r="F175" s="214"/>
      <c r="G175" s="214"/>
      <c r="H175" s="559" t="s">
        <v>1224</v>
      </c>
      <c r="I175" s="559"/>
      <c r="J175" s="559"/>
      <c r="K175" s="223">
        <f>IF(K171&gt;K172,K171-K172,0)</f>
        <v>6</v>
      </c>
      <c r="L175" s="209"/>
    </row>
    <row r="177" spans="2:14" ht="14.25" customHeight="1">
      <c r="B177" s="555" t="s">
        <v>1245</v>
      </c>
      <c r="C177" s="555"/>
      <c r="D177" s="555"/>
      <c r="E177" s="555"/>
      <c r="F177" s="555"/>
      <c r="G177" s="555"/>
      <c r="H177" s="555"/>
      <c r="I177" s="555"/>
      <c r="J177" s="555"/>
      <c r="K177" s="555"/>
      <c r="L177" s="555"/>
    </row>
    <row r="178" spans="2:14">
      <c r="B178" s="187" t="s">
        <v>1209</v>
      </c>
      <c r="C178" s="187"/>
      <c r="D178" s="187" t="s">
        <v>39</v>
      </c>
      <c r="E178" s="187" t="s">
        <v>1210</v>
      </c>
      <c r="F178" s="187" t="s">
        <v>1211</v>
      </c>
      <c r="G178" s="187" t="s">
        <v>1212</v>
      </c>
      <c r="H178" s="187" t="s">
        <v>1213</v>
      </c>
      <c r="I178" s="187" t="s">
        <v>1214</v>
      </c>
      <c r="J178" s="187" t="s">
        <v>1215</v>
      </c>
      <c r="K178" s="187" t="s">
        <v>1216</v>
      </c>
      <c r="L178" s="187" t="s">
        <v>1217</v>
      </c>
    </row>
    <row r="179" spans="2:14">
      <c r="B179" s="188" t="s">
        <v>1246</v>
      </c>
      <c r="C179" s="189" t="s">
        <v>1240</v>
      </c>
      <c r="D179" s="190" t="s">
        <v>39</v>
      </c>
      <c r="E179" s="191"/>
      <c r="F179" s="192"/>
      <c r="G179" s="192"/>
      <c r="H179" s="191"/>
      <c r="I179" s="191">
        <v>1</v>
      </c>
      <c r="J179" s="216"/>
      <c r="K179" s="217">
        <f>IF(E179*F179*G179&lt;&gt;0,E179*F179*G179,IF(E179*F179&lt;&gt;0,E179*F179,IF(F179*G179&lt;&gt;0,F179*G179,IF(E179*G179&lt;&gt;0,E179*G179,IF(E179&lt;&gt;0,E179,IF(F179&lt;&gt;0,F179,IF(G179&lt;&gt;0,G179,0)))))))*(IF(H179&lt;&gt;0,H179,1))+I179-J179</f>
        <v>1</v>
      </c>
      <c r="L179" s="218"/>
    </row>
    <row r="180" spans="2:14">
      <c r="B180" s="188" t="s">
        <v>1246</v>
      </c>
      <c r="C180" s="189" t="s">
        <v>1271</v>
      </c>
      <c r="D180" s="190" t="s">
        <v>39</v>
      </c>
      <c r="E180" s="191"/>
      <c r="F180" s="192"/>
      <c r="G180" s="192"/>
      <c r="H180" s="191"/>
      <c r="I180" s="191">
        <v>1</v>
      </c>
      <c r="J180" s="216"/>
      <c r="K180" s="217">
        <f>IF(E180*F180*G180&lt;&gt;0,E180*F180*G180,IF(E180*F180&lt;&gt;0,E180*F180,IF(F180*G180&lt;&gt;0,F180*G180,IF(E180*G180&lt;&gt;0,E180*G180,IF(E180&lt;&gt;0,E180,IF(F180&lt;&gt;0,F180,IF(G180&lt;&gt;0,G180,0)))))))*(IF(H180&lt;&gt;0,H180,1))+I180-J180</f>
        <v>1</v>
      </c>
      <c r="L180" s="218"/>
    </row>
    <row r="181" spans="2:14">
      <c r="B181" s="197"/>
      <c r="C181" s="189"/>
      <c r="D181" s="198"/>
      <c r="E181" s="199"/>
      <c r="F181" s="199"/>
      <c r="G181" s="199"/>
      <c r="H181" s="199"/>
      <c r="I181" s="199"/>
      <c r="J181" s="219"/>
      <c r="K181" s="217">
        <f>IF(E181*F181*G181&lt;&gt;0,E181*F181*G181,IF(E181*F181&lt;&gt;0,E181*F181,IF(F181*G181&lt;&gt;0,F181*G181,IF(E181*G181&lt;&gt;0,E181*G181,IF(E181&lt;&gt;0,E181,IF(F181&lt;&gt;0,F181,IF(G181&lt;&gt;0,G181,0)))))))*(IF(H181&lt;&gt;0,H181,1))+I181-J181</f>
        <v>0</v>
      </c>
      <c r="L181" s="218"/>
    </row>
    <row r="182" spans="2:14">
      <c r="B182" s="202"/>
      <c r="C182" s="203"/>
      <c r="D182" s="203"/>
      <c r="E182" s="203"/>
      <c r="F182" s="203"/>
      <c r="G182" s="203"/>
      <c r="H182" s="204"/>
      <c r="I182" s="556" t="s">
        <v>1221</v>
      </c>
      <c r="J182" s="556"/>
      <c r="K182" s="220">
        <f>SUM(K179:K181)</f>
        <v>2</v>
      </c>
      <c r="L182" s="207"/>
    </row>
    <row r="183" spans="2:14">
      <c r="B183" s="208"/>
      <c r="C183" s="204"/>
      <c r="D183" s="204"/>
      <c r="E183" s="204"/>
      <c r="F183" s="204"/>
      <c r="G183" s="204"/>
      <c r="H183" s="209"/>
      <c r="I183" s="557" t="s">
        <v>1222</v>
      </c>
      <c r="J183" s="557"/>
      <c r="K183" s="221">
        <v>2</v>
      </c>
      <c r="L183" s="207"/>
    </row>
    <row r="184" spans="2:14">
      <c r="B184" s="208"/>
      <c r="C184" s="204"/>
      <c r="D184" s="204"/>
      <c r="E184" s="204"/>
      <c r="F184" s="204"/>
      <c r="G184" s="204"/>
      <c r="H184" s="558" t="s">
        <v>1223</v>
      </c>
      <c r="I184" s="558"/>
      <c r="J184" s="558"/>
      <c r="K184" s="222">
        <v>1</v>
      </c>
      <c r="L184" s="207"/>
    </row>
    <row r="185" spans="2:14">
      <c r="B185" s="208"/>
      <c r="C185" s="204"/>
      <c r="D185" s="204"/>
      <c r="E185" s="204"/>
      <c r="F185" s="204"/>
      <c r="G185" s="204"/>
      <c r="H185" s="558" t="s">
        <v>1199</v>
      </c>
      <c r="I185" s="558"/>
      <c r="J185" s="558"/>
      <c r="K185" s="222">
        <f>IF(K182&gt;K183,K183,K182)-K184</f>
        <v>1</v>
      </c>
      <c r="L185" s="207"/>
    </row>
    <row r="186" spans="2:14">
      <c r="B186" s="213"/>
      <c r="C186" s="214"/>
      <c r="D186" s="214"/>
      <c r="E186" s="214"/>
      <c r="F186" s="214"/>
      <c r="G186" s="214"/>
      <c r="H186" s="559" t="s">
        <v>1224</v>
      </c>
      <c r="I186" s="559"/>
      <c r="J186" s="559"/>
      <c r="K186" s="223">
        <f>IF(K182&gt;K183,K182-K183,0)</f>
        <v>0</v>
      </c>
      <c r="L186" s="209"/>
    </row>
    <row r="188" spans="2:14" ht="14.25" customHeight="1">
      <c r="B188" s="555" t="s">
        <v>1334</v>
      </c>
      <c r="C188" s="555"/>
      <c r="D188" s="555"/>
      <c r="E188" s="555"/>
      <c r="F188" s="555"/>
      <c r="G188" s="555"/>
      <c r="H188" s="555"/>
      <c r="I188" s="555"/>
      <c r="J188" s="555"/>
      <c r="K188" s="555"/>
      <c r="L188" s="555"/>
    </row>
    <row r="189" spans="2:14">
      <c r="B189" s="187" t="s">
        <v>1209</v>
      </c>
      <c r="C189" s="187"/>
      <c r="D189" s="187" t="s">
        <v>39</v>
      </c>
      <c r="E189" s="187" t="s">
        <v>1210</v>
      </c>
      <c r="F189" s="187" t="s">
        <v>1211</v>
      </c>
      <c r="G189" s="187" t="s">
        <v>1212</v>
      </c>
      <c r="H189" s="187" t="s">
        <v>1213</v>
      </c>
      <c r="I189" s="187" t="s">
        <v>1214</v>
      </c>
      <c r="J189" s="187" t="s">
        <v>1215</v>
      </c>
      <c r="K189" s="187" t="s">
        <v>1216</v>
      </c>
      <c r="L189" s="187" t="s">
        <v>1217</v>
      </c>
    </row>
    <row r="190" spans="2:14">
      <c r="B190" s="197" t="s">
        <v>1285</v>
      </c>
      <c r="C190" s="189" t="s">
        <v>1271</v>
      </c>
      <c r="D190" s="198" t="s">
        <v>1335</v>
      </c>
      <c r="E190" s="199">
        <v>2.2999999999999998</v>
      </c>
      <c r="F190" s="199">
        <v>1.3</v>
      </c>
      <c r="G190" s="199"/>
      <c r="H190" s="199"/>
      <c r="I190" s="199"/>
      <c r="J190" s="219"/>
      <c r="K190" s="217">
        <f t="shared" ref="K190:K221" si="2">IF(E190*F190*G190&lt;&gt;0,E190*F190*G190,IF(E190*F190&lt;&gt;0,E190*F190,IF(F190*G190&lt;&gt;0,F190*G190,IF(E190*G190&lt;&gt;0,E190*G190,IF(E190&lt;&gt;0,E190,IF(F190&lt;&gt;0,F190,IF(G190&lt;&gt;0,G190,0)))))))*(IF(H190&lt;&gt;0,H190,1))+I190-J190</f>
        <v>2.9899999999999998</v>
      </c>
      <c r="L190" s="218"/>
      <c r="N190" s="224"/>
    </row>
    <row r="191" spans="2:14">
      <c r="B191" s="197" t="s">
        <v>1286</v>
      </c>
      <c r="C191" s="189" t="s">
        <v>1271</v>
      </c>
      <c r="D191" s="198" t="s">
        <v>1335</v>
      </c>
      <c r="E191" s="199">
        <v>2.6</v>
      </c>
      <c r="F191" s="199">
        <v>2.6</v>
      </c>
      <c r="G191" s="199"/>
      <c r="H191" s="199"/>
      <c r="I191" s="199"/>
      <c r="J191" s="219"/>
      <c r="K191" s="217">
        <f t="shared" si="2"/>
        <v>6.7600000000000007</v>
      </c>
      <c r="L191" s="218"/>
    </row>
    <row r="192" spans="2:14">
      <c r="B192" s="197" t="s">
        <v>1287</v>
      </c>
      <c r="C192" s="189" t="s">
        <v>1271</v>
      </c>
      <c r="D192" s="198" t="s">
        <v>1335</v>
      </c>
      <c r="E192" s="199">
        <v>2.6</v>
      </c>
      <c r="F192" s="199">
        <v>2.6</v>
      </c>
      <c r="G192" s="199"/>
      <c r="H192" s="199"/>
      <c r="I192" s="199"/>
      <c r="J192" s="219"/>
      <c r="K192" s="217">
        <f t="shared" si="2"/>
        <v>6.7600000000000007</v>
      </c>
      <c r="L192" s="218"/>
    </row>
    <row r="193" spans="2:12">
      <c r="B193" s="197" t="s">
        <v>1288</v>
      </c>
      <c r="C193" s="189" t="s">
        <v>1271</v>
      </c>
      <c r="D193" s="198" t="s">
        <v>1335</v>
      </c>
      <c r="E193" s="199">
        <v>2.2999999999999998</v>
      </c>
      <c r="F193" s="199">
        <v>1.3</v>
      </c>
      <c r="G193" s="199"/>
      <c r="H193" s="199"/>
      <c r="I193" s="199"/>
      <c r="J193" s="219"/>
      <c r="K193" s="217">
        <f t="shared" si="2"/>
        <v>2.9899999999999998</v>
      </c>
      <c r="L193" s="218"/>
    </row>
    <row r="194" spans="2:12">
      <c r="B194" s="197" t="s">
        <v>1289</v>
      </c>
      <c r="C194" s="189" t="s">
        <v>1271</v>
      </c>
      <c r="D194" s="198" t="s">
        <v>1335</v>
      </c>
      <c r="E194" s="199">
        <v>1.4</v>
      </c>
      <c r="F194" s="199">
        <v>1.4</v>
      </c>
      <c r="G194" s="199"/>
      <c r="H194" s="199"/>
      <c r="I194" s="199"/>
      <c r="J194" s="219"/>
      <c r="K194" s="217">
        <f t="shared" si="2"/>
        <v>1.9599999999999997</v>
      </c>
      <c r="L194" s="218"/>
    </row>
    <row r="195" spans="2:12">
      <c r="B195" s="197" t="s">
        <v>1290</v>
      </c>
      <c r="C195" s="189" t="s">
        <v>1271</v>
      </c>
      <c r="D195" s="198" t="s">
        <v>1335</v>
      </c>
      <c r="E195" s="199"/>
      <c r="F195" s="199"/>
      <c r="G195" s="199"/>
      <c r="H195" s="199"/>
      <c r="I195" s="199">
        <v>3.29</v>
      </c>
      <c r="J195" s="219"/>
      <c r="K195" s="217">
        <f t="shared" si="2"/>
        <v>3.29</v>
      </c>
      <c r="L195" s="218"/>
    </row>
    <row r="196" spans="2:12">
      <c r="B196" s="197" t="s">
        <v>1291</v>
      </c>
      <c r="C196" s="189" t="s">
        <v>1271</v>
      </c>
      <c r="D196" s="198" t="s">
        <v>1335</v>
      </c>
      <c r="E196" s="199">
        <v>2.6</v>
      </c>
      <c r="F196" s="199">
        <v>2.6</v>
      </c>
      <c r="G196" s="199"/>
      <c r="H196" s="199"/>
      <c r="I196" s="199"/>
      <c r="J196" s="219"/>
      <c r="K196" s="217">
        <f t="shared" si="2"/>
        <v>6.7600000000000007</v>
      </c>
      <c r="L196" s="218"/>
    </row>
    <row r="197" spans="2:12">
      <c r="B197" s="197" t="s">
        <v>1292</v>
      </c>
      <c r="C197" s="189" t="s">
        <v>1271</v>
      </c>
      <c r="D197" s="198" t="s">
        <v>1335</v>
      </c>
      <c r="E197" s="199">
        <v>2.6</v>
      </c>
      <c r="F197" s="199">
        <v>2.6</v>
      </c>
      <c r="G197" s="199"/>
      <c r="H197" s="199"/>
      <c r="I197" s="199"/>
      <c r="J197" s="219"/>
      <c r="K197" s="217">
        <f t="shared" si="2"/>
        <v>6.7600000000000007</v>
      </c>
      <c r="L197" s="218"/>
    </row>
    <row r="198" spans="2:12">
      <c r="B198" s="197" t="s">
        <v>1293</v>
      </c>
      <c r="C198" s="189" t="s">
        <v>1271</v>
      </c>
      <c r="D198" s="198" t="s">
        <v>1335</v>
      </c>
      <c r="E198" s="199">
        <v>2.6</v>
      </c>
      <c r="F198" s="199">
        <v>2.6</v>
      </c>
      <c r="G198" s="199"/>
      <c r="H198" s="199"/>
      <c r="I198" s="199"/>
      <c r="J198" s="219"/>
      <c r="K198" s="217">
        <f t="shared" si="2"/>
        <v>6.7600000000000007</v>
      </c>
      <c r="L198" s="218"/>
    </row>
    <row r="199" spans="2:12">
      <c r="B199" s="197" t="s">
        <v>1294</v>
      </c>
      <c r="C199" s="189" t="s">
        <v>1271</v>
      </c>
      <c r="D199" s="198" t="s">
        <v>1335</v>
      </c>
      <c r="E199" s="199">
        <v>1.4</v>
      </c>
      <c r="F199" s="199">
        <v>1.4</v>
      </c>
      <c r="G199" s="199"/>
      <c r="H199" s="199"/>
      <c r="I199" s="199"/>
      <c r="J199" s="219"/>
      <c r="K199" s="217">
        <f t="shared" si="2"/>
        <v>1.9599999999999997</v>
      </c>
      <c r="L199" s="218"/>
    </row>
    <row r="200" spans="2:12">
      <c r="B200" s="197" t="s">
        <v>1295</v>
      </c>
      <c r="C200" s="189" t="s">
        <v>1271</v>
      </c>
      <c r="D200" s="198" t="s">
        <v>1335</v>
      </c>
      <c r="E200" s="199"/>
      <c r="F200" s="199"/>
      <c r="G200" s="199"/>
      <c r="H200" s="199"/>
      <c r="I200" s="199">
        <v>3.29</v>
      </c>
      <c r="J200" s="219"/>
      <c r="K200" s="217">
        <f t="shared" si="2"/>
        <v>3.29</v>
      </c>
      <c r="L200" s="218"/>
    </row>
    <row r="201" spans="2:12">
      <c r="B201" s="197" t="s">
        <v>1336</v>
      </c>
      <c r="C201" s="189" t="s">
        <v>1271</v>
      </c>
      <c r="D201" s="198" t="s">
        <v>1335</v>
      </c>
      <c r="E201" s="199">
        <v>2.6</v>
      </c>
      <c r="F201" s="199">
        <v>2.6</v>
      </c>
      <c r="G201" s="199"/>
      <c r="H201" s="199"/>
      <c r="I201" s="199"/>
      <c r="J201" s="219"/>
      <c r="K201" s="217">
        <f t="shared" si="2"/>
        <v>6.7600000000000007</v>
      </c>
      <c r="L201" s="218"/>
    </row>
    <row r="202" spans="2:12">
      <c r="B202" s="197" t="s">
        <v>1337</v>
      </c>
      <c r="C202" s="189" t="s">
        <v>1271</v>
      </c>
      <c r="D202" s="198" t="s">
        <v>1335</v>
      </c>
      <c r="E202" s="199">
        <v>2.6</v>
      </c>
      <c r="F202" s="199">
        <v>2.6</v>
      </c>
      <c r="G202" s="199"/>
      <c r="H202" s="199"/>
      <c r="I202" s="199"/>
      <c r="J202" s="219"/>
      <c r="K202" s="217">
        <f t="shared" si="2"/>
        <v>6.7600000000000007</v>
      </c>
      <c r="L202" s="218"/>
    </row>
    <row r="203" spans="2:12">
      <c r="B203" s="197" t="s">
        <v>1338</v>
      </c>
      <c r="C203" s="189" t="s">
        <v>1271</v>
      </c>
      <c r="D203" s="198" t="s">
        <v>1335</v>
      </c>
      <c r="E203" s="199">
        <v>2.6</v>
      </c>
      <c r="F203" s="199">
        <v>2.6</v>
      </c>
      <c r="G203" s="199"/>
      <c r="H203" s="199"/>
      <c r="I203" s="199"/>
      <c r="J203" s="219"/>
      <c r="K203" s="217">
        <f t="shared" si="2"/>
        <v>6.7600000000000007</v>
      </c>
      <c r="L203" s="218"/>
    </row>
    <row r="204" spans="2:12">
      <c r="B204" s="197" t="s">
        <v>1339</v>
      </c>
      <c r="C204" s="189" t="s">
        <v>1271</v>
      </c>
      <c r="D204" s="198" t="s">
        <v>1335</v>
      </c>
      <c r="E204" s="199">
        <v>1.4</v>
      </c>
      <c r="F204" s="199">
        <v>1.4</v>
      </c>
      <c r="G204" s="199"/>
      <c r="H204" s="199"/>
      <c r="I204" s="199"/>
      <c r="J204" s="219"/>
      <c r="K204" s="217">
        <f t="shared" si="2"/>
        <v>1.9599999999999997</v>
      </c>
      <c r="L204" s="218"/>
    </row>
    <row r="205" spans="2:12">
      <c r="B205" s="197" t="s">
        <v>1340</v>
      </c>
      <c r="C205" s="189" t="s">
        <v>1271</v>
      </c>
      <c r="D205" s="198" t="s">
        <v>1335</v>
      </c>
      <c r="E205" s="199">
        <v>2.2999999999999998</v>
      </c>
      <c r="F205" s="199">
        <v>1.3</v>
      </c>
      <c r="G205" s="199"/>
      <c r="H205" s="199"/>
      <c r="I205" s="199"/>
      <c r="J205" s="219"/>
      <c r="K205" s="217">
        <f t="shared" si="2"/>
        <v>2.9899999999999998</v>
      </c>
      <c r="L205" s="218"/>
    </row>
    <row r="206" spans="2:12">
      <c r="B206" s="197" t="s">
        <v>1296</v>
      </c>
      <c r="C206" s="189" t="s">
        <v>1271</v>
      </c>
      <c r="D206" s="198" t="s">
        <v>1335</v>
      </c>
      <c r="E206" s="199">
        <v>2.2999999999999998</v>
      </c>
      <c r="F206" s="199">
        <v>1.3</v>
      </c>
      <c r="G206" s="199"/>
      <c r="H206" s="199"/>
      <c r="I206" s="199"/>
      <c r="J206" s="219"/>
      <c r="K206" s="217">
        <f t="shared" si="2"/>
        <v>2.9899999999999998</v>
      </c>
      <c r="L206" s="218"/>
    </row>
    <row r="207" spans="2:12">
      <c r="B207" s="197" t="s">
        <v>1341</v>
      </c>
      <c r="C207" s="189" t="s">
        <v>1271</v>
      </c>
      <c r="D207" s="198" t="s">
        <v>1335</v>
      </c>
      <c r="E207" s="199"/>
      <c r="F207" s="199"/>
      <c r="G207" s="199"/>
      <c r="H207" s="199"/>
      <c r="I207" s="199">
        <v>3.29</v>
      </c>
      <c r="J207" s="219"/>
      <c r="K207" s="217">
        <f t="shared" si="2"/>
        <v>3.29</v>
      </c>
      <c r="L207" s="218"/>
    </row>
    <row r="208" spans="2:12">
      <c r="B208" s="197" t="s">
        <v>1342</v>
      </c>
      <c r="C208" s="189" t="s">
        <v>1333</v>
      </c>
      <c r="D208" s="198" t="s">
        <v>1335</v>
      </c>
      <c r="E208" s="199">
        <v>3.54</v>
      </c>
      <c r="F208" s="199">
        <v>3.54</v>
      </c>
      <c r="G208" s="199"/>
      <c r="H208" s="199"/>
      <c r="I208" s="199"/>
      <c r="J208" s="219"/>
      <c r="K208" s="217">
        <f t="shared" si="2"/>
        <v>12.531600000000001</v>
      </c>
      <c r="L208" s="218"/>
    </row>
    <row r="209" spans="2:12">
      <c r="B209" s="197" t="s">
        <v>1343</v>
      </c>
      <c r="C209" s="189" t="s">
        <v>1333</v>
      </c>
      <c r="D209" s="198" t="s">
        <v>1335</v>
      </c>
      <c r="E209" s="199">
        <v>2.6</v>
      </c>
      <c r="F209" s="199">
        <v>2.6</v>
      </c>
      <c r="G209" s="199"/>
      <c r="H209" s="199"/>
      <c r="I209" s="199"/>
      <c r="J209" s="219"/>
      <c r="K209" s="217">
        <f t="shared" si="2"/>
        <v>6.7600000000000007</v>
      </c>
      <c r="L209" s="218"/>
    </row>
    <row r="210" spans="2:12">
      <c r="B210" s="197" t="s">
        <v>1297</v>
      </c>
      <c r="C210" s="189" t="s">
        <v>1333</v>
      </c>
      <c r="D210" s="198" t="s">
        <v>1335</v>
      </c>
      <c r="E210" s="199">
        <v>3.8</v>
      </c>
      <c r="F210" s="199">
        <v>1.4</v>
      </c>
      <c r="G210" s="199"/>
      <c r="H210" s="199"/>
      <c r="I210" s="199"/>
      <c r="J210" s="219"/>
      <c r="K210" s="217">
        <f t="shared" si="2"/>
        <v>5.3199999999999994</v>
      </c>
      <c r="L210" s="218"/>
    </row>
    <row r="211" spans="2:12">
      <c r="B211" s="197" t="s">
        <v>1344</v>
      </c>
      <c r="C211" s="189" t="s">
        <v>1333</v>
      </c>
      <c r="D211" s="198" t="s">
        <v>1335</v>
      </c>
      <c r="E211" s="199">
        <v>2.6</v>
      </c>
      <c r="F211" s="199">
        <v>2.6</v>
      </c>
      <c r="G211" s="199"/>
      <c r="H211" s="199"/>
      <c r="I211" s="199"/>
      <c r="J211" s="219"/>
      <c r="K211" s="217">
        <f t="shared" si="2"/>
        <v>6.7600000000000007</v>
      </c>
      <c r="L211" s="218"/>
    </row>
    <row r="212" spans="2:12">
      <c r="B212" s="197" t="s">
        <v>1345</v>
      </c>
      <c r="C212" s="189" t="s">
        <v>1333</v>
      </c>
      <c r="D212" s="198" t="s">
        <v>1335</v>
      </c>
      <c r="E212" s="199">
        <v>2.6</v>
      </c>
      <c r="F212" s="199">
        <v>2.6</v>
      </c>
      <c r="G212" s="199"/>
      <c r="H212" s="199"/>
      <c r="I212" s="199"/>
      <c r="J212" s="219"/>
      <c r="K212" s="217">
        <f t="shared" si="2"/>
        <v>6.7600000000000007</v>
      </c>
      <c r="L212" s="218"/>
    </row>
    <row r="213" spans="2:12">
      <c r="B213" s="197" t="s">
        <v>1298</v>
      </c>
      <c r="C213" s="189" t="s">
        <v>1333</v>
      </c>
      <c r="D213" s="198" t="s">
        <v>1335</v>
      </c>
      <c r="E213" s="199">
        <v>3.8</v>
      </c>
      <c r="F213" s="199">
        <v>2.6</v>
      </c>
      <c r="G213" s="199"/>
      <c r="H213" s="199"/>
      <c r="I213" s="199"/>
      <c r="J213" s="219"/>
      <c r="K213" s="217">
        <f t="shared" si="2"/>
        <v>9.879999999999999</v>
      </c>
      <c r="L213" s="218"/>
    </row>
    <row r="214" spans="2:12">
      <c r="B214" s="197" t="s">
        <v>1346</v>
      </c>
      <c r="C214" s="189" t="s">
        <v>1333</v>
      </c>
      <c r="D214" s="198" t="s">
        <v>1335</v>
      </c>
      <c r="E214" s="199">
        <v>2.6</v>
      </c>
      <c r="F214" s="199">
        <v>2.6</v>
      </c>
      <c r="G214" s="199"/>
      <c r="H214" s="199"/>
      <c r="I214" s="199"/>
      <c r="J214" s="219"/>
      <c r="K214" s="217">
        <f t="shared" si="2"/>
        <v>6.7600000000000007</v>
      </c>
      <c r="L214" s="218"/>
    </row>
    <row r="215" spans="2:12">
      <c r="B215" s="197" t="s">
        <v>1347</v>
      </c>
      <c r="C215" s="189" t="s">
        <v>1333</v>
      </c>
      <c r="D215" s="198" t="s">
        <v>1335</v>
      </c>
      <c r="E215" s="199"/>
      <c r="F215" s="199"/>
      <c r="G215" s="199"/>
      <c r="H215" s="199"/>
      <c r="I215" s="199">
        <v>3.29</v>
      </c>
      <c r="J215" s="219"/>
      <c r="K215" s="217">
        <f t="shared" si="2"/>
        <v>3.29</v>
      </c>
      <c r="L215" s="218"/>
    </row>
    <row r="216" spans="2:12">
      <c r="B216" s="197" t="s">
        <v>1348</v>
      </c>
      <c r="C216" s="189" t="s">
        <v>1333</v>
      </c>
      <c r="D216" s="198" t="s">
        <v>1335</v>
      </c>
      <c r="E216" s="199">
        <v>3.54</v>
      </c>
      <c r="F216" s="199">
        <v>3.54</v>
      </c>
      <c r="G216" s="199"/>
      <c r="H216" s="199"/>
      <c r="I216" s="199"/>
      <c r="J216" s="219"/>
      <c r="K216" s="217">
        <f t="shared" si="2"/>
        <v>12.531600000000001</v>
      </c>
      <c r="L216" s="218"/>
    </row>
    <row r="217" spans="2:12">
      <c r="B217" s="197" t="s">
        <v>1349</v>
      </c>
      <c r="C217" s="189" t="s">
        <v>1333</v>
      </c>
      <c r="D217" s="198" t="s">
        <v>1335</v>
      </c>
      <c r="E217" s="199">
        <v>3.8</v>
      </c>
      <c r="F217" s="199">
        <v>2.6</v>
      </c>
      <c r="G217" s="199"/>
      <c r="H217" s="199"/>
      <c r="I217" s="199"/>
      <c r="J217" s="219"/>
      <c r="K217" s="217">
        <f t="shared" si="2"/>
        <v>9.879999999999999</v>
      </c>
      <c r="L217" s="218"/>
    </row>
    <row r="218" spans="2:12">
      <c r="B218" s="197" t="s">
        <v>1350</v>
      </c>
      <c r="C218" s="189" t="s">
        <v>1333</v>
      </c>
      <c r="D218" s="198" t="s">
        <v>1335</v>
      </c>
      <c r="E218" s="199">
        <v>3.8</v>
      </c>
      <c r="F218" s="199">
        <v>2.6</v>
      </c>
      <c r="G218" s="199"/>
      <c r="H218" s="199"/>
      <c r="I218" s="199"/>
      <c r="J218" s="219"/>
      <c r="K218" s="217">
        <f t="shared" si="2"/>
        <v>9.879999999999999</v>
      </c>
      <c r="L218" s="218"/>
    </row>
    <row r="219" spans="2:12">
      <c r="B219" s="197" t="s">
        <v>1351</v>
      </c>
      <c r="C219" s="189" t="s">
        <v>1333</v>
      </c>
      <c r="D219" s="198" t="s">
        <v>1335</v>
      </c>
      <c r="E219" s="199">
        <v>2.6</v>
      </c>
      <c r="F219" s="199">
        <v>2.6</v>
      </c>
      <c r="G219" s="199"/>
      <c r="H219" s="199"/>
      <c r="I219" s="199"/>
      <c r="J219" s="219"/>
      <c r="K219" s="217">
        <f t="shared" si="2"/>
        <v>6.7600000000000007</v>
      </c>
      <c r="L219" s="218"/>
    </row>
    <row r="220" spans="2:12">
      <c r="B220" s="197" t="s">
        <v>1352</v>
      </c>
      <c r="C220" s="189" t="s">
        <v>1333</v>
      </c>
      <c r="D220" s="198" t="s">
        <v>1335</v>
      </c>
      <c r="E220" s="199">
        <v>1.4</v>
      </c>
      <c r="F220" s="199">
        <v>1.4</v>
      </c>
      <c r="G220" s="199"/>
      <c r="H220" s="199"/>
      <c r="I220" s="199"/>
      <c r="J220" s="219"/>
      <c r="K220" s="217">
        <f t="shared" si="2"/>
        <v>1.9599999999999997</v>
      </c>
      <c r="L220" s="218"/>
    </row>
    <row r="221" spans="2:12">
      <c r="B221" s="197" t="s">
        <v>1353</v>
      </c>
      <c r="C221" s="189" t="s">
        <v>1333</v>
      </c>
      <c r="D221" s="198" t="s">
        <v>1335</v>
      </c>
      <c r="E221" s="199">
        <v>1.4</v>
      </c>
      <c r="F221" s="199">
        <v>1.4</v>
      </c>
      <c r="G221" s="199"/>
      <c r="H221" s="199"/>
      <c r="I221" s="199"/>
      <c r="J221" s="219"/>
      <c r="K221" s="217">
        <f t="shared" si="2"/>
        <v>1.9599999999999997</v>
      </c>
      <c r="L221" s="218"/>
    </row>
    <row r="222" spans="2:12">
      <c r="B222" s="197" t="s">
        <v>1354</v>
      </c>
      <c r="C222" s="189" t="s">
        <v>1333</v>
      </c>
      <c r="D222" s="198" t="s">
        <v>1335</v>
      </c>
      <c r="E222" s="199">
        <v>1.4</v>
      </c>
      <c r="F222" s="199">
        <v>1.4</v>
      </c>
      <c r="G222" s="199"/>
      <c r="H222" s="199"/>
      <c r="I222" s="199"/>
      <c r="J222" s="219"/>
      <c r="K222" s="217">
        <f t="shared" ref="K222:K242" si="3">IF(E222*F222*G222&lt;&gt;0,E222*F222*G222,IF(E222*F222&lt;&gt;0,E222*F222,IF(F222*G222&lt;&gt;0,F222*G222,IF(E222*G222&lt;&gt;0,E222*G222,IF(E222&lt;&gt;0,E222,IF(F222&lt;&gt;0,F222,IF(G222&lt;&gt;0,G222,0)))))))*(IF(H222&lt;&gt;0,H222,1))+I222-J222</f>
        <v>1.9599999999999997</v>
      </c>
      <c r="L222" s="218"/>
    </row>
    <row r="223" spans="2:12">
      <c r="B223" s="197" t="s">
        <v>1355</v>
      </c>
      <c r="C223" s="189" t="s">
        <v>1333</v>
      </c>
      <c r="D223" s="198" t="s">
        <v>1335</v>
      </c>
      <c r="E223" s="199">
        <v>1.4</v>
      </c>
      <c r="F223" s="199">
        <v>1.4</v>
      </c>
      <c r="G223" s="199"/>
      <c r="H223" s="199"/>
      <c r="I223" s="199"/>
      <c r="J223" s="219"/>
      <c r="K223" s="217">
        <f t="shared" si="3"/>
        <v>1.9599999999999997</v>
      </c>
      <c r="L223" s="218"/>
    </row>
    <row r="224" spans="2:12">
      <c r="B224" s="197" t="s">
        <v>1356</v>
      </c>
      <c r="C224" s="189" t="s">
        <v>1333</v>
      </c>
      <c r="D224" s="198" t="s">
        <v>1335</v>
      </c>
      <c r="E224" s="199">
        <v>2.6</v>
      </c>
      <c r="F224" s="199">
        <v>2.6</v>
      </c>
      <c r="G224" s="199"/>
      <c r="H224" s="199"/>
      <c r="I224" s="199"/>
      <c r="J224" s="219"/>
      <c r="K224" s="217">
        <f t="shared" si="3"/>
        <v>6.7600000000000007</v>
      </c>
      <c r="L224" s="218"/>
    </row>
    <row r="225" spans="2:12">
      <c r="B225" s="197" t="s">
        <v>1357</v>
      </c>
      <c r="C225" s="189" t="s">
        <v>1333</v>
      </c>
      <c r="D225" s="198" t="s">
        <v>1335</v>
      </c>
      <c r="E225" s="199">
        <v>2.6</v>
      </c>
      <c r="F225" s="199">
        <v>2.6</v>
      </c>
      <c r="G225" s="199"/>
      <c r="H225" s="199"/>
      <c r="I225" s="199"/>
      <c r="J225" s="219"/>
      <c r="K225" s="217">
        <f t="shared" si="3"/>
        <v>6.7600000000000007</v>
      </c>
      <c r="L225" s="218"/>
    </row>
    <row r="226" spans="2:12">
      <c r="B226" s="197" t="s">
        <v>1358</v>
      </c>
      <c r="C226" s="189" t="s">
        <v>1333</v>
      </c>
      <c r="D226" s="198" t="s">
        <v>1335</v>
      </c>
      <c r="E226" s="199">
        <v>2.6</v>
      </c>
      <c r="F226" s="199">
        <v>2.6</v>
      </c>
      <c r="G226" s="199"/>
      <c r="H226" s="199"/>
      <c r="I226" s="199"/>
      <c r="J226" s="219"/>
      <c r="K226" s="217">
        <f t="shared" si="3"/>
        <v>6.7600000000000007</v>
      </c>
      <c r="L226" s="218"/>
    </row>
    <row r="227" spans="2:12">
      <c r="B227" s="197" t="s">
        <v>1359</v>
      </c>
      <c r="C227" s="189" t="s">
        <v>1333</v>
      </c>
      <c r="D227" s="198" t="s">
        <v>1335</v>
      </c>
      <c r="E227" s="199">
        <v>2.6</v>
      </c>
      <c r="F227" s="199">
        <v>2.6</v>
      </c>
      <c r="G227" s="199"/>
      <c r="H227" s="199"/>
      <c r="I227" s="199"/>
      <c r="J227" s="219"/>
      <c r="K227" s="217">
        <f t="shared" si="3"/>
        <v>6.7600000000000007</v>
      </c>
      <c r="L227" s="218"/>
    </row>
    <row r="228" spans="2:12">
      <c r="B228" s="197" t="s">
        <v>1360</v>
      </c>
      <c r="C228" s="189" t="s">
        <v>1333</v>
      </c>
      <c r="D228" s="198" t="s">
        <v>1335</v>
      </c>
      <c r="E228" s="199">
        <v>1.4</v>
      </c>
      <c r="F228" s="199">
        <v>1.4</v>
      </c>
      <c r="G228" s="199"/>
      <c r="H228" s="199"/>
      <c r="I228" s="199"/>
      <c r="J228" s="219"/>
      <c r="K228" s="217">
        <f t="shared" si="3"/>
        <v>1.9599999999999997</v>
      </c>
      <c r="L228" s="218"/>
    </row>
    <row r="229" spans="2:12">
      <c r="B229" s="197" t="s">
        <v>1361</v>
      </c>
      <c r="C229" s="189" t="s">
        <v>1333</v>
      </c>
      <c r="D229" s="198" t="s">
        <v>1335</v>
      </c>
      <c r="E229" s="199">
        <v>1.4</v>
      </c>
      <c r="F229" s="199">
        <v>1.4</v>
      </c>
      <c r="G229" s="199"/>
      <c r="H229" s="199"/>
      <c r="I229" s="199"/>
      <c r="J229" s="219"/>
      <c r="K229" s="217">
        <f t="shared" si="3"/>
        <v>1.9599999999999997</v>
      </c>
      <c r="L229" s="218"/>
    </row>
    <row r="230" spans="2:12">
      <c r="B230" s="197" t="s">
        <v>1362</v>
      </c>
      <c r="C230" s="189" t="s">
        <v>1333</v>
      </c>
      <c r="D230" s="198" t="s">
        <v>1335</v>
      </c>
      <c r="E230" s="199">
        <v>2.6</v>
      </c>
      <c r="F230" s="199">
        <v>2.6</v>
      </c>
      <c r="G230" s="199"/>
      <c r="H230" s="199"/>
      <c r="I230" s="199"/>
      <c r="J230" s="219"/>
      <c r="K230" s="217">
        <f t="shared" si="3"/>
        <v>6.7600000000000007</v>
      </c>
      <c r="L230" s="218"/>
    </row>
    <row r="231" spans="2:12">
      <c r="B231" s="197" t="s">
        <v>1363</v>
      </c>
      <c r="C231" s="189" t="s">
        <v>1333</v>
      </c>
      <c r="D231" s="198" t="s">
        <v>1335</v>
      </c>
      <c r="E231" s="199">
        <v>2.6</v>
      </c>
      <c r="F231" s="199">
        <v>2.6</v>
      </c>
      <c r="G231" s="199"/>
      <c r="H231" s="199"/>
      <c r="I231" s="199"/>
      <c r="J231" s="219"/>
      <c r="K231" s="217">
        <f t="shared" si="3"/>
        <v>6.7600000000000007</v>
      </c>
      <c r="L231" s="218"/>
    </row>
    <row r="232" spans="2:12">
      <c r="B232" s="197" t="s">
        <v>1364</v>
      </c>
      <c r="C232" s="189" t="s">
        <v>1333</v>
      </c>
      <c r="D232" s="198" t="s">
        <v>1335</v>
      </c>
      <c r="E232" s="199">
        <v>2.2999999999999998</v>
      </c>
      <c r="F232" s="199">
        <v>1.3</v>
      </c>
      <c r="G232" s="199"/>
      <c r="H232" s="199"/>
      <c r="I232" s="199"/>
      <c r="J232" s="219"/>
      <c r="K232" s="217">
        <f t="shared" si="3"/>
        <v>2.9899999999999998</v>
      </c>
      <c r="L232" s="218"/>
    </row>
    <row r="233" spans="2:12">
      <c r="B233" s="197" t="s">
        <v>1442</v>
      </c>
      <c r="C233" s="189" t="s">
        <v>1441</v>
      </c>
      <c r="D233" s="198" t="s">
        <v>1335</v>
      </c>
      <c r="E233" s="199">
        <v>3.8</v>
      </c>
      <c r="F233" s="199">
        <v>2.4</v>
      </c>
      <c r="G233" s="199"/>
      <c r="H233" s="199"/>
      <c r="I233" s="199"/>
      <c r="J233" s="219"/>
      <c r="K233" s="217">
        <f t="shared" si="3"/>
        <v>9.1199999999999992</v>
      </c>
      <c r="L233" s="218"/>
    </row>
    <row r="234" spans="2:12">
      <c r="B234" s="197" t="s">
        <v>1443</v>
      </c>
      <c r="C234" s="189" t="s">
        <v>1441</v>
      </c>
      <c r="D234" s="198" t="s">
        <v>1335</v>
      </c>
      <c r="E234" s="199">
        <v>3.8</v>
      </c>
      <c r="F234" s="199">
        <v>2.4</v>
      </c>
      <c r="G234" s="199"/>
      <c r="H234" s="199"/>
      <c r="I234" s="199"/>
      <c r="J234" s="219"/>
      <c r="K234" s="217">
        <f t="shared" si="3"/>
        <v>9.1199999999999992</v>
      </c>
      <c r="L234" s="218"/>
    </row>
    <row r="235" spans="2:12">
      <c r="B235" s="197" t="s">
        <v>1444</v>
      </c>
      <c r="C235" s="189" t="s">
        <v>1441</v>
      </c>
      <c r="D235" s="198" t="s">
        <v>1335</v>
      </c>
      <c r="E235" s="199">
        <v>2.2999999999999998</v>
      </c>
      <c r="F235" s="199">
        <v>1.3</v>
      </c>
      <c r="G235" s="199"/>
      <c r="H235" s="199"/>
      <c r="I235" s="199"/>
      <c r="J235" s="219"/>
      <c r="K235" s="217">
        <f t="shared" si="3"/>
        <v>2.9899999999999998</v>
      </c>
      <c r="L235" s="218"/>
    </row>
    <row r="236" spans="2:12">
      <c r="B236" s="197" t="s">
        <v>1445</v>
      </c>
      <c r="C236" s="189" t="s">
        <v>1441</v>
      </c>
      <c r="D236" s="198" t="s">
        <v>1335</v>
      </c>
      <c r="E236" s="199">
        <v>2.2999999999999998</v>
      </c>
      <c r="F236" s="199">
        <v>1.3</v>
      </c>
      <c r="G236" s="199"/>
      <c r="H236" s="199"/>
      <c r="I236" s="199"/>
      <c r="J236" s="219"/>
      <c r="K236" s="217">
        <f t="shared" si="3"/>
        <v>2.9899999999999998</v>
      </c>
      <c r="L236" s="218"/>
    </row>
    <row r="237" spans="2:12">
      <c r="B237" s="197" t="s">
        <v>1446</v>
      </c>
      <c r="C237" s="189" t="s">
        <v>1441</v>
      </c>
      <c r="D237" s="198" t="s">
        <v>1335</v>
      </c>
      <c r="E237" s="199"/>
      <c r="F237" s="199"/>
      <c r="G237" s="199"/>
      <c r="H237" s="199"/>
      <c r="I237" s="199">
        <v>4.8499999999999996</v>
      </c>
      <c r="J237" s="219"/>
      <c r="K237" s="217">
        <f t="shared" si="3"/>
        <v>4.8499999999999996</v>
      </c>
      <c r="L237" s="218"/>
    </row>
    <row r="238" spans="2:12">
      <c r="B238" s="197" t="s">
        <v>1447</v>
      </c>
      <c r="C238" s="189" t="s">
        <v>1441</v>
      </c>
      <c r="D238" s="198" t="s">
        <v>1335</v>
      </c>
      <c r="E238" s="199"/>
      <c r="F238" s="199"/>
      <c r="G238" s="199"/>
      <c r="H238" s="199"/>
      <c r="I238" s="199">
        <v>4.8499999999999996</v>
      </c>
      <c r="J238" s="219"/>
      <c r="K238" s="217">
        <f t="shared" si="3"/>
        <v>4.8499999999999996</v>
      </c>
      <c r="L238" s="218"/>
    </row>
    <row r="239" spans="2:12">
      <c r="B239" s="197"/>
      <c r="C239" s="189" t="s">
        <v>1441</v>
      </c>
      <c r="D239" s="198" t="s">
        <v>1335</v>
      </c>
      <c r="E239" s="199"/>
      <c r="F239" s="199"/>
      <c r="G239" s="199"/>
      <c r="H239" s="199"/>
      <c r="I239" s="199">
        <v>2.2537750732476899E-4</v>
      </c>
      <c r="J239" s="219"/>
      <c r="K239" s="217">
        <f t="shared" si="3"/>
        <v>2.2537750732476899E-4</v>
      </c>
      <c r="L239" s="218"/>
    </row>
    <row r="240" spans="2:12">
      <c r="B240" s="197"/>
      <c r="C240" s="189" t="s">
        <v>1441</v>
      </c>
      <c r="D240" s="198" t="s">
        <v>1335</v>
      </c>
      <c r="E240" s="199"/>
      <c r="F240" s="199"/>
      <c r="G240" s="199"/>
      <c r="H240" s="199"/>
      <c r="I240" s="199"/>
      <c r="J240" s="219"/>
      <c r="K240" s="217">
        <f t="shared" si="3"/>
        <v>0</v>
      </c>
      <c r="L240" s="218"/>
    </row>
    <row r="241" spans="2:12">
      <c r="B241" s="197"/>
      <c r="C241" s="189" t="s">
        <v>1441</v>
      </c>
      <c r="D241" s="198" t="s">
        <v>1335</v>
      </c>
      <c r="E241" s="199"/>
      <c r="F241" s="199"/>
      <c r="G241" s="199"/>
      <c r="H241" s="199"/>
      <c r="I241" s="199"/>
      <c r="J241" s="219"/>
      <c r="K241" s="217">
        <f t="shared" si="3"/>
        <v>0</v>
      </c>
      <c r="L241" s="218"/>
    </row>
    <row r="242" spans="2:12">
      <c r="B242" s="197"/>
      <c r="C242" s="189"/>
      <c r="D242" s="198"/>
      <c r="E242" s="199"/>
      <c r="F242" s="199"/>
      <c r="G242" s="199"/>
      <c r="H242" s="199"/>
      <c r="I242" s="199"/>
      <c r="J242" s="219"/>
      <c r="K242" s="217">
        <f t="shared" si="3"/>
        <v>0</v>
      </c>
      <c r="L242" s="218"/>
    </row>
    <row r="243" spans="2:12">
      <c r="B243" s="202"/>
      <c r="C243" s="203"/>
      <c r="D243" s="203"/>
      <c r="E243" s="203"/>
      <c r="F243" s="203"/>
      <c r="G243" s="203"/>
      <c r="H243" s="204"/>
      <c r="I243" s="556" t="s">
        <v>1221</v>
      </c>
      <c r="J243" s="556"/>
      <c r="K243" s="220">
        <f>SUM(K190:K242)</f>
        <v>268.13342537750736</v>
      </c>
      <c r="L243" s="207"/>
    </row>
    <row r="244" spans="2:12">
      <c r="B244" s="208"/>
      <c r="C244" s="204"/>
      <c r="D244" s="204"/>
      <c r="E244" s="204"/>
      <c r="F244" s="204"/>
      <c r="G244" s="204"/>
      <c r="H244" s="209"/>
      <c r="I244" s="557" t="s">
        <v>1222</v>
      </c>
      <c r="J244" s="557"/>
      <c r="K244" s="221">
        <v>233.48</v>
      </c>
      <c r="L244" s="207"/>
    </row>
    <row r="245" spans="2:12">
      <c r="B245" s="208"/>
      <c r="C245" s="204"/>
      <c r="D245" s="204"/>
      <c r="E245" s="204"/>
      <c r="F245" s="204"/>
      <c r="G245" s="204"/>
      <c r="H245" s="558" t="s">
        <v>1223</v>
      </c>
      <c r="I245" s="558"/>
      <c r="J245" s="558"/>
      <c r="K245" s="222">
        <v>168.22919999999999</v>
      </c>
      <c r="L245" s="207"/>
    </row>
    <row r="246" spans="2:12">
      <c r="B246" s="208"/>
      <c r="C246" s="204"/>
      <c r="D246" s="204"/>
      <c r="E246" s="204"/>
      <c r="F246" s="204"/>
      <c r="G246" s="204"/>
      <c r="H246" s="558" t="s">
        <v>1431</v>
      </c>
      <c r="I246" s="558"/>
      <c r="J246" s="558"/>
      <c r="K246" s="222">
        <f>IF(K243&gt;K244,K244,K243)-K245+0.000225377507324769</f>
        <v>65.251025377507318</v>
      </c>
      <c r="L246" s="207"/>
    </row>
    <row r="247" spans="2:12">
      <c r="B247" s="213"/>
      <c r="C247" s="214"/>
      <c r="D247" s="214"/>
      <c r="E247" s="214"/>
      <c r="F247" s="214"/>
      <c r="G247" s="214"/>
      <c r="H247" s="559" t="s">
        <v>1224</v>
      </c>
      <c r="I247" s="559"/>
      <c r="J247" s="559"/>
      <c r="K247" s="223">
        <f>IF(K243&gt;K244,K243-K244,0)</f>
        <v>34.653425377507375</v>
      </c>
      <c r="L247" s="209"/>
    </row>
    <row r="249" spans="2:12" ht="14.25" customHeight="1">
      <c r="B249" s="555" t="s">
        <v>1272</v>
      </c>
      <c r="C249" s="555"/>
      <c r="D249" s="555"/>
      <c r="E249" s="555"/>
      <c r="F249" s="555"/>
      <c r="G249" s="555"/>
      <c r="H249" s="555"/>
      <c r="I249" s="555"/>
      <c r="J249" s="555"/>
      <c r="K249" s="555"/>
      <c r="L249" s="555"/>
    </row>
    <row r="250" spans="2:12">
      <c r="B250" s="187" t="s">
        <v>1209</v>
      </c>
      <c r="C250" s="187"/>
      <c r="D250" s="187" t="s">
        <v>39</v>
      </c>
      <c r="E250" s="187" t="s">
        <v>1210</v>
      </c>
      <c r="F250" s="187" t="s">
        <v>1211</v>
      </c>
      <c r="G250" s="187" t="s">
        <v>1212</v>
      </c>
      <c r="H250" s="187" t="s">
        <v>1213</v>
      </c>
      <c r="I250" s="187" t="s">
        <v>1214</v>
      </c>
      <c r="J250" s="187" t="s">
        <v>1215</v>
      </c>
      <c r="K250" s="187" t="s">
        <v>1216</v>
      </c>
      <c r="L250" s="187" t="s">
        <v>1217</v>
      </c>
    </row>
    <row r="251" spans="2:12">
      <c r="B251" s="188" t="s">
        <v>1273</v>
      </c>
      <c r="C251" s="189" t="s">
        <v>1271</v>
      </c>
      <c r="D251" s="190" t="s">
        <v>1274</v>
      </c>
      <c r="E251" s="191">
        <v>1014</v>
      </c>
      <c r="F251" s="243">
        <v>0.154</v>
      </c>
      <c r="G251" s="192">
        <v>1.1000000000000001</v>
      </c>
      <c r="H251" s="191"/>
      <c r="I251" s="191"/>
      <c r="J251" s="216"/>
      <c r="K251" s="217">
        <f>IF(E251*F251*G251&lt;&gt;0,E251*F251*G251,IF(E251*F251&lt;&gt;0,E251*F251,IF(F251*G251&lt;&gt;0,F251*G251,IF(E251*G251&lt;&gt;0,E251*G251,IF(E251&lt;&gt;0,E251,IF(F251&lt;&gt;0,F251,IF(G251&lt;&gt;0,G251,0)))))))*(IF(H251&lt;&gt;0,H251,1))+I251-J251</f>
        <v>171.77160000000001</v>
      </c>
      <c r="L251" s="218"/>
    </row>
    <row r="252" spans="2:12">
      <c r="B252" s="188" t="s">
        <v>1275</v>
      </c>
      <c r="C252" s="189" t="s">
        <v>1333</v>
      </c>
      <c r="D252" s="190" t="s">
        <v>1274</v>
      </c>
      <c r="E252" s="191"/>
      <c r="F252" s="243"/>
      <c r="G252" s="192"/>
      <c r="H252" s="191"/>
      <c r="I252" s="191"/>
      <c r="J252" s="216"/>
      <c r="K252" s="217">
        <f>IF(E252*F252*G252&lt;&gt;0,E252*F252*G252,IF(E252*F252&lt;&gt;0,E252*F252,IF(F252*G252&lt;&gt;0,F252*G252,IF(E252*G252&lt;&gt;0,E252*G252,IF(E252&lt;&gt;0,E252,IF(F252&lt;&gt;0,F252,IF(G252&lt;&gt;0,G252,0)))))))*(IF(H252&lt;&gt;0,H252,1))+I252-J252</f>
        <v>0</v>
      </c>
      <c r="L252" s="218"/>
    </row>
    <row r="253" spans="2:12">
      <c r="B253" s="188" t="s">
        <v>1448</v>
      </c>
      <c r="C253" s="189" t="s">
        <v>1441</v>
      </c>
      <c r="D253" s="190" t="s">
        <v>1274</v>
      </c>
      <c r="E253" s="191">
        <v>123.508</v>
      </c>
      <c r="F253" s="243"/>
      <c r="G253" s="192"/>
      <c r="H253" s="191">
        <v>0.25</v>
      </c>
      <c r="I253" s="191"/>
      <c r="J253" s="216"/>
      <c r="K253" s="217">
        <f>IF(E253*F253*G253&lt;&gt;0,E253*F253*G253,IF(E253*F253&lt;&gt;0,E253*F253,IF(F253*G253&lt;&gt;0,F253*G253,IF(E253*G253&lt;&gt;0,E253*G253,IF(E253&lt;&gt;0,E253,IF(F253&lt;&gt;0,F253,IF(G253&lt;&gt;0,G253,0)))))))*(IF(H253&lt;&gt;0,H253,1))+I253-J253</f>
        <v>30.876999999999999</v>
      </c>
      <c r="L253" s="218"/>
    </row>
    <row r="254" spans="2:12">
      <c r="B254" s="197"/>
      <c r="C254" s="189"/>
      <c r="D254" s="198"/>
      <c r="E254" s="199"/>
      <c r="F254" s="244"/>
      <c r="G254" s="199"/>
      <c r="H254" s="199"/>
      <c r="I254" s="199"/>
      <c r="J254" s="219"/>
      <c r="K254" s="217">
        <f>IF(E254*F254*G254&lt;&gt;0,E254*F254*G254,IF(E254*F254&lt;&gt;0,E254*F254,IF(F254*G254&lt;&gt;0,F254*G254,IF(E254*G254&lt;&gt;0,E254*G254,IF(E254&lt;&gt;0,E254,IF(F254&lt;&gt;0,F254,IF(G254&lt;&gt;0,G254,0)))))))*(IF(H254&lt;&gt;0,H254,1))+I254-J254</f>
        <v>0</v>
      </c>
      <c r="L254" s="218"/>
    </row>
    <row r="255" spans="2:12">
      <c r="B255" s="202"/>
      <c r="C255" s="203"/>
      <c r="D255" s="203"/>
      <c r="E255" s="203"/>
      <c r="F255" s="203"/>
      <c r="G255" s="203"/>
      <c r="H255" s="204"/>
      <c r="I255" s="556" t="s">
        <v>1221</v>
      </c>
      <c r="J255" s="556"/>
      <c r="K255" s="220">
        <f>SUM(K251:K254)</f>
        <v>202.64860000000002</v>
      </c>
      <c r="L255" s="207"/>
    </row>
    <row r="256" spans="2:12">
      <c r="B256" s="208"/>
      <c r="C256" s="204"/>
      <c r="D256" s="204"/>
      <c r="E256" s="204"/>
      <c r="F256" s="204"/>
      <c r="G256" s="204"/>
      <c r="H256" s="209"/>
      <c r="I256" s="557" t="s">
        <v>1222</v>
      </c>
      <c r="J256" s="557"/>
      <c r="K256" s="221">
        <v>190.3</v>
      </c>
      <c r="L256" s="207"/>
    </row>
    <row r="257" spans="2:12">
      <c r="B257" s="208"/>
      <c r="C257" s="204"/>
      <c r="D257" s="204"/>
      <c r="E257" s="204"/>
      <c r="F257" s="204"/>
      <c r="G257" s="204"/>
      <c r="H257" s="558" t="s">
        <v>1223</v>
      </c>
      <c r="I257" s="558"/>
      <c r="J257" s="558"/>
      <c r="K257" s="222">
        <v>171.77160000000001</v>
      </c>
      <c r="L257" s="207"/>
    </row>
    <row r="258" spans="2:12">
      <c r="B258" s="208"/>
      <c r="C258" s="204"/>
      <c r="D258" s="204"/>
      <c r="E258" s="204"/>
      <c r="F258" s="204"/>
      <c r="G258" s="204"/>
      <c r="H258" s="558" t="s">
        <v>1250</v>
      </c>
      <c r="I258" s="558"/>
      <c r="J258" s="558"/>
      <c r="K258" s="222">
        <f>IF(K255&gt;K256,K256,K255)-K257</f>
        <v>18.528400000000005</v>
      </c>
      <c r="L258" s="207"/>
    </row>
    <row r="259" spans="2:12">
      <c r="B259" s="213"/>
      <c r="C259" s="214"/>
      <c r="D259" s="214"/>
      <c r="E259" s="214"/>
      <c r="F259" s="214"/>
      <c r="G259" s="214"/>
      <c r="H259" s="559" t="s">
        <v>1224</v>
      </c>
      <c r="I259" s="559"/>
      <c r="J259" s="559"/>
      <c r="K259" s="223">
        <f>IF(K255&gt;K256,K255-K256,0)</f>
        <v>12.348600000000005</v>
      </c>
      <c r="L259" s="209"/>
    </row>
    <row r="261" spans="2:12" ht="14.25" customHeight="1">
      <c r="B261" s="555" t="s">
        <v>1276</v>
      </c>
      <c r="C261" s="555"/>
      <c r="D261" s="555"/>
      <c r="E261" s="555"/>
      <c r="F261" s="555"/>
      <c r="G261" s="555"/>
      <c r="H261" s="555"/>
      <c r="I261" s="555"/>
      <c r="J261" s="555"/>
      <c r="K261" s="555"/>
      <c r="L261" s="555"/>
    </row>
    <row r="262" spans="2:12">
      <c r="B262" s="187" t="s">
        <v>1209</v>
      </c>
      <c r="C262" s="187"/>
      <c r="D262" s="187" t="s">
        <v>39</v>
      </c>
      <c r="E262" s="187" t="s">
        <v>1210</v>
      </c>
      <c r="F262" s="187" t="s">
        <v>1211</v>
      </c>
      <c r="G262" s="187" t="s">
        <v>1212</v>
      </c>
      <c r="H262" s="187" t="s">
        <v>1213</v>
      </c>
      <c r="I262" s="187" t="s">
        <v>1214</v>
      </c>
      <c r="J262" s="187" t="s">
        <v>1215</v>
      </c>
      <c r="K262" s="187" t="s">
        <v>1216</v>
      </c>
      <c r="L262" s="187" t="s">
        <v>1217</v>
      </c>
    </row>
    <row r="263" spans="2:12">
      <c r="B263" s="188" t="s">
        <v>1273</v>
      </c>
      <c r="C263" s="189" t="s">
        <v>1271</v>
      </c>
      <c r="D263" s="190" t="s">
        <v>1274</v>
      </c>
      <c r="E263" s="191">
        <v>333</v>
      </c>
      <c r="F263" s="243">
        <v>0.245</v>
      </c>
      <c r="G263" s="192">
        <v>1.1000000000000001</v>
      </c>
      <c r="H263" s="191"/>
      <c r="I263" s="191"/>
      <c r="J263" s="216"/>
      <c r="K263" s="217">
        <f>IF(E263*F263*G263&lt;&gt;0,E263*F263*G263,IF(E263*F263&lt;&gt;0,E263*F263,IF(F263*G263&lt;&gt;0,F263*G263,IF(E263*G263&lt;&gt;0,E263*G263,IF(E263&lt;&gt;0,E263,IF(F263&lt;&gt;0,F263,IF(G263&lt;&gt;0,G263,0)))))))*(IF(H263&lt;&gt;0,H263,1))+I263-J263</f>
        <v>89.743499999999997</v>
      </c>
      <c r="L263" s="218"/>
    </row>
    <row r="264" spans="2:12">
      <c r="B264" s="188" t="s">
        <v>1275</v>
      </c>
      <c r="C264" s="189" t="s">
        <v>1333</v>
      </c>
      <c r="D264" s="190" t="s">
        <v>1274</v>
      </c>
      <c r="E264" s="191">
        <v>411</v>
      </c>
      <c r="F264" s="243">
        <v>0.245</v>
      </c>
      <c r="G264" s="192">
        <v>1.1000000000000001</v>
      </c>
      <c r="H264" s="191"/>
      <c r="I264" s="191"/>
      <c r="J264" s="216"/>
      <c r="K264" s="217">
        <f>IF(E264*F264*G264&lt;&gt;0,E264*F264*G264,IF(E264*F264&lt;&gt;0,E264*F264,IF(F264*G264&lt;&gt;0,F264*G264,IF(E264*G264&lt;&gt;0,E264*G264,IF(E264&lt;&gt;0,E264,IF(F264&lt;&gt;0,F264,IF(G264&lt;&gt;0,G264,0)))))))*(IF(H264&lt;&gt;0,H264,1))+I264-J264</f>
        <v>110.7645</v>
      </c>
      <c r="L264" s="218"/>
    </row>
    <row r="265" spans="2:12">
      <c r="B265" s="197"/>
      <c r="C265" s="189"/>
      <c r="D265" s="198"/>
      <c r="E265" s="199"/>
      <c r="F265" s="199"/>
      <c r="G265" s="199"/>
      <c r="H265" s="199"/>
      <c r="I265" s="199"/>
      <c r="J265" s="219"/>
      <c r="K265" s="217">
        <f>IF(E265*F265*G265&lt;&gt;0,E265*F265*G265,IF(E265*F265&lt;&gt;0,E265*F265,IF(F265*G265&lt;&gt;0,F265*G265,IF(E265*G265&lt;&gt;0,E265*G265,IF(E265&lt;&gt;0,E265,IF(F265&lt;&gt;0,F265,IF(G265&lt;&gt;0,G265,0)))))))*(IF(H265&lt;&gt;0,H265,1))+I265-J265</f>
        <v>0</v>
      </c>
      <c r="L265" s="218"/>
    </row>
    <row r="266" spans="2:12">
      <c r="B266" s="202"/>
      <c r="C266" s="203"/>
      <c r="D266" s="203"/>
      <c r="E266" s="203"/>
      <c r="F266" s="203"/>
      <c r="G266" s="203"/>
      <c r="H266" s="204"/>
      <c r="I266" s="556" t="s">
        <v>1221</v>
      </c>
      <c r="J266" s="556"/>
      <c r="K266" s="220">
        <f>SUM(K263:K265)</f>
        <v>200.50799999999998</v>
      </c>
      <c r="L266" s="207"/>
    </row>
    <row r="267" spans="2:12">
      <c r="B267" s="208"/>
      <c r="C267" s="204"/>
      <c r="D267" s="204"/>
      <c r="E267" s="204"/>
      <c r="F267" s="204"/>
      <c r="G267" s="204"/>
      <c r="H267" s="209"/>
      <c r="I267" s="557" t="s">
        <v>1222</v>
      </c>
      <c r="J267" s="557"/>
      <c r="K267" s="221">
        <v>77</v>
      </c>
      <c r="L267" s="207"/>
    </row>
    <row r="268" spans="2:12">
      <c r="B268" s="208"/>
      <c r="C268" s="204"/>
      <c r="D268" s="204"/>
      <c r="E268" s="204"/>
      <c r="F268" s="204"/>
      <c r="G268" s="204"/>
      <c r="H268" s="558" t="s">
        <v>1223</v>
      </c>
      <c r="I268" s="558"/>
      <c r="J268" s="558"/>
      <c r="K268" s="222">
        <v>77</v>
      </c>
      <c r="L268" s="207"/>
    </row>
    <row r="269" spans="2:12">
      <c r="B269" s="208"/>
      <c r="C269" s="204"/>
      <c r="D269" s="204"/>
      <c r="E269" s="204"/>
      <c r="F269" s="204"/>
      <c r="G269" s="204"/>
      <c r="H269" s="558" t="s">
        <v>1250</v>
      </c>
      <c r="I269" s="558"/>
      <c r="J269" s="558"/>
      <c r="K269" s="222">
        <f>IF(K266&gt;K267,K267,K266)-K268</f>
        <v>0</v>
      </c>
      <c r="L269" s="207"/>
    </row>
    <row r="270" spans="2:12">
      <c r="B270" s="213"/>
      <c r="C270" s="214"/>
      <c r="D270" s="214"/>
      <c r="E270" s="214"/>
      <c r="F270" s="214"/>
      <c r="G270" s="214"/>
      <c r="H270" s="559" t="s">
        <v>1224</v>
      </c>
      <c r="I270" s="559"/>
      <c r="J270" s="559"/>
      <c r="K270" s="223">
        <f>IF(K266&gt;K267,K266-K267,0)</f>
        <v>123.50799999999998</v>
      </c>
      <c r="L270" s="209"/>
    </row>
    <row r="272" spans="2:12" ht="14.25" customHeight="1">
      <c r="B272" s="555" t="s">
        <v>1277</v>
      </c>
      <c r="C272" s="555"/>
      <c r="D272" s="555"/>
      <c r="E272" s="555"/>
      <c r="F272" s="555"/>
      <c r="G272" s="555"/>
      <c r="H272" s="555"/>
      <c r="I272" s="555"/>
      <c r="J272" s="555"/>
      <c r="K272" s="555"/>
      <c r="L272" s="555"/>
    </row>
    <row r="273" spans="2:12">
      <c r="B273" s="187" t="s">
        <v>1209</v>
      </c>
      <c r="C273" s="187"/>
      <c r="D273" s="187" t="s">
        <v>39</v>
      </c>
      <c r="E273" s="187" t="s">
        <v>1210</v>
      </c>
      <c r="F273" s="187" t="s">
        <v>1211</v>
      </c>
      <c r="G273" s="187" t="s">
        <v>1212</v>
      </c>
      <c r="H273" s="187" t="s">
        <v>1213</v>
      </c>
      <c r="I273" s="187" t="s">
        <v>1214</v>
      </c>
      <c r="J273" s="187" t="s">
        <v>1215</v>
      </c>
      <c r="K273" s="187" t="s">
        <v>1216</v>
      </c>
      <c r="L273" s="187" t="s">
        <v>1217</v>
      </c>
    </row>
    <row r="274" spans="2:12">
      <c r="B274" s="188" t="s">
        <v>1273</v>
      </c>
      <c r="C274" s="189" t="s">
        <v>1271</v>
      </c>
      <c r="D274" s="190" t="s">
        <v>1274</v>
      </c>
      <c r="E274" s="191">
        <v>938</v>
      </c>
      <c r="F274" s="243">
        <v>0.39500000000000002</v>
      </c>
      <c r="G274" s="192">
        <v>1.1000000000000001</v>
      </c>
      <c r="H274" s="191"/>
      <c r="I274" s="191"/>
      <c r="J274" s="216"/>
      <c r="K274" s="217">
        <f>IF(E274*F274*G274&lt;&gt;0,E274*F274*G274,IF(E274*F274&lt;&gt;0,E274*F274,IF(F274*G274&lt;&gt;0,F274*G274,IF(E274*G274&lt;&gt;0,E274*G274,IF(E274&lt;&gt;0,E274,IF(F274&lt;&gt;0,F274,IF(G274&lt;&gt;0,G274,0)))))))*(IF(H274&lt;&gt;0,H274,1))+I274-J274</f>
        <v>407.56100000000004</v>
      </c>
      <c r="L274" s="218"/>
    </row>
    <row r="275" spans="2:12">
      <c r="B275" s="188" t="s">
        <v>1275</v>
      </c>
      <c r="C275" s="189" t="s">
        <v>1333</v>
      </c>
      <c r="D275" s="190" t="s">
        <v>1274</v>
      </c>
      <c r="E275" s="191">
        <v>197</v>
      </c>
      <c r="F275" s="243">
        <v>0.39500000000000002</v>
      </c>
      <c r="G275" s="192">
        <v>1.1000000000000001</v>
      </c>
      <c r="H275" s="191"/>
      <c r="I275" s="191"/>
      <c r="J275" s="216"/>
      <c r="K275" s="217">
        <f>IF(E275*F275*G275&lt;&gt;0,E275*F275*G275,IF(E275*F275&lt;&gt;0,E275*F275,IF(F275*G275&lt;&gt;0,F275*G275,IF(E275*G275&lt;&gt;0,E275*G275,IF(E275&lt;&gt;0,E275,IF(F275&lt;&gt;0,F275,IF(G275&lt;&gt;0,G275,0)))))))*(IF(H275&lt;&gt;0,H275,1))+I275-J275</f>
        <v>85.596500000000006</v>
      </c>
      <c r="L275" s="218"/>
    </row>
    <row r="276" spans="2:12">
      <c r="B276" s="188" t="s">
        <v>1448</v>
      </c>
      <c r="C276" s="189" t="s">
        <v>1441</v>
      </c>
      <c r="D276" s="190" t="s">
        <v>1274</v>
      </c>
      <c r="E276" s="191">
        <v>123.508</v>
      </c>
      <c r="F276" s="243"/>
      <c r="G276" s="192"/>
      <c r="H276" s="191">
        <v>0.75</v>
      </c>
      <c r="I276" s="191"/>
      <c r="J276" s="216"/>
      <c r="K276" s="217">
        <f>IF(E276*F276*G276&lt;&gt;0,E276*F276*G276,IF(E276*F276&lt;&gt;0,E276*F276,IF(F276*G276&lt;&gt;0,F276*G276,IF(E276*G276&lt;&gt;0,E276*G276,IF(E276&lt;&gt;0,E276,IF(F276&lt;&gt;0,F276,IF(G276&lt;&gt;0,G276,0)))))))*(IF(H276&lt;&gt;0,H276,1))+I276-J276</f>
        <v>92.631</v>
      </c>
      <c r="L276" s="218"/>
    </row>
    <row r="277" spans="2:12">
      <c r="B277" s="197"/>
      <c r="C277" s="189"/>
      <c r="D277" s="198"/>
      <c r="E277" s="199"/>
      <c r="F277" s="199"/>
      <c r="G277" s="199"/>
      <c r="H277" s="199"/>
      <c r="I277" s="199"/>
      <c r="J277" s="219"/>
      <c r="K277" s="217">
        <f>IF(E277*F277*G277&lt;&gt;0,E277*F277*G277,IF(E277*F277&lt;&gt;0,E277*F277,IF(F277*G277&lt;&gt;0,F277*G277,IF(E277*G277&lt;&gt;0,E277*G277,IF(E277&lt;&gt;0,E277,IF(F277&lt;&gt;0,F277,IF(G277&lt;&gt;0,G277,0)))))))*(IF(H277&lt;&gt;0,H277,1))+I277-J277</f>
        <v>0</v>
      </c>
      <c r="L277" s="218"/>
    </row>
    <row r="278" spans="2:12">
      <c r="B278" s="202"/>
      <c r="C278" s="203"/>
      <c r="D278" s="203"/>
      <c r="E278" s="203"/>
      <c r="F278" s="203"/>
      <c r="G278" s="203"/>
      <c r="H278" s="204"/>
      <c r="I278" s="556" t="s">
        <v>1221</v>
      </c>
      <c r="J278" s="556"/>
      <c r="K278" s="220">
        <f>SUM(K274:K277)</f>
        <v>585.7885</v>
      </c>
      <c r="L278" s="207"/>
    </row>
    <row r="279" spans="2:12">
      <c r="B279" s="208"/>
      <c r="C279" s="204"/>
      <c r="D279" s="204"/>
      <c r="E279" s="204"/>
      <c r="F279" s="204"/>
      <c r="G279" s="204"/>
      <c r="H279" s="209"/>
      <c r="I279" s="557" t="s">
        <v>1222</v>
      </c>
      <c r="J279" s="557"/>
      <c r="K279" s="221">
        <v>566.5</v>
      </c>
      <c r="L279" s="207"/>
    </row>
    <row r="280" spans="2:12">
      <c r="B280" s="208"/>
      <c r="C280" s="204"/>
      <c r="D280" s="204"/>
      <c r="E280" s="204"/>
      <c r="F280" s="204"/>
      <c r="G280" s="204"/>
      <c r="H280" s="558" t="s">
        <v>1223</v>
      </c>
      <c r="I280" s="558"/>
      <c r="J280" s="558"/>
      <c r="K280" s="222">
        <v>493.15750000000003</v>
      </c>
      <c r="L280" s="207"/>
    </row>
    <row r="281" spans="2:12">
      <c r="B281" s="208"/>
      <c r="C281" s="204"/>
      <c r="D281" s="204"/>
      <c r="E281" s="204"/>
      <c r="F281" s="204"/>
      <c r="G281" s="204"/>
      <c r="H281" s="558" t="s">
        <v>1250</v>
      </c>
      <c r="I281" s="558"/>
      <c r="J281" s="558"/>
      <c r="K281" s="222">
        <f>IF(K278&gt;K279,K279,K278)-K280</f>
        <v>73.342499999999973</v>
      </c>
      <c r="L281" s="207"/>
    </row>
    <row r="282" spans="2:12">
      <c r="B282" s="213"/>
      <c r="C282" s="214"/>
      <c r="D282" s="214"/>
      <c r="E282" s="214"/>
      <c r="F282" s="214"/>
      <c r="G282" s="214"/>
      <c r="H282" s="559" t="s">
        <v>1224</v>
      </c>
      <c r="I282" s="559"/>
      <c r="J282" s="559"/>
      <c r="K282" s="223">
        <f>IF(K278&gt;K279,K278-K279,0)</f>
        <v>19.288499999999999</v>
      </c>
      <c r="L282" s="209"/>
    </row>
    <row r="284" spans="2:12" ht="14.25" customHeight="1">
      <c r="B284" s="555" t="s">
        <v>1278</v>
      </c>
      <c r="C284" s="555"/>
      <c r="D284" s="555"/>
      <c r="E284" s="555"/>
      <c r="F284" s="555"/>
      <c r="G284" s="555"/>
      <c r="H284" s="555"/>
      <c r="I284" s="555"/>
      <c r="J284" s="555"/>
      <c r="K284" s="555"/>
      <c r="L284" s="555"/>
    </row>
    <row r="285" spans="2:12">
      <c r="B285" s="187" t="s">
        <v>1209</v>
      </c>
      <c r="C285" s="187"/>
      <c r="D285" s="187" t="s">
        <v>39</v>
      </c>
      <c r="E285" s="187" t="s">
        <v>1210</v>
      </c>
      <c r="F285" s="187" t="s">
        <v>1211</v>
      </c>
      <c r="G285" s="187" t="s">
        <v>1212</v>
      </c>
      <c r="H285" s="187" t="s">
        <v>1213</v>
      </c>
      <c r="I285" s="187" t="s">
        <v>1214</v>
      </c>
      <c r="J285" s="187" t="s">
        <v>1215</v>
      </c>
      <c r="K285" s="187" t="s">
        <v>1216</v>
      </c>
      <c r="L285" s="187" t="s">
        <v>1217</v>
      </c>
    </row>
    <row r="286" spans="2:12">
      <c r="B286" s="188" t="s">
        <v>1273</v>
      </c>
      <c r="C286" s="189" t="s">
        <v>1271</v>
      </c>
      <c r="D286" s="190" t="s">
        <v>1274</v>
      </c>
      <c r="E286" s="191">
        <v>737</v>
      </c>
      <c r="F286" s="243">
        <v>0.61699999999999999</v>
      </c>
      <c r="G286" s="192">
        <v>1.1000000000000001</v>
      </c>
      <c r="H286" s="191"/>
      <c r="I286" s="191"/>
      <c r="J286" s="216"/>
      <c r="K286" s="217">
        <f>IF(E286*F286*G286&lt;&gt;0,E286*F286*G286,IF(E286*F286&lt;&gt;0,E286*F286,IF(F286*G286&lt;&gt;0,F286*G286,IF(E286*G286&lt;&gt;0,E286*G286,IF(E286&lt;&gt;0,E286,IF(F286&lt;&gt;0,F286,IF(G286&lt;&gt;0,G286,0)))))))*(IF(H286&lt;&gt;0,H286,1))+I286-J286</f>
        <v>500.20190000000002</v>
      </c>
      <c r="L286" s="218"/>
    </row>
    <row r="287" spans="2:12">
      <c r="B287" s="188" t="s">
        <v>1275</v>
      </c>
      <c r="C287" s="189" t="s">
        <v>1333</v>
      </c>
      <c r="D287" s="190" t="s">
        <v>1274</v>
      </c>
      <c r="E287" s="191">
        <v>1837</v>
      </c>
      <c r="F287" s="243">
        <v>0.61699999999999999</v>
      </c>
      <c r="G287" s="192">
        <v>1.1000000000000001</v>
      </c>
      <c r="H287" s="191"/>
      <c r="I287" s="191"/>
      <c r="J287" s="216"/>
      <c r="K287" s="217">
        <f>IF(E287*F287*G287&lt;&gt;0,E287*F287*G287,IF(E287*F287&lt;&gt;0,E287*F287,IF(F287*G287&lt;&gt;0,F287*G287,IF(E287*G287&lt;&gt;0,E287*G287,IF(E287&lt;&gt;0,E287,IF(F287&lt;&gt;0,F287,IF(G287&lt;&gt;0,G287,0)))))))*(IF(H287&lt;&gt;0,H287,1))+I287-J287</f>
        <v>1246.7719000000002</v>
      </c>
      <c r="L287" s="218"/>
    </row>
    <row r="288" spans="2:12">
      <c r="B288" s="197"/>
      <c r="C288" s="189"/>
      <c r="D288" s="198"/>
      <c r="E288" s="199"/>
      <c r="F288" s="244"/>
      <c r="G288" s="199"/>
      <c r="H288" s="199"/>
      <c r="I288" s="199"/>
      <c r="J288" s="219"/>
      <c r="K288" s="217">
        <f>IF(E288*F288*G288&lt;&gt;0,E288*F288*G288,IF(E288*F288&lt;&gt;0,E288*F288,IF(F288*G288&lt;&gt;0,F288*G288,IF(E288*G288&lt;&gt;0,E288*G288,IF(E288&lt;&gt;0,E288,IF(F288&lt;&gt;0,F288,IF(G288&lt;&gt;0,G288,0)))))))*(IF(H288&lt;&gt;0,H288,1))+I288-J288</f>
        <v>0</v>
      </c>
      <c r="L288" s="218"/>
    </row>
    <row r="289" spans="2:12">
      <c r="B289" s="202"/>
      <c r="C289" s="203"/>
      <c r="D289" s="203"/>
      <c r="E289" s="203"/>
      <c r="F289" s="203"/>
      <c r="G289" s="203"/>
      <c r="H289" s="204"/>
      <c r="I289" s="556" t="s">
        <v>1221</v>
      </c>
      <c r="J289" s="556"/>
      <c r="K289" s="220">
        <f>SUM(K286:K288)</f>
        <v>1746.9738000000002</v>
      </c>
      <c r="L289" s="207"/>
    </row>
    <row r="290" spans="2:12">
      <c r="B290" s="208"/>
      <c r="C290" s="204"/>
      <c r="D290" s="204"/>
      <c r="E290" s="204"/>
      <c r="F290" s="204"/>
      <c r="G290" s="204"/>
      <c r="H290" s="209"/>
      <c r="I290" s="557" t="s">
        <v>1222</v>
      </c>
      <c r="J290" s="557"/>
      <c r="K290" s="221">
        <v>1663.2</v>
      </c>
      <c r="L290" s="207"/>
    </row>
    <row r="291" spans="2:12">
      <c r="B291" s="208"/>
      <c r="C291" s="204"/>
      <c r="D291" s="204"/>
      <c r="E291" s="204"/>
      <c r="F291" s="204"/>
      <c r="G291" s="204"/>
      <c r="H291" s="558" t="s">
        <v>1223</v>
      </c>
      <c r="I291" s="558"/>
      <c r="J291" s="558"/>
      <c r="K291" s="222">
        <v>500.20190000000002</v>
      </c>
      <c r="L291" s="207"/>
    </row>
    <row r="292" spans="2:12">
      <c r="B292" s="208"/>
      <c r="C292" s="204"/>
      <c r="D292" s="204"/>
      <c r="E292" s="204"/>
      <c r="F292" s="204"/>
      <c r="G292" s="204"/>
      <c r="H292" s="558" t="s">
        <v>1250</v>
      </c>
      <c r="I292" s="558"/>
      <c r="J292" s="558"/>
      <c r="K292" s="222">
        <f>IF(K289&gt;K290,K290,K289)-K291</f>
        <v>1162.9981</v>
      </c>
      <c r="L292" s="207"/>
    </row>
    <row r="293" spans="2:12">
      <c r="B293" s="213"/>
      <c r="C293" s="214"/>
      <c r="D293" s="214"/>
      <c r="E293" s="214"/>
      <c r="F293" s="214"/>
      <c r="G293" s="214"/>
      <c r="H293" s="559" t="s">
        <v>1224</v>
      </c>
      <c r="I293" s="559"/>
      <c r="J293" s="559"/>
      <c r="K293" s="223">
        <f>IF(K289&gt;K290,K289-K290,0)</f>
        <v>83.773800000000165</v>
      </c>
      <c r="L293" s="209"/>
    </row>
    <row r="295" spans="2:12" ht="14.25" customHeight="1">
      <c r="B295" s="555" t="s">
        <v>1279</v>
      </c>
      <c r="C295" s="555"/>
      <c r="D295" s="555"/>
      <c r="E295" s="555"/>
      <c r="F295" s="555"/>
      <c r="G295" s="555"/>
      <c r="H295" s="555"/>
      <c r="I295" s="555"/>
      <c r="J295" s="555"/>
      <c r="K295" s="555"/>
      <c r="L295" s="555"/>
    </row>
    <row r="296" spans="2:12">
      <c r="B296" s="187" t="s">
        <v>1209</v>
      </c>
      <c r="C296" s="187"/>
      <c r="D296" s="187" t="s">
        <v>39</v>
      </c>
      <c r="E296" s="187" t="s">
        <v>1210</v>
      </c>
      <c r="F296" s="187" t="s">
        <v>1211</v>
      </c>
      <c r="G296" s="187" t="s">
        <v>1212</v>
      </c>
      <c r="H296" s="187" t="s">
        <v>1213</v>
      </c>
      <c r="I296" s="187" t="s">
        <v>1214</v>
      </c>
      <c r="J296" s="187" t="s">
        <v>1215</v>
      </c>
      <c r="K296" s="187" t="s">
        <v>1216</v>
      </c>
      <c r="L296" s="187" t="s">
        <v>1217</v>
      </c>
    </row>
    <row r="297" spans="2:12">
      <c r="B297" s="188" t="s">
        <v>1273</v>
      </c>
      <c r="C297" s="189" t="s">
        <v>1271</v>
      </c>
      <c r="D297" s="190" t="s">
        <v>1274</v>
      </c>
      <c r="E297" s="191">
        <v>3329</v>
      </c>
      <c r="F297" s="243">
        <v>0.96299999999999997</v>
      </c>
      <c r="G297" s="192">
        <v>1.1000000000000001</v>
      </c>
      <c r="H297" s="191"/>
      <c r="I297" s="191"/>
      <c r="J297" s="216"/>
      <c r="K297" s="217">
        <f>IF(E297*F297*G297&lt;&gt;0,E297*F297*G297,IF(E297*F297&lt;&gt;0,E297*F297,IF(F297*G297&lt;&gt;0,F297*G297,IF(E297*G297&lt;&gt;0,E297*G297,IF(E297&lt;&gt;0,E297,IF(F297&lt;&gt;0,F297,IF(G297&lt;&gt;0,G297,0)))))))*(IF(H297&lt;&gt;0,H297,1))+I297-J297</f>
        <v>3526.4097000000002</v>
      </c>
      <c r="L297" s="218"/>
    </row>
    <row r="298" spans="2:12">
      <c r="B298" s="188" t="s">
        <v>1275</v>
      </c>
      <c r="C298" s="189" t="s">
        <v>1333</v>
      </c>
      <c r="D298" s="190" t="s">
        <v>1274</v>
      </c>
      <c r="E298" s="191">
        <v>2624</v>
      </c>
      <c r="F298" s="243">
        <v>0.96299999999999997</v>
      </c>
      <c r="G298" s="192">
        <v>1.1000000000000001</v>
      </c>
      <c r="H298" s="191"/>
      <c r="I298" s="191"/>
      <c r="J298" s="216"/>
      <c r="K298" s="217">
        <f>IF(E298*F298*G298&lt;&gt;0,E298*F298*G298,IF(E298*F298&lt;&gt;0,E298*F298,IF(F298*G298&lt;&gt;0,F298*G298,IF(E298*G298&lt;&gt;0,E298*G298,IF(E298&lt;&gt;0,E298,IF(F298&lt;&gt;0,F298,IF(G298&lt;&gt;0,G298,0)))))))*(IF(H298&lt;&gt;0,H298,1))+I298-J298</f>
        <v>2779.6032</v>
      </c>
      <c r="L298" s="218"/>
    </row>
    <row r="299" spans="2:12">
      <c r="B299" s="197"/>
      <c r="C299" s="189"/>
      <c r="D299" s="198"/>
      <c r="E299" s="199"/>
      <c r="F299" s="244"/>
      <c r="G299" s="199"/>
      <c r="H299" s="199"/>
      <c r="I299" s="199"/>
      <c r="J299" s="219"/>
      <c r="K299" s="217">
        <f>IF(E299*F299*G299&lt;&gt;0,E299*F299*G299,IF(E299*F299&lt;&gt;0,E299*F299,IF(F299*G299&lt;&gt;0,F299*G299,IF(E299*G299&lt;&gt;0,E299*G299,IF(E299&lt;&gt;0,E299,IF(F299&lt;&gt;0,F299,IF(G299&lt;&gt;0,G299,0)))))))*(IF(H299&lt;&gt;0,H299,1))+I299-J299</f>
        <v>0</v>
      </c>
      <c r="L299" s="218"/>
    </row>
    <row r="300" spans="2:12">
      <c r="B300" s="202"/>
      <c r="C300" s="203"/>
      <c r="D300" s="203"/>
      <c r="E300" s="203"/>
      <c r="F300" s="203"/>
      <c r="G300" s="203"/>
      <c r="H300" s="204"/>
      <c r="I300" s="556" t="s">
        <v>1221</v>
      </c>
      <c r="J300" s="556"/>
      <c r="K300" s="220">
        <f>SUM(K297:K299)</f>
        <v>6306.0128999999997</v>
      </c>
      <c r="L300" s="207"/>
    </row>
    <row r="301" spans="2:12">
      <c r="B301" s="208"/>
      <c r="C301" s="204"/>
      <c r="D301" s="204"/>
      <c r="E301" s="204"/>
      <c r="F301" s="204"/>
      <c r="G301" s="204"/>
      <c r="H301" s="209"/>
      <c r="I301" s="557" t="s">
        <v>1222</v>
      </c>
      <c r="J301" s="557"/>
      <c r="K301" s="221">
        <v>4944.5</v>
      </c>
      <c r="L301" s="207"/>
    </row>
    <row r="302" spans="2:12">
      <c r="B302" s="208"/>
      <c r="C302" s="204"/>
      <c r="D302" s="204"/>
      <c r="E302" s="204"/>
      <c r="F302" s="204"/>
      <c r="G302" s="204"/>
      <c r="H302" s="558" t="s">
        <v>1223</v>
      </c>
      <c r="I302" s="558"/>
      <c r="J302" s="558"/>
      <c r="K302" s="222">
        <v>3541.0572999999999</v>
      </c>
      <c r="L302" s="207"/>
    </row>
    <row r="303" spans="2:12">
      <c r="B303" s="208"/>
      <c r="C303" s="204"/>
      <c r="D303" s="204"/>
      <c r="E303" s="204"/>
      <c r="F303" s="204"/>
      <c r="G303" s="204"/>
      <c r="H303" s="558" t="s">
        <v>1250</v>
      </c>
      <c r="I303" s="558"/>
      <c r="J303" s="558"/>
      <c r="K303" s="222">
        <f>IF(K300&gt;K301,K301,K300)-K302</f>
        <v>1403.4427000000001</v>
      </c>
      <c r="L303" s="207"/>
    </row>
    <row r="304" spans="2:12">
      <c r="B304" s="213"/>
      <c r="C304" s="214"/>
      <c r="D304" s="214"/>
      <c r="E304" s="214"/>
      <c r="F304" s="214"/>
      <c r="G304" s="214"/>
      <c r="H304" s="559" t="s">
        <v>1224</v>
      </c>
      <c r="I304" s="559"/>
      <c r="J304" s="559"/>
      <c r="K304" s="223">
        <f>IF(K300&gt;K301,K300-K301,0)</f>
        <v>1361.5128999999997</v>
      </c>
      <c r="L304" s="209"/>
    </row>
    <row r="306" spans="2:12" ht="14.25" customHeight="1">
      <c r="B306" s="555" t="s">
        <v>1280</v>
      </c>
      <c r="C306" s="555"/>
      <c r="D306" s="555"/>
      <c r="E306" s="555"/>
      <c r="F306" s="555"/>
      <c r="G306" s="555"/>
      <c r="H306" s="555"/>
      <c r="I306" s="555"/>
      <c r="J306" s="555"/>
      <c r="K306" s="555"/>
      <c r="L306" s="555"/>
    </row>
    <row r="307" spans="2:12">
      <c r="B307" s="187" t="s">
        <v>1209</v>
      </c>
      <c r="C307" s="187"/>
      <c r="D307" s="187" t="s">
        <v>39</v>
      </c>
      <c r="E307" s="187" t="s">
        <v>1210</v>
      </c>
      <c r="F307" s="187" t="s">
        <v>1211</v>
      </c>
      <c r="G307" s="187" t="s">
        <v>1212</v>
      </c>
      <c r="H307" s="187" t="s">
        <v>1213</v>
      </c>
      <c r="I307" s="187" t="s">
        <v>1214</v>
      </c>
      <c r="J307" s="187" t="s">
        <v>1215</v>
      </c>
      <c r="K307" s="187" t="s">
        <v>1216</v>
      </c>
      <c r="L307" s="187" t="s">
        <v>1217</v>
      </c>
    </row>
    <row r="308" spans="2:12">
      <c r="B308" s="188" t="s">
        <v>1273</v>
      </c>
      <c r="C308" s="189" t="s">
        <v>1271</v>
      </c>
      <c r="D308" s="190" t="s">
        <v>1274</v>
      </c>
      <c r="E308" s="191"/>
      <c r="F308" s="243"/>
      <c r="G308" s="192"/>
      <c r="H308" s="191"/>
      <c r="I308" s="191"/>
      <c r="J308" s="216"/>
      <c r="K308" s="217">
        <f>IF(E308*F308*G308&lt;&gt;0,E308*F308*G308,IF(E308*F308&lt;&gt;0,E308*F308,IF(F308*G308&lt;&gt;0,F308*G308,IF(E308*G308&lt;&gt;0,E308*G308,IF(E308&lt;&gt;0,E308,IF(F308&lt;&gt;0,F308,IF(G308&lt;&gt;0,G308,0)))))))*(IF(H308&lt;&gt;0,H308,1))+I308-J308</f>
        <v>0</v>
      </c>
      <c r="L308" s="218"/>
    </row>
    <row r="309" spans="2:12">
      <c r="B309" s="188" t="s">
        <v>1275</v>
      </c>
      <c r="C309" s="189" t="s">
        <v>1333</v>
      </c>
      <c r="D309" s="190" t="s">
        <v>1274</v>
      </c>
      <c r="E309" s="191">
        <v>67</v>
      </c>
      <c r="F309" s="243">
        <v>1.5780000000000001</v>
      </c>
      <c r="G309" s="192">
        <v>1.1000000000000001</v>
      </c>
      <c r="H309" s="191"/>
      <c r="I309" s="191"/>
      <c r="J309" s="216"/>
      <c r="K309" s="217">
        <f>IF(E309*F309*G309&lt;&gt;0,E309*F309*G309,IF(E309*F309&lt;&gt;0,E309*F309,IF(F309*G309&lt;&gt;0,F309*G309,IF(E309*G309&lt;&gt;0,E309*G309,IF(E309&lt;&gt;0,E309,IF(F309&lt;&gt;0,F309,IF(G309&lt;&gt;0,G309,0)))))))*(IF(H309&lt;&gt;0,H309,1))+I309-J309</f>
        <v>116.29860000000001</v>
      </c>
      <c r="L309" s="218"/>
    </row>
    <row r="310" spans="2:12">
      <c r="B310" s="197"/>
      <c r="C310" s="189"/>
      <c r="D310" s="198"/>
      <c r="E310" s="199"/>
      <c r="F310" s="199"/>
      <c r="G310" s="199"/>
      <c r="H310" s="199"/>
      <c r="I310" s="199"/>
      <c r="J310" s="219"/>
      <c r="K310" s="217">
        <f>IF(E310*F310*G310&lt;&gt;0,E310*F310*G310,IF(E310*F310&lt;&gt;0,E310*F310,IF(F310*G310&lt;&gt;0,F310*G310,IF(E310*G310&lt;&gt;0,E310*G310,IF(E310&lt;&gt;0,E310,IF(F310&lt;&gt;0,F310,IF(G310&lt;&gt;0,G310,0)))))))*(IF(H310&lt;&gt;0,H310,1))+I310-J310</f>
        <v>0</v>
      </c>
      <c r="L310" s="218"/>
    </row>
    <row r="311" spans="2:12">
      <c r="B311" s="202"/>
      <c r="C311" s="203"/>
      <c r="D311" s="203"/>
      <c r="E311" s="203"/>
      <c r="F311" s="203"/>
      <c r="G311" s="203"/>
      <c r="H311" s="204"/>
      <c r="I311" s="556" t="s">
        <v>1221</v>
      </c>
      <c r="J311" s="556"/>
      <c r="K311" s="220">
        <f>SUM(K308:K310)</f>
        <v>116.29860000000001</v>
      </c>
      <c r="L311" s="207"/>
    </row>
    <row r="312" spans="2:12">
      <c r="B312" s="208"/>
      <c r="C312" s="204"/>
      <c r="D312" s="204"/>
      <c r="E312" s="204"/>
      <c r="F312" s="204"/>
      <c r="G312" s="204"/>
      <c r="H312" s="209"/>
      <c r="I312" s="557" t="s">
        <v>1222</v>
      </c>
      <c r="J312" s="557"/>
      <c r="K312" s="221">
        <v>115.5</v>
      </c>
      <c r="L312" s="207"/>
    </row>
    <row r="313" spans="2:12">
      <c r="B313" s="208"/>
      <c r="C313" s="204"/>
      <c r="D313" s="204"/>
      <c r="E313" s="204"/>
      <c r="F313" s="204"/>
      <c r="G313" s="204"/>
      <c r="H313" s="558" t="s">
        <v>1223</v>
      </c>
      <c r="I313" s="558"/>
      <c r="J313" s="558"/>
      <c r="K313" s="222">
        <v>115.5</v>
      </c>
      <c r="L313" s="207"/>
    </row>
    <row r="314" spans="2:12">
      <c r="B314" s="208"/>
      <c r="C314" s="204"/>
      <c r="D314" s="204"/>
      <c r="E314" s="204"/>
      <c r="F314" s="204"/>
      <c r="G314" s="204"/>
      <c r="H314" s="558" t="s">
        <v>1250</v>
      </c>
      <c r="I314" s="558"/>
      <c r="J314" s="558"/>
      <c r="K314" s="222">
        <f>IF(K311&gt;K312,K312,K311)-K313</f>
        <v>0</v>
      </c>
      <c r="L314" s="207"/>
    </row>
    <row r="315" spans="2:12">
      <c r="B315" s="213"/>
      <c r="C315" s="214"/>
      <c r="D315" s="214"/>
      <c r="E315" s="214"/>
      <c r="F315" s="214"/>
      <c r="G315" s="214"/>
      <c r="H315" s="559" t="s">
        <v>1224</v>
      </c>
      <c r="I315" s="559"/>
      <c r="J315" s="559"/>
      <c r="K315" s="223">
        <f>IF(K311&gt;K312,K311-K312,0)</f>
        <v>0.79860000000000753</v>
      </c>
      <c r="L315" s="209"/>
    </row>
    <row r="317" spans="2:12" ht="14.25" customHeight="1">
      <c r="B317" s="555" t="s">
        <v>1281</v>
      </c>
      <c r="C317" s="555"/>
      <c r="D317" s="555"/>
      <c r="E317" s="555"/>
      <c r="F317" s="555"/>
      <c r="G317" s="555"/>
      <c r="H317" s="555"/>
      <c r="I317" s="555"/>
      <c r="J317" s="555"/>
      <c r="K317" s="555"/>
      <c r="L317" s="555"/>
    </row>
    <row r="318" spans="2:12">
      <c r="B318" s="187" t="s">
        <v>1209</v>
      </c>
      <c r="C318" s="187"/>
      <c r="D318" s="187" t="s">
        <v>39</v>
      </c>
      <c r="E318" s="187" t="s">
        <v>1210</v>
      </c>
      <c r="F318" s="187" t="s">
        <v>1211</v>
      </c>
      <c r="G318" s="187" t="s">
        <v>1212</v>
      </c>
      <c r="H318" s="187" t="s">
        <v>1213</v>
      </c>
      <c r="I318" s="187" t="s">
        <v>1214</v>
      </c>
      <c r="J318" s="187" t="s">
        <v>1215</v>
      </c>
      <c r="K318" s="187" t="s">
        <v>1216</v>
      </c>
      <c r="L318" s="187" t="s">
        <v>1217</v>
      </c>
    </row>
    <row r="319" spans="2:12">
      <c r="B319" s="188" t="s">
        <v>1273</v>
      </c>
      <c r="C319" s="189" t="s">
        <v>1271</v>
      </c>
      <c r="D319" s="190" t="s">
        <v>1274</v>
      </c>
      <c r="E319" s="191">
        <v>369</v>
      </c>
      <c r="F319" s="243">
        <v>2.4660000000000002</v>
      </c>
      <c r="G319" s="192">
        <v>1.1000000000000001</v>
      </c>
      <c r="H319" s="191"/>
      <c r="I319" s="191"/>
      <c r="J319" s="216"/>
      <c r="K319" s="217">
        <f>IF(E319*F319*G319&lt;&gt;0,E319*F319*G319,IF(E319*F319&lt;&gt;0,E319*F319,IF(F319*G319&lt;&gt;0,F319*G319,IF(E319*G319&lt;&gt;0,E319*G319,IF(E319&lt;&gt;0,E319,IF(F319&lt;&gt;0,F319,IF(G319&lt;&gt;0,G319,0)))))))*(IF(H319&lt;&gt;0,H319,1))+I319-J319</f>
        <v>1000.9494000000002</v>
      </c>
      <c r="L319" s="245" t="s">
        <v>1282</v>
      </c>
    </row>
    <row r="320" spans="2:12">
      <c r="B320" s="188" t="s">
        <v>1273</v>
      </c>
      <c r="C320" s="189" t="s">
        <v>1271</v>
      </c>
      <c r="D320" s="190" t="s">
        <v>1274</v>
      </c>
      <c r="E320" s="191">
        <v>623</v>
      </c>
      <c r="F320" s="243">
        <v>3.8530000000000002</v>
      </c>
      <c r="G320" s="192">
        <v>1.1000000000000001</v>
      </c>
      <c r="H320" s="191"/>
      <c r="I320" s="191"/>
      <c r="J320" s="216"/>
      <c r="K320" s="217">
        <f>IF(E320*F320*G320&lt;&gt;0,E320*F320*G320,IF(E320*F320&lt;&gt;0,E320*F320,IF(F320*G320&lt;&gt;0,F320*G320,IF(E320*G320&lt;&gt;0,E320*G320,IF(E320&lt;&gt;0,E320,IF(F320&lt;&gt;0,F320,IF(G320&lt;&gt;0,G320,0)))))))*(IF(H320&lt;&gt;0,H320,1))+I320-J320</f>
        <v>2640.4609000000005</v>
      </c>
      <c r="L320" s="245" t="s">
        <v>1283</v>
      </c>
    </row>
    <row r="321" spans="2:12">
      <c r="B321" s="188" t="s">
        <v>1275</v>
      </c>
      <c r="C321" s="189" t="s">
        <v>1333</v>
      </c>
      <c r="D321" s="190" t="s">
        <v>1274</v>
      </c>
      <c r="E321" s="191">
        <v>1522</v>
      </c>
      <c r="F321" s="243">
        <v>2.4660000000000002</v>
      </c>
      <c r="G321" s="192">
        <v>1.1000000000000001</v>
      </c>
      <c r="H321" s="191"/>
      <c r="I321" s="191"/>
      <c r="J321" s="216"/>
      <c r="K321" s="217">
        <f>IF(E321*F321*G321&lt;&gt;0,E321*F321*G321,IF(E321*F321&lt;&gt;0,E321*F321,IF(F321*G321&lt;&gt;0,F321*G321,IF(E321*G321&lt;&gt;0,E321*G321,IF(E321&lt;&gt;0,E321,IF(F321&lt;&gt;0,F321,IF(G321&lt;&gt;0,G321,0)))))))*(IF(H321&lt;&gt;0,H321,1))+I321-J321</f>
        <v>4128.5772000000006</v>
      </c>
      <c r="L321" s="245" t="s">
        <v>1282</v>
      </c>
    </row>
    <row r="322" spans="2:12">
      <c r="B322" s="197"/>
      <c r="C322" s="189"/>
      <c r="D322" s="198"/>
      <c r="E322" s="199"/>
      <c r="F322" s="244"/>
      <c r="G322" s="199"/>
      <c r="H322" s="199"/>
      <c r="I322" s="199"/>
      <c r="J322" s="219"/>
      <c r="K322" s="217">
        <f>IF(E322*F322*G322&lt;&gt;0,E322*F322*G322,IF(E322*F322&lt;&gt;0,E322*F322,IF(F322*G322&lt;&gt;0,F322*G322,IF(E322*G322&lt;&gt;0,E322*G322,IF(E322&lt;&gt;0,E322,IF(F322&lt;&gt;0,F322,IF(G322&lt;&gt;0,G322,0)))))))*(IF(H322&lt;&gt;0,H322,1))+I322-J322</f>
        <v>0</v>
      </c>
      <c r="L322" s="218"/>
    </row>
    <row r="323" spans="2:12">
      <c r="B323" s="202"/>
      <c r="C323" s="203"/>
      <c r="D323" s="203"/>
      <c r="E323" s="203"/>
      <c r="F323" s="203"/>
      <c r="G323" s="203"/>
      <c r="H323" s="204"/>
      <c r="I323" s="556" t="s">
        <v>1221</v>
      </c>
      <c r="J323" s="556"/>
      <c r="K323" s="220">
        <f>SUM(K319:K322)</f>
        <v>7769.9875000000011</v>
      </c>
      <c r="L323" s="207"/>
    </row>
    <row r="324" spans="2:12">
      <c r="B324" s="208"/>
      <c r="C324" s="204"/>
      <c r="D324" s="204"/>
      <c r="E324" s="204"/>
      <c r="F324" s="204"/>
      <c r="G324" s="204"/>
      <c r="H324" s="209"/>
      <c r="I324" s="557" t="s">
        <v>1222</v>
      </c>
      <c r="J324" s="557"/>
      <c r="K324" s="221">
        <v>7195.1</v>
      </c>
      <c r="L324" s="207"/>
    </row>
    <row r="325" spans="2:12">
      <c r="B325" s="208"/>
      <c r="C325" s="204"/>
      <c r="D325" s="204"/>
      <c r="E325" s="204"/>
      <c r="F325" s="204"/>
      <c r="G325" s="204"/>
      <c r="H325" s="558" t="s">
        <v>1223</v>
      </c>
      <c r="I325" s="558"/>
      <c r="J325" s="558"/>
      <c r="K325" s="222">
        <v>3641.4103</v>
      </c>
      <c r="L325" s="207"/>
    </row>
    <row r="326" spans="2:12">
      <c r="B326" s="208"/>
      <c r="C326" s="204"/>
      <c r="D326" s="204"/>
      <c r="E326" s="204"/>
      <c r="F326" s="204"/>
      <c r="G326" s="204"/>
      <c r="H326" s="558" t="s">
        <v>1250</v>
      </c>
      <c r="I326" s="558"/>
      <c r="J326" s="558"/>
      <c r="K326" s="222">
        <f>IF(K323&gt;K324,K324,K323)-K325</f>
        <v>3553.6897000000004</v>
      </c>
      <c r="L326" s="207"/>
    </row>
    <row r="327" spans="2:12">
      <c r="B327" s="213"/>
      <c r="C327" s="214"/>
      <c r="D327" s="214"/>
      <c r="E327" s="214"/>
      <c r="F327" s="214"/>
      <c r="G327" s="214"/>
      <c r="H327" s="559" t="s">
        <v>1224</v>
      </c>
      <c r="I327" s="559"/>
      <c r="J327" s="559"/>
      <c r="K327" s="223">
        <f>IF(K323&gt;K324,K323-K324,0)</f>
        <v>574.88750000000073</v>
      </c>
      <c r="L327" s="209"/>
    </row>
    <row r="329" spans="2:12" ht="14.25" customHeight="1">
      <c r="B329" s="555" t="s">
        <v>1284</v>
      </c>
      <c r="C329" s="555"/>
      <c r="D329" s="555"/>
      <c r="E329" s="555"/>
      <c r="F329" s="555"/>
      <c r="G329" s="555"/>
      <c r="H329" s="555"/>
      <c r="I329" s="555"/>
      <c r="J329" s="555"/>
      <c r="K329" s="555"/>
      <c r="L329" s="555"/>
    </row>
    <row r="330" spans="2:12">
      <c r="B330" s="187" t="s">
        <v>1209</v>
      </c>
      <c r="C330" s="187"/>
      <c r="D330" s="187" t="s">
        <v>39</v>
      </c>
      <c r="E330" s="187" t="s">
        <v>1210</v>
      </c>
      <c r="F330" s="187" t="s">
        <v>1211</v>
      </c>
      <c r="G330" s="187" t="s">
        <v>1212</v>
      </c>
      <c r="H330" s="187" t="s">
        <v>1213</v>
      </c>
      <c r="I330" s="187" t="s">
        <v>1214</v>
      </c>
      <c r="J330" s="187" t="s">
        <v>1215</v>
      </c>
      <c r="K330" s="187" t="s">
        <v>1216</v>
      </c>
      <c r="L330" s="187" t="s">
        <v>1217</v>
      </c>
    </row>
    <row r="331" spans="2:12">
      <c r="B331" s="197" t="s">
        <v>1285</v>
      </c>
      <c r="C331" s="189" t="s">
        <v>1271</v>
      </c>
      <c r="D331" s="198" t="s">
        <v>169</v>
      </c>
      <c r="E331" s="199">
        <v>1.9</v>
      </c>
      <c r="F331" s="244">
        <v>0.9</v>
      </c>
      <c r="G331" s="199">
        <v>0.7</v>
      </c>
      <c r="H331" s="199"/>
      <c r="I331" s="199"/>
      <c r="J331" s="219"/>
      <c r="K331" s="217">
        <f t="shared" ref="K331:K376" si="4">IF(E331*F331*G331&lt;&gt;0,E331*F331*G331,IF(E331*F331&lt;&gt;0,E331*F331,IF(F331*G331&lt;&gt;0,F331*G331,IF(E331*G331&lt;&gt;0,E331*G331,IF(E331&lt;&gt;0,E331,IF(F331&lt;&gt;0,F331,IF(G331&lt;&gt;0,G331,0)))))))*(IF(H331&lt;&gt;0,H331,1))+I331-J331</f>
        <v>1.1969999999999998</v>
      </c>
      <c r="L331" s="218"/>
    </row>
    <row r="332" spans="2:12">
      <c r="B332" s="197" t="s">
        <v>1286</v>
      </c>
      <c r="C332" s="189" t="s">
        <v>1271</v>
      </c>
      <c r="D332" s="198" t="s">
        <v>169</v>
      </c>
      <c r="E332" s="199">
        <v>2.2000000000000002</v>
      </c>
      <c r="F332" s="244">
        <v>2.2000000000000002</v>
      </c>
      <c r="G332" s="199">
        <v>1.1000000000000001</v>
      </c>
      <c r="H332" s="199"/>
      <c r="I332" s="199"/>
      <c r="J332" s="219"/>
      <c r="K332" s="217">
        <f t="shared" si="4"/>
        <v>5.3240000000000016</v>
      </c>
      <c r="L332" s="218"/>
    </row>
    <row r="333" spans="2:12">
      <c r="B333" s="197" t="s">
        <v>1287</v>
      </c>
      <c r="C333" s="189" t="s">
        <v>1271</v>
      </c>
      <c r="D333" s="198" t="s">
        <v>169</v>
      </c>
      <c r="E333" s="199">
        <v>2.2000000000000002</v>
      </c>
      <c r="F333" s="244">
        <v>2.2000000000000002</v>
      </c>
      <c r="G333" s="199">
        <v>1.1000000000000001</v>
      </c>
      <c r="H333" s="199"/>
      <c r="I333" s="199"/>
      <c r="J333" s="219"/>
      <c r="K333" s="217">
        <f t="shared" si="4"/>
        <v>5.3240000000000016</v>
      </c>
      <c r="L333" s="218"/>
    </row>
    <row r="334" spans="2:12">
      <c r="B334" s="197" t="s">
        <v>1288</v>
      </c>
      <c r="C334" s="189" t="s">
        <v>1271</v>
      </c>
      <c r="D334" s="198" t="s">
        <v>169</v>
      </c>
      <c r="E334" s="199">
        <v>1.9</v>
      </c>
      <c r="F334" s="244">
        <v>0.9</v>
      </c>
      <c r="G334" s="199">
        <v>1</v>
      </c>
      <c r="H334" s="199"/>
      <c r="I334" s="199"/>
      <c r="J334" s="219"/>
      <c r="K334" s="217">
        <f t="shared" si="4"/>
        <v>1.71</v>
      </c>
      <c r="L334" s="218"/>
    </row>
    <row r="335" spans="2:12">
      <c r="B335" s="197" t="s">
        <v>1289</v>
      </c>
      <c r="C335" s="189" t="s">
        <v>1271</v>
      </c>
      <c r="D335" s="198" t="s">
        <v>169</v>
      </c>
      <c r="E335" s="199">
        <v>1</v>
      </c>
      <c r="F335" s="244">
        <v>1</v>
      </c>
      <c r="G335" s="199">
        <v>0.9</v>
      </c>
      <c r="H335" s="199"/>
      <c r="I335" s="199"/>
      <c r="J335" s="219"/>
      <c r="K335" s="217">
        <f t="shared" si="4"/>
        <v>0.9</v>
      </c>
      <c r="L335" s="218"/>
    </row>
    <row r="336" spans="2:12">
      <c r="B336" s="197" t="s">
        <v>1290</v>
      </c>
      <c r="C336" s="189" t="s">
        <v>1271</v>
      </c>
      <c r="D336" s="198" t="s">
        <v>169</v>
      </c>
      <c r="E336" s="199"/>
      <c r="F336" s="244"/>
      <c r="G336" s="199"/>
      <c r="H336" s="199"/>
      <c r="I336" s="199">
        <v>2.95614</v>
      </c>
      <c r="J336" s="219"/>
      <c r="K336" s="217">
        <f t="shared" si="4"/>
        <v>2.95614</v>
      </c>
      <c r="L336" s="218"/>
    </row>
    <row r="337" spans="2:12">
      <c r="B337" s="197" t="s">
        <v>1291</v>
      </c>
      <c r="C337" s="189" t="s">
        <v>1271</v>
      </c>
      <c r="D337" s="198" t="s">
        <v>169</v>
      </c>
      <c r="E337" s="199">
        <v>2.2000000000000002</v>
      </c>
      <c r="F337" s="244">
        <v>2.2000000000000002</v>
      </c>
      <c r="G337" s="199">
        <v>1.1000000000000001</v>
      </c>
      <c r="H337" s="199"/>
      <c r="I337" s="199"/>
      <c r="J337" s="219"/>
      <c r="K337" s="217">
        <f t="shared" si="4"/>
        <v>5.3240000000000016</v>
      </c>
      <c r="L337" s="218"/>
    </row>
    <row r="338" spans="2:12">
      <c r="B338" s="197" t="s">
        <v>1292</v>
      </c>
      <c r="C338" s="189" t="s">
        <v>1271</v>
      </c>
      <c r="D338" s="198" t="s">
        <v>169</v>
      </c>
      <c r="E338" s="199">
        <v>2.2000000000000002</v>
      </c>
      <c r="F338" s="244">
        <v>2.2000000000000002</v>
      </c>
      <c r="G338" s="199">
        <v>1.1000000000000001</v>
      </c>
      <c r="H338" s="199"/>
      <c r="I338" s="199"/>
      <c r="J338" s="219"/>
      <c r="K338" s="217">
        <f t="shared" si="4"/>
        <v>5.3240000000000016</v>
      </c>
      <c r="L338" s="218"/>
    </row>
    <row r="339" spans="2:12">
      <c r="B339" s="197" t="s">
        <v>1293</v>
      </c>
      <c r="C339" s="189" t="s">
        <v>1271</v>
      </c>
      <c r="D339" s="198" t="s">
        <v>169</v>
      </c>
      <c r="E339" s="199">
        <v>2.2000000000000002</v>
      </c>
      <c r="F339" s="244">
        <v>2.2000000000000002</v>
      </c>
      <c r="G339" s="199">
        <v>1.1000000000000001</v>
      </c>
      <c r="H339" s="199"/>
      <c r="I339" s="199"/>
      <c r="J339" s="219"/>
      <c r="K339" s="217">
        <f t="shared" si="4"/>
        <v>5.3240000000000016</v>
      </c>
      <c r="L339" s="218"/>
    </row>
    <row r="340" spans="2:12">
      <c r="B340" s="197" t="s">
        <v>1294</v>
      </c>
      <c r="C340" s="189" t="s">
        <v>1271</v>
      </c>
      <c r="D340" s="198" t="s">
        <v>169</v>
      </c>
      <c r="E340" s="199">
        <v>1</v>
      </c>
      <c r="F340" s="244">
        <v>1</v>
      </c>
      <c r="G340" s="199">
        <v>0.7</v>
      </c>
      <c r="H340" s="199"/>
      <c r="I340" s="199"/>
      <c r="J340" s="219"/>
      <c r="K340" s="217">
        <f t="shared" si="4"/>
        <v>0.7</v>
      </c>
      <c r="L340" s="218"/>
    </row>
    <row r="341" spans="2:12">
      <c r="B341" s="197" t="s">
        <v>1295</v>
      </c>
      <c r="C341" s="189" t="s">
        <v>1271</v>
      </c>
      <c r="D341" s="198" t="s">
        <v>169</v>
      </c>
      <c r="E341" s="199"/>
      <c r="F341" s="244"/>
      <c r="G341" s="199"/>
      <c r="H341" s="199"/>
      <c r="I341" s="199">
        <v>2.95614</v>
      </c>
      <c r="J341" s="219"/>
      <c r="K341" s="217">
        <f t="shared" si="4"/>
        <v>2.95614</v>
      </c>
      <c r="L341" s="218"/>
    </row>
    <row r="342" spans="2:12">
      <c r="B342" s="197" t="s">
        <v>1336</v>
      </c>
      <c r="C342" s="189" t="s">
        <v>1271</v>
      </c>
      <c r="D342" s="198" t="s">
        <v>169</v>
      </c>
      <c r="E342" s="199">
        <v>2.2000000000000002</v>
      </c>
      <c r="F342" s="244">
        <v>2.2000000000000002</v>
      </c>
      <c r="G342" s="199">
        <v>1.1000000000000001</v>
      </c>
      <c r="H342" s="199"/>
      <c r="I342" s="199"/>
      <c r="J342" s="219"/>
      <c r="K342" s="217">
        <f t="shared" si="4"/>
        <v>5.3240000000000016</v>
      </c>
      <c r="L342" s="218"/>
    </row>
    <row r="343" spans="2:12">
      <c r="B343" s="197" t="s">
        <v>1337</v>
      </c>
      <c r="C343" s="189" t="s">
        <v>1271</v>
      </c>
      <c r="D343" s="198" t="s">
        <v>169</v>
      </c>
      <c r="E343" s="199">
        <v>2.2000000000000002</v>
      </c>
      <c r="F343" s="244">
        <v>2.2000000000000002</v>
      </c>
      <c r="G343" s="199">
        <v>1.1000000000000001</v>
      </c>
      <c r="H343" s="199"/>
      <c r="I343" s="199"/>
      <c r="J343" s="219"/>
      <c r="K343" s="217">
        <f t="shared" si="4"/>
        <v>5.3240000000000016</v>
      </c>
      <c r="L343" s="218"/>
    </row>
    <row r="344" spans="2:12">
      <c r="B344" s="197" t="s">
        <v>1338</v>
      </c>
      <c r="C344" s="189" t="s">
        <v>1271</v>
      </c>
      <c r="D344" s="198" t="s">
        <v>169</v>
      </c>
      <c r="E344" s="199">
        <v>2.2000000000000002</v>
      </c>
      <c r="F344" s="244">
        <v>2.2000000000000002</v>
      </c>
      <c r="G344" s="199">
        <v>1.1000000000000001</v>
      </c>
      <c r="H344" s="199"/>
      <c r="I344" s="199"/>
      <c r="J344" s="219"/>
      <c r="K344" s="217">
        <f t="shared" si="4"/>
        <v>5.3240000000000016</v>
      </c>
      <c r="L344" s="218"/>
    </row>
    <row r="345" spans="2:12">
      <c r="B345" s="197" t="s">
        <v>1339</v>
      </c>
      <c r="C345" s="189" t="s">
        <v>1271</v>
      </c>
      <c r="D345" s="198" t="s">
        <v>169</v>
      </c>
      <c r="E345" s="199">
        <v>1</v>
      </c>
      <c r="F345" s="244">
        <v>1</v>
      </c>
      <c r="G345" s="199">
        <v>0.7</v>
      </c>
      <c r="H345" s="199"/>
      <c r="I345" s="199"/>
      <c r="J345" s="219"/>
      <c r="K345" s="217">
        <f t="shared" si="4"/>
        <v>0.7</v>
      </c>
      <c r="L345" s="218"/>
    </row>
    <row r="346" spans="2:12">
      <c r="B346" s="197" t="s">
        <v>1340</v>
      </c>
      <c r="C346" s="189" t="s">
        <v>1271</v>
      </c>
      <c r="D346" s="198" t="s">
        <v>169</v>
      </c>
      <c r="E346" s="199">
        <v>1.9</v>
      </c>
      <c r="F346" s="244">
        <v>0.9</v>
      </c>
      <c r="G346" s="199">
        <v>0.7</v>
      </c>
      <c r="H346" s="199"/>
      <c r="I346" s="199"/>
      <c r="J346" s="219"/>
      <c r="K346" s="217">
        <f t="shared" si="4"/>
        <v>1.1969999999999998</v>
      </c>
      <c r="L346" s="218"/>
    </row>
    <row r="347" spans="2:12">
      <c r="B347" s="197" t="s">
        <v>1296</v>
      </c>
      <c r="C347" s="189" t="s">
        <v>1271</v>
      </c>
      <c r="D347" s="198" t="s">
        <v>169</v>
      </c>
      <c r="E347" s="199">
        <v>1.9</v>
      </c>
      <c r="F347" s="244">
        <v>0.9</v>
      </c>
      <c r="G347" s="199">
        <v>0.7</v>
      </c>
      <c r="H347" s="199"/>
      <c r="I347" s="199"/>
      <c r="J347" s="219"/>
      <c r="K347" s="217">
        <f t="shared" si="4"/>
        <v>1.1969999999999998</v>
      </c>
      <c r="L347" s="218"/>
    </row>
    <row r="348" spans="2:12">
      <c r="B348" s="197" t="s">
        <v>1341</v>
      </c>
      <c r="C348" s="189" t="s">
        <v>1271</v>
      </c>
      <c r="D348" s="198" t="s">
        <v>169</v>
      </c>
      <c r="E348" s="199"/>
      <c r="F348" s="244"/>
      <c r="G348" s="199"/>
      <c r="H348" s="199"/>
      <c r="I348" s="199">
        <v>2.95614</v>
      </c>
      <c r="J348" s="219"/>
      <c r="K348" s="217">
        <f t="shared" si="4"/>
        <v>2.95614</v>
      </c>
      <c r="L348" s="218"/>
    </row>
    <row r="349" spans="2:12">
      <c r="B349" s="197" t="s">
        <v>1342</v>
      </c>
      <c r="C349" s="189" t="s">
        <v>1333</v>
      </c>
      <c r="D349" s="198" t="s">
        <v>169</v>
      </c>
      <c r="E349" s="199">
        <v>3.14</v>
      </c>
      <c r="F349" s="244">
        <v>3.14</v>
      </c>
      <c r="G349" s="199">
        <v>2.1</v>
      </c>
      <c r="H349" s="199"/>
      <c r="I349" s="199"/>
      <c r="J349" s="219"/>
      <c r="K349" s="217">
        <f t="shared" si="4"/>
        <v>20.705160000000003</v>
      </c>
      <c r="L349" s="218"/>
    </row>
    <row r="350" spans="2:12">
      <c r="B350" s="197" t="s">
        <v>1343</v>
      </c>
      <c r="C350" s="189" t="s">
        <v>1333</v>
      </c>
      <c r="D350" s="198" t="s">
        <v>169</v>
      </c>
      <c r="E350" s="199">
        <v>2.2000000000000002</v>
      </c>
      <c r="F350" s="244">
        <v>2.2000000000000002</v>
      </c>
      <c r="G350" s="199">
        <v>1.1000000000000001</v>
      </c>
      <c r="H350" s="199"/>
      <c r="I350" s="199"/>
      <c r="J350" s="219"/>
      <c r="K350" s="217">
        <f t="shared" si="4"/>
        <v>5.3240000000000016</v>
      </c>
      <c r="L350" s="218"/>
    </row>
    <row r="351" spans="2:12">
      <c r="B351" s="197" t="s">
        <v>1297</v>
      </c>
      <c r="C351" s="189" t="s">
        <v>1333</v>
      </c>
      <c r="D351" s="198" t="s">
        <v>169</v>
      </c>
      <c r="E351" s="199">
        <v>3.4</v>
      </c>
      <c r="F351" s="244">
        <v>1</v>
      </c>
      <c r="G351" s="199">
        <v>1.2</v>
      </c>
      <c r="H351" s="199"/>
      <c r="I351" s="199"/>
      <c r="J351" s="219"/>
      <c r="K351" s="217">
        <f t="shared" si="4"/>
        <v>4.08</v>
      </c>
      <c r="L351" s="218"/>
    </row>
    <row r="352" spans="2:12">
      <c r="B352" s="197" t="s">
        <v>1344</v>
      </c>
      <c r="C352" s="189" t="s">
        <v>1333</v>
      </c>
      <c r="D352" s="198" t="s">
        <v>169</v>
      </c>
      <c r="E352" s="199">
        <v>2.2000000000000002</v>
      </c>
      <c r="F352" s="244">
        <v>2.2000000000000002</v>
      </c>
      <c r="G352" s="199">
        <v>1.1000000000000001</v>
      </c>
      <c r="H352" s="199"/>
      <c r="I352" s="199"/>
      <c r="J352" s="219"/>
      <c r="K352" s="217">
        <f t="shared" si="4"/>
        <v>5.3240000000000016</v>
      </c>
      <c r="L352" s="218"/>
    </row>
    <row r="353" spans="2:12">
      <c r="B353" s="197" t="s">
        <v>1345</v>
      </c>
      <c r="C353" s="189" t="s">
        <v>1333</v>
      </c>
      <c r="D353" s="198" t="s">
        <v>169</v>
      </c>
      <c r="E353" s="199">
        <v>2.2000000000000002</v>
      </c>
      <c r="F353" s="244">
        <v>2.2000000000000002</v>
      </c>
      <c r="G353" s="199">
        <v>1.1000000000000001</v>
      </c>
      <c r="H353" s="199"/>
      <c r="I353" s="199"/>
      <c r="J353" s="219"/>
      <c r="K353" s="217">
        <f t="shared" si="4"/>
        <v>5.3240000000000016</v>
      </c>
      <c r="L353" s="218"/>
    </row>
    <row r="354" spans="2:12">
      <c r="B354" s="197" t="s">
        <v>1298</v>
      </c>
      <c r="C354" s="189" t="s">
        <v>1333</v>
      </c>
      <c r="D354" s="198" t="s">
        <v>169</v>
      </c>
      <c r="E354" s="199">
        <v>3.4</v>
      </c>
      <c r="F354" s="244">
        <v>2.2000000000000002</v>
      </c>
      <c r="G354" s="199">
        <v>1.34</v>
      </c>
      <c r="H354" s="199"/>
      <c r="I354" s="199"/>
      <c r="J354" s="219"/>
      <c r="K354" s="217">
        <f t="shared" si="4"/>
        <v>10.023200000000001</v>
      </c>
      <c r="L354" s="218"/>
    </row>
    <row r="355" spans="2:12">
      <c r="B355" s="197" t="s">
        <v>1346</v>
      </c>
      <c r="C355" s="189" t="s">
        <v>1333</v>
      </c>
      <c r="D355" s="198" t="s">
        <v>169</v>
      </c>
      <c r="E355" s="199">
        <v>2.2000000000000002</v>
      </c>
      <c r="F355" s="244">
        <v>2.2000000000000002</v>
      </c>
      <c r="G355" s="199">
        <v>1.1000000000000001</v>
      </c>
      <c r="H355" s="199"/>
      <c r="I355" s="199"/>
      <c r="J355" s="219"/>
      <c r="K355" s="217">
        <f t="shared" si="4"/>
        <v>5.3240000000000016</v>
      </c>
      <c r="L355" s="218"/>
    </row>
    <row r="356" spans="2:12">
      <c r="B356" s="197" t="s">
        <v>1347</v>
      </c>
      <c r="C356" s="189" t="s">
        <v>1333</v>
      </c>
      <c r="D356" s="198" t="s">
        <v>169</v>
      </c>
      <c r="E356" s="199"/>
      <c r="F356" s="244"/>
      <c r="G356" s="199"/>
      <c r="H356" s="199"/>
      <c r="I356" s="199">
        <v>2.95614</v>
      </c>
      <c r="J356" s="219"/>
      <c r="K356" s="217">
        <f t="shared" si="4"/>
        <v>2.95614</v>
      </c>
      <c r="L356" s="218"/>
    </row>
    <row r="357" spans="2:12">
      <c r="B357" s="197" t="s">
        <v>1348</v>
      </c>
      <c r="C357" s="189" t="s">
        <v>1333</v>
      </c>
      <c r="D357" s="198" t="s">
        <v>169</v>
      </c>
      <c r="E357" s="199">
        <v>3.14</v>
      </c>
      <c r="F357" s="244">
        <v>3.14</v>
      </c>
      <c r="G357" s="199">
        <v>2.1</v>
      </c>
      <c r="H357" s="199"/>
      <c r="I357" s="199"/>
      <c r="J357" s="219"/>
      <c r="K357" s="217">
        <f t="shared" si="4"/>
        <v>20.705160000000003</v>
      </c>
      <c r="L357" s="218"/>
    </row>
    <row r="358" spans="2:12">
      <c r="B358" s="197" t="s">
        <v>1349</v>
      </c>
      <c r="C358" s="189" t="s">
        <v>1333</v>
      </c>
      <c r="D358" s="198" t="s">
        <v>169</v>
      </c>
      <c r="E358" s="199">
        <v>3.4</v>
      </c>
      <c r="F358" s="244">
        <v>2.2000000000000002</v>
      </c>
      <c r="G358" s="199">
        <v>1.1000000000000001</v>
      </c>
      <c r="H358" s="199"/>
      <c r="I358" s="199"/>
      <c r="J358" s="219"/>
      <c r="K358" s="217">
        <f t="shared" si="4"/>
        <v>8.2280000000000015</v>
      </c>
      <c r="L358" s="218"/>
    </row>
    <row r="359" spans="2:12">
      <c r="B359" s="197" t="s">
        <v>1350</v>
      </c>
      <c r="C359" s="189" t="s">
        <v>1333</v>
      </c>
      <c r="D359" s="198" t="s">
        <v>169</v>
      </c>
      <c r="E359" s="199">
        <v>3.4</v>
      </c>
      <c r="F359" s="244">
        <v>2.2000000000000002</v>
      </c>
      <c r="G359" s="199">
        <v>1.1000000000000001</v>
      </c>
      <c r="H359" s="199"/>
      <c r="I359" s="199"/>
      <c r="J359" s="219"/>
      <c r="K359" s="217">
        <f t="shared" si="4"/>
        <v>8.2280000000000015</v>
      </c>
      <c r="L359" s="218"/>
    </row>
    <row r="360" spans="2:12">
      <c r="B360" s="197" t="s">
        <v>1351</v>
      </c>
      <c r="C360" s="189" t="s">
        <v>1333</v>
      </c>
      <c r="D360" s="198" t="s">
        <v>169</v>
      </c>
      <c r="E360" s="199">
        <v>2.2000000000000002</v>
      </c>
      <c r="F360" s="244">
        <v>2.2000000000000002</v>
      </c>
      <c r="G360" s="199">
        <v>1.1000000000000001</v>
      </c>
      <c r="H360" s="199"/>
      <c r="I360" s="199"/>
      <c r="J360" s="219"/>
      <c r="K360" s="217">
        <f t="shared" si="4"/>
        <v>5.3240000000000016</v>
      </c>
      <c r="L360" s="218"/>
    </row>
    <row r="361" spans="2:12">
      <c r="B361" s="197" t="s">
        <v>1352</v>
      </c>
      <c r="C361" s="189" t="s">
        <v>1333</v>
      </c>
      <c r="D361" s="198" t="s">
        <v>169</v>
      </c>
      <c r="E361" s="199">
        <v>1</v>
      </c>
      <c r="F361" s="244">
        <v>1</v>
      </c>
      <c r="G361" s="199">
        <v>0.7</v>
      </c>
      <c r="H361" s="199"/>
      <c r="I361" s="199"/>
      <c r="J361" s="219"/>
      <c r="K361" s="217">
        <f t="shared" si="4"/>
        <v>0.7</v>
      </c>
      <c r="L361" s="218"/>
    </row>
    <row r="362" spans="2:12">
      <c r="B362" s="197" t="s">
        <v>1353</v>
      </c>
      <c r="C362" s="189" t="s">
        <v>1333</v>
      </c>
      <c r="D362" s="198" t="s">
        <v>169</v>
      </c>
      <c r="E362" s="199">
        <v>1</v>
      </c>
      <c r="F362" s="244">
        <v>1</v>
      </c>
      <c r="G362" s="199">
        <v>0.7</v>
      </c>
      <c r="H362" s="199"/>
      <c r="I362" s="199"/>
      <c r="J362" s="219"/>
      <c r="K362" s="217">
        <f t="shared" si="4"/>
        <v>0.7</v>
      </c>
      <c r="L362" s="218"/>
    </row>
    <row r="363" spans="2:12">
      <c r="B363" s="197" t="s">
        <v>1354</v>
      </c>
      <c r="C363" s="189" t="s">
        <v>1333</v>
      </c>
      <c r="D363" s="198" t="s">
        <v>169</v>
      </c>
      <c r="E363" s="199">
        <v>1</v>
      </c>
      <c r="F363" s="244">
        <v>1</v>
      </c>
      <c r="G363" s="199">
        <v>0.7</v>
      </c>
      <c r="H363" s="199"/>
      <c r="I363" s="199"/>
      <c r="J363" s="219"/>
      <c r="K363" s="217">
        <f t="shared" si="4"/>
        <v>0.7</v>
      </c>
      <c r="L363" s="218"/>
    </row>
    <row r="364" spans="2:12">
      <c r="B364" s="197" t="s">
        <v>1355</v>
      </c>
      <c r="C364" s="189" t="s">
        <v>1333</v>
      </c>
      <c r="D364" s="198" t="s">
        <v>169</v>
      </c>
      <c r="E364" s="199">
        <v>1</v>
      </c>
      <c r="F364" s="244">
        <v>1</v>
      </c>
      <c r="G364" s="199">
        <v>0.7</v>
      </c>
      <c r="H364" s="199"/>
      <c r="I364" s="199"/>
      <c r="J364" s="219"/>
      <c r="K364" s="217">
        <f t="shared" si="4"/>
        <v>0.7</v>
      </c>
      <c r="L364" s="218"/>
    </row>
    <row r="365" spans="2:12">
      <c r="B365" s="197" t="s">
        <v>1356</v>
      </c>
      <c r="C365" s="189" t="s">
        <v>1333</v>
      </c>
      <c r="D365" s="198" t="s">
        <v>169</v>
      </c>
      <c r="E365" s="199">
        <v>2.2000000000000002</v>
      </c>
      <c r="F365" s="244">
        <v>2.2000000000000002</v>
      </c>
      <c r="G365" s="199">
        <v>1.1000000000000001</v>
      </c>
      <c r="H365" s="199"/>
      <c r="I365" s="199"/>
      <c r="J365" s="219"/>
      <c r="K365" s="217">
        <f t="shared" si="4"/>
        <v>5.3240000000000016</v>
      </c>
      <c r="L365" s="218"/>
    </row>
    <row r="366" spans="2:12">
      <c r="B366" s="197" t="s">
        <v>1357</v>
      </c>
      <c r="C366" s="189" t="s">
        <v>1333</v>
      </c>
      <c r="D366" s="198" t="s">
        <v>169</v>
      </c>
      <c r="E366" s="199">
        <v>2.2000000000000002</v>
      </c>
      <c r="F366" s="244">
        <v>2.2000000000000002</v>
      </c>
      <c r="G366" s="199">
        <v>1.1000000000000001</v>
      </c>
      <c r="H366" s="199"/>
      <c r="I366" s="199"/>
      <c r="J366" s="219"/>
      <c r="K366" s="217">
        <f t="shared" si="4"/>
        <v>5.3240000000000016</v>
      </c>
      <c r="L366" s="218"/>
    </row>
    <row r="367" spans="2:12">
      <c r="B367" s="197" t="s">
        <v>1358</v>
      </c>
      <c r="C367" s="189" t="s">
        <v>1333</v>
      </c>
      <c r="D367" s="198" t="s">
        <v>169</v>
      </c>
      <c r="E367" s="199">
        <v>2.2000000000000002</v>
      </c>
      <c r="F367" s="244">
        <v>2.2000000000000002</v>
      </c>
      <c r="G367" s="199">
        <v>1.1000000000000001</v>
      </c>
      <c r="H367" s="199"/>
      <c r="I367" s="199"/>
      <c r="J367" s="219"/>
      <c r="K367" s="217">
        <f t="shared" si="4"/>
        <v>5.3240000000000016</v>
      </c>
      <c r="L367" s="218"/>
    </row>
    <row r="368" spans="2:12">
      <c r="B368" s="197" t="s">
        <v>1359</v>
      </c>
      <c r="C368" s="189" t="s">
        <v>1333</v>
      </c>
      <c r="D368" s="198" t="s">
        <v>169</v>
      </c>
      <c r="E368" s="199">
        <v>2.2000000000000002</v>
      </c>
      <c r="F368" s="244">
        <v>2.2000000000000002</v>
      </c>
      <c r="G368" s="199">
        <v>1.1000000000000001</v>
      </c>
      <c r="H368" s="199"/>
      <c r="I368" s="199"/>
      <c r="J368" s="219"/>
      <c r="K368" s="217">
        <f t="shared" si="4"/>
        <v>5.3240000000000016</v>
      </c>
      <c r="L368" s="218"/>
    </row>
    <row r="369" spans="2:12">
      <c r="B369" s="197" t="s">
        <v>1360</v>
      </c>
      <c r="C369" s="189" t="s">
        <v>1333</v>
      </c>
      <c r="D369" s="198" t="s">
        <v>169</v>
      </c>
      <c r="E369" s="199">
        <v>1</v>
      </c>
      <c r="F369" s="244">
        <v>1</v>
      </c>
      <c r="G369" s="199">
        <v>0.7</v>
      </c>
      <c r="H369" s="199"/>
      <c r="I369" s="199"/>
      <c r="J369" s="219"/>
      <c r="K369" s="217">
        <f t="shared" si="4"/>
        <v>0.7</v>
      </c>
      <c r="L369" s="218"/>
    </row>
    <row r="370" spans="2:12">
      <c r="B370" s="197" t="s">
        <v>1361</v>
      </c>
      <c r="C370" s="189" t="s">
        <v>1333</v>
      </c>
      <c r="D370" s="198" t="s">
        <v>169</v>
      </c>
      <c r="E370" s="199">
        <v>1</v>
      </c>
      <c r="F370" s="244">
        <v>1</v>
      </c>
      <c r="G370" s="199">
        <v>0.7</v>
      </c>
      <c r="H370" s="199"/>
      <c r="I370" s="199"/>
      <c r="J370" s="219"/>
      <c r="K370" s="217">
        <f t="shared" si="4"/>
        <v>0.7</v>
      </c>
      <c r="L370" s="218"/>
    </row>
    <row r="371" spans="2:12">
      <c r="B371" s="197" t="s">
        <v>1362</v>
      </c>
      <c r="C371" s="189" t="s">
        <v>1333</v>
      </c>
      <c r="D371" s="198" t="s">
        <v>169</v>
      </c>
      <c r="E371" s="199">
        <v>2.2000000000000002</v>
      </c>
      <c r="F371" s="244">
        <v>2.2000000000000002</v>
      </c>
      <c r="G371" s="199">
        <v>1.1000000000000001</v>
      </c>
      <c r="H371" s="199"/>
      <c r="I371" s="199"/>
      <c r="J371" s="219"/>
      <c r="K371" s="217">
        <f t="shared" si="4"/>
        <v>5.3240000000000016</v>
      </c>
      <c r="L371" s="218"/>
    </row>
    <row r="372" spans="2:12">
      <c r="B372" s="197" t="s">
        <v>1363</v>
      </c>
      <c r="C372" s="189" t="s">
        <v>1333</v>
      </c>
      <c r="D372" s="198" t="s">
        <v>169</v>
      </c>
      <c r="E372" s="199">
        <v>2.2000000000000002</v>
      </c>
      <c r="F372" s="244">
        <v>2.2000000000000002</v>
      </c>
      <c r="G372" s="199">
        <v>1.1000000000000001</v>
      </c>
      <c r="H372" s="199"/>
      <c r="I372" s="199"/>
      <c r="J372" s="219"/>
      <c r="K372" s="217">
        <f t="shared" si="4"/>
        <v>5.3240000000000016</v>
      </c>
      <c r="L372" s="218"/>
    </row>
    <row r="373" spans="2:12">
      <c r="B373" s="197" t="s">
        <v>1364</v>
      </c>
      <c r="C373" s="189" t="s">
        <v>1333</v>
      </c>
      <c r="D373" s="198" t="s">
        <v>169</v>
      </c>
      <c r="E373" s="199">
        <v>1.9</v>
      </c>
      <c r="F373" s="244">
        <v>0.9</v>
      </c>
      <c r="G373" s="199">
        <v>1</v>
      </c>
      <c r="H373" s="199"/>
      <c r="I373" s="199"/>
      <c r="J373" s="219"/>
      <c r="K373" s="217">
        <f t="shared" si="4"/>
        <v>1.71</v>
      </c>
      <c r="L373" s="218"/>
    </row>
    <row r="374" spans="2:12">
      <c r="B374" s="197" t="s">
        <v>1442</v>
      </c>
      <c r="C374" s="189" t="s">
        <v>1441</v>
      </c>
      <c r="D374" s="198" t="s">
        <v>169</v>
      </c>
      <c r="E374" s="199">
        <v>3.4</v>
      </c>
      <c r="F374" s="244">
        <v>2</v>
      </c>
      <c r="G374" s="199">
        <v>1.3</v>
      </c>
      <c r="H374" s="199"/>
      <c r="I374" s="199"/>
      <c r="J374" s="219"/>
      <c r="K374" s="217">
        <f t="shared" si="4"/>
        <v>8.84</v>
      </c>
      <c r="L374" s="218"/>
    </row>
    <row r="375" spans="2:12">
      <c r="B375" s="197" t="s">
        <v>1443</v>
      </c>
      <c r="C375" s="189" t="s">
        <v>1441</v>
      </c>
      <c r="D375" s="198" t="s">
        <v>169</v>
      </c>
      <c r="E375" s="199">
        <v>3.4</v>
      </c>
      <c r="F375" s="244">
        <v>2</v>
      </c>
      <c r="G375" s="199">
        <v>1.3</v>
      </c>
      <c r="H375" s="199"/>
      <c r="I375" s="199">
        <f>0.01/'BM 005'!L78</f>
        <v>1.051856435491579E-5</v>
      </c>
      <c r="J375" s="219"/>
      <c r="K375" s="217">
        <f t="shared" si="4"/>
        <v>8.8400105185643554</v>
      </c>
      <c r="L375" s="218"/>
    </row>
    <row r="376" spans="2:12">
      <c r="B376" s="197"/>
      <c r="C376" s="189"/>
      <c r="D376" s="198"/>
      <c r="E376" s="199"/>
      <c r="F376" s="244"/>
      <c r="G376" s="199"/>
      <c r="H376" s="199"/>
      <c r="I376" s="199"/>
      <c r="J376" s="219"/>
      <c r="K376" s="217">
        <f t="shared" si="4"/>
        <v>0</v>
      </c>
      <c r="L376" s="218"/>
    </row>
    <row r="377" spans="2:12">
      <c r="B377" s="202"/>
      <c r="C377" s="203"/>
      <c r="D377" s="203"/>
      <c r="E377" s="203"/>
      <c r="F377" s="203"/>
      <c r="G377" s="203"/>
      <c r="H377" s="204"/>
      <c r="I377" s="556" t="s">
        <v>1221</v>
      </c>
      <c r="J377" s="556"/>
      <c r="K377" s="220">
        <f>SUM(K331:K376)</f>
        <v>216.14109051856443</v>
      </c>
      <c r="L377" s="207"/>
    </row>
    <row r="378" spans="2:12">
      <c r="B378" s="208"/>
      <c r="C378" s="204"/>
      <c r="D378" s="204"/>
      <c r="E378" s="204"/>
      <c r="F378" s="204"/>
      <c r="G378" s="204"/>
      <c r="H378" s="209"/>
      <c r="I378" s="557" t="s">
        <v>1222</v>
      </c>
      <c r="J378" s="557"/>
      <c r="K378" s="221">
        <v>213.07</v>
      </c>
      <c r="L378" s="207"/>
    </row>
    <row r="379" spans="2:12">
      <c r="B379" s="208"/>
      <c r="C379" s="204"/>
      <c r="D379" s="204"/>
      <c r="E379" s="204"/>
      <c r="F379" s="204"/>
      <c r="G379" s="204"/>
      <c r="H379" s="558" t="s">
        <v>1223</v>
      </c>
      <c r="I379" s="558"/>
      <c r="J379" s="558"/>
      <c r="K379" s="222">
        <v>198.46108000000001</v>
      </c>
      <c r="L379" s="207"/>
    </row>
    <row r="380" spans="2:12">
      <c r="B380" s="208"/>
      <c r="C380" s="204"/>
      <c r="D380" s="204"/>
      <c r="E380" s="204"/>
      <c r="F380" s="204"/>
      <c r="G380" s="204"/>
      <c r="H380" s="558" t="s">
        <v>1431</v>
      </c>
      <c r="I380" s="558"/>
      <c r="J380" s="558"/>
      <c r="K380" s="222">
        <f>IF(K377&gt;K378,K378,K377)-K379+0.0000105185643549158</f>
        <v>14.608930518564339</v>
      </c>
      <c r="L380" s="207"/>
    </row>
    <row r="381" spans="2:12">
      <c r="B381" s="213"/>
      <c r="C381" s="214"/>
      <c r="D381" s="214"/>
      <c r="E381" s="214"/>
      <c r="F381" s="214"/>
      <c r="G381" s="214"/>
      <c r="H381" s="559" t="s">
        <v>1224</v>
      </c>
      <c r="I381" s="559"/>
      <c r="J381" s="559"/>
      <c r="K381" s="223">
        <f>IF(K377&gt;K378,K377-K378,0)</f>
        <v>3.0710905185644322</v>
      </c>
      <c r="L381" s="209"/>
    </row>
    <row r="383" spans="2:12" ht="14.25" customHeight="1">
      <c r="B383" s="555" t="s">
        <v>1300</v>
      </c>
      <c r="C383" s="555"/>
      <c r="D383" s="555"/>
      <c r="E383" s="555"/>
      <c r="F383" s="555"/>
      <c r="G383" s="555"/>
      <c r="H383" s="555"/>
      <c r="I383" s="555"/>
      <c r="J383" s="555"/>
      <c r="K383" s="555"/>
      <c r="L383" s="555"/>
    </row>
    <row r="384" spans="2:12">
      <c r="B384" s="187" t="s">
        <v>1209</v>
      </c>
      <c r="C384" s="187"/>
      <c r="D384" s="187" t="s">
        <v>39</v>
      </c>
      <c r="E384" s="187" t="s">
        <v>1210</v>
      </c>
      <c r="F384" s="187" t="s">
        <v>1211</v>
      </c>
      <c r="G384" s="187" t="s">
        <v>1212</v>
      </c>
      <c r="H384" s="187" t="s">
        <v>1213</v>
      </c>
      <c r="I384" s="187" t="s">
        <v>1214</v>
      </c>
      <c r="J384" s="187" t="s">
        <v>1215</v>
      </c>
      <c r="K384" s="187" t="s">
        <v>1216</v>
      </c>
      <c r="L384" s="187" t="s">
        <v>1217</v>
      </c>
    </row>
    <row r="385" spans="2:12">
      <c r="B385" s="188" t="s">
        <v>1301</v>
      </c>
      <c r="C385" s="189" t="s">
        <v>1271</v>
      </c>
      <c r="D385" s="190" t="s">
        <v>1274</v>
      </c>
      <c r="E385" s="191">
        <v>646</v>
      </c>
      <c r="F385" s="243">
        <v>0.16</v>
      </c>
      <c r="G385" s="192"/>
      <c r="H385" s="191">
        <v>1.1000000000000001</v>
      </c>
      <c r="I385" s="191"/>
      <c r="J385" s="216"/>
      <c r="K385" s="217">
        <f>IF(E385*F385*G385&lt;&gt;0,E385*F385*G385,IF(E385*F385&lt;&gt;0,E385*F385,IF(F385*G385&lt;&gt;0,F385*G385,IF(E385*G385&lt;&gt;0,E385*G385,IF(E385&lt;&gt;0,E385,IF(F385&lt;&gt;0,F385,IF(G385&lt;&gt;0,G385,0)))))))*(IF(H385&lt;&gt;0,H385,1))+I385-J385</f>
        <v>113.69600000000001</v>
      </c>
      <c r="L385" s="218"/>
    </row>
    <row r="386" spans="2:12">
      <c r="B386" s="188" t="s">
        <v>1302</v>
      </c>
      <c r="C386" s="189" t="s">
        <v>1271</v>
      </c>
      <c r="D386" s="190" t="s">
        <v>1274</v>
      </c>
      <c r="E386" s="191">
        <v>348</v>
      </c>
      <c r="F386" s="243">
        <v>0.16</v>
      </c>
      <c r="G386" s="192"/>
      <c r="H386" s="191">
        <v>1.1000000000000001</v>
      </c>
      <c r="I386" s="191"/>
      <c r="J386" s="216"/>
      <c r="K386" s="217">
        <f>IF(E386*F386*G386&lt;&gt;0,E386*F386*G386,IF(E386*F386&lt;&gt;0,E386*F386,IF(F386*G386&lt;&gt;0,F386*G386,IF(E386*G386&lt;&gt;0,E386*G386,IF(E386&lt;&gt;0,E386,IF(F386&lt;&gt;0,F386,IF(G386&lt;&gt;0,G386,0)))))))*(IF(H386&lt;&gt;0,H386,1))+I386-J386</f>
        <v>61.248000000000005</v>
      </c>
      <c r="L386" s="218"/>
    </row>
    <row r="387" spans="2:12">
      <c r="B387" s="188" t="s">
        <v>1365</v>
      </c>
      <c r="C387" s="189" t="s">
        <v>1271</v>
      </c>
      <c r="D387" s="190" t="s">
        <v>1274</v>
      </c>
      <c r="E387" s="191">
        <v>43.18</v>
      </c>
      <c r="F387" s="243"/>
      <c r="G387" s="192"/>
      <c r="H387" s="191">
        <v>0.26</v>
      </c>
      <c r="I387" s="191"/>
      <c r="J387" s="216"/>
      <c r="K387" s="217">
        <f>IF(E387*F387*G387&lt;&gt;0,E387*F387*G387,IF(E387*F387&lt;&gt;0,E387*F387,IF(F387*G387&lt;&gt;0,F387*G387,IF(E387*G387&lt;&gt;0,E387*G387,IF(E387&lt;&gt;0,E387,IF(F387&lt;&gt;0,F387,IF(G387&lt;&gt;0,G387,0)))))))*(IF(H387&lt;&gt;0,H387,1))+I387-J387</f>
        <v>11.226800000000001</v>
      </c>
      <c r="L387" s="245" t="s">
        <v>1366</v>
      </c>
    </row>
    <row r="388" spans="2:12">
      <c r="B388" s="197"/>
      <c r="C388" s="189"/>
      <c r="D388" s="198"/>
      <c r="E388" s="199"/>
      <c r="F388" s="244"/>
      <c r="G388" s="199"/>
      <c r="H388" s="199"/>
      <c r="I388" s="199"/>
      <c r="J388" s="219"/>
      <c r="K388" s="217">
        <f>IF(E388*F388*G388&lt;&gt;0,E388*F388*G388,IF(E388*F388&lt;&gt;0,E388*F388,IF(F388*G388&lt;&gt;0,F388*G388,IF(E388*G388&lt;&gt;0,E388*G388,IF(E388&lt;&gt;0,E388,IF(F388&lt;&gt;0,F388,IF(G388&lt;&gt;0,G388,0)))))))*(IF(H388&lt;&gt;0,H388,1))+I388-J388</f>
        <v>0</v>
      </c>
      <c r="L388" s="218"/>
    </row>
    <row r="389" spans="2:12">
      <c r="B389" s="202"/>
      <c r="C389" s="203"/>
      <c r="D389" s="203"/>
      <c r="E389" s="203"/>
      <c r="F389" s="203"/>
      <c r="G389" s="203"/>
      <c r="H389" s="204"/>
      <c r="I389" s="556" t="s">
        <v>1221</v>
      </c>
      <c r="J389" s="556"/>
      <c r="K389" s="220">
        <f>SUM(K385:K388)</f>
        <v>186.17080000000001</v>
      </c>
      <c r="L389" s="207"/>
    </row>
    <row r="390" spans="2:12">
      <c r="B390" s="208"/>
      <c r="C390" s="204"/>
      <c r="D390" s="204"/>
      <c r="E390" s="204"/>
      <c r="F390" s="204"/>
      <c r="G390" s="204"/>
      <c r="H390" s="209"/>
      <c r="I390" s="557" t="s">
        <v>1222</v>
      </c>
      <c r="J390" s="557"/>
      <c r="K390" s="221">
        <v>185.9</v>
      </c>
      <c r="L390" s="207"/>
    </row>
    <row r="391" spans="2:12">
      <c r="B391" s="208"/>
      <c r="C391" s="204"/>
      <c r="D391" s="204"/>
      <c r="E391" s="204"/>
      <c r="F391" s="204"/>
      <c r="G391" s="204"/>
      <c r="H391" s="558" t="s">
        <v>1223</v>
      </c>
      <c r="I391" s="558"/>
      <c r="J391" s="558"/>
      <c r="K391" s="222">
        <v>163.02440000000001</v>
      </c>
      <c r="L391" s="207"/>
    </row>
    <row r="392" spans="2:12">
      <c r="B392" s="208"/>
      <c r="C392" s="204"/>
      <c r="D392" s="204"/>
      <c r="E392" s="204"/>
      <c r="F392" s="204"/>
      <c r="G392" s="204"/>
      <c r="H392" s="558" t="s">
        <v>1250</v>
      </c>
      <c r="I392" s="558"/>
      <c r="J392" s="558"/>
      <c r="K392" s="222">
        <f>IF(K389&gt;K390,K390,K389)-K391</f>
        <v>22.875599999999991</v>
      </c>
      <c r="L392" s="246">
        <f>K390-K389</f>
        <v>-0.27080000000000837</v>
      </c>
    </row>
    <row r="393" spans="2:12">
      <c r="B393" s="213"/>
      <c r="C393" s="214"/>
      <c r="D393" s="214"/>
      <c r="E393" s="214"/>
      <c r="F393" s="214"/>
      <c r="G393" s="214"/>
      <c r="H393" s="559" t="s">
        <v>1224</v>
      </c>
      <c r="I393" s="559"/>
      <c r="J393" s="559"/>
      <c r="K393" s="223">
        <f>IF(K389&gt;K390,K389-K390,0)</f>
        <v>0.27080000000000837</v>
      </c>
      <c r="L393" s="209"/>
    </row>
    <row r="395" spans="2:12" ht="14.25" customHeight="1">
      <c r="B395" s="555" t="s">
        <v>1303</v>
      </c>
      <c r="C395" s="555"/>
      <c r="D395" s="555"/>
      <c r="E395" s="555"/>
      <c r="F395" s="555"/>
      <c r="G395" s="555"/>
      <c r="H395" s="555"/>
      <c r="I395" s="555"/>
      <c r="J395" s="555"/>
      <c r="K395" s="555"/>
      <c r="L395" s="555"/>
    </row>
    <row r="396" spans="2:12">
      <c r="B396" s="187" t="s">
        <v>1209</v>
      </c>
      <c r="C396" s="187"/>
      <c r="D396" s="187" t="s">
        <v>39</v>
      </c>
      <c r="E396" s="187" t="s">
        <v>1210</v>
      </c>
      <c r="F396" s="187" t="s">
        <v>1211</v>
      </c>
      <c r="G396" s="187" t="s">
        <v>1212</v>
      </c>
      <c r="H396" s="187" t="s">
        <v>1213</v>
      </c>
      <c r="I396" s="187" t="s">
        <v>1214</v>
      </c>
      <c r="J396" s="187" t="s">
        <v>1215</v>
      </c>
      <c r="K396" s="187" t="s">
        <v>1216</v>
      </c>
      <c r="L396" s="187" t="s">
        <v>1217</v>
      </c>
    </row>
    <row r="397" spans="2:12">
      <c r="B397" s="188" t="s">
        <v>1301</v>
      </c>
      <c r="C397" s="189" t="s">
        <v>1271</v>
      </c>
      <c r="D397" s="190" t="s">
        <v>1274</v>
      </c>
      <c r="E397" s="191">
        <v>257</v>
      </c>
      <c r="F397" s="243">
        <v>0.245</v>
      </c>
      <c r="G397" s="192"/>
      <c r="H397" s="191">
        <v>1.1000000000000001</v>
      </c>
      <c r="I397" s="191"/>
      <c r="J397" s="216"/>
      <c r="K397" s="217">
        <f>IF(E397*F397*G397&lt;&gt;0,E397*F397*G397,IF(E397*F397&lt;&gt;0,E397*F397,IF(F397*G397&lt;&gt;0,F397*G397,IF(E397*G397&lt;&gt;0,E397*G397,IF(E397&lt;&gt;0,E397,IF(F397&lt;&gt;0,F397,IF(G397&lt;&gt;0,G397,0)))))))*(IF(H397&lt;&gt;0,H397,1))+I397-J397</f>
        <v>69.261499999999998</v>
      </c>
      <c r="L397" s="218"/>
    </row>
    <row r="398" spans="2:12">
      <c r="B398" s="188" t="s">
        <v>1302</v>
      </c>
      <c r="C398" s="189" t="s">
        <v>1271</v>
      </c>
      <c r="D398" s="190" t="s">
        <v>1274</v>
      </c>
      <c r="E398" s="191">
        <v>642</v>
      </c>
      <c r="F398" s="243">
        <v>0.245</v>
      </c>
      <c r="G398" s="192"/>
      <c r="H398" s="191">
        <v>1.1000000000000001</v>
      </c>
      <c r="I398" s="191"/>
      <c r="J398" s="216"/>
      <c r="K398" s="217">
        <f>IF(E398*F398*G398&lt;&gt;0,E398*F398*G398,IF(E398*F398&lt;&gt;0,E398*F398,IF(F398*G398&lt;&gt;0,F398*G398,IF(E398*G398&lt;&gt;0,E398*G398,IF(E398&lt;&gt;0,E398,IF(F398&lt;&gt;0,F398,IF(G398&lt;&gt;0,G398,0)))))))*(IF(H398&lt;&gt;0,H398,1))+I398-J398</f>
        <v>173.01900000000001</v>
      </c>
      <c r="L398" s="218"/>
    </row>
    <row r="399" spans="2:12">
      <c r="B399" s="197"/>
      <c r="C399" s="189"/>
      <c r="D399" s="198"/>
      <c r="E399" s="199"/>
      <c r="F399" s="244"/>
      <c r="G399" s="199"/>
      <c r="H399" s="199"/>
      <c r="I399" s="199"/>
      <c r="J399" s="219"/>
      <c r="K399" s="217">
        <f>IF(E399*F399*G399&lt;&gt;0,E399*F399*G399,IF(E399*F399&lt;&gt;0,E399*F399,IF(F399*G399&lt;&gt;0,F399*G399,IF(E399*G399&lt;&gt;0,E399*G399,IF(E399&lt;&gt;0,E399,IF(F399&lt;&gt;0,F399,IF(G399&lt;&gt;0,G399,0)))))))*(IF(H399&lt;&gt;0,H399,1))+I399-J399</f>
        <v>0</v>
      </c>
      <c r="L399" s="218"/>
    </row>
    <row r="400" spans="2:12">
      <c r="B400" s="202"/>
      <c r="C400" s="203"/>
      <c r="D400" s="203"/>
      <c r="E400" s="203"/>
      <c r="F400" s="203"/>
      <c r="G400" s="203"/>
      <c r="H400" s="204"/>
      <c r="I400" s="556" t="s">
        <v>1221</v>
      </c>
      <c r="J400" s="556"/>
      <c r="K400" s="220">
        <f>SUM(K397:K399)</f>
        <v>242.28050000000002</v>
      </c>
      <c r="L400" s="207"/>
    </row>
    <row r="401" spans="2:12">
      <c r="B401" s="208"/>
      <c r="C401" s="204"/>
      <c r="D401" s="204"/>
      <c r="E401" s="204"/>
      <c r="F401" s="204"/>
      <c r="G401" s="204"/>
      <c r="H401" s="209"/>
      <c r="I401" s="557" t="s">
        <v>1222</v>
      </c>
      <c r="J401" s="557"/>
      <c r="K401" s="221">
        <v>199.1</v>
      </c>
      <c r="L401" s="207"/>
    </row>
    <row r="402" spans="2:12">
      <c r="B402" s="208"/>
      <c r="C402" s="204"/>
      <c r="D402" s="204"/>
      <c r="E402" s="204"/>
      <c r="F402" s="204"/>
      <c r="G402" s="204"/>
      <c r="H402" s="558" t="s">
        <v>1223</v>
      </c>
      <c r="I402" s="558"/>
      <c r="J402" s="558"/>
      <c r="K402" s="222">
        <v>0</v>
      </c>
      <c r="L402" s="207"/>
    </row>
    <row r="403" spans="2:12">
      <c r="B403" s="208"/>
      <c r="C403" s="204"/>
      <c r="D403" s="204"/>
      <c r="E403" s="204"/>
      <c r="F403" s="204"/>
      <c r="G403" s="204"/>
      <c r="H403" s="558" t="s">
        <v>1201</v>
      </c>
      <c r="I403" s="558"/>
      <c r="J403" s="558"/>
      <c r="K403" s="222">
        <f>IF(K400&gt;K401,K401,K400)-K402</f>
        <v>199.1</v>
      </c>
      <c r="L403" s="207"/>
    </row>
    <row r="404" spans="2:12">
      <c r="B404" s="213"/>
      <c r="C404" s="214"/>
      <c r="D404" s="214"/>
      <c r="E404" s="214"/>
      <c r="F404" s="214"/>
      <c r="G404" s="214"/>
      <c r="H404" s="559" t="s">
        <v>1224</v>
      </c>
      <c r="I404" s="559"/>
      <c r="J404" s="559"/>
      <c r="K404" s="223">
        <f>IF(K400&gt;K401,K400-K401,0)</f>
        <v>43.180500000000023</v>
      </c>
      <c r="L404" s="209"/>
    </row>
    <row r="406" spans="2:12" ht="14.25" customHeight="1">
      <c r="B406" s="555" t="s">
        <v>1304</v>
      </c>
      <c r="C406" s="555"/>
      <c r="D406" s="555"/>
      <c r="E406" s="555"/>
      <c r="F406" s="555"/>
      <c r="G406" s="555"/>
      <c r="H406" s="555"/>
      <c r="I406" s="555"/>
      <c r="J406" s="555"/>
      <c r="K406" s="555"/>
      <c r="L406" s="555"/>
    </row>
    <row r="407" spans="2:12">
      <c r="B407" s="187" t="s">
        <v>1209</v>
      </c>
      <c r="C407" s="187"/>
      <c r="D407" s="187" t="s">
        <v>39</v>
      </c>
      <c r="E407" s="187" t="s">
        <v>1210</v>
      </c>
      <c r="F407" s="187" t="s">
        <v>1211</v>
      </c>
      <c r="G407" s="187" t="s">
        <v>1212</v>
      </c>
      <c r="H407" s="187" t="s">
        <v>1213</v>
      </c>
      <c r="I407" s="187" t="s">
        <v>1214</v>
      </c>
      <c r="J407" s="187" t="s">
        <v>1215</v>
      </c>
      <c r="K407" s="187" t="s">
        <v>1216</v>
      </c>
      <c r="L407" s="187" t="s">
        <v>1217</v>
      </c>
    </row>
    <row r="408" spans="2:12">
      <c r="B408" s="188" t="s">
        <v>1301</v>
      </c>
      <c r="C408" s="189" t="s">
        <v>1271</v>
      </c>
      <c r="D408" s="190" t="s">
        <v>1274</v>
      </c>
      <c r="E408" s="191">
        <v>566</v>
      </c>
      <c r="F408" s="243">
        <v>0.39500000000000002</v>
      </c>
      <c r="G408" s="192"/>
      <c r="H408" s="191">
        <v>1.1000000000000001</v>
      </c>
      <c r="I408" s="191"/>
      <c r="J408" s="216"/>
      <c r="K408" s="217">
        <f>IF(E408*F408*G408&lt;&gt;0,E408*F408*G408,IF(E408*F408&lt;&gt;0,E408*F408,IF(F408*G408&lt;&gt;0,F408*G408,IF(E408*G408&lt;&gt;0,E408*G408,IF(E408&lt;&gt;0,E408,IF(F408&lt;&gt;0,F408,IF(G408&lt;&gt;0,G408,0)))))))*(IF(H408&lt;&gt;0,H408,1))+I408-J408</f>
        <v>245.92700000000005</v>
      </c>
      <c r="L408" s="218"/>
    </row>
    <row r="409" spans="2:12">
      <c r="B409" s="188" t="s">
        <v>1302</v>
      </c>
      <c r="C409" s="189" t="s">
        <v>1271</v>
      </c>
      <c r="D409" s="190" t="s">
        <v>1274</v>
      </c>
      <c r="E409" s="191">
        <v>641</v>
      </c>
      <c r="F409" s="243">
        <v>0.39500000000000002</v>
      </c>
      <c r="G409" s="192"/>
      <c r="H409" s="191">
        <v>1.1000000000000001</v>
      </c>
      <c r="I409" s="191"/>
      <c r="J409" s="216"/>
      <c r="K409" s="217">
        <f>IF(E409*F409*G409&lt;&gt;0,E409*F409*G409,IF(E409*F409&lt;&gt;0,E409*F409,IF(F409*G409&lt;&gt;0,F409*G409,IF(E409*G409&lt;&gt;0,E409*G409,IF(E409&lt;&gt;0,E409,IF(F409&lt;&gt;0,F409,IF(G409&lt;&gt;0,G409,0)))))))*(IF(H409&lt;&gt;0,H409,1))+I409-J409</f>
        <v>278.51450000000006</v>
      </c>
      <c r="L409" s="218"/>
    </row>
    <row r="410" spans="2:12">
      <c r="B410" s="197"/>
      <c r="C410" s="189"/>
      <c r="D410" s="198"/>
      <c r="E410" s="199"/>
      <c r="F410" s="244"/>
      <c r="G410" s="199"/>
      <c r="H410" s="199"/>
      <c r="I410" s="199"/>
      <c r="J410" s="219"/>
      <c r="K410" s="217">
        <f>IF(E410*F410*G410&lt;&gt;0,E410*F410*G410,IF(E410*F410&lt;&gt;0,E410*F410,IF(F410*G410&lt;&gt;0,F410*G410,IF(E410*G410&lt;&gt;0,E410*G410,IF(E410&lt;&gt;0,E410,IF(F410&lt;&gt;0,F410,IF(G410&lt;&gt;0,G410,0)))))))*(IF(H410&lt;&gt;0,H410,1))+I410-J410</f>
        <v>0</v>
      </c>
      <c r="L410" s="218"/>
    </row>
    <row r="411" spans="2:12">
      <c r="B411" s="202"/>
      <c r="C411" s="203"/>
      <c r="D411" s="203"/>
      <c r="E411" s="203"/>
      <c r="F411" s="203"/>
      <c r="G411" s="203"/>
      <c r="H411" s="204"/>
      <c r="I411" s="556" t="s">
        <v>1221</v>
      </c>
      <c r="J411" s="556"/>
      <c r="K411" s="220">
        <f>SUM(K408:K410)</f>
        <v>524.44150000000013</v>
      </c>
      <c r="L411" s="207"/>
    </row>
    <row r="412" spans="2:12">
      <c r="B412" s="208"/>
      <c r="C412" s="204"/>
      <c r="D412" s="204"/>
      <c r="E412" s="204"/>
      <c r="F412" s="204"/>
      <c r="G412" s="204"/>
      <c r="H412" s="209"/>
      <c r="I412" s="557" t="s">
        <v>1222</v>
      </c>
      <c r="J412" s="557"/>
      <c r="K412" s="221">
        <v>378.4</v>
      </c>
      <c r="L412" s="207"/>
    </row>
    <row r="413" spans="2:12">
      <c r="B413" s="208"/>
      <c r="C413" s="204"/>
      <c r="D413" s="204"/>
      <c r="E413" s="204"/>
      <c r="F413" s="204"/>
      <c r="G413" s="204"/>
      <c r="H413" s="558" t="s">
        <v>1223</v>
      </c>
      <c r="I413" s="558"/>
      <c r="J413" s="558"/>
      <c r="K413" s="222">
        <v>0</v>
      </c>
      <c r="L413" s="207"/>
    </row>
    <row r="414" spans="2:12">
      <c r="B414" s="208"/>
      <c r="C414" s="204"/>
      <c r="D414" s="204"/>
      <c r="E414" s="204"/>
      <c r="F414" s="204"/>
      <c r="G414" s="204"/>
      <c r="H414" s="558" t="s">
        <v>1201</v>
      </c>
      <c r="I414" s="558"/>
      <c r="J414" s="558"/>
      <c r="K414" s="222">
        <f>IF(K411&gt;K412,K412,K411)-K413</f>
        <v>378.4</v>
      </c>
      <c r="L414" s="207"/>
    </row>
    <row r="415" spans="2:12">
      <c r="B415" s="213"/>
      <c r="C415" s="214"/>
      <c r="D415" s="214"/>
      <c r="E415" s="214"/>
      <c r="F415" s="214"/>
      <c r="G415" s="214"/>
      <c r="H415" s="559" t="s">
        <v>1224</v>
      </c>
      <c r="I415" s="559"/>
      <c r="J415" s="559"/>
      <c r="K415" s="223">
        <f>IF(K411&gt;K412,K411-K412,0)</f>
        <v>146.04150000000016</v>
      </c>
      <c r="L415" s="209"/>
    </row>
    <row r="417" spans="2:12" ht="14.25" customHeight="1">
      <c r="B417" s="555" t="s">
        <v>1305</v>
      </c>
      <c r="C417" s="555"/>
      <c r="D417" s="555"/>
      <c r="E417" s="555"/>
      <c r="F417" s="555"/>
      <c r="G417" s="555"/>
      <c r="H417" s="555"/>
      <c r="I417" s="555"/>
      <c r="J417" s="555"/>
      <c r="K417" s="555"/>
      <c r="L417" s="555"/>
    </row>
    <row r="418" spans="2:12">
      <c r="B418" s="187" t="s">
        <v>1209</v>
      </c>
      <c r="C418" s="187"/>
      <c r="D418" s="187" t="s">
        <v>39</v>
      </c>
      <c r="E418" s="187" t="s">
        <v>1210</v>
      </c>
      <c r="F418" s="187" t="s">
        <v>1211</v>
      </c>
      <c r="G418" s="187" t="s">
        <v>1212</v>
      </c>
      <c r="H418" s="187" t="s">
        <v>1213</v>
      </c>
      <c r="I418" s="187" t="s">
        <v>1214</v>
      </c>
      <c r="J418" s="187" t="s">
        <v>1215</v>
      </c>
      <c r="K418" s="187" t="s">
        <v>1216</v>
      </c>
      <c r="L418" s="187" t="s">
        <v>1217</v>
      </c>
    </row>
    <row r="419" spans="2:12">
      <c r="B419" s="188" t="s">
        <v>1301</v>
      </c>
      <c r="C419" s="189" t="s">
        <v>1271</v>
      </c>
      <c r="D419" s="190" t="s">
        <v>1274</v>
      </c>
      <c r="E419" s="191">
        <v>522</v>
      </c>
      <c r="F419" s="243">
        <v>0.61699999999999999</v>
      </c>
      <c r="G419" s="192"/>
      <c r="H419" s="191">
        <v>1.1000000000000001</v>
      </c>
      <c r="I419" s="191"/>
      <c r="J419" s="216"/>
      <c r="K419" s="217">
        <f>IF(E419*F419*G419&lt;&gt;0,E419*F419*G419,IF(E419*F419&lt;&gt;0,E419*F419,IF(F419*G419&lt;&gt;0,F419*G419,IF(E419*G419&lt;&gt;0,E419*G419,IF(E419&lt;&gt;0,E419,IF(F419&lt;&gt;0,F419,IF(G419&lt;&gt;0,G419,0)))))))*(IF(H419&lt;&gt;0,H419,1))+I419-J419</f>
        <v>354.28140000000002</v>
      </c>
      <c r="L419" s="218"/>
    </row>
    <row r="420" spans="2:12">
      <c r="B420" s="188" t="s">
        <v>1302</v>
      </c>
      <c r="C420" s="189" t="s">
        <v>1271</v>
      </c>
      <c r="D420" s="190" t="s">
        <v>1274</v>
      </c>
      <c r="E420" s="191">
        <v>150</v>
      </c>
      <c r="F420" s="243">
        <v>0.61699999999999999</v>
      </c>
      <c r="G420" s="192"/>
      <c r="H420" s="191">
        <v>1.1000000000000001</v>
      </c>
      <c r="I420" s="191">
        <v>1E-4</v>
      </c>
      <c r="J420" s="216"/>
      <c r="K420" s="217">
        <f>IF(E420*F420*G420&lt;&gt;0,E420*F420*G420,IF(E420*F420&lt;&gt;0,E420*F420,IF(F420*G420&lt;&gt;0,F420*G420,IF(E420*G420&lt;&gt;0,E420*G420,IF(E420&lt;&gt;0,E420,IF(F420&lt;&gt;0,F420,IF(G420&lt;&gt;0,G420,0)))))))*(IF(H420&lt;&gt;0,H420,1))+I420-J420</f>
        <v>101.80510000000001</v>
      </c>
      <c r="L420" s="218"/>
    </row>
    <row r="421" spans="2:12">
      <c r="B421" s="197"/>
      <c r="C421" s="189"/>
      <c r="D421" s="198"/>
      <c r="E421" s="199"/>
      <c r="F421" s="244"/>
      <c r="G421" s="199"/>
      <c r="H421" s="199"/>
      <c r="I421" s="199"/>
      <c r="J421" s="219"/>
      <c r="K421" s="217">
        <f>IF(E421*F421*G421&lt;&gt;0,E421*F421*G421,IF(E421*F421&lt;&gt;0,E421*F421,IF(F421*G421&lt;&gt;0,F421*G421,IF(E421*G421&lt;&gt;0,E421*G421,IF(E421&lt;&gt;0,E421,IF(F421&lt;&gt;0,F421,IF(G421&lt;&gt;0,G421,0)))))))*(IF(H421&lt;&gt;0,H421,1))+I421-J421</f>
        <v>0</v>
      </c>
      <c r="L421" s="218"/>
    </row>
    <row r="422" spans="2:12">
      <c r="B422" s="202"/>
      <c r="C422" s="203"/>
      <c r="D422" s="203"/>
      <c r="E422" s="203"/>
      <c r="F422" s="203"/>
      <c r="G422" s="203"/>
      <c r="H422" s="204"/>
      <c r="I422" s="556" t="s">
        <v>1221</v>
      </c>
      <c r="J422" s="556"/>
      <c r="K422" s="220">
        <f>SUM(K419:K421)</f>
        <v>456.0865</v>
      </c>
      <c r="L422" s="207"/>
    </row>
    <row r="423" spans="2:12">
      <c r="B423" s="208"/>
      <c r="C423" s="204"/>
      <c r="D423" s="204"/>
      <c r="E423" s="204"/>
      <c r="F423" s="204"/>
      <c r="G423" s="204"/>
      <c r="H423" s="209"/>
      <c r="I423" s="557" t="s">
        <v>1222</v>
      </c>
      <c r="J423" s="557"/>
      <c r="K423" s="221">
        <f>445.5+0.0001</f>
        <v>445.50009999999997</v>
      </c>
      <c r="L423" s="207"/>
    </row>
    <row r="424" spans="2:12">
      <c r="B424" s="208"/>
      <c r="C424" s="204"/>
      <c r="D424" s="204"/>
      <c r="E424" s="204"/>
      <c r="F424" s="204"/>
      <c r="G424" s="204"/>
      <c r="H424" s="558" t="s">
        <v>1223</v>
      </c>
      <c r="I424" s="558"/>
      <c r="J424" s="558"/>
      <c r="K424" s="222">
        <v>354.28140000000002</v>
      </c>
      <c r="L424" s="207"/>
    </row>
    <row r="425" spans="2:12">
      <c r="B425" s="208"/>
      <c r="C425" s="204"/>
      <c r="D425" s="204"/>
      <c r="E425" s="204"/>
      <c r="F425" s="204"/>
      <c r="G425" s="204"/>
      <c r="H425" s="558" t="s">
        <v>1201</v>
      </c>
      <c r="I425" s="558"/>
      <c r="J425" s="558"/>
      <c r="K425" s="222">
        <f>IF(K422&gt;K423,K423,K422)-K424</f>
        <v>91.218699999999956</v>
      </c>
      <c r="L425" s="207"/>
    </row>
    <row r="426" spans="2:12">
      <c r="B426" s="213"/>
      <c r="C426" s="214"/>
      <c r="D426" s="214"/>
      <c r="E426" s="214"/>
      <c r="F426" s="214"/>
      <c r="G426" s="214"/>
      <c r="H426" s="559" t="s">
        <v>1224</v>
      </c>
      <c r="I426" s="559"/>
      <c r="J426" s="559"/>
      <c r="K426" s="223">
        <f>IF(K422&gt;K423,K422-K423,0)</f>
        <v>10.586400000000026</v>
      </c>
      <c r="L426" s="209"/>
    </row>
    <row r="428" spans="2:12" ht="14.25" customHeight="1">
      <c r="B428" s="555" t="s">
        <v>1306</v>
      </c>
      <c r="C428" s="555"/>
      <c r="D428" s="555"/>
      <c r="E428" s="555"/>
      <c r="F428" s="555"/>
      <c r="G428" s="555"/>
      <c r="H428" s="555"/>
      <c r="I428" s="555"/>
      <c r="J428" s="555"/>
      <c r="K428" s="555"/>
      <c r="L428" s="555"/>
    </row>
    <row r="429" spans="2:12">
      <c r="B429" s="187" t="s">
        <v>1209</v>
      </c>
      <c r="C429" s="187"/>
      <c r="D429" s="187" t="s">
        <v>39</v>
      </c>
      <c r="E429" s="187" t="s">
        <v>1210</v>
      </c>
      <c r="F429" s="187" t="s">
        <v>1211</v>
      </c>
      <c r="G429" s="187" t="s">
        <v>1212</v>
      </c>
      <c r="H429" s="187" t="s">
        <v>1213</v>
      </c>
      <c r="I429" s="187" t="s">
        <v>1214</v>
      </c>
      <c r="J429" s="187" t="s">
        <v>1215</v>
      </c>
      <c r="K429" s="187" t="s">
        <v>1216</v>
      </c>
      <c r="L429" s="187" t="s">
        <v>1217</v>
      </c>
    </row>
    <row r="430" spans="2:12">
      <c r="B430" s="188" t="s">
        <v>1367</v>
      </c>
      <c r="C430" s="189" t="s">
        <v>1271</v>
      </c>
      <c r="D430" s="190" t="s">
        <v>1274</v>
      </c>
      <c r="E430" s="191"/>
      <c r="F430" s="243"/>
      <c r="G430" s="192"/>
      <c r="H430" s="191"/>
      <c r="I430" s="191"/>
      <c r="J430" s="216"/>
      <c r="K430" s="217">
        <f>IF(E430*F430*G430&lt;&gt;0,E430*F430*G430,IF(E430*F430&lt;&gt;0,E430*F430,IF(F430*G430&lt;&gt;0,F430*G430,IF(E430*G430&lt;&gt;0,E430*G430,IF(E430&lt;&gt;0,E430,IF(F430&lt;&gt;0,F430,IF(G430&lt;&gt;0,G430,0)))))))*(IF(H430&lt;&gt;0,H430,1))+I430-J430</f>
        <v>0</v>
      </c>
      <c r="L430" s="218"/>
    </row>
    <row r="431" spans="2:12">
      <c r="B431" s="188" t="s">
        <v>1302</v>
      </c>
      <c r="C431" s="189" t="s">
        <v>1271</v>
      </c>
      <c r="D431" s="190" t="s">
        <v>1274</v>
      </c>
      <c r="E431" s="191">
        <v>287</v>
      </c>
      <c r="F431" s="243">
        <v>0.96299999999999997</v>
      </c>
      <c r="G431" s="192"/>
      <c r="H431" s="191">
        <v>1.1000000000000001</v>
      </c>
      <c r="I431" s="191"/>
      <c r="J431" s="216"/>
      <c r="K431" s="217">
        <f>IF(E431*F431*G431&lt;&gt;0,E431*F431*G431,IF(E431*F431&lt;&gt;0,E431*F431,IF(F431*G431&lt;&gt;0,F431*G431,IF(E431*G431&lt;&gt;0,E431*G431,IF(E431&lt;&gt;0,E431,IF(F431&lt;&gt;0,F431,IF(G431&lt;&gt;0,G431,0)))))))*(IF(H431&lt;&gt;0,H431,1))+I431-J431</f>
        <v>304.01909999999998</v>
      </c>
      <c r="L431" s="218"/>
    </row>
    <row r="432" spans="2:12">
      <c r="B432" s="197"/>
      <c r="C432" s="189"/>
      <c r="D432" s="198"/>
      <c r="E432" s="199"/>
      <c r="F432" s="244"/>
      <c r="G432" s="199"/>
      <c r="H432" s="199"/>
      <c r="I432" s="199"/>
      <c r="J432" s="219"/>
      <c r="K432" s="217">
        <f>IF(E432*F432*G432&lt;&gt;0,E432*F432*G432,IF(E432*F432&lt;&gt;0,E432*F432,IF(F432*G432&lt;&gt;0,F432*G432,IF(E432*G432&lt;&gt;0,E432*G432,IF(E432&lt;&gt;0,E432,IF(F432&lt;&gt;0,F432,IF(G432&lt;&gt;0,G432,0)))))))*(IF(H432&lt;&gt;0,H432,1))+I432-J432</f>
        <v>0</v>
      </c>
      <c r="L432" s="218"/>
    </row>
    <row r="433" spans="2:12">
      <c r="B433" s="202"/>
      <c r="C433" s="203"/>
      <c r="D433" s="203"/>
      <c r="E433" s="203"/>
      <c r="F433" s="203"/>
      <c r="G433" s="203"/>
      <c r="H433" s="204"/>
      <c r="I433" s="556" t="s">
        <v>1221</v>
      </c>
      <c r="J433" s="556"/>
      <c r="K433" s="220">
        <f>SUM(K430:K432)</f>
        <v>304.01909999999998</v>
      </c>
      <c r="L433" s="207"/>
    </row>
    <row r="434" spans="2:12">
      <c r="B434" s="208"/>
      <c r="C434" s="204"/>
      <c r="D434" s="204"/>
      <c r="E434" s="204"/>
      <c r="F434" s="204"/>
      <c r="G434" s="204"/>
      <c r="H434" s="209"/>
      <c r="I434" s="557" t="s">
        <v>1222</v>
      </c>
      <c r="J434" s="557"/>
      <c r="K434" s="221">
        <v>177.1</v>
      </c>
      <c r="L434" s="207"/>
    </row>
    <row r="435" spans="2:12">
      <c r="B435" s="208"/>
      <c r="C435" s="204"/>
      <c r="D435" s="204"/>
      <c r="E435" s="204"/>
      <c r="F435" s="204"/>
      <c r="G435" s="204"/>
      <c r="H435" s="558" t="s">
        <v>1223</v>
      </c>
      <c r="I435" s="558"/>
      <c r="J435" s="558"/>
      <c r="K435" s="222">
        <v>0</v>
      </c>
      <c r="L435" s="207"/>
    </row>
    <row r="436" spans="2:12">
      <c r="B436" s="208"/>
      <c r="C436" s="204"/>
      <c r="D436" s="204"/>
      <c r="E436" s="204"/>
      <c r="F436" s="204"/>
      <c r="G436" s="204"/>
      <c r="H436" s="558" t="s">
        <v>1201</v>
      </c>
      <c r="I436" s="558"/>
      <c r="J436" s="558"/>
      <c r="K436" s="222">
        <f>IF(K433&gt;K434,K434,K433)-K435</f>
        <v>177.1</v>
      </c>
      <c r="L436" s="207"/>
    </row>
    <row r="437" spans="2:12">
      <c r="B437" s="213"/>
      <c r="C437" s="214"/>
      <c r="D437" s="214"/>
      <c r="E437" s="214"/>
      <c r="F437" s="214"/>
      <c r="G437" s="214"/>
      <c r="H437" s="559" t="s">
        <v>1224</v>
      </c>
      <c r="I437" s="559"/>
      <c r="J437" s="559"/>
      <c r="K437" s="223">
        <f>IF(K433&gt;K434,K433-K434,0)</f>
        <v>126.91909999999999</v>
      </c>
      <c r="L437" s="209"/>
    </row>
    <row r="439" spans="2:12" ht="14.25" customHeight="1">
      <c r="B439" s="555" t="s">
        <v>1307</v>
      </c>
      <c r="C439" s="555"/>
      <c r="D439" s="555"/>
      <c r="E439" s="555"/>
      <c r="F439" s="555"/>
      <c r="G439" s="555"/>
      <c r="H439" s="555"/>
      <c r="I439" s="555"/>
      <c r="J439" s="555"/>
      <c r="K439" s="555"/>
      <c r="L439" s="555"/>
    </row>
    <row r="440" spans="2:12">
      <c r="B440" s="187" t="s">
        <v>1209</v>
      </c>
      <c r="C440" s="187"/>
      <c r="D440" s="187" t="s">
        <v>39</v>
      </c>
      <c r="E440" s="187" t="s">
        <v>1210</v>
      </c>
      <c r="F440" s="187" t="s">
        <v>1211</v>
      </c>
      <c r="G440" s="187" t="s">
        <v>1212</v>
      </c>
      <c r="H440" s="187" t="s">
        <v>1213</v>
      </c>
      <c r="I440" s="187" t="s">
        <v>1214</v>
      </c>
      <c r="J440" s="187" t="s">
        <v>1215</v>
      </c>
      <c r="K440" s="187" t="s">
        <v>1216</v>
      </c>
      <c r="L440" s="187" t="s">
        <v>1217</v>
      </c>
    </row>
    <row r="441" spans="2:12">
      <c r="B441" s="188" t="s">
        <v>1301</v>
      </c>
      <c r="C441" s="189" t="s">
        <v>1271</v>
      </c>
      <c r="D441" s="190" t="s">
        <v>1274</v>
      </c>
      <c r="E441" s="191"/>
      <c r="F441" s="243"/>
      <c r="G441" s="192"/>
      <c r="H441" s="191"/>
      <c r="I441" s="191"/>
      <c r="J441" s="216"/>
      <c r="K441" s="217">
        <f>IF(E441*F441*G441&lt;&gt;0,E441*F441*G441,IF(E441*F441&lt;&gt;0,E441*F441,IF(F441*G441&lt;&gt;0,F441*G441,IF(E441*G441&lt;&gt;0,E441*G441,IF(E441&lt;&gt;0,E441,IF(F441&lt;&gt;0,F441,IF(G441&lt;&gt;0,G441,0)))))))*(IF(H441&lt;&gt;0,H441,1))+I441-J441</f>
        <v>0</v>
      </c>
      <c r="L441" s="218"/>
    </row>
    <row r="442" spans="2:12">
      <c r="B442" s="188" t="s">
        <v>1302</v>
      </c>
      <c r="C442" s="189" t="s">
        <v>1271</v>
      </c>
      <c r="D442" s="190" t="s">
        <v>1274</v>
      </c>
      <c r="E442" s="191">
        <v>35.5</v>
      </c>
      <c r="F442" s="243">
        <v>1.5780000000000001</v>
      </c>
      <c r="G442" s="192"/>
      <c r="H442" s="191">
        <v>1.1000000000000001</v>
      </c>
      <c r="I442" s="191"/>
      <c r="J442" s="216"/>
      <c r="K442" s="217">
        <f>IF(E442*F442*G442&lt;&gt;0,E442*F442*G442,IF(E442*F442&lt;&gt;0,E442*F442,IF(F442*G442&lt;&gt;0,F442*G442,IF(E442*G442&lt;&gt;0,E442*G442,IF(E442&lt;&gt;0,E442,IF(F442&lt;&gt;0,F442,IF(G442&lt;&gt;0,G442,0)))))))*(IF(H442&lt;&gt;0,H442,1))+I442-J442</f>
        <v>61.620900000000013</v>
      </c>
      <c r="L442" s="218"/>
    </row>
    <row r="443" spans="2:12">
      <c r="B443" s="197"/>
      <c r="C443" s="189"/>
      <c r="D443" s="198"/>
      <c r="E443" s="199"/>
      <c r="F443" s="244"/>
      <c r="G443" s="199"/>
      <c r="H443" s="199"/>
      <c r="I443" s="199"/>
      <c r="J443" s="219"/>
      <c r="K443" s="217">
        <f>IF(E443*F443*G443&lt;&gt;0,E443*F443*G443,IF(E443*F443&lt;&gt;0,E443*F443,IF(F443*G443&lt;&gt;0,F443*G443,IF(E443*G443&lt;&gt;0,E443*G443,IF(E443&lt;&gt;0,E443,IF(F443&lt;&gt;0,F443,IF(G443&lt;&gt;0,G443,0)))))))*(IF(H443&lt;&gt;0,H443,1))+I443-J443</f>
        <v>0</v>
      </c>
      <c r="L443" s="218"/>
    </row>
    <row r="444" spans="2:12">
      <c r="B444" s="202"/>
      <c r="C444" s="203"/>
      <c r="D444" s="203"/>
      <c r="E444" s="203"/>
      <c r="F444" s="203"/>
      <c r="G444" s="203"/>
      <c r="H444" s="204"/>
      <c r="I444" s="556" t="s">
        <v>1221</v>
      </c>
      <c r="J444" s="556"/>
      <c r="K444" s="220">
        <f>SUM(K441:K443)</f>
        <v>61.620900000000013</v>
      </c>
      <c r="L444" s="207"/>
    </row>
    <row r="445" spans="2:12">
      <c r="B445" s="208"/>
      <c r="C445" s="204"/>
      <c r="D445" s="204"/>
      <c r="E445" s="204"/>
      <c r="F445" s="204"/>
      <c r="G445" s="204"/>
      <c r="H445" s="209"/>
      <c r="I445" s="557" t="s">
        <v>1222</v>
      </c>
      <c r="J445" s="557"/>
      <c r="K445" s="221">
        <v>61.6</v>
      </c>
      <c r="L445" s="207"/>
    </row>
    <row r="446" spans="2:12">
      <c r="B446" s="208"/>
      <c r="C446" s="204"/>
      <c r="D446" s="204"/>
      <c r="E446" s="204"/>
      <c r="F446" s="204"/>
      <c r="G446" s="204"/>
      <c r="H446" s="558" t="s">
        <v>1223</v>
      </c>
      <c r="I446" s="558"/>
      <c r="J446" s="558"/>
      <c r="K446" s="222">
        <v>0</v>
      </c>
      <c r="L446" s="207"/>
    </row>
    <row r="447" spans="2:12">
      <c r="B447" s="208"/>
      <c r="C447" s="204"/>
      <c r="D447" s="204"/>
      <c r="E447" s="204"/>
      <c r="F447" s="204"/>
      <c r="G447" s="204"/>
      <c r="H447" s="558" t="s">
        <v>1201</v>
      </c>
      <c r="I447" s="558"/>
      <c r="J447" s="558"/>
      <c r="K447" s="222">
        <f>IF(K444&gt;K445,K445,K444)-K446</f>
        <v>61.6</v>
      </c>
      <c r="L447" s="207"/>
    </row>
    <row r="448" spans="2:12">
      <c r="B448" s="213"/>
      <c r="C448" s="214"/>
      <c r="D448" s="214"/>
      <c r="E448" s="214"/>
      <c r="F448" s="214"/>
      <c r="G448" s="214"/>
      <c r="H448" s="559" t="s">
        <v>1224</v>
      </c>
      <c r="I448" s="559"/>
      <c r="J448" s="559"/>
      <c r="K448" s="223">
        <f>IF(K444&gt;K445,K444-K445,0)</f>
        <v>2.0900000000011687E-2</v>
      </c>
      <c r="L448" s="209"/>
    </row>
    <row r="450" spans="2:12" ht="14.25" customHeight="1">
      <c r="B450" s="555" t="s">
        <v>1308</v>
      </c>
      <c r="C450" s="555"/>
      <c r="D450" s="555"/>
      <c r="E450" s="555"/>
      <c r="F450" s="555"/>
      <c r="G450" s="555"/>
      <c r="H450" s="555"/>
      <c r="I450" s="555"/>
      <c r="J450" s="555"/>
      <c r="K450" s="555"/>
      <c r="L450" s="555"/>
    </row>
    <row r="451" spans="2:12">
      <c r="B451" s="187" t="s">
        <v>1209</v>
      </c>
      <c r="C451" s="187"/>
      <c r="D451" s="187" t="s">
        <v>39</v>
      </c>
      <c r="E451" s="187" t="s">
        <v>1210</v>
      </c>
      <c r="F451" s="187" t="s">
        <v>1211</v>
      </c>
      <c r="G451" s="187" t="s">
        <v>1212</v>
      </c>
      <c r="H451" s="187" t="s">
        <v>1213</v>
      </c>
      <c r="I451" s="187" t="s">
        <v>1214</v>
      </c>
      <c r="J451" s="187" t="s">
        <v>1215</v>
      </c>
      <c r="K451" s="187" t="s">
        <v>1216</v>
      </c>
      <c r="L451" s="187" t="s">
        <v>1217</v>
      </c>
    </row>
    <row r="452" spans="2:12">
      <c r="B452" s="188" t="s">
        <v>1309</v>
      </c>
      <c r="C452" s="189" t="s">
        <v>1271</v>
      </c>
      <c r="D452" s="190" t="s">
        <v>169</v>
      </c>
      <c r="E452" s="191">
        <v>5.18</v>
      </c>
      <c r="F452" s="192">
        <v>0.7</v>
      </c>
      <c r="G452" s="192">
        <v>0.7</v>
      </c>
      <c r="H452" s="191">
        <v>1</v>
      </c>
      <c r="I452" s="191"/>
      <c r="J452" s="216"/>
      <c r="K452" s="217">
        <f t="shared" ref="K452:K486" si="5">IF(E452*F452*G452&lt;&gt;0,E452*F452*G452,IF(E452*F452&lt;&gt;0,E452*F452,IF(F452*G452&lt;&gt;0,F452*G452,IF(E452*G452&lt;&gt;0,E452*G452,IF(E452&lt;&gt;0,E452,IF(F452&lt;&gt;0,F452,IF(G452&lt;&gt;0,G452,0)))))))*(IF(H452&lt;&gt;0,H452,1))+I452-J452</f>
        <v>2.5381999999999993</v>
      </c>
      <c r="L452" s="218"/>
    </row>
    <row r="453" spans="2:12">
      <c r="B453" s="188" t="s">
        <v>1310</v>
      </c>
      <c r="C453" s="189" t="s">
        <v>1271</v>
      </c>
      <c r="D453" s="190" t="s">
        <v>169</v>
      </c>
      <c r="E453" s="191">
        <v>6.94</v>
      </c>
      <c r="F453" s="192">
        <v>0.7</v>
      </c>
      <c r="G453" s="192">
        <v>0.7</v>
      </c>
      <c r="H453" s="191">
        <v>1</v>
      </c>
      <c r="I453" s="191"/>
      <c r="J453" s="216"/>
      <c r="K453" s="217">
        <f t="shared" si="5"/>
        <v>3.4005999999999994</v>
      </c>
      <c r="L453" s="218"/>
    </row>
    <row r="454" spans="2:12">
      <c r="B454" s="188" t="s">
        <v>1311</v>
      </c>
      <c r="C454" s="189" t="s">
        <v>1271</v>
      </c>
      <c r="D454" s="190" t="s">
        <v>169</v>
      </c>
      <c r="E454" s="191">
        <v>3.89</v>
      </c>
      <c r="F454" s="192">
        <v>0.2</v>
      </c>
      <c r="G454" s="192">
        <v>0.7</v>
      </c>
      <c r="H454" s="191">
        <v>1</v>
      </c>
      <c r="I454" s="191"/>
      <c r="J454" s="216"/>
      <c r="K454" s="217">
        <f t="shared" si="5"/>
        <v>0.54459999999999997</v>
      </c>
      <c r="L454" s="218"/>
    </row>
    <row r="455" spans="2:12">
      <c r="B455" s="188" t="s">
        <v>1312</v>
      </c>
      <c r="C455" s="189" t="s">
        <v>1271</v>
      </c>
      <c r="D455" s="190" t="s">
        <v>169</v>
      </c>
      <c r="E455" s="191">
        <v>2.33</v>
      </c>
      <c r="F455" s="192">
        <v>0.2</v>
      </c>
      <c r="G455" s="192">
        <v>0.7</v>
      </c>
      <c r="H455" s="191">
        <v>1</v>
      </c>
      <c r="I455" s="191"/>
      <c r="J455" s="216"/>
      <c r="K455" s="217">
        <f t="shared" si="5"/>
        <v>0.32619999999999999</v>
      </c>
      <c r="L455" s="218"/>
    </row>
    <row r="456" spans="2:12">
      <c r="B456" s="188" t="s">
        <v>1313</v>
      </c>
      <c r="C456" s="189" t="s">
        <v>1271</v>
      </c>
      <c r="D456" s="190" t="s">
        <v>169</v>
      </c>
      <c r="E456" s="191">
        <v>2.33</v>
      </c>
      <c r="F456" s="192">
        <v>0.2</v>
      </c>
      <c r="G456" s="192">
        <v>0.7</v>
      </c>
      <c r="H456" s="191">
        <v>1</v>
      </c>
      <c r="I456" s="191"/>
      <c r="J456" s="216"/>
      <c r="K456" s="217">
        <f t="shared" si="5"/>
        <v>0.32619999999999999</v>
      </c>
      <c r="L456" s="218"/>
    </row>
    <row r="457" spans="2:12">
      <c r="B457" s="188" t="s">
        <v>1314</v>
      </c>
      <c r="C457" s="189" t="s">
        <v>1271</v>
      </c>
      <c r="D457" s="190" t="s">
        <v>169</v>
      </c>
      <c r="E457" s="191">
        <v>4.93</v>
      </c>
      <c r="F457" s="192">
        <v>0.2</v>
      </c>
      <c r="G457" s="192">
        <v>0.7</v>
      </c>
      <c r="H457" s="191">
        <v>1</v>
      </c>
      <c r="I457" s="191"/>
      <c r="J457" s="216"/>
      <c r="K457" s="217">
        <f t="shared" si="5"/>
        <v>0.69019999999999992</v>
      </c>
      <c r="L457" s="218"/>
    </row>
    <row r="458" spans="2:12">
      <c r="B458" s="188" t="s">
        <v>1315</v>
      </c>
      <c r="C458" s="189" t="s">
        <v>1271</v>
      </c>
      <c r="D458" s="190" t="s">
        <v>169</v>
      </c>
      <c r="E458" s="191">
        <v>4.33</v>
      </c>
      <c r="F458" s="192">
        <v>0.2</v>
      </c>
      <c r="G458" s="192">
        <v>0.7</v>
      </c>
      <c r="H458" s="191">
        <v>1</v>
      </c>
      <c r="I458" s="191"/>
      <c r="J458" s="216"/>
      <c r="K458" s="217">
        <f t="shared" si="5"/>
        <v>0.60620000000000007</v>
      </c>
      <c r="L458" s="218"/>
    </row>
    <row r="459" spans="2:12">
      <c r="B459" s="197" t="s">
        <v>1368</v>
      </c>
      <c r="C459" s="189" t="s">
        <v>1333</v>
      </c>
      <c r="D459" s="190" t="s">
        <v>169</v>
      </c>
      <c r="E459" s="199">
        <v>3.32</v>
      </c>
      <c r="F459" s="199">
        <v>0.2</v>
      </c>
      <c r="G459" s="199">
        <v>0.7</v>
      </c>
      <c r="H459" s="199">
        <v>1</v>
      </c>
      <c r="I459" s="199"/>
      <c r="J459" s="219"/>
      <c r="K459" s="217">
        <f t="shared" si="5"/>
        <v>0.46479999999999999</v>
      </c>
      <c r="L459" s="218"/>
    </row>
    <row r="460" spans="2:12">
      <c r="B460" s="197" t="s">
        <v>1369</v>
      </c>
      <c r="C460" s="189" t="s">
        <v>1333</v>
      </c>
      <c r="D460" s="190" t="s">
        <v>169</v>
      </c>
      <c r="E460" s="199">
        <v>4.78</v>
      </c>
      <c r="F460" s="199">
        <v>0.2</v>
      </c>
      <c r="G460" s="199">
        <v>0.7</v>
      </c>
      <c r="H460" s="199">
        <v>1</v>
      </c>
      <c r="I460" s="199"/>
      <c r="J460" s="219"/>
      <c r="K460" s="217">
        <f t="shared" si="5"/>
        <v>0.66920000000000002</v>
      </c>
      <c r="L460" s="218"/>
    </row>
    <row r="461" spans="2:12">
      <c r="B461" s="197" t="s">
        <v>1370</v>
      </c>
      <c r="C461" s="189" t="s">
        <v>1333</v>
      </c>
      <c r="D461" s="190" t="s">
        <v>169</v>
      </c>
      <c r="E461" s="199">
        <v>2.7</v>
      </c>
      <c r="F461" s="199">
        <v>0.2</v>
      </c>
      <c r="G461" s="199">
        <v>0.7</v>
      </c>
      <c r="H461" s="199">
        <v>1</v>
      </c>
      <c r="I461" s="199"/>
      <c r="J461" s="219"/>
      <c r="K461" s="217">
        <f t="shared" si="5"/>
        <v>0.378</v>
      </c>
      <c r="L461" s="218"/>
    </row>
    <row r="462" spans="2:12">
      <c r="B462" s="197" t="s">
        <v>1371</v>
      </c>
      <c r="C462" s="189" t="s">
        <v>1333</v>
      </c>
      <c r="D462" s="190" t="s">
        <v>169</v>
      </c>
      <c r="E462" s="199">
        <v>2.7</v>
      </c>
      <c r="F462" s="199">
        <v>0.2</v>
      </c>
      <c r="G462" s="199">
        <v>0.7</v>
      </c>
      <c r="H462" s="199">
        <v>1</v>
      </c>
      <c r="I462" s="199"/>
      <c r="J462" s="219"/>
      <c r="K462" s="217">
        <f t="shared" si="5"/>
        <v>0.378</v>
      </c>
      <c r="L462" s="218"/>
    </row>
    <row r="463" spans="2:12">
      <c r="B463" s="197" t="s">
        <v>1372</v>
      </c>
      <c r="C463" s="189" t="s">
        <v>1333</v>
      </c>
      <c r="D463" s="190" t="s">
        <v>169</v>
      </c>
      <c r="E463" s="199">
        <v>5.62</v>
      </c>
      <c r="F463" s="199">
        <v>0.2</v>
      </c>
      <c r="G463" s="199">
        <v>0.7</v>
      </c>
      <c r="H463" s="199">
        <v>1</v>
      </c>
      <c r="I463" s="199"/>
      <c r="J463" s="219"/>
      <c r="K463" s="217">
        <f t="shared" si="5"/>
        <v>0.78680000000000005</v>
      </c>
      <c r="L463" s="218"/>
    </row>
    <row r="464" spans="2:12">
      <c r="B464" s="197" t="s">
        <v>1373</v>
      </c>
      <c r="C464" s="189" t="s">
        <v>1333</v>
      </c>
      <c r="D464" s="190" t="s">
        <v>169</v>
      </c>
      <c r="E464" s="199">
        <v>5.62</v>
      </c>
      <c r="F464" s="199">
        <v>0.2</v>
      </c>
      <c r="G464" s="199">
        <v>0.7</v>
      </c>
      <c r="H464" s="199">
        <v>1</v>
      </c>
      <c r="I464" s="199"/>
      <c r="J464" s="219"/>
      <c r="K464" s="217">
        <f t="shared" si="5"/>
        <v>0.78680000000000005</v>
      </c>
      <c r="L464" s="218"/>
    </row>
    <row r="465" spans="2:12">
      <c r="B465" s="197" t="s">
        <v>1374</v>
      </c>
      <c r="C465" s="189" t="s">
        <v>1333</v>
      </c>
      <c r="D465" s="190" t="s">
        <v>169</v>
      </c>
      <c r="E465" s="199">
        <v>2.38</v>
      </c>
      <c r="F465" s="199">
        <v>0.2</v>
      </c>
      <c r="G465" s="199">
        <v>0.7</v>
      </c>
      <c r="H465" s="199">
        <v>1</v>
      </c>
      <c r="I465" s="199"/>
      <c r="J465" s="219"/>
      <c r="K465" s="217">
        <f t="shared" si="5"/>
        <v>0.33319999999999994</v>
      </c>
      <c r="L465" s="218"/>
    </row>
    <row r="466" spans="2:12">
      <c r="B466" s="197" t="s">
        <v>1375</v>
      </c>
      <c r="C466" s="189" t="s">
        <v>1333</v>
      </c>
      <c r="D466" s="190" t="s">
        <v>169</v>
      </c>
      <c r="E466" s="199">
        <v>3.84</v>
      </c>
      <c r="F466" s="199">
        <v>0.2</v>
      </c>
      <c r="G466" s="199">
        <v>0.7</v>
      </c>
      <c r="H466" s="199">
        <v>1</v>
      </c>
      <c r="I466" s="199"/>
      <c r="J466" s="219"/>
      <c r="K466" s="217">
        <f t="shared" si="5"/>
        <v>0.53759999999999997</v>
      </c>
      <c r="L466" s="218"/>
    </row>
    <row r="467" spans="2:12">
      <c r="B467" s="197" t="s">
        <v>1376</v>
      </c>
      <c r="C467" s="189" t="s">
        <v>1333</v>
      </c>
      <c r="D467" s="190" t="s">
        <v>169</v>
      </c>
      <c r="E467" s="199">
        <v>4.4400000000000004</v>
      </c>
      <c r="F467" s="199">
        <v>0.3</v>
      </c>
      <c r="G467" s="199">
        <v>0.7</v>
      </c>
      <c r="H467" s="199">
        <v>1</v>
      </c>
      <c r="I467" s="199"/>
      <c r="J467" s="219"/>
      <c r="K467" s="217">
        <f t="shared" si="5"/>
        <v>0.93240000000000001</v>
      </c>
      <c r="L467" s="218"/>
    </row>
    <row r="468" spans="2:12">
      <c r="B468" s="197" t="s">
        <v>1377</v>
      </c>
      <c r="C468" s="189" t="s">
        <v>1333</v>
      </c>
      <c r="D468" s="190" t="s">
        <v>169</v>
      </c>
      <c r="E468" s="199">
        <f>1.73+0.66</f>
        <v>2.39</v>
      </c>
      <c r="F468" s="199">
        <v>0.7</v>
      </c>
      <c r="G468" s="199">
        <v>0.7</v>
      </c>
      <c r="H468" s="199">
        <v>1</v>
      </c>
      <c r="I468" s="199"/>
      <c r="J468" s="219"/>
      <c r="K468" s="217">
        <f t="shared" si="5"/>
        <v>1.1711</v>
      </c>
      <c r="L468" s="218"/>
    </row>
    <row r="469" spans="2:12">
      <c r="B469" s="197" t="s">
        <v>1378</v>
      </c>
      <c r="C469" s="189" t="s">
        <v>1333</v>
      </c>
      <c r="D469" s="190" t="s">
        <v>169</v>
      </c>
      <c r="E469" s="199">
        <v>1.46</v>
      </c>
      <c r="F469" s="199">
        <v>0.2</v>
      </c>
      <c r="G469" s="199">
        <v>0.7</v>
      </c>
      <c r="H469" s="199">
        <v>1</v>
      </c>
      <c r="I469" s="199"/>
      <c r="J469" s="219"/>
      <c r="K469" s="217">
        <f t="shared" si="5"/>
        <v>0.20439999999999997</v>
      </c>
      <c r="L469" s="218"/>
    </row>
    <row r="470" spans="2:12">
      <c r="B470" s="197" t="s">
        <v>1379</v>
      </c>
      <c r="C470" s="189" t="s">
        <v>1333</v>
      </c>
      <c r="D470" s="190" t="s">
        <v>169</v>
      </c>
      <c r="E470" s="199">
        <v>0.91</v>
      </c>
      <c r="F470" s="199">
        <v>0.2</v>
      </c>
      <c r="G470" s="199">
        <v>0.7</v>
      </c>
      <c r="H470" s="199">
        <v>1</v>
      </c>
      <c r="I470" s="199"/>
      <c r="J470" s="219"/>
      <c r="K470" s="217">
        <f t="shared" si="5"/>
        <v>0.12740000000000001</v>
      </c>
      <c r="L470" s="218"/>
    </row>
    <row r="471" spans="2:12">
      <c r="B471" s="197" t="s">
        <v>1380</v>
      </c>
      <c r="C471" s="189" t="s">
        <v>1333</v>
      </c>
      <c r="D471" s="190" t="s">
        <v>169</v>
      </c>
      <c r="E471" s="199">
        <v>0.97</v>
      </c>
      <c r="F471" s="199">
        <v>0.2</v>
      </c>
      <c r="G471" s="199">
        <v>0.7</v>
      </c>
      <c r="H471" s="199">
        <v>1</v>
      </c>
      <c r="I471" s="199"/>
      <c r="J471" s="219"/>
      <c r="K471" s="217">
        <f t="shared" si="5"/>
        <v>0.1358</v>
      </c>
      <c r="L471" s="218"/>
    </row>
    <row r="472" spans="2:12">
      <c r="B472" s="197" t="s">
        <v>1381</v>
      </c>
      <c r="C472" s="189" t="s">
        <v>1333</v>
      </c>
      <c r="D472" s="190" t="s">
        <v>169</v>
      </c>
      <c r="E472" s="199">
        <v>1.37</v>
      </c>
      <c r="F472" s="199">
        <v>0.2</v>
      </c>
      <c r="G472" s="199">
        <v>0.7</v>
      </c>
      <c r="H472" s="199">
        <v>1</v>
      </c>
      <c r="I472" s="199"/>
      <c r="J472" s="219"/>
      <c r="K472" s="217">
        <f t="shared" si="5"/>
        <v>0.1918</v>
      </c>
      <c r="L472" s="218"/>
    </row>
    <row r="473" spans="2:12">
      <c r="B473" s="197" t="s">
        <v>1449</v>
      </c>
      <c r="C473" s="189" t="s">
        <v>1441</v>
      </c>
      <c r="D473" s="190" t="s">
        <v>169</v>
      </c>
      <c r="E473" s="199">
        <v>10.96</v>
      </c>
      <c r="F473" s="199">
        <v>0.2</v>
      </c>
      <c r="G473" s="199">
        <v>0.7</v>
      </c>
      <c r="H473" s="199">
        <v>1</v>
      </c>
      <c r="I473" s="199"/>
      <c r="J473" s="219"/>
      <c r="K473" s="217">
        <f t="shared" si="5"/>
        <v>1.5344</v>
      </c>
      <c r="L473" s="218"/>
    </row>
    <row r="474" spans="2:12">
      <c r="B474" s="197" t="s">
        <v>1450</v>
      </c>
      <c r="C474" s="189" t="s">
        <v>1441</v>
      </c>
      <c r="D474" s="190" t="s">
        <v>169</v>
      </c>
      <c r="E474" s="199">
        <v>8.35</v>
      </c>
      <c r="F474" s="199">
        <v>0.2</v>
      </c>
      <c r="G474" s="199">
        <v>0.7</v>
      </c>
      <c r="H474" s="199">
        <v>1</v>
      </c>
      <c r="I474" s="199"/>
      <c r="J474" s="219"/>
      <c r="K474" s="217">
        <f t="shared" si="5"/>
        <v>1.1689999999999998</v>
      </c>
      <c r="L474" s="218"/>
    </row>
    <row r="475" spans="2:12">
      <c r="B475" s="197" t="s">
        <v>1451</v>
      </c>
      <c r="C475" s="189" t="s">
        <v>1441</v>
      </c>
      <c r="D475" s="190" t="s">
        <v>169</v>
      </c>
      <c r="E475" s="199">
        <v>6.88</v>
      </c>
      <c r="F475" s="199">
        <v>0.2</v>
      </c>
      <c r="G475" s="199">
        <v>0.7</v>
      </c>
      <c r="H475" s="199">
        <v>1</v>
      </c>
      <c r="I475" s="199"/>
      <c r="J475" s="219"/>
      <c r="K475" s="217">
        <f t="shared" si="5"/>
        <v>0.96320000000000006</v>
      </c>
      <c r="L475" s="218"/>
    </row>
    <row r="476" spans="2:12">
      <c r="B476" s="197" t="s">
        <v>1452</v>
      </c>
      <c r="C476" s="189" t="s">
        <v>1441</v>
      </c>
      <c r="D476" s="190" t="s">
        <v>169</v>
      </c>
      <c r="E476" s="199">
        <v>6.93</v>
      </c>
      <c r="F476" s="199">
        <v>0.2</v>
      </c>
      <c r="G476" s="199">
        <v>0.7</v>
      </c>
      <c r="H476" s="199">
        <v>1</v>
      </c>
      <c r="I476" s="199"/>
      <c r="J476" s="219"/>
      <c r="K476" s="217">
        <f t="shared" si="5"/>
        <v>0.97020000000000006</v>
      </c>
      <c r="L476" s="218"/>
    </row>
    <row r="477" spans="2:12">
      <c r="B477" s="197" t="s">
        <v>1453</v>
      </c>
      <c r="C477" s="189" t="s">
        <v>1441</v>
      </c>
      <c r="D477" s="190" t="s">
        <v>169</v>
      </c>
      <c r="E477" s="199">
        <v>8.01</v>
      </c>
      <c r="F477" s="199">
        <v>0.2</v>
      </c>
      <c r="G477" s="199">
        <v>0.7</v>
      </c>
      <c r="H477" s="199">
        <v>1</v>
      </c>
      <c r="I477" s="199"/>
      <c r="J477" s="219"/>
      <c r="K477" s="217">
        <f t="shared" si="5"/>
        <v>1.1214</v>
      </c>
      <c r="L477" s="218"/>
    </row>
    <row r="478" spans="2:12">
      <c r="B478" s="197" t="s">
        <v>1454</v>
      </c>
      <c r="C478" s="189" t="s">
        <v>1441</v>
      </c>
      <c r="D478" s="190" t="s">
        <v>169</v>
      </c>
      <c r="E478" s="199">
        <v>3.6</v>
      </c>
      <c r="F478" s="199">
        <v>1</v>
      </c>
      <c r="G478" s="199">
        <v>0.6</v>
      </c>
      <c r="H478" s="199">
        <v>1</v>
      </c>
      <c r="I478" s="199">
        <v>1.05185643549158E-5</v>
      </c>
      <c r="J478" s="219"/>
      <c r="K478" s="217">
        <f t="shared" si="5"/>
        <v>2.1600105185643552</v>
      </c>
      <c r="L478" s="218"/>
    </row>
    <row r="479" spans="2:12">
      <c r="B479" s="197" t="s">
        <v>1523</v>
      </c>
      <c r="C479" s="189" t="s">
        <v>1521</v>
      </c>
      <c r="D479" s="190" t="s">
        <v>169</v>
      </c>
      <c r="E479" s="199">
        <v>4.71</v>
      </c>
      <c r="F479" s="199">
        <v>0.25</v>
      </c>
      <c r="G479" s="199">
        <v>1.7</v>
      </c>
      <c r="H479" s="199">
        <v>1</v>
      </c>
      <c r="I479" s="199"/>
      <c r="J479" s="219"/>
      <c r="K479" s="217">
        <f t="shared" si="5"/>
        <v>2.0017499999999999</v>
      </c>
      <c r="L479" s="245" t="s">
        <v>1524</v>
      </c>
    </row>
    <row r="480" spans="2:12">
      <c r="B480" s="197" t="s">
        <v>1525</v>
      </c>
      <c r="C480" s="189" t="s">
        <v>1521</v>
      </c>
      <c r="D480" s="190" t="s">
        <v>169</v>
      </c>
      <c r="E480" s="199">
        <v>4.71</v>
      </c>
      <c r="F480" s="199">
        <v>0.15</v>
      </c>
      <c r="G480" s="199">
        <v>1.7</v>
      </c>
      <c r="H480" s="199">
        <v>1</v>
      </c>
      <c r="I480" s="199"/>
      <c r="J480" s="219"/>
      <c r="K480" s="217">
        <f t="shared" si="5"/>
        <v>1.20105</v>
      </c>
      <c r="L480" s="245" t="s">
        <v>1524</v>
      </c>
    </row>
    <row r="481" spans="2:12">
      <c r="B481" s="197" t="s">
        <v>1526</v>
      </c>
      <c r="C481" s="189" t="s">
        <v>1521</v>
      </c>
      <c r="D481" s="190" t="s">
        <v>169</v>
      </c>
      <c r="E481" s="199">
        <v>2.54</v>
      </c>
      <c r="F481" s="199">
        <v>0.15</v>
      </c>
      <c r="G481" s="199">
        <v>1.7</v>
      </c>
      <c r="H481" s="199">
        <v>1</v>
      </c>
      <c r="I481" s="199"/>
      <c r="J481" s="219"/>
      <c r="K481" s="217">
        <f t="shared" si="5"/>
        <v>0.64769999999999994</v>
      </c>
      <c r="L481" s="245" t="s">
        <v>1524</v>
      </c>
    </row>
    <row r="482" spans="2:12">
      <c r="B482" s="197" t="s">
        <v>1527</v>
      </c>
      <c r="C482" s="189" t="s">
        <v>1521</v>
      </c>
      <c r="D482" s="190" t="s">
        <v>169</v>
      </c>
      <c r="E482" s="199">
        <v>2.2000000000000002</v>
      </c>
      <c r="F482" s="199">
        <v>0.15</v>
      </c>
      <c r="G482" s="199">
        <v>1.7</v>
      </c>
      <c r="H482" s="199">
        <v>1</v>
      </c>
      <c r="I482" s="199"/>
      <c r="J482" s="219"/>
      <c r="K482" s="217">
        <f t="shared" si="5"/>
        <v>0.56100000000000005</v>
      </c>
      <c r="L482" s="245" t="s">
        <v>1524</v>
      </c>
    </row>
    <row r="483" spans="2:12">
      <c r="B483" s="197" t="s">
        <v>1528</v>
      </c>
      <c r="C483" s="189" t="s">
        <v>1521</v>
      </c>
      <c r="D483" s="190" t="s">
        <v>169</v>
      </c>
      <c r="E483" s="199">
        <v>2.2000000000000002</v>
      </c>
      <c r="F483" s="199">
        <v>0.15</v>
      </c>
      <c r="G483" s="199">
        <v>1.7</v>
      </c>
      <c r="H483" s="199">
        <v>1</v>
      </c>
      <c r="I483" s="199"/>
      <c r="J483" s="219"/>
      <c r="K483" s="217">
        <f t="shared" si="5"/>
        <v>0.56100000000000005</v>
      </c>
      <c r="L483" s="245" t="s">
        <v>1524</v>
      </c>
    </row>
    <row r="484" spans="2:12">
      <c r="B484" s="197" t="s">
        <v>1529</v>
      </c>
      <c r="C484" s="189" t="s">
        <v>1521</v>
      </c>
      <c r="D484" s="190" t="s">
        <v>169</v>
      </c>
      <c r="E484" s="199">
        <v>1.24</v>
      </c>
      <c r="F484" s="199">
        <v>0.2</v>
      </c>
      <c r="G484" s="199">
        <v>1.7</v>
      </c>
      <c r="H484" s="199">
        <v>1</v>
      </c>
      <c r="I484" s="199"/>
      <c r="J484" s="219"/>
      <c r="K484" s="217">
        <f t="shared" si="5"/>
        <v>0.42159999999999997</v>
      </c>
      <c r="L484" s="245" t="s">
        <v>1524</v>
      </c>
    </row>
    <row r="485" spans="2:12">
      <c r="B485" s="197" t="s">
        <v>1530</v>
      </c>
      <c r="C485" s="189" t="s">
        <v>1521</v>
      </c>
      <c r="D485" s="190" t="s">
        <v>169</v>
      </c>
      <c r="E485" s="199">
        <v>1.24</v>
      </c>
      <c r="F485" s="199">
        <v>0.2</v>
      </c>
      <c r="G485" s="199">
        <v>1.7</v>
      </c>
      <c r="H485" s="199">
        <v>1</v>
      </c>
      <c r="I485" s="199"/>
      <c r="J485" s="219"/>
      <c r="K485" s="217">
        <f t="shared" si="5"/>
        <v>0.42159999999999997</v>
      </c>
      <c r="L485" s="245" t="s">
        <v>1524</v>
      </c>
    </row>
    <row r="486" spans="2:12">
      <c r="B486" s="197"/>
      <c r="C486" s="189"/>
      <c r="D486" s="198"/>
      <c r="E486" s="199"/>
      <c r="F486" s="199"/>
      <c r="G486" s="199"/>
      <c r="H486" s="199"/>
      <c r="I486" s="199"/>
      <c r="J486" s="219"/>
      <c r="K486" s="217">
        <f t="shared" si="5"/>
        <v>0</v>
      </c>
      <c r="L486" s="218"/>
    </row>
    <row r="487" spans="2:12">
      <c r="B487" s="202"/>
      <c r="C487" s="203"/>
      <c r="D487" s="203"/>
      <c r="E487" s="203"/>
      <c r="F487" s="203"/>
      <c r="G487" s="203"/>
      <c r="H487" s="204"/>
      <c r="I487" s="556" t="s">
        <v>1221</v>
      </c>
      <c r="J487" s="556"/>
      <c r="K487" s="220">
        <f>SUM(K452:K486)</f>
        <v>29.263410518564356</v>
      </c>
      <c r="L487" s="207"/>
    </row>
    <row r="488" spans="2:12">
      <c r="B488" s="208"/>
      <c r="C488" s="204"/>
      <c r="D488" s="204"/>
      <c r="E488" s="204"/>
      <c r="F488" s="204"/>
      <c r="G488" s="204"/>
      <c r="H488" s="209"/>
      <c r="I488" s="557" t="s">
        <v>1222</v>
      </c>
      <c r="J488" s="557"/>
      <c r="K488" s="221">
        <v>22.99</v>
      </c>
      <c r="L488" s="207"/>
    </row>
    <row r="489" spans="2:12">
      <c r="B489" s="208"/>
      <c r="C489" s="204"/>
      <c r="D489" s="204"/>
      <c r="E489" s="204"/>
      <c r="F489" s="204"/>
      <c r="G489" s="204"/>
      <c r="H489" s="558" t="s">
        <v>1223</v>
      </c>
      <c r="I489" s="558"/>
      <c r="J489" s="558"/>
      <c r="K489" s="222">
        <v>22.9900105185644</v>
      </c>
      <c r="L489" s="207"/>
    </row>
    <row r="490" spans="2:12">
      <c r="B490" s="208"/>
      <c r="C490" s="204"/>
      <c r="D490" s="204"/>
      <c r="E490" s="204"/>
      <c r="F490" s="204"/>
      <c r="G490" s="204"/>
      <c r="H490" s="558" t="s">
        <v>1435</v>
      </c>
      <c r="I490" s="558"/>
      <c r="J490" s="558"/>
      <c r="K490" s="222">
        <f>IF(K487&gt;K488,K488,K487)-K489+0.0000105185643549158</f>
        <v>-4.6791153715313935E-14</v>
      </c>
      <c r="L490" s="207"/>
    </row>
    <row r="491" spans="2:12">
      <c r="B491" s="213"/>
      <c r="C491" s="214"/>
      <c r="D491" s="214"/>
      <c r="E491" s="214"/>
      <c r="F491" s="214"/>
      <c r="G491" s="214"/>
      <c r="H491" s="559" t="s">
        <v>1224</v>
      </c>
      <c r="I491" s="559"/>
      <c r="J491" s="559"/>
      <c r="K491" s="223">
        <f>IF(K487&gt;K488,K487-K488,0)</f>
        <v>6.2734105185643578</v>
      </c>
      <c r="L491" s="209"/>
    </row>
    <row r="493" spans="2:12">
      <c r="B493" s="247" t="s">
        <v>195</v>
      </c>
      <c r="C493" s="565" t="str">
        <f>VLOOKUP(B493,'BM 004'!$B$27:$R$590,2,0)</f>
        <v xml:space="preserve">Fabricação, montagem e desmontagem de fôrma de viga, escoramento metálico, pé-direito duplo, em chapa de madeira resinada, 8 utilizações. </v>
      </c>
      <c r="D493" s="565"/>
      <c r="E493" s="565"/>
      <c r="F493" s="565"/>
      <c r="G493" s="565"/>
      <c r="H493" s="565"/>
      <c r="I493" s="565"/>
      <c r="J493" s="565"/>
      <c r="K493" s="565"/>
      <c r="L493" s="565"/>
    </row>
    <row r="494" spans="2:12">
      <c r="B494" s="248" t="s">
        <v>1209</v>
      </c>
      <c r="C494" s="248"/>
      <c r="D494" s="248" t="s">
        <v>39</v>
      </c>
      <c r="E494" s="248" t="s">
        <v>1210</v>
      </c>
      <c r="F494" s="248" t="s">
        <v>1388</v>
      </c>
      <c r="G494" s="248" t="s">
        <v>1212</v>
      </c>
      <c r="H494" s="248" t="s">
        <v>1455</v>
      </c>
      <c r="I494" s="248" t="s">
        <v>1214</v>
      </c>
      <c r="J494" s="248" t="s">
        <v>1385</v>
      </c>
      <c r="K494" s="248" t="s">
        <v>1216</v>
      </c>
      <c r="L494" s="248" t="s">
        <v>1217</v>
      </c>
    </row>
    <row r="495" spans="2:12">
      <c r="B495" s="249" t="s">
        <v>1456</v>
      </c>
      <c r="C495" s="250" t="s">
        <v>1441</v>
      </c>
      <c r="D495" s="205" t="s">
        <v>79</v>
      </c>
      <c r="E495" s="199">
        <v>0.64</v>
      </c>
      <c r="F495" s="199">
        <v>0.15</v>
      </c>
      <c r="G495" s="199">
        <v>1</v>
      </c>
      <c r="H495" s="199"/>
      <c r="I495" s="199">
        <f t="shared" ref="I495:I526" si="6">E495*(2*G495+F495)</f>
        <v>1.3759999999999999</v>
      </c>
      <c r="J495" s="219">
        <f t="shared" ref="J495:J526" si="7">E495*F495*G495</f>
        <v>9.6000000000000002E-2</v>
      </c>
      <c r="K495" s="220">
        <f t="shared" ref="K495:K526" si="8">IF(E495*F495*G495&lt;&gt;0,E495*F495*G495,IF(E495*F495&lt;&gt;0,E495*F495,IF(F495*G495&lt;&gt;0,F495*G495,IF(E495*G495&lt;&gt;0,E495*G495,IF(E495&lt;&gt;0,E495,IF(F495&lt;&gt;0,F495,IF(G495&lt;&gt;0,G495,0)))))))*(IF(H495&lt;&gt;0,H495,1))+I495-J495</f>
        <v>1.3759999999999999</v>
      </c>
      <c r="L495" s="255"/>
    </row>
    <row r="496" spans="2:12">
      <c r="B496" s="249" t="s">
        <v>1457</v>
      </c>
      <c r="C496" s="250" t="s">
        <v>1441</v>
      </c>
      <c r="D496" s="205" t="s">
        <v>79</v>
      </c>
      <c r="E496" s="199">
        <v>7.2</v>
      </c>
      <c r="F496" s="199">
        <v>0.15</v>
      </c>
      <c r="G496" s="199">
        <v>0.7</v>
      </c>
      <c r="H496" s="199"/>
      <c r="I496" s="199">
        <f t="shared" si="6"/>
        <v>11.159999999999998</v>
      </c>
      <c r="J496" s="219">
        <f t="shared" si="7"/>
        <v>0.75600000000000001</v>
      </c>
      <c r="K496" s="220">
        <f t="shared" si="8"/>
        <v>11.159999999999998</v>
      </c>
      <c r="L496" s="255"/>
    </row>
    <row r="497" spans="2:12">
      <c r="B497" s="249" t="s">
        <v>1458</v>
      </c>
      <c r="C497" s="250" t="s">
        <v>1441</v>
      </c>
      <c r="D497" s="205" t="s">
        <v>79</v>
      </c>
      <c r="E497" s="199">
        <v>13.07</v>
      </c>
      <c r="F497" s="199">
        <v>0.15</v>
      </c>
      <c r="G497" s="199">
        <v>0.7</v>
      </c>
      <c r="H497" s="199"/>
      <c r="I497" s="199">
        <f t="shared" si="6"/>
        <v>20.258499999999998</v>
      </c>
      <c r="J497" s="219">
        <f t="shared" si="7"/>
        <v>1.37235</v>
      </c>
      <c r="K497" s="220">
        <f t="shared" si="8"/>
        <v>20.258499999999998</v>
      </c>
      <c r="L497" s="255"/>
    </row>
    <row r="498" spans="2:12">
      <c r="B498" s="249" t="s">
        <v>1459</v>
      </c>
      <c r="C498" s="250" t="s">
        <v>1441</v>
      </c>
      <c r="D498" s="205" t="s">
        <v>79</v>
      </c>
      <c r="E498" s="199">
        <v>0.94</v>
      </c>
      <c r="F498" s="199">
        <v>0.2</v>
      </c>
      <c r="G498" s="199">
        <v>0.6</v>
      </c>
      <c r="H498" s="199"/>
      <c r="I498" s="199">
        <f t="shared" si="6"/>
        <v>1.3159999999999998</v>
      </c>
      <c r="J498" s="219">
        <f t="shared" si="7"/>
        <v>0.1128</v>
      </c>
      <c r="K498" s="220">
        <f t="shared" si="8"/>
        <v>1.3159999999999998</v>
      </c>
      <c r="L498" s="255"/>
    </row>
    <row r="499" spans="2:12">
      <c r="B499" s="249" t="s">
        <v>1460</v>
      </c>
      <c r="C499" s="250" t="s">
        <v>1441</v>
      </c>
      <c r="D499" s="205" t="s">
        <v>79</v>
      </c>
      <c r="E499" s="199">
        <v>6.7</v>
      </c>
      <c r="F499" s="199">
        <v>0.2</v>
      </c>
      <c r="G499" s="199">
        <v>0.6</v>
      </c>
      <c r="H499" s="199"/>
      <c r="I499" s="199">
        <f t="shared" si="6"/>
        <v>9.379999999999999</v>
      </c>
      <c r="J499" s="219">
        <f t="shared" si="7"/>
        <v>0.80400000000000005</v>
      </c>
      <c r="K499" s="220">
        <f t="shared" si="8"/>
        <v>9.379999999999999</v>
      </c>
      <c r="L499" s="255"/>
    </row>
    <row r="500" spans="2:12">
      <c r="B500" s="249" t="s">
        <v>1460</v>
      </c>
      <c r="C500" s="250" t="s">
        <v>1441</v>
      </c>
      <c r="D500" s="205" t="s">
        <v>79</v>
      </c>
      <c r="E500" s="199">
        <v>14.04</v>
      </c>
      <c r="F500" s="199">
        <v>0.2</v>
      </c>
      <c r="G500" s="199">
        <v>1.2</v>
      </c>
      <c r="H500" s="199"/>
      <c r="I500" s="199">
        <f t="shared" si="6"/>
        <v>36.503999999999998</v>
      </c>
      <c r="J500" s="219">
        <f t="shared" si="7"/>
        <v>3.3695999999999997</v>
      </c>
      <c r="K500" s="220">
        <f t="shared" si="8"/>
        <v>36.503999999999998</v>
      </c>
      <c r="L500" s="255"/>
    </row>
    <row r="501" spans="2:12">
      <c r="B501" s="249" t="s">
        <v>1461</v>
      </c>
      <c r="C501" s="250" t="s">
        <v>1441</v>
      </c>
      <c r="D501" s="205" t="s">
        <v>79</v>
      </c>
      <c r="E501" s="199">
        <v>7.64</v>
      </c>
      <c r="F501" s="199">
        <v>0.15</v>
      </c>
      <c r="G501" s="199">
        <v>0.8</v>
      </c>
      <c r="H501" s="199"/>
      <c r="I501" s="199">
        <f t="shared" si="6"/>
        <v>13.37</v>
      </c>
      <c r="J501" s="219">
        <f t="shared" si="7"/>
        <v>0.91679999999999995</v>
      </c>
      <c r="K501" s="220">
        <f t="shared" si="8"/>
        <v>13.37</v>
      </c>
      <c r="L501" s="255"/>
    </row>
    <row r="502" spans="2:12">
      <c r="B502" s="249" t="s">
        <v>1461</v>
      </c>
      <c r="C502" s="250" t="s">
        <v>1441</v>
      </c>
      <c r="D502" s="205" t="s">
        <v>79</v>
      </c>
      <c r="E502" s="199">
        <v>20.96</v>
      </c>
      <c r="F502" s="199">
        <v>0.15</v>
      </c>
      <c r="G502" s="199">
        <v>1.2</v>
      </c>
      <c r="H502" s="199"/>
      <c r="I502" s="199">
        <f t="shared" si="6"/>
        <v>53.448</v>
      </c>
      <c r="J502" s="219">
        <f t="shared" si="7"/>
        <v>3.7728000000000002</v>
      </c>
      <c r="K502" s="220">
        <f t="shared" si="8"/>
        <v>53.447999999999993</v>
      </c>
      <c r="L502" s="255"/>
    </row>
    <row r="503" spans="2:12">
      <c r="B503" s="249" t="s">
        <v>1462</v>
      </c>
      <c r="C503" s="250" t="s">
        <v>1441</v>
      </c>
      <c r="D503" s="205" t="s">
        <v>79</v>
      </c>
      <c r="E503" s="199">
        <v>22.34</v>
      </c>
      <c r="F503" s="199">
        <v>0.2</v>
      </c>
      <c r="G503" s="199">
        <v>0.6</v>
      </c>
      <c r="H503" s="199"/>
      <c r="I503" s="199">
        <f t="shared" si="6"/>
        <v>31.275999999999996</v>
      </c>
      <c r="J503" s="219">
        <f t="shared" si="7"/>
        <v>2.6808000000000001</v>
      </c>
      <c r="K503" s="220">
        <f t="shared" si="8"/>
        <v>31.275999999999993</v>
      </c>
      <c r="L503" s="255"/>
    </row>
    <row r="504" spans="2:12">
      <c r="B504" s="249" t="s">
        <v>1463</v>
      </c>
      <c r="C504" s="250" t="s">
        <v>1441</v>
      </c>
      <c r="D504" s="205" t="s">
        <v>79</v>
      </c>
      <c r="E504" s="199">
        <v>5.72</v>
      </c>
      <c r="F504" s="199">
        <v>0.15</v>
      </c>
      <c r="G504" s="199">
        <v>0.6</v>
      </c>
      <c r="H504" s="199"/>
      <c r="I504" s="199">
        <f t="shared" si="6"/>
        <v>7.7219999999999986</v>
      </c>
      <c r="J504" s="219">
        <f t="shared" si="7"/>
        <v>0.51479999999999992</v>
      </c>
      <c r="K504" s="220">
        <f t="shared" si="8"/>
        <v>7.7219999999999986</v>
      </c>
      <c r="L504" s="255"/>
    </row>
    <row r="505" spans="2:12">
      <c r="B505" s="249" t="s">
        <v>1464</v>
      </c>
      <c r="C505" s="250" t="s">
        <v>1441</v>
      </c>
      <c r="D505" s="205" t="s">
        <v>79</v>
      </c>
      <c r="E505" s="199">
        <v>22.34</v>
      </c>
      <c r="F505" s="199">
        <v>0.2</v>
      </c>
      <c r="G505" s="199">
        <v>0.6</v>
      </c>
      <c r="H505" s="199"/>
      <c r="I505" s="199">
        <f t="shared" si="6"/>
        <v>31.275999999999996</v>
      </c>
      <c r="J505" s="219">
        <f t="shared" si="7"/>
        <v>2.6808000000000001</v>
      </c>
      <c r="K505" s="220">
        <f t="shared" si="8"/>
        <v>31.275999999999993</v>
      </c>
      <c r="L505" s="255"/>
    </row>
    <row r="506" spans="2:12">
      <c r="B506" s="249" t="s">
        <v>1465</v>
      </c>
      <c r="C506" s="250" t="s">
        <v>1441</v>
      </c>
      <c r="D506" s="205" t="s">
        <v>79</v>
      </c>
      <c r="E506" s="199">
        <v>4.42</v>
      </c>
      <c r="F506" s="199">
        <v>0.2</v>
      </c>
      <c r="G506" s="199">
        <v>0.6</v>
      </c>
      <c r="H506" s="199"/>
      <c r="I506" s="199">
        <f t="shared" si="6"/>
        <v>6.1879999999999997</v>
      </c>
      <c r="J506" s="219">
        <f t="shared" si="7"/>
        <v>0.53039999999999998</v>
      </c>
      <c r="K506" s="220">
        <f t="shared" si="8"/>
        <v>6.1879999999999997</v>
      </c>
      <c r="L506" s="255"/>
    </row>
    <row r="507" spans="2:12">
      <c r="B507" s="249" t="s">
        <v>1466</v>
      </c>
      <c r="C507" s="250" t="s">
        <v>1441</v>
      </c>
      <c r="D507" s="205" t="s">
        <v>79</v>
      </c>
      <c r="E507" s="199">
        <v>28.84</v>
      </c>
      <c r="F507" s="199">
        <v>0.2</v>
      </c>
      <c r="G507" s="199">
        <v>0.6</v>
      </c>
      <c r="H507" s="199"/>
      <c r="I507" s="199">
        <f t="shared" si="6"/>
        <v>40.375999999999998</v>
      </c>
      <c r="J507" s="219">
        <f t="shared" si="7"/>
        <v>3.4608000000000003</v>
      </c>
      <c r="K507" s="220">
        <f t="shared" si="8"/>
        <v>40.375999999999998</v>
      </c>
      <c r="L507" s="255"/>
    </row>
    <row r="508" spans="2:12">
      <c r="B508" s="249" t="s">
        <v>1467</v>
      </c>
      <c r="C508" s="250" t="s">
        <v>1441</v>
      </c>
      <c r="D508" s="205" t="s">
        <v>79</v>
      </c>
      <c r="E508" s="199">
        <v>24.09</v>
      </c>
      <c r="F508" s="199">
        <v>0.15</v>
      </c>
      <c r="G508" s="199">
        <v>1</v>
      </c>
      <c r="H508" s="199"/>
      <c r="I508" s="199">
        <f t="shared" si="6"/>
        <v>51.793499999999995</v>
      </c>
      <c r="J508" s="219">
        <f t="shared" si="7"/>
        <v>3.6134999999999997</v>
      </c>
      <c r="K508" s="220">
        <f t="shared" si="8"/>
        <v>51.793499999999995</v>
      </c>
      <c r="L508" s="255"/>
    </row>
    <row r="509" spans="2:12">
      <c r="B509" s="249" t="s">
        <v>1468</v>
      </c>
      <c r="C509" s="250" t="s">
        <v>1441</v>
      </c>
      <c r="D509" s="205" t="s">
        <v>79</v>
      </c>
      <c r="E509" s="199">
        <v>9.8800000000000008</v>
      </c>
      <c r="F509" s="199">
        <v>0.15</v>
      </c>
      <c r="G509" s="199">
        <v>0.6</v>
      </c>
      <c r="H509" s="199"/>
      <c r="I509" s="199">
        <f t="shared" si="6"/>
        <v>13.337999999999999</v>
      </c>
      <c r="J509" s="219">
        <f t="shared" si="7"/>
        <v>0.88919999999999999</v>
      </c>
      <c r="K509" s="220">
        <f t="shared" si="8"/>
        <v>13.337999999999999</v>
      </c>
      <c r="L509" s="255"/>
    </row>
    <row r="510" spans="2:12">
      <c r="B510" s="249" t="s">
        <v>1469</v>
      </c>
      <c r="C510" s="250" t="s">
        <v>1441</v>
      </c>
      <c r="D510" s="205" t="s">
        <v>79</v>
      </c>
      <c r="E510" s="199">
        <v>12</v>
      </c>
      <c r="F510" s="199">
        <v>0.2</v>
      </c>
      <c r="G510" s="199">
        <v>0.6</v>
      </c>
      <c r="H510" s="199"/>
      <c r="I510" s="199">
        <f t="shared" si="6"/>
        <v>16.799999999999997</v>
      </c>
      <c r="J510" s="219">
        <f t="shared" si="7"/>
        <v>1.4400000000000002</v>
      </c>
      <c r="K510" s="220">
        <f t="shared" si="8"/>
        <v>16.799999999999997</v>
      </c>
      <c r="L510" s="255"/>
    </row>
    <row r="511" spans="2:12">
      <c r="B511" s="249" t="s">
        <v>1470</v>
      </c>
      <c r="C511" s="250" t="s">
        <v>1441</v>
      </c>
      <c r="D511" s="205" t="s">
        <v>79</v>
      </c>
      <c r="E511" s="199">
        <v>1.81</v>
      </c>
      <c r="F511" s="199">
        <v>0.2</v>
      </c>
      <c r="G511" s="199">
        <v>0.8</v>
      </c>
      <c r="H511" s="199"/>
      <c r="I511" s="199">
        <f t="shared" si="6"/>
        <v>3.258</v>
      </c>
      <c r="J511" s="219">
        <f t="shared" si="7"/>
        <v>0.28960000000000002</v>
      </c>
      <c r="K511" s="220">
        <f t="shared" si="8"/>
        <v>3.258</v>
      </c>
      <c r="L511" s="255"/>
    </row>
    <row r="512" spans="2:12">
      <c r="B512" s="249" t="s">
        <v>1471</v>
      </c>
      <c r="C512" s="250" t="s">
        <v>1441</v>
      </c>
      <c r="D512" s="205" t="s">
        <v>79</v>
      </c>
      <c r="E512" s="199">
        <v>5.92</v>
      </c>
      <c r="F512" s="199">
        <v>0.15</v>
      </c>
      <c r="G512" s="199">
        <v>1.2</v>
      </c>
      <c r="H512" s="199"/>
      <c r="I512" s="199">
        <f t="shared" si="6"/>
        <v>15.095999999999998</v>
      </c>
      <c r="J512" s="219">
        <f t="shared" si="7"/>
        <v>1.0655999999999999</v>
      </c>
      <c r="K512" s="220">
        <f t="shared" si="8"/>
        <v>15.096</v>
      </c>
      <c r="L512" s="255"/>
    </row>
    <row r="513" spans="2:12">
      <c r="B513" s="249" t="s">
        <v>1472</v>
      </c>
      <c r="C513" s="250" t="s">
        <v>1441</v>
      </c>
      <c r="D513" s="205" t="s">
        <v>79</v>
      </c>
      <c r="E513" s="199">
        <v>12.49</v>
      </c>
      <c r="F513" s="199">
        <v>0.15</v>
      </c>
      <c r="G513" s="199">
        <v>1</v>
      </c>
      <c r="H513" s="199"/>
      <c r="I513" s="199">
        <f t="shared" si="6"/>
        <v>26.8535</v>
      </c>
      <c r="J513" s="219">
        <f t="shared" si="7"/>
        <v>1.8734999999999999</v>
      </c>
      <c r="K513" s="220">
        <f t="shared" si="8"/>
        <v>26.8535</v>
      </c>
      <c r="L513" s="255"/>
    </row>
    <row r="514" spans="2:12">
      <c r="B514" s="249" t="s">
        <v>1472</v>
      </c>
      <c r="C514" s="250" t="s">
        <v>1441</v>
      </c>
      <c r="D514" s="205" t="s">
        <v>79</v>
      </c>
      <c r="E514" s="199">
        <v>6</v>
      </c>
      <c r="F514" s="199">
        <v>0.15</v>
      </c>
      <c r="G514" s="199">
        <v>1.2</v>
      </c>
      <c r="H514" s="199"/>
      <c r="I514" s="199">
        <f t="shared" si="6"/>
        <v>15.299999999999999</v>
      </c>
      <c r="J514" s="219">
        <f t="shared" si="7"/>
        <v>1.0799999999999998</v>
      </c>
      <c r="K514" s="220">
        <f t="shared" si="8"/>
        <v>15.299999999999999</v>
      </c>
      <c r="L514" s="255"/>
    </row>
    <row r="515" spans="2:12">
      <c r="B515" s="249" t="s">
        <v>1473</v>
      </c>
      <c r="C515" s="250" t="s">
        <v>1441</v>
      </c>
      <c r="D515" s="205" t="s">
        <v>79</v>
      </c>
      <c r="E515" s="199">
        <v>4.83</v>
      </c>
      <c r="F515" s="199">
        <v>0.15</v>
      </c>
      <c r="G515" s="199">
        <v>0.6</v>
      </c>
      <c r="H515" s="199"/>
      <c r="I515" s="199">
        <f t="shared" si="6"/>
        <v>6.5204999999999993</v>
      </c>
      <c r="J515" s="219">
        <f t="shared" si="7"/>
        <v>0.43470000000000003</v>
      </c>
      <c r="K515" s="220">
        <f t="shared" si="8"/>
        <v>6.5204999999999993</v>
      </c>
      <c r="L515" s="255"/>
    </row>
    <row r="516" spans="2:12">
      <c r="B516" s="249" t="s">
        <v>1474</v>
      </c>
      <c r="C516" s="250" t="s">
        <v>1441</v>
      </c>
      <c r="D516" s="205" t="s">
        <v>79</v>
      </c>
      <c r="E516" s="199">
        <v>13.85</v>
      </c>
      <c r="F516" s="199">
        <v>0.15</v>
      </c>
      <c r="G516" s="199">
        <v>0.7</v>
      </c>
      <c r="H516" s="199"/>
      <c r="I516" s="199">
        <f t="shared" si="6"/>
        <v>21.467499999999998</v>
      </c>
      <c r="J516" s="219">
        <f t="shared" si="7"/>
        <v>1.4542499999999996</v>
      </c>
      <c r="K516" s="220">
        <f t="shared" si="8"/>
        <v>21.467499999999998</v>
      </c>
      <c r="L516" s="255"/>
    </row>
    <row r="517" spans="2:12">
      <c r="B517" s="249" t="s">
        <v>1531</v>
      </c>
      <c r="C517" s="250" t="s">
        <v>1521</v>
      </c>
      <c r="D517" s="205" t="s">
        <v>79</v>
      </c>
      <c r="E517" s="199">
        <v>12.69</v>
      </c>
      <c r="F517" s="199">
        <v>0.15</v>
      </c>
      <c r="G517" s="199">
        <v>0.6</v>
      </c>
      <c r="H517" s="199"/>
      <c r="I517" s="199">
        <f t="shared" si="6"/>
        <v>17.131499999999999</v>
      </c>
      <c r="J517" s="219">
        <f t="shared" si="7"/>
        <v>1.1420999999999999</v>
      </c>
      <c r="K517" s="220">
        <f t="shared" si="8"/>
        <v>17.131499999999999</v>
      </c>
      <c r="L517" s="255"/>
    </row>
    <row r="518" spans="2:12">
      <c r="B518" s="249" t="s">
        <v>1532</v>
      </c>
      <c r="C518" s="250" t="s">
        <v>1521</v>
      </c>
      <c r="D518" s="205" t="s">
        <v>79</v>
      </c>
      <c r="E518" s="199">
        <v>1.83</v>
      </c>
      <c r="F518" s="199">
        <v>0.15</v>
      </c>
      <c r="G518" s="199">
        <v>0.6</v>
      </c>
      <c r="H518" s="199"/>
      <c r="I518" s="199">
        <f t="shared" si="6"/>
        <v>2.4704999999999999</v>
      </c>
      <c r="J518" s="219">
        <f t="shared" si="7"/>
        <v>0.16470000000000001</v>
      </c>
      <c r="K518" s="220">
        <f t="shared" si="8"/>
        <v>2.4704999999999999</v>
      </c>
      <c r="L518" s="255"/>
    </row>
    <row r="519" spans="2:12">
      <c r="B519" s="249" t="s">
        <v>1533</v>
      </c>
      <c r="C519" s="250" t="s">
        <v>1521</v>
      </c>
      <c r="D519" s="205" t="s">
        <v>79</v>
      </c>
      <c r="E519" s="199">
        <v>8.27</v>
      </c>
      <c r="F519" s="199">
        <v>0.15</v>
      </c>
      <c r="G519" s="199">
        <v>0.6</v>
      </c>
      <c r="H519" s="199"/>
      <c r="I519" s="199">
        <f t="shared" si="6"/>
        <v>11.164499999999999</v>
      </c>
      <c r="J519" s="219">
        <f t="shared" si="7"/>
        <v>0.74429999999999996</v>
      </c>
      <c r="K519" s="220">
        <f t="shared" si="8"/>
        <v>11.1645</v>
      </c>
      <c r="L519" s="255"/>
    </row>
    <row r="520" spans="2:12">
      <c r="B520" s="249" t="s">
        <v>1534</v>
      </c>
      <c r="C520" s="250" t="s">
        <v>1521</v>
      </c>
      <c r="D520" s="205" t="s">
        <v>79</v>
      </c>
      <c r="E520" s="199">
        <v>28.74</v>
      </c>
      <c r="F520" s="199">
        <v>0.15</v>
      </c>
      <c r="G520" s="199">
        <v>1</v>
      </c>
      <c r="H520" s="199"/>
      <c r="I520" s="199">
        <f t="shared" si="6"/>
        <v>61.790999999999997</v>
      </c>
      <c r="J520" s="219">
        <f t="shared" si="7"/>
        <v>4.3109999999999999</v>
      </c>
      <c r="K520" s="220">
        <f t="shared" si="8"/>
        <v>61.791000000000004</v>
      </c>
      <c r="L520" s="255"/>
    </row>
    <row r="521" spans="2:12">
      <c r="B521" s="249" t="s">
        <v>1535</v>
      </c>
      <c r="C521" s="250" t="s">
        <v>1521</v>
      </c>
      <c r="D521" s="205" t="s">
        <v>79</v>
      </c>
      <c r="E521" s="199">
        <v>28.53</v>
      </c>
      <c r="F521" s="199">
        <v>0.2</v>
      </c>
      <c r="G521" s="199">
        <v>0.6</v>
      </c>
      <c r="H521" s="199"/>
      <c r="I521" s="199">
        <f t="shared" si="6"/>
        <v>39.942</v>
      </c>
      <c r="J521" s="219">
        <f t="shared" si="7"/>
        <v>3.4236</v>
      </c>
      <c r="K521" s="220">
        <f t="shared" si="8"/>
        <v>39.942</v>
      </c>
      <c r="L521" s="255"/>
    </row>
    <row r="522" spans="2:12">
      <c r="B522" s="249" t="s">
        <v>1536</v>
      </c>
      <c r="C522" s="250" t="s">
        <v>1521</v>
      </c>
      <c r="D522" s="205" t="s">
        <v>79</v>
      </c>
      <c r="E522" s="199">
        <v>6.34</v>
      </c>
      <c r="F522" s="199">
        <v>0.15</v>
      </c>
      <c r="G522" s="199">
        <v>0.6</v>
      </c>
      <c r="H522" s="199"/>
      <c r="I522" s="199">
        <f t="shared" si="6"/>
        <v>8.5589999999999993</v>
      </c>
      <c r="J522" s="219">
        <f t="shared" si="7"/>
        <v>0.5706</v>
      </c>
      <c r="K522" s="220">
        <f t="shared" si="8"/>
        <v>8.5589999999999993</v>
      </c>
      <c r="L522" s="255"/>
    </row>
    <row r="523" spans="2:12">
      <c r="B523" s="249" t="s">
        <v>1537</v>
      </c>
      <c r="C523" s="250" t="s">
        <v>1521</v>
      </c>
      <c r="D523" s="205" t="s">
        <v>79</v>
      </c>
      <c r="E523" s="199">
        <v>21.99</v>
      </c>
      <c r="F523" s="199">
        <v>0.2</v>
      </c>
      <c r="G523" s="199">
        <v>0.6</v>
      </c>
      <c r="H523" s="199"/>
      <c r="I523" s="199">
        <f t="shared" si="6"/>
        <v>30.785999999999994</v>
      </c>
      <c r="J523" s="219">
        <f t="shared" si="7"/>
        <v>2.6387999999999998</v>
      </c>
      <c r="K523" s="220">
        <f t="shared" si="8"/>
        <v>30.785999999999991</v>
      </c>
      <c r="L523" s="255"/>
    </row>
    <row r="524" spans="2:12">
      <c r="B524" s="249" t="s">
        <v>1538</v>
      </c>
      <c r="C524" s="250" t="s">
        <v>1521</v>
      </c>
      <c r="D524" s="205" t="s">
        <v>79</v>
      </c>
      <c r="E524" s="199">
        <v>21.99</v>
      </c>
      <c r="F524" s="199">
        <v>0.2</v>
      </c>
      <c r="G524" s="199">
        <v>0.6</v>
      </c>
      <c r="H524" s="199"/>
      <c r="I524" s="199">
        <f t="shared" si="6"/>
        <v>30.785999999999994</v>
      </c>
      <c r="J524" s="219">
        <f t="shared" si="7"/>
        <v>2.6387999999999998</v>
      </c>
      <c r="K524" s="220">
        <f t="shared" si="8"/>
        <v>30.785999999999991</v>
      </c>
      <c r="L524" s="255"/>
    </row>
    <row r="525" spans="2:12">
      <c r="B525" s="249" t="s">
        <v>1539</v>
      </c>
      <c r="C525" s="250" t="s">
        <v>1521</v>
      </c>
      <c r="D525" s="205" t="s">
        <v>79</v>
      </c>
      <c r="E525" s="199">
        <v>3.45</v>
      </c>
      <c r="F525" s="199">
        <v>0.2</v>
      </c>
      <c r="G525" s="199">
        <v>0.6</v>
      </c>
      <c r="H525" s="199"/>
      <c r="I525" s="199">
        <f t="shared" si="6"/>
        <v>4.83</v>
      </c>
      <c r="J525" s="219">
        <f t="shared" si="7"/>
        <v>0.41400000000000003</v>
      </c>
      <c r="K525" s="220">
        <f t="shared" si="8"/>
        <v>4.83</v>
      </c>
      <c r="L525" s="255"/>
    </row>
    <row r="526" spans="2:12">
      <c r="B526" s="249" t="s">
        <v>1540</v>
      </c>
      <c r="C526" s="250" t="s">
        <v>1521</v>
      </c>
      <c r="D526" s="205" t="s">
        <v>79</v>
      </c>
      <c r="E526" s="199">
        <v>28.53</v>
      </c>
      <c r="F526" s="199">
        <v>0.2</v>
      </c>
      <c r="G526" s="199">
        <v>0.6</v>
      </c>
      <c r="H526" s="199"/>
      <c r="I526" s="199">
        <f t="shared" si="6"/>
        <v>39.942</v>
      </c>
      <c r="J526" s="219">
        <f t="shared" si="7"/>
        <v>3.4236</v>
      </c>
      <c r="K526" s="220">
        <f t="shared" si="8"/>
        <v>39.942</v>
      </c>
      <c r="L526" s="255"/>
    </row>
    <row r="527" spans="2:12">
      <c r="B527" s="249" t="s">
        <v>1541</v>
      </c>
      <c r="C527" s="250" t="s">
        <v>1521</v>
      </c>
      <c r="D527" s="205" t="s">
        <v>79</v>
      </c>
      <c r="E527" s="199">
        <v>24.09</v>
      </c>
      <c r="F527" s="199">
        <v>0.15</v>
      </c>
      <c r="G527" s="199">
        <v>1</v>
      </c>
      <c r="H527" s="199"/>
      <c r="I527" s="199">
        <f t="shared" ref="I527:I545" si="9">E527*(2*G527+F527)</f>
        <v>51.793499999999995</v>
      </c>
      <c r="J527" s="219">
        <f t="shared" ref="J527:J545" si="10">E527*F527*G527</f>
        <v>3.6134999999999997</v>
      </c>
      <c r="K527" s="220">
        <f t="shared" ref="K527:K546" si="11">IF(E527*F527*G527&lt;&gt;0,E527*F527*G527,IF(E527*F527&lt;&gt;0,E527*F527,IF(F527*G527&lt;&gt;0,F527*G527,IF(E527*G527&lt;&gt;0,E527*G527,IF(E527&lt;&gt;0,E527,IF(F527&lt;&gt;0,F527,IF(G527&lt;&gt;0,G527,0)))))))*(IF(H527&lt;&gt;0,H527,1))+I527-J527</f>
        <v>51.793499999999995</v>
      </c>
      <c r="L527" s="255"/>
    </row>
    <row r="528" spans="2:12">
      <c r="B528" s="249" t="s">
        <v>1541</v>
      </c>
      <c r="C528" s="250" t="s">
        <v>1521</v>
      </c>
      <c r="D528" s="205" t="s">
        <v>79</v>
      </c>
      <c r="E528" s="199">
        <v>0.48</v>
      </c>
      <c r="F528" s="199">
        <v>0.15</v>
      </c>
      <c r="G528" s="199">
        <v>0.6</v>
      </c>
      <c r="H528" s="199"/>
      <c r="I528" s="199">
        <f t="shared" si="9"/>
        <v>0.64799999999999991</v>
      </c>
      <c r="J528" s="219">
        <f t="shared" si="10"/>
        <v>4.3199999999999995E-2</v>
      </c>
      <c r="K528" s="220">
        <f t="shared" si="11"/>
        <v>0.64799999999999991</v>
      </c>
      <c r="L528" s="255"/>
    </row>
    <row r="529" spans="2:12">
      <c r="B529" s="249" t="s">
        <v>1542</v>
      </c>
      <c r="C529" s="250" t="s">
        <v>1521</v>
      </c>
      <c r="D529" s="205" t="s">
        <v>79</v>
      </c>
      <c r="E529" s="199">
        <v>2.7</v>
      </c>
      <c r="F529" s="199">
        <v>0.15</v>
      </c>
      <c r="G529" s="199">
        <v>0.6</v>
      </c>
      <c r="H529" s="199"/>
      <c r="I529" s="199">
        <f t="shared" si="9"/>
        <v>3.645</v>
      </c>
      <c r="J529" s="219">
        <f t="shared" si="10"/>
        <v>0.24299999999999999</v>
      </c>
      <c r="K529" s="220">
        <f t="shared" si="11"/>
        <v>3.645</v>
      </c>
      <c r="L529" s="255"/>
    </row>
    <row r="530" spans="2:12">
      <c r="B530" s="249" t="s">
        <v>1543</v>
      </c>
      <c r="C530" s="250" t="s">
        <v>1521</v>
      </c>
      <c r="D530" s="205" t="s">
        <v>79</v>
      </c>
      <c r="E530" s="199">
        <v>2.7</v>
      </c>
      <c r="F530" s="199">
        <v>0.15</v>
      </c>
      <c r="G530" s="199">
        <v>0.6</v>
      </c>
      <c r="H530" s="199"/>
      <c r="I530" s="199">
        <f t="shared" si="9"/>
        <v>3.645</v>
      </c>
      <c r="J530" s="219">
        <f t="shared" si="10"/>
        <v>0.24299999999999999</v>
      </c>
      <c r="K530" s="220">
        <f t="shared" si="11"/>
        <v>3.645</v>
      </c>
      <c r="L530" s="255"/>
    </row>
    <row r="531" spans="2:12">
      <c r="B531" s="249" t="s">
        <v>1544</v>
      </c>
      <c r="C531" s="250" t="s">
        <v>1521</v>
      </c>
      <c r="D531" s="205" t="s">
        <v>79</v>
      </c>
      <c r="E531" s="199">
        <v>9.35</v>
      </c>
      <c r="F531" s="199">
        <v>0.2</v>
      </c>
      <c r="G531" s="199">
        <v>0.7</v>
      </c>
      <c r="H531" s="199"/>
      <c r="I531" s="199">
        <f t="shared" si="9"/>
        <v>14.959999999999997</v>
      </c>
      <c r="J531" s="219">
        <f t="shared" si="10"/>
        <v>1.3089999999999999</v>
      </c>
      <c r="K531" s="220">
        <f t="shared" si="11"/>
        <v>14.959999999999999</v>
      </c>
      <c r="L531" s="255"/>
    </row>
    <row r="532" spans="2:12">
      <c r="B532" s="249" t="s">
        <v>1545</v>
      </c>
      <c r="C532" s="250" t="s">
        <v>1521</v>
      </c>
      <c r="D532" s="205" t="s">
        <v>79</v>
      </c>
      <c r="E532" s="199">
        <v>2.85</v>
      </c>
      <c r="F532" s="199">
        <v>0.15</v>
      </c>
      <c r="G532" s="199">
        <v>1</v>
      </c>
      <c r="H532" s="199"/>
      <c r="I532" s="199">
        <f t="shared" si="9"/>
        <v>6.1274999999999995</v>
      </c>
      <c r="J532" s="219">
        <f t="shared" si="10"/>
        <v>0.42749999999999999</v>
      </c>
      <c r="K532" s="220">
        <f t="shared" si="11"/>
        <v>6.1274999999999995</v>
      </c>
      <c r="L532" s="255"/>
    </row>
    <row r="533" spans="2:12">
      <c r="B533" s="249" t="s">
        <v>1546</v>
      </c>
      <c r="C533" s="250" t="s">
        <v>1521</v>
      </c>
      <c r="D533" s="205" t="s">
        <v>79</v>
      </c>
      <c r="E533" s="199">
        <v>23.39</v>
      </c>
      <c r="F533" s="199">
        <v>0.15</v>
      </c>
      <c r="G533" s="199">
        <v>1</v>
      </c>
      <c r="H533" s="199"/>
      <c r="I533" s="199">
        <f t="shared" si="9"/>
        <v>50.288499999999999</v>
      </c>
      <c r="J533" s="219">
        <f t="shared" si="10"/>
        <v>3.5085000000000002</v>
      </c>
      <c r="K533" s="220">
        <f t="shared" si="11"/>
        <v>50.288499999999999</v>
      </c>
      <c r="L533" s="255"/>
    </row>
    <row r="534" spans="2:12">
      <c r="B534" s="249" t="s">
        <v>1547</v>
      </c>
      <c r="C534" s="250" t="s">
        <v>1521</v>
      </c>
      <c r="D534" s="205" t="s">
        <v>79</v>
      </c>
      <c r="E534" s="199">
        <v>13.7</v>
      </c>
      <c r="F534" s="199">
        <v>0.15</v>
      </c>
      <c r="G534" s="199">
        <v>0.6</v>
      </c>
      <c r="H534" s="199"/>
      <c r="I534" s="199">
        <f t="shared" si="9"/>
        <v>18.494999999999997</v>
      </c>
      <c r="J534" s="219">
        <f t="shared" si="10"/>
        <v>1.2329999999999999</v>
      </c>
      <c r="K534" s="220">
        <f t="shared" si="11"/>
        <v>18.494999999999997</v>
      </c>
      <c r="L534" s="255"/>
    </row>
    <row r="535" spans="2:12">
      <c r="B535" s="249" t="s">
        <v>1548</v>
      </c>
      <c r="C535" s="250" t="s">
        <v>1521</v>
      </c>
      <c r="D535" s="205" t="s">
        <v>79</v>
      </c>
      <c r="E535" s="199">
        <v>0.48</v>
      </c>
      <c r="F535" s="199">
        <v>0.15</v>
      </c>
      <c r="G535" s="199">
        <v>0.6</v>
      </c>
      <c r="H535" s="199"/>
      <c r="I535" s="199">
        <f t="shared" si="9"/>
        <v>0.64799999999999991</v>
      </c>
      <c r="J535" s="219">
        <f t="shared" si="10"/>
        <v>4.3199999999999995E-2</v>
      </c>
      <c r="K535" s="220">
        <f t="shared" si="11"/>
        <v>0.64799999999999991</v>
      </c>
      <c r="L535" s="255"/>
    </row>
    <row r="536" spans="2:12">
      <c r="B536" s="249" t="s">
        <v>1549</v>
      </c>
      <c r="C536" s="250" t="s">
        <v>1521</v>
      </c>
      <c r="D536" s="205" t="s">
        <v>79</v>
      </c>
      <c r="E536" s="199">
        <v>12.95</v>
      </c>
      <c r="F536" s="199">
        <v>0.2</v>
      </c>
      <c r="G536" s="199">
        <v>0.6</v>
      </c>
      <c r="H536" s="199"/>
      <c r="I536" s="199">
        <f t="shared" si="9"/>
        <v>18.13</v>
      </c>
      <c r="J536" s="219">
        <f t="shared" si="10"/>
        <v>1.5539999999999998</v>
      </c>
      <c r="K536" s="220">
        <f t="shared" si="11"/>
        <v>18.13</v>
      </c>
      <c r="L536" s="255"/>
    </row>
    <row r="537" spans="2:12">
      <c r="B537" s="249" t="s">
        <v>1550</v>
      </c>
      <c r="C537" s="250" t="s">
        <v>1521</v>
      </c>
      <c r="D537" s="205" t="s">
        <v>79</v>
      </c>
      <c r="E537" s="199">
        <v>21.37</v>
      </c>
      <c r="F537" s="199">
        <v>0.15</v>
      </c>
      <c r="G537" s="199">
        <v>1</v>
      </c>
      <c r="H537" s="199"/>
      <c r="I537" s="199">
        <f t="shared" si="9"/>
        <v>45.945500000000003</v>
      </c>
      <c r="J537" s="219">
        <f t="shared" si="10"/>
        <v>3.2055000000000002</v>
      </c>
      <c r="K537" s="220">
        <f t="shared" si="11"/>
        <v>45.945500000000003</v>
      </c>
      <c r="L537" s="255"/>
    </row>
    <row r="538" spans="2:12">
      <c r="B538" s="249" t="s">
        <v>1551</v>
      </c>
      <c r="C538" s="250" t="s">
        <v>1521</v>
      </c>
      <c r="D538" s="205" t="s">
        <v>79</v>
      </c>
      <c r="E538" s="199">
        <v>2.86</v>
      </c>
      <c r="F538" s="199">
        <v>0.15</v>
      </c>
      <c r="G538" s="199">
        <v>1</v>
      </c>
      <c r="H538" s="199"/>
      <c r="I538" s="199">
        <f t="shared" si="9"/>
        <v>6.1489999999999991</v>
      </c>
      <c r="J538" s="219">
        <f t="shared" si="10"/>
        <v>0.42899999999999999</v>
      </c>
      <c r="K538" s="220">
        <f t="shared" si="11"/>
        <v>6.1489999999999991</v>
      </c>
      <c r="L538" s="255"/>
    </row>
    <row r="539" spans="2:12">
      <c r="B539" s="197" t="s">
        <v>1523</v>
      </c>
      <c r="C539" s="189" t="s">
        <v>1521</v>
      </c>
      <c r="D539" s="190" t="s">
        <v>169</v>
      </c>
      <c r="E539" s="199">
        <v>4.71</v>
      </c>
      <c r="F539" s="199">
        <v>0.25</v>
      </c>
      <c r="G539" s="199">
        <v>1.7</v>
      </c>
      <c r="H539" s="199"/>
      <c r="I539" s="199">
        <f t="shared" si="9"/>
        <v>17.191499999999998</v>
      </c>
      <c r="J539" s="219">
        <f t="shared" si="10"/>
        <v>2.0017499999999999</v>
      </c>
      <c r="K539" s="220">
        <f t="shared" si="11"/>
        <v>17.191499999999998</v>
      </c>
      <c r="L539" s="255"/>
    </row>
    <row r="540" spans="2:12">
      <c r="B540" s="197" t="s">
        <v>1525</v>
      </c>
      <c r="C540" s="189" t="s">
        <v>1521</v>
      </c>
      <c r="D540" s="190" t="s">
        <v>169</v>
      </c>
      <c r="E540" s="199">
        <v>4.71</v>
      </c>
      <c r="F540" s="199">
        <v>0.15</v>
      </c>
      <c r="G540" s="199">
        <v>1.7</v>
      </c>
      <c r="H540" s="199"/>
      <c r="I540" s="199">
        <f t="shared" si="9"/>
        <v>16.720499999999998</v>
      </c>
      <c r="J540" s="219">
        <f t="shared" si="10"/>
        <v>1.20105</v>
      </c>
      <c r="K540" s="220">
        <f t="shared" si="11"/>
        <v>16.720499999999998</v>
      </c>
      <c r="L540" s="255"/>
    </row>
    <row r="541" spans="2:12">
      <c r="B541" s="197" t="s">
        <v>1526</v>
      </c>
      <c r="C541" s="189" t="s">
        <v>1521</v>
      </c>
      <c r="D541" s="190" t="s">
        <v>169</v>
      </c>
      <c r="E541" s="199">
        <v>2.54</v>
      </c>
      <c r="F541" s="199">
        <v>0.15</v>
      </c>
      <c r="G541" s="199">
        <v>1.7</v>
      </c>
      <c r="H541" s="199"/>
      <c r="I541" s="199">
        <f t="shared" si="9"/>
        <v>9.0169999999999995</v>
      </c>
      <c r="J541" s="219">
        <f t="shared" si="10"/>
        <v>0.64769999999999994</v>
      </c>
      <c r="K541" s="220">
        <f t="shared" si="11"/>
        <v>9.0169999999999995</v>
      </c>
      <c r="L541" s="255"/>
    </row>
    <row r="542" spans="2:12">
      <c r="B542" s="197" t="s">
        <v>1527</v>
      </c>
      <c r="C542" s="189" t="s">
        <v>1521</v>
      </c>
      <c r="D542" s="190" t="s">
        <v>169</v>
      </c>
      <c r="E542" s="199">
        <v>2.2000000000000002</v>
      </c>
      <c r="F542" s="199">
        <v>0.15</v>
      </c>
      <c r="G542" s="199">
        <v>1.7</v>
      </c>
      <c r="H542" s="199"/>
      <c r="I542" s="199">
        <f t="shared" si="9"/>
        <v>7.8100000000000005</v>
      </c>
      <c r="J542" s="219">
        <f t="shared" si="10"/>
        <v>0.56100000000000005</v>
      </c>
      <c r="K542" s="220">
        <f t="shared" si="11"/>
        <v>7.8100000000000005</v>
      </c>
      <c r="L542" s="255"/>
    </row>
    <row r="543" spans="2:12">
      <c r="B543" s="197" t="s">
        <v>1528</v>
      </c>
      <c r="C543" s="189" t="s">
        <v>1521</v>
      </c>
      <c r="D543" s="190" t="s">
        <v>169</v>
      </c>
      <c r="E543" s="199">
        <v>2.2000000000000002</v>
      </c>
      <c r="F543" s="199">
        <v>0.15</v>
      </c>
      <c r="G543" s="199">
        <v>1.7</v>
      </c>
      <c r="H543" s="199"/>
      <c r="I543" s="199">
        <f t="shared" si="9"/>
        <v>7.8100000000000005</v>
      </c>
      <c r="J543" s="219">
        <f t="shared" si="10"/>
        <v>0.56100000000000005</v>
      </c>
      <c r="K543" s="220">
        <f t="shared" si="11"/>
        <v>7.8100000000000005</v>
      </c>
      <c r="L543" s="255"/>
    </row>
    <row r="544" spans="2:12">
      <c r="B544" s="197" t="s">
        <v>1529</v>
      </c>
      <c r="C544" s="189" t="s">
        <v>1521</v>
      </c>
      <c r="D544" s="190" t="s">
        <v>169</v>
      </c>
      <c r="E544" s="199">
        <v>1.24</v>
      </c>
      <c r="F544" s="199">
        <v>0.2</v>
      </c>
      <c r="G544" s="199">
        <v>1.7</v>
      </c>
      <c r="H544" s="199"/>
      <c r="I544" s="199">
        <f t="shared" si="9"/>
        <v>4.4640000000000004</v>
      </c>
      <c r="J544" s="219">
        <f t="shared" si="10"/>
        <v>0.42159999999999997</v>
      </c>
      <c r="K544" s="220">
        <f t="shared" si="11"/>
        <v>4.4640000000000004</v>
      </c>
      <c r="L544" s="255"/>
    </row>
    <row r="545" spans="2:12">
      <c r="B545" s="197" t="s">
        <v>1530</v>
      </c>
      <c r="C545" s="189" t="s">
        <v>1521</v>
      </c>
      <c r="D545" s="190" t="s">
        <v>169</v>
      </c>
      <c r="E545" s="199">
        <v>1.24</v>
      </c>
      <c r="F545" s="199">
        <v>0.2</v>
      </c>
      <c r="G545" s="199">
        <v>1.7</v>
      </c>
      <c r="H545" s="199"/>
      <c r="I545" s="199">
        <f t="shared" si="9"/>
        <v>4.4640000000000004</v>
      </c>
      <c r="J545" s="219">
        <f t="shared" si="10"/>
        <v>0.42159999999999997</v>
      </c>
      <c r="K545" s="220">
        <f t="shared" si="11"/>
        <v>4.4640000000000004</v>
      </c>
      <c r="L545" s="255"/>
    </row>
    <row r="546" spans="2:12">
      <c r="B546" s="249"/>
      <c r="C546" s="250"/>
      <c r="D546" s="205"/>
      <c r="E546" s="199"/>
      <c r="F546" s="199"/>
      <c r="G546" s="199"/>
      <c r="H546" s="199"/>
      <c r="I546" s="199"/>
      <c r="J546" s="219"/>
      <c r="K546" s="220">
        <f t="shared" si="11"/>
        <v>0</v>
      </c>
      <c r="L546" s="255"/>
    </row>
    <row r="547" spans="2:12">
      <c r="B547" s="208"/>
      <c r="C547" s="204"/>
      <c r="D547" s="204"/>
      <c r="E547" s="204"/>
      <c r="F547" s="204"/>
      <c r="G547" s="204"/>
      <c r="H547" s="204"/>
      <c r="I547" s="557" t="s">
        <v>1221</v>
      </c>
      <c r="J547" s="557"/>
      <c r="K547" s="262">
        <f>SUM(K495:K546)</f>
        <v>969.43200000000013</v>
      </c>
      <c r="L547" s="207"/>
    </row>
    <row r="548" spans="2:12">
      <c r="B548" s="208"/>
      <c r="C548" s="204"/>
      <c r="D548" s="204"/>
      <c r="E548" s="204"/>
      <c r="F548" s="204"/>
      <c r="G548" s="204"/>
      <c r="H548" s="209"/>
      <c r="I548" s="557" t="s">
        <v>1222</v>
      </c>
      <c r="J548" s="557"/>
      <c r="K548" s="221">
        <f>VLOOKUP(B493,'BM 004'!$B$27:$R$590,4,0)</f>
        <v>3575</v>
      </c>
      <c r="L548" s="207"/>
    </row>
    <row r="549" spans="2:12">
      <c r="B549" s="208"/>
      <c r="C549" s="204"/>
      <c r="D549" s="204"/>
      <c r="E549" s="204"/>
      <c r="F549" s="204"/>
      <c r="G549" s="204"/>
      <c r="H549" s="558" t="s">
        <v>1223</v>
      </c>
      <c r="I549" s="558"/>
      <c r="J549" s="558"/>
      <c r="K549" s="222">
        <f>K547-K550</f>
        <v>434.08200000000011</v>
      </c>
      <c r="L549" s="207"/>
    </row>
    <row r="550" spans="2:12">
      <c r="B550" s="208"/>
      <c r="C550" s="204"/>
      <c r="D550" s="204"/>
      <c r="E550" s="204"/>
      <c r="F550" s="204"/>
      <c r="G550" s="204"/>
      <c r="H550" s="558" t="s">
        <v>1435</v>
      </c>
      <c r="I550" s="558"/>
      <c r="J550" s="558"/>
      <c r="K550" s="222">
        <f>TRUNC(SUMIF(C495:C546,H550,K495:K546),2)</f>
        <v>535.35</v>
      </c>
      <c r="L550" s="207"/>
    </row>
    <row r="551" spans="2:12">
      <c r="B551" s="213"/>
      <c r="C551" s="214"/>
      <c r="D551" s="214"/>
      <c r="E551" s="214"/>
      <c r="F551" s="214"/>
      <c r="G551" s="214"/>
      <c r="H551" s="559" t="s">
        <v>1224</v>
      </c>
      <c r="I551" s="559"/>
      <c r="J551" s="559"/>
      <c r="K551" s="223">
        <f>IF(K547&gt;K548,K547-K548,0)</f>
        <v>0</v>
      </c>
      <c r="L551" s="209"/>
    </row>
    <row r="553" spans="2:12">
      <c r="B553" s="247" t="s">
        <v>197</v>
      </c>
      <c r="C553" s="565" t="str">
        <f>VLOOKUP(B553,'BM 004'!$B$27:$R$590,2,0)</f>
        <v xml:space="preserve">Armação de pilar ou viga de uma estrutura convencional de concreto armado em um edifício de múltiplos pavimentos utilizando aço ca-60 de 5,0 mm - montagem. </v>
      </c>
      <c r="D553" s="565"/>
      <c r="E553" s="565"/>
      <c r="F553" s="565"/>
      <c r="G553" s="565"/>
      <c r="H553" s="565"/>
      <c r="I553" s="565"/>
      <c r="J553" s="565"/>
      <c r="K553" s="565"/>
      <c r="L553" s="565"/>
    </row>
    <row r="554" spans="2:12">
      <c r="B554" s="248" t="s">
        <v>1209</v>
      </c>
      <c r="C554" s="248"/>
      <c r="D554" s="248" t="s">
        <v>39</v>
      </c>
      <c r="E554" s="248" t="s">
        <v>1210</v>
      </c>
      <c r="F554" s="248" t="s">
        <v>1382</v>
      </c>
      <c r="G554" s="248" t="s">
        <v>1383</v>
      </c>
      <c r="H554" s="248" t="s">
        <v>1384</v>
      </c>
      <c r="I554" s="248" t="s">
        <v>1214</v>
      </c>
      <c r="J554" s="248" t="s">
        <v>1385</v>
      </c>
      <c r="K554" s="248" t="s">
        <v>1216</v>
      </c>
      <c r="L554" s="248" t="s">
        <v>1217</v>
      </c>
    </row>
    <row r="555" spans="2:12">
      <c r="B555" s="249" t="s">
        <v>1367</v>
      </c>
      <c r="C555" s="250" t="s">
        <v>1333</v>
      </c>
      <c r="D555" s="205" t="s">
        <v>152</v>
      </c>
      <c r="E555" s="251">
        <v>661</v>
      </c>
      <c r="F555" s="252">
        <v>0.154</v>
      </c>
      <c r="G555" s="251"/>
      <c r="H555" s="251">
        <v>1.1000000000000001</v>
      </c>
      <c r="I555" s="251"/>
      <c r="J555" s="253"/>
      <c r="K555" s="254">
        <f t="shared" ref="K555:K561" si="12">IF(E555*F555*G555&lt;&gt;0,E555*F555*G555,IF(E555*F555&lt;&gt;0,E555*F555,IF(F555*G555&lt;&gt;0,F555*G555,IF(E555*G555&lt;&gt;0,E555*G555,IF(E555&lt;&gt;0,E555,IF(F555&lt;&gt;0,F555,IF(G555&lt;&gt;0,G555,0)))))))*(IF(H555&lt;&gt;0,H555,1))+I555-J555</f>
        <v>111.97340000000001</v>
      </c>
      <c r="L555" s="255"/>
    </row>
    <row r="556" spans="2:12">
      <c r="B556" s="249" t="s">
        <v>1386</v>
      </c>
      <c r="C556" s="250" t="s">
        <v>1333</v>
      </c>
      <c r="D556" s="205" t="s">
        <v>152</v>
      </c>
      <c r="E556" s="251">
        <v>433</v>
      </c>
      <c r="F556" s="252">
        <v>0.154</v>
      </c>
      <c r="G556" s="251"/>
      <c r="H556" s="251">
        <v>1.1000000000000001</v>
      </c>
      <c r="I556" s="251"/>
      <c r="J556" s="253"/>
      <c r="K556" s="254">
        <f t="shared" si="12"/>
        <v>73.350200000000015</v>
      </c>
      <c r="L556" s="255"/>
    </row>
    <row r="557" spans="2:12">
      <c r="B557" s="263" t="s">
        <v>1475</v>
      </c>
      <c r="C557" s="264" t="s">
        <v>1441</v>
      </c>
      <c r="D557" s="205" t="s">
        <v>152</v>
      </c>
      <c r="E557" s="251">
        <v>257</v>
      </c>
      <c r="F557" s="252">
        <v>0.154</v>
      </c>
      <c r="G557" s="251"/>
      <c r="H557" s="251">
        <v>1.1000000000000001</v>
      </c>
      <c r="I557" s="251"/>
      <c r="J557" s="253"/>
      <c r="K557" s="254">
        <f t="shared" si="12"/>
        <v>43.535800000000009</v>
      </c>
      <c r="L557" s="255"/>
    </row>
    <row r="558" spans="2:12">
      <c r="B558" s="263" t="s">
        <v>1476</v>
      </c>
      <c r="C558" s="264" t="s">
        <v>1441</v>
      </c>
      <c r="D558" s="205" t="s">
        <v>152</v>
      </c>
      <c r="E558" s="251">
        <v>402</v>
      </c>
      <c r="F558" s="252">
        <v>0.154</v>
      </c>
      <c r="G558" s="251"/>
      <c r="H558" s="251">
        <v>1.1000000000000001</v>
      </c>
      <c r="I558" s="251"/>
      <c r="J558" s="253"/>
      <c r="K558" s="254">
        <f t="shared" si="12"/>
        <v>68.098800000000011</v>
      </c>
      <c r="L558" s="255"/>
    </row>
    <row r="559" spans="2:12">
      <c r="B559" s="263" t="s">
        <v>1552</v>
      </c>
      <c r="C559" s="264" t="s">
        <v>1521</v>
      </c>
      <c r="D559" s="205" t="s">
        <v>152</v>
      </c>
      <c r="E559" s="251">
        <v>759</v>
      </c>
      <c r="F559" s="252">
        <v>0.154</v>
      </c>
      <c r="G559" s="251"/>
      <c r="H559" s="251">
        <v>1.1000000000000001</v>
      </c>
      <c r="I559" s="251"/>
      <c r="J559" s="253"/>
      <c r="K559" s="254">
        <f t="shared" si="12"/>
        <v>128.5746</v>
      </c>
      <c r="L559" s="266"/>
    </row>
    <row r="560" spans="2:12">
      <c r="B560" s="263" t="s">
        <v>1553</v>
      </c>
      <c r="C560" s="264" t="s">
        <v>1521</v>
      </c>
      <c r="D560" s="205" t="s">
        <v>152</v>
      </c>
      <c r="E560" s="251">
        <v>239</v>
      </c>
      <c r="F560" s="252">
        <v>0.154</v>
      </c>
      <c r="G560" s="251"/>
      <c r="H560" s="251">
        <v>1.1000000000000001</v>
      </c>
      <c r="I560" s="251"/>
      <c r="J560" s="253"/>
      <c r="K560" s="254">
        <f t="shared" si="12"/>
        <v>40.486600000000003</v>
      </c>
      <c r="L560" s="266"/>
    </row>
    <row r="561" spans="2:12">
      <c r="B561" s="256"/>
      <c r="C561" s="210"/>
      <c r="D561" s="210"/>
      <c r="E561" s="257"/>
      <c r="F561" s="258"/>
      <c r="G561" s="257"/>
      <c r="H561" s="257"/>
      <c r="I561" s="257"/>
      <c r="J561" s="259"/>
      <c r="K561" s="260">
        <f t="shared" si="12"/>
        <v>0</v>
      </c>
      <c r="L561" s="210"/>
    </row>
    <row r="562" spans="2:12">
      <c r="B562" s="202"/>
      <c r="C562" s="203"/>
      <c r="D562" s="203"/>
      <c r="E562" s="203"/>
      <c r="F562" s="203"/>
      <c r="G562" s="203"/>
      <c r="H562" s="204"/>
      <c r="I562" s="556" t="s">
        <v>1221</v>
      </c>
      <c r="J562" s="556"/>
      <c r="K562" s="220">
        <f>SUM(K555:K561)</f>
        <v>466.01940000000008</v>
      </c>
      <c r="L562" s="207"/>
    </row>
    <row r="563" spans="2:12">
      <c r="B563" s="208"/>
      <c r="C563" s="204"/>
      <c r="D563" s="204"/>
      <c r="E563" s="204"/>
      <c r="F563" s="204"/>
      <c r="G563" s="204"/>
      <c r="H563" s="209"/>
      <c r="I563" s="557" t="s">
        <v>1222</v>
      </c>
      <c r="J563" s="557"/>
      <c r="K563" s="221">
        <f>VLOOKUP(B553,'BM 004'!$B$27:$R$590,4,0)</f>
        <v>2130.6999999999998</v>
      </c>
      <c r="L563" s="207"/>
    </row>
    <row r="564" spans="2:12">
      <c r="B564" s="208"/>
      <c r="C564" s="204"/>
      <c r="D564" s="204"/>
      <c r="E564" s="204"/>
      <c r="F564" s="204"/>
      <c r="G564" s="204"/>
      <c r="H564" s="558" t="s">
        <v>1223</v>
      </c>
      <c r="I564" s="558"/>
      <c r="J564" s="558"/>
      <c r="K564" s="222">
        <f>K562-K565</f>
        <v>296.95940000000007</v>
      </c>
      <c r="L564" s="207"/>
    </row>
    <row r="565" spans="2:12">
      <c r="B565" s="208"/>
      <c r="C565" s="204"/>
      <c r="D565" s="204"/>
      <c r="E565" s="204"/>
      <c r="F565" s="204"/>
      <c r="G565" s="204"/>
      <c r="H565" s="558" t="s">
        <v>1435</v>
      </c>
      <c r="I565" s="558"/>
      <c r="J565" s="558"/>
      <c r="K565" s="222">
        <f>TRUNC(SUMIF(C555:C561,H565,K555:K561),2)</f>
        <v>169.06</v>
      </c>
      <c r="L565" s="207"/>
    </row>
    <row r="566" spans="2:12">
      <c r="B566" s="213"/>
      <c r="C566" s="214"/>
      <c r="D566" s="214"/>
      <c r="E566" s="214"/>
      <c r="F566" s="214"/>
      <c r="G566" s="214"/>
      <c r="H566" s="559" t="s">
        <v>1224</v>
      </c>
      <c r="I566" s="559"/>
      <c r="J566" s="559"/>
      <c r="K566" s="223">
        <f>IF(K562&gt;K563,K562-K563,0)</f>
        <v>0</v>
      </c>
      <c r="L566" s="209"/>
    </row>
    <row r="568" spans="2:12">
      <c r="B568" s="247" t="s">
        <v>199</v>
      </c>
      <c r="C568" s="565" t="str">
        <f>VLOOKUP(B568,'BM 004'!$B$27:$R$590,2,0)</f>
        <v xml:space="preserve">Armação de pilar ou viga de uma estrutura convencional de concreto armado em um edifício de múltiplos pavimentos utilizando aço ca-50 de 6,3 mm - montagem.  </v>
      </c>
      <c r="D568" s="565"/>
      <c r="E568" s="565"/>
      <c r="F568" s="565"/>
      <c r="G568" s="565"/>
      <c r="H568" s="565"/>
      <c r="I568" s="565"/>
      <c r="J568" s="565"/>
      <c r="K568" s="565"/>
      <c r="L568" s="565"/>
    </row>
    <row r="569" spans="2:12">
      <c r="B569" s="248" t="s">
        <v>1209</v>
      </c>
      <c r="C569" s="248"/>
      <c r="D569" s="248" t="s">
        <v>39</v>
      </c>
      <c r="E569" s="248" t="s">
        <v>1210</v>
      </c>
      <c r="F569" s="248" t="s">
        <v>1382</v>
      </c>
      <c r="G569" s="248" t="s">
        <v>1383</v>
      </c>
      <c r="H569" s="248" t="s">
        <v>1384</v>
      </c>
      <c r="I569" s="248" t="s">
        <v>1214</v>
      </c>
      <c r="J569" s="248" t="s">
        <v>1385</v>
      </c>
      <c r="K569" s="248" t="s">
        <v>1216</v>
      </c>
      <c r="L569" s="248" t="s">
        <v>1217</v>
      </c>
    </row>
    <row r="570" spans="2:12">
      <c r="B570" s="249" t="s">
        <v>1367</v>
      </c>
      <c r="C570" s="250" t="s">
        <v>1333</v>
      </c>
      <c r="D570" s="205" t="s">
        <v>152</v>
      </c>
      <c r="E570" s="251">
        <v>510</v>
      </c>
      <c r="F570" s="252">
        <v>0.245</v>
      </c>
      <c r="G570" s="251"/>
      <c r="H570" s="251">
        <v>1.1000000000000001</v>
      </c>
      <c r="I570" s="251"/>
      <c r="J570" s="253"/>
      <c r="K570" s="254">
        <f t="shared" ref="K570:K576" si="13">IF(E570*F570*G570&lt;&gt;0,E570*F570*G570,IF(E570*F570&lt;&gt;0,E570*F570,IF(F570*G570&lt;&gt;0,F570*G570,IF(E570*G570&lt;&gt;0,E570*G570,IF(E570&lt;&gt;0,E570,IF(F570&lt;&gt;0,F570,IF(G570&lt;&gt;0,G570,0)))))))*(IF(H570&lt;&gt;0,H570,1))+I570-J570</f>
        <v>137.44500000000002</v>
      </c>
      <c r="L570" s="255"/>
    </row>
    <row r="571" spans="2:12">
      <c r="B571" s="249" t="s">
        <v>1386</v>
      </c>
      <c r="C571" s="250" t="s">
        <v>1333</v>
      </c>
      <c r="D571" s="205" t="s">
        <v>152</v>
      </c>
      <c r="E571" s="251">
        <v>363</v>
      </c>
      <c r="F571" s="252">
        <v>0.245</v>
      </c>
      <c r="G571" s="251"/>
      <c r="H571" s="251">
        <v>1.1000000000000001</v>
      </c>
      <c r="I571" s="251"/>
      <c r="J571" s="253"/>
      <c r="K571" s="254">
        <f t="shared" si="13"/>
        <v>97.828500000000005</v>
      </c>
      <c r="L571" s="255"/>
    </row>
    <row r="572" spans="2:12">
      <c r="B572" s="263" t="s">
        <v>1475</v>
      </c>
      <c r="C572" s="264" t="s">
        <v>1441</v>
      </c>
      <c r="D572" s="205" t="s">
        <v>152</v>
      </c>
      <c r="E572" s="251">
        <v>425</v>
      </c>
      <c r="F572" s="252">
        <v>0.245</v>
      </c>
      <c r="G572" s="251"/>
      <c r="H572" s="251">
        <v>1.1000000000000001</v>
      </c>
      <c r="I572" s="251"/>
      <c r="J572" s="253"/>
      <c r="K572" s="254">
        <f t="shared" si="13"/>
        <v>114.53750000000001</v>
      </c>
      <c r="L572" s="255"/>
    </row>
    <row r="573" spans="2:12">
      <c r="B573" s="263" t="s">
        <v>1476</v>
      </c>
      <c r="C573" s="264" t="s">
        <v>1441</v>
      </c>
      <c r="D573" s="205" t="s">
        <v>152</v>
      </c>
      <c r="E573" s="251">
        <v>443</v>
      </c>
      <c r="F573" s="252">
        <v>0.245</v>
      </c>
      <c r="G573" s="251"/>
      <c r="H573" s="251">
        <v>1.1000000000000001</v>
      </c>
      <c r="I573" s="251"/>
      <c r="J573" s="253"/>
      <c r="K573" s="254">
        <f t="shared" si="13"/>
        <v>119.38850000000001</v>
      </c>
      <c r="L573" s="255"/>
    </row>
    <row r="574" spans="2:12">
      <c r="B574" s="263" t="s">
        <v>1552</v>
      </c>
      <c r="C574" s="264" t="s">
        <v>1521</v>
      </c>
      <c r="D574" s="205" t="s">
        <v>152</v>
      </c>
      <c r="E574" s="251">
        <v>1139</v>
      </c>
      <c r="F574" s="252">
        <v>0.245</v>
      </c>
      <c r="G574" s="251"/>
      <c r="H574" s="251">
        <v>1.1000000000000001</v>
      </c>
      <c r="I574" s="251"/>
      <c r="J574" s="253"/>
      <c r="K574" s="254">
        <f t="shared" si="13"/>
        <v>306.96050000000002</v>
      </c>
      <c r="L574" s="266"/>
    </row>
    <row r="575" spans="2:12">
      <c r="B575" s="263" t="s">
        <v>1553</v>
      </c>
      <c r="C575" s="264" t="s">
        <v>1521</v>
      </c>
      <c r="D575" s="205" t="s">
        <v>152</v>
      </c>
      <c r="E575" s="251">
        <v>362</v>
      </c>
      <c r="F575" s="252">
        <v>0.245</v>
      </c>
      <c r="G575" s="251"/>
      <c r="H575" s="251">
        <v>1.1000000000000001</v>
      </c>
      <c r="I575" s="251"/>
      <c r="J575" s="253"/>
      <c r="K575" s="254">
        <f t="shared" si="13"/>
        <v>97.559000000000012</v>
      </c>
      <c r="L575" s="266"/>
    </row>
    <row r="576" spans="2:12">
      <c r="B576" s="256"/>
      <c r="C576" s="210"/>
      <c r="D576" s="210"/>
      <c r="E576" s="257"/>
      <c r="F576" s="258"/>
      <c r="G576" s="257"/>
      <c r="H576" s="257"/>
      <c r="I576" s="257"/>
      <c r="J576" s="259"/>
      <c r="K576" s="260">
        <f t="shared" si="13"/>
        <v>0</v>
      </c>
      <c r="L576" s="210"/>
    </row>
    <row r="577" spans="2:12">
      <c r="B577" s="202"/>
      <c r="C577" s="203"/>
      <c r="D577" s="203"/>
      <c r="E577" s="203"/>
      <c r="F577" s="203"/>
      <c r="G577" s="203"/>
      <c r="H577" s="204"/>
      <c r="I577" s="556" t="s">
        <v>1221</v>
      </c>
      <c r="J577" s="556"/>
      <c r="K577" s="220">
        <f>SUM(K570:K576)</f>
        <v>873.71900000000005</v>
      </c>
      <c r="L577" s="207"/>
    </row>
    <row r="578" spans="2:12">
      <c r="B578" s="208"/>
      <c r="C578" s="204"/>
      <c r="D578" s="204"/>
      <c r="E578" s="204"/>
      <c r="F578" s="204"/>
      <c r="G578" s="204"/>
      <c r="H578" s="209"/>
      <c r="I578" s="557" t="s">
        <v>1222</v>
      </c>
      <c r="J578" s="557"/>
      <c r="K578" s="221">
        <f>VLOOKUP(B568,'BM 004'!$B$27:$R$590,4,0)</f>
        <v>3031.6</v>
      </c>
      <c r="L578" s="207"/>
    </row>
    <row r="579" spans="2:12">
      <c r="B579" s="208"/>
      <c r="C579" s="204"/>
      <c r="D579" s="204"/>
      <c r="E579" s="204"/>
      <c r="F579" s="204"/>
      <c r="G579" s="204"/>
      <c r="H579" s="558" t="s">
        <v>1223</v>
      </c>
      <c r="I579" s="558"/>
      <c r="J579" s="558"/>
      <c r="K579" s="222">
        <f>K577-K580</f>
        <v>469.20900000000006</v>
      </c>
      <c r="L579" s="207"/>
    </row>
    <row r="580" spans="2:12">
      <c r="B580" s="208"/>
      <c r="C580" s="204"/>
      <c r="D580" s="204"/>
      <c r="E580" s="204"/>
      <c r="F580" s="204"/>
      <c r="G580" s="204"/>
      <c r="H580" s="558" t="s">
        <v>1435</v>
      </c>
      <c r="I580" s="558"/>
      <c r="J580" s="558"/>
      <c r="K580" s="222">
        <f>TRUNC(SUMIF(C570:C576,H580,K570:K576),2)</f>
        <v>404.51</v>
      </c>
      <c r="L580" s="207"/>
    </row>
    <row r="581" spans="2:12">
      <c r="B581" s="213"/>
      <c r="C581" s="214"/>
      <c r="D581" s="214"/>
      <c r="E581" s="214"/>
      <c r="F581" s="214"/>
      <c r="G581" s="214"/>
      <c r="H581" s="559" t="s">
        <v>1224</v>
      </c>
      <c r="I581" s="559"/>
      <c r="J581" s="559"/>
      <c r="K581" s="223">
        <f>IF(K577&gt;K578,K577-K578,0)</f>
        <v>0</v>
      </c>
      <c r="L581" s="209"/>
    </row>
    <row r="583" spans="2:12">
      <c r="B583" s="247" t="s">
        <v>201</v>
      </c>
      <c r="C583" s="565" t="str">
        <f>VLOOKUP(B583,'BM 004'!$B$27:$R$590,2,0)</f>
        <v xml:space="preserve">Armação de pilar ou viga de uma estrutura convencional de concreto armado em um edifício de múltiplos pavimentos utilizando aço ca-50 de 8,0 mm - montagem. </v>
      </c>
      <c r="D583" s="565"/>
      <c r="E583" s="565"/>
      <c r="F583" s="565"/>
      <c r="G583" s="565"/>
      <c r="H583" s="565"/>
      <c r="I583" s="565"/>
      <c r="J583" s="565"/>
      <c r="K583" s="565"/>
      <c r="L583" s="565"/>
    </row>
    <row r="584" spans="2:12">
      <c r="B584" s="248" t="s">
        <v>1209</v>
      </c>
      <c r="C584" s="248"/>
      <c r="D584" s="248" t="s">
        <v>39</v>
      </c>
      <c r="E584" s="248" t="s">
        <v>1210</v>
      </c>
      <c r="F584" s="248" t="s">
        <v>1382</v>
      </c>
      <c r="G584" s="248" t="s">
        <v>1383</v>
      </c>
      <c r="H584" s="248" t="s">
        <v>1384</v>
      </c>
      <c r="I584" s="248" t="s">
        <v>1214</v>
      </c>
      <c r="J584" s="248" t="s">
        <v>1385</v>
      </c>
      <c r="K584" s="248" t="s">
        <v>1216</v>
      </c>
      <c r="L584" s="248" t="s">
        <v>1217</v>
      </c>
    </row>
    <row r="585" spans="2:12">
      <c r="B585" s="249" t="s">
        <v>1367</v>
      </c>
      <c r="C585" s="250" t="s">
        <v>1333</v>
      </c>
      <c r="D585" s="205" t="s">
        <v>152</v>
      </c>
      <c r="E585" s="251">
        <v>415</v>
      </c>
      <c r="F585" s="252">
        <v>0.39500000000000002</v>
      </c>
      <c r="G585" s="251"/>
      <c r="H585" s="251">
        <v>1.1000000000000001</v>
      </c>
      <c r="I585" s="251"/>
      <c r="J585" s="253"/>
      <c r="K585" s="254">
        <f t="shared" ref="K585:K592" si="14">IF(E585*F585*G585&lt;&gt;0,E585*F585*G585,IF(E585*F585&lt;&gt;0,E585*F585,IF(F585*G585&lt;&gt;0,F585*G585,IF(E585*G585&lt;&gt;0,E585*G585,IF(E585&lt;&gt;0,E585,IF(F585&lt;&gt;0,F585,IF(G585&lt;&gt;0,G585,0)))))))*(IF(H585&lt;&gt;0,H585,1))+I585-J585</f>
        <v>180.31750000000002</v>
      </c>
      <c r="L585" s="255"/>
    </row>
    <row r="586" spans="2:12">
      <c r="B586" s="249" t="s">
        <v>1386</v>
      </c>
      <c r="C586" s="250" t="s">
        <v>1333</v>
      </c>
      <c r="D586" s="205" t="s">
        <v>152</v>
      </c>
      <c r="E586" s="251">
        <v>427</v>
      </c>
      <c r="F586" s="252">
        <v>0.39500000000000002</v>
      </c>
      <c r="G586" s="251"/>
      <c r="H586" s="251">
        <v>1.1000000000000001</v>
      </c>
      <c r="I586" s="251"/>
      <c r="J586" s="253"/>
      <c r="K586" s="254">
        <f t="shared" si="14"/>
        <v>185.53150000000005</v>
      </c>
      <c r="L586" s="255"/>
    </row>
    <row r="587" spans="2:12">
      <c r="B587" s="263" t="s">
        <v>1475</v>
      </c>
      <c r="C587" s="264" t="s">
        <v>1441</v>
      </c>
      <c r="D587" s="205" t="s">
        <v>152</v>
      </c>
      <c r="E587" s="251">
        <v>851</v>
      </c>
      <c r="F587" s="252">
        <v>0.39500000000000002</v>
      </c>
      <c r="G587" s="251"/>
      <c r="H587" s="251">
        <v>1.1000000000000001</v>
      </c>
      <c r="I587" s="251"/>
      <c r="J587" s="253"/>
      <c r="K587" s="254">
        <f t="shared" si="14"/>
        <v>369.75950000000006</v>
      </c>
      <c r="L587" s="255"/>
    </row>
    <row r="588" spans="2:12">
      <c r="B588" s="263" t="s">
        <v>1476</v>
      </c>
      <c r="C588" s="264" t="s">
        <v>1441</v>
      </c>
      <c r="D588" s="205" t="s">
        <v>152</v>
      </c>
      <c r="E588" s="251">
        <v>950</v>
      </c>
      <c r="F588" s="252">
        <v>0.39500000000000002</v>
      </c>
      <c r="G588" s="251"/>
      <c r="H588" s="251">
        <v>1.1000000000000001</v>
      </c>
      <c r="I588" s="251"/>
      <c r="J588" s="253"/>
      <c r="K588" s="254">
        <f t="shared" si="14"/>
        <v>412.77500000000003</v>
      </c>
      <c r="L588" s="255"/>
    </row>
    <row r="589" spans="2:12">
      <c r="B589" s="263" t="s">
        <v>1477</v>
      </c>
      <c r="C589" s="264" t="s">
        <v>1441</v>
      </c>
      <c r="D589" s="205" t="s">
        <v>152</v>
      </c>
      <c r="E589" s="251"/>
      <c r="F589" s="252"/>
      <c r="G589" s="251"/>
      <c r="H589" s="251"/>
      <c r="I589" s="251">
        <v>146.04</v>
      </c>
      <c r="J589" s="253"/>
      <c r="K589" s="254">
        <f t="shared" si="14"/>
        <v>146.04</v>
      </c>
      <c r="L589" s="255"/>
    </row>
    <row r="590" spans="2:12">
      <c r="B590" s="263" t="s">
        <v>1552</v>
      </c>
      <c r="C590" s="264" t="s">
        <v>1521</v>
      </c>
      <c r="D590" s="205" t="s">
        <v>152</v>
      </c>
      <c r="E590" s="251">
        <v>343</v>
      </c>
      <c r="F590" s="252">
        <v>0.39500000000000002</v>
      </c>
      <c r="G590" s="251"/>
      <c r="H590" s="251">
        <v>1.1000000000000001</v>
      </c>
      <c r="I590" s="251"/>
      <c r="J590" s="253"/>
      <c r="K590" s="254">
        <f t="shared" si="14"/>
        <v>149.03350000000003</v>
      </c>
      <c r="L590" s="266"/>
    </row>
    <row r="591" spans="2:12">
      <c r="B591" s="263" t="s">
        <v>1553</v>
      </c>
      <c r="C591" s="264" t="s">
        <v>1521</v>
      </c>
      <c r="D591" s="205" t="s">
        <v>152</v>
      </c>
      <c r="E591" s="251">
        <v>313</v>
      </c>
      <c r="F591" s="252">
        <v>0.39500000000000002</v>
      </c>
      <c r="G591" s="251"/>
      <c r="H591" s="251">
        <v>1.1000000000000001</v>
      </c>
      <c r="I591" s="251"/>
      <c r="J591" s="253"/>
      <c r="K591" s="254">
        <f t="shared" si="14"/>
        <v>135.99850000000001</v>
      </c>
      <c r="L591" s="266"/>
    </row>
    <row r="592" spans="2:12">
      <c r="B592" s="256"/>
      <c r="C592" s="210"/>
      <c r="D592" s="210"/>
      <c r="E592" s="257"/>
      <c r="F592" s="258"/>
      <c r="G592" s="257"/>
      <c r="H592" s="257"/>
      <c r="I592" s="257"/>
      <c r="J592" s="259"/>
      <c r="K592" s="260">
        <f t="shared" si="14"/>
        <v>0</v>
      </c>
      <c r="L592" s="210"/>
    </row>
    <row r="593" spans="2:12">
      <c r="B593" s="202"/>
      <c r="C593" s="203"/>
      <c r="D593" s="203"/>
      <c r="E593" s="203"/>
      <c r="F593" s="203"/>
      <c r="G593" s="203"/>
      <c r="H593" s="204"/>
      <c r="I593" s="556" t="s">
        <v>1221</v>
      </c>
      <c r="J593" s="556"/>
      <c r="K593" s="220">
        <f>SUM(K585:K592)</f>
        <v>1579.4555</v>
      </c>
      <c r="L593" s="207"/>
    </row>
    <row r="594" spans="2:12">
      <c r="B594" s="208"/>
      <c r="C594" s="204"/>
      <c r="D594" s="204"/>
      <c r="E594" s="204"/>
      <c r="F594" s="204"/>
      <c r="G594" s="204"/>
      <c r="H594" s="209"/>
      <c r="I594" s="557" t="s">
        <v>1222</v>
      </c>
      <c r="J594" s="557"/>
      <c r="K594" s="221">
        <f>VLOOKUP(B583,'BM 004'!$B$27:$R$590,4,0)</f>
        <v>5608.9</v>
      </c>
      <c r="L594" s="207"/>
    </row>
    <row r="595" spans="2:12">
      <c r="B595" s="208"/>
      <c r="C595" s="204"/>
      <c r="D595" s="204"/>
      <c r="E595" s="204"/>
      <c r="F595" s="204"/>
      <c r="G595" s="204"/>
      <c r="H595" s="558" t="s">
        <v>1223</v>
      </c>
      <c r="I595" s="558"/>
      <c r="J595" s="558"/>
      <c r="K595" s="222">
        <f>K593-K596</f>
        <v>1294.4255000000001</v>
      </c>
      <c r="L595" s="207"/>
    </row>
    <row r="596" spans="2:12">
      <c r="B596" s="208"/>
      <c r="C596" s="204"/>
      <c r="D596" s="204"/>
      <c r="E596" s="204"/>
      <c r="F596" s="204"/>
      <c r="G596" s="204"/>
      <c r="H596" s="558" t="s">
        <v>1435</v>
      </c>
      <c r="I596" s="558"/>
      <c r="J596" s="558"/>
      <c r="K596" s="222">
        <f>TRUNC(SUMIF(C585:C592,H596,K585:K592),2)</f>
        <v>285.02999999999997</v>
      </c>
      <c r="L596" s="207"/>
    </row>
    <row r="597" spans="2:12">
      <c r="B597" s="213"/>
      <c r="C597" s="214"/>
      <c r="D597" s="214"/>
      <c r="E597" s="214"/>
      <c r="F597" s="214"/>
      <c r="G597" s="214"/>
      <c r="H597" s="559" t="s">
        <v>1224</v>
      </c>
      <c r="I597" s="559"/>
      <c r="J597" s="559"/>
      <c r="K597" s="223">
        <f>IF(K593&gt;K594,K593-K594,0)</f>
        <v>0</v>
      </c>
      <c r="L597" s="209"/>
    </row>
    <row r="599" spans="2:12">
      <c r="B599" s="247" t="s">
        <v>203</v>
      </c>
      <c r="C599" s="565" t="str">
        <f>VLOOKUP(B599,'BM 004'!$B$27:$R$590,2,0)</f>
        <v xml:space="preserve">Armação de pilar ou viga de uma estrutura convencional de concreto armado em um edifício de múltiplos pavimentos utilizando aço ca-50 de 10,0 mm - montagem. </v>
      </c>
      <c r="D599" s="565"/>
      <c r="E599" s="565"/>
      <c r="F599" s="565"/>
      <c r="G599" s="565"/>
      <c r="H599" s="565"/>
      <c r="I599" s="565"/>
      <c r="J599" s="565"/>
      <c r="K599" s="565"/>
      <c r="L599" s="565"/>
    </row>
    <row r="600" spans="2:12">
      <c r="B600" s="248" t="s">
        <v>1209</v>
      </c>
      <c r="C600" s="248"/>
      <c r="D600" s="248" t="s">
        <v>39</v>
      </c>
      <c r="E600" s="248" t="s">
        <v>1210</v>
      </c>
      <c r="F600" s="248" t="s">
        <v>1382</v>
      </c>
      <c r="G600" s="248" t="s">
        <v>1383</v>
      </c>
      <c r="H600" s="248" t="s">
        <v>1384</v>
      </c>
      <c r="I600" s="248" t="s">
        <v>1214</v>
      </c>
      <c r="J600" s="248" t="s">
        <v>1385</v>
      </c>
      <c r="K600" s="248" t="s">
        <v>1216</v>
      </c>
      <c r="L600" s="248" t="s">
        <v>1217</v>
      </c>
    </row>
    <row r="601" spans="2:12">
      <c r="B601" s="249" t="s">
        <v>1367</v>
      </c>
      <c r="C601" s="250" t="s">
        <v>1333</v>
      </c>
      <c r="D601" s="205" t="s">
        <v>152</v>
      </c>
      <c r="E601" s="251">
        <v>89</v>
      </c>
      <c r="F601" s="252">
        <v>0.61699999999999999</v>
      </c>
      <c r="G601" s="251"/>
      <c r="H601" s="251">
        <v>1.1000000000000001</v>
      </c>
      <c r="I601" s="251"/>
      <c r="J601" s="253"/>
      <c r="K601" s="254">
        <f t="shared" ref="K601:K607" si="15">IF(E601*F601*G601&lt;&gt;0,E601*F601*G601,IF(E601*F601&lt;&gt;0,E601*F601,IF(F601*G601&lt;&gt;0,F601*G601,IF(E601*G601&lt;&gt;0,E601*G601,IF(E601&lt;&gt;0,E601,IF(F601&lt;&gt;0,F601,IF(G601&lt;&gt;0,G601,0)))))))*(IF(H601&lt;&gt;0,H601,1))+I601-J601</f>
        <v>60.404299999999999</v>
      </c>
      <c r="L601" s="255"/>
    </row>
    <row r="602" spans="2:12">
      <c r="B602" s="249" t="s">
        <v>1386</v>
      </c>
      <c r="C602" s="250" t="s">
        <v>1333</v>
      </c>
      <c r="D602" s="205" t="s">
        <v>152</v>
      </c>
      <c r="E602" s="251">
        <v>92</v>
      </c>
      <c r="F602" s="252">
        <v>0.61699999999999999</v>
      </c>
      <c r="G602" s="251"/>
      <c r="H602" s="251">
        <v>1.1000000000000001</v>
      </c>
      <c r="I602" s="251"/>
      <c r="J602" s="253"/>
      <c r="K602" s="254">
        <f t="shared" si="15"/>
        <v>62.440400000000004</v>
      </c>
      <c r="L602" s="255"/>
    </row>
    <row r="603" spans="2:12">
      <c r="B603" s="263" t="s">
        <v>1475</v>
      </c>
      <c r="C603" s="264" t="s">
        <v>1441</v>
      </c>
      <c r="D603" s="205" t="s">
        <v>152</v>
      </c>
      <c r="E603" s="251">
        <v>238</v>
      </c>
      <c r="F603" s="252">
        <v>0.61699999999999999</v>
      </c>
      <c r="G603" s="251"/>
      <c r="H603" s="251">
        <v>1.1000000000000001</v>
      </c>
      <c r="I603" s="251"/>
      <c r="J603" s="253"/>
      <c r="K603" s="254">
        <f t="shared" si="15"/>
        <v>161.53060000000002</v>
      </c>
      <c r="L603" s="255"/>
    </row>
    <row r="604" spans="2:12">
      <c r="B604" s="263" t="s">
        <v>1476</v>
      </c>
      <c r="C604" s="264" t="s">
        <v>1441</v>
      </c>
      <c r="D604" s="205" t="s">
        <v>152</v>
      </c>
      <c r="E604" s="251">
        <v>167</v>
      </c>
      <c r="F604" s="252">
        <v>0.61699999999999999</v>
      </c>
      <c r="G604" s="251"/>
      <c r="H604" s="251">
        <v>1.1000000000000001</v>
      </c>
      <c r="I604" s="251"/>
      <c r="J604" s="253"/>
      <c r="K604" s="254">
        <f t="shared" si="15"/>
        <v>113.34290000000001</v>
      </c>
      <c r="L604" s="255"/>
    </row>
    <row r="605" spans="2:12">
      <c r="B605" s="263" t="s">
        <v>1552</v>
      </c>
      <c r="C605" s="264" t="s">
        <v>1521</v>
      </c>
      <c r="D605" s="205" t="s">
        <v>152</v>
      </c>
      <c r="E605" s="251">
        <v>538</v>
      </c>
      <c r="F605" s="252">
        <v>0.61699999999999999</v>
      </c>
      <c r="G605" s="251"/>
      <c r="H605" s="251">
        <v>1.1000000000000001</v>
      </c>
      <c r="I605" s="251"/>
      <c r="J605" s="253"/>
      <c r="K605" s="254">
        <f t="shared" si="15"/>
        <v>365.14060000000001</v>
      </c>
      <c r="L605" s="266"/>
    </row>
    <row r="606" spans="2:12">
      <c r="B606" s="263" t="s">
        <v>1553</v>
      </c>
      <c r="C606" s="264" t="s">
        <v>1521</v>
      </c>
      <c r="D606" s="205" t="s">
        <v>152</v>
      </c>
      <c r="E606" s="251">
        <v>109</v>
      </c>
      <c r="F606" s="252">
        <v>0.61699999999999999</v>
      </c>
      <c r="G606" s="251"/>
      <c r="H606" s="251">
        <v>1.1000000000000001</v>
      </c>
      <c r="I606" s="251"/>
      <c r="J606" s="253"/>
      <c r="K606" s="254">
        <f t="shared" si="15"/>
        <v>73.978300000000004</v>
      </c>
      <c r="L606" s="266"/>
    </row>
    <row r="607" spans="2:12">
      <c r="B607" s="256"/>
      <c r="C607" s="210"/>
      <c r="D607" s="210"/>
      <c r="E607" s="257"/>
      <c r="F607" s="258"/>
      <c r="G607" s="257"/>
      <c r="H607" s="257"/>
      <c r="I607" s="257"/>
      <c r="J607" s="259"/>
      <c r="K607" s="260">
        <f t="shared" si="15"/>
        <v>0</v>
      </c>
      <c r="L607" s="210"/>
    </row>
    <row r="608" spans="2:12">
      <c r="B608" s="202"/>
      <c r="C608" s="203"/>
      <c r="D608" s="203"/>
      <c r="E608" s="203"/>
      <c r="F608" s="203"/>
      <c r="G608" s="203"/>
      <c r="H608" s="204"/>
      <c r="I608" s="556" t="s">
        <v>1221</v>
      </c>
      <c r="J608" s="556"/>
      <c r="K608" s="220">
        <f>SUM(K601:K607)</f>
        <v>836.83709999999996</v>
      </c>
      <c r="L608" s="207"/>
    </row>
    <row r="609" spans="2:12">
      <c r="B609" s="208"/>
      <c r="C609" s="204"/>
      <c r="D609" s="204"/>
      <c r="E609" s="204"/>
      <c r="F609" s="204"/>
      <c r="G609" s="204"/>
      <c r="H609" s="209"/>
      <c r="I609" s="557" t="s">
        <v>1222</v>
      </c>
      <c r="J609" s="557"/>
      <c r="K609" s="221">
        <f>VLOOKUP(B599,'BM 004'!$B$27:$R$590,4,0)</f>
        <v>4215.2</v>
      </c>
      <c r="L609" s="207"/>
    </row>
    <row r="610" spans="2:12">
      <c r="B610" s="208"/>
      <c r="C610" s="204"/>
      <c r="D610" s="204"/>
      <c r="E610" s="204"/>
      <c r="F610" s="204"/>
      <c r="G610" s="204"/>
      <c r="H610" s="558" t="s">
        <v>1223</v>
      </c>
      <c r="I610" s="558"/>
      <c r="J610" s="558"/>
      <c r="K610" s="222">
        <f>K608-K611</f>
        <v>397.72709999999995</v>
      </c>
      <c r="L610" s="207"/>
    </row>
    <row r="611" spans="2:12">
      <c r="B611" s="208"/>
      <c r="C611" s="204"/>
      <c r="D611" s="204"/>
      <c r="E611" s="204"/>
      <c r="F611" s="204"/>
      <c r="G611" s="204"/>
      <c r="H611" s="558" t="s">
        <v>1435</v>
      </c>
      <c r="I611" s="558"/>
      <c r="J611" s="558"/>
      <c r="K611" s="222">
        <f>TRUNC(SUMIF(C601:C607,H611,K601:K607),2)</f>
        <v>439.11</v>
      </c>
      <c r="L611" s="207"/>
    </row>
    <row r="612" spans="2:12">
      <c r="B612" s="213"/>
      <c r="C612" s="214"/>
      <c r="D612" s="214"/>
      <c r="E612" s="214"/>
      <c r="F612" s="214"/>
      <c r="G612" s="214"/>
      <c r="H612" s="559" t="s">
        <v>1224</v>
      </c>
      <c r="I612" s="559"/>
      <c r="J612" s="559"/>
      <c r="K612" s="223">
        <f>IF(K608&gt;K609,K608-K609,0)</f>
        <v>0</v>
      </c>
      <c r="L612" s="209"/>
    </row>
    <row r="614" spans="2:12">
      <c r="B614" s="247" t="s">
        <v>205</v>
      </c>
      <c r="C614" s="565" t="str">
        <f>VLOOKUP(B614,'BM 004'!$B$27:$R$590,2,0)</f>
        <v xml:space="preserve">Armação de pilar ou viga de uma estrutura convencional de concreto armado em um edifício de múltiplos pavimentos utilizando aço ca-50 de 12,5 mm - montagem. </v>
      </c>
      <c r="D614" s="565"/>
      <c r="E614" s="565"/>
      <c r="F614" s="565"/>
      <c r="G614" s="565"/>
      <c r="H614" s="565"/>
      <c r="I614" s="565"/>
      <c r="J614" s="565"/>
      <c r="K614" s="565"/>
      <c r="L614" s="565"/>
    </row>
    <row r="615" spans="2:12">
      <c r="B615" s="248" t="s">
        <v>1209</v>
      </c>
      <c r="C615" s="248"/>
      <c r="D615" s="248" t="s">
        <v>39</v>
      </c>
      <c r="E615" s="248" t="s">
        <v>1210</v>
      </c>
      <c r="F615" s="248" t="s">
        <v>1382</v>
      </c>
      <c r="G615" s="248" t="s">
        <v>1383</v>
      </c>
      <c r="H615" s="248" t="s">
        <v>1384</v>
      </c>
      <c r="I615" s="248" t="s">
        <v>1214</v>
      </c>
      <c r="J615" s="248" t="s">
        <v>1385</v>
      </c>
      <c r="K615" s="248" t="s">
        <v>1216</v>
      </c>
      <c r="L615" s="248" t="s">
        <v>1217</v>
      </c>
    </row>
    <row r="616" spans="2:12">
      <c r="B616" s="249" t="s">
        <v>1367</v>
      </c>
      <c r="C616" s="250" t="s">
        <v>1333</v>
      </c>
      <c r="D616" s="205" t="s">
        <v>152</v>
      </c>
      <c r="E616" s="251">
        <v>89</v>
      </c>
      <c r="F616" s="252">
        <v>0.96299999999999997</v>
      </c>
      <c r="G616" s="251"/>
      <c r="H616" s="251">
        <v>1.1000000000000001</v>
      </c>
      <c r="I616" s="251"/>
      <c r="J616" s="253"/>
      <c r="K616" s="254">
        <f t="shared" ref="K616:K623" si="16">IF(E616*F616*G616&lt;&gt;0,E616*F616*G616,IF(E616*F616&lt;&gt;0,E616*F616,IF(F616*G616&lt;&gt;0,F616*G616,IF(E616*G616&lt;&gt;0,E616*G616,IF(E616&lt;&gt;0,E616,IF(F616&lt;&gt;0,F616,IF(G616&lt;&gt;0,G616,0)))))))*(IF(H616&lt;&gt;0,H616,1))+I616-J616</f>
        <v>94.277699999999996</v>
      </c>
      <c r="L616" s="255"/>
    </row>
    <row r="617" spans="2:12">
      <c r="B617" s="249" t="s">
        <v>1386</v>
      </c>
      <c r="C617" s="250" t="s">
        <v>1333</v>
      </c>
      <c r="D617" s="205" t="s">
        <v>152</v>
      </c>
      <c r="E617" s="251">
        <v>72</v>
      </c>
      <c r="F617" s="252">
        <v>0.96299999999999997</v>
      </c>
      <c r="G617" s="251"/>
      <c r="H617" s="251">
        <v>1.1000000000000001</v>
      </c>
      <c r="I617" s="251"/>
      <c r="J617" s="253"/>
      <c r="K617" s="254">
        <f t="shared" si="16"/>
        <v>76.269600000000011</v>
      </c>
      <c r="L617" s="255"/>
    </row>
    <row r="618" spans="2:12">
      <c r="B618" s="263" t="s">
        <v>1475</v>
      </c>
      <c r="C618" s="264" t="s">
        <v>1441</v>
      </c>
      <c r="D618" s="205" t="s">
        <v>152</v>
      </c>
      <c r="E618" s="251">
        <v>140</v>
      </c>
      <c r="F618" s="252">
        <v>0.96299999999999997</v>
      </c>
      <c r="G618" s="251"/>
      <c r="H618" s="251">
        <v>1.1000000000000001</v>
      </c>
      <c r="I618" s="251"/>
      <c r="J618" s="253"/>
      <c r="K618" s="254">
        <f t="shared" si="16"/>
        <v>148.30199999999999</v>
      </c>
      <c r="L618" s="255"/>
    </row>
    <row r="619" spans="2:12">
      <c r="B619" s="263" t="s">
        <v>1476</v>
      </c>
      <c r="C619" s="264" t="s">
        <v>1441</v>
      </c>
      <c r="D619" s="205" t="s">
        <v>152</v>
      </c>
      <c r="E619" s="251">
        <v>119</v>
      </c>
      <c r="F619" s="252">
        <v>0.96299999999999997</v>
      </c>
      <c r="G619" s="251"/>
      <c r="H619" s="251">
        <v>1.1000000000000001</v>
      </c>
      <c r="I619" s="251"/>
      <c r="J619" s="253"/>
      <c r="K619" s="254">
        <f t="shared" si="16"/>
        <v>126.05670000000001</v>
      </c>
      <c r="L619" s="255"/>
    </row>
    <row r="620" spans="2:12">
      <c r="B620" s="256" t="s">
        <v>1478</v>
      </c>
      <c r="C620" s="210" t="s">
        <v>1441</v>
      </c>
      <c r="D620" s="210" t="s">
        <v>152</v>
      </c>
      <c r="E620" s="258"/>
      <c r="F620" s="258"/>
      <c r="G620" s="257"/>
      <c r="H620" s="257"/>
      <c r="I620" s="257">
        <v>1361.5128999999999</v>
      </c>
      <c r="J620" s="259"/>
      <c r="K620" s="260">
        <f t="shared" si="16"/>
        <v>1361.5128999999999</v>
      </c>
      <c r="L620" s="210"/>
    </row>
    <row r="621" spans="2:12">
      <c r="B621" s="256" t="s">
        <v>1479</v>
      </c>
      <c r="C621" s="210" t="s">
        <v>1441</v>
      </c>
      <c r="D621" s="210" t="s">
        <v>152</v>
      </c>
      <c r="E621" s="258"/>
      <c r="F621" s="258"/>
      <c r="G621" s="257"/>
      <c r="H621" s="257"/>
      <c r="I621" s="257">
        <v>126.92</v>
      </c>
      <c r="J621" s="259"/>
      <c r="K621" s="260">
        <f t="shared" si="16"/>
        <v>126.92</v>
      </c>
      <c r="L621" s="210"/>
    </row>
    <row r="622" spans="2:12">
      <c r="B622" s="263" t="s">
        <v>1552</v>
      </c>
      <c r="C622" s="264" t="s">
        <v>1521</v>
      </c>
      <c r="D622" s="205" t="s">
        <v>152</v>
      </c>
      <c r="E622" s="251">
        <v>144</v>
      </c>
      <c r="F622" s="252">
        <v>0.96299999999999997</v>
      </c>
      <c r="G622" s="251"/>
      <c r="H622" s="251">
        <v>1.1000000000000001</v>
      </c>
      <c r="I622" s="251"/>
      <c r="J622" s="253"/>
      <c r="K622" s="254">
        <f t="shared" si="16"/>
        <v>152.53920000000002</v>
      </c>
      <c r="L622" s="266"/>
    </row>
    <row r="623" spans="2:12">
      <c r="B623" s="263" t="s">
        <v>1553</v>
      </c>
      <c r="C623" s="264" t="s">
        <v>1521</v>
      </c>
      <c r="D623" s="205" t="s">
        <v>152</v>
      </c>
      <c r="E623" s="251">
        <v>34</v>
      </c>
      <c r="F623" s="252">
        <v>0.96299999999999997</v>
      </c>
      <c r="G623" s="251"/>
      <c r="H623" s="251">
        <v>1.1000000000000001</v>
      </c>
      <c r="I623" s="251"/>
      <c r="J623" s="253"/>
      <c r="K623" s="254">
        <f t="shared" si="16"/>
        <v>36.016199999999998</v>
      </c>
      <c r="L623" s="266"/>
    </row>
    <row r="624" spans="2:12">
      <c r="B624" s="263"/>
      <c r="C624" s="264"/>
      <c r="D624" s="210"/>
      <c r="E624" s="257"/>
      <c r="F624" s="258"/>
      <c r="G624" s="257"/>
      <c r="H624" s="257"/>
      <c r="I624" s="257"/>
      <c r="J624" s="259"/>
      <c r="K624" s="265"/>
      <c r="L624" s="266"/>
    </row>
    <row r="625" spans="2:12">
      <c r="B625" s="202"/>
      <c r="C625" s="203"/>
      <c r="D625" s="203"/>
      <c r="E625" s="203"/>
      <c r="F625" s="203"/>
      <c r="G625" s="203"/>
      <c r="H625" s="204"/>
      <c r="I625" s="556" t="s">
        <v>1221</v>
      </c>
      <c r="J625" s="556"/>
      <c r="K625" s="220">
        <f>SUM(K616:K624)</f>
        <v>2121.8942999999999</v>
      </c>
      <c r="L625" s="207"/>
    </row>
    <row r="626" spans="2:12">
      <c r="B626" s="208"/>
      <c r="C626" s="204"/>
      <c r="D626" s="204"/>
      <c r="E626" s="204"/>
      <c r="F626" s="204"/>
      <c r="G626" s="204"/>
      <c r="H626" s="209"/>
      <c r="I626" s="557" t="s">
        <v>1222</v>
      </c>
      <c r="J626" s="557"/>
      <c r="K626" s="221">
        <f>VLOOKUP(B614,'BM 004'!$B$27:$R$590,4,0)</f>
        <v>3267</v>
      </c>
      <c r="L626" s="207"/>
    </row>
    <row r="627" spans="2:12">
      <c r="B627" s="208"/>
      <c r="C627" s="204"/>
      <c r="D627" s="204"/>
      <c r="E627" s="204"/>
      <c r="F627" s="204"/>
      <c r="G627" s="204"/>
      <c r="H627" s="558" t="s">
        <v>1223</v>
      </c>
      <c r="I627" s="558"/>
      <c r="J627" s="558"/>
      <c r="K627" s="222">
        <f>K625-K628</f>
        <v>1933.3443</v>
      </c>
      <c r="L627" s="207"/>
    </row>
    <row r="628" spans="2:12">
      <c r="B628" s="208"/>
      <c r="C628" s="204"/>
      <c r="D628" s="204"/>
      <c r="E628" s="204"/>
      <c r="F628" s="204"/>
      <c r="G628" s="204"/>
      <c r="H628" s="558" t="s">
        <v>1435</v>
      </c>
      <c r="I628" s="558"/>
      <c r="J628" s="558"/>
      <c r="K628" s="222">
        <f>TRUNC(SUMIF(C616:C624,H628,K616:K624),2)</f>
        <v>188.55</v>
      </c>
      <c r="L628" s="207"/>
    </row>
    <row r="629" spans="2:12">
      <c r="B629" s="213"/>
      <c r="C629" s="214"/>
      <c r="D629" s="214"/>
      <c r="E629" s="214"/>
      <c r="F629" s="214"/>
      <c r="G629" s="214"/>
      <c r="H629" s="559" t="s">
        <v>1224</v>
      </c>
      <c r="I629" s="559"/>
      <c r="J629" s="559"/>
      <c r="K629" s="223">
        <f>IF(K625&gt;K626,K625-K626,0)</f>
        <v>0</v>
      </c>
      <c r="L629" s="209"/>
    </row>
    <row r="631" spans="2:12">
      <c r="B631" s="247" t="s">
        <v>207</v>
      </c>
      <c r="C631" s="565" t="str">
        <f>VLOOKUP(B631,'BM 004'!$B$27:$R$590,2,0)</f>
        <v xml:space="preserve">Armação de pilar ou viga de uma estrutura convencional de concreto armado em um edifício de múltiplos pavimentos utilizando aço ca-50 de 16,0 mm - montagem. </v>
      </c>
      <c r="D631" s="565"/>
      <c r="E631" s="565"/>
      <c r="F631" s="565"/>
      <c r="G631" s="565"/>
      <c r="H631" s="565"/>
      <c r="I631" s="565"/>
      <c r="J631" s="565"/>
      <c r="K631" s="565"/>
      <c r="L631" s="565"/>
    </row>
    <row r="632" spans="2:12">
      <c r="B632" s="248" t="s">
        <v>1209</v>
      </c>
      <c r="C632" s="248"/>
      <c r="D632" s="248" t="s">
        <v>39</v>
      </c>
      <c r="E632" s="248" t="s">
        <v>1210</v>
      </c>
      <c r="F632" s="248" t="s">
        <v>1382</v>
      </c>
      <c r="G632" s="248" t="s">
        <v>1383</v>
      </c>
      <c r="H632" s="248" t="s">
        <v>1384</v>
      </c>
      <c r="I632" s="248" t="s">
        <v>1214</v>
      </c>
      <c r="J632" s="248" t="s">
        <v>1385</v>
      </c>
      <c r="K632" s="248" t="s">
        <v>1216</v>
      </c>
      <c r="L632" s="248" t="s">
        <v>1217</v>
      </c>
    </row>
    <row r="633" spans="2:12">
      <c r="B633" s="249" t="s">
        <v>1367</v>
      </c>
      <c r="C633" s="250" t="s">
        <v>1333</v>
      </c>
      <c r="D633" s="205" t="s">
        <v>152</v>
      </c>
      <c r="E633" s="251">
        <v>221</v>
      </c>
      <c r="F633" s="252">
        <v>1.5780000000000001</v>
      </c>
      <c r="G633" s="251"/>
      <c r="H633" s="251">
        <v>1.1000000000000001</v>
      </c>
      <c r="I633" s="251"/>
      <c r="J633" s="253"/>
      <c r="K633" s="254">
        <f t="shared" ref="K633:K639" si="17">IF(E633*F633*G633&lt;&gt;0,E633*F633*G633,IF(E633*F633&lt;&gt;0,E633*F633,IF(F633*G633&lt;&gt;0,F633*G633,IF(E633*G633&lt;&gt;0,E633*G633,IF(E633&lt;&gt;0,E633,IF(F633&lt;&gt;0,F633,IF(G633&lt;&gt;0,G633,0)))))))*(IF(H633&lt;&gt;0,H633,1))+I633-J633</f>
        <v>383.61180000000002</v>
      </c>
      <c r="L633" s="255"/>
    </row>
    <row r="634" spans="2:12">
      <c r="B634" s="249" t="s">
        <v>1386</v>
      </c>
      <c r="C634" s="250" t="s">
        <v>1333</v>
      </c>
      <c r="D634" s="205" t="s">
        <v>152</v>
      </c>
      <c r="E634" s="251">
        <v>236</v>
      </c>
      <c r="F634" s="252">
        <v>1.5780000000000001</v>
      </c>
      <c r="G634" s="251"/>
      <c r="H634" s="251">
        <v>1.1000000000000001</v>
      </c>
      <c r="I634" s="251"/>
      <c r="J634" s="253"/>
      <c r="K634" s="254">
        <f t="shared" si="17"/>
        <v>409.64880000000005</v>
      </c>
      <c r="L634" s="255"/>
    </row>
    <row r="635" spans="2:12">
      <c r="B635" s="263" t="s">
        <v>1475</v>
      </c>
      <c r="C635" s="264" t="s">
        <v>1441</v>
      </c>
      <c r="D635" s="205" t="s">
        <v>152</v>
      </c>
      <c r="E635" s="251">
        <v>201</v>
      </c>
      <c r="F635" s="252">
        <v>1.5780000000000001</v>
      </c>
      <c r="G635" s="251"/>
      <c r="H635" s="251">
        <v>1.1000000000000001</v>
      </c>
      <c r="I635" s="251"/>
      <c r="J635" s="253"/>
      <c r="K635" s="254">
        <f t="shared" si="17"/>
        <v>348.89580000000001</v>
      </c>
      <c r="L635" s="255"/>
    </row>
    <row r="636" spans="2:12">
      <c r="B636" s="263" t="s">
        <v>1476</v>
      </c>
      <c r="C636" s="264" t="s">
        <v>1441</v>
      </c>
      <c r="D636" s="205" t="s">
        <v>152</v>
      </c>
      <c r="E636" s="251">
        <v>215</v>
      </c>
      <c r="F636" s="252">
        <v>1.5780000000000001</v>
      </c>
      <c r="G636" s="251"/>
      <c r="H636" s="251">
        <v>1.1000000000000001</v>
      </c>
      <c r="I636" s="251"/>
      <c r="J636" s="253"/>
      <c r="K636" s="254">
        <f t="shared" si="17"/>
        <v>373.19700000000006</v>
      </c>
      <c r="L636" s="255"/>
    </row>
    <row r="637" spans="2:12">
      <c r="B637" s="263" t="s">
        <v>1552</v>
      </c>
      <c r="C637" s="264" t="s">
        <v>1521</v>
      </c>
      <c r="D637" s="205" t="s">
        <v>152</v>
      </c>
      <c r="E637" s="251">
        <v>67</v>
      </c>
      <c r="F637" s="252">
        <v>1.5780000000000001</v>
      </c>
      <c r="G637" s="251"/>
      <c r="H637" s="251">
        <v>1.1000000000000001</v>
      </c>
      <c r="I637" s="251"/>
      <c r="J637" s="253"/>
      <c r="K637" s="254">
        <f t="shared" si="17"/>
        <v>116.29860000000001</v>
      </c>
      <c r="L637" s="266"/>
    </row>
    <row r="638" spans="2:12">
      <c r="B638" s="263" t="s">
        <v>1553</v>
      </c>
      <c r="C638" s="264" t="s">
        <v>1521</v>
      </c>
      <c r="D638" s="205" t="s">
        <v>152</v>
      </c>
      <c r="E638" s="251">
        <v>188</v>
      </c>
      <c r="F638" s="252">
        <v>1.5780000000000001</v>
      </c>
      <c r="G638" s="251"/>
      <c r="H638" s="251">
        <v>1.1000000000000001</v>
      </c>
      <c r="I638" s="251"/>
      <c r="J638" s="253"/>
      <c r="K638" s="254">
        <f t="shared" si="17"/>
        <v>326.3304</v>
      </c>
      <c r="L638" s="266"/>
    </row>
    <row r="639" spans="2:12">
      <c r="B639" s="256"/>
      <c r="C639" s="210"/>
      <c r="D639" s="210"/>
      <c r="E639" s="257"/>
      <c r="F639" s="258"/>
      <c r="G639" s="257"/>
      <c r="H639" s="257"/>
      <c r="I639" s="257"/>
      <c r="J639" s="259"/>
      <c r="K639" s="260">
        <f t="shared" si="17"/>
        <v>0</v>
      </c>
      <c r="L639" s="210"/>
    </row>
    <row r="640" spans="2:12">
      <c r="B640" s="202"/>
      <c r="C640" s="203"/>
      <c r="D640" s="203"/>
      <c r="E640" s="203"/>
      <c r="F640" s="203"/>
      <c r="G640" s="203"/>
      <c r="H640" s="204"/>
      <c r="I640" s="556" t="s">
        <v>1221</v>
      </c>
      <c r="J640" s="556"/>
      <c r="K640" s="220">
        <f>SUM(K633:K639)</f>
        <v>1957.9824000000003</v>
      </c>
      <c r="L640" s="207"/>
    </row>
    <row r="641" spans="2:12">
      <c r="B641" s="208"/>
      <c r="C641" s="204"/>
      <c r="D641" s="204"/>
      <c r="E641" s="204"/>
      <c r="F641" s="204"/>
      <c r="G641" s="204"/>
      <c r="H641" s="209"/>
      <c r="I641" s="557" t="s">
        <v>1222</v>
      </c>
      <c r="J641" s="557"/>
      <c r="K641" s="221">
        <f>VLOOKUP(B631,'BM 004'!$B$27:$R$590,4,0)</f>
        <v>8421.6</v>
      </c>
      <c r="L641" s="207"/>
    </row>
    <row r="642" spans="2:12">
      <c r="B642" s="208"/>
      <c r="C642" s="204"/>
      <c r="D642" s="204"/>
      <c r="E642" s="204"/>
      <c r="F642" s="204"/>
      <c r="G642" s="204"/>
      <c r="H642" s="558" t="s">
        <v>1223</v>
      </c>
      <c r="I642" s="558"/>
      <c r="J642" s="558"/>
      <c r="K642" s="222">
        <f>K640-K643</f>
        <v>1515.3624000000004</v>
      </c>
      <c r="L642" s="207"/>
    </row>
    <row r="643" spans="2:12">
      <c r="B643" s="208"/>
      <c r="C643" s="204"/>
      <c r="D643" s="204"/>
      <c r="E643" s="204"/>
      <c r="F643" s="204"/>
      <c r="G643" s="204"/>
      <c r="H643" s="558" t="s">
        <v>1435</v>
      </c>
      <c r="I643" s="558"/>
      <c r="J643" s="558"/>
      <c r="K643" s="222">
        <f>TRUNC(SUMIF(C633:C639,H643,K633:K639),2)</f>
        <v>442.62</v>
      </c>
      <c r="L643" s="207"/>
    </row>
    <row r="644" spans="2:12">
      <c r="B644" s="213"/>
      <c r="C644" s="214"/>
      <c r="D644" s="214"/>
      <c r="E644" s="214"/>
      <c r="F644" s="214"/>
      <c r="G644" s="214"/>
      <c r="H644" s="559" t="s">
        <v>1224</v>
      </c>
      <c r="I644" s="559"/>
      <c r="J644" s="559"/>
      <c r="K644" s="223">
        <f>IF(K640&gt;K641,K640-K641,0)</f>
        <v>0</v>
      </c>
      <c r="L644" s="209"/>
    </row>
    <row r="646" spans="2:12">
      <c r="B646" s="247" t="s">
        <v>209</v>
      </c>
      <c r="C646" s="565" t="str">
        <f>VLOOKUP(B646,'BM 004'!$B$27:$R$590,2,0)</f>
        <v xml:space="preserve">Armação de pilar ou viga de uma estrutura convencional de concreto armado em um edifício de múltiplos pavimentos utilizando aço ca-50 de 20,0 mm - montagem. </v>
      </c>
      <c r="D646" s="565"/>
      <c r="E646" s="565"/>
      <c r="F646" s="565"/>
      <c r="G646" s="565"/>
      <c r="H646" s="565"/>
      <c r="I646" s="565"/>
      <c r="J646" s="565"/>
      <c r="K646" s="565"/>
      <c r="L646" s="565"/>
    </row>
    <row r="647" spans="2:12">
      <c r="B647" s="248" t="s">
        <v>1209</v>
      </c>
      <c r="C647" s="248"/>
      <c r="D647" s="248" t="s">
        <v>39</v>
      </c>
      <c r="E647" s="248" t="s">
        <v>1210</v>
      </c>
      <c r="F647" s="248" t="s">
        <v>1382</v>
      </c>
      <c r="G647" s="248" t="s">
        <v>1383</v>
      </c>
      <c r="H647" s="248" t="s">
        <v>1384</v>
      </c>
      <c r="I647" s="248" t="s">
        <v>1214</v>
      </c>
      <c r="J647" s="248" t="s">
        <v>1385</v>
      </c>
      <c r="K647" s="248" t="s">
        <v>1216</v>
      </c>
      <c r="L647" s="248" t="s">
        <v>1217</v>
      </c>
    </row>
    <row r="648" spans="2:12">
      <c r="B648" s="249" t="s">
        <v>1367</v>
      </c>
      <c r="C648" s="250" t="s">
        <v>1333</v>
      </c>
      <c r="D648" s="205" t="s">
        <v>152</v>
      </c>
      <c r="E648" s="251">
        <v>75</v>
      </c>
      <c r="F648" s="252">
        <v>2.4660000000000002</v>
      </c>
      <c r="G648" s="251"/>
      <c r="H648" s="251">
        <v>1.1000000000000001</v>
      </c>
      <c r="I648" s="251"/>
      <c r="J648" s="253"/>
      <c r="K648" s="254">
        <f t="shared" ref="K648:K655" si="18">IF(E648*F648*G648&lt;&gt;0,E648*F648*G648,IF(E648*F648&lt;&gt;0,E648*F648,IF(F648*G648&lt;&gt;0,F648*G648,IF(E648*G648&lt;&gt;0,E648*G648,IF(E648&lt;&gt;0,E648,IF(F648&lt;&gt;0,F648,IF(G648&lt;&gt;0,G648,0)))))))*(IF(H648&lt;&gt;0,H648,1))+I648-J648</f>
        <v>203.44500000000002</v>
      </c>
      <c r="L648" s="255"/>
    </row>
    <row r="649" spans="2:12">
      <c r="B649" s="249" t="s">
        <v>1386</v>
      </c>
      <c r="C649" s="250" t="s">
        <v>1333</v>
      </c>
      <c r="D649" s="205" t="s">
        <v>152</v>
      </c>
      <c r="E649" s="251">
        <v>95</v>
      </c>
      <c r="F649" s="252">
        <v>2.4660000000000002</v>
      </c>
      <c r="G649" s="251"/>
      <c r="H649" s="251">
        <v>1.1000000000000001</v>
      </c>
      <c r="I649" s="251"/>
      <c r="J649" s="253"/>
      <c r="K649" s="254">
        <f t="shared" si="18"/>
        <v>257.69700000000006</v>
      </c>
      <c r="L649" s="255"/>
    </row>
    <row r="650" spans="2:12">
      <c r="B650" s="263" t="s">
        <v>1475</v>
      </c>
      <c r="C650" s="264" t="s">
        <v>1441</v>
      </c>
      <c r="D650" s="205" t="s">
        <v>152</v>
      </c>
      <c r="E650" s="251">
        <v>150</v>
      </c>
      <c r="F650" s="252">
        <v>2.4660000000000002</v>
      </c>
      <c r="G650" s="251"/>
      <c r="H650" s="251">
        <v>1.1000000000000001</v>
      </c>
      <c r="I650" s="251"/>
      <c r="J650" s="253"/>
      <c r="K650" s="254">
        <f t="shared" si="18"/>
        <v>406.89000000000004</v>
      </c>
      <c r="L650" s="255"/>
    </row>
    <row r="651" spans="2:12">
      <c r="B651" s="263" t="s">
        <v>1476</v>
      </c>
      <c r="C651" s="264" t="s">
        <v>1441</v>
      </c>
      <c r="D651" s="205" t="s">
        <v>152</v>
      </c>
      <c r="E651" s="251">
        <v>137</v>
      </c>
      <c r="F651" s="252">
        <v>2.4660000000000002</v>
      </c>
      <c r="G651" s="251"/>
      <c r="H651" s="251">
        <v>1.1000000000000001</v>
      </c>
      <c r="I651" s="251"/>
      <c r="J651" s="253"/>
      <c r="K651" s="254">
        <f t="shared" si="18"/>
        <v>371.6262000000001</v>
      </c>
      <c r="L651" s="255"/>
    </row>
    <row r="652" spans="2:12">
      <c r="B652" s="263" t="s">
        <v>1302</v>
      </c>
      <c r="C652" s="264" t="s">
        <v>1441</v>
      </c>
      <c r="D652" s="205" t="s">
        <v>152</v>
      </c>
      <c r="E652" s="251">
        <v>157</v>
      </c>
      <c r="F652" s="252">
        <v>2.4660000000000002</v>
      </c>
      <c r="G652" s="251"/>
      <c r="H652" s="251">
        <v>1.1000000000000001</v>
      </c>
      <c r="I652" s="251"/>
      <c r="J652" s="253"/>
      <c r="K652" s="254">
        <f t="shared" si="18"/>
        <v>425.87820000000005</v>
      </c>
      <c r="L652" s="255"/>
    </row>
    <row r="653" spans="2:12">
      <c r="B653" s="263" t="s">
        <v>1552</v>
      </c>
      <c r="C653" s="264" t="s">
        <v>1521</v>
      </c>
      <c r="D653" s="205" t="s">
        <v>152</v>
      </c>
      <c r="E653" s="251">
        <v>172</v>
      </c>
      <c r="F653" s="252">
        <v>2.4660000000000002</v>
      </c>
      <c r="G653" s="251"/>
      <c r="H653" s="251">
        <v>1.1000000000000001</v>
      </c>
      <c r="I653" s="251"/>
      <c r="J653" s="253"/>
      <c r="K653" s="254">
        <f t="shared" si="18"/>
        <v>466.56720000000007</v>
      </c>
      <c r="L653" s="266"/>
    </row>
    <row r="654" spans="2:12">
      <c r="B654" s="263" t="s">
        <v>1553</v>
      </c>
      <c r="C654" s="264" t="s">
        <v>1521</v>
      </c>
      <c r="D654" s="205" t="s">
        <v>152</v>
      </c>
      <c r="E654" s="251">
        <v>47</v>
      </c>
      <c r="F654" s="252">
        <v>2.4660000000000002</v>
      </c>
      <c r="G654" s="251"/>
      <c r="H654" s="251">
        <v>1.1000000000000001</v>
      </c>
      <c r="I654" s="251"/>
      <c r="J654" s="253"/>
      <c r="K654" s="254">
        <f t="shared" si="18"/>
        <v>127.49220000000003</v>
      </c>
      <c r="L654" s="266"/>
    </row>
    <row r="655" spans="2:12">
      <c r="B655" s="256"/>
      <c r="C655" s="210"/>
      <c r="D655" s="210"/>
      <c r="E655" s="257"/>
      <c r="F655" s="258"/>
      <c r="G655" s="257"/>
      <c r="H655" s="257"/>
      <c r="I655" s="257"/>
      <c r="J655" s="259"/>
      <c r="K655" s="260">
        <f t="shared" si="18"/>
        <v>0</v>
      </c>
      <c r="L655" s="210"/>
    </row>
    <row r="656" spans="2:12">
      <c r="B656" s="202"/>
      <c r="C656" s="203"/>
      <c r="D656" s="203"/>
      <c r="E656" s="203"/>
      <c r="F656" s="203"/>
      <c r="G656" s="203"/>
      <c r="H656" s="204"/>
      <c r="I656" s="556" t="s">
        <v>1221</v>
      </c>
      <c r="J656" s="556"/>
      <c r="K656" s="220">
        <f>SUM(K648:K655)</f>
        <v>2259.5958000000005</v>
      </c>
      <c r="L656" s="207"/>
    </row>
    <row r="657" spans="2:12">
      <c r="B657" s="208"/>
      <c r="C657" s="204"/>
      <c r="D657" s="204"/>
      <c r="E657" s="204"/>
      <c r="F657" s="204"/>
      <c r="G657" s="204"/>
      <c r="H657" s="209"/>
      <c r="I657" s="557" t="s">
        <v>1222</v>
      </c>
      <c r="J657" s="557"/>
      <c r="K657" s="221">
        <f>VLOOKUP(B646,'BM 004'!$B$27:$R$590,4,0)</f>
        <v>7144.5</v>
      </c>
      <c r="L657" s="207"/>
    </row>
    <row r="658" spans="2:12">
      <c r="B658" s="208"/>
      <c r="C658" s="204"/>
      <c r="D658" s="204"/>
      <c r="E658" s="204"/>
      <c r="F658" s="204"/>
      <c r="G658" s="204"/>
      <c r="H658" s="558" t="s">
        <v>1223</v>
      </c>
      <c r="I658" s="558"/>
      <c r="J658" s="558"/>
      <c r="K658" s="222">
        <f>K656-K659</f>
        <v>1055.2058000000004</v>
      </c>
      <c r="L658" s="207"/>
    </row>
    <row r="659" spans="2:12">
      <c r="B659" s="208"/>
      <c r="C659" s="204"/>
      <c r="D659" s="204"/>
      <c r="E659" s="204"/>
      <c r="F659" s="204"/>
      <c r="G659" s="204"/>
      <c r="H659" s="558" t="s">
        <v>1431</v>
      </c>
      <c r="I659" s="558"/>
      <c r="J659" s="558"/>
      <c r="K659" s="222">
        <f>TRUNC(SUMIF(C648:C655,H659,K648:K655),2)</f>
        <v>1204.3900000000001</v>
      </c>
      <c r="L659" s="207"/>
    </row>
    <row r="660" spans="2:12">
      <c r="B660" s="213"/>
      <c r="C660" s="214"/>
      <c r="D660" s="214"/>
      <c r="E660" s="214"/>
      <c r="F660" s="214"/>
      <c r="G660" s="214"/>
      <c r="H660" s="559" t="s">
        <v>1224</v>
      </c>
      <c r="I660" s="559"/>
      <c r="J660" s="559"/>
      <c r="K660" s="223">
        <f>IF(K656&gt;K657,K656-K657,0)</f>
        <v>0</v>
      </c>
      <c r="L660" s="209"/>
    </row>
    <row r="662" spans="2:12">
      <c r="B662" s="247" t="s">
        <v>211</v>
      </c>
      <c r="C662" s="565" t="str">
        <f>VLOOKUP(B662,'BM 004'!$B$27:$R$590,2,0)</f>
        <v xml:space="preserve">Armação de pilar ou viga de uma estrutura convencional de concreto armado em um edifício de múltiplos pavimentos utilizando aço ca-50 de 25,0 mm - montagem. </v>
      </c>
      <c r="D662" s="565"/>
      <c r="E662" s="565"/>
      <c r="F662" s="565"/>
      <c r="G662" s="565"/>
      <c r="H662" s="565"/>
      <c r="I662" s="565"/>
      <c r="J662" s="565"/>
      <c r="K662" s="565"/>
      <c r="L662" s="565"/>
    </row>
    <row r="663" spans="2:12">
      <c r="B663" s="248" t="s">
        <v>1209</v>
      </c>
      <c r="C663" s="248"/>
      <c r="D663" s="248" t="s">
        <v>39</v>
      </c>
      <c r="E663" s="248" t="s">
        <v>1210</v>
      </c>
      <c r="F663" s="248" t="s">
        <v>1382</v>
      </c>
      <c r="G663" s="248" t="s">
        <v>1383</v>
      </c>
      <c r="H663" s="248" t="s">
        <v>1384</v>
      </c>
      <c r="I663" s="248" t="s">
        <v>1214</v>
      </c>
      <c r="J663" s="248" t="s">
        <v>1385</v>
      </c>
      <c r="K663" s="248" t="s">
        <v>1216</v>
      </c>
      <c r="L663" s="248" t="s">
        <v>1217</v>
      </c>
    </row>
    <row r="664" spans="2:12">
      <c r="B664" s="249" t="s">
        <v>1367</v>
      </c>
      <c r="C664" s="250" t="s">
        <v>1333</v>
      </c>
      <c r="D664" s="205" t="s">
        <v>152</v>
      </c>
      <c r="E664" s="251">
        <v>16</v>
      </c>
      <c r="F664" s="252">
        <v>3.8530000000000002</v>
      </c>
      <c r="G664" s="251"/>
      <c r="H664" s="251">
        <v>1.1000000000000001</v>
      </c>
      <c r="I664" s="251"/>
      <c r="J664" s="253"/>
      <c r="K664" s="254">
        <f t="shared" ref="K664:K671" si="19">IF(E664*F664*G664&lt;&gt;0,E664*F664*G664,IF(E664*F664&lt;&gt;0,E664*F664,IF(F664*G664&lt;&gt;0,F664*G664,IF(E664*G664&lt;&gt;0,E664*G664,IF(E664&lt;&gt;0,E664,IF(F664&lt;&gt;0,F664,IF(G664&lt;&gt;0,G664,0)))))))*(IF(H664&lt;&gt;0,H664,1))+I664-J664</f>
        <v>67.81280000000001</v>
      </c>
      <c r="L664" s="255"/>
    </row>
    <row r="665" spans="2:12">
      <c r="B665" s="249" t="s">
        <v>1386</v>
      </c>
      <c r="C665" s="250" t="s">
        <v>1333</v>
      </c>
      <c r="D665" s="205" t="s">
        <v>152</v>
      </c>
      <c r="E665" s="251">
        <v>44</v>
      </c>
      <c r="F665" s="252">
        <v>3.8530000000000002</v>
      </c>
      <c r="G665" s="251"/>
      <c r="H665" s="251">
        <v>1.1000000000000001</v>
      </c>
      <c r="I665" s="251"/>
      <c r="J665" s="253"/>
      <c r="K665" s="254">
        <f t="shared" si="19"/>
        <v>186.48520000000002</v>
      </c>
      <c r="L665" s="255"/>
    </row>
    <row r="666" spans="2:12">
      <c r="B666" s="263" t="s">
        <v>1475</v>
      </c>
      <c r="C666" s="264" t="s">
        <v>1441</v>
      </c>
      <c r="D666" s="205" t="s">
        <v>152</v>
      </c>
      <c r="E666" s="251">
        <v>148</v>
      </c>
      <c r="F666" s="252">
        <v>3.8530000000000002</v>
      </c>
      <c r="G666" s="251"/>
      <c r="H666" s="251">
        <v>1.1000000000000001</v>
      </c>
      <c r="I666" s="251"/>
      <c r="J666" s="253"/>
      <c r="K666" s="254">
        <f t="shared" si="19"/>
        <v>627.26840000000004</v>
      </c>
      <c r="L666" s="255"/>
    </row>
    <row r="667" spans="2:12">
      <c r="B667" s="263" t="s">
        <v>1476</v>
      </c>
      <c r="C667" s="264" t="s">
        <v>1441</v>
      </c>
      <c r="D667" s="205" t="s">
        <v>152</v>
      </c>
      <c r="E667" s="251">
        <v>96</v>
      </c>
      <c r="F667" s="252">
        <v>3.8530000000000002</v>
      </c>
      <c r="G667" s="251"/>
      <c r="H667" s="251">
        <v>1.1000000000000001</v>
      </c>
      <c r="I667" s="251"/>
      <c r="J667" s="253"/>
      <c r="K667" s="254">
        <f t="shared" si="19"/>
        <v>406.87680000000006</v>
      </c>
      <c r="L667" s="255"/>
    </row>
    <row r="668" spans="2:12">
      <c r="B668" s="263" t="s">
        <v>1302</v>
      </c>
      <c r="C668" s="264" t="s">
        <v>1441</v>
      </c>
      <c r="D668" s="205" t="s">
        <v>152</v>
      </c>
      <c r="E668" s="251">
        <v>222</v>
      </c>
      <c r="F668" s="252">
        <v>3.8530000000000002</v>
      </c>
      <c r="G668" s="251"/>
      <c r="H668" s="251">
        <v>1.1000000000000001</v>
      </c>
      <c r="I668" s="251"/>
      <c r="J668" s="253"/>
      <c r="K668" s="254">
        <f t="shared" si="19"/>
        <v>940.90260000000023</v>
      </c>
      <c r="L668" s="255"/>
    </row>
    <row r="669" spans="2:12">
      <c r="B669" s="263" t="s">
        <v>1552</v>
      </c>
      <c r="C669" s="264" t="s">
        <v>1521</v>
      </c>
      <c r="D669" s="205" t="s">
        <v>152</v>
      </c>
      <c r="E669" s="251">
        <v>57</v>
      </c>
      <c r="F669" s="252">
        <v>3.8530000000000002</v>
      </c>
      <c r="G669" s="251"/>
      <c r="H669" s="251">
        <v>1.1000000000000001</v>
      </c>
      <c r="I669" s="251"/>
      <c r="J669" s="253"/>
      <c r="K669" s="254">
        <f t="shared" si="19"/>
        <v>241.58310000000003</v>
      </c>
      <c r="L669" s="266"/>
    </row>
    <row r="670" spans="2:12">
      <c r="B670" s="263" t="s">
        <v>1553</v>
      </c>
      <c r="C670" s="264" t="s">
        <v>1521</v>
      </c>
      <c r="D670" s="205" t="s">
        <v>152</v>
      </c>
      <c r="E670" s="251">
        <v>34</v>
      </c>
      <c r="F670" s="252">
        <v>3.8530000000000002</v>
      </c>
      <c r="G670" s="251"/>
      <c r="H670" s="251">
        <v>1.1000000000000001</v>
      </c>
      <c r="I670" s="251"/>
      <c r="J670" s="253"/>
      <c r="K670" s="254">
        <f t="shared" si="19"/>
        <v>144.10220000000001</v>
      </c>
      <c r="L670" s="266"/>
    </row>
    <row r="671" spans="2:12">
      <c r="B671" s="256"/>
      <c r="C671" s="210"/>
      <c r="D671" s="210"/>
      <c r="E671" s="257"/>
      <c r="F671" s="258"/>
      <c r="G671" s="257"/>
      <c r="H671" s="257"/>
      <c r="I671" s="257"/>
      <c r="J671" s="259"/>
      <c r="K671" s="260">
        <f t="shared" si="19"/>
        <v>0</v>
      </c>
      <c r="L671" s="210"/>
    </row>
    <row r="672" spans="2:12">
      <c r="B672" s="202"/>
      <c r="C672" s="203"/>
      <c r="D672" s="203"/>
      <c r="E672" s="203"/>
      <c r="F672" s="203"/>
      <c r="G672" s="203"/>
      <c r="H672" s="204"/>
      <c r="I672" s="556" t="s">
        <v>1221</v>
      </c>
      <c r="J672" s="556"/>
      <c r="K672" s="220">
        <f>SUM(K664:K671)</f>
        <v>2615.0311000000002</v>
      </c>
      <c r="L672" s="207"/>
    </row>
    <row r="673" spans="2:14">
      <c r="B673" s="208"/>
      <c r="C673" s="204"/>
      <c r="D673" s="204"/>
      <c r="E673" s="204"/>
      <c r="F673" s="204"/>
      <c r="G673" s="204"/>
      <c r="H673" s="209"/>
      <c r="I673" s="557" t="s">
        <v>1222</v>
      </c>
      <c r="J673" s="557"/>
      <c r="K673" s="221">
        <f>VLOOKUP(B662,'BM 004'!$B$27:$R$590,4,0)</f>
        <v>6531.8</v>
      </c>
      <c r="L673" s="207"/>
    </row>
    <row r="674" spans="2:14">
      <c r="B674" s="208"/>
      <c r="C674" s="204"/>
      <c r="D674" s="204"/>
      <c r="E674" s="204"/>
      <c r="F674" s="204"/>
      <c r="G674" s="204"/>
      <c r="H674" s="558" t="s">
        <v>1223</v>
      </c>
      <c r="I674" s="558"/>
      <c r="J674" s="558"/>
      <c r="K674" s="222">
        <f>K672-K675</f>
        <v>2229.3511000000003</v>
      </c>
      <c r="L674" s="207"/>
    </row>
    <row r="675" spans="2:14">
      <c r="B675" s="208"/>
      <c r="C675" s="204"/>
      <c r="D675" s="204"/>
      <c r="E675" s="204"/>
      <c r="F675" s="204"/>
      <c r="G675" s="204"/>
      <c r="H675" s="558" t="s">
        <v>1435</v>
      </c>
      <c r="I675" s="558"/>
      <c r="J675" s="558"/>
      <c r="K675" s="222">
        <f>TRUNC(SUMIF(C664:C671,H675,K664:K671),2)</f>
        <v>385.68</v>
      </c>
      <c r="L675" s="207"/>
    </row>
    <row r="676" spans="2:14">
      <c r="B676" s="213"/>
      <c r="C676" s="214"/>
      <c r="D676" s="214"/>
      <c r="E676" s="214"/>
      <c r="F676" s="214"/>
      <c r="G676" s="214"/>
      <c r="H676" s="559" t="s">
        <v>1224</v>
      </c>
      <c r="I676" s="559"/>
      <c r="J676" s="559"/>
      <c r="K676" s="223">
        <f>IF(K672&gt;K673,K672-K673,0)</f>
        <v>0</v>
      </c>
      <c r="L676" s="209"/>
    </row>
    <row r="678" spans="2:14">
      <c r="B678" s="247" t="s">
        <v>214</v>
      </c>
      <c r="C678" s="565" t="str">
        <f>VLOOKUP(B678,'BM 004'!$B$27:$R$590,2,0)</f>
        <v xml:space="preserve">Concreto simples usinado fck=35mpa, bombeado, lançado e adensado em superestrutura </v>
      </c>
      <c r="D678" s="565"/>
      <c r="E678" s="565"/>
      <c r="F678" s="565"/>
      <c r="G678" s="565"/>
      <c r="H678" s="565"/>
      <c r="I678" s="565"/>
      <c r="J678" s="565"/>
      <c r="K678" s="565"/>
      <c r="L678" s="565"/>
      <c r="N678" s="268"/>
    </row>
    <row r="679" spans="2:14">
      <c r="B679" s="248" t="s">
        <v>1209</v>
      </c>
      <c r="C679" s="248"/>
      <c r="D679" s="248" t="s">
        <v>39</v>
      </c>
      <c r="E679" s="248" t="s">
        <v>1210</v>
      </c>
      <c r="F679" s="248" t="s">
        <v>1388</v>
      </c>
      <c r="G679" s="248" t="s">
        <v>1212</v>
      </c>
      <c r="H679" s="248" t="s">
        <v>1455</v>
      </c>
      <c r="I679" s="248" t="s">
        <v>1214</v>
      </c>
      <c r="J679" s="248" t="s">
        <v>1385</v>
      </c>
      <c r="K679" s="248" t="s">
        <v>1216</v>
      </c>
      <c r="L679" s="248" t="s">
        <v>1217</v>
      </c>
      <c r="N679" s="268"/>
    </row>
    <row r="680" spans="2:14">
      <c r="B680" s="249" t="s">
        <v>1456</v>
      </c>
      <c r="C680" s="250" t="s">
        <v>1441</v>
      </c>
      <c r="D680" s="205" t="s">
        <v>169</v>
      </c>
      <c r="E680" s="199">
        <v>0.64</v>
      </c>
      <c r="F680" s="199">
        <v>0.15</v>
      </c>
      <c r="G680" s="199">
        <v>1</v>
      </c>
      <c r="H680" s="199"/>
      <c r="I680" s="199"/>
      <c r="J680" s="219"/>
      <c r="K680" s="220">
        <f t="shared" ref="K680:K711" si="20">IF(E680*F680*G680&lt;&gt;0,E680*F680*G680,IF(E680*F680&lt;&gt;0,E680*F680,IF(F680*G680&lt;&gt;0,F680*G680,IF(E680*G680&lt;&gt;0,E680*G680,IF(E680&lt;&gt;0,E680,IF(F680&lt;&gt;0,F680,IF(G680&lt;&gt;0,G680,0)))))))*(IF(H680&lt;&gt;0,H680,1))+I680-J680</f>
        <v>9.6000000000000002E-2</v>
      </c>
      <c r="L680" s="255"/>
      <c r="N680" s="268"/>
    </row>
    <row r="681" spans="2:14">
      <c r="B681" s="249" t="s">
        <v>1457</v>
      </c>
      <c r="C681" s="250" t="s">
        <v>1441</v>
      </c>
      <c r="D681" s="205" t="s">
        <v>169</v>
      </c>
      <c r="E681" s="199">
        <v>7.2</v>
      </c>
      <c r="F681" s="199">
        <v>0.15</v>
      </c>
      <c r="G681" s="199">
        <v>0.7</v>
      </c>
      <c r="H681" s="199"/>
      <c r="I681" s="199"/>
      <c r="J681" s="219"/>
      <c r="K681" s="220">
        <f t="shared" si="20"/>
        <v>0.75600000000000001</v>
      </c>
      <c r="L681" s="255"/>
      <c r="N681" s="268"/>
    </row>
    <row r="682" spans="2:14">
      <c r="B682" s="249" t="s">
        <v>1458</v>
      </c>
      <c r="C682" s="250" t="s">
        <v>1441</v>
      </c>
      <c r="D682" s="205" t="s">
        <v>169</v>
      </c>
      <c r="E682" s="199">
        <v>13.07</v>
      </c>
      <c r="F682" s="199">
        <v>0.15</v>
      </c>
      <c r="G682" s="199">
        <v>0.7</v>
      </c>
      <c r="H682" s="199"/>
      <c r="I682" s="199"/>
      <c r="J682" s="219"/>
      <c r="K682" s="220">
        <f t="shared" si="20"/>
        <v>1.37235</v>
      </c>
      <c r="L682" s="255"/>
      <c r="N682" s="268"/>
    </row>
    <row r="683" spans="2:14">
      <c r="B683" s="249" t="s">
        <v>1459</v>
      </c>
      <c r="C683" s="250" t="s">
        <v>1441</v>
      </c>
      <c r="D683" s="205" t="s">
        <v>169</v>
      </c>
      <c r="E683" s="199">
        <v>0.94</v>
      </c>
      <c r="F683" s="199">
        <v>0.2</v>
      </c>
      <c r="G683" s="199">
        <v>0.6</v>
      </c>
      <c r="H683" s="199"/>
      <c r="I683" s="199"/>
      <c r="J683" s="219"/>
      <c r="K683" s="220">
        <f t="shared" si="20"/>
        <v>0.1128</v>
      </c>
      <c r="L683" s="255"/>
      <c r="N683" s="268"/>
    </row>
    <row r="684" spans="2:14">
      <c r="B684" s="249" t="s">
        <v>1460</v>
      </c>
      <c r="C684" s="250" t="s">
        <v>1441</v>
      </c>
      <c r="D684" s="205" t="s">
        <v>169</v>
      </c>
      <c r="E684" s="199">
        <v>6.7</v>
      </c>
      <c r="F684" s="199">
        <v>0.2</v>
      </c>
      <c r="G684" s="199">
        <v>0.6</v>
      </c>
      <c r="H684" s="199"/>
      <c r="I684" s="199"/>
      <c r="J684" s="219"/>
      <c r="K684" s="220">
        <f t="shared" si="20"/>
        <v>0.80400000000000005</v>
      </c>
      <c r="L684" s="255"/>
      <c r="N684" s="268"/>
    </row>
    <row r="685" spans="2:14">
      <c r="B685" s="249" t="s">
        <v>1460</v>
      </c>
      <c r="C685" s="250" t="s">
        <v>1441</v>
      </c>
      <c r="D685" s="205" t="s">
        <v>169</v>
      </c>
      <c r="E685" s="199">
        <v>14.04</v>
      </c>
      <c r="F685" s="199">
        <v>0.2</v>
      </c>
      <c r="G685" s="199">
        <v>1.2</v>
      </c>
      <c r="H685" s="199"/>
      <c r="I685" s="199"/>
      <c r="J685" s="219"/>
      <c r="K685" s="220">
        <f t="shared" si="20"/>
        <v>3.3695999999999997</v>
      </c>
      <c r="L685" s="255"/>
      <c r="N685" s="268"/>
    </row>
    <row r="686" spans="2:14">
      <c r="B686" s="249" t="s">
        <v>1461</v>
      </c>
      <c r="C686" s="250" t="s">
        <v>1441</v>
      </c>
      <c r="D686" s="205" t="s">
        <v>169</v>
      </c>
      <c r="E686" s="199">
        <v>7.64</v>
      </c>
      <c r="F686" s="199">
        <v>0.15</v>
      </c>
      <c r="G686" s="199">
        <v>0.8</v>
      </c>
      <c r="H686" s="199"/>
      <c r="I686" s="199"/>
      <c r="J686" s="219"/>
      <c r="K686" s="220">
        <f t="shared" si="20"/>
        <v>0.91679999999999995</v>
      </c>
      <c r="L686" s="255"/>
      <c r="N686" s="268"/>
    </row>
    <row r="687" spans="2:14">
      <c r="B687" s="249" t="s">
        <v>1461</v>
      </c>
      <c r="C687" s="250" t="s">
        <v>1441</v>
      </c>
      <c r="D687" s="205" t="s">
        <v>169</v>
      </c>
      <c r="E687" s="199">
        <v>20.96</v>
      </c>
      <c r="F687" s="199">
        <v>0.15</v>
      </c>
      <c r="G687" s="199">
        <v>1.2</v>
      </c>
      <c r="H687" s="199"/>
      <c r="I687" s="199"/>
      <c r="J687" s="219"/>
      <c r="K687" s="220">
        <f t="shared" si="20"/>
        <v>3.7728000000000002</v>
      </c>
      <c r="L687" s="255"/>
      <c r="N687" s="268"/>
    </row>
    <row r="688" spans="2:14">
      <c r="B688" s="249" t="s">
        <v>1462</v>
      </c>
      <c r="C688" s="250" t="s">
        <v>1441</v>
      </c>
      <c r="D688" s="205" t="s">
        <v>169</v>
      </c>
      <c r="E688" s="199">
        <v>22.34</v>
      </c>
      <c r="F688" s="199">
        <v>0.2</v>
      </c>
      <c r="G688" s="199">
        <v>0.6</v>
      </c>
      <c r="H688" s="199"/>
      <c r="I688" s="199"/>
      <c r="J688" s="219"/>
      <c r="K688" s="220">
        <f t="shared" si="20"/>
        <v>2.6808000000000001</v>
      </c>
      <c r="L688" s="255"/>
      <c r="N688" s="268"/>
    </row>
    <row r="689" spans="2:14">
      <c r="B689" s="249" t="s">
        <v>1463</v>
      </c>
      <c r="C689" s="250" t="s">
        <v>1441</v>
      </c>
      <c r="D689" s="205" t="s">
        <v>169</v>
      </c>
      <c r="E689" s="199">
        <v>5.72</v>
      </c>
      <c r="F689" s="199">
        <v>0.15</v>
      </c>
      <c r="G689" s="199">
        <v>0.6</v>
      </c>
      <c r="H689" s="199"/>
      <c r="I689" s="199"/>
      <c r="J689" s="219"/>
      <c r="K689" s="220">
        <f t="shared" si="20"/>
        <v>0.51479999999999992</v>
      </c>
      <c r="L689" s="255"/>
      <c r="N689" s="268"/>
    </row>
    <row r="690" spans="2:14">
      <c r="B690" s="249" t="s">
        <v>1464</v>
      </c>
      <c r="C690" s="250" t="s">
        <v>1441</v>
      </c>
      <c r="D690" s="205" t="s">
        <v>169</v>
      </c>
      <c r="E690" s="199">
        <v>22.34</v>
      </c>
      <c r="F690" s="199">
        <v>0.2</v>
      </c>
      <c r="G690" s="199">
        <v>0.6</v>
      </c>
      <c r="H690" s="199"/>
      <c r="I690" s="199"/>
      <c r="J690" s="219"/>
      <c r="K690" s="220">
        <f t="shared" si="20"/>
        <v>2.6808000000000001</v>
      </c>
      <c r="L690" s="255"/>
      <c r="N690" s="268"/>
    </row>
    <row r="691" spans="2:14">
      <c r="B691" s="249" t="s">
        <v>1465</v>
      </c>
      <c r="C691" s="250" t="s">
        <v>1441</v>
      </c>
      <c r="D691" s="205" t="s">
        <v>169</v>
      </c>
      <c r="E691" s="199">
        <v>4.42</v>
      </c>
      <c r="F691" s="199">
        <v>0.2</v>
      </c>
      <c r="G691" s="199">
        <v>0.6</v>
      </c>
      <c r="H691" s="199"/>
      <c r="I691" s="199"/>
      <c r="J691" s="219"/>
      <c r="K691" s="220">
        <f t="shared" si="20"/>
        <v>0.53039999999999998</v>
      </c>
      <c r="L691" s="255"/>
      <c r="N691" s="268"/>
    </row>
    <row r="692" spans="2:14">
      <c r="B692" s="249" t="s">
        <v>1466</v>
      </c>
      <c r="C692" s="250" t="s">
        <v>1441</v>
      </c>
      <c r="D692" s="205" t="s">
        <v>169</v>
      </c>
      <c r="E692" s="199">
        <v>28.84</v>
      </c>
      <c r="F692" s="199">
        <v>0.2</v>
      </c>
      <c r="G692" s="199">
        <v>0.6</v>
      </c>
      <c r="H692" s="199"/>
      <c r="I692" s="199"/>
      <c r="J692" s="219"/>
      <c r="K692" s="220">
        <f t="shared" si="20"/>
        <v>3.4608000000000003</v>
      </c>
      <c r="L692" s="255"/>
      <c r="N692" s="268"/>
    </row>
    <row r="693" spans="2:14">
      <c r="B693" s="249" t="s">
        <v>1467</v>
      </c>
      <c r="C693" s="250" t="s">
        <v>1441</v>
      </c>
      <c r="D693" s="205" t="s">
        <v>169</v>
      </c>
      <c r="E693" s="199">
        <v>24.09</v>
      </c>
      <c r="F693" s="199">
        <v>0.15</v>
      </c>
      <c r="G693" s="199">
        <v>1</v>
      </c>
      <c r="H693" s="199"/>
      <c r="I693" s="199"/>
      <c r="J693" s="219"/>
      <c r="K693" s="220">
        <f t="shared" si="20"/>
        <v>3.6134999999999997</v>
      </c>
      <c r="L693" s="255"/>
      <c r="N693" s="268"/>
    </row>
    <row r="694" spans="2:14">
      <c r="B694" s="249" t="s">
        <v>1468</v>
      </c>
      <c r="C694" s="250" t="s">
        <v>1441</v>
      </c>
      <c r="D694" s="205" t="s">
        <v>169</v>
      </c>
      <c r="E694" s="199">
        <v>9.8800000000000008</v>
      </c>
      <c r="F694" s="199">
        <v>0.15</v>
      </c>
      <c r="G694" s="199">
        <v>0.6</v>
      </c>
      <c r="H694" s="199"/>
      <c r="I694" s="199"/>
      <c r="J694" s="219"/>
      <c r="K694" s="220">
        <f t="shared" si="20"/>
        <v>0.88919999999999999</v>
      </c>
      <c r="L694" s="255"/>
      <c r="N694" s="268"/>
    </row>
    <row r="695" spans="2:14">
      <c r="B695" s="249" t="s">
        <v>1469</v>
      </c>
      <c r="C695" s="250" t="s">
        <v>1441</v>
      </c>
      <c r="D695" s="205" t="s">
        <v>169</v>
      </c>
      <c r="E695" s="199">
        <v>12</v>
      </c>
      <c r="F695" s="199">
        <v>0.2</v>
      </c>
      <c r="G695" s="199">
        <v>0.6</v>
      </c>
      <c r="H695" s="199"/>
      <c r="I695" s="199"/>
      <c r="J695" s="219"/>
      <c r="K695" s="220">
        <f t="shared" si="20"/>
        <v>1.4400000000000002</v>
      </c>
      <c r="L695" s="255"/>
      <c r="N695" s="268"/>
    </row>
    <row r="696" spans="2:14">
      <c r="B696" s="249" t="s">
        <v>1470</v>
      </c>
      <c r="C696" s="250" t="s">
        <v>1441</v>
      </c>
      <c r="D696" s="205" t="s">
        <v>169</v>
      </c>
      <c r="E696" s="199">
        <v>1.81</v>
      </c>
      <c r="F696" s="199">
        <v>0.2</v>
      </c>
      <c r="G696" s="199">
        <v>0.8</v>
      </c>
      <c r="H696" s="199"/>
      <c r="I696" s="199"/>
      <c r="J696" s="219"/>
      <c r="K696" s="220">
        <f t="shared" si="20"/>
        <v>0.28960000000000002</v>
      </c>
      <c r="L696" s="255"/>
      <c r="N696" s="268"/>
    </row>
    <row r="697" spans="2:14">
      <c r="B697" s="249" t="s">
        <v>1471</v>
      </c>
      <c r="C697" s="250" t="s">
        <v>1441</v>
      </c>
      <c r="D697" s="205" t="s">
        <v>169</v>
      </c>
      <c r="E697" s="199">
        <v>5.92</v>
      </c>
      <c r="F697" s="199">
        <v>0.15</v>
      </c>
      <c r="G697" s="199">
        <v>1.2</v>
      </c>
      <c r="H697" s="199"/>
      <c r="I697" s="199"/>
      <c r="J697" s="219"/>
      <c r="K697" s="220">
        <f t="shared" si="20"/>
        <v>1.0655999999999999</v>
      </c>
      <c r="L697" s="255"/>
      <c r="N697" s="268"/>
    </row>
    <row r="698" spans="2:14">
      <c r="B698" s="249" t="s">
        <v>1472</v>
      </c>
      <c r="C698" s="250" t="s">
        <v>1441</v>
      </c>
      <c r="D698" s="205" t="s">
        <v>169</v>
      </c>
      <c r="E698" s="199">
        <v>12.49</v>
      </c>
      <c r="F698" s="199">
        <v>0.15</v>
      </c>
      <c r="G698" s="199">
        <v>1</v>
      </c>
      <c r="H698" s="199"/>
      <c r="I698" s="199"/>
      <c r="J698" s="219"/>
      <c r="K698" s="220">
        <f t="shared" si="20"/>
        <v>1.8734999999999999</v>
      </c>
      <c r="L698" s="255"/>
      <c r="N698" s="268"/>
    </row>
    <row r="699" spans="2:14">
      <c r="B699" s="249" t="s">
        <v>1472</v>
      </c>
      <c r="C699" s="250" t="s">
        <v>1441</v>
      </c>
      <c r="D699" s="205" t="s">
        <v>169</v>
      </c>
      <c r="E699" s="199">
        <v>6</v>
      </c>
      <c r="F699" s="199">
        <v>0.15</v>
      </c>
      <c r="G699" s="199">
        <v>1.2</v>
      </c>
      <c r="H699" s="199"/>
      <c r="I699" s="199"/>
      <c r="J699" s="219"/>
      <c r="K699" s="220">
        <f t="shared" si="20"/>
        <v>1.0799999999999998</v>
      </c>
      <c r="L699" s="255"/>
      <c r="N699" s="268"/>
    </row>
    <row r="700" spans="2:14">
      <c r="B700" s="249" t="s">
        <v>1473</v>
      </c>
      <c r="C700" s="250" t="s">
        <v>1441</v>
      </c>
      <c r="D700" s="205" t="s">
        <v>169</v>
      </c>
      <c r="E700" s="199">
        <v>4.83</v>
      </c>
      <c r="F700" s="199">
        <v>0.15</v>
      </c>
      <c r="G700" s="199">
        <v>0.6</v>
      </c>
      <c r="H700" s="199"/>
      <c r="I700" s="199"/>
      <c r="J700" s="219"/>
      <c r="K700" s="220">
        <f t="shared" si="20"/>
        <v>0.43470000000000003</v>
      </c>
      <c r="L700" s="255"/>
      <c r="N700" s="268"/>
    </row>
    <row r="701" spans="2:14">
      <c r="B701" s="249" t="s">
        <v>1474</v>
      </c>
      <c r="C701" s="250" t="s">
        <v>1441</v>
      </c>
      <c r="D701" s="205" t="s">
        <v>169</v>
      </c>
      <c r="E701" s="199">
        <v>13.85</v>
      </c>
      <c r="F701" s="199">
        <v>0.15</v>
      </c>
      <c r="G701" s="199">
        <v>0.7</v>
      </c>
      <c r="H701" s="199"/>
      <c r="I701" s="199"/>
      <c r="J701" s="219"/>
      <c r="K701" s="220">
        <f t="shared" si="20"/>
        <v>1.4542499999999996</v>
      </c>
      <c r="L701" s="255"/>
      <c r="N701" s="268"/>
    </row>
    <row r="702" spans="2:14">
      <c r="B702" s="249" t="s">
        <v>1531</v>
      </c>
      <c r="C702" s="250" t="s">
        <v>1521</v>
      </c>
      <c r="D702" s="205" t="s">
        <v>169</v>
      </c>
      <c r="E702" s="199">
        <v>12.69</v>
      </c>
      <c r="F702" s="199">
        <v>0.15</v>
      </c>
      <c r="G702" s="199">
        <v>0.6</v>
      </c>
      <c r="H702" s="199"/>
      <c r="I702" s="199"/>
      <c r="J702" s="219"/>
      <c r="K702" s="220">
        <f t="shared" si="20"/>
        <v>1.1420999999999999</v>
      </c>
      <c r="L702" s="255"/>
      <c r="N702" s="268"/>
    </row>
    <row r="703" spans="2:14">
      <c r="B703" s="249" t="s">
        <v>1532</v>
      </c>
      <c r="C703" s="250" t="s">
        <v>1521</v>
      </c>
      <c r="D703" s="205" t="s">
        <v>169</v>
      </c>
      <c r="E703" s="199">
        <v>1.83</v>
      </c>
      <c r="F703" s="199">
        <v>0.15</v>
      </c>
      <c r="G703" s="199">
        <v>0.6</v>
      </c>
      <c r="H703" s="199"/>
      <c r="I703" s="199"/>
      <c r="J703" s="219"/>
      <c r="K703" s="220">
        <f t="shared" si="20"/>
        <v>0.16470000000000001</v>
      </c>
      <c r="L703" s="255"/>
      <c r="N703" s="268"/>
    </row>
    <row r="704" spans="2:14">
      <c r="B704" s="249" t="s">
        <v>1533</v>
      </c>
      <c r="C704" s="250" t="s">
        <v>1521</v>
      </c>
      <c r="D704" s="205" t="s">
        <v>169</v>
      </c>
      <c r="E704" s="199">
        <v>8.27</v>
      </c>
      <c r="F704" s="199">
        <v>0.15</v>
      </c>
      <c r="G704" s="199">
        <v>0.6</v>
      </c>
      <c r="H704" s="199"/>
      <c r="I704" s="199"/>
      <c r="J704" s="219"/>
      <c r="K704" s="220">
        <f t="shared" si="20"/>
        <v>0.74429999999999996</v>
      </c>
      <c r="L704" s="255"/>
      <c r="N704" s="268"/>
    </row>
    <row r="705" spans="2:14">
      <c r="B705" s="249" t="s">
        <v>1534</v>
      </c>
      <c r="C705" s="250" t="s">
        <v>1521</v>
      </c>
      <c r="D705" s="205" t="s">
        <v>169</v>
      </c>
      <c r="E705" s="199">
        <v>28.74</v>
      </c>
      <c r="F705" s="199">
        <v>0.15</v>
      </c>
      <c r="G705" s="199">
        <v>1</v>
      </c>
      <c r="H705" s="199"/>
      <c r="I705" s="199"/>
      <c r="J705" s="219"/>
      <c r="K705" s="220">
        <f t="shared" si="20"/>
        <v>4.3109999999999999</v>
      </c>
      <c r="L705" s="255"/>
      <c r="N705" s="268"/>
    </row>
    <row r="706" spans="2:14">
      <c r="B706" s="249" t="s">
        <v>1535</v>
      </c>
      <c r="C706" s="250" t="s">
        <v>1521</v>
      </c>
      <c r="D706" s="205" t="s">
        <v>169</v>
      </c>
      <c r="E706" s="199">
        <v>28.53</v>
      </c>
      <c r="F706" s="199">
        <v>0.2</v>
      </c>
      <c r="G706" s="199">
        <v>0.6</v>
      </c>
      <c r="H706" s="199"/>
      <c r="I706" s="199"/>
      <c r="J706" s="219"/>
      <c r="K706" s="220">
        <f t="shared" si="20"/>
        <v>3.4236</v>
      </c>
      <c r="L706" s="255"/>
      <c r="N706" s="268"/>
    </row>
    <row r="707" spans="2:14">
      <c r="B707" s="249" t="s">
        <v>1536</v>
      </c>
      <c r="C707" s="250" t="s">
        <v>1521</v>
      </c>
      <c r="D707" s="205" t="s">
        <v>169</v>
      </c>
      <c r="E707" s="199">
        <v>6.34</v>
      </c>
      <c r="F707" s="199">
        <v>0.15</v>
      </c>
      <c r="G707" s="199">
        <v>0.6</v>
      </c>
      <c r="H707" s="199"/>
      <c r="I707" s="199"/>
      <c r="J707" s="219"/>
      <c r="K707" s="220">
        <f t="shared" si="20"/>
        <v>0.5706</v>
      </c>
      <c r="L707" s="255"/>
      <c r="N707" s="268"/>
    </row>
    <row r="708" spans="2:14">
      <c r="B708" s="249" t="s">
        <v>1537</v>
      </c>
      <c r="C708" s="250" t="s">
        <v>1521</v>
      </c>
      <c r="D708" s="205" t="s">
        <v>169</v>
      </c>
      <c r="E708" s="199">
        <v>21.99</v>
      </c>
      <c r="F708" s="199">
        <v>0.2</v>
      </c>
      <c r="G708" s="199">
        <v>0.6</v>
      </c>
      <c r="H708" s="199"/>
      <c r="I708" s="199"/>
      <c r="J708" s="219"/>
      <c r="K708" s="220">
        <f t="shared" si="20"/>
        <v>2.6387999999999998</v>
      </c>
      <c r="L708" s="255"/>
      <c r="N708" s="268"/>
    </row>
    <row r="709" spans="2:14">
      <c r="B709" s="249" t="s">
        <v>1538</v>
      </c>
      <c r="C709" s="250" t="s">
        <v>1521</v>
      </c>
      <c r="D709" s="205" t="s">
        <v>169</v>
      </c>
      <c r="E709" s="199">
        <v>21.99</v>
      </c>
      <c r="F709" s="199">
        <v>0.2</v>
      </c>
      <c r="G709" s="199">
        <v>0.6</v>
      </c>
      <c r="H709" s="199"/>
      <c r="I709" s="199"/>
      <c r="J709" s="219"/>
      <c r="K709" s="220">
        <f t="shared" si="20"/>
        <v>2.6387999999999998</v>
      </c>
      <c r="L709" s="255"/>
      <c r="N709" s="268"/>
    </row>
    <row r="710" spans="2:14">
      <c r="B710" s="249" t="s">
        <v>1539</v>
      </c>
      <c r="C710" s="250" t="s">
        <v>1521</v>
      </c>
      <c r="D710" s="205" t="s">
        <v>169</v>
      </c>
      <c r="E710" s="199">
        <v>3.45</v>
      </c>
      <c r="F710" s="199">
        <v>0.2</v>
      </c>
      <c r="G710" s="199">
        <v>0.6</v>
      </c>
      <c r="H710" s="199"/>
      <c r="I710" s="199"/>
      <c r="J710" s="219"/>
      <c r="K710" s="220">
        <f t="shared" si="20"/>
        <v>0.41400000000000003</v>
      </c>
      <c r="L710" s="255"/>
      <c r="N710" s="268"/>
    </row>
    <row r="711" spans="2:14">
      <c r="B711" s="249" t="s">
        <v>1540</v>
      </c>
      <c r="C711" s="250" t="s">
        <v>1521</v>
      </c>
      <c r="D711" s="205" t="s">
        <v>169</v>
      </c>
      <c r="E711" s="199">
        <v>28.53</v>
      </c>
      <c r="F711" s="199">
        <v>0.2</v>
      </c>
      <c r="G711" s="199">
        <v>0.6</v>
      </c>
      <c r="H711" s="199"/>
      <c r="I711" s="199"/>
      <c r="J711" s="219"/>
      <c r="K711" s="220">
        <f t="shared" si="20"/>
        <v>3.4236</v>
      </c>
      <c r="L711" s="255"/>
      <c r="N711" s="268"/>
    </row>
    <row r="712" spans="2:14">
      <c r="B712" s="249" t="s">
        <v>1541</v>
      </c>
      <c r="C712" s="250" t="s">
        <v>1521</v>
      </c>
      <c r="D712" s="205" t="s">
        <v>169</v>
      </c>
      <c r="E712" s="199">
        <v>24.09</v>
      </c>
      <c r="F712" s="199">
        <v>0.15</v>
      </c>
      <c r="G712" s="199">
        <v>1</v>
      </c>
      <c r="H712" s="199"/>
      <c r="I712" s="199"/>
      <c r="J712" s="219"/>
      <c r="K712" s="220">
        <f t="shared" ref="K712:K731" si="21">IF(E712*F712*G712&lt;&gt;0,E712*F712*G712,IF(E712*F712&lt;&gt;0,E712*F712,IF(F712*G712&lt;&gt;0,F712*G712,IF(E712*G712&lt;&gt;0,E712*G712,IF(E712&lt;&gt;0,E712,IF(F712&lt;&gt;0,F712,IF(G712&lt;&gt;0,G712,0)))))))*(IF(H712&lt;&gt;0,H712,1))+I712-J712</f>
        <v>3.6134999999999997</v>
      </c>
      <c r="L712" s="255"/>
      <c r="N712" s="268"/>
    </row>
    <row r="713" spans="2:14">
      <c r="B713" s="249" t="s">
        <v>1541</v>
      </c>
      <c r="C713" s="250" t="s">
        <v>1521</v>
      </c>
      <c r="D713" s="205" t="s">
        <v>169</v>
      </c>
      <c r="E713" s="199">
        <v>0.48</v>
      </c>
      <c r="F713" s="199">
        <v>0.15</v>
      </c>
      <c r="G713" s="199">
        <v>0.6</v>
      </c>
      <c r="H713" s="199"/>
      <c r="I713" s="199"/>
      <c r="J713" s="219"/>
      <c r="K713" s="220">
        <f t="shared" si="21"/>
        <v>4.3199999999999995E-2</v>
      </c>
      <c r="L713" s="255"/>
      <c r="N713" s="268"/>
    </row>
    <row r="714" spans="2:14">
      <c r="B714" s="249" t="s">
        <v>1542</v>
      </c>
      <c r="C714" s="250" t="s">
        <v>1521</v>
      </c>
      <c r="D714" s="205" t="s">
        <v>169</v>
      </c>
      <c r="E714" s="199">
        <v>2.7</v>
      </c>
      <c r="F714" s="199">
        <v>0.15</v>
      </c>
      <c r="G714" s="199">
        <v>0.6</v>
      </c>
      <c r="H714" s="199"/>
      <c r="I714" s="199"/>
      <c r="J714" s="219"/>
      <c r="K714" s="220">
        <f t="shared" si="21"/>
        <v>0.24299999999999999</v>
      </c>
      <c r="L714" s="255"/>
      <c r="N714" s="268"/>
    </row>
    <row r="715" spans="2:14">
      <c r="B715" s="249" t="s">
        <v>1543</v>
      </c>
      <c r="C715" s="250" t="s">
        <v>1521</v>
      </c>
      <c r="D715" s="205" t="s">
        <v>169</v>
      </c>
      <c r="E715" s="199">
        <v>2.7</v>
      </c>
      <c r="F715" s="199">
        <v>0.15</v>
      </c>
      <c r="G715" s="199">
        <v>0.6</v>
      </c>
      <c r="H715" s="199"/>
      <c r="I715" s="199"/>
      <c r="J715" s="219"/>
      <c r="K715" s="220">
        <f t="shared" si="21"/>
        <v>0.24299999999999999</v>
      </c>
      <c r="L715" s="255"/>
      <c r="N715" s="268"/>
    </row>
    <row r="716" spans="2:14">
      <c r="B716" s="249" t="s">
        <v>1544</v>
      </c>
      <c r="C716" s="250" t="s">
        <v>1521</v>
      </c>
      <c r="D716" s="205" t="s">
        <v>169</v>
      </c>
      <c r="E716" s="199">
        <v>9.35</v>
      </c>
      <c r="F716" s="199">
        <v>0.2</v>
      </c>
      <c r="G716" s="199">
        <v>0.7</v>
      </c>
      <c r="H716" s="199"/>
      <c r="I716" s="199"/>
      <c r="J716" s="219"/>
      <c r="K716" s="220">
        <f t="shared" si="21"/>
        <v>1.3089999999999999</v>
      </c>
      <c r="L716" s="255"/>
      <c r="N716" s="268"/>
    </row>
    <row r="717" spans="2:14">
      <c r="B717" s="249" t="s">
        <v>1545</v>
      </c>
      <c r="C717" s="250" t="s">
        <v>1521</v>
      </c>
      <c r="D717" s="205" t="s">
        <v>169</v>
      </c>
      <c r="E717" s="199">
        <v>2.85</v>
      </c>
      <c r="F717" s="199">
        <v>0.15</v>
      </c>
      <c r="G717" s="199">
        <v>1</v>
      </c>
      <c r="H717" s="199"/>
      <c r="I717" s="199"/>
      <c r="J717" s="219"/>
      <c r="K717" s="220">
        <f t="shared" si="21"/>
        <v>0.42749999999999999</v>
      </c>
      <c r="L717" s="255"/>
      <c r="N717" s="268"/>
    </row>
    <row r="718" spans="2:14">
      <c r="B718" s="249" t="s">
        <v>1546</v>
      </c>
      <c r="C718" s="250" t="s">
        <v>1521</v>
      </c>
      <c r="D718" s="205" t="s">
        <v>169</v>
      </c>
      <c r="E718" s="199">
        <v>23.39</v>
      </c>
      <c r="F718" s="199">
        <v>0.15</v>
      </c>
      <c r="G718" s="199">
        <v>1</v>
      </c>
      <c r="H718" s="199"/>
      <c r="I718" s="199"/>
      <c r="J718" s="219"/>
      <c r="K718" s="220">
        <f t="shared" si="21"/>
        <v>3.5085000000000002</v>
      </c>
      <c r="L718" s="255"/>
      <c r="N718" s="268"/>
    </row>
    <row r="719" spans="2:14">
      <c r="B719" s="249" t="s">
        <v>1547</v>
      </c>
      <c r="C719" s="250" t="s">
        <v>1521</v>
      </c>
      <c r="D719" s="205" t="s">
        <v>169</v>
      </c>
      <c r="E719" s="199">
        <v>13.7</v>
      </c>
      <c r="F719" s="199">
        <v>0.15</v>
      </c>
      <c r="G719" s="199">
        <v>0.6</v>
      </c>
      <c r="H719" s="199"/>
      <c r="I719" s="199"/>
      <c r="J719" s="219"/>
      <c r="K719" s="220">
        <f t="shared" si="21"/>
        <v>1.2329999999999999</v>
      </c>
      <c r="L719" s="255"/>
      <c r="N719" s="268"/>
    </row>
    <row r="720" spans="2:14">
      <c r="B720" s="249" t="s">
        <v>1548</v>
      </c>
      <c r="C720" s="250" t="s">
        <v>1521</v>
      </c>
      <c r="D720" s="205" t="s">
        <v>169</v>
      </c>
      <c r="E720" s="199">
        <v>0.48</v>
      </c>
      <c r="F720" s="199">
        <v>0.15</v>
      </c>
      <c r="G720" s="199">
        <v>0.6</v>
      </c>
      <c r="H720" s="199"/>
      <c r="I720" s="199"/>
      <c r="J720" s="219"/>
      <c r="K720" s="220">
        <f t="shared" si="21"/>
        <v>4.3199999999999995E-2</v>
      </c>
      <c r="L720" s="255"/>
      <c r="N720" s="268"/>
    </row>
    <row r="721" spans="2:14">
      <c r="B721" s="249" t="s">
        <v>1549</v>
      </c>
      <c r="C721" s="250" t="s">
        <v>1521</v>
      </c>
      <c r="D721" s="205" t="s">
        <v>169</v>
      </c>
      <c r="E721" s="199">
        <v>12.95</v>
      </c>
      <c r="F721" s="199">
        <v>0.2</v>
      </c>
      <c r="G721" s="199">
        <v>0.6</v>
      </c>
      <c r="H721" s="199"/>
      <c r="I721" s="199"/>
      <c r="J721" s="219"/>
      <c r="K721" s="220">
        <f t="shared" si="21"/>
        <v>1.5539999999999998</v>
      </c>
      <c r="L721" s="255"/>
      <c r="N721" s="268"/>
    </row>
    <row r="722" spans="2:14">
      <c r="B722" s="249" t="s">
        <v>1550</v>
      </c>
      <c r="C722" s="250" t="s">
        <v>1521</v>
      </c>
      <c r="D722" s="205" t="s">
        <v>169</v>
      </c>
      <c r="E722" s="199">
        <v>21.37</v>
      </c>
      <c r="F722" s="199">
        <v>0.15</v>
      </c>
      <c r="G722" s="199">
        <v>1</v>
      </c>
      <c r="H722" s="199"/>
      <c r="I722" s="199"/>
      <c r="J722" s="219"/>
      <c r="K722" s="220">
        <f t="shared" si="21"/>
        <v>3.2055000000000002</v>
      </c>
      <c r="L722" s="255"/>
      <c r="N722" s="268"/>
    </row>
    <row r="723" spans="2:14">
      <c r="B723" s="249" t="s">
        <v>1551</v>
      </c>
      <c r="C723" s="250" t="s">
        <v>1521</v>
      </c>
      <c r="D723" s="205" t="s">
        <v>169</v>
      </c>
      <c r="E723" s="199">
        <v>2.86</v>
      </c>
      <c r="F723" s="199">
        <v>0.15</v>
      </c>
      <c r="G723" s="199">
        <v>1</v>
      </c>
      <c r="H723" s="199"/>
      <c r="I723" s="199"/>
      <c r="J723" s="219"/>
      <c r="K723" s="220">
        <f t="shared" si="21"/>
        <v>0.42899999999999999</v>
      </c>
      <c r="L723" s="255"/>
      <c r="N723" s="268"/>
    </row>
    <row r="724" spans="2:14">
      <c r="B724" s="197" t="s">
        <v>1523</v>
      </c>
      <c r="C724" s="189" t="s">
        <v>1521</v>
      </c>
      <c r="D724" s="190" t="s">
        <v>169</v>
      </c>
      <c r="E724" s="199">
        <v>4.71</v>
      </c>
      <c r="F724" s="199">
        <v>0.25</v>
      </c>
      <c r="G724" s="199">
        <v>1.7</v>
      </c>
      <c r="H724" s="199">
        <v>1</v>
      </c>
      <c r="I724" s="199"/>
      <c r="J724" s="219"/>
      <c r="K724" s="217">
        <f t="shared" si="21"/>
        <v>2.0017499999999999</v>
      </c>
      <c r="L724" s="245" t="s">
        <v>1554</v>
      </c>
      <c r="N724" s="268"/>
    </row>
    <row r="725" spans="2:14">
      <c r="B725" s="197" t="s">
        <v>1525</v>
      </c>
      <c r="C725" s="189" t="s">
        <v>1521</v>
      </c>
      <c r="D725" s="190" t="s">
        <v>169</v>
      </c>
      <c r="E725" s="199">
        <v>4.71</v>
      </c>
      <c r="F725" s="199">
        <v>0.15</v>
      </c>
      <c r="G725" s="199">
        <v>1.7</v>
      </c>
      <c r="H725" s="199">
        <v>1</v>
      </c>
      <c r="I725" s="199"/>
      <c r="J725" s="219"/>
      <c r="K725" s="217">
        <f t="shared" si="21"/>
        <v>1.20105</v>
      </c>
      <c r="L725" s="245" t="s">
        <v>1554</v>
      </c>
      <c r="N725" s="268"/>
    </row>
    <row r="726" spans="2:14">
      <c r="B726" s="197" t="s">
        <v>1526</v>
      </c>
      <c r="C726" s="189" t="s">
        <v>1521</v>
      </c>
      <c r="D726" s="190" t="s">
        <v>169</v>
      </c>
      <c r="E726" s="199">
        <v>2.54</v>
      </c>
      <c r="F726" s="199">
        <v>0.15</v>
      </c>
      <c r="G726" s="199">
        <v>1.7</v>
      </c>
      <c r="H726" s="199">
        <v>1</v>
      </c>
      <c r="I726" s="199"/>
      <c r="J726" s="219"/>
      <c r="K726" s="217">
        <f t="shared" si="21"/>
        <v>0.64769999999999994</v>
      </c>
      <c r="L726" s="245" t="s">
        <v>1554</v>
      </c>
      <c r="N726" s="268"/>
    </row>
    <row r="727" spans="2:14">
      <c r="B727" s="197" t="s">
        <v>1527</v>
      </c>
      <c r="C727" s="189" t="s">
        <v>1521</v>
      </c>
      <c r="D727" s="190" t="s">
        <v>169</v>
      </c>
      <c r="E727" s="199">
        <v>2.2000000000000002</v>
      </c>
      <c r="F727" s="199">
        <v>0.15</v>
      </c>
      <c r="G727" s="199">
        <v>1.7</v>
      </c>
      <c r="H727" s="199">
        <v>1</v>
      </c>
      <c r="I727" s="199"/>
      <c r="J727" s="219"/>
      <c r="K727" s="217">
        <f t="shared" si="21"/>
        <v>0.56100000000000005</v>
      </c>
      <c r="L727" s="245" t="s">
        <v>1554</v>
      </c>
      <c r="N727" s="268"/>
    </row>
    <row r="728" spans="2:14">
      <c r="B728" s="197" t="s">
        <v>1528</v>
      </c>
      <c r="C728" s="189" t="s">
        <v>1521</v>
      </c>
      <c r="D728" s="190" t="s">
        <v>169</v>
      </c>
      <c r="E728" s="199">
        <v>2.2000000000000002</v>
      </c>
      <c r="F728" s="199">
        <v>0.15</v>
      </c>
      <c r="G728" s="199">
        <v>1.7</v>
      </c>
      <c r="H728" s="199">
        <v>1</v>
      </c>
      <c r="I728" s="199"/>
      <c r="J728" s="219"/>
      <c r="K728" s="217">
        <f t="shared" si="21"/>
        <v>0.56100000000000005</v>
      </c>
      <c r="L728" s="245" t="s">
        <v>1554</v>
      </c>
      <c r="N728" s="268"/>
    </row>
    <row r="729" spans="2:14">
      <c r="B729" s="197" t="s">
        <v>1529</v>
      </c>
      <c r="C729" s="189" t="s">
        <v>1521</v>
      </c>
      <c r="D729" s="190" t="s">
        <v>169</v>
      </c>
      <c r="E729" s="199">
        <v>1.24</v>
      </c>
      <c r="F729" s="199">
        <v>0.2</v>
      </c>
      <c r="G729" s="199">
        <v>1.7</v>
      </c>
      <c r="H729" s="199">
        <v>1</v>
      </c>
      <c r="I729" s="199"/>
      <c r="J729" s="219"/>
      <c r="K729" s="217">
        <f t="shared" si="21"/>
        <v>0.42159999999999997</v>
      </c>
      <c r="L729" s="245" t="s">
        <v>1554</v>
      </c>
      <c r="N729" s="268"/>
    </row>
    <row r="730" spans="2:14">
      <c r="B730" s="197" t="s">
        <v>1530</v>
      </c>
      <c r="C730" s="189" t="s">
        <v>1521</v>
      </c>
      <c r="D730" s="190" t="s">
        <v>169</v>
      </c>
      <c r="E730" s="199">
        <v>1.24</v>
      </c>
      <c r="F730" s="199">
        <v>0.2</v>
      </c>
      <c r="G730" s="199">
        <v>1.7</v>
      </c>
      <c r="H730" s="199">
        <v>1</v>
      </c>
      <c r="I730" s="199"/>
      <c r="J730" s="219"/>
      <c r="K730" s="217">
        <f t="shared" si="21"/>
        <v>0.42159999999999997</v>
      </c>
      <c r="L730" s="245" t="s">
        <v>1554</v>
      </c>
      <c r="N730" s="268"/>
    </row>
    <row r="731" spans="2:14">
      <c r="B731" s="249"/>
      <c r="C731" s="250"/>
      <c r="D731" s="205"/>
      <c r="E731" s="199"/>
      <c r="F731" s="199"/>
      <c r="G731" s="199"/>
      <c r="H731" s="199"/>
      <c r="I731" s="199"/>
      <c r="J731" s="219"/>
      <c r="K731" s="220">
        <f t="shared" si="21"/>
        <v>0</v>
      </c>
      <c r="L731" s="255"/>
      <c r="N731" s="268"/>
    </row>
    <row r="732" spans="2:14">
      <c r="B732" s="208"/>
      <c r="C732" s="204"/>
      <c r="D732" s="204"/>
      <c r="E732" s="204"/>
      <c r="F732" s="204"/>
      <c r="G732" s="204"/>
      <c r="H732" s="204"/>
      <c r="I732" s="557" t="s">
        <v>1221</v>
      </c>
      <c r="J732" s="557"/>
      <c r="K732" s="262">
        <f>SUM(K680:K731)</f>
        <v>74.34790000000001</v>
      </c>
      <c r="L732" s="207"/>
      <c r="N732" s="268"/>
    </row>
    <row r="733" spans="2:14">
      <c r="B733" s="208"/>
      <c r="C733" s="204"/>
      <c r="D733" s="204"/>
      <c r="E733" s="204"/>
      <c r="F733" s="204"/>
      <c r="G733" s="204"/>
      <c r="H733" s="209"/>
      <c r="I733" s="557" t="s">
        <v>1222</v>
      </c>
      <c r="J733" s="557"/>
      <c r="K733" s="221">
        <f>VLOOKUP(B678,'BM 004'!$B$27:$R$590,4,0)</f>
        <v>364.43</v>
      </c>
      <c r="L733" s="207"/>
      <c r="N733" s="268"/>
    </row>
    <row r="734" spans="2:14">
      <c r="B734" s="208"/>
      <c r="C734" s="204"/>
      <c r="D734" s="204"/>
      <c r="E734" s="204"/>
      <c r="F734" s="204"/>
      <c r="G734" s="204"/>
      <c r="H734" s="558" t="s">
        <v>1223</v>
      </c>
      <c r="I734" s="558"/>
      <c r="J734" s="558"/>
      <c r="K734" s="222">
        <v>33.200000000000003</v>
      </c>
      <c r="L734" s="207"/>
      <c r="N734" s="268"/>
    </row>
    <row r="735" spans="2:14">
      <c r="B735" s="208"/>
      <c r="C735" s="204"/>
      <c r="D735" s="204"/>
      <c r="E735" s="204"/>
      <c r="F735" s="204"/>
      <c r="G735" s="204"/>
      <c r="H735" s="558" t="s">
        <v>1435</v>
      </c>
      <c r="I735" s="558"/>
      <c r="J735" s="558"/>
      <c r="K735" s="222">
        <f>TRUNC(SUMIF(C680:C731,H735,K680:K731),2)</f>
        <v>41.13</v>
      </c>
      <c r="L735" s="207"/>
      <c r="N735" s="268"/>
    </row>
    <row r="736" spans="2:14">
      <c r="B736" s="213"/>
      <c r="C736" s="214"/>
      <c r="D736" s="214"/>
      <c r="E736" s="214"/>
      <c r="F736" s="214"/>
      <c r="G736" s="214"/>
      <c r="H736" s="559" t="s">
        <v>1224</v>
      </c>
      <c r="I736" s="559"/>
      <c r="J736" s="559"/>
      <c r="K736" s="223">
        <f>IF(K732&gt;K733,K732-K733,0)</f>
        <v>0</v>
      </c>
      <c r="L736" s="209"/>
      <c r="N736" s="268"/>
    </row>
    <row r="738" spans="2:12">
      <c r="B738" s="247" t="s">
        <v>220</v>
      </c>
      <c r="C738" s="565" t="str">
        <f>VLOOKUP(B738,'BM 004'!$B$27:$R$590,2,0)</f>
        <v xml:space="preserve">Armação de pilar ou viga de uma estrutura convencional de concreto armado em um edifício de múltiplos pavimentos utilizando aço ca-60 de 5,0 mm - montagem. </v>
      </c>
      <c r="D738" s="565"/>
      <c r="E738" s="565"/>
      <c r="F738" s="565"/>
      <c r="G738" s="565"/>
      <c r="H738" s="565"/>
      <c r="I738" s="565"/>
      <c r="J738" s="565"/>
      <c r="K738" s="565"/>
      <c r="L738" s="565"/>
    </row>
    <row r="739" spans="2:12">
      <c r="B739" s="248" t="s">
        <v>1209</v>
      </c>
      <c r="C739" s="248"/>
      <c r="D739" s="248" t="s">
        <v>39</v>
      </c>
      <c r="E739" s="248" t="s">
        <v>1210</v>
      </c>
      <c r="F739" s="248" t="s">
        <v>1382</v>
      </c>
      <c r="G739" s="248" t="s">
        <v>1383</v>
      </c>
      <c r="H739" s="248" t="s">
        <v>1384</v>
      </c>
      <c r="I739" s="248" t="s">
        <v>1214</v>
      </c>
      <c r="J739" s="248" t="s">
        <v>1385</v>
      </c>
      <c r="K739" s="248" t="s">
        <v>1216</v>
      </c>
      <c r="L739" s="248" t="s">
        <v>1217</v>
      </c>
    </row>
    <row r="740" spans="2:12">
      <c r="B740" s="249" t="s">
        <v>1387</v>
      </c>
      <c r="C740" s="250" t="s">
        <v>1333</v>
      </c>
      <c r="D740" s="205" t="s">
        <v>152</v>
      </c>
      <c r="E740" s="251">
        <v>208</v>
      </c>
      <c r="F740" s="252">
        <v>0.154</v>
      </c>
      <c r="G740" s="251">
        <v>1.1000000000000001</v>
      </c>
      <c r="H740" s="251">
        <v>0.55000000000000004</v>
      </c>
      <c r="I740" s="251"/>
      <c r="J740" s="253"/>
      <c r="K740" s="254">
        <f>IF(E740*F740*G740&lt;&gt;0,E740*F740*G740,IF(E740*F740&lt;&gt;0,E740*F740,IF(F740*G740&lt;&gt;0,F740*G740,IF(E740*G740&lt;&gt;0,E740*G740,IF(E740&lt;&gt;0,E740,IF(F740&lt;&gt;0,F740,IF(G740&lt;&gt;0,G740,0)))))))*(IF(H740&lt;&gt;0,H740,1))+I740-J740</f>
        <v>19.379360000000002</v>
      </c>
      <c r="L740" s="255"/>
    </row>
    <row r="741" spans="2:12">
      <c r="B741" s="249" t="s">
        <v>1480</v>
      </c>
      <c r="C741" s="250" t="s">
        <v>1441</v>
      </c>
      <c r="D741" s="205" t="s">
        <v>152</v>
      </c>
      <c r="E741" s="251">
        <v>1109</v>
      </c>
      <c r="F741" s="252">
        <f>F740</f>
        <v>0.154</v>
      </c>
      <c r="G741" s="251">
        <f>G740</f>
        <v>1.1000000000000001</v>
      </c>
      <c r="H741" s="251">
        <v>0.5</v>
      </c>
      <c r="I741" s="251"/>
      <c r="J741" s="253"/>
      <c r="K741" s="254">
        <f>IF(E741*F741*G741&lt;&gt;0,E741*F741*G741,IF(E741*F741&lt;&gt;0,E741*F741,IF(F741*G741&lt;&gt;0,F741*G741,IF(E741*G741&lt;&gt;0,E741*G741,IF(E741&lt;&gt;0,E741,IF(F741&lt;&gt;0,F741,IF(G741&lt;&gt;0,G741,0)))))))*(IF(H741&lt;&gt;0,H741,1))+I741-J741</f>
        <v>93.932300000000012</v>
      </c>
      <c r="L741" s="205"/>
    </row>
    <row r="742" spans="2:12">
      <c r="B742" s="249" t="s">
        <v>1555</v>
      </c>
      <c r="C742" s="250" t="s">
        <v>1441</v>
      </c>
      <c r="D742" s="205" t="s">
        <v>152</v>
      </c>
      <c r="E742" s="251"/>
      <c r="F742" s="252"/>
      <c r="G742" s="251"/>
      <c r="H742" s="251"/>
      <c r="I742" s="251"/>
      <c r="J742" s="253"/>
      <c r="K742" s="254">
        <f>IF(E742*F742*G742&lt;&gt;0,E742*F742*G742,IF(E742*F742&lt;&gt;0,E742*F742,IF(F742*G742&lt;&gt;0,F742*G742,IF(E742*G742&lt;&gt;0,E742*G742,IF(E742&lt;&gt;0,E742,IF(F742&lt;&gt;0,F742,IF(G742&lt;&gt;0,G742,0)))))))*(IF(H742&lt;&gt;0,H742,1))+I742-J742</f>
        <v>0</v>
      </c>
      <c r="L742" s="205"/>
    </row>
    <row r="743" spans="2:12">
      <c r="B743" s="267"/>
      <c r="C743" s="205"/>
      <c r="D743" s="205"/>
      <c r="E743" s="251"/>
      <c r="F743" s="252"/>
      <c r="G743" s="251"/>
      <c r="H743" s="251"/>
      <c r="I743" s="251"/>
      <c r="J743" s="253"/>
      <c r="K743" s="254">
        <f>IF(E743*F743*G743&lt;&gt;0,E743*F743*G743,IF(E743*F743&lt;&gt;0,E743*F743,IF(F743*G743&lt;&gt;0,F743*G743,IF(E743*G743&lt;&gt;0,E743*G743,IF(E743&lt;&gt;0,E743,IF(F743&lt;&gt;0,F743,IF(G743&lt;&gt;0,G743,0)))))))*(IF(H743&lt;&gt;0,H743,1))+I743-J743</f>
        <v>0</v>
      </c>
      <c r="L743" s="205"/>
    </row>
    <row r="744" spans="2:12">
      <c r="B744" s="208"/>
      <c r="C744" s="204"/>
      <c r="D744" s="204"/>
      <c r="E744" s="204"/>
      <c r="F744" s="204"/>
      <c r="G744" s="204"/>
      <c r="H744" s="204"/>
      <c r="I744" s="556" t="s">
        <v>1221</v>
      </c>
      <c r="J744" s="556"/>
      <c r="K744" s="262">
        <f>SUM(K740:K743)</f>
        <v>113.31166000000002</v>
      </c>
      <c r="L744" s="207"/>
    </row>
    <row r="745" spans="2:12">
      <c r="B745" s="208"/>
      <c r="C745" s="204"/>
      <c r="D745" s="204"/>
      <c r="E745" s="204"/>
      <c r="F745" s="204"/>
      <c r="G745" s="204"/>
      <c r="H745" s="209"/>
      <c r="I745" s="557" t="s">
        <v>1222</v>
      </c>
      <c r="J745" s="557"/>
      <c r="K745" s="221">
        <f>VLOOKUP(B738,'BM 004'!$B$27:$R$590,4,0)</f>
        <v>347.6</v>
      </c>
      <c r="L745" s="207"/>
    </row>
    <row r="746" spans="2:12">
      <c r="B746" s="208"/>
      <c r="C746" s="204"/>
      <c r="D746" s="204"/>
      <c r="E746" s="204"/>
      <c r="F746" s="204"/>
      <c r="G746" s="204"/>
      <c r="H746" s="558" t="s">
        <v>1223</v>
      </c>
      <c r="I746" s="558"/>
      <c r="J746" s="558"/>
      <c r="K746" s="222">
        <v>113.3</v>
      </c>
      <c r="L746" s="207"/>
    </row>
    <row r="747" spans="2:12">
      <c r="B747" s="208"/>
      <c r="C747" s="204"/>
      <c r="D747" s="204"/>
      <c r="E747" s="204"/>
      <c r="F747" s="204"/>
      <c r="G747" s="204"/>
      <c r="H747" s="558" t="s">
        <v>1435</v>
      </c>
      <c r="I747" s="558"/>
      <c r="J747" s="558"/>
      <c r="K747" s="222">
        <f>TRUNC(SUMIF(C740:C743,H747,K740:K743),2)</f>
        <v>0</v>
      </c>
      <c r="L747" s="207"/>
    </row>
    <row r="748" spans="2:12">
      <c r="B748" s="213"/>
      <c r="C748" s="214"/>
      <c r="D748" s="214"/>
      <c r="E748" s="214"/>
      <c r="F748" s="214"/>
      <c r="G748" s="214"/>
      <c r="H748" s="559" t="s">
        <v>1224</v>
      </c>
      <c r="I748" s="559"/>
      <c r="J748" s="559"/>
      <c r="K748" s="223">
        <f>IF(K744&gt;K745,K744-K745,0)</f>
        <v>0</v>
      </c>
      <c r="L748" s="209"/>
    </row>
    <row r="750" spans="2:12">
      <c r="B750" s="247" t="s">
        <v>221</v>
      </c>
      <c r="C750" s="565" t="str">
        <f>VLOOKUP(B750,'BM 004'!$B$27:$R$590,2,0)</f>
        <v>Armação de pilar ou viga de uma estrutura convencional de concreto armado em um edifício de múltiplos pavimentos utilizando aço ca-50 de 6,3 mm - montagem.</v>
      </c>
      <c r="D750" s="565"/>
      <c r="E750" s="565"/>
      <c r="F750" s="565"/>
      <c r="G750" s="565"/>
      <c r="H750" s="565"/>
      <c r="I750" s="565"/>
      <c r="J750" s="565"/>
      <c r="K750" s="565"/>
      <c r="L750" s="565"/>
    </row>
    <row r="751" spans="2:12">
      <c r="B751" s="248" t="s">
        <v>1209</v>
      </c>
      <c r="C751" s="248"/>
      <c r="D751" s="248" t="s">
        <v>39</v>
      </c>
      <c r="E751" s="248" t="s">
        <v>1210</v>
      </c>
      <c r="F751" s="248" t="s">
        <v>1382</v>
      </c>
      <c r="G751" s="248" t="s">
        <v>1383</v>
      </c>
      <c r="H751" s="248" t="s">
        <v>1384</v>
      </c>
      <c r="I751" s="248" t="s">
        <v>1214</v>
      </c>
      <c r="J751" s="248" t="s">
        <v>1385</v>
      </c>
      <c r="K751" s="248" t="s">
        <v>1216</v>
      </c>
      <c r="L751" s="248" t="s">
        <v>1217</v>
      </c>
    </row>
    <row r="752" spans="2:12">
      <c r="B752" s="249" t="s">
        <v>1387</v>
      </c>
      <c r="C752" s="250" t="s">
        <v>1333</v>
      </c>
      <c r="D752" s="205" t="s">
        <v>152</v>
      </c>
      <c r="E752" s="251">
        <v>4472</v>
      </c>
      <c r="F752" s="252">
        <v>0.245</v>
      </c>
      <c r="G752" s="251">
        <v>1.1000000000000001</v>
      </c>
      <c r="H752" s="251">
        <v>0.55000000000000004</v>
      </c>
      <c r="I752" s="251"/>
      <c r="J752" s="253"/>
      <c r="K752" s="254">
        <f>IF(E752*F752*G752&lt;&gt;0,E752*F752*G752,IF(E752*F752&lt;&gt;0,E752*F752,IF(F752*G752&lt;&gt;0,F752*G752,IF(E752*G752&lt;&gt;0,E752*G752,IF(E752&lt;&gt;0,E752,IF(F752&lt;&gt;0,F752,IF(G752&lt;&gt;0,G752,0)))))))*(IF(H752&lt;&gt;0,H752,1))+I752-J752</f>
        <v>662.86220000000003</v>
      </c>
      <c r="L752" s="255"/>
    </row>
    <row r="753" spans="2:12">
      <c r="B753" s="249" t="s">
        <v>1480</v>
      </c>
      <c r="C753" s="250" t="s">
        <v>1441</v>
      </c>
      <c r="D753" s="205" t="s">
        <v>152</v>
      </c>
      <c r="E753" s="251">
        <v>2134</v>
      </c>
      <c r="F753" s="252">
        <f>F752</f>
        <v>0.245</v>
      </c>
      <c r="G753" s="251">
        <f>G752</f>
        <v>1.1000000000000001</v>
      </c>
      <c r="H753" s="251">
        <v>0.5</v>
      </c>
      <c r="I753" s="251"/>
      <c r="J753" s="253"/>
      <c r="K753" s="254">
        <f>IF(E753*F753*G753&lt;&gt;0,E753*F753*G753,IF(E753*F753&lt;&gt;0,E753*F753,IF(F753*G753&lt;&gt;0,F753*G753,IF(E753*G753&lt;&gt;0,E753*G753,IF(E753&lt;&gt;0,E753,IF(F753&lt;&gt;0,F753,IF(G753&lt;&gt;0,G753,0)))))))*(IF(H753&lt;&gt;0,H753,1))+I753-J753</f>
        <v>287.55650000000003</v>
      </c>
      <c r="L753" s="205"/>
    </row>
    <row r="754" spans="2:12">
      <c r="B754" s="249" t="s">
        <v>1555</v>
      </c>
      <c r="C754" s="250" t="s">
        <v>1521</v>
      </c>
      <c r="D754" s="205" t="s">
        <v>152</v>
      </c>
      <c r="E754" s="251">
        <v>2992</v>
      </c>
      <c r="F754" s="252">
        <f>F753</f>
        <v>0.245</v>
      </c>
      <c r="G754" s="251">
        <f>G753</f>
        <v>1.1000000000000001</v>
      </c>
      <c r="H754" s="251">
        <v>0.3</v>
      </c>
      <c r="I754" s="251"/>
      <c r="J754" s="253"/>
      <c r="K754" s="254">
        <f>IF(E754*F754*G754&lt;&gt;0,E754*F754*G754,IF(E754*F754&lt;&gt;0,E754*F754,IF(F754*G754&lt;&gt;0,F754*G754,IF(E754*G754&lt;&gt;0,E754*G754,IF(E754&lt;&gt;0,E754,IF(F754&lt;&gt;0,F754,IF(G754&lt;&gt;0,G754,0)))))))*(IF(H754&lt;&gt;0,H754,1))+I754-J754</f>
        <v>241.9032</v>
      </c>
      <c r="L754" s="205"/>
    </row>
    <row r="755" spans="2:12">
      <c r="B755" s="267"/>
      <c r="C755" s="205"/>
      <c r="D755" s="205"/>
      <c r="E755" s="251"/>
      <c r="F755" s="252"/>
      <c r="G755" s="251"/>
      <c r="H755" s="251"/>
      <c r="I755" s="251"/>
      <c r="J755" s="253"/>
      <c r="K755" s="254">
        <f>IF(E755*F755*G755&lt;&gt;0,E755*F755*G755,IF(E755*F755&lt;&gt;0,E755*F755,IF(F755*G755&lt;&gt;0,F755*G755,IF(E755*G755&lt;&gt;0,E755*G755,IF(E755&lt;&gt;0,E755,IF(F755&lt;&gt;0,F755,IF(G755&lt;&gt;0,G755,0)))))))*(IF(H755&lt;&gt;0,H755,1))+I755-J755</f>
        <v>0</v>
      </c>
      <c r="L755" s="205"/>
    </row>
    <row r="756" spans="2:12">
      <c r="B756" s="208"/>
      <c r="C756" s="204"/>
      <c r="D756" s="204"/>
      <c r="E756" s="204"/>
      <c r="F756" s="204"/>
      <c r="G756" s="204"/>
      <c r="H756" s="204"/>
      <c r="I756" s="556" t="s">
        <v>1221</v>
      </c>
      <c r="J756" s="556"/>
      <c r="K756" s="262">
        <f>SUM(K752:K755)</f>
        <v>1192.3219000000001</v>
      </c>
      <c r="L756" s="207"/>
    </row>
    <row r="757" spans="2:12">
      <c r="B757" s="208"/>
      <c r="C757" s="204"/>
      <c r="D757" s="204"/>
      <c r="E757" s="204"/>
      <c r="F757" s="204"/>
      <c r="G757" s="204"/>
      <c r="H757" s="209"/>
      <c r="I757" s="557" t="s">
        <v>1222</v>
      </c>
      <c r="J757" s="557"/>
      <c r="K757" s="221">
        <f>VLOOKUP(B750,'BM 004'!$B$27:$R$590,4,0)</f>
        <v>3626.7</v>
      </c>
      <c r="L757" s="207"/>
    </row>
    <row r="758" spans="2:12">
      <c r="B758" s="208"/>
      <c r="C758" s="204"/>
      <c r="D758" s="204"/>
      <c r="E758" s="204"/>
      <c r="F758" s="204"/>
      <c r="G758" s="204"/>
      <c r="H758" s="558" t="s">
        <v>1223</v>
      </c>
      <c r="I758" s="558"/>
      <c r="J758" s="558"/>
      <c r="K758" s="222">
        <v>950.41</v>
      </c>
      <c r="L758" s="207"/>
    </row>
    <row r="759" spans="2:12">
      <c r="B759" s="208"/>
      <c r="C759" s="204"/>
      <c r="D759" s="204"/>
      <c r="E759" s="204"/>
      <c r="F759" s="204"/>
      <c r="G759" s="204"/>
      <c r="H759" s="558" t="s">
        <v>1435</v>
      </c>
      <c r="I759" s="558"/>
      <c r="J759" s="558"/>
      <c r="K759" s="222">
        <f>TRUNC(SUMIF(C752:C755,H759,K752:K755),2)</f>
        <v>241.9</v>
      </c>
      <c r="L759" s="207"/>
    </row>
    <row r="760" spans="2:12">
      <c r="B760" s="213"/>
      <c r="C760" s="214"/>
      <c r="D760" s="214"/>
      <c r="E760" s="214"/>
      <c r="F760" s="214"/>
      <c r="G760" s="214"/>
      <c r="H760" s="559" t="s">
        <v>1224</v>
      </c>
      <c r="I760" s="559"/>
      <c r="J760" s="559"/>
      <c r="K760" s="223">
        <f>IF(K756&gt;K757,K756-K757,0)</f>
        <v>0</v>
      </c>
      <c r="L760" s="209"/>
    </row>
    <row r="762" spans="2:12">
      <c r="B762" s="247" t="s">
        <v>223</v>
      </c>
      <c r="C762" s="565" t="str">
        <f>VLOOKUP(B762,'BM 004'!$B$27:$R$590,2,0)</f>
        <v xml:space="preserve">Armação de pilar ou viga de uma estrutura convencional de concreto armado em um edifício de múltiplos pavimentos utilizando aço ca-50 de 8,0 mm - montagem. </v>
      </c>
      <c r="D762" s="565"/>
      <c r="E762" s="565"/>
      <c r="F762" s="565"/>
      <c r="G762" s="565"/>
      <c r="H762" s="565"/>
      <c r="I762" s="565"/>
      <c r="J762" s="565"/>
      <c r="K762" s="565"/>
      <c r="L762" s="565"/>
    </row>
    <row r="763" spans="2:12">
      <c r="B763" s="248" t="s">
        <v>1209</v>
      </c>
      <c r="C763" s="248"/>
      <c r="D763" s="248" t="s">
        <v>39</v>
      </c>
      <c r="E763" s="248" t="s">
        <v>1210</v>
      </c>
      <c r="F763" s="248" t="s">
        <v>1382</v>
      </c>
      <c r="G763" s="248" t="s">
        <v>1383</v>
      </c>
      <c r="H763" s="248" t="s">
        <v>1384</v>
      </c>
      <c r="I763" s="248" t="s">
        <v>1214</v>
      </c>
      <c r="J763" s="248" t="s">
        <v>1385</v>
      </c>
      <c r="K763" s="248" t="s">
        <v>1216</v>
      </c>
      <c r="L763" s="248" t="s">
        <v>1217</v>
      </c>
    </row>
    <row r="764" spans="2:12">
      <c r="B764" s="249" t="s">
        <v>1387</v>
      </c>
      <c r="C764" s="250" t="s">
        <v>1333</v>
      </c>
      <c r="D764" s="205" t="s">
        <v>152</v>
      </c>
      <c r="E764" s="251">
        <v>1288</v>
      </c>
      <c r="F764" s="252">
        <v>0.39500000000000002</v>
      </c>
      <c r="G764" s="251">
        <v>1.1000000000000001</v>
      </c>
      <c r="H764" s="251">
        <v>0.55000000000000004</v>
      </c>
      <c r="I764" s="251"/>
      <c r="J764" s="253"/>
      <c r="K764" s="254">
        <f>IF(E764*F764*G764&lt;&gt;0,E764*F764*G764,IF(E764*F764&lt;&gt;0,E764*F764,IF(F764*G764&lt;&gt;0,F764*G764,IF(E764*G764&lt;&gt;0,E764*G764,IF(E764&lt;&gt;0,E764,IF(F764&lt;&gt;0,F764,IF(G764&lt;&gt;0,G764,0)))))))*(IF(H764&lt;&gt;0,H764,1))+I764-J764</f>
        <v>307.79980000000006</v>
      </c>
      <c r="L764" s="255"/>
    </row>
    <row r="765" spans="2:12">
      <c r="B765" s="249" t="s">
        <v>1480</v>
      </c>
      <c r="C765" s="250" t="s">
        <v>1441</v>
      </c>
      <c r="D765" s="205" t="s">
        <v>152</v>
      </c>
      <c r="E765" s="251">
        <v>203</v>
      </c>
      <c r="F765" s="252">
        <f>F764</f>
        <v>0.39500000000000002</v>
      </c>
      <c r="G765" s="251">
        <f>G764</f>
        <v>1.1000000000000001</v>
      </c>
      <c r="H765" s="251">
        <v>0.5</v>
      </c>
      <c r="I765" s="251"/>
      <c r="J765" s="253"/>
      <c r="K765" s="254">
        <f>IF(E765*F765*G765&lt;&gt;0,E765*F765*G765,IF(E765*F765&lt;&gt;0,E765*F765,IF(F765*G765&lt;&gt;0,F765*G765,IF(E765*G765&lt;&gt;0,E765*G765,IF(E765&lt;&gt;0,E765,IF(F765&lt;&gt;0,F765,IF(G765&lt;&gt;0,G765,0)))))))*(IF(H765&lt;&gt;0,H765,1))+I765-J765</f>
        <v>44.101750000000003</v>
      </c>
      <c r="L765" s="205"/>
    </row>
    <row r="766" spans="2:12">
      <c r="B766" s="249" t="s">
        <v>1480</v>
      </c>
      <c r="C766" s="250" t="s">
        <v>1521</v>
      </c>
      <c r="D766" s="205" t="s">
        <v>152</v>
      </c>
      <c r="E766" s="251">
        <v>1750</v>
      </c>
      <c r="F766" s="252">
        <f>F765</f>
        <v>0.39500000000000002</v>
      </c>
      <c r="G766" s="251">
        <f>G765</f>
        <v>1.1000000000000001</v>
      </c>
      <c r="H766" s="251">
        <v>0.3</v>
      </c>
      <c r="I766" s="251"/>
      <c r="J766" s="253"/>
      <c r="K766" s="254">
        <f>IF(E766*F766*G766&lt;&gt;0,E766*F766*G766,IF(E766*F766&lt;&gt;0,E766*F766,IF(F766*G766&lt;&gt;0,F766*G766,IF(E766*G766&lt;&gt;0,E766*G766,IF(E766&lt;&gt;0,E766,IF(F766&lt;&gt;0,F766,IF(G766&lt;&gt;0,G766,0)))))))*(IF(H766&lt;&gt;0,H766,1))+I766-J766</f>
        <v>228.11250000000004</v>
      </c>
      <c r="L766" s="205"/>
    </row>
    <row r="767" spans="2:12">
      <c r="B767" s="267"/>
      <c r="C767" s="205"/>
      <c r="D767" s="205"/>
      <c r="E767" s="251"/>
      <c r="F767" s="252"/>
      <c r="G767" s="251"/>
      <c r="H767" s="251"/>
      <c r="I767" s="251"/>
      <c r="J767" s="253"/>
      <c r="K767" s="254">
        <f>IF(E767*F767*G767&lt;&gt;0,E767*F767*G767,IF(E767*F767&lt;&gt;0,E767*F767,IF(F767*G767&lt;&gt;0,F767*G767,IF(E767*G767&lt;&gt;0,E767*G767,IF(E767&lt;&gt;0,E767,IF(F767&lt;&gt;0,F767,IF(G767&lt;&gt;0,G767,0)))))))*(IF(H767&lt;&gt;0,H767,1))+I767-J767</f>
        <v>0</v>
      </c>
      <c r="L767" s="205"/>
    </row>
    <row r="768" spans="2:12">
      <c r="B768" s="208"/>
      <c r="C768" s="204"/>
      <c r="D768" s="204"/>
      <c r="E768" s="204"/>
      <c r="F768" s="204"/>
      <c r="G768" s="204"/>
      <c r="H768" s="204"/>
      <c r="I768" s="556" t="s">
        <v>1221</v>
      </c>
      <c r="J768" s="556"/>
      <c r="K768" s="262">
        <f>SUM(K764:K767)</f>
        <v>580.01405000000011</v>
      </c>
      <c r="L768" s="207"/>
    </row>
    <row r="769" spans="2:12">
      <c r="B769" s="208"/>
      <c r="C769" s="204"/>
      <c r="D769" s="204"/>
      <c r="E769" s="204"/>
      <c r="F769" s="204"/>
      <c r="G769" s="204"/>
      <c r="H769" s="209"/>
      <c r="I769" s="557" t="s">
        <v>1222</v>
      </c>
      <c r="J769" s="557"/>
      <c r="K769" s="221">
        <f>VLOOKUP(B762,'BM 004'!$B$27:$R$590,4,0)</f>
        <v>1762.2</v>
      </c>
      <c r="L769" s="207"/>
    </row>
    <row r="770" spans="2:12">
      <c r="B770" s="208"/>
      <c r="C770" s="204"/>
      <c r="D770" s="204"/>
      <c r="E770" s="204"/>
      <c r="F770" s="204"/>
      <c r="G770" s="204"/>
      <c r="H770" s="558" t="s">
        <v>1223</v>
      </c>
      <c r="I770" s="558"/>
      <c r="J770" s="558"/>
      <c r="K770" s="222">
        <v>352.33605</v>
      </c>
      <c r="L770" s="207"/>
    </row>
    <row r="771" spans="2:12">
      <c r="B771" s="208"/>
      <c r="C771" s="204"/>
      <c r="D771" s="204"/>
      <c r="E771" s="204"/>
      <c r="F771" s="204"/>
      <c r="G771" s="204"/>
      <c r="H771" s="558" t="s">
        <v>1435</v>
      </c>
      <c r="I771" s="558"/>
      <c r="J771" s="558"/>
      <c r="K771" s="222">
        <f>TRUNC(SUMIF(C764:C767,H771,K764:K767),2)</f>
        <v>228.11</v>
      </c>
      <c r="L771" s="207"/>
    </row>
    <row r="772" spans="2:12">
      <c r="B772" s="213"/>
      <c r="C772" s="214"/>
      <c r="D772" s="214"/>
      <c r="E772" s="214"/>
      <c r="F772" s="214"/>
      <c r="G772" s="214"/>
      <c r="H772" s="559" t="s">
        <v>1224</v>
      </c>
      <c r="I772" s="559"/>
      <c r="J772" s="559"/>
      <c r="K772" s="223">
        <f>IF(K768&gt;K769,K768-K769,0)</f>
        <v>0</v>
      </c>
      <c r="L772" s="209"/>
    </row>
    <row r="774" spans="2:12">
      <c r="B774" s="247" t="s">
        <v>224</v>
      </c>
      <c r="C774" s="565" t="str">
        <f>VLOOKUP(B774,'BM 004'!$B$27:$R$590,2,0)</f>
        <v xml:space="preserve">Armação de pilar ou viga de uma estrutura convencional de concreto armado em um edifício de múltiplos pavimentos utilizando aço ca-50 de 10,0 mm - montagem. </v>
      </c>
      <c r="D774" s="565"/>
      <c r="E774" s="565"/>
      <c r="F774" s="565"/>
      <c r="G774" s="565"/>
      <c r="H774" s="565"/>
      <c r="I774" s="565"/>
      <c r="J774" s="565"/>
      <c r="K774" s="565"/>
      <c r="L774" s="565"/>
    </row>
    <row r="775" spans="2:12">
      <c r="B775" s="248" t="s">
        <v>1209</v>
      </c>
      <c r="C775" s="248"/>
      <c r="D775" s="248" t="s">
        <v>39</v>
      </c>
      <c r="E775" s="248" t="s">
        <v>1210</v>
      </c>
      <c r="F775" s="248" t="s">
        <v>1382</v>
      </c>
      <c r="G775" s="248" t="s">
        <v>1383</v>
      </c>
      <c r="H775" s="248" t="s">
        <v>1384</v>
      </c>
      <c r="I775" s="248" t="s">
        <v>1214</v>
      </c>
      <c r="J775" s="248" t="s">
        <v>1385</v>
      </c>
      <c r="K775" s="248" t="s">
        <v>1216</v>
      </c>
      <c r="L775" s="248" t="s">
        <v>1217</v>
      </c>
    </row>
    <row r="776" spans="2:12">
      <c r="B776" s="249" t="s">
        <v>1387</v>
      </c>
      <c r="C776" s="250" t="s">
        <v>1333</v>
      </c>
      <c r="D776" s="205" t="s">
        <v>152</v>
      </c>
      <c r="E776" s="251">
        <v>82</v>
      </c>
      <c r="F776" s="252">
        <v>0.61699999999999999</v>
      </c>
      <c r="G776" s="251">
        <v>1.1000000000000001</v>
      </c>
      <c r="H776" s="251">
        <v>0.55000000000000004</v>
      </c>
      <c r="I776" s="251"/>
      <c r="J776" s="253"/>
      <c r="K776" s="254">
        <f>IF(E776*F776*G776&lt;&gt;0,E776*F776*G776,IF(E776*F776&lt;&gt;0,E776*F776,IF(F776*G776&lt;&gt;0,F776*G776,IF(E776*G776&lt;&gt;0,E776*G776,IF(E776&lt;&gt;0,E776,IF(F776&lt;&gt;0,F776,IF(G776&lt;&gt;0,G776,0)))))))*(IF(H776&lt;&gt;0,H776,1))+I776-J776</f>
        <v>30.609370000000006</v>
      </c>
      <c r="L776" s="255"/>
    </row>
    <row r="777" spans="2:12">
      <c r="B777" s="249" t="s">
        <v>1480</v>
      </c>
      <c r="C777" s="250" t="s">
        <v>1441</v>
      </c>
      <c r="D777" s="205" t="s">
        <v>152</v>
      </c>
      <c r="E777" s="251">
        <v>494</v>
      </c>
      <c r="F777" s="252">
        <f>F776</f>
        <v>0.61699999999999999</v>
      </c>
      <c r="G777" s="251">
        <f>G776</f>
        <v>1.1000000000000001</v>
      </c>
      <c r="H777" s="251">
        <v>0.5</v>
      </c>
      <c r="I777" s="251"/>
      <c r="J777" s="253"/>
      <c r="K777" s="254">
        <f>IF(E777*F777*G777&lt;&gt;0,E777*F777*G777,IF(E777*F777&lt;&gt;0,E777*F777,IF(F777*G777&lt;&gt;0,F777*G777,IF(E777*G777&lt;&gt;0,E777*G777,IF(E777&lt;&gt;0,E777,IF(F777&lt;&gt;0,F777,IF(G777&lt;&gt;0,G777,0)))))))*(IF(H777&lt;&gt;0,H777,1))+I777-J777</f>
        <v>167.63890000000001</v>
      </c>
      <c r="L777" s="205"/>
    </row>
    <row r="778" spans="2:12">
      <c r="B778" s="267"/>
      <c r="C778" s="205"/>
      <c r="D778" s="205"/>
      <c r="E778" s="251"/>
      <c r="F778" s="252"/>
      <c r="G778" s="251"/>
      <c r="H778" s="251"/>
      <c r="I778" s="251"/>
      <c r="J778" s="253"/>
      <c r="K778" s="254">
        <f>IF(E778*F778*G778&lt;&gt;0,E778*F778*G778,IF(E778*F778&lt;&gt;0,E778*F778,IF(F778*G778&lt;&gt;0,F778*G778,IF(E778*G778&lt;&gt;0,E778*G778,IF(E778&lt;&gt;0,E778,IF(F778&lt;&gt;0,F778,IF(G778&lt;&gt;0,G778,0)))))))*(IF(H778&lt;&gt;0,H778,1))+I778-J778</f>
        <v>0</v>
      </c>
      <c r="L778" s="205"/>
    </row>
    <row r="779" spans="2:12">
      <c r="B779" s="208"/>
      <c r="C779" s="204"/>
      <c r="D779" s="204"/>
      <c r="E779" s="204"/>
      <c r="F779" s="204"/>
      <c r="G779" s="204"/>
      <c r="H779" s="204"/>
      <c r="I779" s="556" t="s">
        <v>1221</v>
      </c>
      <c r="J779" s="556"/>
      <c r="K779" s="262">
        <f>SUM(K776:K778)</f>
        <v>198.24827000000002</v>
      </c>
      <c r="L779" s="207"/>
    </row>
    <row r="780" spans="2:12">
      <c r="B780" s="208"/>
      <c r="C780" s="204"/>
      <c r="D780" s="204"/>
      <c r="E780" s="204"/>
      <c r="F780" s="204"/>
      <c r="G780" s="204"/>
      <c r="H780" s="209"/>
      <c r="I780" s="557" t="s">
        <v>1222</v>
      </c>
      <c r="J780" s="557"/>
      <c r="K780" s="221">
        <f>VLOOKUP(B774,'BM 004'!$B$27:$R$590,4,0)</f>
        <v>542.29999999999995</v>
      </c>
      <c r="L780" s="207"/>
    </row>
    <row r="781" spans="2:12">
      <c r="B781" s="208"/>
      <c r="C781" s="204"/>
      <c r="D781" s="204"/>
      <c r="E781" s="204"/>
      <c r="F781" s="204"/>
      <c r="G781" s="204"/>
      <c r="H781" s="558" t="s">
        <v>1223</v>
      </c>
      <c r="I781" s="558"/>
      <c r="J781" s="558"/>
      <c r="K781" s="222">
        <v>198.23</v>
      </c>
      <c r="L781" s="207"/>
    </row>
    <row r="782" spans="2:12">
      <c r="B782" s="208"/>
      <c r="C782" s="204"/>
      <c r="D782" s="204"/>
      <c r="E782" s="204"/>
      <c r="F782" s="204"/>
      <c r="G782" s="204"/>
      <c r="H782" s="558" t="s">
        <v>1435</v>
      </c>
      <c r="I782" s="558"/>
      <c r="J782" s="558"/>
      <c r="K782" s="222">
        <f>TRUNC(SUMIF(C776:C778,H782,K776:K778),2)</f>
        <v>0</v>
      </c>
      <c r="L782" s="207"/>
    </row>
    <row r="783" spans="2:12">
      <c r="B783" s="213"/>
      <c r="C783" s="214"/>
      <c r="D783" s="214"/>
      <c r="E783" s="214"/>
      <c r="F783" s="214"/>
      <c r="G783" s="214"/>
      <c r="H783" s="559" t="s">
        <v>1224</v>
      </c>
      <c r="I783" s="559"/>
      <c r="J783" s="559"/>
      <c r="K783" s="223">
        <f>IF(K779&gt;K780,K779-K780,0)</f>
        <v>0</v>
      </c>
      <c r="L783" s="209"/>
    </row>
    <row r="785" spans="2:12">
      <c r="B785" s="247" t="s">
        <v>225</v>
      </c>
      <c r="C785" s="565" t="str">
        <f>VLOOKUP(B785,'BM 004'!$B$27:$R$590,2,0)</f>
        <v xml:space="preserve">Armação de pilar ou viga de uma estrutura convencional de concreto armado em um edifício de múltiplos pavimentos utilizando aço ca-50 de 12,5 mm - montagem. </v>
      </c>
      <c r="D785" s="565"/>
      <c r="E785" s="565"/>
      <c r="F785" s="565"/>
      <c r="G785" s="565"/>
      <c r="H785" s="565"/>
      <c r="I785" s="565"/>
      <c r="J785" s="565"/>
      <c r="K785" s="565"/>
      <c r="L785" s="565"/>
    </row>
    <row r="786" spans="2:12">
      <c r="B786" s="248" t="s">
        <v>1209</v>
      </c>
      <c r="C786" s="248"/>
      <c r="D786" s="248" t="s">
        <v>39</v>
      </c>
      <c r="E786" s="248" t="s">
        <v>1210</v>
      </c>
      <c r="F786" s="248" t="s">
        <v>1382</v>
      </c>
      <c r="G786" s="248" t="s">
        <v>1383</v>
      </c>
      <c r="H786" s="248" t="s">
        <v>1384</v>
      </c>
      <c r="I786" s="248" t="s">
        <v>1214</v>
      </c>
      <c r="J786" s="248" t="s">
        <v>1385</v>
      </c>
      <c r="K786" s="248" t="s">
        <v>1216</v>
      </c>
      <c r="L786" s="248" t="s">
        <v>1217</v>
      </c>
    </row>
    <row r="787" spans="2:12">
      <c r="B787" s="249" t="s">
        <v>1387</v>
      </c>
      <c r="C787" s="250" t="s">
        <v>1333</v>
      </c>
      <c r="D787" s="205" t="s">
        <v>152</v>
      </c>
      <c r="E787" s="251">
        <v>169</v>
      </c>
      <c r="F787" s="252">
        <v>0.96299999999999997</v>
      </c>
      <c r="G787" s="251">
        <v>1.1000000000000001</v>
      </c>
      <c r="H787" s="251">
        <v>0.55000000000000004</v>
      </c>
      <c r="I787" s="251"/>
      <c r="J787" s="253"/>
      <c r="K787" s="254">
        <f>IF(E787*F787*G787&lt;&gt;0,E787*F787*G787,IF(E787*F787&lt;&gt;0,E787*F787,IF(F787*G787&lt;&gt;0,F787*G787,IF(E787*G787&lt;&gt;0,E787*G787,IF(E787&lt;&gt;0,E787,IF(F787&lt;&gt;0,F787,IF(G787&lt;&gt;0,G787,0)))))))*(IF(H787&lt;&gt;0,H787,1))+I787-J787</f>
        <v>98.461935000000011</v>
      </c>
      <c r="L787" s="255"/>
    </row>
    <row r="788" spans="2:12">
      <c r="B788" s="249" t="s">
        <v>1480</v>
      </c>
      <c r="C788" s="250" t="s">
        <v>1441</v>
      </c>
      <c r="D788" s="205" t="s">
        <v>152</v>
      </c>
      <c r="E788" s="251">
        <v>653</v>
      </c>
      <c r="F788" s="252">
        <f>F787</f>
        <v>0.96299999999999997</v>
      </c>
      <c r="G788" s="251">
        <f>G787</f>
        <v>1.1000000000000001</v>
      </c>
      <c r="H788" s="251">
        <v>0.5</v>
      </c>
      <c r="I788" s="251"/>
      <c r="J788" s="253"/>
      <c r="K788" s="254">
        <f>IF(E788*F788*G788&lt;&gt;0,E788*F788*G788,IF(E788*F788&lt;&gt;0,E788*F788,IF(F788*G788&lt;&gt;0,F788*G788,IF(E788*G788&lt;&gt;0,E788*G788,IF(E788&lt;&gt;0,E788,IF(F788&lt;&gt;0,F788,IF(G788&lt;&gt;0,G788,0)))))))*(IF(H788&lt;&gt;0,H788,1))+I788-J788</f>
        <v>345.86144999999999</v>
      </c>
      <c r="L788" s="205"/>
    </row>
    <row r="789" spans="2:12">
      <c r="B789" s="249" t="s">
        <v>1555</v>
      </c>
      <c r="C789" s="250" t="s">
        <v>1521</v>
      </c>
      <c r="D789" s="205" t="s">
        <v>152</v>
      </c>
      <c r="E789" s="251">
        <v>1331</v>
      </c>
      <c r="F789" s="252">
        <f>F788</f>
        <v>0.96299999999999997</v>
      </c>
      <c r="G789" s="251">
        <f>G788</f>
        <v>1.1000000000000001</v>
      </c>
      <c r="H789" s="251">
        <v>0.3</v>
      </c>
      <c r="I789" s="251"/>
      <c r="J789" s="253"/>
      <c r="K789" s="254">
        <f>IF(E789*F789*G789&lt;&gt;0,E789*F789*G789,IF(E789*F789&lt;&gt;0,E789*F789,IF(F789*G789&lt;&gt;0,F789*G789,IF(E789*G789&lt;&gt;0,E789*G789,IF(E789&lt;&gt;0,E789,IF(F789&lt;&gt;0,F789,IF(G789&lt;&gt;0,G789,0)))))))*(IF(H789&lt;&gt;0,H789,1))+I789-J789</f>
        <v>422.97849000000002</v>
      </c>
      <c r="L789" s="205"/>
    </row>
    <row r="790" spans="2:12">
      <c r="B790" s="267"/>
      <c r="C790" s="205"/>
      <c r="D790" s="205"/>
      <c r="E790" s="251"/>
      <c r="F790" s="252"/>
      <c r="G790" s="251"/>
      <c r="H790" s="251"/>
      <c r="I790" s="251"/>
      <c r="J790" s="253"/>
      <c r="K790" s="254">
        <f>IF(E790*F790*G790&lt;&gt;0,E790*F790*G790,IF(E790*F790&lt;&gt;0,E790*F790,IF(F790*G790&lt;&gt;0,F790*G790,IF(E790*G790&lt;&gt;0,E790*G790,IF(E790&lt;&gt;0,E790,IF(F790&lt;&gt;0,F790,IF(G790&lt;&gt;0,G790,0)))))))*(IF(H790&lt;&gt;0,H790,1))+I790-J790</f>
        <v>0</v>
      </c>
      <c r="L790" s="205"/>
    </row>
    <row r="791" spans="2:12">
      <c r="B791" s="208"/>
      <c r="C791" s="204"/>
      <c r="D791" s="204"/>
      <c r="E791" s="204"/>
      <c r="F791" s="204"/>
      <c r="G791" s="204"/>
      <c r="H791" s="204"/>
      <c r="I791" s="556" t="s">
        <v>1221</v>
      </c>
      <c r="J791" s="556"/>
      <c r="K791" s="262">
        <f>SUM(K787:K790)</f>
        <v>867.30187500000011</v>
      </c>
      <c r="L791" s="207"/>
    </row>
    <row r="792" spans="2:12">
      <c r="B792" s="208"/>
      <c r="C792" s="204"/>
      <c r="D792" s="204"/>
      <c r="E792" s="204"/>
      <c r="F792" s="204"/>
      <c r="G792" s="204"/>
      <c r="H792" s="209"/>
      <c r="I792" s="557" t="s">
        <v>1222</v>
      </c>
      <c r="J792" s="557"/>
      <c r="K792" s="221">
        <f>VLOOKUP(B785,'BM 004'!$B$27:$R$590,4,0)</f>
        <v>3532.1</v>
      </c>
      <c r="L792" s="207"/>
    </row>
    <row r="793" spans="2:12">
      <c r="B793" s="208"/>
      <c r="C793" s="204"/>
      <c r="D793" s="204"/>
      <c r="E793" s="204"/>
      <c r="F793" s="204"/>
      <c r="G793" s="204"/>
      <c r="H793" s="558" t="s">
        <v>1223</v>
      </c>
      <c r="I793" s="558"/>
      <c r="J793" s="558"/>
      <c r="K793" s="222">
        <v>444.32</v>
      </c>
      <c r="L793" s="207"/>
    </row>
    <row r="794" spans="2:12">
      <c r="B794" s="208"/>
      <c r="C794" s="204"/>
      <c r="D794" s="204"/>
      <c r="E794" s="204"/>
      <c r="F794" s="204"/>
      <c r="G794" s="204"/>
      <c r="H794" s="558" t="s">
        <v>1435</v>
      </c>
      <c r="I794" s="558"/>
      <c r="J794" s="558"/>
      <c r="K794" s="222">
        <f>TRUNC(SUMIF(C787:C790,H794,K787:K790),2)</f>
        <v>422.97</v>
      </c>
      <c r="L794" s="207"/>
    </row>
    <row r="795" spans="2:12">
      <c r="B795" s="213"/>
      <c r="C795" s="214"/>
      <c r="D795" s="214"/>
      <c r="E795" s="214"/>
      <c r="F795" s="214"/>
      <c r="G795" s="214"/>
      <c r="H795" s="559" t="s">
        <v>1224</v>
      </c>
      <c r="I795" s="559"/>
      <c r="J795" s="559"/>
      <c r="K795" s="223">
        <f>IF(K791&gt;K792,K791-K792,0)</f>
        <v>0</v>
      </c>
      <c r="L795" s="209"/>
    </row>
    <row r="797" spans="2:12">
      <c r="B797" s="247" t="s">
        <v>226</v>
      </c>
      <c r="C797" s="565" t="str">
        <f>VLOOKUP(B797,'BM 004'!$B$27:$R$590,2,0)</f>
        <v xml:space="preserve">Armação de pilar ou viga de uma estrutura convencional de concreto armado em um edifício de múltiplos pavimentos utilizando aço ca-50 de 16,0 mm - montagem. </v>
      </c>
      <c r="D797" s="565"/>
      <c r="E797" s="565"/>
      <c r="F797" s="565"/>
      <c r="G797" s="565"/>
      <c r="H797" s="565"/>
      <c r="I797" s="565"/>
      <c r="J797" s="565"/>
      <c r="K797" s="565"/>
      <c r="L797" s="565"/>
    </row>
    <row r="798" spans="2:12">
      <c r="B798" s="248" t="s">
        <v>1209</v>
      </c>
      <c r="C798" s="248"/>
      <c r="D798" s="248" t="s">
        <v>39</v>
      </c>
      <c r="E798" s="248" t="s">
        <v>1210</v>
      </c>
      <c r="F798" s="248" t="s">
        <v>1382</v>
      </c>
      <c r="G798" s="248" t="s">
        <v>1383</v>
      </c>
      <c r="H798" s="248" t="s">
        <v>1384</v>
      </c>
      <c r="I798" s="248" t="s">
        <v>1214</v>
      </c>
      <c r="J798" s="248" t="s">
        <v>1385</v>
      </c>
      <c r="K798" s="248" t="s">
        <v>1216</v>
      </c>
      <c r="L798" s="248" t="s">
        <v>1217</v>
      </c>
    </row>
    <row r="799" spans="2:12">
      <c r="B799" s="249" t="s">
        <v>1387</v>
      </c>
      <c r="C799" s="250" t="s">
        <v>1333</v>
      </c>
      <c r="D799" s="205" t="s">
        <v>152</v>
      </c>
      <c r="E799" s="251">
        <v>3239</v>
      </c>
      <c r="F799" s="252">
        <v>1.5780000000000001</v>
      </c>
      <c r="G799" s="251">
        <v>1.1000000000000001</v>
      </c>
      <c r="H799" s="251">
        <v>0.55000000000000004</v>
      </c>
      <c r="I799" s="251"/>
      <c r="J799" s="253"/>
      <c r="K799" s="254">
        <f>IF(E799*F799*G799&lt;&gt;0,E799*F799*G799,IF(E799*F799&lt;&gt;0,E799*F799,IF(F799*G799&lt;&gt;0,F799*G799,IF(E799*G799&lt;&gt;0,E799*G799,IF(E799&lt;&gt;0,E799,IF(F799&lt;&gt;0,F799,IF(G799&lt;&gt;0,G799,0)))))))*(IF(H799&lt;&gt;0,H799,1))+I799-J799</f>
        <v>3092.24091</v>
      </c>
      <c r="L799" s="255"/>
    </row>
    <row r="800" spans="2:12">
      <c r="B800" s="249" t="s">
        <v>1480</v>
      </c>
      <c r="C800" s="250" t="s">
        <v>1441</v>
      </c>
      <c r="D800" s="205" t="s">
        <v>152</v>
      </c>
      <c r="E800" s="251">
        <v>153</v>
      </c>
      <c r="F800" s="252">
        <f>F799</f>
        <v>1.5780000000000001</v>
      </c>
      <c r="G800" s="251">
        <f>G799</f>
        <v>1.1000000000000001</v>
      </c>
      <c r="H800" s="251">
        <v>0.5</v>
      </c>
      <c r="I800" s="251"/>
      <c r="J800" s="253"/>
      <c r="K800" s="254">
        <f>IF(E800*F800*G800&lt;&gt;0,E800*F800*G800,IF(E800*F800&lt;&gt;0,E800*F800,IF(F800*G800&lt;&gt;0,F800*G800,IF(E800*G800&lt;&gt;0,E800*G800,IF(E800&lt;&gt;0,E800,IF(F800&lt;&gt;0,F800,IF(G800&lt;&gt;0,G800,0)))))))*(IF(H800&lt;&gt;0,H800,1))+I800-J800</f>
        <v>132.78870000000001</v>
      </c>
      <c r="L800" s="205"/>
    </row>
    <row r="801" spans="2:12">
      <c r="B801" s="267"/>
      <c r="C801" s="205"/>
      <c r="D801" s="205"/>
      <c r="E801" s="251"/>
      <c r="F801" s="252"/>
      <c r="G801" s="251"/>
      <c r="H801" s="251"/>
      <c r="I801" s="251"/>
      <c r="J801" s="253"/>
      <c r="K801" s="254">
        <f>IF(E801*F801*G801&lt;&gt;0,E801*F801*G801,IF(E801*F801&lt;&gt;0,E801*F801,IF(F801*G801&lt;&gt;0,F801*G801,IF(E801*G801&lt;&gt;0,E801*G801,IF(E801&lt;&gt;0,E801,IF(F801&lt;&gt;0,F801,IF(G801&lt;&gt;0,G801,0)))))))*(IF(H801&lt;&gt;0,H801,1))+I801-J801</f>
        <v>0</v>
      </c>
      <c r="L801" s="205"/>
    </row>
    <row r="802" spans="2:12">
      <c r="B802" s="208"/>
      <c r="C802" s="204"/>
      <c r="D802" s="204"/>
      <c r="E802" s="204"/>
      <c r="F802" s="204"/>
      <c r="G802" s="204"/>
      <c r="H802" s="204"/>
      <c r="I802" s="556" t="s">
        <v>1221</v>
      </c>
      <c r="J802" s="556"/>
      <c r="K802" s="262">
        <f>SUM(K799:K801)</f>
        <v>3225.02961</v>
      </c>
      <c r="L802" s="207"/>
    </row>
    <row r="803" spans="2:12">
      <c r="B803" s="208"/>
      <c r="C803" s="204"/>
      <c r="D803" s="204"/>
      <c r="E803" s="204"/>
      <c r="F803" s="204"/>
      <c r="G803" s="204"/>
      <c r="H803" s="209"/>
      <c r="I803" s="557" t="s">
        <v>1222</v>
      </c>
      <c r="J803" s="557"/>
      <c r="K803" s="221">
        <f>VLOOKUP(B797,'BM 004'!$B$27:$R$590,4,0)</f>
        <v>7313.9</v>
      </c>
      <c r="L803" s="207"/>
    </row>
    <row r="804" spans="2:12">
      <c r="B804" s="208"/>
      <c r="C804" s="204"/>
      <c r="D804" s="204"/>
      <c r="E804" s="204"/>
      <c r="F804" s="204"/>
      <c r="G804" s="204"/>
      <c r="H804" s="558" t="s">
        <v>1223</v>
      </c>
      <c r="I804" s="558"/>
      <c r="J804" s="558"/>
      <c r="K804" s="222">
        <v>3225.02</v>
      </c>
      <c r="L804" s="207"/>
    </row>
    <row r="805" spans="2:12">
      <c r="B805" s="208"/>
      <c r="C805" s="204"/>
      <c r="D805" s="204"/>
      <c r="E805" s="204"/>
      <c r="F805" s="204"/>
      <c r="G805" s="204"/>
      <c r="H805" s="558" t="s">
        <v>1435</v>
      </c>
      <c r="I805" s="558"/>
      <c r="J805" s="558"/>
      <c r="K805" s="222">
        <f>TRUNC(SUMIF(C799:C801,H805,K799:K801),2)</f>
        <v>0</v>
      </c>
      <c r="L805" s="207"/>
    </row>
    <row r="806" spans="2:12">
      <c r="B806" s="213"/>
      <c r="C806" s="214"/>
      <c r="D806" s="214"/>
      <c r="E806" s="214"/>
      <c r="F806" s="214"/>
      <c r="G806" s="214"/>
      <c r="H806" s="559" t="s">
        <v>1224</v>
      </c>
      <c r="I806" s="559"/>
      <c r="J806" s="559"/>
      <c r="K806" s="223">
        <f>IF(K802&gt;K803,K802-K803,0)</f>
        <v>0</v>
      </c>
      <c r="L806" s="209"/>
    </row>
    <row r="808" spans="2:12">
      <c r="B808" s="247" t="s">
        <v>227</v>
      </c>
      <c r="C808" s="565" t="str">
        <f>VLOOKUP(B808,'BM 004'!$B$27:$R$590,2,0)</f>
        <v xml:space="preserve">Armação de pilar ou viga de uma estrutura convencional de concreto armado em um edifício de múltiplos pavimentos utilizando aço ca-50 de 20,0 mm - montagem. </v>
      </c>
      <c r="D808" s="565"/>
      <c r="E808" s="565"/>
      <c r="F808" s="565"/>
      <c r="G808" s="565"/>
      <c r="H808" s="565"/>
      <c r="I808" s="565"/>
      <c r="J808" s="565"/>
      <c r="K808" s="565"/>
      <c r="L808" s="565"/>
    </row>
    <row r="809" spans="2:12">
      <c r="B809" s="248" t="s">
        <v>1209</v>
      </c>
      <c r="C809" s="248"/>
      <c r="D809" s="248" t="s">
        <v>39</v>
      </c>
      <c r="E809" s="248" t="s">
        <v>1210</v>
      </c>
      <c r="F809" s="248" t="s">
        <v>1382</v>
      </c>
      <c r="G809" s="248" t="s">
        <v>1383</v>
      </c>
      <c r="H809" s="248" t="s">
        <v>1384</v>
      </c>
      <c r="I809" s="248" t="s">
        <v>1214</v>
      </c>
      <c r="J809" s="248" t="s">
        <v>1385</v>
      </c>
      <c r="K809" s="248" t="s">
        <v>1216</v>
      </c>
      <c r="L809" s="248" t="s">
        <v>1217</v>
      </c>
    </row>
    <row r="810" spans="2:12">
      <c r="B810" s="249" t="s">
        <v>1387</v>
      </c>
      <c r="C810" s="250" t="s">
        <v>1333</v>
      </c>
      <c r="D810" s="205" t="s">
        <v>152</v>
      </c>
      <c r="E810" s="251">
        <v>991</v>
      </c>
      <c r="F810" s="252">
        <v>2.4660000000000002</v>
      </c>
      <c r="G810" s="251">
        <v>1.1000000000000001</v>
      </c>
      <c r="H810" s="251">
        <v>0.55000000000000004</v>
      </c>
      <c r="I810" s="251"/>
      <c r="J810" s="253"/>
      <c r="K810" s="254">
        <f>IF(E810*F810*G810&lt;&gt;0,E810*F810*G810,IF(E810*F810&lt;&gt;0,E810*F810,IF(F810*G810&lt;&gt;0,F810*G810,IF(E810*G810&lt;&gt;0,E810*G810,IF(E810&lt;&gt;0,E810,IF(F810&lt;&gt;0,F810,IF(G810&lt;&gt;0,G810,0)))))))*(IF(H810&lt;&gt;0,H810,1))+I810-J810</f>
        <v>1478.5026300000004</v>
      </c>
      <c r="L810" s="255"/>
    </row>
    <row r="811" spans="2:12">
      <c r="B811" s="249" t="s">
        <v>1480</v>
      </c>
      <c r="C811" s="250" t="s">
        <v>1441</v>
      </c>
      <c r="D811" s="205" t="s">
        <v>152</v>
      </c>
      <c r="E811" s="251">
        <v>425</v>
      </c>
      <c r="F811" s="252">
        <f>F810</f>
        <v>2.4660000000000002</v>
      </c>
      <c r="G811" s="251">
        <f>G810</f>
        <v>1.1000000000000001</v>
      </c>
      <c r="H811" s="251">
        <v>0.5</v>
      </c>
      <c r="I811" s="251"/>
      <c r="J811" s="253"/>
      <c r="K811" s="254">
        <f>IF(E811*F811*G811&lt;&gt;0,E811*F811*G811,IF(E811*F811&lt;&gt;0,E811*F811,IF(F811*G811&lt;&gt;0,F811*G811,IF(E811*G811&lt;&gt;0,E811*G811,IF(E811&lt;&gt;0,E811,IF(F811&lt;&gt;0,F811,IF(G811&lt;&gt;0,G811,0)))))))*(IF(H811&lt;&gt;0,H811,1))+I811-J811</f>
        <v>576.42750000000012</v>
      </c>
      <c r="L811" s="205"/>
    </row>
    <row r="812" spans="2:12">
      <c r="B812" s="267"/>
      <c r="C812" s="205"/>
      <c r="D812" s="205"/>
      <c r="E812" s="251"/>
      <c r="F812" s="252"/>
      <c r="G812" s="251"/>
      <c r="H812" s="251"/>
      <c r="I812" s="251"/>
      <c r="J812" s="253"/>
      <c r="K812" s="254">
        <f>IF(E812*F812*G812&lt;&gt;0,E812*F812*G812,IF(E812*F812&lt;&gt;0,E812*F812,IF(F812*G812&lt;&gt;0,F812*G812,IF(E812*G812&lt;&gt;0,E812*G812,IF(E812&lt;&gt;0,E812,IF(F812&lt;&gt;0,F812,IF(G812&lt;&gt;0,G812,0)))))))*(IF(H812&lt;&gt;0,H812,1))+I812-J812</f>
        <v>0</v>
      </c>
      <c r="L812" s="205"/>
    </row>
    <row r="813" spans="2:12">
      <c r="B813" s="208"/>
      <c r="C813" s="204"/>
      <c r="D813" s="204"/>
      <c r="E813" s="204"/>
      <c r="F813" s="204"/>
      <c r="G813" s="204"/>
      <c r="H813" s="204"/>
      <c r="I813" s="556" t="s">
        <v>1221</v>
      </c>
      <c r="J813" s="556"/>
      <c r="K813" s="262">
        <f>SUM(K810:K812)</f>
        <v>2054.9301300000006</v>
      </c>
      <c r="L813" s="207"/>
    </row>
    <row r="814" spans="2:12">
      <c r="B814" s="208"/>
      <c r="C814" s="204"/>
      <c r="D814" s="204"/>
      <c r="E814" s="204"/>
      <c r="F814" s="204"/>
      <c r="G814" s="204"/>
      <c r="H814" s="209"/>
      <c r="I814" s="557" t="s">
        <v>1222</v>
      </c>
      <c r="J814" s="557"/>
      <c r="K814" s="221">
        <f>VLOOKUP(B808,'BM 004'!$B$27:$R$590,4,0)</f>
        <v>4513.3</v>
      </c>
      <c r="L814" s="207"/>
    </row>
    <row r="815" spans="2:12">
      <c r="B815" s="208"/>
      <c r="C815" s="204"/>
      <c r="D815" s="204"/>
      <c r="E815" s="204"/>
      <c r="F815" s="204"/>
      <c r="G815" s="204"/>
      <c r="H815" s="558" t="s">
        <v>1223</v>
      </c>
      <c r="I815" s="558"/>
      <c r="J815" s="558"/>
      <c r="K815" s="222">
        <v>2054.92</v>
      </c>
      <c r="L815" s="207"/>
    </row>
    <row r="816" spans="2:12">
      <c r="B816" s="208"/>
      <c r="C816" s="204"/>
      <c r="D816" s="204"/>
      <c r="E816" s="204"/>
      <c r="F816" s="204"/>
      <c r="G816" s="204"/>
      <c r="H816" s="558" t="s">
        <v>1435</v>
      </c>
      <c r="I816" s="558"/>
      <c r="J816" s="558"/>
      <c r="K816" s="222">
        <f>TRUNC(SUMIF(C810:C812,H816,K810:K812),2)</f>
        <v>0</v>
      </c>
      <c r="L816" s="207"/>
    </row>
    <row r="817" spans="2:12">
      <c r="B817" s="213"/>
      <c r="C817" s="214"/>
      <c r="D817" s="214"/>
      <c r="E817" s="214"/>
      <c r="F817" s="214"/>
      <c r="G817" s="214"/>
      <c r="H817" s="559" t="s">
        <v>1224</v>
      </c>
      <c r="I817" s="559"/>
      <c r="J817" s="559"/>
      <c r="K817" s="223">
        <f>IF(K813&gt;K814,K813-K814,0)</f>
        <v>0</v>
      </c>
      <c r="L817" s="209"/>
    </row>
    <row r="819" spans="2:12">
      <c r="B819" s="247" t="s">
        <v>228</v>
      </c>
      <c r="C819" s="565" t="str">
        <f>VLOOKUP(B819,'BM 004'!$B$27:$R$590,2,0)</f>
        <v xml:space="preserve">Armação de pilar ou viga de uma estrutura convencional de concreto armado em um edifício de múltiplos pavimentos utilizando aço ca-50 de 25,0 mm - montagem. </v>
      </c>
      <c r="D819" s="565"/>
      <c r="E819" s="565"/>
      <c r="F819" s="565"/>
      <c r="G819" s="565"/>
      <c r="H819" s="565"/>
      <c r="I819" s="565"/>
      <c r="J819" s="565"/>
      <c r="K819" s="565"/>
      <c r="L819" s="565"/>
    </row>
    <row r="820" spans="2:12">
      <c r="B820" s="248" t="s">
        <v>1209</v>
      </c>
      <c r="C820" s="248"/>
      <c r="D820" s="248" t="s">
        <v>39</v>
      </c>
      <c r="E820" s="248" t="s">
        <v>1210</v>
      </c>
      <c r="F820" s="248" t="s">
        <v>1382</v>
      </c>
      <c r="G820" s="248" t="s">
        <v>1383</v>
      </c>
      <c r="H820" s="248" t="s">
        <v>1384</v>
      </c>
      <c r="I820" s="248" t="s">
        <v>1214</v>
      </c>
      <c r="J820" s="248" t="s">
        <v>1385</v>
      </c>
      <c r="K820" s="248" t="s">
        <v>1216</v>
      </c>
      <c r="L820" s="248" t="s">
        <v>1217</v>
      </c>
    </row>
    <row r="821" spans="2:12">
      <c r="B821" s="249" t="s">
        <v>1387</v>
      </c>
      <c r="C821" s="250" t="s">
        <v>1333</v>
      </c>
      <c r="D821" s="205" t="s">
        <v>152</v>
      </c>
      <c r="E821" s="251">
        <v>928</v>
      </c>
      <c r="F821" s="252">
        <v>3.8530000000000002</v>
      </c>
      <c r="G821" s="251">
        <v>1.1000000000000001</v>
      </c>
      <c r="H821" s="251">
        <v>0.55000000000000004</v>
      </c>
      <c r="I821" s="251"/>
      <c r="J821" s="253"/>
      <c r="K821" s="254">
        <f>IF(E821*F821*G821&lt;&gt;0,E821*F821*G821,IF(E821*F821&lt;&gt;0,E821*F821,IF(F821*G821&lt;&gt;0,F821*G821,IF(E821*G821&lt;&gt;0,E821*G821,IF(E821&lt;&gt;0,E821,IF(F821&lt;&gt;0,F821,IF(G821&lt;&gt;0,G821,0)))))))*(IF(H821&lt;&gt;0,H821,1))+I821-J821</f>
        <v>2163.2283200000006</v>
      </c>
      <c r="L821" s="255"/>
    </row>
    <row r="822" spans="2:12">
      <c r="B822" s="249" t="s">
        <v>1480</v>
      </c>
      <c r="C822" s="250" t="s">
        <v>1441</v>
      </c>
      <c r="D822" s="205" t="s">
        <v>152</v>
      </c>
      <c r="E822" s="251">
        <v>142</v>
      </c>
      <c r="F822" s="252">
        <f>F821</f>
        <v>3.8530000000000002</v>
      </c>
      <c r="G822" s="251">
        <f>G821</f>
        <v>1.1000000000000001</v>
      </c>
      <c r="H822" s="251">
        <v>0.5</v>
      </c>
      <c r="I822" s="251"/>
      <c r="J822" s="253"/>
      <c r="K822" s="254">
        <f>IF(E822*F822*G822&lt;&gt;0,E822*F822*G822,IF(E822*F822&lt;&gt;0,E822*F822,IF(F822*G822&lt;&gt;0,F822*G822,IF(E822*G822&lt;&gt;0,E822*G822,IF(E822&lt;&gt;0,E822,IF(F822&lt;&gt;0,F822,IF(G822&lt;&gt;0,G822,0)))))))*(IF(H822&lt;&gt;0,H822,1))+I822-J822</f>
        <v>300.91930000000002</v>
      </c>
      <c r="L822" s="205"/>
    </row>
    <row r="823" spans="2:12">
      <c r="B823" s="249" t="s">
        <v>1555</v>
      </c>
      <c r="C823" s="250" t="s">
        <v>1521</v>
      </c>
      <c r="D823" s="205" t="s">
        <v>152</v>
      </c>
      <c r="E823" s="251">
        <v>1728</v>
      </c>
      <c r="F823" s="252">
        <f>F822</f>
        <v>3.8530000000000002</v>
      </c>
      <c r="G823" s="251">
        <f>G822</f>
        <v>1.1000000000000001</v>
      </c>
      <c r="H823" s="251">
        <v>0.3</v>
      </c>
      <c r="I823" s="251"/>
      <c r="J823" s="253"/>
      <c r="K823" s="254">
        <f>IF(E823*F823*G823&lt;&gt;0,E823*F823*G823,IF(E823*F823&lt;&gt;0,E823*F823,IF(F823*G823&lt;&gt;0,F823*G823,IF(E823*G823&lt;&gt;0,E823*G823,IF(E823&lt;&gt;0,E823,IF(F823&lt;&gt;0,F823,IF(G823&lt;&gt;0,G823,0)))))))*(IF(H823&lt;&gt;0,H823,1))+I823-J823</f>
        <v>2197.13472</v>
      </c>
      <c r="L823" s="205"/>
    </row>
    <row r="824" spans="2:12">
      <c r="B824" s="267"/>
      <c r="C824" s="205"/>
      <c r="D824" s="205"/>
      <c r="E824" s="251"/>
      <c r="F824" s="252"/>
      <c r="G824" s="251"/>
      <c r="H824" s="251"/>
      <c r="I824" s="251"/>
      <c r="J824" s="253"/>
      <c r="K824" s="254">
        <f>IF(E824*F824*G824&lt;&gt;0,E824*F824*G824,IF(E824*F824&lt;&gt;0,E824*F824,IF(F824*G824&lt;&gt;0,F824*G824,IF(E824*G824&lt;&gt;0,E824*G824,IF(E824&lt;&gt;0,E824,IF(F824&lt;&gt;0,F824,IF(G824&lt;&gt;0,G824,0)))))))*(IF(H824&lt;&gt;0,H824,1))+I824-J824</f>
        <v>0</v>
      </c>
      <c r="L824" s="205"/>
    </row>
    <row r="825" spans="2:12">
      <c r="B825" s="208"/>
      <c r="C825" s="204"/>
      <c r="D825" s="204"/>
      <c r="E825" s="204"/>
      <c r="F825" s="204"/>
      <c r="G825" s="204"/>
      <c r="H825" s="204"/>
      <c r="I825" s="556" t="s">
        <v>1221</v>
      </c>
      <c r="J825" s="556"/>
      <c r="K825" s="262">
        <f>SUM(K821:K824)</f>
        <v>4661.2823400000007</v>
      </c>
      <c r="L825" s="207"/>
    </row>
    <row r="826" spans="2:12">
      <c r="B826" s="208"/>
      <c r="C826" s="204"/>
      <c r="D826" s="204"/>
      <c r="E826" s="204"/>
      <c r="F826" s="204"/>
      <c r="G826" s="204"/>
      <c r="H826" s="209"/>
      <c r="I826" s="557" t="s">
        <v>1222</v>
      </c>
      <c r="J826" s="557"/>
      <c r="K826" s="221">
        <f>VLOOKUP(B819,'BM 004'!$B$27:$R$590,4,0)</f>
        <v>14626.7</v>
      </c>
      <c r="L826" s="207"/>
    </row>
    <row r="827" spans="2:12">
      <c r="B827" s="208"/>
      <c r="C827" s="204"/>
      <c r="D827" s="204"/>
      <c r="E827" s="204"/>
      <c r="F827" s="204"/>
      <c r="G827" s="204"/>
      <c r="H827" s="558" t="s">
        <v>1223</v>
      </c>
      <c r="I827" s="558"/>
      <c r="J827" s="558"/>
      <c r="K827" s="222">
        <v>2464.13</v>
      </c>
      <c r="L827" s="207"/>
    </row>
    <row r="828" spans="2:12">
      <c r="B828" s="208"/>
      <c r="C828" s="204"/>
      <c r="D828" s="204"/>
      <c r="E828" s="204"/>
      <c r="F828" s="204"/>
      <c r="G828" s="204"/>
      <c r="H828" s="558" t="s">
        <v>1435</v>
      </c>
      <c r="I828" s="558"/>
      <c r="J828" s="558"/>
      <c r="K828" s="222">
        <f>TRUNC(SUMIF(C821:C824,H828,K821:K824),2)</f>
        <v>2197.13</v>
      </c>
      <c r="L828" s="207"/>
    </row>
    <row r="829" spans="2:12">
      <c r="B829" s="213"/>
      <c r="C829" s="214"/>
      <c r="D829" s="214"/>
      <c r="E829" s="214"/>
      <c r="F829" s="214"/>
      <c r="G829" s="214"/>
      <c r="H829" s="559" t="s">
        <v>1224</v>
      </c>
      <c r="I829" s="559"/>
      <c r="J829" s="559"/>
      <c r="K829" s="223">
        <f>IF(K825&gt;K826,K825-K826,0)</f>
        <v>0</v>
      </c>
      <c r="L829" s="209"/>
    </row>
    <row r="831" spans="2:12">
      <c r="B831" s="247" t="s">
        <v>233</v>
      </c>
      <c r="C831" s="565" t="str">
        <f>VLOOKUP(B831,'BM 004'!$B$27:$R$590,2,0)</f>
        <v xml:space="preserve">Concreto simples usinado fck=35mpa, bombeado, lançado e adensado em superestrutura </v>
      </c>
      <c r="D831" s="565"/>
      <c r="E831" s="565"/>
      <c r="F831" s="565"/>
      <c r="G831" s="565"/>
      <c r="H831" s="565"/>
      <c r="I831" s="565"/>
      <c r="J831" s="565"/>
      <c r="K831" s="565"/>
      <c r="L831" s="565"/>
    </row>
    <row r="832" spans="2:12">
      <c r="B832" s="248" t="s">
        <v>1209</v>
      </c>
      <c r="C832" s="248"/>
      <c r="D832" s="248" t="s">
        <v>39</v>
      </c>
      <c r="E832" s="248" t="s">
        <v>1210</v>
      </c>
      <c r="F832" s="248" t="s">
        <v>1388</v>
      </c>
      <c r="G832" s="248" t="s">
        <v>1212</v>
      </c>
      <c r="H832" s="248" t="s">
        <v>1213</v>
      </c>
      <c r="I832" s="248" t="s">
        <v>1214</v>
      </c>
      <c r="J832" s="248" t="s">
        <v>1385</v>
      </c>
      <c r="K832" s="248" t="s">
        <v>1216</v>
      </c>
      <c r="L832" s="248" t="s">
        <v>1217</v>
      </c>
    </row>
    <row r="833" spans="2:12">
      <c r="B833" s="249" t="s">
        <v>1389</v>
      </c>
      <c r="C833" s="250" t="s">
        <v>1333</v>
      </c>
      <c r="D833" s="205" t="s">
        <v>110</v>
      </c>
      <c r="E833" s="199">
        <v>0.5</v>
      </c>
      <c r="F833" s="199">
        <v>0.4</v>
      </c>
      <c r="G833" s="199">
        <v>5.12</v>
      </c>
      <c r="H833" s="199">
        <v>1</v>
      </c>
      <c r="I833" s="199"/>
      <c r="J833" s="253"/>
      <c r="K833" s="254">
        <f t="shared" ref="K833:K864" si="22">IF(E833*F833*G833&lt;&gt;0,E833*F833*G833,IF(E833*F833&lt;&gt;0,E833*F833,IF(F833*G833&lt;&gt;0,F833*G833,IF(E833*G833&lt;&gt;0,E833*G833,IF(E833&lt;&gt;0,E833,IF(F833&lt;&gt;0,F833,IF(G833&lt;&gt;0,G833,0)))))))*(IF(H833&lt;&gt;0,H833,1))+I833-J833</f>
        <v>1.024</v>
      </c>
      <c r="L833" s="255" t="s">
        <v>1556</v>
      </c>
    </row>
    <row r="834" spans="2:12">
      <c r="B834" s="256" t="s">
        <v>1390</v>
      </c>
      <c r="C834" s="250" t="s">
        <v>1333</v>
      </c>
      <c r="D834" s="205" t="s">
        <v>110</v>
      </c>
      <c r="E834" s="261">
        <v>1</v>
      </c>
      <c r="F834" s="261">
        <v>0.2</v>
      </c>
      <c r="G834" s="261">
        <v>5.12</v>
      </c>
      <c r="H834" s="261">
        <v>1</v>
      </c>
      <c r="I834" s="261"/>
      <c r="J834" s="259"/>
      <c r="K834" s="260">
        <f t="shared" si="22"/>
        <v>1.024</v>
      </c>
      <c r="L834" s="266" t="s">
        <v>1556</v>
      </c>
    </row>
    <row r="835" spans="2:12">
      <c r="B835" s="256" t="s">
        <v>1391</v>
      </c>
      <c r="C835" s="250" t="s">
        <v>1333</v>
      </c>
      <c r="D835" s="205" t="s">
        <v>110</v>
      </c>
      <c r="E835" s="261">
        <v>1</v>
      </c>
      <c r="F835" s="261">
        <v>0.2</v>
      </c>
      <c r="G835" s="261">
        <v>5.12</v>
      </c>
      <c r="H835" s="261">
        <v>1</v>
      </c>
      <c r="I835" s="261"/>
      <c r="J835" s="259"/>
      <c r="K835" s="260">
        <f t="shared" si="22"/>
        <v>1.024</v>
      </c>
      <c r="L835" s="266" t="s">
        <v>1556</v>
      </c>
    </row>
    <row r="836" spans="2:12">
      <c r="B836" s="256" t="s">
        <v>1392</v>
      </c>
      <c r="C836" s="250" t="s">
        <v>1333</v>
      </c>
      <c r="D836" s="205" t="s">
        <v>110</v>
      </c>
      <c r="E836" s="261">
        <v>0.4</v>
      </c>
      <c r="F836" s="261">
        <v>0.4</v>
      </c>
      <c r="G836" s="261">
        <v>5.12</v>
      </c>
      <c r="H836" s="261">
        <v>1</v>
      </c>
      <c r="I836" s="261"/>
      <c r="J836" s="259"/>
      <c r="K836" s="260">
        <f t="shared" si="22"/>
        <v>0.81920000000000015</v>
      </c>
      <c r="L836" s="266" t="s">
        <v>1556</v>
      </c>
    </row>
    <row r="837" spans="2:12">
      <c r="B837" s="256" t="s">
        <v>1393</v>
      </c>
      <c r="C837" s="250" t="s">
        <v>1333</v>
      </c>
      <c r="D837" s="205" t="s">
        <v>110</v>
      </c>
      <c r="E837" s="261">
        <v>0.3</v>
      </c>
      <c r="F837" s="261">
        <v>0.3</v>
      </c>
      <c r="G837" s="261">
        <v>5.12</v>
      </c>
      <c r="H837" s="261">
        <v>1</v>
      </c>
      <c r="I837" s="261"/>
      <c r="J837" s="259"/>
      <c r="K837" s="260">
        <f t="shared" si="22"/>
        <v>0.46079999999999999</v>
      </c>
      <c r="L837" s="266" t="s">
        <v>1556</v>
      </c>
    </row>
    <row r="838" spans="2:12">
      <c r="B838" s="256" t="s">
        <v>1394</v>
      </c>
      <c r="C838" s="250" t="s">
        <v>1333</v>
      </c>
      <c r="D838" s="205" t="s">
        <v>110</v>
      </c>
      <c r="E838" s="261">
        <v>0.4</v>
      </c>
      <c r="F838" s="261">
        <v>0.4</v>
      </c>
      <c r="G838" s="261">
        <v>5.12</v>
      </c>
      <c r="H838" s="261">
        <v>1</v>
      </c>
      <c r="I838" s="261"/>
      <c r="J838" s="259"/>
      <c r="K838" s="260">
        <f t="shared" si="22"/>
        <v>0.81920000000000015</v>
      </c>
      <c r="L838" s="266" t="s">
        <v>1556</v>
      </c>
    </row>
    <row r="839" spans="2:12">
      <c r="B839" s="256" t="s">
        <v>1395</v>
      </c>
      <c r="C839" s="250" t="s">
        <v>1333</v>
      </c>
      <c r="D839" s="205" t="s">
        <v>110</v>
      </c>
      <c r="E839" s="199">
        <v>0.5</v>
      </c>
      <c r="F839" s="199">
        <v>0.4</v>
      </c>
      <c r="G839" s="261">
        <v>5.12</v>
      </c>
      <c r="H839" s="261">
        <v>1</v>
      </c>
      <c r="I839" s="261"/>
      <c r="J839" s="259"/>
      <c r="K839" s="260">
        <f t="shared" si="22"/>
        <v>1.024</v>
      </c>
      <c r="L839" s="266" t="s">
        <v>1556</v>
      </c>
    </row>
    <row r="840" spans="2:12">
      <c r="B840" s="256" t="s">
        <v>1396</v>
      </c>
      <c r="C840" s="250" t="s">
        <v>1333</v>
      </c>
      <c r="D840" s="205" t="s">
        <v>110</v>
      </c>
      <c r="E840" s="199">
        <v>0.5</v>
      </c>
      <c r="F840" s="199">
        <v>0.4</v>
      </c>
      <c r="G840" s="261">
        <v>5.12</v>
      </c>
      <c r="H840" s="261">
        <v>1</v>
      </c>
      <c r="I840" s="261"/>
      <c r="J840" s="259"/>
      <c r="K840" s="260">
        <f t="shared" si="22"/>
        <v>1.024</v>
      </c>
      <c r="L840" s="266" t="s">
        <v>1556</v>
      </c>
    </row>
    <row r="841" spans="2:12">
      <c r="B841" s="256" t="s">
        <v>1397</v>
      </c>
      <c r="C841" s="250" t="s">
        <v>1333</v>
      </c>
      <c r="D841" s="205" t="s">
        <v>110</v>
      </c>
      <c r="E841" s="261">
        <v>1</v>
      </c>
      <c r="F841" s="261">
        <v>0.2</v>
      </c>
      <c r="G841" s="261">
        <v>5.12</v>
      </c>
      <c r="H841" s="261">
        <v>1</v>
      </c>
      <c r="I841" s="261"/>
      <c r="J841" s="259"/>
      <c r="K841" s="260">
        <f t="shared" si="22"/>
        <v>1.024</v>
      </c>
      <c r="L841" s="266" t="s">
        <v>1556</v>
      </c>
    </row>
    <row r="842" spans="2:12">
      <c r="B842" s="256" t="s">
        <v>1398</v>
      </c>
      <c r="C842" s="250" t="s">
        <v>1333</v>
      </c>
      <c r="D842" s="205" t="s">
        <v>110</v>
      </c>
      <c r="E842" s="261">
        <v>0.3</v>
      </c>
      <c r="F842" s="261">
        <v>0.3</v>
      </c>
      <c r="G842" s="261">
        <v>5.12</v>
      </c>
      <c r="H842" s="261">
        <v>1</v>
      </c>
      <c r="I842" s="261"/>
      <c r="J842" s="259"/>
      <c r="K842" s="260">
        <f t="shared" si="22"/>
        <v>0.46079999999999999</v>
      </c>
      <c r="L842" s="266" t="s">
        <v>1556</v>
      </c>
    </row>
    <row r="843" spans="2:12">
      <c r="B843" s="256" t="s">
        <v>1399</v>
      </c>
      <c r="C843" s="250" t="s">
        <v>1333</v>
      </c>
      <c r="D843" s="205" t="s">
        <v>110</v>
      </c>
      <c r="E843" s="261">
        <v>0.4</v>
      </c>
      <c r="F843" s="261">
        <v>0.4</v>
      </c>
      <c r="G843" s="261">
        <v>5.12</v>
      </c>
      <c r="H843" s="261">
        <v>1</v>
      </c>
      <c r="I843" s="261"/>
      <c r="J843" s="259"/>
      <c r="K843" s="260">
        <f t="shared" si="22"/>
        <v>0.81920000000000015</v>
      </c>
      <c r="L843" s="266" t="s">
        <v>1556</v>
      </c>
    </row>
    <row r="844" spans="2:12">
      <c r="B844" s="256" t="s">
        <v>1400</v>
      </c>
      <c r="C844" s="250" t="s">
        <v>1333</v>
      </c>
      <c r="D844" s="205" t="s">
        <v>110</v>
      </c>
      <c r="E844" s="199">
        <v>0.5</v>
      </c>
      <c r="F844" s="199">
        <v>0.4</v>
      </c>
      <c r="G844" s="261">
        <v>5.12</v>
      </c>
      <c r="H844" s="261">
        <v>1</v>
      </c>
      <c r="I844" s="261"/>
      <c r="J844" s="259"/>
      <c r="K844" s="260">
        <f t="shared" si="22"/>
        <v>1.024</v>
      </c>
      <c r="L844" s="266" t="s">
        <v>1556</v>
      </c>
    </row>
    <row r="845" spans="2:12">
      <c r="B845" s="256" t="s">
        <v>1401</v>
      </c>
      <c r="C845" s="250" t="s">
        <v>1333</v>
      </c>
      <c r="D845" s="205" t="s">
        <v>110</v>
      </c>
      <c r="E845" s="199">
        <v>0.5</v>
      </c>
      <c r="F845" s="199">
        <v>0.4</v>
      </c>
      <c r="G845" s="261">
        <v>5.12</v>
      </c>
      <c r="H845" s="261">
        <v>1</v>
      </c>
      <c r="I845" s="261"/>
      <c r="J845" s="259"/>
      <c r="K845" s="260">
        <f t="shared" si="22"/>
        <v>1.024</v>
      </c>
      <c r="L845" s="266" t="s">
        <v>1556</v>
      </c>
    </row>
    <row r="846" spans="2:12">
      <c r="B846" s="256" t="s">
        <v>1402</v>
      </c>
      <c r="C846" s="250" t="s">
        <v>1333</v>
      </c>
      <c r="D846" s="205" t="s">
        <v>110</v>
      </c>
      <c r="E846" s="261">
        <v>1</v>
      </c>
      <c r="F846" s="261">
        <v>0.2</v>
      </c>
      <c r="G846" s="261">
        <v>5.12</v>
      </c>
      <c r="H846" s="261">
        <v>1</v>
      </c>
      <c r="I846" s="261"/>
      <c r="J846" s="259"/>
      <c r="K846" s="260">
        <f t="shared" si="22"/>
        <v>1.024</v>
      </c>
      <c r="L846" s="266" t="s">
        <v>1556</v>
      </c>
    </row>
    <row r="847" spans="2:12">
      <c r="B847" s="256" t="s">
        <v>1403</v>
      </c>
      <c r="C847" s="250" t="s">
        <v>1333</v>
      </c>
      <c r="D847" s="205" t="s">
        <v>110</v>
      </c>
      <c r="E847" s="261">
        <v>0.3</v>
      </c>
      <c r="F847" s="261">
        <v>0.3</v>
      </c>
      <c r="G847" s="261">
        <v>5.12</v>
      </c>
      <c r="H847" s="261">
        <v>1</v>
      </c>
      <c r="I847" s="261"/>
      <c r="J847" s="259"/>
      <c r="K847" s="260">
        <f t="shared" si="22"/>
        <v>0.46079999999999999</v>
      </c>
      <c r="L847" s="266" t="s">
        <v>1556</v>
      </c>
    </row>
    <row r="848" spans="2:12">
      <c r="B848" s="256" t="s">
        <v>1404</v>
      </c>
      <c r="C848" s="250" t="s">
        <v>1333</v>
      </c>
      <c r="D848" s="205" t="s">
        <v>110</v>
      </c>
      <c r="E848" s="261">
        <v>0.6</v>
      </c>
      <c r="F848" s="261">
        <v>0.2</v>
      </c>
      <c r="G848" s="261">
        <v>5.12</v>
      </c>
      <c r="H848" s="261">
        <v>1</v>
      </c>
      <c r="I848" s="261"/>
      <c r="J848" s="259"/>
      <c r="K848" s="260">
        <f t="shared" si="22"/>
        <v>0.61439999999999995</v>
      </c>
      <c r="L848" s="266" t="s">
        <v>1556</v>
      </c>
    </row>
    <row r="849" spans="2:12">
      <c r="B849" s="256" t="s">
        <v>1405</v>
      </c>
      <c r="C849" s="250" t="s">
        <v>1333</v>
      </c>
      <c r="D849" s="205" t="s">
        <v>110</v>
      </c>
      <c r="E849" s="261">
        <v>0.6</v>
      </c>
      <c r="F849" s="261">
        <v>0.2</v>
      </c>
      <c r="G849" s="261">
        <v>5.12</v>
      </c>
      <c r="H849" s="261">
        <v>1</v>
      </c>
      <c r="I849" s="261"/>
      <c r="J849" s="259"/>
      <c r="K849" s="260">
        <f t="shared" si="22"/>
        <v>0.61439999999999995</v>
      </c>
      <c r="L849" s="266" t="s">
        <v>1556</v>
      </c>
    </row>
    <row r="850" spans="2:12">
      <c r="B850" s="256" t="s">
        <v>1406</v>
      </c>
      <c r="C850" s="250" t="s">
        <v>1333</v>
      </c>
      <c r="D850" s="205" t="s">
        <v>110</v>
      </c>
      <c r="E850" s="261">
        <v>0.4</v>
      </c>
      <c r="F850" s="261">
        <v>0.4</v>
      </c>
      <c r="G850" s="261">
        <v>5.12</v>
      </c>
      <c r="H850" s="261">
        <v>1</v>
      </c>
      <c r="I850" s="261"/>
      <c r="J850" s="259"/>
      <c r="K850" s="260">
        <f t="shared" si="22"/>
        <v>0.81920000000000015</v>
      </c>
      <c r="L850" s="266" t="s">
        <v>1556</v>
      </c>
    </row>
    <row r="851" spans="2:12">
      <c r="B851" s="256" t="s">
        <v>1407</v>
      </c>
      <c r="C851" s="250" t="s">
        <v>1333</v>
      </c>
      <c r="D851" s="205" t="s">
        <v>110</v>
      </c>
      <c r="E851" s="199">
        <v>0.5</v>
      </c>
      <c r="F851" s="199">
        <v>0.4</v>
      </c>
      <c r="G851" s="261">
        <v>5.12</v>
      </c>
      <c r="H851" s="261">
        <v>1</v>
      </c>
      <c r="I851" s="261"/>
      <c r="J851" s="259"/>
      <c r="K851" s="260">
        <f t="shared" si="22"/>
        <v>1.024</v>
      </c>
      <c r="L851" s="266" t="s">
        <v>1556</v>
      </c>
    </row>
    <row r="852" spans="2:12">
      <c r="B852" s="256" t="s">
        <v>1408</v>
      </c>
      <c r="C852" s="250" t="s">
        <v>1333</v>
      </c>
      <c r="D852" s="205" t="s">
        <v>110</v>
      </c>
      <c r="E852" s="261">
        <v>0.5</v>
      </c>
      <c r="F852" s="261">
        <v>0.4</v>
      </c>
      <c r="G852" s="261">
        <v>5.12</v>
      </c>
      <c r="H852" s="261">
        <v>1</v>
      </c>
      <c r="I852" s="261"/>
      <c r="J852" s="259"/>
      <c r="K852" s="260">
        <f t="shared" si="22"/>
        <v>1.024</v>
      </c>
      <c r="L852" s="266" t="s">
        <v>1556</v>
      </c>
    </row>
    <row r="853" spans="2:12">
      <c r="B853" s="256" t="s">
        <v>1409</v>
      </c>
      <c r="C853" s="250" t="s">
        <v>1333</v>
      </c>
      <c r="D853" s="205" t="s">
        <v>110</v>
      </c>
      <c r="E853" s="261">
        <v>1</v>
      </c>
      <c r="F853" s="261">
        <v>0.2</v>
      </c>
      <c r="G853" s="261">
        <v>5.12</v>
      </c>
      <c r="H853" s="261">
        <v>1</v>
      </c>
      <c r="I853" s="261"/>
      <c r="J853" s="259"/>
      <c r="K853" s="260">
        <f t="shared" si="22"/>
        <v>1.024</v>
      </c>
      <c r="L853" s="266" t="s">
        <v>1556</v>
      </c>
    </row>
    <row r="854" spans="2:12">
      <c r="B854" s="256" t="s">
        <v>1410</v>
      </c>
      <c r="C854" s="250" t="s">
        <v>1333</v>
      </c>
      <c r="D854" s="205" t="s">
        <v>110</v>
      </c>
      <c r="E854" s="261">
        <v>0.45</v>
      </c>
      <c r="F854" s="261">
        <v>0.3</v>
      </c>
      <c r="G854" s="261">
        <v>5.12</v>
      </c>
      <c r="H854" s="261">
        <v>1</v>
      </c>
      <c r="I854" s="261"/>
      <c r="J854" s="259"/>
      <c r="K854" s="260">
        <f t="shared" si="22"/>
        <v>0.69120000000000004</v>
      </c>
      <c r="L854" s="266" t="s">
        <v>1556</v>
      </c>
    </row>
    <row r="855" spans="2:12">
      <c r="B855" s="256" t="s">
        <v>1411</v>
      </c>
      <c r="C855" s="250" t="s">
        <v>1333</v>
      </c>
      <c r="D855" s="205" t="s">
        <v>110</v>
      </c>
      <c r="E855" s="261">
        <v>0.45</v>
      </c>
      <c r="F855" s="261">
        <v>0.3</v>
      </c>
      <c r="G855" s="261">
        <v>5.12</v>
      </c>
      <c r="H855" s="261">
        <v>1</v>
      </c>
      <c r="I855" s="261"/>
      <c r="J855" s="259"/>
      <c r="K855" s="260">
        <f t="shared" si="22"/>
        <v>0.69120000000000004</v>
      </c>
      <c r="L855" s="266" t="s">
        <v>1556</v>
      </c>
    </row>
    <row r="856" spans="2:12">
      <c r="B856" s="256" t="s">
        <v>1412</v>
      </c>
      <c r="C856" s="250" t="s">
        <v>1333</v>
      </c>
      <c r="D856" s="205" t="s">
        <v>110</v>
      </c>
      <c r="E856" s="261">
        <v>0.55000000000000004</v>
      </c>
      <c r="F856" s="261">
        <v>0.3</v>
      </c>
      <c r="G856" s="261">
        <v>5.12</v>
      </c>
      <c r="H856" s="261">
        <v>1</v>
      </c>
      <c r="I856" s="261"/>
      <c r="J856" s="259"/>
      <c r="K856" s="260">
        <f t="shared" si="22"/>
        <v>0.84480000000000011</v>
      </c>
      <c r="L856" s="266" t="s">
        <v>1556</v>
      </c>
    </row>
    <row r="857" spans="2:12">
      <c r="B857" s="256" t="s">
        <v>1413</v>
      </c>
      <c r="C857" s="250" t="s">
        <v>1333</v>
      </c>
      <c r="D857" s="205" t="s">
        <v>110</v>
      </c>
      <c r="E857" s="261">
        <v>0.55000000000000004</v>
      </c>
      <c r="F857" s="261">
        <v>0.3</v>
      </c>
      <c r="G857" s="261">
        <v>5.12</v>
      </c>
      <c r="H857" s="261">
        <v>1</v>
      </c>
      <c r="I857" s="261"/>
      <c r="J857" s="259"/>
      <c r="K857" s="260">
        <f t="shared" si="22"/>
        <v>0.84480000000000011</v>
      </c>
      <c r="L857" s="266" t="s">
        <v>1556</v>
      </c>
    </row>
    <row r="858" spans="2:12">
      <c r="B858" s="256" t="s">
        <v>1414</v>
      </c>
      <c r="C858" s="250" t="s">
        <v>1333</v>
      </c>
      <c r="D858" s="205" t="s">
        <v>110</v>
      </c>
      <c r="E858" s="261">
        <v>0.55000000000000004</v>
      </c>
      <c r="F858" s="261">
        <v>0.3</v>
      </c>
      <c r="G858" s="261">
        <v>5.12</v>
      </c>
      <c r="H858" s="261">
        <v>1</v>
      </c>
      <c r="I858" s="261"/>
      <c r="J858" s="259"/>
      <c r="K858" s="260">
        <f t="shared" si="22"/>
        <v>0.84480000000000011</v>
      </c>
      <c r="L858" s="266" t="s">
        <v>1556</v>
      </c>
    </row>
    <row r="859" spans="2:12">
      <c r="B859" s="256" t="s">
        <v>1415</v>
      </c>
      <c r="C859" s="250" t="s">
        <v>1333</v>
      </c>
      <c r="D859" s="205" t="s">
        <v>110</v>
      </c>
      <c r="E859" s="261">
        <v>0.55000000000000004</v>
      </c>
      <c r="F859" s="261">
        <v>0.3</v>
      </c>
      <c r="G859" s="261">
        <v>5.12</v>
      </c>
      <c r="H859" s="261">
        <v>1</v>
      </c>
      <c r="I859" s="261"/>
      <c r="J859" s="259"/>
      <c r="K859" s="260">
        <f t="shared" si="22"/>
        <v>0.84480000000000011</v>
      </c>
      <c r="L859" s="266" t="s">
        <v>1556</v>
      </c>
    </row>
    <row r="860" spans="2:12">
      <c r="B860" s="256" t="s">
        <v>1416</v>
      </c>
      <c r="C860" s="250" t="s">
        <v>1333</v>
      </c>
      <c r="D860" s="205" t="s">
        <v>110</v>
      </c>
      <c r="E860" s="261">
        <v>0.45</v>
      </c>
      <c r="F860" s="261">
        <v>0.3</v>
      </c>
      <c r="G860" s="261">
        <v>5.12</v>
      </c>
      <c r="H860" s="261">
        <v>1</v>
      </c>
      <c r="I860" s="261"/>
      <c r="J860" s="259"/>
      <c r="K860" s="260">
        <f t="shared" si="22"/>
        <v>0.69120000000000004</v>
      </c>
      <c r="L860" s="266" t="s">
        <v>1556</v>
      </c>
    </row>
    <row r="861" spans="2:12">
      <c r="B861" s="256" t="s">
        <v>1417</v>
      </c>
      <c r="C861" s="250" t="s">
        <v>1333</v>
      </c>
      <c r="D861" s="205" t="s">
        <v>110</v>
      </c>
      <c r="E861" s="261">
        <v>0.45</v>
      </c>
      <c r="F861" s="261">
        <v>0.3</v>
      </c>
      <c r="G861" s="261">
        <v>5.12</v>
      </c>
      <c r="H861" s="261">
        <v>1</v>
      </c>
      <c r="I861" s="261"/>
      <c r="J861" s="259"/>
      <c r="K861" s="260">
        <f t="shared" si="22"/>
        <v>0.69120000000000004</v>
      </c>
      <c r="L861" s="266" t="s">
        <v>1556</v>
      </c>
    </row>
    <row r="862" spans="2:12">
      <c r="B862" s="256" t="s">
        <v>1418</v>
      </c>
      <c r="C862" s="250" t="s">
        <v>1333</v>
      </c>
      <c r="D862" s="205" t="s">
        <v>110</v>
      </c>
      <c r="E862" s="261">
        <v>0.8</v>
      </c>
      <c r="F862" s="261">
        <v>0.2</v>
      </c>
      <c r="G862" s="261">
        <v>5.12</v>
      </c>
      <c r="H862" s="261">
        <v>1</v>
      </c>
      <c r="I862" s="261"/>
      <c r="J862" s="259"/>
      <c r="K862" s="260">
        <f t="shared" si="22"/>
        <v>0.81920000000000015</v>
      </c>
      <c r="L862" s="266" t="s">
        <v>1556</v>
      </c>
    </row>
    <row r="863" spans="2:12">
      <c r="B863" s="256" t="s">
        <v>1419</v>
      </c>
      <c r="C863" s="250" t="s">
        <v>1333</v>
      </c>
      <c r="D863" s="205" t="s">
        <v>110</v>
      </c>
      <c r="E863" s="261">
        <v>0.8</v>
      </c>
      <c r="F863" s="261">
        <v>0.2</v>
      </c>
      <c r="G863" s="261">
        <v>6.62</v>
      </c>
      <c r="H863" s="261">
        <v>1</v>
      </c>
      <c r="I863" s="261"/>
      <c r="J863" s="259"/>
      <c r="K863" s="260">
        <f t="shared" si="22"/>
        <v>1.0592000000000001</v>
      </c>
      <c r="L863" s="266" t="s">
        <v>1556</v>
      </c>
    </row>
    <row r="864" spans="2:12">
      <c r="B864" s="256" t="s">
        <v>1420</v>
      </c>
      <c r="C864" s="250" t="s">
        <v>1333</v>
      </c>
      <c r="D864" s="205" t="s">
        <v>110</v>
      </c>
      <c r="E864" s="261">
        <v>0.8</v>
      </c>
      <c r="F864" s="261">
        <v>0.3</v>
      </c>
      <c r="G864" s="261">
        <v>6.62</v>
      </c>
      <c r="H864" s="261">
        <v>1</v>
      </c>
      <c r="I864" s="261"/>
      <c r="J864" s="259"/>
      <c r="K864" s="260">
        <f t="shared" si="22"/>
        <v>1.5888</v>
      </c>
      <c r="L864" s="266" t="s">
        <v>1556</v>
      </c>
    </row>
    <row r="865" spans="2:12">
      <c r="B865" s="256" t="s">
        <v>1421</v>
      </c>
      <c r="C865" s="250" t="s">
        <v>1333</v>
      </c>
      <c r="D865" s="205" t="s">
        <v>110</v>
      </c>
      <c r="E865" s="261">
        <v>0.8</v>
      </c>
      <c r="F865" s="261">
        <v>0.2</v>
      </c>
      <c r="G865" s="261">
        <v>6.62</v>
      </c>
      <c r="H865" s="261">
        <v>1</v>
      </c>
      <c r="I865" s="261"/>
      <c r="J865" s="259"/>
      <c r="K865" s="260">
        <f t="shared" ref="K865:K896" si="23">IF(E865*F865*G865&lt;&gt;0,E865*F865*G865,IF(E865*F865&lt;&gt;0,E865*F865,IF(F865*G865&lt;&gt;0,F865*G865,IF(E865*G865&lt;&gt;0,E865*G865,IF(E865&lt;&gt;0,E865,IF(F865&lt;&gt;0,F865,IF(G865&lt;&gt;0,G865,0)))))))*(IF(H865&lt;&gt;0,H865,1))+I865-J865</f>
        <v>1.0592000000000001</v>
      </c>
      <c r="L865" s="266" t="s">
        <v>1556</v>
      </c>
    </row>
    <row r="866" spans="2:12">
      <c r="B866" s="256" t="s">
        <v>1422</v>
      </c>
      <c r="C866" s="250" t="s">
        <v>1333</v>
      </c>
      <c r="D866" s="205" t="s">
        <v>110</v>
      </c>
      <c r="E866" s="261">
        <v>0.8</v>
      </c>
      <c r="F866" s="261">
        <v>0.3</v>
      </c>
      <c r="G866" s="261">
        <v>6.62</v>
      </c>
      <c r="H866" s="261">
        <v>1</v>
      </c>
      <c r="I866" s="261"/>
      <c r="J866" s="259"/>
      <c r="K866" s="260">
        <f t="shared" si="23"/>
        <v>1.5888</v>
      </c>
      <c r="L866" s="266" t="s">
        <v>1556</v>
      </c>
    </row>
    <row r="867" spans="2:12">
      <c r="B867" s="256" t="s">
        <v>1423</v>
      </c>
      <c r="C867" s="250" t="s">
        <v>1333</v>
      </c>
      <c r="D867" s="205" t="s">
        <v>110</v>
      </c>
      <c r="E867" s="261">
        <v>0.7</v>
      </c>
      <c r="F867" s="261">
        <v>0.4</v>
      </c>
      <c r="G867" s="261">
        <v>5.12</v>
      </c>
      <c r="H867" s="261">
        <v>1</v>
      </c>
      <c r="I867" s="261"/>
      <c r="J867" s="259"/>
      <c r="K867" s="260">
        <f t="shared" si="23"/>
        <v>1.4336</v>
      </c>
      <c r="L867" s="266" t="s">
        <v>1556</v>
      </c>
    </row>
    <row r="868" spans="2:12">
      <c r="B868" s="256" t="s">
        <v>1424</v>
      </c>
      <c r="C868" s="250" t="s">
        <v>1333</v>
      </c>
      <c r="D868" s="205" t="s">
        <v>110</v>
      </c>
      <c r="E868" s="261">
        <v>0.7</v>
      </c>
      <c r="F868" s="261">
        <v>0.5</v>
      </c>
      <c r="G868" s="261">
        <v>5.12</v>
      </c>
      <c r="H868" s="261">
        <v>1</v>
      </c>
      <c r="I868" s="261"/>
      <c r="J868" s="259"/>
      <c r="K868" s="260">
        <f t="shared" si="23"/>
        <v>1.7919999999999998</v>
      </c>
      <c r="L868" s="266" t="s">
        <v>1556</v>
      </c>
    </row>
    <row r="869" spans="2:12">
      <c r="B869" s="256" t="s">
        <v>1425</v>
      </c>
      <c r="C869" s="250" t="s">
        <v>1333</v>
      </c>
      <c r="D869" s="205" t="s">
        <v>110</v>
      </c>
      <c r="E869" s="261">
        <v>0.7</v>
      </c>
      <c r="F869" s="261">
        <v>0.5</v>
      </c>
      <c r="G869" s="261">
        <v>5.12</v>
      </c>
      <c r="H869" s="261">
        <v>1</v>
      </c>
      <c r="I869" s="261"/>
      <c r="J869" s="259"/>
      <c r="K869" s="260">
        <f t="shared" si="23"/>
        <v>1.7919999999999998</v>
      </c>
      <c r="L869" s="266" t="s">
        <v>1556</v>
      </c>
    </row>
    <row r="870" spans="2:12">
      <c r="B870" s="256" t="s">
        <v>1426</v>
      </c>
      <c r="C870" s="250" t="s">
        <v>1333</v>
      </c>
      <c r="D870" s="205" t="s">
        <v>110</v>
      </c>
      <c r="E870" s="261">
        <v>0.5</v>
      </c>
      <c r="F870" s="261">
        <v>0.4</v>
      </c>
      <c r="G870" s="261">
        <v>5.12</v>
      </c>
      <c r="H870" s="261">
        <v>1</v>
      </c>
      <c r="I870" s="261"/>
      <c r="J870" s="259"/>
      <c r="K870" s="260">
        <f t="shared" si="23"/>
        <v>1.024</v>
      </c>
      <c r="L870" s="266" t="s">
        <v>1556</v>
      </c>
    </row>
    <row r="871" spans="2:12">
      <c r="B871" s="256" t="s">
        <v>1481</v>
      </c>
      <c r="C871" s="250" t="s">
        <v>1441</v>
      </c>
      <c r="D871" s="205" t="s">
        <v>110</v>
      </c>
      <c r="E871" s="261">
        <v>0.25</v>
      </c>
      <c r="F871" s="261">
        <v>0.4</v>
      </c>
      <c r="G871" s="261">
        <v>5.12</v>
      </c>
      <c r="H871" s="261">
        <v>1</v>
      </c>
      <c r="I871" s="261"/>
      <c r="J871" s="259"/>
      <c r="K871" s="260">
        <f t="shared" si="23"/>
        <v>0.51200000000000001</v>
      </c>
      <c r="L871" s="266" t="s">
        <v>1556</v>
      </c>
    </row>
    <row r="872" spans="2:12">
      <c r="B872" s="256" t="s">
        <v>1482</v>
      </c>
      <c r="C872" s="250" t="s">
        <v>1441</v>
      </c>
      <c r="D872" s="205" t="s">
        <v>110</v>
      </c>
      <c r="E872" s="261">
        <v>0.3</v>
      </c>
      <c r="F872" s="261">
        <v>0.3</v>
      </c>
      <c r="G872" s="261">
        <v>5.12</v>
      </c>
      <c r="H872" s="261">
        <v>1</v>
      </c>
      <c r="I872" s="261"/>
      <c r="J872" s="259"/>
      <c r="K872" s="260">
        <f t="shared" si="23"/>
        <v>0.46079999999999999</v>
      </c>
      <c r="L872" s="266" t="s">
        <v>1556</v>
      </c>
    </row>
    <row r="873" spans="2:12">
      <c r="B873" s="256" t="s">
        <v>1483</v>
      </c>
      <c r="C873" s="250" t="s">
        <v>1441</v>
      </c>
      <c r="D873" s="205" t="s">
        <v>110</v>
      </c>
      <c r="E873" s="261">
        <v>0.3</v>
      </c>
      <c r="F873" s="261">
        <v>0.3</v>
      </c>
      <c r="G873" s="261">
        <v>5.12</v>
      </c>
      <c r="H873" s="261">
        <v>1</v>
      </c>
      <c r="I873" s="261"/>
      <c r="J873" s="259"/>
      <c r="K873" s="260">
        <f t="shared" si="23"/>
        <v>0.46079999999999999</v>
      </c>
      <c r="L873" s="266" t="s">
        <v>1556</v>
      </c>
    </row>
    <row r="874" spans="2:12">
      <c r="B874" s="256" t="s">
        <v>1484</v>
      </c>
      <c r="C874" s="250" t="s">
        <v>1441</v>
      </c>
      <c r="D874" s="205" t="s">
        <v>110</v>
      </c>
      <c r="E874" s="261">
        <v>0.4</v>
      </c>
      <c r="F874" s="261">
        <v>0.4</v>
      </c>
      <c r="G874" s="261">
        <v>5.12</v>
      </c>
      <c r="H874" s="261">
        <v>1</v>
      </c>
      <c r="I874" s="261"/>
      <c r="J874" s="259"/>
      <c r="K874" s="260">
        <f t="shared" si="23"/>
        <v>0.81920000000000015</v>
      </c>
      <c r="L874" s="266" t="s">
        <v>1556</v>
      </c>
    </row>
    <row r="875" spans="2:12">
      <c r="B875" s="256" t="s">
        <v>1485</v>
      </c>
      <c r="C875" s="250" t="s">
        <v>1441</v>
      </c>
      <c r="D875" s="205" t="s">
        <v>110</v>
      </c>
      <c r="E875" s="261">
        <v>0.4</v>
      </c>
      <c r="F875" s="261">
        <v>0.6</v>
      </c>
      <c r="G875" s="261">
        <v>5.12</v>
      </c>
      <c r="H875" s="261">
        <v>1</v>
      </c>
      <c r="I875" s="261"/>
      <c r="J875" s="259"/>
      <c r="K875" s="260">
        <f t="shared" si="23"/>
        <v>1.2287999999999999</v>
      </c>
      <c r="L875" s="266" t="s">
        <v>1556</v>
      </c>
    </row>
    <row r="876" spans="2:12">
      <c r="B876" s="256" t="s">
        <v>1486</v>
      </c>
      <c r="C876" s="250" t="s">
        <v>1441</v>
      </c>
      <c r="D876" s="205" t="s">
        <v>110</v>
      </c>
      <c r="E876" s="261">
        <v>0.2</v>
      </c>
      <c r="F876" s="261">
        <v>2.94</v>
      </c>
      <c r="G876" s="261">
        <f>5.12+2</f>
        <v>7.12</v>
      </c>
      <c r="H876" s="261">
        <v>1</v>
      </c>
      <c r="I876" s="261"/>
      <c r="J876" s="259"/>
      <c r="K876" s="260">
        <f t="shared" si="23"/>
        <v>4.1865600000000001</v>
      </c>
      <c r="L876" s="266" t="s">
        <v>1556</v>
      </c>
    </row>
    <row r="877" spans="2:12">
      <c r="B877" s="256" t="s">
        <v>1487</v>
      </c>
      <c r="C877" s="250" t="s">
        <v>1441</v>
      </c>
      <c r="D877" s="205" t="s">
        <v>110</v>
      </c>
      <c r="E877" s="261">
        <v>0.2</v>
      </c>
      <c r="F877" s="261">
        <v>2.94</v>
      </c>
      <c r="G877" s="261">
        <f>5.12+2</f>
        <v>7.12</v>
      </c>
      <c r="H877" s="261">
        <v>1</v>
      </c>
      <c r="I877" s="261"/>
      <c r="J877" s="259"/>
      <c r="K877" s="260">
        <f t="shared" si="23"/>
        <v>4.1865600000000001</v>
      </c>
      <c r="L877" s="266" t="s">
        <v>1556</v>
      </c>
    </row>
    <row r="878" spans="2:12">
      <c r="B878" s="256" t="s">
        <v>1488</v>
      </c>
      <c r="C878" s="250" t="s">
        <v>1441</v>
      </c>
      <c r="D878" s="205" t="s">
        <v>110</v>
      </c>
      <c r="E878" s="261">
        <v>0.6</v>
      </c>
      <c r="F878" s="261">
        <v>0.5</v>
      </c>
      <c r="G878" s="261">
        <v>5.12</v>
      </c>
      <c r="H878" s="261">
        <v>1</v>
      </c>
      <c r="I878" s="261"/>
      <c r="J878" s="259"/>
      <c r="K878" s="260">
        <f t="shared" si="23"/>
        <v>1.536</v>
      </c>
      <c r="L878" s="266" t="s">
        <v>1556</v>
      </c>
    </row>
    <row r="879" spans="2:12">
      <c r="B879" s="256" t="s">
        <v>1489</v>
      </c>
      <c r="C879" s="250" t="s">
        <v>1441</v>
      </c>
      <c r="D879" s="205" t="s">
        <v>110</v>
      </c>
      <c r="E879" s="261">
        <v>0.4</v>
      </c>
      <c r="F879" s="261">
        <v>0.4</v>
      </c>
      <c r="G879" s="261">
        <v>5.12</v>
      </c>
      <c r="H879" s="261">
        <v>1</v>
      </c>
      <c r="I879" s="261"/>
      <c r="J879" s="259"/>
      <c r="K879" s="260">
        <f t="shared" si="23"/>
        <v>0.81920000000000015</v>
      </c>
      <c r="L879" s="266" t="s">
        <v>1556</v>
      </c>
    </row>
    <row r="880" spans="2:12">
      <c r="B880" s="256" t="s">
        <v>1490</v>
      </c>
      <c r="C880" s="250" t="s">
        <v>1441</v>
      </c>
      <c r="D880" s="205" t="s">
        <v>110</v>
      </c>
      <c r="E880" s="261">
        <v>0.2</v>
      </c>
      <c r="F880" s="261">
        <v>0.8</v>
      </c>
      <c r="G880" s="261">
        <v>5.12</v>
      </c>
      <c r="H880" s="261">
        <v>1</v>
      </c>
      <c r="I880" s="261"/>
      <c r="J880" s="259"/>
      <c r="K880" s="260">
        <f t="shared" si="23"/>
        <v>0.81920000000000015</v>
      </c>
      <c r="L880" s="266" t="s">
        <v>1556</v>
      </c>
    </row>
    <row r="881" spans="2:12">
      <c r="B881" s="256" t="s">
        <v>1491</v>
      </c>
      <c r="C881" s="250" t="s">
        <v>1441</v>
      </c>
      <c r="D881" s="205" t="s">
        <v>110</v>
      </c>
      <c r="E881" s="261">
        <v>0.3</v>
      </c>
      <c r="F881" s="261">
        <v>0.3</v>
      </c>
      <c r="G881" s="261">
        <v>5.12</v>
      </c>
      <c r="H881" s="261">
        <v>1</v>
      </c>
      <c r="I881" s="261"/>
      <c r="J881" s="259"/>
      <c r="K881" s="260">
        <f t="shared" si="23"/>
        <v>0.46079999999999999</v>
      </c>
      <c r="L881" s="266" t="s">
        <v>1556</v>
      </c>
    </row>
    <row r="882" spans="2:12">
      <c r="B882" s="256" t="s">
        <v>1492</v>
      </c>
      <c r="C882" s="250" t="s">
        <v>1441</v>
      </c>
      <c r="D882" s="205" t="s">
        <v>110</v>
      </c>
      <c r="E882" s="261">
        <v>0.3</v>
      </c>
      <c r="F882" s="261">
        <v>0.3</v>
      </c>
      <c r="G882" s="261">
        <v>5.12</v>
      </c>
      <c r="H882" s="261">
        <v>1</v>
      </c>
      <c r="I882" s="261"/>
      <c r="J882" s="259"/>
      <c r="K882" s="260">
        <f t="shared" si="23"/>
        <v>0.46079999999999999</v>
      </c>
      <c r="L882" s="266" t="s">
        <v>1556</v>
      </c>
    </row>
    <row r="883" spans="2:12">
      <c r="B883" s="256" t="s">
        <v>1493</v>
      </c>
      <c r="C883" s="250" t="s">
        <v>1441</v>
      </c>
      <c r="D883" s="205" t="s">
        <v>110</v>
      </c>
      <c r="E883" s="261">
        <v>0.4</v>
      </c>
      <c r="F883" s="261">
        <v>0.4</v>
      </c>
      <c r="G883" s="261">
        <v>5.12</v>
      </c>
      <c r="H883" s="261">
        <v>1</v>
      </c>
      <c r="I883" s="261"/>
      <c r="J883" s="259"/>
      <c r="K883" s="260">
        <f t="shared" si="23"/>
        <v>0.81920000000000015</v>
      </c>
      <c r="L883" s="266" t="s">
        <v>1556</v>
      </c>
    </row>
    <row r="884" spans="2:12">
      <c r="B884" s="256" t="s">
        <v>1494</v>
      </c>
      <c r="C884" s="250" t="s">
        <v>1441</v>
      </c>
      <c r="D884" s="205" t="s">
        <v>110</v>
      </c>
      <c r="E884" s="261">
        <v>0.4</v>
      </c>
      <c r="F884" s="261">
        <v>0.4</v>
      </c>
      <c r="G884" s="261">
        <v>5.12</v>
      </c>
      <c r="H884" s="261">
        <v>1</v>
      </c>
      <c r="I884" s="261"/>
      <c r="J884" s="259"/>
      <c r="K884" s="260">
        <f t="shared" si="23"/>
        <v>0.81920000000000015</v>
      </c>
      <c r="L884" s="266" t="s">
        <v>1556</v>
      </c>
    </row>
    <row r="885" spans="2:12">
      <c r="B885" s="256" t="s">
        <v>1495</v>
      </c>
      <c r="C885" s="250" t="s">
        <v>1441</v>
      </c>
      <c r="D885" s="205" t="s">
        <v>110</v>
      </c>
      <c r="E885" s="261">
        <v>0.4</v>
      </c>
      <c r="F885" s="261">
        <v>0.4</v>
      </c>
      <c r="G885" s="261">
        <v>5.12</v>
      </c>
      <c r="H885" s="261">
        <v>1</v>
      </c>
      <c r="I885" s="261"/>
      <c r="J885" s="259"/>
      <c r="K885" s="260">
        <f t="shared" si="23"/>
        <v>0.81920000000000015</v>
      </c>
      <c r="L885" s="266" t="s">
        <v>1556</v>
      </c>
    </row>
    <row r="886" spans="2:12">
      <c r="B886" s="249" t="s">
        <v>1389</v>
      </c>
      <c r="C886" s="250" t="s">
        <v>1521</v>
      </c>
      <c r="D886" s="205" t="s">
        <v>110</v>
      </c>
      <c r="E886" s="199">
        <v>0.5</v>
      </c>
      <c r="F886" s="199">
        <v>0.4</v>
      </c>
      <c r="G886" s="199">
        <v>3.6</v>
      </c>
      <c r="H886" s="199">
        <v>1</v>
      </c>
      <c r="I886" s="199"/>
      <c r="J886" s="253"/>
      <c r="K886" s="254">
        <f t="shared" si="23"/>
        <v>0.72000000000000008</v>
      </c>
      <c r="L886" s="255" t="s">
        <v>1557</v>
      </c>
    </row>
    <row r="887" spans="2:12">
      <c r="B887" s="256" t="s">
        <v>1390</v>
      </c>
      <c r="C887" s="250" t="s">
        <v>1521</v>
      </c>
      <c r="D887" s="205" t="s">
        <v>110</v>
      </c>
      <c r="E887" s="261">
        <v>1</v>
      </c>
      <c r="F887" s="261">
        <v>0.2</v>
      </c>
      <c r="G887" s="261">
        <v>3.6</v>
      </c>
      <c r="H887" s="261">
        <v>1</v>
      </c>
      <c r="I887" s="261"/>
      <c r="J887" s="259"/>
      <c r="K887" s="260">
        <f t="shared" si="23"/>
        <v>0.72000000000000008</v>
      </c>
      <c r="L887" s="266" t="s">
        <v>1557</v>
      </c>
    </row>
    <row r="888" spans="2:12">
      <c r="B888" s="256" t="s">
        <v>1391</v>
      </c>
      <c r="C888" s="250" t="s">
        <v>1521</v>
      </c>
      <c r="D888" s="205" t="s">
        <v>110</v>
      </c>
      <c r="E888" s="261">
        <v>1</v>
      </c>
      <c r="F888" s="261">
        <v>0.2</v>
      </c>
      <c r="G888" s="261">
        <v>3.6</v>
      </c>
      <c r="H888" s="261">
        <v>1</v>
      </c>
      <c r="I888" s="261"/>
      <c r="J888" s="259"/>
      <c r="K888" s="260">
        <f t="shared" si="23"/>
        <v>0.72000000000000008</v>
      </c>
      <c r="L888" s="266" t="s">
        <v>1557</v>
      </c>
    </row>
    <row r="889" spans="2:12">
      <c r="B889" s="256" t="s">
        <v>1392</v>
      </c>
      <c r="C889" s="250" t="s">
        <v>1521</v>
      </c>
      <c r="D889" s="205" t="s">
        <v>110</v>
      </c>
      <c r="E889" s="261">
        <v>0.4</v>
      </c>
      <c r="F889" s="261">
        <v>0.4</v>
      </c>
      <c r="G889" s="261">
        <v>3.6</v>
      </c>
      <c r="H889" s="261">
        <v>1</v>
      </c>
      <c r="I889" s="261"/>
      <c r="J889" s="259"/>
      <c r="K889" s="260">
        <f t="shared" si="23"/>
        <v>0.57600000000000018</v>
      </c>
      <c r="L889" s="266" t="s">
        <v>1557</v>
      </c>
    </row>
    <row r="890" spans="2:12">
      <c r="B890" s="256" t="s">
        <v>1393</v>
      </c>
      <c r="C890" s="250" t="s">
        <v>1521</v>
      </c>
      <c r="D890" s="205" t="s">
        <v>110</v>
      </c>
      <c r="E890" s="261">
        <v>0.3</v>
      </c>
      <c r="F890" s="261">
        <v>0.3</v>
      </c>
      <c r="G890" s="261">
        <v>3.6</v>
      </c>
      <c r="H890" s="261">
        <v>1</v>
      </c>
      <c r="I890" s="261"/>
      <c r="J890" s="259"/>
      <c r="K890" s="260">
        <f t="shared" si="23"/>
        <v>0.32400000000000001</v>
      </c>
      <c r="L890" s="266" t="s">
        <v>1557</v>
      </c>
    </row>
    <row r="891" spans="2:12">
      <c r="B891" s="256" t="s">
        <v>1394</v>
      </c>
      <c r="C891" s="250" t="s">
        <v>1521</v>
      </c>
      <c r="D891" s="205" t="s">
        <v>110</v>
      </c>
      <c r="E891" s="261">
        <v>0.4</v>
      </c>
      <c r="F891" s="261">
        <v>0.4</v>
      </c>
      <c r="G891" s="261">
        <v>3.6</v>
      </c>
      <c r="H891" s="261">
        <v>1</v>
      </c>
      <c r="I891" s="261"/>
      <c r="J891" s="259"/>
      <c r="K891" s="260">
        <f t="shared" si="23"/>
        <v>0.57600000000000018</v>
      </c>
      <c r="L891" s="266" t="s">
        <v>1557</v>
      </c>
    </row>
    <row r="892" spans="2:12">
      <c r="B892" s="256" t="s">
        <v>1395</v>
      </c>
      <c r="C892" s="250" t="s">
        <v>1521</v>
      </c>
      <c r="D892" s="205" t="s">
        <v>110</v>
      </c>
      <c r="E892" s="199">
        <v>0.5</v>
      </c>
      <c r="F892" s="199">
        <v>0.4</v>
      </c>
      <c r="G892" s="261">
        <v>3.6</v>
      </c>
      <c r="H892" s="261">
        <v>1</v>
      </c>
      <c r="I892" s="261"/>
      <c r="J892" s="259"/>
      <c r="K892" s="260">
        <f t="shared" si="23"/>
        <v>0.72000000000000008</v>
      </c>
      <c r="L892" s="266" t="s">
        <v>1557</v>
      </c>
    </row>
    <row r="893" spans="2:12">
      <c r="B893" s="256" t="s">
        <v>1396</v>
      </c>
      <c r="C893" s="250" t="s">
        <v>1521</v>
      </c>
      <c r="D893" s="205" t="s">
        <v>110</v>
      </c>
      <c r="E893" s="199">
        <v>0.5</v>
      </c>
      <c r="F893" s="199">
        <v>0.4</v>
      </c>
      <c r="G893" s="261">
        <v>3.6</v>
      </c>
      <c r="H893" s="261">
        <v>1</v>
      </c>
      <c r="I893" s="261"/>
      <c r="J893" s="259"/>
      <c r="K893" s="260">
        <f t="shared" si="23"/>
        <v>0.72000000000000008</v>
      </c>
      <c r="L893" s="266" t="s">
        <v>1557</v>
      </c>
    </row>
    <row r="894" spans="2:12">
      <c r="B894" s="256" t="s">
        <v>1397</v>
      </c>
      <c r="C894" s="250" t="s">
        <v>1521</v>
      </c>
      <c r="D894" s="205" t="s">
        <v>110</v>
      </c>
      <c r="E894" s="261">
        <v>1</v>
      </c>
      <c r="F894" s="261">
        <v>0.2</v>
      </c>
      <c r="G894" s="261">
        <v>3.6</v>
      </c>
      <c r="H894" s="261">
        <v>1</v>
      </c>
      <c r="I894" s="261"/>
      <c r="J894" s="259"/>
      <c r="K894" s="260">
        <f t="shared" si="23"/>
        <v>0.72000000000000008</v>
      </c>
      <c r="L894" s="266" t="s">
        <v>1557</v>
      </c>
    </row>
    <row r="895" spans="2:12">
      <c r="B895" s="256" t="s">
        <v>1398</v>
      </c>
      <c r="C895" s="250" t="s">
        <v>1521</v>
      </c>
      <c r="D895" s="205" t="s">
        <v>110</v>
      </c>
      <c r="E895" s="261">
        <v>0.3</v>
      </c>
      <c r="F895" s="261">
        <v>0.3</v>
      </c>
      <c r="G895" s="261">
        <v>3.6</v>
      </c>
      <c r="H895" s="261">
        <v>1</v>
      </c>
      <c r="I895" s="261"/>
      <c r="J895" s="259"/>
      <c r="K895" s="260">
        <f t="shared" si="23"/>
        <v>0.32400000000000001</v>
      </c>
      <c r="L895" s="266" t="s">
        <v>1557</v>
      </c>
    </row>
    <row r="896" spans="2:12">
      <c r="B896" s="256" t="s">
        <v>1399</v>
      </c>
      <c r="C896" s="250" t="s">
        <v>1521</v>
      </c>
      <c r="D896" s="205" t="s">
        <v>110</v>
      </c>
      <c r="E896" s="261">
        <v>0.4</v>
      </c>
      <c r="F896" s="261">
        <v>0.4</v>
      </c>
      <c r="G896" s="261">
        <v>3.6</v>
      </c>
      <c r="H896" s="261">
        <v>1</v>
      </c>
      <c r="I896" s="261"/>
      <c r="J896" s="259"/>
      <c r="K896" s="260">
        <f t="shared" si="23"/>
        <v>0.57600000000000018</v>
      </c>
      <c r="L896" s="266" t="s">
        <v>1557</v>
      </c>
    </row>
    <row r="897" spans="2:12">
      <c r="B897" s="256" t="s">
        <v>1400</v>
      </c>
      <c r="C897" s="250" t="s">
        <v>1521</v>
      </c>
      <c r="D897" s="205" t="s">
        <v>110</v>
      </c>
      <c r="E897" s="199">
        <v>0.5</v>
      </c>
      <c r="F897" s="199">
        <v>0.4</v>
      </c>
      <c r="G897" s="261">
        <v>3.6</v>
      </c>
      <c r="H897" s="261">
        <v>1</v>
      </c>
      <c r="I897" s="261"/>
      <c r="J897" s="259"/>
      <c r="K897" s="260">
        <f t="shared" ref="K897:K928" si="24">IF(E897*F897*G897&lt;&gt;0,E897*F897*G897,IF(E897*F897&lt;&gt;0,E897*F897,IF(F897*G897&lt;&gt;0,F897*G897,IF(E897*G897&lt;&gt;0,E897*G897,IF(E897&lt;&gt;0,E897,IF(F897&lt;&gt;0,F897,IF(G897&lt;&gt;0,G897,0)))))))*(IF(H897&lt;&gt;0,H897,1))+I897-J897</f>
        <v>0.72000000000000008</v>
      </c>
      <c r="L897" s="266" t="s">
        <v>1557</v>
      </c>
    </row>
    <row r="898" spans="2:12">
      <c r="B898" s="256" t="s">
        <v>1401</v>
      </c>
      <c r="C898" s="250" t="s">
        <v>1521</v>
      </c>
      <c r="D898" s="205" t="s">
        <v>110</v>
      </c>
      <c r="E898" s="199">
        <v>0.5</v>
      </c>
      <c r="F898" s="199">
        <v>0.4</v>
      </c>
      <c r="G898" s="261">
        <v>3.6</v>
      </c>
      <c r="H898" s="261">
        <v>1</v>
      </c>
      <c r="I898" s="261"/>
      <c r="J898" s="259"/>
      <c r="K898" s="260">
        <f t="shared" si="24"/>
        <v>0.72000000000000008</v>
      </c>
      <c r="L898" s="266" t="s">
        <v>1557</v>
      </c>
    </row>
    <row r="899" spans="2:12">
      <c r="B899" s="256" t="s">
        <v>1402</v>
      </c>
      <c r="C899" s="250" t="s">
        <v>1521</v>
      </c>
      <c r="D899" s="205" t="s">
        <v>110</v>
      </c>
      <c r="E899" s="261">
        <v>1</v>
      </c>
      <c r="F899" s="261">
        <v>0.2</v>
      </c>
      <c r="G899" s="261">
        <v>3.6</v>
      </c>
      <c r="H899" s="261">
        <v>1</v>
      </c>
      <c r="I899" s="261"/>
      <c r="J899" s="259"/>
      <c r="K899" s="260">
        <f t="shared" si="24"/>
        <v>0.72000000000000008</v>
      </c>
      <c r="L899" s="266" t="s">
        <v>1557</v>
      </c>
    </row>
    <row r="900" spans="2:12">
      <c r="B900" s="256" t="s">
        <v>1403</v>
      </c>
      <c r="C900" s="250" t="s">
        <v>1521</v>
      </c>
      <c r="D900" s="205" t="s">
        <v>110</v>
      </c>
      <c r="E900" s="261">
        <v>0.3</v>
      </c>
      <c r="F900" s="261">
        <v>0.3</v>
      </c>
      <c r="G900" s="261">
        <v>3.6</v>
      </c>
      <c r="H900" s="261">
        <v>1</v>
      </c>
      <c r="I900" s="261"/>
      <c r="J900" s="259"/>
      <c r="K900" s="260">
        <f t="shared" si="24"/>
        <v>0.32400000000000001</v>
      </c>
      <c r="L900" s="266" t="s">
        <v>1557</v>
      </c>
    </row>
    <row r="901" spans="2:12">
      <c r="B901" s="256" t="s">
        <v>1404</v>
      </c>
      <c r="C901" s="250" t="s">
        <v>1521</v>
      </c>
      <c r="D901" s="205" t="s">
        <v>110</v>
      </c>
      <c r="E901" s="261">
        <v>0.6</v>
      </c>
      <c r="F901" s="261">
        <v>0.2</v>
      </c>
      <c r="G901" s="261">
        <v>3.6</v>
      </c>
      <c r="H901" s="261">
        <v>1</v>
      </c>
      <c r="I901" s="261"/>
      <c r="J901" s="259"/>
      <c r="K901" s="260">
        <f t="shared" si="24"/>
        <v>0.432</v>
      </c>
      <c r="L901" s="266" t="s">
        <v>1557</v>
      </c>
    </row>
    <row r="902" spans="2:12">
      <c r="B902" s="256" t="s">
        <v>1405</v>
      </c>
      <c r="C902" s="250" t="s">
        <v>1521</v>
      </c>
      <c r="D902" s="205" t="s">
        <v>110</v>
      </c>
      <c r="E902" s="261">
        <v>0.6</v>
      </c>
      <c r="F902" s="261">
        <v>0.2</v>
      </c>
      <c r="G902" s="261">
        <v>3.6</v>
      </c>
      <c r="H902" s="261">
        <v>1</v>
      </c>
      <c r="I902" s="261"/>
      <c r="J902" s="259"/>
      <c r="K902" s="260">
        <f t="shared" si="24"/>
        <v>0.432</v>
      </c>
      <c r="L902" s="266" t="s">
        <v>1557</v>
      </c>
    </row>
    <row r="903" spans="2:12">
      <c r="B903" s="256" t="s">
        <v>1406</v>
      </c>
      <c r="C903" s="250" t="s">
        <v>1521</v>
      </c>
      <c r="D903" s="205" t="s">
        <v>110</v>
      </c>
      <c r="E903" s="261">
        <v>0.4</v>
      </c>
      <c r="F903" s="261">
        <v>0.4</v>
      </c>
      <c r="G903" s="261">
        <v>3.6</v>
      </c>
      <c r="H903" s="261">
        <v>1</v>
      </c>
      <c r="I903" s="261"/>
      <c r="J903" s="259"/>
      <c r="K903" s="260">
        <f t="shared" si="24"/>
        <v>0.57600000000000018</v>
      </c>
      <c r="L903" s="266" t="s">
        <v>1557</v>
      </c>
    </row>
    <row r="904" spans="2:12">
      <c r="B904" s="256" t="s">
        <v>1407</v>
      </c>
      <c r="C904" s="250" t="s">
        <v>1521</v>
      </c>
      <c r="D904" s="205" t="s">
        <v>110</v>
      </c>
      <c r="E904" s="199">
        <v>0.5</v>
      </c>
      <c r="F904" s="199">
        <v>0.4</v>
      </c>
      <c r="G904" s="261">
        <v>3.6</v>
      </c>
      <c r="H904" s="261">
        <v>1</v>
      </c>
      <c r="I904" s="261"/>
      <c r="J904" s="259"/>
      <c r="K904" s="260">
        <f t="shared" si="24"/>
        <v>0.72000000000000008</v>
      </c>
      <c r="L904" s="266" t="s">
        <v>1557</v>
      </c>
    </row>
    <row r="905" spans="2:12">
      <c r="B905" s="256" t="s">
        <v>1408</v>
      </c>
      <c r="C905" s="250" t="s">
        <v>1521</v>
      </c>
      <c r="D905" s="205" t="s">
        <v>110</v>
      </c>
      <c r="E905" s="261">
        <v>0.5</v>
      </c>
      <c r="F905" s="261">
        <v>0.4</v>
      </c>
      <c r="G905" s="261">
        <v>3.6</v>
      </c>
      <c r="H905" s="261">
        <v>1</v>
      </c>
      <c r="I905" s="261"/>
      <c r="J905" s="259"/>
      <c r="K905" s="260">
        <f t="shared" si="24"/>
        <v>0.72000000000000008</v>
      </c>
      <c r="L905" s="266" t="s">
        <v>1557</v>
      </c>
    </row>
    <row r="906" spans="2:12">
      <c r="B906" s="256" t="s">
        <v>1409</v>
      </c>
      <c r="C906" s="250" t="s">
        <v>1521</v>
      </c>
      <c r="D906" s="205" t="s">
        <v>110</v>
      </c>
      <c r="E906" s="261">
        <v>1</v>
      </c>
      <c r="F906" s="261">
        <v>0.2</v>
      </c>
      <c r="G906" s="261">
        <v>3.6</v>
      </c>
      <c r="H906" s="261">
        <v>1</v>
      </c>
      <c r="I906" s="261"/>
      <c r="J906" s="259"/>
      <c r="K906" s="260">
        <f t="shared" si="24"/>
        <v>0.72000000000000008</v>
      </c>
      <c r="L906" s="266" t="s">
        <v>1557</v>
      </c>
    </row>
    <row r="907" spans="2:12">
      <c r="B907" s="256" t="s">
        <v>1410</v>
      </c>
      <c r="C907" s="250" t="s">
        <v>1521</v>
      </c>
      <c r="D907" s="205" t="s">
        <v>110</v>
      </c>
      <c r="E907" s="261">
        <v>0.45</v>
      </c>
      <c r="F907" s="261">
        <v>0.3</v>
      </c>
      <c r="G907" s="261">
        <v>3.6</v>
      </c>
      <c r="H907" s="261">
        <v>1</v>
      </c>
      <c r="I907" s="261"/>
      <c r="J907" s="259"/>
      <c r="K907" s="260">
        <f t="shared" si="24"/>
        <v>0.48600000000000004</v>
      </c>
      <c r="L907" s="266" t="s">
        <v>1557</v>
      </c>
    </row>
    <row r="908" spans="2:12">
      <c r="B908" s="256" t="s">
        <v>1411</v>
      </c>
      <c r="C908" s="250" t="s">
        <v>1521</v>
      </c>
      <c r="D908" s="205" t="s">
        <v>110</v>
      </c>
      <c r="E908" s="261">
        <v>0.45</v>
      </c>
      <c r="F908" s="261">
        <v>0.3</v>
      </c>
      <c r="G908" s="261">
        <v>3.6</v>
      </c>
      <c r="H908" s="261">
        <v>1</v>
      </c>
      <c r="I908" s="261"/>
      <c r="J908" s="259"/>
      <c r="K908" s="260">
        <f t="shared" si="24"/>
        <v>0.48600000000000004</v>
      </c>
      <c r="L908" s="266" t="s">
        <v>1557</v>
      </c>
    </row>
    <row r="909" spans="2:12">
      <c r="B909" s="256" t="s">
        <v>1412</v>
      </c>
      <c r="C909" s="250" t="s">
        <v>1521</v>
      </c>
      <c r="D909" s="205" t="s">
        <v>110</v>
      </c>
      <c r="E909" s="261">
        <v>0.55000000000000004</v>
      </c>
      <c r="F909" s="261">
        <v>0.3</v>
      </c>
      <c r="G909" s="261">
        <v>3.6</v>
      </c>
      <c r="H909" s="261">
        <v>1</v>
      </c>
      <c r="I909" s="261"/>
      <c r="J909" s="259"/>
      <c r="K909" s="260">
        <f t="shared" si="24"/>
        <v>0.59400000000000008</v>
      </c>
      <c r="L909" s="266" t="s">
        <v>1557</v>
      </c>
    </row>
    <row r="910" spans="2:12">
      <c r="B910" s="256" t="s">
        <v>1413</v>
      </c>
      <c r="C910" s="250" t="s">
        <v>1521</v>
      </c>
      <c r="D910" s="205" t="s">
        <v>110</v>
      </c>
      <c r="E910" s="261">
        <v>0.55000000000000004</v>
      </c>
      <c r="F910" s="261">
        <v>0.3</v>
      </c>
      <c r="G910" s="261">
        <v>3.6</v>
      </c>
      <c r="H910" s="261">
        <v>1</v>
      </c>
      <c r="I910" s="261"/>
      <c r="J910" s="259"/>
      <c r="K910" s="260">
        <f t="shared" si="24"/>
        <v>0.59400000000000008</v>
      </c>
      <c r="L910" s="266" t="s">
        <v>1557</v>
      </c>
    </row>
    <row r="911" spans="2:12">
      <c r="B911" s="256" t="s">
        <v>1414</v>
      </c>
      <c r="C911" s="250" t="s">
        <v>1521</v>
      </c>
      <c r="D911" s="205" t="s">
        <v>110</v>
      </c>
      <c r="E911" s="261">
        <v>0.55000000000000004</v>
      </c>
      <c r="F911" s="261">
        <v>0.3</v>
      </c>
      <c r="G911" s="261">
        <v>3.6</v>
      </c>
      <c r="H911" s="261">
        <v>1</v>
      </c>
      <c r="I911" s="261"/>
      <c r="J911" s="259"/>
      <c r="K911" s="260">
        <f t="shared" si="24"/>
        <v>0.59400000000000008</v>
      </c>
      <c r="L911" s="266" t="s">
        <v>1557</v>
      </c>
    </row>
    <row r="912" spans="2:12">
      <c r="B912" s="256" t="s">
        <v>1415</v>
      </c>
      <c r="C912" s="250" t="s">
        <v>1521</v>
      </c>
      <c r="D912" s="205" t="s">
        <v>110</v>
      </c>
      <c r="E912" s="261">
        <v>0.55000000000000004</v>
      </c>
      <c r="F912" s="261">
        <v>0.3</v>
      </c>
      <c r="G912" s="261">
        <v>3.6</v>
      </c>
      <c r="H912" s="261">
        <v>1</v>
      </c>
      <c r="I912" s="261"/>
      <c r="J912" s="259"/>
      <c r="K912" s="260">
        <f t="shared" si="24"/>
        <v>0.59400000000000008</v>
      </c>
      <c r="L912" s="266" t="s">
        <v>1557</v>
      </c>
    </row>
    <row r="913" spans="2:12">
      <c r="B913" s="256" t="s">
        <v>1416</v>
      </c>
      <c r="C913" s="250" t="s">
        <v>1521</v>
      </c>
      <c r="D913" s="205" t="s">
        <v>110</v>
      </c>
      <c r="E913" s="261">
        <v>0.45</v>
      </c>
      <c r="F913" s="261">
        <v>0.3</v>
      </c>
      <c r="G913" s="261">
        <v>3.6</v>
      </c>
      <c r="H913" s="261">
        <v>1</v>
      </c>
      <c r="I913" s="261"/>
      <c r="J913" s="259"/>
      <c r="K913" s="260">
        <f t="shared" si="24"/>
        <v>0.48600000000000004</v>
      </c>
      <c r="L913" s="266" t="s">
        <v>1557</v>
      </c>
    </row>
    <row r="914" spans="2:12">
      <c r="B914" s="256" t="s">
        <v>1417</v>
      </c>
      <c r="C914" s="250" t="s">
        <v>1521</v>
      </c>
      <c r="D914" s="205" t="s">
        <v>110</v>
      </c>
      <c r="E914" s="261">
        <v>0.45</v>
      </c>
      <c r="F914" s="261">
        <v>0.3</v>
      </c>
      <c r="G914" s="261">
        <v>3.6</v>
      </c>
      <c r="H914" s="261">
        <v>1</v>
      </c>
      <c r="I914" s="261"/>
      <c r="J914" s="259"/>
      <c r="K914" s="260">
        <f t="shared" si="24"/>
        <v>0.48600000000000004</v>
      </c>
      <c r="L914" s="266" t="s">
        <v>1557</v>
      </c>
    </row>
    <row r="915" spans="2:12">
      <c r="B915" s="256" t="s">
        <v>1418</v>
      </c>
      <c r="C915" s="250" t="s">
        <v>1521</v>
      </c>
      <c r="D915" s="205" t="s">
        <v>110</v>
      </c>
      <c r="E915" s="261">
        <v>0.8</v>
      </c>
      <c r="F915" s="261">
        <v>0.2</v>
      </c>
      <c r="G915" s="261">
        <v>3.6</v>
      </c>
      <c r="H915" s="261">
        <v>1</v>
      </c>
      <c r="I915" s="261"/>
      <c r="J915" s="259"/>
      <c r="K915" s="260">
        <f t="shared" si="24"/>
        <v>0.57600000000000018</v>
      </c>
      <c r="L915" s="266" t="s">
        <v>1557</v>
      </c>
    </row>
    <row r="916" spans="2:12">
      <c r="B916" s="249" t="s">
        <v>1389</v>
      </c>
      <c r="C916" s="250" t="s">
        <v>1521</v>
      </c>
      <c r="D916" s="205" t="s">
        <v>110</v>
      </c>
      <c r="E916" s="199">
        <v>0.5</v>
      </c>
      <c r="F916" s="199">
        <v>0.4</v>
      </c>
      <c r="G916" s="199">
        <v>3.6</v>
      </c>
      <c r="H916" s="199">
        <v>1</v>
      </c>
      <c r="I916" s="199"/>
      <c r="J916" s="253"/>
      <c r="K916" s="254">
        <f t="shared" si="24"/>
        <v>0.72000000000000008</v>
      </c>
      <c r="L916" s="255" t="s">
        <v>1558</v>
      </c>
    </row>
    <row r="917" spans="2:12">
      <c r="B917" s="256" t="s">
        <v>1390</v>
      </c>
      <c r="C917" s="250" t="s">
        <v>1521</v>
      </c>
      <c r="D917" s="205" t="s">
        <v>110</v>
      </c>
      <c r="E917" s="261">
        <v>1</v>
      </c>
      <c r="F917" s="261">
        <v>0.2</v>
      </c>
      <c r="G917" s="261">
        <v>3.6</v>
      </c>
      <c r="H917" s="261">
        <v>1</v>
      </c>
      <c r="I917" s="261"/>
      <c r="J917" s="259"/>
      <c r="K917" s="260">
        <f t="shared" si="24"/>
        <v>0.72000000000000008</v>
      </c>
      <c r="L917" s="266" t="s">
        <v>1558</v>
      </c>
    </row>
    <row r="918" spans="2:12">
      <c r="B918" s="256" t="s">
        <v>1391</v>
      </c>
      <c r="C918" s="250" t="s">
        <v>1521</v>
      </c>
      <c r="D918" s="205" t="s">
        <v>110</v>
      </c>
      <c r="E918" s="261">
        <v>1</v>
      </c>
      <c r="F918" s="261">
        <v>0.2</v>
      </c>
      <c r="G918" s="261">
        <v>3.6</v>
      </c>
      <c r="H918" s="261">
        <v>1</v>
      </c>
      <c r="I918" s="261"/>
      <c r="J918" s="259"/>
      <c r="K918" s="260">
        <f t="shared" si="24"/>
        <v>0.72000000000000008</v>
      </c>
      <c r="L918" s="266" t="s">
        <v>1558</v>
      </c>
    </row>
    <row r="919" spans="2:12">
      <c r="B919" s="256" t="s">
        <v>1392</v>
      </c>
      <c r="C919" s="250" t="s">
        <v>1521</v>
      </c>
      <c r="D919" s="205" t="s">
        <v>110</v>
      </c>
      <c r="E919" s="261">
        <v>0.4</v>
      </c>
      <c r="F919" s="261">
        <v>0.4</v>
      </c>
      <c r="G919" s="261">
        <v>3.6</v>
      </c>
      <c r="H919" s="261">
        <v>1</v>
      </c>
      <c r="I919" s="261"/>
      <c r="J919" s="259"/>
      <c r="K919" s="260">
        <f t="shared" si="24"/>
        <v>0.57600000000000018</v>
      </c>
      <c r="L919" s="266" t="s">
        <v>1558</v>
      </c>
    </row>
    <row r="920" spans="2:12">
      <c r="B920" s="256" t="s">
        <v>1394</v>
      </c>
      <c r="C920" s="250" t="s">
        <v>1521</v>
      </c>
      <c r="D920" s="205" t="s">
        <v>110</v>
      </c>
      <c r="E920" s="261">
        <v>0.4</v>
      </c>
      <c r="F920" s="261">
        <v>0.4</v>
      </c>
      <c r="G920" s="261">
        <v>3.6</v>
      </c>
      <c r="H920" s="261">
        <v>1</v>
      </c>
      <c r="I920" s="261"/>
      <c r="J920" s="259"/>
      <c r="K920" s="260">
        <f t="shared" si="24"/>
        <v>0.57600000000000018</v>
      </c>
      <c r="L920" s="266" t="s">
        <v>1558</v>
      </c>
    </row>
    <row r="921" spans="2:12">
      <c r="B921" s="256" t="s">
        <v>1395</v>
      </c>
      <c r="C921" s="250" t="s">
        <v>1521</v>
      </c>
      <c r="D921" s="205" t="s">
        <v>110</v>
      </c>
      <c r="E921" s="199">
        <v>0.5</v>
      </c>
      <c r="F921" s="199">
        <v>0.4</v>
      </c>
      <c r="G921" s="261">
        <v>3.6</v>
      </c>
      <c r="H921" s="261">
        <v>1</v>
      </c>
      <c r="I921" s="261"/>
      <c r="J921" s="259"/>
      <c r="K921" s="260">
        <f t="shared" si="24"/>
        <v>0.72000000000000008</v>
      </c>
      <c r="L921" s="266" t="s">
        <v>1558</v>
      </c>
    </row>
    <row r="922" spans="2:12">
      <c r="B922" s="256" t="s">
        <v>1396</v>
      </c>
      <c r="C922" s="250" t="s">
        <v>1521</v>
      </c>
      <c r="D922" s="205" t="s">
        <v>110</v>
      </c>
      <c r="E922" s="199">
        <v>0.5</v>
      </c>
      <c r="F922" s="199">
        <v>0.4</v>
      </c>
      <c r="G922" s="261">
        <v>3.6</v>
      </c>
      <c r="H922" s="261">
        <v>1</v>
      </c>
      <c r="I922" s="261"/>
      <c r="J922" s="259"/>
      <c r="K922" s="260">
        <f t="shared" si="24"/>
        <v>0.72000000000000008</v>
      </c>
      <c r="L922" s="266" t="s">
        <v>1558</v>
      </c>
    </row>
    <row r="923" spans="2:12">
      <c r="B923" s="256" t="s">
        <v>1397</v>
      </c>
      <c r="C923" s="250" t="s">
        <v>1521</v>
      </c>
      <c r="D923" s="205" t="s">
        <v>110</v>
      </c>
      <c r="E923" s="261">
        <v>1</v>
      </c>
      <c r="F923" s="261">
        <v>0.2</v>
      </c>
      <c r="G923" s="261">
        <v>3.6</v>
      </c>
      <c r="H923" s="261">
        <v>1</v>
      </c>
      <c r="I923" s="261"/>
      <c r="J923" s="259"/>
      <c r="K923" s="260">
        <f t="shared" si="24"/>
        <v>0.72000000000000008</v>
      </c>
      <c r="L923" s="266" t="s">
        <v>1558</v>
      </c>
    </row>
    <row r="924" spans="2:12">
      <c r="B924" s="256" t="s">
        <v>1399</v>
      </c>
      <c r="C924" s="250" t="s">
        <v>1521</v>
      </c>
      <c r="D924" s="205" t="s">
        <v>110</v>
      </c>
      <c r="E924" s="261">
        <v>0.4</v>
      </c>
      <c r="F924" s="261">
        <v>0.4</v>
      </c>
      <c r="G924" s="261">
        <v>3.6</v>
      </c>
      <c r="H924" s="261">
        <v>1</v>
      </c>
      <c r="I924" s="261"/>
      <c r="J924" s="259"/>
      <c r="K924" s="260">
        <f t="shared" si="24"/>
        <v>0.57600000000000018</v>
      </c>
      <c r="L924" s="266" t="s">
        <v>1558</v>
      </c>
    </row>
    <row r="925" spans="2:12">
      <c r="B925" s="256" t="s">
        <v>1400</v>
      </c>
      <c r="C925" s="250" t="s">
        <v>1521</v>
      </c>
      <c r="D925" s="205" t="s">
        <v>110</v>
      </c>
      <c r="E925" s="199">
        <v>0.5</v>
      </c>
      <c r="F925" s="199">
        <v>0.4</v>
      </c>
      <c r="G925" s="261">
        <v>3.6</v>
      </c>
      <c r="H925" s="261">
        <v>1</v>
      </c>
      <c r="I925" s="261"/>
      <c r="J925" s="259"/>
      <c r="K925" s="260">
        <f t="shared" si="24"/>
        <v>0.72000000000000008</v>
      </c>
      <c r="L925" s="266" t="s">
        <v>1558</v>
      </c>
    </row>
    <row r="926" spans="2:12">
      <c r="B926" s="256" t="s">
        <v>1401</v>
      </c>
      <c r="C926" s="250" t="s">
        <v>1521</v>
      </c>
      <c r="D926" s="205" t="s">
        <v>110</v>
      </c>
      <c r="E926" s="199">
        <v>0.5</v>
      </c>
      <c r="F926" s="199">
        <v>0.4</v>
      </c>
      <c r="G926" s="261">
        <v>3.6</v>
      </c>
      <c r="H926" s="261">
        <v>1</v>
      </c>
      <c r="I926" s="261"/>
      <c r="J926" s="259"/>
      <c r="K926" s="260">
        <f t="shared" si="24"/>
        <v>0.72000000000000008</v>
      </c>
      <c r="L926" s="266" t="s">
        <v>1558</v>
      </c>
    </row>
    <row r="927" spans="2:12">
      <c r="B927" s="256" t="s">
        <v>1402</v>
      </c>
      <c r="C927" s="250" t="s">
        <v>1521</v>
      </c>
      <c r="D927" s="205" t="s">
        <v>110</v>
      </c>
      <c r="E927" s="261">
        <v>1</v>
      </c>
      <c r="F927" s="261">
        <v>0.2</v>
      </c>
      <c r="G927" s="261">
        <v>3.6</v>
      </c>
      <c r="H927" s="261">
        <v>1</v>
      </c>
      <c r="I927" s="261"/>
      <c r="J927" s="259"/>
      <c r="K927" s="260">
        <f t="shared" si="24"/>
        <v>0.72000000000000008</v>
      </c>
      <c r="L927" s="266" t="s">
        <v>1558</v>
      </c>
    </row>
    <row r="928" spans="2:12">
      <c r="B928" s="256"/>
      <c r="C928" s="210"/>
      <c r="D928" s="210"/>
      <c r="E928" s="261"/>
      <c r="F928" s="261"/>
      <c r="G928" s="261"/>
      <c r="H928" s="261"/>
      <c r="I928" s="261"/>
      <c r="J928" s="259"/>
      <c r="K928" s="260">
        <f t="shared" si="24"/>
        <v>0</v>
      </c>
      <c r="L928" s="210"/>
    </row>
    <row r="929" spans="2:15">
      <c r="B929" s="202"/>
      <c r="C929" s="203"/>
      <c r="D929" s="203"/>
      <c r="E929" s="203"/>
      <c r="F929" s="203"/>
      <c r="G929" s="203"/>
      <c r="H929" s="204"/>
      <c r="I929" s="556" t="s">
        <v>1221</v>
      </c>
      <c r="J929" s="556"/>
      <c r="K929" s="220">
        <f>SUM(K833:K928)</f>
        <v>80.769119999999944</v>
      </c>
      <c r="L929" s="207"/>
    </row>
    <row r="930" spans="2:15">
      <c r="B930" s="208"/>
      <c r="C930" s="204"/>
      <c r="D930" s="204"/>
      <c r="E930" s="204"/>
      <c r="F930" s="204"/>
      <c r="G930" s="204"/>
      <c r="H930" s="209"/>
      <c r="I930" s="556" t="s">
        <v>1222</v>
      </c>
      <c r="J930" s="556"/>
      <c r="K930" s="221">
        <f>VLOOKUP(B831,'BM 004'!$B$27:$R$590,4,0)</f>
        <v>226.93</v>
      </c>
      <c r="L930" s="207"/>
    </row>
    <row r="931" spans="2:15">
      <c r="B931" s="208"/>
      <c r="C931" s="204"/>
      <c r="D931" s="204"/>
      <c r="E931" s="204"/>
      <c r="F931" s="204"/>
      <c r="G931" s="204"/>
      <c r="H931" s="558" t="s">
        <v>1223</v>
      </c>
      <c r="I931" s="558"/>
      <c r="J931" s="558"/>
      <c r="K931" s="222">
        <v>36.476799999999997</v>
      </c>
      <c r="L931" s="207"/>
    </row>
    <row r="932" spans="2:15">
      <c r="B932" s="208"/>
      <c r="C932" s="204"/>
      <c r="D932" s="204"/>
      <c r="E932" s="204"/>
      <c r="F932" s="204"/>
      <c r="G932" s="204"/>
      <c r="H932" s="558" t="s">
        <v>1435</v>
      </c>
      <c r="I932" s="558"/>
      <c r="J932" s="558"/>
      <c r="K932" s="222">
        <f>TRUNC(SUMIF(C833:C928,H932,K833:K928),2)</f>
        <v>25.88</v>
      </c>
      <c r="L932" s="207"/>
    </row>
    <row r="933" spans="2:15">
      <c r="B933" s="213"/>
      <c r="C933" s="214"/>
      <c r="D933" s="214"/>
      <c r="E933" s="214"/>
      <c r="F933" s="214"/>
      <c r="G933" s="214"/>
      <c r="H933" s="566" t="s">
        <v>1224</v>
      </c>
      <c r="I933" s="566"/>
      <c r="J933" s="566"/>
      <c r="K933" s="223">
        <f>IF(K929&gt;K930,K929-K930,0)</f>
        <v>0</v>
      </c>
      <c r="L933" s="209"/>
    </row>
    <row r="935" spans="2:15">
      <c r="B935" s="247" t="s">
        <v>236</v>
      </c>
      <c r="C935" s="565" t="str">
        <f>VLOOKUP(B935,'BM 004'!$B$27:$R$590,2,0)</f>
        <v xml:space="preserve">FABRICAÇÃO, MONTAGEM E DESMONTAGEM DE FÔRMA DE LAJE MACIÇA, PÉ-DIREITO DUPLO, EM CHAPA DE MADEIRA COMPENSADA RESINADA, INCLUSIVE ESCORAMENTO h=3,00 à 4,50 m, 6 UTILIZAÇÕES. </v>
      </c>
      <c r="D935" s="565"/>
      <c r="E935" s="565"/>
      <c r="F935" s="565"/>
      <c r="G935" s="565"/>
      <c r="H935" s="565"/>
      <c r="I935" s="565"/>
      <c r="J935" s="565"/>
      <c r="K935" s="565"/>
      <c r="L935" s="565"/>
      <c r="N935" s="268"/>
      <c r="O935" s="268"/>
    </row>
    <row r="936" spans="2:15">
      <c r="B936" s="248" t="s">
        <v>1209</v>
      </c>
      <c r="C936" s="248"/>
      <c r="D936" s="248" t="s">
        <v>39</v>
      </c>
      <c r="E936" s="248" t="s">
        <v>1210</v>
      </c>
      <c r="F936" s="248" t="s">
        <v>1388</v>
      </c>
      <c r="G936" s="248" t="s">
        <v>1212</v>
      </c>
      <c r="H936" s="248" t="s">
        <v>1213</v>
      </c>
      <c r="I936" s="248" t="s">
        <v>1214</v>
      </c>
      <c r="J936" s="248" t="s">
        <v>1385</v>
      </c>
      <c r="K936" s="248" t="s">
        <v>1216</v>
      </c>
      <c r="L936" s="248" t="s">
        <v>1217</v>
      </c>
      <c r="N936" s="268"/>
      <c r="O936" s="268"/>
    </row>
    <row r="937" spans="2:15">
      <c r="B937" s="249" t="s">
        <v>1496</v>
      </c>
      <c r="C937" s="250" t="s">
        <v>1441</v>
      </c>
      <c r="D937" s="205" t="s">
        <v>79</v>
      </c>
      <c r="E937" s="251">
        <v>5.85</v>
      </c>
      <c r="F937" s="252">
        <v>0.49</v>
      </c>
      <c r="G937" s="251"/>
      <c r="H937" s="251"/>
      <c r="I937" s="251"/>
      <c r="J937" s="253"/>
      <c r="K937" s="254">
        <f t="shared" ref="K937:K948" si="25">IF(E937*F937*G937&lt;&gt;0,E937*F937*G937,IF(E937*F937&lt;&gt;0,E937*F937,IF(F937*G937&lt;&gt;0,F937*G937,IF(E937*G937&lt;&gt;0,E937*G937,IF(E937&lt;&gt;0,E937,IF(F937&lt;&gt;0,F937,IF(G937&lt;&gt;0,G937,0)))))))*(IF(H937&lt;&gt;0,H937,1))+I937-J937</f>
        <v>2.8664999999999998</v>
      </c>
      <c r="L937" s="255"/>
      <c r="N937" s="268"/>
      <c r="O937" s="268"/>
    </row>
    <row r="938" spans="2:15">
      <c r="B938" s="256" t="s">
        <v>1497</v>
      </c>
      <c r="C938" s="250" t="s">
        <v>1441</v>
      </c>
      <c r="D938" s="205" t="s">
        <v>79</v>
      </c>
      <c r="E938" s="257">
        <v>3.83</v>
      </c>
      <c r="F938" s="258">
        <v>0.49</v>
      </c>
      <c r="G938" s="257"/>
      <c r="H938" s="257"/>
      <c r="I938" s="257"/>
      <c r="J938" s="259"/>
      <c r="K938" s="260">
        <f t="shared" si="25"/>
        <v>1.8767</v>
      </c>
      <c r="L938" s="210"/>
      <c r="N938" s="268"/>
      <c r="O938" s="268"/>
    </row>
    <row r="939" spans="2:15">
      <c r="B939" s="256" t="s">
        <v>1498</v>
      </c>
      <c r="C939" s="250" t="s">
        <v>1441</v>
      </c>
      <c r="D939" s="205" t="s">
        <v>79</v>
      </c>
      <c r="E939" s="257">
        <v>5.93</v>
      </c>
      <c r="F939" s="258">
        <v>1.92</v>
      </c>
      <c r="G939" s="257"/>
      <c r="H939" s="257"/>
      <c r="I939" s="257"/>
      <c r="J939" s="259"/>
      <c r="K939" s="260">
        <f t="shared" si="25"/>
        <v>11.385599999999998</v>
      </c>
      <c r="L939" s="210"/>
      <c r="N939" s="268"/>
      <c r="O939" s="268"/>
    </row>
    <row r="940" spans="2:15">
      <c r="B940" s="256" t="s">
        <v>1499</v>
      </c>
      <c r="C940" s="250" t="s">
        <v>1441</v>
      </c>
      <c r="D940" s="205" t="s">
        <v>79</v>
      </c>
      <c r="E940" s="257">
        <v>7.62</v>
      </c>
      <c r="F940" s="258">
        <v>1.92</v>
      </c>
      <c r="G940" s="257"/>
      <c r="H940" s="257"/>
      <c r="I940" s="257"/>
      <c r="J940" s="259"/>
      <c r="K940" s="260">
        <f t="shared" si="25"/>
        <v>14.6304</v>
      </c>
      <c r="L940" s="210"/>
      <c r="N940" s="268"/>
      <c r="O940" s="268"/>
    </row>
    <row r="941" spans="2:15">
      <c r="B941" s="256" t="s">
        <v>1500</v>
      </c>
      <c r="C941" s="250" t="s">
        <v>1441</v>
      </c>
      <c r="D941" s="205" t="s">
        <v>79</v>
      </c>
      <c r="E941" s="257">
        <v>4.42</v>
      </c>
      <c r="F941" s="258">
        <v>2.74</v>
      </c>
      <c r="G941" s="257"/>
      <c r="H941" s="257"/>
      <c r="I941" s="257"/>
      <c r="J941" s="259"/>
      <c r="K941" s="260">
        <f t="shared" si="25"/>
        <v>12.110800000000001</v>
      </c>
      <c r="L941" s="210"/>
      <c r="N941" s="268"/>
      <c r="O941" s="268"/>
    </row>
    <row r="942" spans="2:15">
      <c r="B942" s="256" t="s">
        <v>1559</v>
      </c>
      <c r="C942" s="250" t="s">
        <v>1521</v>
      </c>
      <c r="D942" s="205" t="s">
        <v>79</v>
      </c>
      <c r="E942" s="257">
        <v>1.68</v>
      </c>
      <c r="F942" s="258">
        <v>0.33</v>
      </c>
      <c r="G942" s="257"/>
      <c r="H942" s="257"/>
      <c r="I942" s="257"/>
      <c r="J942" s="259"/>
      <c r="K942" s="260">
        <f t="shared" si="25"/>
        <v>0.5544</v>
      </c>
      <c r="L942" s="210"/>
      <c r="N942" s="268"/>
      <c r="O942" s="268"/>
    </row>
    <row r="943" spans="2:15">
      <c r="B943" s="256" t="s">
        <v>1560</v>
      </c>
      <c r="C943" s="250" t="s">
        <v>1521</v>
      </c>
      <c r="D943" s="205" t="s">
        <v>79</v>
      </c>
      <c r="E943" s="257">
        <v>7.67</v>
      </c>
      <c r="F943" s="258">
        <v>0.33</v>
      </c>
      <c r="G943" s="257"/>
      <c r="H943" s="257"/>
      <c r="I943" s="257"/>
      <c r="J943" s="259"/>
      <c r="K943" s="260">
        <f t="shared" si="25"/>
        <v>2.5310999999999999</v>
      </c>
      <c r="L943" s="210"/>
      <c r="N943" s="268"/>
      <c r="O943" s="268"/>
    </row>
    <row r="944" spans="2:15">
      <c r="B944" s="256" t="s">
        <v>1561</v>
      </c>
      <c r="C944" s="250" t="s">
        <v>1521</v>
      </c>
      <c r="D944" s="205" t="s">
        <v>79</v>
      </c>
      <c r="E944" s="257">
        <v>0.31</v>
      </c>
      <c r="F944" s="258">
        <v>0.33</v>
      </c>
      <c r="G944" s="257"/>
      <c r="H944" s="257"/>
      <c r="I944" s="257"/>
      <c r="J944" s="259"/>
      <c r="K944" s="260">
        <f t="shared" si="25"/>
        <v>0.1023</v>
      </c>
      <c r="L944" s="210"/>
      <c r="N944" s="268"/>
      <c r="O944" s="268"/>
    </row>
    <row r="945" spans="2:15">
      <c r="B945" s="256" t="s">
        <v>1562</v>
      </c>
      <c r="C945" s="250" t="s">
        <v>1521</v>
      </c>
      <c r="D945" s="205" t="s">
        <v>79</v>
      </c>
      <c r="E945" s="257">
        <v>13.7</v>
      </c>
      <c r="F945" s="258">
        <v>0.77</v>
      </c>
      <c r="G945" s="257"/>
      <c r="H945" s="257"/>
      <c r="I945" s="257"/>
      <c r="J945" s="259"/>
      <c r="K945" s="260">
        <f t="shared" si="25"/>
        <v>10.548999999999999</v>
      </c>
      <c r="L945" s="210"/>
      <c r="N945" s="268"/>
      <c r="O945" s="268"/>
    </row>
    <row r="946" spans="2:15">
      <c r="B946" s="256" t="s">
        <v>1563</v>
      </c>
      <c r="C946" s="250" t="s">
        <v>1521</v>
      </c>
      <c r="D946" s="205" t="s">
        <v>79</v>
      </c>
      <c r="E946" s="257">
        <v>13.7</v>
      </c>
      <c r="F946" s="258">
        <v>1.77</v>
      </c>
      <c r="G946" s="257"/>
      <c r="H946" s="257"/>
      <c r="I946" s="257"/>
      <c r="J946" s="259"/>
      <c r="K946" s="260">
        <f t="shared" si="25"/>
        <v>24.248999999999999</v>
      </c>
      <c r="L946" s="210"/>
      <c r="N946" s="268"/>
      <c r="O946" s="268"/>
    </row>
    <row r="947" spans="2:15">
      <c r="B947" s="256" t="s">
        <v>1564</v>
      </c>
      <c r="C947" s="250" t="s">
        <v>1521</v>
      </c>
      <c r="D947" s="205" t="s">
        <v>79</v>
      </c>
      <c r="E947" s="257">
        <v>3.45</v>
      </c>
      <c r="F947" s="258">
        <v>2.74</v>
      </c>
      <c r="G947" s="257"/>
      <c r="H947" s="257"/>
      <c r="I947" s="257"/>
      <c r="J947" s="259"/>
      <c r="K947" s="260">
        <f t="shared" si="25"/>
        <v>9.4530000000000012</v>
      </c>
      <c r="L947" s="210"/>
      <c r="N947" s="268"/>
      <c r="O947" s="268"/>
    </row>
    <row r="948" spans="2:15">
      <c r="B948" s="256"/>
      <c r="C948" s="210"/>
      <c r="D948" s="210"/>
      <c r="E948" s="257"/>
      <c r="F948" s="258"/>
      <c r="G948" s="257"/>
      <c r="H948" s="257"/>
      <c r="I948" s="257"/>
      <c r="J948" s="259"/>
      <c r="K948" s="260">
        <f t="shared" si="25"/>
        <v>0</v>
      </c>
      <c r="L948" s="210"/>
      <c r="N948" s="268"/>
      <c r="O948" s="268"/>
    </row>
    <row r="949" spans="2:15">
      <c r="B949" s="202"/>
      <c r="C949" s="203"/>
      <c r="D949" s="203"/>
      <c r="E949" s="203"/>
      <c r="F949" s="203"/>
      <c r="G949" s="203"/>
      <c r="H949" s="204"/>
      <c r="I949" s="556" t="s">
        <v>1221</v>
      </c>
      <c r="J949" s="556"/>
      <c r="K949" s="220">
        <f>SUM(K937:K948)</f>
        <v>90.308800000000005</v>
      </c>
      <c r="L949" s="207"/>
      <c r="N949" s="268"/>
      <c r="O949" s="268"/>
    </row>
    <row r="950" spans="2:15">
      <c r="B950" s="208"/>
      <c r="C950" s="204"/>
      <c r="D950" s="204"/>
      <c r="E950" s="204"/>
      <c r="F950" s="204"/>
      <c r="G950" s="204"/>
      <c r="H950" s="209"/>
      <c r="I950" s="557" t="s">
        <v>1222</v>
      </c>
      <c r="J950" s="557"/>
      <c r="K950" s="221">
        <f>VLOOKUP(B935,'BM 004'!$B$27:$R$590,4,0)</f>
        <v>770.47</v>
      </c>
      <c r="L950" s="207"/>
      <c r="N950" s="268"/>
      <c r="O950" s="268"/>
    </row>
    <row r="951" spans="2:15">
      <c r="B951" s="208"/>
      <c r="C951" s="204"/>
      <c r="D951" s="204"/>
      <c r="E951" s="204"/>
      <c r="F951" s="204"/>
      <c r="G951" s="204"/>
      <c r="H951" s="558" t="s">
        <v>1223</v>
      </c>
      <c r="I951" s="558"/>
      <c r="J951" s="558"/>
      <c r="K951" s="222">
        <f>K949-K952</f>
        <v>42.878800000000005</v>
      </c>
      <c r="L951" s="207"/>
      <c r="N951" s="268"/>
      <c r="O951" s="268"/>
    </row>
    <row r="952" spans="2:15">
      <c r="B952" s="208"/>
      <c r="C952" s="204"/>
      <c r="D952" s="204"/>
      <c r="E952" s="204"/>
      <c r="F952" s="204"/>
      <c r="G952" s="204"/>
      <c r="H952" s="558" t="s">
        <v>1435</v>
      </c>
      <c r="I952" s="558"/>
      <c r="J952" s="558"/>
      <c r="K952" s="222">
        <f>TRUNC(SUMIF(C937:C948,H952,K937:K948),2)</f>
        <v>47.43</v>
      </c>
      <c r="L952" s="207"/>
      <c r="N952" s="268"/>
      <c r="O952" s="268"/>
    </row>
    <row r="953" spans="2:15">
      <c r="B953" s="213"/>
      <c r="C953" s="214"/>
      <c r="D953" s="214"/>
      <c r="E953" s="214"/>
      <c r="F953" s="214"/>
      <c r="G953" s="214"/>
      <c r="H953" s="559" t="s">
        <v>1224</v>
      </c>
      <c r="I953" s="559"/>
      <c r="J953" s="559"/>
      <c r="K953" s="223">
        <f>IF(K949&gt;K950,K949-K950,0)</f>
        <v>0</v>
      </c>
      <c r="L953" s="209"/>
      <c r="N953" s="268"/>
      <c r="O953" s="268"/>
    </row>
    <row r="955" spans="2:15">
      <c r="B955" s="247" t="s">
        <v>238</v>
      </c>
      <c r="C955" s="565" t="str">
        <f>VLOOKUP(B955,'BM 004'!$B$27:$R$590,2,0)</f>
        <v>FABRICAÇÃO, MONTAGEM E DESMONTAGEM DE FÔRMA DE LAJE NERVURADA COM CUBETA E ASSOALHO, PÉ-DIREITO DUPLO, EM CHAPA DE MADEIRA COMPENSADA RESINADA, INCLUSIVE ESCORAMENTO h=3,00 à 4,50 m, 06 UTILIZAÇÕES.</v>
      </c>
      <c r="D955" s="565"/>
      <c r="E955" s="565"/>
      <c r="F955" s="565"/>
      <c r="G955" s="565"/>
      <c r="H955" s="565"/>
      <c r="I955" s="565"/>
      <c r="J955" s="565"/>
      <c r="K955" s="565"/>
      <c r="L955" s="565"/>
    </row>
    <row r="956" spans="2:15">
      <c r="B956" s="248" t="s">
        <v>1209</v>
      </c>
      <c r="C956" s="248"/>
      <c r="D956" s="248" t="s">
        <v>39</v>
      </c>
      <c r="E956" s="248" t="s">
        <v>1210</v>
      </c>
      <c r="F956" s="248" t="s">
        <v>1388</v>
      </c>
      <c r="G956" s="248" t="s">
        <v>1212</v>
      </c>
      <c r="H956" s="248" t="s">
        <v>1213</v>
      </c>
      <c r="I956" s="248" t="s">
        <v>1214</v>
      </c>
      <c r="J956" s="248" t="s">
        <v>1385</v>
      </c>
      <c r="K956" s="248" t="s">
        <v>1216</v>
      </c>
      <c r="L956" s="248" t="s">
        <v>1217</v>
      </c>
    </row>
    <row r="957" spans="2:15">
      <c r="B957" s="255" t="s">
        <v>1501</v>
      </c>
      <c r="C957" s="250" t="s">
        <v>1441</v>
      </c>
      <c r="D957" s="205" t="s">
        <v>79</v>
      </c>
      <c r="E957" s="251">
        <v>7</v>
      </c>
      <c r="F957" s="252">
        <v>5.91</v>
      </c>
      <c r="G957" s="251"/>
      <c r="H957" s="251">
        <v>1</v>
      </c>
      <c r="I957" s="251"/>
      <c r="J957" s="253"/>
      <c r="K957" s="254">
        <f t="shared" ref="K957:K973" si="26">IF(E957*F957*G957&lt;&gt;0,E957*F957*G957,IF(E957*F957&lt;&gt;0,E957*F957,IF(F957*G957&lt;&gt;0,F957*G957,IF(E957*G957&lt;&gt;0,E957*G957,IF(E957&lt;&gt;0,E957,IF(F957&lt;&gt;0,F957,IF(G957&lt;&gt;0,G957,0)))))))*(IF(H957&lt;&gt;0,H957,1))+I957-J957</f>
        <v>41.370000000000005</v>
      </c>
      <c r="L957" s="255"/>
    </row>
    <row r="958" spans="2:15">
      <c r="B958" s="255" t="s">
        <v>1502</v>
      </c>
      <c r="C958" s="250" t="s">
        <v>1441</v>
      </c>
      <c r="D958" s="205" t="s">
        <v>79</v>
      </c>
      <c r="E958" s="251">
        <v>13.72</v>
      </c>
      <c r="F958" s="252">
        <v>5.91</v>
      </c>
      <c r="G958" s="251"/>
      <c r="H958" s="251">
        <v>1</v>
      </c>
      <c r="I958" s="251"/>
      <c r="J958" s="253"/>
      <c r="K958" s="254">
        <f t="shared" si="26"/>
        <v>81.0852</v>
      </c>
      <c r="L958" s="255"/>
    </row>
    <row r="959" spans="2:15">
      <c r="B959" s="255" t="s">
        <v>1503</v>
      </c>
      <c r="C959" s="250" t="s">
        <v>1441</v>
      </c>
      <c r="D959" s="205" t="s">
        <v>79</v>
      </c>
      <c r="E959" s="251">
        <v>14.35</v>
      </c>
      <c r="F959" s="252">
        <v>3.73</v>
      </c>
      <c r="G959" s="251"/>
      <c r="H959" s="251">
        <v>1</v>
      </c>
      <c r="I959" s="251"/>
      <c r="J959" s="253"/>
      <c r="K959" s="254">
        <f t="shared" si="26"/>
        <v>53.525500000000001</v>
      </c>
      <c r="L959" s="255"/>
    </row>
    <row r="960" spans="2:15">
      <c r="B960" s="255" t="s">
        <v>1504</v>
      </c>
      <c r="C960" s="250" t="s">
        <v>1441</v>
      </c>
      <c r="D960" s="205" t="s">
        <v>79</v>
      </c>
      <c r="E960" s="251">
        <v>6.49</v>
      </c>
      <c r="F960" s="252">
        <v>3.73</v>
      </c>
      <c r="G960" s="251"/>
      <c r="H960" s="251">
        <v>1</v>
      </c>
      <c r="I960" s="251"/>
      <c r="J960" s="253"/>
      <c r="K960" s="254">
        <f t="shared" si="26"/>
        <v>24.207699999999999</v>
      </c>
      <c r="L960" s="255"/>
    </row>
    <row r="961" spans="2:12">
      <c r="B961" s="255" t="s">
        <v>1505</v>
      </c>
      <c r="C961" s="250" t="s">
        <v>1441</v>
      </c>
      <c r="D961" s="205" t="s">
        <v>79</v>
      </c>
      <c r="E961" s="251">
        <v>7.49</v>
      </c>
      <c r="F961" s="252">
        <v>1.81</v>
      </c>
      <c r="G961" s="251"/>
      <c r="H961" s="251">
        <v>1</v>
      </c>
      <c r="I961" s="251"/>
      <c r="J961" s="253"/>
      <c r="K961" s="254">
        <f t="shared" si="26"/>
        <v>13.556900000000001</v>
      </c>
      <c r="L961" s="255"/>
    </row>
    <row r="962" spans="2:12">
      <c r="B962" s="255" t="s">
        <v>1506</v>
      </c>
      <c r="C962" s="250" t="s">
        <v>1441</v>
      </c>
      <c r="D962" s="205" t="s">
        <v>79</v>
      </c>
      <c r="E962" s="251">
        <v>7.1</v>
      </c>
      <c r="F962" s="252">
        <v>1.81</v>
      </c>
      <c r="G962" s="251"/>
      <c r="H962" s="251">
        <v>1</v>
      </c>
      <c r="I962" s="251"/>
      <c r="J962" s="253"/>
      <c r="K962" s="254">
        <f t="shared" si="26"/>
        <v>12.850999999999999</v>
      </c>
      <c r="L962" s="255"/>
    </row>
    <row r="963" spans="2:12">
      <c r="B963" s="255" t="s">
        <v>1507</v>
      </c>
      <c r="C963" s="250" t="s">
        <v>1441</v>
      </c>
      <c r="D963" s="205" t="s">
        <v>79</v>
      </c>
      <c r="E963" s="251">
        <v>7.05</v>
      </c>
      <c r="F963" s="252">
        <v>1.81</v>
      </c>
      <c r="G963" s="251"/>
      <c r="H963" s="251">
        <v>1</v>
      </c>
      <c r="I963" s="251"/>
      <c r="J963" s="253"/>
      <c r="K963" s="254">
        <f t="shared" si="26"/>
        <v>12.7605</v>
      </c>
      <c r="L963" s="255"/>
    </row>
    <row r="964" spans="2:12">
      <c r="B964" s="255" t="s">
        <v>1508</v>
      </c>
      <c r="C964" s="250" t="s">
        <v>1441</v>
      </c>
      <c r="D964" s="205" t="s">
        <v>79</v>
      </c>
      <c r="E964" s="251">
        <v>22.04</v>
      </c>
      <c r="F964" s="252">
        <v>5.8</v>
      </c>
      <c r="G964" s="251"/>
      <c r="H964" s="251">
        <v>1</v>
      </c>
      <c r="I964" s="251"/>
      <c r="J964" s="253"/>
      <c r="K964" s="254">
        <f t="shared" si="26"/>
        <v>127.83199999999999</v>
      </c>
      <c r="L964" s="255"/>
    </row>
    <row r="965" spans="2:12">
      <c r="B965" s="255" t="s">
        <v>1509</v>
      </c>
      <c r="C965" s="250" t="s">
        <v>1441</v>
      </c>
      <c r="D965" s="205" t="s">
        <v>79</v>
      </c>
      <c r="E965" s="251">
        <v>22.04</v>
      </c>
      <c r="F965" s="252">
        <v>5.69</v>
      </c>
      <c r="G965" s="251"/>
      <c r="H965" s="251">
        <v>1</v>
      </c>
      <c r="I965" s="251"/>
      <c r="J965" s="253"/>
      <c r="K965" s="254">
        <f t="shared" si="26"/>
        <v>125.4076</v>
      </c>
      <c r="L965" s="255"/>
    </row>
    <row r="966" spans="2:12">
      <c r="B966" s="249" t="s">
        <v>1565</v>
      </c>
      <c r="C966" s="250" t="s">
        <v>1521</v>
      </c>
      <c r="D966" s="205" t="s">
        <v>79</v>
      </c>
      <c r="E966" s="251">
        <v>12.39</v>
      </c>
      <c r="F966" s="252">
        <v>2.5499999999999998</v>
      </c>
      <c r="G966" s="251"/>
      <c r="H966" s="251">
        <v>1</v>
      </c>
      <c r="I966" s="251"/>
      <c r="J966" s="253"/>
      <c r="K966" s="254">
        <f t="shared" si="26"/>
        <v>31.5945</v>
      </c>
      <c r="L966" s="255"/>
    </row>
    <row r="967" spans="2:12">
      <c r="B967" s="249" t="s">
        <v>1566</v>
      </c>
      <c r="C967" s="250" t="s">
        <v>1521</v>
      </c>
      <c r="D967" s="205" t="s">
        <v>79</v>
      </c>
      <c r="E967" s="251">
        <v>22.04</v>
      </c>
      <c r="F967" s="252">
        <v>5.85</v>
      </c>
      <c r="G967" s="251"/>
      <c r="H967" s="251">
        <v>1</v>
      </c>
      <c r="I967" s="251"/>
      <c r="J967" s="253"/>
      <c r="K967" s="254">
        <f t="shared" si="26"/>
        <v>128.934</v>
      </c>
      <c r="L967" s="255"/>
    </row>
    <row r="968" spans="2:12">
      <c r="B968" s="249" t="s">
        <v>1567</v>
      </c>
      <c r="C968" s="250" t="s">
        <v>1521</v>
      </c>
      <c r="D968" s="205" t="s">
        <v>79</v>
      </c>
      <c r="E968" s="251">
        <v>6.24</v>
      </c>
      <c r="F968" s="252">
        <v>5.85</v>
      </c>
      <c r="G968" s="251"/>
      <c r="H968" s="251">
        <v>1</v>
      </c>
      <c r="I968" s="251"/>
      <c r="J968" s="253"/>
      <c r="K968" s="254">
        <f t="shared" si="26"/>
        <v>36.503999999999998</v>
      </c>
      <c r="L968" s="255"/>
    </row>
    <row r="969" spans="2:12">
      <c r="B969" s="249" t="s">
        <v>1568</v>
      </c>
      <c r="C969" s="250" t="s">
        <v>1521</v>
      </c>
      <c r="D969" s="205" t="s">
        <v>79</v>
      </c>
      <c r="E969" s="251">
        <v>6.34</v>
      </c>
      <c r="F969" s="252">
        <v>3.83</v>
      </c>
      <c r="G969" s="251"/>
      <c r="H969" s="251">
        <v>1</v>
      </c>
      <c r="I969" s="251"/>
      <c r="J969" s="253"/>
      <c r="K969" s="254">
        <f t="shared" si="26"/>
        <v>24.2822</v>
      </c>
      <c r="L969" s="255"/>
    </row>
    <row r="970" spans="2:12">
      <c r="B970" s="249" t="s">
        <v>1569</v>
      </c>
      <c r="C970" s="250" t="s">
        <v>1521</v>
      </c>
      <c r="D970" s="205" t="s">
        <v>79</v>
      </c>
      <c r="E970" s="251">
        <v>22.04</v>
      </c>
      <c r="F970" s="252">
        <v>5.8</v>
      </c>
      <c r="G970" s="251"/>
      <c r="H970" s="251">
        <v>1</v>
      </c>
      <c r="I970" s="251"/>
      <c r="J970" s="253"/>
      <c r="K970" s="254">
        <f t="shared" si="26"/>
        <v>127.83199999999999</v>
      </c>
      <c r="L970" s="255"/>
    </row>
    <row r="971" spans="2:12">
      <c r="B971" s="249" t="s">
        <v>1570</v>
      </c>
      <c r="C971" s="250" t="s">
        <v>1521</v>
      </c>
      <c r="D971" s="205" t="s">
        <v>79</v>
      </c>
      <c r="E971" s="251">
        <v>22.04</v>
      </c>
      <c r="F971" s="252">
        <v>5.8</v>
      </c>
      <c r="G971" s="251"/>
      <c r="H971" s="251">
        <v>1</v>
      </c>
      <c r="I971" s="251"/>
      <c r="J971" s="253"/>
      <c r="K971" s="254">
        <f t="shared" si="26"/>
        <v>127.83199999999999</v>
      </c>
      <c r="L971" s="255"/>
    </row>
    <row r="972" spans="2:12">
      <c r="B972" s="249" t="s">
        <v>1571</v>
      </c>
      <c r="C972" s="250" t="s">
        <v>1521</v>
      </c>
      <c r="D972" s="205" t="s">
        <v>79</v>
      </c>
      <c r="E972" s="251">
        <v>22.04</v>
      </c>
      <c r="F972" s="252">
        <v>5.69</v>
      </c>
      <c r="G972" s="251"/>
      <c r="H972" s="251">
        <v>1</v>
      </c>
      <c r="I972" s="251"/>
      <c r="J972" s="253"/>
      <c r="K972" s="254">
        <f t="shared" si="26"/>
        <v>125.4076</v>
      </c>
      <c r="L972" s="255"/>
    </row>
    <row r="973" spans="2:12">
      <c r="B973" s="256"/>
      <c r="C973" s="210"/>
      <c r="D973" s="210"/>
      <c r="E973" s="257"/>
      <c r="F973" s="258"/>
      <c r="G973" s="257"/>
      <c r="H973" s="257"/>
      <c r="I973" s="257"/>
      <c r="J973" s="259"/>
      <c r="K973" s="260">
        <f t="shared" si="26"/>
        <v>0</v>
      </c>
      <c r="L973" s="210"/>
    </row>
    <row r="974" spans="2:12">
      <c r="B974" s="202"/>
      <c r="C974" s="203"/>
      <c r="D974" s="203"/>
      <c r="E974" s="203"/>
      <c r="F974" s="203"/>
      <c r="G974" s="203"/>
      <c r="H974" s="204"/>
      <c r="I974" s="556" t="s">
        <v>1221</v>
      </c>
      <c r="J974" s="556"/>
      <c r="K974" s="220">
        <f>SUM(K957:K973)</f>
        <v>1094.9827</v>
      </c>
      <c r="L974" s="207"/>
    </row>
    <row r="975" spans="2:12">
      <c r="B975" s="208"/>
      <c r="C975" s="204"/>
      <c r="D975" s="204"/>
      <c r="E975" s="204"/>
      <c r="F975" s="204"/>
      <c r="G975" s="204"/>
      <c r="H975" s="209"/>
      <c r="I975" s="557" t="s">
        <v>1222</v>
      </c>
      <c r="J975" s="557"/>
      <c r="K975" s="221">
        <f>VLOOKUP(B955,'BM 004'!$B$27:$R$590,4,0)</f>
        <v>7163.62</v>
      </c>
      <c r="L975" s="207"/>
    </row>
    <row r="976" spans="2:12">
      <c r="B976" s="208"/>
      <c r="C976" s="204"/>
      <c r="D976" s="204"/>
      <c r="E976" s="204"/>
      <c r="F976" s="204"/>
      <c r="G976" s="204"/>
      <c r="H976" s="558" t="s">
        <v>1223</v>
      </c>
      <c r="I976" s="558"/>
      <c r="J976" s="558"/>
      <c r="K976" s="222">
        <f>K974-K977</f>
        <v>492.60270000000003</v>
      </c>
      <c r="L976" s="207"/>
    </row>
    <row r="977" spans="2:12">
      <c r="B977" s="208"/>
      <c r="C977" s="204"/>
      <c r="D977" s="204"/>
      <c r="E977" s="204"/>
      <c r="F977" s="204"/>
      <c r="G977" s="204"/>
      <c r="H977" s="558" t="s">
        <v>1435</v>
      </c>
      <c r="I977" s="558"/>
      <c r="J977" s="558"/>
      <c r="K977" s="222">
        <f>TRUNC(SUMIF(C957:C973,H977,K957:K973),2)</f>
        <v>602.38</v>
      </c>
      <c r="L977" s="207"/>
    </row>
    <row r="978" spans="2:12">
      <c r="B978" s="213"/>
      <c r="C978" s="214"/>
      <c r="D978" s="214"/>
      <c r="E978" s="214"/>
      <c r="F978" s="214"/>
      <c r="G978" s="214"/>
      <c r="H978" s="559" t="s">
        <v>1224</v>
      </c>
      <c r="I978" s="559"/>
      <c r="J978" s="559"/>
      <c r="K978" s="223">
        <f>IF(K974&gt;K975,K974-K975,0)</f>
        <v>0</v>
      </c>
      <c r="L978" s="209"/>
    </row>
    <row r="980" spans="2:12">
      <c r="B980" s="247" t="s">
        <v>240</v>
      </c>
      <c r="C980" s="565" t="str">
        <f>VLOOKUP(B980,'BM 004'!$B$27:$R$590,2,0)</f>
        <v xml:space="preserve">Armação de laje de uma estrutura convencional de concreto armado em um edifício de múltiplos pavimentos utilizando aço ca-50 de 6,3 mm - montagem. </v>
      </c>
      <c r="D980" s="565"/>
      <c r="E980" s="565"/>
      <c r="F980" s="565"/>
      <c r="G980" s="565"/>
      <c r="H980" s="565"/>
      <c r="I980" s="565"/>
      <c r="J980" s="565"/>
      <c r="K980" s="565"/>
      <c r="L980" s="565"/>
    </row>
    <row r="981" spans="2:12">
      <c r="B981" s="248" t="s">
        <v>1209</v>
      </c>
      <c r="C981" s="248"/>
      <c r="D981" s="248" t="s">
        <v>39</v>
      </c>
      <c r="E981" s="248" t="s">
        <v>1210</v>
      </c>
      <c r="F981" s="248" t="s">
        <v>1388</v>
      </c>
      <c r="G981" s="248" t="s">
        <v>1212</v>
      </c>
      <c r="H981" s="248" t="s">
        <v>1213</v>
      </c>
      <c r="I981" s="248" t="s">
        <v>1214</v>
      </c>
      <c r="J981" s="248" t="s">
        <v>1385</v>
      </c>
      <c r="K981" s="248" t="s">
        <v>1216</v>
      </c>
      <c r="L981" s="248" t="s">
        <v>1217</v>
      </c>
    </row>
    <row r="982" spans="2:12">
      <c r="B982" s="205" t="s">
        <v>1510</v>
      </c>
      <c r="C982" s="250" t="s">
        <v>1441</v>
      </c>
      <c r="D982" s="205" t="s">
        <v>1274</v>
      </c>
      <c r="E982" s="251">
        <v>1148.82</v>
      </c>
      <c r="F982" s="252">
        <v>0.245</v>
      </c>
      <c r="G982" s="251">
        <v>0.45</v>
      </c>
      <c r="H982" s="251">
        <v>1.1000000000000001</v>
      </c>
      <c r="I982" s="251"/>
      <c r="J982" s="253"/>
      <c r="K982" s="254">
        <f t="shared" ref="K982:K991" si="27">IF(E982*F982*G982&lt;&gt;0,E982*F982*G982,IF(E982*F982&lt;&gt;0,E982*F982,IF(F982*G982&lt;&gt;0,F982*G982,IF(E982*G982&lt;&gt;0,E982*G982,IF(E982&lt;&gt;0,E982,IF(F982&lt;&gt;0,F982,IF(G982&lt;&gt;0,G982,0)))))))*(IF(H982&lt;&gt;0,H982,1))+I982-J982</f>
        <v>139.32314550000001</v>
      </c>
      <c r="L982" s="255" t="s">
        <v>1511</v>
      </c>
    </row>
    <row r="983" spans="2:12">
      <c r="B983" s="205" t="s">
        <v>1512</v>
      </c>
      <c r="C983" s="250" t="s">
        <v>1441</v>
      </c>
      <c r="D983" s="205" t="s">
        <v>1274</v>
      </c>
      <c r="E983" s="251">
        <v>764.81</v>
      </c>
      <c r="F983" s="252">
        <v>0.245</v>
      </c>
      <c r="G983" s="251">
        <v>0.45</v>
      </c>
      <c r="H983" s="251">
        <v>1.1000000000000001</v>
      </c>
      <c r="I983" s="251"/>
      <c r="J983" s="253"/>
      <c r="K983" s="254">
        <f t="shared" si="27"/>
        <v>92.752332750000008</v>
      </c>
      <c r="L983" s="255" t="s">
        <v>1511</v>
      </c>
    </row>
    <row r="984" spans="2:12">
      <c r="B984" s="205" t="s">
        <v>1513</v>
      </c>
      <c r="C984" s="250" t="s">
        <v>1441</v>
      </c>
      <c r="D984" s="205" t="s">
        <v>1274</v>
      </c>
      <c r="E984" s="251">
        <v>803</v>
      </c>
      <c r="F984" s="252">
        <v>0.245</v>
      </c>
      <c r="G984" s="251"/>
      <c r="H984" s="251">
        <v>1.1000000000000001</v>
      </c>
      <c r="I984" s="251"/>
      <c r="J984" s="253"/>
      <c r="K984" s="254">
        <f t="shared" si="27"/>
        <v>216.4085</v>
      </c>
      <c r="L984" s="255" t="s">
        <v>1511</v>
      </c>
    </row>
    <row r="985" spans="2:12">
      <c r="B985" s="205" t="s">
        <v>1514</v>
      </c>
      <c r="C985" s="250" t="s">
        <v>1441</v>
      </c>
      <c r="D985" s="205" t="s">
        <v>1274</v>
      </c>
      <c r="E985" s="251">
        <v>329</v>
      </c>
      <c r="F985" s="252">
        <v>0.245</v>
      </c>
      <c r="G985" s="251"/>
      <c r="H985" s="251">
        <v>1.1000000000000001</v>
      </c>
      <c r="I985" s="251"/>
      <c r="J985" s="253"/>
      <c r="K985" s="254">
        <f t="shared" si="27"/>
        <v>88.665500000000009</v>
      </c>
      <c r="L985" s="255" t="s">
        <v>1511</v>
      </c>
    </row>
    <row r="986" spans="2:12">
      <c r="B986" s="205" t="s">
        <v>1513</v>
      </c>
      <c r="C986" s="250" t="s">
        <v>1441</v>
      </c>
      <c r="D986" s="205" t="s">
        <v>1274</v>
      </c>
      <c r="E986" s="251">
        <v>8265</v>
      </c>
      <c r="F986" s="252">
        <v>0.154</v>
      </c>
      <c r="G986" s="251"/>
      <c r="H986" s="251">
        <v>1.1000000000000001</v>
      </c>
      <c r="I986" s="251"/>
      <c r="J986" s="253"/>
      <c r="K986" s="254">
        <f t="shared" si="27"/>
        <v>1400.0910000000001</v>
      </c>
      <c r="L986" s="266" t="s">
        <v>1515</v>
      </c>
    </row>
    <row r="987" spans="2:12">
      <c r="B987" s="205" t="s">
        <v>1516</v>
      </c>
      <c r="C987" s="250" t="s">
        <v>1441</v>
      </c>
      <c r="D987" s="205" t="s">
        <v>1274</v>
      </c>
      <c r="E987" s="251">
        <v>43.18</v>
      </c>
      <c r="F987" s="252"/>
      <c r="G987" s="251"/>
      <c r="H987" s="251">
        <v>0.74</v>
      </c>
      <c r="I987" s="251"/>
      <c r="J987" s="253"/>
      <c r="K987" s="254">
        <f t="shared" si="27"/>
        <v>31.953199999999999</v>
      </c>
      <c r="L987" s="266"/>
    </row>
    <row r="988" spans="2:12">
      <c r="B988" s="205" t="s">
        <v>1572</v>
      </c>
      <c r="C988" s="250" t="s">
        <v>1521</v>
      </c>
      <c r="D988" s="205" t="s">
        <v>1274</v>
      </c>
      <c r="E988" s="251">
        <v>1237.52</v>
      </c>
      <c r="F988" s="252">
        <v>0.245</v>
      </c>
      <c r="G988" s="251">
        <v>0.5</v>
      </c>
      <c r="H988" s="251">
        <v>1.1000000000000001</v>
      </c>
      <c r="I988" s="251"/>
      <c r="J988" s="253"/>
      <c r="K988" s="254">
        <f t="shared" si="27"/>
        <v>166.75582</v>
      </c>
      <c r="L988" s="255" t="s">
        <v>1511</v>
      </c>
    </row>
    <row r="989" spans="2:12">
      <c r="B989" s="205" t="s">
        <v>1573</v>
      </c>
      <c r="C989" s="250" t="s">
        <v>1521</v>
      </c>
      <c r="D989" s="205" t="s">
        <v>1274</v>
      </c>
      <c r="E989" s="251">
        <v>749</v>
      </c>
      <c r="F989" s="252">
        <v>0.245</v>
      </c>
      <c r="G989" s="251">
        <v>0.5</v>
      </c>
      <c r="H989" s="251">
        <v>1.1000000000000001</v>
      </c>
      <c r="I989" s="251"/>
      <c r="J989" s="253"/>
      <c r="K989" s="254">
        <f t="shared" si="27"/>
        <v>100.92775</v>
      </c>
      <c r="L989" s="255" t="s">
        <v>1511</v>
      </c>
    </row>
    <row r="990" spans="2:12">
      <c r="B990" s="256"/>
      <c r="C990" s="210"/>
      <c r="D990" s="210"/>
      <c r="E990" s="257"/>
      <c r="F990" s="258"/>
      <c r="G990" s="257"/>
      <c r="H990" s="257"/>
      <c r="I990" s="257"/>
      <c r="J990" s="259"/>
      <c r="K990" s="260">
        <f t="shared" si="27"/>
        <v>0</v>
      </c>
      <c r="L990" s="210"/>
    </row>
    <row r="991" spans="2:12">
      <c r="B991" s="256"/>
      <c r="C991" s="210"/>
      <c r="D991" s="210"/>
      <c r="E991" s="257"/>
      <c r="F991" s="258"/>
      <c r="G991" s="257"/>
      <c r="H991" s="257"/>
      <c r="I991" s="257"/>
      <c r="J991" s="259"/>
      <c r="K991" s="260">
        <f t="shared" si="27"/>
        <v>0</v>
      </c>
      <c r="L991" s="210"/>
    </row>
    <row r="992" spans="2:12">
      <c r="B992" s="202"/>
      <c r="C992" s="203"/>
      <c r="D992" s="203"/>
      <c r="E992" s="203"/>
      <c r="F992" s="203"/>
      <c r="G992" s="203"/>
      <c r="H992" s="204"/>
      <c r="I992" s="556" t="s">
        <v>1221</v>
      </c>
      <c r="J992" s="556"/>
      <c r="K992" s="220">
        <f>SUM(K982:K991)</f>
        <v>2236.8772482499999</v>
      </c>
      <c r="L992" s="207"/>
    </row>
    <row r="993" spans="2:12">
      <c r="B993" s="208"/>
      <c r="C993" s="204"/>
      <c r="D993" s="204"/>
      <c r="E993" s="204"/>
      <c r="F993" s="204"/>
      <c r="G993" s="204"/>
      <c r="H993" s="209"/>
      <c r="I993" s="557" t="s">
        <v>1222</v>
      </c>
      <c r="J993" s="557"/>
      <c r="K993" s="221">
        <f>VLOOKUP(B980,'BM 004'!$B$27:$R$590,4,0)</f>
        <v>2362.8000000000002</v>
      </c>
      <c r="L993" s="207"/>
    </row>
    <row r="994" spans="2:12">
      <c r="B994" s="208"/>
      <c r="C994" s="204"/>
      <c r="D994" s="204"/>
      <c r="E994" s="204"/>
      <c r="F994" s="204"/>
      <c r="G994" s="204"/>
      <c r="H994" s="558" t="s">
        <v>1223</v>
      </c>
      <c r="I994" s="558"/>
      <c r="J994" s="558"/>
      <c r="K994" s="222">
        <f>K992-K995</f>
        <v>1969.1972482499998</v>
      </c>
      <c r="L994" s="207"/>
    </row>
    <row r="995" spans="2:12">
      <c r="B995" s="208"/>
      <c r="C995" s="204"/>
      <c r="D995" s="204"/>
      <c r="E995" s="204"/>
      <c r="F995" s="204"/>
      <c r="G995" s="204"/>
      <c r="H995" s="558" t="s">
        <v>1435</v>
      </c>
      <c r="I995" s="558"/>
      <c r="J995" s="558"/>
      <c r="K995" s="222">
        <f>TRUNC(SUMIF(C982:C991,H995,K982:K991),2)</f>
        <v>267.68</v>
      </c>
      <c r="L995" s="207"/>
    </row>
    <row r="996" spans="2:12">
      <c r="B996" s="213"/>
      <c r="C996" s="214"/>
      <c r="D996" s="214"/>
      <c r="E996" s="214"/>
      <c r="F996" s="214"/>
      <c r="G996" s="214"/>
      <c r="H996" s="559" t="s">
        <v>1224</v>
      </c>
      <c r="I996" s="559"/>
      <c r="J996" s="559"/>
      <c r="K996" s="223">
        <f>IF(K992&gt;K993,K992-K993,0)</f>
        <v>0</v>
      </c>
      <c r="L996" s="209"/>
    </row>
    <row r="998" spans="2:12">
      <c r="B998" s="247" t="s">
        <v>242</v>
      </c>
      <c r="C998" s="565" t="str">
        <f>VLOOKUP(B998,'BM 004'!$B$27:$R$590,2,0)</f>
        <v>Armação de laje de uma estrutura convencional de concreto armado em um edifício de múltiplos pavimentos utilizando aço ca-50 de 8,0 mm - montagem.</v>
      </c>
      <c r="D998" s="565"/>
      <c r="E998" s="565"/>
      <c r="F998" s="565"/>
      <c r="G998" s="565"/>
      <c r="H998" s="565"/>
      <c r="I998" s="565"/>
      <c r="J998" s="565"/>
      <c r="K998" s="565"/>
      <c r="L998" s="565"/>
    </row>
    <row r="999" spans="2:12">
      <c r="B999" s="248" t="s">
        <v>1209</v>
      </c>
      <c r="C999" s="248"/>
      <c r="D999" s="248" t="s">
        <v>39</v>
      </c>
      <c r="E999" s="248" t="s">
        <v>1210</v>
      </c>
      <c r="F999" s="248" t="s">
        <v>1388</v>
      </c>
      <c r="G999" s="248" t="s">
        <v>1212</v>
      </c>
      <c r="H999" s="248" t="s">
        <v>1213</v>
      </c>
      <c r="I999" s="248" t="s">
        <v>1214</v>
      </c>
      <c r="J999" s="248" t="s">
        <v>1385</v>
      </c>
      <c r="K999" s="248" t="s">
        <v>1216</v>
      </c>
      <c r="L999" s="248" t="s">
        <v>1217</v>
      </c>
    </row>
    <row r="1000" spans="2:12">
      <c r="B1000" s="205" t="s">
        <v>1510</v>
      </c>
      <c r="C1000" s="250" t="s">
        <v>1441</v>
      </c>
      <c r="D1000" s="205" t="s">
        <v>1274</v>
      </c>
      <c r="E1000" s="251">
        <v>224.4</v>
      </c>
      <c r="F1000" s="252">
        <v>0.39500000000000002</v>
      </c>
      <c r="G1000" s="251">
        <v>0.45</v>
      </c>
      <c r="H1000" s="251">
        <v>1.1000000000000001</v>
      </c>
      <c r="I1000" s="251"/>
      <c r="J1000" s="253"/>
      <c r="K1000" s="254">
        <f t="shared" ref="K1000:K1006" si="28">IF(E1000*F1000*G1000&lt;&gt;0,E1000*F1000*G1000,IF(E1000*F1000&lt;&gt;0,E1000*F1000,IF(F1000*G1000&lt;&gt;0,F1000*G1000,IF(E1000*G1000&lt;&gt;0,E1000*G1000,IF(E1000&lt;&gt;0,E1000,IF(F1000&lt;&gt;0,F1000,IF(G1000&lt;&gt;0,G1000,0)))))))*(IF(H1000&lt;&gt;0,H1000,1))+I1000-J1000</f>
        <v>43.875810000000008</v>
      </c>
      <c r="L1000" s="255"/>
    </row>
    <row r="1001" spans="2:12">
      <c r="B1001" s="205" t="s">
        <v>1512</v>
      </c>
      <c r="C1001" s="250" t="s">
        <v>1441</v>
      </c>
      <c r="D1001" s="205" t="s">
        <v>1274</v>
      </c>
      <c r="E1001" s="251">
        <v>322.89999999999998</v>
      </c>
      <c r="F1001" s="252">
        <v>0.39500000000000002</v>
      </c>
      <c r="G1001" s="251">
        <v>0.45</v>
      </c>
      <c r="H1001" s="251">
        <v>1.1000000000000001</v>
      </c>
      <c r="I1001" s="251"/>
      <c r="J1001" s="253"/>
      <c r="K1001" s="254">
        <f t="shared" si="28"/>
        <v>63.135022500000005</v>
      </c>
      <c r="L1001" s="255"/>
    </row>
    <row r="1002" spans="2:12">
      <c r="B1002" s="205" t="s">
        <v>1513</v>
      </c>
      <c r="C1002" s="250" t="s">
        <v>1441</v>
      </c>
      <c r="D1002" s="205" t="s">
        <v>1274</v>
      </c>
      <c r="E1002" s="251">
        <v>99</v>
      </c>
      <c r="F1002" s="252">
        <v>0.39500000000000002</v>
      </c>
      <c r="G1002" s="251"/>
      <c r="H1002" s="251">
        <v>1.1000000000000001</v>
      </c>
      <c r="I1002" s="251"/>
      <c r="J1002" s="253"/>
      <c r="K1002" s="254">
        <f t="shared" si="28"/>
        <v>43.01550000000001</v>
      </c>
      <c r="L1002" s="255"/>
    </row>
    <row r="1003" spans="2:12">
      <c r="B1003" s="205" t="s">
        <v>1514</v>
      </c>
      <c r="C1003" s="250" t="s">
        <v>1441</v>
      </c>
      <c r="D1003" s="205" t="s">
        <v>1274</v>
      </c>
      <c r="E1003" s="251">
        <v>1170</v>
      </c>
      <c r="F1003" s="252">
        <v>0.39500000000000002</v>
      </c>
      <c r="G1003" s="251"/>
      <c r="H1003" s="251">
        <v>1.1000000000000001</v>
      </c>
      <c r="I1003" s="251"/>
      <c r="J1003" s="253"/>
      <c r="K1003" s="254">
        <f t="shared" si="28"/>
        <v>508.36500000000007</v>
      </c>
      <c r="L1003" s="255"/>
    </row>
    <row r="1004" spans="2:12">
      <c r="B1004" s="205" t="s">
        <v>1572</v>
      </c>
      <c r="C1004" s="250" t="s">
        <v>1521</v>
      </c>
      <c r="D1004" s="205" t="s">
        <v>1274</v>
      </c>
      <c r="E1004" s="251">
        <v>224.54</v>
      </c>
      <c r="F1004" s="252">
        <v>0.39500000000000002</v>
      </c>
      <c r="G1004" s="251">
        <v>0.5</v>
      </c>
      <c r="H1004" s="251">
        <v>1.1000000000000001</v>
      </c>
      <c r="I1004" s="251"/>
      <c r="J1004" s="253"/>
      <c r="K1004" s="254">
        <f t="shared" si="28"/>
        <v>48.781315000000006</v>
      </c>
      <c r="L1004" s="255"/>
    </row>
    <row r="1005" spans="2:12">
      <c r="B1005" s="205" t="s">
        <v>1573</v>
      </c>
      <c r="C1005" s="250" t="s">
        <v>1521</v>
      </c>
      <c r="D1005" s="205" t="s">
        <v>1274</v>
      </c>
      <c r="E1005" s="251">
        <v>163</v>
      </c>
      <c r="F1005" s="252">
        <v>0.39500000000000002</v>
      </c>
      <c r="G1005" s="251">
        <v>0.5</v>
      </c>
      <c r="H1005" s="251">
        <v>1.1000000000000001</v>
      </c>
      <c r="I1005" s="251"/>
      <c r="J1005" s="253"/>
      <c r="K1005" s="254">
        <f t="shared" si="28"/>
        <v>35.411750000000005</v>
      </c>
      <c r="L1005" s="255"/>
    </row>
    <row r="1006" spans="2:12">
      <c r="B1006" s="256"/>
      <c r="C1006" s="210"/>
      <c r="D1006" s="210"/>
      <c r="E1006" s="257"/>
      <c r="F1006" s="258"/>
      <c r="G1006" s="257"/>
      <c r="H1006" s="257"/>
      <c r="I1006" s="257"/>
      <c r="J1006" s="259"/>
      <c r="K1006" s="260">
        <f t="shared" si="28"/>
        <v>0</v>
      </c>
      <c r="L1006" s="210"/>
    </row>
    <row r="1007" spans="2:12">
      <c r="B1007" s="202"/>
      <c r="C1007" s="203"/>
      <c r="D1007" s="203"/>
      <c r="E1007" s="203"/>
      <c r="F1007" s="203"/>
      <c r="G1007" s="203"/>
      <c r="H1007" s="204"/>
      <c r="I1007" s="556" t="s">
        <v>1221</v>
      </c>
      <c r="J1007" s="556"/>
      <c r="K1007" s="220">
        <f>SUM(K1000:K1006)</f>
        <v>742.58439750000002</v>
      </c>
      <c r="L1007" s="207"/>
    </row>
    <row r="1008" spans="2:12">
      <c r="B1008" s="208"/>
      <c r="C1008" s="204"/>
      <c r="D1008" s="204"/>
      <c r="E1008" s="204"/>
      <c r="F1008" s="204"/>
      <c r="G1008" s="204"/>
      <c r="H1008" s="209"/>
      <c r="I1008" s="557" t="s">
        <v>1222</v>
      </c>
      <c r="J1008" s="557"/>
      <c r="K1008" s="221">
        <f>VLOOKUP(B998,'BM 004'!$B$27:$R$590,4,0)</f>
        <v>602.79999999999995</v>
      </c>
      <c r="L1008" s="207"/>
    </row>
    <row r="1009" spans="2:12">
      <c r="B1009" s="208"/>
      <c r="C1009" s="204"/>
      <c r="D1009" s="204"/>
      <c r="E1009" s="204"/>
      <c r="F1009" s="204"/>
      <c r="G1009" s="204"/>
      <c r="H1009" s="558" t="s">
        <v>1223</v>
      </c>
      <c r="I1009" s="558"/>
      <c r="J1009" s="558"/>
      <c r="K1009" s="222">
        <v>602.79999999999995</v>
      </c>
      <c r="L1009" s="207"/>
    </row>
    <row r="1010" spans="2:12">
      <c r="B1010" s="208"/>
      <c r="C1010" s="204"/>
      <c r="D1010" s="204"/>
      <c r="E1010" s="204"/>
      <c r="F1010" s="204"/>
      <c r="G1010" s="204"/>
      <c r="H1010" s="558" t="s">
        <v>1435</v>
      </c>
      <c r="I1010" s="558"/>
      <c r="J1010" s="558"/>
      <c r="K1010" s="222">
        <f>IF(K1007&gt;K1008,0,TRUNC(SUMIF(C1000:C1006,H1010,K1000:K1006),L9302))</f>
        <v>0</v>
      </c>
      <c r="L1010" s="207"/>
    </row>
    <row r="1011" spans="2:12">
      <c r="B1011" s="213"/>
      <c r="C1011" s="214"/>
      <c r="D1011" s="214"/>
      <c r="E1011" s="214"/>
      <c r="F1011" s="214"/>
      <c r="G1011" s="214"/>
      <c r="H1011" s="559" t="s">
        <v>1224</v>
      </c>
      <c r="I1011" s="559"/>
      <c r="J1011" s="559"/>
      <c r="K1011" s="223">
        <f>IF(K1007&gt;K1008,K1007-K1008,0)</f>
        <v>139.78439750000007</v>
      </c>
      <c r="L1011" s="209"/>
    </row>
    <row r="1013" spans="2:12">
      <c r="B1013" s="247" t="s">
        <v>244</v>
      </c>
      <c r="C1013" s="565" t="str">
        <f>VLOOKUP(B1013,'BM 004'!$B$27:$R$590,2,0)</f>
        <v xml:space="preserve">Armação de laje de uma estrutura convencional de concreto armado em um edifício de múltiplos pavimentos utilizando aço ca-50 de 10,0 mm - montagem. </v>
      </c>
      <c r="D1013" s="565"/>
      <c r="E1013" s="565"/>
      <c r="F1013" s="565"/>
      <c r="G1013" s="565"/>
      <c r="H1013" s="565"/>
      <c r="I1013" s="565"/>
      <c r="J1013" s="565"/>
      <c r="K1013" s="565"/>
      <c r="L1013" s="565"/>
    </row>
    <row r="1014" spans="2:12">
      <c r="B1014" s="248" t="s">
        <v>1209</v>
      </c>
      <c r="C1014" s="248"/>
      <c r="D1014" s="248" t="s">
        <v>39</v>
      </c>
      <c r="E1014" s="248" t="s">
        <v>1210</v>
      </c>
      <c r="F1014" s="248" t="s">
        <v>1388</v>
      </c>
      <c r="G1014" s="248" t="s">
        <v>1212</v>
      </c>
      <c r="H1014" s="248" t="s">
        <v>1213</v>
      </c>
      <c r="I1014" s="248" t="s">
        <v>1214</v>
      </c>
      <c r="J1014" s="248" t="s">
        <v>1385</v>
      </c>
      <c r="K1014" s="248" t="s">
        <v>1216</v>
      </c>
      <c r="L1014" s="248" t="s">
        <v>1217</v>
      </c>
    </row>
    <row r="1015" spans="2:12">
      <c r="B1015" s="205" t="s">
        <v>1510</v>
      </c>
      <c r="C1015" s="250" t="s">
        <v>1441</v>
      </c>
      <c r="D1015" s="205" t="s">
        <v>1274</v>
      </c>
      <c r="E1015" s="251">
        <v>922.65</v>
      </c>
      <c r="F1015" s="252">
        <v>0.61699999999999999</v>
      </c>
      <c r="G1015" s="251">
        <v>0.45</v>
      </c>
      <c r="H1015" s="251">
        <v>1.1000000000000001</v>
      </c>
      <c r="I1015" s="251"/>
      <c r="J1015" s="253"/>
      <c r="K1015" s="254">
        <f t="shared" ref="K1015:K1022" si="29">IF(E1015*F1015*G1015&lt;&gt;0,E1015*F1015*G1015,IF(E1015*F1015&lt;&gt;0,E1015*F1015,IF(F1015*G1015&lt;&gt;0,F1015*G1015,IF(E1015*G1015&lt;&gt;0,E1015*G1015,IF(E1015&lt;&gt;0,E1015,IF(F1015&lt;&gt;0,F1015,IF(G1015&lt;&gt;0,G1015,0)))))))*(IF(H1015&lt;&gt;0,H1015,1))+I1015-J1015</f>
        <v>281.79114974999999</v>
      </c>
      <c r="L1015" s="255"/>
    </row>
    <row r="1016" spans="2:12">
      <c r="B1016" s="205" t="s">
        <v>1512</v>
      </c>
      <c r="C1016" s="250" t="s">
        <v>1441</v>
      </c>
      <c r="D1016" s="205" t="s">
        <v>1274</v>
      </c>
      <c r="E1016" s="251">
        <v>886.9</v>
      </c>
      <c r="F1016" s="252">
        <v>0.61699999999999999</v>
      </c>
      <c r="G1016" s="251">
        <v>0.45</v>
      </c>
      <c r="H1016" s="251">
        <v>1.1000000000000001</v>
      </c>
      <c r="I1016" s="251"/>
      <c r="J1016" s="253"/>
      <c r="K1016" s="254">
        <f t="shared" si="29"/>
        <v>270.87256350000007</v>
      </c>
      <c r="L1016" s="255"/>
    </row>
    <row r="1017" spans="2:12">
      <c r="B1017" s="205" t="s">
        <v>1513</v>
      </c>
      <c r="C1017" s="250" t="s">
        <v>1441</v>
      </c>
      <c r="D1017" s="205" t="s">
        <v>1274</v>
      </c>
      <c r="E1017" s="251">
        <v>459</v>
      </c>
      <c r="F1017" s="252">
        <v>0.61699999999999999</v>
      </c>
      <c r="G1017" s="251"/>
      <c r="H1017" s="251">
        <v>1.1000000000000001</v>
      </c>
      <c r="I1017" s="251"/>
      <c r="J1017" s="253"/>
      <c r="K1017" s="254">
        <f t="shared" si="29"/>
        <v>311.52330000000001</v>
      </c>
      <c r="L1017" s="255"/>
    </row>
    <row r="1018" spans="2:12">
      <c r="B1018" s="205" t="s">
        <v>1514</v>
      </c>
      <c r="C1018" s="250" t="s">
        <v>1441</v>
      </c>
      <c r="D1018" s="205" t="s">
        <v>1274</v>
      </c>
      <c r="E1018" s="251">
        <v>332</v>
      </c>
      <c r="F1018" s="252">
        <v>0.61699999999999999</v>
      </c>
      <c r="G1018" s="251"/>
      <c r="H1018" s="251">
        <v>1.1000000000000001</v>
      </c>
      <c r="I1018" s="251"/>
      <c r="J1018" s="253"/>
      <c r="K1018" s="254">
        <f t="shared" si="29"/>
        <v>225.32840000000002</v>
      </c>
      <c r="L1018" s="255"/>
    </row>
    <row r="1019" spans="2:12">
      <c r="B1019" s="205" t="s">
        <v>1517</v>
      </c>
      <c r="C1019" s="250" t="s">
        <v>1441</v>
      </c>
      <c r="D1019" s="205" t="s">
        <v>1274</v>
      </c>
      <c r="E1019" s="251">
        <v>55.59</v>
      </c>
      <c r="F1019" s="252"/>
      <c r="G1019" s="251"/>
      <c r="H1019" s="251"/>
      <c r="I1019" s="251"/>
      <c r="J1019" s="253"/>
      <c r="K1019" s="254">
        <f t="shared" si="29"/>
        <v>55.59</v>
      </c>
      <c r="L1019" s="255"/>
    </row>
    <row r="1020" spans="2:12">
      <c r="B1020" s="205" t="s">
        <v>1572</v>
      </c>
      <c r="C1020" s="250" t="s">
        <v>1521</v>
      </c>
      <c r="D1020" s="205" t="s">
        <v>1274</v>
      </c>
      <c r="E1020" s="251">
        <v>1476.23</v>
      </c>
      <c r="F1020" s="252">
        <v>0.61699999999999999</v>
      </c>
      <c r="G1020" s="251">
        <v>0.5</v>
      </c>
      <c r="H1020" s="251">
        <v>1.1000000000000001</v>
      </c>
      <c r="I1020" s="251"/>
      <c r="J1020" s="253"/>
      <c r="K1020" s="254">
        <f t="shared" si="29"/>
        <v>500.95865050000003</v>
      </c>
      <c r="L1020" s="255"/>
    </row>
    <row r="1021" spans="2:12">
      <c r="B1021" s="205" t="s">
        <v>1573</v>
      </c>
      <c r="C1021" s="250" t="s">
        <v>1521</v>
      </c>
      <c r="D1021" s="205" t="s">
        <v>1274</v>
      </c>
      <c r="E1021" s="251">
        <v>1207</v>
      </c>
      <c r="F1021" s="252">
        <v>0.61699999999999999</v>
      </c>
      <c r="G1021" s="251">
        <v>0.5</v>
      </c>
      <c r="H1021" s="251">
        <v>1.1000000000000001</v>
      </c>
      <c r="I1021" s="251"/>
      <c r="J1021" s="253"/>
      <c r="K1021" s="254">
        <f t="shared" si="29"/>
        <v>409.59544999999997</v>
      </c>
      <c r="L1021" s="255"/>
    </row>
    <row r="1022" spans="2:12">
      <c r="B1022" s="256"/>
      <c r="C1022" s="210"/>
      <c r="D1022" s="210"/>
      <c r="E1022" s="257"/>
      <c r="F1022" s="258"/>
      <c r="G1022" s="257"/>
      <c r="H1022" s="257"/>
      <c r="I1022" s="257"/>
      <c r="J1022" s="259"/>
      <c r="K1022" s="260">
        <f t="shared" si="29"/>
        <v>0</v>
      </c>
      <c r="L1022" s="210"/>
    </row>
    <row r="1023" spans="2:12">
      <c r="B1023" s="202"/>
      <c r="C1023" s="203"/>
      <c r="D1023" s="203"/>
      <c r="E1023" s="203"/>
      <c r="F1023" s="203"/>
      <c r="G1023" s="203"/>
      <c r="H1023" s="204"/>
      <c r="I1023" s="556" t="s">
        <v>1221</v>
      </c>
      <c r="J1023" s="556"/>
      <c r="K1023" s="220">
        <f>SUM(K1015:K1022)</f>
        <v>2055.6595137499999</v>
      </c>
      <c r="L1023" s="207"/>
    </row>
    <row r="1024" spans="2:12">
      <c r="B1024" s="208"/>
      <c r="C1024" s="204"/>
      <c r="D1024" s="204"/>
      <c r="E1024" s="204"/>
      <c r="F1024" s="204"/>
      <c r="G1024" s="204"/>
      <c r="H1024" s="209"/>
      <c r="I1024" s="557" t="s">
        <v>1222</v>
      </c>
      <c r="J1024" s="557"/>
      <c r="K1024" s="221">
        <f>VLOOKUP(B1013,'BM 004'!$B$27:$R$590,4,0)</f>
        <v>3562.9</v>
      </c>
      <c r="L1024" s="207"/>
    </row>
    <row r="1025" spans="2:12">
      <c r="B1025" s="208"/>
      <c r="C1025" s="204"/>
      <c r="D1025" s="204"/>
      <c r="E1025" s="204"/>
      <c r="F1025" s="204"/>
      <c r="G1025" s="204"/>
      <c r="H1025" s="558" t="s">
        <v>1223</v>
      </c>
      <c r="I1025" s="558"/>
      <c r="J1025" s="558"/>
      <c r="K1025" s="222">
        <f>K1023-K1026</f>
        <v>1145.6595137499999</v>
      </c>
      <c r="L1025" s="207"/>
    </row>
    <row r="1026" spans="2:12">
      <c r="B1026" s="208"/>
      <c r="C1026" s="204"/>
      <c r="D1026" s="204"/>
      <c r="E1026" s="204"/>
      <c r="F1026" s="204"/>
      <c r="G1026" s="204"/>
      <c r="H1026" s="558" t="s">
        <v>1435</v>
      </c>
      <c r="I1026" s="558"/>
      <c r="J1026" s="558"/>
      <c r="K1026" s="222">
        <f>IF(K1023&gt;K1024,0,TRUNC(SUMIF(C1016:C1022,H1026,K1016:K1022),L9318))</f>
        <v>910</v>
      </c>
      <c r="L1026" s="207"/>
    </row>
    <row r="1027" spans="2:12">
      <c r="B1027" s="213"/>
      <c r="C1027" s="214"/>
      <c r="D1027" s="214"/>
      <c r="E1027" s="214"/>
      <c r="F1027" s="214"/>
      <c r="G1027" s="214"/>
      <c r="H1027" s="559" t="s">
        <v>1224</v>
      </c>
      <c r="I1027" s="559"/>
      <c r="J1027" s="559"/>
      <c r="K1027" s="223">
        <f>IF(K1023&gt;K1024,K1023-K1024,0)</f>
        <v>0</v>
      </c>
      <c r="L1027" s="209"/>
    </row>
    <row r="1029" spans="2:12">
      <c r="B1029" s="247" t="s">
        <v>246</v>
      </c>
      <c r="C1029" s="565" t="str">
        <f>VLOOKUP(B1029,'BM 004'!$B$27:$R$590,2,0)</f>
        <v xml:space="preserve">Armação de laje de uma estrutura convencional de concreto armado em um edifício de múltiplos pavimentos utilizando aço ca-50 de 12,5 mm - montagem. </v>
      </c>
      <c r="D1029" s="565"/>
      <c r="E1029" s="565"/>
      <c r="F1029" s="565"/>
      <c r="G1029" s="565"/>
      <c r="H1029" s="565"/>
      <c r="I1029" s="565"/>
      <c r="J1029" s="565"/>
      <c r="K1029" s="565"/>
      <c r="L1029" s="565"/>
    </row>
    <row r="1030" spans="2:12">
      <c r="B1030" s="248" t="s">
        <v>1209</v>
      </c>
      <c r="C1030" s="248"/>
      <c r="D1030" s="248" t="s">
        <v>39</v>
      </c>
      <c r="E1030" s="248" t="s">
        <v>1210</v>
      </c>
      <c r="F1030" s="248" t="s">
        <v>1388</v>
      </c>
      <c r="G1030" s="248" t="s">
        <v>1212</v>
      </c>
      <c r="H1030" s="248" t="s">
        <v>1213</v>
      </c>
      <c r="I1030" s="248" t="s">
        <v>1214</v>
      </c>
      <c r="J1030" s="248" t="s">
        <v>1385</v>
      </c>
      <c r="K1030" s="248" t="s">
        <v>1216</v>
      </c>
      <c r="L1030" s="248" t="s">
        <v>1217</v>
      </c>
    </row>
    <row r="1031" spans="2:12">
      <c r="B1031" s="205" t="s">
        <v>1510</v>
      </c>
      <c r="C1031" s="250" t="s">
        <v>1441</v>
      </c>
      <c r="D1031" s="205" t="s">
        <v>1274</v>
      </c>
      <c r="E1031" s="251">
        <v>815.6</v>
      </c>
      <c r="F1031" s="252">
        <v>0.96299999999999997</v>
      </c>
      <c r="G1031" s="251">
        <v>0.45</v>
      </c>
      <c r="H1031" s="251">
        <v>1.1000000000000001</v>
      </c>
      <c r="I1031" s="251"/>
      <c r="J1031" s="253"/>
      <c r="K1031" s="254">
        <f t="shared" ref="K1031:K1037" si="30">IF(E1031*F1031*G1031&lt;&gt;0,E1031*F1031*G1031,IF(E1031*F1031&lt;&gt;0,E1031*F1031,IF(F1031*G1031&lt;&gt;0,F1031*G1031,IF(E1031*G1031&lt;&gt;0,E1031*G1031,IF(E1031&lt;&gt;0,E1031,IF(F1031&lt;&gt;0,F1031,IF(G1031&lt;&gt;0,G1031,0)))))))*(IF(H1031&lt;&gt;0,H1031,1))+I1031-J1031</f>
        <v>388.78428600000001</v>
      </c>
      <c r="L1031" s="255"/>
    </row>
    <row r="1032" spans="2:12">
      <c r="B1032" s="205" t="s">
        <v>1512</v>
      </c>
      <c r="C1032" s="250" t="s">
        <v>1441</v>
      </c>
      <c r="D1032" s="205" t="s">
        <v>1274</v>
      </c>
      <c r="E1032" s="251">
        <v>760.5</v>
      </c>
      <c r="F1032" s="252">
        <v>0.96299999999999997</v>
      </c>
      <c r="G1032" s="251">
        <v>0.45</v>
      </c>
      <c r="H1032" s="251">
        <v>1.1000000000000001</v>
      </c>
      <c r="I1032" s="251"/>
      <c r="J1032" s="253"/>
      <c r="K1032" s="254">
        <f t="shared" si="30"/>
        <v>362.51894250000004</v>
      </c>
      <c r="L1032" s="255"/>
    </row>
    <row r="1033" spans="2:12">
      <c r="B1033" s="205" t="s">
        <v>1513</v>
      </c>
      <c r="C1033" s="250" t="s">
        <v>1441</v>
      </c>
      <c r="D1033" s="205" t="s">
        <v>1274</v>
      </c>
      <c r="E1033" s="251">
        <v>1053</v>
      </c>
      <c r="F1033" s="252">
        <v>0.96299999999999997</v>
      </c>
      <c r="G1033" s="251"/>
      <c r="H1033" s="251">
        <v>1.1000000000000001</v>
      </c>
      <c r="I1033" s="251"/>
      <c r="J1033" s="253"/>
      <c r="K1033" s="254">
        <f t="shared" si="30"/>
        <v>1115.4429</v>
      </c>
      <c r="L1033" s="255"/>
    </row>
    <row r="1034" spans="2:12">
      <c r="B1034" s="205" t="s">
        <v>1514</v>
      </c>
      <c r="C1034" s="250" t="s">
        <v>1441</v>
      </c>
      <c r="D1034" s="205" t="s">
        <v>1274</v>
      </c>
      <c r="E1034" s="251">
        <v>165</v>
      </c>
      <c r="F1034" s="252">
        <v>0.96299999999999997</v>
      </c>
      <c r="G1034" s="251"/>
      <c r="H1034" s="251">
        <v>1.1000000000000001</v>
      </c>
      <c r="I1034" s="251"/>
      <c r="J1034" s="253"/>
      <c r="K1034" s="254">
        <f t="shared" si="30"/>
        <v>174.78449999999998</v>
      </c>
      <c r="L1034" s="255"/>
    </row>
    <row r="1035" spans="2:12">
      <c r="B1035" s="205" t="s">
        <v>1572</v>
      </c>
      <c r="C1035" s="250" t="s">
        <v>1521</v>
      </c>
      <c r="D1035" s="205" t="s">
        <v>1274</v>
      </c>
      <c r="E1035" s="251">
        <v>1210.6500000000001</v>
      </c>
      <c r="F1035" s="252">
        <v>0.96299999999999997</v>
      </c>
      <c r="G1035" s="251">
        <v>0.5</v>
      </c>
      <c r="H1035" s="251">
        <v>1.1000000000000001</v>
      </c>
      <c r="I1035" s="251"/>
      <c r="J1035" s="253"/>
      <c r="K1035" s="254">
        <f t="shared" si="30"/>
        <v>641.22077250000007</v>
      </c>
      <c r="L1035" s="255"/>
    </row>
    <row r="1036" spans="2:12">
      <c r="B1036" s="205" t="s">
        <v>1573</v>
      </c>
      <c r="C1036" s="250" t="s">
        <v>1521</v>
      </c>
      <c r="D1036" s="205" t="s">
        <v>1274</v>
      </c>
      <c r="E1036" s="251">
        <v>1168.92</v>
      </c>
      <c r="F1036" s="252">
        <v>0.96299999999999997</v>
      </c>
      <c r="G1036" s="251">
        <v>0.5</v>
      </c>
      <c r="H1036" s="251">
        <v>1.1000000000000001</v>
      </c>
      <c r="I1036" s="251"/>
      <c r="J1036" s="253"/>
      <c r="K1036" s="254">
        <f t="shared" si="30"/>
        <v>619.11847799999998</v>
      </c>
      <c r="L1036" s="255"/>
    </row>
    <row r="1037" spans="2:12">
      <c r="B1037" s="256"/>
      <c r="C1037" s="210"/>
      <c r="D1037" s="210"/>
      <c r="E1037" s="257"/>
      <c r="F1037" s="258"/>
      <c r="G1037" s="257"/>
      <c r="H1037" s="257"/>
      <c r="I1037" s="257"/>
      <c r="J1037" s="259"/>
      <c r="K1037" s="260">
        <f t="shared" si="30"/>
        <v>0</v>
      </c>
      <c r="L1037" s="210"/>
    </row>
    <row r="1038" spans="2:12">
      <c r="B1038" s="202"/>
      <c r="C1038" s="203"/>
      <c r="D1038" s="203"/>
      <c r="E1038" s="203"/>
      <c r="F1038" s="203"/>
      <c r="G1038" s="203"/>
      <c r="H1038" s="204"/>
      <c r="I1038" s="556" t="s">
        <v>1221</v>
      </c>
      <c r="J1038" s="556"/>
      <c r="K1038" s="220">
        <f>SUM(K1031:K1037)</f>
        <v>3301.8698789999999</v>
      </c>
      <c r="L1038" s="207"/>
    </row>
    <row r="1039" spans="2:12">
      <c r="B1039" s="208"/>
      <c r="C1039" s="204"/>
      <c r="D1039" s="204"/>
      <c r="E1039" s="204"/>
      <c r="F1039" s="204"/>
      <c r="G1039" s="204"/>
      <c r="H1039" s="209"/>
      <c r="I1039" s="557" t="s">
        <v>1222</v>
      </c>
      <c r="J1039" s="557"/>
      <c r="K1039" s="221">
        <f>VLOOKUP(B1029,'BM 004'!$B$27:$R$590,4,0)</f>
        <v>8278.6</v>
      </c>
      <c r="L1039" s="207"/>
    </row>
    <row r="1040" spans="2:12">
      <c r="B1040" s="208"/>
      <c r="C1040" s="204"/>
      <c r="D1040" s="204"/>
      <c r="E1040" s="204"/>
      <c r="F1040" s="204"/>
      <c r="G1040" s="204"/>
      <c r="H1040" s="558" t="s">
        <v>1223</v>
      </c>
      <c r="I1040" s="558"/>
      <c r="J1040" s="558"/>
      <c r="K1040" s="222">
        <f>K1038-K1041</f>
        <v>2041.8698789999999</v>
      </c>
      <c r="L1040" s="207"/>
    </row>
    <row r="1041" spans="2:12">
      <c r="B1041" s="208"/>
      <c r="C1041" s="204"/>
      <c r="D1041" s="204"/>
      <c r="E1041" s="204"/>
      <c r="F1041" s="204"/>
      <c r="G1041" s="204"/>
      <c r="H1041" s="558" t="s">
        <v>1435</v>
      </c>
      <c r="I1041" s="558"/>
      <c r="J1041" s="558"/>
      <c r="K1041" s="222">
        <f>IF(K1038&gt;K1039,0,TRUNC(SUMIF(C1031:C1037,H1041,K1031:K1037),L9333))</f>
        <v>1260</v>
      </c>
      <c r="L1041" s="207"/>
    </row>
    <row r="1042" spans="2:12">
      <c r="B1042" s="213"/>
      <c r="C1042" s="214"/>
      <c r="D1042" s="214"/>
      <c r="E1042" s="214"/>
      <c r="F1042" s="214"/>
      <c r="G1042" s="214"/>
      <c r="H1042" s="559" t="s">
        <v>1224</v>
      </c>
      <c r="I1042" s="559"/>
      <c r="J1042" s="559"/>
      <c r="K1042" s="223">
        <f>IF(K1038&gt;K1039,K1038-K1039,0)</f>
        <v>0</v>
      </c>
      <c r="L1042" s="209"/>
    </row>
    <row r="1044" spans="2:12">
      <c r="B1044" s="247" t="s">
        <v>248</v>
      </c>
      <c r="C1044" s="565" t="str">
        <f>VLOOKUP(B1044,'BM 004'!$B$27:$R$590,2,0)</f>
        <v xml:space="preserve">Armação de laje de uma estrutura convencional de concreto armado em um edifício de múltiplos pavimentos utilizando aço ca-50 de 16,0 mm - montagem. </v>
      </c>
      <c r="D1044" s="565"/>
      <c r="E1044" s="565"/>
      <c r="F1044" s="565"/>
      <c r="G1044" s="565"/>
      <c r="H1044" s="565"/>
      <c r="I1044" s="565"/>
      <c r="J1044" s="565"/>
      <c r="K1044" s="565"/>
      <c r="L1044" s="565"/>
    </row>
    <row r="1045" spans="2:12">
      <c r="B1045" s="248" t="s">
        <v>1209</v>
      </c>
      <c r="C1045" s="248"/>
      <c r="D1045" s="248" t="s">
        <v>39</v>
      </c>
      <c r="E1045" s="248" t="s">
        <v>1210</v>
      </c>
      <c r="F1045" s="248" t="s">
        <v>1388</v>
      </c>
      <c r="G1045" s="248" t="s">
        <v>1212</v>
      </c>
      <c r="H1045" s="248" t="s">
        <v>1213</v>
      </c>
      <c r="I1045" s="248" t="s">
        <v>1214</v>
      </c>
      <c r="J1045" s="248" t="s">
        <v>1385</v>
      </c>
      <c r="K1045" s="248" t="s">
        <v>1216</v>
      </c>
      <c r="L1045" s="248" t="s">
        <v>1217</v>
      </c>
    </row>
    <row r="1046" spans="2:12">
      <c r="B1046" s="205" t="s">
        <v>1510</v>
      </c>
      <c r="C1046" s="250" t="s">
        <v>1441</v>
      </c>
      <c r="D1046" s="205" t="s">
        <v>1274</v>
      </c>
      <c r="E1046" s="251">
        <v>758.1</v>
      </c>
      <c r="F1046" s="252">
        <v>1.5780000000000001</v>
      </c>
      <c r="G1046" s="251">
        <v>0.45</v>
      </c>
      <c r="H1046" s="251">
        <v>1.1000000000000001</v>
      </c>
      <c r="I1046" s="251"/>
      <c r="J1046" s="253"/>
      <c r="K1046" s="254">
        <f t="shared" ref="K1046:K1052" si="31">IF(E1046*F1046*G1046&lt;&gt;0,E1046*F1046*G1046,IF(E1046*F1046&lt;&gt;0,E1046*F1046,IF(F1046*G1046&lt;&gt;0,F1046*G1046,IF(E1046*G1046&lt;&gt;0,E1046*G1046,IF(E1046&lt;&gt;0,E1046,IF(F1046&lt;&gt;0,F1046,IF(G1046&lt;&gt;0,G1046,0)))))))*(IF(H1046&lt;&gt;0,H1046,1))+I1046-J1046</f>
        <v>592.15949100000012</v>
      </c>
      <c r="L1046" s="255"/>
    </row>
    <row r="1047" spans="2:12">
      <c r="B1047" s="205" t="s">
        <v>1512</v>
      </c>
      <c r="C1047" s="250" t="s">
        <v>1441</v>
      </c>
      <c r="D1047" s="205" t="s">
        <v>1274</v>
      </c>
      <c r="E1047" s="251">
        <v>365.1</v>
      </c>
      <c r="F1047" s="252">
        <v>1.5780000000000001</v>
      </c>
      <c r="G1047" s="251">
        <v>0.45</v>
      </c>
      <c r="H1047" s="251">
        <v>1.1000000000000001</v>
      </c>
      <c r="I1047" s="251"/>
      <c r="J1047" s="253"/>
      <c r="K1047" s="254">
        <f t="shared" si="31"/>
        <v>285.18326100000007</v>
      </c>
      <c r="L1047" s="255"/>
    </row>
    <row r="1048" spans="2:12">
      <c r="B1048" s="205" t="s">
        <v>1513</v>
      </c>
      <c r="C1048" s="250" t="s">
        <v>1441</v>
      </c>
      <c r="D1048" s="205" t="s">
        <v>1274</v>
      </c>
      <c r="E1048" s="251">
        <v>584</v>
      </c>
      <c r="F1048" s="252">
        <v>1.5780000000000001</v>
      </c>
      <c r="G1048" s="251"/>
      <c r="H1048" s="251">
        <v>1.1000000000000001</v>
      </c>
      <c r="I1048" s="251"/>
      <c r="J1048" s="253"/>
      <c r="K1048" s="254">
        <f t="shared" si="31"/>
        <v>1013.7072000000001</v>
      </c>
      <c r="L1048" s="255"/>
    </row>
    <row r="1049" spans="2:12">
      <c r="B1049" s="205" t="s">
        <v>1514</v>
      </c>
      <c r="C1049" s="250" t="s">
        <v>1441</v>
      </c>
      <c r="D1049" s="205" t="s">
        <v>1274</v>
      </c>
      <c r="E1049" s="251">
        <v>722</v>
      </c>
      <c r="F1049" s="252">
        <v>1.5780000000000001</v>
      </c>
      <c r="G1049" s="251"/>
      <c r="H1049" s="251">
        <v>1.1000000000000001</v>
      </c>
      <c r="I1049" s="251"/>
      <c r="J1049" s="253"/>
      <c r="K1049" s="254">
        <f t="shared" si="31"/>
        <v>1253.2476000000001</v>
      </c>
      <c r="L1049" s="255"/>
    </row>
    <row r="1050" spans="2:12">
      <c r="B1050" s="205" t="s">
        <v>1572</v>
      </c>
      <c r="C1050" s="250" t="s">
        <v>1521</v>
      </c>
      <c r="D1050" s="205" t="s">
        <v>1274</v>
      </c>
      <c r="E1050" s="251">
        <v>1168.92</v>
      </c>
      <c r="F1050" s="252">
        <v>1.5780000000000001</v>
      </c>
      <c r="G1050" s="251">
        <v>0.5</v>
      </c>
      <c r="H1050" s="251">
        <v>1.1000000000000001</v>
      </c>
      <c r="I1050" s="251"/>
      <c r="J1050" s="253"/>
      <c r="K1050" s="254">
        <f t="shared" si="31"/>
        <v>1014.5056680000002</v>
      </c>
      <c r="L1050" s="255"/>
    </row>
    <row r="1051" spans="2:12">
      <c r="B1051" s="205" t="s">
        <v>1573</v>
      </c>
      <c r="C1051" s="250" t="s">
        <v>1521</v>
      </c>
      <c r="D1051" s="205" t="s">
        <v>1274</v>
      </c>
      <c r="E1051" s="251">
        <v>5626</v>
      </c>
      <c r="F1051" s="252">
        <v>1.5780000000000001</v>
      </c>
      <c r="G1051" s="251">
        <v>0.5</v>
      </c>
      <c r="H1051" s="251">
        <v>1.1000000000000001</v>
      </c>
      <c r="I1051" s="251"/>
      <c r="J1051" s="253"/>
      <c r="K1051" s="254">
        <f t="shared" si="31"/>
        <v>4882.8054000000002</v>
      </c>
      <c r="L1051" s="255"/>
    </row>
    <row r="1052" spans="2:12">
      <c r="B1052" s="256"/>
      <c r="C1052" s="210"/>
      <c r="D1052" s="210"/>
      <c r="E1052" s="257"/>
      <c r="F1052" s="258"/>
      <c r="G1052" s="257"/>
      <c r="H1052" s="257"/>
      <c r="I1052" s="257"/>
      <c r="J1052" s="259"/>
      <c r="K1052" s="260">
        <f t="shared" si="31"/>
        <v>0</v>
      </c>
      <c r="L1052" s="210"/>
    </row>
    <row r="1053" spans="2:12">
      <c r="B1053" s="202"/>
      <c r="C1053" s="203"/>
      <c r="D1053" s="203"/>
      <c r="E1053" s="203"/>
      <c r="F1053" s="203"/>
      <c r="G1053" s="203"/>
      <c r="H1053" s="204"/>
      <c r="I1053" s="556" t="s">
        <v>1221</v>
      </c>
      <c r="J1053" s="556"/>
      <c r="K1053" s="220">
        <f>SUM(K1046:K1052)</f>
        <v>9041.6086200000009</v>
      </c>
      <c r="L1053" s="207"/>
    </row>
    <row r="1054" spans="2:12">
      <c r="B1054" s="208"/>
      <c r="C1054" s="204"/>
      <c r="D1054" s="204"/>
      <c r="E1054" s="204"/>
      <c r="F1054" s="204"/>
      <c r="G1054" s="204"/>
      <c r="H1054" s="209"/>
      <c r="I1054" s="557" t="s">
        <v>1222</v>
      </c>
      <c r="J1054" s="557"/>
      <c r="K1054" s="221">
        <f>VLOOKUP(B1044,'BM 004'!$B$27:$R$590,4,0)</f>
        <v>8114.7</v>
      </c>
      <c r="L1054" s="207"/>
    </row>
    <row r="1055" spans="2:12">
      <c r="B1055" s="208"/>
      <c r="C1055" s="204"/>
      <c r="D1055" s="204"/>
      <c r="E1055" s="204"/>
      <c r="F1055" s="204"/>
      <c r="G1055" s="204"/>
      <c r="H1055" s="558" t="s">
        <v>1223</v>
      </c>
      <c r="I1055" s="558"/>
      <c r="J1055" s="558"/>
      <c r="K1055" s="222">
        <f>VLOOKUP(B1044,'BM 005'!$B$27:$R$590,6,0)</f>
        <v>3144.29</v>
      </c>
      <c r="L1055" s="207"/>
    </row>
    <row r="1056" spans="2:12">
      <c r="B1056" s="208"/>
      <c r="C1056" s="204"/>
      <c r="D1056" s="204"/>
      <c r="E1056" s="204"/>
      <c r="F1056" s="204"/>
      <c r="G1056" s="204"/>
      <c r="H1056" s="558" t="s">
        <v>1435</v>
      </c>
      <c r="I1056" s="558"/>
      <c r="J1056" s="558"/>
      <c r="K1056" s="222">
        <f>IF(K1053&gt;K1054,K1054-K1055,K1053-K1055)</f>
        <v>4970.41</v>
      </c>
      <c r="L1056" s="207"/>
    </row>
    <row r="1057" spans="2:12">
      <c r="B1057" s="213"/>
      <c r="C1057" s="214"/>
      <c r="D1057" s="214"/>
      <c r="E1057" s="214"/>
      <c r="F1057" s="214"/>
      <c r="G1057" s="214"/>
      <c r="H1057" s="559" t="s">
        <v>1224</v>
      </c>
      <c r="I1057" s="559"/>
      <c r="J1057" s="559"/>
      <c r="K1057" s="223">
        <f>IF(K1053&gt;K1054,K1053-K1054,0)</f>
        <v>926.90862000000106</v>
      </c>
      <c r="L1057" s="209"/>
    </row>
    <row r="1059" spans="2:12">
      <c r="B1059" s="247" t="s">
        <v>250</v>
      </c>
      <c r="C1059" s="565" t="str">
        <f>VLOOKUP(B1059,'BM 004'!$B$27:$R$590,2,0)</f>
        <v xml:space="preserve">Armação de laje de uma estrutura convencional de concreto armado em um edifício de múltiplos pavimentos utilizando aço ca-50 de 20,0 mm - montagem. </v>
      </c>
      <c r="D1059" s="565"/>
      <c r="E1059" s="565"/>
      <c r="F1059" s="565"/>
      <c r="G1059" s="565"/>
      <c r="H1059" s="565"/>
      <c r="I1059" s="565"/>
      <c r="J1059" s="565"/>
      <c r="K1059" s="565"/>
      <c r="L1059" s="565"/>
    </row>
    <row r="1060" spans="2:12">
      <c r="B1060" s="248" t="s">
        <v>1209</v>
      </c>
      <c r="C1060" s="248"/>
      <c r="D1060" s="248" t="s">
        <v>39</v>
      </c>
      <c r="E1060" s="248" t="s">
        <v>1210</v>
      </c>
      <c r="F1060" s="248" t="s">
        <v>1388</v>
      </c>
      <c r="G1060" s="248" t="s">
        <v>1212</v>
      </c>
      <c r="H1060" s="248" t="s">
        <v>1213</v>
      </c>
      <c r="I1060" s="248" t="s">
        <v>1214</v>
      </c>
      <c r="J1060" s="248" t="s">
        <v>1385</v>
      </c>
      <c r="K1060" s="248" t="s">
        <v>1216</v>
      </c>
      <c r="L1060" s="248" t="s">
        <v>1217</v>
      </c>
    </row>
    <row r="1061" spans="2:12">
      <c r="B1061" s="205" t="s">
        <v>1510</v>
      </c>
      <c r="C1061" s="250" t="s">
        <v>1441</v>
      </c>
      <c r="D1061" s="205" t="s">
        <v>1274</v>
      </c>
      <c r="E1061" s="251">
        <v>156.41999999999999</v>
      </c>
      <c r="F1061" s="252">
        <v>2.4660000000000002</v>
      </c>
      <c r="G1061" s="251">
        <v>0.45</v>
      </c>
      <c r="H1061" s="251">
        <v>1.1000000000000001</v>
      </c>
      <c r="I1061" s="251"/>
      <c r="J1061" s="253"/>
      <c r="K1061" s="254">
        <f t="shared" ref="K1061:K1067" si="32">IF(E1061*F1061*G1061&lt;&gt;0,E1061*F1061*G1061,IF(E1061*F1061&lt;&gt;0,E1061*F1061,IF(F1061*G1061&lt;&gt;0,F1061*G1061,IF(E1061*G1061&lt;&gt;0,E1061*G1061,IF(E1061&lt;&gt;0,E1061,IF(F1061&lt;&gt;0,F1061,IF(G1061&lt;&gt;0,G1061,0)))))))*(IF(H1061&lt;&gt;0,H1061,1))+I1061-J1061</f>
        <v>190.93720140000002</v>
      </c>
      <c r="L1061" s="255"/>
    </row>
    <row r="1062" spans="2:12">
      <c r="B1062" s="205" t="s">
        <v>1512</v>
      </c>
      <c r="C1062" s="250" t="s">
        <v>1441</v>
      </c>
      <c r="D1062" s="205" t="s">
        <v>1274</v>
      </c>
      <c r="E1062" s="251">
        <v>154.41999999999999</v>
      </c>
      <c r="F1062" s="252">
        <v>2.4660000000000002</v>
      </c>
      <c r="G1062" s="251">
        <v>0.45</v>
      </c>
      <c r="H1062" s="251">
        <v>1.1000000000000001</v>
      </c>
      <c r="I1062" s="251"/>
      <c r="J1062" s="253"/>
      <c r="K1062" s="254">
        <f t="shared" si="32"/>
        <v>188.4958614</v>
      </c>
      <c r="L1062" s="255"/>
    </row>
    <row r="1063" spans="2:12">
      <c r="B1063" s="205" t="s">
        <v>1513</v>
      </c>
      <c r="C1063" s="250" t="s">
        <v>1441</v>
      </c>
      <c r="D1063" s="205" t="s">
        <v>1274</v>
      </c>
      <c r="E1063" s="251">
        <v>51</v>
      </c>
      <c r="F1063" s="252">
        <v>2.4660000000000002</v>
      </c>
      <c r="G1063" s="251"/>
      <c r="H1063" s="251">
        <v>1.1000000000000001</v>
      </c>
      <c r="I1063" s="251"/>
      <c r="J1063" s="253"/>
      <c r="K1063" s="254">
        <f t="shared" si="32"/>
        <v>138.3426</v>
      </c>
      <c r="L1063" s="255"/>
    </row>
    <row r="1064" spans="2:12">
      <c r="B1064" s="205" t="s">
        <v>1514</v>
      </c>
      <c r="C1064" s="250" t="s">
        <v>1441</v>
      </c>
      <c r="D1064" s="205" t="s">
        <v>1274</v>
      </c>
      <c r="E1064" s="251">
        <v>298</v>
      </c>
      <c r="F1064" s="252">
        <v>2.4660000000000002</v>
      </c>
      <c r="G1064" s="251"/>
      <c r="H1064" s="251">
        <v>1.1000000000000001</v>
      </c>
      <c r="I1064" s="251"/>
      <c r="J1064" s="253"/>
      <c r="K1064" s="254">
        <f t="shared" si="32"/>
        <v>808.35480000000007</v>
      </c>
      <c r="L1064" s="255"/>
    </row>
    <row r="1065" spans="2:12">
      <c r="B1065" s="205" t="s">
        <v>1572</v>
      </c>
      <c r="C1065" s="250" t="s">
        <v>1521</v>
      </c>
      <c r="D1065" s="205" t="s">
        <v>1274</v>
      </c>
      <c r="E1065" s="251">
        <v>1019.89</v>
      </c>
      <c r="F1065" s="252">
        <v>2.4660000000000002</v>
      </c>
      <c r="G1065" s="251">
        <v>0.5</v>
      </c>
      <c r="H1065" s="251">
        <v>1.1000000000000001</v>
      </c>
      <c r="I1065" s="251"/>
      <c r="J1065" s="253"/>
      <c r="K1065" s="254">
        <f t="shared" si="32"/>
        <v>1383.2768070000002</v>
      </c>
      <c r="L1065" s="255"/>
    </row>
    <row r="1066" spans="2:12">
      <c r="B1066" s="205" t="s">
        <v>1573</v>
      </c>
      <c r="C1066" s="250" t="s">
        <v>1521</v>
      </c>
      <c r="D1066" s="205" t="s">
        <v>1274</v>
      </c>
      <c r="E1066" s="251">
        <v>804</v>
      </c>
      <c r="F1066" s="252">
        <v>2.4660000000000002</v>
      </c>
      <c r="G1066" s="251">
        <v>0.5</v>
      </c>
      <c r="H1066" s="251">
        <v>1.1000000000000001</v>
      </c>
      <c r="I1066" s="251"/>
      <c r="J1066" s="253"/>
      <c r="K1066" s="254">
        <f t="shared" si="32"/>
        <v>1090.4652000000001</v>
      </c>
      <c r="L1066" s="255"/>
    </row>
    <row r="1067" spans="2:12">
      <c r="B1067" s="256"/>
      <c r="C1067" s="210"/>
      <c r="D1067" s="210"/>
      <c r="E1067" s="257"/>
      <c r="F1067" s="258"/>
      <c r="G1067" s="257"/>
      <c r="H1067" s="257"/>
      <c r="I1067" s="257"/>
      <c r="J1067" s="259"/>
      <c r="K1067" s="260">
        <f t="shared" si="32"/>
        <v>0</v>
      </c>
      <c r="L1067" s="210"/>
    </row>
    <row r="1068" spans="2:12">
      <c r="B1068" s="202"/>
      <c r="C1068" s="203"/>
      <c r="D1068" s="203"/>
      <c r="E1068" s="203"/>
      <c r="F1068" s="203"/>
      <c r="G1068" s="203"/>
      <c r="H1068" s="204"/>
      <c r="I1068" s="556" t="s">
        <v>1221</v>
      </c>
      <c r="J1068" s="556"/>
      <c r="K1068" s="220">
        <f>SUM(K1061:K1067)</f>
        <v>3799.8724698000001</v>
      </c>
      <c r="L1068" s="207"/>
    </row>
    <row r="1069" spans="2:12">
      <c r="B1069" s="208"/>
      <c r="C1069" s="204"/>
      <c r="D1069" s="204"/>
      <c r="E1069" s="204"/>
      <c r="F1069" s="204"/>
      <c r="G1069" s="204"/>
      <c r="H1069" s="209"/>
      <c r="I1069" s="557" t="s">
        <v>1222</v>
      </c>
      <c r="J1069" s="557"/>
      <c r="K1069" s="221">
        <f>VLOOKUP(B1059,'BM 004'!$B$27:$R$590,4,0)</f>
        <v>11554.4</v>
      </c>
      <c r="L1069" s="207"/>
    </row>
    <row r="1070" spans="2:12">
      <c r="B1070" s="208"/>
      <c r="C1070" s="204"/>
      <c r="D1070" s="204"/>
      <c r="E1070" s="204"/>
      <c r="F1070" s="204"/>
      <c r="G1070" s="204"/>
      <c r="H1070" s="558" t="s">
        <v>1223</v>
      </c>
      <c r="I1070" s="558"/>
      <c r="J1070" s="558"/>
      <c r="K1070" s="222">
        <f>K1068-K1071</f>
        <v>1326.1324698000003</v>
      </c>
      <c r="L1070" s="207"/>
    </row>
    <row r="1071" spans="2:12">
      <c r="B1071" s="208"/>
      <c r="C1071" s="204"/>
      <c r="D1071" s="204"/>
      <c r="E1071" s="204"/>
      <c r="F1071" s="204"/>
      <c r="G1071" s="204"/>
      <c r="H1071" s="558" t="s">
        <v>1435</v>
      </c>
      <c r="I1071" s="558"/>
      <c r="J1071" s="558"/>
      <c r="K1071" s="222">
        <f>TRUNC(SUMIF(C1061:C1067,H1071,K1061:K1067),2)</f>
        <v>2473.7399999999998</v>
      </c>
      <c r="L1071" s="207"/>
    </row>
    <row r="1072" spans="2:12">
      <c r="B1072" s="213"/>
      <c r="C1072" s="214"/>
      <c r="D1072" s="214"/>
      <c r="E1072" s="214"/>
      <c r="F1072" s="214"/>
      <c r="G1072" s="214"/>
      <c r="H1072" s="559" t="s">
        <v>1224</v>
      </c>
      <c r="I1072" s="559"/>
      <c r="J1072" s="559"/>
      <c r="K1072" s="223">
        <f>IF(K1068&gt;K1069,K1068-K1069,0)</f>
        <v>0</v>
      </c>
      <c r="L1072" s="209"/>
    </row>
    <row r="1074" spans="2:12">
      <c r="B1074" s="247" t="s">
        <v>252</v>
      </c>
      <c r="C1074" s="565" t="str">
        <f>VLOOKUP(B1074,'BM 004'!$B$27:$R$590,2,0)</f>
        <v>ARMAÇÃO DE LAJE DE UMA ESTRUTURA CONVENCIONAL DE CONCRETO ARMADO EM UM EDIFÍCIO DE MÚLTIPLOS PAVIMENTOS UTILIZANDO AÇO CA-50 DE 25,0 MM - MONTAGEM.</v>
      </c>
      <c r="D1074" s="565"/>
      <c r="E1074" s="565"/>
      <c r="F1074" s="565"/>
      <c r="G1074" s="565"/>
      <c r="H1074" s="565"/>
      <c r="I1074" s="565"/>
      <c r="J1074" s="565"/>
      <c r="K1074" s="565"/>
      <c r="L1074" s="565"/>
    </row>
    <row r="1075" spans="2:12">
      <c r="B1075" s="248" t="s">
        <v>1209</v>
      </c>
      <c r="C1075" s="248"/>
      <c r="D1075" s="248" t="s">
        <v>39</v>
      </c>
      <c r="E1075" s="248" t="s">
        <v>1210</v>
      </c>
      <c r="F1075" s="248" t="s">
        <v>1388</v>
      </c>
      <c r="G1075" s="248" t="s">
        <v>1212</v>
      </c>
      <c r="H1075" s="248" t="s">
        <v>1213</v>
      </c>
      <c r="I1075" s="248" t="s">
        <v>1214</v>
      </c>
      <c r="J1075" s="248" t="s">
        <v>1385</v>
      </c>
      <c r="K1075" s="248" t="s">
        <v>1216</v>
      </c>
      <c r="L1075" s="248" t="s">
        <v>1217</v>
      </c>
    </row>
    <row r="1076" spans="2:12">
      <c r="B1076" s="205" t="s">
        <v>1510</v>
      </c>
      <c r="C1076" s="250" t="s">
        <v>1441</v>
      </c>
      <c r="D1076" s="205" t="s">
        <v>1274</v>
      </c>
      <c r="E1076" s="251">
        <v>372.94</v>
      </c>
      <c r="F1076" s="252">
        <v>3.8530000000000002</v>
      </c>
      <c r="G1076" s="251">
        <v>0.45</v>
      </c>
      <c r="H1076" s="251">
        <v>1.1000000000000001</v>
      </c>
      <c r="I1076" s="251"/>
      <c r="J1076" s="253"/>
      <c r="K1076" s="254">
        <f t="shared" ref="K1076:K1082" si="33">IF(E1076*F1076*G1076&lt;&gt;0,E1076*F1076*G1076,IF(E1076*F1076&lt;&gt;0,E1076*F1076,IF(F1076*G1076&lt;&gt;0,F1076*G1076,IF(E1076*G1076&lt;&gt;0,E1076*G1076,IF(E1076&lt;&gt;0,E1076,IF(F1076&lt;&gt;0,F1076,IF(G1076&lt;&gt;0,G1076,0)))))))*(IF(H1076&lt;&gt;0,H1076,1))+I1076-J1076</f>
        <v>711.28422090000004</v>
      </c>
      <c r="L1076" s="255"/>
    </row>
    <row r="1077" spans="2:12">
      <c r="B1077" s="205" t="s">
        <v>1512</v>
      </c>
      <c r="C1077" s="250" t="s">
        <v>1441</v>
      </c>
      <c r="D1077" s="205" t="s">
        <v>1274</v>
      </c>
      <c r="E1077" s="251">
        <v>47.06</v>
      </c>
      <c r="F1077" s="252">
        <v>3.8530000000000002</v>
      </c>
      <c r="G1077" s="251">
        <v>0.45</v>
      </c>
      <c r="H1077" s="251">
        <v>1.1000000000000001</v>
      </c>
      <c r="I1077" s="251"/>
      <c r="J1077" s="253"/>
      <c r="K1077" s="254">
        <f t="shared" si="33"/>
        <v>89.754479100000026</v>
      </c>
      <c r="L1077" s="255"/>
    </row>
    <row r="1078" spans="2:12">
      <c r="B1078" s="205" t="s">
        <v>1513</v>
      </c>
      <c r="C1078" s="250" t="s">
        <v>1441</v>
      </c>
      <c r="D1078" s="205" t="s">
        <v>1274</v>
      </c>
      <c r="E1078" s="251">
        <v>6</v>
      </c>
      <c r="F1078" s="252">
        <v>3.8530000000000002</v>
      </c>
      <c r="G1078" s="251"/>
      <c r="H1078" s="251">
        <v>1.1000000000000001</v>
      </c>
      <c r="I1078" s="251"/>
      <c r="J1078" s="253"/>
      <c r="K1078" s="254">
        <f t="shared" si="33"/>
        <v>25.429800000000004</v>
      </c>
      <c r="L1078" s="255"/>
    </row>
    <row r="1079" spans="2:12">
      <c r="B1079" s="205" t="s">
        <v>1514</v>
      </c>
      <c r="C1079" s="250" t="s">
        <v>1441</v>
      </c>
      <c r="D1079" s="205" t="s">
        <v>1274</v>
      </c>
      <c r="E1079" s="251">
        <v>3</v>
      </c>
      <c r="F1079" s="252">
        <v>3.8530000000000002</v>
      </c>
      <c r="G1079" s="251"/>
      <c r="H1079" s="251">
        <v>1.1000000000000001</v>
      </c>
      <c r="I1079" s="251"/>
      <c r="J1079" s="253"/>
      <c r="K1079" s="254">
        <f t="shared" si="33"/>
        <v>12.714900000000002</v>
      </c>
      <c r="L1079" s="255"/>
    </row>
    <row r="1080" spans="2:12">
      <c r="B1080" s="205" t="s">
        <v>1572</v>
      </c>
      <c r="C1080" s="250" t="s">
        <v>1521</v>
      </c>
      <c r="D1080" s="205" t="s">
        <v>1274</v>
      </c>
      <c r="E1080" s="251">
        <v>37.869999999999997</v>
      </c>
      <c r="F1080" s="252">
        <v>3.8530000000000002</v>
      </c>
      <c r="G1080" s="251">
        <v>0.5</v>
      </c>
      <c r="H1080" s="251">
        <v>1.1000000000000001</v>
      </c>
      <c r="I1080" s="251"/>
      <c r="J1080" s="253"/>
      <c r="K1080" s="254">
        <f t="shared" si="33"/>
        <v>80.252210500000004</v>
      </c>
      <c r="L1080" s="255"/>
    </row>
    <row r="1081" spans="2:12">
      <c r="B1081" s="205" t="s">
        <v>1573</v>
      </c>
      <c r="C1081" s="250" t="s">
        <v>1521</v>
      </c>
      <c r="D1081" s="205" t="s">
        <v>1274</v>
      </c>
      <c r="E1081" s="251">
        <v>5</v>
      </c>
      <c r="F1081" s="252">
        <v>3.8530000000000002</v>
      </c>
      <c r="G1081" s="251">
        <v>0.5</v>
      </c>
      <c r="H1081" s="251">
        <v>1.1000000000000001</v>
      </c>
      <c r="I1081" s="251"/>
      <c r="J1081" s="253"/>
      <c r="K1081" s="254">
        <f t="shared" si="33"/>
        <v>10.595750000000001</v>
      </c>
      <c r="L1081" s="255"/>
    </row>
    <row r="1082" spans="2:12">
      <c r="B1082" s="256"/>
      <c r="C1082" s="210"/>
      <c r="D1082" s="210"/>
      <c r="E1082" s="257"/>
      <c r="F1082" s="258"/>
      <c r="G1082" s="257"/>
      <c r="H1082" s="257"/>
      <c r="I1082" s="257"/>
      <c r="J1082" s="259"/>
      <c r="K1082" s="260">
        <f t="shared" si="33"/>
        <v>0</v>
      </c>
      <c r="L1082" s="210"/>
    </row>
    <row r="1083" spans="2:12">
      <c r="B1083" s="202"/>
      <c r="C1083" s="203"/>
      <c r="D1083" s="203"/>
      <c r="E1083" s="203"/>
      <c r="F1083" s="203"/>
      <c r="G1083" s="203"/>
      <c r="H1083" s="204"/>
      <c r="I1083" s="556" t="s">
        <v>1221</v>
      </c>
      <c r="J1083" s="556"/>
      <c r="K1083" s="220">
        <f>SUM(K1076:K1082)</f>
        <v>930.03136050000012</v>
      </c>
      <c r="L1083" s="207"/>
    </row>
    <row r="1084" spans="2:12">
      <c r="B1084" s="208"/>
      <c r="C1084" s="204"/>
      <c r="D1084" s="204"/>
      <c r="E1084" s="204"/>
      <c r="F1084" s="204"/>
      <c r="G1084" s="204"/>
      <c r="H1084" s="209"/>
      <c r="I1084" s="557" t="s">
        <v>1222</v>
      </c>
      <c r="J1084" s="557"/>
      <c r="K1084" s="221">
        <f>VLOOKUP(B1074,'BM 004'!$B$27:$R$590,4,0)</f>
        <v>5166.7</v>
      </c>
      <c r="L1084" s="207"/>
    </row>
    <row r="1085" spans="2:12">
      <c r="B1085" s="208"/>
      <c r="C1085" s="204"/>
      <c r="D1085" s="204"/>
      <c r="E1085" s="204"/>
      <c r="F1085" s="204"/>
      <c r="G1085" s="204"/>
      <c r="H1085" s="558" t="s">
        <v>1223</v>
      </c>
      <c r="I1085" s="558"/>
      <c r="J1085" s="558"/>
      <c r="K1085" s="222">
        <f>K1083-K1086</f>
        <v>839.19136050000009</v>
      </c>
      <c r="L1085" s="207"/>
    </row>
    <row r="1086" spans="2:12">
      <c r="B1086" s="208"/>
      <c r="C1086" s="204"/>
      <c r="D1086" s="204"/>
      <c r="E1086" s="204"/>
      <c r="F1086" s="204"/>
      <c r="G1086" s="204"/>
      <c r="H1086" s="558" t="s">
        <v>1435</v>
      </c>
      <c r="I1086" s="558"/>
      <c r="J1086" s="558"/>
      <c r="K1086" s="222">
        <f>TRUNC(SUMIF(C1076:C1082,H1086,K1076:K1082),2)</f>
        <v>90.84</v>
      </c>
      <c r="L1086" s="207"/>
    </row>
    <row r="1087" spans="2:12">
      <c r="B1087" s="213"/>
      <c r="C1087" s="214"/>
      <c r="D1087" s="214"/>
      <c r="E1087" s="214"/>
      <c r="F1087" s="214"/>
      <c r="G1087" s="214"/>
      <c r="H1087" s="559" t="s">
        <v>1224</v>
      </c>
      <c r="I1087" s="559"/>
      <c r="J1087" s="559"/>
      <c r="K1087" s="223">
        <f>IF(K1083&gt;K1084,K1083-K1084,0)</f>
        <v>0</v>
      </c>
      <c r="L1087" s="209"/>
    </row>
    <row r="1089" spans="2:12">
      <c r="B1089" s="247" t="s">
        <v>254</v>
      </c>
      <c r="C1089" s="565" t="str">
        <f>VLOOKUP(B1089,'BM 004'!$B$27:$R$590,2,0)</f>
        <v xml:space="preserve">Concreto simples usinado fck=35mpa, bombeado, lançado e adensado em superestrutura </v>
      </c>
      <c r="D1089" s="565"/>
      <c r="E1089" s="565"/>
      <c r="F1089" s="565"/>
      <c r="G1089" s="565"/>
      <c r="H1089" s="565"/>
      <c r="I1089" s="565"/>
      <c r="J1089" s="565"/>
      <c r="K1089" s="565"/>
      <c r="L1089" s="565"/>
    </row>
    <row r="1090" spans="2:12">
      <c r="B1090" s="248" t="s">
        <v>1209</v>
      </c>
      <c r="C1090" s="248"/>
      <c r="D1090" s="248" t="s">
        <v>39</v>
      </c>
      <c r="E1090" s="248" t="s">
        <v>1210</v>
      </c>
      <c r="F1090" s="248" t="s">
        <v>1388</v>
      </c>
      <c r="G1090" s="248" t="s">
        <v>1212</v>
      </c>
      <c r="H1090" s="248" t="s">
        <v>1213</v>
      </c>
      <c r="I1090" s="248" t="s">
        <v>1214</v>
      </c>
      <c r="J1090" s="248" t="s">
        <v>1385</v>
      </c>
      <c r="K1090" s="248" t="s">
        <v>1216</v>
      </c>
      <c r="L1090" s="248" t="s">
        <v>1217</v>
      </c>
    </row>
    <row r="1091" spans="2:12">
      <c r="B1091" s="255" t="s">
        <v>1501</v>
      </c>
      <c r="C1091" s="250" t="s">
        <v>1441</v>
      </c>
      <c r="D1091" s="205" t="s">
        <v>169</v>
      </c>
      <c r="E1091" s="251">
        <v>1</v>
      </c>
      <c r="F1091" s="252">
        <v>7</v>
      </c>
      <c r="G1091" s="251">
        <v>5.91</v>
      </c>
      <c r="H1091" s="251">
        <v>0.3</v>
      </c>
      <c r="I1091" s="251"/>
      <c r="J1091" s="253">
        <v>6.3423999999999996</v>
      </c>
      <c r="K1091" s="254">
        <f t="shared" ref="K1091:K1118" si="34">IF(E1091*F1091*G1091&lt;&gt;0,E1091*F1091*G1091,IF(E1091*F1091&lt;&gt;0,E1091*F1091,IF(F1091*G1091&lt;&gt;0,F1091*G1091,IF(E1091*G1091&lt;&gt;0,E1091*G1091,IF(E1091&lt;&gt;0,E1091,IF(F1091&lt;&gt;0,F1091,IF(G1091&lt;&gt;0,G1091,0)))))))*(IF(H1091&lt;&gt;0,H1091,1))+I1091-J1091</f>
        <v>6.0686000000000018</v>
      </c>
      <c r="L1091" s="255" t="s">
        <v>1518</v>
      </c>
    </row>
    <row r="1092" spans="2:12">
      <c r="B1092" s="255" t="s">
        <v>1502</v>
      </c>
      <c r="C1092" s="250" t="s">
        <v>1441</v>
      </c>
      <c r="D1092" s="205" t="s">
        <v>169</v>
      </c>
      <c r="E1092" s="251">
        <v>1</v>
      </c>
      <c r="F1092" s="252">
        <v>13.72</v>
      </c>
      <c r="G1092" s="251">
        <v>5.91</v>
      </c>
      <c r="H1092" s="251">
        <v>0.3</v>
      </c>
      <c r="I1092" s="251"/>
      <c r="J1092" s="253">
        <v>12.56235</v>
      </c>
      <c r="K1092" s="254">
        <f t="shared" si="34"/>
        <v>11.763209999999999</v>
      </c>
      <c r="L1092" s="255" t="s">
        <v>1518</v>
      </c>
    </row>
    <row r="1093" spans="2:12">
      <c r="B1093" s="255" t="s">
        <v>1503</v>
      </c>
      <c r="C1093" s="250" t="s">
        <v>1441</v>
      </c>
      <c r="D1093" s="205" t="s">
        <v>169</v>
      </c>
      <c r="E1093" s="251">
        <v>1</v>
      </c>
      <c r="F1093" s="252">
        <v>14.35</v>
      </c>
      <c r="G1093" s="251">
        <v>3.73</v>
      </c>
      <c r="H1093" s="251">
        <v>0.25</v>
      </c>
      <c r="I1093" s="251"/>
      <c r="J1093" s="253">
        <v>6.8421599999999998</v>
      </c>
      <c r="K1093" s="254">
        <f t="shared" si="34"/>
        <v>6.5392150000000004</v>
      </c>
      <c r="L1093" s="255" t="s">
        <v>1519</v>
      </c>
    </row>
    <row r="1094" spans="2:12">
      <c r="B1094" s="255" t="s">
        <v>1504</v>
      </c>
      <c r="C1094" s="250" t="s">
        <v>1441</v>
      </c>
      <c r="D1094" s="205" t="s">
        <v>169</v>
      </c>
      <c r="E1094" s="251">
        <v>1</v>
      </c>
      <c r="F1094" s="252">
        <v>6.49</v>
      </c>
      <c r="G1094" s="251">
        <v>3.73</v>
      </c>
      <c r="H1094" s="251">
        <v>0.25</v>
      </c>
      <c r="I1094" s="251"/>
      <c r="J1094" s="253">
        <v>2.8173599999999999</v>
      </c>
      <c r="K1094" s="254">
        <f t="shared" si="34"/>
        <v>3.2345649999999999</v>
      </c>
      <c r="L1094" s="255" t="s">
        <v>1519</v>
      </c>
    </row>
    <row r="1095" spans="2:12">
      <c r="B1095" s="255" t="s">
        <v>1505</v>
      </c>
      <c r="C1095" s="250" t="s">
        <v>1441</v>
      </c>
      <c r="D1095" s="205" t="s">
        <v>169</v>
      </c>
      <c r="E1095" s="251">
        <v>1</v>
      </c>
      <c r="F1095" s="252">
        <v>7.49</v>
      </c>
      <c r="G1095" s="251">
        <v>1.81</v>
      </c>
      <c r="H1095" s="251">
        <v>0.25</v>
      </c>
      <c r="I1095" s="251"/>
      <c r="J1095" s="253">
        <v>1.55844</v>
      </c>
      <c r="K1095" s="254">
        <f t="shared" si="34"/>
        <v>1.8307850000000001</v>
      </c>
      <c r="L1095" s="255" t="s">
        <v>1519</v>
      </c>
    </row>
    <row r="1096" spans="2:12">
      <c r="B1096" s="255" t="s">
        <v>1506</v>
      </c>
      <c r="C1096" s="250" t="s">
        <v>1441</v>
      </c>
      <c r="D1096" s="205" t="s">
        <v>169</v>
      </c>
      <c r="E1096" s="251">
        <v>1</v>
      </c>
      <c r="F1096" s="252">
        <v>7.1</v>
      </c>
      <c r="G1096" s="251">
        <v>1.81</v>
      </c>
      <c r="H1096" s="251">
        <v>0.25</v>
      </c>
      <c r="I1096" s="251"/>
      <c r="J1096" s="253">
        <v>1.3852800000000001</v>
      </c>
      <c r="K1096" s="254">
        <f t="shared" si="34"/>
        <v>1.8274699999999997</v>
      </c>
      <c r="L1096" s="255" t="s">
        <v>1519</v>
      </c>
    </row>
    <row r="1097" spans="2:12">
      <c r="B1097" s="255" t="s">
        <v>1507</v>
      </c>
      <c r="C1097" s="250" t="s">
        <v>1441</v>
      </c>
      <c r="D1097" s="205" t="s">
        <v>169</v>
      </c>
      <c r="E1097" s="251">
        <v>1</v>
      </c>
      <c r="F1097" s="252">
        <v>7.05</v>
      </c>
      <c r="G1097" s="251">
        <v>1.81</v>
      </c>
      <c r="H1097" s="251">
        <v>0.25</v>
      </c>
      <c r="I1097" s="251"/>
      <c r="J1097" s="253">
        <v>1.3852800000000001</v>
      </c>
      <c r="K1097" s="254">
        <f t="shared" si="34"/>
        <v>1.804845</v>
      </c>
      <c r="L1097" s="255" t="s">
        <v>1519</v>
      </c>
    </row>
    <row r="1098" spans="2:12">
      <c r="B1098" s="255" t="s">
        <v>1508</v>
      </c>
      <c r="C1098" s="250" t="s">
        <v>1441</v>
      </c>
      <c r="D1098" s="205" t="s">
        <v>169</v>
      </c>
      <c r="E1098" s="251">
        <v>1</v>
      </c>
      <c r="F1098" s="252">
        <v>22.04</v>
      </c>
      <c r="G1098" s="251">
        <v>5.8</v>
      </c>
      <c r="H1098" s="251">
        <v>0.25</v>
      </c>
      <c r="I1098" s="251"/>
      <c r="J1098" s="253">
        <v>16.595279999999999</v>
      </c>
      <c r="K1098" s="254">
        <f t="shared" si="34"/>
        <v>15.362719999999999</v>
      </c>
      <c r="L1098" s="255" t="s">
        <v>1519</v>
      </c>
    </row>
    <row r="1099" spans="2:12">
      <c r="B1099" s="255" t="s">
        <v>1509</v>
      </c>
      <c r="C1099" s="250" t="s">
        <v>1441</v>
      </c>
      <c r="D1099" s="205" t="s">
        <v>169</v>
      </c>
      <c r="E1099" s="251">
        <v>1</v>
      </c>
      <c r="F1099" s="252">
        <v>22.04</v>
      </c>
      <c r="G1099" s="251">
        <v>5.69</v>
      </c>
      <c r="H1099" s="251">
        <v>0.25</v>
      </c>
      <c r="I1099" s="251"/>
      <c r="J1099" s="253">
        <v>15.54228</v>
      </c>
      <c r="K1099" s="254">
        <f t="shared" si="34"/>
        <v>15.809620000000001</v>
      </c>
      <c r="L1099" s="255" t="s">
        <v>1519</v>
      </c>
    </row>
    <row r="1100" spans="2:12">
      <c r="B1100" s="255" t="s">
        <v>1496</v>
      </c>
      <c r="C1100" s="250" t="s">
        <v>1441</v>
      </c>
      <c r="D1100" s="205" t="s">
        <v>169</v>
      </c>
      <c r="E1100" s="251">
        <v>1</v>
      </c>
      <c r="F1100" s="252">
        <v>5.85</v>
      </c>
      <c r="G1100" s="251">
        <v>0.49</v>
      </c>
      <c r="H1100" s="251">
        <v>0.12</v>
      </c>
      <c r="I1100" s="251"/>
      <c r="J1100" s="253"/>
      <c r="K1100" s="254">
        <f t="shared" si="34"/>
        <v>0.34397999999999995</v>
      </c>
      <c r="L1100" s="255"/>
    </row>
    <row r="1101" spans="2:12">
      <c r="B1101" s="255" t="s">
        <v>1497</v>
      </c>
      <c r="C1101" s="250" t="s">
        <v>1441</v>
      </c>
      <c r="D1101" s="205" t="s">
        <v>169</v>
      </c>
      <c r="E1101" s="251">
        <v>1</v>
      </c>
      <c r="F1101" s="252">
        <v>3.83</v>
      </c>
      <c r="G1101" s="251">
        <v>0.49</v>
      </c>
      <c r="H1101" s="251">
        <v>0.12</v>
      </c>
      <c r="I1101" s="251"/>
      <c r="J1101" s="253"/>
      <c r="K1101" s="254">
        <f t="shared" si="34"/>
        <v>0.22520399999999999</v>
      </c>
      <c r="L1101" s="255"/>
    </row>
    <row r="1102" spans="2:12">
      <c r="B1102" s="255" t="s">
        <v>1498</v>
      </c>
      <c r="C1102" s="250" t="s">
        <v>1441</v>
      </c>
      <c r="D1102" s="205" t="s">
        <v>169</v>
      </c>
      <c r="E1102" s="251">
        <v>1</v>
      </c>
      <c r="F1102" s="252">
        <v>5.93</v>
      </c>
      <c r="G1102" s="251">
        <v>1.92</v>
      </c>
      <c r="H1102" s="251">
        <v>0.15</v>
      </c>
      <c r="I1102" s="251"/>
      <c r="J1102" s="253"/>
      <c r="K1102" s="254">
        <f t="shared" si="34"/>
        <v>1.7078399999999998</v>
      </c>
      <c r="L1102" s="255"/>
    </row>
    <row r="1103" spans="2:12">
      <c r="B1103" s="255" t="s">
        <v>1499</v>
      </c>
      <c r="C1103" s="250" t="s">
        <v>1441</v>
      </c>
      <c r="D1103" s="205" t="s">
        <v>169</v>
      </c>
      <c r="E1103" s="251">
        <v>1</v>
      </c>
      <c r="F1103" s="252">
        <v>7.62</v>
      </c>
      <c r="G1103" s="251">
        <v>1.92</v>
      </c>
      <c r="H1103" s="251">
        <v>0.15</v>
      </c>
      <c r="I1103" s="251"/>
      <c r="J1103" s="253"/>
      <c r="K1103" s="254">
        <f t="shared" si="34"/>
        <v>2.1945600000000001</v>
      </c>
      <c r="L1103" s="255"/>
    </row>
    <row r="1104" spans="2:12">
      <c r="B1104" s="255" t="s">
        <v>1500</v>
      </c>
      <c r="C1104" s="250" t="s">
        <v>1441</v>
      </c>
      <c r="D1104" s="205" t="s">
        <v>169</v>
      </c>
      <c r="E1104" s="251">
        <v>1</v>
      </c>
      <c r="F1104" s="252">
        <v>4.42</v>
      </c>
      <c r="G1104" s="251">
        <v>2.74</v>
      </c>
      <c r="H1104" s="251">
        <v>0.15</v>
      </c>
      <c r="I1104" s="251"/>
      <c r="J1104" s="253"/>
      <c r="K1104" s="254">
        <f t="shared" si="34"/>
        <v>1.8166200000000001</v>
      </c>
      <c r="L1104" s="255"/>
    </row>
    <row r="1105" spans="2:12">
      <c r="B1105" s="256" t="s">
        <v>1565</v>
      </c>
      <c r="C1105" s="250" t="s">
        <v>1521</v>
      </c>
      <c r="D1105" s="205" t="s">
        <v>169</v>
      </c>
      <c r="E1105" s="257">
        <v>1</v>
      </c>
      <c r="F1105" s="258">
        <v>12.39</v>
      </c>
      <c r="G1105" s="257">
        <v>2.5499999999999998</v>
      </c>
      <c r="H1105" s="257">
        <v>0.25</v>
      </c>
      <c r="I1105" s="257"/>
      <c r="J1105" s="259">
        <v>4.048476</v>
      </c>
      <c r="K1105" s="260">
        <f t="shared" si="34"/>
        <v>3.850149</v>
      </c>
      <c r="L1105" s="266" t="s">
        <v>1574</v>
      </c>
    </row>
    <row r="1106" spans="2:12">
      <c r="B1106" s="256" t="s">
        <v>1559</v>
      </c>
      <c r="C1106" s="250" t="s">
        <v>1521</v>
      </c>
      <c r="D1106" s="205" t="s">
        <v>169</v>
      </c>
      <c r="E1106" s="257">
        <v>1</v>
      </c>
      <c r="F1106" s="258">
        <v>1.68</v>
      </c>
      <c r="G1106" s="257">
        <v>0.33</v>
      </c>
      <c r="H1106" s="257">
        <v>0.15</v>
      </c>
      <c r="I1106" s="257"/>
      <c r="J1106" s="259">
        <v>0</v>
      </c>
      <c r="K1106" s="260">
        <f t="shared" si="34"/>
        <v>8.3159999999999998E-2</v>
      </c>
      <c r="L1106" s="266"/>
    </row>
    <row r="1107" spans="2:12">
      <c r="B1107" s="256" t="s">
        <v>1560</v>
      </c>
      <c r="C1107" s="250" t="s">
        <v>1521</v>
      </c>
      <c r="D1107" s="205" t="s">
        <v>169</v>
      </c>
      <c r="E1107" s="257">
        <v>1</v>
      </c>
      <c r="F1107" s="258">
        <v>7.67</v>
      </c>
      <c r="G1107" s="257">
        <v>0.33</v>
      </c>
      <c r="H1107" s="257">
        <v>0.15</v>
      </c>
      <c r="I1107" s="257"/>
      <c r="J1107" s="259">
        <v>0</v>
      </c>
      <c r="K1107" s="260">
        <f t="shared" si="34"/>
        <v>0.37966499999999997</v>
      </c>
      <c r="L1107" s="266"/>
    </row>
    <row r="1108" spans="2:12">
      <c r="B1108" s="256" t="s">
        <v>1561</v>
      </c>
      <c r="C1108" s="250" t="s">
        <v>1521</v>
      </c>
      <c r="D1108" s="205" t="s">
        <v>169</v>
      </c>
      <c r="E1108" s="257">
        <v>1</v>
      </c>
      <c r="F1108" s="258">
        <v>0.31</v>
      </c>
      <c r="G1108" s="257">
        <v>0.33</v>
      </c>
      <c r="H1108" s="257">
        <v>0.15</v>
      </c>
      <c r="I1108" s="257"/>
      <c r="J1108" s="259">
        <v>0</v>
      </c>
      <c r="K1108" s="260">
        <f t="shared" si="34"/>
        <v>1.5344999999999999E-2</v>
      </c>
      <c r="L1108" s="266"/>
    </row>
    <row r="1109" spans="2:12">
      <c r="B1109" s="256" t="s">
        <v>1566</v>
      </c>
      <c r="C1109" s="250" t="s">
        <v>1521</v>
      </c>
      <c r="D1109" s="205" t="s">
        <v>169</v>
      </c>
      <c r="E1109" s="257">
        <v>1</v>
      </c>
      <c r="F1109" s="258">
        <v>22.04</v>
      </c>
      <c r="G1109" s="257">
        <v>5.85</v>
      </c>
      <c r="H1109" s="257">
        <v>0.25</v>
      </c>
      <c r="I1109" s="257"/>
      <c r="J1109" s="259">
        <v>3.4898359999999999</v>
      </c>
      <c r="K1109" s="260">
        <f t="shared" si="34"/>
        <v>28.743663999999999</v>
      </c>
      <c r="L1109" s="266" t="s">
        <v>1574</v>
      </c>
    </row>
    <row r="1110" spans="2:12">
      <c r="B1110" s="256" t="s">
        <v>1567</v>
      </c>
      <c r="C1110" s="250" t="s">
        <v>1521</v>
      </c>
      <c r="D1110" s="205" t="s">
        <v>169</v>
      </c>
      <c r="E1110" s="257">
        <v>1</v>
      </c>
      <c r="F1110" s="258">
        <v>6.24</v>
      </c>
      <c r="G1110" s="257">
        <v>5.85</v>
      </c>
      <c r="H1110" s="257">
        <v>0.25</v>
      </c>
      <c r="I1110" s="257"/>
      <c r="J1110" s="259">
        <v>4.6484759999999996</v>
      </c>
      <c r="K1110" s="260">
        <f t="shared" si="34"/>
        <v>4.4775239999999998</v>
      </c>
      <c r="L1110" s="266" t="s">
        <v>1574</v>
      </c>
    </row>
    <row r="1111" spans="2:12">
      <c r="B1111" s="256" t="s">
        <v>1568</v>
      </c>
      <c r="C1111" s="250" t="s">
        <v>1521</v>
      </c>
      <c r="D1111" s="205" t="s">
        <v>169</v>
      </c>
      <c r="E1111" s="257">
        <v>1</v>
      </c>
      <c r="F1111" s="258">
        <v>6.34</v>
      </c>
      <c r="G1111" s="257">
        <v>3.83</v>
      </c>
      <c r="H1111" s="257">
        <v>0.25</v>
      </c>
      <c r="I1111" s="257"/>
      <c r="J1111" s="259">
        <v>2.6242380000000001</v>
      </c>
      <c r="K1111" s="260">
        <f t="shared" si="34"/>
        <v>3.4463119999999998</v>
      </c>
      <c r="L1111" s="266" t="s">
        <v>1574</v>
      </c>
    </row>
    <row r="1112" spans="2:12">
      <c r="B1112" s="256" t="s">
        <v>1569</v>
      </c>
      <c r="C1112" s="250" t="s">
        <v>1521</v>
      </c>
      <c r="D1112" s="205" t="s">
        <v>169</v>
      </c>
      <c r="E1112" s="257">
        <v>1</v>
      </c>
      <c r="F1112" s="258">
        <v>22.04</v>
      </c>
      <c r="G1112" s="257">
        <v>5.8</v>
      </c>
      <c r="H1112" s="257">
        <v>0.25</v>
      </c>
      <c r="I1112" s="257"/>
      <c r="J1112" s="259">
        <v>16.849836</v>
      </c>
      <c r="K1112" s="260">
        <f t="shared" si="34"/>
        <v>15.108163999999999</v>
      </c>
      <c r="L1112" s="266" t="s">
        <v>1574</v>
      </c>
    </row>
    <row r="1113" spans="2:12">
      <c r="B1113" s="256" t="s">
        <v>1570</v>
      </c>
      <c r="C1113" s="250" t="s">
        <v>1521</v>
      </c>
      <c r="D1113" s="205" t="s">
        <v>169</v>
      </c>
      <c r="E1113" s="257">
        <v>1</v>
      </c>
      <c r="F1113" s="258">
        <v>22.04</v>
      </c>
      <c r="G1113" s="257">
        <v>5.8</v>
      </c>
      <c r="H1113" s="257">
        <v>0.25</v>
      </c>
      <c r="I1113" s="257"/>
      <c r="J1113" s="259">
        <v>16.849836</v>
      </c>
      <c r="K1113" s="260">
        <f t="shared" si="34"/>
        <v>15.108163999999999</v>
      </c>
      <c r="L1113" s="266" t="s">
        <v>1574</v>
      </c>
    </row>
    <row r="1114" spans="2:12">
      <c r="B1114" s="256" t="s">
        <v>1562</v>
      </c>
      <c r="C1114" s="250" t="s">
        <v>1521</v>
      </c>
      <c r="D1114" s="205" t="s">
        <v>169</v>
      </c>
      <c r="E1114" s="257">
        <v>1</v>
      </c>
      <c r="F1114" s="258">
        <v>13.7</v>
      </c>
      <c r="G1114" s="257">
        <v>0.77</v>
      </c>
      <c r="H1114" s="257">
        <v>0.15</v>
      </c>
      <c r="I1114" s="257"/>
      <c r="J1114" s="259">
        <v>0</v>
      </c>
      <c r="K1114" s="260">
        <f t="shared" si="34"/>
        <v>1.5823499999999999</v>
      </c>
      <c r="L1114" s="266"/>
    </row>
    <row r="1115" spans="2:12">
      <c r="B1115" s="256" t="s">
        <v>1563</v>
      </c>
      <c r="C1115" s="250" t="s">
        <v>1521</v>
      </c>
      <c r="D1115" s="205" t="s">
        <v>169</v>
      </c>
      <c r="E1115" s="257">
        <v>1</v>
      </c>
      <c r="F1115" s="258">
        <v>13.7</v>
      </c>
      <c r="G1115" s="257">
        <v>1.77</v>
      </c>
      <c r="H1115" s="257">
        <v>0.15</v>
      </c>
      <c r="I1115" s="257"/>
      <c r="J1115" s="259">
        <v>0</v>
      </c>
      <c r="K1115" s="260">
        <f t="shared" si="34"/>
        <v>3.6373499999999996</v>
      </c>
      <c r="L1115" s="266"/>
    </row>
    <row r="1116" spans="2:12">
      <c r="B1116" s="256" t="s">
        <v>1571</v>
      </c>
      <c r="C1116" s="250" t="s">
        <v>1521</v>
      </c>
      <c r="D1116" s="205" t="s">
        <v>169</v>
      </c>
      <c r="E1116" s="257">
        <v>1</v>
      </c>
      <c r="F1116" s="258">
        <v>22.04</v>
      </c>
      <c r="G1116" s="257">
        <v>5.69</v>
      </c>
      <c r="H1116" s="257">
        <v>0.25</v>
      </c>
      <c r="I1116" s="257"/>
      <c r="J1116" s="259">
        <v>15.769836</v>
      </c>
      <c r="K1116" s="260">
        <f t="shared" si="34"/>
        <v>15.582064000000001</v>
      </c>
      <c r="L1116" s="266" t="s">
        <v>1574</v>
      </c>
    </row>
    <row r="1117" spans="2:12">
      <c r="B1117" s="256" t="s">
        <v>1564</v>
      </c>
      <c r="C1117" s="250" t="s">
        <v>1521</v>
      </c>
      <c r="D1117" s="205" t="s">
        <v>169</v>
      </c>
      <c r="E1117" s="257">
        <v>1</v>
      </c>
      <c r="F1117" s="258">
        <v>3.45</v>
      </c>
      <c r="G1117" s="257">
        <v>2.74</v>
      </c>
      <c r="H1117" s="257">
        <v>0.15</v>
      </c>
      <c r="I1117" s="257"/>
      <c r="J1117" s="259">
        <v>0</v>
      </c>
      <c r="K1117" s="260">
        <f t="shared" si="34"/>
        <v>1.41795</v>
      </c>
      <c r="L1117" s="266"/>
    </row>
    <row r="1118" spans="2:12">
      <c r="B1118" s="256"/>
      <c r="C1118" s="210"/>
      <c r="D1118" s="210"/>
      <c r="E1118" s="257"/>
      <c r="F1118" s="258"/>
      <c r="G1118" s="257"/>
      <c r="H1118" s="257"/>
      <c r="I1118" s="257"/>
      <c r="J1118" s="259"/>
      <c r="K1118" s="260">
        <f t="shared" si="34"/>
        <v>0</v>
      </c>
      <c r="L1118" s="210"/>
    </row>
    <row r="1119" spans="2:12">
      <c r="B1119" s="202"/>
      <c r="C1119" s="203"/>
      <c r="D1119" s="203"/>
      <c r="E1119" s="203"/>
      <c r="F1119" s="203"/>
      <c r="G1119" s="203"/>
      <c r="H1119" s="204"/>
      <c r="I1119" s="556" t="s">
        <v>1221</v>
      </c>
      <c r="J1119" s="556"/>
      <c r="K1119" s="220">
        <f>SUM(K1091:K1118)</f>
        <v>163.961095</v>
      </c>
      <c r="L1119" s="207"/>
    </row>
    <row r="1120" spans="2:12">
      <c r="B1120" s="208"/>
      <c r="C1120" s="204"/>
      <c r="D1120" s="204"/>
      <c r="E1120" s="204"/>
      <c r="F1120" s="204"/>
      <c r="G1120" s="204"/>
      <c r="H1120" s="209"/>
      <c r="I1120" s="557" t="s">
        <v>1222</v>
      </c>
      <c r="J1120" s="557"/>
      <c r="K1120" s="221">
        <f>VLOOKUP(B1089,'BM 004'!$B$27:$R$590,4,0)</f>
        <v>803.99</v>
      </c>
      <c r="L1120" s="246"/>
    </row>
    <row r="1121" spans="2:12">
      <c r="B1121" s="208"/>
      <c r="C1121" s="204"/>
      <c r="D1121" s="204"/>
      <c r="E1121" s="204"/>
      <c r="F1121" s="204"/>
      <c r="G1121" s="204"/>
      <c r="H1121" s="558" t="s">
        <v>1223</v>
      </c>
      <c r="I1121" s="558"/>
      <c r="J1121" s="558"/>
      <c r="K1121" s="222">
        <v>70.531094999999993</v>
      </c>
      <c r="L1121" s="207"/>
    </row>
    <row r="1122" spans="2:12">
      <c r="B1122" s="208"/>
      <c r="C1122" s="204"/>
      <c r="D1122" s="204"/>
      <c r="E1122" s="204"/>
      <c r="F1122" s="204"/>
      <c r="G1122" s="204"/>
      <c r="H1122" s="558" t="s">
        <v>1435</v>
      </c>
      <c r="I1122" s="558"/>
      <c r="J1122" s="558"/>
      <c r="K1122" s="222">
        <f>TRUNC(SUMIF(C1091:C1118,H1122,K1091:K1118),2)</f>
        <v>93.43</v>
      </c>
      <c r="L1122" s="207"/>
    </row>
    <row r="1123" spans="2:12">
      <c r="B1123" s="213"/>
      <c r="C1123" s="214"/>
      <c r="D1123" s="214"/>
      <c r="E1123" s="214"/>
      <c r="F1123" s="214"/>
      <c r="G1123" s="214"/>
      <c r="H1123" s="559" t="s">
        <v>1224</v>
      </c>
      <c r="I1123" s="559"/>
      <c r="J1123" s="559"/>
      <c r="K1123" s="223">
        <f>IF(K1119&gt;K1120,K1119-K1120,0)</f>
        <v>0</v>
      </c>
      <c r="L1123" s="209"/>
    </row>
    <row r="1125" spans="2:12">
      <c r="B1125" s="247" t="s">
        <v>664</v>
      </c>
      <c r="C1125" s="565" t="str">
        <f>VLOOKUP(B1125,'BM 004'!$B$27:$R$590,2,0)</f>
        <v xml:space="preserve">Tubo pvc rígido soldável marrom p/ água, d = 75 mm (2 1/2")	</v>
      </c>
      <c r="D1125" s="565"/>
      <c r="E1125" s="565"/>
      <c r="F1125" s="565"/>
      <c r="G1125" s="565"/>
      <c r="H1125" s="565"/>
      <c r="I1125" s="565"/>
      <c r="J1125" s="565"/>
      <c r="K1125" s="565"/>
      <c r="L1125" s="565"/>
    </row>
    <row r="1126" spans="2:12">
      <c r="B1126" s="248" t="s">
        <v>1209</v>
      </c>
      <c r="C1126" s="248"/>
      <c r="D1126" s="248" t="s">
        <v>39</v>
      </c>
      <c r="E1126" s="248" t="s">
        <v>1210</v>
      </c>
      <c r="F1126" s="248" t="s">
        <v>1388</v>
      </c>
      <c r="G1126" s="248" t="s">
        <v>1212</v>
      </c>
      <c r="H1126" s="248" t="s">
        <v>1213</v>
      </c>
      <c r="I1126" s="248" t="s">
        <v>1214</v>
      </c>
      <c r="J1126" s="248" t="s">
        <v>1385</v>
      </c>
      <c r="K1126" s="248" t="s">
        <v>1216</v>
      </c>
      <c r="L1126" s="248" t="s">
        <v>1217</v>
      </c>
    </row>
    <row r="1127" spans="2:12">
      <c r="B1127" s="256" t="s">
        <v>1575</v>
      </c>
      <c r="C1127" s="250" t="s">
        <v>1521</v>
      </c>
      <c r="D1127" s="205" t="s">
        <v>82</v>
      </c>
      <c r="E1127" s="257">
        <v>30</v>
      </c>
      <c r="F1127" s="258"/>
      <c r="G1127" s="257"/>
      <c r="H1127" s="257"/>
      <c r="I1127" s="257"/>
      <c r="J1127" s="259"/>
      <c r="K1127" s="260">
        <f>IF(E1127*F1127*G1127&lt;&gt;0,E1127*F1127*G1127,IF(E1127*F1127&lt;&gt;0,E1127*F1127,IF(F1127*G1127&lt;&gt;0,F1127*G1127,IF(E1127*G1127&lt;&gt;0,E1127*G1127,IF(E1127&lt;&gt;0,E1127,IF(F1127&lt;&gt;0,F1127,IF(G1127&lt;&gt;0,G1127,0)))))))*(IF(H1127&lt;&gt;0,H1127,1))+I1127-J1127</f>
        <v>30</v>
      </c>
      <c r="L1127" s="266"/>
    </row>
    <row r="1128" spans="2:12">
      <c r="B1128" s="256"/>
      <c r="C1128" s="210"/>
      <c r="D1128" s="210"/>
      <c r="E1128" s="257"/>
      <c r="F1128" s="258"/>
      <c r="G1128" s="257"/>
      <c r="H1128" s="257"/>
      <c r="I1128" s="257"/>
      <c r="J1128" s="259"/>
      <c r="K1128" s="260">
        <f>IF(E1128*F1128*G1128&lt;&gt;0,E1128*F1128*G1128,IF(E1128*F1128&lt;&gt;0,E1128*F1128,IF(F1128*G1128&lt;&gt;0,F1128*G1128,IF(E1128*G1128&lt;&gt;0,E1128*G1128,IF(E1128&lt;&gt;0,E1128,IF(F1128&lt;&gt;0,F1128,IF(G1128&lt;&gt;0,G1128,0)))))))*(IF(H1128&lt;&gt;0,H1128,1))+I1128-J1128</f>
        <v>0</v>
      </c>
      <c r="L1128" s="210"/>
    </row>
    <row r="1129" spans="2:12">
      <c r="B1129" s="202"/>
      <c r="C1129" s="203"/>
      <c r="D1129" s="203"/>
      <c r="E1129" s="203"/>
      <c r="F1129" s="203"/>
      <c r="G1129" s="203"/>
      <c r="H1129" s="204"/>
      <c r="I1129" s="556" t="s">
        <v>1221</v>
      </c>
      <c r="J1129" s="556"/>
      <c r="K1129" s="220">
        <f>SUM(K1127:K1128)</f>
        <v>30</v>
      </c>
      <c r="L1129" s="207"/>
    </row>
    <row r="1130" spans="2:12">
      <c r="B1130" s="208"/>
      <c r="C1130" s="204"/>
      <c r="D1130" s="204"/>
      <c r="E1130" s="204"/>
      <c r="F1130" s="204"/>
      <c r="G1130" s="204"/>
      <c r="H1130" s="209"/>
      <c r="I1130" s="557" t="s">
        <v>1222</v>
      </c>
      <c r="J1130" s="557"/>
      <c r="K1130" s="221">
        <f>VLOOKUP(B1125,'BM 004'!$B$27:$R$590,4,0)</f>
        <v>162.16999999999999</v>
      </c>
      <c r="L1130" s="246"/>
    </row>
    <row r="1131" spans="2:12">
      <c r="B1131" s="208"/>
      <c r="C1131" s="204"/>
      <c r="D1131" s="204"/>
      <c r="E1131" s="204"/>
      <c r="F1131" s="204"/>
      <c r="G1131" s="204"/>
      <c r="H1131" s="558" t="s">
        <v>1223</v>
      </c>
      <c r="I1131" s="558"/>
      <c r="J1131" s="558"/>
      <c r="K1131" s="222">
        <v>0</v>
      </c>
      <c r="L1131" s="207"/>
    </row>
    <row r="1132" spans="2:12">
      <c r="B1132" s="208"/>
      <c r="C1132" s="204"/>
      <c r="D1132" s="204"/>
      <c r="E1132" s="204"/>
      <c r="F1132" s="204"/>
      <c r="G1132" s="204"/>
      <c r="H1132" s="558" t="s">
        <v>1435</v>
      </c>
      <c r="I1132" s="558"/>
      <c r="J1132" s="558"/>
      <c r="K1132" s="222">
        <f>TRUNC(SUMIF(C1127:C1128,H1132,K1127:K1128),2)</f>
        <v>30</v>
      </c>
      <c r="L1132" s="207"/>
    </row>
    <row r="1133" spans="2:12">
      <c r="B1133" s="213"/>
      <c r="C1133" s="214"/>
      <c r="D1133" s="214"/>
      <c r="E1133" s="214"/>
      <c r="F1133" s="214"/>
      <c r="G1133" s="214"/>
      <c r="H1133" s="559" t="s">
        <v>1224</v>
      </c>
      <c r="I1133" s="559"/>
      <c r="J1133" s="559"/>
      <c r="K1133" s="223">
        <f>IF(K1129&gt;K1130,K1129-K1130,0)</f>
        <v>0</v>
      </c>
      <c r="L1133" s="209"/>
    </row>
  </sheetData>
  <mergeCells count="376">
    <mergeCell ref="H1123:J1123"/>
    <mergeCell ref="C1125:L1125"/>
    <mergeCell ref="I1129:J1129"/>
    <mergeCell ref="I1130:J1130"/>
    <mergeCell ref="H1131:J1131"/>
    <mergeCell ref="H1132:J1132"/>
    <mergeCell ref="H1133:J1133"/>
    <mergeCell ref="I1084:J1084"/>
    <mergeCell ref="H1085:J1085"/>
    <mergeCell ref="H1086:J1086"/>
    <mergeCell ref="H1087:J1087"/>
    <mergeCell ref="C1089:L1089"/>
    <mergeCell ref="I1119:J1119"/>
    <mergeCell ref="I1120:J1120"/>
    <mergeCell ref="H1121:J1121"/>
    <mergeCell ref="H1122:J1122"/>
    <mergeCell ref="H1057:J1057"/>
    <mergeCell ref="C1059:L1059"/>
    <mergeCell ref="I1068:J1068"/>
    <mergeCell ref="I1069:J1069"/>
    <mergeCell ref="H1070:J1070"/>
    <mergeCell ref="H1071:J1071"/>
    <mergeCell ref="H1072:J1072"/>
    <mergeCell ref="C1074:L1074"/>
    <mergeCell ref="I1083:J1083"/>
    <mergeCell ref="I1039:J1039"/>
    <mergeCell ref="H1040:J1040"/>
    <mergeCell ref="H1041:J1041"/>
    <mergeCell ref="H1042:J1042"/>
    <mergeCell ref="C1044:L1044"/>
    <mergeCell ref="I1053:J1053"/>
    <mergeCell ref="I1054:J1054"/>
    <mergeCell ref="H1055:J1055"/>
    <mergeCell ref="H1056:J1056"/>
    <mergeCell ref="H1011:J1011"/>
    <mergeCell ref="C1013:L1013"/>
    <mergeCell ref="I1023:J1023"/>
    <mergeCell ref="I1024:J1024"/>
    <mergeCell ref="H1025:J1025"/>
    <mergeCell ref="H1026:J1026"/>
    <mergeCell ref="H1027:J1027"/>
    <mergeCell ref="C1029:L1029"/>
    <mergeCell ref="I1038:J1038"/>
    <mergeCell ref="I993:J993"/>
    <mergeCell ref="H994:J994"/>
    <mergeCell ref="H995:J995"/>
    <mergeCell ref="H996:J996"/>
    <mergeCell ref="C998:L998"/>
    <mergeCell ref="I1007:J1007"/>
    <mergeCell ref="I1008:J1008"/>
    <mergeCell ref="H1009:J1009"/>
    <mergeCell ref="H1010:J1010"/>
    <mergeCell ref="H953:J953"/>
    <mergeCell ref="C955:L955"/>
    <mergeCell ref="I974:J974"/>
    <mergeCell ref="I975:J975"/>
    <mergeCell ref="H976:J976"/>
    <mergeCell ref="H977:J977"/>
    <mergeCell ref="H978:J978"/>
    <mergeCell ref="C980:L980"/>
    <mergeCell ref="I992:J992"/>
    <mergeCell ref="I930:J930"/>
    <mergeCell ref="H931:J931"/>
    <mergeCell ref="H932:J932"/>
    <mergeCell ref="H933:J933"/>
    <mergeCell ref="C935:L935"/>
    <mergeCell ref="I949:J949"/>
    <mergeCell ref="I950:J950"/>
    <mergeCell ref="H951:J951"/>
    <mergeCell ref="H952:J952"/>
    <mergeCell ref="H817:J817"/>
    <mergeCell ref="C819:L819"/>
    <mergeCell ref="I825:J825"/>
    <mergeCell ref="I826:J826"/>
    <mergeCell ref="H827:J827"/>
    <mergeCell ref="H828:J828"/>
    <mergeCell ref="H829:J829"/>
    <mergeCell ref="C831:L831"/>
    <mergeCell ref="I929:J929"/>
    <mergeCell ref="I803:J803"/>
    <mergeCell ref="H804:J804"/>
    <mergeCell ref="H805:J805"/>
    <mergeCell ref="H806:J806"/>
    <mergeCell ref="C808:L808"/>
    <mergeCell ref="I813:J813"/>
    <mergeCell ref="I814:J814"/>
    <mergeCell ref="H815:J815"/>
    <mergeCell ref="H816:J816"/>
    <mergeCell ref="H783:J783"/>
    <mergeCell ref="C785:L785"/>
    <mergeCell ref="I791:J791"/>
    <mergeCell ref="I792:J792"/>
    <mergeCell ref="H793:J793"/>
    <mergeCell ref="H794:J794"/>
    <mergeCell ref="H795:J795"/>
    <mergeCell ref="C797:L797"/>
    <mergeCell ref="I802:J802"/>
    <mergeCell ref="I769:J769"/>
    <mergeCell ref="H770:J770"/>
    <mergeCell ref="H771:J771"/>
    <mergeCell ref="H772:J772"/>
    <mergeCell ref="C774:L774"/>
    <mergeCell ref="I779:J779"/>
    <mergeCell ref="I780:J780"/>
    <mergeCell ref="H781:J781"/>
    <mergeCell ref="H782:J782"/>
    <mergeCell ref="H748:J748"/>
    <mergeCell ref="C750:L750"/>
    <mergeCell ref="I756:J756"/>
    <mergeCell ref="I757:J757"/>
    <mergeCell ref="H758:J758"/>
    <mergeCell ref="H759:J759"/>
    <mergeCell ref="H760:J760"/>
    <mergeCell ref="C762:L762"/>
    <mergeCell ref="I768:J768"/>
    <mergeCell ref="I733:J733"/>
    <mergeCell ref="H734:J734"/>
    <mergeCell ref="H735:J735"/>
    <mergeCell ref="H736:J736"/>
    <mergeCell ref="C738:L738"/>
    <mergeCell ref="I744:J744"/>
    <mergeCell ref="I745:J745"/>
    <mergeCell ref="H746:J746"/>
    <mergeCell ref="H747:J747"/>
    <mergeCell ref="H660:J660"/>
    <mergeCell ref="C662:L662"/>
    <mergeCell ref="I672:J672"/>
    <mergeCell ref="I673:J673"/>
    <mergeCell ref="H674:J674"/>
    <mergeCell ref="H675:J675"/>
    <mergeCell ref="H676:J676"/>
    <mergeCell ref="C678:L678"/>
    <mergeCell ref="I732:J732"/>
    <mergeCell ref="I641:J641"/>
    <mergeCell ref="H642:J642"/>
    <mergeCell ref="H643:J643"/>
    <mergeCell ref="H644:J644"/>
    <mergeCell ref="C646:L646"/>
    <mergeCell ref="I656:J656"/>
    <mergeCell ref="I657:J657"/>
    <mergeCell ref="H658:J658"/>
    <mergeCell ref="H659:J659"/>
    <mergeCell ref="H612:J612"/>
    <mergeCell ref="C614:L614"/>
    <mergeCell ref="I625:J625"/>
    <mergeCell ref="I626:J626"/>
    <mergeCell ref="H627:J627"/>
    <mergeCell ref="H628:J628"/>
    <mergeCell ref="H629:J629"/>
    <mergeCell ref="C631:L631"/>
    <mergeCell ref="I640:J640"/>
    <mergeCell ref="I594:J594"/>
    <mergeCell ref="H595:J595"/>
    <mergeCell ref="H596:J596"/>
    <mergeCell ref="H597:J597"/>
    <mergeCell ref="C599:L599"/>
    <mergeCell ref="I608:J608"/>
    <mergeCell ref="I609:J609"/>
    <mergeCell ref="H610:J610"/>
    <mergeCell ref="H611:J611"/>
    <mergeCell ref="H566:J566"/>
    <mergeCell ref="C568:L568"/>
    <mergeCell ref="I577:J577"/>
    <mergeCell ref="I578:J578"/>
    <mergeCell ref="H579:J579"/>
    <mergeCell ref="H580:J580"/>
    <mergeCell ref="H581:J581"/>
    <mergeCell ref="C583:L583"/>
    <mergeCell ref="I593:J593"/>
    <mergeCell ref="I548:J548"/>
    <mergeCell ref="H549:J549"/>
    <mergeCell ref="H550:J550"/>
    <mergeCell ref="H551:J551"/>
    <mergeCell ref="C553:L553"/>
    <mergeCell ref="I562:J562"/>
    <mergeCell ref="I563:J563"/>
    <mergeCell ref="H564:J564"/>
    <mergeCell ref="H565:J565"/>
    <mergeCell ref="H448:J448"/>
    <mergeCell ref="B450:L450"/>
    <mergeCell ref="I487:J487"/>
    <mergeCell ref="I488:J488"/>
    <mergeCell ref="H489:J489"/>
    <mergeCell ref="H490:J490"/>
    <mergeCell ref="H491:J491"/>
    <mergeCell ref="C493:L493"/>
    <mergeCell ref="I547:J547"/>
    <mergeCell ref="I434:J434"/>
    <mergeCell ref="H435:J435"/>
    <mergeCell ref="H436:J436"/>
    <mergeCell ref="H437:J437"/>
    <mergeCell ref="B439:L439"/>
    <mergeCell ref="I444:J444"/>
    <mergeCell ref="I445:J445"/>
    <mergeCell ref="H446:J446"/>
    <mergeCell ref="H447:J447"/>
    <mergeCell ref="H415:J415"/>
    <mergeCell ref="B417:L417"/>
    <mergeCell ref="I422:J422"/>
    <mergeCell ref="I423:J423"/>
    <mergeCell ref="H424:J424"/>
    <mergeCell ref="H425:J425"/>
    <mergeCell ref="H426:J426"/>
    <mergeCell ref="B428:L428"/>
    <mergeCell ref="I433:J433"/>
    <mergeCell ref="I401:J401"/>
    <mergeCell ref="H402:J402"/>
    <mergeCell ref="H403:J403"/>
    <mergeCell ref="H404:J404"/>
    <mergeCell ref="B406:L406"/>
    <mergeCell ref="I411:J411"/>
    <mergeCell ref="I412:J412"/>
    <mergeCell ref="H413:J413"/>
    <mergeCell ref="H414:J414"/>
    <mergeCell ref="H381:J381"/>
    <mergeCell ref="B383:L383"/>
    <mergeCell ref="I389:J389"/>
    <mergeCell ref="I390:J390"/>
    <mergeCell ref="H391:J391"/>
    <mergeCell ref="H392:J392"/>
    <mergeCell ref="H393:J393"/>
    <mergeCell ref="B395:L395"/>
    <mergeCell ref="I400:J400"/>
    <mergeCell ref="I324:J324"/>
    <mergeCell ref="H325:J325"/>
    <mergeCell ref="H326:J326"/>
    <mergeCell ref="H327:J327"/>
    <mergeCell ref="B329:L329"/>
    <mergeCell ref="I377:J377"/>
    <mergeCell ref="I378:J378"/>
    <mergeCell ref="H379:J379"/>
    <mergeCell ref="H380:J380"/>
    <mergeCell ref="H304:J304"/>
    <mergeCell ref="B306:L306"/>
    <mergeCell ref="I311:J311"/>
    <mergeCell ref="I312:J312"/>
    <mergeCell ref="H313:J313"/>
    <mergeCell ref="H314:J314"/>
    <mergeCell ref="H315:J315"/>
    <mergeCell ref="B317:L317"/>
    <mergeCell ref="I323:J323"/>
    <mergeCell ref="I290:J290"/>
    <mergeCell ref="H291:J291"/>
    <mergeCell ref="H292:J292"/>
    <mergeCell ref="H293:J293"/>
    <mergeCell ref="B295:L295"/>
    <mergeCell ref="I300:J300"/>
    <mergeCell ref="I301:J301"/>
    <mergeCell ref="H302:J302"/>
    <mergeCell ref="H303:J303"/>
    <mergeCell ref="H270:J270"/>
    <mergeCell ref="B272:L272"/>
    <mergeCell ref="I278:J278"/>
    <mergeCell ref="I279:J279"/>
    <mergeCell ref="H280:J280"/>
    <mergeCell ref="H281:J281"/>
    <mergeCell ref="H282:J282"/>
    <mergeCell ref="B284:L284"/>
    <mergeCell ref="I289:J289"/>
    <mergeCell ref="I256:J256"/>
    <mergeCell ref="H257:J257"/>
    <mergeCell ref="H258:J258"/>
    <mergeCell ref="H259:J259"/>
    <mergeCell ref="B261:L261"/>
    <mergeCell ref="I266:J266"/>
    <mergeCell ref="I267:J267"/>
    <mergeCell ref="H268:J268"/>
    <mergeCell ref="H269:J269"/>
    <mergeCell ref="H186:J186"/>
    <mergeCell ref="B188:L188"/>
    <mergeCell ref="I243:J243"/>
    <mergeCell ref="I244:J244"/>
    <mergeCell ref="H245:J245"/>
    <mergeCell ref="H246:J246"/>
    <mergeCell ref="H247:J247"/>
    <mergeCell ref="B249:L249"/>
    <mergeCell ref="I255:J255"/>
    <mergeCell ref="I172:J172"/>
    <mergeCell ref="H173:J173"/>
    <mergeCell ref="H174:J174"/>
    <mergeCell ref="H175:J175"/>
    <mergeCell ref="B177:L177"/>
    <mergeCell ref="I182:J182"/>
    <mergeCell ref="I183:J183"/>
    <mergeCell ref="H184:J184"/>
    <mergeCell ref="H185:J185"/>
    <mergeCell ref="H154:J154"/>
    <mergeCell ref="B156:L156"/>
    <mergeCell ref="I160:J160"/>
    <mergeCell ref="I161:J161"/>
    <mergeCell ref="H162:J162"/>
    <mergeCell ref="H163:J163"/>
    <mergeCell ref="H164:J164"/>
    <mergeCell ref="B166:L166"/>
    <mergeCell ref="I171:J171"/>
    <mergeCell ref="I141:J141"/>
    <mergeCell ref="H142:J142"/>
    <mergeCell ref="H143:J143"/>
    <mergeCell ref="H144:J144"/>
    <mergeCell ref="B146:L146"/>
    <mergeCell ref="I150:J150"/>
    <mergeCell ref="I151:J151"/>
    <mergeCell ref="H152:J152"/>
    <mergeCell ref="H153:J153"/>
    <mergeCell ref="H120:J120"/>
    <mergeCell ref="B122:L122"/>
    <mergeCell ref="I129:J129"/>
    <mergeCell ref="I130:J130"/>
    <mergeCell ref="H131:J131"/>
    <mergeCell ref="H132:J132"/>
    <mergeCell ref="H133:J133"/>
    <mergeCell ref="B135:L135"/>
    <mergeCell ref="I140:J140"/>
    <mergeCell ref="I104:J104"/>
    <mergeCell ref="H105:J105"/>
    <mergeCell ref="H106:J106"/>
    <mergeCell ref="H107:J107"/>
    <mergeCell ref="B109:L109"/>
    <mergeCell ref="I116:J116"/>
    <mergeCell ref="I117:J117"/>
    <mergeCell ref="H118:J118"/>
    <mergeCell ref="H119:J119"/>
    <mergeCell ref="H86:J86"/>
    <mergeCell ref="B88:L88"/>
    <mergeCell ref="I92:J92"/>
    <mergeCell ref="I93:J93"/>
    <mergeCell ref="H94:J94"/>
    <mergeCell ref="H95:J95"/>
    <mergeCell ref="H96:J96"/>
    <mergeCell ref="B98:L98"/>
    <mergeCell ref="I103:J103"/>
    <mergeCell ref="I73:J73"/>
    <mergeCell ref="H74:J74"/>
    <mergeCell ref="H75:J75"/>
    <mergeCell ref="H76:J76"/>
    <mergeCell ref="B78:L78"/>
    <mergeCell ref="I82:J82"/>
    <mergeCell ref="I83:J83"/>
    <mergeCell ref="H84:J84"/>
    <mergeCell ref="H85:J85"/>
    <mergeCell ref="H56:J56"/>
    <mergeCell ref="B58:L58"/>
    <mergeCell ref="I62:J62"/>
    <mergeCell ref="I63:J63"/>
    <mergeCell ref="H64:J64"/>
    <mergeCell ref="H65:J65"/>
    <mergeCell ref="H66:J66"/>
    <mergeCell ref="B68:L68"/>
    <mergeCell ref="I72:J72"/>
    <mergeCell ref="I43:J43"/>
    <mergeCell ref="H44:J44"/>
    <mergeCell ref="H45:J45"/>
    <mergeCell ref="H46:J46"/>
    <mergeCell ref="B48:L48"/>
    <mergeCell ref="I52:J52"/>
    <mergeCell ref="I53:J53"/>
    <mergeCell ref="H54:J54"/>
    <mergeCell ref="H55:J55"/>
    <mergeCell ref="H21:J21"/>
    <mergeCell ref="B23:L23"/>
    <mergeCell ref="I32:J32"/>
    <mergeCell ref="I33:J33"/>
    <mergeCell ref="H34:J34"/>
    <mergeCell ref="H35:J35"/>
    <mergeCell ref="H36:J36"/>
    <mergeCell ref="B38:L38"/>
    <mergeCell ref="I42:J42"/>
    <mergeCell ref="B2:L2"/>
    <mergeCell ref="B3:L3"/>
    <mergeCell ref="B4:L4"/>
    <mergeCell ref="B6:L6"/>
    <mergeCell ref="B8:L8"/>
    <mergeCell ref="I17:J17"/>
    <mergeCell ref="I18:J18"/>
    <mergeCell ref="H19:J19"/>
    <mergeCell ref="H20:J20"/>
  </mergeCells>
  <printOptions horizontalCentered="1"/>
  <pageMargins left="0.51180555555555596" right="0.51180555555555596" top="0.78749999999999998" bottom="0.98402777777777795" header="0.511811023622047" footer="0.511811023622047"/>
  <pageSetup paperSize="9" scale="50" fitToHeight="16"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656"/>
  <sheetViews>
    <sheetView view="pageBreakPreview" topLeftCell="B630" zoomScale="75" zoomScaleNormal="70" zoomScalePageLayoutView="75" workbookViewId="0">
      <selection activeCell="R612" sqref="R612"/>
    </sheetView>
  </sheetViews>
  <sheetFormatPr defaultColWidth="9.109375" defaultRowHeight="14.4"/>
  <cols>
    <col min="1" max="1" width="3.6640625" style="2" hidden="1" customWidth="1"/>
    <col min="2" max="2" width="11.33203125" style="2" customWidth="1"/>
    <col min="3" max="3" width="40.33203125" style="2" customWidth="1"/>
    <col min="4" max="4" width="5.88671875" style="3" customWidth="1"/>
    <col min="5" max="5" width="15.33203125" style="4" customWidth="1"/>
    <col min="6" max="6" width="15.109375" style="4" customWidth="1"/>
    <col min="7" max="7" width="18" style="4" customWidth="1"/>
    <col min="8" max="8" width="4.44140625" style="4" hidden="1" customWidth="1"/>
    <col min="9" max="9" width="15" style="4" customWidth="1"/>
    <col min="10" max="10" width="14.33203125" style="5" customWidth="1"/>
    <col min="11" max="11" width="17" style="5" hidden="1" customWidth="1"/>
    <col min="12" max="12" width="15.88671875" style="5" customWidth="1"/>
    <col min="13" max="13" width="25.33203125" style="5" hidden="1" customWidth="1"/>
    <col min="14" max="15" width="23.5546875" style="5" customWidth="1"/>
    <col min="16" max="16" width="23.5546875" style="6" hidden="1" customWidth="1"/>
    <col min="17" max="17" width="23.5546875" style="6" customWidth="1"/>
    <col min="18" max="18" width="23.5546875" style="5" customWidth="1"/>
    <col min="19" max="19" width="3" style="2" customWidth="1"/>
    <col min="20" max="20" width="23.33203125" style="2" customWidth="1"/>
    <col min="21" max="21" width="22.6640625" style="2" customWidth="1"/>
    <col min="22" max="22" width="21.44140625" style="2" customWidth="1"/>
    <col min="23" max="23" width="17.109375" style="2" customWidth="1"/>
    <col min="24" max="16384" width="9.109375" style="2"/>
  </cols>
  <sheetData>
    <row r="1" spans="2:23" ht="6" customHeight="1"/>
    <row r="2" spans="2:23" ht="29.25" customHeight="1">
      <c r="B2" s="491"/>
      <c r="C2" s="491"/>
      <c r="D2" s="491"/>
      <c r="E2" s="491"/>
      <c r="F2" s="491"/>
      <c r="G2" s="491"/>
      <c r="H2" s="491"/>
      <c r="I2" s="491"/>
      <c r="J2" s="491"/>
      <c r="K2" s="491"/>
      <c r="L2" s="491"/>
      <c r="M2" s="491"/>
      <c r="N2" s="491"/>
      <c r="O2" s="491"/>
      <c r="P2" s="491"/>
      <c r="Q2" s="491"/>
      <c r="R2" s="491"/>
      <c r="S2" s="7"/>
    </row>
    <row r="3" spans="2:23" ht="29.25" customHeight="1">
      <c r="B3" s="492" t="s">
        <v>0</v>
      </c>
      <c r="C3" s="492"/>
      <c r="D3" s="492"/>
      <c r="E3" s="492"/>
      <c r="F3" s="492"/>
      <c r="G3" s="492"/>
      <c r="H3" s="492"/>
      <c r="I3" s="492"/>
      <c r="J3" s="492"/>
      <c r="K3" s="492"/>
      <c r="L3" s="492"/>
      <c r="M3" s="492"/>
      <c r="N3" s="492"/>
      <c r="O3" s="492"/>
      <c r="P3" s="492"/>
      <c r="Q3" s="492"/>
      <c r="R3" s="492"/>
      <c r="S3" s="7"/>
      <c r="W3" s="8"/>
    </row>
    <row r="4" spans="2:23" ht="29.25" customHeight="1">
      <c r="B4" s="493"/>
      <c r="C4" s="493"/>
      <c r="D4" s="493"/>
      <c r="E4" s="493"/>
      <c r="F4" s="493"/>
      <c r="G4" s="493"/>
      <c r="H4" s="493"/>
      <c r="I4" s="493"/>
      <c r="J4" s="493"/>
      <c r="K4" s="493"/>
      <c r="L4" s="493"/>
      <c r="M4" s="493"/>
      <c r="N4" s="493"/>
      <c r="O4" s="493"/>
      <c r="P4" s="493"/>
      <c r="Q4" s="493"/>
      <c r="R4" s="493"/>
      <c r="S4" s="9"/>
      <c r="T4" s="2">
        <v>12630000</v>
      </c>
    </row>
    <row r="5" spans="2:23" ht="8.25" customHeight="1">
      <c r="B5" s="494"/>
      <c r="C5" s="494"/>
      <c r="D5" s="494"/>
      <c r="E5" s="494"/>
      <c r="F5" s="494"/>
      <c r="G5" s="494"/>
      <c r="H5" s="494"/>
      <c r="I5" s="494"/>
      <c r="J5" s="494"/>
      <c r="K5" s="494"/>
      <c r="L5" s="494"/>
      <c r="M5" s="494"/>
      <c r="N5" s="494"/>
      <c r="O5" s="494"/>
      <c r="P5" s="494"/>
      <c r="Q5" s="494"/>
      <c r="R5" s="494"/>
      <c r="S5" s="9"/>
    </row>
    <row r="6" spans="2:23" ht="38.25" customHeight="1">
      <c r="B6" s="495" t="s">
        <v>1576</v>
      </c>
      <c r="C6" s="495"/>
      <c r="D6" s="495"/>
      <c r="E6" s="495"/>
      <c r="F6" s="495"/>
      <c r="G6" s="495"/>
      <c r="H6" s="495"/>
      <c r="I6" s="495"/>
      <c r="J6" s="495"/>
      <c r="K6" s="495"/>
      <c r="L6" s="495"/>
      <c r="M6" s="495"/>
      <c r="N6" s="495"/>
      <c r="O6" s="495"/>
      <c r="P6" s="495"/>
      <c r="Q6" s="495"/>
      <c r="R6" s="495"/>
      <c r="S6" s="7"/>
    </row>
    <row r="7" spans="2:23" ht="8.25" customHeight="1">
      <c r="B7" s="496"/>
      <c r="C7" s="496"/>
      <c r="D7" s="496"/>
      <c r="E7" s="496"/>
      <c r="F7" s="496"/>
      <c r="G7" s="496"/>
      <c r="H7" s="496"/>
      <c r="I7" s="496"/>
      <c r="J7" s="496"/>
      <c r="K7" s="496"/>
      <c r="L7" s="496"/>
      <c r="M7" s="496"/>
      <c r="N7" s="496"/>
      <c r="O7" s="496"/>
      <c r="P7" s="496"/>
      <c r="Q7" s="496"/>
      <c r="R7" s="496"/>
      <c r="S7" s="7"/>
    </row>
    <row r="8" spans="2:23" ht="25.5" customHeight="1">
      <c r="B8" s="497" t="s">
        <v>2</v>
      </c>
      <c r="C8" s="497"/>
      <c r="D8" s="497"/>
      <c r="E8" s="497"/>
      <c r="F8" s="497"/>
      <c r="G8" s="497"/>
      <c r="H8" s="497"/>
      <c r="I8" s="497"/>
      <c r="J8" s="497"/>
      <c r="K8" s="497"/>
      <c r="L8" s="497"/>
      <c r="M8" s="497"/>
      <c r="N8" s="497"/>
      <c r="O8" s="497"/>
      <c r="P8" s="497"/>
      <c r="Q8" s="497"/>
      <c r="R8" s="497"/>
      <c r="S8" s="7"/>
      <c r="T8" s="2">
        <f>480/30</f>
        <v>16</v>
      </c>
    </row>
    <row r="9" spans="2:23" s="10" customFormat="1" ht="31.5" customHeight="1">
      <c r="B9" s="498" t="s">
        <v>3</v>
      </c>
      <c r="C9" s="498"/>
      <c r="D9" s="499" t="s">
        <v>4</v>
      </c>
      <c r="E9" s="499"/>
      <c r="F9" s="499"/>
      <c r="G9" s="499"/>
      <c r="H9" s="499"/>
      <c r="I9" s="499"/>
      <c r="J9" s="499"/>
      <c r="K9" s="499"/>
      <c r="L9" s="499"/>
      <c r="M9" s="499"/>
      <c r="N9" s="499"/>
      <c r="O9" s="499"/>
      <c r="P9" s="499"/>
      <c r="Q9" s="499"/>
      <c r="R9" s="499"/>
      <c r="S9" s="11"/>
    </row>
    <row r="10" spans="2:23" s="10" customFormat="1" ht="31.5" customHeight="1">
      <c r="B10" s="498" t="s">
        <v>5</v>
      </c>
      <c r="C10" s="498"/>
      <c r="D10" s="500" t="s">
        <v>6</v>
      </c>
      <c r="E10" s="500"/>
      <c r="F10" s="500"/>
      <c r="G10" s="500"/>
      <c r="H10" s="500"/>
      <c r="I10" s="500"/>
      <c r="J10" s="500"/>
      <c r="K10" s="12"/>
      <c r="L10" s="501" t="s">
        <v>7</v>
      </c>
      <c r="M10" s="501"/>
      <c r="N10" s="501"/>
      <c r="O10" s="501"/>
      <c r="P10" s="502">
        <v>45383</v>
      </c>
      <c r="Q10" s="502"/>
      <c r="R10" s="502"/>
      <c r="S10" s="11"/>
    </row>
    <row r="11" spans="2:23" s="10" customFormat="1" ht="31.5" customHeight="1">
      <c r="B11" s="498" t="s">
        <v>8</v>
      </c>
      <c r="C11" s="498"/>
      <c r="D11" s="503" t="s">
        <v>9</v>
      </c>
      <c r="E11" s="503"/>
      <c r="F11" s="503"/>
      <c r="G11" s="503"/>
      <c r="H11" s="503"/>
      <c r="I11" s="503"/>
      <c r="J11" s="503"/>
      <c r="K11" s="12"/>
      <c r="L11" s="501" t="s">
        <v>10</v>
      </c>
      <c r="M11" s="501"/>
      <c r="N11" s="501"/>
      <c r="O11" s="501"/>
      <c r="P11" s="502">
        <f>P10+600</f>
        <v>45983</v>
      </c>
      <c r="Q11" s="502"/>
      <c r="R11" s="502"/>
      <c r="S11" s="11"/>
    </row>
    <row r="12" spans="2:23" s="10" customFormat="1" ht="36.75" customHeight="1">
      <c r="B12" s="504" t="s">
        <v>11</v>
      </c>
      <c r="C12" s="504"/>
      <c r="D12" s="505" t="s">
        <v>12</v>
      </c>
      <c r="E12" s="505"/>
      <c r="F12" s="505"/>
      <c r="G12" s="505"/>
      <c r="H12" s="13"/>
      <c r="I12" s="506"/>
      <c r="J12" s="506"/>
      <c r="K12" s="14"/>
      <c r="L12" s="507"/>
      <c r="M12" s="507"/>
      <c r="N12" s="507"/>
      <c r="O12" s="1" t="s">
        <v>13</v>
      </c>
      <c r="P12" s="502">
        <v>45383</v>
      </c>
      <c r="Q12" s="502"/>
      <c r="R12" s="502"/>
      <c r="S12" s="11"/>
      <c r="T12" s="15"/>
    </row>
    <row r="13" spans="2:23" s="10" customFormat="1" ht="31.5" customHeight="1">
      <c r="B13" s="508" t="s">
        <v>14</v>
      </c>
      <c r="C13" s="508"/>
      <c r="D13" s="509">
        <f>Q592</f>
        <v>26279999.999999993</v>
      </c>
      <c r="E13" s="509"/>
      <c r="F13" s="509"/>
      <c r="G13" s="509"/>
      <c r="H13" s="509"/>
      <c r="I13" s="509"/>
      <c r="J13" s="509"/>
      <c r="K13" s="16"/>
      <c r="L13" s="510" t="s">
        <v>15</v>
      </c>
      <c r="M13" s="510"/>
      <c r="N13" s="510"/>
      <c r="O13" s="510"/>
      <c r="P13" s="511" t="s">
        <v>16</v>
      </c>
      <c r="Q13" s="511"/>
      <c r="R13" s="511"/>
      <c r="S13" s="11"/>
    </row>
    <row r="14" spans="2:23" s="10" customFormat="1" ht="31.5" customHeight="1">
      <c r="B14" s="512" t="s">
        <v>17</v>
      </c>
      <c r="C14" s="512"/>
      <c r="D14" s="513"/>
      <c r="E14" s="513"/>
      <c r="F14" s="513"/>
      <c r="G14" s="513"/>
      <c r="H14" s="18"/>
      <c r="I14" s="514" t="s">
        <v>18</v>
      </c>
      <c r="J14" s="514"/>
      <c r="K14" s="17"/>
      <c r="L14" s="515"/>
      <c r="M14" s="515"/>
      <c r="N14" s="515"/>
      <c r="O14" s="19" t="s">
        <v>19</v>
      </c>
      <c r="P14" s="516"/>
      <c r="Q14" s="516"/>
      <c r="R14" s="516"/>
      <c r="S14" s="11"/>
      <c r="T14" s="15"/>
    </row>
    <row r="15" spans="2:23" s="10" customFormat="1" ht="31.5" customHeight="1">
      <c r="B15" s="517" t="s">
        <v>20</v>
      </c>
      <c r="C15" s="517"/>
      <c r="D15" s="518" t="s">
        <v>21</v>
      </c>
      <c r="E15" s="518"/>
      <c r="F15" s="518"/>
      <c r="G15" s="518"/>
      <c r="H15" s="20"/>
      <c r="I15" s="518" t="s">
        <v>18</v>
      </c>
      <c r="J15" s="518"/>
      <c r="K15" s="21"/>
      <c r="L15" s="519" t="s">
        <v>22</v>
      </c>
      <c r="M15" s="519"/>
      <c r="N15" s="519"/>
      <c r="O15" s="22" t="s">
        <v>19</v>
      </c>
      <c r="P15" s="520" t="s">
        <v>23</v>
      </c>
      <c r="Q15" s="520"/>
      <c r="R15" s="520"/>
      <c r="S15" s="11"/>
      <c r="T15" s="23">
        <f>D13</f>
        <v>26279999.999999993</v>
      </c>
      <c r="U15" s="24"/>
    </row>
    <row r="16" spans="2:23" s="10" customFormat="1" ht="6" customHeight="1">
      <c r="B16" s="521"/>
      <c r="C16" s="521"/>
      <c r="D16" s="521"/>
      <c r="E16" s="521"/>
      <c r="F16" s="521"/>
      <c r="G16" s="521"/>
      <c r="H16" s="521"/>
      <c r="I16" s="521"/>
      <c r="J16" s="521"/>
      <c r="K16" s="521"/>
      <c r="L16" s="521"/>
      <c r="M16" s="521"/>
      <c r="N16" s="521"/>
      <c r="O16" s="521"/>
      <c r="P16" s="521"/>
      <c r="Q16" s="521"/>
      <c r="R16" s="521"/>
      <c r="S16" s="11"/>
      <c r="T16" s="23"/>
      <c r="U16" s="25"/>
    </row>
    <row r="17" spans="1:23" s="10" customFormat="1" ht="27.75" customHeight="1">
      <c r="B17" s="497" t="s">
        <v>24</v>
      </c>
      <c r="C17" s="497"/>
      <c r="D17" s="497"/>
      <c r="E17" s="497"/>
      <c r="F17" s="497"/>
      <c r="G17" s="497"/>
      <c r="H17" s="497"/>
      <c r="I17" s="497"/>
      <c r="J17" s="497"/>
      <c r="K17" s="497"/>
      <c r="L17" s="497"/>
      <c r="M17" s="497"/>
      <c r="N17" s="497"/>
      <c r="O17" s="497"/>
      <c r="P17" s="497"/>
      <c r="Q17" s="497"/>
      <c r="R17" s="497"/>
      <c r="S17" s="11"/>
      <c r="T17" s="26"/>
      <c r="U17" s="27"/>
      <c r="W17" s="28"/>
    </row>
    <row r="18" spans="1:23" ht="43.5" customHeight="1">
      <c r="A18" s="10"/>
      <c r="B18" s="522" t="s">
        <v>25</v>
      </c>
      <c r="C18" s="522"/>
      <c r="D18" s="523" t="s">
        <v>4</v>
      </c>
      <c r="E18" s="523"/>
      <c r="F18" s="523"/>
      <c r="G18" s="523"/>
      <c r="H18" s="523"/>
      <c r="I18" s="523"/>
      <c r="J18" s="523"/>
      <c r="K18" s="29"/>
      <c r="L18" s="501" t="s">
        <v>26</v>
      </c>
      <c r="M18" s="501"/>
      <c r="N18" s="501"/>
      <c r="O18" s="501"/>
      <c r="P18" s="524">
        <f>N592</f>
        <v>785508.89</v>
      </c>
      <c r="Q18" s="524"/>
      <c r="R18" s="524"/>
      <c r="S18" s="30"/>
      <c r="T18" s="23">
        <f>T15-Q33-Q32</f>
        <v>23966799.799999993</v>
      </c>
      <c r="U18" s="31"/>
      <c r="V18" s="10"/>
      <c r="W18" s="28"/>
    </row>
    <row r="19" spans="1:23" ht="31.5" customHeight="1">
      <c r="A19" s="10"/>
      <c r="B19" s="522" t="s">
        <v>27</v>
      </c>
      <c r="C19" s="522"/>
      <c r="D19" s="525" t="s">
        <v>1577</v>
      </c>
      <c r="E19" s="525"/>
      <c r="F19" s="525"/>
      <c r="G19" s="525"/>
      <c r="H19" s="525"/>
      <c r="I19" s="525"/>
      <c r="J19" s="525"/>
      <c r="K19" s="29"/>
      <c r="L19" s="501" t="s">
        <v>29</v>
      </c>
      <c r="M19" s="501"/>
      <c r="N19" s="501"/>
      <c r="O19" s="501"/>
      <c r="P19" s="524">
        <f>P18-P20</f>
        <v>0</v>
      </c>
      <c r="Q19" s="524"/>
      <c r="R19" s="524"/>
      <c r="S19" s="30"/>
      <c r="T19" s="23">
        <f>P21-O33-O32</f>
        <v>4738677.9499999993</v>
      </c>
      <c r="U19" s="10"/>
      <c r="V19" s="10"/>
      <c r="W19" s="10"/>
    </row>
    <row r="20" spans="1:23" s="34" customFormat="1" ht="31.5" customHeight="1">
      <c r="A20" s="10"/>
      <c r="B20" s="526" t="s">
        <v>30</v>
      </c>
      <c r="C20" s="526"/>
      <c r="D20" s="523" t="s">
        <v>1578</v>
      </c>
      <c r="E20" s="523"/>
      <c r="F20" s="523"/>
      <c r="G20" s="523"/>
      <c r="H20" s="523"/>
      <c r="I20" s="523"/>
      <c r="J20" s="523"/>
      <c r="K20" s="29"/>
      <c r="L20" s="501" t="s">
        <v>32</v>
      </c>
      <c r="M20" s="501"/>
      <c r="N20" s="501"/>
      <c r="O20" s="501"/>
      <c r="P20" s="524">
        <f>N592</f>
        <v>785508.89</v>
      </c>
      <c r="Q20" s="524"/>
      <c r="R20" s="524"/>
      <c r="S20" s="30"/>
      <c r="T20" s="32">
        <f>T19/T18</f>
        <v>0.1977184267212847</v>
      </c>
      <c r="U20" s="24">
        <v>739429.5</v>
      </c>
      <c r="V20" s="10"/>
      <c r="W20" s="33"/>
    </row>
    <row r="21" spans="1:23" s="34" customFormat="1" ht="31.5" customHeight="1">
      <c r="A21" s="10"/>
      <c r="B21" s="526" t="s">
        <v>33</v>
      </c>
      <c r="C21" s="526"/>
      <c r="D21" s="527">
        <v>45596</v>
      </c>
      <c r="E21" s="527"/>
      <c r="F21" s="527"/>
      <c r="G21" s="527"/>
      <c r="H21" s="527"/>
      <c r="I21" s="527"/>
      <c r="J21" s="527"/>
      <c r="K21" s="35"/>
      <c r="L21" s="501" t="s">
        <v>34</v>
      </c>
      <c r="M21" s="501"/>
      <c r="N21" s="501"/>
      <c r="O21" s="501"/>
      <c r="P21" s="524">
        <f>P20+'BM 006'!P21:R21</f>
        <v>5195997.5799999991</v>
      </c>
      <c r="Q21" s="524"/>
      <c r="R21" s="524"/>
      <c r="S21" s="36"/>
      <c r="T21" s="32">
        <f>T20-I33</f>
        <v>1.8426721284686698E-5</v>
      </c>
      <c r="U21" s="32"/>
      <c r="V21" s="10"/>
      <c r="W21" s="10"/>
    </row>
    <row r="22" spans="1:23" s="34" customFormat="1" ht="31.5" customHeight="1">
      <c r="A22" s="10"/>
      <c r="B22" s="526" t="s">
        <v>35</v>
      </c>
      <c r="C22" s="526"/>
      <c r="D22" s="527">
        <v>45597</v>
      </c>
      <c r="E22" s="527"/>
      <c r="F22" s="527"/>
      <c r="G22" s="527"/>
      <c r="H22" s="527"/>
      <c r="I22" s="527"/>
      <c r="J22" s="527"/>
      <c r="K22" s="35"/>
      <c r="L22" s="501" t="s">
        <v>36</v>
      </c>
      <c r="M22" s="501"/>
      <c r="N22" s="501"/>
      <c r="O22" s="501"/>
      <c r="P22" s="524">
        <f>R592</f>
        <v>21084002.419999998</v>
      </c>
      <c r="Q22" s="524"/>
      <c r="R22" s="524"/>
      <c r="S22" s="36"/>
      <c r="T22" s="31"/>
      <c r="U22" s="37"/>
      <c r="V22" s="10"/>
      <c r="W22" s="10"/>
    </row>
    <row r="23" spans="1:23" s="34" customFormat="1" ht="5.25" customHeight="1">
      <c r="A23" s="10"/>
      <c r="B23" s="528"/>
      <c r="C23" s="528"/>
      <c r="D23" s="528"/>
      <c r="E23" s="528"/>
      <c r="F23" s="528"/>
      <c r="G23" s="528"/>
      <c r="H23" s="528"/>
      <c r="I23" s="528"/>
      <c r="J23" s="528"/>
      <c r="K23" s="528"/>
      <c r="L23" s="528"/>
      <c r="M23" s="528"/>
      <c r="N23" s="528"/>
      <c r="O23" s="528"/>
      <c r="P23" s="528"/>
      <c r="Q23" s="528"/>
      <c r="R23" s="528"/>
      <c r="S23" s="10"/>
      <c r="T23" s="10"/>
      <c r="U23" s="10"/>
      <c r="V23" s="10"/>
      <c r="W23" s="10"/>
    </row>
    <row r="24" spans="1:23" s="34" customFormat="1" ht="2.25" customHeight="1">
      <c r="A24" s="2"/>
      <c r="B24" s="38"/>
      <c r="C24" s="39"/>
      <c r="D24" s="40"/>
      <c r="E24" s="41"/>
      <c r="F24" s="42"/>
      <c r="G24" s="43"/>
      <c r="H24" s="43"/>
      <c r="I24" s="43"/>
      <c r="J24" s="39"/>
      <c r="K24" s="39"/>
      <c r="L24" s="39"/>
      <c r="M24" s="39"/>
      <c r="N24" s="39"/>
      <c r="O24" s="39"/>
      <c r="P24" s="44"/>
      <c r="Q24" s="44"/>
      <c r="R24" s="45"/>
      <c r="S24" s="2"/>
      <c r="T24" s="2"/>
      <c r="U24" s="2"/>
      <c r="V24" s="2"/>
      <c r="W24" s="2"/>
    </row>
    <row r="25" spans="1:23" s="34" customFormat="1" ht="18" customHeight="1">
      <c r="A25" s="2"/>
      <c r="B25" s="529" t="s">
        <v>37</v>
      </c>
      <c r="C25" s="530" t="s">
        <v>38</v>
      </c>
      <c r="D25" s="530" t="s">
        <v>39</v>
      </c>
      <c r="E25" s="531" t="s">
        <v>40</v>
      </c>
      <c r="F25" s="531"/>
      <c r="G25" s="531"/>
      <c r="H25" s="531"/>
      <c r="I25" s="531"/>
      <c r="J25" s="531"/>
      <c r="K25" s="48" t="s">
        <v>41</v>
      </c>
      <c r="L25" s="48" t="s">
        <v>42</v>
      </c>
      <c r="M25" s="48"/>
      <c r="N25" s="532" t="s">
        <v>43</v>
      </c>
      <c r="O25" s="532"/>
      <c r="P25" s="532"/>
      <c r="Q25" s="532"/>
      <c r="R25" s="532"/>
      <c r="S25" s="2"/>
      <c r="T25" s="49" t="s">
        <v>44</v>
      </c>
      <c r="U25" s="50">
        <v>20732092.140000001</v>
      </c>
      <c r="V25" s="51">
        <v>0.26760000016091001</v>
      </c>
      <c r="W25" s="2"/>
    </row>
    <row r="26" spans="1:23" s="34" customFormat="1" ht="43.5" customHeight="1">
      <c r="A26" s="2"/>
      <c r="B26" s="529"/>
      <c r="C26" s="530"/>
      <c r="D26" s="530"/>
      <c r="E26" s="52" t="s">
        <v>45</v>
      </c>
      <c r="F26" s="53" t="s">
        <v>46</v>
      </c>
      <c r="G26" s="53" t="s">
        <v>47</v>
      </c>
      <c r="H26" s="54"/>
      <c r="I26" s="55" t="s">
        <v>48</v>
      </c>
      <c r="J26" s="55" t="s">
        <v>49</v>
      </c>
      <c r="K26" s="56" t="s">
        <v>50</v>
      </c>
      <c r="L26" s="47" t="s">
        <v>50</v>
      </c>
      <c r="M26" s="48" t="s">
        <v>51</v>
      </c>
      <c r="N26" s="57" t="s">
        <v>52</v>
      </c>
      <c r="O26" s="57" t="s">
        <v>53</v>
      </c>
      <c r="P26" s="57" t="s">
        <v>54</v>
      </c>
      <c r="Q26" s="57" t="s">
        <v>55</v>
      </c>
      <c r="R26" s="58" t="s">
        <v>56</v>
      </c>
      <c r="S26" s="2"/>
      <c r="T26" s="59">
        <v>0.26760011</v>
      </c>
      <c r="U26" s="50">
        <v>5547907.8600000003</v>
      </c>
      <c r="V26" s="50">
        <v>26280000</v>
      </c>
      <c r="W26" s="2"/>
    </row>
    <row r="27" spans="1:23" s="34" customFormat="1" ht="13.2">
      <c r="B27" s="60" t="s">
        <v>57</v>
      </c>
      <c r="C27" s="61" t="s">
        <v>58</v>
      </c>
      <c r="D27" s="60"/>
      <c r="E27" s="62"/>
      <c r="F27" s="63"/>
      <c r="G27" s="63"/>
      <c r="H27" s="63"/>
      <c r="I27" s="63"/>
      <c r="J27" s="63"/>
      <c r="K27" s="63"/>
      <c r="L27" s="64"/>
      <c r="M27" s="63">
        <f t="shared" ref="M27:R27" si="0">M28+M30+M35+M43</f>
        <v>89129.37999999999</v>
      </c>
      <c r="N27" s="63">
        <f t="shared" si="0"/>
        <v>89129.37999999999</v>
      </c>
      <c r="O27" s="63">
        <f t="shared" si="0"/>
        <v>998466.59</v>
      </c>
      <c r="P27" s="63">
        <f t="shared" si="0"/>
        <v>2403883</v>
      </c>
      <c r="Q27" s="63">
        <f t="shared" si="0"/>
        <v>3047162.2499999991</v>
      </c>
      <c r="R27" s="63">
        <f t="shared" si="0"/>
        <v>2048695.6599999997</v>
      </c>
      <c r="U27" s="65"/>
    </row>
    <row r="28" spans="1:23" s="34" customFormat="1" ht="13.2">
      <c r="B28" s="66" t="s">
        <v>59</v>
      </c>
      <c r="C28" s="67" t="s">
        <v>60</v>
      </c>
      <c r="D28" s="68"/>
      <c r="E28" s="69"/>
      <c r="F28" s="70"/>
      <c r="G28" s="70"/>
      <c r="H28" s="70"/>
      <c r="I28" s="70"/>
      <c r="J28" s="70"/>
      <c r="K28" s="71"/>
      <c r="L28" s="72"/>
      <c r="M28" s="73">
        <f t="shared" ref="M28:R28" si="1">SUM(M29)</f>
        <v>0</v>
      </c>
      <c r="N28" s="73">
        <f t="shared" si="1"/>
        <v>0</v>
      </c>
      <c r="O28" s="73">
        <f t="shared" si="1"/>
        <v>41273.050000000003</v>
      </c>
      <c r="P28" s="73">
        <f t="shared" si="1"/>
        <v>32560</v>
      </c>
      <c r="Q28" s="73">
        <f t="shared" si="1"/>
        <v>41273.050000000003</v>
      </c>
      <c r="R28" s="73">
        <f t="shared" si="1"/>
        <v>0</v>
      </c>
      <c r="T28" s="74"/>
    </row>
    <row r="29" spans="1:23" s="34" customFormat="1" ht="13.2">
      <c r="B29" s="75" t="s">
        <v>61</v>
      </c>
      <c r="C29" s="76" t="s">
        <v>62</v>
      </c>
      <c r="D29" s="77" t="s">
        <v>63</v>
      </c>
      <c r="E29" s="78">
        <v>1</v>
      </c>
      <c r="F29" s="79"/>
      <c r="G29" s="79"/>
      <c r="H29" s="79"/>
      <c r="I29" s="79">
        <f>SUM(G29:H29)+'BM 006'!I29</f>
        <v>1</v>
      </c>
      <c r="J29" s="79">
        <f>E29-I29</f>
        <v>0</v>
      </c>
      <c r="K29" s="80">
        <v>32560</v>
      </c>
      <c r="L29" s="81">
        <f t="shared" ref="L29:L92" si="2">K29*(1+$T$26)</f>
        <v>41273.059581599999</v>
      </c>
      <c r="M29" s="82">
        <f>TRUNC(F29*L29,2)</f>
        <v>0</v>
      </c>
      <c r="N29" s="82">
        <f>TRUNC(G29*L29,2)</f>
        <v>0</v>
      </c>
      <c r="O29" s="82">
        <f>N29+'BM 006'!O29</f>
        <v>41273.050000000003</v>
      </c>
      <c r="P29" s="82">
        <f>E29*K29</f>
        <v>32560</v>
      </c>
      <c r="Q29" s="82">
        <f>TRUNC(E29*L29,2)</f>
        <v>41273.050000000003</v>
      </c>
      <c r="R29" s="82">
        <f>Q29-O29</f>
        <v>0</v>
      </c>
      <c r="T29" s="74"/>
    </row>
    <row r="30" spans="1:23" s="34" customFormat="1" ht="13.2">
      <c r="B30" s="66" t="s">
        <v>64</v>
      </c>
      <c r="C30" s="67" t="s">
        <v>65</v>
      </c>
      <c r="D30" s="68"/>
      <c r="E30" s="69"/>
      <c r="F30" s="70"/>
      <c r="G30" s="70"/>
      <c r="H30" s="70"/>
      <c r="I30" s="70">
        <f>SUM(G30:H30)+'BM 006'!I30</f>
        <v>0</v>
      </c>
      <c r="J30" s="70"/>
      <c r="K30" s="71"/>
      <c r="L30" s="71">
        <f t="shared" si="2"/>
        <v>0</v>
      </c>
      <c r="M30" s="73">
        <f t="shared" ref="M30:R30" si="3">SUM(M31:M34)</f>
        <v>69164.679999999993</v>
      </c>
      <c r="N30" s="73">
        <f t="shared" si="3"/>
        <v>69164.679999999993</v>
      </c>
      <c r="O30" s="73">
        <f t="shared" si="3"/>
        <v>457319.63</v>
      </c>
      <c r="P30" s="73">
        <f t="shared" si="3"/>
        <v>1872865.9</v>
      </c>
      <c r="Q30" s="73">
        <f t="shared" si="3"/>
        <v>2374044.9999999995</v>
      </c>
      <c r="R30" s="73">
        <f t="shared" si="3"/>
        <v>1916725.3699999996</v>
      </c>
      <c r="T30" s="83"/>
    </row>
    <row r="31" spans="1:23" s="34" customFormat="1" ht="23.4">
      <c r="B31" s="75" t="s">
        <v>66</v>
      </c>
      <c r="C31" s="76" t="s">
        <v>67</v>
      </c>
      <c r="D31" s="77" t="s">
        <v>68</v>
      </c>
      <c r="E31" s="78">
        <v>20</v>
      </c>
      <c r="F31" s="79"/>
      <c r="G31" s="79"/>
      <c r="H31" s="79"/>
      <c r="I31" s="79">
        <f>SUM(G31:H31)+'BM 006'!I31</f>
        <v>0</v>
      </c>
      <c r="J31" s="79">
        <f t="shared" ref="J31:J94" si="4">E31-I31</f>
        <v>20</v>
      </c>
      <c r="K31" s="84">
        <v>1200</v>
      </c>
      <c r="L31" s="81">
        <f t="shared" si="2"/>
        <v>1521.120132</v>
      </c>
      <c r="M31" s="82">
        <f>TRUNC(F31*L31,2)</f>
        <v>0</v>
      </c>
      <c r="N31" s="82">
        <f>TRUNC(G31*L31,2)</f>
        <v>0</v>
      </c>
      <c r="O31" s="82">
        <f>N31+'BM 006'!O31</f>
        <v>0</v>
      </c>
      <c r="P31" s="82">
        <f>E31*K31</f>
        <v>24000</v>
      </c>
      <c r="Q31" s="82">
        <f>TRUNC(E31*L31,2)</f>
        <v>30422.400000000001</v>
      </c>
      <c r="R31" s="82">
        <f>Q31-O31</f>
        <v>30422.400000000001</v>
      </c>
    </row>
    <row r="32" spans="1:23" s="34" customFormat="1" ht="13.2">
      <c r="B32" s="75" t="s">
        <v>69</v>
      </c>
      <c r="C32" s="85" t="s">
        <v>70</v>
      </c>
      <c r="D32" s="77" t="s">
        <v>68</v>
      </c>
      <c r="E32" s="78">
        <v>20</v>
      </c>
      <c r="F32" s="86">
        <f>'M.C. MED. 07'!K21</f>
        <v>0.59799999999999986</v>
      </c>
      <c r="G32" s="86">
        <f>F32</f>
        <v>0.59799999999999986</v>
      </c>
      <c r="H32" s="79"/>
      <c r="I32" s="86">
        <f>SUM(G32:H32)+'BM 006'!I32</f>
        <v>3.9539999999999997</v>
      </c>
      <c r="J32" s="79">
        <f t="shared" si="4"/>
        <v>16.045999999999999</v>
      </c>
      <c r="K32" s="84">
        <v>51500.32</v>
      </c>
      <c r="L32" s="81">
        <f t="shared" si="2"/>
        <v>65281.811297035201</v>
      </c>
      <c r="M32" s="82">
        <f>TRUNC(F32*L32,2)</f>
        <v>39038.519999999997</v>
      </c>
      <c r="N32" s="82">
        <f>TRUNC(G32*L32,2)</f>
        <v>39038.519999999997</v>
      </c>
      <c r="O32" s="82">
        <f>N32+'BM 006'!O32</f>
        <v>258124.24999999997</v>
      </c>
      <c r="P32" s="82">
        <f>E32*K32</f>
        <v>1030006.4</v>
      </c>
      <c r="Q32" s="82">
        <f>TRUNC(E32*L32,2)</f>
        <v>1305636.22</v>
      </c>
      <c r="R32" s="82">
        <f>Q32-O32</f>
        <v>1047511.97</v>
      </c>
    </row>
    <row r="33" spans="1:21" s="34" customFormat="1" ht="194.4">
      <c r="B33" s="75" t="s">
        <v>71</v>
      </c>
      <c r="C33" s="85" t="s">
        <v>72</v>
      </c>
      <c r="D33" s="77" t="s">
        <v>39</v>
      </c>
      <c r="E33" s="78">
        <v>1</v>
      </c>
      <c r="F33" s="86">
        <f>'M.C. MED. 07'!K37</f>
        <v>2.990000000000001E-2</v>
      </c>
      <c r="G33" s="86">
        <f>F33</f>
        <v>2.990000000000001E-2</v>
      </c>
      <c r="H33" s="79"/>
      <c r="I33" s="86">
        <f>SUM(G33:H33)+'BM 006'!I33</f>
        <v>0.19770000000000001</v>
      </c>
      <c r="J33" s="79">
        <f t="shared" si="4"/>
        <v>0.80230000000000001</v>
      </c>
      <c r="K33" s="84">
        <v>794859.5</v>
      </c>
      <c r="L33" s="81">
        <f t="shared" si="2"/>
        <v>1007563.9896345451</v>
      </c>
      <c r="M33" s="82">
        <f>TRUNC(F33*L33,2)</f>
        <v>30126.16</v>
      </c>
      <c r="N33" s="82">
        <f>TRUNC(G33*L33,2)</f>
        <v>30126.16</v>
      </c>
      <c r="O33" s="82">
        <f>N33+'BM 006'!O33</f>
        <v>199195.38</v>
      </c>
      <c r="P33" s="82">
        <f>E33*K33</f>
        <v>794859.5</v>
      </c>
      <c r="Q33" s="82">
        <f>TRUNC(E33*L33,2)</f>
        <v>1007563.98</v>
      </c>
      <c r="R33" s="82">
        <f>Q33-O33</f>
        <v>808368.6</v>
      </c>
    </row>
    <row r="34" spans="1:21" s="34" customFormat="1" ht="23.4">
      <c r="B34" s="75" t="s">
        <v>73</v>
      </c>
      <c r="C34" s="76" t="s">
        <v>74</v>
      </c>
      <c r="D34" s="77" t="s">
        <v>68</v>
      </c>
      <c r="E34" s="78">
        <v>20</v>
      </c>
      <c r="F34" s="79"/>
      <c r="G34" s="79"/>
      <c r="H34" s="79"/>
      <c r="I34" s="79">
        <f>SUM(G34:H34)+'BM 006'!I34</f>
        <v>0</v>
      </c>
      <c r="J34" s="79">
        <f t="shared" si="4"/>
        <v>20</v>
      </c>
      <c r="K34" s="84">
        <v>1200</v>
      </c>
      <c r="L34" s="81">
        <f t="shared" si="2"/>
        <v>1521.120132</v>
      </c>
      <c r="M34" s="82">
        <f>TRUNC(F34*L34,2)</f>
        <v>0</v>
      </c>
      <c r="N34" s="82">
        <f>TRUNC(G34*L34,2)</f>
        <v>0</v>
      </c>
      <c r="O34" s="82">
        <f>N34+'BM 006'!O34</f>
        <v>0</v>
      </c>
      <c r="P34" s="82">
        <f>E34*K34</f>
        <v>24000</v>
      </c>
      <c r="Q34" s="82">
        <f>TRUNC(E34*L34,2)</f>
        <v>30422.400000000001</v>
      </c>
      <c r="R34" s="82">
        <f>Q34-O34</f>
        <v>30422.400000000001</v>
      </c>
    </row>
    <row r="35" spans="1:21" s="34" customFormat="1" ht="13.2">
      <c r="B35" s="66" t="s">
        <v>75</v>
      </c>
      <c r="C35" s="67" t="s">
        <v>76</v>
      </c>
      <c r="D35" s="68"/>
      <c r="E35" s="69"/>
      <c r="F35" s="70"/>
      <c r="G35" s="70"/>
      <c r="H35" s="70"/>
      <c r="I35" s="70">
        <f>SUM(G35:H35)+'BM 006'!I35</f>
        <v>0</v>
      </c>
      <c r="J35" s="70">
        <f t="shared" si="4"/>
        <v>0</v>
      </c>
      <c r="K35" s="71"/>
      <c r="L35" s="71">
        <f t="shared" si="2"/>
        <v>0</v>
      </c>
      <c r="M35" s="73">
        <f t="shared" ref="M35:R35" si="5">SUM(M36:M42)</f>
        <v>0</v>
      </c>
      <c r="N35" s="73">
        <f t="shared" si="5"/>
        <v>0</v>
      </c>
      <c r="O35" s="73">
        <f t="shared" si="5"/>
        <v>352925.19</v>
      </c>
      <c r="P35" s="73">
        <f t="shared" si="5"/>
        <v>278420</v>
      </c>
      <c r="Q35" s="73">
        <f t="shared" si="5"/>
        <v>352925.19</v>
      </c>
      <c r="R35" s="73">
        <f t="shared" si="5"/>
        <v>0</v>
      </c>
    </row>
    <row r="36" spans="1:21" s="34" customFormat="1" ht="13.2">
      <c r="B36" s="87" t="s">
        <v>77</v>
      </c>
      <c r="C36" s="88" t="s">
        <v>78</v>
      </c>
      <c r="D36" s="89" t="s">
        <v>79</v>
      </c>
      <c r="E36" s="90">
        <v>128</v>
      </c>
      <c r="F36" s="91"/>
      <c r="G36" s="91"/>
      <c r="H36" s="91"/>
      <c r="I36" s="79">
        <f>SUM(G36:H36)+'BM 006'!I36</f>
        <v>128</v>
      </c>
      <c r="J36" s="91">
        <f t="shared" si="4"/>
        <v>0</v>
      </c>
      <c r="K36" s="80">
        <v>125</v>
      </c>
      <c r="L36" s="81">
        <f t="shared" si="2"/>
        <v>158.45001375000001</v>
      </c>
      <c r="M36" s="82">
        <f t="shared" ref="M36:M42" si="6">TRUNC(F36*L36,2)</f>
        <v>0</v>
      </c>
      <c r="N36" s="82">
        <f t="shared" ref="N36:N42" si="7">TRUNC(G36*L36,2)</f>
        <v>0</v>
      </c>
      <c r="O36" s="82">
        <f>N36+'BM 006'!O36</f>
        <v>20281.599999999999</v>
      </c>
      <c r="P36" s="82">
        <f t="shared" ref="P36:P42" si="8">E36*K36</f>
        <v>16000</v>
      </c>
      <c r="Q36" s="82">
        <f t="shared" ref="Q36:Q42" si="9">TRUNC(E36*L36,2)</f>
        <v>20281.599999999999</v>
      </c>
      <c r="R36" s="82">
        <f t="shared" ref="R36:R42" si="10">Q36-O36</f>
        <v>0</v>
      </c>
    </row>
    <row r="37" spans="1:21" s="34" customFormat="1" ht="46.2">
      <c r="B37" s="87" t="s">
        <v>80</v>
      </c>
      <c r="C37" s="76" t="s">
        <v>81</v>
      </c>
      <c r="D37" s="77" t="s">
        <v>82</v>
      </c>
      <c r="E37" s="78">
        <v>156</v>
      </c>
      <c r="F37" s="91"/>
      <c r="G37" s="91"/>
      <c r="H37" s="91"/>
      <c r="I37" s="79">
        <f>SUM(G37:H37)+'BM 006'!I37</f>
        <v>156.0001</v>
      </c>
      <c r="J37" s="91">
        <f t="shared" si="4"/>
        <v>-1.0000000000331966E-4</v>
      </c>
      <c r="K37" s="80">
        <v>70</v>
      </c>
      <c r="L37" s="81">
        <f t="shared" si="2"/>
        <v>88.732007699999997</v>
      </c>
      <c r="M37" s="82">
        <f t="shared" si="6"/>
        <v>0</v>
      </c>
      <c r="N37" s="82">
        <f t="shared" si="7"/>
        <v>0</v>
      </c>
      <c r="O37" s="82">
        <f>N37+'BM 006'!O37</f>
        <v>13842.19</v>
      </c>
      <c r="P37" s="82">
        <f t="shared" si="8"/>
        <v>10920</v>
      </c>
      <c r="Q37" s="82">
        <f t="shared" si="9"/>
        <v>13842.19</v>
      </c>
      <c r="R37" s="82">
        <f t="shared" si="10"/>
        <v>0</v>
      </c>
    </row>
    <row r="38" spans="1:21" s="34" customFormat="1" ht="34.799999999999997">
      <c r="B38" s="87" t="s">
        <v>83</v>
      </c>
      <c r="C38" s="88" t="s">
        <v>84</v>
      </c>
      <c r="D38" s="89" t="s">
        <v>79</v>
      </c>
      <c r="E38" s="92">
        <v>40</v>
      </c>
      <c r="F38" s="91"/>
      <c r="G38" s="91"/>
      <c r="H38" s="91"/>
      <c r="I38" s="79">
        <f>SUM(G38:H38)+'BM 006'!I38</f>
        <v>40</v>
      </c>
      <c r="J38" s="91">
        <f t="shared" si="4"/>
        <v>0</v>
      </c>
      <c r="K38" s="80">
        <v>1150</v>
      </c>
      <c r="L38" s="81">
        <f t="shared" si="2"/>
        <v>1457.7401265000001</v>
      </c>
      <c r="M38" s="82">
        <f t="shared" si="6"/>
        <v>0</v>
      </c>
      <c r="N38" s="82">
        <f t="shared" si="7"/>
        <v>0</v>
      </c>
      <c r="O38" s="82">
        <f>N38+'BM 006'!O38</f>
        <v>58309.599999999999</v>
      </c>
      <c r="P38" s="82">
        <f t="shared" si="8"/>
        <v>46000</v>
      </c>
      <c r="Q38" s="82">
        <f t="shared" si="9"/>
        <v>58309.599999999999</v>
      </c>
      <c r="R38" s="82">
        <f t="shared" si="10"/>
        <v>0</v>
      </c>
    </row>
    <row r="39" spans="1:21" s="34" customFormat="1" ht="23.4">
      <c r="B39" s="87" t="s">
        <v>85</v>
      </c>
      <c r="C39" s="88" t="s">
        <v>86</v>
      </c>
      <c r="D39" s="89" t="s">
        <v>79</v>
      </c>
      <c r="E39" s="92">
        <v>68</v>
      </c>
      <c r="F39" s="91"/>
      <c r="G39" s="91"/>
      <c r="H39" s="91"/>
      <c r="I39" s="79">
        <f>SUM(G39:H39)+'BM 006'!I39</f>
        <v>68</v>
      </c>
      <c r="J39" s="91">
        <f t="shared" si="4"/>
        <v>0</v>
      </c>
      <c r="K39" s="80">
        <v>1000</v>
      </c>
      <c r="L39" s="81">
        <f t="shared" si="2"/>
        <v>1267.6001100000001</v>
      </c>
      <c r="M39" s="82">
        <f t="shared" si="6"/>
        <v>0</v>
      </c>
      <c r="N39" s="82">
        <f t="shared" si="7"/>
        <v>0</v>
      </c>
      <c r="O39" s="82">
        <f>N39+'BM 006'!O39</f>
        <v>86196.800000000003</v>
      </c>
      <c r="P39" s="82">
        <f t="shared" si="8"/>
        <v>68000</v>
      </c>
      <c r="Q39" s="82">
        <f t="shared" si="9"/>
        <v>86196.800000000003</v>
      </c>
      <c r="R39" s="82">
        <f t="shared" si="10"/>
        <v>0</v>
      </c>
    </row>
    <row r="40" spans="1:21" s="34" customFormat="1" ht="34.799999999999997">
      <c r="B40" s="87" t="s">
        <v>87</v>
      </c>
      <c r="C40" s="88" t="s">
        <v>88</v>
      </c>
      <c r="D40" s="89" t="s">
        <v>79</v>
      </c>
      <c r="E40" s="92">
        <v>60</v>
      </c>
      <c r="F40" s="91"/>
      <c r="G40" s="91"/>
      <c r="H40" s="91"/>
      <c r="I40" s="79">
        <f>SUM(G40:H40)+'BM 006'!I40</f>
        <v>60</v>
      </c>
      <c r="J40" s="91">
        <f t="shared" si="4"/>
        <v>0</v>
      </c>
      <c r="K40" s="80">
        <v>600</v>
      </c>
      <c r="L40" s="81">
        <f t="shared" si="2"/>
        <v>760.56006600000001</v>
      </c>
      <c r="M40" s="82">
        <f t="shared" si="6"/>
        <v>0</v>
      </c>
      <c r="N40" s="82">
        <f t="shared" si="7"/>
        <v>0</v>
      </c>
      <c r="O40" s="82">
        <f>N40+'BM 006'!O40</f>
        <v>45633.599999999999</v>
      </c>
      <c r="P40" s="82">
        <f t="shared" si="8"/>
        <v>36000</v>
      </c>
      <c r="Q40" s="82">
        <f t="shared" si="9"/>
        <v>45633.599999999999</v>
      </c>
      <c r="R40" s="82">
        <f t="shared" si="10"/>
        <v>0</v>
      </c>
      <c r="T40" s="83"/>
      <c r="U40" s="83"/>
    </row>
    <row r="41" spans="1:21" s="34" customFormat="1" ht="34.799999999999997">
      <c r="B41" s="87" t="s">
        <v>89</v>
      </c>
      <c r="C41" s="76" t="s">
        <v>90</v>
      </c>
      <c r="D41" s="77" t="s">
        <v>79</v>
      </c>
      <c r="E41" s="78">
        <v>60</v>
      </c>
      <c r="F41" s="79"/>
      <c r="G41" s="91"/>
      <c r="H41" s="79"/>
      <c r="I41" s="79">
        <f>SUM(G41:H41)+'BM 006'!I41</f>
        <v>60</v>
      </c>
      <c r="J41" s="79">
        <f t="shared" si="4"/>
        <v>0</v>
      </c>
      <c r="K41" s="80">
        <v>1150</v>
      </c>
      <c r="L41" s="81">
        <f t="shared" si="2"/>
        <v>1457.7401265000001</v>
      </c>
      <c r="M41" s="82">
        <f t="shared" si="6"/>
        <v>0</v>
      </c>
      <c r="N41" s="82">
        <f t="shared" si="7"/>
        <v>0</v>
      </c>
      <c r="O41" s="82">
        <f>N41+'BM 006'!O41</f>
        <v>87464.4</v>
      </c>
      <c r="P41" s="82">
        <f t="shared" si="8"/>
        <v>69000</v>
      </c>
      <c r="Q41" s="82">
        <f t="shared" si="9"/>
        <v>87464.4</v>
      </c>
      <c r="R41" s="82">
        <f t="shared" si="10"/>
        <v>0</v>
      </c>
    </row>
    <row r="42" spans="1:21" s="34" customFormat="1" ht="34.200000000000003">
      <c r="B42" s="87" t="s">
        <v>91</v>
      </c>
      <c r="C42" s="184" t="s">
        <v>1195</v>
      </c>
      <c r="D42" s="77" t="s">
        <v>79</v>
      </c>
      <c r="E42" s="78">
        <v>50</v>
      </c>
      <c r="F42" s="79"/>
      <c r="G42" s="91"/>
      <c r="H42" s="79"/>
      <c r="I42" s="79">
        <f>SUM(G42:H42)+'BM 006'!I42</f>
        <v>50</v>
      </c>
      <c r="J42" s="79">
        <f t="shared" si="4"/>
        <v>0</v>
      </c>
      <c r="K42" s="80">
        <v>650</v>
      </c>
      <c r="L42" s="81">
        <f t="shared" si="2"/>
        <v>823.94007150000004</v>
      </c>
      <c r="M42" s="82">
        <f t="shared" si="6"/>
        <v>0</v>
      </c>
      <c r="N42" s="82">
        <f t="shared" si="7"/>
        <v>0</v>
      </c>
      <c r="O42" s="82">
        <f>N42+'BM 006'!O42</f>
        <v>41197</v>
      </c>
      <c r="P42" s="82">
        <f t="shared" si="8"/>
        <v>32500</v>
      </c>
      <c r="Q42" s="82">
        <f t="shared" si="9"/>
        <v>41197</v>
      </c>
      <c r="R42" s="82">
        <f t="shared" si="10"/>
        <v>0</v>
      </c>
    </row>
    <row r="43" spans="1:21" s="34" customFormat="1" ht="13.2">
      <c r="B43" s="66" t="s">
        <v>93</v>
      </c>
      <c r="C43" s="67" t="s">
        <v>94</v>
      </c>
      <c r="D43" s="68"/>
      <c r="E43" s="69"/>
      <c r="F43" s="70"/>
      <c r="G43" s="70"/>
      <c r="H43" s="70"/>
      <c r="I43" s="70">
        <f>SUM(G43:H43)+'BM 006'!I43</f>
        <v>0</v>
      </c>
      <c r="J43" s="70">
        <f t="shared" si="4"/>
        <v>0</v>
      </c>
      <c r="K43" s="71"/>
      <c r="L43" s="71">
        <f t="shared" si="2"/>
        <v>0</v>
      </c>
      <c r="M43" s="73">
        <f t="shared" ref="M43:R43" si="11">SUM(M44:M51)</f>
        <v>19964.7</v>
      </c>
      <c r="N43" s="73">
        <f t="shared" si="11"/>
        <v>19964.7</v>
      </c>
      <c r="O43" s="73">
        <f t="shared" si="11"/>
        <v>146948.72</v>
      </c>
      <c r="P43" s="73">
        <f t="shared" si="11"/>
        <v>220037.1</v>
      </c>
      <c r="Q43" s="73">
        <f t="shared" si="11"/>
        <v>278919.01</v>
      </c>
      <c r="R43" s="73">
        <f t="shared" si="11"/>
        <v>131970.28999999998</v>
      </c>
    </row>
    <row r="44" spans="1:21" s="34" customFormat="1" ht="34.799999999999997">
      <c r="A44" s="83"/>
      <c r="B44" s="87" t="s">
        <v>95</v>
      </c>
      <c r="C44" s="76" t="s">
        <v>96</v>
      </c>
      <c r="D44" s="77" t="s">
        <v>79</v>
      </c>
      <c r="E44" s="93">
        <v>2573.3000000000002</v>
      </c>
      <c r="F44" s="79"/>
      <c r="G44" s="79"/>
      <c r="H44" s="79"/>
      <c r="I44" s="79">
        <f>SUM(G44:H44)+'BM 006'!I44</f>
        <v>2573.3000000000002</v>
      </c>
      <c r="J44" s="79">
        <f t="shared" si="4"/>
        <v>0</v>
      </c>
      <c r="K44" s="80">
        <v>2</v>
      </c>
      <c r="L44" s="81">
        <f t="shared" si="2"/>
        <v>2.5352002200000001</v>
      </c>
      <c r="M44" s="82">
        <f t="shared" ref="M44:M51" si="12">TRUNC(F44*L44,2)</f>
        <v>0</v>
      </c>
      <c r="N44" s="82">
        <f t="shared" ref="N44:N51" si="13">TRUNC(G44*L44,2)</f>
        <v>0</v>
      </c>
      <c r="O44" s="82">
        <f>N44+'BM 006'!O44</f>
        <v>6523.83</v>
      </c>
      <c r="P44" s="82">
        <f t="shared" ref="P44:P51" si="14">E44*K44</f>
        <v>5146.6000000000004</v>
      </c>
      <c r="Q44" s="82">
        <f t="shared" ref="Q44:Q51" si="15">TRUNC(E44*L44,2)</f>
        <v>6523.83</v>
      </c>
      <c r="R44" s="82">
        <f t="shared" ref="R44:R51" si="16">Q44-O44</f>
        <v>0</v>
      </c>
    </row>
    <row r="45" spans="1:21" s="34" customFormat="1" ht="23.4">
      <c r="B45" s="87" t="s">
        <v>97</v>
      </c>
      <c r="C45" s="88" t="s">
        <v>98</v>
      </c>
      <c r="D45" s="89" t="s">
        <v>99</v>
      </c>
      <c r="E45" s="90">
        <v>5.9</v>
      </c>
      <c r="F45" s="91"/>
      <c r="G45" s="91"/>
      <c r="H45" s="91"/>
      <c r="I45" s="79">
        <f>SUM(G45:H45)+'BM 006'!I45</f>
        <v>5.9</v>
      </c>
      <c r="J45" s="91">
        <f t="shared" si="4"/>
        <v>0</v>
      </c>
      <c r="K45" s="80">
        <v>55</v>
      </c>
      <c r="L45" s="81">
        <f t="shared" si="2"/>
        <v>69.71800605</v>
      </c>
      <c r="M45" s="82">
        <f t="shared" si="12"/>
        <v>0</v>
      </c>
      <c r="N45" s="82">
        <f t="shared" si="13"/>
        <v>0</v>
      </c>
      <c r="O45" s="82">
        <f>N45+'BM 006'!O45</f>
        <v>411.33</v>
      </c>
      <c r="P45" s="82">
        <f t="shared" si="14"/>
        <v>324.5</v>
      </c>
      <c r="Q45" s="82">
        <f t="shared" si="15"/>
        <v>411.33</v>
      </c>
      <c r="R45" s="82">
        <f t="shared" si="16"/>
        <v>0</v>
      </c>
    </row>
    <row r="46" spans="1:21" s="34" customFormat="1" ht="13.2">
      <c r="B46" s="87" t="s">
        <v>100</v>
      </c>
      <c r="C46" s="88" t="s">
        <v>101</v>
      </c>
      <c r="D46" s="89" t="s">
        <v>79</v>
      </c>
      <c r="E46" s="90">
        <v>88</v>
      </c>
      <c r="F46" s="91"/>
      <c r="G46" s="91"/>
      <c r="H46" s="91"/>
      <c r="I46" s="79">
        <f>SUM(G46:H46)+'BM 006'!I46</f>
        <v>88</v>
      </c>
      <c r="J46" s="91">
        <f t="shared" si="4"/>
        <v>0</v>
      </c>
      <c r="K46" s="80">
        <v>10</v>
      </c>
      <c r="L46" s="81">
        <f t="shared" si="2"/>
        <v>12.676001100000001</v>
      </c>
      <c r="M46" s="82">
        <f t="shared" si="12"/>
        <v>0</v>
      </c>
      <c r="N46" s="82">
        <f t="shared" si="13"/>
        <v>0</v>
      </c>
      <c r="O46" s="82">
        <f>N46+'BM 006'!O46</f>
        <v>1115.48</v>
      </c>
      <c r="P46" s="82">
        <f t="shared" si="14"/>
        <v>880</v>
      </c>
      <c r="Q46" s="82">
        <f t="shared" si="15"/>
        <v>1115.48</v>
      </c>
      <c r="R46" s="82">
        <f t="shared" si="16"/>
        <v>0</v>
      </c>
    </row>
    <row r="47" spans="1:21" s="34" customFormat="1" ht="34.799999999999997">
      <c r="B47" s="87" t="s">
        <v>102</v>
      </c>
      <c r="C47" s="88" t="s">
        <v>103</v>
      </c>
      <c r="D47" s="89" t="s">
        <v>99</v>
      </c>
      <c r="E47" s="90">
        <v>6.8</v>
      </c>
      <c r="F47" s="91"/>
      <c r="G47" s="91"/>
      <c r="H47" s="91"/>
      <c r="I47" s="79">
        <f>SUM(G47:H47)+'BM 006'!I47</f>
        <v>6.8</v>
      </c>
      <c r="J47" s="91">
        <f t="shared" si="4"/>
        <v>0</v>
      </c>
      <c r="K47" s="80">
        <v>220</v>
      </c>
      <c r="L47" s="81">
        <f t="shared" si="2"/>
        <v>278.8720242</v>
      </c>
      <c r="M47" s="82">
        <f t="shared" si="12"/>
        <v>0</v>
      </c>
      <c r="N47" s="82">
        <f t="shared" si="13"/>
        <v>0</v>
      </c>
      <c r="O47" s="82">
        <f>N47+'BM 006'!O47</f>
        <v>1896.32</v>
      </c>
      <c r="P47" s="82">
        <f t="shared" si="14"/>
        <v>1496</v>
      </c>
      <c r="Q47" s="82">
        <f t="shared" si="15"/>
        <v>1896.32</v>
      </c>
      <c r="R47" s="82">
        <f t="shared" si="16"/>
        <v>0</v>
      </c>
    </row>
    <row r="48" spans="1:21" s="34" customFormat="1" ht="23.4">
      <c r="B48" s="87" t="s">
        <v>104</v>
      </c>
      <c r="C48" s="88" t="s">
        <v>105</v>
      </c>
      <c r="D48" s="89" t="s">
        <v>79</v>
      </c>
      <c r="E48" s="90">
        <v>88</v>
      </c>
      <c r="F48" s="91"/>
      <c r="G48" s="91"/>
      <c r="H48" s="91"/>
      <c r="I48" s="79">
        <f>SUM(G48:H48)+'BM 006'!I48</f>
        <v>88</v>
      </c>
      <c r="J48" s="91">
        <f t="shared" si="4"/>
        <v>0</v>
      </c>
      <c r="K48" s="80">
        <v>15</v>
      </c>
      <c r="L48" s="81">
        <f t="shared" si="2"/>
        <v>19.014001650000001</v>
      </c>
      <c r="M48" s="82">
        <f t="shared" si="12"/>
        <v>0</v>
      </c>
      <c r="N48" s="82">
        <f t="shared" si="13"/>
        <v>0</v>
      </c>
      <c r="O48" s="82">
        <f>N48+'BM 006'!O48</f>
        <v>1673.23</v>
      </c>
      <c r="P48" s="80">
        <f t="shared" si="14"/>
        <v>1320</v>
      </c>
      <c r="Q48" s="82">
        <f t="shared" si="15"/>
        <v>1673.23</v>
      </c>
      <c r="R48" s="82">
        <f t="shared" si="16"/>
        <v>0</v>
      </c>
    </row>
    <row r="49" spans="2:20" s="34" customFormat="1" ht="23.4">
      <c r="B49" s="87" t="s">
        <v>106</v>
      </c>
      <c r="C49" s="76" t="s">
        <v>107</v>
      </c>
      <c r="D49" s="89" t="s">
        <v>99</v>
      </c>
      <c r="E49" s="90">
        <v>4350</v>
      </c>
      <c r="F49" s="91"/>
      <c r="G49" s="91"/>
      <c r="H49" s="91"/>
      <c r="I49" s="79">
        <f>SUM(G49:H49)+'BM 006'!I49</f>
        <v>1616.87</v>
      </c>
      <c r="J49" s="91">
        <f t="shared" si="4"/>
        <v>2733.13</v>
      </c>
      <c r="K49" s="80">
        <v>10</v>
      </c>
      <c r="L49" s="81">
        <f t="shared" si="2"/>
        <v>12.676001100000001</v>
      </c>
      <c r="M49" s="82">
        <f t="shared" si="12"/>
        <v>0</v>
      </c>
      <c r="N49" s="82">
        <f t="shared" si="13"/>
        <v>0</v>
      </c>
      <c r="O49" s="82">
        <f>N49+'BM 006'!O49</f>
        <v>20495.439999999999</v>
      </c>
      <c r="P49" s="80">
        <f t="shared" si="14"/>
        <v>43500</v>
      </c>
      <c r="Q49" s="82">
        <f t="shared" si="15"/>
        <v>55140.6</v>
      </c>
      <c r="R49" s="82">
        <f t="shared" si="16"/>
        <v>34645.160000000003</v>
      </c>
      <c r="T49" s="185">
        <v>20000</v>
      </c>
    </row>
    <row r="50" spans="2:20" s="34" customFormat="1" ht="57.6">
      <c r="B50" s="87" t="s">
        <v>108</v>
      </c>
      <c r="C50" s="76" t="s">
        <v>109</v>
      </c>
      <c r="D50" s="89" t="s">
        <v>110</v>
      </c>
      <c r="E50" s="90">
        <v>3985</v>
      </c>
      <c r="F50" s="91">
        <f>'M.C. MED. 07'!K122</f>
        <v>375</v>
      </c>
      <c r="G50" s="91">
        <f>F50</f>
        <v>375</v>
      </c>
      <c r="H50" s="91"/>
      <c r="I50" s="79">
        <f>SUM(G50:H50)+'BM 006'!I50</f>
        <v>2827.87</v>
      </c>
      <c r="J50" s="91">
        <f t="shared" si="4"/>
        <v>1157.1300000000001</v>
      </c>
      <c r="K50" s="80">
        <v>12</v>
      </c>
      <c r="L50" s="81">
        <f t="shared" si="2"/>
        <v>15.211201320000001</v>
      </c>
      <c r="M50" s="82">
        <f t="shared" si="12"/>
        <v>5704.2</v>
      </c>
      <c r="N50" s="82">
        <f t="shared" si="13"/>
        <v>5704.2</v>
      </c>
      <c r="O50" s="82">
        <f>N50+'BM 006'!O50</f>
        <v>43015.29</v>
      </c>
      <c r="P50" s="80">
        <f t="shared" si="14"/>
        <v>47820</v>
      </c>
      <c r="Q50" s="82">
        <f t="shared" si="15"/>
        <v>60616.63</v>
      </c>
      <c r="R50" s="82">
        <f t="shared" si="16"/>
        <v>17601.339999999997</v>
      </c>
      <c r="T50" s="83"/>
    </row>
    <row r="51" spans="2:20" s="34" customFormat="1" ht="34.799999999999997">
      <c r="B51" s="87" t="s">
        <v>111</v>
      </c>
      <c r="C51" s="76" t="s">
        <v>112</v>
      </c>
      <c r="D51" s="89" t="s">
        <v>113</v>
      </c>
      <c r="E51" s="90">
        <f>E50*30</f>
        <v>119550</v>
      </c>
      <c r="F51" s="91">
        <f>'M.C. MED. 07'!K136</f>
        <v>11250</v>
      </c>
      <c r="G51" s="91">
        <f>F51</f>
        <v>11250</v>
      </c>
      <c r="H51" s="91"/>
      <c r="I51" s="79">
        <f>SUM(G51:H51)+'BM 006'!I51</f>
        <v>56656.525000000001</v>
      </c>
      <c r="J51" s="91">
        <f t="shared" si="4"/>
        <v>62893.474999999999</v>
      </c>
      <c r="K51" s="80">
        <v>1</v>
      </c>
      <c r="L51" s="81">
        <f t="shared" si="2"/>
        <v>1.2676001100000001</v>
      </c>
      <c r="M51" s="82">
        <f t="shared" si="12"/>
        <v>14260.5</v>
      </c>
      <c r="N51" s="82">
        <f t="shared" si="13"/>
        <v>14260.5</v>
      </c>
      <c r="O51" s="82">
        <f>N51+'BM 006'!O51</f>
        <v>71817.8</v>
      </c>
      <c r="P51" s="80">
        <f t="shared" si="14"/>
        <v>119550</v>
      </c>
      <c r="Q51" s="82">
        <f t="shared" si="15"/>
        <v>151541.59</v>
      </c>
      <c r="R51" s="82">
        <f t="shared" si="16"/>
        <v>79723.789999999994</v>
      </c>
    </row>
    <row r="52" spans="2:20" s="34" customFormat="1" ht="13.2">
      <c r="B52" s="60" t="s">
        <v>114</v>
      </c>
      <c r="C52" s="61" t="s">
        <v>115</v>
      </c>
      <c r="D52" s="60"/>
      <c r="E52" s="62"/>
      <c r="F52" s="63"/>
      <c r="G52" s="63"/>
      <c r="H52" s="63"/>
      <c r="I52" s="63">
        <f>SUM(G52:H52)+'BM 006'!I52</f>
        <v>0</v>
      </c>
      <c r="J52" s="63">
        <f t="shared" si="4"/>
        <v>0</v>
      </c>
      <c r="K52" s="63"/>
      <c r="L52" s="63">
        <f t="shared" si="2"/>
        <v>0</v>
      </c>
      <c r="M52" s="63">
        <f t="shared" ref="M52:R52" si="17">M53</f>
        <v>0</v>
      </c>
      <c r="N52" s="63">
        <f t="shared" si="17"/>
        <v>0</v>
      </c>
      <c r="O52" s="63">
        <f t="shared" si="17"/>
        <v>1043334.3999999999</v>
      </c>
      <c r="P52" s="63">
        <f t="shared" si="17"/>
        <v>823958.14</v>
      </c>
      <c r="Q52" s="63">
        <f t="shared" si="17"/>
        <v>1044449.3999999999</v>
      </c>
      <c r="R52" s="63">
        <f t="shared" si="17"/>
        <v>1115</v>
      </c>
    </row>
    <row r="53" spans="2:20" s="34" customFormat="1" ht="13.2">
      <c r="B53" s="66" t="s">
        <v>116</v>
      </c>
      <c r="C53" s="67" t="s">
        <v>117</v>
      </c>
      <c r="D53" s="68"/>
      <c r="E53" s="69"/>
      <c r="F53" s="70"/>
      <c r="G53" s="70"/>
      <c r="H53" s="70"/>
      <c r="I53" s="70">
        <f>SUM(G53:H53)+'BM 006'!I53</f>
        <v>0</v>
      </c>
      <c r="J53" s="70">
        <f t="shared" si="4"/>
        <v>0</v>
      </c>
      <c r="K53" s="71"/>
      <c r="L53" s="71">
        <f t="shared" si="2"/>
        <v>0</v>
      </c>
      <c r="M53" s="73">
        <f t="shared" ref="M53:R53" si="18">SUM(M54:M61)</f>
        <v>0</v>
      </c>
      <c r="N53" s="73">
        <f t="shared" si="18"/>
        <v>0</v>
      </c>
      <c r="O53" s="73">
        <f t="shared" si="18"/>
        <v>1043334.3999999999</v>
      </c>
      <c r="P53" s="73">
        <f t="shared" si="18"/>
        <v>823958.14</v>
      </c>
      <c r="Q53" s="73">
        <f t="shared" si="18"/>
        <v>1044449.3999999999</v>
      </c>
      <c r="R53" s="73">
        <f t="shared" si="18"/>
        <v>1115</v>
      </c>
    </row>
    <row r="54" spans="2:20" s="34" customFormat="1" ht="34.799999999999997">
      <c r="B54" s="87" t="s">
        <v>118</v>
      </c>
      <c r="C54" s="88" t="s">
        <v>119</v>
      </c>
      <c r="D54" s="89" t="s">
        <v>82</v>
      </c>
      <c r="E54" s="92">
        <v>196.9</v>
      </c>
      <c r="F54" s="91"/>
      <c r="G54" s="91"/>
      <c r="H54" s="91"/>
      <c r="I54" s="79">
        <f>SUM(G54:H54)+'BM 006'!I54</f>
        <v>196.9</v>
      </c>
      <c r="J54" s="91">
        <f t="shared" si="4"/>
        <v>0</v>
      </c>
      <c r="K54" s="80">
        <v>75</v>
      </c>
      <c r="L54" s="81">
        <f t="shared" si="2"/>
        <v>95.070008250000001</v>
      </c>
      <c r="M54" s="82">
        <f t="shared" ref="M54:M61" si="19">TRUNC(F54*L54,2)</f>
        <v>0</v>
      </c>
      <c r="N54" s="82">
        <f t="shared" ref="N54:N61" si="20">TRUNC(G54*L54,2)</f>
        <v>0</v>
      </c>
      <c r="O54" s="82">
        <f>N54+'BM 006'!O54</f>
        <v>18719.28</v>
      </c>
      <c r="P54" s="80">
        <f t="shared" ref="P54:P61" si="21">E54*K54</f>
        <v>14767.5</v>
      </c>
      <c r="Q54" s="82">
        <f t="shared" ref="Q54:Q61" si="22">TRUNC(E54*L54,2)</f>
        <v>18719.28</v>
      </c>
      <c r="R54" s="82">
        <f t="shared" ref="R54:R61" si="23">Q54-O54</f>
        <v>0</v>
      </c>
    </row>
    <row r="55" spans="2:20" s="34" customFormat="1" ht="34.799999999999997">
      <c r="B55" s="87" t="s">
        <v>120</v>
      </c>
      <c r="C55" s="88" t="s">
        <v>121</v>
      </c>
      <c r="D55" s="89" t="s">
        <v>63</v>
      </c>
      <c r="E55" s="92">
        <v>1</v>
      </c>
      <c r="F55" s="91"/>
      <c r="G55" s="91"/>
      <c r="H55" s="91"/>
      <c r="I55" s="79">
        <f>SUM(G55:H55)+'BM 006'!I55</f>
        <v>1</v>
      </c>
      <c r="J55" s="91">
        <f t="shared" si="4"/>
        <v>0</v>
      </c>
      <c r="K55" s="80">
        <v>11000</v>
      </c>
      <c r="L55" s="81">
        <f t="shared" si="2"/>
        <v>13943.601210000001</v>
      </c>
      <c r="M55" s="82">
        <f t="shared" si="19"/>
        <v>0</v>
      </c>
      <c r="N55" s="82">
        <f t="shared" si="20"/>
        <v>0</v>
      </c>
      <c r="O55" s="82">
        <f>N55+'BM 006'!O55</f>
        <v>13943.6</v>
      </c>
      <c r="P55" s="80">
        <f t="shared" si="21"/>
        <v>11000</v>
      </c>
      <c r="Q55" s="82">
        <f t="shared" si="22"/>
        <v>13943.6</v>
      </c>
      <c r="R55" s="82">
        <f t="shared" si="23"/>
        <v>0</v>
      </c>
    </row>
    <row r="56" spans="2:20" s="34" customFormat="1" ht="46.2">
      <c r="B56" s="87" t="s">
        <v>122</v>
      </c>
      <c r="C56" s="88" t="s">
        <v>123</v>
      </c>
      <c r="D56" s="89" t="s">
        <v>124</v>
      </c>
      <c r="E56" s="90">
        <v>1837</v>
      </c>
      <c r="F56" s="91"/>
      <c r="G56" s="91"/>
      <c r="H56" s="91"/>
      <c r="I56" s="79">
        <f>SUM(G56:H56)+'BM 006'!I56</f>
        <v>1837</v>
      </c>
      <c r="J56" s="91">
        <f t="shared" si="4"/>
        <v>0</v>
      </c>
      <c r="K56" s="80">
        <v>405</v>
      </c>
      <c r="L56" s="81">
        <f t="shared" si="2"/>
        <v>513.37804455000003</v>
      </c>
      <c r="M56" s="82">
        <f t="shared" si="19"/>
        <v>0</v>
      </c>
      <c r="N56" s="82">
        <f t="shared" si="20"/>
        <v>0</v>
      </c>
      <c r="O56" s="82">
        <f>N56+'BM 006'!O56</f>
        <v>943075.46</v>
      </c>
      <c r="P56" s="80">
        <f t="shared" si="21"/>
        <v>743985</v>
      </c>
      <c r="Q56" s="82">
        <f t="shared" si="22"/>
        <v>943075.46</v>
      </c>
      <c r="R56" s="82">
        <f t="shared" si="23"/>
        <v>0</v>
      </c>
    </row>
    <row r="57" spans="2:20" s="34" customFormat="1" ht="46.2">
      <c r="B57" s="87" t="s">
        <v>125</v>
      </c>
      <c r="C57" s="88" t="s">
        <v>126</v>
      </c>
      <c r="D57" s="89" t="s">
        <v>110</v>
      </c>
      <c r="E57" s="90">
        <v>293.92</v>
      </c>
      <c r="F57" s="91"/>
      <c r="G57" s="91"/>
      <c r="H57" s="91"/>
      <c r="I57" s="79">
        <f>SUM(G57:H57)+'BM 006'!I57</f>
        <v>293.92</v>
      </c>
      <c r="J57" s="91">
        <f t="shared" si="4"/>
        <v>0</v>
      </c>
      <c r="K57" s="80">
        <v>12</v>
      </c>
      <c r="L57" s="81">
        <f t="shared" si="2"/>
        <v>15.211201320000001</v>
      </c>
      <c r="M57" s="82">
        <f t="shared" si="19"/>
        <v>0</v>
      </c>
      <c r="N57" s="82">
        <f t="shared" si="20"/>
        <v>0</v>
      </c>
      <c r="O57" s="82">
        <f>N57+'BM 006'!O57</f>
        <v>4470.87</v>
      </c>
      <c r="P57" s="80">
        <f t="shared" si="21"/>
        <v>3527.04</v>
      </c>
      <c r="Q57" s="82">
        <f t="shared" si="22"/>
        <v>4470.87</v>
      </c>
      <c r="R57" s="82">
        <f t="shared" si="23"/>
        <v>0</v>
      </c>
    </row>
    <row r="58" spans="2:20" s="34" customFormat="1" ht="34.799999999999997">
      <c r="B58" s="87" t="s">
        <v>127</v>
      </c>
      <c r="C58" s="88" t="s">
        <v>128</v>
      </c>
      <c r="D58" s="89" t="s">
        <v>113</v>
      </c>
      <c r="E58" s="90">
        <f>E57*30</f>
        <v>8817.6</v>
      </c>
      <c r="F58" s="91"/>
      <c r="G58" s="91"/>
      <c r="H58" s="91"/>
      <c r="I58" s="79">
        <f>SUM(G58:H58)+'BM 006'!I58</f>
        <v>7938.0000000000009</v>
      </c>
      <c r="J58" s="91">
        <f t="shared" si="4"/>
        <v>879.59999999999945</v>
      </c>
      <c r="K58" s="80">
        <v>1</v>
      </c>
      <c r="L58" s="81">
        <f t="shared" si="2"/>
        <v>1.2676001100000001</v>
      </c>
      <c r="M58" s="82">
        <f t="shared" si="19"/>
        <v>0</v>
      </c>
      <c r="N58" s="82">
        <f t="shared" si="20"/>
        <v>0</v>
      </c>
      <c r="O58" s="82">
        <f>N58+'BM 006'!O58</f>
        <v>10062.200000000001</v>
      </c>
      <c r="P58" s="80">
        <f t="shared" si="21"/>
        <v>8817.6</v>
      </c>
      <c r="Q58" s="82">
        <f t="shared" si="22"/>
        <v>11177.19</v>
      </c>
      <c r="R58" s="82">
        <f t="shared" si="23"/>
        <v>1114.9899999999998</v>
      </c>
    </row>
    <row r="59" spans="2:20" s="34" customFormat="1" ht="23.4">
      <c r="B59" s="87" t="s">
        <v>129</v>
      </c>
      <c r="C59" s="88" t="s">
        <v>130</v>
      </c>
      <c r="D59" s="89" t="s">
        <v>131</v>
      </c>
      <c r="E59" s="92">
        <v>167</v>
      </c>
      <c r="F59" s="91"/>
      <c r="G59" s="91"/>
      <c r="H59" s="91"/>
      <c r="I59" s="79">
        <f>SUM(G59:H59)+'BM 006'!I59</f>
        <v>167</v>
      </c>
      <c r="J59" s="91">
        <f t="shared" si="4"/>
        <v>0</v>
      </c>
      <c r="K59" s="80">
        <v>23</v>
      </c>
      <c r="L59" s="81">
        <f t="shared" si="2"/>
        <v>29.154802530000001</v>
      </c>
      <c r="M59" s="82">
        <f t="shared" si="19"/>
        <v>0</v>
      </c>
      <c r="N59" s="82">
        <f t="shared" si="20"/>
        <v>0</v>
      </c>
      <c r="O59" s="82">
        <f>N59+'BM 006'!O59</f>
        <v>4868.84</v>
      </c>
      <c r="P59" s="80">
        <f t="shared" si="21"/>
        <v>3841</v>
      </c>
      <c r="Q59" s="82">
        <f t="shared" si="22"/>
        <v>4868.8500000000004</v>
      </c>
      <c r="R59" s="82">
        <f t="shared" si="23"/>
        <v>1.0000000000218279E-2</v>
      </c>
    </row>
    <row r="60" spans="2:20" s="34" customFormat="1" ht="13.2">
      <c r="B60" s="87" t="s">
        <v>132</v>
      </c>
      <c r="C60" s="88" t="s">
        <v>133</v>
      </c>
      <c r="D60" s="89" t="s">
        <v>63</v>
      </c>
      <c r="E60" s="92">
        <v>2</v>
      </c>
      <c r="F60" s="91"/>
      <c r="G60" s="91"/>
      <c r="H60" s="91"/>
      <c r="I60" s="79">
        <f>SUM(G60:H60)+'BM 006'!I60</f>
        <v>2</v>
      </c>
      <c r="J60" s="91">
        <f t="shared" si="4"/>
        <v>0</v>
      </c>
      <c r="K60" s="80">
        <v>14000</v>
      </c>
      <c r="L60" s="81">
        <f t="shared" si="2"/>
        <v>17746.401540000003</v>
      </c>
      <c r="M60" s="82">
        <f t="shared" si="19"/>
        <v>0</v>
      </c>
      <c r="N60" s="82">
        <f t="shared" si="20"/>
        <v>0</v>
      </c>
      <c r="O60" s="82">
        <f>N60+'BM 006'!O60</f>
        <v>35492.800000000003</v>
      </c>
      <c r="P60" s="80">
        <f t="shared" si="21"/>
        <v>28000</v>
      </c>
      <c r="Q60" s="82">
        <f t="shared" si="22"/>
        <v>35492.800000000003</v>
      </c>
      <c r="R60" s="82">
        <f t="shared" si="23"/>
        <v>0</v>
      </c>
    </row>
    <row r="61" spans="2:20" s="34" customFormat="1" ht="13.2">
      <c r="B61" s="87" t="s">
        <v>134</v>
      </c>
      <c r="C61" s="88" t="s">
        <v>135</v>
      </c>
      <c r="D61" s="89" t="s">
        <v>63</v>
      </c>
      <c r="E61" s="92">
        <v>167</v>
      </c>
      <c r="F61" s="91"/>
      <c r="G61" s="91"/>
      <c r="H61" s="91"/>
      <c r="I61" s="79">
        <f>SUM(G61:H61)+'BM 006'!I61</f>
        <v>167</v>
      </c>
      <c r="J61" s="91">
        <f t="shared" si="4"/>
        <v>0</v>
      </c>
      <c r="K61" s="80">
        <v>60</v>
      </c>
      <c r="L61" s="81">
        <f t="shared" si="2"/>
        <v>76.056006600000003</v>
      </c>
      <c r="M61" s="82">
        <f t="shared" si="19"/>
        <v>0</v>
      </c>
      <c r="N61" s="82">
        <f t="shared" si="20"/>
        <v>0</v>
      </c>
      <c r="O61" s="82">
        <f>N61+'BM 006'!O61</f>
        <v>12701.35</v>
      </c>
      <c r="P61" s="80">
        <f t="shared" si="21"/>
        <v>10020</v>
      </c>
      <c r="Q61" s="82">
        <f t="shared" si="22"/>
        <v>12701.35</v>
      </c>
      <c r="R61" s="82">
        <f t="shared" si="23"/>
        <v>0</v>
      </c>
    </row>
    <row r="62" spans="2:20" s="34" customFormat="1" ht="15.75" customHeight="1">
      <c r="B62" s="60" t="s">
        <v>136</v>
      </c>
      <c r="C62" s="61" t="s">
        <v>137</v>
      </c>
      <c r="D62" s="60"/>
      <c r="E62" s="62"/>
      <c r="F62" s="63"/>
      <c r="G62" s="63"/>
      <c r="H62" s="63"/>
      <c r="I62" s="63">
        <f>SUM(G62:H62)+'BM 006'!I62</f>
        <v>0</v>
      </c>
      <c r="J62" s="63">
        <f t="shared" si="4"/>
        <v>0</v>
      </c>
      <c r="K62" s="63"/>
      <c r="L62" s="63">
        <f t="shared" si="2"/>
        <v>0</v>
      </c>
      <c r="M62" s="63">
        <f t="shared" ref="M62:R62" si="24">SUM(M63,M79)</f>
        <v>0</v>
      </c>
      <c r="N62" s="63">
        <f t="shared" si="24"/>
        <v>0</v>
      </c>
      <c r="O62" s="63">
        <f t="shared" si="24"/>
        <v>788372.97</v>
      </c>
      <c r="P62" s="63">
        <f t="shared" si="24"/>
        <v>621941.5</v>
      </c>
      <c r="Q62" s="63">
        <f t="shared" si="24"/>
        <v>788372.97</v>
      </c>
      <c r="R62" s="63">
        <f t="shared" si="24"/>
        <v>0</v>
      </c>
    </row>
    <row r="63" spans="2:20" s="34" customFormat="1" ht="13.2">
      <c r="B63" s="66" t="s">
        <v>138</v>
      </c>
      <c r="C63" s="67" t="s">
        <v>139</v>
      </c>
      <c r="D63" s="68"/>
      <c r="E63" s="69"/>
      <c r="F63" s="70"/>
      <c r="G63" s="70"/>
      <c r="H63" s="70"/>
      <c r="I63" s="70">
        <f>SUM(G63:H63)+'BM 006'!I63</f>
        <v>0</v>
      </c>
      <c r="J63" s="70">
        <f t="shared" si="4"/>
        <v>0</v>
      </c>
      <c r="K63" s="71"/>
      <c r="L63" s="71">
        <f t="shared" si="2"/>
        <v>0</v>
      </c>
      <c r="M63" s="73">
        <f t="shared" ref="M63:R63" si="25">SUM(M64:M78)</f>
        <v>0</v>
      </c>
      <c r="N63" s="73">
        <f t="shared" si="25"/>
        <v>0</v>
      </c>
      <c r="O63" s="73">
        <f t="shared" si="25"/>
        <v>597801.35</v>
      </c>
      <c r="P63" s="73">
        <f t="shared" si="25"/>
        <v>471600.95</v>
      </c>
      <c r="Q63" s="73">
        <f t="shared" si="25"/>
        <v>597801.35</v>
      </c>
      <c r="R63" s="73">
        <f t="shared" si="25"/>
        <v>0</v>
      </c>
    </row>
    <row r="64" spans="2:20" s="34" customFormat="1" ht="23.4">
      <c r="B64" s="87" t="s">
        <v>140</v>
      </c>
      <c r="C64" s="88" t="s">
        <v>141</v>
      </c>
      <c r="D64" s="89" t="s">
        <v>110</v>
      </c>
      <c r="E64" s="90">
        <v>259.39</v>
      </c>
      <c r="F64" s="91"/>
      <c r="G64" s="91"/>
      <c r="H64" s="91"/>
      <c r="I64" s="79">
        <f>SUM(G64:H64)+'BM 006'!I64</f>
        <v>259.39</v>
      </c>
      <c r="J64" s="91">
        <f t="shared" si="4"/>
        <v>0</v>
      </c>
      <c r="K64" s="80">
        <v>80</v>
      </c>
      <c r="L64" s="81">
        <f t="shared" si="2"/>
        <v>101.4080088</v>
      </c>
      <c r="M64" s="82">
        <f t="shared" ref="M64:M78" si="26">TRUNC(F64*L64,2)</f>
        <v>0</v>
      </c>
      <c r="N64" s="82">
        <f t="shared" ref="N64:N78" si="27">TRUNC(G64*L64,2)</f>
        <v>0</v>
      </c>
      <c r="O64" s="82">
        <f>N64+'BM 006'!O64</f>
        <v>26304.22</v>
      </c>
      <c r="P64" s="80">
        <f t="shared" ref="P64:P78" si="28">E64*K64</f>
        <v>20751.199999999997</v>
      </c>
      <c r="Q64" s="82">
        <f t="shared" ref="Q64:Q78" si="29">TRUNC(E64*L64,2)</f>
        <v>26304.22</v>
      </c>
      <c r="R64" s="82">
        <f t="shared" ref="R64:R78" si="30">Q64-O64</f>
        <v>0</v>
      </c>
    </row>
    <row r="65" spans="2:20" s="34" customFormat="1" ht="23.4">
      <c r="B65" s="87" t="s">
        <v>142</v>
      </c>
      <c r="C65" s="88" t="s">
        <v>143</v>
      </c>
      <c r="D65" s="89" t="s">
        <v>79</v>
      </c>
      <c r="E65" s="92">
        <v>72.260000000000005</v>
      </c>
      <c r="F65" s="91"/>
      <c r="G65" s="91"/>
      <c r="H65" s="91"/>
      <c r="I65" s="79">
        <f>SUM(G65:H65)+'BM 006'!I65</f>
        <v>72.260000000000005</v>
      </c>
      <c r="J65" s="91">
        <f t="shared" si="4"/>
        <v>0</v>
      </c>
      <c r="K65" s="80">
        <v>30</v>
      </c>
      <c r="L65" s="81">
        <f t="shared" si="2"/>
        <v>38.028003300000002</v>
      </c>
      <c r="M65" s="82">
        <f t="shared" si="26"/>
        <v>0</v>
      </c>
      <c r="N65" s="82">
        <f t="shared" si="27"/>
        <v>0</v>
      </c>
      <c r="O65" s="82">
        <f>N65+'BM 006'!O65</f>
        <v>2747.9</v>
      </c>
      <c r="P65" s="80">
        <f t="shared" si="28"/>
        <v>2167.8000000000002</v>
      </c>
      <c r="Q65" s="82">
        <f t="shared" si="29"/>
        <v>2747.9</v>
      </c>
      <c r="R65" s="82">
        <f t="shared" si="30"/>
        <v>0</v>
      </c>
    </row>
    <row r="66" spans="2:20" s="34" customFormat="1" ht="23.4">
      <c r="B66" s="87" t="s">
        <v>144</v>
      </c>
      <c r="C66" s="88" t="s">
        <v>145</v>
      </c>
      <c r="D66" s="89" t="s">
        <v>110</v>
      </c>
      <c r="E66" s="92">
        <v>217.8</v>
      </c>
      <c r="F66" s="91"/>
      <c r="G66" s="91"/>
      <c r="H66" s="91"/>
      <c r="I66" s="79">
        <f>SUM(G66:H66)+'BM 006'!I66</f>
        <v>217.8</v>
      </c>
      <c r="J66" s="91">
        <f t="shared" si="4"/>
        <v>0</v>
      </c>
      <c r="K66" s="80">
        <v>25</v>
      </c>
      <c r="L66" s="81">
        <f t="shared" si="2"/>
        <v>31.690002750000001</v>
      </c>
      <c r="M66" s="82">
        <f t="shared" si="26"/>
        <v>0</v>
      </c>
      <c r="N66" s="82">
        <f t="shared" si="27"/>
        <v>0</v>
      </c>
      <c r="O66" s="82">
        <f>N66+'BM 006'!O66</f>
        <v>6902.08</v>
      </c>
      <c r="P66" s="80">
        <f t="shared" si="28"/>
        <v>5445</v>
      </c>
      <c r="Q66" s="82">
        <f t="shared" si="29"/>
        <v>6902.08</v>
      </c>
      <c r="R66" s="82">
        <f t="shared" si="30"/>
        <v>0</v>
      </c>
    </row>
    <row r="67" spans="2:20" s="34" customFormat="1" ht="46.2">
      <c r="B67" s="87" t="s">
        <v>146</v>
      </c>
      <c r="C67" s="88" t="s">
        <v>126</v>
      </c>
      <c r="D67" s="89" t="s">
        <v>110</v>
      </c>
      <c r="E67" s="90">
        <v>140.80000000000001</v>
      </c>
      <c r="F67" s="91"/>
      <c r="G67" s="91"/>
      <c r="H67" s="91"/>
      <c r="I67" s="79">
        <f>SUM(G67:H67)+'BM 006'!I67</f>
        <v>140.80000000000001</v>
      </c>
      <c r="J67" s="91">
        <f t="shared" si="4"/>
        <v>0</v>
      </c>
      <c r="K67" s="80">
        <v>12</v>
      </c>
      <c r="L67" s="81">
        <f t="shared" si="2"/>
        <v>15.211201320000001</v>
      </c>
      <c r="M67" s="82">
        <f t="shared" si="26"/>
        <v>0</v>
      </c>
      <c r="N67" s="82">
        <f t="shared" si="27"/>
        <v>0</v>
      </c>
      <c r="O67" s="82">
        <f>N67+'BM 006'!O67</f>
        <v>2141.73</v>
      </c>
      <c r="P67" s="80">
        <f t="shared" si="28"/>
        <v>1689.6000000000001</v>
      </c>
      <c r="Q67" s="82">
        <f t="shared" si="29"/>
        <v>2141.73</v>
      </c>
      <c r="R67" s="82">
        <f t="shared" si="30"/>
        <v>0</v>
      </c>
    </row>
    <row r="68" spans="2:20" s="34" customFormat="1" ht="34.799999999999997">
      <c r="B68" s="87" t="s">
        <v>147</v>
      </c>
      <c r="C68" s="88" t="s">
        <v>128</v>
      </c>
      <c r="D68" s="89" t="s">
        <v>113</v>
      </c>
      <c r="E68" s="90">
        <f>E64*30</f>
        <v>7781.7</v>
      </c>
      <c r="F68" s="91"/>
      <c r="G68" s="91"/>
      <c r="H68" s="91"/>
      <c r="I68" s="79">
        <f>SUM(G68:H68)+'BM 006'!I68</f>
        <v>7781.7</v>
      </c>
      <c r="J68" s="91">
        <f t="shared" si="4"/>
        <v>0</v>
      </c>
      <c r="K68" s="80">
        <v>1</v>
      </c>
      <c r="L68" s="81">
        <f t="shared" si="2"/>
        <v>1.2676001100000001</v>
      </c>
      <c r="M68" s="82">
        <f t="shared" si="26"/>
        <v>0</v>
      </c>
      <c r="N68" s="82">
        <f t="shared" si="27"/>
        <v>0</v>
      </c>
      <c r="O68" s="82">
        <f>N68+'BM 006'!O68</f>
        <v>9864.08</v>
      </c>
      <c r="P68" s="80">
        <f t="shared" si="28"/>
        <v>7781.7</v>
      </c>
      <c r="Q68" s="82">
        <f t="shared" si="29"/>
        <v>9864.08</v>
      </c>
      <c r="R68" s="82">
        <f t="shared" si="30"/>
        <v>0</v>
      </c>
      <c r="T68" s="83"/>
    </row>
    <row r="69" spans="2:20" s="34" customFormat="1" ht="23.4">
      <c r="B69" s="87" t="s">
        <v>148</v>
      </c>
      <c r="C69" s="88" t="s">
        <v>149</v>
      </c>
      <c r="D69" s="89" t="s">
        <v>79</v>
      </c>
      <c r="E69" s="90">
        <v>233.48</v>
      </c>
      <c r="F69" s="91"/>
      <c r="G69" s="91"/>
      <c r="H69" s="91"/>
      <c r="I69" s="79">
        <f>SUM(G69:H69)+'BM 006'!I69</f>
        <v>233.4802253775074</v>
      </c>
      <c r="J69" s="91">
        <f t="shared" si="4"/>
        <v>-2.2537750740525553E-4</v>
      </c>
      <c r="K69" s="80">
        <v>35</v>
      </c>
      <c r="L69" s="81">
        <f t="shared" si="2"/>
        <v>44.366003849999998</v>
      </c>
      <c r="M69" s="82">
        <f t="shared" si="26"/>
        <v>0</v>
      </c>
      <c r="N69" s="82">
        <f t="shared" si="27"/>
        <v>0</v>
      </c>
      <c r="O69" s="82">
        <f>N69+'BM 006'!O69</f>
        <v>10358.57</v>
      </c>
      <c r="P69" s="80">
        <f t="shared" si="28"/>
        <v>8171.7999999999993</v>
      </c>
      <c r="Q69" s="82">
        <f t="shared" si="29"/>
        <v>10358.57</v>
      </c>
      <c r="R69" s="82">
        <f t="shared" si="30"/>
        <v>0</v>
      </c>
    </row>
    <row r="70" spans="2:20" s="34" customFormat="1" ht="23.4">
      <c r="B70" s="87" t="s">
        <v>150</v>
      </c>
      <c r="C70" s="88" t="s">
        <v>151</v>
      </c>
      <c r="D70" s="89" t="s">
        <v>152</v>
      </c>
      <c r="E70" s="90">
        <v>190.3</v>
      </c>
      <c r="F70" s="91"/>
      <c r="G70" s="91"/>
      <c r="H70" s="91"/>
      <c r="I70" s="79">
        <f>SUM(G70:H70)+'BM 006'!I70</f>
        <v>190.3</v>
      </c>
      <c r="J70" s="91">
        <f t="shared" si="4"/>
        <v>0</v>
      </c>
      <c r="K70" s="80">
        <v>20</v>
      </c>
      <c r="L70" s="81">
        <f t="shared" si="2"/>
        <v>25.352002200000001</v>
      </c>
      <c r="M70" s="82">
        <f t="shared" si="26"/>
        <v>0</v>
      </c>
      <c r="N70" s="82">
        <f t="shared" si="27"/>
        <v>0</v>
      </c>
      <c r="O70" s="82">
        <f>N70+'BM 006'!O70</f>
        <v>4824.4799999999996</v>
      </c>
      <c r="P70" s="80">
        <f t="shared" si="28"/>
        <v>3806</v>
      </c>
      <c r="Q70" s="82">
        <f t="shared" si="29"/>
        <v>4824.4799999999996</v>
      </c>
      <c r="R70" s="82">
        <f t="shared" si="30"/>
        <v>0</v>
      </c>
    </row>
    <row r="71" spans="2:20" s="34" customFormat="1" ht="34.799999999999997">
      <c r="B71" s="87" t="s">
        <v>153</v>
      </c>
      <c r="C71" s="88" t="s">
        <v>154</v>
      </c>
      <c r="D71" s="89" t="s">
        <v>152</v>
      </c>
      <c r="E71" s="90">
        <v>77</v>
      </c>
      <c r="F71" s="91"/>
      <c r="G71" s="91"/>
      <c r="H71" s="91"/>
      <c r="I71" s="79">
        <f>SUM(G71:H71)+'BM 006'!I71</f>
        <v>77</v>
      </c>
      <c r="J71" s="91">
        <f t="shared" si="4"/>
        <v>0</v>
      </c>
      <c r="K71" s="80">
        <v>19</v>
      </c>
      <c r="L71" s="81">
        <f t="shared" si="2"/>
        <v>24.084402090000001</v>
      </c>
      <c r="M71" s="82">
        <f t="shared" si="26"/>
        <v>0</v>
      </c>
      <c r="N71" s="82">
        <f t="shared" si="27"/>
        <v>0</v>
      </c>
      <c r="O71" s="82">
        <f>N71+'BM 006'!O71</f>
        <v>1854.49</v>
      </c>
      <c r="P71" s="80">
        <f t="shared" si="28"/>
        <v>1463</v>
      </c>
      <c r="Q71" s="82">
        <f t="shared" si="29"/>
        <v>1854.49</v>
      </c>
      <c r="R71" s="82">
        <f t="shared" si="30"/>
        <v>0</v>
      </c>
    </row>
    <row r="72" spans="2:20" s="34" customFormat="1" ht="23.4">
      <c r="B72" s="87" t="s">
        <v>155</v>
      </c>
      <c r="C72" s="88" t="s">
        <v>156</v>
      </c>
      <c r="D72" s="89" t="s">
        <v>152</v>
      </c>
      <c r="E72" s="90">
        <v>566.5</v>
      </c>
      <c r="F72" s="91"/>
      <c r="G72" s="91"/>
      <c r="H72" s="91"/>
      <c r="I72" s="79">
        <f>SUM(G72:H72)+'BM 006'!I72</f>
        <v>566.50014977685623</v>
      </c>
      <c r="J72" s="91">
        <f t="shared" si="4"/>
        <v>-1.497768562330748E-4</v>
      </c>
      <c r="K72" s="80">
        <v>17.5</v>
      </c>
      <c r="L72" s="81">
        <f t="shared" si="2"/>
        <v>22.183001924999999</v>
      </c>
      <c r="M72" s="82">
        <f t="shared" si="26"/>
        <v>0</v>
      </c>
      <c r="N72" s="82">
        <f t="shared" si="27"/>
        <v>0</v>
      </c>
      <c r="O72" s="82">
        <f>N72+'BM 006'!O72</f>
        <v>12566.669999999998</v>
      </c>
      <c r="P72" s="80">
        <f t="shared" si="28"/>
        <v>9913.75</v>
      </c>
      <c r="Q72" s="82">
        <f t="shared" si="29"/>
        <v>12566.67</v>
      </c>
      <c r="R72" s="82">
        <f t="shared" si="30"/>
        <v>0</v>
      </c>
      <c r="T72" s="83"/>
    </row>
    <row r="73" spans="2:20" s="34" customFormat="1" ht="23.4">
      <c r="B73" s="87" t="s">
        <v>157</v>
      </c>
      <c r="C73" s="88" t="s">
        <v>158</v>
      </c>
      <c r="D73" s="89" t="s">
        <v>152</v>
      </c>
      <c r="E73" s="90">
        <v>1663.2</v>
      </c>
      <c r="F73" s="91"/>
      <c r="G73" s="91"/>
      <c r="H73" s="91"/>
      <c r="I73" s="79">
        <f>SUM(G73:H73)+'BM 006'!I73</f>
        <v>1663.2003</v>
      </c>
      <c r="J73" s="91">
        <f t="shared" si="4"/>
        <v>-2.9999999992469384E-4</v>
      </c>
      <c r="K73" s="80">
        <v>16</v>
      </c>
      <c r="L73" s="81">
        <f t="shared" si="2"/>
        <v>20.281601760000001</v>
      </c>
      <c r="M73" s="82">
        <f t="shared" si="26"/>
        <v>0</v>
      </c>
      <c r="N73" s="82">
        <f t="shared" si="27"/>
        <v>0</v>
      </c>
      <c r="O73" s="82">
        <f>N73+'BM 006'!O73</f>
        <v>33732.36</v>
      </c>
      <c r="P73" s="80">
        <f t="shared" si="28"/>
        <v>26611.200000000001</v>
      </c>
      <c r="Q73" s="82">
        <f t="shared" si="29"/>
        <v>33732.36</v>
      </c>
      <c r="R73" s="82">
        <f t="shared" si="30"/>
        <v>0</v>
      </c>
    </row>
    <row r="74" spans="2:20" s="34" customFormat="1" ht="23.4">
      <c r="B74" s="87" t="s">
        <v>159</v>
      </c>
      <c r="C74" s="88" t="s">
        <v>160</v>
      </c>
      <c r="D74" s="89" t="s">
        <v>152</v>
      </c>
      <c r="E74" s="90">
        <v>4944.5</v>
      </c>
      <c r="F74" s="91"/>
      <c r="G74" s="91"/>
      <c r="H74" s="91"/>
      <c r="I74" s="79">
        <f>SUM(G74:H74)+'BM 006'!I74</f>
        <v>4944.5003000000006</v>
      </c>
      <c r="J74" s="91">
        <f t="shared" si="4"/>
        <v>-3.0000000060681487E-4</v>
      </c>
      <c r="K74" s="80">
        <v>14.5</v>
      </c>
      <c r="L74" s="81">
        <f t="shared" si="2"/>
        <v>18.380201595000003</v>
      </c>
      <c r="M74" s="82">
        <f t="shared" si="26"/>
        <v>0</v>
      </c>
      <c r="N74" s="82">
        <f t="shared" si="27"/>
        <v>0</v>
      </c>
      <c r="O74" s="82">
        <f>N74+'BM 006'!O74</f>
        <v>90880.9</v>
      </c>
      <c r="P74" s="80">
        <f t="shared" si="28"/>
        <v>71695.25</v>
      </c>
      <c r="Q74" s="82">
        <f t="shared" si="29"/>
        <v>90880.9</v>
      </c>
      <c r="R74" s="82">
        <f t="shared" si="30"/>
        <v>0</v>
      </c>
    </row>
    <row r="75" spans="2:20" s="34" customFormat="1" ht="23.4">
      <c r="B75" s="87" t="s">
        <v>161</v>
      </c>
      <c r="C75" s="88" t="s">
        <v>162</v>
      </c>
      <c r="D75" s="89" t="s">
        <v>152</v>
      </c>
      <c r="E75" s="90">
        <v>115.5</v>
      </c>
      <c r="F75" s="91"/>
      <c r="G75" s="91"/>
      <c r="H75" s="91"/>
      <c r="I75" s="79">
        <f>SUM(G75:H75)+'BM 006'!I75</f>
        <v>115.5</v>
      </c>
      <c r="J75" s="91">
        <f t="shared" si="4"/>
        <v>0</v>
      </c>
      <c r="K75" s="94">
        <v>14.5</v>
      </c>
      <c r="L75" s="81">
        <f t="shared" si="2"/>
        <v>18.380201595000003</v>
      </c>
      <c r="M75" s="82">
        <f t="shared" si="26"/>
        <v>0</v>
      </c>
      <c r="N75" s="82">
        <f t="shared" si="27"/>
        <v>0</v>
      </c>
      <c r="O75" s="82">
        <f>N75+'BM 006'!O75</f>
        <v>2122.91</v>
      </c>
      <c r="P75" s="94">
        <f t="shared" si="28"/>
        <v>1674.75</v>
      </c>
      <c r="Q75" s="82">
        <f t="shared" si="29"/>
        <v>2122.91</v>
      </c>
      <c r="R75" s="82">
        <f t="shared" si="30"/>
        <v>0</v>
      </c>
    </row>
    <row r="76" spans="2:20" s="34" customFormat="1" ht="23.4">
      <c r="B76" s="87" t="s">
        <v>163</v>
      </c>
      <c r="C76" s="88" t="s">
        <v>164</v>
      </c>
      <c r="D76" s="89" t="s">
        <v>152</v>
      </c>
      <c r="E76" s="90">
        <v>7195.1</v>
      </c>
      <c r="F76" s="91"/>
      <c r="G76" s="91"/>
      <c r="H76" s="91"/>
      <c r="I76" s="79">
        <f>SUM(G76:H76)+'BM 006'!I76</f>
        <v>7195.1005000000005</v>
      </c>
      <c r="J76" s="91">
        <f t="shared" si="4"/>
        <v>-5.0000000010186341E-4</v>
      </c>
      <c r="K76" s="80">
        <v>14</v>
      </c>
      <c r="L76" s="81">
        <f t="shared" si="2"/>
        <v>17.746401540000001</v>
      </c>
      <c r="M76" s="82">
        <f t="shared" si="26"/>
        <v>0</v>
      </c>
      <c r="N76" s="82">
        <f t="shared" si="27"/>
        <v>0</v>
      </c>
      <c r="O76" s="82">
        <f>N76+'BM 006'!O76</f>
        <v>127687.13</v>
      </c>
      <c r="P76" s="80">
        <f t="shared" si="28"/>
        <v>100731.40000000001</v>
      </c>
      <c r="Q76" s="82">
        <f t="shared" si="29"/>
        <v>127687.13</v>
      </c>
      <c r="R76" s="82">
        <f t="shared" si="30"/>
        <v>0</v>
      </c>
    </row>
    <row r="77" spans="2:20" s="34" customFormat="1" ht="34.799999999999997">
      <c r="B77" s="87" t="s">
        <v>165</v>
      </c>
      <c r="C77" s="88" t="s">
        <v>166</v>
      </c>
      <c r="D77" s="89" t="s">
        <v>79</v>
      </c>
      <c r="E77" s="90">
        <v>415.8</v>
      </c>
      <c r="F77" s="91"/>
      <c r="G77" s="91"/>
      <c r="H77" s="91"/>
      <c r="I77" s="79">
        <f>SUM(G77:H77)+'BM 006'!I77</f>
        <v>415.80005</v>
      </c>
      <c r="J77" s="91">
        <f t="shared" si="4"/>
        <v>-4.9999999987448973E-5</v>
      </c>
      <c r="K77" s="80">
        <v>120</v>
      </c>
      <c r="L77" s="81">
        <f t="shared" si="2"/>
        <v>152.11201320000001</v>
      </c>
      <c r="M77" s="82">
        <f t="shared" si="26"/>
        <v>0</v>
      </c>
      <c r="N77" s="82">
        <f t="shared" si="27"/>
        <v>0</v>
      </c>
      <c r="O77" s="82">
        <f>N77+'BM 006'!O77</f>
        <v>63248.17</v>
      </c>
      <c r="P77" s="80">
        <f t="shared" si="28"/>
        <v>49896</v>
      </c>
      <c r="Q77" s="82">
        <f t="shared" si="29"/>
        <v>63248.17</v>
      </c>
      <c r="R77" s="82">
        <f t="shared" si="30"/>
        <v>0</v>
      </c>
    </row>
    <row r="78" spans="2:20" s="34" customFormat="1" ht="34.799999999999997">
      <c r="B78" s="87" t="s">
        <v>167</v>
      </c>
      <c r="C78" s="88" t="s">
        <v>168</v>
      </c>
      <c r="D78" s="89" t="s">
        <v>169</v>
      </c>
      <c r="E78" s="92">
        <v>213.07</v>
      </c>
      <c r="F78" s="91"/>
      <c r="G78" s="91"/>
      <c r="H78" s="91"/>
      <c r="I78" s="79">
        <f>SUM(G78:H78)+'BM 006'!I78</f>
        <v>213.07001051856443</v>
      </c>
      <c r="J78" s="91">
        <f t="shared" si="4"/>
        <v>-1.051856443723409E-5</v>
      </c>
      <c r="K78" s="95">
        <v>750</v>
      </c>
      <c r="L78" s="81">
        <f t="shared" si="2"/>
        <v>950.70008250000001</v>
      </c>
      <c r="M78" s="82">
        <f t="shared" si="26"/>
        <v>0</v>
      </c>
      <c r="N78" s="82">
        <f t="shared" si="27"/>
        <v>0</v>
      </c>
      <c r="O78" s="82">
        <f>N78+'BM 006'!O78</f>
        <v>202565.66</v>
      </c>
      <c r="P78" s="95">
        <f t="shared" si="28"/>
        <v>159802.5</v>
      </c>
      <c r="Q78" s="82">
        <f t="shared" si="29"/>
        <v>202565.66</v>
      </c>
      <c r="R78" s="82">
        <f t="shared" si="30"/>
        <v>0</v>
      </c>
    </row>
    <row r="79" spans="2:20" s="34" customFormat="1" ht="13.2">
      <c r="B79" s="66" t="s">
        <v>170</v>
      </c>
      <c r="C79" s="67" t="s">
        <v>171</v>
      </c>
      <c r="D79" s="68"/>
      <c r="E79" s="69"/>
      <c r="F79" s="70"/>
      <c r="G79" s="70"/>
      <c r="H79" s="70"/>
      <c r="I79" s="70">
        <f>SUM(G79:H79)+'BM 006'!I79</f>
        <v>0</v>
      </c>
      <c r="J79" s="70">
        <f t="shared" si="4"/>
        <v>0</v>
      </c>
      <c r="K79" s="71"/>
      <c r="L79" s="71">
        <f t="shared" si="2"/>
        <v>0</v>
      </c>
      <c r="M79" s="73">
        <f t="shared" ref="M79:R79" si="31">SUM(M80:M93)</f>
        <v>0</v>
      </c>
      <c r="N79" s="73">
        <f t="shared" si="31"/>
        <v>0</v>
      </c>
      <c r="O79" s="73">
        <f t="shared" si="31"/>
        <v>190571.62</v>
      </c>
      <c r="P79" s="73">
        <f t="shared" si="31"/>
        <v>150340.54999999999</v>
      </c>
      <c r="Q79" s="73">
        <f t="shared" si="31"/>
        <v>190571.62</v>
      </c>
      <c r="R79" s="73">
        <f t="shared" si="31"/>
        <v>0</v>
      </c>
    </row>
    <row r="80" spans="2:20" s="34" customFormat="1" ht="23.4">
      <c r="B80" s="87" t="s">
        <v>172</v>
      </c>
      <c r="C80" s="88" t="s">
        <v>141</v>
      </c>
      <c r="D80" s="89" t="s">
        <v>110</v>
      </c>
      <c r="E80" s="90">
        <v>268.39999999999998</v>
      </c>
      <c r="F80" s="91"/>
      <c r="G80" s="91"/>
      <c r="H80" s="91"/>
      <c r="I80" s="79">
        <f>SUM(G80:H80)+'BM 006'!I80</f>
        <v>268.39999999999998</v>
      </c>
      <c r="J80" s="91">
        <f t="shared" si="4"/>
        <v>0</v>
      </c>
      <c r="K80" s="80">
        <v>80</v>
      </c>
      <c r="L80" s="81">
        <f t="shared" si="2"/>
        <v>101.4080088</v>
      </c>
      <c r="M80" s="82">
        <f t="shared" ref="M80:M93" si="32">TRUNC(F80*L80,2)</f>
        <v>0</v>
      </c>
      <c r="N80" s="82">
        <f t="shared" ref="N80:N93" si="33">TRUNC(G80*L80,2)</f>
        <v>0</v>
      </c>
      <c r="O80" s="82">
        <f>N80+'BM 006'!O80</f>
        <v>27217.9</v>
      </c>
      <c r="P80" s="80">
        <f t="shared" ref="P80:P93" si="34">E80*K80</f>
        <v>21472</v>
      </c>
      <c r="Q80" s="82">
        <f t="shared" ref="Q80:Q93" si="35">TRUNC(E80*L80,2)</f>
        <v>27217.9</v>
      </c>
      <c r="R80" s="82">
        <f t="shared" ref="R80:R93" si="36">Q80-O80</f>
        <v>0</v>
      </c>
    </row>
    <row r="81" spans="2:21" s="34" customFormat="1" ht="23.4">
      <c r="B81" s="87" t="s">
        <v>173</v>
      </c>
      <c r="C81" s="88" t="s">
        <v>145</v>
      </c>
      <c r="D81" s="89" t="s">
        <v>110</v>
      </c>
      <c r="E81" s="92">
        <v>111.1</v>
      </c>
      <c r="F81" s="91"/>
      <c r="G81" s="91"/>
      <c r="H81" s="91"/>
      <c r="I81" s="79">
        <f>SUM(G81:H81)+'BM 006'!I81</f>
        <v>111.10031555693061</v>
      </c>
      <c r="J81" s="91">
        <f t="shared" si="4"/>
        <v>-3.1555693061591228E-4</v>
      </c>
      <c r="K81" s="80">
        <v>25</v>
      </c>
      <c r="L81" s="81">
        <f t="shared" si="2"/>
        <v>31.690002750000001</v>
      </c>
      <c r="M81" s="82">
        <f t="shared" si="32"/>
        <v>0</v>
      </c>
      <c r="N81" s="82">
        <f t="shared" si="33"/>
        <v>0</v>
      </c>
      <c r="O81" s="82">
        <f>N81+'BM 006'!O81</f>
        <v>3520.75</v>
      </c>
      <c r="P81" s="80">
        <f t="shared" si="34"/>
        <v>2777.5</v>
      </c>
      <c r="Q81" s="82">
        <f t="shared" si="35"/>
        <v>3520.75</v>
      </c>
      <c r="R81" s="82">
        <f t="shared" si="36"/>
        <v>0</v>
      </c>
      <c r="T81" s="83"/>
    </row>
    <row r="82" spans="2:21" s="34" customFormat="1" ht="46.2">
      <c r="B82" s="87" t="s">
        <v>174</v>
      </c>
      <c r="C82" s="88" t="s">
        <v>126</v>
      </c>
      <c r="D82" s="89" t="s">
        <v>110</v>
      </c>
      <c r="E82" s="92">
        <v>268.39999999999998</v>
      </c>
      <c r="F82" s="91"/>
      <c r="G82" s="91"/>
      <c r="H82" s="91"/>
      <c r="I82" s="79">
        <f>SUM(G82:H82)+'BM 006'!I82</f>
        <v>268.39999999999998</v>
      </c>
      <c r="J82" s="91">
        <f t="shared" si="4"/>
        <v>0</v>
      </c>
      <c r="K82" s="80">
        <v>10</v>
      </c>
      <c r="L82" s="81">
        <f t="shared" si="2"/>
        <v>12.676001100000001</v>
      </c>
      <c r="M82" s="82">
        <f t="shared" si="32"/>
        <v>0</v>
      </c>
      <c r="N82" s="82">
        <f t="shared" si="33"/>
        <v>0</v>
      </c>
      <c r="O82" s="82">
        <f>N82+'BM 006'!O82</f>
        <v>3402.2299999999996</v>
      </c>
      <c r="P82" s="80">
        <f t="shared" si="34"/>
        <v>2684</v>
      </c>
      <c r="Q82" s="82">
        <f t="shared" si="35"/>
        <v>3402.23</v>
      </c>
      <c r="R82" s="82">
        <f t="shared" si="36"/>
        <v>0</v>
      </c>
    </row>
    <row r="83" spans="2:21" s="34" customFormat="1" ht="34.799999999999997">
      <c r="B83" s="87" t="s">
        <v>175</v>
      </c>
      <c r="C83" s="88" t="s">
        <v>128</v>
      </c>
      <c r="D83" s="89" t="s">
        <v>113</v>
      </c>
      <c r="E83" s="90">
        <f>E82*30</f>
        <v>8051.9999999999991</v>
      </c>
      <c r="F83" s="91"/>
      <c r="G83" s="91"/>
      <c r="H83" s="91"/>
      <c r="I83" s="79">
        <f>SUM(G83:H83)+'BM 006'!I83</f>
        <v>8052.0026296410897</v>
      </c>
      <c r="J83" s="91">
        <f t="shared" si="4"/>
        <v>-2.6296410906070378E-3</v>
      </c>
      <c r="K83" s="80">
        <v>3</v>
      </c>
      <c r="L83" s="81">
        <f t="shared" si="2"/>
        <v>3.8028003300000002</v>
      </c>
      <c r="M83" s="82">
        <f t="shared" si="32"/>
        <v>0</v>
      </c>
      <c r="N83" s="82">
        <f t="shared" si="33"/>
        <v>0</v>
      </c>
      <c r="O83" s="82">
        <f>N83+'BM 006'!O83</f>
        <v>30620.140000000003</v>
      </c>
      <c r="P83" s="80">
        <f t="shared" si="34"/>
        <v>24155.999999999996</v>
      </c>
      <c r="Q83" s="82">
        <f t="shared" si="35"/>
        <v>30620.14</v>
      </c>
      <c r="R83" s="82">
        <f t="shared" si="36"/>
        <v>0</v>
      </c>
      <c r="T83" s="83"/>
    </row>
    <row r="84" spans="2:21" s="34" customFormat="1" ht="34.799999999999997">
      <c r="B84" s="87" t="s">
        <v>176</v>
      </c>
      <c r="C84" s="88" t="s">
        <v>177</v>
      </c>
      <c r="D84" s="89" t="s">
        <v>79</v>
      </c>
      <c r="E84" s="90">
        <v>243.1</v>
      </c>
      <c r="F84" s="91"/>
      <c r="G84" s="91"/>
      <c r="H84" s="91"/>
      <c r="I84" s="79">
        <f>SUM(G84:H84)+'BM 006'!I84</f>
        <v>243.10022539780761</v>
      </c>
      <c r="J84" s="91">
        <f t="shared" si="4"/>
        <v>-2.2539780761121619E-4</v>
      </c>
      <c r="K84" s="80">
        <v>35</v>
      </c>
      <c r="L84" s="81">
        <f t="shared" si="2"/>
        <v>44.366003849999998</v>
      </c>
      <c r="M84" s="82">
        <f t="shared" si="32"/>
        <v>0</v>
      </c>
      <c r="N84" s="82">
        <f t="shared" si="33"/>
        <v>0</v>
      </c>
      <c r="O84" s="82">
        <f>N84+'BM 006'!O84</f>
        <v>10785.369999999999</v>
      </c>
      <c r="P84" s="80">
        <f t="shared" si="34"/>
        <v>8508.5</v>
      </c>
      <c r="Q84" s="82">
        <f t="shared" si="35"/>
        <v>10785.37</v>
      </c>
      <c r="R84" s="82">
        <f t="shared" si="36"/>
        <v>0</v>
      </c>
      <c r="T84" s="83"/>
    </row>
    <row r="85" spans="2:21" s="34" customFormat="1" ht="23.4">
      <c r="B85" s="87" t="s">
        <v>178</v>
      </c>
      <c r="C85" s="88" t="s">
        <v>151</v>
      </c>
      <c r="D85" s="89" t="s">
        <v>152</v>
      </c>
      <c r="E85" s="90">
        <v>185.9</v>
      </c>
      <c r="F85" s="91"/>
      <c r="G85" s="91"/>
      <c r="H85" s="91"/>
      <c r="I85" s="79">
        <f>SUM(G85:H85)+'BM 006'!I85</f>
        <v>185.9</v>
      </c>
      <c r="J85" s="91">
        <f t="shared" si="4"/>
        <v>0</v>
      </c>
      <c r="K85" s="80">
        <v>20</v>
      </c>
      <c r="L85" s="81">
        <f t="shared" si="2"/>
        <v>25.352002200000001</v>
      </c>
      <c r="M85" s="82">
        <f t="shared" si="32"/>
        <v>0</v>
      </c>
      <c r="N85" s="82">
        <f t="shared" si="33"/>
        <v>0</v>
      </c>
      <c r="O85" s="82">
        <f>N85+'BM 006'!O85</f>
        <v>4712.93</v>
      </c>
      <c r="P85" s="80">
        <f t="shared" si="34"/>
        <v>3718</v>
      </c>
      <c r="Q85" s="82">
        <f t="shared" si="35"/>
        <v>4712.93</v>
      </c>
      <c r="R85" s="82">
        <f t="shared" si="36"/>
        <v>0</v>
      </c>
    </row>
    <row r="86" spans="2:21" s="34" customFormat="1" ht="23.4">
      <c r="B86" s="87" t="s">
        <v>179</v>
      </c>
      <c r="C86" s="88" t="s">
        <v>180</v>
      </c>
      <c r="D86" s="89" t="s">
        <v>152</v>
      </c>
      <c r="E86" s="90">
        <v>199.1</v>
      </c>
      <c r="F86" s="91"/>
      <c r="G86" s="91"/>
      <c r="H86" s="91"/>
      <c r="I86" s="79">
        <f>SUM(G86:H86)+'BM 006'!I86</f>
        <v>199.1</v>
      </c>
      <c r="J86" s="91">
        <f t="shared" si="4"/>
        <v>0</v>
      </c>
      <c r="K86" s="80">
        <v>19</v>
      </c>
      <c r="L86" s="81">
        <f t="shared" si="2"/>
        <v>24.084402090000001</v>
      </c>
      <c r="M86" s="82">
        <f t="shared" si="32"/>
        <v>0</v>
      </c>
      <c r="N86" s="82">
        <f t="shared" si="33"/>
        <v>0</v>
      </c>
      <c r="O86" s="82">
        <f>N86+'BM 006'!O86</f>
        <v>4795.2</v>
      </c>
      <c r="P86" s="80">
        <f t="shared" si="34"/>
        <v>3782.9</v>
      </c>
      <c r="Q86" s="82">
        <f t="shared" si="35"/>
        <v>4795.2</v>
      </c>
      <c r="R86" s="82">
        <f t="shared" si="36"/>
        <v>0</v>
      </c>
    </row>
    <row r="87" spans="2:21" s="34" customFormat="1" ht="23.4">
      <c r="B87" s="87" t="s">
        <v>181</v>
      </c>
      <c r="C87" s="88" t="s">
        <v>156</v>
      </c>
      <c r="D87" s="89" t="s">
        <v>152</v>
      </c>
      <c r="E87" s="90">
        <v>378.4</v>
      </c>
      <c r="F87" s="91"/>
      <c r="G87" s="91"/>
      <c r="H87" s="91"/>
      <c r="I87" s="79">
        <f>SUM(G87:H87)+'BM 006'!I87</f>
        <v>378.4</v>
      </c>
      <c r="J87" s="91">
        <f t="shared" si="4"/>
        <v>0</v>
      </c>
      <c r="K87" s="80">
        <v>17.5</v>
      </c>
      <c r="L87" s="81">
        <f t="shared" si="2"/>
        <v>22.183001924999999</v>
      </c>
      <c r="M87" s="82">
        <f t="shared" si="32"/>
        <v>0</v>
      </c>
      <c r="N87" s="82">
        <f t="shared" si="33"/>
        <v>0</v>
      </c>
      <c r="O87" s="82">
        <f>N87+'BM 006'!O87</f>
        <v>8394.0400000000009</v>
      </c>
      <c r="P87" s="80">
        <f t="shared" si="34"/>
        <v>6622</v>
      </c>
      <c r="Q87" s="82">
        <f t="shared" si="35"/>
        <v>8394.0400000000009</v>
      </c>
      <c r="R87" s="82">
        <f t="shared" si="36"/>
        <v>0</v>
      </c>
    </row>
    <row r="88" spans="2:21" s="34" customFormat="1" ht="23.4">
      <c r="B88" s="87" t="s">
        <v>182</v>
      </c>
      <c r="C88" s="88" t="s">
        <v>158</v>
      </c>
      <c r="D88" s="89" t="s">
        <v>152</v>
      </c>
      <c r="E88" s="90">
        <v>445.5</v>
      </c>
      <c r="F88" s="91"/>
      <c r="G88" s="91"/>
      <c r="H88" s="91"/>
      <c r="I88" s="79">
        <f>SUM(G88:H88)+'BM 006'!I88</f>
        <v>445.50009999999997</v>
      </c>
      <c r="J88" s="91">
        <f t="shared" si="4"/>
        <v>-9.9999999974897946E-5</v>
      </c>
      <c r="K88" s="80">
        <v>16</v>
      </c>
      <c r="L88" s="81">
        <f t="shared" si="2"/>
        <v>20.281601760000001</v>
      </c>
      <c r="M88" s="82">
        <f t="shared" si="32"/>
        <v>0</v>
      </c>
      <c r="N88" s="82">
        <f t="shared" si="33"/>
        <v>0</v>
      </c>
      <c r="O88" s="82">
        <f>N88+'BM 006'!O88</f>
        <v>9035.4500000000007</v>
      </c>
      <c r="P88" s="80">
        <f t="shared" si="34"/>
        <v>7128</v>
      </c>
      <c r="Q88" s="82">
        <f t="shared" si="35"/>
        <v>9035.4500000000007</v>
      </c>
      <c r="R88" s="82">
        <f t="shared" si="36"/>
        <v>0</v>
      </c>
    </row>
    <row r="89" spans="2:21" s="34" customFormat="1" ht="23.4">
      <c r="B89" s="87" t="s">
        <v>183</v>
      </c>
      <c r="C89" s="88" t="s">
        <v>160</v>
      </c>
      <c r="D89" s="89" t="s">
        <v>152</v>
      </c>
      <c r="E89" s="90">
        <v>177.1</v>
      </c>
      <c r="F89" s="91"/>
      <c r="G89" s="91"/>
      <c r="H89" s="91"/>
      <c r="I89" s="79">
        <f>SUM(G89:H89)+'BM 006'!I89</f>
        <v>177.1</v>
      </c>
      <c r="J89" s="91">
        <f t="shared" si="4"/>
        <v>0</v>
      </c>
      <c r="K89" s="80">
        <v>14.5</v>
      </c>
      <c r="L89" s="81">
        <f t="shared" si="2"/>
        <v>18.380201595000003</v>
      </c>
      <c r="M89" s="82">
        <f t="shared" si="32"/>
        <v>0</v>
      </c>
      <c r="N89" s="82">
        <f t="shared" si="33"/>
        <v>0</v>
      </c>
      <c r="O89" s="82">
        <f>N89+'BM 006'!O89</f>
        <v>3255.13</v>
      </c>
      <c r="P89" s="80">
        <f t="shared" si="34"/>
        <v>2567.9499999999998</v>
      </c>
      <c r="Q89" s="82">
        <f t="shared" si="35"/>
        <v>3255.13</v>
      </c>
      <c r="R89" s="82">
        <f t="shared" si="36"/>
        <v>0</v>
      </c>
    </row>
    <row r="90" spans="2:21" s="34" customFormat="1" ht="23.4">
      <c r="B90" s="87" t="s">
        <v>184</v>
      </c>
      <c r="C90" s="88" t="s">
        <v>162</v>
      </c>
      <c r="D90" s="89" t="s">
        <v>152</v>
      </c>
      <c r="E90" s="90">
        <v>61.6</v>
      </c>
      <c r="F90" s="91"/>
      <c r="G90" s="91"/>
      <c r="H90" s="91"/>
      <c r="I90" s="79">
        <f>SUM(G90:H90)+'BM 006'!I90</f>
        <v>61.6</v>
      </c>
      <c r="J90" s="91">
        <f t="shared" si="4"/>
        <v>0</v>
      </c>
      <c r="K90" s="94">
        <v>14.5</v>
      </c>
      <c r="L90" s="81">
        <f t="shared" si="2"/>
        <v>18.380201595000003</v>
      </c>
      <c r="M90" s="82">
        <f t="shared" si="32"/>
        <v>0</v>
      </c>
      <c r="N90" s="82">
        <f t="shared" si="33"/>
        <v>0</v>
      </c>
      <c r="O90" s="82">
        <f>N90+'BM 006'!O90</f>
        <v>1132.22</v>
      </c>
      <c r="P90" s="80">
        <f t="shared" si="34"/>
        <v>893.2</v>
      </c>
      <c r="Q90" s="82">
        <f t="shared" si="35"/>
        <v>1132.22</v>
      </c>
      <c r="R90" s="82">
        <f t="shared" si="36"/>
        <v>0</v>
      </c>
    </row>
    <row r="91" spans="2:21" s="34" customFormat="1" ht="34.799999999999997">
      <c r="B91" s="87" t="s">
        <v>185</v>
      </c>
      <c r="C91" s="88" t="s">
        <v>186</v>
      </c>
      <c r="D91" s="89" t="s">
        <v>79</v>
      </c>
      <c r="E91" s="90">
        <v>299.2</v>
      </c>
      <c r="F91" s="91"/>
      <c r="G91" s="91"/>
      <c r="H91" s="91"/>
      <c r="I91" s="79">
        <f>SUM(G91:H91)+'BM 006'!I91</f>
        <v>299.20005634945187</v>
      </c>
      <c r="J91" s="91">
        <f t="shared" si="4"/>
        <v>-5.6349451881487767E-5</v>
      </c>
      <c r="K91" s="80">
        <v>140</v>
      </c>
      <c r="L91" s="81">
        <f t="shared" si="2"/>
        <v>177.46401539999999</v>
      </c>
      <c r="M91" s="82">
        <f t="shared" si="32"/>
        <v>0</v>
      </c>
      <c r="N91" s="82">
        <f t="shared" si="33"/>
        <v>0</v>
      </c>
      <c r="O91" s="82">
        <f>N91+'BM 006'!O91</f>
        <v>53097.229999999996</v>
      </c>
      <c r="P91" s="80">
        <f t="shared" si="34"/>
        <v>41888</v>
      </c>
      <c r="Q91" s="82">
        <f t="shared" si="35"/>
        <v>53097.23</v>
      </c>
      <c r="R91" s="82">
        <f t="shared" si="36"/>
        <v>0</v>
      </c>
      <c r="T91" s="83"/>
      <c r="U91" s="83"/>
    </row>
    <row r="92" spans="2:21" s="34" customFormat="1" ht="23.4">
      <c r="B92" s="87" t="s">
        <v>187</v>
      </c>
      <c r="C92" s="88" t="s">
        <v>188</v>
      </c>
      <c r="D92" s="89" t="s">
        <v>169</v>
      </c>
      <c r="E92" s="92">
        <v>22.99</v>
      </c>
      <c r="F92" s="91"/>
      <c r="G92" s="91"/>
      <c r="H92" s="91"/>
      <c r="I92" s="79">
        <f>SUM(G92:H92)+'BM 006'!I92</f>
        <v>22.990010518564347</v>
      </c>
      <c r="J92" s="91">
        <f t="shared" si="4"/>
        <v>-1.0518564348416248E-5</v>
      </c>
      <c r="K92" s="95">
        <v>750</v>
      </c>
      <c r="L92" s="81">
        <f t="shared" si="2"/>
        <v>950.70008250000001</v>
      </c>
      <c r="M92" s="82">
        <f t="shared" si="32"/>
        <v>0</v>
      </c>
      <c r="N92" s="82">
        <f t="shared" si="33"/>
        <v>0</v>
      </c>
      <c r="O92" s="82">
        <f>N92+'BM 006'!O92</f>
        <v>21856.59</v>
      </c>
      <c r="P92" s="80">
        <f t="shared" si="34"/>
        <v>17242.5</v>
      </c>
      <c r="Q92" s="82">
        <f t="shared" si="35"/>
        <v>21856.59</v>
      </c>
      <c r="R92" s="82">
        <f t="shared" si="36"/>
        <v>0</v>
      </c>
      <c r="T92" s="83"/>
      <c r="U92" s="83"/>
    </row>
    <row r="93" spans="2:21" s="34" customFormat="1" ht="23.4">
      <c r="B93" s="87" t="s">
        <v>189</v>
      </c>
      <c r="C93" s="88" t="s">
        <v>190</v>
      </c>
      <c r="D93" s="89" t="s">
        <v>63</v>
      </c>
      <c r="E93" s="92">
        <v>230</v>
      </c>
      <c r="F93" s="91"/>
      <c r="G93" s="91"/>
      <c r="H93" s="91"/>
      <c r="I93" s="79">
        <f>SUM(G93:H93)+'BM 006'!I93</f>
        <v>230.00026296410891</v>
      </c>
      <c r="J93" s="91">
        <f t="shared" si="4"/>
        <v>-2.6296410891291089E-4</v>
      </c>
      <c r="K93" s="80">
        <v>30</v>
      </c>
      <c r="L93" s="81">
        <f t="shared" ref="L93:L156" si="37">K93*(1+$T$26)</f>
        <v>38.028003300000002</v>
      </c>
      <c r="M93" s="82">
        <f t="shared" si="32"/>
        <v>0</v>
      </c>
      <c r="N93" s="82">
        <f t="shared" si="33"/>
        <v>0</v>
      </c>
      <c r="O93" s="82">
        <f>N93+'BM 006'!O93</f>
        <v>8746.44</v>
      </c>
      <c r="P93" s="80">
        <f t="shared" si="34"/>
        <v>6900</v>
      </c>
      <c r="Q93" s="82">
        <f t="shared" si="35"/>
        <v>8746.44</v>
      </c>
      <c r="R93" s="82">
        <f t="shared" si="36"/>
        <v>0</v>
      </c>
      <c r="T93" s="83"/>
      <c r="U93" s="83"/>
    </row>
    <row r="94" spans="2:21" s="34" customFormat="1" ht="13.2">
      <c r="B94" s="60" t="s">
        <v>191</v>
      </c>
      <c r="C94" s="61" t="s">
        <v>192</v>
      </c>
      <c r="D94" s="60"/>
      <c r="E94" s="62"/>
      <c r="F94" s="63"/>
      <c r="G94" s="63"/>
      <c r="H94" s="63"/>
      <c r="I94" s="63">
        <f>SUM(G94:H94)+'BM 006'!I94</f>
        <v>0</v>
      </c>
      <c r="J94" s="63">
        <f t="shared" si="4"/>
        <v>0</v>
      </c>
      <c r="K94" s="63"/>
      <c r="L94" s="63">
        <f t="shared" si="37"/>
        <v>0</v>
      </c>
      <c r="M94" s="63">
        <f t="shared" ref="M94:R94" si="38">SUM(M95,M107,M120)</f>
        <v>696379.51</v>
      </c>
      <c r="N94" s="63">
        <f t="shared" si="38"/>
        <v>696379.51</v>
      </c>
      <c r="O94" s="63">
        <f t="shared" si="38"/>
        <v>2358084.2999999998</v>
      </c>
      <c r="P94" s="63">
        <f t="shared" si="38"/>
        <v>4541959.5</v>
      </c>
      <c r="Q94" s="63">
        <f t="shared" si="38"/>
        <v>5757388.21</v>
      </c>
      <c r="R94" s="63">
        <f t="shared" si="38"/>
        <v>3399303.9099999997</v>
      </c>
    </row>
    <row r="95" spans="2:21" s="34" customFormat="1" ht="13.2">
      <c r="B95" s="66" t="s">
        <v>193</v>
      </c>
      <c r="C95" s="67" t="s">
        <v>194</v>
      </c>
      <c r="D95" s="68"/>
      <c r="E95" s="69"/>
      <c r="F95" s="70"/>
      <c r="G95" s="70"/>
      <c r="H95" s="70"/>
      <c r="I95" s="70">
        <f>SUM(G95:H95)+'BM 006'!I95</f>
        <v>0</v>
      </c>
      <c r="J95" s="70">
        <f t="shared" ref="J95:J158" si="39">E95-I95</f>
        <v>0</v>
      </c>
      <c r="K95" s="71"/>
      <c r="L95" s="71">
        <f t="shared" si="37"/>
        <v>0</v>
      </c>
      <c r="M95" s="73">
        <f t="shared" ref="M95:R95" si="40">SUM(M96:M106)</f>
        <v>209586.72000000003</v>
      </c>
      <c r="N95" s="73">
        <f t="shared" si="40"/>
        <v>209586.72000000003</v>
      </c>
      <c r="O95" s="73">
        <f t="shared" si="40"/>
        <v>699094.1399999999</v>
      </c>
      <c r="P95" s="73">
        <f t="shared" si="40"/>
        <v>1372038.75</v>
      </c>
      <c r="Q95" s="73">
        <f t="shared" si="40"/>
        <v>1739196.42</v>
      </c>
      <c r="R95" s="73">
        <f t="shared" si="40"/>
        <v>1040102.28</v>
      </c>
    </row>
    <row r="96" spans="2:21" s="34" customFormat="1" ht="34.799999999999997">
      <c r="B96" s="87" t="s">
        <v>195</v>
      </c>
      <c r="C96" s="88" t="s">
        <v>196</v>
      </c>
      <c r="D96" s="89" t="s">
        <v>79</v>
      </c>
      <c r="E96" s="92">
        <v>3575</v>
      </c>
      <c r="F96" s="91">
        <f>'M.C. MED. 07'!K589</f>
        <v>562.25</v>
      </c>
      <c r="G96" s="91">
        <f t="shared" ref="G96:G106" si="41">F96</f>
        <v>562.25</v>
      </c>
      <c r="H96" s="91"/>
      <c r="I96" s="79">
        <f>SUM(G96:H96)+'BM 006'!I96</f>
        <v>1531.67</v>
      </c>
      <c r="J96" s="91">
        <f t="shared" si="39"/>
        <v>2043.33</v>
      </c>
      <c r="K96" s="80">
        <v>130</v>
      </c>
      <c r="L96" s="81">
        <f t="shared" si="37"/>
        <v>164.78801430000001</v>
      </c>
      <c r="M96" s="82">
        <f t="shared" ref="M96:M106" si="42">TRUNC(F96*L96,2)</f>
        <v>92652.06</v>
      </c>
      <c r="N96" s="82">
        <f t="shared" ref="N96:N106" si="43">TRUNC(G96*L96,2)</f>
        <v>92652.06</v>
      </c>
      <c r="O96" s="82">
        <f>N96+'BM 006'!O96</f>
        <v>252400.84999999998</v>
      </c>
      <c r="P96" s="80">
        <f t="shared" ref="P96:P106" si="44">E96*K96</f>
        <v>464750</v>
      </c>
      <c r="Q96" s="82">
        <f t="shared" ref="Q96:Q106" si="45">TRUNC(E96*L96,2)</f>
        <v>589117.15</v>
      </c>
      <c r="R96" s="82">
        <f t="shared" ref="R96:R106" si="46">Q96-O96</f>
        <v>336716.30000000005</v>
      </c>
    </row>
    <row r="97" spans="2:20" s="34" customFormat="1" ht="46.2">
      <c r="B97" s="87" t="s">
        <v>197</v>
      </c>
      <c r="C97" s="88" t="s">
        <v>198</v>
      </c>
      <c r="D97" s="89" t="s">
        <v>152</v>
      </c>
      <c r="E97" s="90">
        <v>2130.6999999999998</v>
      </c>
      <c r="F97" s="91">
        <f>'M.C. MED. 07'!K607</f>
        <v>120.1</v>
      </c>
      <c r="G97" s="91">
        <f t="shared" si="41"/>
        <v>120.1</v>
      </c>
      <c r="H97" s="91"/>
      <c r="I97" s="79">
        <f>SUM(G97:H97)+'BM 006'!I97</f>
        <v>586.11</v>
      </c>
      <c r="J97" s="91">
        <f t="shared" si="39"/>
        <v>1544.5899999999997</v>
      </c>
      <c r="K97" s="80">
        <v>20</v>
      </c>
      <c r="L97" s="81">
        <f t="shared" si="37"/>
        <v>25.352002200000001</v>
      </c>
      <c r="M97" s="82">
        <f t="shared" si="42"/>
        <v>3044.77</v>
      </c>
      <c r="N97" s="82">
        <f t="shared" si="43"/>
        <v>3044.77</v>
      </c>
      <c r="O97" s="82">
        <f>N97+'BM 006'!O97</f>
        <v>14859.04</v>
      </c>
      <c r="P97" s="80">
        <f t="shared" si="44"/>
        <v>42614</v>
      </c>
      <c r="Q97" s="82">
        <f t="shared" si="45"/>
        <v>54017.51</v>
      </c>
      <c r="R97" s="82">
        <f t="shared" si="46"/>
        <v>39158.47</v>
      </c>
    </row>
    <row r="98" spans="2:20" s="34" customFormat="1" ht="46.2">
      <c r="B98" s="87" t="s">
        <v>199</v>
      </c>
      <c r="C98" s="88" t="s">
        <v>200</v>
      </c>
      <c r="D98" s="89" t="s">
        <v>152</v>
      </c>
      <c r="E98" s="90">
        <v>3031.6</v>
      </c>
      <c r="F98" s="91">
        <f>'M.C. MED. 07'!K624</f>
        <v>235.27</v>
      </c>
      <c r="G98" s="91">
        <f t="shared" si="41"/>
        <v>235.27</v>
      </c>
      <c r="H98" s="91"/>
      <c r="I98" s="79">
        <f>SUM(G98:H98)+'BM 006'!I98</f>
        <v>1108.97</v>
      </c>
      <c r="J98" s="91">
        <f t="shared" si="39"/>
        <v>1922.6299999999999</v>
      </c>
      <c r="K98" s="80">
        <v>19</v>
      </c>
      <c r="L98" s="81">
        <f t="shared" si="37"/>
        <v>24.084402090000001</v>
      </c>
      <c r="M98" s="82">
        <f t="shared" si="42"/>
        <v>5666.33</v>
      </c>
      <c r="N98" s="82">
        <f t="shared" si="43"/>
        <v>5666.33</v>
      </c>
      <c r="O98" s="82">
        <f>N98+'BM 006'!O98</f>
        <v>26708.86</v>
      </c>
      <c r="P98" s="80">
        <f t="shared" si="44"/>
        <v>57600.4</v>
      </c>
      <c r="Q98" s="82">
        <f t="shared" si="45"/>
        <v>73014.27</v>
      </c>
      <c r="R98" s="82">
        <f t="shared" si="46"/>
        <v>46305.41</v>
      </c>
    </row>
    <row r="99" spans="2:20" s="34" customFormat="1" ht="46.2">
      <c r="B99" s="87" t="s">
        <v>201</v>
      </c>
      <c r="C99" s="88" t="s">
        <v>202</v>
      </c>
      <c r="D99" s="89" t="s">
        <v>152</v>
      </c>
      <c r="E99" s="90">
        <v>5608.9</v>
      </c>
      <c r="F99" s="91">
        <f>'M.C. MED. 07'!K642</f>
        <v>345.86</v>
      </c>
      <c r="G99" s="91">
        <f t="shared" si="41"/>
        <v>345.86</v>
      </c>
      <c r="H99" s="91"/>
      <c r="I99" s="79">
        <f>SUM(G99:H99)+'BM 006'!I99</f>
        <v>1925.3000000000002</v>
      </c>
      <c r="J99" s="91">
        <f t="shared" si="39"/>
        <v>3683.5999999999995</v>
      </c>
      <c r="K99" s="80">
        <v>17.5</v>
      </c>
      <c r="L99" s="81">
        <f t="shared" si="37"/>
        <v>22.183001924999999</v>
      </c>
      <c r="M99" s="82">
        <f t="shared" si="42"/>
        <v>7672.21</v>
      </c>
      <c r="N99" s="82">
        <f t="shared" si="43"/>
        <v>7672.21</v>
      </c>
      <c r="O99" s="82">
        <f>N99+'BM 006'!O99</f>
        <v>42708.92</v>
      </c>
      <c r="P99" s="80">
        <f t="shared" si="44"/>
        <v>98155.75</v>
      </c>
      <c r="Q99" s="82">
        <f t="shared" si="45"/>
        <v>124422.23</v>
      </c>
      <c r="R99" s="82">
        <f t="shared" si="46"/>
        <v>81713.31</v>
      </c>
    </row>
    <row r="100" spans="2:20" s="34" customFormat="1" ht="46.2">
      <c r="B100" s="87" t="s">
        <v>203</v>
      </c>
      <c r="C100" s="88" t="s">
        <v>204</v>
      </c>
      <c r="D100" s="89" t="s">
        <v>152</v>
      </c>
      <c r="E100" s="90">
        <v>4215.2</v>
      </c>
      <c r="F100" s="91">
        <f>'M.C. MED. 07'!K659</f>
        <v>236.86</v>
      </c>
      <c r="G100" s="91">
        <f t="shared" si="41"/>
        <v>236.86</v>
      </c>
      <c r="H100" s="91"/>
      <c r="I100" s="79">
        <f>SUM(G100:H100)+'BM 006'!I100</f>
        <v>1073.68</v>
      </c>
      <c r="J100" s="91">
        <f t="shared" si="39"/>
        <v>3141.5199999999995</v>
      </c>
      <c r="K100" s="80">
        <v>16</v>
      </c>
      <c r="L100" s="81">
        <f t="shared" si="37"/>
        <v>20.281601760000001</v>
      </c>
      <c r="M100" s="82">
        <f t="shared" si="42"/>
        <v>4803.8999999999996</v>
      </c>
      <c r="N100" s="82">
        <f t="shared" si="43"/>
        <v>4803.8999999999996</v>
      </c>
      <c r="O100" s="82">
        <f>N100+'BM 006'!O100</f>
        <v>21775.940000000002</v>
      </c>
      <c r="P100" s="80">
        <f t="shared" si="44"/>
        <v>67443.199999999997</v>
      </c>
      <c r="Q100" s="82">
        <f t="shared" si="45"/>
        <v>85491</v>
      </c>
      <c r="R100" s="82">
        <f t="shared" si="46"/>
        <v>63715.06</v>
      </c>
    </row>
    <row r="101" spans="2:20" s="34" customFormat="1" ht="46.2">
      <c r="B101" s="87" t="s">
        <v>205</v>
      </c>
      <c r="C101" s="88" t="s">
        <v>206</v>
      </c>
      <c r="D101" s="89" t="s">
        <v>152</v>
      </c>
      <c r="E101" s="90">
        <v>3267</v>
      </c>
      <c r="F101" s="91">
        <f>'M.C. MED. 07'!K678</f>
        <v>309.31</v>
      </c>
      <c r="G101" s="91">
        <f t="shared" si="41"/>
        <v>309.31</v>
      </c>
      <c r="H101" s="91"/>
      <c r="I101" s="79">
        <f>SUM(G101:H101)+'BM 006'!I101</f>
        <v>2431.19</v>
      </c>
      <c r="J101" s="91">
        <f t="shared" si="39"/>
        <v>835.81</v>
      </c>
      <c r="K101" s="80">
        <v>14.5</v>
      </c>
      <c r="L101" s="81">
        <f t="shared" si="37"/>
        <v>18.380201595000003</v>
      </c>
      <c r="M101" s="82">
        <f t="shared" si="42"/>
        <v>5685.18</v>
      </c>
      <c r="N101" s="82">
        <f t="shared" si="43"/>
        <v>5685.18</v>
      </c>
      <c r="O101" s="82">
        <f>N101+'BM 006'!O101</f>
        <v>44685.740000000005</v>
      </c>
      <c r="P101" s="80">
        <f t="shared" si="44"/>
        <v>47371.5</v>
      </c>
      <c r="Q101" s="82">
        <f t="shared" si="45"/>
        <v>60048.11</v>
      </c>
      <c r="R101" s="82">
        <f t="shared" si="46"/>
        <v>15362.369999999995</v>
      </c>
      <c r="T101" s="96"/>
    </row>
    <row r="102" spans="2:20" s="34" customFormat="1" ht="46.2">
      <c r="B102" s="87" t="s">
        <v>207</v>
      </c>
      <c r="C102" s="88" t="s">
        <v>208</v>
      </c>
      <c r="D102" s="89" t="s">
        <v>152</v>
      </c>
      <c r="E102" s="90">
        <v>8421.6</v>
      </c>
      <c r="F102" s="91">
        <f>'M.C. MED. 07'!K695</f>
        <v>635.29999999999995</v>
      </c>
      <c r="G102" s="91">
        <f t="shared" si="41"/>
        <v>635.29999999999995</v>
      </c>
      <c r="H102" s="91"/>
      <c r="I102" s="79">
        <f>SUM(G102:H102)+'BM 006'!I102</f>
        <v>2593.2699999999995</v>
      </c>
      <c r="J102" s="91">
        <f t="shared" si="39"/>
        <v>5828.3300000000008</v>
      </c>
      <c r="K102" s="94">
        <v>14.5</v>
      </c>
      <c r="L102" s="81">
        <f t="shared" si="37"/>
        <v>18.380201595000003</v>
      </c>
      <c r="M102" s="82">
        <f t="shared" si="42"/>
        <v>11676.94</v>
      </c>
      <c r="N102" s="82">
        <f t="shared" si="43"/>
        <v>11676.94</v>
      </c>
      <c r="O102" s="82">
        <f>N102+'BM 006'!O102</f>
        <v>47664.800000000003</v>
      </c>
      <c r="P102" s="80">
        <f t="shared" si="44"/>
        <v>122113.20000000001</v>
      </c>
      <c r="Q102" s="82">
        <f t="shared" si="45"/>
        <v>154790.70000000001</v>
      </c>
      <c r="R102" s="82">
        <f t="shared" si="46"/>
        <v>107125.90000000001</v>
      </c>
      <c r="T102" s="96"/>
    </row>
    <row r="103" spans="2:20" s="34" customFormat="1" ht="46.2">
      <c r="B103" s="87" t="s">
        <v>209</v>
      </c>
      <c r="C103" s="88" t="s">
        <v>210</v>
      </c>
      <c r="D103" s="89" t="s">
        <v>152</v>
      </c>
      <c r="E103" s="92">
        <v>7144.5</v>
      </c>
      <c r="F103" s="91">
        <f>'M.C. MED. 07'!K713</f>
        <v>602.19000000000005</v>
      </c>
      <c r="G103" s="91">
        <f t="shared" si="41"/>
        <v>602.19000000000005</v>
      </c>
      <c r="H103" s="91"/>
      <c r="I103" s="79">
        <f>SUM(G103:H103)+'BM 006'!I103</f>
        <v>3472.11</v>
      </c>
      <c r="J103" s="91">
        <f t="shared" si="39"/>
        <v>3672.39</v>
      </c>
      <c r="K103" s="80">
        <v>14</v>
      </c>
      <c r="L103" s="81">
        <f t="shared" si="37"/>
        <v>17.746401540000001</v>
      </c>
      <c r="M103" s="82">
        <f t="shared" si="42"/>
        <v>10686.7</v>
      </c>
      <c r="N103" s="82">
        <f t="shared" si="43"/>
        <v>10686.7</v>
      </c>
      <c r="O103" s="82">
        <f>N103+'BM 006'!O103</f>
        <v>61617.430000000008</v>
      </c>
      <c r="P103" s="80">
        <f t="shared" si="44"/>
        <v>100023</v>
      </c>
      <c r="Q103" s="82">
        <f t="shared" si="45"/>
        <v>126789.16</v>
      </c>
      <c r="R103" s="82">
        <f t="shared" si="46"/>
        <v>65171.729999999996</v>
      </c>
      <c r="T103" s="96"/>
    </row>
    <row r="104" spans="2:20" s="34" customFormat="1" ht="46.2">
      <c r="B104" s="87" t="s">
        <v>211</v>
      </c>
      <c r="C104" s="88" t="s">
        <v>212</v>
      </c>
      <c r="D104" s="89" t="s">
        <v>152</v>
      </c>
      <c r="E104" s="92">
        <v>6531.8</v>
      </c>
      <c r="F104" s="91">
        <f>'M.C. MED. 07'!K731</f>
        <v>1008.71</v>
      </c>
      <c r="G104" s="91">
        <f t="shared" si="41"/>
        <v>1008.71</v>
      </c>
      <c r="H104" s="91"/>
      <c r="I104" s="79">
        <f>SUM(G104:H104)+'BM 006'!I104</f>
        <v>3623.72</v>
      </c>
      <c r="J104" s="91">
        <f t="shared" si="39"/>
        <v>2908.0800000000004</v>
      </c>
      <c r="K104" s="95">
        <v>14</v>
      </c>
      <c r="L104" s="81">
        <f t="shared" si="37"/>
        <v>17.746401540000001</v>
      </c>
      <c r="M104" s="82">
        <f t="shared" si="42"/>
        <v>17900.97</v>
      </c>
      <c r="N104" s="82">
        <f t="shared" si="43"/>
        <v>17900.97</v>
      </c>
      <c r="O104" s="82">
        <f>N104+'BM 006'!O104</f>
        <v>64307.98</v>
      </c>
      <c r="P104" s="80">
        <f t="shared" si="44"/>
        <v>91445.2</v>
      </c>
      <c r="Q104" s="82">
        <f t="shared" si="45"/>
        <v>115915.94</v>
      </c>
      <c r="R104" s="82">
        <f t="shared" si="46"/>
        <v>51607.96</v>
      </c>
      <c r="T104" s="96"/>
    </row>
    <row r="105" spans="2:20" s="34" customFormat="1" ht="23.4">
      <c r="B105" s="87" t="s">
        <v>213</v>
      </c>
      <c r="C105" s="88" t="s">
        <v>190</v>
      </c>
      <c r="D105" s="89" t="s">
        <v>63</v>
      </c>
      <c r="E105" s="92">
        <v>240</v>
      </c>
      <c r="F105" s="91">
        <v>34</v>
      </c>
      <c r="G105" s="91">
        <f t="shared" si="41"/>
        <v>34</v>
      </c>
      <c r="H105" s="91"/>
      <c r="I105" s="79">
        <f>SUM(G105:H105)+'BM 006'!I105</f>
        <v>84</v>
      </c>
      <c r="J105" s="91">
        <f t="shared" si="39"/>
        <v>156</v>
      </c>
      <c r="K105" s="80">
        <v>30</v>
      </c>
      <c r="L105" s="81">
        <f t="shared" si="37"/>
        <v>38.028003300000002</v>
      </c>
      <c r="M105" s="82">
        <f t="shared" si="42"/>
        <v>1292.95</v>
      </c>
      <c r="N105" s="82">
        <f t="shared" si="43"/>
        <v>1292.95</v>
      </c>
      <c r="O105" s="82">
        <f>N105+'BM 006'!O105</f>
        <v>3194.34</v>
      </c>
      <c r="P105" s="80">
        <f t="shared" si="44"/>
        <v>7200</v>
      </c>
      <c r="Q105" s="82">
        <f t="shared" si="45"/>
        <v>9126.7199999999993</v>
      </c>
      <c r="R105" s="82">
        <f t="shared" si="46"/>
        <v>5932.3799999999992</v>
      </c>
      <c r="T105" s="96"/>
    </row>
    <row r="106" spans="2:20" s="34" customFormat="1" ht="23.4">
      <c r="B106" s="87" t="s">
        <v>214</v>
      </c>
      <c r="C106" s="88" t="s">
        <v>215</v>
      </c>
      <c r="D106" s="89" t="s">
        <v>169</v>
      </c>
      <c r="E106" s="92">
        <v>364.43</v>
      </c>
      <c r="F106" s="91">
        <f>'M.C. MED. 07'!K826</f>
        <v>51.02</v>
      </c>
      <c r="G106" s="91">
        <f t="shared" si="41"/>
        <v>51.02</v>
      </c>
      <c r="H106" s="91"/>
      <c r="I106" s="79">
        <f>SUM(G106:H106)+'BM 006'!I106</f>
        <v>125.35000000000002</v>
      </c>
      <c r="J106" s="91">
        <f t="shared" si="39"/>
        <v>239.07999999999998</v>
      </c>
      <c r="K106" s="95">
        <v>750</v>
      </c>
      <c r="L106" s="81">
        <f t="shared" si="37"/>
        <v>950.70008250000001</v>
      </c>
      <c r="M106" s="82">
        <f t="shared" si="42"/>
        <v>48504.71</v>
      </c>
      <c r="N106" s="82">
        <f t="shared" si="43"/>
        <v>48504.71</v>
      </c>
      <c r="O106" s="82">
        <f>N106+'BM 006'!O106</f>
        <v>119170.23999999999</v>
      </c>
      <c r="P106" s="80">
        <f t="shared" si="44"/>
        <v>273322.5</v>
      </c>
      <c r="Q106" s="82">
        <f t="shared" si="45"/>
        <v>346463.63</v>
      </c>
      <c r="R106" s="82">
        <f t="shared" si="46"/>
        <v>227293.39</v>
      </c>
      <c r="T106" s="96"/>
    </row>
    <row r="107" spans="2:20" s="34" customFormat="1" ht="13.2">
      <c r="B107" s="66" t="s">
        <v>216</v>
      </c>
      <c r="C107" s="67" t="s">
        <v>217</v>
      </c>
      <c r="D107" s="68"/>
      <c r="E107" s="69"/>
      <c r="F107" s="70"/>
      <c r="G107" s="70"/>
      <c r="H107" s="70"/>
      <c r="I107" s="70">
        <f>SUM(G107:H107)+'BM 006'!I107</f>
        <v>0</v>
      </c>
      <c r="J107" s="70">
        <f t="shared" si="39"/>
        <v>0</v>
      </c>
      <c r="K107" s="71"/>
      <c r="L107" s="71">
        <f t="shared" si="37"/>
        <v>0</v>
      </c>
      <c r="M107" s="73">
        <f t="shared" ref="M107:R107" si="47">SUM(M108:M119)</f>
        <v>101513.37999999999</v>
      </c>
      <c r="N107" s="73">
        <f t="shared" si="47"/>
        <v>101513.37999999999</v>
      </c>
      <c r="O107" s="73">
        <f t="shared" si="47"/>
        <v>530873.57000000007</v>
      </c>
      <c r="P107" s="73">
        <f t="shared" si="47"/>
        <v>951249.7</v>
      </c>
      <c r="Q107" s="73">
        <f t="shared" si="47"/>
        <v>1205804.17</v>
      </c>
      <c r="R107" s="73">
        <f t="shared" si="47"/>
        <v>674930.59999999986</v>
      </c>
      <c r="T107" s="96"/>
    </row>
    <row r="108" spans="2:20" s="34" customFormat="1" ht="46.2">
      <c r="B108" s="87" t="s">
        <v>218</v>
      </c>
      <c r="C108" s="88" t="s">
        <v>219</v>
      </c>
      <c r="D108" s="89" t="s">
        <v>79</v>
      </c>
      <c r="E108" s="92">
        <v>2299</v>
      </c>
      <c r="F108" s="91">
        <v>240.3</v>
      </c>
      <c r="G108" s="91">
        <f t="shared" ref="G108:G119" si="48">F108</f>
        <v>240.3</v>
      </c>
      <c r="H108" s="91"/>
      <c r="I108" s="79">
        <f>SUM(G108:H108)+'BM 006'!I108</f>
        <v>1068.06</v>
      </c>
      <c r="J108" s="91">
        <f t="shared" si="39"/>
        <v>1230.94</v>
      </c>
      <c r="K108" s="80">
        <v>60</v>
      </c>
      <c r="L108" s="81">
        <f t="shared" si="37"/>
        <v>76.056006600000003</v>
      </c>
      <c r="M108" s="82">
        <f t="shared" ref="M108:M119" si="49">TRUNC(F108*L108,2)</f>
        <v>18276.25</v>
      </c>
      <c r="N108" s="82">
        <f t="shared" ref="N108:N119" si="50">TRUNC(G108*L108,2)</f>
        <v>18276.25</v>
      </c>
      <c r="O108" s="82">
        <f>N108+'BM 006'!O108</f>
        <v>81232.350000000006</v>
      </c>
      <c r="P108" s="80">
        <f t="shared" ref="P108:P119" si="51">E108*K108</f>
        <v>137940</v>
      </c>
      <c r="Q108" s="82">
        <f t="shared" ref="Q108:Q119" si="52">TRUNC(E108*L108,2)</f>
        <v>174852.75</v>
      </c>
      <c r="R108" s="82">
        <f t="shared" ref="R108:R119" si="53">Q108-O108</f>
        <v>93620.4</v>
      </c>
      <c r="T108" s="96"/>
    </row>
    <row r="109" spans="2:20" s="34" customFormat="1" ht="46.2">
      <c r="B109" s="87" t="s">
        <v>220</v>
      </c>
      <c r="C109" s="88" t="s">
        <v>198</v>
      </c>
      <c r="D109" s="89" t="s">
        <v>152</v>
      </c>
      <c r="E109" s="90">
        <v>347.6</v>
      </c>
      <c r="F109" s="91">
        <f>'M.C. MED. 07'!K839</f>
        <v>37.35</v>
      </c>
      <c r="G109" s="91">
        <f t="shared" si="48"/>
        <v>37.35</v>
      </c>
      <c r="H109" s="91"/>
      <c r="I109" s="79">
        <f>SUM(G109:H109)+'BM 006'!I109</f>
        <v>150.65</v>
      </c>
      <c r="J109" s="91">
        <f t="shared" si="39"/>
        <v>196.95000000000002</v>
      </c>
      <c r="K109" s="80">
        <v>20</v>
      </c>
      <c r="L109" s="81">
        <f t="shared" si="37"/>
        <v>25.352002200000001</v>
      </c>
      <c r="M109" s="82">
        <f t="shared" si="49"/>
        <v>946.89</v>
      </c>
      <c r="N109" s="82">
        <f t="shared" si="50"/>
        <v>946.89</v>
      </c>
      <c r="O109" s="82">
        <f>N109+'BM 006'!O109</f>
        <v>3819.2599999999998</v>
      </c>
      <c r="P109" s="80">
        <f t="shared" si="51"/>
        <v>6952</v>
      </c>
      <c r="Q109" s="82">
        <f t="shared" si="52"/>
        <v>8812.35</v>
      </c>
      <c r="R109" s="82">
        <f t="shared" si="53"/>
        <v>4993.09</v>
      </c>
      <c r="T109" s="96"/>
    </row>
    <row r="110" spans="2:20" s="34" customFormat="1" ht="46.2">
      <c r="B110" s="87" t="s">
        <v>221</v>
      </c>
      <c r="C110" s="88" t="s">
        <v>222</v>
      </c>
      <c r="D110" s="89" t="s">
        <v>152</v>
      </c>
      <c r="E110" s="90">
        <v>3626.7</v>
      </c>
      <c r="F110" s="91">
        <f>'M.C. MED. 07'!K852</f>
        <v>312</v>
      </c>
      <c r="G110" s="91">
        <f t="shared" si="48"/>
        <v>312</v>
      </c>
      <c r="H110" s="91"/>
      <c r="I110" s="79">
        <f>SUM(G110:H110)+'BM 006'!I110</f>
        <v>1504.3100000000002</v>
      </c>
      <c r="J110" s="91">
        <f t="shared" si="39"/>
        <v>2122.3899999999994</v>
      </c>
      <c r="K110" s="80">
        <v>19</v>
      </c>
      <c r="L110" s="81">
        <f t="shared" si="37"/>
        <v>24.084402090000001</v>
      </c>
      <c r="M110" s="82">
        <f t="shared" si="49"/>
        <v>7514.33</v>
      </c>
      <c r="N110" s="82">
        <f t="shared" si="50"/>
        <v>7514.33</v>
      </c>
      <c r="O110" s="82">
        <f>N110+'BM 006'!O110</f>
        <v>36230.380000000005</v>
      </c>
      <c r="P110" s="80">
        <f t="shared" si="51"/>
        <v>68907.3</v>
      </c>
      <c r="Q110" s="82">
        <f t="shared" si="52"/>
        <v>87346.9</v>
      </c>
      <c r="R110" s="82">
        <f t="shared" si="53"/>
        <v>51116.51999999999</v>
      </c>
      <c r="T110" s="96"/>
    </row>
    <row r="111" spans="2:20" s="34" customFormat="1" ht="46.2">
      <c r="B111" s="87" t="s">
        <v>223</v>
      </c>
      <c r="C111" s="88" t="s">
        <v>202</v>
      </c>
      <c r="D111" s="89" t="s">
        <v>152</v>
      </c>
      <c r="E111" s="90">
        <v>1762.2</v>
      </c>
      <c r="F111" s="79">
        <f>'M.C. MED. 07'!K866</f>
        <v>106.23</v>
      </c>
      <c r="G111" s="91">
        <f t="shared" si="48"/>
        <v>106.23</v>
      </c>
      <c r="H111" s="91"/>
      <c r="I111" s="79">
        <f>SUM(G111:H111)+'BM 006'!I111</f>
        <v>686.23</v>
      </c>
      <c r="J111" s="91">
        <f t="shared" si="39"/>
        <v>1075.97</v>
      </c>
      <c r="K111" s="80">
        <v>17.5</v>
      </c>
      <c r="L111" s="81">
        <f t="shared" si="37"/>
        <v>22.183001924999999</v>
      </c>
      <c r="M111" s="82">
        <f t="shared" si="49"/>
        <v>2356.5</v>
      </c>
      <c r="N111" s="82">
        <f t="shared" si="50"/>
        <v>2356.5</v>
      </c>
      <c r="O111" s="82">
        <f>N111+'BM 006'!O111</f>
        <v>15222.63</v>
      </c>
      <c r="P111" s="80">
        <f t="shared" si="51"/>
        <v>30838.5</v>
      </c>
      <c r="Q111" s="82">
        <f t="shared" si="52"/>
        <v>39090.879999999997</v>
      </c>
      <c r="R111" s="82">
        <f t="shared" si="53"/>
        <v>23868.25</v>
      </c>
    </row>
    <row r="112" spans="2:20" s="34" customFormat="1" ht="46.2">
      <c r="B112" s="87" t="s">
        <v>224</v>
      </c>
      <c r="C112" s="88" t="s">
        <v>204</v>
      </c>
      <c r="D112" s="89" t="s">
        <v>152</v>
      </c>
      <c r="E112" s="90">
        <v>542.29999999999995</v>
      </c>
      <c r="F112" s="79">
        <f>'M.C. MED. 07'!K879</f>
        <v>45.2</v>
      </c>
      <c r="G112" s="91">
        <f t="shared" si="48"/>
        <v>45.2</v>
      </c>
      <c r="H112" s="91"/>
      <c r="I112" s="79">
        <f>SUM(G112:H112)+'BM 006'!I112</f>
        <v>243.43</v>
      </c>
      <c r="J112" s="91">
        <f t="shared" si="39"/>
        <v>298.86999999999995</v>
      </c>
      <c r="K112" s="80">
        <v>16</v>
      </c>
      <c r="L112" s="81">
        <f t="shared" si="37"/>
        <v>20.281601760000001</v>
      </c>
      <c r="M112" s="82">
        <f t="shared" si="49"/>
        <v>916.72</v>
      </c>
      <c r="N112" s="82">
        <f t="shared" si="50"/>
        <v>916.72</v>
      </c>
      <c r="O112" s="82">
        <f>N112+'BM 006'!O112</f>
        <v>4937.13</v>
      </c>
      <c r="P112" s="80">
        <f t="shared" si="51"/>
        <v>8676.7999999999993</v>
      </c>
      <c r="Q112" s="82">
        <f t="shared" si="52"/>
        <v>10998.71</v>
      </c>
      <c r="R112" s="82">
        <f t="shared" si="53"/>
        <v>6061.579999999999</v>
      </c>
      <c r="T112" s="83"/>
    </row>
    <row r="113" spans="2:20" s="34" customFormat="1" ht="46.2">
      <c r="B113" s="87" t="s">
        <v>225</v>
      </c>
      <c r="C113" s="88" t="s">
        <v>206</v>
      </c>
      <c r="D113" s="89" t="s">
        <v>152</v>
      </c>
      <c r="E113" s="90">
        <v>3532.1</v>
      </c>
      <c r="F113" s="79">
        <f>'M.C. MED. 07'!K892</f>
        <v>375.3</v>
      </c>
      <c r="G113" s="91">
        <f t="shared" si="48"/>
        <v>375.3</v>
      </c>
      <c r="H113" s="91"/>
      <c r="I113" s="79">
        <f>SUM(G113:H113)+'BM 006'!I113</f>
        <v>1242.5899999999999</v>
      </c>
      <c r="J113" s="91">
        <f t="shared" si="39"/>
        <v>2289.5100000000002</v>
      </c>
      <c r="K113" s="80">
        <v>14.5</v>
      </c>
      <c r="L113" s="81">
        <f t="shared" si="37"/>
        <v>18.380201595000003</v>
      </c>
      <c r="M113" s="82">
        <f t="shared" si="49"/>
        <v>6898.08</v>
      </c>
      <c r="N113" s="82">
        <f t="shared" si="50"/>
        <v>6898.08</v>
      </c>
      <c r="O113" s="82">
        <f>N113+'BM 006'!O113</f>
        <v>22839.03</v>
      </c>
      <c r="P113" s="80">
        <f t="shared" si="51"/>
        <v>51215.45</v>
      </c>
      <c r="Q113" s="82">
        <f t="shared" si="52"/>
        <v>64920.71</v>
      </c>
      <c r="R113" s="82">
        <f t="shared" si="53"/>
        <v>42081.68</v>
      </c>
      <c r="T113" s="83"/>
    </row>
    <row r="114" spans="2:20" s="34" customFormat="1" ht="46.2">
      <c r="B114" s="87" t="s">
        <v>226</v>
      </c>
      <c r="C114" s="88" t="s">
        <v>208</v>
      </c>
      <c r="D114" s="89" t="s">
        <v>152</v>
      </c>
      <c r="E114" s="90">
        <v>7313.9</v>
      </c>
      <c r="F114" s="79">
        <f>'M.C. MED. 07'!K905</f>
        <v>428.04</v>
      </c>
      <c r="G114" s="91">
        <f t="shared" si="48"/>
        <v>428.04</v>
      </c>
      <c r="H114" s="91"/>
      <c r="I114" s="79">
        <f>SUM(G114:H114)+'BM 006'!I114</f>
        <v>3653.06</v>
      </c>
      <c r="J114" s="91">
        <f t="shared" si="39"/>
        <v>3660.8399999999997</v>
      </c>
      <c r="K114" s="94">
        <v>14.5</v>
      </c>
      <c r="L114" s="81">
        <f t="shared" si="37"/>
        <v>18.380201595000003</v>
      </c>
      <c r="M114" s="82">
        <f t="shared" si="49"/>
        <v>7867.46</v>
      </c>
      <c r="N114" s="82">
        <f t="shared" si="50"/>
        <v>7867.46</v>
      </c>
      <c r="O114" s="82">
        <f>N114+'BM 006'!O114</f>
        <v>67143.97</v>
      </c>
      <c r="P114" s="80">
        <f t="shared" si="51"/>
        <v>106051.54999999999</v>
      </c>
      <c r="Q114" s="82">
        <f t="shared" si="52"/>
        <v>134430.95000000001</v>
      </c>
      <c r="R114" s="82">
        <f t="shared" si="53"/>
        <v>67286.98000000001</v>
      </c>
      <c r="T114" s="83"/>
    </row>
    <row r="115" spans="2:20" s="34" customFormat="1" ht="46.2">
      <c r="B115" s="87" t="s">
        <v>227</v>
      </c>
      <c r="C115" s="88" t="s">
        <v>210</v>
      </c>
      <c r="D115" s="89" t="s">
        <v>152</v>
      </c>
      <c r="E115" s="92">
        <v>4513.3</v>
      </c>
      <c r="F115" s="79">
        <f>'M.C. MED. 07'!K918</f>
        <v>201</v>
      </c>
      <c r="G115" s="91">
        <f t="shared" si="48"/>
        <v>201</v>
      </c>
      <c r="H115" s="91"/>
      <c r="I115" s="79">
        <f>SUM(G115:H115)+'BM 006'!I115</f>
        <v>2255.92</v>
      </c>
      <c r="J115" s="91">
        <f t="shared" si="39"/>
        <v>2257.38</v>
      </c>
      <c r="K115" s="80">
        <v>14</v>
      </c>
      <c r="L115" s="81">
        <f t="shared" si="37"/>
        <v>17.746401540000001</v>
      </c>
      <c r="M115" s="82">
        <f t="shared" si="49"/>
        <v>3567.02</v>
      </c>
      <c r="N115" s="82">
        <f t="shared" si="50"/>
        <v>3567.02</v>
      </c>
      <c r="O115" s="82">
        <f>N115+'BM 006'!O115</f>
        <v>40034.449999999997</v>
      </c>
      <c r="P115" s="80">
        <f t="shared" si="51"/>
        <v>63186.200000000004</v>
      </c>
      <c r="Q115" s="82">
        <f t="shared" si="52"/>
        <v>80094.83</v>
      </c>
      <c r="R115" s="82">
        <f t="shared" si="53"/>
        <v>40060.380000000005</v>
      </c>
      <c r="T115" s="83"/>
    </row>
    <row r="116" spans="2:20" s="34" customFormat="1" ht="46.2">
      <c r="B116" s="87" t="s">
        <v>228</v>
      </c>
      <c r="C116" s="88" t="s">
        <v>212</v>
      </c>
      <c r="D116" s="89" t="s">
        <v>152</v>
      </c>
      <c r="E116" s="92">
        <v>14626.7</v>
      </c>
      <c r="F116" s="79">
        <f>'M.C. MED. 07'!K931</f>
        <v>830.28</v>
      </c>
      <c r="G116" s="91">
        <f t="shared" si="48"/>
        <v>830.28</v>
      </c>
      <c r="H116" s="91"/>
      <c r="I116" s="79">
        <f>SUM(G116:H116)+'BM 006'!I116</f>
        <v>5491.54</v>
      </c>
      <c r="J116" s="91">
        <f t="shared" si="39"/>
        <v>9135.16</v>
      </c>
      <c r="K116" s="95">
        <v>14</v>
      </c>
      <c r="L116" s="81">
        <f t="shared" si="37"/>
        <v>17.746401540000001</v>
      </c>
      <c r="M116" s="82">
        <f t="shared" si="49"/>
        <v>14734.48</v>
      </c>
      <c r="N116" s="82">
        <f t="shared" si="50"/>
        <v>14734.48</v>
      </c>
      <c r="O116" s="82">
        <f>N116+'BM 006'!O116</f>
        <v>97455.06</v>
      </c>
      <c r="P116" s="80">
        <f t="shared" si="51"/>
        <v>204773.80000000002</v>
      </c>
      <c r="Q116" s="82">
        <f t="shared" si="52"/>
        <v>259571.29</v>
      </c>
      <c r="R116" s="82">
        <f t="shared" si="53"/>
        <v>162116.23000000001</v>
      </c>
      <c r="T116" s="83"/>
    </row>
    <row r="117" spans="2:20" s="34" customFormat="1" ht="22.8">
      <c r="B117" s="87" t="s">
        <v>229</v>
      </c>
      <c r="C117" s="88" t="s">
        <v>230</v>
      </c>
      <c r="D117" s="89" t="s">
        <v>231</v>
      </c>
      <c r="E117" s="92">
        <v>3177.02</v>
      </c>
      <c r="F117" s="91">
        <v>349.72</v>
      </c>
      <c r="G117" s="91">
        <f t="shared" si="48"/>
        <v>349.72</v>
      </c>
      <c r="H117" s="91"/>
      <c r="I117" s="79">
        <f>SUM(G117:H117)+'BM 006'!I117</f>
        <v>1493.2</v>
      </c>
      <c r="J117" s="91">
        <f t="shared" si="39"/>
        <v>1683.82</v>
      </c>
      <c r="K117" s="80">
        <v>30</v>
      </c>
      <c r="L117" s="81">
        <f t="shared" si="37"/>
        <v>38.028003300000002</v>
      </c>
      <c r="M117" s="82">
        <f t="shared" si="49"/>
        <v>13299.15</v>
      </c>
      <c r="N117" s="82">
        <f t="shared" si="50"/>
        <v>13299.15</v>
      </c>
      <c r="O117" s="82">
        <f>N117+'BM 006'!O117</f>
        <v>56783.390000000007</v>
      </c>
      <c r="P117" s="80">
        <f t="shared" si="51"/>
        <v>95310.6</v>
      </c>
      <c r="Q117" s="82">
        <f t="shared" si="52"/>
        <v>120815.72</v>
      </c>
      <c r="R117" s="82">
        <f t="shared" si="53"/>
        <v>64032.329999999994</v>
      </c>
      <c r="T117" s="83"/>
    </row>
    <row r="118" spans="2:20" s="34" customFormat="1" ht="23.4">
      <c r="B118" s="87" t="s">
        <v>232</v>
      </c>
      <c r="C118" s="88" t="s">
        <v>190</v>
      </c>
      <c r="D118" s="89" t="s">
        <v>63</v>
      </c>
      <c r="E118" s="92">
        <v>240</v>
      </c>
      <c r="F118" s="91">
        <f>130-86</f>
        <v>44</v>
      </c>
      <c r="G118" s="91">
        <f t="shared" si="48"/>
        <v>44</v>
      </c>
      <c r="H118" s="91"/>
      <c r="I118" s="79">
        <f>SUM(G118:H118)+'BM 006'!I118</f>
        <v>130</v>
      </c>
      <c r="J118" s="91">
        <f t="shared" si="39"/>
        <v>110</v>
      </c>
      <c r="K118" s="80">
        <v>30</v>
      </c>
      <c r="L118" s="81">
        <f t="shared" si="37"/>
        <v>38.028003300000002</v>
      </c>
      <c r="M118" s="82">
        <f t="shared" si="49"/>
        <v>1673.23</v>
      </c>
      <c r="N118" s="82">
        <f t="shared" si="50"/>
        <v>1673.23</v>
      </c>
      <c r="O118" s="82">
        <f>N118+'BM 006'!O118</f>
        <v>4943.6299999999992</v>
      </c>
      <c r="P118" s="80">
        <f t="shared" si="51"/>
        <v>7200</v>
      </c>
      <c r="Q118" s="82">
        <f t="shared" si="52"/>
        <v>9126.7199999999993</v>
      </c>
      <c r="R118" s="82">
        <f t="shared" si="53"/>
        <v>4183.09</v>
      </c>
      <c r="T118" s="83"/>
    </row>
    <row r="119" spans="2:20" s="34" customFormat="1" ht="23.4">
      <c r="B119" s="87" t="s">
        <v>233</v>
      </c>
      <c r="C119" s="88" t="s">
        <v>215</v>
      </c>
      <c r="D119" s="89" t="s">
        <v>169</v>
      </c>
      <c r="E119" s="92">
        <v>226.93</v>
      </c>
      <c r="F119" s="91">
        <f>'M.C. MED. 07'!K1067</f>
        <v>24.68</v>
      </c>
      <c r="G119" s="91">
        <f t="shared" si="48"/>
        <v>24.68</v>
      </c>
      <c r="H119" s="91"/>
      <c r="I119" s="79">
        <f>SUM(G119:H119)+'BM 006'!I119</f>
        <v>105.43</v>
      </c>
      <c r="J119" s="91">
        <f t="shared" si="39"/>
        <v>121.5</v>
      </c>
      <c r="K119" s="95">
        <v>750</v>
      </c>
      <c r="L119" s="81">
        <f t="shared" si="37"/>
        <v>950.70008250000001</v>
      </c>
      <c r="M119" s="82">
        <f t="shared" si="49"/>
        <v>23463.27</v>
      </c>
      <c r="N119" s="82">
        <f t="shared" si="50"/>
        <v>23463.27</v>
      </c>
      <c r="O119" s="82">
        <f>N119+'BM 006'!O119</f>
        <v>100232.29000000001</v>
      </c>
      <c r="P119" s="80">
        <f t="shared" si="51"/>
        <v>170197.5</v>
      </c>
      <c r="Q119" s="82">
        <f t="shared" si="52"/>
        <v>215742.36</v>
      </c>
      <c r="R119" s="82">
        <f t="shared" si="53"/>
        <v>115510.06999999998</v>
      </c>
      <c r="T119" s="83"/>
    </row>
    <row r="120" spans="2:20" s="34" customFormat="1" ht="13.2">
      <c r="B120" s="66" t="s">
        <v>234</v>
      </c>
      <c r="C120" s="67" t="s">
        <v>235</v>
      </c>
      <c r="D120" s="68"/>
      <c r="E120" s="69"/>
      <c r="F120" s="70"/>
      <c r="G120" s="70"/>
      <c r="H120" s="70"/>
      <c r="I120" s="70">
        <f>SUM(G120:H120)+'BM 006'!I120</f>
        <v>0</v>
      </c>
      <c r="J120" s="70">
        <f t="shared" si="39"/>
        <v>0</v>
      </c>
      <c r="K120" s="71"/>
      <c r="L120" s="71">
        <f t="shared" si="37"/>
        <v>0</v>
      </c>
      <c r="M120" s="73">
        <f t="shared" ref="M120:R120" si="54">SUM(M121:M130)</f>
        <v>385279.41000000003</v>
      </c>
      <c r="N120" s="73">
        <f t="shared" si="54"/>
        <v>385279.41000000003</v>
      </c>
      <c r="O120" s="73">
        <f t="shared" si="54"/>
        <v>1128116.5900000001</v>
      </c>
      <c r="P120" s="73">
        <f t="shared" si="54"/>
        <v>2218671.0499999998</v>
      </c>
      <c r="Q120" s="73">
        <f t="shared" si="54"/>
        <v>2812387.62</v>
      </c>
      <c r="R120" s="73">
        <f t="shared" si="54"/>
        <v>1684271.0299999998</v>
      </c>
      <c r="T120" s="83"/>
    </row>
    <row r="121" spans="2:20" s="34" customFormat="1" ht="57.6">
      <c r="B121" s="87" t="s">
        <v>236</v>
      </c>
      <c r="C121" s="88" t="s">
        <v>237</v>
      </c>
      <c r="D121" s="89" t="s">
        <v>79</v>
      </c>
      <c r="E121" s="92">
        <v>770.47</v>
      </c>
      <c r="F121" s="91">
        <f>'M.C. MED. 07'!K1096</f>
        <v>192.53</v>
      </c>
      <c r="G121" s="91">
        <f t="shared" ref="G121:G130" si="55">F121</f>
        <v>192.53</v>
      </c>
      <c r="H121" s="91"/>
      <c r="I121" s="79">
        <f>SUM(G121:H121)+'BM 006'!I121</f>
        <v>282.83</v>
      </c>
      <c r="J121" s="91">
        <f t="shared" si="39"/>
        <v>487.64000000000004</v>
      </c>
      <c r="K121" s="80">
        <v>130</v>
      </c>
      <c r="L121" s="81">
        <f t="shared" si="37"/>
        <v>164.78801430000001</v>
      </c>
      <c r="M121" s="82">
        <f t="shared" ref="M121:M130" si="56">TRUNC(F121*L121,2)</f>
        <v>31726.63</v>
      </c>
      <c r="N121" s="82">
        <f t="shared" ref="N121:N130" si="57">TRUNC(G121*L121,2)</f>
        <v>31726.63</v>
      </c>
      <c r="O121" s="82">
        <f>N121+'BM 006'!O121</f>
        <v>46606.98</v>
      </c>
      <c r="P121" s="80">
        <f t="shared" ref="P121:P130" si="58">E121*K121</f>
        <v>100161.1</v>
      </c>
      <c r="Q121" s="82">
        <f t="shared" ref="Q121:Q130" si="59">TRUNC(E121*L121,2)</f>
        <v>126964.22</v>
      </c>
      <c r="R121" s="82">
        <f t="shared" ref="R121:R130" si="60">Q121-O121</f>
        <v>80357.239999999991</v>
      </c>
      <c r="T121" s="83"/>
    </row>
    <row r="122" spans="2:20" s="34" customFormat="1" ht="69">
      <c r="B122" s="87" t="s">
        <v>238</v>
      </c>
      <c r="C122" s="88" t="s">
        <v>239</v>
      </c>
      <c r="D122" s="89" t="s">
        <v>79</v>
      </c>
      <c r="E122" s="92">
        <v>7163.62</v>
      </c>
      <c r="F122" s="91">
        <f>'M.C. MED. 07'!K1130</f>
        <v>647.39</v>
      </c>
      <c r="G122" s="91">
        <f t="shared" si="55"/>
        <v>647.39</v>
      </c>
      <c r="H122" s="91"/>
      <c r="I122" s="79">
        <f>SUM(G122:H122)+'BM 006'!I122</f>
        <v>1675.33</v>
      </c>
      <c r="J122" s="91">
        <f t="shared" si="39"/>
        <v>5488.29</v>
      </c>
      <c r="K122" s="80">
        <v>130</v>
      </c>
      <c r="L122" s="81">
        <f t="shared" si="37"/>
        <v>164.78801430000001</v>
      </c>
      <c r="M122" s="82">
        <f t="shared" si="56"/>
        <v>106682.11</v>
      </c>
      <c r="N122" s="82">
        <f t="shared" si="57"/>
        <v>106682.11</v>
      </c>
      <c r="O122" s="82">
        <f>N122+'BM 006'!O122</f>
        <v>276074.28999999998</v>
      </c>
      <c r="P122" s="80">
        <f t="shared" si="58"/>
        <v>931270.6</v>
      </c>
      <c r="Q122" s="82">
        <f t="shared" si="59"/>
        <v>1180478.71</v>
      </c>
      <c r="R122" s="82">
        <f t="shared" si="60"/>
        <v>904404.41999999993</v>
      </c>
      <c r="T122" s="83"/>
    </row>
    <row r="123" spans="2:20" s="34" customFormat="1" ht="46.2">
      <c r="B123" s="87" t="s">
        <v>240</v>
      </c>
      <c r="C123" s="88" t="s">
        <v>241</v>
      </c>
      <c r="D123" s="89" t="s">
        <v>152</v>
      </c>
      <c r="E123" s="92">
        <v>2362.8000000000002</v>
      </c>
      <c r="F123" s="91">
        <f>'M.C. MED. 07'!K1149</f>
        <v>125.93041520648798</v>
      </c>
      <c r="G123" s="91">
        <f t="shared" si="55"/>
        <v>125.93041520648798</v>
      </c>
      <c r="H123" s="91"/>
      <c r="I123" s="79">
        <f>SUM(G123:H123)+'BM 006'!I123</f>
        <v>2362.8004152064877</v>
      </c>
      <c r="J123" s="91">
        <f t="shared" si="39"/>
        <v>-4.1520648755977163E-4</v>
      </c>
      <c r="K123" s="80">
        <v>19</v>
      </c>
      <c r="L123" s="81">
        <f t="shared" si="37"/>
        <v>24.084402090000001</v>
      </c>
      <c r="M123" s="82">
        <f t="shared" si="56"/>
        <v>3032.95</v>
      </c>
      <c r="N123" s="82">
        <f t="shared" si="57"/>
        <v>3032.95</v>
      </c>
      <c r="O123" s="82">
        <f>N123+'BM 006'!O123</f>
        <v>56906.619999999995</v>
      </c>
      <c r="P123" s="80">
        <f t="shared" si="58"/>
        <v>44893.200000000004</v>
      </c>
      <c r="Q123" s="82">
        <f t="shared" si="59"/>
        <v>56906.62</v>
      </c>
      <c r="R123" s="82">
        <f t="shared" si="60"/>
        <v>0</v>
      </c>
      <c r="T123" s="83"/>
    </row>
    <row r="124" spans="2:20" s="34" customFormat="1" ht="46.2">
      <c r="B124" s="87" t="s">
        <v>242</v>
      </c>
      <c r="C124" s="88" t="s">
        <v>243</v>
      </c>
      <c r="D124" s="89" t="s">
        <v>152</v>
      </c>
      <c r="E124" s="90">
        <v>602.79999999999995</v>
      </c>
      <c r="F124" s="91"/>
      <c r="G124" s="91">
        <f t="shared" si="55"/>
        <v>0</v>
      </c>
      <c r="H124" s="91"/>
      <c r="I124" s="79">
        <f>SUM(G124:H124)+'BM 006'!I124</f>
        <v>602.79999999999995</v>
      </c>
      <c r="J124" s="91">
        <f t="shared" si="39"/>
        <v>0</v>
      </c>
      <c r="K124" s="80">
        <v>17.5</v>
      </c>
      <c r="L124" s="81">
        <f t="shared" si="37"/>
        <v>22.183001924999999</v>
      </c>
      <c r="M124" s="82">
        <f t="shared" si="56"/>
        <v>0</v>
      </c>
      <c r="N124" s="82">
        <f t="shared" si="57"/>
        <v>0</v>
      </c>
      <c r="O124" s="82">
        <f>N124+'BM 006'!O124</f>
        <v>13371.91</v>
      </c>
      <c r="P124" s="80">
        <f t="shared" si="58"/>
        <v>10549</v>
      </c>
      <c r="Q124" s="82">
        <f t="shared" si="59"/>
        <v>13371.91</v>
      </c>
      <c r="R124" s="82">
        <f t="shared" si="60"/>
        <v>0</v>
      </c>
      <c r="T124" s="83"/>
    </row>
    <row r="125" spans="2:20" s="34" customFormat="1" ht="46.2">
      <c r="B125" s="87" t="s">
        <v>244</v>
      </c>
      <c r="C125" s="88" t="s">
        <v>245</v>
      </c>
      <c r="D125" s="89" t="s">
        <v>152</v>
      </c>
      <c r="E125" s="90">
        <v>3562.9</v>
      </c>
      <c r="F125" s="91">
        <f>'M.C. MED. 07'!K1182</f>
        <v>675</v>
      </c>
      <c r="G125" s="91">
        <f t="shared" si="55"/>
        <v>675</v>
      </c>
      <c r="H125" s="91"/>
      <c r="I125" s="79">
        <f>SUM(G125:H125)+'BM 006'!I125</f>
        <v>2730.1</v>
      </c>
      <c r="J125" s="91">
        <f t="shared" si="39"/>
        <v>832.80000000000018</v>
      </c>
      <c r="K125" s="80">
        <v>16</v>
      </c>
      <c r="L125" s="81">
        <f t="shared" si="37"/>
        <v>20.281601760000001</v>
      </c>
      <c r="M125" s="82">
        <f t="shared" si="56"/>
        <v>13690.08</v>
      </c>
      <c r="N125" s="82">
        <f t="shared" si="57"/>
        <v>13690.08</v>
      </c>
      <c r="O125" s="82">
        <f>N125+'BM 006'!O125</f>
        <v>55370.79</v>
      </c>
      <c r="P125" s="80">
        <f t="shared" si="58"/>
        <v>57006.400000000001</v>
      </c>
      <c r="Q125" s="82">
        <f t="shared" si="59"/>
        <v>72261.31</v>
      </c>
      <c r="R125" s="82">
        <f t="shared" si="60"/>
        <v>16890.519999999997</v>
      </c>
    </row>
    <row r="126" spans="2:20" s="34" customFormat="1" ht="46.2">
      <c r="B126" s="87" t="s">
        <v>246</v>
      </c>
      <c r="C126" s="88" t="s">
        <v>247</v>
      </c>
      <c r="D126" s="89" t="s">
        <v>152</v>
      </c>
      <c r="E126" s="90">
        <v>8278.6</v>
      </c>
      <c r="F126" s="91">
        <f>'M.C. MED. 07'!K1199</f>
        <v>918</v>
      </c>
      <c r="G126" s="91">
        <f t="shared" si="55"/>
        <v>918</v>
      </c>
      <c r="H126" s="91"/>
      <c r="I126" s="79">
        <f>SUM(G126:H126)+'BM 006'!I126</f>
        <v>4219.53</v>
      </c>
      <c r="J126" s="91">
        <f t="shared" si="39"/>
        <v>4059.0700000000006</v>
      </c>
      <c r="K126" s="80">
        <v>14.5</v>
      </c>
      <c r="L126" s="81">
        <f t="shared" si="37"/>
        <v>18.380201595000003</v>
      </c>
      <c r="M126" s="82">
        <f t="shared" si="56"/>
        <v>16873.02</v>
      </c>
      <c r="N126" s="82">
        <f t="shared" si="57"/>
        <v>16873.02</v>
      </c>
      <c r="O126" s="82">
        <f>N126+'BM 006'!O126</f>
        <v>77555.8</v>
      </c>
      <c r="P126" s="80">
        <f t="shared" si="58"/>
        <v>120039.70000000001</v>
      </c>
      <c r="Q126" s="82">
        <f t="shared" si="59"/>
        <v>152162.32999999999</v>
      </c>
      <c r="R126" s="82">
        <f t="shared" si="60"/>
        <v>74606.529999999984</v>
      </c>
    </row>
    <row r="127" spans="2:20" s="34" customFormat="1" ht="46.2">
      <c r="B127" s="87" t="s">
        <v>248</v>
      </c>
      <c r="C127" s="88" t="s">
        <v>249</v>
      </c>
      <c r="D127" s="89" t="s">
        <v>152</v>
      </c>
      <c r="E127" s="90">
        <v>8114.7</v>
      </c>
      <c r="F127" s="91"/>
      <c r="G127" s="91">
        <f t="shared" si="55"/>
        <v>0</v>
      </c>
      <c r="H127" s="91"/>
      <c r="I127" s="79">
        <f>SUM(G127:H127)+'BM 006'!I127</f>
        <v>8114.7</v>
      </c>
      <c r="J127" s="91">
        <f t="shared" si="39"/>
        <v>0</v>
      </c>
      <c r="K127" s="94">
        <v>14.5</v>
      </c>
      <c r="L127" s="81">
        <f t="shared" si="37"/>
        <v>18.380201595000003</v>
      </c>
      <c r="M127" s="82">
        <f t="shared" si="56"/>
        <v>0</v>
      </c>
      <c r="N127" s="82">
        <f t="shared" si="57"/>
        <v>0</v>
      </c>
      <c r="O127" s="82">
        <f>N127+'BM 006'!O127</f>
        <v>149149.81</v>
      </c>
      <c r="P127" s="80">
        <f t="shared" si="58"/>
        <v>117663.15</v>
      </c>
      <c r="Q127" s="82">
        <f t="shared" si="59"/>
        <v>149149.82</v>
      </c>
      <c r="R127" s="82">
        <f t="shared" si="60"/>
        <v>1.0000000009313226E-2</v>
      </c>
    </row>
    <row r="128" spans="2:20" s="34" customFormat="1" ht="46.2">
      <c r="B128" s="87" t="s">
        <v>250</v>
      </c>
      <c r="C128" s="88" t="s">
        <v>251</v>
      </c>
      <c r="D128" s="89" t="s">
        <v>152</v>
      </c>
      <c r="E128" s="90">
        <v>11554.4</v>
      </c>
      <c r="F128" s="91">
        <f>'M.C. MED. 07'!K1232</f>
        <v>5062.4399999999996</v>
      </c>
      <c r="G128" s="91">
        <f t="shared" si="55"/>
        <v>5062.4399999999996</v>
      </c>
      <c r="H128" s="91"/>
      <c r="I128" s="79">
        <f>SUM(G128:H128)+'BM 006'!I128</f>
        <v>8862.31</v>
      </c>
      <c r="J128" s="91">
        <f t="shared" si="39"/>
        <v>2692.09</v>
      </c>
      <c r="K128" s="80">
        <v>14</v>
      </c>
      <c r="L128" s="81">
        <f t="shared" si="37"/>
        <v>17.746401540000001</v>
      </c>
      <c r="M128" s="82">
        <f t="shared" si="56"/>
        <v>89840.09</v>
      </c>
      <c r="N128" s="82">
        <f t="shared" si="57"/>
        <v>89840.09</v>
      </c>
      <c r="O128" s="82">
        <f>N128+'BM 006'!O128</f>
        <v>157274.1</v>
      </c>
      <c r="P128" s="80">
        <f t="shared" si="58"/>
        <v>161761.60000000001</v>
      </c>
      <c r="Q128" s="82">
        <f t="shared" si="59"/>
        <v>205049.02</v>
      </c>
      <c r="R128" s="82">
        <f t="shared" si="60"/>
        <v>47774.919999999984</v>
      </c>
    </row>
    <row r="129" spans="2:21" s="34" customFormat="1" ht="57.6">
      <c r="B129" s="87" t="s">
        <v>252</v>
      </c>
      <c r="C129" s="88" t="s">
        <v>253</v>
      </c>
      <c r="D129" s="89" t="s">
        <v>152</v>
      </c>
      <c r="E129" s="90">
        <v>5166.7</v>
      </c>
      <c r="F129" s="91">
        <f>'M.C. MED. 07'!K1249</f>
        <v>979.04</v>
      </c>
      <c r="G129" s="91">
        <f t="shared" si="55"/>
        <v>979.04</v>
      </c>
      <c r="H129" s="91"/>
      <c r="I129" s="79">
        <f>SUM(G129:H129)+'BM 006'!I129</f>
        <v>1909.06</v>
      </c>
      <c r="J129" s="91">
        <f t="shared" si="39"/>
        <v>3257.64</v>
      </c>
      <c r="K129" s="80">
        <v>14</v>
      </c>
      <c r="L129" s="81">
        <f t="shared" si="37"/>
        <v>17.746401540000001</v>
      </c>
      <c r="M129" s="82">
        <f t="shared" si="56"/>
        <v>17374.43</v>
      </c>
      <c r="N129" s="82">
        <f t="shared" si="57"/>
        <v>17374.43</v>
      </c>
      <c r="O129" s="82">
        <f>N129+'BM 006'!O129</f>
        <v>33878.93</v>
      </c>
      <c r="P129" s="80">
        <f t="shared" si="58"/>
        <v>72333.8</v>
      </c>
      <c r="Q129" s="82">
        <f t="shared" si="59"/>
        <v>91690.33</v>
      </c>
      <c r="R129" s="82">
        <f t="shared" si="60"/>
        <v>57811.4</v>
      </c>
    </row>
    <row r="130" spans="2:21" s="34" customFormat="1" ht="23.4">
      <c r="B130" s="87" t="s">
        <v>254</v>
      </c>
      <c r="C130" s="88" t="s">
        <v>215</v>
      </c>
      <c r="D130" s="89" t="s">
        <v>169</v>
      </c>
      <c r="E130" s="92">
        <v>803.99</v>
      </c>
      <c r="F130" s="91">
        <f>'M.C. MED. 07'!K1301</f>
        <v>111.56</v>
      </c>
      <c r="G130" s="91">
        <f t="shared" si="55"/>
        <v>111.56</v>
      </c>
      <c r="H130" s="91"/>
      <c r="I130" s="79">
        <f>SUM(G130:H130)+'BM 006'!I130</f>
        <v>275.51</v>
      </c>
      <c r="J130" s="91">
        <f t="shared" si="39"/>
        <v>528.48</v>
      </c>
      <c r="K130" s="95">
        <v>750</v>
      </c>
      <c r="L130" s="81">
        <f t="shared" si="37"/>
        <v>950.70008250000001</v>
      </c>
      <c r="M130" s="82">
        <f t="shared" si="56"/>
        <v>106060.1</v>
      </c>
      <c r="N130" s="82">
        <f t="shared" si="57"/>
        <v>106060.1</v>
      </c>
      <c r="O130" s="82">
        <f>N130+'BM 006'!O130</f>
        <v>261927.36000000002</v>
      </c>
      <c r="P130" s="80">
        <f t="shared" si="58"/>
        <v>602992.5</v>
      </c>
      <c r="Q130" s="82">
        <f t="shared" si="59"/>
        <v>764353.35</v>
      </c>
      <c r="R130" s="82">
        <f t="shared" si="60"/>
        <v>502425.99</v>
      </c>
      <c r="T130" s="83"/>
      <c r="U130" s="83"/>
    </row>
    <row r="131" spans="2:21" s="34" customFormat="1" ht="17.399999999999999">
      <c r="B131" s="60" t="s">
        <v>255</v>
      </c>
      <c r="C131" s="61" t="s">
        <v>256</v>
      </c>
      <c r="D131" s="60"/>
      <c r="E131" s="62"/>
      <c r="F131" s="63"/>
      <c r="G131" s="63"/>
      <c r="H131" s="63"/>
      <c r="I131" s="63">
        <f>SUM(G131:H131)+'BM 006'!I131</f>
        <v>0</v>
      </c>
      <c r="J131" s="63">
        <f t="shared" si="39"/>
        <v>0</v>
      </c>
      <c r="K131" s="63"/>
      <c r="L131" s="63">
        <f t="shared" si="37"/>
        <v>0</v>
      </c>
      <c r="M131" s="63">
        <f t="shared" ref="M131:R131" si="61">SUM(M132:M138)</f>
        <v>0</v>
      </c>
      <c r="N131" s="63">
        <f t="shared" si="61"/>
        <v>0</v>
      </c>
      <c r="O131" s="63">
        <f t="shared" si="61"/>
        <v>0</v>
      </c>
      <c r="P131" s="63">
        <f t="shared" si="61"/>
        <v>1701680.9500000002</v>
      </c>
      <c r="Q131" s="63">
        <f t="shared" si="61"/>
        <v>2157050.9299999997</v>
      </c>
      <c r="R131" s="63">
        <f t="shared" si="61"/>
        <v>2157050.9299999997</v>
      </c>
      <c r="T131" s="97"/>
    </row>
    <row r="132" spans="2:21" s="34" customFormat="1" ht="23.4">
      <c r="B132" s="87" t="s">
        <v>257</v>
      </c>
      <c r="C132" s="98" t="s">
        <v>258</v>
      </c>
      <c r="D132" s="99" t="s">
        <v>169</v>
      </c>
      <c r="E132" s="100">
        <v>261.60000000000002</v>
      </c>
      <c r="F132" s="101"/>
      <c r="G132" s="101"/>
      <c r="H132" s="101"/>
      <c r="I132" s="79">
        <f>SUM(G132:H132)+'BM 006'!I132</f>
        <v>0</v>
      </c>
      <c r="J132" s="101">
        <f t="shared" si="39"/>
        <v>261.60000000000002</v>
      </c>
      <c r="K132" s="102">
        <v>620</v>
      </c>
      <c r="L132" s="81">
        <f t="shared" si="37"/>
        <v>785.91206820000002</v>
      </c>
      <c r="M132" s="82">
        <f t="shared" ref="M132:M138" si="62">TRUNC(F132*L132,2)</f>
        <v>0</v>
      </c>
      <c r="N132" s="82">
        <f t="shared" ref="N132:N138" si="63">TRUNC(G132*L132,2)</f>
        <v>0</v>
      </c>
      <c r="O132" s="82">
        <f>N132+'BM 006'!O132</f>
        <v>0</v>
      </c>
      <c r="P132" s="80">
        <f t="shared" ref="P132:P138" si="64">E132*K132</f>
        <v>162192</v>
      </c>
      <c r="Q132" s="82">
        <f t="shared" ref="Q132:Q138" si="65">TRUNC(E132*L132,2)</f>
        <v>205594.59</v>
      </c>
      <c r="R132" s="82">
        <f t="shared" ref="R132:R138" si="66">Q132-O132</f>
        <v>205594.59</v>
      </c>
    </row>
    <row r="133" spans="2:21" s="34" customFormat="1" ht="34.799999999999997">
      <c r="B133" s="87" t="s">
        <v>259</v>
      </c>
      <c r="C133" s="88" t="s">
        <v>260</v>
      </c>
      <c r="D133" s="89" t="s">
        <v>82</v>
      </c>
      <c r="E133" s="90">
        <v>3852</v>
      </c>
      <c r="F133" s="91"/>
      <c r="G133" s="91"/>
      <c r="H133" s="91"/>
      <c r="I133" s="79">
        <f>SUM(G133:H133)+'BM 006'!I133</f>
        <v>0</v>
      </c>
      <c r="J133" s="91">
        <f t="shared" si="39"/>
        <v>3852</v>
      </c>
      <c r="K133" s="84">
        <v>20</v>
      </c>
      <c r="L133" s="81">
        <f t="shared" si="37"/>
        <v>25.352002200000001</v>
      </c>
      <c r="M133" s="82">
        <f t="shared" si="62"/>
        <v>0</v>
      </c>
      <c r="N133" s="82">
        <f t="shared" si="63"/>
        <v>0</v>
      </c>
      <c r="O133" s="82">
        <f>N133+'BM 006'!O133</f>
        <v>0</v>
      </c>
      <c r="P133" s="80">
        <f t="shared" si="64"/>
        <v>77040</v>
      </c>
      <c r="Q133" s="82">
        <f t="shared" si="65"/>
        <v>97655.91</v>
      </c>
      <c r="R133" s="82">
        <f t="shared" si="66"/>
        <v>97655.91</v>
      </c>
    </row>
    <row r="134" spans="2:21" s="34" customFormat="1" ht="46.2">
      <c r="B134" s="87" t="s">
        <v>261</v>
      </c>
      <c r="C134" s="88" t="s">
        <v>262</v>
      </c>
      <c r="D134" s="89" t="s">
        <v>110</v>
      </c>
      <c r="E134" s="92">
        <v>112</v>
      </c>
      <c r="F134" s="91"/>
      <c r="G134" s="91"/>
      <c r="H134" s="91"/>
      <c r="I134" s="79">
        <f>SUM(G134:H134)+'BM 006'!I134</f>
        <v>0</v>
      </c>
      <c r="J134" s="91">
        <f t="shared" si="39"/>
        <v>112</v>
      </c>
      <c r="K134" s="84">
        <v>650</v>
      </c>
      <c r="L134" s="81">
        <f t="shared" si="37"/>
        <v>823.94007150000004</v>
      </c>
      <c r="M134" s="82">
        <f t="shared" si="62"/>
        <v>0</v>
      </c>
      <c r="N134" s="82">
        <f t="shared" si="63"/>
        <v>0</v>
      </c>
      <c r="O134" s="82">
        <f>N134+'BM 006'!O134</f>
        <v>0</v>
      </c>
      <c r="P134" s="80">
        <f t="shared" si="64"/>
        <v>72800</v>
      </c>
      <c r="Q134" s="82">
        <f t="shared" si="65"/>
        <v>92281.279999999999</v>
      </c>
      <c r="R134" s="82">
        <f t="shared" si="66"/>
        <v>92281.279999999999</v>
      </c>
    </row>
    <row r="135" spans="2:21" s="34" customFormat="1" ht="69">
      <c r="B135" s="87" t="s">
        <v>263</v>
      </c>
      <c r="C135" s="88" t="s">
        <v>264</v>
      </c>
      <c r="D135" s="89" t="s">
        <v>79</v>
      </c>
      <c r="E135" s="90">
        <v>15102.2</v>
      </c>
      <c r="F135" s="91"/>
      <c r="G135" s="91"/>
      <c r="H135" s="91"/>
      <c r="I135" s="79">
        <f>SUM(G135:H135)+'BM 006'!I135</f>
        <v>0</v>
      </c>
      <c r="J135" s="91">
        <f t="shared" si="39"/>
        <v>15102.2</v>
      </c>
      <c r="K135" s="84">
        <v>79.5</v>
      </c>
      <c r="L135" s="81">
        <f t="shared" si="37"/>
        <v>100.77420874500001</v>
      </c>
      <c r="M135" s="82">
        <f t="shared" si="62"/>
        <v>0</v>
      </c>
      <c r="N135" s="82">
        <f t="shared" si="63"/>
        <v>0</v>
      </c>
      <c r="O135" s="82">
        <f>N135+'BM 006'!O135</f>
        <v>0</v>
      </c>
      <c r="P135" s="80">
        <f t="shared" si="64"/>
        <v>1200624.9000000001</v>
      </c>
      <c r="Q135" s="82">
        <f t="shared" si="65"/>
        <v>1521912.25</v>
      </c>
      <c r="R135" s="82">
        <f t="shared" si="66"/>
        <v>1521912.25</v>
      </c>
    </row>
    <row r="136" spans="2:21" s="34" customFormat="1" ht="57.6">
      <c r="B136" s="87" t="s">
        <v>265</v>
      </c>
      <c r="C136" s="88" t="s">
        <v>266</v>
      </c>
      <c r="D136" s="89" t="s">
        <v>79</v>
      </c>
      <c r="E136" s="90">
        <v>772</v>
      </c>
      <c r="F136" s="91"/>
      <c r="G136" s="91"/>
      <c r="H136" s="91"/>
      <c r="I136" s="79">
        <f>SUM(G136:H136)+'BM 006'!I136</f>
        <v>0</v>
      </c>
      <c r="J136" s="91">
        <f t="shared" si="39"/>
        <v>772</v>
      </c>
      <c r="K136" s="84">
        <v>150</v>
      </c>
      <c r="L136" s="81">
        <f t="shared" si="37"/>
        <v>190.1400165</v>
      </c>
      <c r="M136" s="82">
        <f t="shared" si="62"/>
        <v>0</v>
      </c>
      <c r="N136" s="82">
        <f t="shared" si="63"/>
        <v>0</v>
      </c>
      <c r="O136" s="82">
        <f>N136+'BM 006'!O136</f>
        <v>0</v>
      </c>
      <c r="P136" s="80">
        <f t="shared" si="64"/>
        <v>115800</v>
      </c>
      <c r="Q136" s="82">
        <f t="shared" si="65"/>
        <v>146788.09</v>
      </c>
      <c r="R136" s="82">
        <f t="shared" si="66"/>
        <v>146788.09</v>
      </c>
    </row>
    <row r="137" spans="2:21" s="34" customFormat="1" ht="46.2">
      <c r="B137" s="87" t="s">
        <v>267</v>
      </c>
      <c r="C137" s="88" t="s">
        <v>268</v>
      </c>
      <c r="D137" s="89" t="s">
        <v>79</v>
      </c>
      <c r="E137" s="90">
        <v>210.05</v>
      </c>
      <c r="F137" s="91"/>
      <c r="G137" s="91"/>
      <c r="H137" s="91"/>
      <c r="I137" s="79">
        <f>SUM(G137:H137)+'BM 006'!I137</f>
        <v>0</v>
      </c>
      <c r="J137" s="91">
        <f t="shared" si="39"/>
        <v>210.05</v>
      </c>
      <c r="K137" s="84">
        <v>165</v>
      </c>
      <c r="L137" s="81">
        <f t="shared" si="37"/>
        <v>209.15401815000001</v>
      </c>
      <c r="M137" s="82">
        <f t="shared" si="62"/>
        <v>0</v>
      </c>
      <c r="N137" s="82">
        <f t="shared" si="63"/>
        <v>0</v>
      </c>
      <c r="O137" s="82">
        <f>N137+'BM 006'!O137</f>
        <v>0</v>
      </c>
      <c r="P137" s="80">
        <f t="shared" si="64"/>
        <v>34658.25</v>
      </c>
      <c r="Q137" s="82">
        <f t="shared" si="65"/>
        <v>43932.800000000003</v>
      </c>
      <c r="R137" s="82">
        <f t="shared" si="66"/>
        <v>43932.800000000003</v>
      </c>
    </row>
    <row r="138" spans="2:21" s="34" customFormat="1" ht="23.4">
      <c r="B138" s="87" t="s">
        <v>269</v>
      </c>
      <c r="C138" s="88" t="s">
        <v>270</v>
      </c>
      <c r="D138" s="89" t="s">
        <v>124</v>
      </c>
      <c r="E138" s="90">
        <v>550.94000000000005</v>
      </c>
      <c r="F138" s="91"/>
      <c r="G138" s="91"/>
      <c r="H138" s="91"/>
      <c r="I138" s="79">
        <f>SUM(G138:H138)+'BM 006'!I138</f>
        <v>0</v>
      </c>
      <c r="J138" s="91">
        <f t="shared" si="39"/>
        <v>550.94000000000005</v>
      </c>
      <c r="K138" s="84">
        <v>70</v>
      </c>
      <c r="L138" s="81">
        <f t="shared" si="37"/>
        <v>88.732007699999997</v>
      </c>
      <c r="M138" s="82">
        <f t="shared" si="62"/>
        <v>0</v>
      </c>
      <c r="N138" s="82">
        <f t="shared" si="63"/>
        <v>0</v>
      </c>
      <c r="O138" s="82">
        <f>N138+'BM 006'!O138</f>
        <v>0</v>
      </c>
      <c r="P138" s="80">
        <f t="shared" si="64"/>
        <v>38565.800000000003</v>
      </c>
      <c r="Q138" s="82">
        <f t="shared" si="65"/>
        <v>48886.01</v>
      </c>
      <c r="R138" s="82">
        <f t="shared" si="66"/>
        <v>48886.01</v>
      </c>
    </row>
    <row r="139" spans="2:21" s="34" customFormat="1" ht="13.2">
      <c r="B139" s="60" t="s">
        <v>271</v>
      </c>
      <c r="C139" s="61" t="s">
        <v>272</v>
      </c>
      <c r="D139" s="60"/>
      <c r="E139" s="62"/>
      <c r="F139" s="63"/>
      <c r="G139" s="63"/>
      <c r="H139" s="63"/>
      <c r="I139" s="63">
        <f>SUM(G139:H139)+'BM 006'!I139</f>
        <v>0</v>
      </c>
      <c r="J139" s="63">
        <f t="shared" si="39"/>
        <v>0</v>
      </c>
      <c r="K139" s="63"/>
      <c r="L139" s="63">
        <f t="shared" si="37"/>
        <v>0</v>
      </c>
      <c r="M139" s="63">
        <f t="shared" ref="M139:R139" si="67">SUM(M140,M148)</f>
        <v>0</v>
      </c>
      <c r="N139" s="63">
        <f t="shared" si="67"/>
        <v>0</v>
      </c>
      <c r="O139" s="63">
        <f t="shared" si="67"/>
        <v>0</v>
      </c>
      <c r="P139" s="63">
        <f t="shared" si="67"/>
        <v>2433803.8377</v>
      </c>
      <c r="Q139" s="63">
        <f t="shared" si="67"/>
        <v>3085089.94</v>
      </c>
      <c r="R139" s="63">
        <f t="shared" si="67"/>
        <v>3085089.94</v>
      </c>
    </row>
    <row r="140" spans="2:21" s="34" customFormat="1" ht="13.2">
      <c r="B140" s="66" t="s">
        <v>273</v>
      </c>
      <c r="C140" s="67" t="s">
        <v>274</v>
      </c>
      <c r="D140" s="68"/>
      <c r="E140" s="69"/>
      <c r="F140" s="70"/>
      <c r="G140" s="70"/>
      <c r="H140" s="70"/>
      <c r="I140" s="70">
        <f>SUM(G140:H140)+'BM 006'!I140</f>
        <v>0</v>
      </c>
      <c r="J140" s="70">
        <f t="shared" si="39"/>
        <v>0</v>
      </c>
      <c r="K140" s="71"/>
      <c r="L140" s="71">
        <f t="shared" si="37"/>
        <v>0</v>
      </c>
      <c r="M140" s="73">
        <f t="shared" ref="M140:R140" si="68">SUM(M141:M147)</f>
        <v>0</v>
      </c>
      <c r="N140" s="73">
        <f t="shared" si="68"/>
        <v>0</v>
      </c>
      <c r="O140" s="73">
        <f t="shared" si="68"/>
        <v>0</v>
      </c>
      <c r="P140" s="73">
        <f t="shared" si="68"/>
        <v>1345103.6276999998</v>
      </c>
      <c r="Q140" s="73">
        <f t="shared" si="68"/>
        <v>1705053.47</v>
      </c>
      <c r="R140" s="73">
        <f t="shared" si="68"/>
        <v>1705053.47</v>
      </c>
    </row>
    <row r="141" spans="2:21" s="34" customFormat="1" ht="46.2">
      <c r="B141" s="87" t="s">
        <v>275</v>
      </c>
      <c r="C141" s="88" t="s">
        <v>276</v>
      </c>
      <c r="D141" s="89" t="s">
        <v>79</v>
      </c>
      <c r="E141" s="90">
        <f>E135*2-E149</f>
        <v>26012.79</v>
      </c>
      <c r="F141" s="91"/>
      <c r="G141" s="91"/>
      <c r="H141" s="91"/>
      <c r="I141" s="79">
        <f>SUM(G141:H141)+'BM 006'!I141</f>
        <v>0</v>
      </c>
      <c r="J141" s="91">
        <f t="shared" si="39"/>
        <v>26012.79</v>
      </c>
      <c r="K141" s="84">
        <v>4.5</v>
      </c>
      <c r="L141" s="81">
        <f t="shared" si="37"/>
        <v>5.7042004950000003</v>
      </c>
      <c r="M141" s="82">
        <f t="shared" ref="M141:M147" si="69">TRUNC(F141*L141,2)</f>
        <v>0</v>
      </c>
      <c r="N141" s="82">
        <f t="shared" ref="N141:N147" si="70">TRUNC(G141*L141,2)</f>
        <v>0</v>
      </c>
      <c r="O141" s="82">
        <f>N141+'BM 006'!O141</f>
        <v>0</v>
      </c>
      <c r="P141" s="80">
        <f t="shared" ref="P141:P147" si="71">E141*K141</f>
        <v>117057.55500000001</v>
      </c>
      <c r="Q141" s="82">
        <f t="shared" ref="Q141:Q147" si="72">TRUNC(E141*L141,2)</f>
        <v>148382.16</v>
      </c>
      <c r="R141" s="82">
        <f t="shared" ref="R141:R147" si="73">Q141-O141</f>
        <v>148382.16</v>
      </c>
    </row>
    <row r="142" spans="2:21" s="34" customFormat="1" ht="69">
      <c r="B142" s="87" t="s">
        <v>277</v>
      </c>
      <c r="C142" s="88" t="s">
        <v>278</v>
      </c>
      <c r="D142" s="89" t="s">
        <v>79</v>
      </c>
      <c r="E142" s="90">
        <f>E145+E146</f>
        <v>462.83</v>
      </c>
      <c r="F142" s="91"/>
      <c r="G142" s="91"/>
      <c r="H142" s="91"/>
      <c r="I142" s="79">
        <f>SUM(G142:H142)+'BM 006'!I142</f>
        <v>0</v>
      </c>
      <c r="J142" s="91">
        <f t="shared" si="39"/>
        <v>462.83</v>
      </c>
      <c r="K142" s="84">
        <v>30</v>
      </c>
      <c r="L142" s="81">
        <f t="shared" si="37"/>
        <v>38.028003300000002</v>
      </c>
      <c r="M142" s="82">
        <f t="shared" si="69"/>
        <v>0</v>
      </c>
      <c r="N142" s="82">
        <f t="shared" si="70"/>
        <v>0</v>
      </c>
      <c r="O142" s="82">
        <f>N142+'BM 006'!O142</f>
        <v>0</v>
      </c>
      <c r="P142" s="80">
        <f t="shared" si="71"/>
        <v>13884.9</v>
      </c>
      <c r="Q142" s="82">
        <f t="shared" si="72"/>
        <v>17600.5</v>
      </c>
      <c r="R142" s="82">
        <f t="shared" si="73"/>
        <v>17600.5</v>
      </c>
    </row>
    <row r="143" spans="2:21" s="34" customFormat="1" ht="69">
      <c r="B143" s="87" t="s">
        <v>279</v>
      </c>
      <c r="C143" s="88" t="s">
        <v>280</v>
      </c>
      <c r="D143" s="89" t="s">
        <v>79</v>
      </c>
      <c r="E143" s="90">
        <f>E141-E142-E147</f>
        <v>25418.329999999998</v>
      </c>
      <c r="F143" s="91"/>
      <c r="G143" s="91"/>
      <c r="H143" s="91"/>
      <c r="I143" s="79">
        <f>SUM(G143:H143)+'BM 006'!I143</f>
        <v>0</v>
      </c>
      <c r="J143" s="91">
        <f t="shared" si="39"/>
        <v>25418.329999999998</v>
      </c>
      <c r="K143" s="84">
        <v>33.65</v>
      </c>
      <c r="L143" s="81">
        <f t="shared" si="37"/>
        <v>42.654743701500003</v>
      </c>
      <c r="M143" s="82">
        <f t="shared" si="69"/>
        <v>0</v>
      </c>
      <c r="N143" s="82">
        <f t="shared" si="70"/>
        <v>0</v>
      </c>
      <c r="O143" s="82">
        <f>N143+'BM 006'!O143</f>
        <v>0</v>
      </c>
      <c r="P143" s="80">
        <f t="shared" si="71"/>
        <v>855326.80449999985</v>
      </c>
      <c r="Q143" s="82">
        <f t="shared" si="72"/>
        <v>1084212.3500000001</v>
      </c>
      <c r="R143" s="82">
        <f t="shared" si="73"/>
        <v>1084212.3500000001</v>
      </c>
    </row>
    <row r="144" spans="2:21" s="34" customFormat="1" ht="23.4">
      <c r="B144" s="87" t="s">
        <v>281</v>
      </c>
      <c r="C144" s="88" t="s">
        <v>282</v>
      </c>
      <c r="D144" s="89" t="s">
        <v>79</v>
      </c>
      <c r="E144" s="90">
        <v>1328.83</v>
      </c>
      <c r="F144" s="91"/>
      <c r="G144" s="91"/>
      <c r="H144" s="91"/>
      <c r="I144" s="79">
        <f>SUM(G144:H144)+'BM 006'!I144</f>
        <v>0</v>
      </c>
      <c r="J144" s="91">
        <f t="shared" si="39"/>
        <v>1328.83</v>
      </c>
      <c r="K144" s="84">
        <v>162.54</v>
      </c>
      <c r="L144" s="81">
        <f t="shared" si="37"/>
        <v>206.0357218794</v>
      </c>
      <c r="M144" s="82">
        <f t="shared" si="69"/>
        <v>0</v>
      </c>
      <c r="N144" s="82">
        <f t="shared" si="70"/>
        <v>0</v>
      </c>
      <c r="O144" s="82">
        <f>N144+'BM 006'!O144</f>
        <v>0</v>
      </c>
      <c r="P144" s="80">
        <f t="shared" si="71"/>
        <v>215988.02819999997</v>
      </c>
      <c r="Q144" s="82">
        <f t="shared" si="72"/>
        <v>273786.44</v>
      </c>
      <c r="R144" s="82">
        <f t="shared" si="73"/>
        <v>273786.44</v>
      </c>
    </row>
    <row r="145" spans="2:18" s="34" customFormat="1" ht="46.2">
      <c r="B145" s="87" t="s">
        <v>283</v>
      </c>
      <c r="C145" s="88" t="s">
        <v>284</v>
      </c>
      <c r="D145" s="89" t="s">
        <v>79</v>
      </c>
      <c r="E145" s="92">
        <v>392.83</v>
      </c>
      <c r="F145" s="91"/>
      <c r="G145" s="91"/>
      <c r="H145" s="91"/>
      <c r="I145" s="79">
        <f>SUM(G145:H145)+'BM 006'!I145</f>
        <v>0</v>
      </c>
      <c r="J145" s="91">
        <f t="shared" si="39"/>
        <v>392.83</v>
      </c>
      <c r="K145" s="84">
        <v>148</v>
      </c>
      <c r="L145" s="81">
        <f t="shared" si="37"/>
        <v>187.60481628000002</v>
      </c>
      <c r="M145" s="82">
        <f t="shared" si="69"/>
        <v>0</v>
      </c>
      <c r="N145" s="82">
        <f t="shared" si="70"/>
        <v>0</v>
      </c>
      <c r="O145" s="82">
        <f>N145+'BM 006'!O145</f>
        <v>0</v>
      </c>
      <c r="P145" s="80">
        <f t="shared" si="71"/>
        <v>58138.84</v>
      </c>
      <c r="Q145" s="82">
        <f t="shared" si="72"/>
        <v>73696.789999999994</v>
      </c>
      <c r="R145" s="82">
        <f t="shared" si="73"/>
        <v>73696.789999999994</v>
      </c>
    </row>
    <row r="146" spans="2:18" s="34" customFormat="1" ht="13.2">
      <c r="B146" s="87" t="s">
        <v>285</v>
      </c>
      <c r="C146" s="88" t="s">
        <v>286</v>
      </c>
      <c r="D146" s="89" t="s">
        <v>79</v>
      </c>
      <c r="E146" s="92">
        <v>70</v>
      </c>
      <c r="F146" s="91"/>
      <c r="G146" s="91"/>
      <c r="H146" s="91"/>
      <c r="I146" s="79">
        <f>SUM(G146:H146)+'BM 006'!I146</f>
        <v>0</v>
      </c>
      <c r="J146" s="91">
        <f t="shared" si="39"/>
        <v>70</v>
      </c>
      <c r="K146" s="84">
        <v>740</v>
      </c>
      <c r="L146" s="81">
        <f t="shared" si="37"/>
        <v>938.0240814</v>
      </c>
      <c r="M146" s="82">
        <f t="shared" si="69"/>
        <v>0</v>
      </c>
      <c r="N146" s="82">
        <f t="shared" si="70"/>
        <v>0</v>
      </c>
      <c r="O146" s="82">
        <f>N146+'BM 006'!O146</f>
        <v>0</v>
      </c>
      <c r="P146" s="80">
        <f t="shared" si="71"/>
        <v>51800</v>
      </c>
      <c r="Q146" s="82">
        <f t="shared" si="72"/>
        <v>65661.679999999993</v>
      </c>
      <c r="R146" s="82">
        <f t="shared" si="73"/>
        <v>65661.679999999993</v>
      </c>
    </row>
    <row r="147" spans="2:18" s="34" customFormat="1" ht="13.2">
      <c r="B147" s="87" t="s">
        <v>287</v>
      </c>
      <c r="C147" s="88" t="s">
        <v>288</v>
      </c>
      <c r="D147" s="89" t="s">
        <v>79</v>
      </c>
      <c r="E147" s="90">
        <v>131.63</v>
      </c>
      <c r="F147" s="91"/>
      <c r="G147" s="91"/>
      <c r="H147" s="91"/>
      <c r="I147" s="79">
        <f>SUM(G147:H147)+'BM 006'!I147</f>
        <v>0</v>
      </c>
      <c r="J147" s="91">
        <f t="shared" si="39"/>
        <v>131.63</v>
      </c>
      <c r="K147" s="80">
        <v>250</v>
      </c>
      <c r="L147" s="81">
        <f t="shared" si="37"/>
        <v>316.90002750000002</v>
      </c>
      <c r="M147" s="82">
        <f t="shared" si="69"/>
        <v>0</v>
      </c>
      <c r="N147" s="82">
        <f t="shared" si="70"/>
        <v>0</v>
      </c>
      <c r="O147" s="82">
        <f>N147+'BM 006'!O147</f>
        <v>0</v>
      </c>
      <c r="P147" s="80">
        <f t="shared" si="71"/>
        <v>32907.5</v>
      </c>
      <c r="Q147" s="82">
        <f t="shared" si="72"/>
        <v>41713.550000000003</v>
      </c>
      <c r="R147" s="82">
        <f t="shared" si="73"/>
        <v>41713.550000000003</v>
      </c>
    </row>
    <row r="148" spans="2:18" s="34" customFormat="1" ht="13.2">
      <c r="B148" s="66" t="s">
        <v>289</v>
      </c>
      <c r="C148" s="67" t="s">
        <v>290</v>
      </c>
      <c r="D148" s="68"/>
      <c r="E148" s="69"/>
      <c r="F148" s="70"/>
      <c r="G148" s="70"/>
      <c r="H148" s="70"/>
      <c r="I148" s="70">
        <f>SUM(G148:H148)+'BM 006'!I148</f>
        <v>0</v>
      </c>
      <c r="J148" s="70">
        <f t="shared" si="39"/>
        <v>0</v>
      </c>
      <c r="K148" s="71"/>
      <c r="L148" s="71">
        <f t="shared" si="37"/>
        <v>0</v>
      </c>
      <c r="M148" s="73">
        <f t="shared" ref="M148:R148" si="74">SUM(M149:M154)</f>
        <v>0</v>
      </c>
      <c r="N148" s="73">
        <f t="shared" si="74"/>
        <v>0</v>
      </c>
      <c r="O148" s="73">
        <f t="shared" si="74"/>
        <v>0</v>
      </c>
      <c r="P148" s="73">
        <f t="shared" si="74"/>
        <v>1088700.21</v>
      </c>
      <c r="Q148" s="73">
        <f t="shared" si="74"/>
        <v>1380036.47</v>
      </c>
      <c r="R148" s="73">
        <f t="shared" si="74"/>
        <v>1380036.47</v>
      </c>
    </row>
    <row r="149" spans="2:18" s="34" customFormat="1" ht="57.6">
      <c r="B149" s="87" t="s">
        <v>291</v>
      </c>
      <c r="C149" s="88" t="s">
        <v>292</v>
      </c>
      <c r="D149" s="89" t="s">
        <v>79</v>
      </c>
      <c r="E149" s="90">
        <f>E151+E152+E153+E154</f>
        <v>4191.6100000000006</v>
      </c>
      <c r="F149" s="91"/>
      <c r="G149" s="91"/>
      <c r="H149" s="91"/>
      <c r="I149" s="79">
        <f>SUM(G149:H149)+'BM 006'!I149</f>
        <v>0</v>
      </c>
      <c r="J149" s="91">
        <f t="shared" si="39"/>
        <v>4191.6100000000006</v>
      </c>
      <c r="K149" s="84">
        <v>12</v>
      </c>
      <c r="L149" s="81">
        <f t="shared" si="37"/>
        <v>15.211201320000001</v>
      </c>
      <c r="M149" s="82">
        <f t="shared" ref="M149:M154" si="75">TRUNC(F149*L149,2)</f>
        <v>0</v>
      </c>
      <c r="N149" s="82">
        <f t="shared" ref="N149:N154" si="76">TRUNC(G149*L149,2)</f>
        <v>0</v>
      </c>
      <c r="O149" s="82">
        <f>N149+'BM 006'!O149</f>
        <v>0</v>
      </c>
      <c r="P149" s="80">
        <f t="shared" ref="P149:P154" si="77">E149*K149</f>
        <v>50299.320000000007</v>
      </c>
      <c r="Q149" s="82">
        <f t="shared" ref="Q149:Q154" si="78">TRUNC(E149*L149,2)</f>
        <v>63759.42</v>
      </c>
      <c r="R149" s="82">
        <f t="shared" ref="R149:R154" si="79">Q149-O149</f>
        <v>63759.42</v>
      </c>
    </row>
    <row r="150" spans="2:18" s="34" customFormat="1" ht="69">
      <c r="B150" s="87" t="s">
        <v>293</v>
      </c>
      <c r="C150" s="88" t="s">
        <v>294</v>
      </c>
      <c r="D150" s="89" t="s">
        <v>79</v>
      </c>
      <c r="E150" s="90">
        <f>E149</f>
        <v>4191.6100000000006</v>
      </c>
      <c r="F150" s="91"/>
      <c r="G150" s="91"/>
      <c r="H150" s="91"/>
      <c r="I150" s="79">
        <f>SUM(G150:H150)+'BM 006'!I150</f>
        <v>0</v>
      </c>
      <c r="J150" s="91">
        <f t="shared" si="39"/>
        <v>4191.6100000000006</v>
      </c>
      <c r="K150" s="84">
        <v>62</v>
      </c>
      <c r="L150" s="81">
        <f t="shared" si="37"/>
        <v>78.591206819999996</v>
      </c>
      <c r="M150" s="82">
        <f t="shared" si="75"/>
        <v>0</v>
      </c>
      <c r="N150" s="82">
        <f t="shared" si="76"/>
        <v>0</v>
      </c>
      <c r="O150" s="82">
        <f>N150+'BM 006'!O150</f>
        <v>0</v>
      </c>
      <c r="P150" s="80">
        <f t="shared" si="77"/>
        <v>259879.82000000004</v>
      </c>
      <c r="Q150" s="82">
        <f t="shared" si="78"/>
        <v>329423.68</v>
      </c>
      <c r="R150" s="82">
        <f t="shared" si="79"/>
        <v>329423.68</v>
      </c>
    </row>
    <row r="151" spans="2:18" s="34" customFormat="1" ht="23.4">
      <c r="B151" s="87" t="s">
        <v>295</v>
      </c>
      <c r="C151" s="88" t="s">
        <v>296</v>
      </c>
      <c r="D151" s="89" t="s">
        <v>79</v>
      </c>
      <c r="E151" s="90">
        <v>120.2</v>
      </c>
      <c r="F151" s="91"/>
      <c r="G151" s="91"/>
      <c r="H151" s="91"/>
      <c r="I151" s="79">
        <f>SUM(G151:H151)+'BM 006'!I151</f>
        <v>0</v>
      </c>
      <c r="J151" s="91">
        <f t="shared" si="39"/>
        <v>120.2</v>
      </c>
      <c r="K151" s="84">
        <v>178</v>
      </c>
      <c r="L151" s="81">
        <f t="shared" si="37"/>
        <v>225.63281958000002</v>
      </c>
      <c r="M151" s="82">
        <f t="shared" si="75"/>
        <v>0</v>
      </c>
      <c r="N151" s="82">
        <f t="shared" si="76"/>
        <v>0</v>
      </c>
      <c r="O151" s="82">
        <f>N151+'BM 006'!O151</f>
        <v>0</v>
      </c>
      <c r="P151" s="80">
        <f t="shared" si="77"/>
        <v>21395.600000000002</v>
      </c>
      <c r="Q151" s="82">
        <f t="shared" si="78"/>
        <v>27121.06</v>
      </c>
      <c r="R151" s="82">
        <f t="shared" si="79"/>
        <v>27121.06</v>
      </c>
    </row>
    <row r="152" spans="2:18" s="34" customFormat="1" ht="23.4">
      <c r="B152" s="87" t="s">
        <v>297</v>
      </c>
      <c r="C152" s="88" t="s">
        <v>298</v>
      </c>
      <c r="D152" s="89" t="s">
        <v>79</v>
      </c>
      <c r="E152" s="90">
        <v>52.6</v>
      </c>
      <c r="F152" s="91"/>
      <c r="G152" s="91"/>
      <c r="H152" s="91"/>
      <c r="I152" s="79">
        <f>SUM(G152:H152)+'BM 006'!I152</f>
        <v>0</v>
      </c>
      <c r="J152" s="91">
        <f t="shared" si="39"/>
        <v>52.6</v>
      </c>
      <c r="K152" s="84">
        <v>182</v>
      </c>
      <c r="L152" s="81">
        <f t="shared" si="37"/>
        <v>230.70322002</v>
      </c>
      <c r="M152" s="82">
        <f t="shared" si="75"/>
        <v>0</v>
      </c>
      <c r="N152" s="82">
        <f t="shared" si="76"/>
        <v>0</v>
      </c>
      <c r="O152" s="82">
        <f>N152+'BM 006'!O152</f>
        <v>0</v>
      </c>
      <c r="P152" s="80">
        <f t="shared" si="77"/>
        <v>9573.2000000000007</v>
      </c>
      <c r="Q152" s="82">
        <f t="shared" si="78"/>
        <v>12134.98</v>
      </c>
      <c r="R152" s="82">
        <f t="shared" si="79"/>
        <v>12134.98</v>
      </c>
    </row>
    <row r="153" spans="2:18" s="34" customFormat="1" ht="23.4">
      <c r="B153" s="87" t="s">
        <v>299</v>
      </c>
      <c r="C153" s="88" t="s">
        <v>300</v>
      </c>
      <c r="D153" s="89" t="s">
        <v>79</v>
      </c>
      <c r="E153" s="90">
        <v>2811.38</v>
      </c>
      <c r="F153" s="91"/>
      <c r="G153" s="91"/>
      <c r="H153" s="91"/>
      <c r="I153" s="79">
        <f>SUM(G153:H153)+'BM 006'!I153</f>
        <v>0</v>
      </c>
      <c r="J153" s="91">
        <f t="shared" si="39"/>
        <v>2811.38</v>
      </c>
      <c r="K153" s="84">
        <v>177</v>
      </c>
      <c r="L153" s="81">
        <f t="shared" si="37"/>
        <v>224.36521947</v>
      </c>
      <c r="M153" s="82">
        <f t="shared" si="75"/>
        <v>0</v>
      </c>
      <c r="N153" s="82">
        <f t="shared" si="76"/>
        <v>0</v>
      </c>
      <c r="O153" s="82">
        <f>N153+'BM 006'!O153</f>
        <v>0</v>
      </c>
      <c r="P153" s="80">
        <f t="shared" si="77"/>
        <v>497614.26</v>
      </c>
      <c r="Q153" s="82">
        <f t="shared" si="78"/>
        <v>630775.89</v>
      </c>
      <c r="R153" s="82">
        <f t="shared" si="79"/>
        <v>630775.89</v>
      </c>
    </row>
    <row r="154" spans="2:18" s="34" customFormat="1" ht="23.4">
      <c r="B154" s="87" t="s">
        <v>301</v>
      </c>
      <c r="C154" s="88" t="s">
        <v>302</v>
      </c>
      <c r="D154" s="89" t="s">
        <v>79</v>
      </c>
      <c r="E154" s="90">
        <v>1207.43</v>
      </c>
      <c r="F154" s="91"/>
      <c r="G154" s="91"/>
      <c r="H154" s="91"/>
      <c r="I154" s="79">
        <f>SUM(G154:H154)+'BM 006'!I154</f>
        <v>0</v>
      </c>
      <c r="J154" s="91">
        <f t="shared" si="39"/>
        <v>1207.43</v>
      </c>
      <c r="K154" s="84">
        <v>207</v>
      </c>
      <c r="L154" s="81">
        <f t="shared" si="37"/>
        <v>262.39322277000002</v>
      </c>
      <c r="M154" s="82">
        <f t="shared" si="75"/>
        <v>0</v>
      </c>
      <c r="N154" s="82">
        <f t="shared" si="76"/>
        <v>0</v>
      </c>
      <c r="O154" s="82">
        <f>N154+'BM 006'!O154</f>
        <v>0</v>
      </c>
      <c r="P154" s="80">
        <f t="shared" si="77"/>
        <v>249938.01</v>
      </c>
      <c r="Q154" s="82">
        <f t="shared" si="78"/>
        <v>316821.44</v>
      </c>
      <c r="R154" s="82">
        <f t="shared" si="79"/>
        <v>316821.44</v>
      </c>
    </row>
    <row r="155" spans="2:18" s="34" customFormat="1" ht="13.2">
      <c r="B155" s="60" t="s">
        <v>303</v>
      </c>
      <c r="C155" s="61" t="s">
        <v>304</v>
      </c>
      <c r="D155" s="60"/>
      <c r="E155" s="62"/>
      <c r="F155" s="63"/>
      <c r="G155" s="63"/>
      <c r="H155" s="63"/>
      <c r="I155" s="63">
        <f>SUM(G155:H155)+'BM 006'!I155</f>
        <v>0</v>
      </c>
      <c r="J155" s="63">
        <f t="shared" si="39"/>
        <v>0</v>
      </c>
      <c r="K155" s="63"/>
      <c r="L155" s="63">
        <f t="shared" si="37"/>
        <v>0</v>
      </c>
      <c r="M155" s="63">
        <f t="shared" ref="M155:R155" si="80">SUM(M156,M165)</f>
        <v>0</v>
      </c>
      <c r="N155" s="63">
        <f t="shared" si="80"/>
        <v>0</v>
      </c>
      <c r="O155" s="63">
        <f t="shared" si="80"/>
        <v>0</v>
      </c>
      <c r="P155" s="63">
        <f t="shared" si="80"/>
        <v>800757.83000000007</v>
      </c>
      <c r="Q155" s="63">
        <f t="shared" si="80"/>
        <v>1015040.66</v>
      </c>
      <c r="R155" s="63">
        <f t="shared" si="80"/>
        <v>1015040.66</v>
      </c>
    </row>
    <row r="156" spans="2:18" s="34" customFormat="1" ht="13.2">
      <c r="B156" s="66" t="s">
        <v>305</v>
      </c>
      <c r="C156" s="67" t="s">
        <v>306</v>
      </c>
      <c r="D156" s="68"/>
      <c r="E156" s="69"/>
      <c r="F156" s="70"/>
      <c r="G156" s="70"/>
      <c r="H156" s="70"/>
      <c r="I156" s="70">
        <f>SUM(G156:H156)+'BM 006'!I156</f>
        <v>0</v>
      </c>
      <c r="J156" s="70">
        <f t="shared" si="39"/>
        <v>0</v>
      </c>
      <c r="K156" s="71"/>
      <c r="L156" s="71">
        <f t="shared" si="37"/>
        <v>0</v>
      </c>
      <c r="M156" s="73">
        <f t="shared" ref="M156:R156" si="81">SUM(M157:M164)</f>
        <v>0</v>
      </c>
      <c r="N156" s="73">
        <f t="shared" si="81"/>
        <v>0</v>
      </c>
      <c r="O156" s="73">
        <f t="shared" si="81"/>
        <v>0</v>
      </c>
      <c r="P156" s="73">
        <f t="shared" si="81"/>
        <v>737633.33000000007</v>
      </c>
      <c r="Q156" s="73">
        <f t="shared" si="81"/>
        <v>935024.05</v>
      </c>
      <c r="R156" s="73">
        <f t="shared" si="81"/>
        <v>935024.05</v>
      </c>
    </row>
    <row r="157" spans="2:18" s="34" customFormat="1" ht="57.6">
      <c r="B157" s="87" t="s">
        <v>307</v>
      </c>
      <c r="C157" s="88" t="s">
        <v>308</v>
      </c>
      <c r="D157" s="89" t="s">
        <v>79</v>
      </c>
      <c r="E157" s="103">
        <v>7166.75</v>
      </c>
      <c r="F157" s="84"/>
      <c r="G157" s="84"/>
      <c r="H157" s="84"/>
      <c r="I157" s="79">
        <f>SUM(G157:H157)+'BM 006'!I157</f>
        <v>0</v>
      </c>
      <c r="J157" s="84">
        <f t="shared" si="39"/>
        <v>7166.75</v>
      </c>
      <c r="K157" s="84">
        <v>42.2</v>
      </c>
      <c r="L157" s="81">
        <f t="shared" ref="L157:L220" si="82">K157*(1+$T$26)</f>
        <v>53.492724642000006</v>
      </c>
      <c r="M157" s="82">
        <f t="shared" ref="M157:M164" si="83">TRUNC(F157*L157,2)</f>
        <v>0</v>
      </c>
      <c r="N157" s="82">
        <f t="shared" ref="N157:N164" si="84">TRUNC(G157*L157,2)</f>
        <v>0</v>
      </c>
      <c r="O157" s="82">
        <f>N157+'BM 006'!O157</f>
        <v>0</v>
      </c>
      <c r="P157" s="80">
        <f t="shared" ref="P157:P164" si="85">E157*K157</f>
        <v>302436.85000000003</v>
      </c>
      <c r="Q157" s="82">
        <f t="shared" ref="Q157:Q164" si="86">TRUNC(E157*L157,2)</f>
        <v>383368.98</v>
      </c>
      <c r="R157" s="82">
        <f t="shared" ref="R157:R164" si="87">Q157-O157</f>
        <v>383368.98</v>
      </c>
    </row>
    <row r="158" spans="2:18" s="34" customFormat="1" ht="46.2">
      <c r="B158" s="87" t="s">
        <v>309</v>
      </c>
      <c r="C158" s="88" t="s">
        <v>310</v>
      </c>
      <c r="D158" s="89" t="s">
        <v>79</v>
      </c>
      <c r="E158" s="104">
        <v>520.1</v>
      </c>
      <c r="F158" s="80"/>
      <c r="G158" s="80"/>
      <c r="H158" s="80"/>
      <c r="I158" s="79">
        <f>SUM(G158:H158)+'BM 006'!I158</f>
        <v>0</v>
      </c>
      <c r="J158" s="80">
        <f t="shared" si="39"/>
        <v>520.1</v>
      </c>
      <c r="K158" s="105">
        <v>35.200000000000003</v>
      </c>
      <c r="L158" s="81">
        <f t="shared" si="82"/>
        <v>44.619523872000009</v>
      </c>
      <c r="M158" s="82">
        <f t="shared" si="83"/>
        <v>0</v>
      </c>
      <c r="N158" s="82">
        <f t="shared" si="84"/>
        <v>0</v>
      </c>
      <c r="O158" s="82">
        <f>N158+'BM 006'!O158</f>
        <v>0</v>
      </c>
      <c r="P158" s="80">
        <f t="shared" si="85"/>
        <v>18307.520000000004</v>
      </c>
      <c r="Q158" s="82">
        <f t="shared" si="86"/>
        <v>23206.61</v>
      </c>
      <c r="R158" s="82">
        <f t="shared" si="87"/>
        <v>23206.61</v>
      </c>
    </row>
    <row r="159" spans="2:18" s="34" customFormat="1" ht="34.799999999999997">
      <c r="B159" s="87" t="s">
        <v>311</v>
      </c>
      <c r="C159" s="88" t="s">
        <v>312</v>
      </c>
      <c r="D159" s="89" t="s">
        <v>79</v>
      </c>
      <c r="E159" s="103">
        <v>1225.0999999999999</v>
      </c>
      <c r="F159" s="84"/>
      <c r="G159" s="84"/>
      <c r="H159" s="84"/>
      <c r="I159" s="79">
        <f>SUM(G159:H159)+'BM 006'!I159</f>
        <v>0</v>
      </c>
      <c r="J159" s="84">
        <f t="shared" ref="J159:J222" si="88">E159-I159</f>
        <v>1225.0999999999999</v>
      </c>
      <c r="K159" s="105">
        <v>60</v>
      </c>
      <c r="L159" s="81">
        <f t="shared" si="82"/>
        <v>76.056006600000003</v>
      </c>
      <c r="M159" s="82">
        <f t="shared" si="83"/>
        <v>0</v>
      </c>
      <c r="N159" s="82">
        <f t="shared" si="84"/>
        <v>0</v>
      </c>
      <c r="O159" s="82">
        <f>N159+'BM 006'!O159</f>
        <v>0</v>
      </c>
      <c r="P159" s="80">
        <f t="shared" si="85"/>
        <v>73506</v>
      </c>
      <c r="Q159" s="82">
        <f t="shared" si="86"/>
        <v>93176.21</v>
      </c>
      <c r="R159" s="82">
        <f t="shared" si="87"/>
        <v>93176.21</v>
      </c>
    </row>
    <row r="160" spans="2:18" s="34" customFormat="1" ht="46.2">
      <c r="B160" s="87" t="s">
        <v>313</v>
      </c>
      <c r="C160" s="88" t="s">
        <v>284</v>
      </c>
      <c r="D160" s="89" t="s">
        <v>79</v>
      </c>
      <c r="E160" s="106">
        <v>937</v>
      </c>
      <c r="F160" s="84"/>
      <c r="G160" s="84"/>
      <c r="H160" s="84"/>
      <c r="I160" s="79">
        <f>SUM(G160:H160)+'BM 006'!I160</f>
        <v>0</v>
      </c>
      <c r="J160" s="84">
        <f t="shared" si="88"/>
        <v>937</v>
      </c>
      <c r="K160" s="105">
        <v>158</v>
      </c>
      <c r="L160" s="81">
        <f t="shared" si="82"/>
        <v>200.28081738</v>
      </c>
      <c r="M160" s="82">
        <f t="shared" si="83"/>
        <v>0</v>
      </c>
      <c r="N160" s="82">
        <f t="shared" si="84"/>
        <v>0</v>
      </c>
      <c r="O160" s="82">
        <f>N160+'BM 006'!O160</f>
        <v>0</v>
      </c>
      <c r="P160" s="80">
        <f t="shared" si="85"/>
        <v>148046</v>
      </c>
      <c r="Q160" s="82">
        <f t="shared" si="86"/>
        <v>187663.12</v>
      </c>
      <c r="R160" s="82">
        <f t="shared" si="87"/>
        <v>187663.12</v>
      </c>
    </row>
    <row r="161" spans="2:18" s="34" customFormat="1" ht="46.2">
      <c r="B161" s="87" t="s">
        <v>314</v>
      </c>
      <c r="C161" s="88" t="s">
        <v>315</v>
      </c>
      <c r="D161" s="89" t="s">
        <v>79</v>
      </c>
      <c r="E161" s="106">
        <v>720.69</v>
      </c>
      <c r="F161" s="84"/>
      <c r="G161" s="84"/>
      <c r="H161" s="84"/>
      <c r="I161" s="79">
        <f>SUM(G161:H161)+'BM 006'!I161</f>
        <v>0</v>
      </c>
      <c r="J161" s="84">
        <f t="shared" si="88"/>
        <v>720.69</v>
      </c>
      <c r="K161" s="84">
        <v>185</v>
      </c>
      <c r="L161" s="81">
        <f t="shared" si="82"/>
        <v>234.50602035</v>
      </c>
      <c r="M161" s="82">
        <f t="shared" si="83"/>
        <v>0</v>
      </c>
      <c r="N161" s="82">
        <f t="shared" si="84"/>
        <v>0</v>
      </c>
      <c r="O161" s="82">
        <f>N161+'BM 006'!O161</f>
        <v>0</v>
      </c>
      <c r="P161" s="80">
        <f t="shared" si="85"/>
        <v>133327.65000000002</v>
      </c>
      <c r="Q161" s="82">
        <f t="shared" si="86"/>
        <v>169006.14</v>
      </c>
      <c r="R161" s="82">
        <f t="shared" si="87"/>
        <v>169006.14</v>
      </c>
    </row>
    <row r="162" spans="2:18" s="34" customFormat="1" ht="23.4">
      <c r="B162" s="87" t="s">
        <v>316</v>
      </c>
      <c r="C162" s="88" t="s">
        <v>317</v>
      </c>
      <c r="D162" s="89" t="s">
        <v>79</v>
      </c>
      <c r="E162" s="103">
        <v>50.69</v>
      </c>
      <c r="F162" s="84"/>
      <c r="G162" s="84"/>
      <c r="H162" s="84"/>
      <c r="I162" s="79">
        <f>SUM(G162:H162)+'BM 006'!I162</f>
        <v>0</v>
      </c>
      <c r="J162" s="84">
        <f t="shared" si="88"/>
        <v>50.69</v>
      </c>
      <c r="K162" s="84">
        <v>765</v>
      </c>
      <c r="L162" s="81">
        <f t="shared" si="82"/>
        <v>969.71408415000008</v>
      </c>
      <c r="M162" s="82">
        <f t="shared" si="83"/>
        <v>0</v>
      </c>
      <c r="N162" s="82">
        <f t="shared" si="84"/>
        <v>0</v>
      </c>
      <c r="O162" s="82">
        <f>N162+'BM 006'!O162</f>
        <v>0</v>
      </c>
      <c r="P162" s="80">
        <f t="shared" si="85"/>
        <v>38777.85</v>
      </c>
      <c r="Q162" s="82">
        <f t="shared" si="86"/>
        <v>49154.8</v>
      </c>
      <c r="R162" s="82">
        <f t="shared" si="87"/>
        <v>49154.8</v>
      </c>
    </row>
    <row r="163" spans="2:18" s="34" customFormat="1" ht="23.4">
      <c r="B163" s="87" t="s">
        <v>318</v>
      </c>
      <c r="C163" s="88" t="s">
        <v>319</v>
      </c>
      <c r="D163" s="89" t="s">
        <v>124</v>
      </c>
      <c r="E163" s="106">
        <v>36</v>
      </c>
      <c r="F163" s="84"/>
      <c r="G163" s="84"/>
      <c r="H163" s="84"/>
      <c r="I163" s="79">
        <f>SUM(G163:H163)+'BM 006'!I163</f>
        <v>0</v>
      </c>
      <c r="J163" s="84">
        <f t="shared" si="88"/>
        <v>36</v>
      </c>
      <c r="K163" s="84">
        <v>134</v>
      </c>
      <c r="L163" s="81">
        <f t="shared" si="82"/>
        <v>169.85841474</v>
      </c>
      <c r="M163" s="82">
        <f t="shared" si="83"/>
        <v>0</v>
      </c>
      <c r="N163" s="82">
        <f t="shared" si="84"/>
        <v>0</v>
      </c>
      <c r="O163" s="82">
        <f>N163+'BM 006'!O163</f>
        <v>0</v>
      </c>
      <c r="P163" s="80">
        <f t="shared" si="85"/>
        <v>4824</v>
      </c>
      <c r="Q163" s="82">
        <f t="shared" si="86"/>
        <v>6114.9</v>
      </c>
      <c r="R163" s="82">
        <f t="shared" si="87"/>
        <v>6114.9</v>
      </c>
    </row>
    <row r="164" spans="2:18" s="34" customFormat="1" ht="13.2">
      <c r="B164" s="87" t="s">
        <v>320</v>
      </c>
      <c r="C164" s="88" t="s">
        <v>321</v>
      </c>
      <c r="D164" s="89" t="s">
        <v>124</v>
      </c>
      <c r="E164" s="106">
        <v>123.54</v>
      </c>
      <c r="F164" s="84"/>
      <c r="G164" s="84"/>
      <c r="H164" s="84"/>
      <c r="I164" s="79">
        <f>SUM(G164:H164)+'BM 006'!I164</f>
        <v>0</v>
      </c>
      <c r="J164" s="84">
        <f t="shared" si="88"/>
        <v>123.54</v>
      </c>
      <c r="K164" s="84">
        <v>149</v>
      </c>
      <c r="L164" s="81">
        <f t="shared" si="82"/>
        <v>188.87241639000001</v>
      </c>
      <c r="M164" s="82">
        <f t="shared" si="83"/>
        <v>0</v>
      </c>
      <c r="N164" s="82">
        <f t="shared" si="84"/>
        <v>0</v>
      </c>
      <c r="O164" s="82">
        <f>N164+'BM 006'!O164</f>
        <v>0</v>
      </c>
      <c r="P164" s="80">
        <f t="shared" si="85"/>
        <v>18407.46</v>
      </c>
      <c r="Q164" s="82">
        <f t="shared" si="86"/>
        <v>23333.29</v>
      </c>
      <c r="R164" s="82">
        <f t="shared" si="87"/>
        <v>23333.29</v>
      </c>
    </row>
    <row r="165" spans="2:18" s="34" customFormat="1" ht="13.2">
      <c r="B165" s="66" t="s">
        <v>322</v>
      </c>
      <c r="C165" s="67" t="s">
        <v>323</v>
      </c>
      <c r="D165" s="68"/>
      <c r="E165" s="69"/>
      <c r="F165" s="70"/>
      <c r="G165" s="70"/>
      <c r="H165" s="70"/>
      <c r="I165" s="70">
        <f>SUM(G165:H165)+'BM 006'!I165</f>
        <v>0</v>
      </c>
      <c r="J165" s="70">
        <f t="shared" si="88"/>
        <v>0</v>
      </c>
      <c r="K165" s="71"/>
      <c r="L165" s="71">
        <f t="shared" si="82"/>
        <v>0</v>
      </c>
      <c r="M165" s="73">
        <f t="shared" ref="M165:R165" si="89">SUM(M166:M169)</f>
        <v>0</v>
      </c>
      <c r="N165" s="73">
        <f t="shared" si="89"/>
        <v>0</v>
      </c>
      <c r="O165" s="73">
        <f t="shared" si="89"/>
        <v>0</v>
      </c>
      <c r="P165" s="73">
        <f t="shared" si="89"/>
        <v>63124.5</v>
      </c>
      <c r="Q165" s="73">
        <f t="shared" si="89"/>
        <v>80016.61</v>
      </c>
      <c r="R165" s="73">
        <f t="shared" si="89"/>
        <v>80016.61</v>
      </c>
    </row>
    <row r="166" spans="2:18" s="34" customFormat="1" ht="34.799999999999997">
      <c r="B166" s="87" t="s">
        <v>324</v>
      </c>
      <c r="C166" s="88" t="s">
        <v>325</v>
      </c>
      <c r="D166" s="89" t="s">
        <v>79</v>
      </c>
      <c r="E166" s="90">
        <v>290.89999999999998</v>
      </c>
      <c r="F166" s="91"/>
      <c r="G166" s="91"/>
      <c r="H166" s="91"/>
      <c r="I166" s="79">
        <f>SUM(G166:H166)+'BM 006'!I166</f>
        <v>0</v>
      </c>
      <c r="J166" s="91">
        <f t="shared" si="88"/>
        <v>290.89999999999998</v>
      </c>
      <c r="K166" s="84">
        <v>105</v>
      </c>
      <c r="L166" s="81">
        <f t="shared" si="82"/>
        <v>133.09801155</v>
      </c>
      <c r="M166" s="82">
        <f>TRUNC(F166*L166,2)</f>
        <v>0</v>
      </c>
      <c r="N166" s="82">
        <f>TRUNC(G166*L166,2)</f>
        <v>0</v>
      </c>
      <c r="O166" s="82">
        <f>N166+'BM 006'!O166</f>
        <v>0</v>
      </c>
      <c r="P166" s="80">
        <f>E166*K166</f>
        <v>30544.499999999996</v>
      </c>
      <c r="Q166" s="82">
        <f>TRUNC(E166*L166,2)</f>
        <v>38718.21</v>
      </c>
      <c r="R166" s="82">
        <f>Q166-O166</f>
        <v>38718.21</v>
      </c>
    </row>
    <row r="167" spans="2:18" s="34" customFormat="1" ht="34.799999999999997">
      <c r="B167" s="87" t="s">
        <v>326</v>
      </c>
      <c r="C167" s="88" t="s">
        <v>327</v>
      </c>
      <c r="D167" s="89" t="s">
        <v>79</v>
      </c>
      <c r="E167" s="90">
        <v>230</v>
      </c>
      <c r="F167" s="91"/>
      <c r="G167" s="91"/>
      <c r="H167" s="91"/>
      <c r="I167" s="79">
        <f>SUM(G167:H167)+'BM 006'!I167</f>
        <v>0</v>
      </c>
      <c r="J167" s="91">
        <f t="shared" si="88"/>
        <v>230</v>
      </c>
      <c r="K167" s="84">
        <v>90</v>
      </c>
      <c r="L167" s="81">
        <f t="shared" si="82"/>
        <v>114.08400990000001</v>
      </c>
      <c r="M167" s="82">
        <f>TRUNC(F167*L167,2)</f>
        <v>0</v>
      </c>
      <c r="N167" s="82">
        <f>TRUNC(G167*L167,2)</f>
        <v>0</v>
      </c>
      <c r="O167" s="82">
        <f>N167+'BM 006'!O167</f>
        <v>0</v>
      </c>
      <c r="P167" s="80">
        <f>E167*K167</f>
        <v>20700</v>
      </c>
      <c r="Q167" s="82">
        <f>TRUNC(E167*L167,2)</f>
        <v>26239.32</v>
      </c>
      <c r="R167" s="82">
        <f>Q167-O167</f>
        <v>26239.32</v>
      </c>
    </row>
    <row r="168" spans="2:18" s="34" customFormat="1" ht="23.4">
      <c r="B168" s="87" t="s">
        <v>328</v>
      </c>
      <c r="C168" s="88" t="s">
        <v>329</v>
      </c>
      <c r="D168" s="89" t="s">
        <v>82</v>
      </c>
      <c r="E168" s="90">
        <v>72</v>
      </c>
      <c r="F168" s="91"/>
      <c r="G168" s="91"/>
      <c r="H168" s="91"/>
      <c r="I168" s="79">
        <f>SUM(G168:H168)+'BM 006'!I168</f>
        <v>0</v>
      </c>
      <c r="J168" s="91">
        <f t="shared" si="88"/>
        <v>72</v>
      </c>
      <c r="K168" s="84">
        <v>120</v>
      </c>
      <c r="L168" s="81">
        <f t="shared" si="82"/>
        <v>152.11201320000001</v>
      </c>
      <c r="M168" s="82">
        <f>TRUNC(F168*L168,2)</f>
        <v>0</v>
      </c>
      <c r="N168" s="82">
        <f>TRUNC(G168*L168,2)</f>
        <v>0</v>
      </c>
      <c r="O168" s="82">
        <f>N168+'BM 006'!O168</f>
        <v>0</v>
      </c>
      <c r="P168" s="80">
        <f>E168*K168</f>
        <v>8640</v>
      </c>
      <c r="Q168" s="82">
        <f>TRUNC(E168*L168,2)</f>
        <v>10952.06</v>
      </c>
      <c r="R168" s="82">
        <f>Q168-O168</f>
        <v>10952.06</v>
      </c>
    </row>
    <row r="169" spans="2:18" s="34" customFormat="1" ht="34.799999999999997">
      <c r="B169" s="87" t="s">
        <v>330</v>
      </c>
      <c r="C169" s="88" t="s">
        <v>331</v>
      </c>
      <c r="D169" s="89" t="s">
        <v>82</v>
      </c>
      <c r="E169" s="90">
        <v>72</v>
      </c>
      <c r="F169" s="91"/>
      <c r="G169" s="91"/>
      <c r="H169" s="91"/>
      <c r="I169" s="79">
        <f>SUM(G169:H169)+'BM 006'!I169</f>
        <v>0</v>
      </c>
      <c r="J169" s="91">
        <f t="shared" si="88"/>
        <v>72</v>
      </c>
      <c r="K169" s="84">
        <v>45</v>
      </c>
      <c r="L169" s="81">
        <f t="shared" si="82"/>
        <v>57.042004950000006</v>
      </c>
      <c r="M169" s="82">
        <f>TRUNC(F169*L169,2)</f>
        <v>0</v>
      </c>
      <c r="N169" s="82">
        <f>TRUNC(G169*L169,2)</f>
        <v>0</v>
      </c>
      <c r="O169" s="82">
        <f>N169+'BM 006'!O169</f>
        <v>0</v>
      </c>
      <c r="P169" s="80">
        <f>E169*K169</f>
        <v>3240</v>
      </c>
      <c r="Q169" s="82">
        <f>TRUNC(E169*L169,2)</f>
        <v>4107.0200000000004</v>
      </c>
      <c r="R169" s="82">
        <f>Q169-O169</f>
        <v>4107.0200000000004</v>
      </c>
    </row>
    <row r="170" spans="2:18" s="34" customFormat="1" ht="13.2">
      <c r="B170" s="60" t="s">
        <v>332</v>
      </c>
      <c r="C170" s="61" t="s">
        <v>333</v>
      </c>
      <c r="D170" s="60"/>
      <c r="E170" s="62"/>
      <c r="F170" s="63"/>
      <c r="G170" s="63"/>
      <c r="H170" s="63"/>
      <c r="I170" s="63">
        <f>SUM(G170:H170)+'BM 006'!I170</f>
        <v>0</v>
      </c>
      <c r="J170" s="63">
        <f t="shared" si="88"/>
        <v>0</v>
      </c>
      <c r="K170" s="63"/>
      <c r="L170" s="63">
        <f t="shared" si="82"/>
        <v>0</v>
      </c>
      <c r="M170" s="63">
        <f t="shared" ref="M170:R170" si="90">SUM(M171:M174)</f>
        <v>0</v>
      </c>
      <c r="N170" s="63">
        <f t="shared" si="90"/>
        <v>0</v>
      </c>
      <c r="O170" s="63">
        <f t="shared" si="90"/>
        <v>0</v>
      </c>
      <c r="P170" s="63">
        <f t="shared" si="90"/>
        <v>584904.20000000007</v>
      </c>
      <c r="Q170" s="63">
        <f t="shared" si="90"/>
        <v>741424.62000000011</v>
      </c>
      <c r="R170" s="63">
        <f t="shared" si="90"/>
        <v>741424.62000000011</v>
      </c>
    </row>
    <row r="171" spans="2:18" s="34" customFormat="1" ht="46.2">
      <c r="B171" s="87" t="s">
        <v>334</v>
      </c>
      <c r="C171" s="88" t="s">
        <v>335</v>
      </c>
      <c r="D171" s="89" t="s">
        <v>79</v>
      </c>
      <c r="E171" s="90">
        <v>3789.02</v>
      </c>
      <c r="F171" s="91"/>
      <c r="G171" s="91"/>
      <c r="H171" s="91"/>
      <c r="I171" s="79">
        <f>SUM(G171:H171)+'BM 006'!I171</f>
        <v>0</v>
      </c>
      <c r="J171" s="91">
        <f t="shared" si="88"/>
        <v>3789.02</v>
      </c>
      <c r="K171" s="84">
        <v>70</v>
      </c>
      <c r="L171" s="81">
        <f t="shared" si="82"/>
        <v>88.732007699999997</v>
      </c>
      <c r="M171" s="82">
        <f>TRUNC(F171*L171,2)</f>
        <v>0</v>
      </c>
      <c r="N171" s="82">
        <f>TRUNC(G171*L171,2)</f>
        <v>0</v>
      </c>
      <c r="O171" s="82">
        <f>N171+'BM 006'!O171</f>
        <v>0</v>
      </c>
      <c r="P171" s="80">
        <f>E171*K171</f>
        <v>265231.40000000002</v>
      </c>
      <c r="Q171" s="82">
        <f>TRUNC(E171*L171,2)</f>
        <v>336207.35</v>
      </c>
      <c r="R171" s="82">
        <f>Q171-O171</f>
        <v>336207.35</v>
      </c>
    </row>
    <row r="172" spans="2:18" s="34" customFormat="1" ht="23.4">
      <c r="B172" s="87" t="s">
        <v>336</v>
      </c>
      <c r="C172" s="88" t="s">
        <v>337</v>
      </c>
      <c r="D172" s="89" t="s">
        <v>79</v>
      </c>
      <c r="E172" s="90">
        <v>184.68</v>
      </c>
      <c r="F172" s="91"/>
      <c r="G172" s="91"/>
      <c r="H172" s="91"/>
      <c r="I172" s="79">
        <f>SUM(G172:H172)+'BM 006'!I172</f>
        <v>0</v>
      </c>
      <c r="J172" s="91">
        <f t="shared" si="88"/>
        <v>184.68</v>
      </c>
      <c r="K172" s="84">
        <v>735</v>
      </c>
      <c r="L172" s="81">
        <f t="shared" si="82"/>
        <v>931.68608085000005</v>
      </c>
      <c r="M172" s="82">
        <f>TRUNC(F172*L172,2)</f>
        <v>0</v>
      </c>
      <c r="N172" s="82">
        <f>TRUNC(G172*L172,2)</f>
        <v>0</v>
      </c>
      <c r="O172" s="82">
        <f>N172+'BM 006'!O172</f>
        <v>0</v>
      </c>
      <c r="P172" s="80">
        <f>E172*K172</f>
        <v>135739.80000000002</v>
      </c>
      <c r="Q172" s="82">
        <f>TRUNC(E172*L172,2)</f>
        <v>172063.78</v>
      </c>
      <c r="R172" s="82">
        <f>Q172-O172</f>
        <v>172063.78</v>
      </c>
    </row>
    <row r="173" spans="2:18" s="34" customFormat="1" ht="46.2">
      <c r="B173" s="87" t="s">
        <v>338</v>
      </c>
      <c r="C173" s="88" t="s">
        <v>339</v>
      </c>
      <c r="D173" s="89" t="s">
        <v>79</v>
      </c>
      <c r="E173" s="90">
        <v>798.6</v>
      </c>
      <c r="F173" s="91"/>
      <c r="G173" s="91"/>
      <c r="H173" s="91"/>
      <c r="I173" s="79">
        <f>SUM(G173:H173)+'BM 006'!I173</f>
        <v>0</v>
      </c>
      <c r="J173" s="91">
        <f t="shared" si="88"/>
        <v>798.6</v>
      </c>
      <c r="K173" s="84">
        <v>125</v>
      </c>
      <c r="L173" s="81">
        <f t="shared" si="82"/>
        <v>158.45001375000001</v>
      </c>
      <c r="M173" s="82">
        <f>TRUNC(F173*L173,2)</f>
        <v>0</v>
      </c>
      <c r="N173" s="82">
        <f>TRUNC(G173*L173,2)</f>
        <v>0</v>
      </c>
      <c r="O173" s="82">
        <f>N173+'BM 006'!O173</f>
        <v>0</v>
      </c>
      <c r="P173" s="80">
        <f>E173*K173</f>
        <v>99825</v>
      </c>
      <c r="Q173" s="82">
        <f>TRUNC(E173*L173,2)</f>
        <v>126538.18</v>
      </c>
      <c r="R173" s="82">
        <f>Q173-O173</f>
        <v>126538.18</v>
      </c>
    </row>
    <row r="174" spans="2:18" s="34" customFormat="1" ht="57.6">
      <c r="B174" s="87" t="s">
        <v>340</v>
      </c>
      <c r="C174" s="88" t="s">
        <v>341</v>
      </c>
      <c r="D174" s="89" t="s">
        <v>79</v>
      </c>
      <c r="E174" s="90">
        <v>489</v>
      </c>
      <c r="F174" s="91"/>
      <c r="G174" s="91"/>
      <c r="H174" s="91"/>
      <c r="I174" s="79">
        <f>SUM(G174:H174)+'BM 006'!I174</f>
        <v>0</v>
      </c>
      <c r="J174" s="91">
        <f t="shared" si="88"/>
        <v>489</v>
      </c>
      <c r="K174" s="84">
        <v>172</v>
      </c>
      <c r="L174" s="81">
        <f t="shared" si="82"/>
        <v>218.02721892</v>
      </c>
      <c r="M174" s="82">
        <f>TRUNC(F174*L174,2)</f>
        <v>0</v>
      </c>
      <c r="N174" s="82">
        <f>TRUNC(G174*L174,2)</f>
        <v>0</v>
      </c>
      <c r="O174" s="82">
        <f>N174+'BM 006'!O174</f>
        <v>0</v>
      </c>
      <c r="P174" s="80">
        <f>E174*K174</f>
        <v>84108</v>
      </c>
      <c r="Q174" s="82">
        <f>TRUNC(E174*L174,2)</f>
        <v>106615.31</v>
      </c>
      <c r="R174" s="82">
        <f>Q174-O174</f>
        <v>106615.31</v>
      </c>
    </row>
    <row r="175" spans="2:18" s="34" customFormat="1" ht="13.2">
      <c r="B175" s="60" t="s">
        <v>342</v>
      </c>
      <c r="C175" s="61" t="s">
        <v>343</v>
      </c>
      <c r="D175" s="60"/>
      <c r="E175" s="62"/>
      <c r="F175" s="63"/>
      <c r="G175" s="63"/>
      <c r="H175" s="63"/>
      <c r="I175" s="63">
        <f>SUM(G175:H175)+'BM 006'!I175</f>
        <v>0</v>
      </c>
      <c r="J175" s="63">
        <f t="shared" si="88"/>
        <v>0</v>
      </c>
      <c r="K175" s="63"/>
      <c r="L175" s="63">
        <f t="shared" si="82"/>
        <v>0</v>
      </c>
      <c r="M175" s="63">
        <f t="shared" ref="M175:R175" si="91">SUM(M176:M177)</f>
        <v>0</v>
      </c>
      <c r="N175" s="63">
        <f t="shared" si="91"/>
        <v>0</v>
      </c>
      <c r="O175" s="63">
        <f t="shared" si="91"/>
        <v>0</v>
      </c>
      <c r="P175" s="63">
        <f t="shared" si="91"/>
        <v>260085</v>
      </c>
      <c r="Q175" s="63">
        <f t="shared" si="91"/>
        <v>329683.77</v>
      </c>
      <c r="R175" s="63">
        <f t="shared" si="91"/>
        <v>329683.77</v>
      </c>
    </row>
    <row r="176" spans="2:18" s="34" customFormat="1" ht="34.799999999999997">
      <c r="B176" s="87" t="s">
        <v>344</v>
      </c>
      <c r="C176" s="88" t="s">
        <v>345</v>
      </c>
      <c r="D176" s="89" t="s">
        <v>79</v>
      </c>
      <c r="E176" s="90">
        <v>1785</v>
      </c>
      <c r="F176" s="91"/>
      <c r="G176" s="91"/>
      <c r="H176" s="91"/>
      <c r="I176" s="79">
        <f>SUM(G176:H176)+'BM 006'!I176</f>
        <v>0</v>
      </c>
      <c r="J176" s="91">
        <f t="shared" si="88"/>
        <v>1785</v>
      </c>
      <c r="K176" s="84">
        <v>125</v>
      </c>
      <c r="L176" s="81">
        <f t="shared" si="82"/>
        <v>158.45001375000001</v>
      </c>
      <c r="M176" s="82">
        <f>TRUNC(F176*L176,2)</f>
        <v>0</v>
      </c>
      <c r="N176" s="82">
        <f>TRUNC(G176*L176,2)</f>
        <v>0</v>
      </c>
      <c r="O176" s="82">
        <f>N176+'BM 006'!O176</f>
        <v>0</v>
      </c>
      <c r="P176" s="80">
        <f>E176*K176</f>
        <v>223125</v>
      </c>
      <c r="Q176" s="82">
        <f>TRUNC(E176*L176,2)</f>
        <v>282833.27</v>
      </c>
      <c r="R176" s="82">
        <f>Q176-O176</f>
        <v>282833.27</v>
      </c>
    </row>
    <row r="177" spans="2:18" s="34" customFormat="1" ht="34.799999999999997">
      <c r="B177" s="75" t="s">
        <v>346</v>
      </c>
      <c r="C177" s="76" t="s">
        <v>347</v>
      </c>
      <c r="D177" s="77" t="s">
        <v>79</v>
      </c>
      <c r="E177" s="93">
        <v>880</v>
      </c>
      <c r="F177" s="79"/>
      <c r="G177" s="79"/>
      <c r="H177" s="79"/>
      <c r="I177" s="79">
        <f>SUM(G177:H177)+'BM 006'!I177</f>
        <v>0</v>
      </c>
      <c r="J177" s="79">
        <f t="shared" si="88"/>
        <v>880</v>
      </c>
      <c r="K177" s="84">
        <v>42</v>
      </c>
      <c r="L177" s="81">
        <f t="shared" si="82"/>
        <v>53.239204620000002</v>
      </c>
      <c r="M177" s="82">
        <f>TRUNC(F177*L177,2)</f>
        <v>0</v>
      </c>
      <c r="N177" s="82">
        <f>TRUNC(G177*L177,2)</f>
        <v>0</v>
      </c>
      <c r="O177" s="82">
        <f>N177+'BM 006'!O177</f>
        <v>0</v>
      </c>
      <c r="P177" s="80">
        <f>E177*K177</f>
        <v>36960</v>
      </c>
      <c r="Q177" s="82">
        <f>TRUNC(E177*L177,2)</f>
        <v>46850.5</v>
      </c>
      <c r="R177" s="82">
        <f>Q177-O177</f>
        <v>46850.5</v>
      </c>
    </row>
    <row r="178" spans="2:18" s="34" customFormat="1" ht="13.2">
      <c r="B178" s="60" t="s">
        <v>348</v>
      </c>
      <c r="C178" s="61" t="s">
        <v>349</v>
      </c>
      <c r="D178" s="60"/>
      <c r="E178" s="62"/>
      <c r="F178" s="63"/>
      <c r="G178" s="63"/>
      <c r="H178" s="63"/>
      <c r="I178" s="63">
        <f>SUM(G178:H178)+'BM 006'!I178</f>
        <v>0</v>
      </c>
      <c r="J178" s="63">
        <f t="shared" si="88"/>
        <v>0</v>
      </c>
      <c r="K178" s="63"/>
      <c r="L178" s="63">
        <f t="shared" si="82"/>
        <v>0</v>
      </c>
      <c r="M178" s="63">
        <f t="shared" ref="M178:R178" si="92">SUM(M179,M205)</f>
        <v>0</v>
      </c>
      <c r="N178" s="63">
        <f t="shared" si="92"/>
        <v>0</v>
      </c>
      <c r="O178" s="63">
        <f t="shared" si="92"/>
        <v>0</v>
      </c>
      <c r="P178" s="63">
        <f t="shared" si="92"/>
        <v>3144051.95</v>
      </c>
      <c r="Q178" s="63">
        <f t="shared" si="92"/>
        <v>3985400.4499999997</v>
      </c>
      <c r="R178" s="63">
        <f t="shared" si="92"/>
        <v>3985400.4499999997</v>
      </c>
    </row>
    <row r="179" spans="2:18" s="34" customFormat="1" ht="13.2">
      <c r="B179" s="66" t="s">
        <v>350</v>
      </c>
      <c r="C179" s="67" t="s">
        <v>351</v>
      </c>
      <c r="D179" s="68"/>
      <c r="E179" s="69"/>
      <c r="F179" s="70"/>
      <c r="G179" s="70"/>
      <c r="H179" s="70"/>
      <c r="I179" s="70">
        <f>SUM(G179:H179)+'BM 006'!I179</f>
        <v>0</v>
      </c>
      <c r="J179" s="70">
        <f t="shared" si="88"/>
        <v>0</v>
      </c>
      <c r="K179" s="71"/>
      <c r="L179" s="71">
        <f t="shared" si="82"/>
        <v>0</v>
      </c>
      <c r="M179" s="73">
        <f t="shared" ref="M179:R179" si="93">SUM(M180:M204)</f>
        <v>0</v>
      </c>
      <c r="N179" s="73">
        <f t="shared" si="93"/>
        <v>0</v>
      </c>
      <c r="O179" s="73">
        <f t="shared" si="93"/>
        <v>0</v>
      </c>
      <c r="P179" s="73">
        <f t="shared" si="93"/>
        <v>2156515.4</v>
      </c>
      <c r="Q179" s="73">
        <f t="shared" si="93"/>
        <v>2733599.05</v>
      </c>
      <c r="R179" s="73">
        <f t="shared" si="93"/>
        <v>2733599.05</v>
      </c>
    </row>
    <row r="180" spans="2:18" s="34" customFormat="1" ht="114.6">
      <c r="B180" s="75" t="s">
        <v>352</v>
      </c>
      <c r="C180" s="88" t="s">
        <v>353</v>
      </c>
      <c r="D180" s="89" t="s">
        <v>63</v>
      </c>
      <c r="E180" s="92">
        <v>56</v>
      </c>
      <c r="F180" s="91"/>
      <c r="G180" s="91"/>
      <c r="H180" s="91"/>
      <c r="I180" s="79">
        <f>SUM(G180:H180)+'BM 006'!I180</f>
        <v>0</v>
      </c>
      <c r="J180" s="91">
        <f t="shared" si="88"/>
        <v>56</v>
      </c>
      <c r="K180" s="84">
        <v>3125</v>
      </c>
      <c r="L180" s="81">
        <f t="shared" si="82"/>
        <v>3961.25034375</v>
      </c>
      <c r="M180" s="82">
        <f t="shared" ref="M180:M204" si="94">TRUNC(F180*L180,2)</f>
        <v>0</v>
      </c>
      <c r="N180" s="82">
        <f t="shared" ref="N180:N204" si="95">TRUNC(G180*L180,2)</f>
        <v>0</v>
      </c>
      <c r="O180" s="82">
        <f>N180+'BM 006'!O180</f>
        <v>0</v>
      </c>
      <c r="P180" s="80">
        <f t="shared" ref="P180:P204" si="96">E180*K180</f>
        <v>175000</v>
      </c>
      <c r="Q180" s="82">
        <f t="shared" ref="Q180:Q204" si="97">TRUNC(E180*L180,2)</f>
        <v>221830.01</v>
      </c>
      <c r="R180" s="82">
        <f t="shared" ref="R180:R204" si="98">Q180-O180</f>
        <v>221830.01</v>
      </c>
    </row>
    <row r="181" spans="2:18" s="34" customFormat="1" ht="103.2">
      <c r="B181" s="75" t="s">
        <v>354</v>
      </c>
      <c r="C181" s="88" t="s">
        <v>355</v>
      </c>
      <c r="D181" s="89" t="s">
        <v>63</v>
      </c>
      <c r="E181" s="92">
        <v>51</v>
      </c>
      <c r="F181" s="91"/>
      <c r="G181" s="91"/>
      <c r="H181" s="91"/>
      <c r="I181" s="79">
        <f>SUM(G181:H181)+'BM 006'!I181</f>
        <v>0</v>
      </c>
      <c r="J181" s="91">
        <f t="shared" si="88"/>
        <v>51</v>
      </c>
      <c r="K181" s="84">
        <v>3580</v>
      </c>
      <c r="L181" s="81">
        <f t="shared" si="82"/>
        <v>4538.0083937999998</v>
      </c>
      <c r="M181" s="82">
        <f t="shared" si="94"/>
        <v>0</v>
      </c>
      <c r="N181" s="82">
        <f t="shared" si="95"/>
        <v>0</v>
      </c>
      <c r="O181" s="82">
        <f>N181+'BM 006'!O181</f>
        <v>0</v>
      </c>
      <c r="P181" s="80">
        <f t="shared" si="96"/>
        <v>182580</v>
      </c>
      <c r="Q181" s="82">
        <f t="shared" si="97"/>
        <v>231438.42</v>
      </c>
      <c r="R181" s="82">
        <f t="shared" si="98"/>
        <v>231438.42</v>
      </c>
    </row>
    <row r="182" spans="2:18" s="34" customFormat="1" ht="114.6">
      <c r="B182" s="75" t="s">
        <v>356</v>
      </c>
      <c r="C182" s="88" t="s">
        <v>357</v>
      </c>
      <c r="D182" s="89" t="s">
        <v>63</v>
      </c>
      <c r="E182" s="92">
        <v>11</v>
      </c>
      <c r="F182" s="91"/>
      <c r="G182" s="91"/>
      <c r="H182" s="91"/>
      <c r="I182" s="79">
        <f>SUM(G182:H182)+'BM 006'!I182</f>
        <v>0</v>
      </c>
      <c r="J182" s="91">
        <f t="shared" si="88"/>
        <v>11</v>
      </c>
      <c r="K182" s="84">
        <v>3995</v>
      </c>
      <c r="L182" s="81">
        <f t="shared" si="82"/>
        <v>5064.0624394500001</v>
      </c>
      <c r="M182" s="82">
        <f t="shared" si="94"/>
        <v>0</v>
      </c>
      <c r="N182" s="82">
        <f t="shared" si="95"/>
        <v>0</v>
      </c>
      <c r="O182" s="82">
        <f>N182+'BM 006'!O182</f>
        <v>0</v>
      </c>
      <c r="P182" s="80">
        <f t="shared" si="96"/>
        <v>43945</v>
      </c>
      <c r="Q182" s="82">
        <f t="shared" si="97"/>
        <v>55704.68</v>
      </c>
      <c r="R182" s="82">
        <f t="shared" si="98"/>
        <v>55704.68</v>
      </c>
    </row>
    <row r="183" spans="2:18" s="34" customFormat="1" ht="80.400000000000006">
      <c r="B183" s="75" t="s">
        <v>358</v>
      </c>
      <c r="C183" s="88" t="s">
        <v>359</v>
      </c>
      <c r="D183" s="89" t="s">
        <v>63</v>
      </c>
      <c r="E183" s="92">
        <v>2</v>
      </c>
      <c r="F183" s="91"/>
      <c r="G183" s="91"/>
      <c r="H183" s="91"/>
      <c r="I183" s="79">
        <f>SUM(G183:H183)+'BM 006'!I183</f>
        <v>0</v>
      </c>
      <c r="J183" s="91">
        <f t="shared" si="88"/>
        <v>2</v>
      </c>
      <c r="K183" s="84">
        <v>4100</v>
      </c>
      <c r="L183" s="81">
        <f t="shared" si="82"/>
        <v>5197.1604510000006</v>
      </c>
      <c r="M183" s="82">
        <f t="shared" si="94"/>
        <v>0</v>
      </c>
      <c r="N183" s="82">
        <f t="shared" si="95"/>
        <v>0</v>
      </c>
      <c r="O183" s="82">
        <f>N183+'BM 006'!O183</f>
        <v>0</v>
      </c>
      <c r="P183" s="80">
        <f t="shared" si="96"/>
        <v>8200</v>
      </c>
      <c r="Q183" s="82">
        <f t="shared" si="97"/>
        <v>10394.32</v>
      </c>
      <c r="R183" s="82">
        <f t="shared" si="98"/>
        <v>10394.32</v>
      </c>
    </row>
    <row r="184" spans="2:18" s="34" customFormat="1" ht="126">
      <c r="B184" s="75" t="s">
        <v>360</v>
      </c>
      <c r="C184" s="88" t="s">
        <v>361</v>
      </c>
      <c r="D184" s="89" t="s">
        <v>63</v>
      </c>
      <c r="E184" s="92">
        <v>24</v>
      </c>
      <c r="F184" s="91"/>
      <c r="G184" s="91"/>
      <c r="H184" s="91"/>
      <c r="I184" s="79">
        <f>SUM(G184:H184)+'BM 006'!I184</f>
        <v>0</v>
      </c>
      <c r="J184" s="91">
        <f t="shared" si="88"/>
        <v>24</v>
      </c>
      <c r="K184" s="84">
        <v>4425</v>
      </c>
      <c r="L184" s="81">
        <f t="shared" si="82"/>
        <v>5609.1304867500003</v>
      </c>
      <c r="M184" s="82">
        <f t="shared" si="94"/>
        <v>0</v>
      </c>
      <c r="N184" s="82">
        <f t="shared" si="95"/>
        <v>0</v>
      </c>
      <c r="O184" s="82">
        <f>N184+'BM 006'!O184</f>
        <v>0</v>
      </c>
      <c r="P184" s="80">
        <f t="shared" si="96"/>
        <v>106200</v>
      </c>
      <c r="Q184" s="82">
        <f t="shared" si="97"/>
        <v>134619.13</v>
      </c>
      <c r="R184" s="82">
        <f t="shared" si="98"/>
        <v>134619.13</v>
      </c>
    </row>
    <row r="185" spans="2:18" s="34" customFormat="1" ht="126">
      <c r="B185" s="75" t="s">
        <v>362</v>
      </c>
      <c r="C185" s="88" t="s">
        <v>363</v>
      </c>
      <c r="D185" s="89" t="s">
        <v>63</v>
      </c>
      <c r="E185" s="92">
        <v>8</v>
      </c>
      <c r="F185" s="91"/>
      <c r="G185" s="91"/>
      <c r="H185" s="91"/>
      <c r="I185" s="79">
        <f>SUM(G185:H185)+'BM 006'!I185</f>
        <v>0</v>
      </c>
      <c r="J185" s="91">
        <f t="shared" si="88"/>
        <v>8</v>
      </c>
      <c r="K185" s="84">
        <v>4495</v>
      </c>
      <c r="L185" s="81">
        <f t="shared" si="82"/>
        <v>5697.8624944500007</v>
      </c>
      <c r="M185" s="82">
        <f t="shared" si="94"/>
        <v>0</v>
      </c>
      <c r="N185" s="82">
        <f t="shared" si="95"/>
        <v>0</v>
      </c>
      <c r="O185" s="82">
        <f>N185+'BM 006'!O185</f>
        <v>0</v>
      </c>
      <c r="P185" s="80">
        <f t="shared" si="96"/>
        <v>35960</v>
      </c>
      <c r="Q185" s="82">
        <f t="shared" si="97"/>
        <v>45582.89</v>
      </c>
      <c r="R185" s="82">
        <f t="shared" si="98"/>
        <v>45582.89</v>
      </c>
    </row>
    <row r="186" spans="2:18" s="34" customFormat="1" ht="57.6">
      <c r="B186" s="75" t="s">
        <v>364</v>
      </c>
      <c r="C186" s="88" t="s">
        <v>365</v>
      </c>
      <c r="D186" s="89" t="s">
        <v>63</v>
      </c>
      <c r="E186" s="92">
        <v>3</v>
      </c>
      <c r="F186" s="91"/>
      <c r="G186" s="91"/>
      <c r="H186" s="91"/>
      <c r="I186" s="79">
        <f>SUM(G186:H186)+'BM 006'!I186</f>
        <v>0</v>
      </c>
      <c r="J186" s="91">
        <f t="shared" si="88"/>
        <v>3</v>
      </c>
      <c r="K186" s="84">
        <v>8550</v>
      </c>
      <c r="L186" s="81">
        <f t="shared" si="82"/>
        <v>10837.9809405</v>
      </c>
      <c r="M186" s="82">
        <f t="shared" si="94"/>
        <v>0</v>
      </c>
      <c r="N186" s="82">
        <f t="shared" si="95"/>
        <v>0</v>
      </c>
      <c r="O186" s="82">
        <f>N186+'BM 006'!O186</f>
        <v>0</v>
      </c>
      <c r="P186" s="80">
        <f t="shared" si="96"/>
        <v>25650</v>
      </c>
      <c r="Q186" s="82">
        <f t="shared" si="97"/>
        <v>32513.94</v>
      </c>
      <c r="R186" s="82">
        <f t="shared" si="98"/>
        <v>32513.94</v>
      </c>
    </row>
    <row r="187" spans="2:18" s="34" customFormat="1" ht="137.4">
      <c r="B187" s="75" t="s">
        <v>366</v>
      </c>
      <c r="C187" s="88" t="s">
        <v>367</v>
      </c>
      <c r="D187" s="89" t="s">
        <v>63</v>
      </c>
      <c r="E187" s="92">
        <v>2</v>
      </c>
      <c r="F187" s="91"/>
      <c r="G187" s="91"/>
      <c r="H187" s="91"/>
      <c r="I187" s="79">
        <f>SUM(G187:H187)+'BM 006'!I187</f>
        <v>0</v>
      </c>
      <c r="J187" s="91">
        <f t="shared" si="88"/>
        <v>2</v>
      </c>
      <c r="K187" s="84">
        <v>6750</v>
      </c>
      <c r="L187" s="81">
        <f t="shared" si="82"/>
        <v>8556.3007424999996</v>
      </c>
      <c r="M187" s="82">
        <f t="shared" si="94"/>
        <v>0</v>
      </c>
      <c r="N187" s="82">
        <f t="shared" si="95"/>
        <v>0</v>
      </c>
      <c r="O187" s="82">
        <f>N187+'BM 006'!O187</f>
        <v>0</v>
      </c>
      <c r="P187" s="80">
        <f t="shared" si="96"/>
        <v>13500</v>
      </c>
      <c r="Q187" s="82">
        <f t="shared" si="97"/>
        <v>17112.599999999999</v>
      </c>
      <c r="R187" s="82">
        <f t="shared" si="98"/>
        <v>17112.599999999999</v>
      </c>
    </row>
    <row r="188" spans="2:18" s="34" customFormat="1" ht="46.2">
      <c r="B188" s="75" t="s">
        <v>368</v>
      </c>
      <c r="C188" s="88" t="s">
        <v>369</v>
      </c>
      <c r="D188" s="89" t="s">
        <v>63</v>
      </c>
      <c r="E188" s="92">
        <v>18</v>
      </c>
      <c r="F188" s="91"/>
      <c r="G188" s="91"/>
      <c r="H188" s="91"/>
      <c r="I188" s="79">
        <f>SUM(G188:H188)+'BM 006'!I188</f>
        <v>0</v>
      </c>
      <c r="J188" s="91">
        <f t="shared" si="88"/>
        <v>18</v>
      </c>
      <c r="K188" s="84">
        <v>2490</v>
      </c>
      <c r="L188" s="81">
        <f t="shared" si="82"/>
        <v>3156.3242739000002</v>
      </c>
      <c r="M188" s="82">
        <f t="shared" si="94"/>
        <v>0</v>
      </c>
      <c r="N188" s="82">
        <f t="shared" si="95"/>
        <v>0</v>
      </c>
      <c r="O188" s="82">
        <f>N188+'BM 006'!O188</f>
        <v>0</v>
      </c>
      <c r="P188" s="80">
        <f t="shared" si="96"/>
        <v>44820</v>
      </c>
      <c r="Q188" s="82">
        <f t="shared" si="97"/>
        <v>56813.83</v>
      </c>
      <c r="R188" s="82">
        <f t="shared" si="98"/>
        <v>56813.83</v>
      </c>
    </row>
    <row r="189" spans="2:18" s="34" customFormat="1" ht="57.6">
      <c r="B189" s="75" t="s">
        <v>370</v>
      </c>
      <c r="C189" s="88" t="s">
        <v>371</v>
      </c>
      <c r="D189" s="89" t="s">
        <v>63</v>
      </c>
      <c r="E189" s="92">
        <v>1</v>
      </c>
      <c r="F189" s="91"/>
      <c r="G189" s="91"/>
      <c r="H189" s="91"/>
      <c r="I189" s="79">
        <f>SUM(G189:H189)+'BM 006'!I189</f>
        <v>0</v>
      </c>
      <c r="J189" s="91">
        <f t="shared" si="88"/>
        <v>1</v>
      </c>
      <c r="K189" s="84">
        <v>5950</v>
      </c>
      <c r="L189" s="81">
        <f t="shared" si="82"/>
        <v>7542.2206544999999</v>
      </c>
      <c r="M189" s="82">
        <f t="shared" si="94"/>
        <v>0</v>
      </c>
      <c r="N189" s="82">
        <f t="shared" si="95"/>
        <v>0</v>
      </c>
      <c r="O189" s="82">
        <f>N189+'BM 006'!O189</f>
        <v>0</v>
      </c>
      <c r="P189" s="80">
        <f t="shared" si="96"/>
        <v>5950</v>
      </c>
      <c r="Q189" s="82">
        <f t="shared" si="97"/>
        <v>7542.22</v>
      </c>
      <c r="R189" s="82">
        <f t="shared" si="98"/>
        <v>7542.22</v>
      </c>
    </row>
    <row r="190" spans="2:18" s="34" customFormat="1" ht="57.6">
      <c r="B190" s="75" t="s">
        <v>372</v>
      </c>
      <c r="C190" s="88" t="s">
        <v>373</v>
      </c>
      <c r="D190" s="89" t="s">
        <v>63</v>
      </c>
      <c r="E190" s="92">
        <v>1</v>
      </c>
      <c r="F190" s="91"/>
      <c r="G190" s="91"/>
      <c r="H190" s="91"/>
      <c r="I190" s="79">
        <f>SUM(G190:H190)+'BM 006'!I190</f>
        <v>0</v>
      </c>
      <c r="J190" s="91">
        <f t="shared" si="88"/>
        <v>1</v>
      </c>
      <c r="K190" s="84">
        <v>5950</v>
      </c>
      <c r="L190" s="81">
        <f t="shared" si="82"/>
        <v>7542.2206544999999</v>
      </c>
      <c r="M190" s="82">
        <f t="shared" si="94"/>
        <v>0</v>
      </c>
      <c r="N190" s="82">
        <f t="shared" si="95"/>
        <v>0</v>
      </c>
      <c r="O190" s="82">
        <f>N190+'BM 006'!O190</f>
        <v>0</v>
      </c>
      <c r="P190" s="80">
        <f t="shared" si="96"/>
        <v>5950</v>
      </c>
      <c r="Q190" s="82">
        <f t="shared" si="97"/>
        <v>7542.22</v>
      </c>
      <c r="R190" s="82">
        <f t="shared" si="98"/>
        <v>7542.22</v>
      </c>
    </row>
    <row r="191" spans="2:18" s="34" customFormat="1" ht="57.6">
      <c r="B191" s="75" t="s">
        <v>374</v>
      </c>
      <c r="C191" s="88" t="s">
        <v>375</v>
      </c>
      <c r="D191" s="89" t="s">
        <v>79</v>
      </c>
      <c r="E191" s="92">
        <v>184.04</v>
      </c>
      <c r="F191" s="91"/>
      <c r="G191" s="91"/>
      <c r="H191" s="91"/>
      <c r="I191" s="79">
        <f>SUM(G191:H191)+'BM 006'!I191</f>
        <v>0</v>
      </c>
      <c r="J191" s="91">
        <f t="shared" si="88"/>
        <v>184.04</v>
      </c>
      <c r="K191" s="84">
        <v>1265</v>
      </c>
      <c r="L191" s="81">
        <f t="shared" si="82"/>
        <v>1603.5141391500001</v>
      </c>
      <c r="M191" s="82">
        <f t="shared" si="94"/>
        <v>0</v>
      </c>
      <c r="N191" s="82">
        <f t="shared" si="95"/>
        <v>0</v>
      </c>
      <c r="O191" s="82">
        <f>N191+'BM 006'!O191</f>
        <v>0</v>
      </c>
      <c r="P191" s="80">
        <f t="shared" si="96"/>
        <v>232810.59999999998</v>
      </c>
      <c r="Q191" s="82">
        <f t="shared" si="97"/>
        <v>295110.74</v>
      </c>
      <c r="R191" s="82">
        <f t="shared" si="98"/>
        <v>295110.74</v>
      </c>
    </row>
    <row r="192" spans="2:18" s="34" customFormat="1" ht="46.2">
      <c r="B192" s="75" t="s">
        <v>376</v>
      </c>
      <c r="C192" s="88" t="s">
        <v>377</v>
      </c>
      <c r="D192" s="89" t="s">
        <v>79</v>
      </c>
      <c r="E192" s="92">
        <v>53.96</v>
      </c>
      <c r="F192" s="91"/>
      <c r="G192" s="91"/>
      <c r="H192" s="91"/>
      <c r="I192" s="79">
        <f>SUM(G192:H192)+'BM 006'!I192</f>
        <v>0</v>
      </c>
      <c r="J192" s="91">
        <f t="shared" si="88"/>
        <v>53.96</v>
      </c>
      <c r="K192" s="84">
        <v>1080</v>
      </c>
      <c r="L192" s="81">
        <f t="shared" si="82"/>
        <v>1369.0081188000001</v>
      </c>
      <c r="M192" s="82">
        <f t="shared" si="94"/>
        <v>0</v>
      </c>
      <c r="N192" s="82">
        <f t="shared" si="95"/>
        <v>0</v>
      </c>
      <c r="O192" s="82">
        <f>N192+'BM 006'!O192</f>
        <v>0</v>
      </c>
      <c r="P192" s="80">
        <f t="shared" si="96"/>
        <v>58276.800000000003</v>
      </c>
      <c r="Q192" s="82">
        <f t="shared" si="97"/>
        <v>73871.67</v>
      </c>
      <c r="R192" s="82">
        <f t="shared" si="98"/>
        <v>73871.67</v>
      </c>
    </row>
    <row r="193" spans="2:18" s="34" customFormat="1" ht="57.6">
      <c r="B193" s="75" t="s">
        <v>378</v>
      </c>
      <c r="C193" s="88" t="s">
        <v>379</v>
      </c>
      <c r="D193" s="89" t="s">
        <v>79</v>
      </c>
      <c r="E193" s="92">
        <v>130.29</v>
      </c>
      <c r="F193" s="91"/>
      <c r="G193" s="91"/>
      <c r="H193" s="91"/>
      <c r="I193" s="79">
        <f>SUM(G193:H193)+'BM 006'!I193</f>
        <v>0</v>
      </c>
      <c r="J193" s="91">
        <f t="shared" si="88"/>
        <v>130.29</v>
      </c>
      <c r="K193" s="84">
        <v>1220</v>
      </c>
      <c r="L193" s="81">
        <f t="shared" si="82"/>
        <v>1546.4721342</v>
      </c>
      <c r="M193" s="82">
        <f t="shared" si="94"/>
        <v>0</v>
      </c>
      <c r="N193" s="82">
        <f t="shared" si="95"/>
        <v>0</v>
      </c>
      <c r="O193" s="82">
        <f>N193+'BM 006'!O193</f>
        <v>0</v>
      </c>
      <c r="P193" s="80">
        <f t="shared" si="96"/>
        <v>158953.79999999999</v>
      </c>
      <c r="Q193" s="82">
        <f t="shared" si="97"/>
        <v>201489.85</v>
      </c>
      <c r="R193" s="82">
        <f t="shared" si="98"/>
        <v>201489.85</v>
      </c>
    </row>
    <row r="194" spans="2:18" s="34" customFormat="1" ht="57.6">
      <c r="B194" s="75" t="s">
        <v>380</v>
      </c>
      <c r="C194" s="88" t="s">
        <v>381</v>
      </c>
      <c r="D194" s="89" t="s">
        <v>79</v>
      </c>
      <c r="E194" s="92">
        <v>27.88</v>
      </c>
      <c r="F194" s="91"/>
      <c r="G194" s="91"/>
      <c r="H194" s="91"/>
      <c r="I194" s="79">
        <f>SUM(G194:H194)+'BM 006'!I194</f>
        <v>0</v>
      </c>
      <c r="J194" s="91">
        <f t="shared" si="88"/>
        <v>27.88</v>
      </c>
      <c r="K194" s="84">
        <v>2180</v>
      </c>
      <c r="L194" s="81">
        <f t="shared" si="82"/>
        <v>2763.3682398000001</v>
      </c>
      <c r="M194" s="82">
        <f t="shared" si="94"/>
        <v>0</v>
      </c>
      <c r="N194" s="82">
        <f t="shared" si="95"/>
        <v>0</v>
      </c>
      <c r="O194" s="82">
        <f>N194+'BM 006'!O194</f>
        <v>0</v>
      </c>
      <c r="P194" s="80">
        <f t="shared" si="96"/>
        <v>60778.400000000001</v>
      </c>
      <c r="Q194" s="82">
        <f t="shared" si="97"/>
        <v>77042.7</v>
      </c>
      <c r="R194" s="82">
        <f t="shared" si="98"/>
        <v>77042.7</v>
      </c>
    </row>
    <row r="195" spans="2:18" s="34" customFormat="1" ht="46.2">
      <c r="B195" s="75" t="s">
        <v>382</v>
      </c>
      <c r="C195" s="88" t="s">
        <v>383</v>
      </c>
      <c r="D195" s="89" t="s">
        <v>79</v>
      </c>
      <c r="E195" s="92">
        <v>24.23</v>
      </c>
      <c r="F195" s="91"/>
      <c r="G195" s="91"/>
      <c r="H195" s="91"/>
      <c r="I195" s="79">
        <f>SUM(G195:H195)+'BM 006'!I195</f>
        <v>0</v>
      </c>
      <c r="J195" s="91">
        <f t="shared" si="88"/>
        <v>24.23</v>
      </c>
      <c r="K195" s="84">
        <v>1170</v>
      </c>
      <c r="L195" s="81">
        <f t="shared" si="82"/>
        <v>1483.0921287000001</v>
      </c>
      <c r="M195" s="82">
        <f t="shared" si="94"/>
        <v>0</v>
      </c>
      <c r="N195" s="82">
        <f t="shared" si="95"/>
        <v>0</v>
      </c>
      <c r="O195" s="82">
        <f>N195+'BM 006'!O195</f>
        <v>0</v>
      </c>
      <c r="P195" s="80">
        <f t="shared" si="96"/>
        <v>28349.100000000002</v>
      </c>
      <c r="Q195" s="82">
        <f t="shared" si="97"/>
        <v>35935.32</v>
      </c>
      <c r="R195" s="82">
        <f t="shared" si="98"/>
        <v>35935.32</v>
      </c>
    </row>
    <row r="196" spans="2:18" s="34" customFormat="1" ht="57.6">
      <c r="B196" s="75" t="s">
        <v>384</v>
      </c>
      <c r="C196" s="88" t="s">
        <v>385</v>
      </c>
      <c r="D196" s="89" t="s">
        <v>79</v>
      </c>
      <c r="E196" s="92">
        <v>93.13</v>
      </c>
      <c r="F196" s="91"/>
      <c r="G196" s="91"/>
      <c r="H196" s="91"/>
      <c r="I196" s="79">
        <f>SUM(G196:H196)+'BM 006'!I196</f>
        <v>0</v>
      </c>
      <c r="J196" s="91">
        <f t="shared" si="88"/>
        <v>93.13</v>
      </c>
      <c r="K196" s="84">
        <v>1190</v>
      </c>
      <c r="L196" s="81">
        <f t="shared" si="82"/>
        <v>1508.4441309000001</v>
      </c>
      <c r="M196" s="82">
        <f t="shared" si="94"/>
        <v>0</v>
      </c>
      <c r="N196" s="82">
        <f t="shared" si="95"/>
        <v>0</v>
      </c>
      <c r="O196" s="82">
        <f>N196+'BM 006'!O196</f>
        <v>0</v>
      </c>
      <c r="P196" s="80">
        <f t="shared" si="96"/>
        <v>110824.7</v>
      </c>
      <c r="Q196" s="82">
        <f t="shared" si="97"/>
        <v>140481.4</v>
      </c>
      <c r="R196" s="82">
        <f t="shared" si="98"/>
        <v>140481.4</v>
      </c>
    </row>
    <row r="197" spans="2:18" s="34" customFormat="1" ht="91.8">
      <c r="B197" s="75" t="s">
        <v>386</v>
      </c>
      <c r="C197" s="88" t="s">
        <v>387</v>
      </c>
      <c r="D197" s="89" t="s">
        <v>79</v>
      </c>
      <c r="E197" s="92">
        <v>570.20000000000005</v>
      </c>
      <c r="F197" s="91"/>
      <c r="G197" s="91"/>
      <c r="H197" s="91"/>
      <c r="I197" s="79">
        <f>SUM(G197:H197)+'BM 006'!I197</f>
        <v>0</v>
      </c>
      <c r="J197" s="91">
        <f t="shared" si="88"/>
        <v>570.20000000000005</v>
      </c>
      <c r="K197" s="84">
        <v>1190</v>
      </c>
      <c r="L197" s="81">
        <f t="shared" si="82"/>
        <v>1508.4441309000001</v>
      </c>
      <c r="M197" s="82">
        <f t="shared" si="94"/>
        <v>0</v>
      </c>
      <c r="N197" s="82">
        <f t="shared" si="95"/>
        <v>0</v>
      </c>
      <c r="O197" s="82">
        <f>N197+'BM 006'!O197</f>
        <v>0</v>
      </c>
      <c r="P197" s="80">
        <f t="shared" si="96"/>
        <v>678538</v>
      </c>
      <c r="Q197" s="82">
        <f t="shared" si="97"/>
        <v>860114.84</v>
      </c>
      <c r="R197" s="82">
        <f t="shared" si="98"/>
        <v>860114.84</v>
      </c>
    </row>
    <row r="198" spans="2:18" s="34" customFormat="1" ht="23.4">
      <c r="B198" s="75" t="s">
        <v>388</v>
      </c>
      <c r="C198" s="88" t="s">
        <v>389</v>
      </c>
      <c r="D198" s="89" t="s">
        <v>390</v>
      </c>
      <c r="E198" s="92">
        <v>4</v>
      </c>
      <c r="F198" s="91"/>
      <c r="G198" s="91"/>
      <c r="H198" s="91"/>
      <c r="I198" s="79">
        <f>SUM(G198:H198)+'BM 006'!I198</f>
        <v>0</v>
      </c>
      <c r="J198" s="91">
        <f t="shared" si="88"/>
        <v>4</v>
      </c>
      <c r="K198" s="84">
        <v>1780</v>
      </c>
      <c r="L198" s="81">
        <f t="shared" si="82"/>
        <v>2256.3281958000002</v>
      </c>
      <c r="M198" s="82">
        <f t="shared" si="94"/>
        <v>0</v>
      </c>
      <c r="N198" s="82">
        <f t="shared" si="95"/>
        <v>0</v>
      </c>
      <c r="O198" s="82">
        <f>N198+'BM 006'!O198</f>
        <v>0</v>
      </c>
      <c r="P198" s="80">
        <f t="shared" si="96"/>
        <v>7120</v>
      </c>
      <c r="Q198" s="82">
        <f t="shared" si="97"/>
        <v>9025.31</v>
      </c>
      <c r="R198" s="82">
        <f t="shared" si="98"/>
        <v>9025.31</v>
      </c>
    </row>
    <row r="199" spans="2:18" s="34" customFormat="1" ht="23.4">
      <c r="B199" s="75" t="s">
        <v>391</v>
      </c>
      <c r="C199" s="88" t="s">
        <v>392</v>
      </c>
      <c r="D199" s="89" t="s">
        <v>390</v>
      </c>
      <c r="E199" s="92">
        <v>1</v>
      </c>
      <c r="F199" s="91"/>
      <c r="G199" s="91"/>
      <c r="H199" s="91"/>
      <c r="I199" s="79">
        <f>SUM(G199:H199)+'BM 006'!I199</f>
        <v>0</v>
      </c>
      <c r="J199" s="91">
        <f t="shared" si="88"/>
        <v>1</v>
      </c>
      <c r="K199" s="84">
        <v>840</v>
      </c>
      <c r="L199" s="81">
        <f t="shared" si="82"/>
        <v>1064.7840924</v>
      </c>
      <c r="M199" s="82">
        <f t="shared" si="94"/>
        <v>0</v>
      </c>
      <c r="N199" s="82">
        <f t="shared" si="95"/>
        <v>0</v>
      </c>
      <c r="O199" s="82">
        <f>N199+'BM 006'!O199</f>
        <v>0</v>
      </c>
      <c r="P199" s="80">
        <f t="shared" si="96"/>
        <v>840</v>
      </c>
      <c r="Q199" s="82">
        <f t="shared" si="97"/>
        <v>1064.78</v>
      </c>
      <c r="R199" s="82">
        <f t="shared" si="98"/>
        <v>1064.78</v>
      </c>
    </row>
    <row r="200" spans="2:18" s="34" customFormat="1" ht="23.4">
      <c r="B200" s="75" t="s">
        <v>393</v>
      </c>
      <c r="C200" s="88" t="s">
        <v>394</v>
      </c>
      <c r="D200" s="89" t="s">
        <v>390</v>
      </c>
      <c r="E200" s="92">
        <v>6</v>
      </c>
      <c r="F200" s="91"/>
      <c r="G200" s="91"/>
      <c r="H200" s="91"/>
      <c r="I200" s="79">
        <f>SUM(G200:H200)+'BM 006'!I200</f>
        <v>0</v>
      </c>
      <c r="J200" s="91">
        <f t="shared" si="88"/>
        <v>6</v>
      </c>
      <c r="K200" s="84">
        <v>2190</v>
      </c>
      <c r="L200" s="81">
        <f t="shared" si="82"/>
        <v>2776.0442409000002</v>
      </c>
      <c r="M200" s="82">
        <f t="shared" si="94"/>
        <v>0</v>
      </c>
      <c r="N200" s="82">
        <f t="shared" si="95"/>
        <v>0</v>
      </c>
      <c r="O200" s="82">
        <f>N200+'BM 006'!O200</f>
        <v>0</v>
      </c>
      <c r="P200" s="80">
        <f t="shared" si="96"/>
        <v>13140</v>
      </c>
      <c r="Q200" s="82">
        <f t="shared" si="97"/>
        <v>16656.259999999998</v>
      </c>
      <c r="R200" s="82">
        <f t="shared" si="98"/>
        <v>16656.259999999998</v>
      </c>
    </row>
    <row r="201" spans="2:18" s="34" customFormat="1" ht="46.2">
      <c r="B201" s="75" t="s">
        <v>395</v>
      </c>
      <c r="C201" s="88" t="s">
        <v>396</v>
      </c>
      <c r="D201" s="89" t="s">
        <v>390</v>
      </c>
      <c r="E201" s="92">
        <v>24</v>
      </c>
      <c r="F201" s="91"/>
      <c r="G201" s="91"/>
      <c r="H201" s="91"/>
      <c r="I201" s="79">
        <f>SUM(G201:H201)+'BM 006'!I201</f>
        <v>0</v>
      </c>
      <c r="J201" s="91">
        <f t="shared" si="88"/>
        <v>24</v>
      </c>
      <c r="K201" s="84">
        <v>1950</v>
      </c>
      <c r="L201" s="81">
        <f t="shared" si="82"/>
        <v>2471.8202145</v>
      </c>
      <c r="M201" s="82">
        <f t="shared" si="94"/>
        <v>0</v>
      </c>
      <c r="N201" s="82">
        <f t="shared" si="95"/>
        <v>0</v>
      </c>
      <c r="O201" s="82">
        <f>N201+'BM 006'!O201</f>
        <v>0</v>
      </c>
      <c r="P201" s="80">
        <f t="shared" si="96"/>
        <v>46800</v>
      </c>
      <c r="Q201" s="82">
        <f t="shared" si="97"/>
        <v>59323.68</v>
      </c>
      <c r="R201" s="82">
        <f t="shared" si="98"/>
        <v>59323.68</v>
      </c>
    </row>
    <row r="202" spans="2:18" s="34" customFormat="1" ht="34.799999999999997">
      <c r="B202" s="75" t="s">
        <v>397</v>
      </c>
      <c r="C202" s="88" t="s">
        <v>398</v>
      </c>
      <c r="D202" s="89" t="s">
        <v>79</v>
      </c>
      <c r="E202" s="92">
        <v>17.82</v>
      </c>
      <c r="F202" s="91"/>
      <c r="G202" s="91"/>
      <c r="H202" s="91"/>
      <c r="I202" s="79">
        <f>SUM(G202:H202)+'BM 006'!I202</f>
        <v>0</v>
      </c>
      <c r="J202" s="91">
        <f t="shared" si="88"/>
        <v>17.82</v>
      </c>
      <c r="K202" s="84">
        <v>950</v>
      </c>
      <c r="L202" s="81">
        <f t="shared" si="82"/>
        <v>1204.2201045000002</v>
      </c>
      <c r="M202" s="82">
        <f t="shared" si="94"/>
        <v>0</v>
      </c>
      <c r="N202" s="82">
        <f t="shared" si="95"/>
        <v>0</v>
      </c>
      <c r="O202" s="82">
        <f>N202+'BM 006'!O202</f>
        <v>0</v>
      </c>
      <c r="P202" s="80">
        <f t="shared" si="96"/>
        <v>16929</v>
      </c>
      <c r="Q202" s="82">
        <f t="shared" si="97"/>
        <v>21459.200000000001</v>
      </c>
      <c r="R202" s="82">
        <f t="shared" si="98"/>
        <v>21459.200000000001</v>
      </c>
    </row>
    <row r="203" spans="2:18" s="34" customFormat="1" ht="46.2">
      <c r="B203" s="75" t="s">
        <v>399</v>
      </c>
      <c r="C203" s="88" t="s">
        <v>400</v>
      </c>
      <c r="D203" s="89" t="s">
        <v>63</v>
      </c>
      <c r="E203" s="92">
        <v>18</v>
      </c>
      <c r="F203" s="91"/>
      <c r="G203" s="91"/>
      <c r="H203" s="91"/>
      <c r="I203" s="79">
        <f>SUM(G203:H203)+'BM 006'!I203</f>
        <v>0</v>
      </c>
      <c r="J203" s="91">
        <f t="shared" si="88"/>
        <v>18</v>
      </c>
      <c r="K203" s="84">
        <v>2480</v>
      </c>
      <c r="L203" s="81">
        <f t="shared" si="82"/>
        <v>3143.6482728000001</v>
      </c>
      <c r="M203" s="82">
        <f t="shared" si="94"/>
        <v>0</v>
      </c>
      <c r="N203" s="82">
        <f t="shared" si="95"/>
        <v>0</v>
      </c>
      <c r="O203" s="82">
        <f>N203+'BM 006'!O203</f>
        <v>0</v>
      </c>
      <c r="P203" s="80">
        <f t="shared" si="96"/>
        <v>44640</v>
      </c>
      <c r="Q203" s="82">
        <f t="shared" si="97"/>
        <v>56585.66</v>
      </c>
      <c r="R203" s="82">
        <f t="shared" si="98"/>
        <v>56585.66</v>
      </c>
    </row>
    <row r="204" spans="2:18" s="34" customFormat="1" ht="46.2">
      <c r="B204" s="75" t="s">
        <v>401</v>
      </c>
      <c r="C204" s="88" t="s">
        <v>402</v>
      </c>
      <c r="D204" s="89" t="s">
        <v>63</v>
      </c>
      <c r="E204" s="92">
        <v>47</v>
      </c>
      <c r="F204" s="91"/>
      <c r="G204" s="91"/>
      <c r="H204" s="91"/>
      <c r="I204" s="79">
        <f>SUM(G204:H204)+'BM 006'!I204</f>
        <v>0</v>
      </c>
      <c r="J204" s="91">
        <f t="shared" si="88"/>
        <v>47</v>
      </c>
      <c r="K204" s="84">
        <v>1080</v>
      </c>
      <c r="L204" s="81">
        <f t="shared" si="82"/>
        <v>1369.0081188000001</v>
      </c>
      <c r="M204" s="82">
        <f t="shared" si="94"/>
        <v>0</v>
      </c>
      <c r="N204" s="82">
        <f t="shared" si="95"/>
        <v>0</v>
      </c>
      <c r="O204" s="82">
        <f>N204+'BM 006'!O204</f>
        <v>0</v>
      </c>
      <c r="P204" s="80">
        <f t="shared" si="96"/>
        <v>50760</v>
      </c>
      <c r="Q204" s="82">
        <f t="shared" si="97"/>
        <v>64343.38</v>
      </c>
      <c r="R204" s="82">
        <f t="shared" si="98"/>
        <v>64343.38</v>
      </c>
    </row>
    <row r="205" spans="2:18" s="34" customFormat="1" ht="13.2">
      <c r="B205" s="66" t="s">
        <v>403</v>
      </c>
      <c r="C205" s="67" t="s">
        <v>404</v>
      </c>
      <c r="D205" s="68"/>
      <c r="E205" s="69"/>
      <c r="F205" s="70"/>
      <c r="G205" s="70"/>
      <c r="H205" s="70"/>
      <c r="I205" s="70">
        <f>SUM(G205:H205)+'BM 006'!I205</f>
        <v>0</v>
      </c>
      <c r="J205" s="70">
        <f t="shared" si="88"/>
        <v>0</v>
      </c>
      <c r="K205" s="71"/>
      <c r="L205" s="71">
        <f t="shared" si="82"/>
        <v>0</v>
      </c>
      <c r="M205" s="73">
        <f t="shared" ref="M205:R205" si="99">SUM(M206:M214)</f>
        <v>0</v>
      </c>
      <c r="N205" s="73">
        <f t="shared" si="99"/>
        <v>0</v>
      </c>
      <c r="O205" s="73">
        <f t="shared" si="99"/>
        <v>0</v>
      </c>
      <c r="P205" s="73">
        <f t="shared" si="99"/>
        <v>987536.55</v>
      </c>
      <c r="Q205" s="73">
        <f t="shared" si="99"/>
        <v>1251801.3999999999</v>
      </c>
      <c r="R205" s="73">
        <f t="shared" si="99"/>
        <v>1251801.3999999999</v>
      </c>
    </row>
    <row r="206" spans="2:18" s="34" customFormat="1" ht="46.2">
      <c r="B206" s="87" t="s">
        <v>405</v>
      </c>
      <c r="C206" s="88" t="s">
        <v>406</v>
      </c>
      <c r="D206" s="89" t="s">
        <v>124</v>
      </c>
      <c r="E206" s="92">
        <v>158.59</v>
      </c>
      <c r="F206" s="91"/>
      <c r="G206" s="91"/>
      <c r="H206" s="91"/>
      <c r="I206" s="79">
        <f>SUM(G206:H206)+'BM 006'!I206</f>
        <v>0</v>
      </c>
      <c r="J206" s="91">
        <f t="shared" si="88"/>
        <v>158.59</v>
      </c>
      <c r="K206" s="84">
        <v>415</v>
      </c>
      <c r="L206" s="81">
        <f t="shared" si="82"/>
        <v>526.05404565000003</v>
      </c>
      <c r="M206" s="82">
        <f t="shared" ref="M206:M214" si="100">TRUNC(F206*L206,2)</f>
        <v>0</v>
      </c>
      <c r="N206" s="82">
        <f t="shared" ref="N206:N214" si="101">TRUNC(G206*L206,2)</f>
        <v>0</v>
      </c>
      <c r="O206" s="82">
        <f>N206+'BM 006'!O206</f>
        <v>0</v>
      </c>
      <c r="P206" s="80">
        <f t="shared" ref="P206:P214" si="102">E206*K206</f>
        <v>65814.850000000006</v>
      </c>
      <c r="Q206" s="82">
        <f t="shared" ref="Q206:Q214" si="103">TRUNC(E206*L206,2)</f>
        <v>83426.91</v>
      </c>
      <c r="R206" s="82">
        <f t="shared" ref="R206:R214" si="104">Q206-O206</f>
        <v>83426.91</v>
      </c>
    </row>
    <row r="207" spans="2:18" s="34" customFormat="1" ht="13.2">
      <c r="B207" s="87" t="s">
        <v>407</v>
      </c>
      <c r="C207" s="88" t="s">
        <v>408</v>
      </c>
      <c r="D207" s="89" t="s">
        <v>124</v>
      </c>
      <c r="E207" s="92">
        <v>198.52</v>
      </c>
      <c r="F207" s="91"/>
      <c r="G207" s="91"/>
      <c r="H207" s="91"/>
      <c r="I207" s="79">
        <f>SUM(G207:H207)+'BM 006'!I207</f>
        <v>0</v>
      </c>
      <c r="J207" s="91">
        <f t="shared" si="88"/>
        <v>198.52</v>
      </c>
      <c r="K207" s="84">
        <v>455</v>
      </c>
      <c r="L207" s="81">
        <f t="shared" si="82"/>
        <v>576.75805005000007</v>
      </c>
      <c r="M207" s="82">
        <f t="shared" si="100"/>
        <v>0</v>
      </c>
      <c r="N207" s="82">
        <f t="shared" si="101"/>
        <v>0</v>
      </c>
      <c r="O207" s="82">
        <f>N207+'BM 006'!O207</f>
        <v>0</v>
      </c>
      <c r="P207" s="80">
        <f t="shared" si="102"/>
        <v>90326.6</v>
      </c>
      <c r="Q207" s="82">
        <f t="shared" si="103"/>
        <v>114498</v>
      </c>
      <c r="R207" s="82">
        <f t="shared" si="104"/>
        <v>114498</v>
      </c>
    </row>
    <row r="208" spans="2:18" s="34" customFormat="1" ht="23.4">
      <c r="B208" s="87" t="s">
        <v>409</v>
      </c>
      <c r="C208" s="88" t="s">
        <v>410</v>
      </c>
      <c r="D208" s="89" t="s">
        <v>124</v>
      </c>
      <c r="E208" s="92">
        <v>129.65</v>
      </c>
      <c r="F208" s="91"/>
      <c r="G208" s="91"/>
      <c r="H208" s="91"/>
      <c r="I208" s="79">
        <f>SUM(G208:H208)+'BM 006'!I208</f>
        <v>0</v>
      </c>
      <c r="J208" s="91">
        <f t="shared" si="88"/>
        <v>129.65</v>
      </c>
      <c r="K208" s="84">
        <v>745</v>
      </c>
      <c r="L208" s="81">
        <f t="shared" si="82"/>
        <v>944.36208195000006</v>
      </c>
      <c r="M208" s="82">
        <f t="shared" si="100"/>
        <v>0</v>
      </c>
      <c r="N208" s="82">
        <f t="shared" si="101"/>
        <v>0</v>
      </c>
      <c r="O208" s="82">
        <f>N208+'BM 006'!O208</f>
        <v>0</v>
      </c>
      <c r="P208" s="80">
        <f t="shared" si="102"/>
        <v>96589.25</v>
      </c>
      <c r="Q208" s="82">
        <f t="shared" si="103"/>
        <v>122436.54</v>
      </c>
      <c r="R208" s="82">
        <f t="shared" si="104"/>
        <v>122436.54</v>
      </c>
    </row>
    <row r="209" spans="1:23" s="34" customFormat="1" ht="23.4">
      <c r="B209" s="87" t="s">
        <v>411</v>
      </c>
      <c r="C209" s="88" t="s">
        <v>412</v>
      </c>
      <c r="D209" s="89" t="s">
        <v>124</v>
      </c>
      <c r="E209" s="92">
        <v>98.74</v>
      </c>
      <c r="F209" s="91"/>
      <c r="G209" s="91"/>
      <c r="H209" s="91"/>
      <c r="I209" s="79">
        <f>SUM(G209:H209)+'BM 006'!I209</f>
        <v>0</v>
      </c>
      <c r="J209" s="91">
        <f t="shared" si="88"/>
        <v>98.74</v>
      </c>
      <c r="K209" s="84">
        <v>855</v>
      </c>
      <c r="L209" s="81">
        <f t="shared" si="82"/>
        <v>1083.7980940500001</v>
      </c>
      <c r="M209" s="82">
        <f t="shared" si="100"/>
        <v>0</v>
      </c>
      <c r="N209" s="82">
        <f t="shared" si="101"/>
        <v>0</v>
      </c>
      <c r="O209" s="82">
        <f>N209+'BM 006'!O209</f>
        <v>0</v>
      </c>
      <c r="P209" s="80">
        <f t="shared" si="102"/>
        <v>84422.7</v>
      </c>
      <c r="Q209" s="82">
        <f t="shared" si="103"/>
        <v>107014.22</v>
      </c>
      <c r="R209" s="82">
        <f t="shared" si="104"/>
        <v>107014.22</v>
      </c>
    </row>
    <row r="210" spans="1:23" s="34" customFormat="1" ht="69">
      <c r="B210" s="87" t="s">
        <v>413</v>
      </c>
      <c r="C210" s="88" t="s">
        <v>414</v>
      </c>
      <c r="D210" s="89" t="s">
        <v>82</v>
      </c>
      <c r="E210" s="92">
        <v>12</v>
      </c>
      <c r="F210" s="91"/>
      <c r="G210" s="91"/>
      <c r="H210" s="91"/>
      <c r="I210" s="79">
        <f>SUM(G210:H210)+'BM 006'!I210</f>
        <v>0</v>
      </c>
      <c r="J210" s="91">
        <f t="shared" si="88"/>
        <v>12</v>
      </c>
      <c r="K210" s="84">
        <v>1650</v>
      </c>
      <c r="L210" s="81">
        <f t="shared" si="82"/>
        <v>2091.5401815</v>
      </c>
      <c r="M210" s="82">
        <f t="shared" si="100"/>
        <v>0</v>
      </c>
      <c r="N210" s="82">
        <f t="shared" si="101"/>
        <v>0</v>
      </c>
      <c r="O210" s="82">
        <f>N210+'BM 006'!O210</f>
        <v>0</v>
      </c>
      <c r="P210" s="80">
        <f t="shared" si="102"/>
        <v>19800</v>
      </c>
      <c r="Q210" s="82">
        <f t="shared" si="103"/>
        <v>25098.48</v>
      </c>
      <c r="R210" s="82">
        <f t="shared" si="104"/>
        <v>25098.48</v>
      </c>
    </row>
    <row r="211" spans="1:23" s="34" customFormat="1" ht="13.2">
      <c r="B211" s="87" t="s">
        <v>415</v>
      </c>
      <c r="C211" s="88" t="s">
        <v>416</v>
      </c>
      <c r="D211" s="89" t="s">
        <v>79</v>
      </c>
      <c r="E211" s="92">
        <v>72.650000000000006</v>
      </c>
      <c r="F211" s="91"/>
      <c r="G211" s="91"/>
      <c r="H211" s="91"/>
      <c r="I211" s="79">
        <f>SUM(G211:H211)+'BM 006'!I211</f>
        <v>0</v>
      </c>
      <c r="J211" s="91">
        <f t="shared" si="88"/>
        <v>72.650000000000006</v>
      </c>
      <c r="K211" s="84">
        <v>485</v>
      </c>
      <c r="L211" s="81">
        <f t="shared" si="82"/>
        <v>614.78605334999997</v>
      </c>
      <c r="M211" s="82">
        <f t="shared" si="100"/>
        <v>0</v>
      </c>
      <c r="N211" s="82">
        <f t="shared" si="101"/>
        <v>0</v>
      </c>
      <c r="O211" s="82">
        <f>N211+'BM 006'!O211</f>
        <v>0</v>
      </c>
      <c r="P211" s="80">
        <f t="shared" si="102"/>
        <v>35235.25</v>
      </c>
      <c r="Q211" s="82">
        <f t="shared" si="103"/>
        <v>44664.2</v>
      </c>
      <c r="R211" s="82">
        <f t="shared" si="104"/>
        <v>44664.2</v>
      </c>
    </row>
    <row r="212" spans="1:23" s="34" customFormat="1" ht="23.4">
      <c r="B212" s="87" t="s">
        <v>417</v>
      </c>
      <c r="C212" s="88" t="s">
        <v>418</v>
      </c>
      <c r="D212" s="89" t="s">
        <v>79</v>
      </c>
      <c r="E212" s="92">
        <v>51.22</v>
      </c>
      <c r="F212" s="91"/>
      <c r="G212" s="91"/>
      <c r="H212" s="91"/>
      <c r="I212" s="79">
        <f>SUM(G212:H212)+'BM 006'!I212</f>
        <v>0</v>
      </c>
      <c r="J212" s="91">
        <f t="shared" si="88"/>
        <v>51.22</v>
      </c>
      <c r="K212" s="84">
        <v>1350</v>
      </c>
      <c r="L212" s="81">
        <f t="shared" si="82"/>
        <v>1711.2601485</v>
      </c>
      <c r="M212" s="82">
        <f t="shared" si="100"/>
        <v>0</v>
      </c>
      <c r="N212" s="82">
        <f t="shared" si="101"/>
        <v>0</v>
      </c>
      <c r="O212" s="82">
        <f>N212+'BM 006'!O212</f>
        <v>0</v>
      </c>
      <c r="P212" s="80">
        <f t="shared" si="102"/>
        <v>69147</v>
      </c>
      <c r="Q212" s="82">
        <f t="shared" si="103"/>
        <v>87650.74</v>
      </c>
      <c r="R212" s="82">
        <f t="shared" si="104"/>
        <v>87650.74</v>
      </c>
    </row>
    <row r="213" spans="1:23" s="34" customFormat="1" ht="46.2">
      <c r="B213" s="87" t="s">
        <v>419</v>
      </c>
      <c r="C213" s="88" t="s">
        <v>420</v>
      </c>
      <c r="D213" s="89" t="s">
        <v>79</v>
      </c>
      <c r="E213" s="92">
        <v>98</v>
      </c>
      <c r="F213" s="91"/>
      <c r="G213" s="91"/>
      <c r="H213" s="91"/>
      <c r="I213" s="79">
        <f>SUM(G213:H213)+'BM 006'!I213</f>
        <v>0</v>
      </c>
      <c r="J213" s="91">
        <f t="shared" si="88"/>
        <v>98</v>
      </c>
      <c r="K213" s="84">
        <v>498</v>
      </c>
      <c r="L213" s="81">
        <f t="shared" si="82"/>
        <v>631.26485478000006</v>
      </c>
      <c r="M213" s="82">
        <f t="shared" si="100"/>
        <v>0</v>
      </c>
      <c r="N213" s="82">
        <f t="shared" si="101"/>
        <v>0</v>
      </c>
      <c r="O213" s="82">
        <f>N213+'BM 006'!O213</f>
        <v>0</v>
      </c>
      <c r="P213" s="80">
        <f t="shared" si="102"/>
        <v>48804</v>
      </c>
      <c r="Q213" s="82">
        <f t="shared" si="103"/>
        <v>61863.95</v>
      </c>
      <c r="R213" s="82">
        <f t="shared" si="104"/>
        <v>61863.95</v>
      </c>
    </row>
    <row r="214" spans="1:23" s="107" customFormat="1" ht="34.799999999999997">
      <c r="A214" s="34"/>
      <c r="B214" s="87" t="s">
        <v>421</v>
      </c>
      <c r="C214" s="88" t="s">
        <v>422</v>
      </c>
      <c r="D214" s="89" t="s">
        <v>79</v>
      </c>
      <c r="E214" s="92">
        <v>342.22</v>
      </c>
      <c r="F214" s="91"/>
      <c r="G214" s="91"/>
      <c r="H214" s="91"/>
      <c r="I214" s="79">
        <f>SUM(G214:H214)+'BM 006'!I214</f>
        <v>0</v>
      </c>
      <c r="J214" s="91">
        <f t="shared" si="88"/>
        <v>342.22</v>
      </c>
      <c r="K214" s="84">
        <v>1395</v>
      </c>
      <c r="L214" s="81">
        <f t="shared" si="82"/>
        <v>1768.3021534500001</v>
      </c>
      <c r="M214" s="82">
        <f t="shared" si="100"/>
        <v>0</v>
      </c>
      <c r="N214" s="82">
        <f t="shared" si="101"/>
        <v>0</v>
      </c>
      <c r="O214" s="82">
        <f>N214+'BM 006'!O214</f>
        <v>0</v>
      </c>
      <c r="P214" s="80">
        <f t="shared" si="102"/>
        <v>477396.9</v>
      </c>
      <c r="Q214" s="82">
        <f t="shared" si="103"/>
        <v>605148.36</v>
      </c>
      <c r="R214" s="82">
        <f t="shared" si="104"/>
        <v>605148.36</v>
      </c>
      <c r="S214" s="34"/>
      <c r="T214" s="34"/>
      <c r="U214" s="34"/>
      <c r="V214" s="34"/>
      <c r="W214" s="34"/>
    </row>
    <row r="215" spans="1:23" s="34" customFormat="1" ht="13.2">
      <c r="B215" s="60" t="s">
        <v>423</v>
      </c>
      <c r="C215" s="61" t="s">
        <v>424</v>
      </c>
      <c r="D215" s="60"/>
      <c r="E215" s="62"/>
      <c r="F215" s="63"/>
      <c r="G215" s="63"/>
      <c r="H215" s="63"/>
      <c r="I215" s="63">
        <f>SUM(G215:H215)+'BM 006'!I215</f>
        <v>0</v>
      </c>
      <c r="J215" s="63">
        <f t="shared" si="88"/>
        <v>0</v>
      </c>
      <c r="K215" s="63"/>
      <c r="L215" s="63">
        <f t="shared" si="82"/>
        <v>0</v>
      </c>
      <c r="M215" s="63">
        <f t="shared" ref="M215:R215" si="105">SUM(M216:M221)</f>
        <v>0</v>
      </c>
      <c r="N215" s="63">
        <f t="shared" si="105"/>
        <v>0</v>
      </c>
      <c r="O215" s="63">
        <f t="shared" si="105"/>
        <v>0</v>
      </c>
      <c r="P215" s="63">
        <f t="shared" si="105"/>
        <v>1326910.8099999998</v>
      </c>
      <c r="Q215" s="63">
        <f t="shared" si="105"/>
        <v>1681992.2700000003</v>
      </c>
      <c r="R215" s="63">
        <f t="shared" si="105"/>
        <v>1681992.2700000003</v>
      </c>
    </row>
    <row r="216" spans="1:23" s="34" customFormat="1" ht="23.4">
      <c r="B216" s="87" t="s">
        <v>425</v>
      </c>
      <c r="C216" s="88" t="s">
        <v>426</v>
      </c>
      <c r="D216" s="89" t="s">
        <v>79</v>
      </c>
      <c r="E216" s="90">
        <f>E143+E147</f>
        <v>25549.96</v>
      </c>
      <c r="F216" s="91"/>
      <c r="G216" s="91"/>
      <c r="H216" s="91"/>
      <c r="I216" s="79">
        <f>SUM(G216:H216)+'BM 006'!I216</f>
        <v>0</v>
      </c>
      <c r="J216" s="91">
        <f t="shared" si="88"/>
        <v>25549.96</v>
      </c>
      <c r="K216" s="84">
        <v>16</v>
      </c>
      <c r="L216" s="81">
        <f t="shared" si="82"/>
        <v>20.281601760000001</v>
      </c>
      <c r="M216" s="82">
        <f t="shared" ref="M216:M221" si="106">TRUNC(F216*L216,2)</f>
        <v>0</v>
      </c>
      <c r="N216" s="82">
        <f t="shared" ref="N216:N221" si="107">TRUNC(G216*L216,2)</f>
        <v>0</v>
      </c>
      <c r="O216" s="82">
        <f>N216+'BM 006'!O216</f>
        <v>0</v>
      </c>
      <c r="P216" s="80">
        <f t="shared" ref="P216:P221" si="108">E216*K216</f>
        <v>408799.36</v>
      </c>
      <c r="Q216" s="82">
        <f t="shared" ref="Q216:Q221" si="109">TRUNC(E216*L216,2)</f>
        <v>518194.11</v>
      </c>
      <c r="R216" s="82">
        <f t="shared" ref="R216:R221" si="110">Q216-O216</f>
        <v>518194.11</v>
      </c>
    </row>
    <row r="217" spans="1:23" s="34" customFormat="1" ht="23.4">
      <c r="B217" s="87" t="s">
        <v>427</v>
      </c>
      <c r="C217" s="88" t="s">
        <v>428</v>
      </c>
      <c r="D217" s="89" t="s">
        <v>79</v>
      </c>
      <c r="E217" s="90">
        <f>E171</f>
        <v>3789.02</v>
      </c>
      <c r="F217" s="91"/>
      <c r="G217" s="91"/>
      <c r="H217" s="91"/>
      <c r="I217" s="79">
        <f>SUM(G217:H217)+'BM 006'!I217</f>
        <v>0</v>
      </c>
      <c r="J217" s="91">
        <f t="shared" si="88"/>
        <v>3789.02</v>
      </c>
      <c r="K217" s="84">
        <v>25</v>
      </c>
      <c r="L217" s="81">
        <f t="shared" si="82"/>
        <v>31.690002750000001</v>
      </c>
      <c r="M217" s="82">
        <f t="shared" si="106"/>
        <v>0</v>
      </c>
      <c r="N217" s="82">
        <f t="shared" si="107"/>
        <v>0</v>
      </c>
      <c r="O217" s="82">
        <f>N217+'BM 006'!O217</f>
        <v>0</v>
      </c>
      <c r="P217" s="80">
        <f t="shared" si="108"/>
        <v>94725.5</v>
      </c>
      <c r="Q217" s="82">
        <f t="shared" si="109"/>
        <v>120074.05</v>
      </c>
      <c r="R217" s="82">
        <f t="shared" si="110"/>
        <v>120074.05</v>
      </c>
    </row>
    <row r="218" spans="1:23" s="34" customFormat="1" ht="23.4">
      <c r="B218" s="87" t="s">
        <v>429</v>
      </c>
      <c r="C218" s="88" t="s">
        <v>430</v>
      </c>
      <c r="D218" s="89" t="s">
        <v>79</v>
      </c>
      <c r="E218" s="90">
        <f>E216</f>
        <v>25549.96</v>
      </c>
      <c r="F218" s="91"/>
      <c r="G218" s="91"/>
      <c r="H218" s="91"/>
      <c r="I218" s="79">
        <f>SUM(G218:H218)+'BM 006'!I218</f>
        <v>0</v>
      </c>
      <c r="J218" s="91">
        <f t="shared" si="88"/>
        <v>25549.96</v>
      </c>
      <c r="K218" s="84">
        <v>4.5</v>
      </c>
      <c r="L218" s="81">
        <f t="shared" si="82"/>
        <v>5.7042004950000003</v>
      </c>
      <c r="M218" s="82">
        <f t="shared" si="106"/>
        <v>0</v>
      </c>
      <c r="N218" s="82">
        <f t="shared" si="107"/>
        <v>0</v>
      </c>
      <c r="O218" s="82">
        <f>N218+'BM 006'!O218</f>
        <v>0</v>
      </c>
      <c r="P218" s="80">
        <f t="shared" si="108"/>
        <v>114974.81999999999</v>
      </c>
      <c r="Q218" s="82">
        <f t="shared" si="109"/>
        <v>145742.09</v>
      </c>
      <c r="R218" s="82">
        <f t="shared" si="110"/>
        <v>145742.09</v>
      </c>
    </row>
    <row r="219" spans="1:23" s="34" customFormat="1" ht="23.4">
      <c r="B219" s="87" t="s">
        <v>431</v>
      </c>
      <c r="C219" s="88" t="s">
        <v>432</v>
      </c>
      <c r="D219" s="89" t="s">
        <v>79</v>
      </c>
      <c r="E219" s="90">
        <f>E217</f>
        <v>3789.02</v>
      </c>
      <c r="F219" s="91"/>
      <c r="G219" s="91"/>
      <c r="H219" s="91"/>
      <c r="I219" s="79">
        <f>SUM(G219:H219)+'BM 006'!I219</f>
        <v>0</v>
      </c>
      <c r="J219" s="91">
        <f t="shared" si="88"/>
        <v>3789.02</v>
      </c>
      <c r="K219" s="84">
        <v>5</v>
      </c>
      <c r="L219" s="81">
        <f t="shared" si="82"/>
        <v>6.3380005500000003</v>
      </c>
      <c r="M219" s="82">
        <f t="shared" si="106"/>
        <v>0</v>
      </c>
      <c r="N219" s="82">
        <f t="shared" si="107"/>
        <v>0</v>
      </c>
      <c r="O219" s="82">
        <f>N219+'BM 006'!O219</f>
        <v>0</v>
      </c>
      <c r="P219" s="80">
        <f t="shared" si="108"/>
        <v>18945.099999999999</v>
      </c>
      <c r="Q219" s="82">
        <f t="shared" si="109"/>
        <v>24014.81</v>
      </c>
      <c r="R219" s="82">
        <f t="shared" si="110"/>
        <v>24014.81</v>
      </c>
    </row>
    <row r="220" spans="1:23" s="34" customFormat="1" ht="23.4">
      <c r="B220" s="87" t="s">
        <v>433</v>
      </c>
      <c r="C220" s="88" t="s">
        <v>434</v>
      </c>
      <c r="D220" s="89" t="s">
        <v>79</v>
      </c>
      <c r="E220" s="90">
        <f>E216</f>
        <v>25549.96</v>
      </c>
      <c r="F220" s="91"/>
      <c r="G220" s="91"/>
      <c r="H220" s="91"/>
      <c r="I220" s="79">
        <f>SUM(G220:H220)+'BM 006'!I220</f>
        <v>0</v>
      </c>
      <c r="J220" s="91">
        <f t="shared" si="88"/>
        <v>25549.96</v>
      </c>
      <c r="K220" s="84">
        <v>23.5</v>
      </c>
      <c r="L220" s="81">
        <f t="shared" si="82"/>
        <v>29.788602585</v>
      </c>
      <c r="M220" s="82">
        <f t="shared" si="106"/>
        <v>0</v>
      </c>
      <c r="N220" s="82">
        <f t="shared" si="107"/>
        <v>0</v>
      </c>
      <c r="O220" s="82">
        <f>N220+'BM 006'!O220</f>
        <v>0</v>
      </c>
      <c r="P220" s="80">
        <f t="shared" si="108"/>
        <v>600424.05999999994</v>
      </c>
      <c r="Q220" s="82">
        <f t="shared" si="109"/>
        <v>761097.6</v>
      </c>
      <c r="R220" s="82">
        <f t="shared" si="110"/>
        <v>761097.6</v>
      </c>
    </row>
    <row r="221" spans="1:23" s="34" customFormat="1" ht="23.4">
      <c r="B221" s="87" t="s">
        <v>435</v>
      </c>
      <c r="C221" s="88" t="s">
        <v>436</v>
      </c>
      <c r="D221" s="89" t="s">
        <v>79</v>
      </c>
      <c r="E221" s="90">
        <f>E219</f>
        <v>3789.02</v>
      </c>
      <c r="F221" s="91"/>
      <c r="G221" s="91"/>
      <c r="H221" s="91"/>
      <c r="I221" s="79">
        <f>SUM(G221:H221)+'BM 006'!I221</f>
        <v>0</v>
      </c>
      <c r="J221" s="91">
        <f t="shared" si="88"/>
        <v>3789.02</v>
      </c>
      <c r="K221" s="84">
        <v>23.5</v>
      </c>
      <c r="L221" s="81">
        <f t="shared" ref="L221:L284" si="111">K221*(1+$T$26)</f>
        <v>29.788602585</v>
      </c>
      <c r="M221" s="82">
        <f t="shared" si="106"/>
        <v>0</v>
      </c>
      <c r="N221" s="82">
        <f t="shared" si="107"/>
        <v>0</v>
      </c>
      <c r="O221" s="82">
        <f>N221+'BM 006'!O221</f>
        <v>0</v>
      </c>
      <c r="P221" s="80">
        <f t="shared" si="108"/>
        <v>89041.97</v>
      </c>
      <c r="Q221" s="82">
        <f t="shared" si="109"/>
        <v>112869.61</v>
      </c>
      <c r="R221" s="82">
        <f t="shared" si="110"/>
        <v>112869.61</v>
      </c>
    </row>
    <row r="222" spans="1:23" s="34" customFormat="1" ht="13.2">
      <c r="A222" s="107"/>
      <c r="B222" s="60" t="s">
        <v>437</v>
      </c>
      <c r="C222" s="61" t="s">
        <v>438</v>
      </c>
      <c r="D222" s="60"/>
      <c r="E222" s="62"/>
      <c r="F222" s="63"/>
      <c r="G222" s="63"/>
      <c r="H222" s="63"/>
      <c r="I222" s="63">
        <f>SUM(G222:H222)+'BM 006'!I222</f>
        <v>0</v>
      </c>
      <c r="J222" s="63">
        <f t="shared" si="88"/>
        <v>0</v>
      </c>
      <c r="K222" s="63"/>
      <c r="L222" s="63">
        <f t="shared" si="111"/>
        <v>0</v>
      </c>
      <c r="M222" s="63">
        <f t="shared" ref="M222:R222" si="112">SUM(M223:M224)</f>
        <v>0</v>
      </c>
      <c r="N222" s="63">
        <f t="shared" si="112"/>
        <v>0</v>
      </c>
      <c r="O222" s="63">
        <f t="shared" si="112"/>
        <v>0</v>
      </c>
      <c r="P222" s="63">
        <f t="shared" si="112"/>
        <v>13739.5</v>
      </c>
      <c r="Q222" s="63">
        <f t="shared" si="112"/>
        <v>17416.18</v>
      </c>
      <c r="R222" s="63">
        <f t="shared" si="112"/>
        <v>17416.18</v>
      </c>
      <c r="S222" s="107"/>
      <c r="T222" s="107"/>
      <c r="U222" s="107"/>
      <c r="V222" s="107"/>
      <c r="W222" s="107"/>
    </row>
    <row r="223" spans="1:23" s="34" customFormat="1" ht="13.2">
      <c r="B223" s="87" t="s">
        <v>439</v>
      </c>
      <c r="C223" s="88" t="s">
        <v>440</v>
      </c>
      <c r="D223" s="89" t="s">
        <v>124</v>
      </c>
      <c r="E223" s="90">
        <v>199.3</v>
      </c>
      <c r="F223" s="91"/>
      <c r="G223" s="91"/>
      <c r="H223" s="91"/>
      <c r="I223" s="79">
        <f>SUM(G223:H223)+'BM 006'!I223</f>
        <v>0</v>
      </c>
      <c r="J223" s="91">
        <f t="shared" ref="J223:J286" si="113">E223-I223</f>
        <v>199.3</v>
      </c>
      <c r="K223" s="84">
        <v>25</v>
      </c>
      <c r="L223" s="81">
        <f t="shared" si="111"/>
        <v>31.690002750000001</v>
      </c>
      <c r="M223" s="82">
        <f>TRUNC(F223*L223,2)</f>
        <v>0</v>
      </c>
      <c r="N223" s="82">
        <f>TRUNC(G223*L223,2)</f>
        <v>0</v>
      </c>
      <c r="O223" s="82">
        <f>N223+'BM 006'!O223</f>
        <v>0</v>
      </c>
      <c r="P223" s="80">
        <f>E223*K223</f>
        <v>4982.5</v>
      </c>
      <c r="Q223" s="82">
        <f>TRUNC(E223*L223,2)</f>
        <v>6315.81</v>
      </c>
      <c r="R223" s="82">
        <f>Q223-O223</f>
        <v>6315.81</v>
      </c>
    </row>
    <row r="224" spans="1:23" s="34" customFormat="1" ht="23.4">
      <c r="B224" s="87" t="s">
        <v>441</v>
      </c>
      <c r="C224" s="88" t="s">
        <v>442</v>
      </c>
      <c r="D224" s="89" t="s">
        <v>124</v>
      </c>
      <c r="E224" s="92">
        <v>250.2</v>
      </c>
      <c r="F224" s="91"/>
      <c r="G224" s="91"/>
      <c r="H224" s="91"/>
      <c r="I224" s="79">
        <f>SUM(G224:H224)+'BM 006'!I224</f>
        <v>0</v>
      </c>
      <c r="J224" s="91">
        <f t="shared" si="113"/>
        <v>250.2</v>
      </c>
      <c r="K224" s="84">
        <v>35</v>
      </c>
      <c r="L224" s="81">
        <f t="shared" si="111"/>
        <v>44.366003849999998</v>
      </c>
      <c r="M224" s="82">
        <f>TRUNC(F224*L224,2)</f>
        <v>0</v>
      </c>
      <c r="N224" s="82">
        <f>TRUNC(G224*L224,2)</f>
        <v>0</v>
      </c>
      <c r="O224" s="82">
        <f>N224+'BM 006'!O224</f>
        <v>0</v>
      </c>
      <c r="P224" s="80">
        <f>E224*K224</f>
        <v>8757</v>
      </c>
      <c r="Q224" s="82">
        <f>TRUNC(E224*L224,2)</f>
        <v>11100.37</v>
      </c>
      <c r="R224" s="82">
        <f>Q224-O224</f>
        <v>11100.37</v>
      </c>
    </row>
    <row r="225" spans="2:20" s="34" customFormat="1" ht="13.2">
      <c r="B225" s="60" t="s">
        <v>443</v>
      </c>
      <c r="C225" s="61" t="s">
        <v>444</v>
      </c>
      <c r="D225" s="60"/>
      <c r="E225" s="62"/>
      <c r="F225" s="63"/>
      <c r="G225" s="63"/>
      <c r="H225" s="63"/>
      <c r="I225" s="63">
        <f>SUM(G225:H225)+'BM 006'!I225</f>
        <v>0</v>
      </c>
      <c r="J225" s="63">
        <f t="shared" si="113"/>
        <v>0</v>
      </c>
      <c r="K225" s="63"/>
      <c r="L225" s="63">
        <f t="shared" si="111"/>
        <v>0</v>
      </c>
      <c r="M225" s="63">
        <f t="shared" ref="M225:R225" si="114">SUM(M226,M240,M255,M291,M296,M307,M315)</f>
        <v>0</v>
      </c>
      <c r="N225" s="63">
        <f t="shared" si="114"/>
        <v>0</v>
      </c>
      <c r="O225" s="63">
        <f t="shared" si="114"/>
        <v>0</v>
      </c>
      <c r="P225" s="63">
        <f t="shared" si="114"/>
        <v>679789.94300000009</v>
      </c>
      <c r="Q225" s="63">
        <f t="shared" si="114"/>
        <v>861701.45999999985</v>
      </c>
      <c r="R225" s="63">
        <f t="shared" si="114"/>
        <v>861701.45999999985</v>
      </c>
    </row>
    <row r="226" spans="2:20" s="34" customFormat="1" ht="24">
      <c r="B226" s="66" t="s">
        <v>445</v>
      </c>
      <c r="C226" s="67" t="s">
        <v>446</v>
      </c>
      <c r="D226" s="68"/>
      <c r="E226" s="69"/>
      <c r="F226" s="70"/>
      <c r="G226" s="70"/>
      <c r="H226" s="70"/>
      <c r="I226" s="70">
        <f>SUM(G226:H226)+'BM 006'!I226</f>
        <v>0</v>
      </c>
      <c r="J226" s="70">
        <f t="shared" si="113"/>
        <v>0</v>
      </c>
      <c r="K226" s="71"/>
      <c r="L226" s="71">
        <f t="shared" si="111"/>
        <v>0</v>
      </c>
      <c r="M226" s="73">
        <f t="shared" ref="M226:R226" si="115">SUM(M227:M239)</f>
        <v>0</v>
      </c>
      <c r="N226" s="73">
        <f t="shared" si="115"/>
        <v>0</v>
      </c>
      <c r="O226" s="73">
        <f t="shared" si="115"/>
        <v>0</v>
      </c>
      <c r="P226" s="73">
        <f t="shared" si="115"/>
        <v>135121.34</v>
      </c>
      <c r="Q226" s="73">
        <f t="shared" si="115"/>
        <v>171279.75999999998</v>
      </c>
      <c r="R226" s="73">
        <f t="shared" si="115"/>
        <v>171279.75999999998</v>
      </c>
    </row>
    <row r="227" spans="2:20" s="34" customFormat="1" ht="23.4">
      <c r="B227" s="87" t="s">
        <v>447</v>
      </c>
      <c r="C227" s="88" t="s">
        <v>448</v>
      </c>
      <c r="D227" s="89" t="s">
        <v>82</v>
      </c>
      <c r="E227" s="90">
        <v>787.32</v>
      </c>
      <c r="F227" s="91"/>
      <c r="G227" s="91"/>
      <c r="H227" s="91"/>
      <c r="I227" s="91">
        <f>SUM(G227:H227)+'BM 006'!I227</f>
        <v>0</v>
      </c>
      <c r="J227" s="91">
        <f t="shared" si="113"/>
        <v>787.32</v>
      </c>
      <c r="K227" s="80">
        <v>70</v>
      </c>
      <c r="L227" s="81">
        <f t="shared" si="111"/>
        <v>88.732007699999997</v>
      </c>
      <c r="M227" s="82">
        <f t="shared" ref="M227:M239" si="116">TRUNC(F227*L227,2)</f>
        <v>0</v>
      </c>
      <c r="N227" s="82">
        <f t="shared" ref="N227:N239" si="117">TRUNC(G227*L227,2)</f>
        <v>0</v>
      </c>
      <c r="O227" s="82">
        <f>N227+'BM 006'!O227</f>
        <v>0</v>
      </c>
      <c r="P227" s="80">
        <f t="shared" ref="P227:P239" si="118">E227*K227</f>
        <v>55112.4</v>
      </c>
      <c r="Q227" s="82">
        <f t="shared" ref="Q227:Q239" si="119">TRUNC(E227*L227,2)</f>
        <v>69860.479999999996</v>
      </c>
      <c r="R227" s="82">
        <f t="shared" ref="R227:R239" si="120">Q227-O227</f>
        <v>69860.479999999996</v>
      </c>
    </row>
    <row r="228" spans="2:20" s="34" customFormat="1" ht="23.4">
      <c r="B228" s="87" t="s">
        <v>449</v>
      </c>
      <c r="C228" s="88" t="s">
        <v>450</v>
      </c>
      <c r="D228" s="89" t="s">
        <v>39</v>
      </c>
      <c r="E228" s="90">
        <v>30</v>
      </c>
      <c r="F228" s="91"/>
      <c r="G228" s="91"/>
      <c r="H228" s="91"/>
      <c r="I228" s="91">
        <f>SUM(G228:H228)+'BM 006'!I228</f>
        <v>0</v>
      </c>
      <c r="J228" s="91">
        <f t="shared" si="113"/>
        <v>30</v>
      </c>
      <c r="K228" s="80">
        <v>49.5</v>
      </c>
      <c r="L228" s="81">
        <f t="shared" si="111"/>
        <v>62.746205445000001</v>
      </c>
      <c r="M228" s="82">
        <f t="shared" si="116"/>
        <v>0</v>
      </c>
      <c r="N228" s="82">
        <f t="shared" si="117"/>
        <v>0</v>
      </c>
      <c r="O228" s="82">
        <f>N228+'BM 006'!O228</f>
        <v>0</v>
      </c>
      <c r="P228" s="80">
        <f t="shared" si="118"/>
        <v>1485</v>
      </c>
      <c r="Q228" s="82">
        <f t="shared" si="119"/>
        <v>1882.38</v>
      </c>
      <c r="R228" s="82">
        <f t="shared" si="120"/>
        <v>1882.38</v>
      </c>
    </row>
    <row r="229" spans="2:20" s="34" customFormat="1" ht="23.4">
      <c r="B229" s="87" t="s">
        <v>451</v>
      </c>
      <c r="C229" s="88" t="s">
        <v>452</v>
      </c>
      <c r="D229" s="89" t="s">
        <v>39</v>
      </c>
      <c r="E229" s="90">
        <v>38</v>
      </c>
      <c r="F229" s="91"/>
      <c r="G229" s="91"/>
      <c r="H229" s="91"/>
      <c r="I229" s="91">
        <f>SUM(G229:H229)+'BM 006'!I229</f>
        <v>0</v>
      </c>
      <c r="J229" s="91">
        <f t="shared" si="113"/>
        <v>38</v>
      </c>
      <c r="K229" s="80">
        <v>43.8</v>
      </c>
      <c r="L229" s="81">
        <f t="shared" si="111"/>
        <v>55.520884817999999</v>
      </c>
      <c r="M229" s="82">
        <f t="shared" si="116"/>
        <v>0</v>
      </c>
      <c r="N229" s="82">
        <f t="shared" si="117"/>
        <v>0</v>
      </c>
      <c r="O229" s="82">
        <f>N229+'BM 006'!O229</f>
        <v>0</v>
      </c>
      <c r="P229" s="80">
        <f t="shared" si="118"/>
        <v>1664.3999999999999</v>
      </c>
      <c r="Q229" s="82">
        <f t="shared" si="119"/>
        <v>2109.79</v>
      </c>
      <c r="R229" s="82">
        <f t="shared" si="120"/>
        <v>2109.79</v>
      </c>
    </row>
    <row r="230" spans="2:20" s="34" customFormat="1" ht="23.4">
      <c r="B230" s="87" t="s">
        <v>453</v>
      </c>
      <c r="C230" s="88" t="s">
        <v>454</v>
      </c>
      <c r="D230" s="89" t="s">
        <v>39</v>
      </c>
      <c r="E230" s="90">
        <v>24</v>
      </c>
      <c r="F230" s="91"/>
      <c r="G230" s="91"/>
      <c r="H230" s="91"/>
      <c r="I230" s="91">
        <f>SUM(G230:H230)+'BM 006'!I230</f>
        <v>0</v>
      </c>
      <c r="J230" s="91">
        <f t="shared" si="113"/>
        <v>24</v>
      </c>
      <c r="K230" s="80">
        <v>40</v>
      </c>
      <c r="L230" s="81">
        <f t="shared" si="111"/>
        <v>50.704004400000002</v>
      </c>
      <c r="M230" s="82">
        <f t="shared" si="116"/>
        <v>0</v>
      </c>
      <c r="N230" s="82">
        <f t="shared" si="117"/>
        <v>0</v>
      </c>
      <c r="O230" s="82">
        <f>N230+'BM 006'!O230</f>
        <v>0</v>
      </c>
      <c r="P230" s="80">
        <f t="shared" si="118"/>
        <v>960</v>
      </c>
      <c r="Q230" s="82">
        <f t="shared" si="119"/>
        <v>1216.8900000000001</v>
      </c>
      <c r="R230" s="82">
        <f t="shared" si="120"/>
        <v>1216.8900000000001</v>
      </c>
    </row>
    <row r="231" spans="2:20" s="34" customFormat="1" ht="23.4">
      <c r="B231" s="87" t="s">
        <v>455</v>
      </c>
      <c r="C231" s="88" t="s">
        <v>456</v>
      </c>
      <c r="D231" s="89" t="s">
        <v>39</v>
      </c>
      <c r="E231" s="90">
        <v>30</v>
      </c>
      <c r="F231" s="91"/>
      <c r="G231" s="91"/>
      <c r="H231" s="91"/>
      <c r="I231" s="91">
        <f>SUM(G231:H231)+'BM 006'!I231</f>
        <v>0</v>
      </c>
      <c r="J231" s="91">
        <f t="shared" si="113"/>
        <v>30</v>
      </c>
      <c r="K231" s="80">
        <v>50</v>
      </c>
      <c r="L231" s="81">
        <f t="shared" si="111"/>
        <v>63.380005500000003</v>
      </c>
      <c r="M231" s="82">
        <f t="shared" si="116"/>
        <v>0</v>
      </c>
      <c r="N231" s="82">
        <f t="shared" si="117"/>
        <v>0</v>
      </c>
      <c r="O231" s="82">
        <f>N231+'BM 006'!O231</f>
        <v>0</v>
      </c>
      <c r="P231" s="80">
        <f t="shared" si="118"/>
        <v>1500</v>
      </c>
      <c r="Q231" s="82">
        <f t="shared" si="119"/>
        <v>1901.4</v>
      </c>
      <c r="R231" s="82">
        <f t="shared" si="120"/>
        <v>1901.4</v>
      </c>
    </row>
    <row r="232" spans="2:20" s="34" customFormat="1" ht="23.4">
      <c r="B232" s="87" t="s">
        <v>457</v>
      </c>
      <c r="C232" s="88" t="s">
        <v>458</v>
      </c>
      <c r="D232" s="89" t="s">
        <v>39</v>
      </c>
      <c r="E232" s="90">
        <v>400</v>
      </c>
      <c r="F232" s="91"/>
      <c r="G232" s="91"/>
      <c r="H232" s="91"/>
      <c r="I232" s="91">
        <f>SUM(G232:H232)+'BM 006'!I232</f>
        <v>0</v>
      </c>
      <c r="J232" s="91">
        <f t="shared" si="113"/>
        <v>400</v>
      </c>
      <c r="K232" s="80">
        <v>9.7100000000000009</v>
      </c>
      <c r="L232" s="81">
        <f t="shared" si="111"/>
        <v>12.308397068100001</v>
      </c>
      <c r="M232" s="82">
        <f t="shared" si="116"/>
        <v>0</v>
      </c>
      <c r="N232" s="82">
        <f t="shared" si="117"/>
        <v>0</v>
      </c>
      <c r="O232" s="82">
        <f>N232+'BM 006'!O232</f>
        <v>0</v>
      </c>
      <c r="P232" s="80">
        <f t="shared" si="118"/>
        <v>3884.0000000000005</v>
      </c>
      <c r="Q232" s="82">
        <f t="shared" si="119"/>
        <v>4923.3500000000004</v>
      </c>
      <c r="R232" s="82">
        <f t="shared" si="120"/>
        <v>4923.3500000000004</v>
      </c>
    </row>
    <row r="233" spans="2:20" s="34" customFormat="1" ht="34.799999999999997">
      <c r="B233" s="87" t="s">
        <v>459</v>
      </c>
      <c r="C233" s="88" t="s">
        <v>460</v>
      </c>
      <c r="D233" s="89" t="s">
        <v>82</v>
      </c>
      <c r="E233" s="90">
        <v>53.61</v>
      </c>
      <c r="F233" s="91"/>
      <c r="G233" s="91"/>
      <c r="H233" s="91"/>
      <c r="I233" s="91">
        <f>SUM(G233:H233)+'BM 006'!I233</f>
        <v>0</v>
      </c>
      <c r="J233" s="91">
        <f t="shared" si="113"/>
        <v>53.61</v>
      </c>
      <c r="K233" s="80">
        <v>95</v>
      </c>
      <c r="L233" s="81">
        <f t="shared" si="111"/>
        <v>120.42201045</v>
      </c>
      <c r="M233" s="82">
        <f t="shared" si="116"/>
        <v>0</v>
      </c>
      <c r="N233" s="82">
        <f t="shared" si="117"/>
        <v>0</v>
      </c>
      <c r="O233" s="82">
        <f>N233+'BM 006'!O233</f>
        <v>0</v>
      </c>
      <c r="P233" s="80">
        <f t="shared" si="118"/>
        <v>5092.95</v>
      </c>
      <c r="Q233" s="82">
        <f t="shared" si="119"/>
        <v>6455.82</v>
      </c>
      <c r="R233" s="82">
        <f t="shared" si="120"/>
        <v>6455.82</v>
      </c>
    </row>
    <row r="234" spans="2:20" s="34" customFormat="1" ht="46.2">
      <c r="B234" s="87" t="s">
        <v>461</v>
      </c>
      <c r="C234" s="88" t="s">
        <v>462</v>
      </c>
      <c r="D234" s="89" t="s">
        <v>82</v>
      </c>
      <c r="E234" s="90">
        <v>91.42</v>
      </c>
      <c r="F234" s="91"/>
      <c r="G234" s="91"/>
      <c r="H234" s="91"/>
      <c r="I234" s="91">
        <f>SUM(G234:H234)+'BM 006'!I234</f>
        <v>0</v>
      </c>
      <c r="J234" s="91">
        <f t="shared" si="113"/>
        <v>91.42</v>
      </c>
      <c r="K234" s="80">
        <v>15</v>
      </c>
      <c r="L234" s="81">
        <f t="shared" si="111"/>
        <v>19.014001650000001</v>
      </c>
      <c r="M234" s="82">
        <f t="shared" si="116"/>
        <v>0</v>
      </c>
      <c r="N234" s="82">
        <f t="shared" si="117"/>
        <v>0</v>
      </c>
      <c r="O234" s="82">
        <f>N234+'BM 006'!O234</f>
        <v>0</v>
      </c>
      <c r="P234" s="80">
        <f t="shared" si="118"/>
        <v>1371.3</v>
      </c>
      <c r="Q234" s="82">
        <f t="shared" si="119"/>
        <v>1738.26</v>
      </c>
      <c r="R234" s="82">
        <f t="shared" si="120"/>
        <v>1738.26</v>
      </c>
    </row>
    <row r="235" spans="2:20" s="34" customFormat="1" ht="46.2">
      <c r="B235" s="87" t="s">
        <v>463</v>
      </c>
      <c r="C235" s="88" t="s">
        <v>464</v>
      </c>
      <c r="D235" s="89" t="s">
        <v>82</v>
      </c>
      <c r="E235" s="90">
        <v>8549.7900000000009</v>
      </c>
      <c r="F235" s="91"/>
      <c r="G235" s="91"/>
      <c r="H235" s="91"/>
      <c r="I235" s="91">
        <f>SUM(G235:H235)+'BM 006'!I235</f>
        <v>0</v>
      </c>
      <c r="J235" s="91">
        <f t="shared" si="113"/>
        <v>8549.7900000000009</v>
      </c>
      <c r="K235" s="80">
        <v>6</v>
      </c>
      <c r="L235" s="81">
        <f t="shared" si="111"/>
        <v>7.6056006600000003</v>
      </c>
      <c r="M235" s="82">
        <f t="shared" si="116"/>
        <v>0</v>
      </c>
      <c r="N235" s="82">
        <f t="shared" si="117"/>
        <v>0</v>
      </c>
      <c r="O235" s="82">
        <f>N235+'BM 006'!O235</f>
        <v>0</v>
      </c>
      <c r="P235" s="80">
        <f t="shared" si="118"/>
        <v>51298.740000000005</v>
      </c>
      <c r="Q235" s="82">
        <f t="shared" si="119"/>
        <v>65026.28</v>
      </c>
      <c r="R235" s="82">
        <f t="shared" si="120"/>
        <v>65026.28</v>
      </c>
    </row>
    <row r="236" spans="2:20" s="34" customFormat="1" ht="46.2">
      <c r="B236" s="87" t="s">
        <v>465</v>
      </c>
      <c r="C236" s="88" t="s">
        <v>466</v>
      </c>
      <c r="D236" s="89" t="s">
        <v>82</v>
      </c>
      <c r="E236" s="90">
        <v>98.51</v>
      </c>
      <c r="F236" s="91"/>
      <c r="G236" s="91"/>
      <c r="H236" s="91"/>
      <c r="I236" s="91">
        <f>SUM(G236:H236)+'BM 006'!I236</f>
        <v>0</v>
      </c>
      <c r="J236" s="91">
        <f t="shared" si="113"/>
        <v>98.51</v>
      </c>
      <c r="K236" s="80">
        <v>20</v>
      </c>
      <c r="L236" s="81">
        <f t="shared" si="111"/>
        <v>25.352002200000001</v>
      </c>
      <c r="M236" s="82">
        <f t="shared" si="116"/>
        <v>0</v>
      </c>
      <c r="N236" s="82">
        <f t="shared" si="117"/>
        <v>0</v>
      </c>
      <c r="O236" s="82">
        <f>N236+'BM 006'!O236</f>
        <v>0</v>
      </c>
      <c r="P236" s="80">
        <f t="shared" si="118"/>
        <v>1970.2</v>
      </c>
      <c r="Q236" s="82">
        <f t="shared" si="119"/>
        <v>2497.42</v>
      </c>
      <c r="R236" s="82">
        <f t="shared" si="120"/>
        <v>2497.42</v>
      </c>
      <c r="T236" s="83"/>
    </row>
    <row r="237" spans="2:20" s="34" customFormat="1" ht="23.4">
      <c r="B237" s="87" t="s">
        <v>467</v>
      </c>
      <c r="C237" s="88" t="s">
        <v>468</v>
      </c>
      <c r="D237" s="89" t="s">
        <v>39</v>
      </c>
      <c r="E237" s="90">
        <v>836</v>
      </c>
      <c r="F237" s="91"/>
      <c r="G237" s="91"/>
      <c r="H237" s="91"/>
      <c r="I237" s="91">
        <f>SUM(G237:H237)+'BM 006'!I237</f>
        <v>0</v>
      </c>
      <c r="J237" s="91">
        <f t="shared" si="113"/>
        <v>836</v>
      </c>
      <c r="K237" s="80">
        <v>8</v>
      </c>
      <c r="L237" s="81">
        <f t="shared" si="111"/>
        <v>10.14080088</v>
      </c>
      <c r="M237" s="82">
        <f t="shared" si="116"/>
        <v>0</v>
      </c>
      <c r="N237" s="82">
        <f t="shared" si="117"/>
        <v>0</v>
      </c>
      <c r="O237" s="82">
        <f>N237+'BM 006'!O237</f>
        <v>0</v>
      </c>
      <c r="P237" s="80">
        <f t="shared" si="118"/>
        <v>6688</v>
      </c>
      <c r="Q237" s="82">
        <f t="shared" si="119"/>
        <v>8477.7000000000007</v>
      </c>
      <c r="R237" s="82">
        <f t="shared" si="120"/>
        <v>8477.7000000000007</v>
      </c>
      <c r="T237" s="83"/>
    </row>
    <row r="238" spans="2:20" s="34" customFormat="1" ht="34.799999999999997">
      <c r="B238" s="87" t="s">
        <v>469</v>
      </c>
      <c r="C238" s="88" t="s">
        <v>470</v>
      </c>
      <c r="D238" s="89" t="s">
        <v>39</v>
      </c>
      <c r="E238" s="90">
        <v>1359</v>
      </c>
      <c r="F238" s="91"/>
      <c r="G238" s="91"/>
      <c r="H238" s="91"/>
      <c r="I238" s="91">
        <f>SUM(G238:H238)+'BM 006'!I238</f>
        <v>0</v>
      </c>
      <c r="J238" s="91">
        <f t="shared" si="113"/>
        <v>1359</v>
      </c>
      <c r="K238" s="80">
        <v>3</v>
      </c>
      <c r="L238" s="81">
        <f t="shared" si="111"/>
        <v>3.8028003300000002</v>
      </c>
      <c r="M238" s="82">
        <f t="shared" si="116"/>
        <v>0</v>
      </c>
      <c r="N238" s="82">
        <f t="shared" si="117"/>
        <v>0</v>
      </c>
      <c r="O238" s="82">
        <f>N238+'BM 006'!O238</f>
        <v>0</v>
      </c>
      <c r="P238" s="80">
        <f t="shared" si="118"/>
        <v>4077</v>
      </c>
      <c r="Q238" s="82">
        <f t="shared" si="119"/>
        <v>5168</v>
      </c>
      <c r="R238" s="82">
        <f t="shared" si="120"/>
        <v>5168</v>
      </c>
      <c r="T238" s="83"/>
    </row>
    <row r="239" spans="2:20" s="34" customFormat="1" ht="34.799999999999997">
      <c r="B239" s="87" t="s">
        <v>471</v>
      </c>
      <c r="C239" s="88" t="s">
        <v>472</v>
      </c>
      <c r="D239" s="89" t="s">
        <v>39</v>
      </c>
      <c r="E239" s="90">
        <v>5</v>
      </c>
      <c r="F239" s="91"/>
      <c r="G239" s="91"/>
      <c r="H239" s="91"/>
      <c r="I239" s="91">
        <f>SUM(G239:H239)+'BM 006'!I239</f>
        <v>0</v>
      </c>
      <c r="J239" s="91">
        <f t="shared" si="113"/>
        <v>5</v>
      </c>
      <c r="K239" s="80">
        <v>3.47</v>
      </c>
      <c r="L239" s="81">
        <f t="shared" si="111"/>
        <v>4.3985723817000002</v>
      </c>
      <c r="M239" s="82">
        <f t="shared" si="116"/>
        <v>0</v>
      </c>
      <c r="N239" s="82">
        <f t="shared" si="117"/>
        <v>0</v>
      </c>
      <c r="O239" s="82">
        <f>N239+'BM 006'!O239</f>
        <v>0</v>
      </c>
      <c r="P239" s="80">
        <f t="shared" si="118"/>
        <v>17.350000000000001</v>
      </c>
      <c r="Q239" s="82">
        <f t="shared" si="119"/>
        <v>21.99</v>
      </c>
      <c r="R239" s="82">
        <f t="shared" si="120"/>
        <v>21.99</v>
      </c>
      <c r="T239" s="83"/>
    </row>
    <row r="240" spans="2:20" s="34" customFormat="1" ht="13.2">
      <c r="B240" s="66" t="s">
        <v>473</v>
      </c>
      <c r="C240" s="67" t="s">
        <v>474</v>
      </c>
      <c r="D240" s="68"/>
      <c r="E240" s="69"/>
      <c r="F240" s="70"/>
      <c r="G240" s="70"/>
      <c r="H240" s="70"/>
      <c r="I240" s="70">
        <f>SUM(G240:H240)+'BM 006'!I240</f>
        <v>0</v>
      </c>
      <c r="J240" s="70">
        <f t="shared" si="113"/>
        <v>0</v>
      </c>
      <c r="K240" s="71"/>
      <c r="L240" s="71">
        <f t="shared" si="111"/>
        <v>0</v>
      </c>
      <c r="M240" s="73">
        <f t="shared" ref="M240:R240" si="121">SUM(M241:M254)</f>
        <v>0</v>
      </c>
      <c r="N240" s="73">
        <f t="shared" si="121"/>
        <v>0</v>
      </c>
      <c r="O240" s="73">
        <f t="shared" si="121"/>
        <v>0</v>
      </c>
      <c r="P240" s="73">
        <f t="shared" si="121"/>
        <v>310727.75299999997</v>
      </c>
      <c r="Q240" s="73">
        <f t="shared" si="121"/>
        <v>393878.46999999991</v>
      </c>
      <c r="R240" s="73">
        <f t="shared" si="121"/>
        <v>393878.46999999991</v>
      </c>
      <c r="T240" s="83"/>
    </row>
    <row r="241" spans="2:20" s="34" customFormat="1" ht="23.4">
      <c r="B241" s="87" t="s">
        <v>475</v>
      </c>
      <c r="C241" s="88" t="s">
        <v>476</v>
      </c>
      <c r="D241" s="89" t="s">
        <v>82</v>
      </c>
      <c r="E241" s="90">
        <v>1000</v>
      </c>
      <c r="F241" s="91"/>
      <c r="G241" s="91"/>
      <c r="H241" s="91"/>
      <c r="I241" s="91">
        <f>SUM(G241:H241)+'BM 006'!I241</f>
        <v>0</v>
      </c>
      <c r="J241" s="91">
        <f t="shared" si="113"/>
        <v>1000</v>
      </c>
      <c r="K241" s="80">
        <v>15</v>
      </c>
      <c r="L241" s="81">
        <f t="shared" si="111"/>
        <v>19.014001650000001</v>
      </c>
      <c r="M241" s="82">
        <f t="shared" ref="M241:M254" si="122">TRUNC(F241*L241,2)</f>
        <v>0</v>
      </c>
      <c r="N241" s="82">
        <f t="shared" ref="N241:N254" si="123">TRUNC(G241*L241,2)</f>
        <v>0</v>
      </c>
      <c r="O241" s="82">
        <f>N241+'BM 006'!O241</f>
        <v>0</v>
      </c>
      <c r="P241" s="80">
        <f t="shared" ref="P241:P254" si="124">E241*K241</f>
        <v>15000</v>
      </c>
      <c r="Q241" s="82">
        <f t="shared" ref="Q241:Q254" si="125">TRUNC(E241*L241,2)</f>
        <v>19014</v>
      </c>
      <c r="R241" s="82">
        <f t="shared" ref="R241:R254" si="126">Q241-O241</f>
        <v>19014</v>
      </c>
      <c r="T241" s="83"/>
    </row>
    <row r="242" spans="2:20" s="34" customFormat="1" ht="46.2">
      <c r="B242" s="87" t="s">
        <v>477</v>
      </c>
      <c r="C242" s="88" t="s">
        <v>478</v>
      </c>
      <c r="D242" s="89" t="s">
        <v>124</v>
      </c>
      <c r="E242" s="90">
        <v>9216.66</v>
      </c>
      <c r="F242" s="91"/>
      <c r="G242" s="91"/>
      <c r="H242" s="91"/>
      <c r="I242" s="91">
        <f>SUM(G242:H242)+'BM 006'!I242</f>
        <v>0</v>
      </c>
      <c r="J242" s="91">
        <f t="shared" si="113"/>
        <v>9216.66</v>
      </c>
      <c r="K242" s="80">
        <v>3.5</v>
      </c>
      <c r="L242" s="81">
        <f t="shared" si="111"/>
        <v>4.4366003850000002</v>
      </c>
      <c r="M242" s="82">
        <f t="shared" si="122"/>
        <v>0</v>
      </c>
      <c r="N242" s="82">
        <f t="shared" si="123"/>
        <v>0</v>
      </c>
      <c r="O242" s="82">
        <f>N242+'BM 006'!O242</f>
        <v>0</v>
      </c>
      <c r="P242" s="80">
        <f t="shared" si="124"/>
        <v>32258.309999999998</v>
      </c>
      <c r="Q242" s="82">
        <f t="shared" si="125"/>
        <v>40890.629999999997</v>
      </c>
      <c r="R242" s="82">
        <f t="shared" si="126"/>
        <v>40890.629999999997</v>
      </c>
    </row>
    <row r="243" spans="2:20" s="34" customFormat="1" ht="57.6">
      <c r="B243" s="87" t="s">
        <v>479</v>
      </c>
      <c r="C243" s="88" t="s">
        <v>480</v>
      </c>
      <c r="D243" s="89" t="s">
        <v>82</v>
      </c>
      <c r="E243" s="90">
        <v>16088.53</v>
      </c>
      <c r="F243" s="91"/>
      <c r="G243" s="91"/>
      <c r="H243" s="91"/>
      <c r="I243" s="91">
        <f>SUM(G243:H243)+'BM 006'!I243</f>
        <v>0</v>
      </c>
      <c r="J243" s="91">
        <f t="shared" si="113"/>
        <v>16088.53</v>
      </c>
      <c r="K243" s="80">
        <v>4.5</v>
      </c>
      <c r="L243" s="81">
        <f t="shared" si="111"/>
        <v>5.7042004950000003</v>
      </c>
      <c r="M243" s="82">
        <f t="shared" si="122"/>
        <v>0</v>
      </c>
      <c r="N243" s="82">
        <f t="shared" si="123"/>
        <v>0</v>
      </c>
      <c r="O243" s="82">
        <f>N243+'BM 006'!O243</f>
        <v>0</v>
      </c>
      <c r="P243" s="80">
        <f t="shared" si="124"/>
        <v>72398.385000000009</v>
      </c>
      <c r="Q243" s="82">
        <f t="shared" si="125"/>
        <v>91772.2</v>
      </c>
      <c r="R243" s="82">
        <f t="shared" si="126"/>
        <v>91772.2</v>
      </c>
    </row>
    <row r="244" spans="2:20" s="34" customFormat="1" ht="34.799999999999997">
      <c r="B244" s="87" t="s">
        <v>481</v>
      </c>
      <c r="C244" s="88" t="s">
        <v>482</v>
      </c>
      <c r="D244" s="89" t="s">
        <v>82</v>
      </c>
      <c r="E244" s="90">
        <v>1366.87</v>
      </c>
      <c r="F244" s="91"/>
      <c r="G244" s="91"/>
      <c r="H244" s="91"/>
      <c r="I244" s="91">
        <f>SUM(G244:H244)+'BM 006'!I244</f>
        <v>0</v>
      </c>
      <c r="J244" s="91">
        <f t="shared" si="113"/>
        <v>1366.87</v>
      </c>
      <c r="K244" s="80">
        <v>7</v>
      </c>
      <c r="L244" s="81">
        <f t="shared" si="111"/>
        <v>8.8732007700000004</v>
      </c>
      <c r="M244" s="82">
        <f t="shared" si="122"/>
        <v>0</v>
      </c>
      <c r="N244" s="82">
        <f t="shared" si="123"/>
        <v>0</v>
      </c>
      <c r="O244" s="82">
        <f>N244+'BM 006'!O244</f>
        <v>0</v>
      </c>
      <c r="P244" s="80">
        <f t="shared" si="124"/>
        <v>9568.09</v>
      </c>
      <c r="Q244" s="82">
        <f t="shared" si="125"/>
        <v>12128.51</v>
      </c>
      <c r="R244" s="82">
        <f t="shared" si="126"/>
        <v>12128.51</v>
      </c>
    </row>
    <row r="245" spans="2:20" s="34" customFormat="1" ht="57.6">
      <c r="B245" s="87" t="s">
        <v>483</v>
      </c>
      <c r="C245" s="88" t="s">
        <v>484</v>
      </c>
      <c r="D245" s="89" t="s">
        <v>82</v>
      </c>
      <c r="E245" s="90">
        <v>337.73</v>
      </c>
      <c r="F245" s="91"/>
      <c r="G245" s="91"/>
      <c r="H245" s="91"/>
      <c r="I245" s="91">
        <f>SUM(G245:H245)+'BM 006'!I245</f>
        <v>0</v>
      </c>
      <c r="J245" s="91">
        <f t="shared" si="113"/>
        <v>337.73</v>
      </c>
      <c r="K245" s="80">
        <v>10</v>
      </c>
      <c r="L245" s="81">
        <f t="shared" si="111"/>
        <v>12.676001100000001</v>
      </c>
      <c r="M245" s="82">
        <f t="shared" si="122"/>
        <v>0</v>
      </c>
      <c r="N245" s="82">
        <f t="shared" si="123"/>
        <v>0</v>
      </c>
      <c r="O245" s="82">
        <f>N245+'BM 006'!O245</f>
        <v>0</v>
      </c>
      <c r="P245" s="80">
        <f t="shared" si="124"/>
        <v>3377.3</v>
      </c>
      <c r="Q245" s="82">
        <f t="shared" si="125"/>
        <v>4281.0600000000004</v>
      </c>
      <c r="R245" s="82">
        <f t="shared" si="126"/>
        <v>4281.0600000000004</v>
      </c>
    </row>
    <row r="246" spans="2:20" s="34" customFormat="1" ht="34.799999999999997">
      <c r="B246" s="87" t="s">
        <v>485</v>
      </c>
      <c r="C246" s="88" t="s">
        <v>486</v>
      </c>
      <c r="D246" s="89" t="s">
        <v>82</v>
      </c>
      <c r="E246" s="90">
        <v>584.41</v>
      </c>
      <c r="F246" s="91"/>
      <c r="G246" s="91"/>
      <c r="H246" s="91"/>
      <c r="I246" s="91">
        <f>SUM(G246:H246)+'BM 006'!I246</f>
        <v>0</v>
      </c>
      <c r="J246" s="91">
        <f t="shared" si="113"/>
        <v>584.41</v>
      </c>
      <c r="K246" s="80">
        <v>11</v>
      </c>
      <c r="L246" s="81">
        <f t="shared" si="111"/>
        <v>13.943601210000001</v>
      </c>
      <c r="M246" s="82">
        <f t="shared" si="122"/>
        <v>0</v>
      </c>
      <c r="N246" s="82">
        <f t="shared" si="123"/>
        <v>0</v>
      </c>
      <c r="O246" s="82">
        <f>N246+'BM 006'!O246</f>
        <v>0</v>
      </c>
      <c r="P246" s="80">
        <f t="shared" si="124"/>
        <v>6428.5099999999993</v>
      </c>
      <c r="Q246" s="82">
        <f t="shared" si="125"/>
        <v>8148.77</v>
      </c>
      <c r="R246" s="82">
        <f t="shared" si="126"/>
        <v>8148.77</v>
      </c>
    </row>
    <row r="247" spans="2:20" s="34" customFormat="1" ht="34.799999999999997">
      <c r="B247" s="87" t="s">
        <v>487</v>
      </c>
      <c r="C247" s="88" t="s">
        <v>488</v>
      </c>
      <c r="D247" s="89" t="s">
        <v>82</v>
      </c>
      <c r="E247" s="90">
        <v>746.42</v>
      </c>
      <c r="F247" s="91"/>
      <c r="G247" s="91"/>
      <c r="H247" s="91"/>
      <c r="I247" s="91">
        <f>SUM(G247:H247)+'BM 006'!I247</f>
        <v>0</v>
      </c>
      <c r="J247" s="91">
        <f t="shared" si="113"/>
        <v>746.42</v>
      </c>
      <c r="K247" s="80">
        <v>18</v>
      </c>
      <c r="L247" s="81">
        <f t="shared" si="111"/>
        <v>22.816801980000001</v>
      </c>
      <c r="M247" s="82">
        <f t="shared" si="122"/>
        <v>0</v>
      </c>
      <c r="N247" s="82">
        <f t="shared" si="123"/>
        <v>0</v>
      </c>
      <c r="O247" s="82">
        <f>N247+'BM 006'!O247</f>
        <v>0</v>
      </c>
      <c r="P247" s="80">
        <f t="shared" si="124"/>
        <v>13435.56</v>
      </c>
      <c r="Q247" s="82">
        <f t="shared" si="125"/>
        <v>17030.91</v>
      </c>
      <c r="R247" s="82">
        <f t="shared" si="126"/>
        <v>17030.91</v>
      </c>
    </row>
    <row r="248" spans="2:20" s="34" customFormat="1" ht="34.799999999999997">
      <c r="B248" s="87" t="s">
        <v>489</v>
      </c>
      <c r="C248" s="88" t="s">
        <v>490</v>
      </c>
      <c r="D248" s="89" t="s">
        <v>82</v>
      </c>
      <c r="E248" s="90">
        <v>396.45</v>
      </c>
      <c r="F248" s="91"/>
      <c r="G248" s="91"/>
      <c r="H248" s="91"/>
      <c r="I248" s="91">
        <f>SUM(G248:H248)+'BM 006'!I248</f>
        <v>0</v>
      </c>
      <c r="J248" s="91">
        <f t="shared" si="113"/>
        <v>396.45</v>
      </c>
      <c r="K248" s="80">
        <v>25</v>
      </c>
      <c r="L248" s="81">
        <f t="shared" si="111"/>
        <v>31.690002750000001</v>
      </c>
      <c r="M248" s="82">
        <f t="shared" si="122"/>
        <v>0</v>
      </c>
      <c r="N248" s="82">
        <f t="shared" si="123"/>
        <v>0</v>
      </c>
      <c r="O248" s="82">
        <f>N248+'BM 006'!O248</f>
        <v>0</v>
      </c>
      <c r="P248" s="80">
        <f t="shared" si="124"/>
        <v>9911.25</v>
      </c>
      <c r="Q248" s="82">
        <f t="shared" si="125"/>
        <v>12563.5</v>
      </c>
      <c r="R248" s="82">
        <f t="shared" si="126"/>
        <v>12563.5</v>
      </c>
    </row>
    <row r="249" spans="2:20" s="34" customFormat="1" ht="57.6">
      <c r="B249" s="87" t="s">
        <v>491</v>
      </c>
      <c r="C249" s="88" t="s">
        <v>492</v>
      </c>
      <c r="D249" s="89" t="s">
        <v>82</v>
      </c>
      <c r="E249" s="90">
        <v>326.43</v>
      </c>
      <c r="F249" s="91"/>
      <c r="G249" s="91"/>
      <c r="H249" s="91"/>
      <c r="I249" s="91">
        <f>SUM(G249:H249)+'BM 006'!I249</f>
        <v>0</v>
      </c>
      <c r="J249" s="91">
        <f t="shared" si="113"/>
        <v>326.43</v>
      </c>
      <c r="K249" s="80">
        <v>40</v>
      </c>
      <c r="L249" s="81">
        <f t="shared" si="111"/>
        <v>50.704004400000002</v>
      </c>
      <c r="M249" s="82">
        <f t="shared" si="122"/>
        <v>0</v>
      </c>
      <c r="N249" s="82">
        <f t="shared" si="123"/>
        <v>0</v>
      </c>
      <c r="O249" s="82">
        <f>N249+'BM 006'!O249</f>
        <v>0</v>
      </c>
      <c r="P249" s="80">
        <f t="shared" si="124"/>
        <v>13057.2</v>
      </c>
      <c r="Q249" s="82">
        <f t="shared" si="125"/>
        <v>16551.3</v>
      </c>
      <c r="R249" s="82">
        <f t="shared" si="126"/>
        <v>16551.3</v>
      </c>
    </row>
    <row r="250" spans="2:20" s="34" customFormat="1" ht="46.2">
      <c r="B250" s="87" t="s">
        <v>493</v>
      </c>
      <c r="C250" s="88" t="s">
        <v>494</v>
      </c>
      <c r="D250" s="89" t="s">
        <v>82</v>
      </c>
      <c r="E250" s="90">
        <v>49.87</v>
      </c>
      <c r="F250" s="91"/>
      <c r="G250" s="91"/>
      <c r="H250" s="91"/>
      <c r="I250" s="91">
        <f>SUM(G250:H250)+'BM 006'!I250</f>
        <v>0</v>
      </c>
      <c r="J250" s="91">
        <f t="shared" si="113"/>
        <v>49.87</v>
      </c>
      <c r="K250" s="80">
        <v>125</v>
      </c>
      <c r="L250" s="81">
        <f t="shared" si="111"/>
        <v>158.45001375000001</v>
      </c>
      <c r="M250" s="82">
        <f t="shared" si="122"/>
        <v>0</v>
      </c>
      <c r="N250" s="82">
        <f t="shared" si="123"/>
        <v>0</v>
      </c>
      <c r="O250" s="82">
        <f>N250+'BM 006'!O250</f>
        <v>0</v>
      </c>
      <c r="P250" s="80">
        <f t="shared" si="124"/>
        <v>6233.75</v>
      </c>
      <c r="Q250" s="82">
        <f t="shared" si="125"/>
        <v>7901.9</v>
      </c>
      <c r="R250" s="82">
        <f t="shared" si="126"/>
        <v>7901.9</v>
      </c>
    </row>
    <row r="251" spans="2:20" s="34" customFormat="1" ht="46.2">
      <c r="B251" s="87" t="s">
        <v>495</v>
      </c>
      <c r="C251" s="88" t="s">
        <v>496</v>
      </c>
      <c r="D251" s="89" t="s">
        <v>82</v>
      </c>
      <c r="E251" s="90">
        <v>49.87</v>
      </c>
      <c r="F251" s="91"/>
      <c r="G251" s="91"/>
      <c r="H251" s="91"/>
      <c r="I251" s="91">
        <f>SUM(G251:H251)+'BM 006'!I251</f>
        <v>0</v>
      </c>
      <c r="J251" s="91">
        <f t="shared" si="113"/>
        <v>49.87</v>
      </c>
      <c r="K251" s="80">
        <v>170</v>
      </c>
      <c r="L251" s="81">
        <f t="shared" si="111"/>
        <v>215.49201870000002</v>
      </c>
      <c r="M251" s="82">
        <f t="shared" si="122"/>
        <v>0</v>
      </c>
      <c r="N251" s="82">
        <f t="shared" si="123"/>
        <v>0</v>
      </c>
      <c r="O251" s="82">
        <f>N251+'BM 006'!O251</f>
        <v>0</v>
      </c>
      <c r="P251" s="80">
        <f t="shared" si="124"/>
        <v>8477.9</v>
      </c>
      <c r="Q251" s="82">
        <f t="shared" si="125"/>
        <v>10746.58</v>
      </c>
      <c r="R251" s="82">
        <f t="shared" si="126"/>
        <v>10746.58</v>
      </c>
    </row>
    <row r="252" spans="2:20" s="34" customFormat="1" ht="46.2">
      <c r="B252" s="87" t="s">
        <v>497</v>
      </c>
      <c r="C252" s="88" t="s">
        <v>498</v>
      </c>
      <c r="D252" s="89" t="s">
        <v>82</v>
      </c>
      <c r="E252" s="90">
        <v>149.6</v>
      </c>
      <c r="F252" s="91"/>
      <c r="G252" s="91"/>
      <c r="H252" s="91"/>
      <c r="I252" s="91">
        <f>SUM(G252:H252)+'BM 006'!I252</f>
        <v>0</v>
      </c>
      <c r="J252" s="91">
        <f t="shared" si="113"/>
        <v>149.6</v>
      </c>
      <c r="K252" s="80">
        <v>290</v>
      </c>
      <c r="L252" s="81">
        <f t="shared" si="111"/>
        <v>367.6040319</v>
      </c>
      <c r="M252" s="82">
        <f t="shared" si="122"/>
        <v>0</v>
      </c>
      <c r="N252" s="82">
        <f t="shared" si="123"/>
        <v>0</v>
      </c>
      <c r="O252" s="82">
        <f>N252+'BM 006'!O252</f>
        <v>0</v>
      </c>
      <c r="P252" s="80">
        <f t="shared" si="124"/>
        <v>43384</v>
      </c>
      <c r="Q252" s="82">
        <f t="shared" si="125"/>
        <v>54993.56</v>
      </c>
      <c r="R252" s="82">
        <f t="shared" si="126"/>
        <v>54993.56</v>
      </c>
    </row>
    <row r="253" spans="2:20" s="34" customFormat="1" ht="23.4">
      <c r="B253" s="87" t="s">
        <v>499</v>
      </c>
      <c r="C253" s="88" t="s">
        <v>500</v>
      </c>
      <c r="D253" s="89" t="s">
        <v>82</v>
      </c>
      <c r="E253" s="90">
        <v>4482.08</v>
      </c>
      <c r="F253" s="91"/>
      <c r="G253" s="91"/>
      <c r="H253" s="91"/>
      <c r="I253" s="91">
        <f>SUM(G253:H253)+'BM 006'!I253</f>
        <v>0</v>
      </c>
      <c r="J253" s="91">
        <f t="shared" si="113"/>
        <v>4482.08</v>
      </c>
      <c r="K253" s="80">
        <v>9</v>
      </c>
      <c r="L253" s="81">
        <f t="shared" si="111"/>
        <v>11.408400990000001</v>
      </c>
      <c r="M253" s="82">
        <f t="shared" si="122"/>
        <v>0</v>
      </c>
      <c r="N253" s="82">
        <f t="shared" si="123"/>
        <v>0</v>
      </c>
      <c r="O253" s="82">
        <f>N253+'BM 006'!O253</f>
        <v>0</v>
      </c>
      <c r="P253" s="80">
        <f t="shared" si="124"/>
        <v>40338.720000000001</v>
      </c>
      <c r="Q253" s="82">
        <f t="shared" si="125"/>
        <v>51133.36</v>
      </c>
      <c r="R253" s="82">
        <f t="shared" si="126"/>
        <v>51133.36</v>
      </c>
    </row>
    <row r="254" spans="2:20" s="34" customFormat="1" ht="23.4">
      <c r="B254" s="87" t="s">
        <v>501</v>
      </c>
      <c r="C254" s="88" t="s">
        <v>502</v>
      </c>
      <c r="D254" s="89" t="s">
        <v>82</v>
      </c>
      <c r="E254" s="90">
        <v>3350.7979999999998</v>
      </c>
      <c r="F254" s="91"/>
      <c r="G254" s="91"/>
      <c r="H254" s="91"/>
      <c r="I254" s="91">
        <f>SUM(G254:H254)+'BM 006'!I254</f>
        <v>0</v>
      </c>
      <c r="J254" s="91">
        <f t="shared" si="113"/>
        <v>3350.7979999999998</v>
      </c>
      <c r="K254" s="80">
        <v>11</v>
      </c>
      <c r="L254" s="81">
        <f t="shared" si="111"/>
        <v>13.943601210000001</v>
      </c>
      <c r="M254" s="82">
        <f t="shared" si="122"/>
        <v>0</v>
      </c>
      <c r="N254" s="82">
        <f t="shared" si="123"/>
        <v>0</v>
      </c>
      <c r="O254" s="82">
        <f>N254+'BM 006'!O254</f>
        <v>0</v>
      </c>
      <c r="P254" s="80">
        <f t="shared" si="124"/>
        <v>36858.777999999998</v>
      </c>
      <c r="Q254" s="82">
        <f t="shared" si="125"/>
        <v>46722.19</v>
      </c>
      <c r="R254" s="82">
        <f t="shared" si="126"/>
        <v>46722.19</v>
      </c>
    </row>
    <row r="255" spans="2:20" s="34" customFormat="1" ht="13.2">
      <c r="B255" s="66" t="s">
        <v>503</v>
      </c>
      <c r="C255" s="67" t="s">
        <v>504</v>
      </c>
      <c r="D255" s="68"/>
      <c r="E255" s="69"/>
      <c r="F255" s="70"/>
      <c r="G255" s="70"/>
      <c r="H255" s="70"/>
      <c r="I255" s="70">
        <f>SUM(G255:H255)+'BM 006'!I255</f>
        <v>0</v>
      </c>
      <c r="J255" s="70">
        <f t="shared" si="113"/>
        <v>0</v>
      </c>
      <c r="K255" s="71"/>
      <c r="L255" s="71">
        <f t="shared" si="111"/>
        <v>0</v>
      </c>
      <c r="M255" s="73">
        <f t="shared" ref="M255:R255" si="127">SUM(M256:M290)</f>
        <v>0</v>
      </c>
      <c r="N255" s="73">
        <f t="shared" si="127"/>
        <v>0</v>
      </c>
      <c r="O255" s="73">
        <f t="shared" si="127"/>
        <v>0</v>
      </c>
      <c r="P255" s="73">
        <f t="shared" si="127"/>
        <v>65111</v>
      </c>
      <c r="Q255" s="73">
        <f t="shared" si="127"/>
        <v>82534.59</v>
      </c>
      <c r="R255" s="73">
        <f t="shared" si="127"/>
        <v>82534.59</v>
      </c>
    </row>
    <row r="256" spans="2:20" s="34" customFormat="1" ht="46.2">
      <c r="B256" s="87" t="s">
        <v>505</v>
      </c>
      <c r="C256" s="88" t="s">
        <v>506</v>
      </c>
      <c r="D256" s="89" t="s">
        <v>131</v>
      </c>
      <c r="E256" s="90">
        <v>3</v>
      </c>
      <c r="F256" s="91"/>
      <c r="G256" s="91"/>
      <c r="H256" s="91"/>
      <c r="I256" s="91">
        <f>SUM(G256:H256)+'BM 006'!I256</f>
        <v>0</v>
      </c>
      <c r="J256" s="91">
        <f t="shared" si="113"/>
        <v>3</v>
      </c>
      <c r="K256" s="80">
        <v>1080</v>
      </c>
      <c r="L256" s="81">
        <f t="shared" si="111"/>
        <v>1369.0081188000001</v>
      </c>
      <c r="M256" s="82">
        <f t="shared" ref="M256:M290" si="128">TRUNC(F256*L256,2)</f>
        <v>0</v>
      </c>
      <c r="N256" s="82">
        <f t="shared" ref="N256:N290" si="129">TRUNC(G256*L256,2)</f>
        <v>0</v>
      </c>
      <c r="O256" s="82">
        <f>N256+'BM 006'!O256</f>
        <v>0</v>
      </c>
      <c r="P256" s="80">
        <f t="shared" ref="P256:P290" si="130">E256*K256</f>
        <v>3240</v>
      </c>
      <c r="Q256" s="82">
        <f t="shared" ref="Q256:Q290" si="131">TRUNC(E256*L256,2)</f>
        <v>4107.0200000000004</v>
      </c>
      <c r="R256" s="82">
        <f t="shared" ref="R256:R290" si="132">Q256-O256</f>
        <v>4107.0200000000004</v>
      </c>
    </row>
    <row r="257" spans="2:18" s="34" customFormat="1" ht="46.2">
      <c r="B257" s="87" t="s">
        <v>507</v>
      </c>
      <c r="C257" s="88" t="s">
        <v>508</v>
      </c>
      <c r="D257" s="89" t="s">
        <v>131</v>
      </c>
      <c r="E257" s="90">
        <v>1</v>
      </c>
      <c r="F257" s="91"/>
      <c r="G257" s="91"/>
      <c r="H257" s="91"/>
      <c r="I257" s="91">
        <f>SUM(G257:H257)+'BM 006'!I257</f>
        <v>0</v>
      </c>
      <c r="J257" s="91">
        <f t="shared" si="113"/>
        <v>1</v>
      </c>
      <c r="K257" s="80">
        <v>1200</v>
      </c>
      <c r="L257" s="81">
        <f t="shared" si="111"/>
        <v>1521.120132</v>
      </c>
      <c r="M257" s="82">
        <f t="shared" si="128"/>
        <v>0</v>
      </c>
      <c r="N257" s="82">
        <f t="shared" si="129"/>
        <v>0</v>
      </c>
      <c r="O257" s="82">
        <f>N257+'BM 006'!O257</f>
        <v>0</v>
      </c>
      <c r="P257" s="80">
        <f t="shared" si="130"/>
        <v>1200</v>
      </c>
      <c r="Q257" s="82">
        <f t="shared" si="131"/>
        <v>1521.12</v>
      </c>
      <c r="R257" s="82">
        <f t="shared" si="132"/>
        <v>1521.12</v>
      </c>
    </row>
    <row r="258" spans="2:18" s="34" customFormat="1" ht="46.2">
      <c r="B258" s="87" t="s">
        <v>509</v>
      </c>
      <c r="C258" s="88" t="s">
        <v>510</v>
      </c>
      <c r="D258" s="89" t="s">
        <v>131</v>
      </c>
      <c r="E258" s="90">
        <v>4</v>
      </c>
      <c r="F258" s="91"/>
      <c r="G258" s="91"/>
      <c r="H258" s="91"/>
      <c r="I258" s="91">
        <f>SUM(G258:H258)+'BM 006'!I258</f>
        <v>0</v>
      </c>
      <c r="J258" s="91">
        <f t="shared" si="113"/>
        <v>4</v>
      </c>
      <c r="K258" s="80">
        <v>1890</v>
      </c>
      <c r="L258" s="81">
        <f t="shared" si="111"/>
        <v>2395.7642079000002</v>
      </c>
      <c r="M258" s="82">
        <f t="shared" si="128"/>
        <v>0</v>
      </c>
      <c r="N258" s="82">
        <f t="shared" si="129"/>
        <v>0</v>
      </c>
      <c r="O258" s="82">
        <f>N258+'BM 006'!O258</f>
        <v>0</v>
      </c>
      <c r="P258" s="80">
        <f t="shared" si="130"/>
        <v>7560</v>
      </c>
      <c r="Q258" s="82">
        <f t="shared" si="131"/>
        <v>9583.0499999999993</v>
      </c>
      <c r="R258" s="82">
        <f t="shared" si="132"/>
        <v>9583.0499999999993</v>
      </c>
    </row>
    <row r="259" spans="2:18" s="34" customFormat="1" ht="34.799999999999997">
      <c r="B259" s="87" t="s">
        <v>511</v>
      </c>
      <c r="C259" s="88" t="s">
        <v>512</v>
      </c>
      <c r="D259" s="89" t="s">
        <v>131</v>
      </c>
      <c r="E259" s="90">
        <v>19</v>
      </c>
      <c r="F259" s="91"/>
      <c r="G259" s="91"/>
      <c r="H259" s="91"/>
      <c r="I259" s="91">
        <f>SUM(G259:H259)+'BM 006'!I259</f>
        <v>0</v>
      </c>
      <c r="J259" s="91">
        <f t="shared" si="113"/>
        <v>19</v>
      </c>
      <c r="K259" s="80">
        <v>1000</v>
      </c>
      <c r="L259" s="81">
        <f t="shared" si="111"/>
        <v>1267.6001100000001</v>
      </c>
      <c r="M259" s="82">
        <f t="shared" si="128"/>
        <v>0</v>
      </c>
      <c r="N259" s="82">
        <f t="shared" si="129"/>
        <v>0</v>
      </c>
      <c r="O259" s="82">
        <f>N259+'BM 006'!O259</f>
        <v>0</v>
      </c>
      <c r="P259" s="80">
        <f t="shared" si="130"/>
        <v>19000</v>
      </c>
      <c r="Q259" s="82">
        <f t="shared" si="131"/>
        <v>24084.400000000001</v>
      </c>
      <c r="R259" s="82">
        <f t="shared" si="132"/>
        <v>24084.400000000001</v>
      </c>
    </row>
    <row r="260" spans="2:18" s="34" customFormat="1" ht="34.799999999999997">
      <c r="B260" s="87" t="s">
        <v>513</v>
      </c>
      <c r="C260" s="88" t="s">
        <v>514</v>
      </c>
      <c r="D260" s="89" t="s">
        <v>131</v>
      </c>
      <c r="E260" s="90">
        <v>2</v>
      </c>
      <c r="F260" s="91"/>
      <c r="G260" s="91"/>
      <c r="H260" s="91"/>
      <c r="I260" s="91">
        <f>SUM(G260:H260)+'BM 006'!I260</f>
        <v>0</v>
      </c>
      <c r="J260" s="91">
        <f t="shared" si="113"/>
        <v>2</v>
      </c>
      <c r="K260" s="80">
        <v>1400</v>
      </c>
      <c r="L260" s="81">
        <f t="shared" si="111"/>
        <v>1774.6401540000002</v>
      </c>
      <c r="M260" s="82">
        <f t="shared" si="128"/>
        <v>0</v>
      </c>
      <c r="N260" s="82">
        <f t="shared" si="129"/>
        <v>0</v>
      </c>
      <c r="O260" s="82">
        <f>N260+'BM 006'!O260</f>
        <v>0</v>
      </c>
      <c r="P260" s="80">
        <f t="shared" si="130"/>
        <v>2800</v>
      </c>
      <c r="Q260" s="82">
        <f t="shared" si="131"/>
        <v>3549.28</v>
      </c>
      <c r="R260" s="82">
        <f t="shared" si="132"/>
        <v>3549.28</v>
      </c>
    </row>
    <row r="261" spans="2:18" s="34" customFormat="1" ht="23.4">
      <c r="B261" s="87" t="s">
        <v>515</v>
      </c>
      <c r="C261" s="88" t="s">
        <v>516</v>
      </c>
      <c r="D261" s="89" t="s">
        <v>131</v>
      </c>
      <c r="E261" s="90">
        <v>2</v>
      </c>
      <c r="F261" s="91"/>
      <c r="G261" s="91"/>
      <c r="H261" s="91"/>
      <c r="I261" s="91">
        <f>SUM(G261:H261)+'BM 006'!I261</f>
        <v>0</v>
      </c>
      <c r="J261" s="91">
        <f t="shared" si="113"/>
        <v>2</v>
      </c>
      <c r="K261" s="80">
        <v>800</v>
      </c>
      <c r="L261" s="81">
        <f t="shared" si="111"/>
        <v>1014.080088</v>
      </c>
      <c r="M261" s="82">
        <f t="shared" si="128"/>
        <v>0</v>
      </c>
      <c r="N261" s="82">
        <f t="shared" si="129"/>
        <v>0</v>
      </c>
      <c r="O261" s="82">
        <f>N261+'BM 006'!O261</f>
        <v>0</v>
      </c>
      <c r="P261" s="80">
        <f t="shared" si="130"/>
        <v>1600</v>
      </c>
      <c r="Q261" s="82">
        <f t="shared" si="131"/>
        <v>2028.16</v>
      </c>
      <c r="R261" s="82">
        <f t="shared" si="132"/>
        <v>2028.16</v>
      </c>
    </row>
    <row r="262" spans="2:18" s="34" customFormat="1" ht="23.4">
      <c r="B262" s="87" t="s">
        <v>517</v>
      </c>
      <c r="C262" s="88" t="s">
        <v>518</v>
      </c>
      <c r="D262" s="89" t="s">
        <v>131</v>
      </c>
      <c r="E262" s="90">
        <v>1</v>
      </c>
      <c r="F262" s="91"/>
      <c r="G262" s="91"/>
      <c r="H262" s="91"/>
      <c r="I262" s="91">
        <f>SUM(G262:H262)+'BM 006'!I262</f>
        <v>0</v>
      </c>
      <c r="J262" s="91">
        <f t="shared" si="113"/>
        <v>1</v>
      </c>
      <c r="K262" s="80">
        <v>1200</v>
      </c>
      <c r="L262" s="81">
        <f t="shared" si="111"/>
        <v>1521.120132</v>
      </c>
      <c r="M262" s="82">
        <f t="shared" si="128"/>
        <v>0</v>
      </c>
      <c r="N262" s="82">
        <f t="shared" si="129"/>
        <v>0</v>
      </c>
      <c r="O262" s="82">
        <f>N262+'BM 006'!O262</f>
        <v>0</v>
      </c>
      <c r="P262" s="80">
        <f t="shared" si="130"/>
        <v>1200</v>
      </c>
      <c r="Q262" s="82">
        <f t="shared" si="131"/>
        <v>1521.12</v>
      </c>
      <c r="R262" s="82">
        <f t="shared" si="132"/>
        <v>1521.12</v>
      </c>
    </row>
    <row r="263" spans="2:18" s="34" customFormat="1" ht="23.4">
      <c r="B263" s="87" t="s">
        <v>519</v>
      </c>
      <c r="C263" s="88" t="s">
        <v>520</v>
      </c>
      <c r="D263" s="89" t="s">
        <v>131</v>
      </c>
      <c r="E263" s="90">
        <v>2</v>
      </c>
      <c r="F263" s="91"/>
      <c r="G263" s="91"/>
      <c r="H263" s="91"/>
      <c r="I263" s="91">
        <f>SUM(G263:H263)+'BM 006'!I263</f>
        <v>0</v>
      </c>
      <c r="J263" s="91">
        <f t="shared" si="113"/>
        <v>2</v>
      </c>
      <c r="K263" s="80">
        <v>2100</v>
      </c>
      <c r="L263" s="81">
        <f t="shared" si="111"/>
        <v>2661.960231</v>
      </c>
      <c r="M263" s="82">
        <f t="shared" si="128"/>
        <v>0</v>
      </c>
      <c r="N263" s="82">
        <f t="shared" si="129"/>
        <v>0</v>
      </c>
      <c r="O263" s="82">
        <f>N263+'BM 006'!O263</f>
        <v>0</v>
      </c>
      <c r="P263" s="80">
        <f t="shared" si="130"/>
        <v>4200</v>
      </c>
      <c r="Q263" s="82">
        <f t="shared" si="131"/>
        <v>5323.92</v>
      </c>
      <c r="R263" s="82">
        <f t="shared" si="132"/>
        <v>5323.92</v>
      </c>
    </row>
    <row r="264" spans="2:18" s="34" customFormat="1" ht="34.799999999999997">
      <c r="B264" s="87" t="s">
        <v>521</v>
      </c>
      <c r="C264" s="88" t="s">
        <v>522</v>
      </c>
      <c r="D264" s="89" t="s">
        <v>131</v>
      </c>
      <c r="E264" s="90">
        <v>16</v>
      </c>
      <c r="F264" s="91"/>
      <c r="G264" s="91"/>
      <c r="H264" s="91"/>
      <c r="I264" s="91">
        <f>SUM(G264:H264)+'BM 006'!I264</f>
        <v>0</v>
      </c>
      <c r="J264" s="91">
        <f t="shared" si="113"/>
        <v>16</v>
      </c>
      <c r="K264" s="80">
        <v>180</v>
      </c>
      <c r="L264" s="81">
        <f t="shared" si="111"/>
        <v>228.16801980000002</v>
      </c>
      <c r="M264" s="82">
        <f t="shared" si="128"/>
        <v>0</v>
      </c>
      <c r="N264" s="82">
        <f t="shared" si="129"/>
        <v>0</v>
      </c>
      <c r="O264" s="82">
        <f>N264+'BM 006'!O264</f>
        <v>0</v>
      </c>
      <c r="P264" s="80">
        <f t="shared" si="130"/>
        <v>2880</v>
      </c>
      <c r="Q264" s="82">
        <f t="shared" si="131"/>
        <v>3650.68</v>
      </c>
      <c r="R264" s="82">
        <f t="shared" si="132"/>
        <v>3650.68</v>
      </c>
    </row>
    <row r="265" spans="2:18" s="34" customFormat="1" ht="34.799999999999997">
      <c r="B265" s="87" t="s">
        <v>523</v>
      </c>
      <c r="C265" s="88" t="s">
        <v>524</v>
      </c>
      <c r="D265" s="89" t="s">
        <v>131</v>
      </c>
      <c r="E265" s="90">
        <v>8</v>
      </c>
      <c r="F265" s="91"/>
      <c r="G265" s="91"/>
      <c r="H265" s="91"/>
      <c r="I265" s="91">
        <f>SUM(G265:H265)+'BM 006'!I265</f>
        <v>0</v>
      </c>
      <c r="J265" s="91">
        <f t="shared" si="113"/>
        <v>8</v>
      </c>
      <c r="K265" s="80">
        <v>260</v>
      </c>
      <c r="L265" s="81">
        <f t="shared" si="111"/>
        <v>329.57602860000003</v>
      </c>
      <c r="M265" s="82">
        <f t="shared" si="128"/>
        <v>0</v>
      </c>
      <c r="N265" s="82">
        <f t="shared" si="129"/>
        <v>0</v>
      </c>
      <c r="O265" s="82">
        <f>N265+'BM 006'!O265</f>
        <v>0</v>
      </c>
      <c r="P265" s="80">
        <f t="shared" si="130"/>
        <v>2080</v>
      </c>
      <c r="Q265" s="82">
        <f t="shared" si="131"/>
        <v>2636.6</v>
      </c>
      <c r="R265" s="82">
        <f t="shared" si="132"/>
        <v>2636.6</v>
      </c>
    </row>
    <row r="266" spans="2:18" s="34" customFormat="1" ht="23.4">
      <c r="B266" s="87" t="s">
        <v>525</v>
      </c>
      <c r="C266" s="88" t="s">
        <v>526</v>
      </c>
      <c r="D266" s="89" t="s">
        <v>131</v>
      </c>
      <c r="E266" s="90">
        <v>1</v>
      </c>
      <c r="F266" s="91"/>
      <c r="G266" s="91"/>
      <c r="H266" s="91"/>
      <c r="I266" s="91">
        <f>SUM(G266:H266)+'BM 006'!I266</f>
        <v>0</v>
      </c>
      <c r="J266" s="91">
        <f t="shared" si="113"/>
        <v>1</v>
      </c>
      <c r="K266" s="80">
        <v>180</v>
      </c>
      <c r="L266" s="81">
        <f t="shared" si="111"/>
        <v>228.16801980000002</v>
      </c>
      <c r="M266" s="82">
        <f t="shared" si="128"/>
        <v>0</v>
      </c>
      <c r="N266" s="82">
        <f t="shared" si="129"/>
        <v>0</v>
      </c>
      <c r="O266" s="82">
        <f>N266+'BM 006'!O266</f>
        <v>0</v>
      </c>
      <c r="P266" s="80">
        <f t="shared" si="130"/>
        <v>180</v>
      </c>
      <c r="Q266" s="82">
        <f t="shared" si="131"/>
        <v>228.16</v>
      </c>
      <c r="R266" s="82">
        <f t="shared" si="132"/>
        <v>228.16</v>
      </c>
    </row>
    <row r="267" spans="2:18" s="34" customFormat="1" ht="23.4">
      <c r="B267" s="87" t="s">
        <v>527</v>
      </c>
      <c r="C267" s="88" t="s">
        <v>528</v>
      </c>
      <c r="D267" s="89" t="s">
        <v>131</v>
      </c>
      <c r="E267" s="90">
        <v>4</v>
      </c>
      <c r="F267" s="91"/>
      <c r="G267" s="91"/>
      <c r="H267" s="91"/>
      <c r="I267" s="91">
        <f>SUM(G267:H267)+'BM 006'!I267</f>
        <v>0</v>
      </c>
      <c r="J267" s="91">
        <f t="shared" si="113"/>
        <v>4</v>
      </c>
      <c r="K267" s="80">
        <v>180</v>
      </c>
      <c r="L267" s="81">
        <f t="shared" si="111"/>
        <v>228.16801980000002</v>
      </c>
      <c r="M267" s="82">
        <f t="shared" si="128"/>
        <v>0</v>
      </c>
      <c r="N267" s="82">
        <f t="shared" si="129"/>
        <v>0</v>
      </c>
      <c r="O267" s="82">
        <f>N267+'BM 006'!O267</f>
        <v>0</v>
      </c>
      <c r="P267" s="80">
        <f t="shared" si="130"/>
        <v>720</v>
      </c>
      <c r="Q267" s="82">
        <f t="shared" si="131"/>
        <v>912.67</v>
      </c>
      <c r="R267" s="82">
        <f t="shared" si="132"/>
        <v>912.67</v>
      </c>
    </row>
    <row r="268" spans="2:18" s="34" customFormat="1" ht="23.4">
      <c r="B268" s="87" t="s">
        <v>529</v>
      </c>
      <c r="C268" s="88" t="s">
        <v>530</v>
      </c>
      <c r="D268" s="89" t="s">
        <v>131</v>
      </c>
      <c r="E268" s="90">
        <v>11</v>
      </c>
      <c r="F268" s="91"/>
      <c r="G268" s="91"/>
      <c r="H268" s="91"/>
      <c r="I268" s="91">
        <f>SUM(G268:H268)+'BM 006'!I268</f>
        <v>0</v>
      </c>
      <c r="J268" s="91">
        <f t="shared" si="113"/>
        <v>11</v>
      </c>
      <c r="K268" s="80">
        <v>280</v>
      </c>
      <c r="L268" s="81">
        <f t="shared" si="111"/>
        <v>354.92803079999999</v>
      </c>
      <c r="M268" s="82">
        <f t="shared" si="128"/>
        <v>0</v>
      </c>
      <c r="N268" s="82">
        <f t="shared" si="129"/>
        <v>0</v>
      </c>
      <c r="O268" s="82">
        <f>N268+'BM 006'!O268</f>
        <v>0</v>
      </c>
      <c r="P268" s="80">
        <f t="shared" si="130"/>
        <v>3080</v>
      </c>
      <c r="Q268" s="82">
        <f t="shared" si="131"/>
        <v>3904.2</v>
      </c>
      <c r="R268" s="82">
        <f t="shared" si="132"/>
        <v>3904.2</v>
      </c>
    </row>
    <row r="269" spans="2:18" s="34" customFormat="1" ht="23.4">
      <c r="B269" s="87" t="s">
        <v>531</v>
      </c>
      <c r="C269" s="88" t="s">
        <v>532</v>
      </c>
      <c r="D269" s="89" t="s">
        <v>131</v>
      </c>
      <c r="E269" s="90">
        <v>4</v>
      </c>
      <c r="F269" s="91"/>
      <c r="G269" s="91"/>
      <c r="H269" s="91"/>
      <c r="I269" s="91">
        <f>SUM(G269:H269)+'BM 006'!I269</f>
        <v>0</v>
      </c>
      <c r="J269" s="91">
        <f t="shared" si="113"/>
        <v>4</v>
      </c>
      <c r="K269" s="80">
        <v>380</v>
      </c>
      <c r="L269" s="81">
        <f t="shared" si="111"/>
        <v>481.68804180000001</v>
      </c>
      <c r="M269" s="82">
        <f t="shared" si="128"/>
        <v>0</v>
      </c>
      <c r="N269" s="82">
        <f t="shared" si="129"/>
        <v>0</v>
      </c>
      <c r="O269" s="82">
        <f>N269+'BM 006'!O269</f>
        <v>0</v>
      </c>
      <c r="P269" s="80">
        <f t="shared" si="130"/>
        <v>1520</v>
      </c>
      <c r="Q269" s="82">
        <f t="shared" si="131"/>
        <v>1926.75</v>
      </c>
      <c r="R269" s="82">
        <f t="shared" si="132"/>
        <v>1926.75</v>
      </c>
    </row>
    <row r="270" spans="2:18" s="34" customFormat="1" ht="23.4">
      <c r="B270" s="87" t="s">
        <v>533</v>
      </c>
      <c r="C270" s="88" t="s">
        <v>534</v>
      </c>
      <c r="D270" s="89" t="s">
        <v>131</v>
      </c>
      <c r="E270" s="90">
        <v>1</v>
      </c>
      <c r="F270" s="91"/>
      <c r="G270" s="91"/>
      <c r="H270" s="91"/>
      <c r="I270" s="91">
        <f>SUM(G270:H270)+'BM 006'!I270</f>
        <v>0</v>
      </c>
      <c r="J270" s="91">
        <f t="shared" si="113"/>
        <v>1</v>
      </c>
      <c r="K270" s="80">
        <v>600</v>
      </c>
      <c r="L270" s="81">
        <f t="shared" si="111"/>
        <v>760.56006600000001</v>
      </c>
      <c r="M270" s="82">
        <f t="shared" si="128"/>
        <v>0</v>
      </c>
      <c r="N270" s="82">
        <f t="shared" si="129"/>
        <v>0</v>
      </c>
      <c r="O270" s="82">
        <f>N270+'BM 006'!O270</f>
        <v>0</v>
      </c>
      <c r="P270" s="80">
        <f t="shared" si="130"/>
        <v>600</v>
      </c>
      <c r="Q270" s="82">
        <f t="shared" si="131"/>
        <v>760.56</v>
      </c>
      <c r="R270" s="82">
        <f t="shared" si="132"/>
        <v>760.56</v>
      </c>
    </row>
    <row r="271" spans="2:18" s="34" customFormat="1" ht="13.2">
      <c r="B271" s="87" t="s">
        <v>535</v>
      </c>
      <c r="C271" s="88" t="s">
        <v>536</v>
      </c>
      <c r="D271" s="89" t="s">
        <v>131</v>
      </c>
      <c r="E271" s="90">
        <v>1</v>
      </c>
      <c r="F271" s="91"/>
      <c r="G271" s="91"/>
      <c r="H271" s="91"/>
      <c r="I271" s="91">
        <f>SUM(G271:H271)+'BM 006'!I271</f>
        <v>0</v>
      </c>
      <c r="J271" s="91">
        <f t="shared" si="113"/>
        <v>1</v>
      </c>
      <c r="K271" s="80">
        <v>350</v>
      </c>
      <c r="L271" s="81">
        <f t="shared" si="111"/>
        <v>443.66003850000004</v>
      </c>
      <c r="M271" s="82">
        <f t="shared" si="128"/>
        <v>0</v>
      </c>
      <c r="N271" s="82">
        <f t="shared" si="129"/>
        <v>0</v>
      </c>
      <c r="O271" s="82">
        <f>N271+'BM 006'!O271</f>
        <v>0</v>
      </c>
      <c r="P271" s="80">
        <f t="shared" si="130"/>
        <v>350</v>
      </c>
      <c r="Q271" s="82">
        <f t="shared" si="131"/>
        <v>443.66</v>
      </c>
      <c r="R271" s="82">
        <f t="shared" si="132"/>
        <v>443.66</v>
      </c>
    </row>
    <row r="272" spans="2:18" s="34" customFormat="1" ht="13.2">
      <c r="B272" s="87" t="s">
        <v>537</v>
      </c>
      <c r="C272" s="88" t="s">
        <v>538</v>
      </c>
      <c r="D272" s="89" t="s">
        <v>131</v>
      </c>
      <c r="E272" s="90">
        <v>6</v>
      </c>
      <c r="F272" s="91"/>
      <c r="G272" s="91"/>
      <c r="H272" s="91"/>
      <c r="I272" s="91">
        <f>SUM(G272:H272)+'BM 006'!I272</f>
        <v>0</v>
      </c>
      <c r="J272" s="91">
        <f t="shared" si="113"/>
        <v>6</v>
      </c>
      <c r="K272" s="80">
        <v>450</v>
      </c>
      <c r="L272" s="81">
        <f t="shared" si="111"/>
        <v>570.4200495</v>
      </c>
      <c r="M272" s="82">
        <f t="shared" si="128"/>
        <v>0</v>
      </c>
      <c r="N272" s="82">
        <f t="shared" si="129"/>
        <v>0</v>
      </c>
      <c r="O272" s="82">
        <f>N272+'BM 006'!O272</f>
        <v>0</v>
      </c>
      <c r="P272" s="80">
        <f t="shared" si="130"/>
        <v>2700</v>
      </c>
      <c r="Q272" s="82">
        <f t="shared" si="131"/>
        <v>3422.52</v>
      </c>
      <c r="R272" s="82">
        <f t="shared" si="132"/>
        <v>3422.52</v>
      </c>
    </row>
    <row r="273" spans="2:18" s="34" customFormat="1" ht="23.4">
      <c r="B273" s="87" t="s">
        <v>539</v>
      </c>
      <c r="C273" s="88" t="s">
        <v>540</v>
      </c>
      <c r="D273" s="89" t="s">
        <v>131</v>
      </c>
      <c r="E273" s="90">
        <v>1</v>
      </c>
      <c r="F273" s="91"/>
      <c r="G273" s="91"/>
      <c r="H273" s="91"/>
      <c r="I273" s="91">
        <f>SUM(G273:H273)+'BM 006'!I273</f>
        <v>0</v>
      </c>
      <c r="J273" s="91">
        <f t="shared" si="113"/>
        <v>1</v>
      </c>
      <c r="K273" s="80">
        <v>750</v>
      </c>
      <c r="L273" s="81">
        <f t="shared" si="111"/>
        <v>950.70008250000001</v>
      </c>
      <c r="M273" s="82">
        <f t="shared" si="128"/>
        <v>0</v>
      </c>
      <c r="N273" s="82">
        <f t="shared" si="129"/>
        <v>0</v>
      </c>
      <c r="O273" s="82">
        <f>N273+'BM 006'!O273</f>
        <v>0</v>
      </c>
      <c r="P273" s="80">
        <f t="shared" si="130"/>
        <v>750</v>
      </c>
      <c r="Q273" s="82">
        <f t="shared" si="131"/>
        <v>950.7</v>
      </c>
      <c r="R273" s="82">
        <f t="shared" si="132"/>
        <v>950.7</v>
      </c>
    </row>
    <row r="274" spans="2:18" s="34" customFormat="1" ht="34.799999999999997">
      <c r="B274" s="87" t="s">
        <v>541</v>
      </c>
      <c r="C274" s="88" t="s">
        <v>542</v>
      </c>
      <c r="D274" s="89" t="s">
        <v>131</v>
      </c>
      <c r="E274" s="90">
        <v>7</v>
      </c>
      <c r="F274" s="91"/>
      <c r="G274" s="91"/>
      <c r="H274" s="91"/>
      <c r="I274" s="91">
        <f>SUM(G274:H274)+'BM 006'!I274</f>
        <v>0</v>
      </c>
      <c r="J274" s="91">
        <f t="shared" si="113"/>
        <v>7</v>
      </c>
      <c r="K274" s="80">
        <v>20</v>
      </c>
      <c r="L274" s="81">
        <f t="shared" si="111"/>
        <v>25.352002200000001</v>
      </c>
      <c r="M274" s="82">
        <f t="shared" si="128"/>
        <v>0</v>
      </c>
      <c r="N274" s="82">
        <f t="shared" si="129"/>
        <v>0</v>
      </c>
      <c r="O274" s="82">
        <f>N274+'BM 006'!O274</f>
        <v>0</v>
      </c>
      <c r="P274" s="80">
        <f t="shared" si="130"/>
        <v>140</v>
      </c>
      <c r="Q274" s="82">
        <f t="shared" si="131"/>
        <v>177.46</v>
      </c>
      <c r="R274" s="82">
        <f t="shared" si="132"/>
        <v>177.46</v>
      </c>
    </row>
    <row r="275" spans="2:18" s="34" customFormat="1" ht="34.799999999999997">
      <c r="B275" s="87" t="s">
        <v>543</v>
      </c>
      <c r="C275" s="88" t="s">
        <v>544</v>
      </c>
      <c r="D275" s="89" t="s">
        <v>131</v>
      </c>
      <c r="E275" s="90">
        <v>17</v>
      </c>
      <c r="F275" s="91"/>
      <c r="G275" s="91"/>
      <c r="H275" s="91"/>
      <c r="I275" s="91">
        <f>SUM(G275:H275)+'BM 006'!I275</f>
        <v>0</v>
      </c>
      <c r="J275" s="91">
        <f t="shared" si="113"/>
        <v>17</v>
      </c>
      <c r="K275" s="80">
        <v>20</v>
      </c>
      <c r="L275" s="81">
        <f t="shared" si="111"/>
        <v>25.352002200000001</v>
      </c>
      <c r="M275" s="82">
        <f t="shared" si="128"/>
        <v>0</v>
      </c>
      <c r="N275" s="82">
        <f t="shared" si="129"/>
        <v>0</v>
      </c>
      <c r="O275" s="82">
        <f>N275+'BM 006'!O275</f>
        <v>0</v>
      </c>
      <c r="P275" s="80">
        <f t="shared" si="130"/>
        <v>340</v>
      </c>
      <c r="Q275" s="82">
        <f t="shared" si="131"/>
        <v>430.98</v>
      </c>
      <c r="R275" s="82">
        <f t="shared" si="132"/>
        <v>430.98</v>
      </c>
    </row>
    <row r="276" spans="2:18" s="34" customFormat="1" ht="34.799999999999997">
      <c r="B276" s="87" t="s">
        <v>545</v>
      </c>
      <c r="C276" s="88" t="s">
        <v>546</v>
      </c>
      <c r="D276" s="89" t="s">
        <v>131</v>
      </c>
      <c r="E276" s="90">
        <v>71</v>
      </c>
      <c r="F276" s="91"/>
      <c r="G276" s="91"/>
      <c r="H276" s="91"/>
      <c r="I276" s="91">
        <f>SUM(G276:H276)+'BM 006'!I276</f>
        <v>0</v>
      </c>
      <c r="J276" s="91">
        <f t="shared" si="113"/>
        <v>71</v>
      </c>
      <c r="K276" s="80">
        <v>20</v>
      </c>
      <c r="L276" s="81">
        <f t="shared" si="111"/>
        <v>25.352002200000001</v>
      </c>
      <c r="M276" s="82">
        <f t="shared" si="128"/>
        <v>0</v>
      </c>
      <c r="N276" s="82">
        <f t="shared" si="129"/>
        <v>0</v>
      </c>
      <c r="O276" s="82">
        <f>N276+'BM 006'!O276</f>
        <v>0</v>
      </c>
      <c r="P276" s="80">
        <f t="shared" si="130"/>
        <v>1420</v>
      </c>
      <c r="Q276" s="82">
        <f t="shared" si="131"/>
        <v>1799.99</v>
      </c>
      <c r="R276" s="82">
        <f t="shared" si="132"/>
        <v>1799.99</v>
      </c>
    </row>
    <row r="277" spans="2:18" s="34" customFormat="1" ht="34.799999999999997">
      <c r="B277" s="87" t="s">
        <v>547</v>
      </c>
      <c r="C277" s="88" t="s">
        <v>548</v>
      </c>
      <c r="D277" s="89" t="s">
        <v>131</v>
      </c>
      <c r="E277" s="90">
        <v>179</v>
      </c>
      <c r="F277" s="91"/>
      <c r="G277" s="91"/>
      <c r="H277" s="91"/>
      <c r="I277" s="91">
        <f>SUM(G277:H277)+'BM 006'!I277</f>
        <v>0</v>
      </c>
      <c r="J277" s="91">
        <f t="shared" si="113"/>
        <v>179</v>
      </c>
      <c r="K277" s="80">
        <v>20</v>
      </c>
      <c r="L277" s="81">
        <f t="shared" si="111"/>
        <v>25.352002200000001</v>
      </c>
      <c r="M277" s="82">
        <f t="shared" si="128"/>
        <v>0</v>
      </c>
      <c r="N277" s="82">
        <f t="shared" si="129"/>
        <v>0</v>
      </c>
      <c r="O277" s="82">
        <f>N277+'BM 006'!O277</f>
        <v>0</v>
      </c>
      <c r="P277" s="80">
        <f t="shared" si="130"/>
        <v>3580</v>
      </c>
      <c r="Q277" s="82">
        <f t="shared" si="131"/>
        <v>4538</v>
      </c>
      <c r="R277" s="82">
        <f t="shared" si="132"/>
        <v>4538</v>
      </c>
    </row>
    <row r="278" spans="2:18" s="34" customFormat="1" ht="34.799999999999997">
      <c r="B278" s="87" t="s">
        <v>549</v>
      </c>
      <c r="C278" s="88" t="s">
        <v>550</v>
      </c>
      <c r="D278" s="89" t="s">
        <v>131</v>
      </c>
      <c r="E278" s="90">
        <v>1</v>
      </c>
      <c r="F278" s="91"/>
      <c r="G278" s="91"/>
      <c r="H278" s="91"/>
      <c r="I278" s="91">
        <f>SUM(G278:H278)+'BM 006'!I278</f>
        <v>0</v>
      </c>
      <c r="J278" s="91">
        <f t="shared" si="113"/>
        <v>1</v>
      </c>
      <c r="K278" s="80">
        <v>25</v>
      </c>
      <c r="L278" s="81">
        <f t="shared" si="111"/>
        <v>31.690002750000001</v>
      </c>
      <c r="M278" s="82">
        <f t="shared" si="128"/>
        <v>0</v>
      </c>
      <c r="N278" s="82">
        <f t="shared" si="129"/>
        <v>0</v>
      </c>
      <c r="O278" s="82">
        <f>N278+'BM 006'!O278</f>
        <v>0</v>
      </c>
      <c r="P278" s="80">
        <f t="shared" si="130"/>
        <v>25</v>
      </c>
      <c r="Q278" s="82">
        <f t="shared" si="131"/>
        <v>31.69</v>
      </c>
      <c r="R278" s="82">
        <f t="shared" si="132"/>
        <v>31.69</v>
      </c>
    </row>
    <row r="279" spans="2:18" s="34" customFormat="1" ht="34.799999999999997">
      <c r="B279" s="87" t="s">
        <v>551</v>
      </c>
      <c r="C279" s="88" t="s">
        <v>552</v>
      </c>
      <c r="D279" s="89" t="s">
        <v>131</v>
      </c>
      <c r="E279" s="90">
        <v>8</v>
      </c>
      <c r="F279" s="91"/>
      <c r="G279" s="91"/>
      <c r="H279" s="91"/>
      <c r="I279" s="91">
        <f>SUM(G279:H279)+'BM 006'!I279</f>
        <v>0</v>
      </c>
      <c r="J279" s="91">
        <f t="shared" si="113"/>
        <v>8</v>
      </c>
      <c r="K279" s="80">
        <v>25</v>
      </c>
      <c r="L279" s="81">
        <f t="shared" si="111"/>
        <v>31.690002750000001</v>
      </c>
      <c r="M279" s="82">
        <f t="shared" si="128"/>
        <v>0</v>
      </c>
      <c r="N279" s="82">
        <f t="shared" si="129"/>
        <v>0</v>
      </c>
      <c r="O279" s="82">
        <f>N279+'BM 006'!O279</f>
        <v>0</v>
      </c>
      <c r="P279" s="80">
        <f t="shared" si="130"/>
        <v>200</v>
      </c>
      <c r="Q279" s="82">
        <f t="shared" si="131"/>
        <v>253.52</v>
      </c>
      <c r="R279" s="82">
        <f t="shared" si="132"/>
        <v>253.52</v>
      </c>
    </row>
    <row r="280" spans="2:18" s="34" customFormat="1" ht="34.799999999999997">
      <c r="B280" s="87" t="s">
        <v>553</v>
      </c>
      <c r="C280" s="88" t="s">
        <v>554</v>
      </c>
      <c r="D280" s="89" t="s">
        <v>131</v>
      </c>
      <c r="E280" s="90">
        <v>14</v>
      </c>
      <c r="F280" s="91"/>
      <c r="G280" s="91"/>
      <c r="H280" s="91"/>
      <c r="I280" s="91">
        <f>SUM(G280:H280)+'BM 006'!I280</f>
        <v>0</v>
      </c>
      <c r="J280" s="91">
        <f t="shared" si="113"/>
        <v>14</v>
      </c>
      <c r="K280" s="80">
        <v>25</v>
      </c>
      <c r="L280" s="81">
        <f t="shared" si="111"/>
        <v>31.690002750000001</v>
      </c>
      <c r="M280" s="82">
        <f t="shared" si="128"/>
        <v>0</v>
      </c>
      <c r="N280" s="82">
        <f t="shared" si="129"/>
        <v>0</v>
      </c>
      <c r="O280" s="82">
        <f>N280+'BM 006'!O280</f>
        <v>0</v>
      </c>
      <c r="P280" s="80">
        <f t="shared" si="130"/>
        <v>350</v>
      </c>
      <c r="Q280" s="82">
        <f t="shared" si="131"/>
        <v>443.66</v>
      </c>
      <c r="R280" s="82">
        <f t="shared" si="132"/>
        <v>443.66</v>
      </c>
    </row>
    <row r="281" spans="2:18" s="34" customFormat="1" ht="34.799999999999997">
      <c r="B281" s="87" t="s">
        <v>555</v>
      </c>
      <c r="C281" s="88" t="s">
        <v>556</v>
      </c>
      <c r="D281" s="89" t="s">
        <v>131</v>
      </c>
      <c r="E281" s="90">
        <v>5</v>
      </c>
      <c r="F281" s="91"/>
      <c r="G281" s="91"/>
      <c r="H281" s="91"/>
      <c r="I281" s="91">
        <f>SUM(G281:H281)+'BM 006'!I281</f>
        <v>0</v>
      </c>
      <c r="J281" s="91">
        <f t="shared" si="113"/>
        <v>5</v>
      </c>
      <c r="K281" s="80">
        <v>30</v>
      </c>
      <c r="L281" s="81">
        <f t="shared" si="111"/>
        <v>38.028003300000002</v>
      </c>
      <c r="M281" s="82">
        <f t="shared" si="128"/>
        <v>0</v>
      </c>
      <c r="N281" s="82">
        <f t="shared" si="129"/>
        <v>0</v>
      </c>
      <c r="O281" s="82">
        <f>N281+'BM 006'!O281</f>
        <v>0</v>
      </c>
      <c r="P281" s="80">
        <f t="shared" si="130"/>
        <v>150</v>
      </c>
      <c r="Q281" s="82">
        <f t="shared" si="131"/>
        <v>190.14</v>
      </c>
      <c r="R281" s="82">
        <f t="shared" si="132"/>
        <v>190.14</v>
      </c>
    </row>
    <row r="282" spans="2:18" s="34" customFormat="1" ht="34.799999999999997">
      <c r="B282" s="87" t="s">
        <v>557</v>
      </c>
      <c r="C282" s="88" t="s">
        <v>558</v>
      </c>
      <c r="D282" s="89" t="s">
        <v>131</v>
      </c>
      <c r="E282" s="90">
        <v>4</v>
      </c>
      <c r="F282" s="91"/>
      <c r="G282" s="91"/>
      <c r="H282" s="91"/>
      <c r="I282" s="91">
        <f>SUM(G282:H282)+'BM 006'!I282</f>
        <v>0</v>
      </c>
      <c r="J282" s="91">
        <f t="shared" si="113"/>
        <v>4</v>
      </c>
      <c r="K282" s="80">
        <v>40</v>
      </c>
      <c r="L282" s="81">
        <f t="shared" si="111"/>
        <v>50.704004400000002</v>
      </c>
      <c r="M282" s="82">
        <f t="shared" si="128"/>
        <v>0</v>
      </c>
      <c r="N282" s="82">
        <f t="shared" si="129"/>
        <v>0</v>
      </c>
      <c r="O282" s="82">
        <f>N282+'BM 006'!O282</f>
        <v>0</v>
      </c>
      <c r="P282" s="80">
        <f t="shared" si="130"/>
        <v>160</v>
      </c>
      <c r="Q282" s="82">
        <f t="shared" si="131"/>
        <v>202.81</v>
      </c>
      <c r="R282" s="82">
        <f t="shared" si="132"/>
        <v>202.81</v>
      </c>
    </row>
    <row r="283" spans="2:18" s="34" customFormat="1" ht="34.799999999999997">
      <c r="B283" s="87" t="s">
        <v>559</v>
      </c>
      <c r="C283" s="88" t="s">
        <v>560</v>
      </c>
      <c r="D283" s="89" t="s">
        <v>131</v>
      </c>
      <c r="E283" s="90">
        <v>4</v>
      </c>
      <c r="F283" s="91"/>
      <c r="G283" s="91"/>
      <c r="H283" s="91"/>
      <c r="I283" s="91">
        <f>SUM(G283:H283)+'BM 006'!I283</f>
        <v>0</v>
      </c>
      <c r="J283" s="91">
        <f t="shared" si="113"/>
        <v>4</v>
      </c>
      <c r="K283" s="80">
        <v>50</v>
      </c>
      <c r="L283" s="81">
        <f t="shared" si="111"/>
        <v>63.380005500000003</v>
      </c>
      <c r="M283" s="82">
        <f t="shared" si="128"/>
        <v>0</v>
      </c>
      <c r="N283" s="82">
        <f t="shared" si="129"/>
        <v>0</v>
      </c>
      <c r="O283" s="82">
        <f>N283+'BM 006'!O283</f>
        <v>0</v>
      </c>
      <c r="P283" s="80">
        <f t="shared" si="130"/>
        <v>200</v>
      </c>
      <c r="Q283" s="82">
        <f t="shared" si="131"/>
        <v>253.52</v>
      </c>
      <c r="R283" s="82">
        <f t="shared" si="132"/>
        <v>253.52</v>
      </c>
    </row>
    <row r="284" spans="2:18" s="34" customFormat="1" ht="34.799999999999997">
      <c r="B284" s="87" t="s">
        <v>561</v>
      </c>
      <c r="C284" s="88" t="s">
        <v>562</v>
      </c>
      <c r="D284" s="89" t="s">
        <v>131</v>
      </c>
      <c r="E284" s="90">
        <v>1</v>
      </c>
      <c r="F284" s="91"/>
      <c r="G284" s="91"/>
      <c r="H284" s="91"/>
      <c r="I284" s="91">
        <f>SUM(G284:H284)+'BM 006'!I284</f>
        <v>0</v>
      </c>
      <c r="J284" s="91">
        <f t="shared" si="113"/>
        <v>1</v>
      </c>
      <c r="K284" s="80">
        <v>80</v>
      </c>
      <c r="L284" s="81">
        <f t="shared" si="111"/>
        <v>101.4080088</v>
      </c>
      <c r="M284" s="82">
        <f t="shared" si="128"/>
        <v>0</v>
      </c>
      <c r="N284" s="82">
        <f t="shared" si="129"/>
        <v>0</v>
      </c>
      <c r="O284" s="82">
        <f>N284+'BM 006'!O284</f>
        <v>0</v>
      </c>
      <c r="P284" s="80">
        <f t="shared" si="130"/>
        <v>80</v>
      </c>
      <c r="Q284" s="82">
        <f t="shared" si="131"/>
        <v>101.4</v>
      </c>
      <c r="R284" s="82">
        <f t="shared" si="132"/>
        <v>101.4</v>
      </c>
    </row>
    <row r="285" spans="2:18" s="34" customFormat="1" ht="34.799999999999997">
      <c r="B285" s="87" t="s">
        <v>563</v>
      </c>
      <c r="C285" s="88" t="s">
        <v>564</v>
      </c>
      <c r="D285" s="89" t="s">
        <v>131</v>
      </c>
      <c r="E285" s="90">
        <v>9</v>
      </c>
      <c r="F285" s="91"/>
      <c r="G285" s="91"/>
      <c r="H285" s="91"/>
      <c r="I285" s="91">
        <f>SUM(G285:H285)+'BM 006'!I285</f>
        <v>0</v>
      </c>
      <c r="J285" s="91">
        <f t="shared" si="113"/>
        <v>9</v>
      </c>
      <c r="K285" s="80">
        <v>89</v>
      </c>
      <c r="L285" s="81">
        <f t="shared" ref="L285:L348" si="133">K285*(1+$T$26)</f>
        <v>112.81640979000001</v>
      </c>
      <c r="M285" s="82">
        <f t="shared" si="128"/>
        <v>0</v>
      </c>
      <c r="N285" s="82">
        <f t="shared" si="129"/>
        <v>0</v>
      </c>
      <c r="O285" s="82">
        <f>N285+'BM 006'!O285</f>
        <v>0</v>
      </c>
      <c r="P285" s="80">
        <f t="shared" si="130"/>
        <v>801</v>
      </c>
      <c r="Q285" s="82">
        <f t="shared" si="131"/>
        <v>1015.34</v>
      </c>
      <c r="R285" s="82">
        <f t="shared" si="132"/>
        <v>1015.34</v>
      </c>
    </row>
    <row r="286" spans="2:18" s="34" customFormat="1" ht="34.799999999999997">
      <c r="B286" s="87" t="s">
        <v>565</v>
      </c>
      <c r="C286" s="88" t="s">
        <v>566</v>
      </c>
      <c r="D286" s="89" t="s">
        <v>131</v>
      </c>
      <c r="E286" s="90">
        <v>4</v>
      </c>
      <c r="F286" s="91"/>
      <c r="G286" s="91"/>
      <c r="H286" s="91"/>
      <c r="I286" s="91">
        <f>SUM(G286:H286)+'BM 006'!I286</f>
        <v>0</v>
      </c>
      <c r="J286" s="91">
        <f t="shared" si="113"/>
        <v>4</v>
      </c>
      <c r="K286" s="80">
        <v>89</v>
      </c>
      <c r="L286" s="81">
        <f t="shared" si="133"/>
        <v>112.81640979000001</v>
      </c>
      <c r="M286" s="82">
        <f t="shared" si="128"/>
        <v>0</v>
      </c>
      <c r="N286" s="82">
        <f t="shared" si="129"/>
        <v>0</v>
      </c>
      <c r="O286" s="82">
        <f>N286+'BM 006'!O286</f>
        <v>0</v>
      </c>
      <c r="P286" s="80">
        <f t="shared" si="130"/>
        <v>356</v>
      </c>
      <c r="Q286" s="82">
        <f t="shared" si="131"/>
        <v>451.26</v>
      </c>
      <c r="R286" s="82">
        <f t="shared" si="132"/>
        <v>451.26</v>
      </c>
    </row>
    <row r="287" spans="2:18" s="34" customFormat="1" ht="34.799999999999997">
      <c r="B287" s="87" t="s">
        <v>567</v>
      </c>
      <c r="C287" s="88" t="s">
        <v>568</v>
      </c>
      <c r="D287" s="89" t="s">
        <v>131</v>
      </c>
      <c r="E287" s="90">
        <v>12</v>
      </c>
      <c r="F287" s="91"/>
      <c r="G287" s="91"/>
      <c r="H287" s="91"/>
      <c r="I287" s="91">
        <f>SUM(G287:H287)+'BM 006'!I287</f>
        <v>0</v>
      </c>
      <c r="J287" s="91">
        <f t="shared" ref="J287:J350" si="134">E287-I287</f>
        <v>12</v>
      </c>
      <c r="K287" s="80">
        <v>89</v>
      </c>
      <c r="L287" s="81">
        <f t="shared" si="133"/>
        <v>112.81640979000001</v>
      </c>
      <c r="M287" s="82">
        <f t="shared" si="128"/>
        <v>0</v>
      </c>
      <c r="N287" s="82">
        <f t="shared" si="129"/>
        <v>0</v>
      </c>
      <c r="O287" s="82">
        <f>N287+'BM 006'!O287</f>
        <v>0</v>
      </c>
      <c r="P287" s="80">
        <f t="shared" si="130"/>
        <v>1068</v>
      </c>
      <c r="Q287" s="82">
        <f t="shared" si="131"/>
        <v>1353.79</v>
      </c>
      <c r="R287" s="82">
        <f t="shared" si="132"/>
        <v>1353.79</v>
      </c>
    </row>
    <row r="288" spans="2:18" s="34" customFormat="1" ht="34.799999999999997">
      <c r="B288" s="87" t="s">
        <v>569</v>
      </c>
      <c r="C288" s="88" t="s">
        <v>570</v>
      </c>
      <c r="D288" s="89" t="s">
        <v>131</v>
      </c>
      <c r="E288" s="90">
        <v>4</v>
      </c>
      <c r="F288" s="91"/>
      <c r="G288" s="91"/>
      <c r="H288" s="91"/>
      <c r="I288" s="91">
        <f>SUM(G288:H288)+'BM 006'!I288</f>
        <v>0</v>
      </c>
      <c r="J288" s="91">
        <f t="shared" si="134"/>
        <v>4</v>
      </c>
      <c r="K288" s="80">
        <v>89</v>
      </c>
      <c r="L288" s="81">
        <f t="shared" si="133"/>
        <v>112.81640979000001</v>
      </c>
      <c r="M288" s="82">
        <f t="shared" si="128"/>
        <v>0</v>
      </c>
      <c r="N288" s="82">
        <f t="shared" si="129"/>
        <v>0</v>
      </c>
      <c r="O288" s="82">
        <f>N288+'BM 006'!O288</f>
        <v>0</v>
      </c>
      <c r="P288" s="80">
        <f t="shared" si="130"/>
        <v>356</v>
      </c>
      <c r="Q288" s="82">
        <f t="shared" si="131"/>
        <v>451.26</v>
      </c>
      <c r="R288" s="82">
        <f t="shared" si="132"/>
        <v>451.26</v>
      </c>
    </row>
    <row r="289" spans="2:18" s="34" customFormat="1" ht="34.799999999999997">
      <c r="B289" s="87" t="s">
        <v>571</v>
      </c>
      <c r="C289" s="88" t="s">
        <v>572</v>
      </c>
      <c r="D289" s="89" t="s">
        <v>131</v>
      </c>
      <c r="E289" s="90">
        <v>1</v>
      </c>
      <c r="F289" s="91"/>
      <c r="G289" s="91"/>
      <c r="H289" s="91"/>
      <c r="I289" s="91">
        <f>SUM(G289:H289)+'BM 006'!I289</f>
        <v>0</v>
      </c>
      <c r="J289" s="91">
        <f t="shared" si="134"/>
        <v>1</v>
      </c>
      <c r="K289" s="80">
        <v>110</v>
      </c>
      <c r="L289" s="81">
        <f t="shared" si="133"/>
        <v>139.4360121</v>
      </c>
      <c r="M289" s="82">
        <f t="shared" si="128"/>
        <v>0</v>
      </c>
      <c r="N289" s="82">
        <f t="shared" si="129"/>
        <v>0</v>
      </c>
      <c r="O289" s="82">
        <f>N289+'BM 006'!O289</f>
        <v>0</v>
      </c>
      <c r="P289" s="80">
        <f t="shared" si="130"/>
        <v>110</v>
      </c>
      <c r="Q289" s="82">
        <f t="shared" si="131"/>
        <v>139.43</v>
      </c>
      <c r="R289" s="82">
        <f t="shared" si="132"/>
        <v>139.43</v>
      </c>
    </row>
    <row r="290" spans="2:18" s="34" customFormat="1" ht="34.799999999999997">
      <c r="B290" s="87" t="s">
        <v>573</v>
      </c>
      <c r="C290" s="88" t="s">
        <v>574</v>
      </c>
      <c r="D290" s="89" t="s">
        <v>131</v>
      </c>
      <c r="E290" s="90">
        <v>1</v>
      </c>
      <c r="F290" s="91"/>
      <c r="G290" s="91"/>
      <c r="H290" s="91"/>
      <c r="I290" s="91">
        <f>SUM(G290:H290)+'BM 006'!I290</f>
        <v>0</v>
      </c>
      <c r="J290" s="91">
        <f t="shared" si="134"/>
        <v>1</v>
      </c>
      <c r="K290" s="80">
        <v>115</v>
      </c>
      <c r="L290" s="81">
        <f t="shared" si="133"/>
        <v>145.77401265</v>
      </c>
      <c r="M290" s="82">
        <f t="shared" si="128"/>
        <v>0</v>
      </c>
      <c r="N290" s="82">
        <f t="shared" si="129"/>
        <v>0</v>
      </c>
      <c r="O290" s="82">
        <f>N290+'BM 006'!O290</f>
        <v>0</v>
      </c>
      <c r="P290" s="80">
        <f t="shared" si="130"/>
        <v>115</v>
      </c>
      <c r="Q290" s="82">
        <f t="shared" si="131"/>
        <v>145.77000000000001</v>
      </c>
      <c r="R290" s="82">
        <f t="shared" si="132"/>
        <v>145.77000000000001</v>
      </c>
    </row>
    <row r="291" spans="2:18" s="34" customFormat="1" ht="13.2">
      <c r="B291" s="66" t="s">
        <v>575</v>
      </c>
      <c r="C291" s="67" t="s">
        <v>576</v>
      </c>
      <c r="D291" s="68"/>
      <c r="E291" s="69"/>
      <c r="F291" s="70"/>
      <c r="G291" s="70"/>
      <c r="H291" s="70"/>
      <c r="I291" s="70">
        <f>SUM(G291:H291)+'BM 006'!I291</f>
        <v>0</v>
      </c>
      <c r="J291" s="70">
        <f t="shared" si="134"/>
        <v>0</v>
      </c>
      <c r="K291" s="71"/>
      <c r="L291" s="71">
        <f t="shared" si="133"/>
        <v>0</v>
      </c>
      <c r="M291" s="73">
        <f t="shared" ref="M291:R291" si="135">SUM(M292:M295)</f>
        <v>0</v>
      </c>
      <c r="N291" s="73">
        <f t="shared" si="135"/>
        <v>0</v>
      </c>
      <c r="O291" s="73">
        <f t="shared" si="135"/>
        <v>0</v>
      </c>
      <c r="P291" s="73">
        <f t="shared" si="135"/>
        <v>100820.55</v>
      </c>
      <c r="Q291" s="73">
        <f t="shared" si="135"/>
        <v>127800.12</v>
      </c>
      <c r="R291" s="73">
        <f t="shared" si="135"/>
        <v>127800.12</v>
      </c>
    </row>
    <row r="292" spans="2:18" s="34" customFormat="1" ht="34.799999999999997">
      <c r="B292" s="87" t="s">
        <v>577</v>
      </c>
      <c r="C292" s="88" t="s">
        <v>578</v>
      </c>
      <c r="D292" s="89" t="s">
        <v>131</v>
      </c>
      <c r="E292" s="90">
        <v>55</v>
      </c>
      <c r="F292" s="91"/>
      <c r="G292" s="91"/>
      <c r="H292" s="91"/>
      <c r="I292" s="91">
        <f>SUM(G292:H292)+'BM 006'!I292</f>
        <v>0</v>
      </c>
      <c r="J292" s="91">
        <f t="shared" si="134"/>
        <v>55</v>
      </c>
      <c r="K292" s="80">
        <v>164.81</v>
      </c>
      <c r="L292" s="81">
        <f t="shared" si="133"/>
        <v>208.91317412910001</v>
      </c>
      <c r="M292" s="82">
        <f>TRUNC(F292*L292,2)</f>
        <v>0</v>
      </c>
      <c r="N292" s="82">
        <f>TRUNC(G292*L292,2)</f>
        <v>0</v>
      </c>
      <c r="O292" s="82">
        <f>N292+'BM 006'!O292</f>
        <v>0</v>
      </c>
      <c r="P292" s="80">
        <f>E292*K292</f>
        <v>9064.5499999999993</v>
      </c>
      <c r="Q292" s="82">
        <f>TRUNC(E292*L292,2)</f>
        <v>11490.22</v>
      </c>
      <c r="R292" s="82">
        <f>Q292-O292</f>
        <v>11490.22</v>
      </c>
    </row>
    <row r="293" spans="2:18" s="34" customFormat="1" ht="23.4">
      <c r="B293" s="87" t="s">
        <v>579</v>
      </c>
      <c r="C293" s="88" t="s">
        <v>580</v>
      </c>
      <c r="D293" s="89" t="s">
        <v>131</v>
      </c>
      <c r="E293" s="90">
        <v>887</v>
      </c>
      <c r="F293" s="91"/>
      <c r="G293" s="91"/>
      <c r="H293" s="91"/>
      <c r="I293" s="91">
        <f>SUM(G293:H293)+'BM 006'!I293</f>
        <v>0</v>
      </c>
      <c r="J293" s="91">
        <f t="shared" si="134"/>
        <v>887</v>
      </c>
      <c r="K293" s="80">
        <v>98</v>
      </c>
      <c r="L293" s="81">
        <f t="shared" si="133"/>
        <v>124.22481078000001</v>
      </c>
      <c r="M293" s="82">
        <f>TRUNC(F293*L293,2)</f>
        <v>0</v>
      </c>
      <c r="N293" s="82">
        <f>TRUNC(G293*L293,2)</f>
        <v>0</v>
      </c>
      <c r="O293" s="82">
        <f>N293+'BM 006'!O293</f>
        <v>0</v>
      </c>
      <c r="P293" s="80">
        <f>E293*K293</f>
        <v>86926</v>
      </c>
      <c r="Q293" s="82">
        <f>TRUNC(E293*L293,2)</f>
        <v>110187.4</v>
      </c>
      <c r="R293" s="82">
        <f>Q293-O293</f>
        <v>110187.4</v>
      </c>
    </row>
    <row r="294" spans="2:18" s="34" customFormat="1" ht="23.4">
      <c r="B294" s="87" t="s">
        <v>581</v>
      </c>
      <c r="C294" s="88" t="s">
        <v>582</v>
      </c>
      <c r="D294" s="89" t="s">
        <v>131</v>
      </c>
      <c r="E294" s="90">
        <v>15</v>
      </c>
      <c r="F294" s="91"/>
      <c r="G294" s="91"/>
      <c r="H294" s="91"/>
      <c r="I294" s="91">
        <f>SUM(G294:H294)+'BM 006'!I294</f>
        <v>0</v>
      </c>
      <c r="J294" s="91">
        <f t="shared" si="134"/>
        <v>15</v>
      </c>
      <c r="K294" s="80">
        <v>130</v>
      </c>
      <c r="L294" s="81">
        <f t="shared" si="133"/>
        <v>164.78801430000001</v>
      </c>
      <c r="M294" s="82">
        <f>TRUNC(F294*L294,2)</f>
        <v>0</v>
      </c>
      <c r="N294" s="82">
        <f>TRUNC(G294*L294,2)</f>
        <v>0</v>
      </c>
      <c r="O294" s="82">
        <f>N294+'BM 006'!O294</f>
        <v>0</v>
      </c>
      <c r="P294" s="80">
        <f>E294*K294</f>
        <v>1950</v>
      </c>
      <c r="Q294" s="82">
        <f>TRUNC(E294*L294,2)</f>
        <v>2471.8200000000002</v>
      </c>
      <c r="R294" s="82">
        <f>Q294-O294</f>
        <v>2471.8200000000002</v>
      </c>
    </row>
    <row r="295" spans="2:18" s="34" customFormat="1" ht="23.4">
      <c r="B295" s="87" t="s">
        <v>583</v>
      </c>
      <c r="C295" s="88" t="s">
        <v>584</v>
      </c>
      <c r="D295" s="89" t="s">
        <v>131</v>
      </c>
      <c r="E295" s="90">
        <v>32</v>
      </c>
      <c r="F295" s="91"/>
      <c r="G295" s="91"/>
      <c r="H295" s="91"/>
      <c r="I295" s="91">
        <f>SUM(G295:H295)+'BM 006'!I295</f>
        <v>0</v>
      </c>
      <c r="J295" s="91">
        <f t="shared" si="134"/>
        <v>32</v>
      </c>
      <c r="K295" s="80">
        <v>90</v>
      </c>
      <c r="L295" s="81">
        <f t="shared" si="133"/>
        <v>114.08400990000001</v>
      </c>
      <c r="M295" s="82">
        <f>TRUNC(F295*L295,2)</f>
        <v>0</v>
      </c>
      <c r="N295" s="82">
        <f>TRUNC(G295*L295,2)</f>
        <v>0</v>
      </c>
      <c r="O295" s="82">
        <f>N295+'BM 006'!O295</f>
        <v>0</v>
      </c>
      <c r="P295" s="80">
        <f>E295*K295</f>
        <v>2880</v>
      </c>
      <c r="Q295" s="82">
        <f>TRUNC(E295*L295,2)</f>
        <v>3650.68</v>
      </c>
      <c r="R295" s="82">
        <f>Q295-O295</f>
        <v>3650.68</v>
      </c>
    </row>
    <row r="296" spans="2:18" s="34" customFormat="1" ht="13.2">
      <c r="B296" s="66" t="s">
        <v>585</v>
      </c>
      <c r="C296" s="67" t="s">
        <v>586</v>
      </c>
      <c r="D296" s="68"/>
      <c r="E296" s="69"/>
      <c r="F296" s="70"/>
      <c r="G296" s="70"/>
      <c r="H296" s="70"/>
      <c r="I296" s="70">
        <f>SUM(G296:H296)+'BM 006'!I296</f>
        <v>0</v>
      </c>
      <c r="J296" s="70">
        <f t="shared" si="134"/>
        <v>0</v>
      </c>
      <c r="K296" s="71"/>
      <c r="L296" s="71">
        <f t="shared" si="133"/>
        <v>0</v>
      </c>
      <c r="M296" s="73">
        <f t="shared" ref="M296:R296" si="136">SUM(M297:M306)</f>
        <v>0</v>
      </c>
      <c r="N296" s="73">
        <f t="shared" si="136"/>
        <v>0</v>
      </c>
      <c r="O296" s="73">
        <f t="shared" si="136"/>
        <v>0</v>
      </c>
      <c r="P296" s="73">
        <f t="shared" si="136"/>
        <v>16787.3</v>
      </c>
      <c r="Q296" s="73">
        <f t="shared" si="136"/>
        <v>21279.56</v>
      </c>
      <c r="R296" s="73">
        <f t="shared" si="136"/>
        <v>21279.56</v>
      </c>
    </row>
    <row r="297" spans="2:18" s="34" customFormat="1" ht="46.2">
      <c r="B297" s="87" t="s">
        <v>587</v>
      </c>
      <c r="C297" s="88" t="s">
        <v>588</v>
      </c>
      <c r="D297" s="89" t="s">
        <v>131</v>
      </c>
      <c r="E297" s="90">
        <v>79</v>
      </c>
      <c r="F297" s="91"/>
      <c r="G297" s="91"/>
      <c r="H297" s="91"/>
      <c r="I297" s="91">
        <f>SUM(G297:H297)+'BM 006'!I297</f>
        <v>0</v>
      </c>
      <c r="J297" s="91">
        <f t="shared" si="134"/>
        <v>79</v>
      </c>
      <c r="K297" s="80">
        <v>32</v>
      </c>
      <c r="L297" s="81">
        <f t="shared" si="133"/>
        <v>40.563203520000002</v>
      </c>
      <c r="M297" s="82">
        <f t="shared" ref="M297:M306" si="137">TRUNC(F297*L297,2)</f>
        <v>0</v>
      </c>
      <c r="N297" s="82">
        <f t="shared" ref="N297:N306" si="138">TRUNC(G297*L297,2)</f>
        <v>0</v>
      </c>
      <c r="O297" s="82">
        <f>N297+'BM 006'!O297</f>
        <v>0</v>
      </c>
      <c r="P297" s="80">
        <f t="shared" ref="P297:P306" si="139">E297*K297</f>
        <v>2528</v>
      </c>
      <c r="Q297" s="82">
        <f t="shared" ref="Q297:Q306" si="140">TRUNC(E297*L297,2)</f>
        <v>3204.49</v>
      </c>
      <c r="R297" s="82">
        <f t="shared" ref="R297:R306" si="141">Q297-O297</f>
        <v>3204.49</v>
      </c>
    </row>
    <row r="298" spans="2:18" s="34" customFormat="1" ht="46.2">
      <c r="B298" s="87" t="s">
        <v>589</v>
      </c>
      <c r="C298" s="88" t="s">
        <v>590</v>
      </c>
      <c r="D298" s="89" t="s">
        <v>131</v>
      </c>
      <c r="E298" s="90">
        <v>73</v>
      </c>
      <c r="F298" s="91"/>
      <c r="G298" s="91"/>
      <c r="H298" s="91"/>
      <c r="I298" s="91">
        <f>SUM(G298:H298)+'BM 006'!I298</f>
        <v>0</v>
      </c>
      <c r="J298" s="91">
        <f t="shared" si="134"/>
        <v>73</v>
      </c>
      <c r="K298" s="80">
        <v>38</v>
      </c>
      <c r="L298" s="81">
        <f t="shared" si="133"/>
        <v>48.168804180000002</v>
      </c>
      <c r="M298" s="82">
        <f t="shared" si="137"/>
        <v>0</v>
      </c>
      <c r="N298" s="82">
        <f t="shared" si="138"/>
        <v>0</v>
      </c>
      <c r="O298" s="82">
        <f>N298+'BM 006'!O298</f>
        <v>0</v>
      </c>
      <c r="P298" s="80">
        <f t="shared" si="139"/>
        <v>2774</v>
      </c>
      <c r="Q298" s="82">
        <f t="shared" si="140"/>
        <v>3516.32</v>
      </c>
      <c r="R298" s="82">
        <f t="shared" si="141"/>
        <v>3516.32</v>
      </c>
    </row>
    <row r="299" spans="2:18" s="34" customFormat="1" ht="46.2">
      <c r="B299" s="87" t="s">
        <v>591</v>
      </c>
      <c r="C299" s="88" t="s">
        <v>592</v>
      </c>
      <c r="D299" s="89" t="s">
        <v>131</v>
      </c>
      <c r="E299" s="90">
        <v>34</v>
      </c>
      <c r="F299" s="91"/>
      <c r="G299" s="91"/>
      <c r="H299" s="91"/>
      <c r="I299" s="91">
        <f>SUM(G299:H299)+'BM 006'!I299</f>
        <v>0</v>
      </c>
      <c r="J299" s="91">
        <f t="shared" si="134"/>
        <v>34</v>
      </c>
      <c r="K299" s="80">
        <v>58.95</v>
      </c>
      <c r="L299" s="81">
        <f t="shared" si="133"/>
        <v>74.725026484500006</v>
      </c>
      <c r="M299" s="82">
        <f t="shared" si="137"/>
        <v>0</v>
      </c>
      <c r="N299" s="82">
        <f t="shared" si="138"/>
        <v>0</v>
      </c>
      <c r="O299" s="82">
        <f>N299+'BM 006'!O299</f>
        <v>0</v>
      </c>
      <c r="P299" s="80">
        <f t="shared" si="139"/>
        <v>2004.3000000000002</v>
      </c>
      <c r="Q299" s="82">
        <f t="shared" si="140"/>
        <v>2540.65</v>
      </c>
      <c r="R299" s="82">
        <f t="shared" si="141"/>
        <v>2540.65</v>
      </c>
    </row>
    <row r="300" spans="2:18" s="34" customFormat="1" ht="46.2">
      <c r="B300" s="87" t="s">
        <v>593</v>
      </c>
      <c r="C300" s="88" t="s">
        <v>594</v>
      </c>
      <c r="D300" s="89" t="s">
        <v>131</v>
      </c>
      <c r="E300" s="90">
        <v>55</v>
      </c>
      <c r="F300" s="91"/>
      <c r="G300" s="91"/>
      <c r="H300" s="91"/>
      <c r="I300" s="91">
        <f>SUM(G300:H300)+'BM 006'!I300</f>
        <v>0</v>
      </c>
      <c r="J300" s="91">
        <f t="shared" si="134"/>
        <v>55</v>
      </c>
      <c r="K300" s="80">
        <v>50</v>
      </c>
      <c r="L300" s="81">
        <f t="shared" si="133"/>
        <v>63.380005500000003</v>
      </c>
      <c r="M300" s="82">
        <f t="shared" si="137"/>
        <v>0</v>
      </c>
      <c r="N300" s="82">
        <f t="shared" si="138"/>
        <v>0</v>
      </c>
      <c r="O300" s="82">
        <f>N300+'BM 006'!O300</f>
        <v>0</v>
      </c>
      <c r="P300" s="80">
        <f t="shared" si="139"/>
        <v>2750</v>
      </c>
      <c r="Q300" s="82">
        <f t="shared" si="140"/>
        <v>3485.9</v>
      </c>
      <c r="R300" s="82">
        <f t="shared" si="141"/>
        <v>3485.9</v>
      </c>
    </row>
    <row r="301" spans="2:18" s="34" customFormat="1" ht="46.2">
      <c r="B301" s="87" t="s">
        <v>595</v>
      </c>
      <c r="C301" s="88" t="s">
        <v>596</v>
      </c>
      <c r="D301" s="89" t="s">
        <v>131</v>
      </c>
      <c r="E301" s="90">
        <v>41</v>
      </c>
      <c r="F301" s="91"/>
      <c r="G301" s="91"/>
      <c r="H301" s="91"/>
      <c r="I301" s="91">
        <f>SUM(G301:H301)+'BM 006'!I301</f>
        <v>0</v>
      </c>
      <c r="J301" s="91">
        <f t="shared" si="134"/>
        <v>41</v>
      </c>
      <c r="K301" s="80">
        <v>52</v>
      </c>
      <c r="L301" s="81">
        <f t="shared" si="133"/>
        <v>65.915205720000003</v>
      </c>
      <c r="M301" s="82">
        <f t="shared" si="137"/>
        <v>0</v>
      </c>
      <c r="N301" s="82">
        <f t="shared" si="138"/>
        <v>0</v>
      </c>
      <c r="O301" s="82">
        <f>N301+'BM 006'!O301</f>
        <v>0</v>
      </c>
      <c r="P301" s="80">
        <f t="shared" si="139"/>
        <v>2132</v>
      </c>
      <c r="Q301" s="82">
        <f t="shared" si="140"/>
        <v>2702.52</v>
      </c>
      <c r="R301" s="82">
        <f t="shared" si="141"/>
        <v>2702.52</v>
      </c>
    </row>
    <row r="302" spans="2:18" s="34" customFormat="1" ht="34.799999999999997">
      <c r="B302" s="87" t="s">
        <v>597</v>
      </c>
      <c r="C302" s="88" t="s">
        <v>598</v>
      </c>
      <c r="D302" s="89" t="s">
        <v>131</v>
      </c>
      <c r="E302" s="90">
        <v>3</v>
      </c>
      <c r="F302" s="91"/>
      <c r="G302" s="91"/>
      <c r="H302" s="91"/>
      <c r="I302" s="91">
        <f>SUM(G302:H302)+'BM 006'!I302</f>
        <v>0</v>
      </c>
      <c r="J302" s="91">
        <f t="shared" si="134"/>
        <v>3</v>
      </c>
      <c r="K302" s="80">
        <v>51</v>
      </c>
      <c r="L302" s="81">
        <f t="shared" si="133"/>
        <v>64.647605609999999</v>
      </c>
      <c r="M302" s="82">
        <f t="shared" si="137"/>
        <v>0</v>
      </c>
      <c r="N302" s="82">
        <f t="shared" si="138"/>
        <v>0</v>
      </c>
      <c r="O302" s="82">
        <f>N302+'BM 006'!O302</f>
        <v>0</v>
      </c>
      <c r="P302" s="80">
        <f t="shared" si="139"/>
        <v>153</v>
      </c>
      <c r="Q302" s="82">
        <f t="shared" si="140"/>
        <v>193.94</v>
      </c>
      <c r="R302" s="82">
        <f t="shared" si="141"/>
        <v>193.94</v>
      </c>
    </row>
    <row r="303" spans="2:18" s="34" customFormat="1" ht="34.799999999999997">
      <c r="B303" s="87" t="s">
        <v>599</v>
      </c>
      <c r="C303" s="88" t="s">
        <v>600</v>
      </c>
      <c r="D303" s="89" t="s">
        <v>131</v>
      </c>
      <c r="E303" s="90">
        <v>1</v>
      </c>
      <c r="F303" s="91"/>
      <c r="G303" s="91"/>
      <c r="H303" s="91"/>
      <c r="I303" s="91">
        <f>SUM(G303:H303)+'BM 006'!I303</f>
        <v>0</v>
      </c>
      <c r="J303" s="91">
        <f t="shared" si="134"/>
        <v>1</v>
      </c>
      <c r="K303" s="80">
        <v>60</v>
      </c>
      <c r="L303" s="81">
        <f t="shared" si="133"/>
        <v>76.056006600000003</v>
      </c>
      <c r="M303" s="82">
        <f t="shared" si="137"/>
        <v>0</v>
      </c>
      <c r="N303" s="82">
        <f t="shared" si="138"/>
        <v>0</v>
      </c>
      <c r="O303" s="82">
        <f>N303+'BM 006'!O303</f>
        <v>0</v>
      </c>
      <c r="P303" s="80">
        <f t="shared" si="139"/>
        <v>60</v>
      </c>
      <c r="Q303" s="82">
        <f t="shared" si="140"/>
        <v>76.05</v>
      </c>
      <c r="R303" s="82">
        <f t="shared" si="141"/>
        <v>76.05</v>
      </c>
    </row>
    <row r="304" spans="2:18" s="34" customFormat="1" ht="34.799999999999997">
      <c r="B304" s="87" t="s">
        <v>601</v>
      </c>
      <c r="C304" s="88" t="s">
        <v>602</v>
      </c>
      <c r="D304" s="89" t="s">
        <v>131</v>
      </c>
      <c r="E304" s="90">
        <v>15</v>
      </c>
      <c r="F304" s="91"/>
      <c r="G304" s="91"/>
      <c r="H304" s="91"/>
      <c r="I304" s="91">
        <f>SUM(G304:H304)+'BM 006'!I304</f>
        <v>0</v>
      </c>
      <c r="J304" s="91">
        <f t="shared" si="134"/>
        <v>15</v>
      </c>
      <c r="K304" s="80">
        <v>230</v>
      </c>
      <c r="L304" s="81">
        <f t="shared" si="133"/>
        <v>291.54802530000001</v>
      </c>
      <c r="M304" s="82">
        <f t="shared" si="137"/>
        <v>0</v>
      </c>
      <c r="N304" s="82">
        <f t="shared" si="138"/>
        <v>0</v>
      </c>
      <c r="O304" s="82">
        <f>N304+'BM 006'!O304</f>
        <v>0</v>
      </c>
      <c r="P304" s="80">
        <f t="shared" si="139"/>
        <v>3450</v>
      </c>
      <c r="Q304" s="82">
        <f t="shared" si="140"/>
        <v>4373.22</v>
      </c>
      <c r="R304" s="82">
        <f t="shared" si="141"/>
        <v>4373.22</v>
      </c>
    </row>
    <row r="305" spans="2:18" s="34" customFormat="1" ht="34.799999999999997">
      <c r="B305" s="87" t="s">
        <v>603</v>
      </c>
      <c r="C305" s="88" t="s">
        <v>604</v>
      </c>
      <c r="D305" s="89" t="s">
        <v>131</v>
      </c>
      <c r="E305" s="90">
        <v>5</v>
      </c>
      <c r="F305" s="91"/>
      <c r="G305" s="91"/>
      <c r="H305" s="91"/>
      <c r="I305" s="91">
        <f>SUM(G305:H305)+'BM 006'!I305</f>
        <v>0</v>
      </c>
      <c r="J305" s="91">
        <f t="shared" si="134"/>
        <v>5</v>
      </c>
      <c r="K305" s="80">
        <v>140</v>
      </c>
      <c r="L305" s="81">
        <f t="shared" si="133"/>
        <v>177.46401539999999</v>
      </c>
      <c r="M305" s="82">
        <f t="shared" si="137"/>
        <v>0</v>
      </c>
      <c r="N305" s="82">
        <f t="shared" si="138"/>
        <v>0</v>
      </c>
      <c r="O305" s="82">
        <f>N305+'BM 006'!O305</f>
        <v>0</v>
      </c>
      <c r="P305" s="80">
        <f t="shared" si="139"/>
        <v>700</v>
      </c>
      <c r="Q305" s="82">
        <f t="shared" si="140"/>
        <v>887.32</v>
      </c>
      <c r="R305" s="82">
        <f t="shared" si="141"/>
        <v>887.32</v>
      </c>
    </row>
    <row r="306" spans="2:18" s="34" customFormat="1" ht="46.2">
      <c r="B306" s="87" t="s">
        <v>605</v>
      </c>
      <c r="C306" s="88" t="s">
        <v>606</v>
      </c>
      <c r="D306" s="89" t="s">
        <v>131</v>
      </c>
      <c r="E306" s="90">
        <v>4</v>
      </c>
      <c r="F306" s="91"/>
      <c r="G306" s="91"/>
      <c r="H306" s="91"/>
      <c r="I306" s="91">
        <f>SUM(G306:H306)+'BM 006'!I306</f>
        <v>0</v>
      </c>
      <c r="J306" s="91">
        <f t="shared" si="134"/>
        <v>4</v>
      </c>
      <c r="K306" s="80">
        <v>59</v>
      </c>
      <c r="L306" s="81">
        <f t="shared" si="133"/>
        <v>74.78840649</v>
      </c>
      <c r="M306" s="82">
        <f t="shared" si="137"/>
        <v>0</v>
      </c>
      <c r="N306" s="82">
        <f t="shared" si="138"/>
        <v>0</v>
      </c>
      <c r="O306" s="82">
        <f>N306+'BM 006'!O306</f>
        <v>0</v>
      </c>
      <c r="P306" s="80">
        <f t="shared" si="139"/>
        <v>236</v>
      </c>
      <c r="Q306" s="82">
        <f t="shared" si="140"/>
        <v>299.14999999999998</v>
      </c>
      <c r="R306" s="82">
        <f t="shared" si="141"/>
        <v>299.14999999999998</v>
      </c>
    </row>
    <row r="307" spans="2:18" s="34" customFormat="1" ht="13.2">
      <c r="B307" s="66" t="s">
        <v>607</v>
      </c>
      <c r="C307" s="67" t="s">
        <v>608</v>
      </c>
      <c r="D307" s="68"/>
      <c r="E307" s="69"/>
      <c r="F307" s="70"/>
      <c r="G307" s="70"/>
      <c r="H307" s="70"/>
      <c r="I307" s="70">
        <f>SUM(G307:H307)+'BM 006'!I307</f>
        <v>0</v>
      </c>
      <c r="J307" s="70">
        <f t="shared" si="134"/>
        <v>0</v>
      </c>
      <c r="K307" s="71"/>
      <c r="L307" s="71">
        <f t="shared" si="133"/>
        <v>0</v>
      </c>
      <c r="M307" s="73">
        <f t="shared" ref="M307:R307" si="142">SUM(M308:M314)</f>
        <v>0</v>
      </c>
      <c r="N307" s="73">
        <f t="shared" si="142"/>
        <v>0</v>
      </c>
      <c r="O307" s="73">
        <f t="shared" si="142"/>
        <v>0</v>
      </c>
      <c r="P307" s="73">
        <f t="shared" si="142"/>
        <v>50562</v>
      </c>
      <c r="Q307" s="73">
        <f t="shared" si="142"/>
        <v>64092.350000000006</v>
      </c>
      <c r="R307" s="73">
        <f t="shared" si="142"/>
        <v>64092.350000000006</v>
      </c>
    </row>
    <row r="308" spans="2:18" s="34" customFormat="1" ht="46.2">
      <c r="B308" s="87" t="s">
        <v>609</v>
      </c>
      <c r="C308" s="88" t="s">
        <v>610</v>
      </c>
      <c r="D308" s="89" t="s">
        <v>131</v>
      </c>
      <c r="E308" s="90">
        <v>202</v>
      </c>
      <c r="F308" s="91"/>
      <c r="G308" s="91"/>
      <c r="H308" s="91"/>
      <c r="I308" s="91">
        <f>SUM(G308:H308)+'BM 006'!I308</f>
        <v>0</v>
      </c>
      <c r="J308" s="91">
        <f t="shared" si="134"/>
        <v>202</v>
      </c>
      <c r="K308" s="80">
        <v>38</v>
      </c>
      <c r="L308" s="81">
        <f t="shared" si="133"/>
        <v>48.168804180000002</v>
      </c>
      <c r="M308" s="82">
        <f t="shared" ref="M308:M314" si="143">TRUNC(F308*L308,2)</f>
        <v>0</v>
      </c>
      <c r="N308" s="82">
        <f t="shared" ref="N308:N314" si="144">TRUNC(G308*L308,2)</f>
        <v>0</v>
      </c>
      <c r="O308" s="82">
        <f>N308+'BM 006'!O308</f>
        <v>0</v>
      </c>
      <c r="P308" s="80">
        <f t="shared" ref="P308:P314" si="145">E308*K308</f>
        <v>7676</v>
      </c>
      <c r="Q308" s="82">
        <f t="shared" ref="Q308:Q314" si="146">TRUNC(E308*L308,2)</f>
        <v>9730.09</v>
      </c>
      <c r="R308" s="82">
        <f t="shared" ref="R308:R314" si="147">Q308-O308</f>
        <v>9730.09</v>
      </c>
    </row>
    <row r="309" spans="2:18" s="34" customFormat="1" ht="46.2">
      <c r="B309" s="87" t="s">
        <v>611</v>
      </c>
      <c r="C309" s="88" t="s">
        <v>612</v>
      </c>
      <c r="D309" s="89" t="s">
        <v>131</v>
      </c>
      <c r="E309" s="90">
        <v>508</v>
      </c>
      <c r="F309" s="91"/>
      <c r="G309" s="91"/>
      <c r="H309" s="91"/>
      <c r="I309" s="91">
        <f>SUM(G309:H309)+'BM 006'!I309</f>
        <v>0</v>
      </c>
      <c r="J309" s="91">
        <f t="shared" si="134"/>
        <v>508</v>
      </c>
      <c r="K309" s="80">
        <v>40</v>
      </c>
      <c r="L309" s="81">
        <f t="shared" si="133"/>
        <v>50.704004400000002</v>
      </c>
      <c r="M309" s="82">
        <f t="shared" si="143"/>
        <v>0</v>
      </c>
      <c r="N309" s="82">
        <f t="shared" si="144"/>
        <v>0</v>
      </c>
      <c r="O309" s="82">
        <f>N309+'BM 006'!O309</f>
        <v>0</v>
      </c>
      <c r="P309" s="80">
        <f t="shared" si="145"/>
        <v>20320</v>
      </c>
      <c r="Q309" s="82">
        <f t="shared" si="146"/>
        <v>25757.63</v>
      </c>
      <c r="R309" s="82">
        <f t="shared" si="147"/>
        <v>25757.63</v>
      </c>
    </row>
    <row r="310" spans="2:18" s="34" customFormat="1" ht="34.799999999999997">
      <c r="B310" s="87" t="s">
        <v>613</v>
      </c>
      <c r="C310" s="88" t="s">
        <v>614</v>
      </c>
      <c r="D310" s="89" t="s">
        <v>131</v>
      </c>
      <c r="E310" s="90">
        <v>52</v>
      </c>
      <c r="F310" s="91"/>
      <c r="G310" s="91"/>
      <c r="H310" s="91"/>
      <c r="I310" s="91">
        <f>SUM(G310:H310)+'BM 006'!I310</f>
        <v>0</v>
      </c>
      <c r="J310" s="91">
        <f t="shared" si="134"/>
        <v>52</v>
      </c>
      <c r="K310" s="80">
        <v>65</v>
      </c>
      <c r="L310" s="81">
        <f t="shared" si="133"/>
        <v>82.394007150000007</v>
      </c>
      <c r="M310" s="82">
        <f t="shared" si="143"/>
        <v>0</v>
      </c>
      <c r="N310" s="82">
        <f t="shared" si="144"/>
        <v>0</v>
      </c>
      <c r="O310" s="82">
        <f>N310+'BM 006'!O310</f>
        <v>0</v>
      </c>
      <c r="P310" s="80">
        <f t="shared" si="145"/>
        <v>3380</v>
      </c>
      <c r="Q310" s="82">
        <f t="shared" si="146"/>
        <v>4284.4799999999996</v>
      </c>
      <c r="R310" s="82">
        <f t="shared" si="147"/>
        <v>4284.4799999999996</v>
      </c>
    </row>
    <row r="311" spans="2:18" s="34" customFormat="1" ht="46.2">
      <c r="B311" s="87" t="s">
        <v>615</v>
      </c>
      <c r="C311" s="88" t="s">
        <v>610</v>
      </c>
      <c r="D311" s="89" t="s">
        <v>131</v>
      </c>
      <c r="E311" s="90">
        <v>2</v>
      </c>
      <c r="F311" s="91"/>
      <c r="G311" s="91"/>
      <c r="H311" s="91"/>
      <c r="I311" s="91">
        <f>SUM(G311:H311)+'BM 006'!I311</f>
        <v>0</v>
      </c>
      <c r="J311" s="91">
        <f t="shared" si="134"/>
        <v>2</v>
      </c>
      <c r="K311" s="80">
        <v>38</v>
      </c>
      <c r="L311" s="81">
        <f t="shared" si="133"/>
        <v>48.168804180000002</v>
      </c>
      <c r="M311" s="82">
        <f t="shared" si="143"/>
        <v>0</v>
      </c>
      <c r="N311" s="82">
        <f t="shared" si="144"/>
        <v>0</v>
      </c>
      <c r="O311" s="82">
        <f>N311+'BM 006'!O311</f>
        <v>0</v>
      </c>
      <c r="P311" s="80">
        <f t="shared" si="145"/>
        <v>76</v>
      </c>
      <c r="Q311" s="82">
        <f t="shared" si="146"/>
        <v>96.33</v>
      </c>
      <c r="R311" s="82">
        <f t="shared" si="147"/>
        <v>96.33</v>
      </c>
    </row>
    <row r="312" spans="2:18" s="34" customFormat="1" ht="23.4">
      <c r="B312" s="87" t="s">
        <v>616</v>
      </c>
      <c r="C312" s="88" t="s">
        <v>617</v>
      </c>
      <c r="D312" s="89" t="s">
        <v>131</v>
      </c>
      <c r="E312" s="90">
        <v>201</v>
      </c>
      <c r="F312" s="91"/>
      <c r="G312" s="91"/>
      <c r="H312" s="91"/>
      <c r="I312" s="91">
        <f>SUM(G312:H312)+'BM 006'!I312</f>
        <v>0</v>
      </c>
      <c r="J312" s="91">
        <f t="shared" si="134"/>
        <v>201</v>
      </c>
      <c r="K312" s="80">
        <v>30</v>
      </c>
      <c r="L312" s="81">
        <f t="shared" si="133"/>
        <v>38.028003300000002</v>
      </c>
      <c r="M312" s="82">
        <f t="shared" si="143"/>
        <v>0</v>
      </c>
      <c r="N312" s="82">
        <f t="shared" si="144"/>
        <v>0</v>
      </c>
      <c r="O312" s="82">
        <f>N312+'BM 006'!O312</f>
        <v>0</v>
      </c>
      <c r="P312" s="80">
        <f t="shared" si="145"/>
        <v>6030</v>
      </c>
      <c r="Q312" s="82">
        <f t="shared" si="146"/>
        <v>7643.62</v>
      </c>
      <c r="R312" s="82">
        <f t="shared" si="147"/>
        <v>7643.62</v>
      </c>
    </row>
    <row r="313" spans="2:18" s="34" customFormat="1" ht="23.4">
      <c r="B313" s="87" t="s">
        <v>618</v>
      </c>
      <c r="C313" s="88" t="s">
        <v>619</v>
      </c>
      <c r="D313" s="89" t="s">
        <v>131</v>
      </c>
      <c r="E313" s="90">
        <v>12</v>
      </c>
      <c r="F313" s="91"/>
      <c r="G313" s="91"/>
      <c r="H313" s="91"/>
      <c r="I313" s="91">
        <f>SUM(G313:H313)+'BM 006'!I313</f>
        <v>0</v>
      </c>
      <c r="J313" s="91">
        <f t="shared" si="134"/>
        <v>12</v>
      </c>
      <c r="K313" s="80">
        <v>40</v>
      </c>
      <c r="L313" s="81">
        <f t="shared" si="133"/>
        <v>50.704004400000002</v>
      </c>
      <c r="M313" s="82">
        <f t="shared" si="143"/>
        <v>0</v>
      </c>
      <c r="N313" s="82">
        <f t="shared" si="144"/>
        <v>0</v>
      </c>
      <c r="O313" s="82">
        <f>N313+'BM 006'!O313</f>
        <v>0</v>
      </c>
      <c r="P313" s="80">
        <f t="shared" si="145"/>
        <v>480</v>
      </c>
      <c r="Q313" s="82">
        <f t="shared" si="146"/>
        <v>608.44000000000005</v>
      </c>
      <c r="R313" s="82">
        <f t="shared" si="147"/>
        <v>608.44000000000005</v>
      </c>
    </row>
    <row r="314" spans="2:18" s="34" customFormat="1" ht="23.4">
      <c r="B314" s="87" t="s">
        <v>620</v>
      </c>
      <c r="C314" s="88" t="s">
        <v>621</v>
      </c>
      <c r="D314" s="89" t="s">
        <v>131</v>
      </c>
      <c r="E314" s="90">
        <v>180</v>
      </c>
      <c r="F314" s="91"/>
      <c r="G314" s="91"/>
      <c r="H314" s="91"/>
      <c r="I314" s="91">
        <f>SUM(G314:H314)+'BM 006'!I314</f>
        <v>0</v>
      </c>
      <c r="J314" s="91">
        <f t="shared" si="134"/>
        <v>180</v>
      </c>
      <c r="K314" s="80">
        <v>70</v>
      </c>
      <c r="L314" s="81">
        <f t="shared" si="133"/>
        <v>88.732007699999997</v>
      </c>
      <c r="M314" s="82">
        <f t="shared" si="143"/>
        <v>0</v>
      </c>
      <c r="N314" s="82">
        <f t="shared" si="144"/>
        <v>0</v>
      </c>
      <c r="O314" s="82">
        <f>N314+'BM 006'!O314</f>
        <v>0</v>
      </c>
      <c r="P314" s="80">
        <f t="shared" si="145"/>
        <v>12600</v>
      </c>
      <c r="Q314" s="82">
        <f t="shared" si="146"/>
        <v>15971.76</v>
      </c>
      <c r="R314" s="82">
        <f t="shared" si="147"/>
        <v>15971.76</v>
      </c>
    </row>
    <row r="315" spans="2:18" s="34" customFormat="1" ht="26.25" customHeight="1">
      <c r="B315" s="66" t="s">
        <v>622</v>
      </c>
      <c r="C315" s="67" t="s">
        <v>623</v>
      </c>
      <c r="D315" s="68"/>
      <c r="E315" s="69"/>
      <c r="F315" s="70"/>
      <c r="G315" s="70"/>
      <c r="H315" s="70"/>
      <c r="I315" s="70">
        <f>SUM(G315:H315)+'BM 006'!I315</f>
        <v>0</v>
      </c>
      <c r="J315" s="70">
        <f t="shared" si="134"/>
        <v>0</v>
      </c>
      <c r="K315" s="71"/>
      <c r="L315" s="71">
        <f t="shared" si="133"/>
        <v>0</v>
      </c>
      <c r="M315" s="73">
        <f t="shared" ref="M315:R315" si="148">SUM(M316)</f>
        <v>0</v>
      </c>
      <c r="N315" s="73">
        <f t="shared" si="148"/>
        <v>0</v>
      </c>
      <c r="O315" s="73">
        <f t="shared" si="148"/>
        <v>0</v>
      </c>
      <c r="P315" s="73">
        <f t="shared" si="148"/>
        <v>660</v>
      </c>
      <c r="Q315" s="73">
        <f t="shared" si="148"/>
        <v>836.61</v>
      </c>
      <c r="R315" s="73">
        <f t="shared" si="148"/>
        <v>836.61</v>
      </c>
    </row>
    <row r="316" spans="2:18" s="34" customFormat="1" ht="13.2">
      <c r="B316" s="75" t="s">
        <v>624</v>
      </c>
      <c r="C316" s="76" t="s">
        <v>625</v>
      </c>
      <c r="D316" s="77" t="s">
        <v>131</v>
      </c>
      <c r="E316" s="78">
        <v>3</v>
      </c>
      <c r="F316" s="79"/>
      <c r="G316" s="79"/>
      <c r="H316" s="79"/>
      <c r="I316" s="79">
        <f>SUM(G316:H316)+'BM 006'!I316</f>
        <v>0</v>
      </c>
      <c r="J316" s="79">
        <f t="shared" si="134"/>
        <v>3</v>
      </c>
      <c r="K316" s="84">
        <v>220</v>
      </c>
      <c r="L316" s="81">
        <f t="shared" si="133"/>
        <v>278.8720242</v>
      </c>
      <c r="M316" s="82">
        <f>TRUNC(F316*L316,2)</f>
        <v>0</v>
      </c>
      <c r="N316" s="82">
        <f>TRUNC(G316*L316,2)</f>
        <v>0</v>
      </c>
      <c r="O316" s="82">
        <f>N316+'BM 006'!O316</f>
        <v>0</v>
      </c>
      <c r="P316" s="80">
        <f>E316*K316</f>
        <v>660</v>
      </c>
      <c r="Q316" s="82">
        <f>TRUNC(E316*L316,2)</f>
        <v>836.61</v>
      </c>
      <c r="R316" s="82">
        <f>Q316-O316</f>
        <v>836.61</v>
      </c>
    </row>
    <row r="317" spans="2:18" s="34" customFormat="1" ht="13.2">
      <c r="B317" s="60" t="s">
        <v>626</v>
      </c>
      <c r="C317" s="61" t="s">
        <v>627</v>
      </c>
      <c r="D317" s="60"/>
      <c r="E317" s="62"/>
      <c r="F317" s="63"/>
      <c r="G317" s="63"/>
      <c r="H317" s="63"/>
      <c r="I317" s="63">
        <f>SUM(G317:H317)+'BM 006'!I317</f>
        <v>0</v>
      </c>
      <c r="J317" s="63">
        <f t="shared" si="134"/>
        <v>0</v>
      </c>
      <c r="K317" s="63"/>
      <c r="L317" s="63">
        <f t="shared" si="133"/>
        <v>0</v>
      </c>
      <c r="M317" s="63">
        <f t="shared" ref="M317:R317" si="149">SUM(M318:M327)</f>
        <v>0</v>
      </c>
      <c r="N317" s="63">
        <f t="shared" si="149"/>
        <v>0</v>
      </c>
      <c r="O317" s="63">
        <f t="shared" si="149"/>
        <v>0</v>
      </c>
      <c r="P317" s="63">
        <f t="shared" si="149"/>
        <v>37271.68</v>
      </c>
      <c r="Q317" s="63">
        <f t="shared" si="149"/>
        <v>47245.569999999992</v>
      </c>
      <c r="R317" s="63">
        <f t="shared" si="149"/>
        <v>47245.569999999992</v>
      </c>
    </row>
    <row r="318" spans="2:18" s="34" customFormat="1" ht="23.4">
      <c r="B318" s="75" t="s">
        <v>628</v>
      </c>
      <c r="C318" s="76" t="s">
        <v>629</v>
      </c>
      <c r="D318" s="77" t="s">
        <v>82</v>
      </c>
      <c r="E318" s="93">
        <v>170</v>
      </c>
      <c r="F318" s="79"/>
      <c r="G318" s="79"/>
      <c r="H318" s="79"/>
      <c r="I318" s="79">
        <f>SUM(G318:H318)+'BM 006'!I318</f>
        <v>0</v>
      </c>
      <c r="J318" s="79">
        <f t="shared" si="134"/>
        <v>170</v>
      </c>
      <c r="K318" s="80">
        <v>100</v>
      </c>
      <c r="L318" s="81">
        <f t="shared" si="133"/>
        <v>126.76001100000001</v>
      </c>
      <c r="M318" s="82">
        <f t="shared" ref="M318:M327" si="150">TRUNC(F318*L318,2)</f>
        <v>0</v>
      </c>
      <c r="N318" s="82">
        <f t="shared" ref="N318:N327" si="151">TRUNC(G318*L318,2)</f>
        <v>0</v>
      </c>
      <c r="O318" s="82">
        <f>N318+'BM 006'!O318</f>
        <v>0</v>
      </c>
      <c r="P318" s="80">
        <f t="shared" ref="P318:P327" si="152">E318*K318</f>
        <v>17000</v>
      </c>
      <c r="Q318" s="82">
        <f t="shared" ref="Q318:Q327" si="153">TRUNC(E318*L318,2)</f>
        <v>21549.200000000001</v>
      </c>
      <c r="R318" s="82">
        <f t="shared" ref="R318:R327" si="154">Q318-O318</f>
        <v>21549.200000000001</v>
      </c>
    </row>
    <row r="319" spans="2:18" s="34" customFormat="1" ht="23.4">
      <c r="B319" s="75" t="s">
        <v>630</v>
      </c>
      <c r="C319" s="76" t="s">
        <v>631</v>
      </c>
      <c r="D319" s="77" t="s">
        <v>131</v>
      </c>
      <c r="E319" s="93">
        <v>1</v>
      </c>
      <c r="F319" s="79"/>
      <c r="G319" s="79"/>
      <c r="H319" s="79"/>
      <c r="I319" s="79">
        <f>SUM(G319:H319)+'BM 006'!I319</f>
        <v>0</v>
      </c>
      <c r="J319" s="79">
        <f t="shared" si="134"/>
        <v>1</v>
      </c>
      <c r="K319" s="80">
        <v>1300</v>
      </c>
      <c r="L319" s="81">
        <f t="shared" si="133"/>
        <v>1647.8801430000001</v>
      </c>
      <c r="M319" s="82">
        <f t="shared" si="150"/>
        <v>0</v>
      </c>
      <c r="N319" s="82">
        <f t="shared" si="151"/>
        <v>0</v>
      </c>
      <c r="O319" s="82">
        <f>N319+'BM 006'!O319</f>
        <v>0</v>
      </c>
      <c r="P319" s="80">
        <f t="shared" si="152"/>
        <v>1300</v>
      </c>
      <c r="Q319" s="82">
        <f t="shared" si="153"/>
        <v>1647.88</v>
      </c>
      <c r="R319" s="82">
        <f t="shared" si="154"/>
        <v>1647.88</v>
      </c>
    </row>
    <row r="320" spans="2:18" s="34" customFormat="1" ht="23.4">
      <c r="B320" s="75" t="s">
        <v>632</v>
      </c>
      <c r="C320" s="76" t="s">
        <v>633</v>
      </c>
      <c r="D320" s="77" t="s">
        <v>82</v>
      </c>
      <c r="E320" s="93">
        <v>250</v>
      </c>
      <c r="F320" s="79"/>
      <c r="G320" s="79"/>
      <c r="H320" s="79"/>
      <c r="I320" s="79">
        <f>SUM(G320:H320)+'BM 006'!I320</f>
        <v>0</v>
      </c>
      <c r="J320" s="79">
        <f t="shared" si="134"/>
        <v>250</v>
      </c>
      <c r="K320" s="80">
        <v>38</v>
      </c>
      <c r="L320" s="81">
        <f t="shared" si="133"/>
        <v>48.168804180000002</v>
      </c>
      <c r="M320" s="82">
        <f t="shared" si="150"/>
        <v>0</v>
      </c>
      <c r="N320" s="82">
        <f t="shared" si="151"/>
        <v>0</v>
      </c>
      <c r="O320" s="82">
        <f>N320+'BM 006'!O320</f>
        <v>0</v>
      </c>
      <c r="P320" s="80">
        <f t="shared" si="152"/>
        <v>9500</v>
      </c>
      <c r="Q320" s="82">
        <f t="shared" si="153"/>
        <v>12042.2</v>
      </c>
      <c r="R320" s="82">
        <f t="shared" si="154"/>
        <v>12042.2</v>
      </c>
    </row>
    <row r="321" spans="2:18" s="34" customFormat="1" ht="13.2">
      <c r="B321" s="75" t="s">
        <v>634</v>
      </c>
      <c r="C321" s="76" t="s">
        <v>635</v>
      </c>
      <c r="D321" s="77" t="s">
        <v>39</v>
      </c>
      <c r="E321" s="78">
        <v>20</v>
      </c>
      <c r="F321" s="79"/>
      <c r="G321" s="79"/>
      <c r="H321" s="79"/>
      <c r="I321" s="79">
        <f>SUM(G321:H321)+'BM 006'!I321</f>
        <v>0</v>
      </c>
      <c r="J321" s="79">
        <f t="shared" si="134"/>
        <v>20</v>
      </c>
      <c r="K321" s="84">
        <v>42</v>
      </c>
      <c r="L321" s="81">
        <f t="shared" si="133"/>
        <v>53.239204620000002</v>
      </c>
      <c r="M321" s="82">
        <f t="shared" si="150"/>
        <v>0</v>
      </c>
      <c r="N321" s="82">
        <f t="shared" si="151"/>
        <v>0</v>
      </c>
      <c r="O321" s="82">
        <f>N321+'BM 006'!O321</f>
        <v>0</v>
      </c>
      <c r="P321" s="80">
        <f t="shared" si="152"/>
        <v>840</v>
      </c>
      <c r="Q321" s="82">
        <f t="shared" si="153"/>
        <v>1064.78</v>
      </c>
      <c r="R321" s="82">
        <f t="shared" si="154"/>
        <v>1064.78</v>
      </c>
    </row>
    <row r="322" spans="2:18" s="34" customFormat="1" ht="23.4">
      <c r="B322" s="75" t="s">
        <v>636</v>
      </c>
      <c r="C322" s="76" t="s">
        <v>637</v>
      </c>
      <c r="D322" s="77" t="s">
        <v>39</v>
      </c>
      <c r="E322" s="78">
        <v>30</v>
      </c>
      <c r="F322" s="79"/>
      <c r="G322" s="79"/>
      <c r="H322" s="79"/>
      <c r="I322" s="79">
        <f>SUM(G322:H322)+'BM 006'!I322</f>
        <v>0</v>
      </c>
      <c r="J322" s="79">
        <f t="shared" si="134"/>
        <v>30</v>
      </c>
      <c r="K322" s="84">
        <v>25</v>
      </c>
      <c r="L322" s="81">
        <f t="shared" si="133"/>
        <v>31.690002750000001</v>
      </c>
      <c r="M322" s="82">
        <f t="shared" si="150"/>
        <v>0</v>
      </c>
      <c r="N322" s="82">
        <f t="shared" si="151"/>
        <v>0</v>
      </c>
      <c r="O322" s="82">
        <f>N322+'BM 006'!O322</f>
        <v>0</v>
      </c>
      <c r="P322" s="80">
        <f t="shared" si="152"/>
        <v>750</v>
      </c>
      <c r="Q322" s="82">
        <f t="shared" si="153"/>
        <v>950.7</v>
      </c>
      <c r="R322" s="82">
        <f t="shared" si="154"/>
        <v>950.7</v>
      </c>
    </row>
    <row r="323" spans="2:18" s="34" customFormat="1" ht="46.2">
      <c r="B323" s="75" t="s">
        <v>638</v>
      </c>
      <c r="C323" s="76" t="s">
        <v>639</v>
      </c>
      <c r="D323" s="77" t="s">
        <v>39</v>
      </c>
      <c r="E323" s="78">
        <v>2</v>
      </c>
      <c r="F323" s="79"/>
      <c r="G323" s="79"/>
      <c r="H323" s="79"/>
      <c r="I323" s="79">
        <f>SUM(G323:H323)+'BM 006'!I323</f>
        <v>0</v>
      </c>
      <c r="J323" s="79">
        <f t="shared" si="134"/>
        <v>2</v>
      </c>
      <c r="K323" s="84">
        <v>1800</v>
      </c>
      <c r="L323" s="81">
        <f t="shared" si="133"/>
        <v>2281.680198</v>
      </c>
      <c r="M323" s="82">
        <f t="shared" si="150"/>
        <v>0</v>
      </c>
      <c r="N323" s="82">
        <f t="shared" si="151"/>
        <v>0</v>
      </c>
      <c r="O323" s="82">
        <f>N323+'BM 006'!O323</f>
        <v>0</v>
      </c>
      <c r="P323" s="80">
        <f t="shared" si="152"/>
        <v>3600</v>
      </c>
      <c r="Q323" s="82">
        <f t="shared" si="153"/>
        <v>4563.3599999999997</v>
      </c>
      <c r="R323" s="82">
        <f t="shared" si="154"/>
        <v>4563.3599999999997</v>
      </c>
    </row>
    <row r="324" spans="2:18" s="34" customFormat="1" ht="23.4">
      <c r="B324" s="75" t="s">
        <v>640</v>
      </c>
      <c r="C324" s="76" t="s">
        <v>641</v>
      </c>
      <c r="D324" s="77" t="s">
        <v>39</v>
      </c>
      <c r="E324" s="78">
        <v>17</v>
      </c>
      <c r="F324" s="79"/>
      <c r="G324" s="79"/>
      <c r="H324" s="79"/>
      <c r="I324" s="79">
        <f>SUM(G324:H324)+'BM 006'!I324</f>
        <v>0</v>
      </c>
      <c r="J324" s="79">
        <f t="shared" si="134"/>
        <v>17</v>
      </c>
      <c r="K324" s="84">
        <v>160</v>
      </c>
      <c r="L324" s="81">
        <f t="shared" si="133"/>
        <v>202.81601760000001</v>
      </c>
      <c r="M324" s="82">
        <f t="shared" si="150"/>
        <v>0</v>
      </c>
      <c r="N324" s="82">
        <f t="shared" si="151"/>
        <v>0</v>
      </c>
      <c r="O324" s="82">
        <f>N324+'BM 006'!O324</f>
        <v>0</v>
      </c>
      <c r="P324" s="80">
        <f t="shared" si="152"/>
        <v>2720</v>
      </c>
      <c r="Q324" s="82">
        <f t="shared" si="153"/>
        <v>3447.87</v>
      </c>
      <c r="R324" s="82">
        <f t="shared" si="154"/>
        <v>3447.87</v>
      </c>
    </row>
    <row r="325" spans="2:18" s="34" customFormat="1" ht="13.2">
      <c r="B325" s="75" t="s">
        <v>642</v>
      </c>
      <c r="C325" s="76" t="s">
        <v>643</v>
      </c>
      <c r="D325" s="77" t="s">
        <v>39</v>
      </c>
      <c r="E325" s="78">
        <v>100</v>
      </c>
      <c r="F325" s="79"/>
      <c r="G325" s="79"/>
      <c r="H325" s="79"/>
      <c r="I325" s="79">
        <f>SUM(G325:H325)+'BM 006'!I325</f>
        <v>0</v>
      </c>
      <c r="J325" s="79">
        <f t="shared" si="134"/>
        <v>100</v>
      </c>
      <c r="K325" s="84">
        <v>5.27</v>
      </c>
      <c r="L325" s="81">
        <f t="shared" si="133"/>
        <v>6.6802525796999994</v>
      </c>
      <c r="M325" s="82">
        <f t="shared" si="150"/>
        <v>0</v>
      </c>
      <c r="N325" s="82">
        <f t="shared" si="151"/>
        <v>0</v>
      </c>
      <c r="O325" s="82">
        <f>N325+'BM 006'!O325</f>
        <v>0</v>
      </c>
      <c r="P325" s="80">
        <f t="shared" si="152"/>
        <v>527</v>
      </c>
      <c r="Q325" s="82">
        <f t="shared" si="153"/>
        <v>668.02</v>
      </c>
      <c r="R325" s="82">
        <f t="shared" si="154"/>
        <v>668.02</v>
      </c>
    </row>
    <row r="326" spans="2:18" s="34" customFormat="1" ht="23.25" customHeight="1">
      <c r="B326" s="75" t="s">
        <v>644</v>
      </c>
      <c r="C326" s="76" t="s">
        <v>645</v>
      </c>
      <c r="D326" s="77" t="s">
        <v>124</v>
      </c>
      <c r="E326" s="78">
        <v>12</v>
      </c>
      <c r="F326" s="79"/>
      <c r="G326" s="79"/>
      <c r="H326" s="79"/>
      <c r="I326" s="79">
        <f>SUM(G326:H326)+'BM 006'!I326</f>
        <v>0</v>
      </c>
      <c r="J326" s="79">
        <f t="shared" si="134"/>
        <v>12</v>
      </c>
      <c r="K326" s="84">
        <v>15.39</v>
      </c>
      <c r="L326" s="81">
        <f t="shared" si="133"/>
        <v>19.5083656929</v>
      </c>
      <c r="M326" s="82">
        <f t="shared" si="150"/>
        <v>0</v>
      </c>
      <c r="N326" s="82">
        <f t="shared" si="151"/>
        <v>0</v>
      </c>
      <c r="O326" s="82">
        <f>N326+'BM 006'!O326</f>
        <v>0</v>
      </c>
      <c r="P326" s="80">
        <f t="shared" si="152"/>
        <v>184.68</v>
      </c>
      <c r="Q326" s="82">
        <f t="shared" si="153"/>
        <v>234.1</v>
      </c>
      <c r="R326" s="82">
        <f t="shared" si="154"/>
        <v>234.1</v>
      </c>
    </row>
    <row r="327" spans="2:18" s="34" customFormat="1" ht="23.4">
      <c r="B327" s="75" t="s">
        <v>646</v>
      </c>
      <c r="C327" s="76" t="s">
        <v>647</v>
      </c>
      <c r="D327" s="77" t="s">
        <v>39</v>
      </c>
      <c r="E327" s="78">
        <v>17</v>
      </c>
      <c r="F327" s="79"/>
      <c r="G327" s="79"/>
      <c r="H327" s="79"/>
      <c r="I327" s="79">
        <f>SUM(G327:H327)+'BM 006'!I327</f>
        <v>0</v>
      </c>
      <c r="J327" s="79">
        <f t="shared" si="134"/>
        <v>17</v>
      </c>
      <c r="K327" s="84">
        <v>50</v>
      </c>
      <c r="L327" s="81">
        <f t="shared" si="133"/>
        <v>63.380005500000003</v>
      </c>
      <c r="M327" s="82">
        <f t="shared" si="150"/>
        <v>0</v>
      </c>
      <c r="N327" s="82">
        <f t="shared" si="151"/>
        <v>0</v>
      </c>
      <c r="O327" s="82">
        <f>N327+'BM 006'!O327</f>
        <v>0</v>
      </c>
      <c r="P327" s="80">
        <f t="shared" si="152"/>
        <v>850</v>
      </c>
      <c r="Q327" s="82">
        <f t="shared" si="153"/>
        <v>1077.46</v>
      </c>
      <c r="R327" s="82">
        <f t="shared" si="154"/>
        <v>1077.46</v>
      </c>
    </row>
    <row r="328" spans="2:18" s="34" customFormat="1" ht="13.2">
      <c r="B328" s="60" t="s">
        <v>648</v>
      </c>
      <c r="C328" s="61" t="s">
        <v>649</v>
      </c>
      <c r="D328" s="60"/>
      <c r="E328" s="62"/>
      <c r="F328" s="63"/>
      <c r="G328" s="63"/>
      <c r="H328" s="63"/>
      <c r="I328" s="63">
        <f>SUM(G328:H328)+'BM 006'!I328</f>
        <v>0</v>
      </c>
      <c r="J328" s="63">
        <f t="shared" si="134"/>
        <v>0</v>
      </c>
      <c r="K328" s="63"/>
      <c r="L328" s="63">
        <f t="shared" si="133"/>
        <v>0</v>
      </c>
      <c r="M328" s="63">
        <f t="shared" ref="M328:R328" si="155">SUM(M329,M337,M395,M406,M474)</f>
        <v>0</v>
      </c>
      <c r="N328" s="63">
        <f t="shared" si="155"/>
        <v>0</v>
      </c>
      <c r="O328" s="63">
        <f t="shared" si="155"/>
        <v>6476.81</v>
      </c>
      <c r="P328" s="63">
        <f t="shared" si="155"/>
        <v>482517.43010000006</v>
      </c>
      <c r="Q328" s="63">
        <f t="shared" si="155"/>
        <v>611638.38000000012</v>
      </c>
      <c r="R328" s="63">
        <f t="shared" si="155"/>
        <v>605161.57000000007</v>
      </c>
    </row>
    <row r="329" spans="2:18" s="34" customFormat="1" ht="13.2">
      <c r="B329" s="66" t="s">
        <v>650</v>
      </c>
      <c r="C329" s="67" t="s">
        <v>651</v>
      </c>
      <c r="D329" s="68"/>
      <c r="E329" s="69"/>
      <c r="F329" s="70"/>
      <c r="G329" s="70"/>
      <c r="H329" s="70"/>
      <c r="I329" s="70">
        <f>SUM(G329:H329)+'BM 006'!I329</f>
        <v>0</v>
      </c>
      <c r="J329" s="70">
        <f t="shared" si="134"/>
        <v>0</v>
      </c>
      <c r="K329" s="71"/>
      <c r="L329" s="71">
        <f t="shared" si="133"/>
        <v>0</v>
      </c>
      <c r="M329" s="73">
        <f t="shared" ref="M329:R329" si="156">SUM(M330:M336)</f>
        <v>0</v>
      </c>
      <c r="N329" s="73">
        <f t="shared" si="156"/>
        <v>0</v>
      </c>
      <c r="O329" s="73">
        <f t="shared" si="156"/>
        <v>2814.07</v>
      </c>
      <c r="P329" s="73">
        <f t="shared" si="156"/>
        <v>39545.715000000004</v>
      </c>
      <c r="Q329" s="73">
        <f t="shared" si="156"/>
        <v>50128.12</v>
      </c>
      <c r="R329" s="73">
        <f t="shared" si="156"/>
        <v>47314.05</v>
      </c>
    </row>
    <row r="330" spans="2:18" s="34" customFormat="1" ht="23.4">
      <c r="B330" s="75" t="s">
        <v>652</v>
      </c>
      <c r="C330" s="76" t="s">
        <v>653</v>
      </c>
      <c r="D330" s="77" t="s">
        <v>82</v>
      </c>
      <c r="E330" s="90">
        <v>9.3800000000000008</v>
      </c>
      <c r="F330" s="91"/>
      <c r="G330" s="91"/>
      <c r="H330" s="91"/>
      <c r="I330" s="91">
        <f>SUM(G330:H330)+'BM 006'!I330</f>
        <v>0</v>
      </c>
      <c r="J330" s="91">
        <f t="shared" si="134"/>
        <v>9.3800000000000008</v>
      </c>
      <c r="K330" s="80">
        <v>6.5</v>
      </c>
      <c r="L330" s="81">
        <f t="shared" si="133"/>
        <v>8.2394007150000004</v>
      </c>
      <c r="M330" s="82">
        <f t="shared" ref="M330:M336" si="157">TRUNC(F330*L330,2)</f>
        <v>0</v>
      </c>
      <c r="N330" s="82">
        <f t="shared" ref="N330:N336" si="158">TRUNC(G330*L330,2)</f>
        <v>0</v>
      </c>
      <c r="O330" s="82">
        <f>N330+'BM 006'!O330</f>
        <v>0</v>
      </c>
      <c r="P330" s="80">
        <f t="shared" ref="P330:P336" si="159">E330*K330</f>
        <v>60.970000000000006</v>
      </c>
      <c r="Q330" s="82">
        <f t="shared" ref="Q330:Q336" si="160">TRUNC(E330*L330,2)</f>
        <v>77.28</v>
      </c>
      <c r="R330" s="82">
        <f t="shared" ref="R330:R336" si="161">Q330-O330</f>
        <v>77.28</v>
      </c>
    </row>
    <row r="331" spans="2:18" s="34" customFormat="1" ht="23.4">
      <c r="B331" s="75" t="s">
        <v>654</v>
      </c>
      <c r="C331" s="76" t="s">
        <v>655</v>
      </c>
      <c r="D331" s="77" t="s">
        <v>82</v>
      </c>
      <c r="E331" s="90">
        <v>1074.94</v>
      </c>
      <c r="F331" s="91"/>
      <c r="G331" s="91"/>
      <c r="H331" s="91"/>
      <c r="I331" s="91">
        <f>SUM(G331:H331)+'BM 006'!I331</f>
        <v>0</v>
      </c>
      <c r="J331" s="91">
        <f t="shared" si="134"/>
        <v>1074.94</v>
      </c>
      <c r="K331" s="80">
        <v>8</v>
      </c>
      <c r="L331" s="81">
        <f t="shared" si="133"/>
        <v>10.14080088</v>
      </c>
      <c r="M331" s="82">
        <f t="shared" si="157"/>
        <v>0</v>
      </c>
      <c r="N331" s="82">
        <f t="shared" si="158"/>
        <v>0</v>
      </c>
      <c r="O331" s="82">
        <f>N331+'BM 006'!O331</f>
        <v>0</v>
      </c>
      <c r="P331" s="80">
        <f t="shared" si="159"/>
        <v>8599.52</v>
      </c>
      <c r="Q331" s="82">
        <f t="shared" si="160"/>
        <v>10900.75</v>
      </c>
      <c r="R331" s="82">
        <f t="shared" si="161"/>
        <v>10900.75</v>
      </c>
    </row>
    <row r="332" spans="2:18" s="34" customFormat="1" ht="23.4">
      <c r="B332" s="75" t="s">
        <v>656</v>
      </c>
      <c r="C332" s="76" t="s">
        <v>657</v>
      </c>
      <c r="D332" s="77" t="s">
        <v>82</v>
      </c>
      <c r="E332" s="93">
        <v>17.41</v>
      </c>
      <c r="F332" s="79"/>
      <c r="G332" s="79"/>
      <c r="H332" s="79"/>
      <c r="I332" s="79">
        <f>SUM(G332:H332)+'BM 006'!I332</f>
        <v>0</v>
      </c>
      <c r="J332" s="79">
        <f t="shared" si="134"/>
        <v>17.41</v>
      </c>
      <c r="K332" s="80">
        <v>17.5</v>
      </c>
      <c r="L332" s="81">
        <f t="shared" si="133"/>
        <v>22.183001924999999</v>
      </c>
      <c r="M332" s="82">
        <f t="shared" si="157"/>
        <v>0</v>
      </c>
      <c r="N332" s="82">
        <f t="shared" si="158"/>
        <v>0</v>
      </c>
      <c r="O332" s="82">
        <f>N332+'BM 006'!O332</f>
        <v>0</v>
      </c>
      <c r="P332" s="80">
        <f t="shared" si="159"/>
        <v>304.67500000000001</v>
      </c>
      <c r="Q332" s="82">
        <f t="shared" si="160"/>
        <v>386.2</v>
      </c>
      <c r="R332" s="82">
        <f t="shared" si="161"/>
        <v>386.2</v>
      </c>
    </row>
    <row r="333" spans="2:18" s="34" customFormat="1" ht="23.4">
      <c r="B333" s="75" t="s">
        <v>658</v>
      </c>
      <c r="C333" s="76" t="s">
        <v>659</v>
      </c>
      <c r="D333" s="77" t="s">
        <v>82</v>
      </c>
      <c r="E333" s="93">
        <v>471.41</v>
      </c>
      <c r="F333" s="79"/>
      <c r="G333" s="79"/>
      <c r="H333" s="79"/>
      <c r="I333" s="79">
        <f>SUM(G333:H333)+'BM 006'!I333</f>
        <v>0</v>
      </c>
      <c r="J333" s="79">
        <f t="shared" si="134"/>
        <v>471.41</v>
      </c>
      <c r="K333" s="80">
        <v>23.5</v>
      </c>
      <c r="L333" s="81">
        <f t="shared" si="133"/>
        <v>29.788602585</v>
      </c>
      <c r="M333" s="82">
        <f t="shared" si="157"/>
        <v>0</v>
      </c>
      <c r="N333" s="82">
        <f t="shared" si="158"/>
        <v>0</v>
      </c>
      <c r="O333" s="82">
        <f>N333+'BM 006'!O333</f>
        <v>0</v>
      </c>
      <c r="P333" s="80">
        <f t="shared" si="159"/>
        <v>11078.135</v>
      </c>
      <c r="Q333" s="82">
        <f t="shared" si="160"/>
        <v>14042.64</v>
      </c>
      <c r="R333" s="82">
        <f t="shared" si="161"/>
        <v>14042.64</v>
      </c>
    </row>
    <row r="334" spans="2:18" s="34" customFormat="1" ht="23.4">
      <c r="B334" s="75" t="s">
        <v>660</v>
      </c>
      <c r="C334" s="76" t="s">
        <v>661</v>
      </c>
      <c r="D334" s="77" t="s">
        <v>82</v>
      </c>
      <c r="E334" s="93">
        <v>25.81</v>
      </c>
      <c r="F334" s="79"/>
      <c r="G334" s="79"/>
      <c r="H334" s="79"/>
      <c r="I334" s="79">
        <f>SUM(G334:H334)+'BM 006'!I334</f>
        <v>0</v>
      </c>
      <c r="J334" s="79">
        <f t="shared" si="134"/>
        <v>25.81</v>
      </c>
      <c r="K334" s="80">
        <v>27.5</v>
      </c>
      <c r="L334" s="81">
        <f t="shared" si="133"/>
        <v>34.859003025</v>
      </c>
      <c r="M334" s="82">
        <f t="shared" si="157"/>
        <v>0</v>
      </c>
      <c r="N334" s="82">
        <f t="shared" si="158"/>
        <v>0</v>
      </c>
      <c r="O334" s="82">
        <f>N334+'BM 006'!O334</f>
        <v>0</v>
      </c>
      <c r="P334" s="80">
        <f t="shared" si="159"/>
        <v>709.77499999999998</v>
      </c>
      <c r="Q334" s="82">
        <f t="shared" si="160"/>
        <v>899.71</v>
      </c>
      <c r="R334" s="82">
        <f t="shared" si="161"/>
        <v>899.71</v>
      </c>
    </row>
    <row r="335" spans="2:18" s="34" customFormat="1" ht="23.4">
      <c r="B335" s="75" t="s">
        <v>662</v>
      </c>
      <c r="C335" s="76" t="s">
        <v>663</v>
      </c>
      <c r="D335" s="77" t="s">
        <v>124</v>
      </c>
      <c r="E335" s="93">
        <v>165.66</v>
      </c>
      <c r="F335" s="79"/>
      <c r="G335" s="79"/>
      <c r="H335" s="79"/>
      <c r="I335" s="79">
        <f>SUM(G335:H335)+'BM 006'!I335</f>
        <v>0</v>
      </c>
      <c r="J335" s="79">
        <f t="shared" si="134"/>
        <v>165.66</v>
      </c>
      <c r="K335" s="80">
        <v>41</v>
      </c>
      <c r="L335" s="81">
        <f t="shared" si="133"/>
        <v>51.971604510000006</v>
      </c>
      <c r="M335" s="82">
        <f t="shared" si="157"/>
        <v>0</v>
      </c>
      <c r="N335" s="82">
        <f t="shared" si="158"/>
        <v>0</v>
      </c>
      <c r="O335" s="82">
        <f>N335+'BM 006'!O335</f>
        <v>0</v>
      </c>
      <c r="P335" s="80">
        <f t="shared" si="159"/>
        <v>6792.0599999999995</v>
      </c>
      <c r="Q335" s="82">
        <f t="shared" si="160"/>
        <v>8609.61</v>
      </c>
      <c r="R335" s="82">
        <f t="shared" si="161"/>
        <v>8609.61</v>
      </c>
    </row>
    <row r="336" spans="2:18" s="34" customFormat="1" ht="23.4">
      <c r="B336" s="75" t="s">
        <v>664</v>
      </c>
      <c r="C336" s="76" t="s">
        <v>665</v>
      </c>
      <c r="D336" s="77" t="s">
        <v>124</v>
      </c>
      <c r="E336" s="93">
        <v>162.16999999999999</v>
      </c>
      <c r="F336" s="79"/>
      <c r="G336" s="79"/>
      <c r="H336" s="79"/>
      <c r="I336" s="79">
        <f>SUM(G336:H336)+'BM 006'!I336</f>
        <v>30</v>
      </c>
      <c r="J336" s="79">
        <f t="shared" si="134"/>
        <v>132.16999999999999</v>
      </c>
      <c r="K336" s="80">
        <v>74</v>
      </c>
      <c r="L336" s="81">
        <f t="shared" si="133"/>
        <v>93.802408140000011</v>
      </c>
      <c r="M336" s="82">
        <f t="shared" si="157"/>
        <v>0</v>
      </c>
      <c r="N336" s="82">
        <f t="shared" si="158"/>
        <v>0</v>
      </c>
      <c r="O336" s="82">
        <f>N336+'BM 006'!O336</f>
        <v>2814.07</v>
      </c>
      <c r="P336" s="80">
        <f t="shared" si="159"/>
        <v>12000.58</v>
      </c>
      <c r="Q336" s="82">
        <f t="shared" si="160"/>
        <v>15211.93</v>
      </c>
      <c r="R336" s="82">
        <f t="shared" si="161"/>
        <v>12397.86</v>
      </c>
    </row>
    <row r="337" spans="2:18" s="34" customFormat="1" ht="24">
      <c r="B337" s="66" t="s">
        <v>666</v>
      </c>
      <c r="C337" s="67" t="s">
        <v>667</v>
      </c>
      <c r="D337" s="68"/>
      <c r="E337" s="69"/>
      <c r="F337" s="70"/>
      <c r="G337" s="70"/>
      <c r="H337" s="70"/>
      <c r="I337" s="70">
        <f>SUM(G337:H337)+'BM 006'!I337</f>
        <v>0</v>
      </c>
      <c r="J337" s="70">
        <f t="shared" si="134"/>
        <v>0</v>
      </c>
      <c r="K337" s="71"/>
      <c r="L337" s="71">
        <f t="shared" si="133"/>
        <v>0</v>
      </c>
      <c r="M337" s="73">
        <f t="shared" ref="M337:R337" si="162">SUM(M338:M394)</f>
        <v>0</v>
      </c>
      <c r="N337" s="73">
        <f t="shared" si="162"/>
        <v>0</v>
      </c>
      <c r="O337" s="73">
        <f t="shared" si="162"/>
        <v>848.67</v>
      </c>
      <c r="P337" s="73">
        <f t="shared" si="162"/>
        <v>49585.86</v>
      </c>
      <c r="Q337" s="73">
        <f t="shared" si="162"/>
        <v>62854.749999999985</v>
      </c>
      <c r="R337" s="73">
        <f t="shared" si="162"/>
        <v>62006.079999999987</v>
      </c>
    </row>
    <row r="338" spans="2:18" s="34" customFormat="1" ht="46.2">
      <c r="B338" s="75" t="s">
        <v>668</v>
      </c>
      <c r="C338" s="76" t="s">
        <v>669</v>
      </c>
      <c r="D338" s="77" t="s">
        <v>131</v>
      </c>
      <c r="E338" s="93">
        <v>2</v>
      </c>
      <c r="F338" s="79"/>
      <c r="G338" s="79"/>
      <c r="H338" s="79"/>
      <c r="I338" s="79">
        <f>SUM(G338:H338)+'BM 006'!I338</f>
        <v>0</v>
      </c>
      <c r="J338" s="79">
        <f t="shared" si="134"/>
        <v>2</v>
      </c>
      <c r="K338" s="80">
        <v>119</v>
      </c>
      <c r="L338" s="81">
        <f t="shared" si="133"/>
        <v>150.84441309000002</v>
      </c>
      <c r="M338" s="82">
        <f t="shared" ref="M338:M369" si="163">TRUNC(F338*L338,2)</f>
        <v>0</v>
      </c>
      <c r="N338" s="82">
        <f t="shared" ref="N338:N369" si="164">TRUNC(G338*L338,2)</f>
        <v>0</v>
      </c>
      <c r="O338" s="82">
        <f>N338+'BM 006'!O338</f>
        <v>0</v>
      </c>
      <c r="P338" s="80">
        <f t="shared" ref="P338:P369" si="165">E338*K338</f>
        <v>238</v>
      </c>
      <c r="Q338" s="82">
        <f t="shared" ref="Q338:Q369" si="166">TRUNC(E338*L338,2)</f>
        <v>301.68</v>
      </c>
      <c r="R338" s="82">
        <f t="shared" ref="R338:R369" si="167">Q338-O338</f>
        <v>301.68</v>
      </c>
    </row>
    <row r="339" spans="2:18" s="34" customFormat="1" ht="46.2">
      <c r="B339" s="75" t="s">
        <v>670</v>
      </c>
      <c r="C339" s="76" t="s">
        <v>671</v>
      </c>
      <c r="D339" s="77" t="s">
        <v>131</v>
      </c>
      <c r="E339" s="93">
        <v>12</v>
      </c>
      <c r="F339" s="79"/>
      <c r="G339" s="79"/>
      <c r="H339" s="79"/>
      <c r="I339" s="79">
        <f>SUM(G339:H339)+'BM 006'!I339</f>
        <v>0</v>
      </c>
      <c r="J339" s="79">
        <f t="shared" si="134"/>
        <v>12</v>
      </c>
      <c r="K339" s="80">
        <v>215</v>
      </c>
      <c r="L339" s="81">
        <f t="shared" si="133"/>
        <v>272.53402364999999</v>
      </c>
      <c r="M339" s="82">
        <f t="shared" si="163"/>
        <v>0</v>
      </c>
      <c r="N339" s="82">
        <f t="shared" si="164"/>
        <v>0</v>
      </c>
      <c r="O339" s="82">
        <f>N339+'BM 006'!O339</f>
        <v>0</v>
      </c>
      <c r="P339" s="80">
        <f t="shared" si="165"/>
        <v>2580</v>
      </c>
      <c r="Q339" s="82">
        <f t="shared" si="166"/>
        <v>3270.4</v>
      </c>
      <c r="R339" s="82">
        <f t="shared" si="167"/>
        <v>3270.4</v>
      </c>
    </row>
    <row r="340" spans="2:18" s="34" customFormat="1" ht="23.4">
      <c r="B340" s="75" t="s">
        <v>672</v>
      </c>
      <c r="C340" s="76" t="s">
        <v>673</v>
      </c>
      <c r="D340" s="77" t="s">
        <v>131</v>
      </c>
      <c r="E340" s="93">
        <v>15</v>
      </c>
      <c r="F340" s="79"/>
      <c r="G340" s="79"/>
      <c r="H340" s="79"/>
      <c r="I340" s="79">
        <f>SUM(G340:H340)+'BM 006'!I340</f>
        <v>0</v>
      </c>
      <c r="J340" s="79">
        <f t="shared" si="134"/>
        <v>15</v>
      </c>
      <c r="K340" s="80">
        <v>98</v>
      </c>
      <c r="L340" s="81">
        <f t="shared" si="133"/>
        <v>124.22481078000001</v>
      </c>
      <c r="M340" s="82">
        <f t="shared" si="163"/>
        <v>0</v>
      </c>
      <c r="N340" s="82">
        <f t="shared" si="164"/>
        <v>0</v>
      </c>
      <c r="O340" s="82">
        <f>N340+'BM 006'!O340</f>
        <v>0</v>
      </c>
      <c r="P340" s="80">
        <f t="shared" si="165"/>
        <v>1470</v>
      </c>
      <c r="Q340" s="82">
        <f t="shared" si="166"/>
        <v>1863.37</v>
      </c>
      <c r="R340" s="82">
        <f t="shared" si="167"/>
        <v>1863.37</v>
      </c>
    </row>
    <row r="341" spans="2:18" s="34" customFormat="1" ht="34.799999999999997">
      <c r="B341" s="75" t="s">
        <v>674</v>
      </c>
      <c r="C341" s="76" t="s">
        <v>675</v>
      </c>
      <c r="D341" s="77" t="s">
        <v>131</v>
      </c>
      <c r="E341" s="93">
        <v>5</v>
      </c>
      <c r="F341" s="79"/>
      <c r="G341" s="79"/>
      <c r="H341" s="79"/>
      <c r="I341" s="79">
        <f>SUM(G341:H341)+'BM 006'!I341</f>
        <v>0</v>
      </c>
      <c r="J341" s="79">
        <f t="shared" si="134"/>
        <v>5</v>
      </c>
      <c r="K341" s="80">
        <v>52</v>
      </c>
      <c r="L341" s="81">
        <f t="shared" si="133"/>
        <v>65.915205720000003</v>
      </c>
      <c r="M341" s="82">
        <f t="shared" si="163"/>
        <v>0</v>
      </c>
      <c r="N341" s="82">
        <f t="shared" si="164"/>
        <v>0</v>
      </c>
      <c r="O341" s="82">
        <f>N341+'BM 006'!O341</f>
        <v>0</v>
      </c>
      <c r="P341" s="80">
        <f t="shared" si="165"/>
        <v>260</v>
      </c>
      <c r="Q341" s="82">
        <f t="shared" si="166"/>
        <v>329.57</v>
      </c>
      <c r="R341" s="82">
        <f t="shared" si="167"/>
        <v>329.57</v>
      </c>
    </row>
    <row r="342" spans="2:18" s="34" customFormat="1" ht="34.799999999999997">
      <c r="B342" s="75" t="s">
        <v>676</v>
      </c>
      <c r="C342" s="76" t="s">
        <v>677</v>
      </c>
      <c r="D342" s="77" t="s">
        <v>131</v>
      </c>
      <c r="E342" s="93">
        <v>160</v>
      </c>
      <c r="F342" s="79"/>
      <c r="G342" s="79"/>
      <c r="H342" s="79"/>
      <c r="I342" s="79">
        <f>SUM(G342:H342)+'BM 006'!I342</f>
        <v>0</v>
      </c>
      <c r="J342" s="79">
        <f t="shared" si="134"/>
        <v>160</v>
      </c>
      <c r="K342" s="80">
        <v>105.95</v>
      </c>
      <c r="L342" s="81">
        <f t="shared" si="133"/>
        <v>134.30223165450002</v>
      </c>
      <c r="M342" s="82">
        <f t="shared" si="163"/>
        <v>0</v>
      </c>
      <c r="N342" s="82">
        <f t="shared" si="164"/>
        <v>0</v>
      </c>
      <c r="O342" s="82">
        <f>N342+'BM 006'!O342</f>
        <v>0</v>
      </c>
      <c r="P342" s="80">
        <f t="shared" si="165"/>
        <v>16952</v>
      </c>
      <c r="Q342" s="82">
        <f t="shared" si="166"/>
        <v>21488.35</v>
      </c>
      <c r="R342" s="82">
        <f t="shared" si="167"/>
        <v>21488.35</v>
      </c>
    </row>
    <row r="343" spans="2:18" s="34" customFormat="1" ht="23.4">
      <c r="B343" s="75" t="s">
        <v>678</v>
      </c>
      <c r="C343" s="76" t="s">
        <v>679</v>
      </c>
      <c r="D343" s="77" t="s">
        <v>131</v>
      </c>
      <c r="E343" s="93">
        <v>11</v>
      </c>
      <c r="F343" s="79"/>
      <c r="G343" s="79"/>
      <c r="H343" s="79"/>
      <c r="I343" s="79">
        <f>SUM(G343:H343)+'BM 006'!I343</f>
        <v>0</v>
      </c>
      <c r="J343" s="79">
        <f t="shared" si="134"/>
        <v>11</v>
      </c>
      <c r="K343" s="80">
        <v>485</v>
      </c>
      <c r="L343" s="81">
        <f t="shared" si="133"/>
        <v>614.78605334999997</v>
      </c>
      <c r="M343" s="82">
        <f t="shared" si="163"/>
        <v>0</v>
      </c>
      <c r="N343" s="82">
        <f t="shared" si="164"/>
        <v>0</v>
      </c>
      <c r="O343" s="82">
        <f>N343+'BM 006'!O343</f>
        <v>0</v>
      </c>
      <c r="P343" s="80">
        <f t="shared" si="165"/>
        <v>5335</v>
      </c>
      <c r="Q343" s="82">
        <f t="shared" si="166"/>
        <v>6762.64</v>
      </c>
      <c r="R343" s="82">
        <f t="shared" si="167"/>
        <v>6762.64</v>
      </c>
    </row>
    <row r="344" spans="2:18" s="34" customFormat="1" ht="34.799999999999997">
      <c r="B344" s="75" t="s">
        <v>680</v>
      </c>
      <c r="C344" s="88" t="s">
        <v>681</v>
      </c>
      <c r="D344" s="89" t="s">
        <v>131</v>
      </c>
      <c r="E344" s="90">
        <v>3</v>
      </c>
      <c r="F344" s="91"/>
      <c r="G344" s="91"/>
      <c r="H344" s="91"/>
      <c r="I344" s="91">
        <f>SUM(G344:H344)+'BM 006'!I344</f>
        <v>0</v>
      </c>
      <c r="J344" s="91">
        <f t="shared" si="134"/>
        <v>3</v>
      </c>
      <c r="K344" s="80">
        <v>165</v>
      </c>
      <c r="L344" s="81">
        <f t="shared" si="133"/>
        <v>209.15401815000001</v>
      </c>
      <c r="M344" s="82">
        <f t="shared" si="163"/>
        <v>0</v>
      </c>
      <c r="N344" s="82">
        <f t="shared" si="164"/>
        <v>0</v>
      </c>
      <c r="O344" s="82">
        <f>N344+'BM 006'!O344</f>
        <v>0</v>
      </c>
      <c r="P344" s="80">
        <f t="shared" si="165"/>
        <v>495</v>
      </c>
      <c r="Q344" s="82">
        <f t="shared" si="166"/>
        <v>627.46</v>
      </c>
      <c r="R344" s="82">
        <f t="shared" si="167"/>
        <v>627.46</v>
      </c>
    </row>
    <row r="345" spans="2:18" s="34" customFormat="1" ht="23.4">
      <c r="B345" s="75" t="s">
        <v>682</v>
      </c>
      <c r="C345" s="88" t="s">
        <v>683</v>
      </c>
      <c r="D345" s="89" t="s">
        <v>131</v>
      </c>
      <c r="E345" s="90">
        <v>1</v>
      </c>
      <c r="F345" s="91"/>
      <c r="G345" s="91"/>
      <c r="H345" s="91"/>
      <c r="I345" s="91">
        <f>SUM(G345:H345)+'BM 006'!I345</f>
        <v>0</v>
      </c>
      <c r="J345" s="91">
        <f t="shared" si="134"/>
        <v>1</v>
      </c>
      <c r="K345" s="80">
        <v>169</v>
      </c>
      <c r="L345" s="81">
        <f t="shared" si="133"/>
        <v>214.22441859</v>
      </c>
      <c r="M345" s="82">
        <f t="shared" si="163"/>
        <v>0</v>
      </c>
      <c r="N345" s="82">
        <f t="shared" si="164"/>
        <v>0</v>
      </c>
      <c r="O345" s="82">
        <f>N345+'BM 006'!O345</f>
        <v>0</v>
      </c>
      <c r="P345" s="80">
        <f t="shared" si="165"/>
        <v>169</v>
      </c>
      <c r="Q345" s="82">
        <f t="shared" si="166"/>
        <v>214.22</v>
      </c>
      <c r="R345" s="82">
        <f t="shared" si="167"/>
        <v>214.22</v>
      </c>
    </row>
    <row r="346" spans="2:18" s="34" customFormat="1" ht="23.4">
      <c r="B346" s="75" t="s">
        <v>684</v>
      </c>
      <c r="C346" s="88" t="s">
        <v>685</v>
      </c>
      <c r="D346" s="89" t="s">
        <v>131</v>
      </c>
      <c r="E346" s="90">
        <v>1</v>
      </c>
      <c r="F346" s="91"/>
      <c r="G346" s="91"/>
      <c r="H346" s="91"/>
      <c r="I346" s="91">
        <f>SUM(G346:H346)+'BM 006'!I346</f>
        <v>0</v>
      </c>
      <c r="J346" s="91">
        <f t="shared" si="134"/>
        <v>1</v>
      </c>
      <c r="K346" s="80">
        <v>99</v>
      </c>
      <c r="L346" s="81">
        <f t="shared" si="133"/>
        <v>125.49241089</v>
      </c>
      <c r="M346" s="82">
        <f t="shared" si="163"/>
        <v>0</v>
      </c>
      <c r="N346" s="82">
        <f t="shared" si="164"/>
        <v>0</v>
      </c>
      <c r="O346" s="82">
        <f>N346+'BM 006'!O346</f>
        <v>0</v>
      </c>
      <c r="P346" s="80">
        <f t="shared" si="165"/>
        <v>99</v>
      </c>
      <c r="Q346" s="82">
        <f t="shared" si="166"/>
        <v>125.49</v>
      </c>
      <c r="R346" s="82">
        <f t="shared" si="167"/>
        <v>125.49</v>
      </c>
    </row>
    <row r="347" spans="2:18" s="34" customFormat="1" ht="23.4">
      <c r="B347" s="75" t="s">
        <v>686</v>
      </c>
      <c r="C347" s="88" t="s">
        <v>687</v>
      </c>
      <c r="D347" s="89" t="s">
        <v>131</v>
      </c>
      <c r="E347" s="90">
        <v>1</v>
      </c>
      <c r="F347" s="91"/>
      <c r="G347" s="91"/>
      <c r="H347" s="91"/>
      <c r="I347" s="91">
        <f>SUM(G347:H347)+'BM 006'!I347</f>
        <v>0</v>
      </c>
      <c r="J347" s="91">
        <f t="shared" si="134"/>
        <v>1</v>
      </c>
      <c r="K347" s="80">
        <v>265</v>
      </c>
      <c r="L347" s="81">
        <f t="shared" si="133"/>
        <v>335.91402915000003</v>
      </c>
      <c r="M347" s="82">
        <f t="shared" si="163"/>
        <v>0</v>
      </c>
      <c r="N347" s="82">
        <f t="shared" si="164"/>
        <v>0</v>
      </c>
      <c r="O347" s="82">
        <f>N347+'BM 006'!O347</f>
        <v>0</v>
      </c>
      <c r="P347" s="80">
        <f t="shared" si="165"/>
        <v>265</v>
      </c>
      <c r="Q347" s="82">
        <f t="shared" si="166"/>
        <v>335.91</v>
      </c>
      <c r="R347" s="82">
        <f t="shared" si="167"/>
        <v>335.91</v>
      </c>
    </row>
    <row r="348" spans="2:18" s="34" customFormat="1" ht="57.6">
      <c r="B348" s="75" t="s">
        <v>688</v>
      </c>
      <c r="C348" s="88" t="s">
        <v>689</v>
      </c>
      <c r="D348" s="89" t="s">
        <v>131</v>
      </c>
      <c r="E348" s="90">
        <v>16</v>
      </c>
      <c r="F348" s="91"/>
      <c r="G348" s="91"/>
      <c r="H348" s="91"/>
      <c r="I348" s="91">
        <f>SUM(G348:H348)+'BM 006'!I348</f>
        <v>0</v>
      </c>
      <c r="J348" s="91">
        <f t="shared" si="134"/>
        <v>16</v>
      </c>
      <c r="K348" s="80">
        <v>9.8000000000000007</v>
      </c>
      <c r="L348" s="81">
        <f t="shared" si="133"/>
        <v>12.422481078000002</v>
      </c>
      <c r="M348" s="82">
        <f t="shared" si="163"/>
        <v>0</v>
      </c>
      <c r="N348" s="82">
        <f t="shared" si="164"/>
        <v>0</v>
      </c>
      <c r="O348" s="82">
        <f>N348+'BM 006'!O348</f>
        <v>0</v>
      </c>
      <c r="P348" s="80">
        <f t="shared" si="165"/>
        <v>156.80000000000001</v>
      </c>
      <c r="Q348" s="82">
        <f t="shared" si="166"/>
        <v>198.75</v>
      </c>
      <c r="R348" s="82">
        <f t="shared" si="167"/>
        <v>198.75</v>
      </c>
    </row>
    <row r="349" spans="2:18" s="34" customFormat="1" ht="57.6">
      <c r="B349" s="75" t="s">
        <v>690</v>
      </c>
      <c r="C349" s="88" t="s">
        <v>691</v>
      </c>
      <c r="D349" s="89" t="s">
        <v>131</v>
      </c>
      <c r="E349" s="90">
        <v>4</v>
      </c>
      <c r="F349" s="91"/>
      <c r="G349" s="91"/>
      <c r="H349" s="91"/>
      <c r="I349" s="91">
        <f>SUM(G349:H349)+'BM 006'!I349</f>
        <v>0</v>
      </c>
      <c r="J349" s="91">
        <f t="shared" si="134"/>
        <v>4</v>
      </c>
      <c r="K349" s="80">
        <v>12.5</v>
      </c>
      <c r="L349" s="81">
        <f t="shared" ref="L349:L412" si="168">K349*(1+$T$26)</f>
        <v>15.845001375000001</v>
      </c>
      <c r="M349" s="82">
        <f t="shared" si="163"/>
        <v>0</v>
      </c>
      <c r="N349" s="82">
        <f t="shared" si="164"/>
        <v>0</v>
      </c>
      <c r="O349" s="82">
        <f>N349+'BM 006'!O349</f>
        <v>0</v>
      </c>
      <c r="P349" s="80">
        <f t="shared" si="165"/>
        <v>50</v>
      </c>
      <c r="Q349" s="82">
        <f t="shared" si="166"/>
        <v>63.38</v>
      </c>
      <c r="R349" s="82">
        <f t="shared" si="167"/>
        <v>63.38</v>
      </c>
    </row>
    <row r="350" spans="2:18" s="34" customFormat="1" ht="57.6">
      <c r="B350" s="75" t="s">
        <v>692</v>
      </c>
      <c r="C350" s="88" t="s">
        <v>693</v>
      </c>
      <c r="D350" s="89" t="s">
        <v>131</v>
      </c>
      <c r="E350" s="90">
        <v>2</v>
      </c>
      <c r="F350" s="91"/>
      <c r="G350" s="91"/>
      <c r="H350" s="91"/>
      <c r="I350" s="91">
        <f>SUM(G350:H350)+'BM 006'!I350</f>
        <v>0</v>
      </c>
      <c r="J350" s="91">
        <f t="shared" si="134"/>
        <v>2</v>
      </c>
      <c r="K350" s="80">
        <v>28</v>
      </c>
      <c r="L350" s="81">
        <f t="shared" si="168"/>
        <v>35.492803080000002</v>
      </c>
      <c r="M350" s="82">
        <f t="shared" si="163"/>
        <v>0</v>
      </c>
      <c r="N350" s="82">
        <f t="shared" si="164"/>
        <v>0</v>
      </c>
      <c r="O350" s="82">
        <f>N350+'BM 006'!O350</f>
        <v>0</v>
      </c>
      <c r="P350" s="80">
        <f t="shared" si="165"/>
        <v>56</v>
      </c>
      <c r="Q350" s="82">
        <f t="shared" si="166"/>
        <v>70.98</v>
      </c>
      <c r="R350" s="82">
        <f t="shared" si="167"/>
        <v>70.98</v>
      </c>
    </row>
    <row r="351" spans="2:18" s="34" customFormat="1" ht="57.6">
      <c r="B351" s="75" t="s">
        <v>694</v>
      </c>
      <c r="C351" s="88" t="s">
        <v>695</v>
      </c>
      <c r="D351" s="89" t="s">
        <v>131</v>
      </c>
      <c r="E351" s="90">
        <v>30</v>
      </c>
      <c r="F351" s="91"/>
      <c r="G351" s="91"/>
      <c r="H351" s="91"/>
      <c r="I351" s="91">
        <f>SUM(G351:H351)+'BM 006'!I351</f>
        <v>0</v>
      </c>
      <c r="J351" s="91">
        <f t="shared" ref="J351:J414" si="169">E351-I351</f>
        <v>30</v>
      </c>
      <c r="K351" s="80">
        <v>38</v>
      </c>
      <c r="L351" s="81">
        <f t="shared" si="168"/>
        <v>48.168804180000002</v>
      </c>
      <c r="M351" s="82">
        <f t="shared" si="163"/>
        <v>0</v>
      </c>
      <c r="N351" s="82">
        <f t="shared" si="164"/>
        <v>0</v>
      </c>
      <c r="O351" s="82">
        <f>N351+'BM 006'!O351</f>
        <v>0</v>
      </c>
      <c r="P351" s="80">
        <f t="shared" si="165"/>
        <v>1140</v>
      </c>
      <c r="Q351" s="82">
        <f t="shared" si="166"/>
        <v>1445.06</v>
      </c>
      <c r="R351" s="82">
        <f t="shared" si="167"/>
        <v>1445.06</v>
      </c>
    </row>
    <row r="352" spans="2:18" s="34" customFormat="1" ht="46.2">
      <c r="B352" s="75" t="s">
        <v>696</v>
      </c>
      <c r="C352" s="88" t="s">
        <v>697</v>
      </c>
      <c r="D352" s="89" t="s">
        <v>131</v>
      </c>
      <c r="E352" s="90">
        <v>320</v>
      </c>
      <c r="F352" s="91"/>
      <c r="G352" s="91"/>
      <c r="H352" s="91"/>
      <c r="I352" s="91">
        <f>SUM(G352:H352)+'BM 006'!I352</f>
        <v>0</v>
      </c>
      <c r="J352" s="91">
        <f t="shared" si="169"/>
        <v>320</v>
      </c>
      <c r="K352" s="80">
        <v>5.33</v>
      </c>
      <c r="L352" s="81">
        <f t="shared" si="168"/>
        <v>6.7563085863000003</v>
      </c>
      <c r="M352" s="82">
        <f t="shared" si="163"/>
        <v>0</v>
      </c>
      <c r="N352" s="82">
        <f t="shared" si="164"/>
        <v>0</v>
      </c>
      <c r="O352" s="82">
        <f>N352+'BM 006'!O352</f>
        <v>0</v>
      </c>
      <c r="P352" s="80">
        <f t="shared" si="165"/>
        <v>1705.6</v>
      </c>
      <c r="Q352" s="82">
        <f t="shared" si="166"/>
        <v>2162.0100000000002</v>
      </c>
      <c r="R352" s="82">
        <f t="shared" si="167"/>
        <v>2162.0100000000002</v>
      </c>
    </row>
    <row r="353" spans="2:18" s="34" customFormat="1" ht="23.4">
      <c r="B353" s="75" t="s">
        <v>698</v>
      </c>
      <c r="C353" s="88" t="s">
        <v>699</v>
      </c>
      <c r="D353" s="89" t="s">
        <v>131</v>
      </c>
      <c r="E353" s="90">
        <v>12</v>
      </c>
      <c r="F353" s="91"/>
      <c r="G353" s="91"/>
      <c r="H353" s="91"/>
      <c r="I353" s="91">
        <f>SUM(G353:H353)+'BM 006'!I353</f>
        <v>0</v>
      </c>
      <c r="J353" s="91">
        <f t="shared" si="169"/>
        <v>12</v>
      </c>
      <c r="K353" s="80">
        <v>4.92</v>
      </c>
      <c r="L353" s="81">
        <f t="shared" si="168"/>
        <v>6.2365925412000003</v>
      </c>
      <c r="M353" s="82">
        <f t="shared" si="163"/>
        <v>0</v>
      </c>
      <c r="N353" s="82">
        <f t="shared" si="164"/>
        <v>0</v>
      </c>
      <c r="O353" s="82">
        <f>N353+'BM 006'!O353</f>
        <v>0</v>
      </c>
      <c r="P353" s="80">
        <f t="shared" si="165"/>
        <v>59.04</v>
      </c>
      <c r="Q353" s="82">
        <f t="shared" si="166"/>
        <v>74.83</v>
      </c>
      <c r="R353" s="82">
        <f t="shared" si="167"/>
        <v>74.83</v>
      </c>
    </row>
    <row r="354" spans="2:18" s="34" customFormat="1" ht="23.4">
      <c r="B354" s="75" t="s">
        <v>700</v>
      </c>
      <c r="C354" s="88" t="s">
        <v>701</v>
      </c>
      <c r="D354" s="89" t="s">
        <v>131</v>
      </c>
      <c r="E354" s="90">
        <v>1</v>
      </c>
      <c r="F354" s="91"/>
      <c r="G354" s="91"/>
      <c r="H354" s="91"/>
      <c r="I354" s="91">
        <f>SUM(G354:H354)+'BM 006'!I354</f>
        <v>0</v>
      </c>
      <c r="J354" s="91">
        <f t="shared" si="169"/>
        <v>1</v>
      </c>
      <c r="K354" s="80">
        <v>5.49</v>
      </c>
      <c r="L354" s="81">
        <f t="shared" si="168"/>
        <v>6.9591246039000003</v>
      </c>
      <c r="M354" s="82">
        <f t="shared" si="163"/>
        <v>0</v>
      </c>
      <c r="N354" s="82">
        <f t="shared" si="164"/>
        <v>0</v>
      </c>
      <c r="O354" s="82">
        <f>N354+'BM 006'!O354</f>
        <v>0</v>
      </c>
      <c r="P354" s="80">
        <f t="shared" si="165"/>
        <v>5.49</v>
      </c>
      <c r="Q354" s="82">
        <f t="shared" si="166"/>
        <v>6.95</v>
      </c>
      <c r="R354" s="82">
        <f t="shared" si="167"/>
        <v>6.95</v>
      </c>
    </row>
    <row r="355" spans="2:18" s="34" customFormat="1" ht="23.4">
      <c r="B355" s="75" t="s">
        <v>702</v>
      </c>
      <c r="C355" s="88" t="s">
        <v>703</v>
      </c>
      <c r="D355" s="89" t="s">
        <v>131</v>
      </c>
      <c r="E355" s="90">
        <v>1</v>
      </c>
      <c r="F355" s="91"/>
      <c r="G355" s="91"/>
      <c r="H355" s="91"/>
      <c r="I355" s="91">
        <f>SUM(G355:H355)+'BM 006'!I355</f>
        <v>0</v>
      </c>
      <c r="J355" s="91">
        <f t="shared" si="169"/>
        <v>1</v>
      </c>
      <c r="K355" s="80">
        <v>8.5</v>
      </c>
      <c r="L355" s="81">
        <f t="shared" si="168"/>
        <v>10.774600935</v>
      </c>
      <c r="M355" s="82">
        <f t="shared" si="163"/>
        <v>0</v>
      </c>
      <c r="N355" s="82">
        <f t="shared" si="164"/>
        <v>0</v>
      </c>
      <c r="O355" s="82">
        <f>N355+'BM 006'!O355</f>
        <v>0</v>
      </c>
      <c r="P355" s="80">
        <f t="shared" si="165"/>
        <v>8.5</v>
      </c>
      <c r="Q355" s="82">
        <f t="shared" si="166"/>
        <v>10.77</v>
      </c>
      <c r="R355" s="82">
        <f t="shared" si="167"/>
        <v>10.77</v>
      </c>
    </row>
    <row r="356" spans="2:18" s="34" customFormat="1" ht="23.4">
      <c r="B356" s="75" t="s">
        <v>704</v>
      </c>
      <c r="C356" s="88" t="s">
        <v>705</v>
      </c>
      <c r="D356" s="89" t="s">
        <v>131</v>
      </c>
      <c r="E356" s="90">
        <v>1</v>
      </c>
      <c r="F356" s="91"/>
      <c r="G356" s="91"/>
      <c r="H356" s="91"/>
      <c r="I356" s="91">
        <f>SUM(G356:H356)+'BM 006'!I356</f>
        <v>0</v>
      </c>
      <c r="J356" s="91">
        <f t="shared" si="169"/>
        <v>1</v>
      </c>
      <c r="K356" s="80">
        <v>14.47</v>
      </c>
      <c r="L356" s="81">
        <f t="shared" si="168"/>
        <v>18.3421735917</v>
      </c>
      <c r="M356" s="82">
        <f t="shared" si="163"/>
        <v>0</v>
      </c>
      <c r="N356" s="82">
        <f t="shared" si="164"/>
        <v>0</v>
      </c>
      <c r="O356" s="82">
        <f>N356+'BM 006'!O356</f>
        <v>0</v>
      </c>
      <c r="P356" s="80">
        <f t="shared" si="165"/>
        <v>14.47</v>
      </c>
      <c r="Q356" s="82">
        <f t="shared" si="166"/>
        <v>18.34</v>
      </c>
      <c r="R356" s="82">
        <f t="shared" si="167"/>
        <v>18.34</v>
      </c>
    </row>
    <row r="357" spans="2:18" s="34" customFormat="1" ht="23.4">
      <c r="B357" s="75" t="s">
        <v>706</v>
      </c>
      <c r="C357" s="88" t="s">
        <v>707</v>
      </c>
      <c r="D357" s="89" t="s">
        <v>131</v>
      </c>
      <c r="E357" s="90">
        <v>4</v>
      </c>
      <c r="F357" s="91"/>
      <c r="G357" s="91"/>
      <c r="H357" s="91"/>
      <c r="I357" s="91">
        <f>SUM(G357:H357)+'BM 006'!I357</f>
        <v>0</v>
      </c>
      <c r="J357" s="91">
        <f t="shared" si="169"/>
        <v>4</v>
      </c>
      <c r="K357" s="80">
        <v>31.9</v>
      </c>
      <c r="L357" s="81">
        <f t="shared" si="168"/>
        <v>40.436443509</v>
      </c>
      <c r="M357" s="82">
        <f t="shared" si="163"/>
        <v>0</v>
      </c>
      <c r="N357" s="82">
        <f t="shared" si="164"/>
        <v>0</v>
      </c>
      <c r="O357" s="82">
        <f>N357+'BM 006'!O357</f>
        <v>0</v>
      </c>
      <c r="P357" s="80">
        <f t="shared" si="165"/>
        <v>127.6</v>
      </c>
      <c r="Q357" s="82">
        <f t="shared" si="166"/>
        <v>161.74</v>
      </c>
      <c r="R357" s="82">
        <f t="shared" si="167"/>
        <v>161.74</v>
      </c>
    </row>
    <row r="358" spans="2:18" s="34" customFormat="1" ht="23.4">
      <c r="B358" s="75" t="s">
        <v>708</v>
      </c>
      <c r="C358" s="88" t="s">
        <v>709</v>
      </c>
      <c r="D358" s="89" t="s">
        <v>131</v>
      </c>
      <c r="E358" s="90">
        <v>1</v>
      </c>
      <c r="F358" s="91"/>
      <c r="G358" s="91"/>
      <c r="H358" s="91"/>
      <c r="I358" s="91">
        <f>SUM(G358:H358)+'BM 006'!I358</f>
        <v>0</v>
      </c>
      <c r="J358" s="91">
        <f t="shared" si="169"/>
        <v>1</v>
      </c>
      <c r="K358" s="80">
        <v>11.22</v>
      </c>
      <c r="L358" s="81">
        <f t="shared" si="168"/>
        <v>14.222473234200001</v>
      </c>
      <c r="M358" s="82">
        <f t="shared" si="163"/>
        <v>0</v>
      </c>
      <c r="N358" s="82">
        <f t="shared" si="164"/>
        <v>0</v>
      </c>
      <c r="O358" s="82">
        <f>N358+'BM 006'!O358</f>
        <v>0</v>
      </c>
      <c r="P358" s="80">
        <f t="shared" si="165"/>
        <v>11.22</v>
      </c>
      <c r="Q358" s="82">
        <f t="shared" si="166"/>
        <v>14.22</v>
      </c>
      <c r="R358" s="82">
        <f t="shared" si="167"/>
        <v>14.22</v>
      </c>
    </row>
    <row r="359" spans="2:18" s="34" customFormat="1" ht="23.4">
      <c r="B359" s="75" t="s">
        <v>710</v>
      </c>
      <c r="C359" s="88" t="s">
        <v>711</v>
      </c>
      <c r="D359" s="89" t="s">
        <v>131</v>
      </c>
      <c r="E359" s="90">
        <v>57</v>
      </c>
      <c r="F359" s="91"/>
      <c r="G359" s="91"/>
      <c r="H359" s="91"/>
      <c r="I359" s="91">
        <f>SUM(G359:H359)+'BM 006'!I359</f>
        <v>0</v>
      </c>
      <c r="J359" s="91">
        <f t="shared" si="169"/>
        <v>57</v>
      </c>
      <c r="K359" s="80">
        <v>14.54</v>
      </c>
      <c r="L359" s="81">
        <f t="shared" si="168"/>
        <v>18.430905599399999</v>
      </c>
      <c r="M359" s="82">
        <f t="shared" si="163"/>
        <v>0</v>
      </c>
      <c r="N359" s="82">
        <f t="shared" si="164"/>
        <v>0</v>
      </c>
      <c r="O359" s="82">
        <f>N359+'BM 006'!O359</f>
        <v>0</v>
      </c>
      <c r="P359" s="80">
        <f t="shared" si="165"/>
        <v>828.78</v>
      </c>
      <c r="Q359" s="82">
        <f t="shared" si="166"/>
        <v>1050.56</v>
      </c>
      <c r="R359" s="82">
        <f t="shared" si="167"/>
        <v>1050.56</v>
      </c>
    </row>
    <row r="360" spans="2:18" s="34" customFormat="1" ht="23.4">
      <c r="B360" s="75" t="s">
        <v>712</v>
      </c>
      <c r="C360" s="88" t="s">
        <v>713</v>
      </c>
      <c r="D360" s="89" t="s">
        <v>131</v>
      </c>
      <c r="E360" s="90">
        <v>1</v>
      </c>
      <c r="F360" s="91"/>
      <c r="G360" s="91"/>
      <c r="H360" s="91"/>
      <c r="I360" s="91">
        <f>SUM(G360:H360)+'BM 006'!I360</f>
        <v>0</v>
      </c>
      <c r="J360" s="91">
        <f t="shared" si="169"/>
        <v>1</v>
      </c>
      <c r="K360" s="80">
        <v>16.8</v>
      </c>
      <c r="L360" s="81">
        <f t="shared" si="168"/>
        <v>21.295681848000001</v>
      </c>
      <c r="M360" s="82">
        <f t="shared" si="163"/>
        <v>0</v>
      </c>
      <c r="N360" s="82">
        <f t="shared" si="164"/>
        <v>0</v>
      </c>
      <c r="O360" s="82">
        <f>N360+'BM 006'!O360</f>
        <v>0</v>
      </c>
      <c r="P360" s="80">
        <f t="shared" si="165"/>
        <v>16.8</v>
      </c>
      <c r="Q360" s="82">
        <f t="shared" si="166"/>
        <v>21.29</v>
      </c>
      <c r="R360" s="82">
        <f t="shared" si="167"/>
        <v>21.29</v>
      </c>
    </row>
    <row r="361" spans="2:18" s="34" customFormat="1" ht="46.2">
      <c r="B361" s="75" t="s">
        <v>714</v>
      </c>
      <c r="C361" s="88" t="s">
        <v>715</v>
      </c>
      <c r="D361" s="89" t="s">
        <v>131</v>
      </c>
      <c r="E361" s="90">
        <v>1</v>
      </c>
      <c r="F361" s="91"/>
      <c r="G361" s="91"/>
      <c r="H361" s="91"/>
      <c r="I361" s="91">
        <f>SUM(G361:H361)+'BM 006'!I361</f>
        <v>0</v>
      </c>
      <c r="J361" s="91">
        <f t="shared" si="169"/>
        <v>1</v>
      </c>
      <c r="K361" s="80">
        <v>25</v>
      </c>
      <c r="L361" s="81">
        <f t="shared" si="168"/>
        <v>31.690002750000001</v>
      </c>
      <c r="M361" s="82">
        <f t="shared" si="163"/>
        <v>0</v>
      </c>
      <c r="N361" s="82">
        <f t="shared" si="164"/>
        <v>0</v>
      </c>
      <c r="O361" s="82">
        <f>N361+'BM 006'!O361</f>
        <v>0</v>
      </c>
      <c r="P361" s="80">
        <f t="shared" si="165"/>
        <v>25</v>
      </c>
      <c r="Q361" s="82">
        <f t="shared" si="166"/>
        <v>31.69</v>
      </c>
      <c r="R361" s="82">
        <f t="shared" si="167"/>
        <v>31.69</v>
      </c>
    </row>
    <row r="362" spans="2:18" s="34" customFormat="1" ht="34.799999999999997">
      <c r="B362" s="75" t="s">
        <v>716</v>
      </c>
      <c r="C362" s="88" t="s">
        <v>717</v>
      </c>
      <c r="D362" s="89" t="s">
        <v>131</v>
      </c>
      <c r="E362" s="90">
        <v>24</v>
      </c>
      <c r="F362" s="91"/>
      <c r="G362" s="91"/>
      <c r="H362" s="91"/>
      <c r="I362" s="91">
        <f>SUM(G362:H362)+'BM 006'!I362</f>
        <v>0</v>
      </c>
      <c r="J362" s="91">
        <f t="shared" si="169"/>
        <v>24</v>
      </c>
      <c r="K362" s="80">
        <v>5.37</v>
      </c>
      <c r="L362" s="81">
        <f t="shared" si="168"/>
        <v>6.8070125907000003</v>
      </c>
      <c r="M362" s="82">
        <f t="shared" si="163"/>
        <v>0</v>
      </c>
      <c r="N362" s="82">
        <f t="shared" si="164"/>
        <v>0</v>
      </c>
      <c r="O362" s="82">
        <f>N362+'BM 006'!O362</f>
        <v>0</v>
      </c>
      <c r="P362" s="80">
        <f t="shared" si="165"/>
        <v>128.88</v>
      </c>
      <c r="Q362" s="82">
        <f t="shared" si="166"/>
        <v>163.36000000000001</v>
      </c>
      <c r="R362" s="82">
        <f t="shared" si="167"/>
        <v>163.36000000000001</v>
      </c>
    </row>
    <row r="363" spans="2:18" s="34" customFormat="1" ht="34.799999999999997">
      <c r="B363" s="75" t="s">
        <v>718</v>
      </c>
      <c r="C363" s="88" t="s">
        <v>719</v>
      </c>
      <c r="D363" s="89" t="s">
        <v>131</v>
      </c>
      <c r="E363" s="90">
        <v>2</v>
      </c>
      <c r="F363" s="91"/>
      <c r="G363" s="91"/>
      <c r="H363" s="91"/>
      <c r="I363" s="91">
        <f>SUM(G363:H363)+'BM 006'!I363</f>
        <v>0</v>
      </c>
      <c r="J363" s="91">
        <f t="shared" si="169"/>
        <v>2</v>
      </c>
      <c r="K363" s="80">
        <v>8.76</v>
      </c>
      <c r="L363" s="81">
        <f t="shared" si="168"/>
        <v>11.104176963600001</v>
      </c>
      <c r="M363" s="82">
        <f t="shared" si="163"/>
        <v>0</v>
      </c>
      <c r="N363" s="82">
        <f t="shared" si="164"/>
        <v>0</v>
      </c>
      <c r="O363" s="82">
        <f>N363+'BM 006'!O363</f>
        <v>0</v>
      </c>
      <c r="P363" s="80">
        <f t="shared" si="165"/>
        <v>17.52</v>
      </c>
      <c r="Q363" s="82">
        <f t="shared" si="166"/>
        <v>22.2</v>
      </c>
      <c r="R363" s="82">
        <f t="shared" si="167"/>
        <v>22.2</v>
      </c>
    </row>
    <row r="364" spans="2:18" s="34" customFormat="1" ht="34.799999999999997">
      <c r="B364" s="75" t="s">
        <v>720</v>
      </c>
      <c r="C364" s="88" t="s">
        <v>721</v>
      </c>
      <c r="D364" s="89" t="s">
        <v>131</v>
      </c>
      <c r="E364" s="90">
        <v>4</v>
      </c>
      <c r="F364" s="91"/>
      <c r="G364" s="91"/>
      <c r="H364" s="91"/>
      <c r="I364" s="91">
        <f>SUM(G364:H364)+'BM 006'!I364</f>
        <v>0</v>
      </c>
      <c r="J364" s="91">
        <f t="shared" si="169"/>
        <v>4</v>
      </c>
      <c r="K364" s="80">
        <v>11.55</v>
      </c>
      <c r="L364" s="81">
        <f t="shared" si="168"/>
        <v>14.640781270500002</v>
      </c>
      <c r="M364" s="82">
        <f t="shared" si="163"/>
        <v>0</v>
      </c>
      <c r="N364" s="82">
        <f t="shared" si="164"/>
        <v>0</v>
      </c>
      <c r="O364" s="82">
        <f>N364+'BM 006'!O364</f>
        <v>0</v>
      </c>
      <c r="P364" s="80">
        <f t="shared" si="165"/>
        <v>46.2</v>
      </c>
      <c r="Q364" s="82">
        <f t="shared" si="166"/>
        <v>58.56</v>
      </c>
      <c r="R364" s="82">
        <f t="shared" si="167"/>
        <v>58.56</v>
      </c>
    </row>
    <row r="365" spans="2:18" s="34" customFormat="1" ht="34.799999999999997">
      <c r="B365" s="75" t="s">
        <v>722</v>
      </c>
      <c r="C365" s="88" t="s">
        <v>723</v>
      </c>
      <c r="D365" s="89" t="s">
        <v>131</v>
      </c>
      <c r="E365" s="90">
        <v>2</v>
      </c>
      <c r="F365" s="91"/>
      <c r="G365" s="91"/>
      <c r="H365" s="91"/>
      <c r="I365" s="91">
        <f>SUM(G365:H365)+'BM 006'!I365</f>
        <v>0</v>
      </c>
      <c r="J365" s="91">
        <f t="shared" si="169"/>
        <v>2</v>
      </c>
      <c r="K365" s="80">
        <v>34.32</v>
      </c>
      <c r="L365" s="81">
        <f t="shared" si="168"/>
        <v>43.504035775200002</v>
      </c>
      <c r="M365" s="82">
        <f t="shared" si="163"/>
        <v>0</v>
      </c>
      <c r="N365" s="82">
        <f t="shared" si="164"/>
        <v>0</v>
      </c>
      <c r="O365" s="82">
        <f>N365+'BM 006'!O365</f>
        <v>0</v>
      </c>
      <c r="P365" s="80">
        <f t="shared" si="165"/>
        <v>68.64</v>
      </c>
      <c r="Q365" s="82">
        <f t="shared" si="166"/>
        <v>87</v>
      </c>
      <c r="R365" s="82">
        <f t="shared" si="167"/>
        <v>87</v>
      </c>
    </row>
    <row r="366" spans="2:18" s="34" customFormat="1" ht="34.799999999999997">
      <c r="B366" s="75" t="s">
        <v>724</v>
      </c>
      <c r="C366" s="88" t="s">
        <v>725</v>
      </c>
      <c r="D366" s="89" t="s">
        <v>131</v>
      </c>
      <c r="E366" s="90">
        <v>3</v>
      </c>
      <c r="F366" s="91"/>
      <c r="G366" s="91"/>
      <c r="H366" s="91"/>
      <c r="I366" s="91">
        <f>SUM(G366:H366)+'BM 006'!I366</f>
        <v>0</v>
      </c>
      <c r="J366" s="91">
        <f t="shared" si="169"/>
        <v>3</v>
      </c>
      <c r="K366" s="80">
        <v>71.75</v>
      </c>
      <c r="L366" s="81">
        <f t="shared" si="168"/>
        <v>90.950307892500007</v>
      </c>
      <c r="M366" s="82">
        <f t="shared" si="163"/>
        <v>0</v>
      </c>
      <c r="N366" s="82">
        <f t="shared" si="164"/>
        <v>0</v>
      </c>
      <c r="O366" s="82">
        <f>N366+'BM 006'!O366</f>
        <v>0</v>
      </c>
      <c r="P366" s="80">
        <f t="shared" si="165"/>
        <v>215.25</v>
      </c>
      <c r="Q366" s="82">
        <f t="shared" si="166"/>
        <v>272.85000000000002</v>
      </c>
      <c r="R366" s="82">
        <f t="shared" si="167"/>
        <v>272.85000000000002</v>
      </c>
    </row>
    <row r="367" spans="2:18" s="34" customFormat="1" ht="46.2">
      <c r="B367" s="75" t="s">
        <v>726</v>
      </c>
      <c r="C367" s="88" t="s">
        <v>727</v>
      </c>
      <c r="D367" s="89" t="s">
        <v>131</v>
      </c>
      <c r="E367" s="90">
        <v>1</v>
      </c>
      <c r="F367" s="91"/>
      <c r="G367" s="91"/>
      <c r="H367" s="91"/>
      <c r="I367" s="91">
        <f>SUM(G367:H367)+'BM 006'!I367</f>
        <v>0</v>
      </c>
      <c r="J367" s="91">
        <f t="shared" si="169"/>
        <v>1</v>
      </c>
      <c r="K367" s="80">
        <v>14.38</v>
      </c>
      <c r="L367" s="81">
        <f t="shared" si="168"/>
        <v>18.228089581800003</v>
      </c>
      <c r="M367" s="82">
        <f t="shared" si="163"/>
        <v>0</v>
      </c>
      <c r="N367" s="82">
        <f t="shared" si="164"/>
        <v>0</v>
      </c>
      <c r="O367" s="82">
        <f>N367+'BM 006'!O367</f>
        <v>0</v>
      </c>
      <c r="P367" s="80">
        <f t="shared" si="165"/>
        <v>14.38</v>
      </c>
      <c r="Q367" s="82">
        <f t="shared" si="166"/>
        <v>18.22</v>
      </c>
      <c r="R367" s="82">
        <f t="shared" si="167"/>
        <v>18.22</v>
      </c>
    </row>
    <row r="368" spans="2:18" s="34" customFormat="1" ht="23.4">
      <c r="B368" s="75" t="s">
        <v>728</v>
      </c>
      <c r="C368" s="88" t="s">
        <v>729</v>
      </c>
      <c r="D368" s="89" t="s">
        <v>131</v>
      </c>
      <c r="E368" s="90">
        <v>22</v>
      </c>
      <c r="F368" s="91"/>
      <c r="G368" s="91"/>
      <c r="H368" s="91"/>
      <c r="I368" s="91">
        <f>SUM(G368:H368)+'BM 006'!I368</f>
        <v>0</v>
      </c>
      <c r="J368" s="91">
        <f t="shared" si="169"/>
        <v>22</v>
      </c>
      <c r="K368" s="80">
        <v>14.99</v>
      </c>
      <c r="L368" s="81">
        <f t="shared" si="168"/>
        <v>19.0013256489</v>
      </c>
      <c r="M368" s="82">
        <f t="shared" si="163"/>
        <v>0</v>
      </c>
      <c r="N368" s="82">
        <f t="shared" si="164"/>
        <v>0</v>
      </c>
      <c r="O368" s="82">
        <f>N368+'BM 006'!O368</f>
        <v>0</v>
      </c>
      <c r="P368" s="80">
        <f t="shared" si="165"/>
        <v>329.78000000000003</v>
      </c>
      <c r="Q368" s="82">
        <f t="shared" si="166"/>
        <v>418.02</v>
      </c>
      <c r="R368" s="82">
        <f t="shared" si="167"/>
        <v>418.02</v>
      </c>
    </row>
    <row r="369" spans="2:18" s="34" customFormat="1" ht="23.4">
      <c r="B369" s="75" t="s">
        <v>730</v>
      </c>
      <c r="C369" s="88" t="s">
        <v>731</v>
      </c>
      <c r="D369" s="89" t="s">
        <v>131</v>
      </c>
      <c r="E369" s="90">
        <v>289</v>
      </c>
      <c r="F369" s="91"/>
      <c r="G369" s="91"/>
      <c r="H369" s="91"/>
      <c r="I369" s="91">
        <f>SUM(G369:H369)+'BM 006'!I369</f>
        <v>0</v>
      </c>
      <c r="J369" s="91">
        <f t="shared" si="169"/>
        <v>289</v>
      </c>
      <c r="K369" s="80">
        <v>13.04</v>
      </c>
      <c r="L369" s="81">
        <f t="shared" si="168"/>
        <v>16.529505434400001</v>
      </c>
      <c r="M369" s="82">
        <f t="shared" si="163"/>
        <v>0</v>
      </c>
      <c r="N369" s="82">
        <f t="shared" si="164"/>
        <v>0</v>
      </c>
      <c r="O369" s="82">
        <f>N369+'BM 006'!O369</f>
        <v>0</v>
      </c>
      <c r="P369" s="80">
        <f t="shared" si="165"/>
        <v>3768.56</v>
      </c>
      <c r="Q369" s="82">
        <f t="shared" si="166"/>
        <v>4777.0200000000004</v>
      </c>
      <c r="R369" s="82">
        <f t="shared" si="167"/>
        <v>4777.0200000000004</v>
      </c>
    </row>
    <row r="370" spans="2:18" s="34" customFormat="1" ht="34.799999999999997">
      <c r="B370" s="75" t="s">
        <v>732</v>
      </c>
      <c r="C370" s="88" t="s">
        <v>733</v>
      </c>
      <c r="D370" s="89" t="s">
        <v>131</v>
      </c>
      <c r="E370" s="90">
        <v>7</v>
      </c>
      <c r="F370" s="91"/>
      <c r="G370" s="91"/>
      <c r="H370" s="91"/>
      <c r="I370" s="91">
        <f>SUM(G370:H370)+'BM 006'!I370</f>
        <v>0</v>
      </c>
      <c r="J370" s="91">
        <f t="shared" si="169"/>
        <v>7</v>
      </c>
      <c r="K370" s="80">
        <v>3.95</v>
      </c>
      <c r="L370" s="81">
        <f t="shared" si="168"/>
        <v>5.0070204345000002</v>
      </c>
      <c r="M370" s="82">
        <f t="shared" ref="M370:M394" si="170">TRUNC(F370*L370,2)</f>
        <v>0</v>
      </c>
      <c r="N370" s="82">
        <f t="shared" ref="N370:N394" si="171">TRUNC(G370*L370,2)</f>
        <v>0</v>
      </c>
      <c r="O370" s="82">
        <f>N370+'BM 006'!O370</f>
        <v>0</v>
      </c>
      <c r="P370" s="80">
        <f t="shared" ref="P370:P394" si="172">E370*K370</f>
        <v>27.650000000000002</v>
      </c>
      <c r="Q370" s="82">
        <f t="shared" ref="Q370:Q394" si="173">TRUNC(E370*L370,2)</f>
        <v>35.04</v>
      </c>
      <c r="R370" s="82">
        <f t="shared" ref="R370:R394" si="174">Q370-O370</f>
        <v>35.04</v>
      </c>
    </row>
    <row r="371" spans="2:18" s="34" customFormat="1" ht="34.799999999999997">
      <c r="B371" s="75" t="s">
        <v>734</v>
      </c>
      <c r="C371" s="88" t="s">
        <v>735</v>
      </c>
      <c r="D371" s="89" t="s">
        <v>131</v>
      </c>
      <c r="E371" s="90">
        <v>270</v>
      </c>
      <c r="F371" s="91"/>
      <c r="G371" s="91"/>
      <c r="H371" s="91"/>
      <c r="I371" s="91">
        <f>SUM(G371:H371)+'BM 006'!I371</f>
        <v>0</v>
      </c>
      <c r="J371" s="91">
        <f t="shared" si="169"/>
        <v>270</v>
      </c>
      <c r="K371" s="80">
        <v>4.67</v>
      </c>
      <c r="L371" s="81">
        <f t="shared" si="168"/>
        <v>5.9196925137000003</v>
      </c>
      <c r="M371" s="82">
        <f t="shared" si="170"/>
        <v>0</v>
      </c>
      <c r="N371" s="82">
        <f t="shared" si="171"/>
        <v>0</v>
      </c>
      <c r="O371" s="82">
        <f>N371+'BM 006'!O371</f>
        <v>0</v>
      </c>
      <c r="P371" s="80">
        <f t="shared" si="172"/>
        <v>1260.9000000000001</v>
      </c>
      <c r="Q371" s="82">
        <f t="shared" si="173"/>
        <v>1598.31</v>
      </c>
      <c r="R371" s="82">
        <f t="shared" si="174"/>
        <v>1598.31</v>
      </c>
    </row>
    <row r="372" spans="2:18" s="34" customFormat="1" ht="34.799999999999997">
      <c r="B372" s="75" t="s">
        <v>736</v>
      </c>
      <c r="C372" s="88" t="s">
        <v>737</v>
      </c>
      <c r="D372" s="89" t="s">
        <v>131</v>
      </c>
      <c r="E372" s="90">
        <v>3</v>
      </c>
      <c r="F372" s="91"/>
      <c r="G372" s="91"/>
      <c r="H372" s="91"/>
      <c r="I372" s="91">
        <f>SUM(G372:H372)+'BM 006'!I372</f>
        <v>0</v>
      </c>
      <c r="J372" s="91">
        <f t="shared" si="169"/>
        <v>3</v>
      </c>
      <c r="K372" s="80">
        <v>7.2</v>
      </c>
      <c r="L372" s="81">
        <f t="shared" si="168"/>
        <v>9.1267207920000004</v>
      </c>
      <c r="M372" s="82">
        <f t="shared" si="170"/>
        <v>0</v>
      </c>
      <c r="N372" s="82">
        <f t="shared" si="171"/>
        <v>0</v>
      </c>
      <c r="O372" s="82">
        <f>N372+'BM 006'!O372</f>
        <v>0</v>
      </c>
      <c r="P372" s="80">
        <f t="shared" si="172"/>
        <v>21.6</v>
      </c>
      <c r="Q372" s="82">
        <f t="shared" si="173"/>
        <v>27.38</v>
      </c>
      <c r="R372" s="82">
        <f t="shared" si="174"/>
        <v>27.38</v>
      </c>
    </row>
    <row r="373" spans="2:18" s="34" customFormat="1" ht="34.799999999999997">
      <c r="B373" s="75" t="s">
        <v>738</v>
      </c>
      <c r="C373" s="76" t="s">
        <v>739</v>
      </c>
      <c r="D373" s="77" t="s">
        <v>131</v>
      </c>
      <c r="E373" s="93">
        <v>128</v>
      </c>
      <c r="F373" s="79"/>
      <c r="G373" s="79"/>
      <c r="H373" s="79"/>
      <c r="I373" s="79">
        <f>SUM(G373:H373)+'BM 006'!I373</f>
        <v>0</v>
      </c>
      <c r="J373" s="79">
        <f t="shared" si="169"/>
        <v>128</v>
      </c>
      <c r="K373" s="80">
        <v>11.5</v>
      </c>
      <c r="L373" s="81">
        <f t="shared" si="168"/>
        <v>14.577401265000001</v>
      </c>
      <c r="M373" s="82">
        <f t="shared" si="170"/>
        <v>0</v>
      </c>
      <c r="N373" s="82">
        <f t="shared" si="171"/>
        <v>0</v>
      </c>
      <c r="O373" s="82">
        <f>N373+'BM 006'!O373</f>
        <v>0</v>
      </c>
      <c r="P373" s="80">
        <f t="shared" si="172"/>
        <v>1472</v>
      </c>
      <c r="Q373" s="82">
        <f t="shared" si="173"/>
        <v>1865.9</v>
      </c>
      <c r="R373" s="82">
        <f t="shared" si="174"/>
        <v>1865.9</v>
      </c>
    </row>
    <row r="374" spans="2:18" s="34" customFormat="1" ht="34.799999999999997">
      <c r="B374" s="75" t="s">
        <v>740</v>
      </c>
      <c r="C374" s="76" t="s">
        <v>741</v>
      </c>
      <c r="D374" s="77" t="s">
        <v>131</v>
      </c>
      <c r="E374" s="93">
        <v>4</v>
      </c>
      <c r="F374" s="79"/>
      <c r="G374" s="79"/>
      <c r="H374" s="79"/>
      <c r="I374" s="79">
        <f>SUM(G374:H374)+'BM 006'!I374</f>
        <v>0</v>
      </c>
      <c r="J374" s="79">
        <f t="shared" si="169"/>
        <v>4</v>
      </c>
      <c r="K374" s="80">
        <v>12.42</v>
      </c>
      <c r="L374" s="81">
        <f t="shared" si="168"/>
        <v>15.743593366200001</v>
      </c>
      <c r="M374" s="82">
        <f t="shared" si="170"/>
        <v>0</v>
      </c>
      <c r="N374" s="82">
        <f t="shared" si="171"/>
        <v>0</v>
      </c>
      <c r="O374" s="82">
        <f>N374+'BM 006'!O374</f>
        <v>0</v>
      </c>
      <c r="P374" s="80">
        <f t="shared" si="172"/>
        <v>49.68</v>
      </c>
      <c r="Q374" s="82">
        <f t="shared" si="173"/>
        <v>62.97</v>
      </c>
      <c r="R374" s="82">
        <f t="shared" si="174"/>
        <v>62.97</v>
      </c>
    </row>
    <row r="375" spans="2:18" s="34" customFormat="1" ht="34.799999999999997">
      <c r="B375" s="75" t="s">
        <v>742</v>
      </c>
      <c r="C375" s="76" t="s">
        <v>743</v>
      </c>
      <c r="D375" s="77" t="s">
        <v>131</v>
      </c>
      <c r="E375" s="93">
        <v>31</v>
      </c>
      <c r="F375" s="79"/>
      <c r="G375" s="79"/>
      <c r="H375" s="79"/>
      <c r="I375" s="79">
        <f>SUM(G375:H375)+'BM 006'!I375</f>
        <v>0</v>
      </c>
      <c r="J375" s="79">
        <f t="shared" si="169"/>
        <v>31</v>
      </c>
      <c r="K375" s="80">
        <v>35.909999999999997</v>
      </c>
      <c r="L375" s="81">
        <f t="shared" si="168"/>
        <v>45.519519950099998</v>
      </c>
      <c r="M375" s="82">
        <f t="shared" si="170"/>
        <v>0</v>
      </c>
      <c r="N375" s="82">
        <f t="shared" si="171"/>
        <v>0</v>
      </c>
      <c r="O375" s="82">
        <f>N375+'BM 006'!O375</f>
        <v>0</v>
      </c>
      <c r="P375" s="80">
        <f t="shared" si="172"/>
        <v>1113.2099999999998</v>
      </c>
      <c r="Q375" s="82">
        <f t="shared" si="173"/>
        <v>1411.1</v>
      </c>
      <c r="R375" s="82">
        <f t="shared" si="174"/>
        <v>1411.1</v>
      </c>
    </row>
    <row r="376" spans="2:18" s="34" customFormat="1" ht="46.2">
      <c r="B376" s="75" t="s">
        <v>744</v>
      </c>
      <c r="C376" s="76" t="s">
        <v>745</v>
      </c>
      <c r="D376" s="77" t="s">
        <v>131</v>
      </c>
      <c r="E376" s="93">
        <v>20</v>
      </c>
      <c r="F376" s="79"/>
      <c r="G376" s="79"/>
      <c r="H376" s="79"/>
      <c r="I376" s="79">
        <f>SUM(G376:H376)+'BM 006'!I376</f>
        <v>6</v>
      </c>
      <c r="J376" s="79">
        <f t="shared" si="169"/>
        <v>14</v>
      </c>
      <c r="K376" s="80">
        <v>90</v>
      </c>
      <c r="L376" s="81">
        <f t="shared" si="168"/>
        <v>114.08400990000001</v>
      </c>
      <c r="M376" s="82">
        <f t="shared" si="170"/>
        <v>0</v>
      </c>
      <c r="N376" s="82">
        <f t="shared" si="171"/>
        <v>0</v>
      </c>
      <c r="O376" s="82">
        <f>N376+'BM 006'!O376</f>
        <v>684.5</v>
      </c>
      <c r="P376" s="80">
        <f t="shared" si="172"/>
        <v>1800</v>
      </c>
      <c r="Q376" s="82">
        <f t="shared" si="173"/>
        <v>2281.6799999999998</v>
      </c>
      <c r="R376" s="82">
        <f t="shared" si="174"/>
        <v>1597.1799999999998</v>
      </c>
    </row>
    <row r="377" spans="2:18" s="34" customFormat="1" ht="13.2">
      <c r="B377" s="75" t="s">
        <v>746</v>
      </c>
      <c r="C377" s="76" t="s">
        <v>747</v>
      </c>
      <c r="D377" s="77" t="s">
        <v>131</v>
      </c>
      <c r="E377" s="93">
        <v>20</v>
      </c>
      <c r="F377" s="79"/>
      <c r="G377" s="79"/>
      <c r="H377" s="79"/>
      <c r="I377" s="79">
        <f>SUM(G377:H377)+'BM 006'!I377</f>
        <v>0</v>
      </c>
      <c r="J377" s="79">
        <f t="shared" si="169"/>
        <v>20</v>
      </c>
      <c r="K377" s="80">
        <v>5.14</v>
      </c>
      <c r="L377" s="81">
        <f t="shared" si="168"/>
        <v>6.5154645654000003</v>
      </c>
      <c r="M377" s="82">
        <f t="shared" si="170"/>
        <v>0</v>
      </c>
      <c r="N377" s="82">
        <f t="shared" si="171"/>
        <v>0</v>
      </c>
      <c r="O377" s="82">
        <f>N377+'BM 006'!O377</f>
        <v>0</v>
      </c>
      <c r="P377" s="80">
        <f t="shared" si="172"/>
        <v>102.8</v>
      </c>
      <c r="Q377" s="82">
        <f t="shared" si="173"/>
        <v>130.30000000000001</v>
      </c>
      <c r="R377" s="82">
        <f t="shared" si="174"/>
        <v>130.30000000000001</v>
      </c>
    </row>
    <row r="378" spans="2:18" s="34" customFormat="1" ht="13.2">
      <c r="B378" s="75" t="s">
        <v>748</v>
      </c>
      <c r="C378" s="76" t="s">
        <v>749</v>
      </c>
      <c r="D378" s="77" t="s">
        <v>131</v>
      </c>
      <c r="E378" s="93">
        <v>17</v>
      </c>
      <c r="F378" s="79"/>
      <c r="G378" s="79"/>
      <c r="H378" s="79"/>
      <c r="I378" s="79">
        <f>SUM(G378:H378)+'BM 006'!I378</f>
        <v>0</v>
      </c>
      <c r="J378" s="79">
        <f t="shared" si="169"/>
        <v>17</v>
      </c>
      <c r="K378" s="80">
        <v>11.25</v>
      </c>
      <c r="L378" s="81">
        <f t="shared" si="168"/>
        <v>14.260501237500002</v>
      </c>
      <c r="M378" s="82">
        <f t="shared" si="170"/>
        <v>0</v>
      </c>
      <c r="N378" s="82">
        <f t="shared" si="171"/>
        <v>0</v>
      </c>
      <c r="O378" s="82">
        <f>N378+'BM 006'!O378</f>
        <v>0</v>
      </c>
      <c r="P378" s="80">
        <f t="shared" si="172"/>
        <v>191.25</v>
      </c>
      <c r="Q378" s="82">
        <f t="shared" si="173"/>
        <v>242.42</v>
      </c>
      <c r="R378" s="82">
        <f t="shared" si="174"/>
        <v>242.42</v>
      </c>
    </row>
    <row r="379" spans="2:18" s="34" customFormat="1" ht="13.2">
      <c r="B379" s="75" t="s">
        <v>750</v>
      </c>
      <c r="C379" s="76" t="s">
        <v>751</v>
      </c>
      <c r="D379" s="77" t="s">
        <v>131</v>
      </c>
      <c r="E379" s="93">
        <v>1</v>
      </c>
      <c r="F379" s="79"/>
      <c r="G379" s="79"/>
      <c r="H379" s="79"/>
      <c r="I379" s="79">
        <f>SUM(G379:H379)+'BM 006'!I379</f>
        <v>0</v>
      </c>
      <c r="J379" s="79">
        <f t="shared" si="169"/>
        <v>1</v>
      </c>
      <c r="K379" s="80">
        <v>12.27</v>
      </c>
      <c r="L379" s="81">
        <f t="shared" si="168"/>
        <v>15.5534533497</v>
      </c>
      <c r="M379" s="82">
        <f t="shared" si="170"/>
        <v>0</v>
      </c>
      <c r="N379" s="82">
        <f t="shared" si="171"/>
        <v>0</v>
      </c>
      <c r="O379" s="82">
        <f>N379+'BM 006'!O379</f>
        <v>0</v>
      </c>
      <c r="P379" s="80">
        <f t="shared" si="172"/>
        <v>12.27</v>
      </c>
      <c r="Q379" s="82">
        <f t="shared" si="173"/>
        <v>15.55</v>
      </c>
      <c r="R379" s="82">
        <f t="shared" si="174"/>
        <v>15.55</v>
      </c>
    </row>
    <row r="380" spans="2:18" s="34" customFormat="1" ht="13.2">
      <c r="B380" s="75" t="s">
        <v>752</v>
      </c>
      <c r="C380" s="76" t="s">
        <v>753</v>
      </c>
      <c r="D380" s="77" t="s">
        <v>131</v>
      </c>
      <c r="E380" s="93">
        <v>12</v>
      </c>
      <c r="F380" s="79"/>
      <c r="G380" s="79"/>
      <c r="H380" s="79"/>
      <c r="I380" s="79">
        <f>SUM(G380:H380)+'BM 006'!I380</f>
        <v>0</v>
      </c>
      <c r="J380" s="79">
        <f t="shared" si="169"/>
        <v>12</v>
      </c>
      <c r="K380" s="80">
        <v>22.03</v>
      </c>
      <c r="L380" s="81">
        <f t="shared" si="168"/>
        <v>27.925230423300004</v>
      </c>
      <c r="M380" s="82">
        <f t="shared" si="170"/>
        <v>0</v>
      </c>
      <c r="N380" s="82">
        <f t="shared" si="171"/>
        <v>0</v>
      </c>
      <c r="O380" s="82">
        <f>N380+'BM 006'!O380</f>
        <v>0</v>
      </c>
      <c r="P380" s="80">
        <f t="shared" si="172"/>
        <v>264.36</v>
      </c>
      <c r="Q380" s="82">
        <f t="shared" si="173"/>
        <v>335.1</v>
      </c>
      <c r="R380" s="82">
        <f t="shared" si="174"/>
        <v>335.1</v>
      </c>
    </row>
    <row r="381" spans="2:18" s="34" customFormat="1" ht="13.2">
      <c r="B381" s="75" t="s">
        <v>754</v>
      </c>
      <c r="C381" s="76" t="s">
        <v>755</v>
      </c>
      <c r="D381" s="77" t="s">
        <v>131</v>
      </c>
      <c r="E381" s="93">
        <v>16</v>
      </c>
      <c r="F381" s="79"/>
      <c r="G381" s="79"/>
      <c r="H381" s="79"/>
      <c r="I381" s="79">
        <f>SUM(G381:H381)+'BM 006'!I381</f>
        <v>4</v>
      </c>
      <c r="J381" s="79">
        <f t="shared" si="169"/>
        <v>12</v>
      </c>
      <c r="K381" s="80">
        <v>32.380000000000003</v>
      </c>
      <c r="L381" s="81">
        <f t="shared" si="168"/>
        <v>41.044891561800007</v>
      </c>
      <c r="M381" s="82">
        <f t="shared" si="170"/>
        <v>0</v>
      </c>
      <c r="N381" s="82">
        <f t="shared" si="171"/>
        <v>0</v>
      </c>
      <c r="O381" s="82">
        <f>N381+'BM 006'!O381</f>
        <v>164.17</v>
      </c>
      <c r="P381" s="80">
        <f t="shared" si="172"/>
        <v>518.08000000000004</v>
      </c>
      <c r="Q381" s="82">
        <f t="shared" si="173"/>
        <v>656.71</v>
      </c>
      <c r="R381" s="82">
        <f t="shared" si="174"/>
        <v>492.54000000000008</v>
      </c>
    </row>
    <row r="382" spans="2:18" s="34" customFormat="1" ht="23.4">
      <c r="B382" s="75" t="s">
        <v>756</v>
      </c>
      <c r="C382" s="76" t="s">
        <v>757</v>
      </c>
      <c r="D382" s="77" t="s">
        <v>131</v>
      </c>
      <c r="E382" s="93">
        <v>16</v>
      </c>
      <c r="F382" s="79"/>
      <c r="G382" s="79"/>
      <c r="H382" s="79"/>
      <c r="I382" s="79">
        <f>SUM(G382:H382)+'BM 006'!I382</f>
        <v>0</v>
      </c>
      <c r="J382" s="79">
        <f t="shared" si="169"/>
        <v>16</v>
      </c>
      <c r="K382" s="80">
        <v>12.35</v>
      </c>
      <c r="L382" s="81">
        <f t="shared" si="168"/>
        <v>15.6548613585</v>
      </c>
      <c r="M382" s="82">
        <f t="shared" si="170"/>
        <v>0</v>
      </c>
      <c r="N382" s="82">
        <f t="shared" si="171"/>
        <v>0</v>
      </c>
      <c r="O382" s="82">
        <f>N382+'BM 006'!O382</f>
        <v>0</v>
      </c>
      <c r="P382" s="80">
        <f t="shared" si="172"/>
        <v>197.6</v>
      </c>
      <c r="Q382" s="82">
        <f t="shared" si="173"/>
        <v>250.47</v>
      </c>
      <c r="R382" s="82">
        <f t="shared" si="174"/>
        <v>250.47</v>
      </c>
    </row>
    <row r="383" spans="2:18" s="34" customFormat="1" ht="34.799999999999997">
      <c r="B383" s="75" t="s">
        <v>758</v>
      </c>
      <c r="C383" s="76" t="s">
        <v>759</v>
      </c>
      <c r="D383" s="77" t="s">
        <v>131</v>
      </c>
      <c r="E383" s="93">
        <v>3</v>
      </c>
      <c r="F383" s="79"/>
      <c r="G383" s="79"/>
      <c r="H383" s="79"/>
      <c r="I383" s="79">
        <f>SUM(G383:H383)+'BM 006'!I383</f>
        <v>0</v>
      </c>
      <c r="J383" s="79">
        <f t="shared" si="169"/>
        <v>3</v>
      </c>
      <c r="K383" s="80">
        <v>12.27</v>
      </c>
      <c r="L383" s="81">
        <f t="shared" si="168"/>
        <v>15.5534533497</v>
      </c>
      <c r="M383" s="82">
        <f t="shared" si="170"/>
        <v>0</v>
      </c>
      <c r="N383" s="82">
        <f t="shared" si="171"/>
        <v>0</v>
      </c>
      <c r="O383" s="82">
        <f>N383+'BM 006'!O383</f>
        <v>0</v>
      </c>
      <c r="P383" s="80">
        <f t="shared" si="172"/>
        <v>36.81</v>
      </c>
      <c r="Q383" s="82">
        <f t="shared" si="173"/>
        <v>46.66</v>
      </c>
      <c r="R383" s="82">
        <f t="shared" si="174"/>
        <v>46.66</v>
      </c>
    </row>
    <row r="384" spans="2:18" s="34" customFormat="1" ht="23.4">
      <c r="B384" s="75" t="s">
        <v>760</v>
      </c>
      <c r="C384" s="76" t="s">
        <v>761</v>
      </c>
      <c r="D384" s="77" t="s">
        <v>131</v>
      </c>
      <c r="E384" s="93">
        <v>34</v>
      </c>
      <c r="F384" s="79"/>
      <c r="G384" s="79"/>
      <c r="H384" s="79"/>
      <c r="I384" s="79">
        <f>SUM(G384:H384)+'BM 006'!I384</f>
        <v>0</v>
      </c>
      <c r="J384" s="79">
        <f t="shared" si="169"/>
        <v>34</v>
      </c>
      <c r="K384" s="80">
        <v>18.5</v>
      </c>
      <c r="L384" s="81">
        <f t="shared" si="168"/>
        <v>23.450602035000003</v>
      </c>
      <c r="M384" s="82">
        <f t="shared" si="170"/>
        <v>0</v>
      </c>
      <c r="N384" s="82">
        <f t="shared" si="171"/>
        <v>0</v>
      </c>
      <c r="O384" s="82">
        <f>N384+'BM 006'!O384</f>
        <v>0</v>
      </c>
      <c r="P384" s="80">
        <f t="shared" si="172"/>
        <v>629</v>
      </c>
      <c r="Q384" s="82">
        <f t="shared" si="173"/>
        <v>797.32</v>
      </c>
      <c r="R384" s="82">
        <f t="shared" si="174"/>
        <v>797.32</v>
      </c>
    </row>
    <row r="385" spans="2:18" s="34" customFormat="1" ht="23.4">
      <c r="B385" s="75" t="s">
        <v>762</v>
      </c>
      <c r="C385" s="76" t="s">
        <v>763</v>
      </c>
      <c r="D385" s="77" t="s">
        <v>131</v>
      </c>
      <c r="E385" s="93">
        <v>2</v>
      </c>
      <c r="F385" s="79"/>
      <c r="G385" s="79"/>
      <c r="H385" s="79"/>
      <c r="I385" s="79">
        <f>SUM(G385:H385)+'BM 006'!I385</f>
        <v>0</v>
      </c>
      <c r="J385" s="79">
        <f t="shared" si="169"/>
        <v>2</v>
      </c>
      <c r="K385" s="80">
        <v>24.61</v>
      </c>
      <c r="L385" s="81">
        <f t="shared" si="168"/>
        <v>31.195638707100002</v>
      </c>
      <c r="M385" s="82">
        <f t="shared" si="170"/>
        <v>0</v>
      </c>
      <c r="N385" s="82">
        <f t="shared" si="171"/>
        <v>0</v>
      </c>
      <c r="O385" s="82">
        <f>N385+'BM 006'!O385</f>
        <v>0</v>
      </c>
      <c r="P385" s="80">
        <f t="shared" si="172"/>
        <v>49.22</v>
      </c>
      <c r="Q385" s="82">
        <f t="shared" si="173"/>
        <v>62.39</v>
      </c>
      <c r="R385" s="82">
        <f t="shared" si="174"/>
        <v>62.39</v>
      </c>
    </row>
    <row r="386" spans="2:18" s="34" customFormat="1" ht="34.799999999999997">
      <c r="B386" s="75" t="s">
        <v>764</v>
      </c>
      <c r="C386" s="76" t="s">
        <v>765</v>
      </c>
      <c r="D386" s="77" t="s">
        <v>131</v>
      </c>
      <c r="E386" s="93">
        <v>9</v>
      </c>
      <c r="F386" s="79"/>
      <c r="G386" s="79"/>
      <c r="H386" s="79"/>
      <c r="I386" s="79">
        <f>SUM(G386:H386)+'BM 006'!I386</f>
        <v>0</v>
      </c>
      <c r="J386" s="79">
        <f t="shared" si="169"/>
        <v>9</v>
      </c>
      <c r="K386" s="80">
        <v>26.08</v>
      </c>
      <c r="L386" s="81">
        <f t="shared" si="168"/>
        <v>33.059010868800002</v>
      </c>
      <c r="M386" s="82">
        <f t="shared" si="170"/>
        <v>0</v>
      </c>
      <c r="N386" s="82">
        <f t="shared" si="171"/>
        <v>0</v>
      </c>
      <c r="O386" s="82">
        <f>N386+'BM 006'!O386</f>
        <v>0</v>
      </c>
      <c r="P386" s="80">
        <f t="shared" si="172"/>
        <v>234.71999999999997</v>
      </c>
      <c r="Q386" s="82">
        <f t="shared" si="173"/>
        <v>297.52999999999997</v>
      </c>
      <c r="R386" s="82">
        <f t="shared" si="174"/>
        <v>297.52999999999997</v>
      </c>
    </row>
    <row r="387" spans="2:18" s="34" customFormat="1" ht="23.4">
      <c r="B387" s="75" t="s">
        <v>766</v>
      </c>
      <c r="C387" s="88" t="s">
        <v>767</v>
      </c>
      <c r="D387" s="89" t="s">
        <v>131</v>
      </c>
      <c r="E387" s="90">
        <v>1</v>
      </c>
      <c r="F387" s="91"/>
      <c r="G387" s="91"/>
      <c r="H387" s="91"/>
      <c r="I387" s="91">
        <f>SUM(G387:H387)+'BM 006'!I387</f>
        <v>0</v>
      </c>
      <c r="J387" s="91">
        <f t="shared" si="169"/>
        <v>1</v>
      </c>
      <c r="K387" s="80">
        <v>40</v>
      </c>
      <c r="L387" s="81">
        <f t="shared" si="168"/>
        <v>50.704004400000002</v>
      </c>
      <c r="M387" s="82">
        <f t="shared" si="170"/>
        <v>0</v>
      </c>
      <c r="N387" s="82">
        <f t="shared" si="171"/>
        <v>0</v>
      </c>
      <c r="O387" s="82">
        <f>N387+'BM 006'!O387</f>
        <v>0</v>
      </c>
      <c r="P387" s="80">
        <f t="shared" si="172"/>
        <v>40</v>
      </c>
      <c r="Q387" s="82">
        <f t="shared" si="173"/>
        <v>50.7</v>
      </c>
      <c r="R387" s="82">
        <f t="shared" si="174"/>
        <v>50.7</v>
      </c>
    </row>
    <row r="388" spans="2:18" s="34" customFormat="1" ht="46.2">
      <c r="B388" s="75" t="s">
        <v>768</v>
      </c>
      <c r="C388" s="88" t="s">
        <v>769</v>
      </c>
      <c r="D388" s="89" t="s">
        <v>131</v>
      </c>
      <c r="E388" s="90">
        <v>29</v>
      </c>
      <c r="F388" s="91"/>
      <c r="G388" s="91"/>
      <c r="H388" s="91"/>
      <c r="I388" s="91">
        <f>SUM(G388:H388)+'BM 006'!I388</f>
        <v>0</v>
      </c>
      <c r="J388" s="91">
        <f t="shared" si="169"/>
        <v>29</v>
      </c>
      <c r="K388" s="80">
        <v>17.22</v>
      </c>
      <c r="L388" s="81">
        <f t="shared" si="168"/>
        <v>21.828073894199999</v>
      </c>
      <c r="M388" s="82">
        <f t="shared" si="170"/>
        <v>0</v>
      </c>
      <c r="N388" s="82">
        <f t="shared" si="171"/>
        <v>0</v>
      </c>
      <c r="O388" s="82">
        <f>N388+'BM 006'!O388</f>
        <v>0</v>
      </c>
      <c r="P388" s="80">
        <f t="shared" si="172"/>
        <v>499.38</v>
      </c>
      <c r="Q388" s="82">
        <f t="shared" si="173"/>
        <v>633.01</v>
      </c>
      <c r="R388" s="82">
        <f t="shared" si="174"/>
        <v>633.01</v>
      </c>
    </row>
    <row r="389" spans="2:18" s="34" customFormat="1" ht="23.4">
      <c r="B389" s="75" t="s">
        <v>770</v>
      </c>
      <c r="C389" s="76" t="s">
        <v>771</v>
      </c>
      <c r="D389" s="77" t="s">
        <v>131</v>
      </c>
      <c r="E389" s="93">
        <v>207</v>
      </c>
      <c r="F389" s="79"/>
      <c r="G389" s="79"/>
      <c r="H389" s="79"/>
      <c r="I389" s="79">
        <f>SUM(G389:H389)+'BM 006'!I389</f>
        <v>0</v>
      </c>
      <c r="J389" s="79">
        <f t="shared" si="169"/>
        <v>207</v>
      </c>
      <c r="K389" s="80">
        <v>6.59</v>
      </c>
      <c r="L389" s="81">
        <f t="shared" si="168"/>
        <v>8.3534847248999995</v>
      </c>
      <c r="M389" s="82">
        <f t="shared" si="170"/>
        <v>0</v>
      </c>
      <c r="N389" s="82">
        <f t="shared" si="171"/>
        <v>0</v>
      </c>
      <c r="O389" s="82">
        <f>N389+'BM 006'!O389</f>
        <v>0</v>
      </c>
      <c r="P389" s="80">
        <f t="shared" si="172"/>
        <v>1364.1299999999999</v>
      </c>
      <c r="Q389" s="82">
        <f t="shared" si="173"/>
        <v>1729.17</v>
      </c>
      <c r="R389" s="82">
        <f t="shared" si="174"/>
        <v>1729.17</v>
      </c>
    </row>
    <row r="390" spans="2:18" s="34" customFormat="1" ht="23.4">
      <c r="B390" s="75" t="s">
        <v>772</v>
      </c>
      <c r="C390" s="76" t="s">
        <v>773</v>
      </c>
      <c r="D390" s="77" t="s">
        <v>131</v>
      </c>
      <c r="E390" s="93">
        <v>50</v>
      </c>
      <c r="F390" s="79"/>
      <c r="G390" s="79"/>
      <c r="H390" s="79"/>
      <c r="I390" s="79">
        <f>SUM(G390:H390)+'BM 006'!I390</f>
        <v>0</v>
      </c>
      <c r="J390" s="79">
        <f t="shared" si="169"/>
        <v>50</v>
      </c>
      <c r="K390" s="80">
        <v>22.07</v>
      </c>
      <c r="L390" s="81">
        <f t="shared" si="168"/>
        <v>27.9759344277</v>
      </c>
      <c r="M390" s="82">
        <f t="shared" si="170"/>
        <v>0</v>
      </c>
      <c r="N390" s="82">
        <f t="shared" si="171"/>
        <v>0</v>
      </c>
      <c r="O390" s="82">
        <f>N390+'BM 006'!O390</f>
        <v>0</v>
      </c>
      <c r="P390" s="80">
        <f t="shared" si="172"/>
        <v>1103.5</v>
      </c>
      <c r="Q390" s="82">
        <f t="shared" si="173"/>
        <v>1398.79</v>
      </c>
      <c r="R390" s="82">
        <f t="shared" si="174"/>
        <v>1398.79</v>
      </c>
    </row>
    <row r="391" spans="2:18" s="34" customFormat="1" ht="23.4">
      <c r="B391" s="75" t="s">
        <v>774</v>
      </c>
      <c r="C391" s="76" t="s">
        <v>775</v>
      </c>
      <c r="D391" s="77" t="s">
        <v>131</v>
      </c>
      <c r="E391" s="93">
        <v>1</v>
      </c>
      <c r="F391" s="79"/>
      <c r="G391" s="79"/>
      <c r="H391" s="79"/>
      <c r="I391" s="79">
        <f>SUM(G391:H391)+'BM 006'!I391</f>
        <v>0</v>
      </c>
      <c r="J391" s="79">
        <f t="shared" si="169"/>
        <v>1</v>
      </c>
      <c r="K391" s="80">
        <v>19.649999999999999</v>
      </c>
      <c r="L391" s="81">
        <f t="shared" si="168"/>
        <v>24.908342161499998</v>
      </c>
      <c r="M391" s="82">
        <f t="shared" si="170"/>
        <v>0</v>
      </c>
      <c r="N391" s="82">
        <f t="shared" si="171"/>
        <v>0</v>
      </c>
      <c r="O391" s="82">
        <f>N391+'BM 006'!O391</f>
        <v>0</v>
      </c>
      <c r="P391" s="80">
        <f t="shared" si="172"/>
        <v>19.649999999999999</v>
      </c>
      <c r="Q391" s="82">
        <f t="shared" si="173"/>
        <v>24.9</v>
      </c>
      <c r="R391" s="82">
        <f t="shared" si="174"/>
        <v>24.9</v>
      </c>
    </row>
    <row r="392" spans="2:18" s="34" customFormat="1" ht="23.4">
      <c r="B392" s="75" t="s">
        <v>776</v>
      </c>
      <c r="C392" s="76" t="s">
        <v>777</v>
      </c>
      <c r="D392" s="77" t="s">
        <v>131</v>
      </c>
      <c r="E392" s="93">
        <v>19</v>
      </c>
      <c r="F392" s="79"/>
      <c r="G392" s="79"/>
      <c r="H392" s="79"/>
      <c r="I392" s="79">
        <f>SUM(G392:H392)+'BM 006'!I392</f>
        <v>0</v>
      </c>
      <c r="J392" s="79">
        <f t="shared" si="169"/>
        <v>19</v>
      </c>
      <c r="K392" s="80">
        <v>41.43</v>
      </c>
      <c r="L392" s="81">
        <f t="shared" si="168"/>
        <v>52.516672557300005</v>
      </c>
      <c r="M392" s="82">
        <f t="shared" si="170"/>
        <v>0</v>
      </c>
      <c r="N392" s="82">
        <f t="shared" si="171"/>
        <v>0</v>
      </c>
      <c r="O392" s="82">
        <f>N392+'BM 006'!O392</f>
        <v>0</v>
      </c>
      <c r="P392" s="80">
        <f t="shared" si="172"/>
        <v>787.17</v>
      </c>
      <c r="Q392" s="82">
        <f t="shared" si="173"/>
        <v>997.81</v>
      </c>
      <c r="R392" s="82">
        <f t="shared" si="174"/>
        <v>997.81</v>
      </c>
    </row>
    <row r="393" spans="2:18" s="34" customFormat="1" ht="46.2">
      <c r="B393" s="75" t="s">
        <v>778</v>
      </c>
      <c r="C393" s="76" t="s">
        <v>779</v>
      </c>
      <c r="D393" s="77" t="s">
        <v>131</v>
      </c>
      <c r="E393" s="93">
        <v>12</v>
      </c>
      <c r="F393" s="79"/>
      <c r="G393" s="79"/>
      <c r="H393" s="79"/>
      <c r="I393" s="79">
        <f>SUM(G393:H393)+'BM 006'!I393</f>
        <v>0</v>
      </c>
      <c r="J393" s="79">
        <f t="shared" si="169"/>
        <v>12</v>
      </c>
      <c r="K393" s="80">
        <v>76.31</v>
      </c>
      <c r="L393" s="81">
        <f t="shared" si="168"/>
        <v>96.730564394100014</v>
      </c>
      <c r="M393" s="82">
        <f t="shared" si="170"/>
        <v>0</v>
      </c>
      <c r="N393" s="82">
        <f t="shared" si="171"/>
        <v>0</v>
      </c>
      <c r="O393" s="82">
        <f>N393+'BM 006'!O393</f>
        <v>0</v>
      </c>
      <c r="P393" s="80">
        <f t="shared" si="172"/>
        <v>915.72</v>
      </c>
      <c r="Q393" s="82">
        <f t="shared" si="173"/>
        <v>1160.76</v>
      </c>
      <c r="R393" s="82">
        <f t="shared" si="174"/>
        <v>1160.76</v>
      </c>
    </row>
    <row r="394" spans="2:18" s="34" customFormat="1" ht="34.799999999999997">
      <c r="B394" s="75" t="s">
        <v>780</v>
      </c>
      <c r="C394" s="76" t="s">
        <v>781</v>
      </c>
      <c r="D394" s="77" t="s">
        <v>131</v>
      </c>
      <c r="E394" s="93">
        <v>3</v>
      </c>
      <c r="F394" s="79"/>
      <c r="G394" s="79"/>
      <c r="H394" s="79"/>
      <c r="I394" s="79">
        <f>SUM(G394:H394)+'BM 006'!I394</f>
        <v>0</v>
      </c>
      <c r="J394" s="79">
        <f t="shared" si="169"/>
        <v>3</v>
      </c>
      <c r="K394" s="80">
        <v>72.55</v>
      </c>
      <c r="L394" s="81">
        <f t="shared" si="168"/>
        <v>91.964387980500007</v>
      </c>
      <c r="M394" s="82">
        <f t="shared" si="170"/>
        <v>0</v>
      </c>
      <c r="N394" s="82">
        <f t="shared" si="171"/>
        <v>0</v>
      </c>
      <c r="O394" s="82">
        <f>N394+'BM 006'!O394</f>
        <v>0</v>
      </c>
      <c r="P394" s="80">
        <f t="shared" si="172"/>
        <v>217.64999999999998</v>
      </c>
      <c r="Q394" s="82">
        <f t="shared" si="173"/>
        <v>275.89</v>
      </c>
      <c r="R394" s="82">
        <f t="shared" si="174"/>
        <v>275.89</v>
      </c>
    </row>
    <row r="395" spans="2:18" s="34" customFormat="1" ht="24">
      <c r="B395" s="66" t="s">
        <v>782</v>
      </c>
      <c r="C395" s="67" t="s">
        <v>783</v>
      </c>
      <c r="D395" s="68"/>
      <c r="E395" s="69"/>
      <c r="F395" s="70"/>
      <c r="G395" s="70"/>
      <c r="H395" s="70"/>
      <c r="I395" s="70">
        <f>SUM(G395:H395)+'BM 006'!I395</f>
        <v>0</v>
      </c>
      <c r="J395" s="70">
        <f t="shared" si="169"/>
        <v>0</v>
      </c>
      <c r="K395" s="71"/>
      <c r="L395" s="71">
        <f t="shared" si="168"/>
        <v>0</v>
      </c>
      <c r="M395" s="73">
        <f t="shared" ref="M395:R395" si="175">SUM(M396:M405)</f>
        <v>0</v>
      </c>
      <c r="N395" s="73">
        <f t="shared" si="175"/>
        <v>0</v>
      </c>
      <c r="O395" s="73">
        <f t="shared" si="175"/>
        <v>2814.07</v>
      </c>
      <c r="P395" s="73">
        <f t="shared" si="175"/>
        <v>131062.87509999999</v>
      </c>
      <c r="Q395" s="73">
        <f t="shared" si="175"/>
        <v>166135.25</v>
      </c>
      <c r="R395" s="73">
        <f t="shared" si="175"/>
        <v>163321.18</v>
      </c>
    </row>
    <row r="396" spans="2:18" s="34" customFormat="1" ht="34.799999999999997">
      <c r="B396" s="75" t="s">
        <v>784</v>
      </c>
      <c r="C396" s="76" t="s">
        <v>785</v>
      </c>
      <c r="D396" s="77" t="s">
        <v>82</v>
      </c>
      <c r="E396" s="108">
        <v>867.48</v>
      </c>
      <c r="F396" s="109"/>
      <c r="G396" s="109"/>
      <c r="H396" s="109"/>
      <c r="I396" s="109">
        <f>SUM(G396:H396)+'BM 006'!I396</f>
        <v>0</v>
      </c>
      <c r="J396" s="109">
        <f t="shared" si="169"/>
        <v>867.48</v>
      </c>
      <c r="K396" s="80">
        <v>24.65</v>
      </c>
      <c r="L396" s="81">
        <f t="shared" si="168"/>
        <v>31.246342711499999</v>
      </c>
      <c r="M396" s="82">
        <f t="shared" ref="M396:M405" si="176">TRUNC(F396*L396,2)</f>
        <v>0</v>
      </c>
      <c r="N396" s="82">
        <f t="shared" ref="N396:N405" si="177">TRUNC(G396*L396,2)</f>
        <v>0</v>
      </c>
      <c r="O396" s="82">
        <f>N396+'BM 006'!O396</f>
        <v>0</v>
      </c>
      <c r="P396" s="80">
        <f t="shared" ref="P396:P405" si="178">E396*K396</f>
        <v>21383.381999999998</v>
      </c>
      <c r="Q396" s="82">
        <f t="shared" ref="Q396:Q405" si="179">TRUNC(E396*L396,2)</f>
        <v>27105.57</v>
      </c>
      <c r="R396" s="82">
        <f t="shared" ref="R396:R405" si="180">Q396-O396</f>
        <v>27105.57</v>
      </c>
    </row>
    <row r="397" spans="2:18" s="34" customFormat="1" ht="23.4">
      <c r="B397" s="75" t="s">
        <v>786</v>
      </c>
      <c r="C397" s="76" t="s">
        <v>653</v>
      </c>
      <c r="D397" s="77" t="s">
        <v>82</v>
      </c>
      <c r="E397" s="110">
        <v>18.04</v>
      </c>
      <c r="F397" s="111"/>
      <c r="G397" s="111"/>
      <c r="H397" s="111"/>
      <c r="I397" s="111">
        <f>SUM(G397:H397)+'BM 006'!I397</f>
        <v>0</v>
      </c>
      <c r="J397" s="111">
        <f t="shared" si="169"/>
        <v>18.04</v>
      </c>
      <c r="K397" s="80">
        <v>6.5</v>
      </c>
      <c r="L397" s="81">
        <f t="shared" si="168"/>
        <v>8.2394007150000004</v>
      </c>
      <c r="M397" s="82">
        <f t="shared" si="176"/>
        <v>0</v>
      </c>
      <c r="N397" s="82">
        <f t="shared" si="177"/>
        <v>0</v>
      </c>
      <c r="O397" s="82">
        <f>N397+'BM 006'!O397</f>
        <v>0</v>
      </c>
      <c r="P397" s="80">
        <f t="shared" si="178"/>
        <v>117.25999999999999</v>
      </c>
      <c r="Q397" s="82">
        <f t="shared" si="179"/>
        <v>148.63</v>
      </c>
      <c r="R397" s="82">
        <f t="shared" si="180"/>
        <v>148.63</v>
      </c>
    </row>
    <row r="398" spans="2:18" s="34" customFormat="1" ht="23.4">
      <c r="B398" s="75" t="s">
        <v>787</v>
      </c>
      <c r="C398" s="76" t="s">
        <v>655</v>
      </c>
      <c r="D398" s="77" t="s">
        <v>82</v>
      </c>
      <c r="E398" s="110">
        <v>739.18</v>
      </c>
      <c r="F398" s="111"/>
      <c r="G398" s="111"/>
      <c r="H398" s="111"/>
      <c r="I398" s="111">
        <f>SUM(G398:H398)+'BM 006'!I398</f>
        <v>0</v>
      </c>
      <c r="J398" s="111">
        <f t="shared" si="169"/>
        <v>739.18</v>
      </c>
      <c r="K398" s="80">
        <v>8</v>
      </c>
      <c r="L398" s="81">
        <f t="shared" si="168"/>
        <v>10.14080088</v>
      </c>
      <c r="M398" s="82">
        <f t="shared" si="176"/>
        <v>0</v>
      </c>
      <c r="N398" s="82">
        <f t="shared" si="177"/>
        <v>0</v>
      </c>
      <c r="O398" s="82">
        <f>N398+'BM 006'!O398</f>
        <v>0</v>
      </c>
      <c r="P398" s="80">
        <f t="shared" si="178"/>
        <v>5913.44</v>
      </c>
      <c r="Q398" s="82">
        <f t="shared" si="179"/>
        <v>7495.87</v>
      </c>
      <c r="R398" s="82">
        <f t="shared" si="180"/>
        <v>7495.87</v>
      </c>
    </row>
    <row r="399" spans="2:18" s="34" customFormat="1" ht="23.4">
      <c r="B399" s="75" t="s">
        <v>788</v>
      </c>
      <c r="C399" s="76" t="s">
        <v>659</v>
      </c>
      <c r="D399" s="77" t="s">
        <v>82</v>
      </c>
      <c r="E399" s="112">
        <v>19.510000000000002</v>
      </c>
      <c r="F399" s="113"/>
      <c r="G399" s="113"/>
      <c r="H399" s="113"/>
      <c r="I399" s="113">
        <f>SUM(G399:H399)+'BM 006'!I399</f>
        <v>0</v>
      </c>
      <c r="J399" s="113">
        <f t="shared" si="169"/>
        <v>19.510000000000002</v>
      </c>
      <c r="K399" s="80">
        <v>23.5</v>
      </c>
      <c r="L399" s="81">
        <f t="shared" si="168"/>
        <v>29.788602585</v>
      </c>
      <c r="M399" s="82">
        <f t="shared" si="176"/>
        <v>0</v>
      </c>
      <c r="N399" s="82">
        <f t="shared" si="177"/>
        <v>0</v>
      </c>
      <c r="O399" s="82">
        <f>N399+'BM 006'!O399</f>
        <v>0</v>
      </c>
      <c r="P399" s="80">
        <f t="shared" si="178"/>
        <v>458.48500000000001</v>
      </c>
      <c r="Q399" s="82">
        <f t="shared" si="179"/>
        <v>581.16999999999996</v>
      </c>
      <c r="R399" s="82">
        <f t="shared" si="180"/>
        <v>581.16999999999996</v>
      </c>
    </row>
    <row r="400" spans="2:18" s="34" customFormat="1" ht="34.799999999999997">
      <c r="B400" s="75" t="s">
        <v>789</v>
      </c>
      <c r="C400" s="76" t="s">
        <v>790</v>
      </c>
      <c r="D400" s="77" t="s">
        <v>82</v>
      </c>
      <c r="E400" s="108">
        <v>609.66</v>
      </c>
      <c r="F400" s="109"/>
      <c r="G400" s="109"/>
      <c r="H400" s="109"/>
      <c r="I400" s="109">
        <f>SUM(G400:H400)+'BM 006'!I400</f>
        <v>0</v>
      </c>
      <c r="J400" s="109">
        <f t="shared" si="169"/>
        <v>609.66</v>
      </c>
      <c r="K400" s="80">
        <v>27.5</v>
      </c>
      <c r="L400" s="81">
        <f t="shared" si="168"/>
        <v>34.859003025</v>
      </c>
      <c r="M400" s="82">
        <f t="shared" si="176"/>
        <v>0</v>
      </c>
      <c r="N400" s="82">
        <f t="shared" si="177"/>
        <v>0</v>
      </c>
      <c r="O400" s="82">
        <f>N400+'BM 006'!O400</f>
        <v>0</v>
      </c>
      <c r="P400" s="80">
        <f t="shared" si="178"/>
        <v>16765.649999999998</v>
      </c>
      <c r="Q400" s="82">
        <f t="shared" si="179"/>
        <v>21252.13</v>
      </c>
      <c r="R400" s="82">
        <f t="shared" si="180"/>
        <v>21252.13</v>
      </c>
    </row>
    <row r="401" spans="2:18" s="34" customFormat="1" ht="34.799999999999997">
      <c r="B401" s="75" t="s">
        <v>791</v>
      </c>
      <c r="C401" s="76" t="s">
        <v>792</v>
      </c>
      <c r="D401" s="77" t="s">
        <v>82</v>
      </c>
      <c r="E401" s="114">
        <v>307.39999999999998</v>
      </c>
      <c r="F401" s="82"/>
      <c r="G401" s="82"/>
      <c r="H401" s="82"/>
      <c r="I401" s="82">
        <f>SUM(G401:H401)+'BM 006'!I401</f>
        <v>30</v>
      </c>
      <c r="J401" s="82">
        <f t="shared" si="169"/>
        <v>277.39999999999998</v>
      </c>
      <c r="K401" s="80">
        <v>74</v>
      </c>
      <c r="L401" s="81">
        <f t="shared" si="168"/>
        <v>93.802408140000011</v>
      </c>
      <c r="M401" s="82">
        <f t="shared" si="176"/>
        <v>0</v>
      </c>
      <c r="N401" s="82">
        <f t="shared" si="177"/>
        <v>0</v>
      </c>
      <c r="O401" s="82">
        <f>N401+'BM 006'!O401</f>
        <v>2814.07</v>
      </c>
      <c r="P401" s="80">
        <f t="shared" si="178"/>
        <v>22747.599999999999</v>
      </c>
      <c r="Q401" s="82">
        <f t="shared" si="179"/>
        <v>28834.86</v>
      </c>
      <c r="R401" s="82">
        <f t="shared" si="180"/>
        <v>26020.79</v>
      </c>
    </row>
    <row r="402" spans="2:18" s="34" customFormat="1" ht="34.799999999999997">
      <c r="B402" s="75" t="s">
        <v>793</v>
      </c>
      <c r="C402" s="76" t="s">
        <v>794</v>
      </c>
      <c r="D402" s="77" t="s">
        <v>82</v>
      </c>
      <c r="E402" s="114">
        <v>340.33</v>
      </c>
      <c r="F402" s="82"/>
      <c r="G402" s="82"/>
      <c r="H402" s="82"/>
      <c r="I402" s="82">
        <f>SUM(G402:H402)+'BM 006'!I402</f>
        <v>0</v>
      </c>
      <c r="J402" s="82">
        <f t="shared" si="169"/>
        <v>340.33</v>
      </c>
      <c r="K402" s="80">
        <v>34.57</v>
      </c>
      <c r="L402" s="81">
        <f t="shared" si="168"/>
        <v>43.820935802699999</v>
      </c>
      <c r="M402" s="82">
        <f t="shared" si="176"/>
        <v>0</v>
      </c>
      <c r="N402" s="82">
        <f t="shared" si="177"/>
        <v>0</v>
      </c>
      <c r="O402" s="82">
        <f>N402+'BM 006'!O402</f>
        <v>0</v>
      </c>
      <c r="P402" s="80">
        <f t="shared" si="178"/>
        <v>11765.2081</v>
      </c>
      <c r="Q402" s="82">
        <f t="shared" si="179"/>
        <v>14913.57</v>
      </c>
      <c r="R402" s="82">
        <f t="shared" si="180"/>
        <v>14913.57</v>
      </c>
    </row>
    <row r="403" spans="2:18" s="34" customFormat="1" ht="23.4">
      <c r="B403" s="75" t="s">
        <v>795</v>
      </c>
      <c r="C403" s="76" t="s">
        <v>796</v>
      </c>
      <c r="D403" s="77" t="s">
        <v>82</v>
      </c>
      <c r="E403" s="114">
        <v>52.07</v>
      </c>
      <c r="F403" s="82"/>
      <c r="G403" s="82"/>
      <c r="H403" s="82"/>
      <c r="I403" s="82">
        <f>SUM(G403:H403)+'BM 006'!I403</f>
        <v>0</v>
      </c>
      <c r="J403" s="82">
        <f t="shared" si="169"/>
        <v>52.07</v>
      </c>
      <c r="K403" s="80">
        <v>165</v>
      </c>
      <c r="L403" s="81">
        <f t="shared" si="168"/>
        <v>209.15401815000001</v>
      </c>
      <c r="M403" s="82">
        <f t="shared" si="176"/>
        <v>0</v>
      </c>
      <c r="N403" s="82">
        <f t="shared" si="177"/>
        <v>0</v>
      </c>
      <c r="O403" s="82">
        <f>N403+'BM 006'!O403</f>
        <v>0</v>
      </c>
      <c r="P403" s="80">
        <f t="shared" si="178"/>
        <v>8591.5499999999993</v>
      </c>
      <c r="Q403" s="82">
        <f t="shared" si="179"/>
        <v>10890.64</v>
      </c>
      <c r="R403" s="82">
        <f t="shared" si="180"/>
        <v>10890.64</v>
      </c>
    </row>
    <row r="404" spans="2:18" s="34" customFormat="1" ht="23.4">
      <c r="B404" s="75" t="s">
        <v>797</v>
      </c>
      <c r="C404" s="76" t="s">
        <v>796</v>
      </c>
      <c r="D404" s="77" t="s">
        <v>82</v>
      </c>
      <c r="E404" s="114">
        <v>3.02</v>
      </c>
      <c r="F404" s="82"/>
      <c r="G404" s="82"/>
      <c r="H404" s="82"/>
      <c r="I404" s="82">
        <f>SUM(G404:H404)+'BM 006'!I404</f>
        <v>0</v>
      </c>
      <c r="J404" s="82">
        <f t="shared" si="169"/>
        <v>3.02</v>
      </c>
      <c r="K404" s="80">
        <v>165</v>
      </c>
      <c r="L404" s="81">
        <f t="shared" si="168"/>
        <v>209.15401815000001</v>
      </c>
      <c r="M404" s="82">
        <f t="shared" si="176"/>
        <v>0</v>
      </c>
      <c r="N404" s="82">
        <f t="shared" si="177"/>
        <v>0</v>
      </c>
      <c r="O404" s="82">
        <f>N404+'BM 006'!O404</f>
        <v>0</v>
      </c>
      <c r="P404" s="80">
        <f t="shared" si="178"/>
        <v>498.3</v>
      </c>
      <c r="Q404" s="82">
        <f t="shared" si="179"/>
        <v>631.64</v>
      </c>
      <c r="R404" s="82">
        <f t="shared" si="180"/>
        <v>631.64</v>
      </c>
    </row>
    <row r="405" spans="2:18" s="34" customFormat="1" ht="23.4">
      <c r="B405" s="75" t="s">
        <v>798</v>
      </c>
      <c r="C405" s="76" t="s">
        <v>799</v>
      </c>
      <c r="D405" s="77" t="s">
        <v>82</v>
      </c>
      <c r="E405" s="114">
        <v>658.8</v>
      </c>
      <c r="F405" s="82"/>
      <c r="G405" s="82"/>
      <c r="H405" s="82"/>
      <c r="I405" s="82">
        <f>SUM(G405:H405)+'BM 006'!I405</f>
        <v>0</v>
      </c>
      <c r="J405" s="82">
        <f t="shared" si="169"/>
        <v>658.8</v>
      </c>
      <c r="K405" s="80">
        <v>65</v>
      </c>
      <c r="L405" s="81">
        <f t="shared" si="168"/>
        <v>82.394007150000007</v>
      </c>
      <c r="M405" s="82">
        <f t="shared" si="176"/>
        <v>0</v>
      </c>
      <c r="N405" s="82">
        <f t="shared" si="177"/>
        <v>0</v>
      </c>
      <c r="O405" s="82">
        <f>N405+'BM 006'!O405</f>
        <v>0</v>
      </c>
      <c r="P405" s="80">
        <f t="shared" si="178"/>
        <v>42822</v>
      </c>
      <c r="Q405" s="82">
        <f t="shared" si="179"/>
        <v>54281.17</v>
      </c>
      <c r="R405" s="82">
        <f t="shared" si="180"/>
        <v>54281.17</v>
      </c>
    </row>
    <row r="406" spans="2:18" s="34" customFormat="1" ht="36">
      <c r="B406" s="66" t="s">
        <v>800</v>
      </c>
      <c r="C406" s="115" t="s">
        <v>801</v>
      </c>
      <c r="D406" s="116"/>
      <c r="E406" s="117"/>
      <c r="F406" s="118"/>
      <c r="G406" s="118"/>
      <c r="H406" s="118"/>
      <c r="I406" s="118">
        <f>SUM(G406:H406)+'BM 006'!I406</f>
        <v>0</v>
      </c>
      <c r="J406" s="118">
        <f t="shared" si="169"/>
        <v>0</v>
      </c>
      <c r="K406" s="119"/>
      <c r="L406" s="119">
        <f t="shared" si="168"/>
        <v>0</v>
      </c>
      <c r="M406" s="73">
        <f t="shared" ref="M406:R406" si="181">SUM(M407:M473)</f>
        <v>0</v>
      </c>
      <c r="N406" s="73">
        <f t="shared" si="181"/>
        <v>0</v>
      </c>
      <c r="O406" s="73">
        <f t="shared" si="181"/>
        <v>0</v>
      </c>
      <c r="P406" s="73">
        <f t="shared" si="181"/>
        <v>84729.980000000025</v>
      </c>
      <c r="Q406" s="73">
        <f t="shared" si="181"/>
        <v>107403.37000000007</v>
      </c>
      <c r="R406" s="73">
        <f t="shared" si="181"/>
        <v>107403.37000000007</v>
      </c>
    </row>
    <row r="407" spans="2:18" s="34" customFormat="1" ht="46.2">
      <c r="B407" s="75" t="s">
        <v>802</v>
      </c>
      <c r="C407" s="76" t="s">
        <v>803</v>
      </c>
      <c r="D407" s="77" t="s">
        <v>131</v>
      </c>
      <c r="E407" s="93">
        <v>209</v>
      </c>
      <c r="F407" s="79"/>
      <c r="G407" s="79"/>
      <c r="H407" s="79"/>
      <c r="I407" s="79">
        <f>SUM(G407:H407)+'BM 006'!I407</f>
        <v>0</v>
      </c>
      <c r="J407" s="79">
        <f t="shared" si="169"/>
        <v>209</v>
      </c>
      <c r="K407" s="80">
        <v>15.61</v>
      </c>
      <c r="L407" s="81">
        <f t="shared" si="168"/>
        <v>19.787237717100002</v>
      </c>
      <c r="M407" s="82">
        <f t="shared" ref="M407:M438" si="182">TRUNC(F407*L407,2)</f>
        <v>0</v>
      </c>
      <c r="N407" s="82">
        <f t="shared" ref="N407:N438" si="183">TRUNC(G407*L407,2)</f>
        <v>0</v>
      </c>
      <c r="O407" s="82">
        <f>N407+'BM 006'!O407</f>
        <v>0</v>
      </c>
      <c r="P407" s="80">
        <f t="shared" ref="P407:P438" si="184">E407*K407</f>
        <v>3262.49</v>
      </c>
      <c r="Q407" s="82">
        <f t="shared" ref="Q407:Q438" si="185">TRUNC(E407*L407,2)</f>
        <v>4135.53</v>
      </c>
      <c r="R407" s="82">
        <f t="shared" ref="R407:R438" si="186">Q407-O407</f>
        <v>4135.53</v>
      </c>
    </row>
    <row r="408" spans="2:18" s="34" customFormat="1" ht="46.2">
      <c r="B408" s="75" t="s">
        <v>804</v>
      </c>
      <c r="C408" s="76" t="s">
        <v>805</v>
      </c>
      <c r="D408" s="77" t="s">
        <v>131</v>
      </c>
      <c r="E408" s="93">
        <v>127</v>
      </c>
      <c r="F408" s="79"/>
      <c r="G408" s="79"/>
      <c r="H408" s="79"/>
      <c r="I408" s="79">
        <f>SUM(G408:H408)+'BM 006'!I408</f>
        <v>0</v>
      </c>
      <c r="J408" s="79">
        <f t="shared" si="169"/>
        <v>127</v>
      </c>
      <c r="K408" s="80">
        <v>13.73</v>
      </c>
      <c r="L408" s="81">
        <f t="shared" si="168"/>
        <v>17.404149510300002</v>
      </c>
      <c r="M408" s="82">
        <f t="shared" si="182"/>
        <v>0</v>
      </c>
      <c r="N408" s="82">
        <f t="shared" si="183"/>
        <v>0</v>
      </c>
      <c r="O408" s="82">
        <f>N408+'BM 006'!O408</f>
        <v>0</v>
      </c>
      <c r="P408" s="80">
        <f t="shared" si="184"/>
        <v>1743.71</v>
      </c>
      <c r="Q408" s="82">
        <f t="shared" si="185"/>
        <v>2210.3200000000002</v>
      </c>
      <c r="R408" s="82">
        <f t="shared" si="186"/>
        <v>2210.3200000000002</v>
      </c>
    </row>
    <row r="409" spans="2:18" s="34" customFormat="1" ht="34.799999999999997">
      <c r="B409" s="75" t="s">
        <v>806</v>
      </c>
      <c r="C409" s="76" t="s">
        <v>807</v>
      </c>
      <c r="D409" s="77" t="s">
        <v>131</v>
      </c>
      <c r="E409" s="93">
        <v>286</v>
      </c>
      <c r="F409" s="79"/>
      <c r="G409" s="79"/>
      <c r="H409" s="79"/>
      <c r="I409" s="79">
        <f>SUM(G409:H409)+'BM 006'!I409</f>
        <v>0</v>
      </c>
      <c r="J409" s="79">
        <f t="shared" si="169"/>
        <v>286</v>
      </c>
      <c r="K409" s="80">
        <v>46.17</v>
      </c>
      <c r="L409" s="81">
        <f t="shared" si="168"/>
        <v>58.525097078700007</v>
      </c>
      <c r="M409" s="82">
        <f t="shared" si="182"/>
        <v>0</v>
      </c>
      <c r="N409" s="82">
        <f t="shared" si="183"/>
        <v>0</v>
      </c>
      <c r="O409" s="82">
        <f>N409+'BM 006'!O409</f>
        <v>0</v>
      </c>
      <c r="P409" s="80">
        <f t="shared" si="184"/>
        <v>13204.62</v>
      </c>
      <c r="Q409" s="82">
        <f t="shared" si="185"/>
        <v>16738.169999999998</v>
      </c>
      <c r="R409" s="82">
        <f t="shared" si="186"/>
        <v>16738.169999999998</v>
      </c>
    </row>
    <row r="410" spans="2:18" s="34" customFormat="1" ht="34.799999999999997">
      <c r="B410" s="75" t="s">
        <v>808</v>
      </c>
      <c r="C410" s="76" t="s">
        <v>809</v>
      </c>
      <c r="D410" s="77" t="s">
        <v>131</v>
      </c>
      <c r="E410" s="93">
        <v>2</v>
      </c>
      <c r="F410" s="79"/>
      <c r="G410" s="79"/>
      <c r="H410" s="79"/>
      <c r="I410" s="79">
        <f>SUM(G410:H410)+'BM 006'!I410</f>
        <v>0</v>
      </c>
      <c r="J410" s="79">
        <f t="shared" si="169"/>
        <v>2</v>
      </c>
      <c r="K410" s="80">
        <v>95</v>
      </c>
      <c r="L410" s="81">
        <f t="shared" si="168"/>
        <v>120.42201045</v>
      </c>
      <c r="M410" s="82">
        <f t="shared" si="182"/>
        <v>0</v>
      </c>
      <c r="N410" s="82">
        <f t="shared" si="183"/>
        <v>0</v>
      </c>
      <c r="O410" s="82">
        <f>N410+'BM 006'!O410</f>
        <v>0</v>
      </c>
      <c r="P410" s="80">
        <f t="shared" si="184"/>
        <v>190</v>
      </c>
      <c r="Q410" s="82">
        <f t="shared" si="185"/>
        <v>240.84</v>
      </c>
      <c r="R410" s="82">
        <f t="shared" si="186"/>
        <v>240.84</v>
      </c>
    </row>
    <row r="411" spans="2:18" s="34" customFormat="1" ht="34.799999999999997">
      <c r="B411" s="75" t="s">
        <v>810</v>
      </c>
      <c r="C411" s="76" t="s">
        <v>811</v>
      </c>
      <c r="D411" s="77" t="s">
        <v>131</v>
      </c>
      <c r="E411" s="93">
        <v>4</v>
      </c>
      <c r="F411" s="79"/>
      <c r="G411" s="79"/>
      <c r="H411" s="79"/>
      <c r="I411" s="79">
        <f>SUM(G411:H411)+'BM 006'!I411</f>
        <v>0</v>
      </c>
      <c r="J411" s="79">
        <f t="shared" si="169"/>
        <v>4</v>
      </c>
      <c r="K411" s="80">
        <v>240</v>
      </c>
      <c r="L411" s="81">
        <f t="shared" si="168"/>
        <v>304.22402640000001</v>
      </c>
      <c r="M411" s="82">
        <f t="shared" si="182"/>
        <v>0</v>
      </c>
      <c r="N411" s="82">
        <f t="shared" si="183"/>
        <v>0</v>
      </c>
      <c r="O411" s="82">
        <f>N411+'BM 006'!O411</f>
        <v>0</v>
      </c>
      <c r="P411" s="80">
        <f t="shared" si="184"/>
        <v>960</v>
      </c>
      <c r="Q411" s="82">
        <f t="shared" si="185"/>
        <v>1216.8900000000001</v>
      </c>
      <c r="R411" s="82">
        <f t="shared" si="186"/>
        <v>1216.8900000000001</v>
      </c>
    </row>
    <row r="412" spans="2:18" s="34" customFormat="1" ht="46.2">
      <c r="B412" s="75" t="s">
        <v>812</v>
      </c>
      <c r="C412" s="76" t="s">
        <v>813</v>
      </c>
      <c r="D412" s="77" t="s">
        <v>131</v>
      </c>
      <c r="E412" s="93">
        <v>412</v>
      </c>
      <c r="F412" s="79"/>
      <c r="G412" s="79"/>
      <c r="H412" s="79"/>
      <c r="I412" s="79">
        <f>SUM(G412:H412)+'BM 006'!I412</f>
        <v>0</v>
      </c>
      <c r="J412" s="79">
        <f t="shared" si="169"/>
        <v>412</v>
      </c>
      <c r="K412" s="80">
        <v>8.31</v>
      </c>
      <c r="L412" s="81">
        <f t="shared" si="168"/>
        <v>10.533756914100001</v>
      </c>
      <c r="M412" s="82">
        <f t="shared" si="182"/>
        <v>0</v>
      </c>
      <c r="N412" s="82">
        <f t="shared" si="183"/>
        <v>0</v>
      </c>
      <c r="O412" s="82">
        <f>N412+'BM 006'!O412</f>
        <v>0</v>
      </c>
      <c r="P412" s="80">
        <f t="shared" si="184"/>
        <v>3423.7200000000003</v>
      </c>
      <c r="Q412" s="82">
        <f t="shared" si="185"/>
        <v>4339.8999999999996</v>
      </c>
      <c r="R412" s="82">
        <f t="shared" si="186"/>
        <v>4339.8999999999996</v>
      </c>
    </row>
    <row r="413" spans="2:18" s="34" customFormat="1" ht="34.799999999999997">
      <c r="B413" s="75" t="s">
        <v>814</v>
      </c>
      <c r="C413" s="76" t="s">
        <v>815</v>
      </c>
      <c r="D413" s="77" t="s">
        <v>131</v>
      </c>
      <c r="E413" s="93">
        <v>2</v>
      </c>
      <c r="F413" s="79"/>
      <c r="G413" s="79"/>
      <c r="H413" s="79"/>
      <c r="I413" s="79">
        <f>SUM(G413:H413)+'BM 006'!I413</f>
        <v>0</v>
      </c>
      <c r="J413" s="79">
        <f t="shared" si="169"/>
        <v>2</v>
      </c>
      <c r="K413" s="80">
        <v>29</v>
      </c>
      <c r="L413" s="81">
        <f t="shared" ref="L413:L476" si="187">K413*(1+$T$26)</f>
        <v>36.760403190000005</v>
      </c>
      <c r="M413" s="82">
        <f t="shared" si="182"/>
        <v>0</v>
      </c>
      <c r="N413" s="82">
        <f t="shared" si="183"/>
        <v>0</v>
      </c>
      <c r="O413" s="82">
        <f>N413+'BM 006'!O413</f>
        <v>0</v>
      </c>
      <c r="P413" s="80">
        <f t="shared" si="184"/>
        <v>58</v>
      </c>
      <c r="Q413" s="82">
        <f t="shared" si="185"/>
        <v>73.52</v>
      </c>
      <c r="R413" s="82">
        <f t="shared" si="186"/>
        <v>73.52</v>
      </c>
    </row>
    <row r="414" spans="2:18" s="34" customFormat="1" ht="46.2">
      <c r="B414" s="75" t="s">
        <v>816</v>
      </c>
      <c r="C414" s="76" t="s">
        <v>817</v>
      </c>
      <c r="D414" s="77" t="s">
        <v>131</v>
      </c>
      <c r="E414" s="93">
        <v>115</v>
      </c>
      <c r="F414" s="79"/>
      <c r="G414" s="79"/>
      <c r="H414" s="79"/>
      <c r="I414" s="79">
        <f>SUM(G414:H414)+'BM 006'!I414</f>
        <v>0</v>
      </c>
      <c r="J414" s="79">
        <f t="shared" si="169"/>
        <v>115</v>
      </c>
      <c r="K414" s="80">
        <v>9.2899999999999991</v>
      </c>
      <c r="L414" s="81">
        <f t="shared" si="187"/>
        <v>11.7760050219</v>
      </c>
      <c r="M414" s="82">
        <f t="shared" si="182"/>
        <v>0</v>
      </c>
      <c r="N414" s="82">
        <f t="shared" si="183"/>
        <v>0</v>
      </c>
      <c r="O414" s="82">
        <f>N414+'BM 006'!O414</f>
        <v>0</v>
      </c>
      <c r="P414" s="80">
        <f t="shared" si="184"/>
        <v>1068.3499999999999</v>
      </c>
      <c r="Q414" s="82">
        <f t="shared" si="185"/>
        <v>1354.24</v>
      </c>
      <c r="R414" s="82">
        <f t="shared" si="186"/>
        <v>1354.24</v>
      </c>
    </row>
    <row r="415" spans="2:18" s="34" customFormat="1" ht="46.2">
      <c r="B415" s="75" t="s">
        <v>818</v>
      </c>
      <c r="C415" s="76" t="s">
        <v>819</v>
      </c>
      <c r="D415" s="77" t="s">
        <v>131</v>
      </c>
      <c r="E415" s="93">
        <v>158</v>
      </c>
      <c r="F415" s="79"/>
      <c r="G415" s="79"/>
      <c r="H415" s="79"/>
      <c r="I415" s="79">
        <f>SUM(G415:H415)+'BM 006'!I415</f>
        <v>0</v>
      </c>
      <c r="J415" s="79">
        <f t="shared" ref="J415:J478" si="188">E415-I415</f>
        <v>158</v>
      </c>
      <c r="K415" s="80">
        <v>14.75</v>
      </c>
      <c r="L415" s="81">
        <f t="shared" si="187"/>
        <v>18.6971016225</v>
      </c>
      <c r="M415" s="82">
        <f t="shared" si="182"/>
        <v>0</v>
      </c>
      <c r="N415" s="82">
        <f t="shared" si="183"/>
        <v>0</v>
      </c>
      <c r="O415" s="82">
        <f>N415+'BM 006'!O415</f>
        <v>0</v>
      </c>
      <c r="P415" s="80">
        <f t="shared" si="184"/>
        <v>2330.5</v>
      </c>
      <c r="Q415" s="82">
        <f t="shared" si="185"/>
        <v>2954.14</v>
      </c>
      <c r="R415" s="82">
        <f t="shared" si="186"/>
        <v>2954.14</v>
      </c>
    </row>
    <row r="416" spans="2:18" s="34" customFormat="1" ht="46.2">
      <c r="B416" s="75" t="s">
        <v>820</v>
      </c>
      <c r="C416" s="76" t="s">
        <v>821</v>
      </c>
      <c r="D416" s="77" t="s">
        <v>131</v>
      </c>
      <c r="E416" s="93">
        <v>28</v>
      </c>
      <c r="F416" s="79"/>
      <c r="G416" s="79"/>
      <c r="H416" s="79"/>
      <c r="I416" s="79">
        <f>SUM(G416:H416)+'BM 006'!I416</f>
        <v>0</v>
      </c>
      <c r="J416" s="79">
        <f t="shared" si="188"/>
        <v>28</v>
      </c>
      <c r="K416" s="80">
        <v>29.5</v>
      </c>
      <c r="L416" s="81">
        <f t="shared" si="187"/>
        <v>37.394203245</v>
      </c>
      <c r="M416" s="82">
        <f t="shared" si="182"/>
        <v>0</v>
      </c>
      <c r="N416" s="82">
        <f t="shared" si="183"/>
        <v>0</v>
      </c>
      <c r="O416" s="82">
        <f>N416+'BM 006'!O416</f>
        <v>0</v>
      </c>
      <c r="P416" s="80">
        <f t="shared" si="184"/>
        <v>826</v>
      </c>
      <c r="Q416" s="82">
        <f t="shared" si="185"/>
        <v>1047.03</v>
      </c>
      <c r="R416" s="82">
        <f t="shared" si="186"/>
        <v>1047.03</v>
      </c>
    </row>
    <row r="417" spans="2:18" s="34" customFormat="1" ht="22.5" customHeight="1">
      <c r="B417" s="75" t="s">
        <v>822</v>
      </c>
      <c r="C417" s="76" t="s">
        <v>823</v>
      </c>
      <c r="D417" s="77" t="s">
        <v>131</v>
      </c>
      <c r="E417" s="93">
        <v>37</v>
      </c>
      <c r="F417" s="79"/>
      <c r="G417" s="79"/>
      <c r="H417" s="79"/>
      <c r="I417" s="79">
        <f>SUM(G417:H417)+'BM 006'!I417</f>
        <v>0</v>
      </c>
      <c r="J417" s="79">
        <f t="shared" si="188"/>
        <v>37</v>
      </c>
      <c r="K417" s="80">
        <v>34.119999999999997</v>
      </c>
      <c r="L417" s="81">
        <f t="shared" si="187"/>
        <v>43.250515753199998</v>
      </c>
      <c r="M417" s="82">
        <f t="shared" si="182"/>
        <v>0</v>
      </c>
      <c r="N417" s="82">
        <f t="shared" si="183"/>
        <v>0</v>
      </c>
      <c r="O417" s="82">
        <f>N417+'BM 006'!O417</f>
        <v>0</v>
      </c>
      <c r="P417" s="80">
        <f t="shared" si="184"/>
        <v>1262.4399999999998</v>
      </c>
      <c r="Q417" s="82">
        <f t="shared" si="185"/>
        <v>1600.26</v>
      </c>
      <c r="R417" s="82">
        <f t="shared" si="186"/>
        <v>1600.26</v>
      </c>
    </row>
    <row r="418" spans="2:18" s="34" customFormat="1" ht="34.799999999999997">
      <c r="B418" s="75" t="s">
        <v>824</v>
      </c>
      <c r="C418" s="76" t="s">
        <v>825</v>
      </c>
      <c r="D418" s="77" t="s">
        <v>131</v>
      </c>
      <c r="E418" s="93">
        <v>77</v>
      </c>
      <c r="F418" s="79"/>
      <c r="G418" s="79"/>
      <c r="H418" s="79"/>
      <c r="I418" s="79">
        <f>SUM(G418:H418)+'BM 006'!I418</f>
        <v>0</v>
      </c>
      <c r="J418" s="79">
        <f t="shared" si="188"/>
        <v>77</v>
      </c>
      <c r="K418" s="80">
        <v>42</v>
      </c>
      <c r="L418" s="81">
        <f t="shared" si="187"/>
        <v>53.239204620000002</v>
      </c>
      <c r="M418" s="82">
        <f t="shared" si="182"/>
        <v>0</v>
      </c>
      <c r="N418" s="82">
        <f t="shared" si="183"/>
        <v>0</v>
      </c>
      <c r="O418" s="82">
        <f>N418+'BM 006'!O418</f>
        <v>0</v>
      </c>
      <c r="P418" s="80">
        <f t="shared" si="184"/>
        <v>3234</v>
      </c>
      <c r="Q418" s="82">
        <f t="shared" si="185"/>
        <v>4099.41</v>
      </c>
      <c r="R418" s="82">
        <f t="shared" si="186"/>
        <v>4099.41</v>
      </c>
    </row>
    <row r="419" spans="2:18" s="34" customFormat="1" ht="34.799999999999997">
      <c r="B419" s="75" t="s">
        <v>826</v>
      </c>
      <c r="C419" s="76" t="s">
        <v>827</v>
      </c>
      <c r="D419" s="77" t="s">
        <v>131</v>
      </c>
      <c r="E419" s="93">
        <v>1</v>
      </c>
      <c r="F419" s="79"/>
      <c r="G419" s="79"/>
      <c r="H419" s="79"/>
      <c r="I419" s="79">
        <f>SUM(G419:H419)+'BM 006'!I419</f>
        <v>0</v>
      </c>
      <c r="J419" s="79">
        <f t="shared" si="188"/>
        <v>1</v>
      </c>
      <c r="K419" s="80">
        <v>88</v>
      </c>
      <c r="L419" s="81">
        <f t="shared" si="187"/>
        <v>111.54880968000001</v>
      </c>
      <c r="M419" s="82">
        <f t="shared" si="182"/>
        <v>0</v>
      </c>
      <c r="N419" s="82">
        <f t="shared" si="183"/>
        <v>0</v>
      </c>
      <c r="O419" s="82">
        <f>N419+'BM 006'!O419</f>
        <v>0</v>
      </c>
      <c r="P419" s="80">
        <f t="shared" si="184"/>
        <v>88</v>
      </c>
      <c r="Q419" s="82">
        <f t="shared" si="185"/>
        <v>111.54</v>
      </c>
      <c r="R419" s="82">
        <f t="shared" si="186"/>
        <v>111.54</v>
      </c>
    </row>
    <row r="420" spans="2:18" s="34" customFormat="1" ht="34.799999999999997">
      <c r="B420" s="75" t="s">
        <v>828</v>
      </c>
      <c r="C420" s="76" t="s">
        <v>829</v>
      </c>
      <c r="D420" s="77" t="s">
        <v>131</v>
      </c>
      <c r="E420" s="93">
        <v>4</v>
      </c>
      <c r="F420" s="79"/>
      <c r="G420" s="79"/>
      <c r="H420" s="79"/>
      <c r="I420" s="79">
        <f>SUM(G420:H420)+'BM 006'!I420</f>
        <v>0</v>
      </c>
      <c r="J420" s="79">
        <f t="shared" si="188"/>
        <v>4</v>
      </c>
      <c r="K420" s="80">
        <v>235</v>
      </c>
      <c r="L420" s="81">
        <f t="shared" si="187"/>
        <v>297.88602585000001</v>
      </c>
      <c r="M420" s="82">
        <f t="shared" si="182"/>
        <v>0</v>
      </c>
      <c r="N420" s="82">
        <f t="shared" si="183"/>
        <v>0</v>
      </c>
      <c r="O420" s="82">
        <f>N420+'BM 006'!O420</f>
        <v>0</v>
      </c>
      <c r="P420" s="80">
        <f t="shared" si="184"/>
        <v>940</v>
      </c>
      <c r="Q420" s="82">
        <f t="shared" si="185"/>
        <v>1191.54</v>
      </c>
      <c r="R420" s="82">
        <f t="shared" si="186"/>
        <v>1191.54</v>
      </c>
    </row>
    <row r="421" spans="2:18" s="34" customFormat="1" ht="57.6">
      <c r="B421" s="75" t="s">
        <v>830</v>
      </c>
      <c r="C421" s="76" t="s">
        <v>831</v>
      </c>
      <c r="D421" s="77" t="s">
        <v>131</v>
      </c>
      <c r="E421" s="93">
        <v>326</v>
      </c>
      <c r="F421" s="79"/>
      <c r="G421" s="79"/>
      <c r="H421" s="79"/>
      <c r="I421" s="79">
        <f>SUM(G421:H421)+'BM 006'!I421</f>
        <v>0</v>
      </c>
      <c r="J421" s="79">
        <f t="shared" si="188"/>
        <v>326</v>
      </c>
      <c r="K421" s="80">
        <v>9.08</v>
      </c>
      <c r="L421" s="81">
        <f t="shared" si="187"/>
        <v>11.509808998800001</v>
      </c>
      <c r="M421" s="82">
        <f t="shared" si="182"/>
        <v>0</v>
      </c>
      <c r="N421" s="82">
        <f t="shared" si="183"/>
        <v>0</v>
      </c>
      <c r="O421" s="82">
        <f>N421+'BM 006'!O421</f>
        <v>0</v>
      </c>
      <c r="P421" s="80">
        <f t="shared" si="184"/>
        <v>2960.08</v>
      </c>
      <c r="Q421" s="82">
        <f t="shared" si="185"/>
        <v>3752.19</v>
      </c>
      <c r="R421" s="82">
        <f t="shared" si="186"/>
        <v>3752.19</v>
      </c>
    </row>
    <row r="422" spans="2:18" s="34" customFormat="1" ht="46.2">
      <c r="B422" s="75" t="s">
        <v>832</v>
      </c>
      <c r="C422" s="76" t="s">
        <v>833</v>
      </c>
      <c r="D422" s="77" t="s">
        <v>131</v>
      </c>
      <c r="E422" s="93">
        <v>166</v>
      </c>
      <c r="F422" s="79"/>
      <c r="G422" s="79"/>
      <c r="H422" s="79"/>
      <c r="I422" s="79">
        <f>SUM(G422:H422)+'BM 006'!I422</f>
        <v>0</v>
      </c>
      <c r="J422" s="79">
        <f t="shared" si="188"/>
        <v>166</v>
      </c>
      <c r="K422" s="80">
        <v>9.4600000000000009</v>
      </c>
      <c r="L422" s="81">
        <f t="shared" si="187"/>
        <v>11.991497040600002</v>
      </c>
      <c r="M422" s="82">
        <f t="shared" si="182"/>
        <v>0</v>
      </c>
      <c r="N422" s="82">
        <f t="shared" si="183"/>
        <v>0</v>
      </c>
      <c r="O422" s="82">
        <f>N422+'BM 006'!O422</f>
        <v>0</v>
      </c>
      <c r="P422" s="80">
        <f t="shared" si="184"/>
        <v>1570.3600000000001</v>
      </c>
      <c r="Q422" s="82">
        <f t="shared" si="185"/>
        <v>1990.58</v>
      </c>
      <c r="R422" s="82">
        <f t="shared" si="186"/>
        <v>1990.58</v>
      </c>
    </row>
    <row r="423" spans="2:18" s="34" customFormat="1" ht="13.2">
      <c r="B423" s="75" t="s">
        <v>834</v>
      </c>
      <c r="C423" s="76" t="s">
        <v>747</v>
      </c>
      <c r="D423" s="77" t="s">
        <v>131</v>
      </c>
      <c r="E423" s="93">
        <v>96</v>
      </c>
      <c r="F423" s="79"/>
      <c r="G423" s="79"/>
      <c r="H423" s="79"/>
      <c r="I423" s="79">
        <f>SUM(G423:H423)+'BM 006'!I423</f>
        <v>0</v>
      </c>
      <c r="J423" s="79">
        <f t="shared" si="188"/>
        <v>96</v>
      </c>
      <c r="K423" s="80">
        <v>5.14</v>
      </c>
      <c r="L423" s="81">
        <f t="shared" si="187"/>
        <v>6.5154645654000003</v>
      </c>
      <c r="M423" s="82">
        <f t="shared" si="182"/>
        <v>0</v>
      </c>
      <c r="N423" s="82">
        <f t="shared" si="183"/>
        <v>0</v>
      </c>
      <c r="O423" s="82">
        <f>N423+'BM 006'!O423</f>
        <v>0</v>
      </c>
      <c r="P423" s="80">
        <f t="shared" si="184"/>
        <v>493.43999999999994</v>
      </c>
      <c r="Q423" s="82">
        <f t="shared" si="185"/>
        <v>625.48</v>
      </c>
      <c r="R423" s="82">
        <f t="shared" si="186"/>
        <v>625.48</v>
      </c>
    </row>
    <row r="424" spans="2:18" s="34" customFormat="1" ht="46.2">
      <c r="B424" s="75" t="s">
        <v>835</v>
      </c>
      <c r="C424" s="76" t="s">
        <v>836</v>
      </c>
      <c r="D424" s="77" t="s">
        <v>131</v>
      </c>
      <c r="E424" s="93">
        <v>26</v>
      </c>
      <c r="F424" s="79"/>
      <c r="G424" s="79"/>
      <c r="H424" s="79"/>
      <c r="I424" s="79">
        <f>SUM(G424:H424)+'BM 006'!I424</f>
        <v>0</v>
      </c>
      <c r="J424" s="79">
        <f t="shared" si="188"/>
        <v>26</v>
      </c>
      <c r="K424" s="80">
        <v>21.35</v>
      </c>
      <c r="L424" s="81">
        <f t="shared" si="187"/>
        <v>27.063262348500004</v>
      </c>
      <c r="M424" s="82">
        <f t="shared" si="182"/>
        <v>0</v>
      </c>
      <c r="N424" s="82">
        <f t="shared" si="183"/>
        <v>0</v>
      </c>
      <c r="O424" s="82">
        <f>N424+'BM 006'!O424</f>
        <v>0</v>
      </c>
      <c r="P424" s="80">
        <f t="shared" si="184"/>
        <v>555.1</v>
      </c>
      <c r="Q424" s="82">
        <f t="shared" si="185"/>
        <v>703.64</v>
      </c>
      <c r="R424" s="82">
        <f t="shared" si="186"/>
        <v>703.64</v>
      </c>
    </row>
    <row r="425" spans="2:18" s="34" customFormat="1" ht="46.2">
      <c r="B425" s="75" t="s">
        <v>837</v>
      </c>
      <c r="C425" s="76" t="s">
        <v>838</v>
      </c>
      <c r="D425" s="77" t="s">
        <v>131</v>
      </c>
      <c r="E425" s="93">
        <v>86</v>
      </c>
      <c r="F425" s="79"/>
      <c r="G425" s="79"/>
      <c r="H425" s="79"/>
      <c r="I425" s="79">
        <f>SUM(G425:H425)+'BM 006'!I425</f>
        <v>0</v>
      </c>
      <c r="J425" s="79">
        <f t="shared" si="188"/>
        <v>86</v>
      </c>
      <c r="K425" s="80">
        <v>25.91</v>
      </c>
      <c r="L425" s="81">
        <f t="shared" si="187"/>
        <v>32.843518850100004</v>
      </c>
      <c r="M425" s="82">
        <f t="shared" si="182"/>
        <v>0</v>
      </c>
      <c r="N425" s="82">
        <f t="shared" si="183"/>
        <v>0</v>
      </c>
      <c r="O425" s="82">
        <f>N425+'BM 006'!O425</f>
        <v>0</v>
      </c>
      <c r="P425" s="80">
        <f t="shared" si="184"/>
        <v>2228.2600000000002</v>
      </c>
      <c r="Q425" s="82">
        <f t="shared" si="185"/>
        <v>2824.54</v>
      </c>
      <c r="R425" s="82">
        <f t="shared" si="186"/>
        <v>2824.54</v>
      </c>
    </row>
    <row r="426" spans="2:18" s="34" customFormat="1" ht="34.799999999999997">
      <c r="B426" s="75" t="s">
        <v>839</v>
      </c>
      <c r="C426" s="76" t="s">
        <v>840</v>
      </c>
      <c r="D426" s="77" t="s">
        <v>131</v>
      </c>
      <c r="E426" s="93">
        <v>19</v>
      </c>
      <c r="F426" s="79"/>
      <c r="G426" s="79"/>
      <c r="H426" s="79"/>
      <c r="I426" s="79">
        <f>SUM(G426:H426)+'BM 006'!I426</f>
        <v>0</v>
      </c>
      <c r="J426" s="79">
        <f t="shared" si="188"/>
        <v>19</v>
      </c>
      <c r="K426" s="80">
        <v>100.92</v>
      </c>
      <c r="L426" s="81">
        <f t="shared" si="187"/>
        <v>127.9262031012</v>
      </c>
      <c r="M426" s="82">
        <f t="shared" si="182"/>
        <v>0</v>
      </c>
      <c r="N426" s="82">
        <f t="shared" si="183"/>
        <v>0</v>
      </c>
      <c r="O426" s="82">
        <f>N426+'BM 006'!O426</f>
        <v>0</v>
      </c>
      <c r="P426" s="80">
        <f t="shared" si="184"/>
        <v>1917.48</v>
      </c>
      <c r="Q426" s="82">
        <f t="shared" si="185"/>
        <v>2430.59</v>
      </c>
      <c r="R426" s="82">
        <f t="shared" si="186"/>
        <v>2430.59</v>
      </c>
    </row>
    <row r="427" spans="2:18" s="34" customFormat="1" ht="34.799999999999997">
      <c r="B427" s="75" t="s">
        <v>841</v>
      </c>
      <c r="C427" s="76" t="s">
        <v>842</v>
      </c>
      <c r="D427" s="77" t="s">
        <v>131</v>
      </c>
      <c r="E427" s="93">
        <v>1</v>
      </c>
      <c r="F427" s="79"/>
      <c r="G427" s="79"/>
      <c r="H427" s="79"/>
      <c r="I427" s="79">
        <f>SUM(G427:H427)+'BM 006'!I427</f>
        <v>0</v>
      </c>
      <c r="J427" s="79">
        <f t="shared" si="188"/>
        <v>1</v>
      </c>
      <c r="K427" s="80">
        <v>135</v>
      </c>
      <c r="L427" s="81">
        <f t="shared" si="187"/>
        <v>171.12601485000002</v>
      </c>
      <c r="M427" s="82">
        <f t="shared" si="182"/>
        <v>0</v>
      </c>
      <c r="N427" s="82">
        <f t="shared" si="183"/>
        <v>0</v>
      </c>
      <c r="O427" s="82">
        <f>N427+'BM 006'!O427</f>
        <v>0</v>
      </c>
      <c r="P427" s="80">
        <f t="shared" si="184"/>
        <v>135</v>
      </c>
      <c r="Q427" s="82">
        <f t="shared" si="185"/>
        <v>171.12</v>
      </c>
      <c r="R427" s="82">
        <f t="shared" si="186"/>
        <v>171.12</v>
      </c>
    </row>
    <row r="428" spans="2:18" s="34" customFormat="1" ht="46.2">
      <c r="B428" s="75" t="s">
        <v>843</v>
      </c>
      <c r="C428" s="76" t="s">
        <v>844</v>
      </c>
      <c r="D428" s="77" t="s">
        <v>131</v>
      </c>
      <c r="E428" s="93">
        <v>38</v>
      </c>
      <c r="F428" s="79"/>
      <c r="G428" s="79"/>
      <c r="H428" s="79"/>
      <c r="I428" s="79">
        <f>SUM(G428:H428)+'BM 006'!I428</f>
        <v>0</v>
      </c>
      <c r="J428" s="79">
        <f t="shared" si="188"/>
        <v>38</v>
      </c>
      <c r="K428" s="80">
        <v>9.08</v>
      </c>
      <c r="L428" s="81">
        <f t="shared" si="187"/>
        <v>11.509808998800001</v>
      </c>
      <c r="M428" s="82">
        <f t="shared" si="182"/>
        <v>0</v>
      </c>
      <c r="N428" s="82">
        <f t="shared" si="183"/>
        <v>0</v>
      </c>
      <c r="O428" s="82">
        <f>N428+'BM 006'!O428</f>
        <v>0</v>
      </c>
      <c r="P428" s="80">
        <f t="shared" si="184"/>
        <v>345.04</v>
      </c>
      <c r="Q428" s="82">
        <f t="shared" si="185"/>
        <v>437.37</v>
      </c>
      <c r="R428" s="82">
        <f t="shared" si="186"/>
        <v>437.37</v>
      </c>
    </row>
    <row r="429" spans="2:18" s="34" customFormat="1" ht="46.2">
      <c r="B429" s="75" t="s">
        <v>845</v>
      </c>
      <c r="C429" s="76" t="s">
        <v>846</v>
      </c>
      <c r="D429" s="77" t="s">
        <v>131</v>
      </c>
      <c r="E429" s="93">
        <v>38</v>
      </c>
      <c r="F429" s="79"/>
      <c r="G429" s="79"/>
      <c r="H429" s="79"/>
      <c r="I429" s="79">
        <f>SUM(G429:H429)+'BM 006'!I429</f>
        <v>0</v>
      </c>
      <c r="J429" s="79">
        <f t="shared" si="188"/>
        <v>38</v>
      </c>
      <c r="K429" s="80">
        <v>25.03</v>
      </c>
      <c r="L429" s="81">
        <f t="shared" si="187"/>
        <v>31.728030753300004</v>
      </c>
      <c r="M429" s="82">
        <f t="shared" si="182"/>
        <v>0</v>
      </c>
      <c r="N429" s="82">
        <f t="shared" si="183"/>
        <v>0</v>
      </c>
      <c r="O429" s="82">
        <f>N429+'BM 006'!O429</f>
        <v>0</v>
      </c>
      <c r="P429" s="80">
        <f t="shared" si="184"/>
        <v>951.1400000000001</v>
      </c>
      <c r="Q429" s="82">
        <f t="shared" si="185"/>
        <v>1205.6600000000001</v>
      </c>
      <c r="R429" s="82">
        <f t="shared" si="186"/>
        <v>1205.6600000000001</v>
      </c>
    </row>
    <row r="430" spans="2:18" s="34" customFormat="1" ht="46.2">
      <c r="B430" s="75" t="s">
        <v>847</v>
      </c>
      <c r="C430" s="76" t="s">
        <v>848</v>
      </c>
      <c r="D430" s="77" t="s">
        <v>131</v>
      </c>
      <c r="E430" s="93">
        <v>9</v>
      </c>
      <c r="F430" s="79"/>
      <c r="G430" s="79"/>
      <c r="H430" s="79"/>
      <c r="I430" s="79">
        <f>SUM(G430:H430)+'BM 006'!I430</f>
        <v>0</v>
      </c>
      <c r="J430" s="79">
        <f t="shared" si="188"/>
        <v>9</v>
      </c>
      <c r="K430" s="80">
        <v>38.549999999999997</v>
      </c>
      <c r="L430" s="81">
        <f t="shared" si="187"/>
        <v>48.865984240499998</v>
      </c>
      <c r="M430" s="82">
        <f t="shared" si="182"/>
        <v>0</v>
      </c>
      <c r="N430" s="82">
        <f t="shared" si="183"/>
        <v>0</v>
      </c>
      <c r="O430" s="82">
        <f>N430+'BM 006'!O430</f>
        <v>0</v>
      </c>
      <c r="P430" s="80">
        <f t="shared" si="184"/>
        <v>346.95</v>
      </c>
      <c r="Q430" s="82">
        <f t="shared" si="185"/>
        <v>439.79</v>
      </c>
      <c r="R430" s="82">
        <f t="shared" si="186"/>
        <v>439.79</v>
      </c>
    </row>
    <row r="431" spans="2:18" s="34" customFormat="1" ht="57.6">
      <c r="B431" s="75" t="s">
        <v>849</v>
      </c>
      <c r="C431" s="76" t="s">
        <v>850</v>
      </c>
      <c r="D431" s="77" t="s">
        <v>131</v>
      </c>
      <c r="E431" s="93">
        <v>24</v>
      </c>
      <c r="F431" s="79"/>
      <c r="G431" s="79"/>
      <c r="H431" s="79"/>
      <c r="I431" s="79">
        <f>SUM(G431:H431)+'BM 006'!I431</f>
        <v>0</v>
      </c>
      <c r="J431" s="79">
        <f t="shared" si="188"/>
        <v>24</v>
      </c>
      <c r="K431" s="80">
        <v>48.29</v>
      </c>
      <c r="L431" s="81">
        <f t="shared" si="187"/>
        <v>61.212409311900004</v>
      </c>
      <c r="M431" s="82">
        <f t="shared" si="182"/>
        <v>0</v>
      </c>
      <c r="N431" s="82">
        <f t="shared" si="183"/>
        <v>0</v>
      </c>
      <c r="O431" s="82">
        <f>N431+'BM 006'!O431</f>
        <v>0</v>
      </c>
      <c r="P431" s="80">
        <f t="shared" si="184"/>
        <v>1158.96</v>
      </c>
      <c r="Q431" s="82">
        <f t="shared" si="185"/>
        <v>1469.09</v>
      </c>
      <c r="R431" s="82">
        <f t="shared" si="186"/>
        <v>1469.09</v>
      </c>
    </row>
    <row r="432" spans="2:18" s="34" customFormat="1" ht="23.4">
      <c r="B432" s="75" t="s">
        <v>851</v>
      </c>
      <c r="C432" s="76" t="s">
        <v>852</v>
      </c>
      <c r="D432" s="77" t="s">
        <v>131</v>
      </c>
      <c r="E432" s="93">
        <v>64</v>
      </c>
      <c r="F432" s="79"/>
      <c r="G432" s="79"/>
      <c r="H432" s="79"/>
      <c r="I432" s="79">
        <f>SUM(G432:H432)+'BM 006'!I432</f>
        <v>0</v>
      </c>
      <c r="J432" s="79">
        <f t="shared" si="188"/>
        <v>64</v>
      </c>
      <c r="K432" s="80">
        <v>28.98</v>
      </c>
      <c r="L432" s="81">
        <f t="shared" si="187"/>
        <v>36.735051187800003</v>
      </c>
      <c r="M432" s="82">
        <f t="shared" si="182"/>
        <v>0</v>
      </c>
      <c r="N432" s="82">
        <f t="shared" si="183"/>
        <v>0</v>
      </c>
      <c r="O432" s="82">
        <f>N432+'BM 006'!O432</f>
        <v>0</v>
      </c>
      <c r="P432" s="80">
        <f t="shared" si="184"/>
        <v>1854.72</v>
      </c>
      <c r="Q432" s="82">
        <f t="shared" si="185"/>
        <v>2351.04</v>
      </c>
      <c r="R432" s="82">
        <f t="shared" si="186"/>
        <v>2351.04</v>
      </c>
    </row>
    <row r="433" spans="2:18" s="34" customFormat="1" ht="23.4">
      <c r="B433" s="75" t="s">
        <v>853</v>
      </c>
      <c r="C433" s="76" t="s">
        <v>854</v>
      </c>
      <c r="D433" s="77" t="s">
        <v>131</v>
      </c>
      <c r="E433" s="93">
        <v>69</v>
      </c>
      <c r="F433" s="79"/>
      <c r="G433" s="79"/>
      <c r="H433" s="79"/>
      <c r="I433" s="79">
        <f>SUM(G433:H433)+'BM 006'!I433</f>
        <v>0</v>
      </c>
      <c r="J433" s="79">
        <f t="shared" si="188"/>
        <v>69</v>
      </c>
      <c r="K433" s="80">
        <v>44.64</v>
      </c>
      <c r="L433" s="81">
        <f t="shared" si="187"/>
        <v>56.585668910400003</v>
      </c>
      <c r="M433" s="82">
        <f t="shared" si="182"/>
        <v>0</v>
      </c>
      <c r="N433" s="82">
        <f t="shared" si="183"/>
        <v>0</v>
      </c>
      <c r="O433" s="82">
        <f>N433+'BM 006'!O433</f>
        <v>0</v>
      </c>
      <c r="P433" s="80">
        <f t="shared" si="184"/>
        <v>3080.16</v>
      </c>
      <c r="Q433" s="82">
        <f t="shared" si="185"/>
        <v>3904.41</v>
      </c>
      <c r="R433" s="82">
        <f t="shared" si="186"/>
        <v>3904.41</v>
      </c>
    </row>
    <row r="434" spans="2:18" s="34" customFormat="1" ht="23.4">
      <c r="B434" s="75" t="s">
        <v>855</v>
      </c>
      <c r="C434" s="76" t="s">
        <v>856</v>
      </c>
      <c r="D434" s="77" t="s">
        <v>131</v>
      </c>
      <c r="E434" s="93">
        <v>1</v>
      </c>
      <c r="F434" s="79"/>
      <c r="G434" s="79"/>
      <c r="H434" s="79"/>
      <c r="I434" s="79">
        <f>SUM(G434:H434)+'BM 006'!I434</f>
        <v>0</v>
      </c>
      <c r="J434" s="79">
        <f t="shared" si="188"/>
        <v>1</v>
      </c>
      <c r="K434" s="80">
        <v>51.15</v>
      </c>
      <c r="L434" s="81">
        <f t="shared" si="187"/>
        <v>64.837745626499995</v>
      </c>
      <c r="M434" s="82">
        <f t="shared" si="182"/>
        <v>0</v>
      </c>
      <c r="N434" s="82">
        <f t="shared" si="183"/>
        <v>0</v>
      </c>
      <c r="O434" s="82">
        <f>N434+'BM 006'!O434</f>
        <v>0</v>
      </c>
      <c r="P434" s="80">
        <f t="shared" si="184"/>
        <v>51.15</v>
      </c>
      <c r="Q434" s="82">
        <f t="shared" si="185"/>
        <v>64.83</v>
      </c>
      <c r="R434" s="82">
        <f t="shared" si="186"/>
        <v>64.83</v>
      </c>
    </row>
    <row r="435" spans="2:18" s="34" customFormat="1" ht="23.4">
      <c r="B435" s="75" t="s">
        <v>857</v>
      </c>
      <c r="C435" s="76" t="s">
        <v>858</v>
      </c>
      <c r="D435" s="77" t="s">
        <v>131</v>
      </c>
      <c r="E435" s="93">
        <v>52</v>
      </c>
      <c r="F435" s="79"/>
      <c r="G435" s="79"/>
      <c r="H435" s="79"/>
      <c r="I435" s="79">
        <f>SUM(G435:H435)+'BM 006'!I435</f>
        <v>0</v>
      </c>
      <c r="J435" s="79">
        <f t="shared" si="188"/>
        <v>52</v>
      </c>
      <c r="K435" s="80">
        <v>140</v>
      </c>
      <c r="L435" s="81">
        <f t="shared" si="187"/>
        <v>177.46401539999999</v>
      </c>
      <c r="M435" s="82">
        <f t="shared" si="182"/>
        <v>0</v>
      </c>
      <c r="N435" s="82">
        <f t="shared" si="183"/>
        <v>0</v>
      </c>
      <c r="O435" s="82">
        <f>N435+'BM 006'!O435</f>
        <v>0</v>
      </c>
      <c r="P435" s="80">
        <f t="shared" si="184"/>
        <v>7280</v>
      </c>
      <c r="Q435" s="82">
        <f t="shared" si="185"/>
        <v>9228.1200000000008</v>
      </c>
      <c r="R435" s="82">
        <f t="shared" si="186"/>
        <v>9228.1200000000008</v>
      </c>
    </row>
    <row r="436" spans="2:18" s="34" customFormat="1" ht="34.799999999999997">
      <c r="B436" s="75" t="s">
        <v>859</v>
      </c>
      <c r="C436" s="76" t="s">
        <v>860</v>
      </c>
      <c r="D436" s="77" t="s">
        <v>131</v>
      </c>
      <c r="E436" s="93">
        <v>68</v>
      </c>
      <c r="F436" s="79"/>
      <c r="G436" s="79"/>
      <c r="H436" s="79"/>
      <c r="I436" s="79">
        <f>SUM(G436:H436)+'BM 006'!I436</f>
        <v>0</v>
      </c>
      <c r="J436" s="79">
        <f t="shared" si="188"/>
        <v>68</v>
      </c>
      <c r="K436" s="80">
        <v>80</v>
      </c>
      <c r="L436" s="81">
        <f t="shared" si="187"/>
        <v>101.4080088</v>
      </c>
      <c r="M436" s="82">
        <f t="shared" si="182"/>
        <v>0</v>
      </c>
      <c r="N436" s="82">
        <f t="shared" si="183"/>
        <v>0</v>
      </c>
      <c r="O436" s="82">
        <f>N436+'BM 006'!O436</f>
        <v>0</v>
      </c>
      <c r="P436" s="80">
        <f t="shared" si="184"/>
        <v>5440</v>
      </c>
      <c r="Q436" s="82">
        <f t="shared" si="185"/>
        <v>6895.74</v>
      </c>
      <c r="R436" s="82">
        <f t="shared" si="186"/>
        <v>6895.74</v>
      </c>
    </row>
    <row r="437" spans="2:18" s="34" customFormat="1" ht="23.4">
      <c r="B437" s="75" t="s">
        <v>861</v>
      </c>
      <c r="C437" s="76" t="s">
        <v>862</v>
      </c>
      <c r="D437" s="77" t="s">
        <v>131</v>
      </c>
      <c r="E437" s="93">
        <v>10</v>
      </c>
      <c r="F437" s="79"/>
      <c r="G437" s="79"/>
      <c r="H437" s="79"/>
      <c r="I437" s="79">
        <f>SUM(G437:H437)+'BM 006'!I437</f>
        <v>0</v>
      </c>
      <c r="J437" s="79">
        <f t="shared" si="188"/>
        <v>10</v>
      </c>
      <c r="K437" s="80">
        <v>18.14</v>
      </c>
      <c r="L437" s="81">
        <f t="shared" si="187"/>
        <v>22.994265995400003</v>
      </c>
      <c r="M437" s="82">
        <f t="shared" si="182"/>
        <v>0</v>
      </c>
      <c r="N437" s="82">
        <f t="shared" si="183"/>
        <v>0</v>
      </c>
      <c r="O437" s="82">
        <f>N437+'BM 006'!O437</f>
        <v>0</v>
      </c>
      <c r="P437" s="80">
        <f t="shared" si="184"/>
        <v>181.4</v>
      </c>
      <c r="Q437" s="82">
        <f t="shared" si="185"/>
        <v>229.94</v>
      </c>
      <c r="R437" s="82">
        <f t="shared" si="186"/>
        <v>229.94</v>
      </c>
    </row>
    <row r="438" spans="2:18" s="34" customFormat="1" ht="23.4">
      <c r="B438" s="75" t="s">
        <v>863</v>
      </c>
      <c r="C438" s="76" t="s">
        <v>864</v>
      </c>
      <c r="D438" s="77" t="s">
        <v>131</v>
      </c>
      <c r="E438" s="93">
        <v>54</v>
      </c>
      <c r="F438" s="79"/>
      <c r="G438" s="79"/>
      <c r="H438" s="79"/>
      <c r="I438" s="79">
        <f>SUM(G438:H438)+'BM 006'!I438</f>
        <v>0</v>
      </c>
      <c r="J438" s="79">
        <f t="shared" si="188"/>
        <v>54</v>
      </c>
      <c r="K438" s="80">
        <v>21.55</v>
      </c>
      <c r="L438" s="81">
        <f t="shared" si="187"/>
        <v>27.316782370500004</v>
      </c>
      <c r="M438" s="82">
        <f t="shared" si="182"/>
        <v>0</v>
      </c>
      <c r="N438" s="82">
        <f t="shared" si="183"/>
        <v>0</v>
      </c>
      <c r="O438" s="82">
        <f>N438+'BM 006'!O438</f>
        <v>0</v>
      </c>
      <c r="P438" s="80">
        <f t="shared" si="184"/>
        <v>1163.7</v>
      </c>
      <c r="Q438" s="82">
        <f t="shared" si="185"/>
        <v>1475.1</v>
      </c>
      <c r="R438" s="82">
        <f t="shared" si="186"/>
        <v>1475.1</v>
      </c>
    </row>
    <row r="439" spans="2:18" s="34" customFormat="1" ht="23.4">
      <c r="B439" s="75" t="s">
        <v>865</v>
      </c>
      <c r="C439" s="76" t="s">
        <v>866</v>
      </c>
      <c r="D439" s="77" t="s">
        <v>131</v>
      </c>
      <c r="E439" s="93">
        <v>7</v>
      </c>
      <c r="F439" s="79"/>
      <c r="G439" s="79"/>
      <c r="H439" s="79"/>
      <c r="I439" s="79">
        <f>SUM(G439:H439)+'BM 006'!I439</f>
        <v>0</v>
      </c>
      <c r="J439" s="79">
        <f t="shared" si="188"/>
        <v>7</v>
      </c>
      <c r="K439" s="80">
        <v>22.95</v>
      </c>
      <c r="L439" s="81">
        <f t="shared" si="187"/>
        <v>29.0914225245</v>
      </c>
      <c r="M439" s="82">
        <f t="shared" ref="M439:M470" si="189">TRUNC(F439*L439,2)</f>
        <v>0</v>
      </c>
      <c r="N439" s="82">
        <f t="shared" ref="N439:N473" si="190">TRUNC(G439*L439,2)</f>
        <v>0</v>
      </c>
      <c r="O439" s="82">
        <f>N439+'BM 006'!O439</f>
        <v>0</v>
      </c>
      <c r="P439" s="80">
        <f t="shared" ref="P439:P464" si="191">E439*K439</f>
        <v>160.65</v>
      </c>
      <c r="Q439" s="82">
        <f t="shared" ref="Q439:Q473" si="192">TRUNC(E439*L439,2)</f>
        <v>203.63</v>
      </c>
      <c r="R439" s="82">
        <f t="shared" ref="R439:R470" si="193">Q439-O439</f>
        <v>203.63</v>
      </c>
    </row>
    <row r="440" spans="2:18" s="34" customFormat="1" ht="23.4">
      <c r="B440" s="75" t="s">
        <v>867</v>
      </c>
      <c r="C440" s="76" t="s">
        <v>868</v>
      </c>
      <c r="D440" s="77" t="s">
        <v>131</v>
      </c>
      <c r="E440" s="93">
        <v>48</v>
      </c>
      <c r="F440" s="79"/>
      <c r="G440" s="79"/>
      <c r="H440" s="79"/>
      <c r="I440" s="79">
        <f>SUM(G440:H440)+'BM 006'!I440</f>
        <v>0</v>
      </c>
      <c r="J440" s="79">
        <f t="shared" si="188"/>
        <v>48</v>
      </c>
      <c r="K440" s="80">
        <v>49</v>
      </c>
      <c r="L440" s="81">
        <f t="shared" si="187"/>
        <v>62.112405390000006</v>
      </c>
      <c r="M440" s="82">
        <f t="shared" si="189"/>
        <v>0</v>
      </c>
      <c r="N440" s="82">
        <f t="shared" si="190"/>
        <v>0</v>
      </c>
      <c r="O440" s="82">
        <f>N440+'BM 006'!O440</f>
        <v>0</v>
      </c>
      <c r="P440" s="80">
        <f t="shared" si="191"/>
        <v>2352</v>
      </c>
      <c r="Q440" s="82">
        <f t="shared" si="192"/>
        <v>2981.39</v>
      </c>
      <c r="R440" s="82">
        <f t="shared" si="193"/>
        <v>2981.39</v>
      </c>
    </row>
    <row r="441" spans="2:18" s="34" customFormat="1" ht="23.4">
      <c r="B441" s="75" t="s">
        <v>869</v>
      </c>
      <c r="C441" s="76" t="s">
        <v>870</v>
      </c>
      <c r="D441" s="77" t="s">
        <v>131</v>
      </c>
      <c r="E441" s="93">
        <v>1</v>
      </c>
      <c r="F441" s="79"/>
      <c r="G441" s="79"/>
      <c r="H441" s="79"/>
      <c r="I441" s="79">
        <f>SUM(G441:H441)+'BM 006'!I441</f>
        <v>0</v>
      </c>
      <c r="J441" s="79">
        <f t="shared" si="188"/>
        <v>1</v>
      </c>
      <c r="K441" s="80">
        <v>37.4</v>
      </c>
      <c r="L441" s="81">
        <f t="shared" si="187"/>
        <v>47.408244113999999</v>
      </c>
      <c r="M441" s="82">
        <f t="shared" si="189"/>
        <v>0</v>
      </c>
      <c r="N441" s="82">
        <f t="shared" si="190"/>
        <v>0</v>
      </c>
      <c r="O441" s="82">
        <f>N441+'BM 006'!O441</f>
        <v>0</v>
      </c>
      <c r="P441" s="80">
        <f t="shared" si="191"/>
        <v>37.4</v>
      </c>
      <c r="Q441" s="82">
        <f t="shared" si="192"/>
        <v>47.4</v>
      </c>
      <c r="R441" s="82">
        <f t="shared" si="193"/>
        <v>47.4</v>
      </c>
    </row>
    <row r="442" spans="2:18" s="34" customFormat="1" ht="23.4">
      <c r="B442" s="75" t="s">
        <v>871</v>
      </c>
      <c r="C442" s="76" t="s">
        <v>872</v>
      </c>
      <c r="D442" s="77" t="s">
        <v>131</v>
      </c>
      <c r="E442" s="93">
        <v>2</v>
      </c>
      <c r="F442" s="79"/>
      <c r="G442" s="79"/>
      <c r="H442" s="79"/>
      <c r="I442" s="79">
        <f>SUM(G442:H442)+'BM 006'!I442</f>
        <v>0</v>
      </c>
      <c r="J442" s="79">
        <f t="shared" si="188"/>
        <v>2</v>
      </c>
      <c r="K442" s="80">
        <v>78.239999999999995</v>
      </c>
      <c r="L442" s="81">
        <f t="shared" si="187"/>
        <v>99.177032606400005</v>
      </c>
      <c r="M442" s="82">
        <f t="shared" si="189"/>
        <v>0</v>
      </c>
      <c r="N442" s="82">
        <f t="shared" si="190"/>
        <v>0</v>
      </c>
      <c r="O442" s="82">
        <f>N442+'BM 006'!O442</f>
        <v>0</v>
      </c>
      <c r="P442" s="80">
        <f t="shared" si="191"/>
        <v>156.47999999999999</v>
      </c>
      <c r="Q442" s="82">
        <f t="shared" si="192"/>
        <v>198.35</v>
      </c>
      <c r="R442" s="82">
        <f t="shared" si="193"/>
        <v>198.35</v>
      </c>
    </row>
    <row r="443" spans="2:18" s="34" customFormat="1" ht="23.4">
      <c r="B443" s="75" t="s">
        <v>873</v>
      </c>
      <c r="C443" s="76" t="s">
        <v>874</v>
      </c>
      <c r="D443" s="77" t="s">
        <v>131</v>
      </c>
      <c r="E443" s="93">
        <v>1</v>
      </c>
      <c r="F443" s="79"/>
      <c r="G443" s="79"/>
      <c r="H443" s="79"/>
      <c r="I443" s="79">
        <f>SUM(G443:H443)+'BM 006'!I443</f>
        <v>0</v>
      </c>
      <c r="J443" s="79">
        <f t="shared" si="188"/>
        <v>1</v>
      </c>
      <c r="K443" s="80">
        <v>155</v>
      </c>
      <c r="L443" s="81">
        <f t="shared" si="187"/>
        <v>196.47801705000001</v>
      </c>
      <c r="M443" s="82">
        <f t="shared" si="189"/>
        <v>0</v>
      </c>
      <c r="N443" s="82">
        <f t="shared" si="190"/>
        <v>0</v>
      </c>
      <c r="O443" s="82">
        <f>N443+'BM 006'!O443</f>
        <v>0</v>
      </c>
      <c r="P443" s="80">
        <f t="shared" si="191"/>
        <v>155</v>
      </c>
      <c r="Q443" s="82">
        <f t="shared" si="192"/>
        <v>196.47</v>
      </c>
      <c r="R443" s="82">
        <f t="shared" si="193"/>
        <v>196.47</v>
      </c>
    </row>
    <row r="444" spans="2:18" s="34" customFormat="1" ht="23.4">
      <c r="B444" s="75" t="s">
        <v>875</v>
      </c>
      <c r="C444" s="76" t="s">
        <v>876</v>
      </c>
      <c r="D444" s="77" t="s">
        <v>131</v>
      </c>
      <c r="E444" s="93">
        <v>17</v>
      </c>
      <c r="F444" s="79"/>
      <c r="G444" s="79"/>
      <c r="H444" s="79"/>
      <c r="I444" s="79">
        <f>SUM(G444:H444)+'BM 006'!I444</f>
        <v>0</v>
      </c>
      <c r="J444" s="79">
        <f t="shared" si="188"/>
        <v>17</v>
      </c>
      <c r="K444" s="80">
        <v>8.85</v>
      </c>
      <c r="L444" s="81">
        <f t="shared" si="187"/>
        <v>11.2182609735</v>
      </c>
      <c r="M444" s="82">
        <f t="shared" si="189"/>
        <v>0</v>
      </c>
      <c r="N444" s="82">
        <f t="shared" si="190"/>
        <v>0</v>
      </c>
      <c r="O444" s="82">
        <f>N444+'BM 006'!O444</f>
        <v>0</v>
      </c>
      <c r="P444" s="80">
        <f t="shared" si="191"/>
        <v>150.44999999999999</v>
      </c>
      <c r="Q444" s="82">
        <f t="shared" si="192"/>
        <v>190.71</v>
      </c>
      <c r="R444" s="82">
        <f t="shared" si="193"/>
        <v>190.71</v>
      </c>
    </row>
    <row r="445" spans="2:18" s="34" customFormat="1" ht="34.799999999999997">
      <c r="B445" s="75" t="s">
        <v>877</v>
      </c>
      <c r="C445" s="76" t="s">
        <v>878</v>
      </c>
      <c r="D445" s="77" t="s">
        <v>131</v>
      </c>
      <c r="E445" s="93">
        <v>3</v>
      </c>
      <c r="F445" s="79"/>
      <c r="G445" s="79"/>
      <c r="H445" s="79"/>
      <c r="I445" s="79">
        <f>SUM(G445:H445)+'BM 006'!I445</f>
        <v>0</v>
      </c>
      <c r="J445" s="79">
        <f t="shared" si="188"/>
        <v>3</v>
      </c>
      <c r="K445" s="80">
        <v>7.63</v>
      </c>
      <c r="L445" s="81">
        <f t="shared" si="187"/>
        <v>9.6717888392999996</v>
      </c>
      <c r="M445" s="82">
        <f t="shared" si="189"/>
        <v>0</v>
      </c>
      <c r="N445" s="82">
        <f t="shared" si="190"/>
        <v>0</v>
      </c>
      <c r="O445" s="82">
        <f>N445+'BM 006'!O445</f>
        <v>0</v>
      </c>
      <c r="P445" s="80">
        <f t="shared" si="191"/>
        <v>22.89</v>
      </c>
      <c r="Q445" s="82">
        <f t="shared" si="192"/>
        <v>29.01</v>
      </c>
      <c r="R445" s="82">
        <f t="shared" si="193"/>
        <v>29.01</v>
      </c>
    </row>
    <row r="446" spans="2:18" s="34" customFormat="1" ht="23.4">
      <c r="B446" s="75" t="s">
        <v>879</v>
      </c>
      <c r="C446" s="88" t="s">
        <v>711</v>
      </c>
      <c r="D446" s="89" t="s">
        <v>131</v>
      </c>
      <c r="E446" s="90">
        <v>82</v>
      </c>
      <c r="F446" s="91"/>
      <c r="G446" s="91"/>
      <c r="H446" s="91"/>
      <c r="I446" s="91">
        <f>SUM(G446:H446)+'BM 006'!I446</f>
        <v>0</v>
      </c>
      <c r="J446" s="91">
        <f t="shared" si="188"/>
        <v>82</v>
      </c>
      <c r="K446" s="80">
        <v>14.54</v>
      </c>
      <c r="L446" s="81">
        <f t="shared" si="187"/>
        <v>18.430905599399999</v>
      </c>
      <c r="M446" s="82">
        <f t="shared" si="189"/>
        <v>0</v>
      </c>
      <c r="N446" s="82">
        <f t="shared" si="190"/>
        <v>0</v>
      </c>
      <c r="O446" s="82">
        <f>N446+'BM 006'!O446</f>
        <v>0</v>
      </c>
      <c r="P446" s="80">
        <f t="shared" si="191"/>
        <v>1192.28</v>
      </c>
      <c r="Q446" s="82">
        <f t="shared" si="192"/>
        <v>1511.33</v>
      </c>
      <c r="R446" s="82">
        <f t="shared" si="193"/>
        <v>1511.33</v>
      </c>
    </row>
    <row r="447" spans="2:18" s="34" customFormat="1" ht="23.4">
      <c r="B447" s="75" t="s">
        <v>880</v>
      </c>
      <c r="C447" s="76" t="s">
        <v>881</v>
      </c>
      <c r="D447" s="77" t="s">
        <v>131</v>
      </c>
      <c r="E447" s="93">
        <v>5</v>
      </c>
      <c r="F447" s="79"/>
      <c r="G447" s="79"/>
      <c r="H447" s="79"/>
      <c r="I447" s="79">
        <f>SUM(G447:H447)+'BM 006'!I447</f>
        <v>0</v>
      </c>
      <c r="J447" s="79">
        <f t="shared" si="188"/>
        <v>5</v>
      </c>
      <c r="K447" s="80">
        <v>19.91</v>
      </c>
      <c r="L447" s="81">
        <f t="shared" si="187"/>
        <v>25.2379181901</v>
      </c>
      <c r="M447" s="82">
        <f t="shared" si="189"/>
        <v>0</v>
      </c>
      <c r="N447" s="82">
        <f t="shared" si="190"/>
        <v>0</v>
      </c>
      <c r="O447" s="82">
        <f>N447+'BM 006'!O447</f>
        <v>0</v>
      </c>
      <c r="P447" s="80">
        <f t="shared" si="191"/>
        <v>99.55</v>
      </c>
      <c r="Q447" s="82">
        <f t="shared" si="192"/>
        <v>126.18</v>
      </c>
      <c r="R447" s="82">
        <f t="shared" si="193"/>
        <v>126.18</v>
      </c>
    </row>
    <row r="448" spans="2:18" s="34" customFormat="1" ht="23.4">
      <c r="B448" s="75" t="s">
        <v>882</v>
      </c>
      <c r="C448" s="76" t="s">
        <v>883</v>
      </c>
      <c r="D448" s="77" t="s">
        <v>131</v>
      </c>
      <c r="E448" s="93">
        <v>1</v>
      </c>
      <c r="F448" s="79"/>
      <c r="G448" s="79"/>
      <c r="H448" s="79"/>
      <c r="I448" s="79">
        <f>SUM(G448:H448)+'BM 006'!I448</f>
        <v>0</v>
      </c>
      <c r="J448" s="79">
        <f t="shared" si="188"/>
        <v>1</v>
      </c>
      <c r="K448" s="80">
        <v>25.24</v>
      </c>
      <c r="L448" s="81">
        <f t="shared" si="187"/>
        <v>31.994226776399998</v>
      </c>
      <c r="M448" s="82">
        <f t="shared" si="189"/>
        <v>0</v>
      </c>
      <c r="N448" s="82">
        <f t="shared" si="190"/>
        <v>0</v>
      </c>
      <c r="O448" s="82">
        <f>N448+'BM 006'!O448</f>
        <v>0</v>
      </c>
      <c r="P448" s="80">
        <f t="shared" si="191"/>
        <v>25.24</v>
      </c>
      <c r="Q448" s="82">
        <f t="shared" si="192"/>
        <v>31.99</v>
      </c>
      <c r="R448" s="82">
        <f t="shared" si="193"/>
        <v>31.99</v>
      </c>
    </row>
    <row r="449" spans="2:18" s="34" customFormat="1" ht="46.2">
      <c r="B449" s="75" t="s">
        <v>884</v>
      </c>
      <c r="C449" s="76" t="s">
        <v>885</v>
      </c>
      <c r="D449" s="77" t="s">
        <v>131</v>
      </c>
      <c r="E449" s="93">
        <v>79</v>
      </c>
      <c r="F449" s="79"/>
      <c r="G449" s="79"/>
      <c r="H449" s="79"/>
      <c r="I449" s="79">
        <f>SUM(G449:H449)+'BM 006'!I449</f>
        <v>0</v>
      </c>
      <c r="J449" s="79">
        <f t="shared" si="188"/>
        <v>79</v>
      </c>
      <c r="K449" s="80">
        <v>13.15</v>
      </c>
      <c r="L449" s="81">
        <f t="shared" si="187"/>
        <v>16.6689414465</v>
      </c>
      <c r="M449" s="82">
        <f t="shared" si="189"/>
        <v>0</v>
      </c>
      <c r="N449" s="82">
        <f t="shared" si="190"/>
        <v>0</v>
      </c>
      <c r="O449" s="82">
        <f>N449+'BM 006'!O449</f>
        <v>0</v>
      </c>
      <c r="P449" s="80">
        <f t="shared" si="191"/>
        <v>1038.8500000000001</v>
      </c>
      <c r="Q449" s="82">
        <f t="shared" si="192"/>
        <v>1316.84</v>
      </c>
      <c r="R449" s="82">
        <f t="shared" si="193"/>
        <v>1316.84</v>
      </c>
    </row>
    <row r="450" spans="2:18" s="34" customFormat="1" ht="23.4">
      <c r="B450" s="75" t="s">
        <v>886</v>
      </c>
      <c r="C450" s="76" t="s">
        <v>757</v>
      </c>
      <c r="D450" s="77" t="s">
        <v>131</v>
      </c>
      <c r="E450" s="93">
        <v>1</v>
      </c>
      <c r="F450" s="79"/>
      <c r="G450" s="79"/>
      <c r="H450" s="79"/>
      <c r="I450" s="79">
        <f>SUM(G450:H450)+'BM 006'!I450</f>
        <v>0</v>
      </c>
      <c r="J450" s="79">
        <f t="shared" si="188"/>
        <v>1</v>
      </c>
      <c r="K450" s="80">
        <v>12.35</v>
      </c>
      <c r="L450" s="81">
        <f t="shared" si="187"/>
        <v>15.6548613585</v>
      </c>
      <c r="M450" s="82">
        <f t="shared" si="189"/>
        <v>0</v>
      </c>
      <c r="N450" s="82">
        <f t="shared" si="190"/>
        <v>0</v>
      </c>
      <c r="O450" s="82">
        <f>N450+'BM 006'!O450</f>
        <v>0</v>
      </c>
      <c r="P450" s="80">
        <f t="shared" si="191"/>
        <v>12.35</v>
      </c>
      <c r="Q450" s="82">
        <f t="shared" si="192"/>
        <v>15.65</v>
      </c>
      <c r="R450" s="82">
        <f t="shared" si="193"/>
        <v>15.65</v>
      </c>
    </row>
    <row r="451" spans="2:18" s="34" customFormat="1" ht="23.4">
      <c r="B451" s="75" t="s">
        <v>887</v>
      </c>
      <c r="C451" s="76" t="s">
        <v>761</v>
      </c>
      <c r="D451" s="77" t="s">
        <v>131</v>
      </c>
      <c r="E451" s="93">
        <v>3</v>
      </c>
      <c r="F451" s="79"/>
      <c r="G451" s="79"/>
      <c r="H451" s="79"/>
      <c r="I451" s="79">
        <f>SUM(G451:H451)+'BM 006'!I451</f>
        <v>0</v>
      </c>
      <c r="J451" s="79">
        <f t="shared" si="188"/>
        <v>3</v>
      </c>
      <c r="K451" s="80">
        <v>18.5</v>
      </c>
      <c r="L451" s="81">
        <f t="shared" si="187"/>
        <v>23.450602035000003</v>
      </c>
      <c r="M451" s="82">
        <f t="shared" si="189"/>
        <v>0</v>
      </c>
      <c r="N451" s="82">
        <f t="shared" si="190"/>
        <v>0</v>
      </c>
      <c r="O451" s="82">
        <f>N451+'BM 006'!O451</f>
        <v>0</v>
      </c>
      <c r="P451" s="80">
        <f t="shared" si="191"/>
        <v>55.5</v>
      </c>
      <c r="Q451" s="82">
        <f t="shared" si="192"/>
        <v>70.349999999999994</v>
      </c>
      <c r="R451" s="82">
        <f t="shared" si="193"/>
        <v>70.349999999999994</v>
      </c>
    </row>
    <row r="452" spans="2:18" s="34" customFormat="1" ht="23.4">
      <c r="B452" s="75" t="s">
        <v>888</v>
      </c>
      <c r="C452" s="76" t="s">
        <v>771</v>
      </c>
      <c r="D452" s="77" t="s">
        <v>131</v>
      </c>
      <c r="E452" s="93">
        <v>77</v>
      </c>
      <c r="F452" s="79"/>
      <c r="G452" s="79"/>
      <c r="H452" s="79"/>
      <c r="I452" s="79">
        <f>SUM(G452:H452)+'BM 006'!I452</f>
        <v>0</v>
      </c>
      <c r="J452" s="79">
        <f t="shared" si="188"/>
        <v>77</v>
      </c>
      <c r="K452" s="80">
        <v>6.59</v>
      </c>
      <c r="L452" s="81">
        <f t="shared" si="187"/>
        <v>8.3534847248999995</v>
      </c>
      <c r="M452" s="82">
        <f t="shared" si="189"/>
        <v>0</v>
      </c>
      <c r="N452" s="82">
        <f t="shared" si="190"/>
        <v>0</v>
      </c>
      <c r="O452" s="82">
        <f>N452+'BM 006'!O452</f>
        <v>0</v>
      </c>
      <c r="P452" s="80">
        <f t="shared" si="191"/>
        <v>507.43</v>
      </c>
      <c r="Q452" s="82">
        <f t="shared" si="192"/>
        <v>643.21</v>
      </c>
      <c r="R452" s="82">
        <f t="shared" si="193"/>
        <v>643.21</v>
      </c>
    </row>
    <row r="453" spans="2:18" s="34" customFormat="1" ht="23.4">
      <c r="B453" s="75" t="s">
        <v>889</v>
      </c>
      <c r="C453" s="76" t="s">
        <v>773</v>
      </c>
      <c r="D453" s="77" t="s">
        <v>131</v>
      </c>
      <c r="E453" s="93">
        <v>3</v>
      </c>
      <c r="F453" s="79"/>
      <c r="G453" s="79"/>
      <c r="H453" s="79"/>
      <c r="I453" s="79">
        <f>SUM(G453:H453)+'BM 006'!I453</f>
        <v>0</v>
      </c>
      <c r="J453" s="79">
        <f t="shared" si="188"/>
        <v>3</v>
      </c>
      <c r="K453" s="80">
        <v>22.07</v>
      </c>
      <c r="L453" s="81">
        <f t="shared" si="187"/>
        <v>27.9759344277</v>
      </c>
      <c r="M453" s="82">
        <f t="shared" si="189"/>
        <v>0</v>
      </c>
      <c r="N453" s="82">
        <f t="shared" si="190"/>
        <v>0</v>
      </c>
      <c r="O453" s="82">
        <f>N453+'BM 006'!O453</f>
        <v>0</v>
      </c>
      <c r="P453" s="80">
        <f t="shared" si="191"/>
        <v>66.210000000000008</v>
      </c>
      <c r="Q453" s="82">
        <f t="shared" si="192"/>
        <v>83.92</v>
      </c>
      <c r="R453" s="82">
        <f t="shared" si="193"/>
        <v>83.92</v>
      </c>
    </row>
    <row r="454" spans="2:18" s="34" customFormat="1" ht="23.4">
      <c r="B454" s="75" t="s">
        <v>890</v>
      </c>
      <c r="C454" s="88" t="s">
        <v>711</v>
      </c>
      <c r="D454" s="89" t="s">
        <v>131</v>
      </c>
      <c r="E454" s="90">
        <v>14</v>
      </c>
      <c r="F454" s="91"/>
      <c r="G454" s="91"/>
      <c r="H454" s="91"/>
      <c r="I454" s="91">
        <f>SUM(G454:H454)+'BM 006'!I454</f>
        <v>0</v>
      </c>
      <c r="J454" s="91">
        <f t="shared" si="188"/>
        <v>14</v>
      </c>
      <c r="K454" s="80">
        <v>14.54</v>
      </c>
      <c r="L454" s="81">
        <f t="shared" si="187"/>
        <v>18.430905599399999</v>
      </c>
      <c r="M454" s="82">
        <f t="shared" si="189"/>
        <v>0</v>
      </c>
      <c r="N454" s="82">
        <f t="shared" si="190"/>
        <v>0</v>
      </c>
      <c r="O454" s="82">
        <f>N454+'BM 006'!O454</f>
        <v>0</v>
      </c>
      <c r="P454" s="80">
        <f t="shared" si="191"/>
        <v>203.56</v>
      </c>
      <c r="Q454" s="82">
        <f t="shared" si="192"/>
        <v>258.02999999999997</v>
      </c>
      <c r="R454" s="82">
        <f t="shared" si="193"/>
        <v>258.02999999999997</v>
      </c>
    </row>
    <row r="455" spans="2:18" s="34" customFormat="1" ht="46.2">
      <c r="B455" s="75" t="s">
        <v>891</v>
      </c>
      <c r="C455" s="76" t="s">
        <v>892</v>
      </c>
      <c r="D455" s="77" t="s">
        <v>131</v>
      </c>
      <c r="E455" s="93">
        <v>91</v>
      </c>
      <c r="F455" s="79"/>
      <c r="G455" s="79"/>
      <c r="H455" s="79"/>
      <c r="I455" s="79">
        <f>SUM(G455:H455)+'BM 006'!I455</f>
        <v>0</v>
      </c>
      <c r="J455" s="79">
        <f t="shared" si="188"/>
        <v>91</v>
      </c>
      <c r="K455" s="80">
        <v>22.83</v>
      </c>
      <c r="L455" s="81">
        <f t="shared" si="187"/>
        <v>28.9393105113</v>
      </c>
      <c r="M455" s="82">
        <f t="shared" si="189"/>
        <v>0</v>
      </c>
      <c r="N455" s="82">
        <f t="shared" si="190"/>
        <v>0</v>
      </c>
      <c r="O455" s="82">
        <f>N455+'BM 006'!O455</f>
        <v>0</v>
      </c>
      <c r="P455" s="80">
        <f t="shared" si="191"/>
        <v>2077.5299999999997</v>
      </c>
      <c r="Q455" s="82">
        <f t="shared" si="192"/>
        <v>2633.47</v>
      </c>
      <c r="R455" s="82">
        <f t="shared" si="193"/>
        <v>2633.47</v>
      </c>
    </row>
    <row r="456" spans="2:18" s="34" customFormat="1" ht="46.2">
      <c r="B456" s="75" t="s">
        <v>893</v>
      </c>
      <c r="C456" s="76" t="s">
        <v>894</v>
      </c>
      <c r="D456" s="77" t="s">
        <v>131</v>
      </c>
      <c r="E456" s="93">
        <v>26</v>
      </c>
      <c r="F456" s="79"/>
      <c r="G456" s="79"/>
      <c r="H456" s="79"/>
      <c r="I456" s="79">
        <f>SUM(G456:H456)+'BM 006'!I456</f>
        <v>0</v>
      </c>
      <c r="J456" s="79">
        <f t="shared" si="188"/>
        <v>26</v>
      </c>
      <c r="K456" s="80">
        <v>42.22</v>
      </c>
      <c r="L456" s="81">
        <f t="shared" si="187"/>
        <v>53.518076644200001</v>
      </c>
      <c r="M456" s="82">
        <f t="shared" si="189"/>
        <v>0</v>
      </c>
      <c r="N456" s="82">
        <f t="shared" si="190"/>
        <v>0</v>
      </c>
      <c r="O456" s="82">
        <f>N456+'BM 006'!O456</f>
        <v>0</v>
      </c>
      <c r="P456" s="80">
        <f t="shared" si="191"/>
        <v>1097.72</v>
      </c>
      <c r="Q456" s="82">
        <f t="shared" si="192"/>
        <v>1391.46</v>
      </c>
      <c r="R456" s="82">
        <f t="shared" si="193"/>
        <v>1391.46</v>
      </c>
    </row>
    <row r="457" spans="2:18" s="34" customFormat="1" ht="23.4">
      <c r="B457" s="75" t="s">
        <v>895</v>
      </c>
      <c r="C457" s="76" t="s">
        <v>896</v>
      </c>
      <c r="D457" s="77" t="s">
        <v>131</v>
      </c>
      <c r="E457" s="93">
        <v>46</v>
      </c>
      <c r="F457" s="79"/>
      <c r="G457" s="79"/>
      <c r="H457" s="79"/>
      <c r="I457" s="79">
        <f>SUM(G457:H457)+'BM 006'!I457</f>
        <v>0</v>
      </c>
      <c r="J457" s="79">
        <f t="shared" si="188"/>
        <v>46</v>
      </c>
      <c r="K457" s="80">
        <v>110</v>
      </c>
      <c r="L457" s="81">
        <f t="shared" si="187"/>
        <v>139.4360121</v>
      </c>
      <c r="M457" s="82">
        <f t="shared" si="189"/>
        <v>0</v>
      </c>
      <c r="N457" s="82">
        <f t="shared" si="190"/>
        <v>0</v>
      </c>
      <c r="O457" s="82">
        <f>N457+'BM 006'!O457</f>
        <v>0</v>
      </c>
      <c r="P457" s="80">
        <f t="shared" si="191"/>
        <v>5060</v>
      </c>
      <c r="Q457" s="82">
        <f t="shared" si="192"/>
        <v>6414.05</v>
      </c>
      <c r="R457" s="82">
        <f t="shared" si="193"/>
        <v>6414.05</v>
      </c>
    </row>
    <row r="458" spans="2:18" s="34" customFormat="1" ht="34.799999999999997">
      <c r="B458" s="75" t="s">
        <v>897</v>
      </c>
      <c r="C458" s="76" t="s">
        <v>898</v>
      </c>
      <c r="D458" s="77" t="s">
        <v>131</v>
      </c>
      <c r="E458" s="93">
        <v>11</v>
      </c>
      <c r="F458" s="79"/>
      <c r="G458" s="79"/>
      <c r="H458" s="79"/>
      <c r="I458" s="79">
        <f>SUM(G458:H458)+'BM 006'!I458</f>
        <v>0</v>
      </c>
      <c r="J458" s="79">
        <f t="shared" si="188"/>
        <v>11</v>
      </c>
      <c r="K458" s="80">
        <v>35.5</v>
      </c>
      <c r="L458" s="81">
        <f t="shared" si="187"/>
        <v>44.999803905</v>
      </c>
      <c r="M458" s="82">
        <f t="shared" si="189"/>
        <v>0</v>
      </c>
      <c r="N458" s="82">
        <f t="shared" si="190"/>
        <v>0</v>
      </c>
      <c r="O458" s="82">
        <f>N458+'BM 006'!O458</f>
        <v>0</v>
      </c>
      <c r="P458" s="80">
        <f t="shared" si="191"/>
        <v>390.5</v>
      </c>
      <c r="Q458" s="82">
        <f t="shared" si="192"/>
        <v>494.99</v>
      </c>
      <c r="R458" s="82">
        <f t="shared" si="193"/>
        <v>494.99</v>
      </c>
    </row>
    <row r="459" spans="2:18" s="34" customFormat="1" ht="46.2">
      <c r="B459" s="75" t="s">
        <v>899</v>
      </c>
      <c r="C459" s="76" t="s">
        <v>900</v>
      </c>
      <c r="D459" s="77" t="s">
        <v>131</v>
      </c>
      <c r="E459" s="93">
        <v>12</v>
      </c>
      <c r="F459" s="79"/>
      <c r="G459" s="79"/>
      <c r="H459" s="79"/>
      <c r="I459" s="79">
        <f>SUM(G459:H459)+'BM 006'!I459</f>
        <v>0</v>
      </c>
      <c r="J459" s="79">
        <f t="shared" si="188"/>
        <v>12</v>
      </c>
      <c r="K459" s="80">
        <v>37.299999999999997</v>
      </c>
      <c r="L459" s="81">
        <f t="shared" si="187"/>
        <v>47.281484102999997</v>
      </c>
      <c r="M459" s="82">
        <f t="shared" si="189"/>
        <v>0</v>
      </c>
      <c r="N459" s="82">
        <f t="shared" si="190"/>
        <v>0</v>
      </c>
      <c r="O459" s="82">
        <f>N459+'BM 006'!O459</f>
        <v>0</v>
      </c>
      <c r="P459" s="80">
        <f t="shared" si="191"/>
        <v>447.59999999999997</v>
      </c>
      <c r="Q459" s="82">
        <f t="shared" si="192"/>
        <v>567.37</v>
      </c>
      <c r="R459" s="82">
        <f t="shared" si="193"/>
        <v>567.37</v>
      </c>
    </row>
    <row r="460" spans="2:18" s="34" customFormat="1" ht="46.2">
      <c r="B460" s="75" t="s">
        <v>901</v>
      </c>
      <c r="C460" s="76" t="s">
        <v>902</v>
      </c>
      <c r="D460" s="77" t="s">
        <v>131</v>
      </c>
      <c r="E460" s="93">
        <v>2</v>
      </c>
      <c r="F460" s="79"/>
      <c r="G460" s="79"/>
      <c r="H460" s="79"/>
      <c r="I460" s="79">
        <f>SUM(G460:H460)+'BM 006'!I460</f>
        <v>0</v>
      </c>
      <c r="J460" s="79">
        <f t="shared" si="188"/>
        <v>2</v>
      </c>
      <c r="K460" s="80">
        <v>42.5</v>
      </c>
      <c r="L460" s="81">
        <f t="shared" si="187"/>
        <v>53.873004675000004</v>
      </c>
      <c r="M460" s="82">
        <f t="shared" si="189"/>
        <v>0</v>
      </c>
      <c r="N460" s="82">
        <f t="shared" si="190"/>
        <v>0</v>
      </c>
      <c r="O460" s="82">
        <f>N460+'BM 006'!O460</f>
        <v>0</v>
      </c>
      <c r="P460" s="80">
        <f t="shared" si="191"/>
        <v>85</v>
      </c>
      <c r="Q460" s="82">
        <f t="shared" si="192"/>
        <v>107.74</v>
      </c>
      <c r="R460" s="82">
        <f t="shared" si="193"/>
        <v>107.74</v>
      </c>
    </row>
    <row r="461" spans="2:18" s="34" customFormat="1" ht="23.4">
      <c r="B461" s="75" t="s">
        <v>903</v>
      </c>
      <c r="C461" s="76" t="s">
        <v>904</v>
      </c>
      <c r="D461" s="77" t="s">
        <v>131</v>
      </c>
      <c r="E461" s="93">
        <v>6</v>
      </c>
      <c r="F461" s="79"/>
      <c r="G461" s="79"/>
      <c r="H461" s="79"/>
      <c r="I461" s="79">
        <f>SUM(G461:H461)+'BM 006'!I461</f>
        <v>0</v>
      </c>
      <c r="J461" s="79">
        <f t="shared" si="188"/>
        <v>6</v>
      </c>
      <c r="K461" s="80">
        <v>68</v>
      </c>
      <c r="L461" s="81">
        <f t="shared" si="187"/>
        <v>86.196807480000004</v>
      </c>
      <c r="M461" s="82">
        <f t="shared" si="189"/>
        <v>0</v>
      </c>
      <c r="N461" s="82">
        <f t="shared" si="190"/>
        <v>0</v>
      </c>
      <c r="O461" s="82">
        <f>N461+'BM 006'!O461</f>
        <v>0</v>
      </c>
      <c r="P461" s="80">
        <f t="shared" si="191"/>
        <v>408</v>
      </c>
      <c r="Q461" s="82">
        <f t="shared" si="192"/>
        <v>517.17999999999995</v>
      </c>
      <c r="R461" s="82">
        <f t="shared" si="193"/>
        <v>517.17999999999995</v>
      </c>
    </row>
    <row r="462" spans="2:18" s="34" customFormat="1" ht="46.2">
      <c r="B462" s="75" t="s">
        <v>905</v>
      </c>
      <c r="C462" s="76" t="s">
        <v>906</v>
      </c>
      <c r="D462" s="77" t="s">
        <v>131</v>
      </c>
      <c r="E462" s="93">
        <v>3</v>
      </c>
      <c r="F462" s="79"/>
      <c r="G462" s="79"/>
      <c r="H462" s="79"/>
      <c r="I462" s="79">
        <f>SUM(G462:H462)+'BM 006'!I462</f>
        <v>0</v>
      </c>
      <c r="J462" s="79">
        <f t="shared" si="188"/>
        <v>3</v>
      </c>
      <c r="K462" s="80">
        <v>36.61</v>
      </c>
      <c r="L462" s="81">
        <f t="shared" si="187"/>
        <v>46.406840027100003</v>
      </c>
      <c r="M462" s="82">
        <f t="shared" si="189"/>
        <v>0</v>
      </c>
      <c r="N462" s="82">
        <f t="shared" si="190"/>
        <v>0</v>
      </c>
      <c r="O462" s="82">
        <f>N462+'BM 006'!O462</f>
        <v>0</v>
      </c>
      <c r="P462" s="80">
        <f t="shared" si="191"/>
        <v>109.83</v>
      </c>
      <c r="Q462" s="82">
        <f t="shared" si="192"/>
        <v>139.22</v>
      </c>
      <c r="R462" s="82">
        <f t="shared" si="193"/>
        <v>139.22</v>
      </c>
    </row>
    <row r="463" spans="2:18" s="34" customFormat="1" ht="46.2">
      <c r="B463" s="75" t="s">
        <v>907</v>
      </c>
      <c r="C463" s="76" t="s">
        <v>908</v>
      </c>
      <c r="D463" s="77" t="s">
        <v>131</v>
      </c>
      <c r="E463" s="93">
        <v>3</v>
      </c>
      <c r="F463" s="79"/>
      <c r="G463" s="79"/>
      <c r="H463" s="79"/>
      <c r="I463" s="79">
        <f>SUM(G463:H463)+'BM 006'!I463</f>
        <v>0</v>
      </c>
      <c r="J463" s="79">
        <f t="shared" si="188"/>
        <v>3</v>
      </c>
      <c r="K463" s="82">
        <v>11.81</v>
      </c>
      <c r="L463" s="81">
        <f t="shared" si="187"/>
        <v>14.970357299100002</v>
      </c>
      <c r="M463" s="82">
        <f t="shared" si="189"/>
        <v>0</v>
      </c>
      <c r="N463" s="82">
        <f t="shared" si="190"/>
        <v>0</v>
      </c>
      <c r="O463" s="82">
        <f>N463+'BM 006'!O463</f>
        <v>0</v>
      </c>
      <c r="P463" s="82">
        <f t="shared" si="191"/>
        <v>35.43</v>
      </c>
      <c r="Q463" s="82">
        <f t="shared" si="192"/>
        <v>44.91</v>
      </c>
      <c r="R463" s="82">
        <f t="shared" si="193"/>
        <v>44.91</v>
      </c>
    </row>
    <row r="464" spans="2:18" s="34" customFormat="1" ht="34.799999999999997">
      <c r="B464" s="75" t="s">
        <v>909</v>
      </c>
      <c r="C464" s="76" t="s">
        <v>910</v>
      </c>
      <c r="D464" s="77" t="s">
        <v>131</v>
      </c>
      <c r="E464" s="93">
        <v>72</v>
      </c>
      <c r="F464" s="79"/>
      <c r="G464" s="79"/>
      <c r="H464" s="79"/>
      <c r="I464" s="79">
        <f>SUM(G464:H464)+'BM 006'!I464</f>
        <v>0</v>
      </c>
      <c r="J464" s="79">
        <f t="shared" si="188"/>
        <v>72</v>
      </c>
      <c r="K464" s="82">
        <v>13</v>
      </c>
      <c r="L464" s="81">
        <f t="shared" si="187"/>
        <v>16.478801430000001</v>
      </c>
      <c r="M464" s="82">
        <f t="shared" si="189"/>
        <v>0</v>
      </c>
      <c r="N464" s="82">
        <f t="shared" si="190"/>
        <v>0</v>
      </c>
      <c r="O464" s="82">
        <f>N464+'BM 006'!O464</f>
        <v>0</v>
      </c>
      <c r="P464" s="82">
        <f t="shared" si="191"/>
        <v>936</v>
      </c>
      <c r="Q464" s="82">
        <f t="shared" si="192"/>
        <v>1186.47</v>
      </c>
      <c r="R464" s="82">
        <f t="shared" si="193"/>
        <v>1186.47</v>
      </c>
    </row>
    <row r="465" spans="2:18" s="34" customFormat="1" ht="13.2">
      <c r="B465" s="75" t="s">
        <v>911</v>
      </c>
      <c r="C465" s="76"/>
      <c r="D465" s="77"/>
      <c r="E465" s="93"/>
      <c r="F465" s="79"/>
      <c r="G465" s="79"/>
      <c r="H465" s="79"/>
      <c r="I465" s="79">
        <f>SUM(G465:H465)+'BM 006'!I465</f>
        <v>0</v>
      </c>
      <c r="J465" s="79">
        <f t="shared" si="188"/>
        <v>0</v>
      </c>
      <c r="K465" s="82"/>
      <c r="L465" s="81">
        <f t="shared" si="187"/>
        <v>0</v>
      </c>
      <c r="M465" s="82">
        <f t="shared" si="189"/>
        <v>0</v>
      </c>
      <c r="N465" s="82">
        <f t="shared" si="190"/>
        <v>0</v>
      </c>
      <c r="O465" s="82">
        <f>N465+'BM 006'!O465</f>
        <v>0</v>
      </c>
      <c r="P465" s="82"/>
      <c r="Q465" s="82">
        <f t="shared" si="192"/>
        <v>0</v>
      </c>
      <c r="R465" s="82">
        <f t="shared" si="193"/>
        <v>0</v>
      </c>
    </row>
    <row r="466" spans="2:18" s="34" customFormat="1" ht="34.799999999999997">
      <c r="B466" s="75" t="s">
        <v>912</v>
      </c>
      <c r="C466" s="76" t="s">
        <v>733</v>
      </c>
      <c r="D466" s="77" t="s">
        <v>131</v>
      </c>
      <c r="E466" s="93">
        <v>8</v>
      </c>
      <c r="F466" s="79"/>
      <c r="G466" s="79"/>
      <c r="H466" s="79"/>
      <c r="I466" s="79">
        <f>SUM(G466:H466)+'BM 006'!I466</f>
        <v>0</v>
      </c>
      <c r="J466" s="79">
        <f t="shared" si="188"/>
        <v>8</v>
      </c>
      <c r="K466" s="82">
        <v>3.95</v>
      </c>
      <c r="L466" s="81">
        <f t="shared" si="187"/>
        <v>5.0070204345000002</v>
      </c>
      <c r="M466" s="82">
        <f t="shared" si="189"/>
        <v>0</v>
      </c>
      <c r="N466" s="82">
        <f t="shared" si="190"/>
        <v>0</v>
      </c>
      <c r="O466" s="82">
        <f>N466+'BM 006'!O466</f>
        <v>0</v>
      </c>
      <c r="P466" s="82">
        <f t="shared" ref="P466:P473" si="194">E466*K466</f>
        <v>31.6</v>
      </c>
      <c r="Q466" s="82">
        <f t="shared" si="192"/>
        <v>40.049999999999997</v>
      </c>
      <c r="R466" s="82">
        <f t="shared" si="193"/>
        <v>40.049999999999997</v>
      </c>
    </row>
    <row r="467" spans="2:18" s="34" customFormat="1" ht="34.799999999999997">
      <c r="B467" s="75" t="s">
        <v>913</v>
      </c>
      <c r="C467" s="88" t="s">
        <v>735</v>
      </c>
      <c r="D467" s="89" t="s">
        <v>131</v>
      </c>
      <c r="E467" s="90">
        <v>238</v>
      </c>
      <c r="F467" s="91"/>
      <c r="G467" s="91"/>
      <c r="H467" s="91"/>
      <c r="I467" s="91">
        <f>SUM(G467:H467)+'BM 006'!I467</f>
        <v>0</v>
      </c>
      <c r="J467" s="91">
        <f t="shared" si="188"/>
        <v>238</v>
      </c>
      <c r="K467" s="80">
        <v>4.67</v>
      </c>
      <c r="L467" s="81">
        <f t="shared" si="187"/>
        <v>5.9196925137000003</v>
      </c>
      <c r="M467" s="82">
        <f t="shared" si="189"/>
        <v>0</v>
      </c>
      <c r="N467" s="82">
        <f t="shared" si="190"/>
        <v>0</v>
      </c>
      <c r="O467" s="82">
        <f>N467+'BM 006'!O467</f>
        <v>0</v>
      </c>
      <c r="P467" s="80">
        <f t="shared" si="194"/>
        <v>1111.46</v>
      </c>
      <c r="Q467" s="82">
        <f t="shared" si="192"/>
        <v>1408.88</v>
      </c>
      <c r="R467" s="82">
        <f t="shared" si="193"/>
        <v>1408.88</v>
      </c>
    </row>
    <row r="468" spans="2:18" s="34" customFormat="1" ht="34.799999999999997">
      <c r="B468" s="75" t="s">
        <v>914</v>
      </c>
      <c r="C468" s="76" t="s">
        <v>739</v>
      </c>
      <c r="D468" s="77" t="s">
        <v>131</v>
      </c>
      <c r="E468" s="93">
        <v>30</v>
      </c>
      <c r="F468" s="79"/>
      <c r="G468" s="79"/>
      <c r="H468" s="79"/>
      <c r="I468" s="79">
        <f>SUM(G468:H468)+'BM 006'!I468</f>
        <v>0</v>
      </c>
      <c r="J468" s="79">
        <f t="shared" si="188"/>
        <v>30</v>
      </c>
      <c r="K468" s="80">
        <v>11.5</v>
      </c>
      <c r="L468" s="81">
        <f t="shared" si="187"/>
        <v>14.577401265000001</v>
      </c>
      <c r="M468" s="82">
        <f t="shared" si="189"/>
        <v>0</v>
      </c>
      <c r="N468" s="82">
        <f t="shared" si="190"/>
        <v>0</v>
      </c>
      <c r="O468" s="82">
        <f>N468+'BM 006'!O468</f>
        <v>0</v>
      </c>
      <c r="P468" s="80">
        <f t="shared" si="194"/>
        <v>345</v>
      </c>
      <c r="Q468" s="82">
        <f t="shared" si="192"/>
        <v>437.32</v>
      </c>
      <c r="R468" s="82">
        <f t="shared" si="193"/>
        <v>437.32</v>
      </c>
    </row>
    <row r="469" spans="2:18" s="34" customFormat="1" ht="34.799999999999997">
      <c r="B469" s="75" t="s">
        <v>915</v>
      </c>
      <c r="C469" s="76" t="s">
        <v>916</v>
      </c>
      <c r="D469" s="77" t="s">
        <v>131</v>
      </c>
      <c r="E469" s="93">
        <v>1</v>
      </c>
      <c r="F469" s="79"/>
      <c r="G469" s="79"/>
      <c r="H469" s="79"/>
      <c r="I469" s="79">
        <f>SUM(G469:H469)+'BM 006'!I469</f>
        <v>0</v>
      </c>
      <c r="J469" s="79">
        <f t="shared" si="188"/>
        <v>1</v>
      </c>
      <c r="K469" s="80">
        <v>10.5</v>
      </c>
      <c r="L469" s="81">
        <f t="shared" si="187"/>
        <v>13.309801155000001</v>
      </c>
      <c r="M469" s="82">
        <f t="shared" si="189"/>
        <v>0</v>
      </c>
      <c r="N469" s="82">
        <f t="shared" si="190"/>
        <v>0</v>
      </c>
      <c r="O469" s="82">
        <f>N469+'BM 006'!O469</f>
        <v>0</v>
      </c>
      <c r="P469" s="80">
        <f t="shared" si="194"/>
        <v>10.5</v>
      </c>
      <c r="Q469" s="82">
        <f t="shared" si="192"/>
        <v>13.3</v>
      </c>
      <c r="R469" s="82">
        <f t="shared" si="193"/>
        <v>13.3</v>
      </c>
    </row>
    <row r="470" spans="2:18" s="34" customFormat="1" ht="34.799999999999997">
      <c r="B470" s="75" t="s">
        <v>917</v>
      </c>
      <c r="C470" s="76" t="s">
        <v>918</v>
      </c>
      <c r="D470" s="77" t="s">
        <v>131</v>
      </c>
      <c r="E470" s="93">
        <v>1</v>
      </c>
      <c r="F470" s="79"/>
      <c r="G470" s="79"/>
      <c r="H470" s="79"/>
      <c r="I470" s="79">
        <f>SUM(G470:H470)+'BM 006'!I470</f>
        <v>0</v>
      </c>
      <c r="J470" s="79">
        <f t="shared" si="188"/>
        <v>1</v>
      </c>
      <c r="K470" s="80">
        <v>10.14</v>
      </c>
      <c r="L470" s="81">
        <f t="shared" si="187"/>
        <v>12.853465115400001</v>
      </c>
      <c r="M470" s="82">
        <f t="shared" si="189"/>
        <v>0</v>
      </c>
      <c r="N470" s="82">
        <f t="shared" si="190"/>
        <v>0</v>
      </c>
      <c r="O470" s="82">
        <f>N470+'BM 006'!O470</f>
        <v>0</v>
      </c>
      <c r="P470" s="80">
        <f t="shared" si="194"/>
        <v>10.14</v>
      </c>
      <c r="Q470" s="82">
        <f t="shared" si="192"/>
        <v>12.85</v>
      </c>
      <c r="R470" s="82">
        <f t="shared" si="193"/>
        <v>12.85</v>
      </c>
    </row>
    <row r="471" spans="2:18" s="34" customFormat="1" ht="34.799999999999997">
      <c r="B471" s="75" t="s">
        <v>919</v>
      </c>
      <c r="C471" s="88" t="s">
        <v>717</v>
      </c>
      <c r="D471" s="89" t="s">
        <v>131</v>
      </c>
      <c r="E471" s="90">
        <v>238</v>
      </c>
      <c r="F471" s="91"/>
      <c r="G471" s="91"/>
      <c r="H471" s="91"/>
      <c r="I471" s="91">
        <f>SUM(G471:H471)+'BM 006'!I471</f>
        <v>0</v>
      </c>
      <c r="J471" s="91">
        <f t="shared" si="188"/>
        <v>238</v>
      </c>
      <c r="K471" s="80">
        <v>8</v>
      </c>
      <c r="L471" s="81">
        <f t="shared" si="187"/>
        <v>10.14080088</v>
      </c>
      <c r="M471" s="82">
        <f t="shared" ref="M471:M473" si="195">TRUNC(F471*L471,2)</f>
        <v>0</v>
      </c>
      <c r="N471" s="82">
        <f t="shared" si="190"/>
        <v>0</v>
      </c>
      <c r="O471" s="82">
        <f>N471+'BM 006'!O471</f>
        <v>0</v>
      </c>
      <c r="P471" s="80">
        <f t="shared" si="194"/>
        <v>1904</v>
      </c>
      <c r="Q471" s="82">
        <f t="shared" si="192"/>
        <v>2413.5100000000002</v>
      </c>
      <c r="R471" s="82">
        <f t="shared" ref="R471:R473" si="196">Q471-O471</f>
        <v>2413.5100000000002</v>
      </c>
    </row>
    <row r="472" spans="2:18" s="34" customFormat="1" ht="34.799999999999997">
      <c r="B472" s="75" t="s">
        <v>920</v>
      </c>
      <c r="C472" s="88" t="s">
        <v>921</v>
      </c>
      <c r="D472" s="89" t="s">
        <v>131</v>
      </c>
      <c r="E472" s="90">
        <v>6</v>
      </c>
      <c r="F472" s="91"/>
      <c r="G472" s="91"/>
      <c r="H472" s="91"/>
      <c r="I472" s="91">
        <f>SUM(G472:H472)+'BM 006'!I472</f>
        <v>0</v>
      </c>
      <c r="J472" s="91">
        <f t="shared" si="188"/>
        <v>6</v>
      </c>
      <c r="K472" s="80">
        <v>7.51</v>
      </c>
      <c r="L472" s="81">
        <f t="shared" si="187"/>
        <v>9.5196768260999995</v>
      </c>
      <c r="M472" s="82">
        <f t="shared" si="195"/>
        <v>0</v>
      </c>
      <c r="N472" s="82">
        <f t="shared" si="190"/>
        <v>0</v>
      </c>
      <c r="O472" s="82">
        <f>N472+'BM 006'!O472</f>
        <v>0</v>
      </c>
      <c r="P472" s="80">
        <f t="shared" si="194"/>
        <v>45.06</v>
      </c>
      <c r="Q472" s="82">
        <f t="shared" si="192"/>
        <v>57.11</v>
      </c>
      <c r="R472" s="82">
        <f t="shared" si="196"/>
        <v>57.11</v>
      </c>
    </row>
    <row r="473" spans="2:18" s="34" customFormat="1" ht="34.799999999999997">
      <c r="B473" s="87" t="s">
        <v>922</v>
      </c>
      <c r="C473" s="88" t="s">
        <v>721</v>
      </c>
      <c r="D473" s="89" t="s">
        <v>131</v>
      </c>
      <c r="E473" s="90">
        <v>8</v>
      </c>
      <c r="F473" s="91"/>
      <c r="G473" s="91"/>
      <c r="H473" s="91"/>
      <c r="I473" s="91">
        <f>SUM(G473:H473)+'BM 006'!I473</f>
        <v>0</v>
      </c>
      <c r="J473" s="91">
        <f t="shared" si="188"/>
        <v>8</v>
      </c>
      <c r="K473" s="80">
        <v>10.5</v>
      </c>
      <c r="L473" s="81">
        <f t="shared" si="187"/>
        <v>13.309801155000001</v>
      </c>
      <c r="M473" s="82">
        <f t="shared" si="195"/>
        <v>0</v>
      </c>
      <c r="N473" s="82">
        <f t="shared" si="190"/>
        <v>0</v>
      </c>
      <c r="O473" s="82">
        <f>N473+'BM 006'!O473</f>
        <v>0</v>
      </c>
      <c r="P473" s="80">
        <f t="shared" si="194"/>
        <v>84</v>
      </c>
      <c r="Q473" s="82">
        <f t="shared" si="192"/>
        <v>106.47</v>
      </c>
      <c r="R473" s="82">
        <f t="shared" si="196"/>
        <v>106.47</v>
      </c>
    </row>
    <row r="474" spans="2:18" s="34" customFormat="1" ht="24">
      <c r="B474" s="66" t="s">
        <v>923</v>
      </c>
      <c r="C474" s="67" t="s">
        <v>924</v>
      </c>
      <c r="D474" s="68"/>
      <c r="E474" s="69"/>
      <c r="F474" s="70"/>
      <c r="G474" s="70"/>
      <c r="H474" s="70"/>
      <c r="I474" s="70">
        <f>SUM(G474:H474)+'BM 006'!I474</f>
        <v>0</v>
      </c>
      <c r="J474" s="70">
        <f t="shared" si="188"/>
        <v>0</v>
      </c>
      <c r="K474" s="71"/>
      <c r="L474" s="71">
        <f t="shared" si="187"/>
        <v>0</v>
      </c>
      <c r="M474" s="73">
        <f t="shared" ref="M474:R474" si="197">SUM(M475:M480)</f>
        <v>0</v>
      </c>
      <c r="N474" s="73">
        <f t="shared" si="197"/>
        <v>0</v>
      </c>
      <c r="O474" s="73">
        <f t="shared" si="197"/>
        <v>0</v>
      </c>
      <c r="P474" s="73">
        <f t="shared" si="197"/>
        <v>177593</v>
      </c>
      <c r="Q474" s="73">
        <f t="shared" si="197"/>
        <v>225116.89</v>
      </c>
      <c r="R474" s="73">
        <f t="shared" si="197"/>
        <v>225116.89</v>
      </c>
    </row>
    <row r="475" spans="2:18" s="34" customFormat="1" ht="23.4">
      <c r="B475" s="87" t="s">
        <v>925</v>
      </c>
      <c r="C475" s="88" t="s">
        <v>926</v>
      </c>
      <c r="D475" s="89" t="s">
        <v>131</v>
      </c>
      <c r="E475" s="90">
        <v>1</v>
      </c>
      <c r="F475" s="91"/>
      <c r="G475" s="91"/>
      <c r="H475" s="91"/>
      <c r="I475" s="91">
        <f>SUM(G475:H475)+'BM 006'!I475</f>
        <v>0</v>
      </c>
      <c r="J475" s="91">
        <f t="shared" si="188"/>
        <v>1</v>
      </c>
      <c r="K475" s="80">
        <v>40</v>
      </c>
      <c r="L475" s="81">
        <f t="shared" si="187"/>
        <v>50.704004400000002</v>
      </c>
      <c r="M475" s="82">
        <f t="shared" ref="M475:M480" si="198">TRUNC(F475*L475,2)</f>
        <v>0</v>
      </c>
      <c r="N475" s="82">
        <f t="shared" ref="N475:N480" si="199">TRUNC(G475*L475,2)</f>
        <v>0</v>
      </c>
      <c r="O475" s="82">
        <f>N475+'BM 006'!O475</f>
        <v>0</v>
      </c>
      <c r="P475" s="80">
        <f t="shared" ref="P475:P480" si="200">E475*K475</f>
        <v>40</v>
      </c>
      <c r="Q475" s="82">
        <f t="shared" ref="Q475:Q480" si="201">TRUNC(E475*L475,2)</f>
        <v>50.7</v>
      </c>
      <c r="R475" s="82">
        <f t="shared" ref="R475:R480" si="202">Q475-O475</f>
        <v>50.7</v>
      </c>
    </row>
    <row r="476" spans="2:18" s="34" customFormat="1" ht="23.4">
      <c r="B476" s="87" t="s">
        <v>927</v>
      </c>
      <c r="C476" s="88" t="s">
        <v>928</v>
      </c>
      <c r="D476" s="89" t="s">
        <v>131</v>
      </c>
      <c r="E476" s="90">
        <v>69</v>
      </c>
      <c r="F476" s="91"/>
      <c r="G476" s="91"/>
      <c r="H476" s="91"/>
      <c r="I476" s="91">
        <f>SUM(G476:H476)+'BM 006'!I476</f>
        <v>0</v>
      </c>
      <c r="J476" s="91">
        <f t="shared" si="188"/>
        <v>69</v>
      </c>
      <c r="K476" s="80">
        <v>62</v>
      </c>
      <c r="L476" s="81">
        <f t="shared" si="187"/>
        <v>78.591206819999996</v>
      </c>
      <c r="M476" s="82">
        <f t="shared" si="198"/>
        <v>0</v>
      </c>
      <c r="N476" s="82">
        <f t="shared" si="199"/>
        <v>0</v>
      </c>
      <c r="O476" s="82">
        <f>N476+'BM 006'!O476</f>
        <v>0</v>
      </c>
      <c r="P476" s="80">
        <f t="shared" si="200"/>
        <v>4278</v>
      </c>
      <c r="Q476" s="82">
        <f t="shared" si="201"/>
        <v>5422.79</v>
      </c>
      <c r="R476" s="82">
        <f t="shared" si="202"/>
        <v>5422.79</v>
      </c>
    </row>
    <row r="477" spans="2:18" s="34" customFormat="1" ht="34.799999999999997">
      <c r="B477" s="87" t="s">
        <v>929</v>
      </c>
      <c r="C477" s="88" t="s">
        <v>930</v>
      </c>
      <c r="D477" s="89" t="s">
        <v>131</v>
      </c>
      <c r="E477" s="90">
        <v>3</v>
      </c>
      <c r="F477" s="91"/>
      <c r="G477" s="91"/>
      <c r="H477" s="91"/>
      <c r="I477" s="91">
        <f>SUM(G477:H477)+'BM 006'!I477</f>
        <v>0</v>
      </c>
      <c r="J477" s="91">
        <f t="shared" si="188"/>
        <v>3</v>
      </c>
      <c r="K477" s="80">
        <v>25</v>
      </c>
      <c r="L477" s="81">
        <f t="shared" ref="L477:L540" si="203">K477*(1+$T$26)</f>
        <v>31.690002750000001</v>
      </c>
      <c r="M477" s="82">
        <f t="shared" si="198"/>
        <v>0</v>
      </c>
      <c r="N477" s="82">
        <f t="shared" si="199"/>
        <v>0</v>
      </c>
      <c r="O477" s="82">
        <f>N477+'BM 006'!O477</f>
        <v>0</v>
      </c>
      <c r="P477" s="80">
        <f t="shared" si="200"/>
        <v>75</v>
      </c>
      <c r="Q477" s="82">
        <f t="shared" si="201"/>
        <v>95.07</v>
      </c>
      <c r="R477" s="82">
        <f t="shared" si="202"/>
        <v>95.07</v>
      </c>
    </row>
    <row r="478" spans="2:18" s="34" customFormat="1" ht="34.799999999999997">
      <c r="B478" s="87" t="s">
        <v>931</v>
      </c>
      <c r="C478" s="88" t="s">
        <v>932</v>
      </c>
      <c r="D478" s="89" t="s">
        <v>131</v>
      </c>
      <c r="E478" s="90">
        <v>2</v>
      </c>
      <c r="F478" s="91"/>
      <c r="G478" s="91"/>
      <c r="H478" s="91"/>
      <c r="I478" s="91">
        <f>SUM(G478:H478)+'BM 006'!I478</f>
        <v>0</v>
      </c>
      <c r="J478" s="91">
        <f t="shared" si="188"/>
        <v>2</v>
      </c>
      <c r="K478" s="80">
        <v>2100</v>
      </c>
      <c r="L478" s="81">
        <f t="shared" si="203"/>
        <v>2661.960231</v>
      </c>
      <c r="M478" s="82">
        <f t="shared" si="198"/>
        <v>0</v>
      </c>
      <c r="N478" s="82">
        <f t="shared" si="199"/>
        <v>0</v>
      </c>
      <c r="O478" s="82">
        <f>N478+'BM 006'!O478</f>
        <v>0</v>
      </c>
      <c r="P478" s="80">
        <f t="shared" si="200"/>
        <v>4200</v>
      </c>
      <c r="Q478" s="82">
        <f t="shared" si="201"/>
        <v>5323.92</v>
      </c>
      <c r="R478" s="82">
        <f t="shared" si="202"/>
        <v>5323.92</v>
      </c>
    </row>
    <row r="479" spans="2:18" s="34" customFormat="1" ht="34.799999999999997">
      <c r="B479" s="87" t="s">
        <v>933</v>
      </c>
      <c r="C479" s="88" t="s">
        <v>934</v>
      </c>
      <c r="D479" s="89" t="s">
        <v>131</v>
      </c>
      <c r="E479" s="90">
        <v>6</v>
      </c>
      <c r="F479" s="91"/>
      <c r="G479" s="91"/>
      <c r="H479" s="91"/>
      <c r="I479" s="91">
        <f>SUM(G479:H479)+'BM 006'!I479</f>
        <v>0</v>
      </c>
      <c r="J479" s="91">
        <f t="shared" ref="J479:J542" si="204">E479-I479</f>
        <v>6</v>
      </c>
      <c r="K479" s="80">
        <v>9000</v>
      </c>
      <c r="L479" s="81">
        <f t="shared" si="203"/>
        <v>11408.40099</v>
      </c>
      <c r="M479" s="82">
        <f t="shared" si="198"/>
        <v>0</v>
      </c>
      <c r="N479" s="82">
        <f t="shared" si="199"/>
        <v>0</v>
      </c>
      <c r="O479" s="82">
        <f>N479+'BM 006'!O479</f>
        <v>0</v>
      </c>
      <c r="P479" s="80">
        <f t="shared" si="200"/>
        <v>54000</v>
      </c>
      <c r="Q479" s="82">
        <f t="shared" si="201"/>
        <v>68450.399999999994</v>
      </c>
      <c r="R479" s="82">
        <f t="shared" si="202"/>
        <v>68450.399999999994</v>
      </c>
    </row>
    <row r="480" spans="2:18" s="34" customFormat="1" ht="23.4">
      <c r="B480" s="87" t="s">
        <v>935</v>
      </c>
      <c r="C480" s="88" t="s">
        <v>936</v>
      </c>
      <c r="D480" s="89" t="s">
        <v>131</v>
      </c>
      <c r="E480" s="90">
        <v>1</v>
      </c>
      <c r="F480" s="91"/>
      <c r="G480" s="91"/>
      <c r="H480" s="91"/>
      <c r="I480" s="91">
        <f>SUM(G480:H480)+'BM 006'!I480</f>
        <v>0</v>
      </c>
      <c r="J480" s="91">
        <f t="shared" si="204"/>
        <v>1</v>
      </c>
      <c r="K480" s="80">
        <v>115000</v>
      </c>
      <c r="L480" s="81">
        <f t="shared" si="203"/>
        <v>145774.01265000002</v>
      </c>
      <c r="M480" s="82">
        <f t="shared" si="198"/>
        <v>0</v>
      </c>
      <c r="N480" s="82">
        <f t="shared" si="199"/>
        <v>0</v>
      </c>
      <c r="O480" s="82">
        <f>N480+'BM 006'!O480</f>
        <v>0</v>
      </c>
      <c r="P480" s="80">
        <f t="shared" si="200"/>
        <v>115000</v>
      </c>
      <c r="Q480" s="82">
        <f t="shared" si="201"/>
        <v>145774.01</v>
      </c>
      <c r="R480" s="82">
        <f t="shared" si="202"/>
        <v>145774.01</v>
      </c>
    </row>
    <row r="481" spans="2:18" s="34" customFormat="1" ht="13.2">
      <c r="B481" s="60" t="s">
        <v>937</v>
      </c>
      <c r="C481" s="61" t="s">
        <v>938</v>
      </c>
      <c r="D481" s="60"/>
      <c r="E481" s="62"/>
      <c r="F481" s="63"/>
      <c r="G481" s="63"/>
      <c r="H481" s="63"/>
      <c r="I481" s="63">
        <f>SUM(G481:H481)+'BM 006'!I481</f>
        <v>0</v>
      </c>
      <c r="J481" s="63">
        <f t="shared" si="204"/>
        <v>0</v>
      </c>
      <c r="K481" s="63"/>
      <c r="L481" s="63">
        <f t="shared" si="203"/>
        <v>0</v>
      </c>
      <c r="M481" s="63">
        <f t="shared" ref="M481:R481" si="205">SUM(M482,M487)</f>
        <v>0</v>
      </c>
      <c r="N481" s="63">
        <f t="shared" si="205"/>
        <v>0</v>
      </c>
      <c r="O481" s="63">
        <f t="shared" si="205"/>
        <v>0</v>
      </c>
      <c r="P481" s="63">
        <f t="shared" si="205"/>
        <v>198555.35149999999</v>
      </c>
      <c r="Q481" s="63">
        <f t="shared" si="205"/>
        <v>251688.67</v>
      </c>
      <c r="R481" s="63">
        <f t="shared" si="205"/>
        <v>251688.67</v>
      </c>
    </row>
    <row r="482" spans="2:18" s="34" customFormat="1" ht="13.2">
      <c r="B482" s="66" t="s">
        <v>939</v>
      </c>
      <c r="C482" s="67" t="s">
        <v>940</v>
      </c>
      <c r="D482" s="68"/>
      <c r="E482" s="69"/>
      <c r="F482" s="70"/>
      <c r="G482" s="70"/>
      <c r="H482" s="70"/>
      <c r="I482" s="70">
        <f>SUM(G482:H482)+'BM 006'!I482</f>
        <v>0</v>
      </c>
      <c r="J482" s="70">
        <f t="shared" si="204"/>
        <v>0</v>
      </c>
      <c r="K482" s="71"/>
      <c r="L482" s="71">
        <f t="shared" si="203"/>
        <v>0</v>
      </c>
      <c r="M482" s="73">
        <f t="shared" ref="M482:R482" si="206">SUM(M483:M486)</f>
        <v>0</v>
      </c>
      <c r="N482" s="73">
        <f t="shared" si="206"/>
        <v>0</v>
      </c>
      <c r="O482" s="73">
        <f t="shared" si="206"/>
        <v>0</v>
      </c>
      <c r="P482" s="73">
        <f t="shared" si="206"/>
        <v>157288.71</v>
      </c>
      <c r="Q482" s="73">
        <f t="shared" si="206"/>
        <v>199379.17</v>
      </c>
      <c r="R482" s="73">
        <f t="shared" si="206"/>
        <v>199379.17</v>
      </c>
    </row>
    <row r="483" spans="2:18" s="34" customFormat="1" ht="46.2">
      <c r="B483" s="75" t="s">
        <v>941</v>
      </c>
      <c r="C483" s="76" t="s">
        <v>942</v>
      </c>
      <c r="D483" s="77" t="s">
        <v>82</v>
      </c>
      <c r="E483" s="93">
        <v>546.20000000000005</v>
      </c>
      <c r="F483" s="79"/>
      <c r="G483" s="79"/>
      <c r="H483" s="79"/>
      <c r="I483" s="79">
        <f>SUM(G483:H483)+'BM 006'!I483</f>
        <v>0</v>
      </c>
      <c r="J483" s="79">
        <f t="shared" si="204"/>
        <v>546.20000000000005</v>
      </c>
      <c r="K483" s="84">
        <v>71.55</v>
      </c>
      <c r="L483" s="81">
        <f t="shared" si="203"/>
        <v>90.696787870500003</v>
      </c>
      <c r="M483" s="82">
        <f>TRUNC(F483*L483,2)</f>
        <v>0</v>
      </c>
      <c r="N483" s="82">
        <f>TRUNC(G483*L483,2)</f>
        <v>0</v>
      </c>
      <c r="O483" s="82">
        <f>N483+'BM 006'!O483</f>
        <v>0</v>
      </c>
      <c r="P483" s="80">
        <f>E483*K483</f>
        <v>39080.61</v>
      </c>
      <c r="Q483" s="82">
        <f>TRUNC(E483*L483,2)</f>
        <v>49538.58</v>
      </c>
      <c r="R483" s="82">
        <f>Q483-O483</f>
        <v>49538.58</v>
      </c>
    </row>
    <row r="484" spans="2:18" s="34" customFormat="1" ht="46.2">
      <c r="B484" s="75" t="s">
        <v>943</v>
      </c>
      <c r="C484" s="76" t="s">
        <v>944</v>
      </c>
      <c r="D484" s="77" t="s">
        <v>124</v>
      </c>
      <c r="E484" s="93">
        <v>314</v>
      </c>
      <c r="F484" s="79"/>
      <c r="G484" s="79"/>
      <c r="H484" s="79"/>
      <c r="I484" s="79">
        <f>SUM(G484:H484)+'BM 006'!I484</f>
        <v>0</v>
      </c>
      <c r="J484" s="79">
        <f t="shared" si="204"/>
        <v>314</v>
      </c>
      <c r="K484" s="84">
        <v>120.15</v>
      </c>
      <c r="L484" s="81">
        <f t="shared" si="203"/>
        <v>152.30215321650002</v>
      </c>
      <c r="M484" s="82">
        <f>TRUNC(F484*L484,2)</f>
        <v>0</v>
      </c>
      <c r="N484" s="82">
        <f>TRUNC(G484*L484,2)</f>
        <v>0</v>
      </c>
      <c r="O484" s="82">
        <f>N484+'BM 006'!O484</f>
        <v>0</v>
      </c>
      <c r="P484" s="80">
        <f>E484*K484</f>
        <v>37727.1</v>
      </c>
      <c r="Q484" s="82">
        <f>TRUNC(E484*L484,2)</f>
        <v>47822.87</v>
      </c>
      <c r="R484" s="82">
        <f>Q484-O484</f>
        <v>47822.87</v>
      </c>
    </row>
    <row r="485" spans="2:18" s="34" customFormat="1" ht="46.2">
      <c r="B485" s="75" t="s">
        <v>945</v>
      </c>
      <c r="C485" s="76" t="s">
        <v>946</v>
      </c>
      <c r="D485" s="77" t="s">
        <v>82</v>
      </c>
      <c r="E485" s="78">
        <v>36.700000000000003</v>
      </c>
      <c r="F485" s="79"/>
      <c r="G485" s="79"/>
      <c r="H485" s="79"/>
      <c r="I485" s="79">
        <f>SUM(G485:H485)+'BM 006'!I485</f>
        <v>0</v>
      </c>
      <c r="J485" s="79">
        <f t="shared" si="204"/>
        <v>36.700000000000003</v>
      </c>
      <c r="K485" s="84">
        <v>149.85</v>
      </c>
      <c r="L485" s="81">
        <f t="shared" si="203"/>
        <v>189.94987648349999</v>
      </c>
      <c r="M485" s="82">
        <f>TRUNC(F485*L485,2)</f>
        <v>0</v>
      </c>
      <c r="N485" s="82">
        <f>TRUNC(G485*L485,2)</f>
        <v>0</v>
      </c>
      <c r="O485" s="82">
        <f>N485+'BM 006'!O485</f>
        <v>0</v>
      </c>
      <c r="P485" s="80">
        <f>E485*K485</f>
        <v>5499.4949999999999</v>
      </c>
      <c r="Q485" s="82">
        <f>TRUNC(E485*L485,2)</f>
        <v>6971.16</v>
      </c>
      <c r="R485" s="82">
        <f>Q485-O485</f>
        <v>6971.16</v>
      </c>
    </row>
    <row r="486" spans="2:18" s="34" customFormat="1" ht="46.2">
      <c r="B486" s="75" t="s">
        <v>947</v>
      </c>
      <c r="C486" s="76" t="s">
        <v>948</v>
      </c>
      <c r="D486" s="77" t="s">
        <v>82</v>
      </c>
      <c r="E486" s="93">
        <v>180.5</v>
      </c>
      <c r="F486" s="79"/>
      <c r="G486" s="79"/>
      <c r="H486" s="79"/>
      <c r="I486" s="79">
        <f>SUM(G486:H486)+'BM 006'!I486</f>
        <v>0</v>
      </c>
      <c r="J486" s="79">
        <f t="shared" si="204"/>
        <v>180.5</v>
      </c>
      <c r="K486" s="84">
        <v>415.41</v>
      </c>
      <c r="L486" s="81">
        <f t="shared" si="203"/>
        <v>526.57376169510007</v>
      </c>
      <c r="M486" s="82">
        <f>TRUNC(F486*L486,2)</f>
        <v>0</v>
      </c>
      <c r="N486" s="82">
        <f>TRUNC(G486*L486,2)</f>
        <v>0</v>
      </c>
      <c r="O486" s="82">
        <f>N486+'BM 006'!O486</f>
        <v>0</v>
      </c>
      <c r="P486" s="80">
        <f>E486*K486</f>
        <v>74981.505000000005</v>
      </c>
      <c r="Q486" s="82">
        <f>TRUNC(E486*L486,2)</f>
        <v>95046.56</v>
      </c>
      <c r="R486" s="82">
        <f>Q486-O486</f>
        <v>95046.56</v>
      </c>
    </row>
    <row r="487" spans="2:18" s="34" customFormat="1" ht="13.2">
      <c r="B487" s="66" t="s">
        <v>949</v>
      </c>
      <c r="C487" s="67" t="s">
        <v>950</v>
      </c>
      <c r="D487" s="68"/>
      <c r="E487" s="69"/>
      <c r="F487" s="70"/>
      <c r="G487" s="70"/>
      <c r="H487" s="70"/>
      <c r="I487" s="70">
        <f>SUM(G487:H487)+'BM 006'!I487</f>
        <v>0</v>
      </c>
      <c r="J487" s="70">
        <f t="shared" si="204"/>
        <v>0</v>
      </c>
      <c r="K487" s="71"/>
      <c r="L487" s="71">
        <f t="shared" si="203"/>
        <v>0</v>
      </c>
      <c r="M487" s="73">
        <f t="shared" ref="M487:R487" si="207">SUM(M488:M506)</f>
        <v>0</v>
      </c>
      <c r="N487" s="73">
        <f t="shared" si="207"/>
        <v>0</v>
      </c>
      <c r="O487" s="73">
        <f t="shared" si="207"/>
        <v>0</v>
      </c>
      <c r="P487" s="73">
        <f t="shared" si="207"/>
        <v>41266.641499999998</v>
      </c>
      <c r="Q487" s="73">
        <f t="shared" si="207"/>
        <v>52309.5</v>
      </c>
      <c r="R487" s="73">
        <f t="shared" si="207"/>
        <v>52309.5</v>
      </c>
    </row>
    <row r="488" spans="2:18" s="34" customFormat="1" ht="34.799999999999997">
      <c r="B488" s="75" t="s">
        <v>951</v>
      </c>
      <c r="C488" s="76" t="s">
        <v>952</v>
      </c>
      <c r="D488" s="77" t="s">
        <v>131</v>
      </c>
      <c r="E488" s="78">
        <v>362</v>
      </c>
      <c r="F488" s="79"/>
      <c r="G488" s="79"/>
      <c r="H488" s="79"/>
      <c r="I488" s="79">
        <f>SUM(G488:H488)+'BM 006'!I488</f>
        <v>0</v>
      </c>
      <c r="J488" s="79">
        <f t="shared" si="204"/>
        <v>362</v>
      </c>
      <c r="K488" s="84">
        <v>5.6295000000000002</v>
      </c>
      <c r="L488" s="81">
        <f t="shared" si="203"/>
        <v>7.1359548192450006</v>
      </c>
      <c r="M488" s="82">
        <f t="shared" ref="M488:M506" si="208">TRUNC(F488*L488,2)</f>
        <v>0</v>
      </c>
      <c r="N488" s="82">
        <f t="shared" ref="N488:N506" si="209">TRUNC(G488*L488,2)</f>
        <v>0</v>
      </c>
      <c r="O488" s="82">
        <f>N488+'BM 006'!O488</f>
        <v>0</v>
      </c>
      <c r="P488" s="80">
        <f t="shared" ref="P488:P506" si="210">E488*K488</f>
        <v>2037.8790000000001</v>
      </c>
      <c r="Q488" s="82">
        <f t="shared" ref="Q488:Q506" si="211">TRUNC(E488*L488,2)</f>
        <v>2583.21</v>
      </c>
      <c r="R488" s="82">
        <f t="shared" ref="R488:R506" si="212">Q488-O488</f>
        <v>2583.21</v>
      </c>
    </row>
    <row r="489" spans="2:18" s="34" customFormat="1" ht="34.799999999999997">
      <c r="B489" s="75" t="s">
        <v>953</v>
      </c>
      <c r="C489" s="76" t="s">
        <v>954</v>
      </c>
      <c r="D489" s="77" t="s">
        <v>131</v>
      </c>
      <c r="E489" s="78">
        <v>41</v>
      </c>
      <c r="F489" s="79"/>
      <c r="G489" s="79"/>
      <c r="H489" s="79"/>
      <c r="I489" s="79">
        <f>SUM(G489:H489)+'BM 006'!I489</f>
        <v>0</v>
      </c>
      <c r="J489" s="79">
        <f t="shared" si="204"/>
        <v>41</v>
      </c>
      <c r="K489" s="84">
        <v>12.771000000000001</v>
      </c>
      <c r="L489" s="81">
        <f t="shared" si="203"/>
        <v>16.188521004810003</v>
      </c>
      <c r="M489" s="82">
        <f t="shared" si="208"/>
        <v>0</v>
      </c>
      <c r="N489" s="82">
        <f t="shared" si="209"/>
        <v>0</v>
      </c>
      <c r="O489" s="82">
        <f>N489+'BM 006'!O489</f>
        <v>0</v>
      </c>
      <c r="P489" s="80">
        <f t="shared" si="210"/>
        <v>523.61099999999999</v>
      </c>
      <c r="Q489" s="82">
        <f t="shared" si="211"/>
        <v>663.72</v>
      </c>
      <c r="R489" s="82">
        <f t="shared" si="212"/>
        <v>663.72</v>
      </c>
    </row>
    <row r="490" spans="2:18" s="34" customFormat="1" ht="34.799999999999997">
      <c r="B490" s="75" t="s">
        <v>955</v>
      </c>
      <c r="C490" s="76" t="s">
        <v>956</v>
      </c>
      <c r="D490" s="77" t="s">
        <v>131</v>
      </c>
      <c r="E490" s="78">
        <v>4</v>
      </c>
      <c r="F490" s="79"/>
      <c r="G490" s="79"/>
      <c r="H490" s="79"/>
      <c r="I490" s="79">
        <f>SUM(G490:H490)+'BM 006'!I490</f>
        <v>0</v>
      </c>
      <c r="J490" s="79">
        <f t="shared" si="204"/>
        <v>4</v>
      </c>
      <c r="K490" s="84">
        <v>20.358000000000001</v>
      </c>
      <c r="L490" s="81">
        <f t="shared" si="203"/>
        <v>25.805803039380002</v>
      </c>
      <c r="M490" s="82">
        <f t="shared" si="208"/>
        <v>0</v>
      </c>
      <c r="N490" s="82">
        <f t="shared" si="209"/>
        <v>0</v>
      </c>
      <c r="O490" s="82">
        <f>N490+'BM 006'!O490</f>
        <v>0</v>
      </c>
      <c r="P490" s="80">
        <f t="shared" si="210"/>
        <v>81.432000000000002</v>
      </c>
      <c r="Q490" s="82">
        <f t="shared" si="211"/>
        <v>103.22</v>
      </c>
      <c r="R490" s="82">
        <f t="shared" si="212"/>
        <v>103.22</v>
      </c>
    </row>
    <row r="491" spans="2:18" s="34" customFormat="1" ht="34.799999999999997">
      <c r="B491" s="75" t="s">
        <v>957</v>
      </c>
      <c r="C491" s="76" t="s">
        <v>958</v>
      </c>
      <c r="D491" s="77" t="s">
        <v>131</v>
      </c>
      <c r="E491" s="78">
        <v>12</v>
      </c>
      <c r="F491" s="79"/>
      <c r="G491" s="79"/>
      <c r="H491" s="79"/>
      <c r="I491" s="79">
        <f>SUM(G491:H491)+'BM 006'!I491</f>
        <v>0</v>
      </c>
      <c r="J491" s="79">
        <f t="shared" si="204"/>
        <v>12</v>
      </c>
      <c r="K491" s="84">
        <v>68.418000000000006</v>
      </c>
      <c r="L491" s="81">
        <f t="shared" si="203"/>
        <v>86.726664325980011</v>
      </c>
      <c r="M491" s="82">
        <f t="shared" si="208"/>
        <v>0</v>
      </c>
      <c r="N491" s="82">
        <f t="shared" si="209"/>
        <v>0</v>
      </c>
      <c r="O491" s="82">
        <f>N491+'BM 006'!O491</f>
        <v>0</v>
      </c>
      <c r="P491" s="80">
        <f t="shared" si="210"/>
        <v>821.01600000000008</v>
      </c>
      <c r="Q491" s="82">
        <f t="shared" si="211"/>
        <v>1040.71</v>
      </c>
      <c r="R491" s="82">
        <f t="shared" si="212"/>
        <v>1040.71</v>
      </c>
    </row>
    <row r="492" spans="2:18" s="34" customFormat="1" ht="46.2">
      <c r="B492" s="75" t="s">
        <v>959</v>
      </c>
      <c r="C492" s="76" t="s">
        <v>960</v>
      </c>
      <c r="D492" s="77" t="s">
        <v>131</v>
      </c>
      <c r="E492" s="78">
        <v>106</v>
      </c>
      <c r="F492" s="79"/>
      <c r="G492" s="79"/>
      <c r="H492" s="79"/>
      <c r="I492" s="79">
        <f>SUM(G492:H492)+'BM 006'!I492</f>
        <v>0</v>
      </c>
      <c r="J492" s="79">
        <f t="shared" si="204"/>
        <v>106</v>
      </c>
      <c r="K492" s="84">
        <v>20.52</v>
      </c>
      <c r="L492" s="81">
        <f t="shared" si="203"/>
        <v>26.011154257200001</v>
      </c>
      <c r="M492" s="82">
        <f t="shared" si="208"/>
        <v>0</v>
      </c>
      <c r="N492" s="82">
        <f t="shared" si="209"/>
        <v>0</v>
      </c>
      <c r="O492" s="82">
        <f>N492+'BM 006'!O492</f>
        <v>0</v>
      </c>
      <c r="P492" s="80">
        <f t="shared" si="210"/>
        <v>2175.12</v>
      </c>
      <c r="Q492" s="82">
        <f t="shared" si="211"/>
        <v>2757.18</v>
      </c>
      <c r="R492" s="82">
        <f t="shared" si="212"/>
        <v>2757.18</v>
      </c>
    </row>
    <row r="493" spans="2:18" s="34" customFormat="1" ht="46.2">
      <c r="B493" s="75" t="s">
        <v>961</v>
      </c>
      <c r="C493" s="76" t="s">
        <v>962</v>
      </c>
      <c r="D493" s="77" t="s">
        <v>131</v>
      </c>
      <c r="E493" s="78">
        <v>14</v>
      </c>
      <c r="F493" s="79"/>
      <c r="G493" s="79"/>
      <c r="H493" s="79"/>
      <c r="I493" s="79">
        <f>SUM(G493:H493)+'BM 006'!I493</f>
        <v>0</v>
      </c>
      <c r="J493" s="79">
        <f t="shared" si="204"/>
        <v>14</v>
      </c>
      <c r="K493" s="84">
        <v>11.4885</v>
      </c>
      <c r="L493" s="81">
        <f t="shared" si="203"/>
        <v>14.562823863735002</v>
      </c>
      <c r="M493" s="82">
        <f t="shared" si="208"/>
        <v>0</v>
      </c>
      <c r="N493" s="82">
        <f t="shared" si="209"/>
        <v>0</v>
      </c>
      <c r="O493" s="82">
        <f>N493+'BM 006'!O493</f>
        <v>0</v>
      </c>
      <c r="P493" s="80">
        <f t="shared" si="210"/>
        <v>160.839</v>
      </c>
      <c r="Q493" s="82">
        <f t="shared" si="211"/>
        <v>203.87</v>
      </c>
      <c r="R493" s="82">
        <f t="shared" si="212"/>
        <v>203.87</v>
      </c>
    </row>
    <row r="494" spans="2:18" s="34" customFormat="1" ht="46.2">
      <c r="B494" s="75" t="s">
        <v>963</v>
      </c>
      <c r="C494" s="76" t="s">
        <v>964</v>
      </c>
      <c r="D494" s="77" t="s">
        <v>131</v>
      </c>
      <c r="E494" s="78">
        <v>6</v>
      </c>
      <c r="F494" s="79"/>
      <c r="G494" s="79"/>
      <c r="H494" s="79"/>
      <c r="I494" s="79">
        <f>SUM(G494:H494)+'BM 006'!I494</f>
        <v>0</v>
      </c>
      <c r="J494" s="79">
        <f t="shared" si="204"/>
        <v>6</v>
      </c>
      <c r="K494" s="84">
        <v>13.432499999999999</v>
      </c>
      <c r="L494" s="81">
        <f t="shared" si="203"/>
        <v>17.027038477575001</v>
      </c>
      <c r="M494" s="82">
        <f t="shared" si="208"/>
        <v>0</v>
      </c>
      <c r="N494" s="82">
        <f t="shared" si="209"/>
        <v>0</v>
      </c>
      <c r="O494" s="82">
        <f>N494+'BM 006'!O494</f>
        <v>0</v>
      </c>
      <c r="P494" s="80">
        <f t="shared" si="210"/>
        <v>80.594999999999999</v>
      </c>
      <c r="Q494" s="82">
        <f t="shared" si="211"/>
        <v>102.16</v>
      </c>
      <c r="R494" s="82">
        <f t="shared" si="212"/>
        <v>102.16</v>
      </c>
    </row>
    <row r="495" spans="2:18" s="34" customFormat="1" ht="23.4">
      <c r="B495" s="75" t="s">
        <v>965</v>
      </c>
      <c r="C495" s="76" t="s">
        <v>966</v>
      </c>
      <c r="D495" s="77" t="s">
        <v>131</v>
      </c>
      <c r="E495" s="78">
        <v>3</v>
      </c>
      <c r="F495" s="79"/>
      <c r="G495" s="79"/>
      <c r="H495" s="79"/>
      <c r="I495" s="79">
        <f>SUM(G495:H495)+'BM 006'!I495</f>
        <v>0</v>
      </c>
      <c r="J495" s="79">
        <f t="shared" si="204"/>
        <v>3</v>
      </c>
      <c r="K495" s="84">
        <v>42.214500000000001</v>
      </c>
      <c r="L495" s="81">
        <f t="shared" si="203"/>
        <v>53.511104843595007</v>
      </c>
      <c r="M495" s="82">
        <f t="shared" si="208"/>
        <v>0</v>
      </c>
      <c r="N495" s="82">
        <f t="shared" si="209"/>
        <v>0</v>
      </c>
      <c r="O495" s="82">
        <f>N495+'BM 006'!O495</f>
        <v>0</v>
      </c>
      <c r="P495" s="80">
        <f t="shared" si="210"/>
        <v>126.6435</v>
      </c>
      <c r="Q495" s="82">
        <f t="shared" si="211"/>
        <v>160.53</v>
      </c>
      <c r="R495" s="82">
        <f t="shared" si="212"/>
        <v>160.53</v>
      </c>
    </row>
    <row r="496" spans="2:18" s="34" customFormat="1" ht="34.799999999999997">
      <c r="B496" s="75" t="s">
        <v>967</v>
      </c>
      <c r="C496" s="76" t="s">
        <v>968</v>
      </c>
      <c r="D496" s="77" t="s">
        <v>131</v>
      </c>
      <c r="E496" s="78">
        <v>51</v>
      </c>
      <c r="F496" s="79"/>
      <c r="G496" s="79"/>
      <c r="H496" s="79"/>
      <c r="I496" s="79">
        <f>SUM(G496:H496)+'BM 006'!I496</f>
        <v>0</v>
      </c>
      <c r="J496" s="79">
        <f t="shared" si="204"/>
        <v>51</v>
      </c>
      <c r="K496" s="84">
        <v>15.1335</v>
      </c>
      <c r="L496" s="81">
        <f t="shared" si="203"/>
        <v>19.183226264685</v>
      </c>
      <c r="M496" s="82">
        <f t="shared" si="208"/>
        <v>0</v>
      </c>
      <c r="N496" s="82">
        <f t="shared" si="209"/>
        <v>0</v>
      </c>
      <c r="O496" s="82">
        <f>N496+'BM 006'!O496</f>
        <v>0</v>
      </c>
      <c r="P496" s="80">
        <f t="shared" si="210"/>
        <v>771.80849999999998</v>
      </c>
      <c r="Q496" s="82">
        <f t="shared" si="211"/>
        <v>978.34</v>
      </c>
      <c r="R496" s="82">
        <f t="shared" si="212"/>
        <v>978.34</v>
      </c>
    </row>
    <row r="497" spans="2:18" s="34" customFormat="1" ht="34.799999999999997">
      <c r="B497" s="75" t="s">
        <v>969</v>
      </c>
      <c r="C497" s="76" t="s">
        <v>970</v>
      </c>
      <c r="D497" s="77" t="s">
        <v>131</v>
      </c>
      <c r="E497" s="78">
        <v>8</v>
      </c>
      <c r="F497" s="79"/>
      <c r="G497" s="79"/>
      <c r="H497" s="79"/>
      <c r="I497" s="79">
        <f>SUM(G497:H497)+'BM 006'!I497</f>
        <v>0</v>
      </c>
      <c r="J497" s="79">
        <f t="shared" si="204"/>
        <v>8</v>
      </c>
      <c r="K497" s="84">
        <v>23.638500000000001</v>
      </c>
      <c r="L497" s="81">
        <f t="shared" si="203"/>
        <v>29.964165200235001</v>
      </c>
      <c r="M497" s="82">
        <f t="shared" si="208"/>
        <v>0</v>
      </c>
      <c r="N497" s="82">
        <f t="shared" si="209"/>
        <v>0</v>
      </c>
      <c r="O497" s="82">
        <f>N497+'BM 006'!O497</f>
        <v>0</v>
      </c>
      <c r="P497" s="80">
        <f t="shared" si="210"/>
        <v>189.108</v>
      </c>
      <c r="Q497" s="82">
        <f t="shared" si="211"/>
        <v>239.71</v>
      </c>
      <c r="R497" s="82">
        <f t="shared" si="212"/>
        <v>239.71</v>
      </c>
    </row>
    <row r="498" spans="2:18" s="34" customFormat="1" ht="34.799999999999997">
      <c r="B498" s="75" t="s">
        <v>971</v>
      </c>
      <c r="C498" s="76" t="s">
        <v>972</v>
      </c>
      <c r="D498" s="77" t="s">
        <v>131</v>
      </c>
      <c r="E498" s="78">
        <v>3</v>
      </c>
      <c r="F498" s="79"/>
      <c r="G498" s="79"/>
      <c r="H498" s="79"/>
      <c r="I498" s="79">
        <f>SUM(G498:H498)+'BM 006'!I498</f>
        <v>0</v>
      </c>
      <c r="J498" s="79">
        <f t="shared" si="204"/>
        <v>3</v>
      </c>
      <c r="K498" s="84">
        <v>32.656500000000001</v>
      </c>
      <c r="L498" s="81">
        <f t="shared" si="203"/>
        <v>41.395382992215005</v>
      </c>
      <c r="M498" s="82">
        <f t="shared" si="208"/>
        <v>0</v>
      </c>
      <c r="N498" s="82">
        <f t="shared" si="209"/>
        <v>0</v>
      </c>
      <c r="O498" s="82">
        <f>N498+'BM 006'!O498</f>
        <v>0</v>
      </c>
      <c r="P498" s="80">
        <f t="shared" si="210"/>
        <v>97.969500000000011</v>
      </c>
      <c r="Q498" s="82">
        <f t="shared" si="211"/>
        <v>124.18</v>
      </c>
      <c r="R498" s="82">
        <f t="shared" si="212"/>
        <v>124.18</v>
      </c>
    </row>
    <row r="499" spans="2:18" s="34" customFormat="1" ht="23.4">
      <c r="B499" s="75" t="s">
        <v>973</v>
      </c>
      <c r="C499" s="76" t="s">
        <v>974</v>
      </c>
      <c r="D499" s="77" t="s">
        <v>131</v>
      </c>
      <c r="E499" s="78">
        <v>14</v>
      </c>
      <c r="F499" s="79"/>
      <c r="G499" s="79"/>
      <c r="H499" s="79"/>
      <c r="I499" s="79">
        <f>SUM(G499:H499)+'BM 006'!I499</f>
        <v>0</v>
      </c>
      <c r="J499" s="79">
        <f t="shared" si="204"/>
        <v>14</v>
      </c>
      <c r="K499" s="84">
        <v>24.003</v>
      </c>
      <c r="L499" s="81">
        <f t="shared" si="203"/>
        <v>30.426205440330001</v>
      </c>
      <c r="M499" s="82">
        <f t="shared" si="208"/>
        <v>0</v>
      </c>
      <c r="N499" s="82">
        <f t="shared" si="209"/>
        <v>0</v>
      </c>
      <c r="O499" s="82">
        <f>N499+'BM 006'!O499</f>
        <v>0</v>
      </c>
      <c r="P499" s="80">
        <f t="shared" si="210"/>
        <v>336.04200000000003</v>
      </c>
      <c r="Q499" s="82">
        <f t="shared" si="211"/>
        <v>425.96</v>
      </c>
      <c r="R499" s="82">
        <f t="shared" si="212"/>
        <v>425.96</v>
      </c>
    </row>
    <row r="500" spans="2:18" s="34" customFormat="1" ht="23.4">
      <c r="B500" s="75" t="s">
        <v>975</v>
      </c>
      <c r="C500" s="76" t="s">
        <v>976</v>
      </c>
      <c r="D500" s="77" t="s">
        <v>131</v>
      </c>
      <c r="E500" s="78">
        <v>47</v>
      </c>
      <c r="F500" s="79"/>
      <c r="G500" s="79"/>
      <c r="H500" s="79"/>
      <c r="I500" s="79">
        <f>SUM(G500:H500)+'BM 006'!I500</f>
        <v>0</v>
      </c>
      <c r="J500" s="79">
        <f t="shared" si="204"/>
        <v>47</v>
      </c>
      <c r="K500" s="84">
        <v>54.7425</v>
      </c>
      <c r="L500" s="81">
        <f t="shared" si="203"/>
        <v>69.391599021675006</v>
      </c>
      <c r="M500" s="82">
        <f t="shared" si="208"/>
        <v>0</v>
      </c>
      <c r="N500" s="82">
        <f t="shared" si="209"/>
        <v>0</v>
      </c>
      <c r="O500" s="82">
        <f>N500+'BM 006'!O500</f>
        <v>0</v>
      </c>
      <c r="P500" s="80">
        <f t="shared" si="210"/>
        <v>2572.8975</v>
      </c>
      <c r="Q500" s="82">
        <f t="shared" si="211"/>
        <v>3261.4</v>
      </c>
      <c r="R500" s="82">
        <f t="shared" si="212"/>
        <v>3261.4</v>
      </c>
    </row>
    <row r="501" spans="2:18" s="34" customFormat="1" ht="23.4">
      <c r="B501" s="75" t="s">
        <v>977</v>
      </c>
      <c r="C501" s="76" t="s">
        <v>978</v>
      </c>
      <c r="D501" s="77" t="s">
        <v>131</v>
      </c>
      <c r="E501" s="78">
        <v>3</v>
      </c>
      <c r="F501" s="79"/>
      <c r="G501" s="79"/>
      <c r="H501" s="79"/>
      <c r="I501" s="79">
        <f>SUM(G501:H501)+'BM 006'!I501</f>
        <v>0</v>
      </c>
      <c r="J501" s="79">
        <f t="shared" si="204"/>
        <v>3</v>
      </c>
      <c r="K501" s="84">
        <v>79.393500000000003</v>
      </c>
      <c r="L501" s="81">
        <f t="shared" si="203"/>
        <v>100.63920933328501</v>
      </c>
      <c r="M501" s="82">
        <f t="shared" si="208"/>
        <v>0</v>
      </c>
      <c r="N501" s="82">
        <f t="shared" si="209"/>
        <v>0</v>
      </c>
      <c r="O501" s="82">
        <f>N501+'BM 006'!O501</f>
        <v>0</v>
      </c>
      <c r="P501" s="80">
        <f t="shared" si="210"/>
        <v>238.18049999999999</v>
      </c>
      <c r="Q501" s="82">
        <f t="shared" si="211"/>
        <v>301.91000000000003</v>
      </c>
      <c r="R501" s="82">
        <f t="shared" si="212"/>
        <v>301.91000000000003</v>
      </c>
    </row>
    <row r="502" spans="2:18" s="34" customFormat="1" ht="34.799999999999997">
      <c r="B502" s="75" t="s">
        <v>979</v>
      </c>
      <c r="C502" s="76" t="s">
        <v>980</v>
      </c>
      <c r="D502" s="77" t="s">
        <v>131</v>
      </c>
      <c r="E502" s="78">
        <v>3</v>
      </c>
      <c r="F502" s="79"/>
      <c r="G502" s="79"/>
      <c r="H502" s="79"/>
      <c r="I502" s="79">
        <f>SUM(G502:H502)+'BM 006'!I502</f>
        <v>0</v>
      </c>
      <c r="J502" s="79">
        <f t="shared" si="204"/>
        <v>3</v>
      </c>
      <c r="K502" s="84">
        <v>634.5</v>
      </c>
      <c r="L502" s="81">
        <f t="shared" si="203"/>
        <v>804.29226979500004</v>
      </c>
      <c r="M502" s="82">
        <f t="shared" si="208"/>
        <v>0</v>
      </c>
      <c r="N502" s="82">
        <f t="shared" si="209"/>
        <v>0</v>
      </c>
      <c r="O502" s="82">
        <f>N502+'BM 006'!O502</f>
        <v>0</v>
      </c>
      <c r="P502" s="80">
        <f t="shared" si="210"/>
        <v>1903.5</v>
      </c>
      <c r="Q502" s="82">
        <f t="shared" si="211"/>
        <v>2412.87</v>
      </c>
      <c r="R502" s="82">
        <f t="shared" si="212"/>
        <v>2412.87</v>
      </c>
    </row>
    <row r="503" spans="2:18" s="34" customFormat="1" ht="23.4">
      <c r="B503" s="75" t="s">
        <v>981</v>
      </c>
      <c r="C503" s="76" t="s">
        <v>982</v>
      </c>
      <c r="D503" s="77" t="s">
        <v>131</v>
      </c>
      <c r="E503" s="78">
        <v>6</v>
      </c>
      <c r="F503" s="79"/>
      <c r="G503" s="79"/>
      <c r="H503" s="79"/>
      <c r="I503" s="79">
        <f>SUM(G503:H503)+'BM 006'!I503</f>
        <v>0</v>
      </c>
      <c r="J503" s="79">
        <f t="shared" si="204"/>
        <v>6</v>
      </c>
      <c r="K503" s="84">
        <v>985</v>
      </c>
      <c r="L503" s="81">
        <f t="shared" si="203"/>
        <v>1248.5861083500001</v>
      </c>
      <c r="M503" s="82">
        <f t="shared" si="208"/>
        <v>0</v>
      </c>
      <c r="N503" s="82">
        <f t="shared" si="209"/>
        <v>0</v>
      </c>
      <c r="O503" s="82">
        <f>N503+'BM 006'!O503</f>
        <v>0</v>
      </c>
      <c r="P503" s="80">
        <f t="shared" si="210"/>
        <v>5910</v>
      </c>
      <c r="Q503" s="82">
        <f t="shared" si="211"/>
        <v>7491.51</v>
      </c>
      <c r="R503" s="82">
        <f t="shared" si="212"/>
        <v>7491.51</v>
      </c>
    </row>
    <row r="504" spans="2:18" s="34" customFormat="1" ht="23.4">
      <c r="B504" s="75" t="s">
        <v>983</v>
      </c>
      <c r="C504" s="76" t="s">
        <v>984</v>
      </c>
      <c r="D504" s="77" t="s">
        <v>131</v>
      </c>
      <c r="E504" s="78">
        <v>6</v>
      </c>
      <c r="F504" s="79"/>
      <c r="G504" s="79"/>
      <c r="H504" s="79"/>
      <c r="I504" s="79">
        <f>SUM(G504:H504)+'BM 006'!I504</f>
        <v>0</v>
      </c>
      <c r="J504" s="79">
        <f t="shared" si="204"/>
        <v>6</v>
      </c>
      <c r="K504" s="84">
        <v>895</v>
      </c>
      <c r="L504" s="81">
        <f t="shared" si="203"/>
        <v>1134.5020984499999</v>
      </c>
      <c r="M504" s="82">
        <f t="shared" si="208"/>
        <v>0</v>
      </c>
      <c r="N504" s="82">
        <f t="shared" si="209"/>
        <v>0</v>
      </c>
      <c r="O504" s="82">
        <f>N504+'BM 006'!O504</f>
        <v>0</v>
      </c>
      <c r="P504" s="80">
        <f t="shared" si="210"/>
        <v>5370</v>
      </c>
      <c r="Q504" s="82">
        <f t="shared" si="211"/>
        <v>6807.01</v>
      </c>
      <c r="R504" s="82">
        <f t="shared" si="212"/>
        <v>6807.01</v>
      </c>
    </row>
    <row r="505" spans="2:18" s="34" customFormat="1" ht="23.4">
      <c r="B505" s="75" t="s">
        <v>985</v>
      </c>
      <c r="C505" s="76" t="s">
        <v>986</v>
      </c>
      <c r="D505" s="77" t="s">
        <v>131</v>
      </c>
      <c r="E505" s="78">
        <v>6</v>
      </c>
      <c r="F505" s="79"/>
      <c r="G505" s="79"/>
      <c r="H505" s="79"/>
      <c r="I505" s="79">
        <f>SUM(G505:H505)+'BM 006'!I505</f>
        <v>0</v>
      </c>
      <c r="J505" s="79">
        <f t="shared" si="204"/>
        <v>6</v>
      </c>
      <c r="K505" s="84">
        <v>895</v>
      </c>
      <c r="L505" s="81">
        <f t="shared" si="203"/>
        <v>1134.5020984499999</v>
      </c>
      <c r="M505" s="82">
        <f t="shared" si="208"/>
        <v>0</v>
      </c>
      <c r="N505" s="82">
        <f t="shared" si="209"/>
        <v>0</v>
      </c>
      <c r="O505" s="82">
        <f>N505+'BM 006'!O505</f>
        <v>0</v>
      </c>
      <c r="P505" s="80">
        <f t="shared" si="210"/>
        <v>5370</v>
      </c>
      <c r="Q505" s="82">
        <f t="shared" si="211"/>
        <v>6807.01</v>
      </c>
      <c r="R505" s="82">
        <f t="shared" si="212"/>
        <v>6807.01</v>
      </c>
    </row>
    <row r="506" spans="2:18" s="34" customFormat="1" ht="34.799999999999997">
      <c r="B506" s="75" t="s">
        <v>987</v>
      </c>
      <c r="C506" s="76" t="s">
        <v>988</v>
      </c>
      <c r="D506" s="77" t="s">
        <v>131</v>
      </c>
      <c r="E506" s="78">
        <v>20</v>
      </c>
      <c r="F506" s="79"/>
      <c r="G506" s="79"/>
      <c r="H506" s="79"/>
      <c r="I506" s="79">
        <f>SUM(G506:H506)+'BM 006'!I506</f>
        <v>0</v>
      </c>
      <c r="J506" s="79">
        <f t="shared" si="204"/>
        <v>20</v>
      </c>
      <c r="K506" s="84">
        <v>625</v>
      </c>
      <c r="L506" s="81">
        <f t="shared" si="203"/>
        <v>792.25006875000008</v>
      </c>
      <c r="M506" s="82">
        <f t="shared" si="208"/>
        <v>0</v>
      </c>
      <c r="N506" s="82">
        <f t="shared" si="209"/>
        <v>0</v>
      </c>
      <c r="O506" s="82">
        <f>N506+'BM 006'!O506</f>
        <v>0</v>
      </c>
      <c r="P506" s="80">
        <f t="shared" si="210"/>
        <v>12500</v>
      </c>
      <c r="Q506" s="82">
        <f t="shared" si="211"/>
        <v>15845</v>
      </c>
      <c r="R506" s="82">
        <f t="shared" si="212"/>
        <v>15845</v>
      </c>
    </row>
    <row r="507" spans="2:18" s="34" customFormat="1" ht="13.2">
      <c r="B507" s="60" t="s">
        <v>989</v>
      </c>
      <c r="C507" s="61" t="s">
        <v>990</v>
      </c>
      <c r="D507" s="60"/>
      <c r="E507" s="62"/>
      <c r="F507" s="63"/>
      <c r="G507" s="63"/>
      <c r="H507" s="63"/>
      <c r="I507" s="63">
        <f>SUM(G507:H507)+'BM 006'!I507</f>
        <v>0</v>
      </c>
      <c r="J507" s="63">
        <f t="shared" si="204"/>
        <v>0</v>
      </c>
      <c r="K507" s="63"/>
      <c r="L507" s="63">
        <f t="shared" si="203"/>
        <v>0</v>
      </c>
      <c r="M507" s="63">
        <f t="shared" ref="M507:R507" si="213">SUM(M508,M520,M552,M554)</f>
        <v>0</v>
      </c>
      <c r="N507" s="63">
        <f t="shared" si="213"/>
        <v>0</v>
      </c>
      <c r="O507" s="63">
        <f t="shared" si="213"/>
        <v>1262.51</v>
      </c>
      <c r="P507" s="63">
        <f t="shared" si="213"/>
        <v>248226.55</v>
      </c>
      <c r="Q507" s="63">
        <f t="shared" si="213"/>
        <v>314651.83</v>
      </c>
      <c r="R507" s="63">
        <f t="shared" si="213"/>
        <v>313389.32</v>
      </c>
    </row>
    <row r="508" spans="2:18" s="34" customFormat="1" ht="13.2">
      <c r="B508" s="66" t="s">
        <v>991</v>
      </c>
      <c r="C508" s="67" t="s">
        <v>992</v>
      </c>
      <c r="D508" s="68"/>
      <c r="E508" s="69"/>
      <c r="F508" s="70"/>
      <c r="G508" s="70"/>
      <c r="H508" s="70"/>
      <c r="I508" s="70">
        <f>SUM(G508:H508)+'BM 006'!I508</f>
        <v>0</v>
      </c>
      <c r="J508" s="70">
        <f t="shared" si="204"/>
        <v>0</v>
      </c>
      <c r="K508" s="71"/>
      <c r="L508" s="71">
        <f t="shared" si="203"/>
        <v>0</v>
      </c>
      <c r="M508" s="73">
        <f t="shared" ref="M508:R508" si="214">SUM(M509:M519)</f>
        <v>0</v>
      </c>
      <c r="N508" s="73">
        <f t="shared" si="214"/>
        <v>0</v>
      </c>
      <c r="O508" s="73">
        <f t="shared" si="214"/>
        <v>836.61</v>
      </c>
      <c r="P508" s="73">
        <f t="shared" si="214"/>
        <v>96780</v>
      </c>
      <c r="Q508" s="73">
        <f t="shared" si="214"/>
        <v>122678.3</v>
      </c>
      <c r="R508" s="73">
        <f t="shared" si="214"/>
        <v>121841.69</v>
      </c>
    </row>
    <row r="509" spans="2:18" s="34" customFormat="1" ht="23.4">
      <c r="B509" s="75" t="s">
        <v>993</v>
      </c>
      <c r="C509" s="76" t="s">
        <v>994</v>
      </c>
      <c r="D509" s="77" t="s">
        <v>124</v>
      </c>
      <c r="E509" s="93">
        <v>300</v>
      </c>
      <c r="F509" s="79"/>
      <c r="G509" s="79"/>
      <c r="H509" s="79"/>
      <c r="I509" s="79">
        <f>SUM(G509:H509)+'BM 006'!I509</f>
        <v>0</v>
      </c>
      <c r="J509" s="79">
        <f t="shared" si="204"/>
        <v>300</v>
      </c>
      <c r="K509" s="84">
        <v>18</v>
      </c>
      <c r="L509" s="81">
        <f t="shared" si="203"/>
        <v>22.816801980000001</v>
      </c>
      <c r="M509" s="82">
        <f t="shared" ref="M509:M519" si="215">TRUNC(F509*L509,2)</f>
        <v>0</v>
      </c>
      <c r="N509" s="82">
        <f t="shared" ref="N509:N519" si="216">TRUNC(G509*L509,2)</f>
        <v>0</v>
      </c>
      <c r="O509" s="82">
        <f>N509+'BM 006'!O509</f>
        <v>0</v>
      </c>
      <c r="P509" s="80">
        <f t="shared" ref="P509:P519" si="217">E509*K509</f>
        <v>5400</v>
      </c>
      <c r="Q509" s="82">
        <f t="shared" ref="Q509:Q519" si="218">TRUNC(E509*L509,2)</f>
        <v>6845.04</v>
      </c>
      <c r="R509" s="82">
        <f t="shared" ref="R509:R519" si="219">Q509-O509</f>
        <v>6845.04</v>
      </c>
    </row>
    <row r="510" spans="2:18" s="34" customFormat="1" ht="34.799999999999997">
      <c r="B510" s="75" t="s">
        <v>995</v>
      </c>
      <c r="C510" s="76" t="s">
        <v>996</v>
      </c>
      <c r="D510" s="77" t="s">
        <v>390</v>
      </c>
      <c r="E510" s="93">
        <v>60</v>
      </c>
      <c r="F510" s="79"/>
      <c r="G510" s="79"/>
      <c r="H510" s="79"/>
      <c r="I510" s="79">
        <f>SUM(G510:H510)+'BM 006'!I510</f>
        <v>0</v>
      </c>
      <c r="J510" s="79">
        <f t="shared" si="204"/>
        <v>60</v>
      </c>
      <c r="K510" s="84">
        <v>39</v>
      </c>
      <c r="L510" s="81">
        <f t="shared" si="203"/>
        <v>49.436404289999999</v>
      </c>
      <c r="M510" s="82">
        <f t="shared" si="215"/>
        <v>0</v>
      </c>
      <c r="N510" s="82">
        <f t="shared" si="216"/>
        <v>0</v>
      </c>
      <c r="O510" s="82">
        <f>N510+'BM 006'!O510</f>
        <v>0</v>
      </c>
      <c r="P510" s="80">
        <f t="shared" si="217"/>
        <v>2340</v>
      </c>
      <c r="Q510" s="82">
        <f t="shared" si="218"/>
        <v>2966.18</v>
      </c>
      <c r="R510" s="82">
        <f t="shared" si="219"/>
        <v>2966.18</v>
      </c>
    </row>
    <row r="511" spans="2:18" s="34" customFormat="1" ht="13.2">
      <c r="B511" s="75" t="s">
        <v>997</v>
      </c>
      <c r="C511" s="76" t="s">
        <v>998</v>
      </c>
      <c r="D511" s="77" t="s">
        <v>390</v>
      </c>
      <c r="E511" s="93">
        <v>60</v>
      </c>
      <c r="F511" s="79"/>
      <c r="G511" s="79"/>
      <c r="H511" s="79"/>
      <c r="I511" s="79">
        <f>SUM(G511:H511)+'BM 006'!I511</f>
        <v>0</v>
      </c>
      <c r="J511" s="79">
        <f t="shared" si="204"/>
        <v>60</v>
      </c>
      <c r="K511" s="84">
        <v>18</v>
      </c>
      <c r="L511" s="81">
        <f t="shared" si="203"/>
        <v>22.816801980000001</v>
      </c>
      <c r="M511" s="82">
        <f t="shared" si="215"/>
        <v>0</v>
      </c>
      <c r="N511" s="82">
        <f t="shared" si="216"/>
        <v>0</v>
      </c>
      <c r="O511" s="82">
        <f>N511+'BM 006'!O511</f>
        <v>0</v>
      </c>
      <c r="P511" s="80">
        <f t="shared" si="217"/>
        <v>1080</v>
      </c>
      <c r="Q511" s="82">
        <f t="shared" si="218"/>
        <v>1369</v>
      </c>
      <c r="R511" s="82">
        <f t="shared" si="219"/>
        <v>1369</v>
      </c>
    </row>
    <row r="512" spans="2:18" s="34" customFormat="1" ht="46.2">
      <c r="B512" s="75" t="s">
        <v>999</v>
      </c>
      <c r="C512" s="76" t="s">
        <v>1000</v>
      </c>
      <c r="D512" s="77" t="s">
        <v>124</v>
      </c>
      <c r="E512" s="93">
        <v>210</v>
      </c>
      <c r="F512" s="79"/>
      <c r="G512" s="79"/>
      <c r="H512" s="79"/>
      <c r="I512" s="79">
        <f>SUM(G512:H512)+'BM 006'!I512</f>
        <v>0</v>
      </c>
      <c r="J512" s="79">
        <f t="shared" si="204"/>
        <v>210</v>
      </c>
      <c r="K512" s="84">
        <v>40</v>
      </c>
      <c r="L512" s="81">
        <f t="shared" si="203"/>
        <v>50.704004400000002</v>
      </c>
      <c r="M512" s="82">
        <f t="shared" si="215"/>
        <v>0</v>
      </c>
      <c r="N512" s="82">
        <f t="shared" si="216"/>
        <v>0</v>
      </c>
      <c r="O512" s="82">
        <f>N512+'BM 006'!O512</f>
        <v>0</v>
      </c>
      <c r="P512" s="80">
        <f t="shared" si="217"/>
        <v>8400</v>
      </c>
      <c r="Q512" s="82">
        <f t="shared" si="218"/>
        <v>10647.84</v>
      </c>
      <c r="R512" s="82">
        <f t="shared" si="219"/>
        <v>10647.84</v>
      </c>
    </row>
    <row r="513" spans="2:18" s="34" customFormat="1" ht="46.2">
      <c r="B513" s="75" t="s">
        <v>1001</v>
      </c>
      <c r="C513" s="76" t="s">
        <v>1002</v>
      </c>
      <c r="D513" s="77" t="s">
        <v>124</v>
      </c>
      <c r="E513" s="93">
        <v>120</v>
      </c>
      <c r="F513" s="79"/>
      <c r="G513" s="79"/>
      <c r="H513" s="79"/>
      <c r="I513" s="79">
        <f>SUM(G513:H513)+'BM 006'!I513</f>
        <v>0</v>
      </c>
      <c r="J513" s="79">
        <f t="shared" si="204"/>
        <v>120</v>
      </c>
      <c r="K513" s="84">
        <v>75</v>
      </c>
      <c r="L513" s="81">
        <f t="shared" si="203"/>
        <v>95.070008250000001</v>
      </c>
      <c r="M513" s="82">
        <f t="shared" si="215"/>
        <v>0</v>
      </c>
      <c r="N513" s="82">
        <f t="shared" si="216"/>
        <v>0</v>
      </c>
      <c r="O513" s="82">
        <f>N513+'BM 006'!O513</f>
        <v>0</v>
      </c>
      <c r="P513" s="80">
        <f t="shared" si="217"/>
        <v>9000</v>
      </c>
      <c r="Q513" s="82">
        <f t="shared" si="218"/>
        <v>11408.4</v>
      </c>
      <c r="R513" s="82">
        <f t="shared" si="219"/>
        <v>11408.4</v>
      </c>
    </row>
    <row r="514" spans="2:18" s="34" customFormat="1" ht="46.2">
      <c r="B514" s="75" t="s">
        <v>1003</v>
      </c>
      <c r="C514" s="76" t="s">
        <v>1004</v>
      </c>
      <c r="D514" s="77" t="s">
        <v>124</v>
      </c>
      <c r="E514" s="93">
        <v>36</v>
      </c>
      <c r="F514" s="79"/>
      <c r="G514" s="79"/>
      <c r="H514" s="79"/>
      <c r="I514" s="79">
        <f>SUM(G514:H514)+'BM 006'!I514</f>
        <v>0</v>
      </c>
      <c r="J514" s="79">
        <f t="shared" si="204"/>
        <v>36</v>
      </c>
      <c r="K514" s="84">
        <v>130</v>
      </c>
      <c r="L514" s="81">
        <f t="shared" si="203"/>
        <v>164.78801430000001</v>
      </c>
      <c r="M514" s="82">
        <f t="shared" si="215"/>
        <v>0</v>
      </c>
      <c r="N514" s="82">
        <f t="shared" si="216"/>
        <v>0</v>
      </c>
      <c r="O514" s="82">
        <f>N514+'BM 006'!O514</f>
        <v>0</v>
      </c>
      <c r="P514" s="80">
        <f t="shared" si="217"/>
        <v>4680</v>
      </c>
      <c r="Q514" s="82">
        <f t="shared" si="218"/>
        <v>5932.36</v>
      </c>
      <c r="R514" s="82">
        <f t="shared" si="219"/>
        <v>5932.36</v>
      </c>
    </row>
    <row r="515" spans="2:18" s="34" customFormat="1" ht="46.2">
      <c r="B515" s="75" t="s">
        <v>1005</v>
      </c>
      <c r="C515" s="76" t="s">
        <v>1006</v>
      </c>
      <c r="D515" s="77" t="s">
        <v>124</v>
      </c>
      <c r="E515" s="93">
        <v>36</v>
      </c>
      <c r="F515" s="79"/>
      <c r="G515" s="79"/>
      <c r="H515" s="79"/>
      <c r="I515" s="79">
        <f>SUM(G515:H515)+'BM 006'!I515</f>
        <v>0</v>
      </c>
      <c r="J515" s="79">
        <f t="shared" si="204"/>
        <v>36</v>
      </c>
      <c r="K515" s="84">
        <v>180</v>
      </c>
      <c r="L515" s="81">
        <f t="shared" si="203"/>
        <v>228.16801980000002</v>
      </c>
      <c r="M515" s="82">
        <f t="shared" si="215"/>
        <v>0</v>
      </c>
      <c r="N515" s="82">
        <f t="shared" si="216"/>
        <v>0</v>
      </c>
      <c r="O515" s="82">
        <f>N515+'BM 006'!O515</f>
        <v>0</v>
      </c>
      <c r="P515" s="80">
        <f t="shared" si="217"/>
        <v>6480</v>
      </c>
      <c r="Q515" s="82">
        <f t="shared" si="218"/>
        <v>8214.0400000000009</v>
      </c>
      <c r="R515" s="82">
        <f t="shared" si="219"/>
        <v>8214.0400000000009</v>
      </c>
    </row>
    <row r="516" spans="2:18" s="34" customFormat="1" ht="46.2">
      <c r="B516" s="75" t="s">
        <v>1007</v>
      </c>
      <c r="C516" s="76" t="s">
        <v>1008</v>
      </c>
      <c r="D516" s="77" t="s">
        <v>124</v>
      </c>
      <c r="E516" s="93">
        <v>120</v>
      </c>
      <c r="F516" s="79"/>
      <c r="G516" s="79"/>
      <c r="H516" s="79"/>
      <c r="I516" s="79">
        <f>SUM(G516:H516)+'BM 006'!I516</f>
        <v>6</v>
      </c>
      <c r="J516" s="79">
        <f t="shared" si="204"/>
        <v>114</v>
      </c>
      <c r="K516" s="84">
        <v>110</v>
      </c>
      <c r="L516" s="81">
        <f t="shared" si="203"/>
        <v>139.4360121</v>
      </c>
      <c r="M516" s="82">
        <f t="shared" si="215"/>
        <v>0</v>
      </c>
      <c r="N516" s="82">
        <f t="shared" si="216"/>
        <v>0</v>
      </c>
      <c r="O516" s="82">
        <f>N516+'BM 006'!O516</f>
        <v>836.61</v>
      </c>
      <c r="P516" s="80">
        <f t="shared" si="217"/>
        <v>13200</v>
      </c>
      <c r="Q516" s="82">
        <f t="shared" si="218"/>
        <v>16732.32</v>
      </c>
      <c r="R516" s="82">
        <f t="shared" si="219"/>
        <v>15895.71</v>
      </c>
    </row>
    <row r="517" spans="2:18" s="34" customFormat="1" ht="46.2">
      <c r="B517" s="75" t="s">
        <v>1009</v>
      </c>
      <c r="C517" s="76" t="s">
        <v>1010</v>
      </c>
      <c r="D517" s="77" t="s">
        <v>124</v>
      </c>
      <c r="E517" s="93">
        <v>120</v>
      </c>
      <c r="F517" s="79"/>
      <c r="G517" s="79"/>
      <c r="H517" s="79"/>
      <c r="I517" s="79">
        <f>SUM(G517:H517)+'BM 006'!I517</f>
        <v>0</v>
      </c>
      <c r="J517" s="79">
        <f t="shared" si="204"/>
        <v>120</v>
      </c>
      <c r="K517" s="84">
        <v>50</v>
      </c>
      <c r="L517" s="81">
        <f t="shared" si="203"/>
        <v>63.380005500000003</v>
      </c>
      <c r="M517" s="82">
        <f t="shared" si="215"/>
        <v>0</v>
      </c>
      <c r="N517" s="82">
        <f t="shared" si="216"/>
        <v>0</v>
      </c>
      <c r="O517" s="82">
        <f>N517+'BM 006'!O517</f>
        <v>0</v>
      </c>
      <c r="P517" s="80">
        <f t="shared" si="217"/>
        <v>6000</v>
      </c>
      <c r="Q517" s="82">
        <f t="shared" si="218"/>
        <v>7605.6</v>
      </c>
      <c r="R517" s="82">
        <f t="shared" si="219"/>
        <v>7605.6</v>
      </c>
    </row>
    <row r="518" spans="2:18" s="34" customFormat="1" ht="46.2">
      <c r="B518" s="75" t="s">
        <v>1011</v>
      </c>
      <c r="C518" s="76" t="s">
        <v>1012</v>
      </c>
      <c r="D518" s="77" t="s">
        <v>124</v>
      </c>
      <c r="E518" s="93">
        <v>120</v>
      </c>
      <c r="F518" s="79"/>
      <c r="G518" s="79"/>
      <c r="H518" s="79"/>
      <c r="I518" s="79">
        <f>SUM(G518:H518)+'BM 006'!I518</f>
        <v>0</v>
      </c>
      <c r="J518" s="79">
        <f t="shared" si="204"/>
        <v>120</v>
      </c>
      <c r="K518" s="84">
        <v>60</v>
      </c>
      <c r="L518" s="81">
        <f t="shared" si="203"/>
        <v>76.056006600000003</v>
      </c>
      <c r="M518" s="82">
        <f t="shared" si="215"/>
        <v>0</v>
      </c>
      <c r="N518" s="82">
        <f t="shared" si="216"/>
        <v>0</v>
      </c>
      <c r="O518" s="82">
        <f>N518+'BM 006'!O518</f>
        <v>0</v>
      </c>
      <c r="P518" s="80">
        <f t="shared" si="217"/>
        <v>7200</v>
      </c>
      <c r="Q518" s="82">
        <f t="shared" si="218"/>
        <v>9126.7199999999993</v>
      </c>
      <c r="R518" s="82">
        <f t="shared" si="219"/>
        <v>9126.7199999999993</v>
      </c>
    </row>
    <row r="519" spans="2:18" s="34" customFormat="1" ht="57.6">
      <c r="B519" s="75" t="s">
        <v>1013</v>
      </c>
      <c r="C519" s="76" t="s">
        <v>1014</v>
      </c>
      <c r="D519" s="77" t="s">
        <v>124</v>
      </c>
      <c r="E519" s="78">
        <v>300</v>
      </c>
      <c r="F519" s="79"/>
      <c r="G519" s="79"/>
      <c r="H519" s="79"/>
      <c r="I519" s="79">
        <f>SUM(G519:H519)+'BM 006'!I519</f>
        <v>0</v>
      </c>
      <c r="J519" s="79">
        <f t="shared" si="204"/>
        <v>300</v>
      </c>
      <c r="K519" s="84">
        <v>110</v>
      </c>
      <c r="L519" s="81">
        <f t="shared" si="203"/>
        <v>139.4360121</v>
      </c>
      <c r="M519" s="82">
        <f t="shared" si="215"/>
        <v>0</v>
      </c>
      <c r="N519" s="82">
        <f t="shared" si="216"/>
        <v>0</v>
      </c>
      <c r="O519" s="82">
        <f>N519+'BM 006'!O519</f>
        <v>0</v>
      </c>
      <c r="P519" s="80">
        <f t="shared" si="217"/>
        <v>33000</v>
      </c>
      <c r="Q519" s="82">
        <f t="shared" si="218"/>
        <v>41830.800000000003</v>
      </c>
      <c r="R519" s="82">
        <f t="shared" si="219"/>
        <v>41830.800000000003</v>
      </c>
    </row>
    <row r="520" spans="2:18" s="34" customFormat="1" ht="24">
      <c r="B520" s="66" t="s">
        <v>1015</v>
      </c>
      <c r="C520" s="67" t="s">
        <v>1016</v>
      </c>
      <c r="D520" s="68"/>
      <c r="E520" s="69"/>
      <c r="F520" s="70"/>
      <c r="G520" s="70"/>
      <c r="H520" s="70"/>
      <c r="I520" s="70">
        <f>SUM(G520:H520)+'BM 006'!I520</f>
        <v>0</v>
      </c>
      <c r="J520" s="70">
        <f t="shared" si="204"/>
        <v>0</v>
      </c>
      <c r="K520" s="71"/>
      <c r="L520" s="71">
        <f t="shared" si="203"/>
        <v>0</v>
      </c>
      <c r="M520" s="73">
        <f t="shared" ref="M520:R520" si="220">SUM(M521:M551)</f>
        <v>0</v>
      </c>
      <c r="N520" s="73">
        <f t="shared" si="220"/>
        <v>0</v>
      </c>
      <c r="O520" s="73">
        <f t="shared" si="220"/>
        <v>425.9</v>
      </c>
      <c r="P520" s="73">
        <f t="shared" si="220"/>
        <v>88676.55</v>
      </c>
      <c r="Q520" s="73">
        <f t="shared" si="220"/>
        <v>112406.29000000001</v>
      </c>
      <c r="R520" s="73">
        <f t="shared" si="220"/>
        <v>111980.38999999998</v>
      </c>
    </row>
    <row r="521" spans="2:18" s="34" customFormat="1" ht="46.2">
      <c r="B521" s="75" t="s">
        <v>1017</v>
      </c>
      <c r="C521" s="76" t="s">
        <v>1018</v>
      </c>
      <c r="D521" s="77" t="s">
        <v>39</v>
      </c>
      <c r="E521" s="78">
        <v>10</v>
      </c>
      <c r="F521" s="79"/>
      <c r="G521" s="79"/>
      <c r="H521" s="79"/>
      <c r="I521" s="79">
        <f>SUM(G521:H521)+'BM 006'!I521</f>
        <v>1</v>
      </c>
      <c r="J521" s="79">
        <f t="shared" si="204"/>
        <v>9</v>
      </c>
      <c r="K521" s="84">
        <v>198</v>
      </c>
      <c r="L521" s="81">
        <f t="shared" si="203"/>
        <v>250.98482178</v>
      </c>
      <c r="M521" s="82">
        <f t="shared" ref="M521:M551" si="221">TRUNC(F521*L521,2)</f>
        <v>0</v>
      </c>
      <c r="N521" s="82">
        <f t="shared" ref="N521:N551" si="222">TRUNC(G521*L521,2)</f>
        <v>0</v>
      </c>
      <c r="O521" s="82">
        <f>N521+'BM 006'!O521</f>
        <v>250.98</v>
      </c>
      <c r="P521" s="80">
        <f t="shared" ref="P521:P551" si="223">E521*K521</f>
        <v>1980</v>
      </c>
      <c r="Q521" s="82">
        <f t="shared" ref="Q521:Q551" si="224">TRUNC(E521*L521,2)</f>
        <v>2509.84</v>
      </c>
      <c r="R521" s="82">
        <f t="shared" ref="R521:R551" si="225">Q521-O521</f>
        <v>2258.86</v>
      </c>
    </row>
    <row r="522" spans="2:18" s="34" customFormat="1" ht="46.2">
      <c r="B522" s="75" t="s">
        <v>1019</v>
      </c>
      <c r="C522" s="76" t="s">
        <v>1020</v>
      </c>
      <c r="D522" s="77" t="s">
        <v>39</v>
      </c>
      <c r="E522" s="78">
        <v>173</v>
      </c>
      <c r="F522" s="79"/>
      <c r="G522" s="79"/>
      <c r="H522" s="79"/>
      <c r="I522" s="79">
        <f>SUM(G522:H522)+'BM 006'!I522</f>
        <v>0</v>
      </c>
      <c r="J522" s="79">
        <f t="shared" si="204"/>
        <v>173</v>
      </c>
      <c r="K522" s="84">
        <v>18</v>
      </c>
      <c r="L522" s="81">
        <f t="shared" si="203"/>
        <v>22.816801980000001</v>
      </c>
      <c r="M522" s="82">
        <f t="shared" si="221"/>
        <v>0</v>
      </c>
      <c r="N522" s="82">
        <f t="shared" si="222"/>
        <v>0</v>
      </c>
      <c r="O522" s="82">
        <f>N522+'BM 006'!O522</f>
        <v>0</v>
      </c>
      <c r="P522" s="80">
        <f t="shared" si="223"/>
        <v>3114</v>
      </c>
      <c r="Q522" s="82">
        <f t="shared" si="224"/>
        <v>3947.3</v>
      </c>
      <c r="R522" s="82">
        <f t="shared" si="225"/>
        <v>3947.3</v>
      </c>
    </row>
    <row r="523" spans="2:18" s="34" customFormat="1" ht="46.2">
      <c r="B523" s="75" t="s">
        <v>1021</v>
      </c>
      <c r="C523" s="76" t="s">
        <v>1022</v>
      </c>
      <c r="D523" s="77" t="s">
        <v>39</v>
      </c>
      <c r="E523" s="78">
        <v>7</v>
      </c>
      <c r="F523" s="79"/>
      <c r="G523" s="79"/>
      <c r="H523" s="79"/>
      <c r="I523" s="79">
        <f>SUM(G523:H523)+'BM 006'!I523</f>
        <v>0</v>
      </c>
      <c r="J523" s="79">
        <f t="shared" si="204"/>
        <v>7</v>
      </c>
      <c r="K523" s="84">
        <v>69</v>
      </c>
      <c r="L523" s="81">
        <f t="shared" si="203"/>
        <v>87.464407590000008</v>
      </c>
      <c r="M523" s="82">
        <f t="shared" si="221"/>
        <v>0</v>
      </c>
      <c r="N523" s="82">
        <f t="shared" si="222"/>
        <v>0</v>
      </c>
      <c r="O523" s="82">
        <f>N523+'BM 006'!O523</f>
        <v>0</v>
      </c>
      <c r="P523" s="80">
        <f t="shared" si="223"/>
        <v>483</v>
      </c>
      <c r="Q523" s="82">
        <f t="shared" si="224"/>
        <v>612.25</v>
      </c>
      <c r="R523" s="82">
        <f t="shared" si="225"/>
        <v>612.25</v>
      </c>
    </row>
    <row r="524" spans="2:18" s="34" customFormat="1" ht="46.2">
      <c r="B524" s="75" t="s">
        <v>1023</v>
      </c>
      <c r="C524" s="76" t="s">
        <v>1024</v>
      </c>
      <c r="D524" s="77" t="s">
        <v>39</v>
      </c>
      <c r="E524" s="78">
        <v>30</v>
      </c>
      <c r="F524" s="79"/>
      <c r="G524" s="79"/>
      <c r="H524" s="79"/>
      <c r="I524" s="79">
        <f>SUM(G524:H524)+'BM 006'!I524</f>
        <v>0</v>
      </c>
      <c r="J524" s="79">
        <f t="shared" si="204"/>
        <v>30</v>
      </c>
      <c r="K524" s="84">
        <v>94.65</v>
      </c>
      <c r="L524" s="81">
        <f t="shared" si="203"/>
        <v>119.97835041150002</v>
      </c>
      <c r="M524" s="82">
        <f t="shared" si="221"/>
        <v>0</v>
      </c>
      <c r="N524" s="82">
        <f t="shared" si="222"/>
        <v>0</v>
      </c>
      <c r="O524" s="82">
        <f>N524+'BM 006'!O524</f>
        <v>0</v>
      </c>
      <c r="P524" s="80">
        <f t="shared" si="223"/>
        <v>2839.5</v>
      </c>
      <c r="Q524" s="82">
        <f t="shared" si="224"/>
        <v>3599.35</v>
      </c>
      <c r="R524" s="82">
        <f t="shared" si="225"/>
        <v>3599.35</v>
      </c>
    </row>
    <row r="525" spans="2:18" s="34" customFormat="1" ht="46.2">
      <c r="B525" s="75" t="s">
        <v>1025</v>
      </c>
      <c r="C525" s="76" t="s">
        <v>1026</v>
      </c>
      <c r="D525" s="77" t="s">
        <v>39</v>
      </c>
      <c r="E525" s="78">
        <v>40</v>
      </c>
      <c r="F525" s="79"/>
      <c r="G525" s="79"/>
      <c r="H525" s="79"/>
      <c r="I525" s="79">
        <f>SUM(G525:H525)+'BM 006'!I525</f>
        <v>0</v>
      </c>
      <c r="J525" s="79">
        <f t="shared" si="204"/>
        <v>40</v>
      </c>
      <c r="K525" s="84">
        <v>60.11</v>
      </c>
      <c r="L525" s="81">
        <f t="shared" si="203"/>
        <v>76.19544261210001</v>
      </c>
      <c r="M525" s="82">
        <f t="shared" si="221"/>
        <v>0</v>
      </c>
      <c r="N525" s="82">
        <f t="shared" si="222"/>
        <v>0</v>
      </c>
      <c r="O525" s="82">
        <f>N525+'BM 006'!O525</f>
        <v>0</v>
      </c>
      <c r="P525" s="80">
        <f t="shared" si="223"/>
        <v>2404.4</v>
      </c>
      <c r="Q525" s="82">
        <f t="shared" si="224"/>
        <v>3047.81</v>
      </c>
      <c r="R525" s="82">
        <f t="shared" si="225"/>
        <v>3047.81</v>
      </c>
    </row>
    <row r="526" spans="2:18" s="34" customFormat="1" ht="46.2">
      <c r="B526" s="75" t="s">
        <v>1027</v>
      </c>
      <c r="C526" s="76" t="s">
        <v>1028</v>
      </c>
      <c r="D526" s="77" t="s">
        <v>39</v>
      </c>
      <c r="E526" s="78">
        <v>50</v>
      </c>
      <c r="F526" s="79"/>
      <c r="G526" s="79"/>
      <c r="H526" s="79"/>
      <c r="I526" s="79">
        <f>SUM(G526:H526)+'BM 006'!I526</f>
        <v>0</v>
      </c>
      <c r="J526" s="79">
        <f t="shared" si="204"/>
        <v>50</v>
      </c>
      <c r="K526" s="84">
        <v>36.9</v>
      </c>
      <c r="L526" s="81">
        <f t="shared" si="203"/>
        <v>46.774444058999997</v>
      </c>
      <c r="M526" s="82">
        <f t="shared" si="221"/>
        <v>0</v>
      </c>
      <c r="N526" s="82">
        <f t="shared" si="222"/>
        <v>0</v>
      </c>
      <c r="O526" s="82">
        <f>N526+'BM 006'!O526</f>
        <v>0</v>
      </c>
      <c r="P526" s="80">
        <f t="shared" si="223"/>
        <v>1845</v>
      </c>
      <c r="Q526" s="82">
        <f t="shared" si="224"/>
        <v>2338.7199999999998</v>
      </c>
      <c r="R526" s="82">
        <f t="shared" si="225"/>
        <v>2338.7199999999998</v>
      </c>
    </row>
    <row r="527" spans="2:18" s="34" customFormat="1" ht="46.2">
      <c r="B527" s="75" t="s">
        <v>1029</v>
      </c>
      <c r="C527" s="76" t="s">
        <v>1030</v>
      </c>
      <c r="D527" s="77" t="s">
        <v>39</v>
      </c>
      <c r="E527" s="78">
        <v>50</v>
      </c>
      <c r="F527" s="79"/>
      <c r="G527" s="79"/>
      <c r="H527" s="79"/>
      <c r="I527" s="79">
        <f>SUM(G527:H527)+'BM 006'!I527</f>
        <v>0</v>
      </c>
      <c r="J527" s="79">
        <f t="shared" si="204"/>
        <v>50</v>
      </c>
      <c r="K527" s="84">
        <v>42.56</v>
      </c>
      <c r="L527" s="81">
        <f t="shared" si="203"/>
        <v>53.949060681600002</v>
      </c>
      <c r="M527" s="82">
        <f t="shared" si="221"/>
        <v>0</v>
      </c>
      <c r="N527" s="82">
        <f t="shared" si="222"/>
        <v>0</v>
      </c>
      <c r="O527" s="82">
        <f>N527+'BM 006'!O527</f>
        <v>0</v>
      </c>
      <c r="P527" s="80">
        <f t="shared" si="223"/>
        <v>2128</v>
      </c>
      <c r="Q527" s="82">
        <f t="shared" si="224"/>
        <v>2697.45</v>
      </c>
      <c r="R527" s="82">
        <f t="shared" si="225"/>
        <v>2697.45</v>
      </c>
    </row>
    <row r="528" spans="2:18" s="34" customFormat="1" ht="34.799999999999997">
      <c r="B528" s="75" t="s">
        <v>1031</v>
      </c>
      <c r="C528" s="76" t="s">
        <v>1032</v>
      </c>
      <c r="D528" s="77" t="s">
        <v>39</v>
      </c>
      <c r="E528" s="78">
        <v>20</v>
      </c>
      <c r="F528" s="79"/>
      <c r="G528" s="79"/>
      <c r="H528" s="79"/>
      <c r="I528" s="79">
        <f>SUM(G528:H528)+'BM 006'!I528</f>
        <v>0</v>
      </c>
      <c r="J528" s="79">
        <f t="shared" si="204"/>
        <v>20</v>
      </c>
      <c r="K528" s="84">
        <v>78.33</v>
      </c>
      <c r="L528" s="81">
        <f t="shared" si="203"/>
        <v>99.291116616300002</v>
      </c>
      <c r="M528" s="82">
        <f t="shared" si="221"/>
        <v>0</v>
      </c>
      <c r="N528" s="82">
        <f t="shared" si="222"/>
        <v>0</v>
      </c>
      <c r="O528" s="82">
        <f>N528+'BM 006'!O528</f>
        <v>0</v>
      </c>
      <c r="P528" s="80">
        <f t="shared" si="223"/>
        <v>1566.6</v>
      </c>
      <c r="Q528" s="82">
        <f t="shared" si="224"/>
        <v>1985.82</v>
      </c>
      <c r="R528" s="82">
        <f t="shared" si="225"/>
        <v>1985.82</v>
      </c>
    </row>
    <row r="529" spans="2:18" s="34" customFormat="1" ht="34.799999999999997">
      <c r="B529" s="75" t="s">
        <v>1033</v>
      </c>
      <c r="C529" s="76" t="s">
        <v>1034</v>
      </c>
      <c r="D529" s="77" t="s">
        <v>39</v>
      </c>
      <c r="E529" s="78">
        <v>10</v>
      </c>
      <c r="F529" s="79"/>
      <c r="G529" s="79"/>
      <c r="H529" s="79"/>
      <c r="I529" s="79">
        <f>SUM(G529:H529)+'BM 006'!I529</f>
        <v>0</v>
      </c>
      <c r="J529" s="79">
        <f t="shared" si="204"/>
        <v>10</v>
      </c>
      <c r="K529" s="84">
        <v>95</v>
      </c>
      <c r="L529" s="81">
        <f t="shared" si="203"/>
        <v>120.42201045</v>
      </c>
      <c r="M529" s="82">
        <f t="shared" si="221"/>
        <v>0</v>
      </c>
      <c r="N529" s="82">
        <f t="shared" si="222"/>
        <v>0</v>
      </c>
      <c r="O529" s="82">
        <f>N529+'BM 006'!O529</f>
        <v>0</v>
      </c>
      <c r="P529" s="80">
        <f t="shared" si="223"/>
        <v>950</v>
      </c>
      <c r="Q529" s="82">
        <f t="shared" si="224"/>
        <v>1204.22</v>
      </c>
      <c r="R529" s="82">
        <f t="shared" si="225"/>
        <v>1204.22</v>
      </c>
    </row>
    <row r="530" spans="2:18" s="34" customFormat="1" ht="34.799999999999997">
      <c r="B530" s="75" t="s">
        <v>1035</v>
      </c>
      <c r="C530" s="76" t="s">
        <v>1036</v>
      </c>
      <c r="D530" s="77" t="s">
        <v>39</v>
      </c>
      <c r="E530" s="78">
        <v>10</v>
      </c>
      <c r="F530" s="79"/>
      <c r="G530" s="79"/>
      <c r="H530" s="79"/>
      <c r="I530" s="79">
        <f>SUM(G530:H530)+'BM 006'!I530</f>
        <v>0</v>
      </c>
      <c r="J530" s="79">
        <f t="shared" si="204"/>
        <v>10</v>
      </c>
      <c r="K530" s="84">
        <v>128</v>
      </c>
      <c r="L530" s="81">
        <f t="shared" si="203"/>
        <v>162.25281408000001</v>
      </c>
      <c r="M530" s="82">
        <f t="shared" si="221"/>
        <v>0</v>
      </c>
      <c r="N530" s="82">
        <f t="shared" si="222"/>
        <v>0</v>
      </c>
      <c r="O530" s="82">
        <f>N530+'BM 006'!O530</f>
        <v>0</v>
      </c>
      <c r="P530" s="80">
        <f t="shared" si="223"/>
        <v>1280</v>
      </c>
      <c r="Q530" s="82">
        <f t="shared" si="224"/>
        <v>1622.52</v>
      </c>
      <c r="R530" s="82">
        <f t="shared" si="225"/>
        <v>1622.52</v>
      </c>
    </row>
    <row r="531" spans="2:18" s="34" customFormat="1" ht="23.4">
      <c r="B531" s="75" t="s">
        <v>1037</v>
      </c>
      <c r="C531" s="76" t="s">
        <v>1038</v>
      </c>
      <c r="D531" s="77" t="s">
        <v>39</v>
      </c>
      <c r="E531" s="78">
        <v>173</v>
      </c>
      <c r="F531" s="79"/>
      <c r="G531" s="79"/>
      <c r="H531" s="79"/>
      <c r="I531" s="79">
        <f>SUM(G531:H531)+'BM 006'!I531</f>
        <v>0</v>
      </c>
      <c r="J531" s="79">
        <f t="shared" si="204"/>
        <v>173</v>
      </c>
      <c r="K531" s="84">
        <v>60</v>
      </c>
      <c r="L531" s="81">
        <f t="shared" si="203"/>
        <v>76.056006600000003</v>
      </c>
      <c r="M531" s="82">
        <f t="shared" si="221"/>
        <v>0</v>
      </c>
      <c r="N531" s="82">
        <f t="shared" si="222"/>
        <v>0</v>
      </c>
      <c r="O531" s="82">
        <f>N531+'BM 006'!O531</f>
        <v>0</v>
      </c>
      <c r="P531" s="80">
        <f t="shared" si="223"/>
        <v>10380</v>
      </c>
      <c r="Q531" s="82">
        <f t="shared" si="224"/>
        <v>13157.68</v>
      </c>
      <c r="R531" s="82">
        <f t="shared" si="225"/>
        <v>13157.68</v>
      </c>
    </row>
    <row r="532" spans="2:18" s="34" customFormat="1" ht="46.2">
      <c r="B532" s="75" t="s">
        <v>1039</v>
      </c>
      <c r="C532" s="76" t="s">
        <v>1040</v>
      </c>
      <c r="D532" s="77" t="s">
        <v>39</v>
      </c>
      <c r="E532" s="78">
        <v>20</v>
      </c>
      <c r="F532" s="79"/>
      <c r="G532" s="79"/>
      <c r="H532" s="79"/>
      <c r="I532" s="79">
        <f>SUM(G532:H532)+'BM 006'!I532</f>
        <v>0</v>
      </c>
      <c r="J532" s="79">
        <f t="shared" si="204"/>
        <v>20</v>
      </c>
      <c r="K532" s="84">
        <v>85</v>
      </c>
      <c r="L532" s="81">
        <f t="shared" si="203"/>
        <v>107.74600935000001</v>
      </c>
      <c r="M532" s="82">
        <f t="shared" si="221"/>
        <v>0</v>
      </c>
      <c r="N532" s="82">
        <f t="shared" si="222"/>
        <v>0</v>
      </c>
      <c r="O532" s="82">
        <f>N532+'BM 006'!O532</f>
        <v>0</v>
      </c>
      <c r="P532" s="80">
        <f t="shared" si="223"/>
        <v>1700</v>
      </c>
      <c r="Q532" s="82">
        <f t="shared" si="224"/>
        <v>2154.92</v>
      </c>
      <c r="R532" s="82">
        <f t="shared" si="225"/>
        <v>2154.92</v>
      </c>
    </row>
    <row r="533" spans="2:18" s="34" customFormat="1" ht="46.2">
      <c r="B533" s="75" t="s">
        <v>1041</v>
      </c>
      <c r="C533" s="76" t="s">
        <v>1042</v>
      </c>
      <c r="D533" s="77" t="s">
        <v>39</v>
      </c>
      <c r="E533" s="78">
        <v>6</v>
      </c>
      <c r="F533" s="79"/>
      <c r="G533" s="79"/>
      <c r="H533" s="79"/>
      <c r="I533" s="79">
        <f>SUM(G533:H533)+'BM 006'!I533</f>
        <v>0</v>
      </c>
      <c r="J533" s="79">
        <f t="shared" si="204"/>
        <v>6</v>
      </c>
      <c r="K533" s="84">
        <v>285</v>
      </c>
      <c r="L533" s="81">
        <f t="shared" si="203"/>
        <v>361.26603134999999</v>
      </c>
      <c r="M533" s="82">
        <f t="shared" si="221"/>
        <v>0</v>
      </c>
      <c r="N533" s="82">
        <f t="shared" si="222"/>
        <v>0</v>
      </c>
      <c r="O533" s="82">
        <f>N533+'BM 006'!O533</f>
        <v>0</v>
      </c>
      <c r="P533" s="80">
        <f t="shared" si="223"/>
        <v>1710</v>
      </c>
      <c r="Q533" s="82">
        <f t="shared" si="224"/>
        <v>2167.59</v>
      </c>
      <c r="R533" s="82">
        <f t="shared" si="225"/>
        <v>2167.59</v>
      </c>
    </row>
    <row r="534" spans="2:18" s="34" customFormat="1" ht="34.799999999999997">
      <c r="B534" s="75" t="s">
        <v>1043</v>
      </c>
      <c r="C534" s="76" t="s">
        <v>1044</v>
      </c>
      <c r="D534" s="77" t="s">
        <v>39</v>
      </c>
      <c r="E534" s="78">
        <v>20</v>
      </c>
      <c r="F534" s="79"/>
      <c r="G534" s="79"/>
      <c r="H534" s="79"/>
      <c r="I534" s="79">
        <f>SUM(G534:H534)+'BM 006'!I534</f>
        <v>0</v>
      </c>
      <c r="J534" s="79">
        <f t="shared" si="204"/>
        <v>20</v>
      </c>
      <c r="K534" s="84">
        <v>38</v>
      </c>
      <c r="L534" s="81">
        <f t="shared" si="203"/>
        <v>48.168804180000002</v>
      </c>
      <c r="M534" s="82">
        <f t="shared" si="221"/>
        <v>0</v>
      </c>
      <c r="N534" s="82">
        <f t="shared" si="222"/>
        <v>0</v>
      </c>
      <c r="O534" s="82">
        <f>N534+'BM 006'!O534</f>
        <v>0</v>
      </c>
      <c r="P534" s="80">
        <f t="shared" si="223"/>
        <v>760</v>
      </c>
      <c r="Q534" s="82">
        <f t="shared" si="224"/>
        <v>963.37</v>
      </c>
      <c r="R534" s="82">
        <f t="shared" si="225"/>
        <v>963.37</v>
      </c>
    </row>
    <row r="535" spans="2:18" s="34" customFormat="1" ht="34.799999999999997">
      <c r="B535" s="75" t="s">
        <v>1045</v>
      </c>
      <c r="C535" s="76" t="s">
        <v>1046</v>
      </c>
      <c r="D535" s="77" t="s">
        <v>39</v>
      </c>
      <c r="E535" s="78">
        <v>10</v>
      </c>
      <c r="F535" s="79"/>
      <c r="G535" s="79"/>
      <c r="H535" s="79"/>
      <c r="I535" s="79">
        <f>SUM(G535:H535)+'BM 006'!I535</f>
        <v>0</v>
      </c>
      <c r="J535" s="79">
        <f t="shared" si="204"/>
        <v>10</v>
      </c>
      <c r="K535" s="84">
        <v>118</v>
      </c>
      <c r="L535" s="81">
        <f t="shared" si="203"/>
        <v>149.57681298</v>
      </c>
      <c r="M535" s="82">
        <f t="shared" si="221"/>
        <v>0</v>
      </c>
      <c r="N535" s="82">
        <f t="shared" si="222"/>
        <v>0</v>
      </c>
      <c r="O535" s="82">
        <f>N535+'BM 006'!O535</f>
        <v>0</v>
      </c>
      <c r="P535" s="80">
        <f t="shared" si="223"/>
        <v>1180</v>
      </c>
      <c r="Q535" s="82">
        <f t="shared" si="224"/>
        <v>1495.76</v>
      </c>
      <c r="R535" s="82">
        <f t="shared" si="225"/>
        <v>1495.76</v>
      </c>
    </row>
    <row r="536" spans="2:18" s="34" customFormat="1" ht="23.4">
      <c r="B536" s="75" t="s">
        <v>1047</v>
      </c>
      <c r="C536" s="76" t="s">
        <v>1048</v>
      </c>
      <c r="D536" s="77" t="s">
        <v>39</v>
      </c>
      <c r="E536" s="78">
        <v>10</v>
      </c>
      <c r="F536" s="79"/>
      <c r="G536" s="79"/>
      <c r="H536" s="79"/>
      <c r="I536" s="79">
        <f>SUM(G536:H536)+'BM 006'!I536</f>
        <v>0</v>
      </c>
      <c r="J536" s="79">
        <f t="shared" si="204"/>
        <v>10</v>
      </c>
      <c r="K536" s="84">
        <v>88.39</v>
      </c>
      <c r="L536" s="81">
        <f t="shared" si="203"/>
        <v>112.04317372290001</v>
      </c>
      <c r="M536" s="82">
        <f t="shared" si="221"/>
        <v>0</v>
      </c>
      <c r="N536" s="82">
        <f t="shared" si="222"/>
        <v>0</v>
      </c>
      <c r="O536" s="82">
        <f>N536+'BM 006'!O536</f>
        <v>0</v>
      </c>
      <c r="P536" s="80">
        <f t="shared" si="223"/>
        <v>883.9</v>
      </c>
      <c r="Q536" s="82">
        <f t="shared" si="224"/>
        <v>1120.43</v>
      </c>
      <c r="R536" s="82">
        <f t="shared" si="225"/>
        <v>1120.43</v>
      </c>
    </row>
    <row r="537" spans="2:18" s="34" customFormat="1" ht="23.4">
      <c r="B537" s="75" t="s">
        <v>1049</v>
      </c>
      <c r="C537" s="76" t="s">
        <v>1050</v>
      </c>
      <c r="D537" s="77" t="s">
        <v>39</v>
      </c>
      <c r="E537" s="78">
        <v>20</v>
      </c>
      <c r="F537" s="79"/>
      <c r="G537" s="79"/>
      <c r="H537" s="79"/>
      <c r="I537" s="79">
        <f>SUM(G537:H537)+'BM 006'!I537</f>
        <v>0</v>
      </c>
      <c r="J537" s="79">
        <f t="shared" si="204"/>
        <v>20</v>
      </c>
      <c r="K537" s="84">
        <v>45.21</v>
      </c>
      <c r="L537" s="81">
        <f t="shared" si="203"/>
        <v>57.308200973100007</v>
      </c>
      <c r="M537" s="82">
        <f t="shared" si="221"/>
        <v>0</v>
      </c>
      <c r="N537" s="82">
        <f t="shared" si="222"/>
        <v>0</v>
      </c>
      <c r="O537" s="82">
        <f>N537+'BM 006'!O537</f>
        <v>0</v>
      </c>
      <c r="P537" s="80">
        <f t="shared" si="223"/>
        <v>904.2</v>
      </c>
      <c r="Q537" s="82">
        <f t="shared" si="224"/>
        <v>1146.1600000000001</v>
      </c>
      <c r="R537" s="82">
        <f t="shared" si="225"/>
        <v>1146.1600000000001</v>
      </c>
    </row>
    <row r="538" spans="2:18" s="34" customFormat="1" ht="23.4">
      <c r="B538" s="75" t="s">
        <v>1051</v>
      </c>
      <c r="C538" s="76" t="s">
        <v>1052</v>
      </c>
      <c r="D538" s="77" t="s">
        <v>39</v>
      </c>
      <c r="E538" s="78">
        <v>10</v>
      </c>
      <c r="F538" s="79"/>
      <c r="G538" s="79"/>
      <c r="H538" s="79"/>
      <c r="I538" s="79">
        <f>SUM(G538:H538)+'BM 006'!I538</f>
        <v>0</v>
      </c>
      <c r="J538" s="79">
        <f t="shared" si="204"/>
        <v>10</v>
      </c>
      <c r="K538" s="84">
        <v>65.290000000000006</v>
      </c>
      <c r="L538" s="81">
        <f t="shared" si="203"/>
        <v>82.761611181900008</v>
      </c>
      <c r="M538" s="82">
        <f t="shared" si="221"/>
        <v>0</v>
      </c>
      <c r="N538" s="82">
        <f t="shared" si="222"/>
        <v>0</v>
      </c>
      <c r="O538" s="82">
        <f>N538+'BM 006'!O538</f>
        <v>0</v>
      </c>
      <c r="P538" s="80">
        <f t="shared" si="223"/>
        <v>652.90000000000009</v>
      </c>
      <c r="Q538" s="82">
        <f t="shared" si="224"/>
        <v>827.61</v>
      </c>
      <c r="R538" s="82">
        <f t="shared" si="225"/>
        <v>827.61</v>
      </c>
    </row>
    <row r="539" spans="2:18" s="34" customFormat="1" ht="46.2">
      <c r="B539" s="75" t="s">
        <v>1053</v>
      </c>
      <c r="C539" s="76" t="s">
        <v>1054</v>
      </c>
      <c r="D539" s="77" t="s">
        <v>39</v>
      </c>
      <c r="E539" s="78">
        <v>30</v>
      </c>
      <c r="F539" s="79"/>
      <c r="G539" s="79"/>
      <c r="H539" s="79"/>
      <c r="I539" s="79">
        <f>SUM(G539:H539)+'BM 006'!I539</f>
        <v>0</v>
      </c>
      <c r="J539" s="79">
        <f t="shared" si="204"/>
        <v>30</v>
      </c>
      <c r="K539" s="84">
        <v>80</v>
      </c>
      <c r="L539" s="81">
        <f t="shared" si="203"/>
        <v>101.4080088</v>
      </c>
      <c r="M539" s="82">
        <f t="shared" si="221"/>
        <v>0</v>
      </c>
      <c r="N539" s="82">
        <f t="shared" si="222"/>
        <v>0</v>
      </c>
      <c r="O539" s="82">
        <f>N539+'BM 006'!O539</f>
        <v>0</v>
      </c>
      <c r="P539" s="80">
        <f t="shared" si="223"/>
        <v>2400</v>
      </c>
      <c r="Q539" s="82">
        <f t="shared" si="224"/>
        <v>3042.24</v>
      </c>
      <c r="R539" s="82">
        <f t="shared" si="225"/>
        <v>3042.24</v>
      </c>
    </row>
    <row r="540" spans="2:18" s="34" customFormat="1" ht="34.799999999999997">
      <c r="B540" s="75" t="s">
        <v>1055</v>
      </c>
      <c r="C540" s="76" t="s">
        <v>1056</v>
      </c>
      <c r="D540" s="77" t="s">
        <v>39</v>
      </c>
      <c r="E540" s="78">
        <v>50</v>
      </c>
      <c r="F540" s="79"/>
      <c r="G540" s="79"/>
      <c r="H540" s="79"/>
      <c r="I540" s="79">
        <f>SUM(G540:H540)+'BM 006'!I540</f>
        <v>0</v>
      </c>
      <c r="J540" s="79">
        <f t="shared" si="204"/>
        <v>50</v>
      </c>
      <c r="K540" s="84">
        <v>120</v>
      </c>
      <c r="L540" s="81">
        <f t="shared" si="203"/>
        <v>152.11201320000001</v>
      </c>
      <c r="M540" s="82">
        <f t="shared" si="221"/>
        <v>0</v>
      </c>
      <c r="N540" s="82">
        <f t="shared" si="222"/>
        <v>0</v>
      </c>
      <c r="O540" s="82">
        <f>N540+'BM 006'!O540</f>
        <v>0</v>
      </c>
      <c r="P540" s="80">
        <f t="shared" si="223"/>
        <v>6000</v>
      </c>
      <c r="Q540" s="82">
        <f t="shared" si="224"/>
        <v>7605.6</v>
      </c>
      <c r="R540" s="82">
        <f t="shared" si="225"/>
        <v>7605.6</v>
      </c>
    </row>
    <row r="541" spans="2:18" s="34" customFormat="1" ht="34.799999999999997">
      <c r="B541" s="75" t="s">
        <v>1057</v>
      </c>
      <c r="C541" s="76" t="s">
        <v>1058</v>
      </c>
      <c r="D541" s="77" t="s">
        <v>39</v>
      </c>
      <c r="E541" s="78">
        <v>10</v>
      </c>
      <c r="F541" s="79"/>
      <c r="G541" s="79"/>
      <c r="H541" s="79"/>
      <c r="I541" s="79">
        <f>SUM(G541:H541)+'BM 006'!I541</f>
        <v>0</v>
      </c>
      <c r="J541" s="79">
        <f t="shared" si="204"/>
        <v>10</v>
      </c>
      <c r="K541" s="84">
        <v>137.9</v>
      </c>
      <c r="L541" s="81">
        <f t="shared" ref="L541:L590" si="226">K541*(1+$T$26)</f>
        <v>174.80205516900003</v>
      </c>
      <c r="M541" s="82">
        <f t="shared" si="221"/>
        <v>0</v>
      </c>
      <c r="N541" s="82">
        <f t="shared" si="222"/>
        <v>0</v>
      </c>
      <c r="O541" s="82">
        <f>N541+'BM 006'!O541</f>
        <v>0</v>
      </c>
      <c r="P541" s="80">
        <f t="shared" si="223"/>
        <v>1379</v>
      </c>
      <c r="Q541" s="82">
        <f t="shared" si="224"/>
        <v>1748.02</v>
      </c>
      <c r="R541" s="82">
        <f t="shared" si="225"/>
        <v>1748.02</v>
      </c>
    </row>
    <row r="542" spans="2:18" s="34" customFormat="1" ht="23.4">
      <c r="B542" s="75" t="s">
        <v>1059</v>
      </c>
      <c r="C542" s="76" t="s">
        <v>1060</v>
      </c>
      <c r="D542" s="77" t="s">
        <v>39</v>
      </c>
      <c r="E542" s="78">
        <v>20</v>
      </c>
      <c r="F542" s="79"/>
      <c r="G542" s="79"/>
      <c r="H542" s="79"/>
      <c r="I542" s="79">
        <f>SUM(G542:H542)+'BM 006'!I542</f>
        <v>2</v>
      </c>
      <c r="J542" s="79">
        <f t="shared" si="204"/>
        <v>18</v>
      </c>
      <c r="K542" s="84">
        <v>69</v>
      </c>
      <c r="L542" s="81">
        <f t="shared" si="226"/>
        <v>87.464407590000008</v>
      </c>
      <c r="M542" s="82">
        <f t="shared" si="221"/>
        <v>0</v>
      </c>
      <c r="N542" s="82">
        <f t="shared" si="222"/>
        <v>0</v>
      </c>
      <c r="O542" s="82">
        <f>N542+'BM 006'!O542</f>
        <v>174.92</v>
      </c>
      <c r="P542" s="80">
        <f t="shared" si="223"/>
        <v>1380</v>
      </c>
      <c r="Q542" s="82">
        <f t="shared" si="224"/>
        <v>1749.28</v>
      </c>
      <c r="R542" s="82">
        <f t="shared" si="225"/>
        <v>1574.36</v>
      </c>
    </row>
    <row r="543" spans="2:18" s="34" customFormat="1" ht="46.2">
      <c r="B543" s="75" t="s">
        <v>1061</v>
      </c>
      <c r="C543" s="76" t="s">
        <v>1062</v>
      </c>
      <c r="D543" s="77" t="s">
        <v>39</v>
      </c>
      <c r="E543" s="78">
        <v>10</v>
      </c>
      <c r="F543" s="79"/>
      <c r="G543" s="79"/>
      <c r="H543" s="79"/>
      <c r="I543" s="79">
        <f>SUM(G543:H543)+'BM 006'!I543</f>
        <v>0</v>
      </c>
      <c r="J543" s="79">
        <f t="shared" ref="J543:J590" si="227">E543-I543</f>
        <v>10</v>
      </c>
      <c r="K543" s="84">
        <v>180</v>
      </c>
      <c r="L543" s="81">
        <f t="shared" si="226"/>
        <v>228.16801980000002</v>
      </c>
      <c r="M543" s="82">
        <f t="shared" si="221"/>
        <v>0</v>
      </c>
      <c r="N543" s="82">
        <f t="shared" si="222"/>
        <v>0</v>
      </c>
      <c r="O543" s="82">
        <f>N543+'BM 006'!O543</f>
        <v>0</v>
      </c>
      <c r="P543" s="80">
        <f t="shared" si="223"/>
        <v>1800</v>
      </c>
      <c r="Q543" s="82">
        <f t="shared" si="224"/>
        <v>2281.6799999999998</v>
      </c>
      <c r="R543" s="82">
        <f t="shared" si="225"/>
        <v>2281.6799999999998</v>
      </c>
    </row>
    <row r="544" spans="2:18" s="34" customFormat="1" ht="69">
      <c r="B544" s="75" t="s">
        <v>1063</v>
      </c>
      <c r="C544" s="76" t="s">
        <v>1064</v>
      </c>
      <c r="D544" s="77" t="s">
        <v>39</v>
      </c>
      <c r="E544" s="78">
        <v>1</v>
      </c>
      <c r="F544" s="79"/>
      <c r="G544" s="79"/>
      <c r="H544" s="79"/>
      <c r="I544" s="79">
        <f>SUM(G544:H544)+'BM 006'!I544</f>
        <v>0</v>
      </c>
      <c r="J544" s="79">
        <f t="shared" si="227"/>
        <v>1</v>
      </c>
      <c r="K544" s="84">
        <v>320</v>
      </c>
      <c r="L544" s="81">
        <f t="shared" si="226"/>
        <v>405.63203520000002</v>
      </c>
      <c r="M544" s="82">
        <f t="shared" si="221"/>
        <v>0</v>
      </c>
      <c r="N544" s="82">
        <f t="shared" si="222"/>
        <v>0</v>
      </c>
      <c r="O544" s="82">
        <f>N544+'BM 006'!O544</f>
        <v>0</v>
      </c>
      <c r="P544" s="80">
        <f t="shared" si="223"/>
        <v>320</v>
      </c>
      <c r="Q544" s="82">
        <f t="shared" si="224"/>
        <v>405.63</v>
      </c>
      <c r="R544" s="82">
        <f t="shared" si="225"/>
        <v>405.63</v>
      </c>
    </row>
    <row r="545" spans="2:18" s="34" customFormat="1" ht="57.6">
      <c r="B545" s="75" t="s">
        <v>1065</v>
      </c>
      <c r="C545" s="76" t="s">
        <v>1066</v>
      </c>
      <c r="D545" s="77" t="s">
        <v>39</v>
      </c>
      <c r="E545" s="78">
        <v>1</v>
      </c>
      <c r="F545" s="79"/>
      <c r="G545" s="79"/>
      <c r="H545" s="79"/>
      <c r="I545" s="79">
        <f>SUM(G545:H545)+'BM 006'!I545</f>
        <v>0</v>
      </c>
      <c r="J545" s="79">
        <f t="shared" si="227"/>
        <v>1</v>
      </c>
      <c r="K545" s="84">
        <v>800</v>
      </c>
      <c r="L545" s="81">
        <f t="shared" si="226"/>
        <v>1014.080088</v>
      </c>
      <c r="M545" s="82">
        <f t="shared" si="221"/>
        <v>0</v>
      </c>
      <c r="N545" s="82">
        <f t="shared" si="222"/>
        <v>0</v>
      </c>
      <c r="O545" s="82">
        <f>N545+'BM 006'!O545</f>
        <v>0</v>
      </c>
      <c r="P545" s="80">
        <f t="shared" si="223"/>
        <v>800</v>
      </c>
      <c r="Q545" s="82">
        <f t="shared" si="224"/>
        <v>1014.08</v>
      </c>
      <c r="R545" s="82">
        <f t="shared" si="225"/>
        <v>1014.08</v>
      </c>
    </row>
    <row r="546" spans="2:18" s="34" customFormat="1" ht="23.4">
      <c r="B546" s="75" t="s">
        <v>1067</v>
      </c>
      <c r="C546" s="76" t="s">
        <v>1068</v>
      </c>
      <c r="D546" s="77" t="s">
        <v>39</v>
      </c>
      <c r="E546" s="78">
        <v>2</v>
      </c>
      <c r="F546" s="79"/>
      <c r="G546" s="79"/>
      <c r="H546" s="79"/>
      <c r="I546" s="79">
        <f>SUM(G546:H546)+'BM 006'!I546</f>
        <v>0</v>
      </c>
      <c r="J546" s="79">
        <f t="shared" si="227"/>
        <v>2</v>
      </c>
      <c r="K546" s="84">
        <v>605.34</v>
      </c>
      <c r="L546" s="81">
        <f t="shared" si="226"/>
        <v>767.32905058740005</v>
      </c>
      <c r="M546" s="82">
        <f t="shared" si="221"/>
        <v>0</v>
      </c>
      <c r="N546" s="82">
        <f t="shared" si="222"/>
        <v>0</v>
      </c>
      <c r="O546" s="82">
        <f>N546+'BM 006'!O546</f>
        <v>0</v>
      </c>
      <c r="P546" s="80">
        <f t="shared" si="223"/>
        <v>1210.68</v>
      </c>
      <c r="Q546" s="82">
        <f t="shared" si="224"/>
        <v>1534.65</v>
      </c>
      <c r="R546" s="82">
        <f t="shared" si="225"/>
        <v>1534.65</v>
      </c>
    </row>
    <row r="547" spans="2:18" s="34" customFormat="1" ht="23.4">
      <c r="B547" s="75" t="s">
        <v>1069</v>
      </c>
      <c r="C547" s="76" t="s">
        <v>1070</v>
      </c>
      <c r="D547" s="77" t="s">
        <v>39</v>
      </c>
      <c r="E547" s="78">
        <v>3</v>
      </c>
      <c r="F547" s="79"/>
      <c r="G547" s="79"/>
      <c r="H547" s="79"/>
      <c r="I547" s="79">
        <f>SUM(G547:H547)+'BM 006'!I547</f>
        <v>0</v>
      </c>
      <c r="J547" s="79">
        <f t="shared" si="227"/>
        <v>3</v>
      </c>
      <c r="K547" s="84">
        <v>311.79000000000002</v>
      </c>
      <c r="L547" s="81">
        <f t="shared" si="226"/>
        <v>395.22503829690004</v>
      </c>
      <c r="M547" s="82">
        <f t="shared" si="221"/>
        <v>0</v>
      </c>
      <c r="N547" s="82">
        <f t="shared" si="222"/>
        <v>0</v>
      </c>
      <c r="O547" s="82">
        <f>N547+'BM 006'!O547</f>
        <v>0</v>
      </c>
      <c r="P547" s="80">
        <f t="shared" si="223"/>
        <v>935.37000000000012</v>
      </c>
      <c r="Q547" s="82">
        <f t="shared" si="224"/>
        <v>1185.67</v>
      </c>
      <c r="R547" s="82">
        <f t="shared" si="225"/>
        <v>1185.67</v>
      </c>
    </row>
    <row r="548" spans="2:18" s="34" customFormat="1" ht="23.4">
      <c r="B548" s="75" t="s">
        <v>1071</v>
      </c>
      <c r="C548" s="76" t="s">
        <v>1072</v>
      </c>
      <c r="D548" s="77" t="s">
        <v>39</v>
      </c>
      <c r="E548" s="78">
        <v>2</v>
      </c>
      <c r="F548" s="79"/>
      <c r="G548" s="79"/>
      <c r="H548" s="79"/>
      <c r="I548" s="79">
        <f>SUM(G548:H548)+'BM 006'!I548</f>
        <v>0</v>
      </c>
      <c r="J548" s="79">
        <f t="shared" si="227"/>
        <v>2</v>
      </c>
      <c r="K548" s="84">
        <v>195</v>
      </c>
      <c r="L548" s="81">
        <f t="shared" si="226"/>
        <v>247.18202145000001</v>
      </c>
      <c r="M548" s="82">
        <f t="shared" si="221"/>
        <v>0</v>
      </c>
      <c r="N548" s="82">
        <f t="shared" si="222"/>
        <v>0</v>
      </c>
      <c r="O548" s="82">
        <f>N548+'BM 006'!O548</f>
        <v>0</v>
      </c>
      <c r="P548" s="80">
        <f t="shared" si="223"/>
        <v>390</v>
      </c>
      <c r="Q548" s="82">
        <f t="shared" si="224"/>
        <v>494.36</v>
      </c>
      <c r="R548" s="82">
        <f t="shared" si="225"/>
        <v>494.36</v>
      </c>
    </row>
    <row r="549" spans="2:18" s="34" customFormat="1" ht="46.2">
      <c r="B549" s="75" t="s">
        <v>1073</v>
      </c>
      <c r="C549" s="76" t="s">
        <v>1074</v>
      </c>
      <c r="D549" s="77" t="s">
        <v>39</v>
      </c>
      <c r="E549" s="78">
        <v>1</v>
      </c>
      <c r="F549" s="79"/>
      <c r="G549" s="79"/>
      <c r="H549" s="79"/>
      <c r="I549" s="79">
        <f>SUM(G549:H549)+'BM 006'!I549</f>
        <v>0</v>
      </c>
      <c r="J549" s="79">
        <f t="shared" si="227"/>
        <v>1</v>
      </c>
      <c r="K549" s="84">
        <v>1400</v>
      </c>
      <c r="L549" s="81">
        <f t="shared" si="226"/>
        <v>1774.6401540000002</v>
      </c>
      <c r="M549" s="82">
        <f t="shared" si="221"/>
        <v>0</v>
      </c>
      <c r="N549" s="82">
        <f t="shared" si="222"/>
        <v>0</v>
      </c>
      <c r="O549" s="82">
        <f>N549+'BM 006'!O549</f>
        <v>0</v>
      </c>
      <c r="P549" s="80">
        <f t="shared" si="223"/>
        <v>1400</v>
      </c>
      <c r="Q549" s="82">
        <f t="shared" si="224"/>
        <v>1774.64</v>
      </c>
      <c r="R549" s="82">
        <f t="shared" si="225"/>
        <v>1774.64</v>
      </c>
    </row>
    <row r="550" spans="2:18" s="34" customFormat="1" ht="46.2">
      <c r="B550" s="75" t="s">
        <v>1075</v>
      </c>
      <c r="C550" s="76" t="s">
        <v>1076</v>
      </c>
      <c r="D550" s="77" t="s">
        <v>39</v>
      </c>
      <c r="E550" s="78">
        <v>16</v>
      </c>
      <c r="F550" s="79"/>
      <c r="G550" s="79"/>
      <c r="H550" s="79"/>
      <c r="I550" s="79">
        <f>SUM(G550:H550)+'BM 006'!I550</f>
        <v>0</v>
      </c>
      <c r="J550" s="79">
        <f t="shared" si="227"/>
        <v>16</v>
      </c>
      <c r="K550" s="84">
        <v>1900</v>
      </c>
      <c r="L550" s="81">
        <f t="shared" si="226"/>
        <v>2408.4402090000003</v>
      </c>
      <c r="M550" s="82">
        <f t="shared" si="221"/>
        <v>0</v>
      </c>
      <c r="N550" s="82">
        <f t="shared" si="222"/>
        <v>0</v>
      </c>
      <c r="O550" s="82">
        <f>N550+'BM 006'!O550</f>
        <v>0</v>
      </c>
      <c r="P550" s="80">
        <f t="shared" si="223"/>
        <v>30400</v>
      </c>
      <c r="Q550" s="82">
        <f t="shared" si="224"/>
        <v>38535.040000000001</v>
      </c>
      <c r="R550" s="82">
        <f t="shared" si="225"/>
        <v>38535.040000000001</v>
      </c>
    </row>
    <row r="551" spans="2:18" s="34" customFormat="1" ht="34.799999999999997">
      <c r="B551" s="75" t="s">
        <v>1077</v>
      </c>
      <c r="C551" s="76" t="s">
        <v>1078</v>
      </c>
      <c r="D551" s="77" t="s">
        <v>39</v>
      </c>
      <c r="E551" s="78">
        <v>140</v>
      </c>
      <c r="F551" s="79"/>
      <c r="G551" s="79"/>
      <c r="H551" s="79"/>
      <c r="I551" s="79">
        <f>SUM(G551:H551)+'BM 006'!I551</f>
        <v>0</v>
      </c>
      <c r="J551" s="79">
        <f t="shared" si="227"/>
        <v>140</v>
      </c>
      <c r="K551" s="84">
        <v>25</v>
      </c>
      <c r="L551" s="81">
        <f t="shared" si="226"/>
        <v>31.690002750000001</v>
      </c>
      <c r="M551" s="82">
        <f t="shared" si="221"/>
        <v>0</v>
      </c>
      <c r="N551" s="82">
        <f t="shared" si="222"/>
        <v>0</v>
      </c>
      <c r="O551" s="82">
        <f>N551+'BM 006'!O551</f>
        <v>0</v>
      </c>
      <c r="P551" s="80">
        <f t="shared" si="223"/>
        <v>3500</v>
      </c>
      <c r="Q551" s="82">
        <f t="shared" si="224"/>
        <v>4436.6000000000004</v>
      </c>
      <c r="R551" s="82">
        <f t="shared" si="225"/>
        <v>4436.6000000000004</v>
      </c>
    </row>
    <row r="552" spans="2:18" s="34" customFormat="1" ht="13.2">
      <c r="B552" s="66" t="s">
        <v>1079</v>
      </c>
      <c r="C552" s="67" t="s">
        <v>1080</v>
      </c>
      <c r="D552" s="68"/>
      <c r="E552" s="69"/>
      <c r="F552" s="70"/>
      <c r="G552" s="70"/>
      <c r="H552" s="70"/>
      <c r="I552" s="70">
        <f>SUM(G552:H552)+'BM 006'!I552</f>
        <v>0</v>
      </c>
      <c r="J552" s="70">
        <f t="shared" si="227"/>
        <v>0</v>
      </c>
      <c r="K552" s="71"/>
      <c r="L552" s="71">
        <f t="shared" si="226"/>
        <v>0</v>
      </c>
      <c r="M552" s="73">
        <f t="shared" ref="M552:R552" si="228">SUM(M553:M553)</f>
        <v>0</v>
      </c>
      <c r="N552" s="73">
        <f t="shared" si="228"/>
        <v>0</v>
      </c>
      <c r="O552" s="73">
        <f t="shared" si="228"/>
        <v>0</v>
      </c>
      <c r="P552" s="73">
        <f t="shared" si="228"/>
        <v>7310</v>
      </c>
      <c r="Q552" s="73">
        <f t="shared" si="228"/>
        <v>9266.15</v>
      </c>
      <c r="R552" s="73">
        <f t="shared" si="228"/>
        <v>9266.15</v>
      </c>
    </row>
    <row r="553" spans="2:18" s="34" customFormat="1" ht="34.799999999999997">
      <c r="B553" s="75" t="s">
        <v>1081</v>
      </c>
      <c r="C553" s="76" t="s">
        <v>1082</v>
      </c>
      <c r="D553" s="77" t="s">
        <v>63</v>
      </c>
      <c r="E553" s="78">
        <v>43</v>
      </c>
      <c r="F553" s="79"/>
      <c r="G553" s="79"/>
      <c r="H553" s="79"/>
      <c r="I553" s="79">
        <f>SUM(G553:H553)+'BM 006'!I553</f>
        <v>0</v>
      </c>
      <c r="J553" s="79">
        <f t="shared" si="227"/>
        <v>43</v>
      </c>
      <c r="K553" s="84">
        <v>170</v>
      </c>
      <c r="L553" s="81">
        <f t="shared" si="226"/>
        <v>215.49201870000002</v>
      </c>
      <c r="M553" s="82">
        <f>TRUNC(F553*L553,2)</f>
        <v>0</v>
      </c>
      <c r="N553" s="82">
        <f>TRUNC(G553*L553,2)</f>
        <v>0</v>
      </c>
      <c r="O553" s="82">
        <f>N553+'BM 006'!O553</f>
        <v>0</v>
      </c>
      <c r="P553" s="80">
        <f>E553*K553</f>
        <v>7310</v>
      </c>
      <c r="Q553" s="82">
        <f>TRUNC(E553*L553,2)</f>
        <v>9266.15</v>
      </c>
      <c r="R553" s="82">
        <f>Q553-O553</f>
        <v>9266.15</v>
      </c>
    </row>
    <row r="554" spans="2:18" s="34" customFormat="1" ht="13.2">
      <c r="B554" s="66" t="s">
        <v>1083</v>
      </c>
      <c r="C554" s="67" t="s">
        <v>1084</v>
      </c>
      <c r="D554" s="68"/>
      <c r="E554" s="69"/>
      <c r="F554" s="70"/>
      <c r="G554" s="70"/>
      <c r="H554" s="70"/>
      <c r="I554" s="70">
        <f>SUM(G554:H554)+'BM 006'!I554</f>
        <v>0</v>
      </c>
      <c r="J554" s="70">
        <f t="shared" si="227"/>
        <v>0</v>
      </c>
      <c r="K554" s="71"/>
      <c r="L554" s="120">
        <f t="shared" si="226"/>
        <v>0</v>
      </c>
      <c r="M554" s="73">
        <f t="shared" ref="M554:R554" si="229">SUM(M555:M565)</f>
        <v>0</v>
      </c>
      <c r="N554" s="73">
        <f t="shared" si="229"/>
        <v>0</v>
      </c>
      <c r="O554" s="73">
        <f t="shared" si="229"/>
        <v>0</v>
      </c>
      <c r="P554" s="73">
        <f t="shared" si="229"/>
        <v>55460</v>
      </c>
      <c r="Q554" s="73">
        <f t="shared" si="229"/>
        <v>70301.090000000011</v>
      </c>
      <c r="R554" s="73">
        <f t="shared" si="229"/>
        <v>70301.090000000011</v>
      </c>
    </row>
    <row r="555" spans="2:18" s="34" customFormat="1" ht="23.4">
      <c r="B555" s="75" t="s">
        <v>1085</v>
      </c>
      <c r="C555" s="76" t="s">
        <v>1086</v>
      </c>
      <c r="D555" s="77" t="s">
        <v>131</v>
      </c>
      <c r="E555" s="78">
        <v>1</v>
      </c>
      <c r="F555" s="79"/>
      <c r="G555" s="79"/>
      <c r="H555" s="79"/>
      <c r="I555" s="79">
        <f>SUM(G555:H555)+'BM 006'!I555</f>
        <v>0</v>
      </c>
      <c r="J555" s="79">
        <f t="shared" si="227"/>
        <v>1</v>
      </c>
      <c r="K555" s="84">
        <v>5800</v>
      </c>
      <c r="L555" s="81">
        <f t="shared" si="226"/>
        <v>7352.0806380000004</v>
      </c>
      <c r="M555" s="82">
        <f t="shared" ref="M555:M565" si="230">TRUNC(F555*L555,2)</f>
        <v>0</v>
      </c>
      <c r="N555" s="82">
        <f t="shared" ref="N555:N565" si="231">TRUNC(G555*L555,2)</f>
        <v>0</v>
      </c>
      <c r="O555" s="82">
        <f>N555+'BM 006'!O555</f>
        <v>0</v>
      </c>
      <c r="P555" s="80">
        <f t="shared" ref="P555:P565" si="232">E555*K555</f>
        <v>5800</v>
      </c>
      <c r="Q555" s="82">
        <f t="shared" ref="Q555:Q565" si="233">TRUNC(E555*L555,2)</f>
        <v>7352.08</v>
      </c>
      <c r="R555" s="82">
        <f t="shared" ref="R555:R565" si="234">Q555-O555</f>
        <v>7352.08</v>
      </c>
    </row>
    <row r="556" spans="2:18" s="34" customFormat="1" ht="57.6">
      <c r="B556" s="75" t="s">
        <v>1087</v>
      </c>
      <c r="C556" s="76" t="s">
        <v>1088</v>
      </c>
      <c r="D556" s="77" t="s">
        <v>131</v>
      </c>
      <c r="E556" s="78">
        <v>1</v>
      </c>
      <c r="F556" s="79"/>
      <c r="G556" s="79"/>
      <c r="H556" s="79"/>
      <c r="I556" s="79">
        <f>SUM(G556:H556)+'BM 006'!I556</f>
        <v>0</v>
      </c>
      <c r="J556" s="79">
        <f t="shared" si="227"/>
        <v>1</v>
      </c>
      <c r="K556" s="84">
        <v>2950</v>
      </c>
      <c r="L556" s="81">
        <f t="shared" si="226"/>
        <v>3739.4203245000003</v>
      </c>
      <c r="M556" s="82">
        <f t="shared" si="230"/>
        <v>0</v>
      </c>
      <c r="N556" s="82">
        <f t="shared" si="231"/>
        <v>0</v>
      </c>
      <c r="O556" s="82">
        <f>N556+'BM 006'!O556</f>
        <v>0</v>
      </c>
      <c r="P556" s="80">
        <f t="shared" si="232"/>
        <v>2950</v>
      </c>
      <c r="Q556" s="82">
        <f t="shared" si="233"/>
        <v>3739.42</v>
      </c>
      <c r="R556" s="82">
        <f t="shared" si="234"/>
        <v>3739.42</v>
      </c>
    </row>
    <row r="557" spans="2:18" s="34" customFormat="1" ht="34.799999999999997">
      <c r="B557" s="75" t="s">
        <v>1089</v>
      </c>
      <c r="C557" s="76" t="s">
        <v>1090</v>
      </c>
      <c r="D557" s="77" t="s">
        <v>131</v>
      </c>
      <c r="E557" s="78">
        <v>1</v>
      </c>
      <c r="F557" s="79"/>
      <c r="G557" s="79"/>
      <c r="H557" s="79"/>
      <c r="I557" s="79">
        <f>SUM(G557:H557)+'BM 006'!I557</f>
        <v>0</v>
      </c>
      <c r="J557" s="79">
        <f t="shared" si="227"/>
        <v>1</v>
      </c>
      <c r="K557" s="84">
        <v>5100</v>
      </c>
      <c r="L557" s="81">
        <f t="shared" si="226"/>
        <v>6464.7605610000001</v>
      </c>
      <c r="M557" s="82">
        <f t="shared" si="230"/>
        <v>0</v>
      </c>
      <c r="N557" s="82">
        <f t="shared" si="231"/>
        <v>0</v>
      </c>
      <c r="O557" s="82">
        <f>N557+'BM 006'!O557</f>
        <v>0</v>
      </c>
      <c r="P557" s="80">
        <f t="shared" si="232"/>
        <v>5100</v>
      </c>
      <c r="Q557" s="82">
        <f t="shared" si="233"/>
        <v>6464.76</v>
      </c>
      <c r="R557" s="82">
        <f t="shared" si="234"/>
        <v>6464.76</v>
      </c>
    </row>
    <row r="558" spans="2:18" s="34" customFormat="1" ht="34.799999999999997">
      <c r="B558" s="75" t="s">
        <v>1091</v>
      </c>
      <c r="C558" s="76" t="s">
        <v>1092</v>
      </c>
      <c r="D558" s="77" t="s">
        <v>131</v>
      </c>
      <c r="E558" s="78">
        <v>1</v>
      </c>
      <c r="F558" s="79"/>
      <c r="G558" s="79"/>
      <c r="H558" s="79"/>
      <c r="I558" s="79">
        <f>SUM(G558:H558)+'BM 006'!I558</f>
        <v>0</v>
      </c>
      <c r="J558" s="79">
        <f t="shared" si="227"/>
        <v>1</v>
      </c>
      <c r="K558" s="84">
        <v>6200</v>
      </c>
      <c r="L558" s="81">
        <f t="shared" si="226"/>
        <v>7859.1206820000007</v>
      </c>
      <c r="M558" s="82">
        <f t="shared" si="230"/>
        <v>0</v>
      </c>
      <c r="N558" s="82">
        <f t="shared" si="231"/>
        <v>0</v>
      </c>
      <c r="O558" s="82">
        <f>N558+'BM 006'!O558</f>
        <v>0</v>
      </c>
      <c r="P558" s="80">
        <f t="shared" si="232"/>
        <v>6200</v>
      </c>
      <c r="Q558" s="82">
        <f t="shared" si="233"/>
        <v>7859.12</v>
      </c>
      <c r="R558" s="82">
        <f t="shared" si="234"/>
        <v>7859.12</v>
      </c>
    </row>
    <row r="559" spans="2:18" s="34" customFormat="1" ht="23.4">
      <c r="B559" s="75" t="s">
        <v>1093</v>
      </c>
      <c r="C559" s="76" t="s">
        <v>1094</v>
      </c>
      <c r="D559" s="77" t="s">
        <v>131</v>
      </c>
      <c r="E559" s="78">
        <v>15</v>
      </c>
      <c r="F559" s="79"/>
      <c r="G559" s="79"/>
      <c r="H559" s="79"/>
      <c r="I559" s="79">
        <f>SUM(G559:H559)+'BM 006'!I559</f>
        <v>0</v>
      </c>
      <c r="J559" s="79">
        <f t="shared" si="227"/>
        <v>15</v>
      </c>
      <c r="K559" s="84">
        <v>250</v>
      </c>
      <c r="L559" s="81">
        <f t="shared" si="226"/>
        <v>316.90002750000002</v>
      </c>
      <c r="M559" s="82">
        <f t="shared" si="230"/>
        <v>0</v>
      </c>
      <c r="N559" s="82">
        <f t="shared" si="231"/>
        <v>0</v>
      </c>
      <c r="O559" s="82">
        <f>N559+'BM 006'!O559</f>
        <v>0</v>
      </c>
      <c r="P559" s="80">
        <f t="shared" si="232"/>
        <v>3750</v>
      </c>
      <c r="Q559" s="82">
        <f t="shared" si="233"/>
        <v>4753.5</v>
      </c>
      <c r="R559" s="82">
        <f t="shared" si="234"/>
        <v>4753.5</v>
      </c>
    </row>
    <row r="560" spans="2:18" s="34" customFormat="1" ht="23.4">
      <c r="B560" s="75" t="s">
        <v>1095</v>
      </c>
      <c r="C560" s="76" t="s">
        <v>1096</v>
      </c>
      <c r="D560" s="77" t="s">
        <v>131</v>
      </c>
      <c r="E560" s="78">
        <v>1</v>
      </c>
      <c r="F560" s="79"/>
      <c r="G560" s="79"/>
      <c r="H560" s="79"/>
      <c r="I560" s="79">
        <f>SUM(G560:H560)+'BM 006'!I560</f>
        <v>0</v>
      </c>
      <c r="J560" s="79">
        <f t="shared" si="227"/>
        <v>1</v>
      </c>
      <c r="K560" s="84">
        <v>350</v>
      </c>
      <c r="L560" s="81">
        <f t="shared" si="226"/>
        <v>443.66003850000004</v>
      </c>
      <c r="M560" s="82">
        <f t="shared" si="230"/>
        <v>0</v>
      </c>
      <c r="N560" s="82">
        <f t="shared" si="231"/>
        <v>0</v>
      </c>
      <c r="O560" s="82">
        <f>N560+'BM 006'!O560</f>
        <v>0</v>
      </c>
      <c r="P560" s="80">
        <f t="shared" si="232"/>
        <v>350</v>
      </c>
      <c r="Q560" s="82">
        <f t="shared" si="233"/>
        <v>443.66</v>
      </c>
      <c r="R560" s="82">
        <f t="shared" si="234"/>
        <v>443.66</v>
      </c>
    </row>
    <row r="561" spans="2:18" s="34" customFormat="1" ht="23.4">
      <c r="B561" s="75" t="s">
        <v>1097</v>
      </c>
      <c r="C561" s="76" t="s">
        <v>1098</v>
      </c>
      <c r="D561" s="77" t="s">
        <v>131</v>
      </c>
      <c r="E561" s="78">
        <v>15</v>
      </c>
      <c r="F561" s="79"/>
      <c r="G561" s="79"/>
      <c r="H561" s="79"/>
      <c r="I561" s="79">
        <f>SUM(G561:H561)+'BM 006'!I561</f>
        <v>0</v>
      </c>
      <c r="J561" s="79">
        <f t="shared" si="227"/>
        <v>15</v>
      </c>
      <c r="K561" s="84">
        <v>260</v>
      </c>
      <c r="L561" s="81">
        <f t="shared" si="226"/>
        <v>329.57602860000003</v>
      </c>
      <c r="M561" s="82">
        <f t="shared" si="230"/>
        <v>0</v>
      </c>
      <c r="N561" s="82">
        <f t="shared" si="231"/>
        <v>0</v>
      </c>
      <c r="O561" s="82">
        <f>N561+'BM 006'!O561</f>
        <v>0</v>
      </c>
      <c r="P561" s="80">
        <f t="shared" si="232"/>
        <v>3900</v>
      </c>
      <c r="Q561" s="82">
        <f t="shared" si="233"/>
        <v>4943.6400000000003</v>
      </c>
      <c r="R561" s="82">
        <f t="shared" si="234"/>
        <v>4943.6400000000003</v>
      </c>
    </row>
    <row r="562" spans="2:18" s="34" customFormat="1" ht="23.4">
      <c r="B562" s="75" t="s">
        <v>1099</v>
      </c>
      <c r="C562" s="76" t="s">
        <v>1100</v>
      </c>
      <c r="D562" s="77" t="s">
        <v>131</v>
      </c>
      <c r="E562" s="78">
        <v>1</v>
      </c>
      <c r="F562" s="79"/>
      <c r="G562" s="79"/>
      <c r="H562" s="79"/>
      <c r="I562" s="79">
        <f>SUM(G562:H562)+'BM 006'!I562</f>
        <v>0</v>
      </c>
      <c r="J562" s="79">
        <f t="shared" si="227"/>
        <v>1</v>
      </c>
      <c r="K562" s="84">
        <v>360</v>
      </c>
      <c r="L562" s="81">
        <f t="shared" si="226"/>
        <v>456.33603960000005</v>
      </c>
      <c r="M562" s="82">
        <f t="shared" si="230"/>
        <v>0</v>
      </c>
      <c r="N562" s="82">
        <f t="shared" si="231"/>
        <v>0</v>
      </c>
      <c r="O562" s="82">
        <f>N562+'BM 006'!O562</f>
        <v>0</v>
      </c>
      <c r="P562" s="80">
        <f t="shared" si="232"/>
        <v>360</v>
      </c>
      <c r="Q562" s="82">
        <f t="shared" si="233"/>
        <v>456.33</v>
      </c>
      <c r="R562" s="82">
        <f t="shared" si="234"/>
        <v>456.33</v>
      </c>
    </row>
    <row r="563" spans="2:18" s="34" customFormat="1" ht="13.2">
      <c r="B563" s="75" t="s">
        <v>1101</v>
      </c>
      <c r="C563" s="76" t="s">
        <v>1102</v>
      </c>
      <c r="D563" s="77" t="s">
        <v>131</v>
      </c>
      <c r="E563" s="78">
        <v>2</v>
      </c>
      <c r="F563" s="79"/>
      <c r="G563" s="79"/>
      <c r="H563" s="79"/>
      <c r="I563" s="79">
        <f>SUM(G563:H563)+'BM 006'!I563</f>
        <v>0</v>
      </c>
      <c r="J563" s="79">
        <f t="shared" si="227"/>
        <v>2</v>
      </c>
      <c r="K563" s="84">
        <v>3650</v>
      </c>
      <c r="L563" s="81">
        <f t="shared" si="226"/>
        <v>4626.7404015000002</v>
      </c>
      <c r="M563" s="82">
        <f t="shared" si="230"/>
        <v>0</v>
      </c>
      <c r="N563" s="82">
        <f t="shared" si="231"/>
        <v>0</v>
      </c>
      <c r="O563" s="82">
        <f>N563+'BM 006'!O563</f>
        <v>0</v>
      </c>
      <c r="P563" s="80">
        <f t="shared" si="232"/>
        <v>7300</v>
      </c>
      <c r="Q563" s="82">
        <f t="shared" si="233"/>
        <v>9253.48</v>
      </c>
      <c r="R563" s="82">
        <f t="shared" si="234"/>
        <v>9253.48</v>
      </c>
    </row>
    <row r="564" spans="2:18" s="34" customFormat="1" ht="23.4">
      <c r="B564" s="75" t="s">
        <v>1103</v>
      </c>
      <c r="C564" s="76" t="s">
        <v>1104</v>
      </c>
      <c r="D564" s="77" t="s">
        <v>131</v>
      </c>
      <c r="E564" s="78">
        <v>60</v>
      </c>
      <c r="F564" s="79"/>
      <c r="G564" s="79"/>
      <c r="H564" s="79"/>
      <c r="I564" s="79">
        <f>SUM(G564:H564)+'BM 006'!I564</f>
        <v>0</v>
      </c>
      <c r="J564" s="79">
        <f t="shared" si="227"/>
        <v>60</v>
      </c>
      <c r="K564" s="84">
        <v>280</v>
      </c>
      <c r="L564" s="81">
        <f t="shared" si="226"/>
        <v>354.92803079999999</v>
      </c>
      <c r="M564" s="82">
        <f t="shared" si="230"/>
        <v>0</v>
      </c>
      <c r="N564" s="82">
        <f t="shared" si="231"/>
        <v>0</v>
      </c>
      <c r="O564" s="82">
        <f>N564+'BM 006'!O564</f>
        <v>0</v>
      </c>
      <c r="P564" s="80">
        <f t="shared" si="232"/>
        <v>16800</v>
      </c>
      <c r="Q564" s="82">
        <f t="shared" si="233"/>
        <v>21295.68</v>
      </c>
      <c r="R564" s="82">
        <f t="shared" si="234"/>
        <v>21295.68</v>
      </c>
    </row>
    <row r="565" spans="2:18" s="34" customFormat="1" ht="34.799999999999997">
      <c r="B565" s="75" t="s">
        <v>1105</v>
      </c>
      <c r="C565" s="76" t="s">
        <v>1106</v>
      </c>
      <c r="D565" s="77" t="s">
        <v>131</v>
      </c>
      <c r="E565" s="78">
        <v>10</v>
      </c>
      <c r="F565" s="79"/>
      <c r="G565" s="79"/>
      <c r="H565" s="79"/>
      <c r="I565" s="79">
        <f>SUM(G565:H565)+'BM 006'!I565</f>
        <v>0</v>
      </c>
      <c r="J565" s="79">
        <f t="shared" si="227"/>
        <v>10</v>
      </c>
      <c r="K565" s="84">
        <v>295</v>
      </c>
      <c r="L565" s="81">
        <f t="shared" si="226"/>
        <v>373.94203245</v>
      </c>
      <c r="M565" s="82">
        <f t="shared" si="230"/>
        <v>0</v>
      </c>
      <c r="N565" s="82">
        <f t="shared" si="231"/>
        <v>0</v>
      </c>
      <c r="O565" s="82">
        <f>N565+'BM 006'!O565</f>
        <v>0</v>
      </c>
      <c r="P565" s="80">
        <f t="shared" si="232"/>
        <v>2950</v>
      </c>
      <c r="Q565" s="82">
        <f t="shared" si="233"/>
        <v>3739.42</v>
      </c>
      <c r="R565" s="82">
        <f t="shared" si="234"/>
        <v>3739.42</v>
      </c>
    </row>
    <row r="566" spans="2:18" s="34" customFormat="1" ht="13.2">
      <c r="B566" s="60" t="s">
        <v>1107</v>
      </c>
      <c r="C566" s="61" t="s">
        <v>1108</v>
      </c>
      <c r="D566" s="60"/>
      <c r="E566" s="62"/>
      <c r="F566" s="63"/>
      <c r="G566" s="63"/>
      <c r="H566" s="63"/>
      <c r="I566" s="63">
        <f>SUM(G566:H566)+'BM 006'!I566</f>
        <v>0</v>
      </c>
      <c r="J566" s="63">
        <f t="shared" si="227"/>
        <v>0</v>
      </c>
      <c r="K566" s="63"/>
      <c r="L566" s="63">
        <f t="shared" si="226"/>
        <v>0</v>
      </c>
      <c r="M566" s="63">
        <f t="shared" ref="M566:R566" si="235">SUM(M567:M587)</f>
        <v>0</v>
      </c>
      <c r="N566" s="63">
        <f t="shared" si="235"/>
        <v>0</v>
      </c>
      <c r="O566" s="63">
        <f t="shared" si="235"/>
        <v>0</v>
      </c>
      <c r="P566" s="63">
        <f t="shared" si="235"/>
        <v>397499.3</v>
      </c>
      <c r="Q566" s="63">
        <f t="shared" si="235"/>
        <v>503870.0799999999</v>
      </c>
      <c r="R566" s="63">
        <f t="shared" si="235"/>
        <v>503870.0799999999</v>
      </c>
    </row>
    <row r="567" spans="2:18" s="34" customFormat="1" ht="57.6">
      <c r="B567" s="87" t="s">
        <v>1109</v>
      </c>
      <c r="C567" s="88" t="s">
        <v>1110</v>
      </c>
      <c r="D567" s="89" t="s">
        <v>63</v>
      </c>
      <c r="E567" s="92">
        <v>33</v>
      </c>
      <c r="F567" s="91"/>
      <c r="G567" s="91"/>
      <c r="H567" s="91"/>
      <c r="I567" s="91">
        <f>SUM(G567:H567)+'BM 006'!I567</f>
        <v>0</v>
      </c>
      <c r="J567" s="91">
        <f t="shared" si="227"/>
        <v>33</v>
      </c>
      <c r="K567" s="84">
        <v>540</v>
      </c>
      <c r="L567" s="81">
        <f t="shared" si="226"/>
        <v>684.50405940000007</v>
      </c>
      <c r="M567" s="82">
        <f t="shared" ref="M567:M587" si="236">TRUNC(F567*L567,2)</f>
        <v>0</v>
      </c>
      <c r="N567" s="82">
        <f t="shared" ref="N567:N587" si="237">TRUNC(G567*L567,2)</f>
        <v>0</v>
      </c>
      <c r="O567" s="82">
        <f>N567+'BM 006'!O567</f>
        <v>0</v>
      </c>
      <c r="P567" s="80">
        <f t="shared" ref="P567:P587" si="238">E567*K567</f>
        <v>17820</v>
      </c>
      <c r="Q567" s="82">
        <f t="shared" ref="Q567:Q587" si="239">TRUNC(E567*L567,2)</f>
        <v>22588.63</v>
      </c>
      <c r="R567" s="82">
        <f t="shared" ref="R567:R587" si="240">Q567-O567</f>
        <v>22588.63</v>
      </c>
    </row>
    <row r="568" spans="2:18" s="34" customFormat="1" ht="57.6">
      <c r="B568" s="87" t="s">
        <v>1111</v>
      </c>
      <c r="C568" s="88" t="s">
        <v>1112</v>
      </c>
      <c r="D568" s="89" t="s">
        <v>63</v>
      </c>
      <c r="E568" s="90">
        <f>56-E567</f>
        <v>23</v>
      </c>
      <c r="F568" s="91"/>
      <c r="G568" s="91"/>
      <c r="H568" s="91"/>
      <c r="I568" s="91">
        <f>SUM(G568:H568)+'BM 006'!I568</f>
        <v>0</v>
      </c>
      <c r="J568" s="91">
        <f t="shared" si="227"/>
        <v>23</v>
      </c>
      <c r="K568" s="80">
        <v>685</v>
      </c>
      <c r="L568" s="81">
        <f t="shared" si="226"/>
        <v>868.30607535000001</v>
      </c>
      <c r="M568" s="82">
        <f t="shared" si="236"/>
        <v>0</v>
      </c>
      <c r="N568" s="82">
        <f t="shared" si="237"/>
        <v>0</v>
      </c>
      <c r="O568" s="82">
        <f>N568+'BM 006'!O568</f>
        <v>0</v>
      </c>
      <c r="P568" s="80">
        <f t="shared" si="238"/>
        <v>15755</v>
      </c>
      <c r="Q568" s="82">
        <f t="shared" si="239"/>
        <v>19971.03</v>
      </c>
      <c r="R568" s="82">
        <f t="shared" si="240"/>
        <v>19971.03</v>
      </c>
    </row>
    <row r="569" spans="2:18" s="34" customFormat="1" ht="34.799999999999997">
      <c r="B569" s="87" t="s">
        <v>1113</v>
      </c>
      <c r="C569" s="88" t="s">
        <v>1114</v>
      </c>
      <c r="D569" s="89" t="s">
        <v>131</v>
      </c>
      <c r="E569" s="92">
        <v>17</v>
      </c>
      <c r="F569" s="91"/>
      <c r="G569" s="91"/>
      <c r="H569" s="91"/>
      <c r="I569" s="91">
        <f>SUM(G569:H569)+'BM 006'!I569</f>
        <v>0</v>
      </c>
      <c r="J569" s="91">
        <f t="shared" si="227"/>
        <v>17</v>
      </c>
      <c r="K569" s="84">
        <v>725</v>
      </c>
      <c r="L569" s="81">
        <f t="shared" si="226"/>
        <v>919.01007975000005</v>
      </c>
      <c r="M569" s="82">
        <f t="shared" si="236"/>
        <v>0</v>
      </c>
      <c r="N569" s="82">
        <f t="shared" si="237"/>
        <v>0</v>
      </c>
      <c r="O569" s="82">
        <f>N569+'BM 006'!O569</f>
        <v>0</v>
      </c>
      <c r="P569" s="80">
        <f t="shared" si="238"/>
        <v>12325</v>
      </c>
      <c r="Q569" s="82">
        <f t="shared" si="239"/>
        <v>15623.17</v>
      </c>
      <c r="R569" s="82">
        <f t="shared" si="240"/>
        <v>15623.17</v>
      </c>
    </row>
    <row r="570" spans="2:18" s="34" customFormat="1" ht="23.4">
      <c r="B570" s="87" t="s">
        <v>1115</v>
      </c>
      <c r="C570" s="88" t="s">
        <v>1116</v>
      </c>
      <c r="D570" s="89" t="s">
        <v>63</v>
      </c>
      <c r="E570" s="92">
        <v>56</v>
      </c>
      <c r="F570" s="91"/>
      <c r="G570" s="91"/>
      <c r="H570" s="91"/>
      <c r="I570" s="91">
        <f>SUM(G570:H570)+'BM 006'!I570</f>
        <v>0</v>
      </c>
      <c r="J570" s="91">
        <f t="shared" si="227"/>
        <v>56</v>
      </c>
      <c r="K570" s="84">
        <v>175</v>
      </c>
      <c r="L570" s="81">
        <f t="shared" si="226"/>
        <v>221.83001925000002</v>
      </c>
      <c r="M570" s="82">
        <f t="shared" si="236"/>
        <v>0</v>
      </c>
      <c r="N570" s="82">
        <f t="shared" si="237"/>
        <v>0</v>
      </c>
      <c r="O570" s="82">
        <f>N570+'BM 006'!O570</f>
        <v>0</v>
      </c>
      <c r="P570" s="80">
        <f t="shared" si="238"/>
        <v>9800</v>
      </c>
      <c r="Q570" s="82">
        <f t="shared" si="239"/>
        <v>12422.48</v>
      </c>
      <c r="R570" s="82">
        <f t="shared" si="240"/>
        <v>12422.48</v>
      </c>
    </row>
    <row r="571" spans="2:18" s="34" customFormat="1" ht="23.4">
      <c r="B571" s="87" t="s">
        <v>1117</v>
      </c>
      <c r="C571" s="88" t="s">
        <v>1118</v>
      </c>
      <c r="D571" s="89" t="s">
        <v>63</v>
      </c>
      <c r="E571" s="92">
        <v>11</v>
      </c>
      <c r="F571" s="91"/>
      <c r="G571" s="91"/>
      <c r="H571" s="91"/>
      <c r="I571" s="91">
        <f>SUM(G571:H571)+'BM 006'!I571</f>
        <v>0</v>
      </c>
      <c r="J571" s="91">
        <f t="shared" si="227"/>
        <v>11</v>
      </c>
      <c r="K571" s="84">
        <v>120</v>
      </c>
      <c r="L571" s="81">
        <f t="shared" si="226"/>
        <v>152.11201320000001</v>
      </c>
      <c r="M571" s="82">
        <f t="shared" si="236"/>
        <v>0</v>
      </c>
      <c r="N571" s="82">
        <f t="shared" si="237"/>
        <v>0</v>
      </c>
      <c r="O571" s="82">
        <f>N571+'BM 006'!O571</f>
        <v>0</v>
      </c>
      <c r="P571" s="80">
        <f t="shared" si="238"/>
        <v>1320</v>
      </c>
      <c r="Q571" s="82">
        <f t="shared" si="239"/>
        <v>1673.23</v>
      </c>
      <c r="R571" s="82">
        <f t="shared" si="240"/>
        <v>1673.23</v>
      </c>
    </row>
    <row r="572" spans="2:18" s="34" customFormat="1" ht="46.2">
      <c r="B572" s="87" t="s">
        <v>1119</v>
      </c>
      <c r="C572" s="88" t="s">
        <v>1120</v>
      </c>
      <c r="D572" s="89" t="s">
        <v>63</v>
      </c>
      <c r="E572" s="92">
        <v>20</v>
      </c>
      <c r="F572" s="91"/>
      <c r="G572" s="91"/>
      <c r="H572" s="91"/>
      <c r="I572" s="91">
        <f>SUM(G572:H572)+'BM 006'!I572</f>
        <v>0</v>
      </c>
      <c r="J572" s="91">
        <f t="shared" si="227"/>
        <v>20</v>
      </c>
      <c r="K572" s="84">
        <v>205</v>
      </c>
      <c r="L572" s="81">
        <f t="shared" si="226"/>
        <v>259.85802254999999</v>
      </c>
      <c r="M572" s="82">
        <f t="shared" si="236"/>
        <v>0</v>
      </c>
      <c r="N572" s="82">
        <f t="shared" si="237"/>
        <v>0</v>
      </c>
      <c r="O572" s="82">
        <f>N572+'BM 006'!O572</f>
        <v>0</v>
      </c>
      <c r="P572" s="80">
        <f t="shared" si="238"/>
        <v>4100</v>
      </c>
      <c r="Q572" s="82">
        <f t="shared" si="239"/>
        <v>5197.16</v>
      </c>
      <c r="R572" s="82">
        <f t="shared" si="240"/>
        <v>5197.16</v>
      </c>
    </row>
    <row r="573" spans="2:18" s="34" customFormat="1" ht="23.4">
      <c r="B573" s="87" t="s">
        <v>1121</v>
      </c>
      <c r="C573" s="88" t="s">
        <v>1122</v>
      </c>
      <c r="D573" s="89" t="s">
        <v>63</v>
      </c>
      <c r="E573" s="92">
        <v>39</v>
      </c>
      <c r="F573" s="91"/>
      <c r="G573" s="91"/>
      <c r="H573" s="91"/>
      <c r="I573" s="91">
        <f>SUM(G573:H573)+'BM 006'!I573</f>
        <v>0</v>
      </c>
      <c r="J573" s="91">
        <f t="shared" si="227"/>
        <v>39</v>
      </c>
      <c r="K573" s="84">
        <v>730</v>
      </c>
      <c r="L573" s="81">
        <f t="shared" si="226"/>
        <v>925.34808029999999</v>
      </c>
      <c r="M573" s="82">
        <f t="shared" si="236"/>
        <v>0</v>
      </c>
      <c r="N573" s="82">
        <f t="shared" si="237"/>
        <v>0</v>
      </c>
      <c r="O573" s="82">
        <f>N573+'BM 006'!O573</f>
        <v>0</v>
      </c>
      <c r="P573" s="80">
        <f t="shared" si="238"/>
        <v>28470</v>
      </c>
      <c r="Q573" s="82">
        <f t="shared" si="239"/>
        <v>36088.57</v>
      </c>
      <c r="R573" s="82">
        <f t="shared" si="240"/>
        <v>36088.57</v>
      </c>
    </row>
    <row r="574" spans="2:18" s="34" customFormat="1" ht="23.4">
      <c r="B574" s="87" t="s">
        <v>1123</v>
      </c>
      <c r="C574" s="88" t="s">
        <v>1124</v>
      </c>
      <c r="D574" s="89" t="s">
        <v>63</v>
      </c>
      <c r="E574" s="92">
        <v>6</v>
      </c>
      <c r="F574" s="91"/>
      <c r="G574" s="91"/>
      <c r="H574" s="91"/>
      <c r="I574" s="91">
        <f>SUM(G574:H574)+'BM 006'!I574</f>
        <v>0</v>
      </c>
      <c r="J574" s="91">
        <f t="shared" si="227"/>
        <v>6</v>
      </c>
      <c r="K574" s="84">
        <v>4500</v>
      </c>
      <c r="L574" s="81">
        <f t="shared" si="226"/>
        <v>5704.200495</v>
      </c>
      <c r="M574" s="82">
        <f t="shared" si="236"/>
        <v>0</v>
      </c>
      <c r="N574" s="82">
        <f t="shared" si="237"/>
        <v>0</v>
      </c>
      <c r="O574" s="82">
        <f>N574+'BM 006'!O574</f>
        <v>0</v>
      </c>
      <c r="P574" s="80">
        <f t="shared" si="238"/>
        <v>27000</v>
      </c>
      <c r="Q574" s="82">
        <f t="shared" si="239"/>
        <v>34225.199999999997</v>
      </c>
      <c r="R574" s="82">
        <f t="shared" si="240"/>
        <v>34225.199999999997</v>
      </c>
    </row>
    <row r="575" spans="2:18" s="34" customFormat="1" ht="46.2">
      <c r="B575" s="87" t="s">
        <v>1125</v>
      </c>
      <c r="C575" s="88" t="s">
        <v>1126</v>
      </c>
      <c r="D575" s="89" t="s">
        <v>63</v>
      </c>
      <c r="E575" s="92">
        <v>59</v>
      </c>
      <c r="F575" s="91"/>
      <c r="G575" s="91"/>
      <c r="H575" s="91"/>
      <c r="I575" s="91">
        <f>SUM(G575:H575)+'BM 006'!I575</f>
        <v>0</v>
      </c>
      <c r="J575" s="91">
        <f t="shared" si="227"/>
        <v>59</v>
      </c>
      <c r="K575" s="84">
        <v>745</v>
      </c>
      <c r="L575" s="81">
        <f t="shared" si="226"/>
        <v>944.36208195000006</v>
      </c>
      <c r="M575" s="82">
        <f t="shared" si="236"/>
        <v>0</v>
      </c>
      <c r="N575" s="82">
        <f t="shared" si="237"/>
        <v>0</v>
      </c>
      <c r="O575" s="82">
        <f>N575+'BM 006'!O575</f>
        <v>0</v>
      </c>
      <c r="P575" s="80">
        <f t="shared" si="238"/>
        <v>43955</v>
      </c>
      <c r="Q575" s="82">
        <f t="shared" si="239"/>
        <v>55717.36</v>
      </c>
      <c r="R575" s="82">
        <f t="shared" si="240"/>
        <v>55717.36</v>
      </c>
    </row>
    <row r="576" spans="2:18" s="34" customFormat="1" ht="23.4">
      <c r="B576" s="87" t="s">
        <v>1127</v>
      </c>
      <c r="C576" s="88" t="s">
        <v>1128</v>
      </c>
      <c r="D576" s="89" t="s">
        <v>63</v>
      </c>
      <c r="E576" s="92">
        <v>74</v>
      </c>
      <c r="F576" s="91"/>
      <c r="G576" s="91"/>
      <c r="H576" s="91"/>
      <c r="I576" s="91">
        <f>SUM(G576:H576)+'BM 006'!I576</f>
        <v>0</v>
      </c>
      <c r="J576" s="91">
        <f t="shared" si="227"/>
        <v>74</v>
      </c>
      <c r="K576" s="84">
        <v>250</v>
      </c>
      <c r="L576" s="81">
        <f t="shared" si="226"/>
        <v>316.90002750000002</v>
      </c>
      <c r="M576" s="82">
        <f t="shared" si="236"/>
        <v>0</v>
      </c>
      <c r="N576" s="82">
        <f t="shared" si="237"/>
        <v>0</v>
      </c>
      <c r="O576" s="82">
        <f>N576+'BM 006'!O576</f>
        <v>0</v>
      </c>
      <c r="P576" s="80">
        <f t="shared" si="238"/>
        <v>18500</v>
      </c>
      <c r="Q576" s="82">
        <f t="shared" si="239"/>
        <v>23450.6</v>
      </c>
      <c r="R576" s="82">
        <f t="shared" si="240"/>
        <v>23450.6</v>
      </c>
    </row>
    <row r="577" spans="1:23" s="34" customFormat="1" ht="23.4">
      <c r="B577" s="87" t="s">
        <v>1129</v>
      </c>
      <c r="C577" s="88" t="s">
        <v>1130</v>
      </c>
      <c r="D577" s="89" t="s">
        <v>63</v>
      </c>
      <c r="E577" s="92">
        <v>49</v>
      </c>
      <c r="F577" s="91"/>
      <c r="G577" s="91"/>
      <c r="H577" s="91"/>
      <c r="I577" s="91">
        <f>SUM(G577:H577)+'BM 006'!I577</f>
        <v>0</v>
      </c>
      <c r="J577" s="91">
        <f t="shared" si="227"/>
        <v>49</v>
      </c>
      <c r="K577" s="84">
        <v>250</v>
      </c>
      <c r="L577" s="81">
        <f t="shared" si="226"/>
        <v>316.90002750000002</v>
      </c>
      <c r="M577" s="82">
        <f t="shared" si="236"/>
        <v>0</v>
      </c>
      <c r="N577" s="82">
        <f t="shared" si="237"/>
        <v>0</v>
      </c>
      <c r="O577" s="82">
        <f>N577+'BM 006'!O577</f>
        <v>0</v>
      </c>
      <c r="P577" s="80">
        <f t="shared" si="238"/>
        <v>12250</v>
      </c>
      <c r="Q577" s="82">
        <f t="shared" si="239"/>
        <v>15528.1</v>
      </c>
      <c r="R577" s="82">
        <f t="shared" si="240"/>
        <v>15528.1</v>
      </c>
    </row>
    <row r="578" spans="1:23" s="34" customFormat="1" ht="23.4">
      <c r="B578" s="87" t="s">
        <v>1131</v>
      </c>
      <c r="C578" s="88" t="s">
        <v>1132</v>
      </c>
      <c r="D578" s="89" t="s">
        <v>63</v>
      </c>
      <c r="E578" s="92">
        <v>102</v>
      </c>
      <c r="F578" s="91"/>
      <c r="G578" s="91"/>
      <c r="H578" s="91"/>
      <c r="I578" s="91">
        <f>SUM(G578:H578)+'BM 006'!I578</f>
        <v>0</v>
      </c>
      <c r="J578" s="91">
        <f t="shared" si="227"/>
        <v>102</v>
      </c>
      <c r="K578" s="84">
        <v>200</v>
      </c>
      <c r="L578" s="81">
        <f t="shared" si="226"/>
        <v>253.52002200000001</v>
      </c>
      <c r="M578" s="82">
        <f t="shared" si="236"/>
        <v>0</v>
      </c>
      <c r="N578" s="82">
        <f t="shared" si="237"/>
        <v>0</v>
      </c>
      <c r="O578" s="82">
        <f>N578+'BM 006'!O578</f>
        <v>0</v>
      </c>
      <c r="P578" s="80">
        <f t="shared" si="238"/>
        <v>20400</v>
      </c>
      <c r="Q578" s="82">
        <f t="shared" si="239"/>
        <v>25859.040000000001</v>
      </c>
      <c r="R578" s="82">
        <f t="shared" si="240"/>
        <v>25859.040000000001</v>
      </c>
    </row>
    <row r="579" spans="1:23" s="34" customFormat="1" ht="13.2">
      <c r="B579" s="87" t="s">
        <v>1133</v>
      </c>
      <c r="C579" s="88" t="s">
        <v>1134</v>
      </c>
      <c r="D579" s="89" t="s">
        <v>63</v>
      </c>
      <c r="E579" s="92">
        <v>135</v>
      </c>
      <c r="F579" s="91"/>
      <c r="G579" s="91"/>
      <c r="H579" s="91"/>
      <c r="I579" s="91">
        <f>SUM(G579:H579)+'BM 006'!I579</f>
        <v>0</v>
      </c>
      <c r="J579" s="91">
        <f t="shared" si="227"/>
        <v>135</v>
      </c>
      <c r="K579" s="84">
        <v>85</v>
      </c>
      <c r="L579" s="81">
        <f t="shared" si="226"/>
        <v>107.74600935000001</v>
      </c>
      <c r="M579" s="82">
        <f t="shared" si="236"/>
        <v>0</v>
      </c>
      <c r="N579" s="82">
        <f t="shared" si="237"/>
        <v>0</v>
      </c>
      <c r="O579" s="82">
        <f>N579+'BM 006'!O579</f>
        <v>0</v>
      </c>
      <c r="P579" s="80">
        <f t="shared" si="238"/>
        <v>11475</v>
      </c>
      <c r="Q579" s="82">
        <f t="shared" si="239"/>
        <v>14545.71</v>
      </c>
      <c r="R579" s="82">
        <f t="shared" si="240"/>
        <v>14545.71</v>
      </c>
    </row>
    <row r="580" spans="1:23" s="34" customFormat="1" ht="34.799999999999997">
      <c r="B580" s="87" t="s">
        <v>1135</v>
      </c>
      <c r="C580" s="88" t="s">
        <v>1136</v>
      </c>
      <c r="D580" s="89" t="s">
        <v>79</v>
      </c>
      <c r="E580" s="92">
        <v>43.42</v>
      </c>
      <c r="F580" s="91"/>
      <c r="G580" s="91"/>
      <c r="H580" s="91"/>
      <c r="I580" s="91">
        <f>SUM(G580:H580)+'BM 006'!I580</f>
        <v>0</v>
      </c>
      <c r="J580" s="91">
        <f t="shared" si="227"/>
        <v>43.42</v>
      </c>
      <c r="K580" s="84">
        <v>2590</v>
      </c>
      <c r="L580" s="81">
        <f t="shared" si="226"/>
        <v>3283.0842849000001</v>
      </c>
      <c r="M580" s="82">
        <f t="shared" si="236"/>
        <v>0</v>
      </c>
      <c r="N580" s="82">
        <f t="shared" si="237"/>
        <v>0</v>
      </c>
      <c r="O580" s="82">
        <f>N580+'BM 006'!O580</f>
        <v>0</v>
      </c>
      <c r="P580" s="80">
        <f t="shared" si="238"/>
        <v>112457.8</v>
      </c>
      <c r="Q580" s="82">
        <f t="shared" si="239"/>
        <v>142551.51</v>
      </c>
      <c r="R580" s="82">
        <f t="shared" si="240"/>
        <v>142551.51</v>
      </c>
    </row>
    <row r="581" spans="1:23" s="34" customFormat="1" ht="34.799999999999997">
      <c r="B581" s="87" t="s">
        <v>1137</v>
      </c>
      <c r="C581" s="88" t="s">
        <v>1138</v>
      </c>
      <c r="D581" s="89" t="s">
        <v>79</v>
      </c>
      <c r="E581" s="92">
        <v>8.93</v>
      </c>
      <c r="F581" s="91"/>
      <c r="G581" s="91"/>
      <c r="H581" s="91"/>
      <c r="I581" s="91">
        <f>SUM(G581:H581)+'BM 006'!I581</f>
        <v>0</v>
      </c>
      <c r="J581" s="91">
        <f t="shared" si="227"/>
        <v>8.93</v>
      </c>
      <c r="K581" s="84">
        <v>950</v>
      </c>
      <c r="L581" s="81">
        <f t="shared" si="226"/>
        <v>1204.2201045000002</v>
      </c>
      <c r="M581" s="82">
        <f t="shared" si="236"/>
        <v>0</v>
      </c>
      <c r="N581" s="82">
        <f t="shared" si="237"/>
        <v>0</v>
      </c>
      <c r="O581" s="82">
        <f>N581+'BM 006'!O581</f>
        <v>0</v>
      </c>
      <c r="P581" s="80">
        <f t="shared" si="238"/>
        <v>8483.5</v>
      </c>
      <c r="Q581" s="82">
        <f t="shared" si="239"/>
        <v>10753.68</v>
      </c>
      <c r="R581" s="82">
        <f t="shared" si="240"/>
        <v>10753.68</v>
      </c>
    </row>
    <row r="582" spans="1:23" s="34" customFormat="1" ht="23.4">
      <c r="B582" s="87" t="s">
        <v>1139</v>
      </c>
      <c r="C582" s="88" t="s">
        <v>1140</v>
      </c>
      <c r="D582" s="89" t="s">
        <v>63</v>
      </c>
      <c r="E582" s="92">
        <v>1</v>
      </c>
      <c r="F582" s="91"/>
      <c r="G582" s="91"/>
      <c r="H582" s="91"/>
      <c r="I582" s="91">
        <f>SUM(G582:H582)+'BM 006'!I582</f>
        <v>0</v>
      </c>
      <c r="J582" s="91">
        <f t="shared" si="227"/>
        <v>1</v>
      </c>
      <c r="K582" s="84">
        <v>210</v>
      </c>
      <c r="L582" s="81">
        <f t="shared" si="226"/>
        <v>266.19602309999999</v>
      </c>
      <c r="M582" s="82">
        <f t="shared" si="236"/>
        <v>0</v>
      </c>
      <c r="N582" s="82">
        <f t="shared" si="237"/>
        <v>0</v>
      </c>
      <c r="O582" s="82">
        <f>N582+'BM 006'!O582</f>
        <v>0</v>
      </c>
      <c r="P582" s="80">
        <f t="shared" si="238"/>
        <v>210</v>
      </c>
      <c r="Q582" s="82">
        <f t="shared" si="239"/>
        <v>266.19</v>
      </c>
      <c r="R582" s="82">
        <f t="shared" si="240"/>
        <v>266.19</v>
      </c>
    </row>
    <row r="583" spans="1:23" s="34" customFormat="1" ht="34.799999999999997">
      <c r="B583" s="87" t="s">
        <v>1141</v>
      </c>
      <c r="C583" s="88" t="s">
        <v>1142</v>
      </c>
      <c r="D583" s="89" t="s">
        <v>63</v>
      </c>
      <c r="E583" s="92">
        <v>22</v>
      </c>
      <c r="F583" s="91"/>
      <c r="G583" s="91"/>
      <c r="H583" s="91"/>
      <c r="I583" s="91">
        <f>SUM(G583:H583)+'BM 006'!I583</f>
        <v>0</v>
      </c>
      <c r="J583" s="91">
        <f t="shared" si="227"/>
        <v>22</v>
      </c>
      <c r="K583" s="84">
        <v>490</v>
      </c>
      <c r="L583" s="81">
        <f t="shared" si="226"/>
        <v>621.12405390000004</v>
      </c>
      <c r="M583" s="82">
        <f t="shared" si="236"/>
        <v>0</v>
      </c>
      <c r="N583" s="82">
        <f t="shared" si="237"/>
        <v>0</v>
      </c>
      <c r="O583" s="82">
        <f>N583+'BM 006'!O583</f>
        <v>0</v>
      </c>
      <c r="P583" s="80">
        <f t="shared" si="238"/>
        <v>10780</v>
      </c>
      <c r="Q583" s="82">
        <f t="shared" si="239"/>
        <v>13664.72</v>
      </c>
      <c r="R583" s="82">
        <f t="shared" si="240"/>
        <v>13664.72</v>
      </c>
    </row>
    <row r="584" spans="1:23" ht="58.2">
      <c r="A584" s="34"/>
      <c r="B584" s="87" t="s">
        <v>1143</v>
      </c>
      <c r="C584" s="88" t="s">
        <v>1144</v>
      </c>
      <c r="D584" s="89" t="s">
        <v>63</v>
      </c>
      <c r="E584" s="92">
        <v>3</v>
      </c>
      <c r="F584" s="91"/>
      <c r="G584" s="91"/>
      <c r="H584" s="91"/>
      <c r="I584" s="91">
        <f>SUM(G584:H584)+'BM 006'!I584</f>
        <v>0</v>
      </c>
      <c r="J584" s="91">
        <f t="shared" si="227"/>
        <v>3</v>
      </c>
      <c r="K584" s="84">
        <v>2480</v>
      </c>
      <c r="L584" s="81">
        <f t="shared" si="226"/>
        <v>3143.6482728000001</v>
      </c>
      <c r="M584" s="82">
        <f t="shared" si="236"/>
        <v>0</v>
      </c>
      <c r="N584" s="82">
        <f t="shared" si="237"/>
        <v>0</v>
      </c>
      <c r="O584" s="82">
        <f>N584+'BM 006'!O584</f>
        <v>0</v>
      </c>
      <c r="P584" s="80">
        <f t="shared" si="238"/>
        <v>7440</v>
      </c>
      <c r="Q584" s="82">
        <f t="shared" si="239"/>
        <v>9430.94</v>
      </c>
      <c r="R584" s="82">
        <f t="shared" si="240"/>
        <v>9430.94</v>
      </c>
      <c r="S584" s="34"/>
      <c r="T584" s="34"/>
      <c r="U584" s="34"/>
      <c r="V584" s="34"/>
      <c r="W584" s="34"/>
    </row>
    <row r="585" spans="1:23" ht="24">
      <c r="A585" s="34"/>
      <c r="B585" s="87" t="s">
        <v>1145</v>
      </c>
      <c r="C585" s="88" t="s">
        <v>1146</v>
      </c>
      <c r="D585" s="89" t="s">
        <v>63</v>
      </c>
      <c r="E585" s="92">
        <v>7</v>
      </c>
      <c r="F585" s="91"/>
      <c r="G585" s="91"/>
      <c r="H585" s="91"/>
      <c r="I585" s="91">
        <f>SUM(G585:H585)+'BM 006'!I585</f>
        <v>0</v>
      </c>
      <c r="J585" s="91">
        <f t="shared" si="227"/>
        <v>7</v>
      </c>
      <c r="K585" s="84">
        <v>950</v>
      </c>
      <c r="L585" s="81">
        <f t="shared" si="226"/>
        <v>1204.2201045000002</v>
      </c>
      <c r="M585" s="82">
        <f t="shared" si="236"/>
        <v>0</v>
      </c>
      <c r="N585" s="82">
        <f t="shared" si="237"/>
        <v>0</v>
      </c>
      <c r="O585" s="82">
        <f>N585+'BM 006'!O585</f>
        <v>0</v>
      </c>
      <c r="P585" s="80">
        <f t="shared" si="238"/>
        <v>6650</v>
      </c>
      <c r="Q585" s="82">
        <f t="shared" si="239"/>
        <v>8429.5400000000009</v>
      </c>
      <c r="R585" s="82">
        <f t="shared" si="240"/>
        <v>8429.5400000000009</v>
      </c>
      <c r="S585" s="34"/>
      <c r="T585" s="34"/>
      <c r="U585" s="34"/>
      <c r="V585" s="34"/>
      <c r="W585" s="34"/>
    </row>
    <row r="586" spans="1:23" ht="35.4">
      <c r="A586" s="34"/>
      <c r="B586" s="87" t="s">
        <v>1147</v>
      </c>
      <c r="C586" s="88" t="s">
        <v>1148</v>
      </c>
      <c r="D586" s="89" t="s">
        <v>63</v>
      </c>
      <c r="E586" s="92">
        <v>43</v>
      </c>
      <c r="F586" s="91"/>
      <c r="G586" s="91"/>
      <c r="H586" s="91"/>
      <c r="I586" s="91">
        <f>SUM(G586:H586)+'BM 006'!I586</f>
        <v>0</v>
      </c>
      <c r="J586" s="91">
        <f t="shared" si="227"/>
        <v>43</v>
      </c>
      <c r="K586" s="84">
        <v>300</v>
      </c>
      <c r="L586" s="81">
        <f t="shared" si="226"/>
        <v>380.280033</v>
      </c>
      <c r="M586" s="82">
        <f t="shared" si="236"/>
        <v>0</v>
      </c>
      <c r="N586" s="82">
        <f t="shared" si="237"/>
        <v>0</v>
      </c>
      <c r="O586" s="82">
        <f>N586+'BM 006'!O586</f>
        <v>0</v>
      </c>
      <c r="P586" s="80">
        <f t="shared" si="238"/>
        <v>12900</v>
      </c>
      <c r="Q586" s="82">
        <f t="shared" si="239"/>
        <v>16352.04</v>
      </c>
      <c r="R586" s="82">
        <f t="shared" si="240"/>
        <v>16352.04</v>
      </c>
      <c r="S586" s="34"/>
      <c r="T586" s="34"/>
      <c r="U586" s="34"/>
      <c r="V586" s="34"/>
      <c r="W586" s="34"/>
    </row>
    <row r="587" spans="1:23" ht="35.4">
      <c r="A587" s="34"/>
      <c r="B587" s="87" t="s">
        <v>1149</v>
      </c>
      <c r="C587" s="88" t="s">
        <v>1150</v>
      </c>
      <c r="D587" s="89" t="s">
        <v>63</v>
      </c>
      <c r="E587" s="92">
        <v>4</v>
      </c>
      <c r="F587" s="91"/>
      <c r="G587" s="91"/>
      <c r="H587" s="91"/>
      <c r="I587" s="91">
        <f>SUM(G587:H587)+'BM 006'!I587</f>
        <v>0</v>
      </c>
      <c r="J587" s="91">
        <f t="shared" si="227"/>
        <v>4</v>
      </c>
      <c r="K587" s="84">
        <v>3852</v>
      </c>
      <c r="L587" s="81">
        <f t="shared" si="226"/>
        <v>4882.7956237200005</v>
      </c>
      <c r="M587" s="82">
        <f t="shared" si="236"/>
        <v>0</v>
      </c>
      <c r="N587" s="82">
        <f t="shared" si="237"/>
        <v>0</v>
      </c>
      <c r="O587" s="82">
        <f>N587+'BM 006'!O587</f>
        <v>0</v>
      </c>
      <c r="P587" s="80">
        <f t="shared" si="238"/>
        <v>15408</v>
      </c>
      <c r="Q587" s="82">
        <f t="shared" si="239"/>
        <v>19531.18</v>
      </c>
      <c r="R587" s="82">
        <f t="shared" si="240"/>
        <v>19531.18</v>
      </c>
      <c r="S587" s="34"/>
      <c r="T587" s="34"/>
      <c r="U587" s="34"/>
      <c r="V587" s="34"/>
      <c r="W587" s="34"/>
    </row>
    <row r="588" spans="1:23">
      <c r="A588" s="34"/>
      <c r="B588" s="60" t="s">
        <v>1151</v>
      </c>
      <c r="C588" s="61" t="s">
        <v>1152</v>
      </c>
      <c r="D588" s="60"/>
      <c r="E588" s="62"/>
      <c r="F588" s="63"/>
      <c r="G588" s="63"/>
      <c r="H588" s="63"/>
      <c r="I588" s="63">
        <f>SUM(G588:H588)+'BM 006'!I588</f>
        <v>0</v>
      </c>
      <c r="J588" s="63">
        <f t="shared" si="227"/>
        <v>0</v>
      </c>
      <c r="K588" s="63"/>
      <c r="L588" s="63">
        <f t="shared" si="226"/>
        <v>0</v>
      </c>
      <c r="M588" s="63">
        <f t="shared" ref="M588:R588" si="241">SUM(M589:M590)</f>
        <v>0</v>
      </c>
      <c r="N588" s="63">
        <f t="shared" si="241"/>
        <v>0</v>
      </c>
      <c r="O588" s="63">
        <f t="shared" si="241"/>
        <v>0</v>
      </c>
      <c r="P588" s="63">
        <f t="shared" si="241"/>
        <v>30555.67</v>
      </c>
      <c r="Q588" s="63">
        <f t="shared" si="241"/>
        <v>38732.36</v>
      </c>
      <c r="R588" s="63">
        <f t="shared" si="241"/>
        <v>38732.36</v>
      </c>
      <c r="S588" s="34"/>
      <c r="T588" s="34"/>
      <c r="U588" s="34"/>
      <c r="V588" s="34"/>
      <c r="W588" s="34"/>
    </row>
    <row r="589" spans="1:23" s="122" customFormat="1" ht="23.4">
      <c r="A589" s="34"/>
      <c r="B589" s="75" t="s">
        <v>1153</v>
      </c>
      <c r="C589" s="76" t="s">
        <v>1154</v>
      </c>
      <c r="D589" s="121" t="s">
        <v>63</v>
      </c>
      <c r="E589" s="78">
        <v>1</v>
      </c>
      <c r="F589" s="79"/>
      <c r="G589" s="79"/>
      <c r="H589" s="79"/>
      <c r="I589" s="79">
        <f>SUM(G589:H589)+'BM 006'!I589</f>
        <v>0</v>
      </c>
      <c r="J589" s="79">
        <f t="shared" si="227"/>
        <v>1</v>
      </c>
      <c r="K589" s="84">
        <v>5076.55</v>
      </c>
      <c r="L589" s="81">
        <f t="shared" si="226"/>
        <v>6435.0353384205009</v>
      </c>
      <c r="M589" s="82">
        <f>TRUNC(F589*L589,2)</f>
        <v>0</v>
      </c>
      <c r="N589" s="82">
        <f>TRUNC(G589*L589,2)</f>
        <v>0</v>
      </c>
      <c r="O589" s="82">
        <f>N589+'BM 006'!O589</f>
        <v>0</v>
      </c>
      <c r="P589" s="80">
        <f>E589*K589</f>
        <v>5076.55</v>
      </c>
      <c r="Q589" s="82">
        <f>TRUNC(E589*L589,2)</f>
        <v>6435.03</v>
      </c>
      <c r="R589" s="82">
        <f>Q589-O589</f>
        <v>6435.03</v>
      </c>
      <c r="S589" s="34"/>
      <c r="T589" s="34"/>
      <c r="U589" s="34"/>
      <c r="V589" s="34"/>
      <c r="W589" s="34"/>
    </row>
    <row r="590" spans="1:23" s="122" customFormat="1" ht="13.8">
      <c r="A590" s="34"/>
      <c r="B590" s="75" t="s">
        <v>1155</v>
      </c>
      <c r="C590" s="76" t="s">
        <v>1156</v>
      </c>
      <c r="D590" s="77" t="s">
        <v>79</v>
      </c>
      <c r="E590" s="93">
        <v>6369.78</v>
      </c>
      <c r="F590" s="79"/>
      <c r="G590" s="79"/>
      <c r="H590" s="79"/>
      <c r="I590" s="79">
        <f>SUM(G590:H590)+'BM 006'!I590</f>
        <v>0</v>
      </c>
      <c r="J590" s="79">
        <f t="shared" si="227"/>
        <v>6369.78</v>
      </c>
      <c r="K590" s="123">
        <v>4</v>
      </c>
      <c r="L590" s="81">
        <f t="shared" si="226"/>
        <v>5.0704004400000002</v>
      </c>
      <c r="M590" s="82">
        <f>TRUNC(F590*L590,2)</f>
        <v>0</v>
      </c>
      <c r="N590" s="82">
        <f>TRUNC(G590*L590,2)</f>
        <v>0</v>
      </c>
      <c r="O590" s="82">
        <f>N590+'BM 006'!O590</f>
        <v>0</v>
      </c>
      <c r="P590" s="124">
        <f>E590*K590</f>
        <v>25479.119999999999</v>
      </c>
      <c r="Q590" s="82">
        <f>TRUNC(E590*L590,2)</f>
        <v>32297.33</v>
      </c>
      <c r="R590" s="82">
        <f>Q590-O590</f>
        <v>32297.33</v>
      </c>
      <c r="S590" s="34"/>
      <c r="T590" s="34"/>
      <c r="U590" s="34"/>
      <c r="V590" s="34"/>
      <c r="W590" s="34"/>
    </row>
    <row r="591" spans="1:23" s="122" customFormat="1" ht="13.8">
      <c r="A591" s="34"/>
      <c r="B591" s="125"/>
      <c r="C591" s="126"/>
      <c r="D591" s="127"/>
      <c r="E591" s="128"/>
      <c r="F591" s="128"/>
      <c r="G591" s="128"/>
      <c r="H591" s="128"/>
      <c r="I591" s="128"/>
      <c r="J591" s="128"/>
      <c r="K591" s="129"/>
      <c r="L591" s="129"/>
      <c r="M591" s="130"/>
      <c r="N591" s="130"/>
      <c r="O591" s="130"/>
      <c r="P591" s="130"/>
      <c r="Q591" s="130"/>
      <c r="R591" s="130"/>
      <c r="S591" s="34"/>
      <c r="T591" s="34"/>
      <c r="U591" s="34"/>
      <c r="V591" s="34"/>
      <c r="W591" s="34"/>
    </row>
    <row r="592" spans="1:23" s="122" customFormat="1" ht="31.5" customHeight="1">
      <c r="A592" s="2"/>
      <c r="B592" s="533" t="s">
        <v>1157</v>
      </c>
      <c r="C592" s="533"/>
      <c r="D592" s="533"/>
      <c r="E592" s="533"/>
      <c r="F592" s="533"/>
      <c r="G592" s="533"/>
      <c r="H592" s="533"/>
      <c r="I592" s="533"/>
      <c r="J592" s="533"/>
      <c r="K592" s="533"/>
      <c r="L592" s="533"/>
      <c r="M592" s="131">
        <f>M27+M46+M58+M88+M126+M134+M148+M162+M167+M171+M216+M225+M234+M319+M432+M447+M463+M491</f>
        <v>106002.4</v>
      </c>
      <c r="N592" s="132">
        <f>SUM(N27,N52,N62,N94,N131,N139,N155,N170,N175,N178,N215,N222,N225,N317,N328,N481,N507,N566,N588)</f>
        <v>785508.89</v>
      </c>
      <c r="O592" s="132">
        <f>SUM(O27,O52,O62,O94,O131,O139,O155,O170,O175,O178,O215,O222,O225,O317,O328,O481,O507,O566,O588)</f>
        <v>5195997.5799999991</v>
      </c>
      <c r="P592" s="132">
        <f>SUM(P27,P52,P62,P94,P131,P139,P155,P170,P175,P178,P215,P222,P225,P317,P328,P481,P507,P566,P588)</f>
        <v>20732092.142300002</v>
      </c>
      <c r="Q592" s="132">
        <f>SUM(Q27,Q52,Q62,Q94,Q131,Q139,Q155,Q170,Q175,Q178,Q215,Q222,Q225,Q317,Q328,Q481,Q507,Q566,Q588)</f>
        <v>26279999.999999993</v>
      </c>
      <c r="R592" s="132">
        <f>SUM(R27,R52,R62,R94,R131,R139,R155,R170,R175,R178,R215,R222,R225,R317,R328,R481,R507,R566,R588)</f>
        <v>21084002.419999998</v>
      </c>
      <c r="S592" s="2"/>
      <c r="T592" s="2"/>
      <c r="U592" s="2"/>
      <c r="V592" s="2"/>
      <c r="W592" s="2"/>
    </row>
    <row r="593" spans="1:23" s="122" customFormat="1" ht="31.5" customHeight="1">
      <c r="A593" s="2"/>
      <c r="B593" s="533" t="s">
        <v>1196</v>
      </c>
      <c r="C593" s="533"/>
      <c r="D593" s="533"/>
      <c r="E593" s="533"/>
      <c r="F593" s="533"/>
      <c r="G593" s="533"/>
      <c r="H593" s="533"/>
      <c r="I593" s="533"/>
      <c r="J593" s="533"/>
      <c r="K593" s="533"/>
      <c r="L593" s="533"/>
      <c r="M593" s="131"/>
      <c r="N593" s="133"/>
      <c r="O593" s="131"/>
      <c r="P593" s="132"/>
      <c r="Q593" s="132"/>
      <c r="R593" s="134"/>
      <c r="S593" s="2"/>
      <c r="T593" s="2"/>
      <c r="U593" s="2"/>
      <c r="V593" s="2"/>
      <c r="W593" s="2"/>
    </row>
    <row r="594" spans="1:23" s="122" customFormat="1" ht="31.5" customHeight="1">
      <c r="A594" s="2"/>
      <c r="B594" s="533" t="s">
        <v>1430</v>
      </c>
      <c r="C594" s="533"/>
      <c r="D594" s="533"/>
      <c r="E594" s="533"/>
      <c r="F594" s="533"/>
      <c r="G594" s="533"/>
      <c r="H594" s="533"/>
      <c r="I594" s="533"/>
      <c r="J594" s="533"/>
      <c r="K594" s="533"/>
      <c r="L594" s="533"/>
      <c r="M594" s="131"/>
      <c r="N594" s="133">
        <f>TRUNC(0.35*SUM(N97:N104,N109:N116,N123:N129),2)</f>
        <v>88462.16</v>
      </c>
      <c r="O594" s="131"/>
      <c r="P594" s="132"/>
      <c r="Q594" s="132"/>
      <c r="R594" s="134"/>
      <c r="S594" s="2"/>
      <c r="T594" s="2"/>
      <c r="U594" s="2"/>
      <c r="V594" s="2"/>
      <c r="W594" s="2"/>
    </row>
    <row r="595" spans="1:23" s="122" customFormat="1" ht="31.5" customHeight="1">
      <c r="A595" s="2"/>
      <c r="B595" s="533" t="s">
        <v>1320</v>
      </c>
      <c r="C595" s="533"/>
      <c r="D595" s="533"/>
      <c r="E595" s="533"/>
      <c r="F595" s="533"/>
      <c r="G595" s="533"/>
      <c r="H595" s="533"/>
      <c r="I595" s="533"/>
      <c r="J595" s="533"/>
      <c r="K595" s="533"/>
      <c r="L595" s="533"/>
      <c r="M595" s="131"/>
      <c r="N595" s="133">
        <v>48000</v>
      </c>
      <c r="O595" s="131"/>
      <c r="P595" s="132"/>
      <c r="Q595" s="132"/>
      <c r="R595" s="134"/>
      <c r="S595" s="2"/>
      <c r="T595" s="2"/>
      <c r="U595" s="2"/>
      <c r="V595" s="2"/>
      <c r="W595" s="2"/>
    </row>
    <row r="596" spans="1:23" s="122" customFormat="1" ht="31.5" customHeight="1">
      <c r="A596" s="2"/>
      <c r="B596" s="533" t="s">
        <v>1161</v>
      </c>
      <c r="C596" s="533"/>
      <c r="D596" s="533"/>
      <c r="E596" s="533"/>
      <c r="F596" s="533"/>
      <c r="G596" s="533"/>
      <c r="H596" s="533"/>
      <c r="I596" s="533"/>
      <c r="J596" s="533"/>
      <c r="K596" s="533"/>
      <c r="L596" s="533"/>
      <c r="M596" s="131">
        <f>M28+M47+M59+M89+M127+M135+M149+M163+M168+M172+M217+M226+M235+M320+M433+M448+M464+M492</f>
        <v>0</v>
      </c>
      <c r="N596" s="131">
        <f>N592-N593-N594-N595</f>
        <v>649046.73</v>
      </c>
      <c r="O596" s="131" t="s">
        <v>1162</v>
      </c>
      <c r="P596" s="132">
        <f>P28+P47+P59+P89+P127+P135+P149+P163+P168+P172+P217+P226+P235+P320+P433+P448+P464+P492</f>
        <v>1855118.2200000002</v>
      </c>
      <c r="Q596" s="132" t="s">
        <v>1162</v>
      </c>
      <c r="R596" s="134" t="s">
        <v>1162</v>
      </c>
      <c r="S596" s="2"/>
      <c r="T596" s="2"/>
      <c r="U596" s="2"/>
      <c r="V596" s="2"/>
      <c r="W596" s="2"/>
    </row>
    <row r="597" spans="1:23" s="122" customFormat="1" ht="8.25" customHeight="1">
      <c r="D597" s="135"/>
      <c r="E597" s="136"/>
      <c r="F597" s="136"/>
      <c r="G597" s="136"/>
      <c r="H597" s="136"/>
      <c r="I597" s="136"/>
      <c r="J597" s="137"/>
      <c r="K597" s="137"/>
      <c r="L597" s="137"/>
      <c r="M597" s="137"/>
      <c r="N597" s="137"/>
      <c r="O597" s="138"/>
      <c r="P597" s="139"/>
      <c r="Q597" s="139"/>
      <c r="R597" s="137"/>
    </row>
    <row r="598" spans="1:23" s="122" customFormat="1" ht="15.75" customHeight="1">
      <c r="B598" s="140" t="s">
        <v>1163</v>
      </c>
      <c r="C598" s="141" t="s">
        <v>1164</v>
      </c>
      <c r="D598" s="534" t="s">
        <v>1165</v>
      </c>
      <c r="E598" s="534"/>
      <c r="F598" s="142" t="s">
        <v>1163</v>
      </c>
      <c r="G598" s="143" t="s">
        <v>1164</v>
      </c>
      <c r="H598" s="144"/>
      <c r="I598" s="534" t="s">
        <v>1165</v>
      </c>
      <c r="J598" s="534"/>
      <c r="K598" s="145"/>
      <c r="L598" s="142" t="s">
        <v>1166</v>
      </c>
      <c r="M598" s="142"/>
      <c r="N598" s="146"/>
      <c r="O598" s="535" t="s">
        <v>1167</v>
      </c>
      <c r="P598" s="535"/>
      <c r="Q598" s="535"/>
      <c r="R598" s="137"/>
    </row>
    <row r="599" spans="1:23" s="122" customFormat="1" ht="19.5" customHeight="1">
      <c r="B599" s="147" t="s">
        <v>1168</v>
      </c>
      <c r="C599" s="148" t="s">
        <v>1169</v>
      </c>
      <c r="D599" s="536">
        <f>TRUNC(35%*11%*N596,2)</f>
        <v>24988.29</v>
      </c>
      <c r="E599" s="536"/>
      <c r="F599" s="149" t="s">
        <v>1170</v>
      </c>
      <c r="G599" s="150"/>
      <c r="H599" s="151"/>
      <c r="I599" s="537"/>
      <c r="J599" s="537"/>
      <c r="K599" s="152"/>
      <c r="L599" s="149" t="s">
        <v>1171</v>
      </c>
      <c r="M599" s="150" t="e">
        <f>#REF!</f>
        <v>#REF!</v>
      </c>
      <c r="N599" s="150"/>
      <c r="O599" s="535"/>
      <c r="P599" s="535"/>
      <c r="Q599" s="535"/>
      <c r="R599" s="137"/>
    </row>
    <row r="600" spans="1:23" s="122" customFormat="1" ht="19.5" customHeight="1">
      <c r="B600" s="147" t="s">
        <v>1172</v>
      </c>
      <c r="C600" s="148" t="s">
        <v>1198</v>
      </c>
      <c r="D600" s="536">
        <f>E608</f>
        <v>22716.63</v>
      </c>
      <c r="E600" s="536"/>
      <c r="F600" s="149" t="s">
        <v>1174</v>
      </c>
      <c r="G600" s="150"/>
      <c r="H600" s="151"/>
      <c r="I600" s="537"/>
      <c r="J600" s="537"/>
      <c r="K600" s="152"/>
      <c r="L600" s="149" t="s">
        <v>1175</v>
      </c>
      <c r="M600" s="150" t="e">
        <f>#REF!</f>
        <v>#REF!</v>
      </c>
      <c r="N600" s="150"/>
      <c r="O600" s="538">
        <f>N596-D599-D600-D601-I599-I600-I601-N599-N600-N601</f>
        <v>601341.80999999994</v>
      </c>
      <c r="P600" s="538"/>
      <c r="Q600" s="538"/>
      <c r="R600" s="137"/>
    </row>
    <row r="601" spans="1:23" ht="19.5" customHeight="1">
      <c r="A601" s="122"/>
      <c r="B601" s="153" t="s">
        <v>1176</v>
      </c>
      <c r="C601" s="154">
        <v>0</v>
      </c>
      <c r="D601" s="539"/>
      <c r="E601" s="539"/>
      <c r="F601" s="155" t="s">
        <v>1177</v>
      </c>
      <c r="G601" s="156"/>
      <c r="H601" s="157"/>
      <c r="I601" s="540"/>
      <c r="J601" s="540"/>
      <c r="K601" s="159"/>
      <c r="L601" s="155" t="s">
        <v>1178</v>
      </c>
      <c r="M601" s="158"/>
      <c r="N601" s="158"/>
      <c r="O601" s="538"/>
      <c r="P601" s="538"/>
      <c r="Q601" s="538"/>
      <c r="R601" s="137"/>
      <c r="S601" s="122"/>
      <c r="T601" s="122"/>
      <c r="U601" s="122"/>
      <c r="V601" s="122"/>
      <c r="W601" s="122"/>
    </row>
    <row r="602" spans="1:23">
      <c r="A602" s="122"/>
      <c r="B602" s="122"/>
      <c r="C602" s="122"/>
      <c r="D602" s="135"/>
      <c r="E602" s="136"/>
      <c r="F602" s="136"/>
      <c r="G602" s="136"/>
      <c r="H602" s="136"/>
      <c r="I602" s="136"/>
      <c r="J602" s="137"/>
      <c r="K602" s="137"/>
      <c r="L602" s="137"/>
      <c r="M602" s="137"/>
      <c r="N602" s="137"/>
      <c r="O602" s="137"/>
      <c r="P602" s="139"/>
      <c r="Q602" s="139"/>
      <c r="R602" s="137"/>
      <c r="S602" s="122"/>
      <c r="T602" s="122"/>
      <c r="U602" s="122"/>
      <c r="V602" s="122"/>
      <c r="W602" s="122"/>
    </row>
    <row r="603" spans="1:23">
      <c r="A603" s="122"/>
      <c r="B603" s="122"/>
      <c r="C603" s="122"/>
      <c r="D603" s="135"/>
      <c r="E603" s="136"/>
      <c r="F603" s="136"/>
      <c r="G603" s="136"/>
      <c r="H603" s="136"/>
      <c r="I603" s="136"/>
      <c r="J603" s="137"/>
      <c r="K603" s="137"/>
      <c r="L603" s="137"/>
      <c r="M603" s="137"/>
      <c r="N603" s="137"/>
      <c r="O603" s="137"/>
      <c r="P603" s="139"/>
      <c r="Q603" s="139"/>
      <c r="R603" s="137"/>
      <c r="S603" s="122"/>
      <c r="T603" s="122"/>
      <c r="U603" s="122"/>
      <c r="V603" s="122"/>
      <c r="W603" s="122"/>
    </row>
    <row r="604" spans="1:23" ht="27.75" customHeight="1">
      <c r="A604" s="122"/>
      <c r="B604" s="122"/>
      <c r="C604" s="541" t="s">
        <v>1179</v>
      </c>
      <c r="D604" s="541"/>
      <c r="E604" s="541"/>
      <c r="F604" s="136"/>
      <c r="G604" s="136"/>
      <c r="H604" s="136"/>
      <c r="I604" s="136"/>
      <c r="J604" s="137"/>
      <c r="K604" s="137"/>
      <c r="L604" s="137"/>
      <c r="M604" s="137"/>
      <c r="N604" s="137"/>
      <c r="O604" s="137"/>
      <c r="P604" s="139"/>
      <c r="Q604" s="139"/>
      <c r="R604" s="137"/>
      <c r="S604" s="122"/>
      <c r="T604" s="122"/>
      <c r="U604" s="122"/>
      <c r="V604" s="122"/>
      <c r="W604" s="122"/>
    </row>
    <row r="605" spans="1:23" ht="24.75" customHeight="1">
      <c r="A605" s="122"/>
      <c r="B605" s="122"/>
      <c r="C605" s="542" t="s">
        <v>1180</v>
      </c>
      <c r="D605" s="542"/>
      <c r="E605" s="160">
        <f>N596</f>
        <v>649046.73</v>
      </c>
      <c r="F605" s="136"/>
      <c r="G605" s="136"/>
      <c r="H605" s="136"/>
      <c r="I605" s="136"/>
      <c r="J605" s="137"/>
      <c r="K605" s="137"/>
      <c r="L605" s="137"/>
      <c r="M605" s="137"/>
      <c r="N605" s="137"/>
      <c r="O605" s="137"/>
      <c r="P605" s="139"/>
      <c r="Q605" s="139"/>
      <c r="R605" s="137"/>
      <c r="S605" s="122"/>
      <c r="T605" s="122"/>
      <c r="U605" s="122"/>
      <c r="V605" s="122"/>
      <c r="W605" s="122"/>
    </row>
    <row r="606" spans="1:23" ht="24.75" customHeight="1">
      <c r="A606" s="122"/>
      <c r="B606" s="122"/>
      <c r="C606" s="543" t="s">
        <v>1183</v>
      </c>
      <c r="D606" s="543"/>
      <c r="E606" s="162">
        <f>0.7*E605</f>
        <v>454332.71099999995</v>
      </c>
      <c r="F606" s="136"/>
      <c r="G606" s="136"/>
      <c r="H606" s="136"/>
      <c r="I606" s="136"/>
      <c r="J606" s="137"/>
      <c r="K606" s="137"/>
      <c r="L606" s="137"/>
      <c r="M606" s="137"/>
      <c r="N606" s="137"/>
      <c r="O606" s="137"/>
      <c r="P606" s="139"/>
      <c r="Q606" s="139"/>
      <c r="R606" s="137"/>
      <c r="S606" s="122"/>
      <c r="T606" s="122"/>
      <c r="U606" s="122"/>
      <c r="V606" s="122"/>
      <c r="W606" s="122"/>
    </row>
    <row r="607" spans="1:23" ht="24.75" customHeight="1">
      <c r="A607" s="122"/>
      <c r="B607" s="122"/>
      <c r="C607" s="543" t="s">
        <v>1184</v>
      </c>
      <c r="D607" s="543"/>
      <c r="E607" s="163">
        <f>E606/E605</f>
        <v>0.7</v>
      </c>
      <c r="F607" s="136"/>
      <c r="G607" s="136"/>
      <c r="H607" s="136"/>
      <c r="I607" s="136"/>
      <c r="J607" s="137"/>
      <c r="K607" s="137"/>
      <c r="L607" s="137"/>
      <c r="M607" s="137"/>
      <c r="N607" s="137"/>
      <c r="O607" s="137"/>
      <c r="P607" s="139"/>
      <c r="Q607" s="139"/>
      <c r="R607" s="137"/>
      <c r="S607" s="122"/>
      <c r="T607" s="122"/>
      <c r="U607" s="122"/>
      <c r="V607" s="122"/>
      <c r="W607" s="122"/>
    </row>
    <row r="608" spans="1:23" ht="24.75" customHeight="1">
      <c r="A608" s="122"/>
      <c r="B608" s="122"/>
      <c r="C608" s="545" t="s">
        <v>1185</v>
      </c>
      <c r="D608" s="545"/>
      <c r="E608" s="164">
        <f>TRUNC(E606*5%,2)</f>
        <v>22716.63</v>
      </c>
      <c r="F608" s="136"/>
      <c r="G608" s="136"/>
      <c r="H608" s="136"/>
      <c r="I608" s="136"/>
      <c r="J608" s="137"/>
      <c r="K608" s="137"/>
      <c r="L608" s="137"/>
      <c r="M608" s="137"/>
      <c r="N608" s="137"/>
      <c r="O608" s="137"/>
      <c r="P608" s="139"/>
      <c r="Q608" s="139"/>
      <c r="R608" s="137"/>
      <c r="S608" s="122"/>
      <c r="T608" s="122"/>
      <c r="U608" s="122"/>
      <c r="V608" s="122"/>
      <c r="W608" s="122"/>
    </row>
    <row r="610" spans="3:20" ht="19.5" customHeight="1">
      <c r="C610" s="546" t="s">
        <v>1186</v>
      </c>
      <c r="D610" s="546"/>
      <c r="E610" s="546"/>
      <c r="F610" s="546"/>
      <c r="G610" s="546"/>
      <c r="J610" s="4"/>
      <c r="N610" s="546" t="s">
        <v>1187</v>
      </c>
      <c r="O610" s="546"/>
      <c r="P610" s="546"/>
      <c r="Q610" s="546"/>
      <c r="R610" s="546"/>
      <c r="S610" s="5"/>
    </row>
    <row r="611" spans="3:20" ht="19.5" customHeight="1">
      <c r="C611" s="548" t="s">
        <v>1188</v>
      </c>
      <c r="D611" s="548"/>
      <c r="E611" s="168">
        <v>45390</v>
      </c>
      <c r="F611" s="166" t="s">
        <v>1189</v>
      </c>
      <c r="G611" s="167">
        <v>157132.10999999999</v>
      </c>
      <c r="J611" s="4"/>
      <c r="K611" s="4"/>
      <c r="N611" s="548" t="s">
        <v>1190</v>
      </c>
      <c r="O611" s="548"/>
      <c r="P611" s="168">
        <v>44973</v>
      </c>
      <c r="Q611" s="169" t="s">
        <v>1162</v>
      </c>
      <c r="R611" s="225"/>
      <c r="S611" s="6"/>
      <c r="T611" s="5"/>
    </row>
    <row r="612" spans="3:20" ht="19.5" customHeight="1">
      <c r="C612" s="549" t="s">
        <v>1191</v>
      </c>
      <c r="D612" s="549"/>
      <c r="E612" s="173">
        <v>45390</v>
      </c>
      <c r="F612" s="171" t="s">
        <v>1189</v>
      </c>
      <c r="G612" s="172">
        <v>12663.81</v>
      </c>
      <c r="J612" s="4"/>
      <c r="K612" s="4"/>
      <c r="N612" s="549" t="s">
        <v>1199</v>
      </c>
      <c r="O612" s="549"/>
      <c r="P612" s="173">
        <v>44973</v>
      </c>
      <c r="Q612" s="171" t="s">
        <v>1162</v>
      </c>
      <c r="R612" s="172">
        <v>354202.96</v>
      </c>
      <c r="S612" s="6"/>
      <c r="T612" s="5"/>
    </row>
    <row r="613" spans="3:20" ht="19.5" customHeight="1">
      <c r="C613" s="549" t="s">
        <v>1200</v>
      </c>
      <c r="D613" s="549"/>
      <c r="E613" s="173">
        <v>45421</v>
      </c>
      <c r="F613" s="171" t="s">
        <v>1189</v>
      </c>
      <c r="G613" s="172">
        <v>60499.5</v>
      </c>
      <c r="J613" s="4"/>
      <c r="K613" s="4"/>
      <c r="N613" s="549" t="s">
        <v>1201</v>
      </c>
      <c r="O613" s="549"/>
      <c r="P613" s="173"/>
      <c r="Q613" s="171"/>
      <c r="R613" s="172">
        <v>119528.5</v>
      </c>
      <c r="S613" s="6"/>
      <c r="T613" s="5"/>
    </row>
    <row r="614" spans="3:20" ht="19.5" customHeight="1">
      <c r="C614" s="549" t="s">
        <v>1202</v>
      </c>
      <c r="D614" s="549"/>
      <c r="E614" s="173">
        <v>45446</v>
      </c>
      <c r="F614" s="171" t="s">
        <v>1203</v>
      </c>
      <c r="G614" s="172">
        <v>60640</v>
      </c>
      <c r="J614" s="4"/>
      <c r="K614" s="4"/>
      <c r="N614" s="549" t="s">
        <v>1250</v>
      </c>
      <c r="O614" s="549"/>
      <c r="P614" s="173"/>
      <c r="Q614" s="171"/>
      <c r="R614" s="172">
        <v>155349.44</v>
      </c>
      <c r="S614" s="6"/>
      <c r="T614" s="5"/>
    </row>
    <row r="615" spans="3:20" ht="19.5" customHeight="1">
      <c r="C615" s="549" t="s">
        <v>1204</v>
      </c>
      <c r="D615" s="549"/>
      <c r="E615" s="173">
        <v>45446</v>
      </c>
      <c r="F615" s="171" t="s">
        <v>1203</v>
      </c>
      <c r="G615" s="172">
        <v>15160</v>
      </c>
      <c r="J615" s="4"/>
      <c r="K615" s="4"/>
      <c r="N615" s="549" t="s">
        <v>1431</v>
      </c>
      <c r="O615" s="549"/>
      <c r="P615" s="173"/>
      <c r="Q615" s="171"/>
      <c r="R615" s="172">
        <v>118394.27</v>
      </c>
      <c r="S615" s="6"/>
      <c r="T615" s="5"/>
    </row>
    <row r="616" spans="3:20" ht="19.5" customHeight="1">
      <c r="C616" s="549" t="s">
        <v>1205</v>
      </c>
      <c r="D616" s="549"/>
      <c r="E616" s="173">
        <v>45447</v>
      </c>
      <c r="F616" s="171" t="s">
        <v>1203</v>
      </c>
      <c r="G616" s="172">
        <v>193505</v>
      </c>
      <c r="J616" s="4"/>
      <c r="K616" s="4"/>
      <c r="N616" s="549" t="s">
        <v>1435</v>
      </c>
      <c r="O616" s="549"/>
      <c r="P616" s="173"/>
      <c r="Q616" s="171"/>
      <c r="R616" s="172">
        <v>146586.07999999999</v>
      </c>
      <c r="S616" s="6"/>
      <c r="T616" s="5"/>
    </row>
    <row r="617" spans="3:20" ht="19.5" customHeight="1">
      <c r="C617" s="549" t="s">
        <v>1206</v>
      </c>
      <c r="D617" s="549"/>
      <c r="E617" s="173">
        <v>45457</v>
      </c>
      <c r="F617" s="171" t="s">
        <v>1189</v>
      </c>
      <c r="G617" s="172">
        <v>101107.04</v>
      </c>
      <c r="J617" s="4"/>
      <c r="K617" s="4"/>
      <c r="N617" s="549" t="s">
        <v>1579</v>
      </c>
      <c r="O617" s="549"/>
      <c r="P617" s="173"/>
      <c r="Q617" s="171"/>
      <c r="R617" s="172">
        <v>136462.16</v>
      </c>
      <c r="S617" s="6"/>
      <c r="T617" s="5"/>
    </row>
    <row r="618" spans="3:20" ht="19.5" customHeight="1">
      <c r="C618" s="549" t="s">
        <v>1251</v>
      </c>
      <c r="D618" s="549"/>
      <c r="E618" s="173">
        <v>45462</v>
      </c>
      <c r="F618" s="171" t="s">
        <v>1203</v>
      </c>
      <c r="G618" s="172">
        <v>37190</v>
      </c>
      <c r="J618" s="4"/>
      <c r="K618" s="4"/>
      <c r="N618" s="549"/>
      <c r="O618" s="549"/>
      <c r="P618" s="173"/>
      <c r="Q618" s="171"/>
      <c r="R618" s="172"/>
      <c r="S618" s="6"/>
      <c r="T618" s="5"/>
    </row>
    <row r="619" spans="3:20" ht="19.5" customHeight="1">
      <c r="C619" s="549" t="s">
        <v>1252</v>
      </c>
      <c r="D619" s="549"/>
      <c r="E619" s="173">
        <v>45463</v>
      </c>
      <c r="F619" s="171" t="s">
        <v>1189</v>
      </c>
      <c r="G619" s="172">
        <v>21981.17</v>
      </c>
      <c r="J619" s="4"/>
      <c r="K619" s="4"/>
      <c r="N619" s="549"/>
      <c r="O619" s="549"/>
      <c r="P619" s="173"/>
      <c r="Q619" s="171"/>
      <c r="R619" s="172"/>
      <c r="S619" s="6"/>
      <c r="T619" s="5"/>
    </row>
    <row r="620" spans="3:20" ht="19.5" customHeight="1">
      <c r="C620" s="549" t="s">
        <v>1253</v>
      </c>
      <c r="D620" s="549"/>
      <c r="E620" s="173">
        <v>45463</v>
      </c>
      <c r="F620" s="171" t="s">
        <v>1203</v>
      </c>
      <c r="G620" s="172">
        <v>65870.5</v>
      </c>
      <c r="J620" s="4"/>
      <c r="K620" s="4"/>
      <c r="N620" s="550"/>
      <c r="O620" s="550"/>
      <c r="P620" s="175"/>
      <c r="Q620" s="176"/>
      <c r="R620" s="177"/>
      <c r="S620" s="6"/>
      <c r="T620" s="5"/>
    </row>
    <row r="621" spans="3:20" ht="19.5" customHeight="1">
      <c r="C621" s="549" t="s">
        <v>1254</v>
      </c>
      <c r="D621" s="549"/>
      <c r="E621" s="173">
        <v>45463</v>
      </c>
      <c r="F621" s="171" t="s">
        <v>1203</v>
      </c>
      <c r="G621" s="172">
        <v>16468</v>
      </c>
      <c r="J621" s="4"/>
      <c r="K621" s="4"/>
      <c r="N621" s="179"/>
      <c r="O621" s="180"/>
      <c r="P621" s="180"/>
      <c r="Q621" s="180"/>
      <c r="R621" s="181">
        <f>SUM(R611:R620)</f>
        <v>1030523.41</v>
      </c>
      <c r="S621" s="6"/>
      <c r="T621" s="5"/>
    </row>
    <row r="622" spans="3:20" ht="19.5" customHeight="1">
      <c r="C622" s="549" t="s">
        <v>1321</v>
      </c>
      <c r="D622" s="549"/>
      <c r="E622" s="173">
        <v>45502</v>
      </c>
      <c r="F622" s="171" t="s">
        <v>1189</v>
      </c>
      <c r="G622" s="172">
        <v>75035.899999999994</v>
      </c>
      <c r="J622" s="4"/>
      <c r="K622" s="4"/>
      <c r="S622" s="6"/>
      <c r="T622" s="5"/>
    </row>
    <row r="623" spans="3:20" ht="19.5" customHeight="1">
      <c r="C623" s="549" t="s">
        <v>1322</v>
      </c>
      <c r="D623" s="549"/>
      <c r="E623" s="173">
        <v>45503</v>
      </c>
      <c r="F623" s="171" t="s">
        <v>1189</v>
      </c>
      <c r="G623" s="172">
        <v>3201.96</v>
      </c>
      <c r="J623" s="4"/>
      <c r="K623" s="4"/>
      <c r="R623" s="183"/>
      <c r="S623" s="6"/>
      <c r="T623" s="5"/>
    </row>
    <row r="624" spans="3:20" ht="19.5" customHeight="1">
      <c r="C624" s="549" t="s">
        <v>1323</v>
      </c>
      <c r="D624" s="549"/>
      <c r="E624" s="173">
        <v>45506</v>
      </c>
      <c r="F624" s="171" t="s">
        <v>1324</v>
      </c>
      <c r="G624" s="172">
        <v>43780</v>
      </c>
      <c r="J624" s="4"/>
      <c r="K624" s="4"/>
      <c r="S624" s="6"/>
      <c r="T624" s="5"/>
    </row>
    <row r="625" spans="3:20" ht="19.5" customHeight="1">
      <c r="C625" s="549" t="s">
        <v>1325</v>
      </c>
      <c r="D625" s="549"/>
      <c r="E625" s="173">
        <v>45510</v>
      </c>
      <c r="F625" s="171" t="s">
        <v>1189</v>
      </c>
      <c r="G625" s="172">
        <v>13904.88</v>
      </c>
      <c r="J625" s="4"/>
      <c r="K625" s="4"/>
      <c r="S625" s="6"/>
      <c r="T625" s="5"/>
    </row>
    <row r="626" spans="3:20" ht="19.5" customHeight="1">
      <c r="C626" s="549" t="s">
        <v>1326</v>
      </c>
      <c r="D626" s="549"/>
      <c r="E626" s="173">
        <v>45516</v>
      </c>
      <c r="F626" s="171" t="s">
        <v>1189</v>
      </c>
      <c r="G626" s="172">
        <v>171.67</v>
      </c>
      <c r="J626" s="4"/>
      <c r="K626" s="4"/>
      <c r="S626" s="6"/>
      <c r="T626" s="5"/>
    </row>
    <row r="627" spans="3:20" ht="19.5" customHeight="1">
      <c r="C627" s="549" t="s">
        <v>1327</v>
      </c>
      <c r="D627" s="549"/>
      <c r="E627" s="173">
        <v>45516</v>
      </c>
      <c r="F627" s="171" t="s">
        <v>1189</v>
      </c>
      <c r="G627" s="172">
        <v>29223.439999999999</v>
      </c>
      <c r="J627" s="4"/>
      <c r="K627" s="4"/>
      <c r="S627" s="6"/>
      <c r="T627" s="5"/>
    </row>
    <row r="628" spans="3:20" ht="19.5" customHeight="1">
      <c r="C628" s="549" t="s">
        <v>1328</v>
      </c>
      <c r="D628" s="549"/>
      <c r="E628" s="173">
        <v>45518</v>
      </c>
      <c r="F628" s="171" t="s">
        <v>1189</v>
      </c>
      <c r="G628" s="172">
        <v>7038.13</v>
      </c>
      <c r="J628" s="4"/>
      <c r="K628" s="4"/>
      <c r="S628" s="6"/>
      <c r="T628" s="5"/>
    </row>
    <row r="629" spans="3:20" ht="19.5" customHeight="1">
      <c r="C629" s="549" t="s">
        <v>1436</v>
      </c>
      <c r="D629" s="549"/>
      <c r="E629" s="173">
        <v>45545</v>
      </c>
      <c r="F629" s="171" t="s">
        <v>1189</v>
      </c>
      <c r="G629" s="172">
        <v>38536.79</v>
      </c>
      <c r="J629" s="4"/>
      <c r="K629" s="4"/>
      <c r="S629" s="6"/>
      <c r="T629" s="5"/>
    </row>
    <row r="630" spans="3:20" ht="19.5" customHeight="1">
      <c r="C630" s="549" t="s">
        <v>1437</v>
      </c>
      <c r="D630" s="549"/>
      <c r="E630" s="173">
        <v>45541</v>
      </c>
      <c r="F630" s="171" t="s">
        <v>1324</v>
      </c>
      <c r="G630" s="172">
        <v>68671.320000000007</v>
      </c>
      <c r="J630" s="4"/>
      <c r="K630" s="4"/>
      <c r="S630" s="6"/>
      <c r="T630" s="5"/>
    </row>
    <row r="631" spans="3:20" ht="19.5" customHeight="1">
      <c r="C631" s="549" t="s">
        <v>1438</v>
      </c>
      <c r="D631" s="549"/>
      <c r="E631" s="173">
        <v>45566</v>
      </c>
      <c r="F631" s="171" t="s">
        <v>1324</v>
      </c>
      <c r="G631" s="172">
        <v>17795</v>
      </c>
      <c r="J631" s="4"/>
      <c r="K631" s="4"/>
      <c r="S631" s="6"/>
      <c r="T631" s="5"/>
    </row>
    <row r="632" spans="3:20" ht="19.5" customHeight="1">
      <c r="C632" s="549" t="s">
        <v>1439</v>
      </c>
      <c r="D632" s="549"/>
      <c r="E632" s="173">
        <v>45581</v>
      </c>
      <c r="F632" s="171" t="s">
        <v>1189</v>
      </c>
      <c r="G632" s="172">
        <v>86512.68</v>
      </c>
      <c r="J632" s="4"/>
      <c r="K632" s="4"/>
      <c r="S632" s="6"/>
      <c r="T632" s="5"/>
    </row>
    <row r="633" spans="3:20" ht="19.5" customHeight="1">
      <c r="C633" s="549" t="s">
        <v>1580</v>
      </c>
      <c r="D633" s="549"/>
      <c r="E633" s="173">
        <v>45572</v>
      </c>
      <c r="F633" s="171" t="s">
        <v>1324</v>
      </c>
      <c r="G633" s="172">
        <v>55880</v>
      </c>
      <c r="J633" s="4"/>
      <c r="K633" s="4"/>
      <c r="S633" s="6"/>
      <c r="T633" s="5"/>
    </row>
    <row r="634" spans="3:20" ht="19.5" customHeight="1">
      <c r="C634" s="549" t="s">
        <v>1581</v>
      </c>
      <c r="D634" s="549"/>
      <c r="E634" s="173">
        <v>45602</v>
      </c>
      <c r="F634" s="171" t="s">
        <v>1189</v>
      </c>
      <c r="G634" s="172">
        <v>38402.1</v>
      </c>
      <c r="J634" s="4"/>
      <c r="K634" s="4"/>
      <c r="S634" s="6"/>
      <c r="T634" s="5"/>
    </row>
    <row r="635" spans="3:20" ht="19.5" customHeight="1">
      <c r="C635" s="549" t="s">
        <v>1582</v>
      </c>
      <c r="D635" s="549"/>
      <c r="E635" s="173">
        <v>45609</v>
      </c>
      <c r="F635" s="171" t="s">
        <v>1189</v>
      </c>
      <c r="G635" s="172">
        <v>82512.91</v>
      </c>
      <c r="J635" s="4"/>
      <c r="K635" s="4"/>
      <c r="S635" s="6"/>
      <c r="T635" s="5"/>
    </row>
    <row r="636" spans="3:20" ht="19.5" customHeight="1">
      <c r="C636" s="549" t="s">
        <v>1583</v>
      </c>
      <c r="D636" s="549"/>
      <c r="E636" s="173">
        <v>45567</v>
      </c>
      <c r="F636" s="171" t="s">
        <v>1584</v>
      </c>
      <c r="G636" s="172">
        <v>17981.580000000002</v>
      </c>
      <c r="J636" s="4"/>
      <c r="K636" s="4"/>
      <c r="S636" s="6"/>
      <c r="T636" s="5"/>
    </row>
    <row r="637" spans="3:20" ht="19.5" customHeight="1">
      <c r="C637" s="549" t="s">
        <v>1585</v>
      </c>
      <c r="D637" s="549"/>
      <c r="E637" s="173">
        <v>45610</v>
      </c>
      <c r="F637" s="269" t="s">
        <v>1584</v>
      </c>
      <c r="G637" s="270">
        <v>27039.39</v>
      </c>
      <c r="J637" s="4"/>
      <c r="K637" s="4"/>
      <c r="S637" s="6"/>
      <c r="T637" s="5"/>
    </row>
    <row r="638" spans="3:20" ht="19.5" customHeight="1">
      <c r="C638" s="549" t="s">
        <v>1583</v>
      </c>
      <c r="D638" s="549"/>
      <c r="E638" s="173">
        <v>45610</v>
      </c>
      <c r="F638" s="269" t="s">
        <v>1584</v>
      </c>
      <c r="G638" s="270">
        <v>42442.61</v>
      </c>
      <c r="J638" s="4"/>
      <c r="K638" s="4"/>
      <c r="S638" s="6"/>
      <c r="T638" s="5"/>
    </row>
    <row r="639" spans="3:20" ht="19.5" customHeight="1">
      <c r="C639" s="549" t="s">
        <v>1586</v>
      </c>
      <c r="D639" s="549"/>
      <c r="E639" s="271">
        <v>45624</v>
      </c>
      <c r="F639" s="269" t="s">
        <v>1189</v>
      </c>
      <c r="G639" s="270">
        <v>128994.73</v>
      </c>
      <c r="J639" s="4"/>
      <c r="K639" s="4"/>
      <c r="S639" s="6"/>
      <c r="T639" s="5"/>
    </row>
    <row r="640" spans="3:20" ht="19.5" customHeight="1">
      <c r="C640" s="550"/>
      <c r="D640" s="550"/>
      <c r="E640" s="175"/>
      <c r="F640" s="176"/>
      <c r="G640" s="177"/>
      <c r="J640" s="4"/>
      <c r="K640" s="4"/>
      <c r="S640" s="6"/>
      <c r="T640" s="5"/>
    </row>
    <row r="641" spans="3:20" ht="19.5" customHeight="1">
      <c r="C641" s="179"/>
      <c r="D641" s="180"/>
      <c r="E641" s="180"/>
      <c r="F641" s="180"/>
      <c r="G641" s="181">
        <f>SUM(G611:G640)</f>
        <v>1519342.22</v>
      </c>
      <c r="J641" s="4"/>
      <c r="K641" s="4"/>
      <c r="S641" s="6"/>
      <c r="T641" s="5"/>
    </row>
    <row r="644" spans="3:20" ht="28.8">
      <c r="C644" s="226" t="s">
        <v>1255</v>
      </c>
      <c r="D644" s="560" t="s">
        <v>1256</v>
      </c>
      <c r="E644" s="560"/>
      <c r="F644" s="560"/>
      <c r="G644" s="227" t="s">
        <v>1257</v>
      </c>
      <c r="H644" s="5"/>
      <c r="I644" s="228" t="s">
        <v>1258</v>
      </c>
      <c r="J644" s="229" t="s">
        <v>1259</v>
      </c>
    </row>
    <row r="645" spans="3:20">
      <c r="C645" s="230" t="s">
        <v>1260</v>
      </c>
      <c r="D645" s="564">
        <f>'BM 006'!D640+'BM 007'!N593</f>
        <v>388833.5</v>
      </c>
      <c r="E645" s="564"/>
      <c r="F645" s="564"/>
      <c r="G645" s="232" t="s">
        <v>1261</v>
      </c>
      <c r="H645" s="2"/>
      <c r="I645" s="233">
        <f>SUMIF($F$611:$F$640,G645,$G$611:$G$640)</f>
        <v>388833.5</v>
      </c>
      <c r="J645" s="233">
        <f t="shared" ref="J645:J655" si="242">I645-D645</f>
        <v>0</v>
      </c>
    </row>
    <row r="646" spans="3:20">
      <c r="C646" s="234" t="s">
        <v>1329</v>
      </c>
      <c r="D646" s="561">
        <f>'BM 006'!D641+'BM 007'!N594</f>
        <v>481238.58999999997</v>
      </c>
      <c r="E646" s="561"/>
      <c r="F646" s="561"/>
      <c r="G646" s="235" t="s">
        <v>1263</v>
      </c>
      <c r="H646" s="2"/>
      <c r="I646" s="236">
        <f>SUMIF($F$611:$F$640,G646,$G$611:$G$640)</f>
        <v>856918.81999999983</v>
      </c>
      <c r="J646" s="236">
        <f t="shared" si="242"/>
        <v>375680.22999999986</v>
      </c>
    </row>
    <row r="647" spans="3:20">
      <c r="C647" s="234" t="s">
        <v>1330</v>
      </c>
      <c r="D647" s="561">
        <f>'BM 006'!D642+'BM 007'!N595</f>
        <v>160451.32</v>
      </c>
      <c r="E647" s="561"/>
      <c r="F647" s="561"/>
      <c r="G647" s="235" t="s">
        <v>1331</v>
      </c>
      <c r="H647" s="2"/>
      <c r="I647" s="236">
        <f>SUMIF($F$611:$F$640,G647,$G$611:$G$640)</f>
        <v>186126.32</v>
      </c>
      <c r="J647" s="236">
        <f t="shared" si="242"/>
        <v>25675</v>
      </c>
    </row>
    <row r="648" spans="3:20">
      <c r="C648" s="234" t="s">
        <v>1587</v>
      </c>
      <c r="D648" s="561"/>
      <c r="E648" s="561"/>
      <c r="F648" s="561"/>
      <c r="G648" s="235" t="s">
        <v>1584</v>
      </c>
      <c r="H648" s="2"/>
      <c r="I648" s="236">
        <f>SUMIF($F$611:$F$640,G648,$G$611:$G$640)</f>
        <v>87463.58</v>
      </c>
      <c r="J648" s="236">
        <f t="shared" si="242"/>
        <v>87463.58</v>
      </c>
    </row>
    <row r="649" spans="3:20">
      <c r="C649" s="234"/>
      <c r="D649" s="561"/>
      <c r="E649" s="561"/>
      <c r="F649" s="561"/>
      <c r="G649" s="235" t="s">
        <v>1265</v>
      </c>
      <c r="H649" s="2"/>
      <c r="I649" s="238">
        <f t="shared" ref="I649:I655" si="243">SUMIF($G$670:$G$708,G649,$H$670:$I$708)</f>
        <v>0</v>
      </c>
      <c r="J649" s="236">
        <f t="shared" si="242"/>
        <v>0</v>
      </c>
    </row>
    <row r="650" spans="3:20">
      <c r="C650" s="234"/>
      <c r="D650" s="561"/>
      <c r="E650" s="561"/>
      <c r="F650" s="561"/>
      <c r="G650" s="237" t="s">
        <v>1266</v>
      </c>
      <c r="H650" s="2"/>
      <c r="I650" s="238">
        <f t="shared" si="243"/>
        <v>0</v>
      </c>
      <c r="J650" s="236">
        <f t="shared" si="242"/>
        <v>0</v>
      </c>
    </row>
    <row r="651" spans="3:20">
      <c r="C651" s="234"/>
      <c r="D651" s="561"/>
      <c r="E651" s="561"/>
      <c r="F651" s="561"/>
      <c r="G651" s="237" t="s">
        <v>1267</v>
      </c>
      <c r="H651" s="2"/>
      <c r="I651" s="238">
        <f t="shared" si="243"/>
        <v>0</v>
      </c>
      <c r="J651" s="236">
        <f t="shared" si="242"/>
        <v>0</v>
      </c>
    </row>
    <row r="652" spans="3:20">
      <c r="C652" s="234"/>
      <c r="D652" s="561"/>
      <c r="E652" s="561"/>
      <c r="F652" s="561"/>
      <c r="G652" s="237" t="s">
        <v>1268</v>
      </c>
      <c r="H652" s="2"/>
      <c r="I652" s="238">
        <f t="shared" si="243"/>
        <v>0</v>
      </c>
      <c r="J652" s="236">
        <f t="shared" si="242"/>
        <v>0</v>
      </c>
    </row>
    <row r="653" spans="3:20">
      <c r="C653" s="234"/>
      <c r="D653" s="561"/>
      <c r="E653" s="561"/>
      <c r="F653" s="561"/>
      <c r="G653" s="237" t="s">
        <v>1269</v>
      </c>
      <c r="H653" s="2"/>
      <c r="I653" s="238">
        <f t="shared" si="243"/>
        <v>0</v>
      </c>
      <c r="J653" s="236">
        <f t="shared" si="242"/>
        <v>0</v>
      </c>
    </row>
    <row r="654" spans="3:20">
      <c r="C654" s="234"/>
      <c r="D654" s="561"/>
      <c r="E654" s="561"/>
      <c r="F654" s="561"/>
      <c r="G654" s="237"/>
      <c r="H654" s="2"/>
      <c r="I654" s="238">
        <f t="shared" si="243"/>
        <v>0</v>
      </c>
      <c r="J654" s="236">
        <f t="shared" si="242"/>
        <v>0</v>
      </c>
    </row>
    <row r="655" spans="3:20">
      <c r="C655" s="239"/>
      <c r="D655" s="562"/>
      <c r="E655" s="562"/>
      <c r="F655" s="562"/>
      <c r="G655" s="240"/>
      <c r="H655" s="2"/>
      <c r="I655" s="241">
        <f t="shared" si="243"/>
        <v>0</v>
      </c>
      <c r="J655" s="241">
        <f t="shared" si="242"/>
        <v>0</v>
      </c>
    </row>
    <row r="656" spans="3:20">
      <c r="D656" s="563">
        <f>SUM(D645:F655)</f>
        <v>1030523.4099999999</v>
      </c>
      <c r="E656" s="563"/>
      <c r="F656" s="563"/>
      <c r="H656" s="2"/>
      <c r="I656" s="242">
        <f>SUM(I645:I655)</f>
        <v>1519342.22</v>
      </c>
      <c r="J656" s="242">
        <f>SUM(J645:J655)</f>
        <v>488818.80999999988</v>
      </c>
    </row>
  </sheetData>
  <mergeCells count="139">
    <mergeCell ref="D656:F656"/>
    <mergeCell ref="D647:F647"/>
    <mergeCell ref="D648:F648"/>
    <mergeCell ref="D649:F649"/>
    <mergeCell ref="D650:F650"/>
    <mergeCell ref="D651:F651"/>
    <mergeCell ref="D652:F652"/>
    <mergeCell ref="D653:F653"/>
    <mergeCell ref="D654:F654"/>
    <mergeCell ref="D655:F655"/>
    <mergeCell ref="C635:D635"/>
    <mergeCell ref="C636:D636"/>
    <mergeCell ref="C637:D637"/>
    <mergeCell ref="C638:D638"/>
    <mergeCell ref="C639:D639"/>
    <mergeCell ref="C640:D640"/>
    <mergeCell ref="D644:F644"/>
    <mergeCell ref="D645:F645"/>
    <mergeCell ref="D646:F646"/>
    <mergeCell ref="C626:D626"/>
    <mergeCell ref="C627:D627"/>
    <mergeCell ref="C628:D628"/>
    <mergeCell ref="C629:D629"/>
    <mergeCell ref="C630:D630"/>
    <mergeCell ref="C631:D631"/>
    <mergeCell ref="C632:D632"/>
    <mergeCell ref="C633:D633"/>
    <mergeCell ref="C634:D634"/>
    <mergeCell ref="C619:D619"/>
    <mergeCell ref="N619:O619"/>
    <mergeCell ref="C620:D620"/>
    <mergeCell ref="N620:O620"/>
    <mergeCell ref="C621:D621"/>
    <mergeCell ref="C622:D622"/>
    <mergeCell ref="C623:D623"/>
    <mergeCell ref="C624:D624"/>
    <mergeCell ref="C625:D625"/>
    <mergeCell ref="C614:D614"/>
    <mergeCell ref="N614:O614"/>
    <mergeCell ref="C615:D615"/>
    <mergeCell ref="N615:O615"/>
    <mergeCell ref="C616:D616"/>
    <mergeCell ref="N616:O616"/>
    <mergeCell ref="C617:D617"/>
    <mergeCell ref="N617:O617"/>
    <mergeCell ref="C618:D618"/>
    <mergeCell ref="N618:O618"/>
    <mergeCell ref="C608:D608"/>
    <mergeCell ref="C610:G610"/>
    <mergeCell ref="N610:R610"/>
    <mergeCell ref="C611:D611"/>
    <mergeCell ref="N611:O611"/>
    <mergeCell ref="C612:D612"/>
    <mergeCell ref="N612:O612"/>
    <mergeCell ref="C613:D613"/>
    <mergeCell ref="N613:O613"/>
    <mergeCell ref="D600:E600"/>
    <mergeCell ref="I600:J600"/>
    <mergeCell ref="O600:Q601"/>
    <mergeCell ref="D601:E601"/>
    <mergeCell ref="I601:J601"/>
    <mergeCell ref="C604:E604"/>
    <mergeCell ref="C605:D605"/>
    <mergeCell ref="C606:D606"/>
    <mergeCell ref="C607:D607"/>
    <mergeCell ref="B592:L592"/>
    <mergeCell ref="B593:L593"/>
    <mergeCell ref="B594:L594"/>
    <mergeCell ref="B595:L595"/>
    <mergeCell ref="B596:L596"/>
    <mergeCell ref="D598:E598"/>
    <mergeCell ref="I598:J598"/>
    <mergeCell ref="O598:Q599"/>
    <mergeCell ref="D599:E599"/>
    <mergeCell ref="I599:J599"/>
    <mergeCell ref="B22:C22"/>
    <mergeCell ref="D22:J22"/>
    <mergeCell ref="L22:O22"/>
    <mergeCell ref="P22:R22"/>
    <mergeCell ref="B23:R23"/>
    <mergeCell ref="B25:B26"/>
    <mergeCell ref="C25:C26"/>
    <mergeCell ref="D25:D26"/>
    <mergeCell ref="E25:J25"/>
    <mergeCell ref="N25:R25"/>
    <mergeCell ref="B19:C19"/>
    <mergeCell ref="D19:J19"/>
    <mergeCell ref="L19:O19"/>
    <mergeCell ref="P19:R19"/>
    <mergeCell ref="B20:C20"/>
    <mergeCell ref="D20:J20"/>
    <mergeCell ref="L20:O20"/>
    <mergeCell ref="P20:R20"/>
    <mergeCell ref="B21:C21"/>
    <mergeCell ref="D21:J21"/>
    <mergeCell ref="L21:O21"/>
    <mergeCell ref="P21:R21"/>
    <mergeCell ref="B15:C15"/>
    <mergeCell ref="D15:G15"/>
    <mergeCell ref="I15:J15"/>
    <mergeCell ref="L15:N15"/>
    <mergeCell ref="P15:R15"/>
    <mergeCell ref="B16:R16"/>
    <mergeCell ref="B17:R17"/>
    <mergeCell ref="B18:C18"/>
    <mergeCell ref="D18:J18"/>
    <mergeCell ref="L18:O18"/>
    <mergeCell ref="P18:R18"/>
    <mergeCell ref="B13:C13"/>
    <mergeCell ref="D13:J13"/>
    <mergeCell ref="L13:O13"/>
    <mergeCell ref="P13:R13"/>
    <mergeCell ref="B14:C14"/>
    <mergeCell ref="D14:G14"/>
    <mergeCell ref="I14:J14"/>
    <mergeCell ref="L14:N14"/>
    <mergeCell ref="P14:R14"/>
    <mergeCell ref="B10:C10"/>
    <mergeCell ref="D10:J10"/>
    <mergeCell ref="L10:O10"/>
    <mergeCell ref="P10:R10"/>
    <mergeCell ref="B11:C11"/>
    <mergeCell ref="D11:J11"/>
    <mergeCell ref="L11:O11"/>
    <mergeCell ref="P11:R11"/>
    <mergeCell ref="B12:C12"/>
    <mergeCell ref="D12:G12"/>
    <mergeCell ref="I12:J12"/>
    <mergeCell ref="L12:N12"/>
    <mergeCell ref="P12:R12"/>
    <mergeCell ref="B2:R2"/>
    <mergeCell ref="B3:R3"/>
    <mergeCell ref="B4:R4"/>
    <mergeCell ref="B5:R5"/>
    <mergeCell ref="B6:R6"/>
    <mergeCell ref="B7:R7"/>
    <mergeCell ref="B8:R8"/>
    <mergeCell ref="B9:C9"/>
    <mergeCell ref="D9:R9"/>
  </mergeCells>
  <conditionalFormatting sqref="R27:R590">
    <cfRule type="cellIs" dxfId="7" priority="2" operator="lessThan">
      <formula>0</formula>
    </cfRule>
  </conditionalFormatting>
  <printOptions horizontalCentered="1"/>
  <pageMargins left="0.51180555555555596" right="0.51180555555555596" top="0.78749999999999998" bottom="1.1812499999999999" header="0.511811023622047" footer="0.511811023622047"/>
  <pageSetup paperSize="9" scale="38" fitToHeight="26" orientation="portrait" horizontalDpi="300" verticalDpi="300" r:id="rId1"/>
  <colBreaks count="1" manualBreakCount="1">
    <brk id="1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657"/>
  <sheetViews>
    <sheetView view="pageBreakPreview" topLeftCell="B637" zoomScale="75" zoomScaleNormal="70" zoomScalePageLayoutView="75" workbookViewId="0">
      <selection activeCell="D646" sqref="D646"/>
    </sheetView>
  </sheetViews>
  <sheetFormatPr defaultColWidth="9.109375" defaultRowHeight="14.4"/>
  <cols>
    <col min="1" max="1" width="3.6640625" style="2" hidden="1" customWidth="1"/>
    <col min="2" max="2" width="11.33203125" style="2" customWidth="1"/>
    <col min="3" max="3" width="40.33203125" style="2" customWidth="1"/>
    <col min="4" max="4" width="5.88671875" style="3" customWidth="1"/>
    <col min="5" max="5" width="15.33203125" style="4" customWidth="1"/>
    <col min="6" max="6" width="15.109375" style="4" customWidth="1"/>
    <col min="7" max="7" width="18" style="4" customWidth="1"/>
    <col min="8" max="8" width="4.44140625" style="4" hidden="1" customWidth="1"/>
    <col min="9" max="9" width="15" style="4" customWidth="1"/>
    <col min="10" max="10" width="14.33203125" style="5" customWidth="1"/>
    <col min="11" max="11" width="17" style="5" hidden="1" customWidth="1"/>
    <col min="12" max="12" width="15.88671875" style="5" customWidth="1"/>
    <col min="13" max="13" width="25.33203125" style="5" hidden="1" customWidth="1"/>
    <col min="14" max="15" width="23.5546875" style="5" customWidth="1"/>
    <col min="16" max="16" width="23.5546875" style="6" hidden="1" customWidth="1"/>
    <col min="17" max="17" width="23.5546875" style="6" customWidth="1"/>
    <col min="18" max="18" width="23.5546875" style="5" customWidth="1"/>
    <col min="19" max="19" width="3" style="2" customWidth="1"/>
    <col min="20" max="20" width="23.33203125" style="2" customWidth="1"/>
    <col min="21" max="21" width="22.6640625" style="2" customWidth="1"/>
    <col min="22" max="22" width="21.44140625" style="2" customWidth="1"/>
    <col min="23" max="23" width="17.109375" style="2" customWidth="1"/>
    <col min="24" max="16384" width="9.109375" style="2"/>
  </cols>
  <sheetData>
    <row r="1" spans="2:23" ht="6" customHeight="1"/>
    <row r="2" spans="2:23" ht="29.25" customHeight="1">
      <c r="B2" s="491"/>
      <c r="C2" s="491"/>
      <c r="D2" s="491"/>
      <c r="E2" s="491"/>
      <c r="F2" s="491"/>
      <c r="G2" s="491"/>
      <c r="H2" s="491"/>
      <c r="I2" s="491"/>
      <c r="J2" s="491"/>
      <c r="K2" s="491"/>
      <c r="L2" s="491"/>
      <c r="M2" s="491"/>
      <c r="N2" s="491"/>
      <c r="O2" s="491"/>
      <c r="P2" s="491"/>
      <c r="Q2" s="491"/>
      <c r="R2" s="491"/>
      <c r="S2" s="7"/>
    </row>
    <row r="3" spans="2:23" ht="29.25" customHeight="1">
      <c r="B3" s="492" t="s">
        <v>0</v>
      </c>
      <c r="C3" s="492"/>
      <c r="D3" s="492"/>
      <c r="E3" s="492"/>
      <c r="F3" s="492"/>
      <c r="G3" s="492"/>
      <c r="H3" s="492"/>
      <c r="I3" s="492"/>
      <c r="J3" s="492"/>
      <c r="K3" s="492"/>
      <c r="L3" s="492"/>
      <c r="M3" s="492"/>
      <c r="N3" s="492"/>
      <c r="O3" s="492"/>
      <c r="P3" s="492"/>
      <c r="Q3" s="492"/>
      <c r="R3" s="492"/>
      <c r="S3" s="7"/>
      <c r="W3" s="8"/>
    </row>
    <row r="4" spans="2:23" ht="29.25" customHeight="1">
      <c r="B4" s="493"/>
      <c r="C4" s="493"/>
      <c r="D4" s="493"/>
      <c r="E4" s="493"/>
      <c r="F4" s="493"/>
      <c r="G4" s="493"/>
      <c r="H4" s="493"/>
      <c r="I4" s="493"/>
      <c r="J4" s="493"/>
      <c r="K4" s="493"/>
      <c r="L4" s="493"/>
      <c r="M4" s="493"/>
      <c r="N4" s="493"/>
      <c r="O4" s="493"/>
      <c r="P4" s="493"/>
      <c r="Q4" s="493"/>
      <c r="R4" s="493"/>
      <c r="S4" s="9"/>
      <c r="T4" s="2">
        <v>12630000</v>
      </c>
    </row>
    <row r="5" spans="2:23" ht="8.25" customHeight="1">
      <c r="B5" s="494"/>
      <c r="C5" s="494"/>
      <c r="D5" s="494"/>
      <c r="E5" s="494"/>
      <c r="F5" s="494"/>
      <c r="G5" s="494"/>
      <c r="H5" s="494"/>
      <c r="I5" s="494"/>
      <c r="J5" s="494"/>
      <c r="K5" s="494"/>
      <c r="L5" s="494"/>
      <c r="M5" s="494"/>
      <c r="N5" s="494"/>
      <c r="O5" s="494"/>
      <c r="P5" s="494"/>
      <c r="Q5" s="494"/>
      <c r="R5" s="494"/>
      <c r="S5" s="9"/>
    </row>
    <row r="6" spans="2:23" ht="38.25" customHeight="1">
      <c r="B6" s="495" t="s">
        <v>1588</v>
      </c>
      <c r="C6" s="495"/>
      <c r="D6" s="495"/>
      <c r="E6" s="495"/>
      <c r="F6" s="495"/>
      <c r="G6" s="495"/>
      <c r="H6" s="495"/>
      <c r="I6" s="495"/>
      <c r="J6" s="495"/>
      <c r="K6" s="495"/>
      <c r="L6" s="495"/>
      <c r="M6" s="495"/>
      <c r="N6" s="495"/>
      <c r="O6" s="495"/>
      <c r="P6" s="495"/>
      <c r="Q6" s="495"/>
      <c r="R6" s="495"/>
      <c r="S6" s="7"/>
    </row>
    <row r="7" spans="2:23" ht="8.25" customHeight="1">
      <c r="B7" s="496"/>
      <c r="C7" s="496"/>
      <c r="D7" s="496"/>
      <c r="E7" s="496"/>
      <c r="F7" s="496"/>
      <c r="G7" s="496"/>
      <c r="H7" s="496"/>
      <c r="I7" s="496"/>
      <c r="J7" s="496"/>
      <c r="K7" s="496"/>
      <c r="L7" s="496"/>
      <c r="M7" s="496"/>
      <c r="N7" s="496"/>
      <c r="O7" s="496"/>
      <c r="P7" s="496"/>
      <c r="Q7" s="496"/>
      <c r="R7" s="496"/>
      <c r="S7" s="7"/>
    </row>
    <row r="8" spans="2:23" ht="25.5" customHeight="1">
      <c r="B8" s="497" t="s">
        <v>2</v>
      </c>
      <c r="C8" s="497"/>
      <c r="D8" s="497"/>
      <c r="E8" s="497"/>
      <c r="F8" s="497"/>
      <c r="G8" s="497"/>
      <c r="H8" s="497"/>
      <c r="I8" s="497"/>
      <c r="J8" s="497"/>
      <c r="K8" s="497"/>
      <c r="L8" s="497"/>
      <c r="M8" s="497"/>
      <c r="N8" s="497"/>
      <c r="O8" s="497"/>
      <c r="P8" s="497"/>
      <c r="Q8" s="497"/>
      <c r="R8" s="497"/>
      <c r="S8" s="7"/>
      <c r="T8" s="2">
        <f>480/30</f>
        <v>16</v>
      </c>
    </row>
    <row r="9" spans="2:23" s="10" customFormat="1" ht="31.5" customHeight="1">
      <c r="B9" s="498" t="s">
        <v>3</v>
      </c>
      <c r="C9" s="498"/>
      <c r="D9" s="499" t="s">
        <v>4</v>
      </c>
      <c r="E9" s="499"/>
      <c r="F9" s="499"/>
      <c r="G9" s="499"/>
      <c r="H9" s="499"/>
      <c r="I9" s="499"/>
      <c r="J9" s="499"/>
      <c r="K9" s="499"/>
      <c r="L9" s="499"/>
      <c r="M9" s="499"/>
      <c r="N9" s="499"/>
      <c r="O9" s="499"/>
      <c r="P9" s="499"/>
      <c r="Q9" s="499"/>
      <c r="R9" s="499"/>
      <c r="S9" s="11"/>
    </row>
    <row r="10" spans="2:23" s="10" customFormat="1" ht="31.5" customHeight="1">
      <c r="B10" s="498" t="s">
        <v>5</v>
      </c>
      <c r="C10" s="498"/>
      <c r="D10" s="500" t="s">
        <v>6</v>
      </c>
      <c r="E10" s="500"/>
      <c r="F10" s="500"/>
      <c r="G10" s="500"/>
      <c r="H10" s="500"/>
      <c r="I10" s="500"/>
      <c r="J10" s="500"/>
      <c r="K10" s="12"/>
      <c r="L10" s="501" t="s">
        <v>7</v>
      </c>
      <c r="M10" s="501"/>
      <c r="N10" s="501"/>
      <c r="O10" s="501"/>
      <c r="P10" s="502">
        <v>45383</v>
      </c>
      <c r="Q10" s="502"/>
      <c r="R10" s="502"/>
      <c r="S10" s="11"/>
    </row>
    <row r="11" spans="2:23" s="10" customFormat="1" ht="31.5" customHeight="1">
      <c r="B11" s="498" t="s">
        <v>8</v>
      </c>
      <c r="C11" s="498"/>
      <c r="D11" s="503" t="s">
        <v>9</v>
      </c>
      <c r="E11" s="503"/>
      <c r="F11" s="503"/>
      <c r="G11" s="503"/>
      <c r="H11" s="503"/>
      <c r="I11" s="503"/>
      <c r="J11" s="503"/>
      <c r="K11" s="12"/>
      <c r="L11" s="501" t="s">
        <v>10</v>
      </c>
      <c r="M11" s="501"/>
      <c r="N11" s="501"/>
      <c r="O11" s="501"/>
      <c r="P11" s="502">
        <f>P10+600</f>
        <v>45983</v>
      </c>
      <c r="Q11" s="502"/>
      <c r="R11" s="502"/>
      <c r="S11" s="11"/>
    </row>
    <row r="12" spans="2:23" s="10" customFormat="1" ht="36.75" customHeight="1">
      <c r="B12" s="504" t="s">
        <v>11</v>
      </c>
      <c r="C12" s="504"/>
      <c r="D12" s="505" t="s">
        <v>12</v>
      </c>
      <c r="E12" s="505"/>
      <c r="F12" s="505"/>
      <c r="G12" s="505"/>
      <c r="H12" s="13"/>
      <c r="I12" s="506"/>
      <c r="J12" s="506"/>
      <c r="K12" s="14"/>
      <c r="L12" s="507"/>
      <c r="M12" s="507"/>
      <c r="N12" s="507"/>
      <c r="O12" s="1" t="s">
        <v>13</v>
      </c>
      <c r="P12" s="502">
        <v>45383</v>
      </c>
      <c r="Q12" s="502"/>
      <c r="R12" s="502"/>
      <c r="S12" s="11"/>
      <c r="T12" s="15"/>
    </row>
    <row r="13" spans="2:23" s="10" customFormat="1" ht="31.5" customHeight="1">
      <c r="B13" s="508" t="s">
        <v>14</v>
      </c>
      <c r="C13" s="508"/>
      <c r="D13" s="509">
        <f>Q591</f>
        <v>26279999.999999993</v>
      </c>
      <c r="E13" s="509"/>
      <c r="F13" s="509"/>
      <c r="G13" s="509"/>
      <c r="H13" s="509"/>
      <c r="I13" s="509"/>
      <c r="J13" s="509"/>
      <c r="K13" s="16"/>
      <c r="L13" s="510" t="s">
        <v>15</v>
      </c>
      <c r="M13" s="510"/>
      <c r="N13" s="510"/>
      <c r="O13" s="510"/>
      <c r="P13" s="511" t="s">
        <v>16</v>
      </c>
      <c r="Q13" s="511"/>
      <c r="R13" s="511"/>
      <c r="S13" s="11"/>
    </row>
    <row r="14" spans="2:23" s="10" customFormat="1" ht="31.5" customHeight="1">
      <c r="B14" s="512" t="s">
        <v>17</v>
      </c>
      <c r="C14" s="512"/>
      <c r="D14" s="513"/>
      <c r="E14" s="513"/>
      <c r="F14" s="513"/>
      <c r="G14" s="513"/>
      <c r="H14" s="18"/>
      <c r="I14" s="514" t="s">
        <v>18</v>
      </c>
      <c r="J14" s="514"/>
      <c r="K14" s="17"/>
      <c r="L14" s="515"/>
      <c r="M14" s="515"/>
      <c r="N14" s="515"/>
      <c r="O14" s="19" t="s">
        <v>19</v>
      </c>
      <c r="P14" s="516"/>
      <c r="Q14" s="516"/>
      <c r="R14" s="516"/>
      <c r="S14" s="11"/>
      <c r="T14" s="15"/>
    </row>
    <row r="15" spans="2:23" s="10" customFormat="1" ht="31.5" customHeight="1">
      <c r="B15" s="517" t="s">
        <v>20</v>
      </c>
      <c r="C15" s="517"/>
      <c r="D15" s="518" t="s">
        <v>21</v>
      </c>
      <c r="E15" s="518"/>
      <c r="F15" s="518"/>
      <c r="G15" s="518"/>
      <c r="H15" s="20"/>
      <c r="I15" s="518" t="s">
        <v>18</v>
      </c>
      <c r="J15" s="518"/>
      <c r="K15" s="21"/>
      <c r="L15" s="519" t="s">
        <v>22</v>
      </c>
      <c r="M15" s="519"/>
      <c r="N15" s="519"/>
      <c r="O15" s="22" t="s">
        <v>19</v>
      </c>
      <c r="P15" s="520" t="s">
        <v>23</v>
      </c>
      <c r="Q15" s="520"/>
      <c r="R15" s="520"/>
      <c r="S15" s="11"/>
      <c r="T15" s="23">
        <f>D13</f>
        <v>26279999.999999993</v>
      </c>
      <c r="U15" s="24"/>
    </row>
    <row r="16" spans="2:23" s="10" customFormat="1" ht="6" customHeight="1">
      <c r="B16" s="521"/>
      <c r="C16" s="521"/>
      <c r="D16" s="521"/>
      <c r="E16" s="521"/>
      <c r="F16" s="521"/>
      <c r="G16" s="521"/>
      <c r="H16" s="521"/>
      <c r="I16" s="521"/>
      <c r="J16" s="521"/>
      <c r="K16" s="521"/>
      <c r="L16" s="521"/>
      <c r="M16" s="521"/>
      <c r="N16" s="521"/>
      <c r="O16" s="521"/>
      <c r="P16" s="521"/>
      <c r="Q16" s="521"/>
      <c r="R16" s="521"/>
      <c r="S16" s="11"/>
      <c r="T16" s="23"/>
      <c r="U16" s="25"/>
    </row>
    <row r="17" spans="1:23" s="10" customFormat="1" ht="27.75" customHeight="1">
      <c r="B17" s="497" t="s">
        <v>24</v>
      </c>
      <c r="C17" s="497"/>
      <c r="D17" s="497"/>
      <c r="E17" s="497"/>
      <c r="F17" s="497"/>
      <c r="G17" s="497"/>
      <c r="H17" s="497"/>
      <c r="I17" s="497"/>
      <c r="J17" s="497"/>
      <c r="K17" s="497"/>
      <c r="L17" s="497"/>
      <c r="M17" s="497"/>
      <c r="N17" s="497"/>
      <c r="O17" s="497"/>
      <c r="P17" s="497"/>
      <c r="Q17" s="497"/>
      <c r="R17" s="497"/>
      <c r="S17" s="11"/>
      <c r="T17" s="26"/>
      <c r="U17" s="27"/>
      <c r="W17" s="28"/>
    </row>
    <row r="18" spans="1:23" ht="43.5" customHeight="1">
      <c r="A18" s="10"/>
      <c r="B18" s="522" t="s">
        <v>25</v>
      </c>
      <c r="C18" s="522"/>
      <c r="D18" s="523" t="s">
        <v>4</v>
      </c>
      <c r="E18" s="523"/>
      <c r="F18" s="523"/>
      <c r="G18" s="523"/>
      <c r="H18" s="523"/>
      <c r="I18" s="523"/>
      <c r="J18" s="523"/>
      <c r="K18" s="29"/>
      <c r="L18" s="501" t="s">
        <v>26</v>
      </c>
      <c r="M18" s="501"/>
      <c r="N18" s="501"/>
      <c r="O18" s="501"/>
      <c r="P18" s="524">
        <f>N591</f>
        <v>1022392.4099999999</v>
      </c>
      <c r="Q18" s="524"/>
      <c r="R18" s="524"/>
      <c r="S18" s="30"/>
      <c r="T18" s="23">
        <f>T15-Q33-Q32</f>
        <v>23966799.799999993</v>
      </c>
      <c r="U18" s="31"/>
      <c r="V18" s="10"/>
      <c r="W18" s="28"/>
    </row>
    <row r="19" spans="1:23" ht="31.5" customHeight="1">
      <c r="A19" s="10"/>
      <c r="B19" s="522" t="s">
        <v>27</v>
      </c>
      <c r="C19" s="522"/>
      <c r="D19" s="525" t="s">
        <v>1589</v>
      </c>
      <c r="E19" s="525"/>
      <c r="F19" s="525"/>
      <c r="G19" s="525"/>
      <c r="H19" s="525"/>
      <c r="I19" s="525"/>
      <c r="J19" s="525"/>
      <c r="K19" s="29"/>
      <c r="L19" s="501" t="s">
        <v>29</v>
      </c>
      <c r="M19" s="501"/>
      <c r="N19" s="501"/>
      <c r="O19" s="501"/>
      <c r="P19" s="524">
        <f>P18-P20</f>
        <v>0</v>
      </c>
      <c r="Q19" s="524"/>
      <c r="R19" s="524"/>
      <c r="S19" s="30"/>
      <c r="T19" s="23">
        <f>P21-O33-O32</f>
        <v>5671086.8899999987</v>
      </c>
      <c r="U19" s="10"/>
      <c r="V19" s="10"/>
      <c r="W19" s="10"/>
    </row>
    <row r="20" spans="1:23" s="34" customFormat="1" ht="31.5" customHeight="1">
      <c r="A20" s="10"/>
      <c r="B20" s="526" t="s">
        <v>30</v>
      </c>
      <c r="C20" s="526"/>
      <c r="D20" s="523" t="s">
        <v>1590</v>
      </c>
      <c r="E20" s="523"/>
      <c r="F20" s="523"/>
      <c r="G20" s="523"/>
      <c r="H20" s="523"/>
      <c r="I20" s="523"/>
      <c r="J20" s="523"/>
      <c r="K20" s="29"/>
      <c r="L20" s="501" t="s">
        <v>32</v>
      </c>
      <c r="M20" s="501"/>
      <c r="N20" s="501"/>
      <c r="O20" s="501"/>
      <c r="P20" s="524">
        <f>N591</f>
        <v>1022392.4099999999</v>
      </c>
      <c r="Q20" s="524"/>
      <c r="R20" s="524"/>
      <c r="S20" s="30"/>
      <c r="T20" s="32">
        <f>T19/T18</f>
        <v>0.2366226170087172</v>
      </c>
      <c r="U20" s="24">
        <v>739429.5</v>
      </c>
      <c r="V20" s="10"/>
      <c r="W20" s="33"/>
    </row>
    <row r="21" spans="1:23" s="34" customFormat="1" ht="31.5" customHeight="1">
      <c r="A21" s="10"/>
      <c r="B21" s="526" t="s">
        <v>33</v>
      </c>
      <c r="C21" s="526"/>
      <c r="D21" s="527">
        <v>45625</v>
      </c>
      <c r="E21" s="527"/>
      <c r="F21" s="527"/>
      <c r="G21" s="527"/>
      <c r="H21" s="527"/>
      <c r="I21" s="527"/>
      <c r="J21" s="527"/>
      <c r="K21" s="35"/>
      <c r="L21" s="501" t="s">
        <v>34</v>
      </c>
      <c r="M21" s="501"/>
      <c r="N21" s="501"/>
      <c r="O21" s="501"/>
      <c r="P21" s="524">
        <f>P20+'BM 007'!P21:R21</f>
        <v>6218389.9899999993</v>
      </c>
      <c r="Q21" s="524"/>
      <c r="R21" s="524"/>
      <c r="S21" s="36"/>
      <c r="T21" s="32">
        <f>T20-I33</f>
        <v>2.261700871716843E-5</v>
      </c>
      <c r="U21" s="32"/>
      <c r="V21" s="10"/>
      <c r="W21" s="10"/>
    </row>
    <row r="22" spans="1:23" s="34" customFormat="1" ht="31.5" customHeight="1">
      <c r="A22" s="10"/>
      <c r="B22" s="526" t="s">
        <v>35</v>
      </c>
      <c r="C22" s="526"/>
      <c r="D22" s="527">
        <v>45628</v>
      </c>
      <c r="E22" s="527"/>
      <c r="F22" s="527"/>
      <c r="G22" s="527"/>
      <c r="H22" s="527"/>
      <c r="I22" s="527"/>
      <c r="J22" s="527"/>
      <c r="K22" s="35"/>
      <c r="L22" s="501" t="s">
        <v>36</v>
      </c>
      <c r="M22" s="501"/>
      <c r="N22" s="501"/>
      <c r="O22" s="501"/>
      <c r="P22" s="524">
        <f>R591</f>
        <v>20061610.009999998</v>
      </c>
      <c r="Q22" s="524"/>
      <c r="R22" s="524"/>
      <c r="S22" s="36"/>
      <c r="T22" s="31"/>
      <c r="U22" s="37"/>
      <c r="V22" s="10"/>
      <c r="W22" s="10"/>
    </row>
    <row r="23" spans="1:23" s="34" customFormat="1" ht="5.25" customHeight="1">
      <c r="A23" s="10"/>
      <c r="B23" s="528"/>
      <c r="C23" s="528"/>
      <c r="D23" s="528"/>
      <c r="E23" s="528"/>
      <c r="F23" s="528"/>
      <c r="G23" s="528"/>
      <c r="H23" s="528"/>
      <c r="I23" s="528"/>
      <c r="J23" s="528"/>
      <c r="K23" s="528"/>
      <c r="L23" s="528"/>
      <c r="M23" s="528"/>
      <c r="N23" s="528"/>
      <c r="O23" s="528"/>
      <c r="P23" s="528"/>
      <c r="Q23" s="528"/>
      <c r="R23" s="528"/>
      <c r="S23" s="10"/>
      <c r="T23" s="10"/>
      <c r="U23" s="10"/>
      <c r="V23" s="10"/>
      <c r="W23" s="10"/>
    </row>
    <row r="24" spans="1:23" s="34" customFormat="1" ht="2.25" customHeight="1">
      <c r="A24" s="2"/>
      <c r="B24" s="38"/>
      <c r="C24" s="39"/>
      <c r="D24" s="40"/>
      <c r="E24" s="41"/>
      <c r="F24" s="42"/>
      <c r="G24" s="43"/>
      <c r="H24" s="43"/>
      <c r="I24" s="43"/>
      <c r="J24" s="39"/>
      <c r="K24" s="39"/>
      <c r="L24" s="39"/>
      <c r="M24" s="39"/>
      <c r="N24" s="39"/>
      <c r="O24" s="39"/>
      <c r="P24" s="44"/>
      <c r="Q24" s="44"/>
      <c r="R24" s="45"/>
      <c r="S24" s="2"/>
      <c r="T24" s="2"/>
      <c r="U24" s="2"/>
      <c r="V24" s="2"/>
      <c r="W24" s="2"/>
    </row>
    <row r="25" spans="1:23" s="34" customFormat="1" ht="18" customHeight="1">
      <c r="A25" s="2"/>
      <c r="B25" s="529" t="s">
        <v>37</v>
      </c>
      <c r="C25" s="530" t="s">
        <v>38</v>
      </c>
      <c r="D25" s="530" t="s">
        <v>39</v>
      </c>
      <c r="E25" s="531" t="s">
        <v>40</v>
      </c>
      <c r="F25" s="531"/>
      <c r="G25" s="531"/>
      <c r="H25" s="531"/>
      <c r="I25" s="531"/>
      <c r="J25" s="531"/>
      <c r="K25" s="48" t="s">
        <v>41</v>
      </c>
      <c r="L25" s="48" t="s">
        <v>42</v>
      </c>
      <c r="M25" s="48"/>
      <c r="N25" s="532" t="s">
        <v>43</v>
      </c>
      <c r="O25" s="532"/>
      <c r="P25" s="532"/>
      <c r="Q25" s="532"/>
      <c r="R25" s="532"/>
      <c r="S25" s="2"/>
      <c r="T25" s="49" t="s">
        <v>44</v>
      </c>
      <c r="U25" s="50">
        <v>20732092.140000001</v>
      </c>
      <c r="V25" s="51">
        <v>0.26760000016091001</v>
      </c>
      <c r="W25" s="2"/>
    </row>
    <row r="26" spans="1:23" s="34" customFormat="1" ht="43.5" customHeight="1">
      <c r="A26" s="2"/>
      <c r="B26" s="529"/>
      <c r="C26" s="530"/>
      <c r="D26" s="530"/>
      <c r="E26" s="52" t="s">
        <v>45</v>
      </c>
      <c r="F26" s="53" t="s">
        <v>46</v>
      </c>
      <c r="G26" s="53" t="s">
        <v>47</v>
      </c>
      <c r="H26" s="54"/>
      <c r="I26" s="55" t="s">
        <v>48</v>
      </c>
      <c r="J26" s="55" t="s">
        <v>49</v>
      </c>
      <c r="K26" s="56" t="s">
        <v>50</v>
      </c>
      <c r="L26" s="47" t="s">
        <v>50</v>
      </c>
      <c r="M26" s="48" t="s">
        <v>51</v>
      </c>
      <c r="N26" s="57" t="s">
        <v>52</v>
      </c>
      <c r="O26" s="57" t="s">
        <v>53</v>
      </c>
      <c r="P26" s="57" t="s">
        <v>54</v>
      </c>
      <c r="Q26" s="57" t="s">
        <v>55</v>
      </c>
      <c r="R26" s="58" t="s">
        <v>56</v>
      </c>
      <c r="S26" s="2"/>
      <c r="T26" s="59">
        <v>0.26760011</v>
      </c>
      <c r="U26" s="50">
        <v>5547907.8600000003</v>
      </c>
      <c r="V26" s="50">
        <v>26280000</v>
      </c>
      <c r="W26" s="2"/>
    </row>
    <row r="27" spans="1:23" s="34" customFormat="1" ht="13.2">
      <c r="B27" s="60" t="s">
        <v>57</v>
      </c>
      <c r="C27" s="61" t="s">
        <v>58</v>
      </c>
      <c r="D27" s="60"/>
      <c r="E27" s="62"/>
      <c r="F27" s="63"/>
      <c r="G27" s="63"/>
      <c r="H27" s="63"/>
      <c r="I27" s="63"/>
      <c r="J27" s="63"/>
      <c r="K27" s="63"/>
      <c r="L27" s="64"/>
      <c r="M27" s="63">
        <f t="shared" ref="M27:R27" si="0">M28+M30+M35+M43</f>
        <v>89983.47</v>
      </c>
      <c r="N27" s="63">
        <f t="shared" si="0"/>
        <v>89983.47</v>
      </c>
      <c r="O27" s="63">
        <f t="shared" si="0"/>
        <v>1088450.06</v>
      </c>
      <c r="P27" s="63">
        <f t="shared" si="0"/>
        <v>2403883</v>
      </c>
      <c r="Q27" s="63">
        <f t="shared" si="0"/>
        <v>3047162.2499999991</v>
      </c>
      <c r="R27" s="63">
        <f t="shared" si="0"/>
        <v>1958712.19</v>
      </c>
      <c r="U27" s="65"/>
    </row>
    <row r="28" spans="1:23" s="34" customFormat="1" ht="13.2">
      <c r="B28" s="66" t="s">
        <v>59</v>
      </c>
      <c r="C28" s="67" t="s">
        <v>60</v>
      </c>
      <c r="D28" s="68"/>
      <c r="E28" s="69"/>
      <c r="F28" s="70"/>
      <c r="G28" s="70"/>
      <c r="H28" s="70"/>
      <c r="I28" s="70"/>
      <c r="J28" s="70"/>
      <c r="K28" s="71"/>
      <c r="L28" s="72"/>
      <c r="M28" s="73">
        <f t="shared" ref="M28:R28" si="1">SUM(M29)</f>
        <v>0</v>
      </c>
      <c r="N28" s="73">
        <f t="shared" si="1"/>
        <v>0</v>
      </c>
      <c r="O28" s="73">
        <f t="shared" si="1"/>
        <v>41273.050000000003</v>
      </c>
      <c r="P28" s="73">
        <f t="shared" si="1"/>
        <v>32560</v>
      </c>
      <c r="Q28" s="73">
        <f t="shared" si="1"/>
        <v>41273.050000000003</v>
      </c>
      <c r="R28" s="73">
        <f t="shared" si="1"/>
        <v>0</v>
      </c>
      <c r="T28" s="74"/>
    </row>
    <row r="29" spans="1:23" s="34" customFormat="1" ht="13.2">
      <c r="B29" s="75" t="s">
        <v>61</v>
      </c>
      <c r="C29" s="76" t="s">
        <v>62</v>
      </c>
      <c r="D29" s="77" t="s">
        <v>63</v>
      </c>
      <c r="E29" s="78">
        <v>1</v>
      </c>
      <c r="F29" s="79"/>
      <c r="G29" s="79"/>
      <c r="H29" s="79"/>
      <c r="I29" s="79">
        <f>SUM(G29:H29)+'BM 007'!I29</f>
        <v>1</v>
      </c>
      <c r="J29" s="79">
        <f>E29-I29</f>
        <v>0</v>
      </c>
      <c r="K29" s="80">
        <v>32560</v>
      </c>
      <c r="L29" s="81">
        <f t="shared" ref="L29:L92" si="2">K29*(1+$T$26)</f>
        <v>41273.059581599999</v>
      </c>
      <c r="M29" s="82">
        <f>TRUNC(F29*L29,2)</f>
        <v>0</v>
      </c>
      <c r="N29" s="82">
        <f>TRUNC(G29*L29,2)</f>
        <v>0</v>
      </c>
      <c r="O29" s="82">
        <f>N29+'BM 007'!O29</f>
        <v>41273.050000000003</v>
      </c>
      <c r="P29" s="82">
        <f>E29*K29</f>
        <v>32560</v>
      </c>
      <c r="Q29" s="82">
        <f>TRUNC(E29*L29,2)</f>
        <v>41273.050000000003</v>
      </c>
      <c r="R29" s="82">
        <f>Q29-O29</f>
        <v>0</v>
      </c>
      <c r="T29" s="74"/>
    </row>
    <row r="30" spans="1:23" s="34" customFormat="1" ht="13.2">
      <c r="B30" s="66" t="s">
        <v>64</v>
      </c>
      <c r="C30" s="67" t="s">
        <v>65</v>
      </c>
      <c r="D30" s="68"/>
      <c r="E30" s="69"/>
      <c r="F30" s="70"/>
      <c r="G30" s="70"/>
      <c r="H30" s="70"/>
      <c r="I30" s="70">
        <f>SUM(G30:H30)+'BM 007'!I30</f>
        <v>0</v>
      </c>
      <c r="J30" s="70"/>
      <c r="K30" s="71"/>
      <c r="L30" s="71">
        <f t="shared" si="2"/>
        <v>0</v>
      </c>
      <c r="M30" s="73">
        <f t="shared" ref="M30:R30" si="3">SUM(M31:M34)</f>
        <v>89983.47</v>
      </c>
      <c r="N30" s="73">
        <f t="shared" si="3"/>
        <v>89983.47</v>
      </c>
      <c r="O30" s="73">
        <f t="shared" si="3"/>
        <v>547303.1</v>
      </c>
      <c r="P30" s="73">
        <f t="shared" si="3"/>
        <v>1872865.9</v>
      </c>
      <c r="Q30" s="73">
        <f t="shared" si="3"/>
        <v>2374044.9999999995</v>
      </c>
      <c r="R30" s="73">
        <f t="shared" si="3"/>
        <v>1826741.9</v>
      </c>
      <c r="T30" s="83"/>
    </row>
    <row r="31" spans="1:23" s="34" customFormat="1" ht="23.4">
      <c r="B31" s="75" t="s">
        <v>66</v>
      </c>
      <c r="C31" s="76" t="s">
        <v>67</v>
      </c>
      <c r="D31" s="77" t="s">
        <v>68</v>
      </c>
      <c r="E31" s="78">
        <v>20</v>
      </c>
      <c r="F31" s="79"/>
      <c r="G31" s="79"/>
      <c r="H31" s="79"/>
      <c r="I31" s="79">
        <f>SUM(G31:H31)+'BM 007'!I31</f>
        <v>0</v>
      </c>
      <c r="J31" s="79">
        <f t="shared" ref="J31:J94" si="4">E31-I31</f>
        <v>20</v>
      </c>
      <c r="K31" s="84">
        <v>1200</v>
      </c>
      <c r="L31" s="81">
        <f t="shared" si="2"/>
        <v>1521.120132</v>
      </c>
      <c r="M31" s="82">
        <f>TRUNC(F31*L31,2)</f>
        <v>0</v>
      </c>
      <c r="N31" s="82">
        <f>TRUNC(G31*L31,2)</f>
        <v>0</v>
      </c>
      <c r="O31" s="82">
        <f>N31+'BM 007'!O31</f>
        <v>0</v>
      </c>
      <c r="P31" s="82">
        <f>E31*K31</f>
        <v>24000</v>
      </c>
      <c r="Q31" s="82">
        <f>TRUNC(E31*L31,2)</f>
        <v>30422.400000000001</v>
      </c>
      <c r="R31" s="82">
        <f>Q31-O31</f>
        <v>30422.400000000001</v>
      </c>
    </row>
    <row r="32" spans="1:23" s="34" customFormat="1" ht="13.2">
      <c r="B32" s="75" t="s">
        <v>69</v>
      </c>
      <c r="C32" s="85" t="s">
        <v>70</v>
      </c>
      <c r="D32" s="77" t="s">
        <v>68</v>
      </c>
      <c r="E32" s="78">
        <v>20</v>
      </c>
      <c r="F32" s="86">
        <f>'M.C. MED. 08'!K22</f>
        <v>0.77799999999999914</v>
      </c>
      <c r="G32" s="86">
        <f>F32</f>
        <v>0.77799999999999914</v>
      </c>
      <c r="H32" s="79"/>
      <c r="I32" s="86">
        <f>SUM(G32:H32)+'BM 007'!I32</f>
        <v>4.7319999999999993</v>
      </c>
      <c r="J32" s="79">
        <f t="shared" si="4"/>
        <v>15.268000000000001</v>
      </c>
      <c r="K32" s="84">
        <v>51500.32</v>
      </c>
      <c r="L32" s="81">
        <f t="shared" si="2"/>
        <v>65281.811297035201</v>
      </c>
      <c r="M32" s="82">
        <f>TRUNC(F32*L32,2)</f>
        <v>50789.24</v>
      </c>
      <c r="N32" s="82">
        <f>TRUNC(G32*L32,2)</f>
        <v>50789.24</v>
      </c>
      <c r="O32" s="82">
        <f>N32+'BM 007'!O32</f>
        <v>308913.49</v>
      </c>
      <c r="P32" s="82">
        <f>E32*K32</f>
        <v>1030006.4</v>
      </c>
      <c r="Q32" s="82">
        <f>TRUNC(E32*L32,2)</f>
        <v>1305636.22</v>
      </c>
      <c r="R32" s="82">
        <f>Q32-O32</f>
        <v>996722.73</v>
      </c>
      <c r="T32" s="83"/>
    </row>
    <row r="33" spans="1:21" s="34" customFormat="1" ht="194.4">
      <c r="B33" s="75" t="s">
        <v>71</v>
      </c>
      <c r="C33" s="85" t="s">
        <v>72</v>
      </c>
      <c r="D33" s="77" t="s">
        <v>39</v>
      </c>
      <c r="E33" s="78">
        <v>1</v>
      </c>
      <c r="F33" s="86">
        <f>'M.C. MED. 08'!K39</f>
        <v>3.8900000000000018E-2</v>
      </c>
      <c r="G33" s="86">
        <f>F33</f>
        <v>3.8900000000000018E-2</v>
      </c>
      <c r="H33" s="79"/>
      <c r="I33" s="86">
        <f>SUM(G33:H33)+'BM 007'!I33</f>
        <v>0.23660000000000003</v>
      </c>
      <c r="J33" s="79">
        <f t="shared" si="4"/>
        <v>0.76339999999999997</v>
      </c>
      <c r="K33" s="84">
        <v>794859.5</v>
      </c>
      <c r="L33" s="81">
        <f t="shared" si="2"/>
        <v>1007563.9896345451</v>
      </c>
      <c r="M33" s="82">
        <f>TRUNC(F33*L33,2)</f>
        <v>39194.230000000003</v>
      </c>
      <c r="N33" s="82">
        <f>TRUNC(G33*L33,2)</f>
        <v>39194.230000000003</v>
      </c>
      <c r="O33" s="82">
        <f>N33+'BM 007'!O33</f>
        <v>238389.61000000002</v>
      </c>
      <c r="P33" s="82">
        <f>E33*K33</f>
        <v>794859.5</v>
      </c>
      <c r="Q33" s="82">
        <f>TRUNC(E33*L33,2)</f>
        <v>1007563.98</v>
      </c>
      <c r="R33" s="82">
        <f>Q33-O33</f>
        <v>769174.37</v>
      </c>
      <c r="T33" s="83"/>
    </row>
    <row r="34" spans="1:21" s="34" customFormat="1" ht="23.4">
      <c r="B34" s="75" t="s">
        <v>73</v>
      </c>
      <c r="C34" s="76" t="s">
        <v>74</v>
      </c>
      <c r="D34" s="77" t="s">
        <v>68</v>
      </c>
      <c r="E34" s="78">
        <v>20</v>
      </c>
      <c r="F34" s="79"/>
      <c r="G34" s="79"/>
      <c r="H34" s="79"/>
      <c r="I34" s="79">
        <f>SUM(G34:H34)+'BM 007'!I34</f>
        <v>0</v>
      </c>
      <c r="J34" s="79">
        <f t="shared" si="4"/>
        <v>20</v>
      </c>
      <c r="K34" s="84">
        <v>1200</v>
      </c>
      <c r="L34" s="81">
        <f t="shared" si="2"/>
        <v>1521.120132</v>
      </c>
      <c r="M34" s="82">
        <f>TRUNC(F34*L34,2)</f>
        <v>0</v>
      </c>
      <c r="N34" s="82">
        <f>TRUNC(G34*L34,2)</f>
        <v>0</v>
      </c>
      <c r="O34" s="82">
        <f>N34+'BM 007'!O34</f>
        <v>0</v>
      </c>
      <c r="P34" s="82">
        <f>E34*K34</f>
        <v>24000</v>
      </c>
      <c r="Q34" s="82">
        <f>TRUNC(E34*L34,2)</f>
        <v>30422.400000000001</v>
      </c>
      <c r="R34" s="82">
        <f>Q34-O34</f>
        <v>30422.400000000001</v>
      </c>
    </row>
    <row r="35" spans="1:21" s="34" customFormat="1" ht="13.2">
      <c r="B35" s="66" t="s">
        <v>75</v>
      </c>
      <c r="C35" s="67" t="s">
        <v>76</v>
      </c>
      <c r="D35" s="68"/>
      <c r="E35" s="69"/>
      <c r="F35" s="70"/>
      <c r="G35" s="70"/>
      <c r="H35" s="70"/>
      <c r="I35" s="70">
        <f>SUM(G35:H35)+'BM 007'!I35</f>
        <v>0</v>
      </c>
      <c r="J35" s="70">
        <f t="shared" si="4"/>
        <v>0</v>
      </c>
      <c r="K35" s="71"/>
      <c r="L35" s="71">
        <f t="shared" si="2"/>
        <v>0</v>
      </c>
      <c r="M35" s="73">
        <f t="shared" ref="M35:R35" si="5">SUM(M36:M42)</f>
        <v>0</v>
      </c>
      <c r="N35" s="73">
        <f t="shared" si="5"/>
        <v>0</v>
      </c>
      <c r="O35" s="73">
        <f t="shared" si="5"/>
        <v>352925.19</v>
      </c>
      <c r="P35" s="73">
        <f t="shared" si="5"/>
        <v>278420</v>
      </c>
      <c r="Q35" s="73">
        <f t="shared" si="5"/>
        <v>352925.19</v>
      </c>
      <c r="R35" s="73">
        <f t="shared" si="5"/>
        <v>0</v>
      </c>
    </row>
    <row r="36" spans="1:21" s="34" customFormat="1" ht="13.2">
      <c r="B36" s="87" t="s">
        <v>77</v>
      </c>
      <c r="C36" s="88" t="s">
        <v>78</v>
      </c>
      <c r="D36" s="89" t="s">
        <v>79</v>
      </c>
      <c r="E36" s="90">
        <v>128</v>
      </c>
      <c r="F36" s="91"/>
      <c r="G36" s="91"/>
      <c r="H36" s="91"/>
      <c r="I36" s="79">
        <f>SUM(G36:H36)+'BM 007'!I36</f>
        <v>128</v>
      </c>
      <c r="J36" s="91">
        <f t="shared" si="4"/>
        <v>0</v>
      </c>
      <c r="K36" s="80">
        <v>125</v>
      </c>
      <c r="L36" s="81">
        <f t="shared" si="2"/>
        <v>158.45001375000001</v>
      </c>
      <c r="M36" s="82">
        <f t="shared" ref="M36:M42" si="6">TRUNC(F36*L36,2)</f>
        <v>0</v>
      </c>
      <c r="N36" s="82">
        <f t="shared" ref="N36:N42" si="7">TRUNC(G36*L36,2)</f>
        <v>0</v>
      </c>
      <c r="O36" s="82">
        <f>N36+'BM 007'!O36</f>
        <v>20281.599999999999</v>
      </c>
      <c r="P36" s="82">
        <f t="shared" ref="P36:P42" si="8">E36*K36</f>
        <v>16000</v>
      </c>
      <c r="Q36" s="82">
        <f t="shared" ref="Q36:Q42" si="9">TRUNC(E36*L36,2)</f>
        <v>20281.599999999999</v>
      </c>
      <c r="R36" s="82">
        <f t="shared" ref="R36:R42" si="10">Q36-O36</f>
        <v>0</v>
      </c>
    </row>
    <row r="37" spans="1:21" s="34" customFormat="1" ht="46.2">
      <c r="B37" s="87" t="s">
        <v>80</v>
      </c>
      <c r="C37" s="76" t="s">
        <v>81</v>
      </c>
      <c r="D37" s="77" t="s">
        <v>82</v>
      </c>
      <c r="E37" s="78">
        <v>156</v>
      </c>
      <c r="F37" s="91"/>
      <c r="G37" s="91"/>
      <c r="H37" s="91"/>
      <c r="I37" s="79">
        <f>SUM(G37:H37)+'BM 007'!I37</f>
        <v>156.0001</v>
      </c>
      <c r="J37" s="91">
        <f t="shared" si="4"/>
        <v>-1.0000000000331966E-4</v>
      </c>
      <c r="K37" s="80">
        <v>70</v>
      </c>
      <c r="L37" s="81">
        <f t="shared" si="2"/>
        <v>88.732007699999997</v>
      </c>
      <c r="M37" s="82">
        <f t="shared" si="6"/>
        <v>0</v>
      </c>
      <c r="N37" s="82">
        <f t="shared" si="7"/>
        <v>0</v>
      </c>
      <c r="O37" s="82">
        <f>N37+'BM 007'!O37</f>
        <v>13842.19</v>
      </c>
      <c r="P37" s="82">
        <f t="shared" si="8"/>
        <v>10920</v>
      </c>
      <c r="Q37" s="82">
        <f t="shared" si="9"/>
        <v>13842.19</v>
      </c>
      <c r="R37" s="82">
        <f t="shared" si="10"/>
        <v>0</v>
      </c>
    </row>
    <row r="38" spans="1:21" s="34" customFormat="1" ht="34.799999999999997">
      <c r="B38" s="87" t="s">
        <v>83</v>
      </c>
      <c r="C38" s="88" t="s">
        <v>84</v>
      </c>
      <c r="D38" s="89" t="s">
        <v>79</v>
      </c>
      <c r="E38" s="92">
        <v>40</v>
      </c>
      <c r="F38" s="91"/>
      <c r="G38" s="91"/>
      <c r="H38" s="91"/>
      <c r="I38" s="79">
        <f>SUM(G38:H38)+'BM 007'!I38</f>
        <v>40</v>
      </c>
      <c r="J38" s="91">
        <f t="shared" si="4"/>
        <v>0</v>
      </c>
      <c r="K38" s="80">
        <v>1150</v>
      </c>
      <c r="L38" s="81">
        <f t="shared" si="2"/>
        <v>1457.7401265000001</v>
      </c>
      <c r="M38" s="82">
        <f t="shared" si="6"/>
        <v>0</v>
      </c>
      <c r="N38" s="82">
        <f t="shared" si="7"/>
        <v>0</v>
      </c>
      <c r="O38" s="82">
        <f>N38+'BM 007'!O38</f>
        <v>58309.599999999999</v>
      </c>
      <c r="P38" s="82">
        <f t="shared" si="8"/>
        <v>46000</v>
      </c>
      <c r="Q38" s="82">
        <f t="shared" si="9"/>
        <v>58309.599999999999</v>
      </c>
      <c r="R38" s="82">
        <f t="shared" si="10"/>
        <v>0</v>
      </c>
    </row>
    <row r="39" spans="1:21" s="34" customFormat="1" ht="23.4">
      <c r="B39" s="87" t="s">
        <v>85</v>
      </c>
      <c r="C39" s="88" t="s">
        <v>86</v>
      </c>
      <c r="D39" s="89" t="s">
        <v>79</v>
      </c>
      <c r="E39" s="92">
        <v>68</v>
      </c>
      <c r="F39" s="91"/>
      <c r="G39" s="91"/>
      <c r="H39" s="91"/>
      <c r="I39" s="79">
        <f>SUM(G39:H39)+'BM 007'!I39</f>
        <v>68</v>
      </c>
      <c r="J39" s="91">
        <f t="shared" si="4"/>
        <v>0</v>
      </c>
      <c r="K39" s="80">
        <v>1000</v>
      </c>
      <c r="L39" s="81">
        <f t="shared" si="2"/>
        <v>1267.6001100000001</v>
      </c>
      <c r="M39" s="82">
        <f t="shared" si="6"/>
        <v>0</v>
      </c>
      <c r="N39" s="82">
        <f t="shared" si="7"/>
        <v>0</v>
      </c>
      <c r="O39" s="82">
        <f>N39+'BM 007'!O39</f>
        <v>86196.800000000003</v>
      </c>
      <c r="P39" s="82">
        <f t="shared" si="8"/>
        <v>68000</v>
      </c>
      <c r="Q39" s="82">
        <f t="shared" si="9"/>
        <v>86196.800000000003</v>
      </c>
      <c r="R39" s="82">
        <f t="shared" si="10"/>
        <v>0</v>
      </c>
    </row>
    <row r="40" spans="1:21" s="34" customFormat="1" ht="34.799999999999997">
      <c r="B40" s="87" t="s">
        <v>87</v>
      </c>
      <c r="C40" s="88" t="s">
        <v>88</v>
      </c>
      <c r="D40" s="89" t="s">
        <v>79</v>
      </c>
      <c r="E40" s="92">
        <v>60</v>
      </c>
      <c r="F40" s="91"/>
      <c r="G40" s="91"/>
      <c r="H40" s="91"/>
      <c r="I40" s="79">
        <f>SUM(G40:H40)+'BM 007'!I40</f>
        <v>60</v>
      </c>
      <c r="J40" s="91">
        <f t="shared" si="4"/>
        <v>0</v>
      </c>
      <c r="K40" s="80">
        <v>600</v>
      </c>
      <c r="L40" s="81">
        <f t="shared" si="2"/>
        <v>760.56006600000001</v>
      </c>
      <c r="M40" s="82">
        <f t="shared" si="6"/>
        <v>0</v>
      </c>
      <c r="N40" s="82">
        <f t="shared" si="7"/>
        <v>0</v>
      </c>
      <c r="O40" s="82">
        <f>N40+'BM 007'!O40</f>
        <v>45633.599999999999</v>
      </c>
      <c r="P40" s="82">
        <f t="shared" si="8"/>
        <v>36000</v>
      </c>
      <c r="Q40" s="82">
        <f t="shared" si="9"/>
        <v>45633.599999999999</v>
      </c>
      <c r="R40" s="82">
        <f t="shared" si="10"/>
        <v>0</v>
      </c>
      <c r="T40" s="83"/>
      <c r="U40" s="83"/>
    </row>
    <row r="41" spans="1:21" s="34" customFormat="1" ht="34.799999999999997">
      <c r="B41" s="87" t="s">
        <v>89</v>
      </c>
      <c r="C41" s="76" t="s">
        <v>90</v>
      </c>
      <c r="D41" s="77" t="s">
        <v>79</v>
      </c>
      <c r="E41" s="78">
        <v>60</v>
      </c>
      <c r="F41" s="79"/>
      <c r="G41" s="91"/>
      <c r="H41" s="79"/>
      <c r="I41" s="79">
        <f>SUM(G41:H41)+'BM 007'!I41</f>
        <v>60</v>
      </c>
      <c r="J41" s="79">
        <f t="shared" si="4"/>
        <v>0</v>
      </c>
      <c r="K41" s="80">
        <v>1150</v>
      </c>
      <c r="L41" s="81">
        <f t="shared" si="2"/>
        <v>1457.7401265000001</v>
      </c>
      <c r="M41" s="82">
        <f t="shared" si="6"/>
        <v>0</v>
      </c>
      <c r="N41" s="82">
        <f t="shared" si="7"/>
        <v>0</v>
      </c>
      <c r="O41" s="82">
        <f>N41+'BM 007'!O41</f>
        <v>87464.4</v>
      </c>
      <c r="P41" s="82">
        <f t="shared" si="8"/>
        <v>69000</v>
      </c>
      <c r="Q41" s="82">
        <f t="shared" si="9"/>
        <v>87464.4</v>
      </c>
      <c r="R41" s="82">
        <f t="shared" si="10"/>
        <v>0</v>
      </c>
    </row>
    <row r="42" spans="1:21" s="34" customFormat="1" ht="34.200000000000003">
      <c r="B42" s="87" t="s">
        <v>91</v>
      </c>
      <c r="C42" s="184" t="s">
        <v>1195</v>
      </c>
      <c r="D42" s="77" t="s">
        <v>79</v>
      </c>
      <c r="E42" s="78">
        <v>50</v>
      </c>
      <c r="F42" s="79"/>
      <c r="G42" s="91"/>
      <c r="H42" s="79"/>
      <c r="I42" s="79">
        <f>SUM(G42:H42)+'BM 007'!I42</f>
        <v>50</v>
      </c>
      <c r="J42" s="79">
        <f t="shared" si="4"/>
        <v>0</v>
      </c>
      <c r="K42" s="80">
        <v>650</v>
      </c>
      <c r="L42" s="81">
        <f t="shared" si="2"/>
        <v>823.94007150000004</v>
      </c>
      <c r="M42" s="82">
        <f t="shared" si="6"/>
        <v>0</v>
      </c>
      <c r="N42" s="82">
        <f t="shared" si="7"/>
        <v>0</v>
      </c>
      <c r="O42" s="82">
        <f>N42+'BM 007'!O42</f>
        <v>41197</v>
      </c>
      <c r="P42" s="82">
        <f t="shared" si="8"/>
        <v>32500</v>
      </c>
      <c r="Q42" s="82">
        <f t="shared" si="9"/>
        <v>41197</v>
      </c>
      <c r="R42" s="82">
        <f t="shared" si="10"/>
        <v>0</v>
      </c>
    </row>
    <row r="43" spans="1:21" s="34" customFormat="1" ht="13.2">
      <c r="B43" s="66" t="s">
        <v>93</v>
      </c>
      <c r="C43" s="67" t="s">
        <v>94</v>
      </c>
      <c r="D43" s="68"/>
      <c r="E43" s="69"/>
      <c r="F43" s="70"/>
      <c r="G43" s="70"/>
      <c r="H43" s="70"/>
      <c r="I43" s="70">
        <f>SUM(G43:H43)+'BM 007'!I43</f>
        <v>0</v>
      </c>
      <c r="J43" s="70">
        <f t="shared" si="4"/>
        <v>0</v>
      </c>
      <c r="K43" s="71"/>
      <c r="L43" s="71">
        <f t="shared" si="2"/>
        <v>0</v>
      </c>
      <c r="M43" s="73">
        <f t="shared" ref="M43:R43" si="11">SUM(M44:M51)</f>
        <v>0</v>
      </c>
      <c r="N43" s="73">
        <f t="shared" si="11"/>
        <v>0</v>
      </c>
      <c r="O43" s="73">
        <f t="shared" si="11"/>
        <v>146948.72</v>
      </c>
      <c r="P43" s="73">
        <f t="shared" si="11"/>
        <v>220037.1</v>
      </c>
      <c r="Q43" s="73">
        <f t="shared" si="11"/>
        <v>278919.01</v>
      </c>
      <c r="R43" s="73">
        <f t="shared" si="11"/>
        <v>131970.28999999998</v>
      </c>
    </row>
    <row r="44" spans="1:21" s="34" customFormat="1" ht="34.799999999999997">
      <c r="A44" s="83"/>
      <c r="B44" s="87" t="s">
        <v>95</v>
      </c>
      <c r="C44" s="76" t="s">
        <v>96</v>
      </c>
      <c r="D44" s="77" t="s">
        <v>79</v>
      </c>
      <c r="E44" s="93">
        <v>2573.3000000000002</v>
      </c>
      <c r="F44" s="79"/>
      <c r="G44" s="79"/>
      <c r="H44" s="79"/>
      <c r="I44" s="79">
        <f>SUM(G44:H44)+'BM 007'!I44</f>
        <v>2573.3000000000002</v>
      </c>
      <c r="J44" s="79">
        <f t="shared" si="4"/>
        <v>0</v>
      </c>
      <c r="K44" s="80">
        <v>2</v>
      </c>
      <c r="L44" s="81">
        <f t="shared" si="2"/>
        <v>2.5352002200000001</v>
      </c>
      <c r="M44" s="82">
        <f t="shared" ref="M44:M51" si="12">TRUNC(F44*L44,2)</f>
        <v>0</v>
      </c>
      <c r="N44" s="82">
        <f t="shared" ref="N44:N51" si="13">TRUNC(G44*L44,2)</f>
        <v>0</v>
      </c>
      <c r="O44" s="82">
        <f>N44+'BM 007'!O44</f>
        <v>6523.83</v>
      </c>
      <c r="P44" s="82">
        <f t="shared" ref="P44:P51" si="14">E44*K44</f>
        <v>5146.6000000000004</v>
      </c>
      <c r="Q44" s="82">
        <f t="shared" ref="Q44:Q51" si="15">TRUNC(E44*L44,2)</f>
        <v>6523.83</v>
      </c>
      <c r="R44" s="82">
        <f t="shared" ref="R44:R51" si="16">Q44-O44</f>
        <v>0</v>
      </c>
    </row>
    <row r="45" spans="1:21" s="34" customFormat="1" ht="23.4">
      <c r="B45" s="87" t="s">
        <v>97</v>
      </c>
      <c r="C45" s="88" t="s">
        <v>98</v>
      </c>
      <c r="D45" s="89" t="s">
        <v>99</v>
      </c>
      <c r="E45" s="90">
        <v>5.9</v>
      </c>
      <c r="F45" s="91"/>
      <c r="G45" s="91"/>
      <c r="H45" s="91"/>
      <c r="I45" s="79">
        <f>SUM(G45:H45)+'BM 007'!I45</f>
        <v>5.9</v>
      </c>
      <c r="J45" s="91">
        <f t="shared" si="4"/>
        <v>0</v>
      </c>
      <c r="K45" s="80">
        <v>55</v>
      </c>
      <c r="L45" s="81">
        <f t="shared" si="2"/>
        <v>69.71800605</v>
      </c>
      <c r="M45" s="82">
        <f t="shared" si="12"/>
        <v>0</v>
      </c>
      <c r="N45" s="82">
        <f t="shared" si="13"/>
        <v>0</v>
      </c>
      <c r="O45" s="82">
        <f>N45+'BM 007'!O45</f>
        <v>411.33</v>
      </c>
      <c r="P45" s="82">
        <f t="shared" si="14"/>
        <v>324.5</v>
      </c>
      <c r="Q45" s="82">
        <f t="shared" si="15"/>
        <v>411.33</v>
      </c>
      <c r="R45" s="82">
        <f t="shared" si="16"/>
        <v>0</v>
      </c>
    </row>
    <row r="46" spans="1:21" s="34" customFormat="1" ht="13.2">
      <c r="B46" s="87" t="s">
        <v>100</v>
      </c>
      <c r="C46" s="88" t="s">
        <v>101</v>
      </c>
      <c r="D46" s="89" t="s">
        <v>79</v>
      </c>
      <c r="E46" s="90">
        <v>88</v>
      </c>
      <c r="F46" s="91"/>
      <c r="G46" s="91"/>
      <c r="H46" s="91"/>
      <c r="I46" s="79">
        <f>SUM(G46:H46)+'BM 007'!I46</f>
        <v>88</v>
      </c>
      <c r="J46" s="91">
        <f t="shared" si="4"/>
        <v>0</v>
      </c>
      <c r="K46" s="80">
        <v>10</v>
      </c>
      <c r="L46" s="81">
        <f t="shared" si="2"/>
        <v>12.676001100000001</v>
      </c>
      <c r="M46" s="82">
        <f t="shared" si="12"/>
        <v>0</v>
      </c>
      <c r="N46" s="82">
        <f t="shared" si="13"/>
        <v>0</v>
      </c>
      <c r="O46" s="82">
        <f>N46+'BM 007'!O46</f>
        <v>1115.48</v>
      </c>
      <c r="P46" s="82">
        <f t="shared" si="14"/>
        <v>880</v>
      </c>
      <c r="Q46" s="82">
        <f t="shared" si="15"/>
        <v>1115.48</v>
      </c>
      <c r="R46" s="82">
        <f t="shared" si="16"/>
        <v>0</v>
      </c>
    </row>
    <row r="47" spans="1:21" s="34" customFormat="1" ht="34.799999999999997">
      <c r="B47" s="87" t="s">
        <v>102</v>
      </c>
      <c r="C47" s="88" t="s">
        <v>103</v>
      </c>
      <c r="D47" s="89" t="s">
        <v>99</v>
      </c>
      <c r="E47" s="90">
        <v>6.8</v>
      </c>
      <c r="F47" s="91"/>
      <c r="G47" s="91"/>
      <c r="H47" s="91"/>
      <c r="I47" s="79">
        <f>SUM(G47:H47)+'BM 007'!I47</f>
        <v>6.8</v>
      </c>
      <c r="J47" s="91">
        <f t="shared" si="4"/>
        <v>0</v>
      </c>
      <c r="K47" s="80">
        <v>220</v>
      </c>
      <c r="L47" s="81">
        <f t="shared" si="2"/>
        <v>278.8720242</v>
      </c>
      <c r="M47" s="82">
        <f t="shared" si="12"/>
        <v>0</v>
      </c>
      <c r="N47" s="82">
        <f t="shared" si="13"/>
        <v>0</v>
      </c>
      <c r="O47" s="82">
        <f>N47+'BM 007'!O47</f>
        <v>1896.32</v>
      </c>
      <c r="P47" s="82">
        <f t="shared" si="14"/>
        <v>1496</v>
      </c>
      <c r="Q47" s="82">
        <f t="shared" si="15"/>
        <v>1896.32</v>
      </c>
      <c r="R47" s="82">
        <f t="shared" si="16"/>
        <v>0</v>
      </c>
    </row>
    <row r="48" spans="1:21" s="34" customFormat="1" ht="23.4">
      <c r="B48" s="87" t="s">
        <v>104</v>
      </c>
      <c r="C48" s="88" t="s">
        <v>105</v>
      </c>
      <c r="D48" s="89" t="s">
        <v>79</v>
      </c>
      <c r="E48" s="90">
        <v>88</v>
      </c>
      <c r="F48" s="91"/>
      <c r="G48" s="91"/>
      <c r="H48" s="91"/>
      <c r="I48" s="79">
        <f>SUM(G48:H48)+'BM 007'!I48</f>
        <v>88</v>
      </c>
      <c r="J48" s="91">
        <f t="shared" si="4"/>
        <v>0</v>
      </c>
      <c r="K48" s="80">
        <v>15</v>
      </c>
      <c r="L48" s="81">
        <f t="shared" si="2"/>
        <v>19.014001650000001</v>
      </c>
      <c r="M48" s="82">
        <f t="shared" si="12"/>
        <v>0</v>
      </c>
      <c r="N48" s="82">
        <f t="shared" si="13"/>
        <v>0</v>
      </c>
      <c r="O48" s="82">
        <f>N48+'BM 007'!O48</f>
        <v>1673.23</v>
      </c>
      <c r="P48" s="80">
        <f t="shared" si="14"/>
        <v>1320</v>
      </c>
      <c r="Q48" s="82">
        <f t="shared" si="15"/>
        <v>1673.23</v>
      </c>
      <c r="R48" s="82">
        <f t="shared" si="16"/>
        <v>0</v>
      </c>
    </row>
    <row r="49" spans="2:20" s="34" customFormat="1" ht="23.4">
      <c r="B49" s="87" t="s">
        <v>106</v>
      </c>
      <c r="C49" s="76" t="s">
        <v>107</v>
      </c>
      <c r="D49" s="89" t="s">
        <v>99</v>
      </c>
      <c r="E49" s="90">
        <v>4350</v>
      </c>
      <c r="F49" s="91"/>
      <c r="G49" s="91"/>
      <c r="H49" s="91"/>
      <c r="I49" s="79">
        <f>SUM(G49:H49)+'BM 007'!I49</f>
        <v>1616.87</v>
      </c>
      <c r="J49" s="91">
        <f t="shared" si="4"/>
        <v>2733.13</v>
      </c>
      <c r="K49" s="80">
        <v>10</v>
      </c>
      <c r="L49" s="81">
        <f t="shared" si="2"/>
        <v>12.676001100000001</v>
      </c>
      <c r="M49" s="82">
        <f t="shared" si="12"/>
        <v>0</v>
      </c>
      <c r="N49" s="82">
        <f t="shared" si="13"/>
        <v>0</v>
      </c>
      <c r="O49" s="82">
        <f>N49+'BM 007'!O49</f>
        <v>20495.439999999999</v>
      </c>
      <c r="P49" s="80">
        <f t="shared" si="14"/>
        <v>43500</v>
      </c>
      <c r="Q49" s="82">
        <f t="shared" si="15"/>
        <v>55140.6</v>
      </c>
      <c r="R49" s="82">
        <f t="shared" si="16"/>
        <v>34645.160000000003</v>
      </c>
      <c r="T49" s="185">
        <v>20000</v>
      </c>
    </row>
    <row r="50" spans="2:20" s="34" customFormat="1" ht="57.6">
      <c r="B50" s="87" t="s">
        <v>108</v>
      </c>
      <c r="C50" s="76" t="s">
        <v>109</v>
      </c>
      <c r="D50" s="89" t="s">
        <v>110</v>
      </c>
      <c r="E50" s="90">
        <v>3985</v>
      </c>
      <c r="F50" s="91"/>
      <c r="G50" s="91"/>
      <c r="H50" s="91"/>
      <c r="I50" s="79">
        <f>SUM(G50:H50)+'BM 007'!I50</f>
        <v>2827.87</v>
      </c>
      <c r="J50" s="91">
        <f t="shared" si="4"/>
        <v>1157.1300000000001</v>
      </c>
      <c r="K50" s="80">
        <v>12</v>
      </c>
      <c r="L50" s="81">
        <f t="shared" si="2"/>
        <v>15.211201320000001</v>
      </c>
      <c r="M50" s="82">
        <f t="shared" si="12"/>
        <v>0</v>
      </c>
      <c r="N50" s="82">
        <f t="shared" si="13"/>
        <v>0</v>
      </c>
      <c r="O50" s="82">
        <f>N50+'BM 007'!O50</f>
        <v>43015.29</v>
      </c>
      <c r="P50" s="80">
        <f t="shared" si="14"/>
        <v>47820</v>
      </c>
      <c r="Q50" s="82">
        <f t="shared" si="15"/>
        <v>60616.63</v>
      </c>
      <c r="R50" s="82">
        <f t="shared" si="16"/>
        <v>17601.339999999997</v>
      </c>
      <c r="T50" s="83"/>
    </row>
    <row r="51" spans="2:20" s="34" customFormat="1" ht="34.799999999999997">
      <c r="B51" s="87" t="s">
        <v>111</v>
      </c>
      <c r="C51" s="76" t="s">
        <v>112</v>
      </c>
      <c r="D51" s="89" t="s">
        <v>113</v>
      </c>
      <c r="E51" s="90">
        <f>E50*30</f>
        <v>119550</v>
      </c>
      <c r="F51" s="91"/>
      <c r="G51" s="91"/>
      <c r="H51" s="91"/>
      <c r="I51" s="79">
        <f>SUM(G51:H51)+'BM 007'!I51</f>
        <v>56656.525000000001</v>
      </c>
      <c r="J51" s="91">
        <f t="shared" si="4"/>
        <v>62893.474999999999</v>
      </c>
      <c r="K51" s="80">
        <v>1</v>
      </c>
      <c r="L51" s="81">
        <f t="shared" si="2"/>
        <v>1.2676001100000001</v>
      </c>
      <c r="M51" s="82">
        <f t="shared" si="12"/>
        <v>0</v>
      </c>
      <c r="N51" s="82">
        <f t="shared" si="13"/>
        <v>0</v>
      </c>
      <c r="O51" s="82">
        <f>N51+'BM 007'!O51</f>
        <v>71817.8</v>
      </c>
      <c r="P51" s="80">
        <f t="shared" si="14"/>
        <v>119550</v>
      </c>
      <c r="Q51" s="82">
        <f t="shared" si="15"/>
        <v>151541.59</v>
      </c>
      <c r="R51" s="82">
        <f t="shared" si="16"/>
        <v>79723.789999999994</v>
      </c>
    </row>
    <row r="52" spans="2:20" s="34" customFormat="1" ht="13.2">
      <c r="B52" s="60" t="s">
        <v>114</v>
      </c>
      <c r="C52" s="61" t="s">
        <v>115</v>
      </c>
      <c r="D52" s="60"/>
      <c r="E52" s="62"/>
      <c r="F52" s="63"/>
      <c r="G52" s="63"/>
      <c r="H52" s="63"/>
      <c r="I52" s="63">
        <f>SUM(G52:H52)+'BM 007'!I52</f>
        <v>0</v>
      </c>
      <c r="J52" s="63">
        <f t="shared" si="4"/>
        <v>0</v>
      </c>
      <c r="K52" s="63"/>
      <c r="L52" s="63">
        <f t="shared" si="2"/>
        <v>0</v>
      </c>
      <c r="M52" s="63">
        <f t="shared" ref="M52:R52" si="17">M53</f>
        <v>0</v>
      </c>
      <c r="N52" s="63">
        <f t="shared" si="17"/>
        <v>0</v>
      </c>
      <c r="O52" s="63">
        <f t="shared" si="17"/>
        <v>1043334.3999999999</v>
      </c>
      <c r="P52" s="63">
        <f t="shared" si="17"/>
        <v>823958.14</v>
      </c>
      <c r="Q52" s="63">
        <f t="shared" si="17"/>
        <v>1044449.3999999999</v>
      </c>
      <c r="R52" s="63">
        <f t="shared" si="17"/>
        <v>1115</v>
      </c>
    </row>
    <row r="53" spans="2:20" s="34" customFormat="1" ht="13.2">
      <c r="B53" s="66" t="s">
        <v>116</v>
      </c>
      <c r="C53" s="67" t="s">
        <v>117</v>
      </c>
      <c r="D53" s="68"/>
      <c r="E53" s="69"/>
      <c r="F53" s="70"/>
      <c r="G53" s="70"/>
      <c r="H53" s="70"/>
      <c r="I53" s="70">
        <f>SUM(G53:H53)+'BM 007'!I53</f>
        <v>0</v>
      </c>
      <c r="J53" s="70">
        <f t="shared" si="4"/>
        <v>0</v>
      </c>
      <c r="K53" s="71"/>
      <c r="L53" s="71">
        <f t="shared" si="2"/>
        <v>0</v>
      </c>
      <c r="M53" s="73">
        <f t="shared" ref="M53:R53" si="18">SUM(M54:M61)</f>
        <v>0</v>
      </c>
      <c r="N53" s="73">
        <f t="shared" si="18"/>
        <v>0</v>
      </c>
      <c r="O53" s="73">
        <f t="shared" si="18"/>
        <v>1043334.3999999999</v>
      </c>
      <c r="P53" s="73">
        <f t="shared" si="18"/>
        <v>823958.14</v>
      </c>
      <c r="Q53" s="73">
        <f t="shared" si="18"/>
        <v>1044449.3999999999</v>
      </c>
      <c r="R53" s="73">
        <f t="shared" si="18"/>
        <v>1115</v>
      </c>
    </row>
    <row r="54" spans="2:20" s="34" customFormat="1" ht="34.799999999999997">
      <c r="B54" s="87" t="s">
        <v>118</v>
      </c>
      <c r="C54" s="88" t="s">
        <v>119</v>
      </c>
      <c r="D54" s="89" t="s">
        <v>82</v>
      </c>
      <c r="E54" s="92">
        <v>196.9</v>
      </c>
      <c r="F54" s="91"/>
      <c r="G54" s="91"/>
      <c r="H54" s="91"/>
      <c r="I54" s="79">
        <f>SUM(G54:H54)+'BM 007'!I54</f>
        <v>196.9</v>
      </c>
      <c r="J54" s="91">
        <f t="shared" si="4"/>
        <v>0</v>
      </c>
      <c r="K54" s="80">
        <v>75</v>
      </c>
      <c r="L54" s="81">
        <f t="shared" si="2"/>
        <v>95.070008250000001</v>
      </c>
      <c r="M54" s="82">
        <f t="shared" ref="M54:M61" si="19">TRUNC(F54*L54,2)</f>
        <v>0</v>
      </c>
      <c r="N54" s="82">
        <f t="shared" ref="N54:N61" si="20">TRUNC(G54*L54,2)</f>
        <v>0</v>
      </c>
      <c r="O54" s="82">
        <f>N54+'BM 007'!O54</f>
        <v>18719.28</v>
      </c>
      <c r="P54" s="80">
        <f t="shared" ref="P54:P61" si="21">E54*K54</f>
        <v>14767.5</v>
      </c>
      <c r="Q54" s="82">
        <f t="shared" ref="Q54:Q61" si="22">TRUNC(E54*L54,2)</f>
        <v>18719.28</v>
      </c>
      <c r="R54" s="82">
        <f t="shared" ref="R54:R61" si="23">Q54-O54</f>
        <v>0</v>
      </c>
    </row>
    <row r="55" spans="2:20" s="34" customFormat="1" ht="34.799999999999997">
      <c r="B55" s="87" t="s">
        <v>120</v>
      </c>
      <c r="C55" s="88" t="s">
        <v>121</v>
      </c>
      <c r="D55" s="89" t="s">
        <v>63</v>
      </c>
      <c r="E55" s="92">
        <v>1</v>
      </c>
      <c r="F55" s="91"/>
      <c r="G55" s="91"/>
      <c r="H55" s="91"/>
      <c r="I55" s="79">
        <f>SUM(G55:H55)+'BM 007'!I55</f>
        <v>1</v>
      </c>
      <c r="J55" s="91">
        <f t="shared" si="4"/>
        <v>0</v>
      </c>
      <c r="K55" s="80">
        <v>11000</v>
      </c>
      <c r="L55" s="81">
        <f t="shared" si="2"/>
        <v>13943.601210000001</v>
      </c>
      <c r="M55" s="82">
        <f t="shared" si="19"/>
        <v>0</v>
      </c>
      <c r="N55" s="82">
        <f t="shared" si="20"/>
        <v>0</v>
      </c>
      <c r="O55" s="82">
        <f>N55+'BM 007'!O55</f>
        <v>13943.6</v>
      </c>
      <c r="P55" s="80">
        <f t="shared" si="21"/>
        <v>11000</v>
      </c>
      <c r="Q55" s="82">
        <f t="shared" si="22"/>
        <v>13943.6</v>
      </c>
      <c r="R55" s="82">
        <f t="shared" si="23"/>
        <v>0</v>
      </c>
    </row>
    <row r="56" spans="2:20" s="34" customFormat="1" ht="46.2">
      <c r="B56" s="87" t="s">
        <v>122</v>
      </c>
      <c r="C56" s="88" t="s">
        <v>123</v>
      </c>
      <c r="D56" s="89" t="s">
        <v>124</v>
      </c>
      <c r="E56" s="90">
        <v>1837</v>
      </c>
      <c r="F56" s="91"/>
      <c r="G56" s="91"/>
      <c r="H56" s="91"/>
      <c r="I56" s="79">
        <f>SUM(G56:H56)+'BM 007'!I56</f>
        <v>1837</v>
      </c>
      <c r="J56" s="91">
        <f t="shared" si="4"/>
        <v>0</v>
      </c>
      <c r="K56" s="80">
        <v>405</v>
      </c>
      <c r="L56" s="81">
        <f t="shared" si="2"/>
        <v>513.37804455000003</v>
      </c>
      <c r="M56" s="82">
        <f t="shared" si="19"/>
        <v>0</v>
      </c>
      <c r="N56" s="82">
        <f t="shared" si="20"/>
        <v>0</v>
      </c>
      <c r="O56" s="82">
        <f>N56+'BM 007'!O56</f>
        <v>943075.46</v>
      </c>
      <c r="P56" s="80">
        <f t="shared" si="21"/>
        <v>743985</v>
      </c>
      <c r="Q56" s="82">
        <f t="shared" si="22"/>
        <v>943075.46</v>
      </c>
      <c r="R56" s="82">
        <f t="shared" si="23"/>
        <v>0</v>
      </c>
    </row>
    <row r="57" spans="2:20" s="34" customFormat="1" ht="46.2">
      <c r="B57" s="87" t="s">
        <v>125</v>
      </c>
      <c r="C57" s="88" t="s">
        <v>126</v>
      </c>
      <c r="D57" s="89" t="s">
        <v>110</v>
      </c>
      <c r="E57" s="90">
        <v>293.92</v>
      </c>
      <c r="F57" s="91"/>
      <c r="G57" s="91"/>
      <c r="H57" s="91"/>
      <c r="I57" s="79">
        <f>SUM(G57:H57)+'BM 007'!I57</f>
        <v>293.92</v>
      </c>
      <c r="J57" s="91">
        <f t="shared" si="4"/>
        <v>0</v>
      </c>
      <c r="K57" s="80">
        <v>12</v>
      </c>
      <c r="L57" s="81">
        <f t="shared" si="2"/>
        <v>15.211201320000001</v>
      </c>
      <c r="M57" s="82">
        <f t="shared" si="19"/>
        <v>0</v>
      </c>
      <c r="N57" s="82">
        <f t="shared" si="20"/>
        <v>0</v>
      </c>
      <c r="O57" s="82">
        <f>N57+'BM 007'!O57</f>
        <v>4470.87</v>
      </c>
      <c r="P57" s="80">
        <f t="shared" si="21"/>
        <v>3527.04</v>
      </c>
      <c r="Q57" s="82">
        <f t="shared" si="22"/>
        <v>4470.87</v>
      </c>
      <c r="R57" s="82">
        <f t="shared" si="23"/>
        <v>0</v>
      </c>
    </row>
    <row r="58" spans="2:20" s="34" customFormat="1" ht="34.799999999999997">
      <c r="B58" s="87" t="s">
        <v>127</v>
      </c>
      <c r="C58" s="88" t="s">
        <v>128</v>
      </c>
      <c r="D58" s="89" t="s">
        <v>113</v>
      </c>
      <c r="E58" s="90">
        <f>E57*30</f>
        <v>8817.6</v>
      </c>
      <c r="F58" s="91"/>
      <c r="G58" s="91"/>
      <c r="H58" s="91"/>
      <c r="I58" s="79">
        <f>SUM(G58:H58)+'BM 007'!I58</f>
        <v>7938.0000000000009</v>
      </c>
      <c r="J58" s="91">
        <f t="shared" si="4"/>
        <v>879.59999999999945</v>
      </c>
      <c r="K58" s="80">
        <v>1</v>
      </c>
      <c r="L58" s="81">
        <f t="shared" si="2"/>
        <v>1.2676001100000001</v>
      </c>
      <c r="M58" s="82">
        <f t="shared" si="19"/>
        <v>0</v>
      </c>
      <c r="N58" s="82">
        <f t="shared" si="20"/>
        <v>0</v>
      </c>
      <c r="O58" s="82">
        <f>N58+'BM 007'!O58</f>
        <v>10062.200000000001</v>
      </c>
      <c r="P58" s="80">
        <f t="shared" si="21"/>
        <v>8817.6</v>
      </c>
      <c r="Q58" s="82">
        <f t="shared" si="22"/>
        <v>11177.19</v>
      </c>
      <c r="R58" s="82">
        <f t="shared" si="23"/>
        <v>1114.9899999999998</v>
      </c>
    </row>
    <row r="59" spans="2:20" s="34" customFormat="1" ht="23.4">
      <c r="B59" s="87" t="s">
        <v>129</v>
      </c>
      <c r="C59" s="88" t="s">
        <v>130</v>
      </c>
      <c r="D59" s="89" t="s">
        <v>131</v>
      </c>
      <c r="E59" s="92">
        <v>167</v>
      </c>
      <c r="F59" s="91"/>
      <c r="G59" s="91"/>
      <c r="H59" s="91"/>
      <c r="I59" s="79">
        <f>SUM(G59:H59)+'BM 007'!I59</f>
        <v>167</v>
      </c>
      <c r="J59" s="91">
        <f t="shared" si="4"/>
        <v>0</v>
      </c>
      <c r="K59" s="80">
        <v>23</v>
      </c>
      <c r="L59" s="81">
        <f t="shared" si="2"/>
        <v>29.154802530000001</v>
      </c>
      <c r="M59" s="82">
        <f t="shared" si="19"/>
        <v>0</v>
      </c>
      <c r="N59" s="82">
        <f t="shared" si="20"/>
        <v>0</v>
      </c>
      <c r="O59" s="82">
        <f>N59+'BM 007'!O59</f>
        <v>4868.84</v>
      </c>
      <c r="P59" s="80">
        <f t="shared" si="21"/>
        <v>3841</v>
      </c>
      <c r="Q59" s="82">
        <f t="shared" si="22"/>
        <v>4868.8500000000004</v>
      </c>
      <c r="R59" s="82">
        <f t="shared" si="23"/>
        <v>1.0000000000218279E-2</v>
      </c>
    </row>
    <row r="60" spans="2:20" s="34" customFormat="1" ht="13.2">
      <c r="B60" s="87" t="s">
        <v>132</v>
      </c>
      <c r="C60" s="88" t="s">
        <v>133</v>
      </c>
      <c r="D60" s="89" t="s">
        <v>63</v>
      </c>
      <c r="E60" s="92">
        <v>2</v>
      </c>
      <c r="F60" s="91"/>
      <c r="G60" s="91"/>
      <c r="H60" s="91"/>
      <c r="I60" s="79">
        <f>SUM(G60:H60)+'BM 007'!I60</f>
        <v>2</v>
      </c>
      <c r="J60" s="91">
        <f t="shared" si="4"/>
        <v>0</v>
      </c>
      <c r="K60" s="80">
        <v>14000</v>
      </c>
      <c r="L60" s="81">
        <f t="shared" si="2"/>
        <v>17746.401540000003</v>
      </c>
      <c r="M60" s="82">
        <f t="shared" si="19"/>
        <v>0</v>
      </c>
      <c r="N60" s="82">
        <f t="shared" si="20"/>
        <v>0</v>
      </c>
      <c r="O60" s="82">
        <f>N60+'BM 007'!O60</f>
        <v>35492.800000000003</v>
      </c>
      <c r="P60" s="80">
        <f t="shared" si="21"/>
        <v>28000</v>
      </c>
      <c r="Q60" s="82">
        <f t="shared" si="22"/>
        <v>35492.800000000003</v>
      </c>
      <c r="R60" s="82">
        <f t="shared" si="23"/>
        <v>0</v>
      </c>
    </row>
    <row r="61" spans="2:20" s="34" customFormat="1" ht="13.2">
      <c r="B61" s="87" t="s">
        <v>134</v>
      </c>
      <c r="C61" s="88" t="s">
        <v>135</v>
      </c>
      <c r="D61" s="89" t="s">
        <v>63</v>
      </c>
      <c r="E61" s="92">
        <v>167</v>
      </c>
      <c r="F61" s="91"/>
      <c r="G61" s="91"/>
      <c r="H61" s="91"/>
      <c r="I61" s="79">
        <f>SUM(G61:H61)+'BM 007'!I61</f>
        <v>167</v>
      </c>
      <c r="J61" s="91">
        <f t="shared" si="4"/>
        <v>0</v>
      </c>
      <c r="K61" s="80">
        <v>60</v>
      </c>
      <c r="L61" s="81">
        <f t="shared" si="2"/>
        <v>76.056006600000003</v>
      </c>
      <c r="M61" s="82">
        <f t="shared" si="19"/>
        <v>0</v>
      </c>
      <c r="N61" s="82">
        <f t="shared" si="20"/>
        <v>0</v>
      </c>
      <c r="O61" s="82">
        <f>N61+'BM 007'!O61</f>
        <v>12701.35</v>
      </c>
      <c r="P61" s="80">
        <f t="shared" si="21"/>
        <v>10020</v>
      </c>
      <c r="Q61" s="82">
        <f t="shared" si="22"/>
        <v>12701.35</v>
      </c>
      <c r="R61" s="82">
        <f t="shared" si="23"/>
        <v>0</v>
      </c>
    </row>
    <row r="62" spans="2:20" s="34" customFormat="1" ht="15.75" customHeight="1">
      <c r="B62" s="60" t="s">
        <v>136</v>
      </c>
      <c r="C62" s="61" t="s">
        <v>137</v>
      </c>
      <c r="D62" s="60"/>
      <c r="E62" s="62"/>
      <c r="F62" s="63"/>
      <c r="G62" s="63"/>
      <c r="H62" s="63"/>
      <c r="I62" s="63">
        <f>SUM(G62:H62)+'BM 007'!I62</f>
        <v>0</v>
      </c>
      <c r="J62" s="63">
        <f t="shared" si="4"/>
        <v>0</v>
      </c>
      <c r="K62" s="63"/>
      <c r="L62" s="63">
        <f t="shared" si="2"/>
        <v>0</v>
      </c>
      <c r="M62" s="63">
        <f t="shared" ref="M62:R62" si="24">SUM(M63,M79)</f>
        <v>0</v>
      </c>
      <c r="N62" s="63">
        <f t="shared" si="24"/>
        <v>0</v>
      </c>
      <c r="O62" s="63">
        <f t="shared" si="24"/>
        <v>788372.97</v>
      </c>
      <c r="P62" s="63">
        <f t="shared" si="24"/>
        <v>621941.5</v>
      </c>
      <c r="Q62" s="63">
        <f t="shared" si="24"/>
        <v>788372.97</v>
      </c>
      <c r="R62" s="63">
        <f t="shared" si="24"/>
        <v>0</v>
      </c>
    </row>
    <row r="63" spans="2:20" s="34" customFormat="1" ht="13.2">
      <c r="B63" s="66" t="s">
        <v>138</v>
      </c>
      <c r="C63" s="67" t="s">
        <v>139</v>
      </c>
      <c r="D63" s="68"/>
      <c r="E63" s="69"/>
      <c r="F63" s="70"/>
      <c r="G63" s="70"/>
      <c r="H63" s="70"/>
      <c r="I63" s="70">
        <f>SUM(G63:H63)+'BM 007'!I63</f>
        <v>0</v>
      </c>
      <c r="J63" s="70">
        <f t="shared" si="4"/>
        <v>0</v>
      </c>
      <c r="K63" s="71"/>
      <c r="L63" s="71">
        <f t="shared" si="2"/>
        <v>0</v>
      </c>
      <c r="M63" s="73">
        <f t="shared" ref="M63:R63" si="25">SUM(M64:M78)</f>
        <v>0</v>
      </c>
      <c r="N63" s="73">
        <f t="shared" si="25"/>
        <v>0</v>
      </c>
      <c r="O63" s="73">
        <f t="shared" si="25"/>
        <v>597801.35</v>
      </c>
      <c r="P63" s="73">
        <f t="shared" si="25"/>
        <v>471600.95</v>
      </c>
      <c r="Q63" s="73">
        <f t="shared" si="25"/>
        <v>597801.35</v>
      </c>
      <c r="R63" s="73">
        <f t="shared" si="25"/>
        <v>0</v>
      </c>
    </row>
    <row r="64" spans="2:20" s="34" customFormat="1" ht="23.4">
      <c r="B64" s="87" t="s">
        <v>140</v>
      </c>
      <c r="C64" s="88" t="s">
        <v>141</v>
      </c>
      <c r="D64" s="89" t="s">
        <v>110</v>
      </c>
      <c r="E64" s="90">
        <v>259.39</v>
      </c>
      <c r="F64" s="91"/>
      <c r="G64" s="91"/>
      <c r="H64" s="91"/>
      <c r="I64" s="79">
        <f>SUM(G64:H64)+'BM 007'!I64</f>
        <v>259.39</v>
      </c>
      <c r="J64" s="91">
        <f t="shared" si="4"/>
        <v>0</v>
      </c>
      <c r="K64" s="80">
        <v>80</v>
      </c>
      <c r="L64" s="81">
        <f t="shared" si="2"/>
        <v>101.4080088</v>
      </c>
      <c r="M64" s="82">
        <f t="shared" ref="M64:M78" si="26">TRUNC(F64*L64,2)</f>
        <v>0</v>
      </c>
      <c r="N64" s="82">
        <f t="shared" ref="N64:N78" si="27">TRUNC(G64*L64,2)</f>
        <v>0</v>
      </c>
      <c r="O64" s="82">
        <f>N64+'BM 007'!O64</f>
        <v>26304.22</v>
      </c>
      <c r="P64" s="80">
        <f t="shared" ref="P64:P78" si="28">E64*K64</f>
        <v>20751.199999999997</v>
      </c>
      <c r="Q64" s="82">
        <f t="shared" ref="Q64:Q78" si="29">TRUNC(E64*L64,2)</f>
        <v>26304.22</v>
      </c>
      <c r="R64" s="82">
        <f t="shared" ref="R64:R78" si="30">Q64-O64</f>
        <v>0</v>
      </c>
    </row>
    <row r="65" spans="2:20" s="34" customFormat="1" ht="23.4">
      <c r="B65" s="87" t="s">
        <v>142</v>
      </c>
      <c r="C65" s="88" t="s">
        <v>143</v>
      </c>
      <c r="D65" s="89" t="s">
        <v>79</v>
      </c>
      <c r="E65" s="92">
        <v>72.260000000000005</v>
      </c>
      <c r="F65" s="91"/>
      <c r="G65" s="91"/>
      <c r="H65" s="91"/>
      <c r="I65" s="79">
        <f>SUM(G65:H65)+'BM 007'!I65</f>
        <v>72.260000000000005</v>
      </c>
      <c r="J65" s="91">
        <f t="shared" si="4"/>
        <v>0</v>
      </c>
      <c r="K65" s="80">
        <v>30</v>
      </c>
      <c r="L65" s="81">
        <f t="shared" si="2"/>
        <v>38.028003300000002</v>
      </c>
      <c r="M65" s="82">
        <f t="shared" si="26"/>
        <v>0</v>
      </c>
      <c r="N65" s="82">
        <f t="shared" si="27"/>
        <v>0</v>
      </c>
      <c r="O65" s="82">
        <f>N65+'BM 007'!O65</f>
        <v>2747.9</v>
      </c>
      <c r="P65" s="80">
        <f t="shared" si="28"/>
        <v>2167.8000000000002</v>
      </c>
      <c r="Q65" s="82">
        <f t="shared" si="29"/>
        <v>2747.9</v>
      </c>
      <c r="R65" s="82">
        <f t="shared" si="30"/>
        <v>0</v>
      </c>
    </row>
    <row r="66" spans="2:20" s="34" customFormat="1" ht="23.4">
      <c r="B66" s="87" t="s">
        <v>144</v>
      </c>
      <c r="C66" s="88" t="s">
        <v>145</v>
      </c>
      <c r="D66" s="89" t="s">
        <v>110</v>
      </c>
      <c r="E66" s="92">
        <v>217.8</v>
      </c>
      <c r="F66" s="91"/>
      <c r="G66" s="91"/>
      <c r="H66" s="91"/>
      <c r="I66" s="79">
        <f>SUM(G66:H66)+'BM 007'!I66</f>
        <v>217.8</v>
      </c>
      <c r="J66" s="91">
        <f t="shared" si="4"/>
        <v>0</v>
      </c>
      <c r="K66" s="80">
        <v>25</v>
      </c>
      <c r="L66" s="81">
        <f t="shared" si="2"/>
        <v>31.690002750000001</v>
      </c>
      <c r="M66" s="82">
        <f t="shared" si="26"/>
        <v>0</v>
      </c>
      <c r="N66" s="82">
        <f t="shared" si="27"/>
        <v>0</v>
      </c>
      <c r="O66" s="82">
        <f>N66+'BM 007'!O66</f>
        <v>6902.08</v>
      </c>
      <c r="P66" s="80">
        <f t="shared" si="28"/>
        <v>5445</v>
      </c>
      <c r="Q66" s="82">
        <f t="shared" si="29"/>
        <v>6902.08</v>
      </c>
      <c r="R66" s="82">
        <f t="shared" si="30"/>
        <v>0</v>
      </c>
    </row>
    <row r="67" spans="2:20" s="34" customFormat="1" ht="46.2">
      <c r="B67" s="87" t="s">
        <v>146</v>
      </c>
      <c r="C67" s="88" t="s">
        <v>126</v>
      </c>
      <c r="D67" s="89" t="s">
        <v>110</v>
      </c>
      <c r="E67" s="90">
        <v>140.80000000000001</v>
      </c>
      <c r="F67" s="91"/>
      <c r="G67" s="91"/>
      <c r="H67" s="91"/>
      <c r="I67" s="79">
        <f>SUM(G67:H67)+'BM 007'!I67</f>
        <v>140.80000000000001</v>
      </c>
      <c r="J67" s="91">
        <f t="shared" si="4"/>
        <v>0</v>
      </c>
      <c r="K67" s="80">
        <v>12</v>
      </c>
      <c r="L67" s="81">
        <f t="shared" si="2"/>
        <v>15.211201320000001</v>
      </c>
      <c r="M67" s="82">
        <f t="shared" si="26"/>
        <v>0</v>
      </c>
      <c r="N67" s="82">
        <f t="shared" si="27"/>
        <v>0</v>
      </c>
      <c r="O67" s="82">
        <f>N67+'BM 007'!O67</f>
        <v>2141.73</v>
      </c>
      <c r="P67" s="80">
        <f t="shared" si="28"/>
        <v>1689.6000000000001</v>
      </c>
      <c r="Q67" s="82">
        <f t="shared" si="29"/>
        <v>2141.73</v>
      </c>
      <c r="R67" s="82">
        <f t="shared" si="30"/>
        <v>0</v>
      </c>
    </row>
    <row r="68" spans="2:20" s="34" customFormat="1" ht="34.799999999999997">
      <c r="B68" s="87" t="s">
        <v>147</v>
      </c>
      <c r="C68" s="88" t="s">
        <v>128</v>
      </c>
      <c r="D68" s="89" t="s">
        <v>113</v>
      </c>
      <c r="E68" s="90">
        <f>E64*30</f>
        <v>7781.7</v>
      </c>
      <c r="F68" s="91"/>
      <c r="G68" s="91"/>
      <c r="H68" s="91"/>
      <c r="I68" s="79">
        <f>SUM(G68:H68)+'BM 007'!I68</f>
        <v>7781.7</v>
      </c>
      <c r="J68" s="91">
        <f t="shared" si="4"/>
        <v>0</v>
      </c>
      <c r="K68" s="80">
        <v>1</v>
      </c>
      <c r="L68" s="81">
        <f t="shared" si="2"/>
        <v>1.2676001100000001</v>
      </c>
      <c r="M68" s="82">
        <f t="shared" si="26"/>
        <v>0</v>
      </c>
      <c r="N68" s="82">
        <f t="shared" si="27"/>
        <v>0</v>
      </c>
      <c r="O68" s="82">
        <f>N68+'BM 007'!O68</f>
        <v>9864.08</v>
      </c>
      <c r="P68" s="80">
        <f t="shared" si="28"/>
        <v>7781.7</v>
      </c>
      <c r="Q68" s="82">
        <f t="shared" si="29"/>
        <v>9864.08</v>
      </c>
      <c r="R68" s="82">
        <f t="shared" si="30"/>
        <v>0</v>
      </c>
      <c r="T68" s="83"/>
    </row>
    <row r="69" spans="2:20" s="34" customFormat="1" ht="23.4">
      <c r="B69" s="87" t="s">
        <v>148</v>
      </c>
      <c r="C69" s="88" t="s">
        <v>149</v>
      </c>
      <c r="D69" s="89" t="s">
        <v>79</v>
      </c>
      <c r="E69" s="90">
        <v>233.48</v>
      </c>
      <c r="F69" s="91"/>
      <c r="G69" s="91"/>
      <c r="H69" s="91"/>
      <c r="I69" s="79">
        <f>SUM(G69:H69)+'BM 007'!I69</f>
        <v>233.4802253775074</v>
      </c>
      <c r="J69" s="91">
        <f t="shared" si="4"/>
        <v>-2.2537750740525553E-4</v>
      </c>
      <c r="K69" s="80">
        <v>35</v>
      </c>
      <c r="L69" s="81">
        <f t="shared" si="2"/>
        <v>44.366003849999998</v>
      </c>
      <c r="M69" s="82">
        <f t="shared" si="26"/>
        <v>0</v>
      </c>
      <c r="N69" s="82">
        <f t="shared" si="27"/>
        <v>0</v>
      </c>
      <c r="O69" s="82">
        <f>N69+'BM 007'!O69</f>
        <v>10358.57</v>
      </c>
      <c r="P69" s="80">
        <f t="shared" si="28"/>
        <v>8171.7999999999993</v>
      </c>
      <c r="Q69" s="82">
        <f t="shared" si="29"/>
        <v>10358.57</v>
      </c>
      <c r="R69" s="82">
        <f t="shared" si="30"/>
        <v>0</v>
      </c>
    </row>
    <row r="70" spans="2:20" s="34" customFormat="1" ht="23.4">
      <c r="B70" s="87" t="s">
        <v>150</v>
      </c>
      <c r="C70" s="88" t="s">
        <v>151</v>
      </c>
      <c r="D70" s="89" t="s">
        <v>152</v>
      </c>
      <c r="E70" s="90">
        <v>190.3</v>
      </c>
      <c r="F70" s="91"/>
      <c r="G70" s="91"/>
      <c r="H70" s="91"/>
      <c r="I70" s="79">
        <f>SUM(G70:H70)+'BM 007'!I70</f>
        <v>190.3</v>
      </c>
      <c r="J70" s="91">
        <f t="shared" si="4"/>
        <v>0</v>
      </c>
      <c r="K70" s="80">
        <v>20</v>
      </c>
      <c r="L70" s="81">
        <f t="shared" si="2"/>
        <v>25.352002200000001</v>
      </c>
      <c r="M70" s="82">
        <f t="shared" si="26"/>
        <v>0</v>
      </c>
      <c r="N70" s="82">
        <f t="shared" si="27"/>
        <v>0</v>
      </c>
      <c r="O70" s="82">
        <f>N70+'BM 007'!O70</f>
        <v>4824.4799999999996</v>
      </c>
      <c r="P70" s="80">
        <f t="shared" si="28"/>
        <v>3806</v>
      </c>
      <c r="Q70" s="82">
        <f t="shared" si="29"/>
        <v>4824.4799999999996</v>
      </c>
      <c r="R70" s="82">
        <f t="shared" si="30"/>
        <v>0</v>
      </c>
    </row>
    <row r="71" spans="2:20" s="34" customFormat="1" ht="34.799999999999997">
      <c r="B71" s="87" t="s">
        <v>153</v>
      </c>
      <c r="C71" s="88" t="s">
        <v>154</v>
      </c>
      <c r="D71" s="89" t="s">
        <v>152</v>
      </c>
      <c r="E71" s="90">
        <v>77</v>
      </c>
      <c r="F71" s="91"/>
      <c r="G71" s="91"/>
      <c r="H71" s="91"/>
      <c r="I71" s="79">
        <f>SUM(G71:H71)+'BM 007'!I71</f>
        <v>77</v>
      </c>
      <c r="J71" s="91">
        <f t="shared" si="4"/>
        <v>0</v>
      </c>
      <c r="K71" s="80">
        <v>19</v>
      </c>
      <c r="L71" s="81">
        <f t="shared" si="2"/>
        <v>24.084402090000001</v>
      </c>
      <c r="M71" s="82">
        <f t="shared" si="26"/>
        <v>0</v>
      </c>
      <c r="N71" s="82">
        <f t="shared" si="27"/>
        <v>0</v>
      </c>
      <c r="O71" s="82">
        <f>N71+'BM 007'!O71</f>
        <v>1854.49</v>
      </c>
      <c r="P71" s="80">
        <f t="shared" si="28"/>
        <v>1463</v>
      </c>
      <c r="Q71" s="82">
        <f t="shared" si="29"/>
        <v>1854.49</v>
      </c>
      <c r="R71" s="82">
        <f t="shared" si="30"/>
        <v>0</v>
      </c>
    </row>
    <row r="72" spans="2:20" s="34" customFormat="1" ht="23.4">
      <c r="B72" s="87" t="s">
        <v>155</v>
      </c>
      <c r="C72" s="88" t="s">
        <v>156</v>
      </c>
      <c r="D72" s="89" t="s">
        <v>152</v>
      </c>
      <c r="E72" s="90">
        <v>566.5</v>
      </c>
      <c r="F72" s="91"/>
      <c r="G72" s="91"/>
      <c r="H72" s="91"/>
      <c r="I72" s="79">
        <f>SUM(G72:H72)+'BM 007'!I72</f>
        <v>566.50014977685623</v>
      </c>
      <c r="J72" s="91">
        <f t="shared" si="4"/>
        <v>-1.497768562330748E-4</v>
      </c>
      <c r="K72" s="80">
        <v>17.5</v>
      </c>
      <c r="L72" s="81">
        <f t="shared" si="2"/>
        <v>22.183001924999999</v>
      </c>
      <c r="M72" s="82">
        <f t="shared" si="26"/>
        <v>0</v>
      </c>
      <c r="N72" s="82">
        <f t="shared" si="27"/>
        <v>0</v>
      </c>
      <c r="O72" s="82">
        <f>N72+'BM 007'!O72</f>
        <v>12566.669999999998</v>
      </c>
      <c r="P72" s="80">
        <f t="shared" si="28"/>
        <v>9913.75</v>
      </c>
      <c r="Q72" s="82">
        <f t="shared" si="29"/>
        <v>12566.67</v>
      </c>
      <c r="R72" s="82">
        <f t="shared" si="30"/>
        <v>0</v>
      </c>
      <c r="T72" s="83"/>
    </row>
    <row r="73" spans="2:20" s="34" customFormat="1" ht="23.4">
      <c r="B73" s="87" t="s">
        <v>157</v>
      </c>
      <c r="C73" s="88" t="s">
        <v>158</v>
      </c>
      <c r="D73" s="89" t="s">
        <v>152</v>
      </c>
      <c r="E73" s="90">
        <v>1663.2</v>
      </c>
      <c r="F73" s="91"/>
      <c r="G73" s="91"/>
      <c r="H73" s="91"/>
      <c r="I73" s="79">
        <f>SUM(G73:H73)+'BM 007'!I73</f>
        <v>1663.2003</v>
      </c>
      <c r="J73" s="91">
        <f t="shared" si="4"/>
        <v>-2.9999999992469384E-4</v>
      </c>
      <c r="K73" s="80">
        <v>16</v>
      </c>
      <c r="L73" s="81">
        <f t="shared" si="2"/>
        <v>20.281601760000001</v>
      </c>
      <c r="M73" s="82">
        <f t="shared" si="26"/>
        <v>0</v>
      </c>
      <c r="N73" s="82">
        <f t="shared" si="27"/>
        <v>0</v>
      </c>
      <c r="O73" s="82">
        <f>N73+'BM 007'!O73</f>
        <v>33732.36</v>
      </c>
      <c r="P73" s="80">
        <f t="shared" si="28"/>
        <v>26611.200000000001</v>
      </c>
      <c r="Q73" s="82">
        <f t="shared" si="29"/>
        <v>33732.36</v>
      </c>
      <c r="R73" s="82">
        <f t="shared" si="30"/>
        <v>0</v>
      </c>
    </row>
    <row r="74" spans="2:20" s="34" customFormat="1" ht="23.4">
      <c r="B74" s="87" t="s">
        <v>159</v>
      </c>
      <c r="C74" s="88" t="s">
        <v>160</v>
      </c>
      <c r="D74" s="89" t="s">
        <v>152</v>
      </c>
      <c r="E74" s="90">
        <v>4944.5</v>
      </c>
      <c r="F74" s="91"/>
      <c r="G74" s="91"/>
      <c r="H74" s="91"/>
      <c r="I74" s="79">
        <f>SUM(G74:H74)+'BM 007'!I74</f>
        <v>4944.5003000000006</v>
      </c>
      <c r="J74" s="91">
        <f t="shared" si="4"/>
        <v>-3.0000000060681487E-4</v>
      </c>
      <c r="K74" s="80">
        <v>14.5</v>
      </c>
      <c r="L74" s="81">
        <f t="shared" si="2"/>
        <v>18.380201595000003</v>
      </c>
      <c r="M74" s="82">
        <f t="shared" si="26"/>
        <v>0</v>
      </c>
      <c r="N74" s="82">
        <f t="shared" si="27"/>
        <v>0</v>
      </c>
      <c r="O74" s="82">
        <f>N74+'BM 007'!O74</f>
        <v>90880.9</v>
      </c>
      <c r="P74" s="80">
        <f t="shared" si="28"/>
        <v>71695.25</v>
      </c>
      <c r="Q74" s="82">
        <f t="shared" si="29"/>
        <v>90880.9</v>
      </c>
      <c r="R74" s="82">
        <f t="shared" si="30"/>
        <v>0</v>
      </c>
    </row>
    <row r="75" spans="2:20" s="34" customFormat="1" ht="23.4">
      <c r="B75" s="87" t="s">
        <v>161</v>
      </c>
      <c r="C75" s="88" t="s">
        <v>162</v>
      </c>
      <c r="D75" s="89" t="s">
        <v>152</v>
      </c>
      <c r="E75" s="90">
        <v>115.5</v>
      </c>
      <c r="F75" s="91"/>
      <c r="G75" s="91"/>
      <c r="H75" s="91"/>
      <c r="I75" s="79">
        <f>SUM(G75:H75)+'BM 007'!I75</f>
        <v>115.5</v>
      </c>
      <c r="J75" s="91">
        <f t="shared" si="4"/>
        <v>0</v>
      </c>
      <c r="K75" s="94">
        <v>14.5</v>
      </c>
      <c r="L75" s="81">
        <f t="shared" si="2"/>
        <v>18.380201595000003</v>
      </c>
      <c r="M75" s="82">
        <f t="shared" si="26"/>
        <v>0</v>
      </c>
      <c r="N75" s="82">
        <f t="shared" si="27"/>
        <v>0</v>
      </c>
      <c r="O75" s="82">
        <f>N75+'BM 007'!O75</f>
        <v>2122.91</v>
      </c>
      <c r="P75" s="94">
        <f t="shared" si="28"/>
        <v>1674.75</v>
      </c>
      <c r="Q75" s="82">
        <f t="shared" si="29"/>
        <v>2122.91</v>
      </c>
      <c r="R75" s="82">
        <f t="shared" si="30"/>
        <v>0</v>
      </c>
    </row>
    <row r="76" spans="2:20" s="34" customFormat="1" ht="23.4">
      <c r="B76" s="87" t="s">
        <v>163</v>
      </c>
      <c r="C76" s="88" t="s">
        <v>164</v>
      </c>
      <c r="D76" s="89" t="s">
        <v>152</v>
      </c>
      <c r="E76" s="90">
        <v>7195.1</v>
      </c>
      <c r="F76" s="91"/>
      <c r="G76" s="91"/>
      <c r="H76" s="91"/>
      <c r="I76" s="79">
        <f>SUM(G76:H76)+'BM 007'!I76</f>
        <v>7195.1005000000005</v>
      </c>
      <c r="J76" s="91">
        <f t="shared" si="4"/>
        <v>-5.0000000010186341E-4</v>
      </c>
      <c r="K76" s="80">
        <v>14</v>
      </c>
      <c r="L76" s="81">
        <f t="shared" si="2"/>
        <v>17.746401540000001</v>
      </c>
      <c r="M76" s="82">
        <f t="shared" si="26"/>
        <v>0</v>
      </c>
      <c r="N76" s="82">
        <f t="shared" si="27"/>
        <v>0</v>
      </c>
      <c r="O76" s="82">
        <f>N76+'BM 007'!O76</f>
        <v>127687.13</v>
      </c>
      <c r="P76" s="80">
        <f t="shared" si="28"/>
        <v>100731.40000000001</v>
      </c>
      <c r="Q76" s="82">
        <f t="shared" si="29"/>
        <v>127687.13</v>
      </c>
      <c r="R76" s="82">
        <f t="shared" si="30"/>
        <v>0</v>
      </c>
    </row>
    <row r="77" spans="2:20" s="34" customFormat="1" ht="34.799999999999997">
      <c r="B77" s="87" t="s">
        <v>165</v>
      </c>
      <c r="C77" s="88" t="s">
        <v>166</v>
      </c>
      <c r="D77" s="89" t="s">
        <v>79</v>
      </c>
      <c r="E77" s="90">
        <v>415.8</v>
      </c>
      <c r="F77" s="91"/>
      <c r="G77" s="91"/>
      <c r="H77" s="91"/>
      <c r="I77" s="79">
        <f>SUM(G77:H77)+'BM 007'!I77</f>
        <v>415.80005</v>
      </c>
      <c r="J77" s="91">
        <f t="shared" si="4"/>
        <v>-4.9999999987448973E-5</v>
      </c>
      <c r="K77" s="80">
        <v>120</v>
      </c>
      <c r="L77" s="81">
        <f t="shared" si="2"/>
        <v>152.11201320000001</v>
      </c>
      <c r="M77" s="82">
        <f t="shared" si="26"/>
        <v>0</v>
      </c>
      <c r="N77" s="82">
        <f t="shared" si="27"/>
        <v>0</v>
      </c>
      <c r="O77" s="82">
        <f>N77+'BM 007'!O77</f>
        <v>63248.17</v>
      </c>
      <c r="P77" s="80">
        <f t="shared" si="28"/>
        <v>49896</v>
      </c>
      <c r="Q77" s="82">
        <f t="shared" si="29"/>
        <v>63248.17</v>
      </c>
      <c r="R77" s="82">
        <f t="shared" si="30"/>
        <v>0</v>
      </c>
    </row>
    <row r="78" spans="2:20" s="34" customFormat="1" ht="34.799999999999997">
      <c r="B78" s="87" t="s">
        <v>167</v>
      </c>
      <c r="C78" s="88" t="s">
        <v>168</v>
      </c>
      <c r="D78" s="89" t="s">
        <v>169</v>
      </c>
      <c r="E78" s="92">
        <v>213.07</v>
      </c>
      <c r="F78" s="91"/>
      <c r="G78" s="91"/>
      <c r="H78" s="91"/>
      <c r="I78" s="79">
        <f>SUM(G78:H78)+'BM 007'!I78</f>
        <v>213.07001051856443</v>
      </c>
      <c r="J78" s="91">
        <f t="shared" si="4"/>
        <v>-1.051856443723409E-5</v>
      </c>
      <c r="K78" s="95">
        <v>750</v>
      </c>
      <c r="L78" s="81">
        <f t="shared" si="2"/>
        <v>950.70008250000001</v>
      </c>
      <c r="M78" s="82">
        <f t="shared" si="26"/>
        <v>0</v>
      </c>
      <c r="N78" s="82">
        <f t="shared" si="27"/>
        <v>0</v>
      </c>
      <c r="O78" s="82">
        <f>N78+'BM 007'!O78</f>
        <v>202565.66</v>
      </c>
      <c r="P78" s="95">
        <f t="shared" si="28"/>
        <v>159802.5</v>
      </c>
      <c r="Q78" s="82">
        <f t="shared" si="29"/>
        <v>202565.66</v>
      </c>
      <c r="R78" s="82">
        <f t="shared" si="30"/>
        <v>0</v>
      </c>
    </row>
    <row r="79" spans="2:20" s="34" customFormat="1" ht="13.2">
      <c r="B79" s="66" t="s">
        <v>170</v>
      </c>
      <c r="C79" s="67" t="s">
        <v>171</v>
      </c>
      <c r="D79" s="68"/>
      <c r="E79" s="69"/>
      <c r="F79" s="70"/>
      <c r="G79" s="70"/>
      <c r="H79" s="70"/>
      <c r="I79" s="70">
        <f>SUM(G79:H79)+'BM 007'!I79</f>
        <v>0</v>
      </c>
      <c r="J79" s="70">
        <f t="shared" si="4"/>
        <v>0</v>
      </c>
      <c r="K79" s="71"/>
      <c r="L79" s="71">
        <f t="shared" si="2"/>
        <v>0</v>
      </c>
      <c r="M79" s="73">
        <f t="shared" ref="M79:R79" si="31">SUM(M80:M93)</f>
        <v>0</v>
      </c>
      <c r="N79" s="73">
        <f t="shared" si="31"/>
        <v>0</v>
      </c>
      <c r="O79" s="73">
        <f t="shared" si="31"/>
        <v>190571.62</v>
      </c>
      <c r="P79" s="73">
        <f t="shared" si="31"/>
        <v>150340.54999999999</v>
      </c>
      <c r="Q79" s="73">
        <f t="shared" si="31"/>
        <v>190571.62</v>
      </c>
      <c r="R79" s="73">
        <f t="shared" si="31"/>
        <v>0</v>
      </c>
    </row>
    <row r="80" spans="2:20" s="34" customFormat="1" ht="23.4">
      <c r="B80" s="87" t="s">
        <v>172</v>
      </c>
      <c r="C80" s="88" t="s">
        <v>141</v>
      </c>
      <c r="D80" s="89" t="s">
        <v>110</v>
      </c>
      <c r="E80" s="90">
        <v>268.39999999999998</v>
      </c>
      <c r="F80" s="91"/>
      <c r="G80" s="91"/>
      <c r="H80" s="91"/>
      <c r="I80" s="79">
        <f>SUM(G80:H80)+'BM 007'!I80</f>
        <v>268.39999999999998</v>
      </c>
      <c r="J80" s="91">
        <f t="shared" si="4"/>
        <v>0</v>
      </c>
      <c r="K80" s="80">
        <v>80</v>
      </c>
      <c r="L80" s="81">
        <f t="shared" si="2"/>
        <v>101.4080088</v>
      </c>
      <c r="M80" s="82">
        <f t="shared" ref="M80:M93" si="32">TRUNC(F80*L80,2)</f>
        <v>0</v>
      </c>
      <c r="N80" s="82">
        <f t="shared" ref="N80:N93" si="33">TRUNC(G80*L80,2)</f>
        <v>0</v>
      </c>
      <c r="O80" s="82">
        <f>N80+'BM 007'!O80</f>
        <v>27217.9</v>
      </c>
      <c r="P80" s="80">
        <f t="shared" ref="P80:P93" si="34">E80*K80</f>
        <v>21472</v>
      </c>
      <c r="Q80" s="82">
        <f t="shared" ref="Q80:Q93" si="35">TRUNC(E80*L80,2)</f>
        <v>27217.9</v>
      </c>
      <c r="R80" s="82">
        <f t="shared" ref="R80:R93" si="36">Q80-O80</f>
        <v>0</v>
      </c>
    </row>
    <row r="81" spans="2:21" s="34" customFormat="1" ht="23.4">
      <c r="B81" s="87" t="s">
        <v>173</v>
      </c>
      <c r="C81" s="88" t="s">
        <v>145</v>
      </c>
      <c r="D81" s="89" t="s">
        <v>110</v>
      </c>
      <c r="E81" s="92">
        <v>111.1</v>
      </c>
      <c r="F81" s="91"/>
      <c r="G81" s="91"/>
      <c r="H81" s="91"/>
      <c r="I81" s="79">
        <f>SUM(G81:H81)+'BM 007'!I81</f>
        <v>111.10031555693061</v>
      </c>
      <c r="J81" s="91">
        <f t="shared" si="4"/>
        <v>-3.1555693061591228E-4</v>
      </c>
      <c r="K81" s="80">
        <v>25</v>
      </c>
      <c r="L81" s="81">
        <f t="shared" si="2"/>
        <v>31.690002750000001</v>
      </c>
      <c r="M81" s="82">
        <f t="shared" si="32"/>
        <v>0</v>
      </c>
      <c r="N81" s="82">
        <f t="shared" si="33"/>
        <v>0</v>
      </c>
      <c r="O81" s="82">
        <f>N81+'BM 007'!O81</f>
        <v>3520.75</v>
      </c>
      <c r="P81" s="80">
        <f t="shared" si="34"/>
        <v>2777.5</v>
      </c>
      <c r="Q81" s="82">
        <f t="shared" si="35"/>
        <v>3520.75</v>
      </c>
      <c r="R81" s="82">
        <f t="shared" si="36"/>
        <v>0</v>
      </c>
      <c r="T81" s="83"/>
    </row>
    <row r="82" spans="2:21" s="34" customFormat="1" ht="46.2">
      <c r="B82" s="87" t="s">
        <v>174</v>
      </c>
      <c r="C82" s="88" t="s">
        <v>126</v>
      </c>
      <c r="D82" s="89" t="s">
        <v>110</v>
      </c>
      <c r="E82" s="92">
        <v>268.39999999999998</v>
      </c>
      <c r="F82" s="91"/>
      <c r="G82" s="91"/>
      <c r="H82" s="91"/>
      <c r="I82" s="79">
        <f>SUM(G82:H82)+'BM 007'!I82</f>
        <v>268.39999999999998</v>
      </c>
      <c r="J82" s="91">
        <f t="shared" si="4"/>
        <v>0</v>
      </c>
      <c r="K82" s="80">
        <v>10</v>
      </c>
      <c r="L82" s="81">
        <f t="shared" si="2"/>
        <v>12.676001100000001</v>
      </c>
      <c r="M82" s="82">
        <f t="shared" si="32"/>
        <v>0</v>
      </c>
      <c r="N82" s="82">
        <f t="shared" si="33"/>
        <v>0</v>
      </c>
      <c r="O82" s="82">
        <f>N82+'BM 007'!O82</f>
        <v>3402.2299999999996</v>
      </c>
      <c r="P82" s="80">
        <f t="shared" si="34"/>
        <v>2684</v>
      </c>
      <c r="Q82" s="82">
        <f t="shared" si="35"/>
        <v>3402.23</v>
      </c>
      <c r="R82" s="82">
        <f t="shared" si="36"/>
        <v>0</v>
      </c>
    </row>
    <row r="83" spans="2:21" s="34" customFormat="1" ht="34.799999999999997">
      <c r="B83" s="87" t="s">
        <v>175</v>
      </c>
      <c r="C83" s="88" t="s">
        <v>128</v>
      </c>
      <c r="D83" s="89" t="s">
        <v>113</v>
      </c>
      <c r="E83" s="90">
        <f>E82*30</f>
        <v>8051.9999999999991</v>
      </c>
      <c r="F83" s="91"/>
      <c r="G83" s="91"/>
      <c r="H83" s="91"/>
      <c r="I83" s="79">
        <f>SUM(G83:H83)+'BM 007'!I83</f>
        <v>8052.0026296410897</v>
      </c>
      <c r="J83" s="91">
        <f t="shared" si="4"/>
        <v>-2.6296410906070378E-3</v>
      </c>
      <c r="K83" s="80">
        <v>3</v>
      </c>
      <c r="L83" s="81">
        <f t="shared" si="2"/>
        <v>3.8028003300000002</v>
      </c>
      <c r="M83" s="82">
        <f t="shared" si="32"/>
        <v>0</v>
      </c>
      <c r="N83" s="82">
        <f t="shared" si="33"/>
        <v>0</v>
      </c>
      <c r="O83" s="82">
        <f>N83+'BM 007'!O83</f>
        <v>30620.140000000003</v>
      </c>
      <c r="P83" s="80">
        <f t="shared" si="34"/>
        <v>24155.999999999996</v>
      </c>
      <c r="Q83" s="82">
        <f t="shared" si="35"/>
        <v>30620.14</v>
      </c>
      <c r="R83" s="82">
        <f t="shared" si="36"/>
        <v>0</v>
      </c>
      <c r="T83" s="83"/>
    </row>
    <row r="84" spans="2:21" s="34" customFormat="1" ht="34.799999999999997">
      <c r="B84" s="87" t="s">
        <v>176</v>
      </c>
      <c r="C84" s="88" t="s">
        <v>177</v>
      </c>
      <c r="D84" s="89" t="s">
        <v>79</v>
      </c>
      <c r="E84" s="90">
        <v>243.1</v>
      </c>
      <c r="F84" s="91"/>
      <c r="G84" s="91"/>
      <c r="H84" s="91"/>
      <c r="I84" s="79">
        <f>SUM(G84:H84)+'BM 007'!I84</f>
        <v>243.10022539780761</v>
      </c>
      <c r="J84" s="91">
        <f t="shared" si="4"/>
        <v>-2.2539780761121619E-4</v>
      </c>
      <c r="K84" s="80">
        <v>35</v>
      </c>
      <c r="L84" s="81">
        <f t="shared" si="2"/>
        <v>44.366003849999998</v>
      </c>
      <c r="M84" s="82">
        <f t="shared" si="32"/>
        <v>0</v>
      </c>
      <c r="N84" s="82">
        <f t="shared" si="33"/>
        <v>0</v>
      </c>
      <c r="O84" s="82">
        <f>N84+'BM 007'!O84</f>
        <v>10785.369999999999</v>
      </c>
      <c r="P84" s="80">
        <f t="shared" si="34"/>
        <v>8508.5</v>
      </c>
      <c r="Q84" s="82">
        <f t="shared" si="35"/>
        <v>10785.37</v>
      </c>
      <c r="R84" s="82">
        <f t="shared" si="36"/>
        <v>0</v>
      </c>
      <c r="T84" s="83"/>
    </row>
    <row r="85" spans="2:21" s="34" customFormat="1" ht="23.4">
      <c r="B85" s="87" t="s">
        <v>178</v>
      </c>
      <c r="C85" s="88" t="s">
        <v>151</v>
      </c>
      <c r="D85" s="89" t="s">
        <v>152</v>
      </c>
      <c r="E85" s="90">
        <v>185.9</v>
      </c>
      <c r="F85" s="91"/>
      <c r="G85" s="91"/>
      <c r="H85" s="91"/>
      <c r="I85" s="79">
        <f>SUM(G85:H85)+'BM 007'!I85</f>
        <v>185.9</v>
      </c>
      <c r="J85" s="91">
        <f t="shared" si="4"/>
        <v>0</v>
      </c>
      <c r="K85" s="80">
        <v>20</v>
      </c>
      <c r="L85" s="81">
        <f t="shared" si="2"/>
        <v>25.352002200000001</v>
      </c>
      <c r="M85" s="82">
        <f t="shared" si="32"/>
        <v>0</v>
      </c>
      <c r="N85" s="82">
        <f t="shared" si="33"/>
        <v>0</v>
      </c>
      <c r="O85" s="82">
        <f>N85+'BM 007'!O85</f>
        <v>4712.93</v>
      </c>
      <c r="P85" s="80">
        <f t="shared" si="34"/>
        <v>3718</v>
      </c>
      <c r="Q85" s="82">
        <f t="shared" si="35"/>
        <v>4712.93</v>
      </c>
      <c r="R85" s="82">
        <f t="shared" si="36"/>
        <v>0</v>
      </c>
    </row>
    <row r="86" spans="2:21" s="34" customFormat="1" ht="23.4">
      <c r="B86" s="87" t="s">
        <v>179</v>
      </c>
      <c r="C86" s="88" t="s">
        <v>180</v>
      </c>
      <c r="D86" s="89" t="s">
        <v>152</v>
      </c>
      <c r="E86" s="90">
        <v>199.1</v>
      </c>
      <c r="F86" s="91"/>
      <c r="G86" s="91"/>
      <c r="H86" s="91"/>
      <c r="I86" s="79">
        <f>SUM(G86:H86)+'BM 007'!I86</f>
        <v>199.1</v>
      </c>
      <c r="J86" s="91">
        <f t="shared" si="4"/>
        <v>0</v>
      </c>
      <c r="K86" s="80">
        <v>19</v>
      </c>
      <c r="L86" s="81">
        <f t="shared" si="2"/>
        <v>24.084402090000001</v>
      </c>
      <c r="M86" s="82">
        <f t="shared" si="32"/>
        <v>0</v>
      </c>
      <c r="N86" s="82">
        <f t="shared" si="33"/>
        <v>0</v>
      </c>
      <c r="O86" s="82">
        <f>N86+'BM 007'!O86</f>
        <v>4795.2</v>
      </c>
      <c r="P86" s="80">
        <f t="shared" si="34"/>
        <v>3782.9</v>
      </c>
      <c r="Q86" s="82">
        <f t="shared" si="35"/>
        <v>4795.2</v>
      </c>
      <c r="R86" s="82">
        <f t="shared" si="36"/>
        <v>0</v>
      </c>
    </row>
    <row r="87" spans="2:21" s="34" customFormat="1" ht="23.4">
      <c r="B87" s="87" t="s">
        <v>181</v>
      </c>
      <c r="C87" s="88" t="s">
        <v>156</v>
      </c>
      <c r="D87" s="89" t="s">
        <v>152</v>
      </c>
      <c r="E87" s="90">
        <v>378.4</v>
      </c>
      <c r="F87" s="91"/>
      <c r="G87" s="91"/>
      <c r="H87" s="91"/>
      <c r="I87" s="79">
        <f>SUM(G87:H87)+'BM 007'!I87</f>
        <v>378.4</v>
      </c>
      <c r="J87" s="91">
        <f t="shared" si="4"/>
        <v>0</v>
      </c>
      <c r="K87" s="80">
        <v>17.5</v>
      </c>
      <c r="L87" s="81">
        <f t="shared" si="2"/>
        <v>22.183001924999999</v>
      </c>
      <c r="M87" s="82">
        <f t="shared" si="32"/>
        <v>0</v>
      </c>
      <c r="N87" s="82">
        <f t="shared" si="33"/>
        <v>0</v>
      </c>
      <c r="O87" s="82">
        <f>N87+'BM 007'!O87</f>
        <v>8394.0400000000009</v>
      </c>
      <c r="P87" s="80">
        <f t="shared" si="34"/>
        <v>6622</v>
      </c>
      <c r="Q87" s="82">
        <f t="shared" si="35"/>
        <v>8394.0400000000009</v>
      </c>
      <c r="R87" s="82">
        <f t="shared" si="36"/>
        <v>0</v>
      </c>
    </row>
    <row r="88" spans="2:21" s="34" customFormat="1" ht="23.4">
      <c r="B88" s="87" t="s">
        <v>182</v>
      </c>
      <c r="C88" s="88" t="s">
        <v>158</v>
      </c>
      <c r="D88" s="89" t="s">
        <v>152</v>
      </c>
      <c r="E88" s="90">
        <v>445.5</v>
      </c>
      <c r="F88" s="91"/>
      <c r="G88" s="91"/>
      <c r="H88" s="91"/>
      <c r="I88" s="79">
        <f>SUM(G88:H88)+'BM 007'!I88</f>
        <v>445.50009999999997</v>
      </c>
      <c r="J88" s="91">
        <f t="shared" si="4"/>
        <v>-9.9999999974897946E-5</v>
      </c>
      <c r="K88" s="80">
        <v>16</v>
      </c>
      <c r="L88" s="81">
        <f t="shared" si="2"/>
        <v>20.281601760000001</v>
      </c>
      <c r="M88" s="82">
        <f t="shared" si="32"/>
        <v>0</v>
      </c>
      <c r="N88" s="82">
        <f t="shared" si="33"/>
        <v>0</v>
      </c>
      <c r="O88" s="82">
        <f>N88+'BM 007'!O88</f>
        <v>9035.4500000000007</v>
      </c>
      <c r="P88" s="80">
        <f t="shared" si="34"/>
        <v>7128</v>
      </c>
      <c r="Q88" s="82">
        <f t="shared" si="35"/>
        <v>9035.4500000000007</v>
      </c>
      <c r="R88" s="82">
        <f t="shared" si="36"/>
        <v>0</v>
      </c>
    </row>
    <row r="89" spans="2:21" s="34" customFormat="1" ht="23.4">
      <c r="B89" s="87" t="s">
        <v>183</v>
      </c>
      <c r="C89" s="88" t="s">
        <v>160</v>
      </c>
      <c r="D89" s="89" t="s">
        <v>152</v>
      </c>
      <c r="E89" s="90">
        <v>177.1</v>
      </c>
      <c r="F89" s="91"/>
      <c r="G89" s="91"/>
      <c r="H89" s="91"/>
      <c r="I89" s="79">
        <f>SUM(G89:H89)+'BM 007'!I89</f>
        <v>177.1</v>
      </c>
      <c r="J89" s="91">
        <f t="shared" si="4"/>
        <v>0</v>
      </c>
      <c r="K89" s="80">
        <v>14.5</v>
      </c>
      <c r="L89" s="81">
        <f t="shared" si="2"/>
        <v>18.380201595000003</v>
      </c>
      <c r="M89" s="82">
        <f t="shared" si="32"/>
        <v>0</v>
      </c>
      <c r="N89" s="82">
        <f t="shared" si="33"/>
        <v>0</v>
      </c>
      <c r="O89" s="82">
        <f>N89+'BM 007'!O89</f>
        <v>3255.13</v>
      </c>
      <c r="P89" s="80">
        <f t="shared" si="34"/>
        <v>2567.9499999999998</v>
      </c>
      <c r="Q89" s="82">
        <f t="shared" si="35"/>
        <v>3255.13</v>
      </c>
      <c r="R89" s="82">
        <f t="shared" si="36"/>
        <v>0</v>
      </c>
    </row>
    <row r="90" spans="2:21" s="34" customFormat="1" ht="23.4">
      <c r="B90" s="87" t="s">
        <v>184</v>
      </c>
      <c r="C90" s="88" t="s">
        <v>162</v>
      </c>
      <c r="D90" s="89" t="s">
        <v>152</v>
      </c>
      <c r="E90" s="90">
        <v>61.6</v>
      </c>
      <c r="F90" s="91"/>
      <c r="G90" s="91"/>
      <c r="H90" s="91"/>
      <c r="I90" s="79">
        <f>SUM(G90:H90)+'BM 007'!I90</f>
        <v>61.6</v>
      </c>
      <c r="J90" s="91">
        <f t="shared" si="4"/>
        <v>0</v>
      </c>
      <c r="K90" s="94">
        <v>14.5</v>
      </c>
      <c r="L90" s="81">
        <f t="shared" si="2"/>
        <v>18.380201595000003</v>
      </c>
      <c r="M90" s="82">
        <f t="shared" si="32"/>
        <v>0</v>
      </c>
      <c r="N90" s="82">
        <f t="shared" si="33"/>
        <v>0</v>
      </c>
      <c r="O90" s="82">
        <f>N90+'BM 007'!O90</f>
        <v>1132.22</v>
      </c>
      <c r="P90" s="80">
        <f t="shared" si="34"/>
        <v>893.2</v>
      </c>
      <c r="Q90" s="82">
        <f t="shared" si="35"/>
        <v>1132.22</v>
      </c>
      <c r="R90" s="82">
        <f t="shared" si="36"/>
        <v>0</v>
      </c>
    </row>
    <row r="91" spans="2:21" s="34" customFormat="1" ht="34.799999999999997">
      <c r="B91" s="87" t="s">
        <v>185</v>
      </c>
      <c r="C91" s="88" t="s">
        <v>186</v>
      </c>
      <c r="D91" s="89" t="s">
        <v>79</v>
      </c>
      <c r="E91" s="90">
        <v>299.2</v>
      </c>
      <c r="F91" s="91"/>
      <c r="G91" s="91"/>
      <c r="H91" s="91"/>
      <c r="I91" s="79">
        <f>SUM(G91:H91)+'BM 007'!I91</f>
        <v>299.20005634945187</v>
      </c>
      <c r="J91" s="91">
        <f t="shared" si="4"/>
        <v>-5.6349451881487767E-5</v>
      </c>
      <c r="K91" s="80">
        <v>140</v>
      </c>
      <c r="L91" s="81">
        <f t="shared" si="2"/>
        <v>177.46401539999999</v>
      </c>
      <c r="M91" s="82">
        <f t="shared" si="32"/>
        <v>0</v>
      </c>
      <c r="N91" s="82">
        <f t="shared" si="33"/>
        <v>0</v>
      </c>
      <c r="O91" s="82">
        <f>N91+'BM 007'!O91</f>
        <v>53097.229999999996</v>
      </c>
      <c r="P91" s="80">
        <f t="shared" si="34"/>
        <v>41888</v>
      </c>
      <c r="Q91" s="82">
        <f t="shared" si="35"/>
        <v>53097.23</v>
      </c>
      <c r="R91" s="82">
        <f t="shared" si="36"/>
        <v>0</v>
      </c>
      <c r="T91" s="83"/>
      <c r="U91" s="83"/>
    </row>
    <row r="92" spans="2:21" s="34" customFormat="1" ht="23.4">
      <c r="B92" s="87" t="s">
        <v>187</v>
      </c>
      <c r="C92" s="88" t="s">
        <v>188</v>
      </c>
      <c r="D92" s="89" t="s">
        <v>169</v>
      </c>
      <c r="E92" s="92">
        <v>22.99</v>
      </c>
      <c r="F92" s="91"/>
      <c r="G92" s="91"/>
      <c r="H92" s="91"/>
      <c r="I92" s="79">
        <f>SUM(G92:H92)+'BM 007'!I92</f>
        <v>22.990010518564347</v>
      </c>
      <c r="J92" s="91">
        <f t="shared" si="4"/>
        <v>-1.0518564348416248E-5</v>
      </c>
      <c r="K92" s="95">
        <v>750</v>
      </c>
      <c r="L92" s="81">
        <f t="shared" si="2"/>
        <v>950.70008250000001</v>
      </c>
      <c r="M92" s="82">
        <f t="shared" si="32"/>
        <v>0</v>
      </c>
      <c r="N92" s="82">
        <f t="shared" si="33"/>
        <v>0</v>
      </c>
      <c r="O92" s="82">
        <f>N92+'BM 007'!O92</f>
        <v>21856.59</v>
      </c>
      <c r="P92" s="80">
        <f t="shared" si="34"/>
        <v>17242.5</v>
      </c>
      <c r="Q92" s="82">
        <f t="shared" si="35"/>
        <v>21856.59</v>
      </c>
      <c r="R92" s="82">
        <f t="shared" si="36"/>
        <v>0</v>
      </c>
      <c r="T92" s="83"/>
      <c r="U92" s="83"/>
    </row>
    <row r="93" spans="2:21" s="34" customFormat="1" ht="23.4">
      <c r="B93" s="87" t="s">
        <v>189</v>
      </c>
      <c r="C93" s="88" t="s">
        <v>190</v>
      </c>
      <c r="D93" s="89" t="s">
        <v>63</v>
      </c>
      <c r="E93" s="92">
        <v>230</v>
      </c>
      <c r="F93" s="91"/>
      <c r="G93" s="91"/>
      <c r="H93" s="91"/>
      <c r="I93" s="79">
        <f>SUM(G93:H93)+'BM 007'!I93</f>
        <v>230.00026296410891</v>
      </c>
      <c r="J93" s="91">
        <f t="shared" si="4"/>
        <v>-2.6296410891291089E-4</v>
      </c>
      <c r="K93" s="80">
        <v>30</v>
      </c>
      <c r="L93" s="81">
        <f t="shared" ref="L93:L156" si="37">K93*(1+$T$26)</f>
        <v>38.028003300000002</v>
      </c>
      <c r="M93" s="82">
        <f t="shared" si="32"/>
        <v>0</v>
      </c>
      <c r="N93" s="82">
        <f t="shared" si="33"/>
        <v>0</v>
      </c>
      <c r="O93" s="82">
        <f>N93+'BM 007'!O93</f>
        <v>8746.44</v>
      </c>
      <c r="P93" s="80">
        <f t="shared" si="34"/>
        <v>6900</v>
      </c>
      <c r="Q93" s="82">
        <f t="shared" si="35"/>
        <v>8746.44</v>
      </c>
      <c r="R93" s="82">
        <f t="shared" si="36"/>
        <v>0</v>
      </c>
      <c r="T93" s="83"/>
      <c r="U93" s="83"/>
    </row>
    <row r="94" spans="2:21" s="34" customFormat="1" ht="13.2">
      <c r="B94" s="60" t="s">
        <v>191</v>
      </c>
      <c r="C94" s="61" t="s">
        <v>192</v>
      </c>
      <c r="D94" s="60"/>
      <c r="E94" s="62"/>
      <c r="F94" s="63"/>
      <c r="G94" s="63"/>
      <c r="H94" s="63"/>
      <c r="I94" s="63">
        <f>SUM(G94:H94)+'BM 007'!I94</f>
        <v>0</v>
      </c>
      <c r="J94" s="63">
        <f t="shared" si="4"/>
        <v>0</v>
      </c>
      <c r="K94" s="63"/>
      <c r="L94" s="63">
        <f t="shared" si="37"/>
        <v>0</v>
      </c>
      <c r="M94" s="63">
        <f t="shared" ref="M94:R94" si="38">SUM(M95,M107,M120)</f>
        <v>911932.78999999992</v>
      </c>
      <c r="N94" s="63">
        <f t="shared" si="38"/>
        <v>911932.78999999992</v>
      </c>
      <c r="O94" s="63">
        <f t="shared" si="38"/>
        <v>3270017.09</v>
      </c>
      <c r="P94" s="63">
        <f t="shared" si="38"/>
        <v>4541959.5</v>
      </c>
      <c r="Q94" s="63">
        <f t="shared" si="38"/>
        <v>5757388.21</v>
      </c>
      <c r="R94" s="63">
        <f t="shared" si="38"/>
        <v>2487371.1199999996</v>
      </c>
    </row>
    <row r="95" spans="2:21" s="34" customFormat="1" ht="13.2">
      <c r="B95" s="66" t="s">
        <v>193</v>
      </c>
      <c r="C95" s="67" t="s">
        <v>194</v>
      </c>
      <c r="D95" s="68"/>
      <c r="E95" s="69"/>
      <c r="F95" s="70"/>
      <c r="G95" s="70"/>
      <c r="H95" s="70"/>
      <c r="I95" s="70">
        <f>SUM(G95:H95)+'BM 007'!I95</f>
        <v>0</v>
      </c>
      <c r="J95" s="70">
        <f t="shared" ref="J95:J158" si="39">E95-I95</f>
        <v>0</v>
      </c>
      <c r="K95" s="71"/>
      <c r="L95" s="71">
        <f t="shared" si="37"/>
        <v>0</v>
      </c>
      <c r="M95" s="73">
        <f t="shared" ref="M95:R95" si="40">SUM(M96:M106)</f>
        <v>170987.08999999997</v>
      </c>
      <c r="N95" s="73">
        <f t="shared" si="40"/>
        <v>170987.08999999997</v>
      </c>
      <c r="O95" s="73">
        <f t="shared" si="40"/>
        <v>870081.23</v>
      </c>
      <c r="P95" s="73">
        <f t="shared" si="40"/>
        <v>1372038.75</v>
      </c>
      <c r="Q95" s="73">
        <f t="shared" si="40"/>
        <v>1739196.42</v>
      </c>
      <c r="R95" s="73">
        <f t="shared" si="40"/>
        <v>869115.19</v>
      </c>
    </row>
    <row r="96" spans="2:21" s="34" customFormat="1" ht="34.799999999999997">
      <c r="B96" s="87" t="s">
        <v>195</v>
      </c>
      <c r="C96" s="88" t="s">
        <v>196</v>
      </c>
      <c r="D96" s="89" t="s">
        <v>79</v>
      </c>
      <c r="E96" s="92">
        <v>3575</v>
      </c>
      <c r="F96" s="91">
        <f>TRUNC((I106/E106)*E96,0)-1531.67</f>
        <v>222.32999999999993</v>
      </c>
      <c r="G96" s="91">
        <f t="shared" ref="G96:G106" si="41">F96</f>
        <v>222.32999999999993</v>
      </c>
      <c r="H96" s="91"/>
      <c r="I96" s="79">
        <f>SUM(G96:H96)+'BM 007'!I96</f>
        <v>1754</v>
      </c>
      <c r="J96" s="91">
        <f t="shared" si="39"/>
        <v>1821</v>
      </c>
      <c r="K96" s="80">
        <v>130</v>
      </c>
      <c r="L96" s="81">
        <f t="shared" si="37"/>
        <v>164.78801430000001</v>
      </c>
      <c r="M96" s="82">
        <f t="shared" ref="M96:M106" si="42">TRUNC(F96*L96,2)</f>
        <v>36637.31</v>
      </c>
      <c r="N96" s="82">
        <f t="shared" ref="N96:N106" si="43">TRUNC(G96*L96,2)</f>
        <v>36637.31</v>
      </c>
      <c r="O96" s="82">
        <f>N96+'BM 007'!O96</f>
        <v>289038.15999999997</v>
      </c>
      <c r="P96" s="80">
        <f t="shared" ref="P96:P106" si="44">E96*K96</f>
        <v>464750</v>
      </c>
      <c r="Q96" s="82">
        <f t="shared" ref="Q96:Q106" si="45">TRUNC(E96*L96,2)</f>
        <v>589117.15</v>
      </c>
      <c r="R96" s="82">
        <f t="shared" ref="R96:R106" si="46">Q96-O96</f>
        <v>300078.99000000005</v>
      </c>
    </row>
    <row r="97" spans="2:20" s="34" customFormat="1" ht="46.2">
      <c r="B97" s="87" t="s">
        <v>197</v>
      </c>
      <c r="C97" s="88" t="s">
        <v>198</v>
      </c>
      <c r="D97" s="89" t="s">
        <v>152</v>
      </c>
      <c r="E97" s="90">
        <v>2130.6999999999998</v>
      </c>
      <c r="F97" s="91">
        <f>'M.C. MED. 08'!K611</f>
        <v>230.21</v>
      </c>
      <c r="G97" s="91">
        <f t="shared" si="41"/>
        <v>230.21</v>
      </c>
      <c r="H97" s="91"/>
      <c r="I97" s="79">
        <f>SUM(G97:H97)+'BM 007'!I97</f>
        <v>816.32</v>
      </c>
      <c r="J97" s="91">
        <f t="shared" si="39"/>
        <v>1314.3799999999997</v>
      </c>
      <c r="K97" s="80">
        <v>20</v>
      </c>
      <c r="L97" s="81">
        <f t="shared" si="37"/>
        <v>25.352002200000001</v>
      </c>
      <c r="M97" s="82">
        <f t="shared" si="42"/>
        <v>5836.28</v>
      </c>
      <c r="N97" s="82">
        <f t="shared" si="43"/>
        <v>5836.28</v>
      </c>
      <c r="O97" s="82">
        <f>N97+'BM 007'!O97</f>
        <v>20695.32</v>
      </c>
      <c r="P97" s="80">
        <f t="shared" si="44"/>
        <v>42614</v>
      </c>
      <c r="Q97" s="82">
        <f t="shared" si="45"/>
        <v>54017.51</v>
      </c>
      <c r="R97" s="82">
        <f t="shared" si="46"/>
        <v>33322.19</v>
      </c>
    </row>
    <row r="98" spans="2:20" s="34" customFormat="1" ht="46.2">
      <c r="B98" s="87" t="s">
        <v>199</v>
      </c>
      <c r="C98" s="88" t="s">
        <v>200</v>
      </c>
      <c r="D98" s="89" t="s">
        <v>152</v>
      </c>
      <c r="E98" s="90">
        <v>3031.6</v>
      </c>
      <c r="F98" s="91">
        <f>'M.C. MED. 08'!K631</f>
        <v>493.99</v>
      </c>
      <c r="G98" s="91">
        <f t="shared" si="41"/>
        <v>493.99</v>
      </c>
      <c r="H98" s="91"/>
      <c r="I98" s="79">
        <f>SUM(G98:H98)+'BM 007'!I98</f>
        <v>1602.96</v>
      </c>
      <c r="J98" s="91">
        <f t="shared" si="39"/>
        <v>1428.6399999999999</v>
      </c>
      <c r="K98" s="80">
        <v>19</v>
      </c>
      <c r="L98" s="81">
        <f t="shared" si="37"/>
        <v>24.084402090000001</v>
      </c>
      <c r="M98" s="82">
        <f t="shared" si="42"/>
        <v>11897.45</v>
      </c>
      <c r="N98" s="82">
        <f t="shared" si="43"/>
        <v>11897.45</v>
      </c>
      <c r="O98" s="82">
        <f>N98+'BM 007'!O98</f>
        <v>38606.31</v>
      </c>
      <c r="P98" s="80">
        <f t="shared" si="44"/>
        <v>57600.4</v>
      </c>
      <c r="Q98" s="82">
        <f t="shared" si="45"/>
        <v>73014.27</v>
      </c>
      <c r="R98" s="82">
        <f t="shared" si="46"/>
        <v>34407.960000000006</v>
      </c>
    </row>
    <row r="99" spans="2:20" s="34" customFormat="1" ht="46.2">
      <c r="B99" s="87" t="s">
        <v>201</v>
      </c>
      <c r="C99" s="88" t="s">
        <v>202</v>
      </c>
      <c r="D99" s="89" t="s">
        <v>152</v>
      </c>
      <c r="E99" s="90">
        <v>5608.9</v>
      </c>
      <c r="F99" s="91">
        <f>'M.C. MED. 08'!K652</f>
        <v>696.06</v>
      </c>
      <c r="G99" s="91">
        <f t="shared" si="41"/>
        <v>696.06</v>
      </c>
      <c r="H99" s="91"/>
      <c r="I99" s="79">
        <f>SUM(G99:H99)+'BM 007'!I99</f>
        <v>2621.36</v>
      </c>
      <c r="J99" s="91">
        <f t="shared" si="39"/>
        <v>2987.5399999999995</v>
      </c>
      <c r="K99" s="80">
        <v>17.5</v>
      </c>
      <c r="L99" s="81">
        <f t="shared" si="37"/>
        <v>22.183001924999999</v>
      </c>
      <c r="M99" s="82">
        <f t="shared" si="42"/>
        <v>15440.7</v>
      </c>
      <c r="N99" s="82">
        <f t="shared" si="43"/>
        <v>15440.7</v>
      </c>
      <c r="O99" s="82">
        <f>N99+'BM 007'!O99</f>
        <v>58149.619999999995</v>
      </c>
      <c r="P99" s="80">
        <f t="shared" si="44"/>
        <v>98155.75</v>
      </c>
      <c r="Q99" s="82">
        <f t="shared" si="45"/>
        <v>124422.23</v>
      </c>
      <c r="R99" s="82">
        <f t="shared" si="46"/>
        <v>66272.61</v>
      </c>
    </row>
    <row r="100" spans="2:20" s="34" customFormat="1" ht="46.2">
      <c r="B100" s="87" t="s">
        <v>203</v>
      </c>
      <c r="C100" s="88" t="s">
        <v>204</v>
      </c>
      <c r="D100" s="89" t="s">
        <v>152</v>
      </c>
      <c r="E100" s="90">
        <v>4215.2</v>
      </c>
      <c r="F100" s="91">
        <f>'M.C. MED. 08'!K672</f>
        <v>476.44</v>
      </c>
      <c r="G100" s="91">
        <f t="shared" si="41"/>
        <v>476.44</v>
      </c>
      <c r="H100" s="91"/>
      <c r="I100" s="79">
        <f>SUM(G100:H100)+'BM 007'!I100</f>
        <v>1550.1200000000001</v>
      </c>
      <c r="J100" s="91">
        <f t="shared" si="39"/>
        <v>2665.08</v>
      </c>
      <c r="K100" s="80">
        <v>16</v>
      </c>
      <c r="L100" s="81">
        <f t="shared" si="37"/>
        <v>20.281601760000001</v>
      </c>
      <c r="M100" s="82">
        <f t="shared" si="42"/>
        <v>9662.9599999999991</v>
      </c>
      <c r="N100" s="82">
        <f t="shared" si="43"/>
        <v>9662.9599999999991</v>
      </c>
      <c r="O100" s="82">
        <f>N100+'BM 007'!O100</f>
        <v>31438.9</v>
      </c>
      <c r="P100" s="80">
        <f t="shared" si="44"/>
        <v>67443.199999999997</v>
      </c>
      <c r="Q100" s="82">
        <f t="shared" si="45"/>
        <v>85491</v>
      </c>
      <c r="R100" s="82">
        <f t="shared" si="46"/>
        <v>54052.1</v>
      </c>
    </row>
    <row r="101" spans="2:20" s="34" customFormat="1" ht="46.2">
      <c r="B101" s="87" t="s">
        <v>205</v>
      </c>
      <c r="C101" s="88" t="s">
        <v>206</v>
      </c>
      <c r="D101" s="89" t="s">
        <v>152</v>
      </c>
      <c r="E101" s="90">
        <v>3267</v>
      </c>
      <c r="F101" s="91">
        <f>'M.C. MED. 08'!K694</f>
        <v>368.63</v>
      </c>
      <c r="G101" s="91">
        <f t="shared" si="41"/>
        <v>368.63</v>
      </c>
      <c r="H101" s="91"/>
      <c r="I101" s="79">
        <f>SUM(G101:H101)+'BM 007'!I101</f>
        <v>2799.82</v>
      </c>
      <c r="J101" s="91">
        <f t="shared" si="39"/>
        <v>467.17999999999984</v>
      </c>
      <c r="K101" s="80">
        <v>14.5</v>
      </c>
      <c r="L101" s="81">
        <f t="shared" si="37"/>
        <v>18.380201595000003</v>
      </c>
      <c r="M101" s="82">
        <f t="shared" si="42"/>
        <v>6775.49</v>
      </c>
      <c r="N101" s="82">
        <f t="shared" si="43"/>
        <v>6775.49</v>
      </c>
      <c r="O101" s="82">
        <f>N101+'BM 007'!O101</f>
        <v>51461.23</v>
      </c>
      <c r="P101" s="80">
        <f t="shared" si="44"/>
        <v>47371.5</v>
      </c>
      <c r="Q101" s="82">
        <f t="shared" si="45"/>
        <v>60048.11</v>
      </c>
      <c r="R101" s="82">
        <f t="shared" si="46"/>
        <v>8586.8799999999974</v>
      </c>
      <c r="T101" s="96"/>
    </row>
    <row r="102" spans="2:20" s="34" customFormat="1" ht="46.2">
      <c r="B102" s="87" t="s">
        <v>207</v>
      </c>
      <c r="C102" s="88" t="s">
        <v>208</v>
      </c>
      <c r="D102" s="89" t="s">
        <v>152</v>
      </c>
      <c r="E102" s="90">
        <v>8421.6</v>
      </c>
      <c r="F102" s="91">
        <f>'M.C. MED. 08'!K714</f>
        <v>635.29999999999995</v>
      </c>
      <c r="G102" s="91">
        <f t="shared" si="41"/>
        <v>635.29999999999995</v>
      </c>
      <c r="H102" s="91"/>
      <c r="I102" s="79">
        <f>SUM(G102:H102)+'BM 007'!I102</f>
        <v>3228.5699999999997</v>
      </c>
      <c r="J102" s="91">
        <f t="shared" si="39"/>
        <v>5193.0300000000007</v>
      </c>
      <c r="K102" s="94">
        <v>14.5</v>
      </c>
      <c r="L102" s="81">
        <f t="shared" si="37"/>
        <v>18.380201595000003</v>
      </c>
      <c r="M102" s="82">
        <f t="shared" si="42"/>
        <v>11676.94</v>
      </c>
      <c r="N102" s="82">
        <f t="shared" si="43"/>
        <v>11676.94</v>
      </c>
      <c r="O102" s="82">
        <f>N102+'BM 007'!O102</f>
        <v>59341.740000000005</v>
      </c>
      <c r="P102" s="80">
        <f t="shared" si="44"/>
        <v>122113.20000000001</v>
      </c>
      <c r="Q102" s="82">
        <f t="shared" si="45"/>
        <v>154790.70000000001</v>
      </c>
      <c r="R102" s="82">
        <f t="shared" si="46"/>
        <v>95448.960000000006</v>
      </c>
      <c r="T102" s="96"/>
    </row>
    <row r="103" spans="2:20" s="34" customFormat="1" ht="46.2">
      <c r="B103" s="87" t="s">
        <v>209</v>
      </c>
      <c r="C103" s="88" t="s">
        <v>210</v>
      </c>
      <c r="D103" s="89" t="s">
        <v>152</v>
      </c>
      <c r="E103" s="92">
        <v>7144.5</v>
      </c>
      <c r="F103" s="91">
        <f>'M.C. MED. 08'!K735</f>
        <v>756.81</v>
      </c>
      <c r="G103" s="91">
        <f t="shared" si="41"/>
        <v>756.81</v>
      </c>
      <c r="H103" s="91"/>
      <c r="I103" s="79">
        <f>SUM(G103:H103)+'BM 007'!I103</f>
        <v>4228.92</v>
      </c>
      <c r="J103" s="91">
        <f t="shared" si="39"/>
        <v>2915.58</v>
      </c>
      <c r="K103" s="80">
        <v>14</v>
      </c>
      <c r="L103" s="81">
        <f t="shared" si="37"/>
        <v>17.746401540000001</v>
      </c>
      <c r="M103" s="82">
        <f t="shared" si="42"/>
        <v>13430.65</v>
      </c>
      <c r="N103" s="82">
        <f t="shared" si="43"/>
        <v>13430.65</v>
      </c>
      <c r="O103" s="82">
        <f>N103+'BM 007'!O103</f>
        <v>75048.08</v>
      </c>
      <c r="P103" s="80">
        <f t="shared" si="44"/>
        <v>100023</v>
      </c>
      <c r="Q103" s="82">
        <f t="shared" si="45"/>
        <v>126789.16</v>
      </c>
      <c r="R103" s="82">
        <f t="shared" si="46"/>
        <v>51741.08</v>
      </c>
      <c r="T103" s="96"/>
    </row>
    <row r="104" spans="2:20" s="34" customFormat="1" ht="46.2">
      <c r="B104" s="87" t="s">
        <v>211</v>
      </c>
      <c r="C104" s="88" t="s">
        <v>212</v>
      </c>
      <c r="D104" s="89" t="s">
        <v>152</v>
      </c>
      <c r="E104" s="92">
        <v>6531.8</v>
      </c>
      <c r="F104" s="91">
        <f>'M.C. MED. 08'!K756</f>
        <v>423.83</v>
      </c>
      <c r="G104" s="91">
        <f t="shared" si="41"/>
        <v>423.83</v>
      </c>
      <c r="H104" s="91"/>
      <c r="I104" s="79">
        <f>SUM(G104:H104)+'BM 007'!I104</f>
        <v>4047.5499999999997</v>
      </c>
      <c r="J104" s="91">
        <f t="shared" si="39"/>
        <v>2484.2500000000005</v>
      </c>
      <c r="K104" s="95">
        <v>14</v>
      </c>
      <c r="L104" s="81">
        <f t="shared" si="37"/>
        <v>17.746401540000001</v>
      </c>
      <c r="M104" s="82">
        <f t="shared" si="42"/>
        <v>7521.45</v>
      </c>
      <c r="N104" s="82">
        <f t="shared" si="43"/>
        <v>7521.45</v>
      </c>
      <c r="O104" s="82">
        <f>N104+'BM 007'!O104</f>
        <v>71829.430000000008</v>
      </c>
      <c r="P104" s="80">
        <f t="shared" si="44"/>
        <v>91445.2</v>
      </c>
      <c r="Q104" s="82">
        <f t="shared" si="45"/>
        <v>115915.94</v>
      </c>
      <c r="R104" s="82">
        <f t="shared" si="46"/>
        <v>44086.509999999995</v>
      </c>
      <c r="T104" s="96"/>
    </row>
    <row r="105" spans="2:20" s="34" customFormat="1" ht="23.4">
      <c r="B105" s="87" t="s">
        <v>213</v>
      </c>
      <c r="C105" s="88" t="s">
        <v>190</v>
      </c>
      <c r="D105" s="89" t="s">
        <v>63</v>
      </c>
      <c r="E105" s="92">
        <v>240</v>
      </c>
      <c r="F105" s="91">
        <f>TRUNC((I106/E106)*E105,0)-84</f>
        <v>33</v>
      </c>
      <c r="G105" s="91">
        <f t="shared" si="41"/>
        <v>33</v>
      </c>
      <c r="H105" s="91"/>
      <c r="I105" s="79">
        <f>SUM(G105:H105)+'BM 007'!I105</f>
        <v>117</v>
      </c>
      <c r="J105" s="91">
        <f t="shared" si="39"/>
        <v>123</v>
      </c>
      <c r="K105" s="80">
        <v>30</v>
      </c>
      <c r="L105" s="81">
        <f t="shared" si="37"/>
        <v>38.028003300000002</v>
      </c>
      <c r="M105" s="82">
        <f t="shared" si="42"/>
        <v>1254.92</v>
      </c>
      <c r="N105" s="82">
        <f t="shared" si="43"/>
        <v>1254.92</v>
      </c>
      <c r="O105" s="82">
        <f>N105+'BM 007'!O105</f>
        <v>4449.26</v>
      </c>
      <c r="P105" s="80">
        <f t="shared" si="44"/>
        <v>7200</v>
      </c>
      <c r="Q105" s="82">
        <f t="shared" si="45"/>
        <v>9126.7199999999993</v>
      </c>
      <c r="R105" s="82">
        <f t="shared" si="46"/>
        <v>4677.4599999999991</v>
      </c>
      <c r="T105" s="96"/>
    </row>
    <row r="106" spans="2:20" s="34" customFormat="1" ht="23.4">
      <c r="B106" s="87" t="s">
        <v>214</v>
      </c>
      <c r="C106" s="88" t="s">
        <v>215</v>
      </c>
      <c r="D106" s="89" t="s">
        <v>169</v>
      </c>
      <c r="E106" s="92">
        <v>364.43</v>
      </c>
      <c r="F106" s="91">
        <f>'M.C. MED. 08'!K889</f>
        <v>53.49</v>
      </c>
      <c r="G106" s="91">
        <f t="shared" si="41"/>
        <v>53.49</v>
      </c>
      <c r="H106" s="91"/>
      <c r="I106" s="79">
        <f>SUM(G106:H106)+'BM 007'!I106</f>
        <v>178.84000000000003</v>
      </c>
      <c r="J106" s="91">
        <f t="shared" si="39"/>
        <v>185.58999999999997</v>
      </c>
      <c r="K106" s="95">
        <v>750</v>
      </c>
      <c r="L106" s="81">
        <f t="shared" si="37"/>
        <v>950.70008250000001</v>
      </c>
      <c r="M106" s="82">
        <f t="shared" si="42"/>
        <v>50852.94</v>
      </c>
      <c r="N106" s="82">
        <f t="shared" si="43"/>
        <v>50852.94</v>
      </c>
      <c r="O106" s="82">
        <f>N106+'BM 007'!O106</f>
        <v>170023.18</v>
      </c>
      <c r="P106" s="80">
        <f t="shared" si="44"/>
        <v>273322.5</v>
      </c>
      <c r="Q106" s="82">
        <f t="shared" si="45"/>
        <v>346463.63</v>
      </c>
      <c r="R106" s="82">
        <f t="shared" si="46"/>
        <v>176440.45</v>
      </c>
      <c r="T106" s="96"/>
    </row>
    <row r="107" spans="2:20" s="34" customFormat="1" ht="13.2">
      <c r="B107" s="66" t="s">
        <v>216</v>
      </c>
      <c r="C107" s="67" t="s">
        <v>217</v>
      </c>
      <c r="D107" s="68"/>
      <c r="E107" s="69"/>
      <c r="F107" s="70"/>
      <c r="G107" s="70"/>
      <c r="H107" s="70"/>
      <c r="I107" s="70">
        <f>SUM(G107:H107)+'BM 007'!I107</f>
        <v>0</v>
      </c>
      <c r="J107" s="70">
        <f t="shared" si="39"/>
        <v>0</v>
      </c>
      <c r="K107" s="71"/>
      <c r="L107" s="71">
        <f t="shared" si="37"/>
        <v>0</v>
      </c>
      <c r="M107" s="73">
        <f t="shared" ref="M107:R107" si="47">SUM(M108:M119)</f>
        <v>150565.99000000002</v>
      </c>
      <c r="N107" s="73">
        <f t="shared" si="47"/>
        <v>150565.99000000002</v>
      </c>
      <c r="O107" s="73">
        <f t="shared" si="47"/>
        <v>681439.56</v>
      </c>
      <c r="P107" s="73">
        <f t="shared" si="47"/>
        <v>951249.7</v>
      </c>
      <c r="Q107" s="73">
        <f t="shared" si="47"/>
        <v>1205804.17</v>
      </c>
      <c r="R107" s="73">
        <f t="shared" si="47"/>
        <v>524364.60999999987</v>
      </c>
      <c r="T107" s="96"/>
    </row>
    <row r="108" spans="2:20" s="34" customFormat="1" ht="46.2">
      <c r="B108" s="87" t="s">
        <v>218</v>
      </c>
      <c r="C108" s="88" t="s">
        <v>219</v>
      </c>
      <c r="D108" s="89" t="s">
        <v>79</v>
      </c>
      <c r="E108" s="92">
        <v>2299</v>
      </c>
      <c r="F108" s="91">
        <f>TRUNC((I119/E119)*E108,0)-1068.06</f>
        <v>240.94000000000005</v>
      </c>
      <c r="G108" s="91">
        <f t="shared" ref="G108:G119" si="48">F108</f>
        <v>240.94000000000005</v>
      </c>
      <c r="H108" s="91"/>
      <c r="I108" s="79">
        <f>SUM(G108:H108)+'BM 007'!I108</f>
        <v>1309</v>
      </c>
      <c r="J108" s="91">
        <f t="shared" si="39"/>
        <v>990</v>
      </c>
      <c r="K108" s="80">
        <v>60</v>
      </c>
      <c r="L108" s="81">
        <f t="shared" si="37"/>
        <v>76.056006600000003</v>
      </c>
      <c r="M108" s="82">
        <f t="shared" ref="M108:M119" si="49">TRUNC(F108*L108,2)</f>
        <v>18324.93</v>
      </c>
      <c r="N108" s="82">
        <f t="shared" ref="N108:N119" si="50">TRUNC(G108*L108,2)</f>
        <v>18324.93</v>
      </c>
      <c r="O108" s="82">
        <f>N108+'BM 007'!O108</f>
        <v>99557.28</v>
      </c>
      <c r="P108" s="80">
        <f t="shared" ref="P108:P119" si="51">E108*K108</f>
        <v>137940</v>
      </c>
      <c r="Q108" s="82">
        <f t="shared" ref="Q108:Q119" si="52">TRUNC(E108*L108,2)</f>
        <v>174852.75</v>
      </c>
      <c r="R108" s="82">
        <f t="shared" ref="R108:R119" si="53">Q108-O108</f>
        <v>75295.47</v>
      </c>
      <c r="T108" s="96"/>
    </row>
    <row r="109" spans="2:20" s="34" customFormat="1" ht="46.2">
      <c r="B109" s="87" t="s">
        <v>220</v>
      </c>
      <c r="C109" s="88" t="s">
        <v>198</v>
      </c>
      <c r="D109" s="89" t="s">
        <v>152</v>
      </c>
      <c r="E109" s="90">
        <v>347.6</v>
      </c>
      <c r="F109" s="91">
        <f>'M.C. MED. 08'!K904</f>
        <v>37.35</v>
      </c>
      <c r="G109" s="91">
        <f t="shared" si="48"/>
        <v>37.35</v>
      </c>
      <c r="H109" s="91"/>
      <c r="I109" s="79">
        <f>SUM(G109:H109)+'BM 007'!I109</f>
        <v>188</v>
      </c>
      <c r="J109" s="91">
        <f t="shared" si="39"/>
        <v>159.60000000000002</v>
      </c>
      <c r="K109" s="80">
        <v>20</v>
      </c>
      <c r="L109" s="81">
        <f t="shared" si="37"/>
        <v>25.352002200000001</v>
      </c>
      <c r="M109" s="82">
        <f t="shared" si="49"/>
        <v>946.89</v>
      </c>
      <c r="N109" s="82">
        <f t="shared" si="50"/>
        <v>946.89</v>
      </c>
      <c r="O109" s="82">
        <f>N109+'BM 007'!O109</f>
        <v>4766.1499999999996</v>
      </c>
      <c r="P109" s="80">
        <f t="shared" si="51"/>
        <v>6952</v>
      </c>
      <c r="Q109" s="82">
        <f t="shared" si="52"/>
        <v>8812.35</v>
      </c>
      <c r="R109" s="82">
        <f t="shared" si="53"/>
        <v>4046.2000000000007</v>
      </c>
      <c r="T109" s="96"/>
    </row>
    <row r="110" spans="2:20" s="34" customFormat="1" ht="46.2">
      <c r="B110" s="87" t="s">
        <v>221</v>
      </c>
      <c r="C110" s="88" t="s">
        <v>222</v>
      </c>
      <c r="D110" s="89" t="s">
        <v>152</v>
      </c>
      <c r="E110" s="90">
        <v>3626.7</v>
      </c>
      <c r="F110" s="91">
        <f>'M.C. MED. 08'!K919</f>
        <v>312</v>
      </c>
      <c r="G110" s="91">
        <f t="shared" si="48"/>
        <v>312</v>
      </c>
      <c r="H110" s="91"/>
      <c r="I110" s="79">
        <f>SUM(G110:H110)+'BM 007'!I110</f>
        <v>1816.3100000000002</v>
      </c>
      <c r="J110" s="91">
        <f t="shared" si="39"/>
        <v>1810.3899999999996</v>
      </c>
      <c r="K110" s="80">
        <v>19</v>
      </c>
      <c r="L110" s="81">
        <f t="shared" si="37"/>
        <v>24.084402090000001</v>
      </c>
      <c r="M110" s="82">
        <f t="shared" si="49"/>
        <v>7514.33</v>
      </c>
      <c r="N110" s="82">
        <f t="shared" si="50"/>
        <v>7514.33</v>
      </c>
      <c r="O110" s="82">
        <f>N110+'BM 007'!O110</f>
        <v>43744.710000000006</v>
      </c>
      <c r="P110" s="80">
        <f t="shared" si="51"/>
        <v>68907.3</v>
      </c>
      <c r="Q110" s="82">
        <f t="shared" si="52"/>
        <v>87346.9</v>
      </c>
      <c r="R110" s="82">
        <f t="shared" si="53"/>
        <v>43602.189999999988</v>
      </c>
      <c r="T110" s="96"/>
    </row>
    <row r="111" spans="2:20" s="34" customFormat="1" ht="46.2">
      <c r="B111" s="87" t="s">
        <v>223</v>
      </c>
      <c r="C111" s="88" t="s">
        <v>202</v>
      </c>
      <c r="D111" s="89" t="s">
        <v>152</v>
      </c>
      <c r="E111" s="90">
        <v>1762.2</v>
      </c>
      <c r="F111" s="79">
        <f>'M.C. MED. 08'!K935</f>
        <v>106.23</v>
      </c>
      <c r="G111" s="91">
        <f t="shared" si="48"/>
        <v>106.23</v>
      </c>
      <c r="H111" s="91"/>
      <c r="I111" s="79">
        <f>SUM(G111:H111)+'BM 007'!I111</f>
        <v>792.46</v>
      </c>
      <c r="J111" s="91">
        <f t="shared" si="39"/>
        <v>969.74</v>
      </c>
      <c r="K111" s="80">
        <v>17.5</v>
      </c>
      <c r="L111" s="81">
        <f t="shared" si="37"/>
        <v>22.183001924999999</v>
      </c>
      <c r="M111" s="82">
        <f t="shared" si="49"/>
        <v>2356.5</v>
      </c>
      <c r="N111" s="82">
        <f t="shared" si="50"/>
        <v>2356.5</v>
      </c>
      <c r="O111" s="82">
        <f>N111+'BM 007'!O111</f>
        <v>17579.129999999997</v>
      </c>
      <c r="P111" s="80">
        <f t="shared" si="51"/>
        <v>30838.5</v>
      </c>
      <c r="Q111" s="82">
        <f t="shared" si="52"/>
        <v>39090.879999999997</v>
      </c>
      <c r="R111" s="82">
        <f t="shared" si="53"/>
        <v>21511.75</v>
      </c>
    </row>
    <row r="112" spans="2:20" s="34" customFormat="1" ht="46.2">
      <c r="B112" s="87" t="s">
        <v>224</v>
      </c>
      <c r="C112" s="88" t="s">
        <v>204</v>
      </c>
      <c r="D112" s="89" t="s">
        <v>152</v>
      </c>
      <c r="E112" s="90">
        <v>542.29999999999995</v>
      </c>
      <c r="F112" s="79">
        <f>'M.C. MED. 08'!K950</f>
        <v>30.13</v>
      </c>
      <c r="G112" s="91">
        <f t="shared" si="48"/>
        <v>30.13</v>
      </c>
      <c r="H112" s="91"/>
      <c r="I112" s="79">
        <f>SUM(G112:H112)+'BM 007'!I112</f>
        <v>273.56</v>
      </c>
      <c r="J112" s="91">
        <f t="shared" si="39"/>
        <v>268.73999999999995</v>
      </c>
      <c r="K112" s="80">
        <v>16</v>
      </c>
      <c r="L112" s="81">
        <f t="shared" si="37"/>
        <v>20.281601760000001</v>
      </c>
      <c r="M112" s="82">
        <f t="shared" si="49"/>
        <v>611.08000000000004</v>
      </c>
      <c r="N112" s="82">
        <f t="shared" si="50"/>
        <v>611.08000000000004</v>
      </c>
      <c r="O112" s="82">
        <f>N112+'BM 007'!O112</f>
        <v>5548.21</v>
      </c>
      <c r="P112" s="80">
        <f t="shared" si="51"/>
        <v>8676.7999999999993</v>
      </c>
      <c r="Q112" s="82">
        <f t="shared" si="52"/>
        <v>10998.71</v>
      </c>
      <c r="R112" s="82">
        <f t="shared" si="53"/>
        <v>5450.4999999999991</v>
      </c>
      <c r="T112" s="83"/>
    </row>
    <row r="113" spans="2:20" s="34" customFormat="1" ht="46.2">
      <c r="B113" s="87" t="s">
        <v>225</v>
      </c>
      <c r="C113" s="88" t="s">
        <v>206</v>
      </c>
      <c r="D113" s="89" t="s">
        <v>152</v>
      </c>
      <c r="E113" s="90">
        <v>3532.1</v>
      </c>
      <c r="F113" s="79">
        <f>'M.C. MED. 08'!K965</f>
        <v>281.98</v>
      </c>
      <c r="G113" s="91">
        <f t="shared" si="48"/>
        <v>281.98</v>
      </c>
      <c r="H113" s="91"/>
      <c r="I113" s="79">
        <f>SUM(G113:H113)+'BM 007'!I113</f>
        <v>1524.57</v>
      </c>
      <c r="J113" s="91">
        <f t="shared" si="39"/>
        <v>2007.53</v>
      </c>
      <c r="K113" s="80">
        <v>14.5</v>
      </c>
      <c r="L113" s="81">
        <f t="shared" si="37"/>
        <v>18.380201595000003</v>
      </c>
      <c r="M113" s="82">
        <f t="shared" si="49"/>
        <v>5182.84</v>
      </c>
      <c r="N113" s="82">
        <f t="shared" si="50"/>
        <v>5182.84</v>
      </c>
      <c r="O113" s="82">
        <f>N113+'BM 007'!O113</f>
        <v>28021.87</v>
      </c>
      <c r="P113" s="80">
        <f t="shared" si="51"/>
        <v>51215.45</v>
      </c>
      <c r="Q113" s="82">
        <f t="shared" si="52"/>
        <v>64920.71</v>
      </c>
      <c r="R113" s="82">
        <f t="shared" si="53"/>
        <v>36898.839999999997</v>
      </c>
      <c r="T113" s="83"/>
    </row>
    <row r="114" spans="2:20" s="34" customFormat="1" ht="46.2">
      <c r="B114" s="87" t="s">
        <v>226</v>
      </c>
      <c r="C114" s="88" t="s">
        <v>208</v>
      </c>
      <c r="D114" s="89" t="s">
        <v>152</v>
      </c>
      <c r="E114" s="90">
        <v>7313.9</v>
      </c>
      <c r="F114" s="79">
        <f>'M.C. MED. 08'!K980</f>
        <v>428.04</v>
      </c>
      <c r="G114" s="91">
        <f t="shared" si="48"/>
        <v>428.04</v>
      </c>
      <c r="H114" s="91"/>
      <c r="I114" s="79">
        <f>SUM(G114:H114)+'BM 007'!I114</f>
        <v>4081.1</v>
      </c>
      <c r="J114" s="91">
        <f t="shared" si="39"/>
        <v>3232.7999999999997</v>
      </c>
      <c r="K114" s="94">
        <v>14.5</v>
      </c>
      <c r="L114" s="81">
        <f t="shared" si="37"/>
        <v>18.380201595000003</v>
      </c>
      <c r="M114" s="82">
        <f t="shared" si="49"/>
        <v>7867.46</v>
      </c>
      <c r="N114" s="82">
        <f t="shared" si="50"/>
        <v>7867.46</v>
      </c>
      <c r="O114" s="82">
        <f>N114+'BM 007'!O114</f>
        <v>75011.430000000008</v>
      </c>
      <c r="P114" s="80">
        <f t="shared" si="51"/>
        <v>106051.54999999999</v>
      </c>
      <c r="Q114" s="82">
        <f t="shared" si="52"/>
        <v>134430.95000000001</v>
      </c>
      <c r="R114" s="82">
        <f t="shared" si="53"/>
        <v>59419.520000000004</v>
      </c>
      <c r="T114" s="83"/>
    </row>
    <row r="115" spans="2:20" s="34" customFormat="1" ht="46.2">
      <c r="B115" s="87" t="s">
        <v>227</v>
      </c>
      <c r="C115" s="88" t="s">
        <v>210</v>
      </c>
      <c r="D115" s="89" t="s">
        <v>152</v>
      </c>
      <c r="E115" s="92">
        <v>4513.3</v>
      </c>
      <c r="F115" s="79">
        <f>'M.C. MED. 08'!K995</f>
        <v>167.5</v>
      </c>
      <c r="G115" s="91">
        <f t="shared" si="48"/>
        <v>167.5</v>
      </c>
      <c r="H115" s="91"/>
      <c r="I115" s="79">
        <f>SUM(G115:H115)+'BM 007'!I115</f>
        <v>2423.42</v>
      </c>
      <c r="J115" s="91">
        <f t="shared" si="39"/>
        <v>2089.88</v>
      </c>
      <c r="K115" s="80">
        <v>14</v>
      </c>
      <c r="L115" s="81">
        <f t="shared" si="37"/>
        <v>17.746401540000001</v>
      </c>
      <c r="M115" s="82">
        <f t="shared" si="49"/>
        <v>2972.52</v>
      </c>
      <c r="N115" s="82">
        <f t="shared" si="50"/>
        <v>2972.52</v>
      </c>
      <c r="O115" s="82">
        <f>N115+'BM 007'!O115</f>
        <v>43006.969999999994</v>
      </c>
      <c r="P115" s="80">
        <f t="shared" si="51"/>
        <v>63186.200000000004</v>
      </c>
      <c r="Q115" s="82">
        <f t="shared" si="52"/>
        <v>80094.83</v>
      </c>
      <c r="R115" s="82">
        <f t="shared" si="53"/>
        <v>37087.860000000008</v>
      </c>
      <c r="T115" s="83"/>
    </row>
    <row r="116" spans="2:20" s="34" customFormat="1" ht="46.2">
      <c r="B116" s="87" t="s">
        <v>228</v>
      </c>
      <c r="C116" s="88" t="s">
        <v>212</v>
      </c>
      <c r="D116" s="89" t="s">
        <v>152</v>
      </c>
      <c r="E116" s="92">
        <v>14626.7</v>
      </c>
      <c r="F116" s="79">
        <f>'M.C. MED. 08'!K1010</f>
        <v>3938.65</v>
      </c>
      <c r="G116" s="91">
        <f t="shared" si="48"/>
        <v>3938.65</v>
      </c>
      <c r="H116" s="91"/>
      <c r="I116" s="79">
        <f>SUM(G116:H116)+'BM 007'!I116</f>
        <v>9430.19</v>
      </c>
      <c r="J116" s="91">
        <f t="shared" si="39"/>
        <v>5196.51</v>
      </c>
      <c r="K116" s="95">
        <v>14</v>
      </c>
      <c r="L116" s="81">
        <f t="shared" si="37"/>
        <v>17.746401540000001</v>
      </c>
      <c r="M116" s="82">
        <f t="shared" si="49"/>
        <v>69896.86</v>
      </c>
      <c r="N116" s="82">
        <f t="shared" si="50"/>
        <v>69896.86</v>
      </c>
      <c r="O116" s="82">
        <f>N116+'BM 007'!O116</f>
        <v>167351.91999999998</v>
      </c>
      <c r="P116" s="80">
        <f t="shared" si="51"/>
        <v>204773.80000000002</v>
      </c>
      <c r="Q116" s="82">
        <f t="shared" si="52"/>
        <v>259571.29</v>
      </c>
      <c r="R116" s="82">
        <f t="shared" si="53"/>
        <v>92219.370000000024</v>
      </c>
      <c r="T116" s="83"/>
    </row>
    <row r="117" spans="2:20" s="34" customFormat="1" ht="22.8">
      <c r="B117" s="87" t="s">
        <v>229</v>
      </c>
      <c r="C117" s="88" t="s">
        <v>230</v>
      </c>
      <c r="D117" s="89" t="s">
        <v>231</v>
      </c>
      <c r="E117" s="92">
        <v>3177.02</v>
      </c>
      <c r="F117" s="91">
        <f>TRUNC((I119/E119)*E117,0)-1493.2</f>
        <v>315.79999999999995</v>
      </c>
      <c r="G117" s="91">
        <f t="shared" si="48"/>
        <v>315.79999999999995</v>
      </c>
      <c r="H117" s="91"/>
      <c r="I117" s="79">
        <f>SUM(G117:H117)+'BM 007'!I117</f>
        <v>1809</v>
      </c>
      <c r="J117" s="91">
        <f t="shared" si="39"/>
        <v>1368.02</v>
      </c>
      <c r="K117" s="80">
        <v>30</v>
      </c>
      <c r="L117" s="81">
        <f t="shared" si="37"/>
        <v>38.028003300000002</v>
      </c>
      <c r="M117" s="82">
        <f t="shared" si="49"/>
        <v>12009.24</v>
      </c>
      <c r="N117" s="82">
        <f t="shared" si="50"/>
        <v>12009.24</v>
      </c>
      <c r="O117" s="82">
        <f>N117+'BM 007'!O117</f>
        <v>68792.63</v>
      </c>
      <c r="P117" s="80">
        <f t="shared" si="51"/>
        <v>95310.6</v>
      </c>
      <c r="Q117" s="82">
        <f t="shared" si="52"/>
        <v>120815.72</v>
      </c>
      <c r="R117" s="82">
        <f t="shared" si="53"/>
        <v>52023.09</v>
      </c>
      <c r="T117" s="83"/>
    </row>
    <row r="118" spans="2:20" s="34" customFormat="1" ht="23.4">
      <c r="B118" s="87" t="s">
        <v>232</v>
      </c>
      <c r="C118" s="88" t="s">
        <v>190</v>
      </c>
      <c r="D118" s="89" t="s">
        <v>63</v>
      </c>
      <c r="E118" s="92">
        <v>240</v>
      </c>
      <c r="F118" s="91">
        <f>TRUNC((I119/E119)*E118,0)-130</f>
        <v>6</v>
      </c>
      <c r="G118" s="91">
        <f t="shared" si="48"/>
        <v>6</v>
      </c>
      <c r="H118" s="91"/>
      <c r="I118" s="79">
        <f>SUM(G118:H118)+'BM 007'!I118</f>
        <v>136</v>
      </c>
      <c r="J118" s="91">
        <f t="shared" si="39"/>
        <v>104</v>
      </c>
      <c r="K118" s="80">
        <v>30</v>
      </c>
      <c r="L118" s="81">
        <f t="shared" si="37"/>
        <v>38.028003300000002</v>
      </c>
      <c r="M118" s="82">
        <f t="shared" si="49"/>
        <v>228.16</v>
      </c>
      <c r="N118" s="82">
        <f t="shared" si="50"/>
        <v>228.16</v>
      </c>
      <c r="O118" s="82">
        <f>N118+'BM 007'!O118</f>
        <v>5171.7899999999991</v>
      </c>
      <c r="P118" s="80">
        <f t="shared" si="51"/>
        <v>7200</v>
      </c>
      <c r="Q118" s="82">
        <f t="shared" si="52"/>
        <v>9126.7199999999993</v>
      </c>
      <c r="R118" s="82">
        <f t="shared" si="53"/>
        <v>3954.9300000000003</v>
      </c>
      <c r="T118" s="83"/>
    </row>
    <row r="119" spans="2:20" s="34" customFormat="1" ht="23.4">
      <c r="B119" s="87" t="s">
        <v>233</v>
      </c>
      <c r="C119" s="88" t="s">
        <v>215</v>
      </c>
      <c r="D119" s="89" t="s">
        <v>169</v>
      </c>
      <c r="E119" s="92">
        <v>226.93</v>
      </c>
      <c r="F119" s="91">
        <f>'M.C. MED. 08'!K1181</f>
        <v>23.83</v>
      </c>
      <c r="G119" s="91">
        <f t="shared" si="48"/>
        <v>23.83</v>
      </c>
      <c r="H119" s="91"/>
      <c r="I119" s="79">
        <f>SUM(G119:H119)+'BM 007'!I119</f>
        <v>129.26</v>
      </c>
      <c r="J119" s="91">
        <f t="shared" si="39"/>
        <v>97.670000000000016</v>
      </c>
      <c r="K119" s="95">
        <v>750</v>
      </c>
      <c r="L119" s="81">
        <f t="shared" si="37"/>
        <v>950.70008250000001</v>
      </c>
      <c r="M119" s="82">
        <f t="shared" si="49"/>
        <v>22655.18</v>
      </c>
      <c r="N119" s="82">
        <f t="shared" si="50"/>
        <v>22655.18</v>
      </c>
      <c r="O119" s="82">
        <f>N119+'BM 007'!O119</f>
        <v>122887.47</v>
      </c>
      <c r="P119" s="80">
        <f t="shared" si="51"/>
        <v>170197.5</v>
      </c>
      <c r="Q119" s="82">
        <f t="shared" si="52"/>
        <v>215742.36</v>
      </c>
      <c r="R119" s="82">
        <f t="shared" si="53"/>
        <v>92854.889999999985</v>
      </c>
      <c r="T119" s="83"/>
    </row>
    <row r="120" spans="2:20" s="34" customFormat="1" ht="13.2">
      <c r="B120" s="66" t="s">
        <v>234</v>
      </c>
      <c r="C120" s="67" t="s">
        <v>235</v>
      </c>
      <c r="D120" s="68"/>
      <c r="E120" s="69"/>
      <c r="F120" s="70"/>
      <c r="G120" s="70"/>
      <c r="H120" s="70"/>
      <c r="I120" s="70">
        <f>SUM(G120:H120)+'BM 007'!I120</f>
        <v>0</v>
      </c>
      <c r="J120" s="70">
        <f t="shared" si="39"/>
        <v>0</v>
      </c>
      <c r="K120" s="71"/>
      <c r="L120" s="71">
        <f t="shared" si="37"/>
        <v>0</v>
      </c>
      <c r="M120" s="73">
        <f t="shared" ref="M120:R120" si="54">SUM(M121:M130)</f>
        <v>590379.71</v>
      </c>
      <c r="N120" s="73">
        <f t="shared" si="54"/>
        <v>590379.71</v>
      </c>
      <c r="O120" s="73">
        <f t="shared" si="54"/>
        <v>1718496.3</v>
      </c>
      <c r="P120" s="73">
        <f t="shared" si="54"/>
        <v>2218671.0499999998</v>
      </c>
      <c r="Q120" s="73">
        <f t="shared" si="54"/>
        <v>2812387.62</v>
      </c>
      <c r="R120" s="73">
        <f t="shared" si="54"/>
        <v>1093891.3199999998</v>
      </c>
      <c r="T120" s="83"/>
    </row>
    <row r="121" spans="2:20" s="34" customFormat="1" ht="57.6">
      <c r="B121" s="87" t="s">
        <v>236</v>
      </c>
      <c r="C121" s="88" t="s">
        <v>237</v>
      </c>
      <c r="D121" s="89" t="s">
        <v>79</v>
      </c>
      <c r="E121" s="92">
        <v>770.47</v>
      </c>
      <c r="F121" s="91">
        <f>TRUNC((I130/E130)*E121,2)-282.83</f>
        <v>129.86000000000001</v>
      </c>
      <c r="G121" s="91">
        <f t="shared" ref="G121:G130" si="55">F121</f>
        <v>129.86000000000001</v>
      </c>
      <c r="H121" s="91"/>
      <c r="I121" s="79">
        <f>SUM(G121:H121)+'BM 007'!I121</f>
        <v>412.69</v>
      </c>
      <c r="J121" s="91">
        <f t="shared" si="39"/>
        <v>357.78000000000003</v>
      </c>
      <c r="K121" s="80">
        <v>130</v>
      </c>
      <c r="L121" s="81">
        <f t="shared" si="37"/>
        <v>164.78801430000001</v>
      </c>
      <c r="M121" s="82">
        <f t="shared" ref="M121:M130" si="56">TRUNC(F121*L121,2)</f>
        <v>21399.37</v>
      </c>
      <c r="N121" s="82">
        <f t="shared" ref="N121:N130" si="57">TRUNC(G121*L121,2)</f>
        <v>21399.37</v>
      </c>
      <c r="O121" s="82">
        <f>N121+'BM 007'!O121</f>
        <v>68006.350000000006</v>
      </c>
      <c r="P121" s="80">
        <f t="shared" ref="P121:P130" si="58">E121*K121</f>
        <v>100161.1</v>
      </c>
      <c r="Q121" s="82">
        <f t="shared" ref="Q121:Q130" si="59">TRUNC(E121*L121,2)</f>
        <v>126964.22</v>
      </c>
      <c r="R121" s="82">
        <f t="shared" ref="R121:R130" si="60">Q121-O121</f>
        <v>58957.869999999995</v>
      </c>
      <c r="T121" s="83"/>
    </row>
    <row r="122" spans="2:20" s="34" customFormat="1" ht="69">
      <c r="B122" s="87" t="s">
        <v>238</v>
      </c>
      <c r="C122" s="88" t="s">
        <v>239</v>
      </c>
      <c r="D122" s="89" t="s">
        <v>79</v>
      </c>
      <c r="E122" s="92">
        <v>7163.62</v>
      </c>
      <c r="F122" s="91">
        <f>TRUNC((I130/E130)*E122,2)-1775.33</f>
        <v>2061.79</v>
      </c>
      <c r="G122" s="91">
        <f t="shared" si="55"/>
        <v>2061.79</v>
      </c>
      <c r="H122" s="91"/>
      <c r="I122" s="79">
        <f>SUM(G122:H122)+'BM 007'!I122</f>
        <v>3737.12</v>
      </c>
      <c r="J122" s="91">
        <f t="shared" si="39"/>
        <v>3426.5</v>
      </c>
      <c r="K122" s="80">
        <v>130</v>
      </c>
      <c r="L122" s="81">
        <f t="shared" si="37"/>
        <v>164.78801430000001</v>
      </c>
      <c r="M122" s="82">
        <f t="shared" si="56"/>
        <v>339758.28</v>
      </c>
      <c r="N122" s="82">
        <f t="shared" si="57"/>
        <v>339758.28</v>
      </c>
      <c r="O122" s="82">
        <f>N122+'BM 007'!O122</f>
        <v>615832.57000000007</v>
      </c>
      <c r="P122" s="80">
        <f t="shared" si="58"/>
        <v>931270.6</v>
      </c>
      <c r="Q122" s="82">
        <f t="shared" si="59"/>
        <v>1180478.71</v>
      </c>
      <c r="R122" s="82">
        <f t="shared" si="60"/>
        <v>564646.1399999999</v>
      </c>
      <c r="T122" s="83"/>
    </row>
    <row r="123" spans="2:20" s="34" customFormat="1" ht="46.2">
      <c r="B123" s="87" t="s">
        <v>240</v>
      </c>
      <c r="C123" s="88" t="s">
        <v>241</v>
      </c>
      <c r="D123" s="89" t="s">
        <v>152</v>
      </c>
      <c r="E123" s="92">
        <v>2362.8000000000002</v>
      </c>
      <c r="F123" s="91"/>
      <c r="G123" s="91">
        <f t="shared" si="55"/>
        <v>0</v>
      </c>
      <c r="H123" s="91"/>
      <c r="I123" s="79">
        <f>SUM(G123:H123)+'BM 007'!I123</f>
        <v>2362.8004152064877</v>
      </c>
      <c r="J123" s="91">
        <f t="shared" si="39"/>
        <v>-4.1520648755977163E-4</v>
      </c>
      <c r="K123" s="80">
        <v>19</v>
      </c>
      <c r="L123" s="81">
        <f t="shared" si="37"/>
        <v>24.084402090000001</v>
      </c>
      <c r="M123" s="82">
        <f t="shared" si="56"/>
        <v>0</v>
      </c>
      <c r="N123" s="82">
        <f t="shared" si="57"/>
        <v>0</v>
      </c>
      <c r="O123" s="82">
        <f>N123+'BM 007'!O123</f>
        <v>56906.619999999995</v>
      </c>
      <c r="P123" s="80">
        <f t="shared" si="58"/>
        <v>44893.200000000004</v>
      </c>
      <c r="Q123" s="82">
        <f t="shared" si="59"/>
        <v>56906.62</v>
      </c>
      <c r="R123" s="82">
        <f t="shared" si="60"/>
        <v>0</v>
      </c>
      <c r="T123" s="83"/>
    </row>
    <row r="124" spans="2:20" s="34" customFormat="1" ht="46.2">
      <c r="B124" s="87" t="s">
        <v>242</v>
      </c>
      <c r="C124" s="88" t="s">
        <v>243</v>
      </c>
      <c r="D124" s="89" t="s">
        <v>152</v>
      </c>
      <c r="E124" s="90">
        <v>602.79999999999995</v>
      </c>
      <c r="F124" s="91"/>
      <c r="G124" s="91">
        <f t="shared" si="55"/>
        <v>0</v>
      </c>
      <c r="H124" s="91"/>
      <c r="I124" s="79">
        <f>SUM(G124:H124)+'BM 007'!I124</f>
        <v>602.79999999999995</v>
      </c>
      <c r="J124" s="91">
        <f t="shared" si="39"/>
        <v>0</v>
      </c>
      <c r="K124" s="80">
        <v>17.5</v>
      </c>
      <c r="L124" s="81">
        <f t="shared" si="37"/>
        <v>22.183001924999999</v>
      </c>
      <c r="M124" s="82">
        <f t="shared" si="56"/>
        <v>0</v>
      </c>
      <c r="N124" s="82">
        <f t="shared" si="57"/>
        <v>0</v>
      </c>
      <c r="O124" s="82">
        <f>N124+'BM 007'!O124</f>
        <v>13371.91</v>
      </c>
      <c r="P124" s="80">
        <f t="shared" si="58"/>
        <v>10549</v>
      </c>
      <c r="Q124" s="82">
        <f t="shared" si="59"/>
        <v>13371.91</v>
      </c>
      <c r="R124" s="82">
        <f t="shared" si="60"/>
        <v>0</v>
      </c>
      <c r="T124" s="83"/>
    </row>
    <row r="125" spans="2:20" s="34" customFormat="1" ht="46.2">
      <c r="B125" s="87" t="s">
        <v>244</v>
      </c>
      <c r="C125" s="88" t="s">
        <v>245</v>
      </c>
      <c r="D125" s="89" t="s">
        <v>152</v>
      </c>
      <c r="E125" s="90">
        <v>3562.9</v>
      </c>
      <c r="F125" s="91">
        <f>'M.C. MED. 08'!K1237</f>
        <v>546.33000000000004</v>
      </c>
      <c r="G125" s="91">
        <f t="shared" si="55"/>
        <v>546.33000000000004</v>
      </c>
      <c r="H125" s="91"/>
      <c r="I125" s="79">
        <f>SUM(G125:H125)+'BM 007'!I125</f>
        <v>3276.43</v>
      </c>
      <c r="J125" s="91">
        <f t="shared" si="39"/>
        <v>286.47000000000025</v>
      </c>
      <c r="K125" s="80">
        <v>16</v>
      </c>
      <c r="L125" s="81">
        <f t="shared" si="37"/>
        <v>20.281601760000001</v>
      </c>
      <c r="M125" s="82">
        <f t="shared" si="56"/>
        <v>11080.44</v>
      </c>
      <c r="N125" s="82">
        <f t="shared" si="57"/>
        <v>11080.44</v>
      </c>
      <c r="O125" s="82">
        <f>N125+'BM 007'!O125</f>
        <v>66451.23</v>
      </c>
      <c r="P125" s="80">
        <f t="shared" si="58"/>
        <v>57006.400000000001</v>
      </c>
      <c r="Q125" s="82">
        <f t="shared" si="59"/>
        <v>72261.31</v>
      </c>
      <c r="R125" s="82">
        <f t="shared" si="60"/>
        <v>5810.0800000000017</v>
      </c>
    </row>
    <row r="126" spans="2:20" s="34" customFormat="1" ht="46.2">
      <c r="B126" s="87" t="s">
        <v>246</v>
      </c>
      <c r="C126" s="88" t="s">
        <v>247</v>
      </c>
      <c r="D126" s="89" t="s">
        <v>152</v>
      </c>
      <c r="E126" s="90">
        <v>8278.6</v>
      </c>
      <c r="F126" s="91">
        <f>'M.C. MED. 08'!K1259</f>
        <v>1260</v>
      </c>
      <c r="G126" s="91">
        <f t="shared" si="55"/>
        <v>1260</v>
      </c>
      <c r="H126" s="91"/>
      <c r="I126" s="79">
        <f>SUM(G126:H126)+'BM 007'!I126</f>
        <v>5479.53</v>
      </c>
      <c r="J126" s="91">
        <f t="shared" si="39"/>
        <v>2799.0700000000006</v>
      </c>
      <c r="K126" s="80">
        <v>14.5</v>
      </c>
      <c r="L126" s="81">
        <f t="shared" si="37"/>
        <v>18.380201595000003</v>
      </c>
      <c r="M126" s="82">
        <f t="shared" si="56"/>
        <v>23159.05</v>
      </c>
      <c r="N126" s="82">
        <f t="shared" si="57"/>
        <v>23159.05</v>
      </c>
      <c r="O126" s="82">
        <f>N126+'BM 007'!O126</f>
        <v>100714.85</v>
      </c>
      <c r="P126" s="80">
        <f t="shared" si="58"/>
        <v>120039.70000000001</v>
      </c>
      <c r="Q126" s="82">
        <f t="shared" si="59"/>
        <v>152162.32999999999</v>
      </c>
      <c r="R126" s="82">
        <f t="shared" si="60"/>
        <v>51447.479999999981</v>
      </c>
    </row>
    <row r="127" spans="2:20" s="34" customFormat="1" ht="46.2">
      <c r="B127" s="87" t="s">
        <v>248</v>
      </c>
      <c r="C127" s="88" t="s">
        <v>249</v>
      </c>
      <c r="D127" s="89" t="s">
        <v>152</v>
      </c>
      <c r="E127" s="90">
        <v>8114.7</v>
      </c>
      <c r="F127" s="91"/>
      <c r="G127" s="91">
        <f t="shared" si="55"/>
        <v>0</v>
      </c>
      <c r="H127" s="91"/>
      <c r="I127" s="79">
        <f>SUM(G127:H127)+'BM 007'!I127</f>
        <v>8114.7</v>
      </c>
      <c r="J127" s="91">
        <f t="shared" si="39"/>
        <v>0</v>
      </c>
      <c r="K127" s="94">
        <v>14.5</v>
      </c>
      <c r="L127" s="81">
        <f t="shared" si="37"/>
        <v>18.380201595000003</v>
      </c>
      <c r="M127" s="82">
        <f t="shared" si="56"/>
        <v>0</v>
      </c>
      <c r="N127" s="82">
        <f t="shared" si="57"/>
        <v>0</v>
      </c>
      <c r="O127" s="82">
        <f>N127+'BM 007'!O127</f>
        <v>149149.81</v>
      </c>
      <c r="P127" s="80">
        <f t="shared" si="58"/>
        <v>117663.15</v>
      </c>
      <c r="Q127" s="82">
        <f t="shared" si="59"/>
        <v>149149.82</v>
      </c>
      <c r="R127" s="82">
        <f t="shared" si="60"/>
        <v>1.0000000009313226E-2</v>
      </c>
    </row>
    <row r="128" spans="2:20" s="34" customFormat="1" ht="46.2">
      <c r="B128" s="87" t="s">
        <v>250</v>
      </c>
      <c r="C128" s="88" t="s">
        <v>251</v>
      </c>
      <c r="D128" s="89" t="s">
        <v>152</v>
      </c>
      <c r="E128" s="90">
        <v>11554.4</v>
      </c>
      <c r="F128" s="91">
        <f>'M.C. MED. 08'!K1298</f>
        <v>1383.27</v>
      </c>
      <c r="G128" s="91">
        <f t="shared" si="55"/>
        <v>1383.27</v>
      </c>
      <c r="H128" s="91"/>
      <c r="I128" s="79">
        <f>SUM(G128:H128)+'BM 007'!I128</f>
        <v>10245.58</v>
      </c>
      <c r="J128" s="91">
        <f t="shared" si="39"/>
        <v>1308.8199999999997</v>
      </c>
      <c r="K128" s="80">
        <v>14</v>
      </c>
      <c r="L128" s="81">
        <f t="shared" si="37"/>
        <v>17.746401540000001</v>
      </c>
      <c r="M128" s="82">
        <f t="shared" si="56"/>
        <v>24548.06</v>
      </c>
      <c r="N128" s="82">
        <f t="shared" si="57"/>
        <v>24548.06</v>
      </c>
      <c r="O128" s="82">
        <f>N128+'BM 007'!O128</f>
        <v>181822.16</v>
      </c>
      <c r="P128" s="80">
        <f t="shared" si="58"/>
        <v>161761.60000000001</v>
      </c>
      <c r="Q128" s="82">
        <f t="shared" si="59"/>
        <v>205049.02</v>
      </c>
      <c r="R128" s="82">
        <f t="shared" si="60"/>
        <v>23226.859999999986</v>
      </c>
    </row>
    <row r="129" spans="2:21" s="34" customFormat="1" ht="57.6">
      <c r="B129" s="87" t="s">
        <v>252</v>
      </c>
      <c r="C129" s="88" t="s">
        <v>253</v>
      </c>
      <c r="D129" s="89" t="s">
        <v>152</v>
      </c>
      <c r="E129" s="90">
        <v>5166.7</v>
      </c>
      <c r="F129" s="91">
        <f>'M.C. MED. 08'!K1321</f>
        <v>1292.82</v>
      </c>
      <c r="G129" s="91">
        <f t="shared" si="55"/>
        <v>1292.82</v>
      </c>
      <c r="H129" s="91"/>
      <c r="I129" s="79">
        <f>SUM(G129:H129)+'BM 007'!I129</f>
        <v>3201.88</v>
      </c>
      <c r="J129" s="91">
        <f t="shared" si="39"/>
        <v>1964.8199999999997</v>
      </c>
      <c r="K129" s="80">
        <v>14</v>
      </c>
      <c r="L129" s="81">
        <f t="shared" si="37"/>
        <v>17.746401540000001</v>
      </c>
      <c r="M129" s="82">
        <f t="shared" si="56"/>
        <v>22942.9</v>
      </c>
      <c r="N129" s="82">
        <f t="shared" si="57"/>
        <v>22942.9</v>
      </c>
      <c r="O129" s="82">
        <f>N129+'BM 007'!O129</f>
        <v>56821.83</v>
      </c>
      <c r="P129" s="80">
        <f t="shared" si="58"/>
        <v>72333.8</v>
      </c>
      <c r="Q129" s="82">
        <f t="shared" si="59"/>
        <v>91690.33</v>
      </c>
      <c r="R129" s="82">
        <f t="shared" si="60"/>
        <v>34868.5</v>
      </c>
    </row>
    <row r="130" spans="2:21" s="34" customFormat="1" ht="23.4">
      <c r="B130" s="87" t="s">
        <v>254</v>
      </c>
      <c r="C130" s="88" t="s">
        <v>215</v>
      </c>
      <c r="D130" s="89" t="s">
        <v>169</v>
      </c>
      <c r="E130" s="92">
        <v>803.99</v>
      </c>
      <c r="F130" s="91">
        <f>'M.C. MED. 08'!K1390</f>
        <v>155.13999999999999</v>
      </c>
      <c r="G130" s="91">
        <f t="shared" si="55"/>
        <v>155.13999999999999</v>
      </c>
      <c r="H130" s="91"/>
      <c r="I130" s="79">
        <f>SUM(G130:H130)+'BM 007'!I130</f>
        <v>430.65</v>
      </c>
      <c r="J130" s="91">
        <f t="shared" si="39"/>
        <v>373.34000000000003</v>
      </c>
      <c r="K130" s="95">
        <v>750</v>
      </c>
      <c r="L130" s="81">
        <f t="shared" si="37"/>
        <v>950.70008250000001</v>
      </c>
      <c r="M130" s="82">
        <f t="shared" si="56"/>
        <v>147491.60999999999</v>
      </c>
      <c r="N130" s="82">
        <f t="shared" si="57"/>
        <v>147491.60999999999</v>
      </c>
      <c r="O130" s="82">
        <f>N130+'BM 007'!O130</f>
        <v>409418.97</v>
      </c>
      <c r="P130" s="80">
        <f t="shared" si="58"/>
        <v>602992.5</v>
      </c>
      <c r="Q130" s="82">
        <f t="shared" si="59"/>
        <v>764353.35</v>
      </c>
      <c r="R130" s="82">
        <f t="shared" si="60"/>
        <v>354934.38</v>
      </c>
      <c r="T130" s="83"/>
      <c r="U130" s="83"/>
    </row>
    <row r="131" spans="2:21" s="34" customFormat="1" ht="17.399999999999999">
      <c r="B131" s="60" t="s">
        <v>255</v>
      </c>
      <c r="C131" s="61" t="s">
        <v>256</v>
      </c>
      <c r="D131" s="60"/>
      <c r="E131" s="62"/>
      <c r="F131" s="63"/>
      <c r="G131" s="63"/>
      <c r="H131" s="63"/>
      <c r="I131" s="63">
        <f>SUM(G131:H131)+'BM 007'!I131</f>
        <v>0</v>
      </c>
      <c r="J131" s="63">
        <f t="shared" si="39"/>
        <v>0</v>
      </c>
      <c r="K131" s="63"/>
      <c r="L131" s="63">
        <f t="shared" si="37"/>
        <v>0</v>
      </c>
      <c r="M131" s="63">
        <f t="shared" ref="M131:R131" si="61">SUM(M132:M138)</f>
        <v>20476.150000000001</v>
      </c>
      <c r="N131" s="63">
        <f t="shared" si="61"/>
        <v>20476.150000000001</v>
      </c>
      <c r="O131" s="63">
        <f t="shared" si="61"/>
        <v>20476.150000000001</v>
      </c>
      <c r="P131" s="63">
        <f t="shared" si="61"/>
        <v>1701680.9500000002</v>
      </c>
      <c r="Q131" s="63">
        <f t="shared" si="61"/>
        <v>2157050.9299999997</v>
      </c>
      <c r="R131" s="63">
        <f t="shared" si="61"/>
        <v>2136574.7799999998</v>
      </c>
      <c r="T131" s="97"/>
    </row>
    <row r="132" spans="2:21" s="34" customFormat="1" ht="23.4">
      <c r="B132" s="87" t="s">
        <v>257</v>
      </c>
      <c r="C132" s="98" t="s">
        <v>258</v>
      </c>
      <c r="D132" s="99" t="s">
        <v>169</v>
      </c>
      <c r="E132" s="100">
        <v>261.60000000000002</v>
      </c>
      <c r="F132" s="101"/>
      <c r="G132" s="101"/>
      <c r="H132" s="101"/>
      <c r="I132" s="79">
        <f>SUM(G132:H132)+'BM 007'!I132</f>
        <v>0</v>
      </c>
      <c r="J132" s="101">
        <f t="shared" si="39"/>
        <v>261.60000000000002</v>
      </c>
      <c r="K132" s="102">
        <v>620</v>
      </c>
      <c r="L132" s="81">
        <f t="shared" si="37"/>
        <v>785.91206820000002</v>
      </c>
      <c r="M132" s="82">
        <f t="shared" ref="M132:M138" si="62">TRUNC(F132*L132,2)</f>
        <v>0</v>
      </c>
      <c r="N132" s="82">
        <f t="shared" ref="N132:N138" si="63">TRUNC(G132*L132,2)</f>
        <v>0</v>
      </c>
      <c r="O132" s="82">
        <f>N132+'BM 007'!O132</f>
        <v>0</v>
      </c>
      <c r="P132" s="80">
        <f t="shared" ref="P132:P138" si="64">E132*K132</f>
        <v>162192</v>
      </c>
      <c r="Q132" s="82">
        <f t="shared" ref="Q132:Q138" si="65">TRUNC(E132*L132,2)</f>
        <v>205594.59</v>
      </c>
      <c r="R132" s="82">
        <f t="shared" ref="R132:R138" si="66">Q132-O132</f>
        <v>205594.59</v>
      </c>
    </row>
    <row r="133" spans="2:21" s="34" customFormat="1" ht="34.799999999999997">
      <c r="B133" s="87" t="s">
        <v>259</v>
      </c>
      <c r="C133" s="88" t="s">
        <v>260</v>
      </c>
      <c r="D133" s="89" t="s">
        <v>82</v>
      </c>
      <c r="E133" s="90">
        <v>3852</v>
      </c>
      <c r="F133" s="91"/>
      <c r="G133" s="91"/>
      <c r="H133" s="91"/>
      <c r="I133" s="79">
        <f>SUM(G133:H133)+'BM 007'!I133</f>
        <v>0</v>
      </c>
      <c r="J133" s="91">
        <f t="shared" si="39"/>
        <v>3852</v>
      </c>
      <c r="K133" s="84">
        <v>20</v>
      </c>
      <c r="L133" s="81">
        <f t="shared" si="37"/>
        <v>25.352002200000001</v>
      </c>
      <c r="M133" s="82">
        <f t="shared" si="62"/>
        <v>0</v>
      </c>
      <c r="N133" s="82">
        <f t="shared" si="63"/>
        <v>0</v>
      </c>
      <c r="O133" s="82">
        <f>N133+'BM 007'!O133</f>
        <v>0</v>
      </c>
      <c r="P133" s="80">
        <f t="shared" si="64"/>
        <v>77040</v>
      </c>
      <c r="Q133" s="82">
        <f t="shared" si="65"/>
        <v>97655.91</v>
      </c>
      <c r="R133" s="82">
        <f t="shared" si="66"/>
        <v>97655.91</v>
      </c>
    </row>
    <row r="134" spans="2:21" s="34" customFormat="1" ht="46.2">
      <c r="B134" s="87" t="s">
        <v>261</v>
      </c>
      <c r="C134" s="88" t="s">
        <v>262</v>
      </c>
      <c r="D134" s="89" t="s">
        <v>110</v>
      </c>
      <c r="E134" s="92">
        <v>112</v>
      </c>
      <c r="F134" s="91">
        <f>'M.C. MED. 08'!K1401</f>
        <v>2.66</v>
      </c>
      <c r="G134" s="91">
        <f>F134</f>
        <v>2.66</v>
      </c>
      <c r="H134" s="91"/>
      <c r="I134" s="79">
        <f>SUM(G134:H134)+'BM 007'!I134</f>
        <v>2.66</v>
      </c>
      <c r="J134" s="91">
        <f t="shared" si="39"/>
        <v>109.34</v>
      </c>
      <c r="K134" s="84">
        <v>650</v>
      </c>
      <c r="L134" s="81">
        <f t="shared" si="37"/>
        <v>823.94007150000004</v>
      </c>
      <c r="M134" s="82">
        <f t="shared" si="62"/>
        <v>2191.6799999999998</v>
      </c>
      <c r="N134" s="82">
        <f t="shared" si="63"/>
        <v>2191.6799999999998</v>
      </c>
      <c r="O134" s="82">
        <f>N134+'BM 007'!O134</f>
        <v>2191.6799999999998</v>
      </c>
      <c r="P134" s="80">
        <f t="shared" si="64"/>
        <v>72800</v>
      </c>
      <c r="Q134" s="82">
        <f t="shared" si="65"/>
        <v>92281.279999999999</v>
      </c>
      <c r="R134" s="82">
        <f t="shared" si="66"/>
        <v>90089.600000000006</v>
      </c>
    </row>
    <row r="135" spans="2:21" s="34" customFormat="1" ht="69">
      <c r="B135" s="87" t="s">
        <v>263</v>
      </c>
      <c r="C135" s="88" t="s">
        <v>264</v>
      </c>
      <c r="D135" s="89" t="s">
        <v>79</v>
      </c>
      <c r="E135" s="90">
        <v>15102.2</v>
      </c>
      <c r="F135" s="91">
        <f>'M.C. MED. 08'!K1425</f>
        <v>181.44</v>
      </c>
      <c r="G135" s="91">
        <f>F135</f>
        <v>181.44</v>
      </c>
      <c r="H135" s="91"/>
      <c r="I135" s="79">
        <f>SUM(G135:H135)+'BM 007'!I135</f>
        <v>181.44</v>
      </c>
      <c r="J135" s="91">
        <f t="shared" si="39"/>
        <v>14920.76</v>
      </c>
      <c r="K135" s="84">
        <v>79.5</v>
      </c>
      <c r="L135" s="81">
        <f t="shared" si="37"/>
        <v>100.77420874500001</v>
      </c>
      <c r="M135" s="82">
        <f t="shared" si="62"/>
        <v>18284.47</v>
      </c>
      <c r="N135" s="82">
        <f t="shared" si="63"/>
        <v>18284.47</v>
      </c>
      <c r="O135" s="82">
        <f>N135+'BM 007'!O135</f>
        <v>18284.47</v>
      </c>
      <c r="P135" s="80">
        <f t="shared" si="64"/>
        <v>1200624.9000000001</v>
      </c>
      <c r="Q135" s="82">
        <f t="shared" si="65"/>
        <v>1521912.25</v>
      </c>
      <c r="R135" s="82">
        <f t="shared" si="66"/>
        <v>1503627.78</v>
      </c>
    </row>
    <row r="136" spans="2:21" s="34" customFormat="1" ht="57.6">
      <c r="B136" s="87" t="s">
        <v>265</v>
      </c>
      <c r="C136" s="88" t="s">
        <v>266</v>
      </c>
      <c r="D136" s="89" t="s">
        <v>79</v>
      </c>
      <c r="E136" s="90">
        <v>772</v>
      </c>
      <c r="F136" s="91"/>
      <c r="G136" s="91"/>
      <c r="H136" s="91"/>
      <c r="I136" s="79">
        <f>SUM(G136:H136)+'BM 007'!I136</f>
        <v>0</v>
      </c>
      <c r="J136" s="91">
        <f t="shared" si="39"/>
        <v>772</v>
      </c>
      <c r="K136" s="84">
        <v>150</v>
      </c>
      <c r="L136" s="81">
        <f t="shared" si="37"/>
        <v>190.1400165</v>
      </c>
      <c r="M136" s="82">
        <f t="shared" si="62"/>
        <v>0</v>
      </c>
      <c r="N136" s="82">
        <f t="shared" si="63"/>
        <v>0</v>
      </c>
      <c r="O136" s="82">
        <f>N136+'BM 007'!O136</f>
        <v>0</v>
      </c>
      <c r="P136" s="80">
        <f t="shared" si="64"/>
        <v>115800</v>
      </c>
      <c r="Q136" s="82">
        <f t="shared" si="65"/>
        <v>146788.09</v>
      </c>
      <c r="R136" s="82">
        <f t="shared" si="66"/>
        <v>146788.09</v>
      </c>
    </row>
    <row r="137" spans="2:21" s="34" customFormat="1" ht="46.2">
      <c r="B137" s="87" t="s">
        <v>267</v>
      </c>
      <c r="C137" s="88" t="s">
        <v>268</v>
      </c>
      <c r="D137" s="89" t="s">
        <v>79</v>
      </c>
      <c r="E137" s="90">
        <v>210.05</v>
      </c>
      <c r="F137" s="91"/>
      <c r="G137" s="91"/>
      <c r="H137" s="91"/>
      <c r="I137" s="79">
        <f>SUM(G137:H137)+'BM 007'!I137</f>
        <v>0</v>
      </c>
      <c r="J137" s="91">
        <f t="shared" si="39"/>
        <v>210.05</v>
      </c>
      <c r="K137" s="84">
        <v>165</v>
      </c>
      <c r="L137" s="81">
        <f t="shared" si="37"/>
        <v>209.15401815000001</v>
      </c>
      <c r="M137" s="82">
        <f t="shared" si="62"/>
        <v>0</v>
      </c>
      <c r="N137" s="82">
        <f t="shared" si="63"/>
        <v>0</v>
      </c>
      <c r="O137" s="82">
        <f>N137+'BM 007'!O137</f>
        <v>0</v>
      </c>
      <c r="P137" s="80">
        <f t="shared" si="64"/>
        <v>34658.25</v>
      </c>
      <c r="Q137" s="82">
        <f t="shared" si="65"/>
        <v>43932.800000000003</v>
      </c>
      <c r="R137" s="82">
        <f t="shared" si="66"/>
        <v>43932.800000000003</v>
      </c>
    </row>
    <row r="138" spans="2:21" s="34" customFormat="1" ht="23.4">
      <c r="B138" s="87" t="s">
        <v>269</v>
      </c>
      <c r="C138" s="88" t="s">
        <v>270</v>
      </c>
      <c r="D138" s="89" t="s">
        <v>124</v>
      </c>
      <c r="E138" s="90">
        <v>550.94000000000005</v>
      </c>
      <c r="F138" s="91"/>
      <c r="G138" s="91"/>
      <c r="H138" s="91"/>
      <c r="I138" s="79">
        <f>SUM(G138:H138)+'BM 007'!I138</f>
        <v>0</v>
      </c>
      <c r="J138" s="91">
        <f t="shared" si="39"/>
        <v>550.94000000000005</v>
      </c>
      <c r="K138" s="84">
        <v>70</v>
      </c>
      <c r="L138" s="81">
        <f t="shared" si="37"/>
        <v>88.732007699999997</v>
      </c>
      <c r="M138" s="82">
        <f t="shared" si="62"/>
        <v>0</v>
      </c>
      <c r="N138" s="82">
        <f t="shared" si="63"/>
        <v>0</v>
      </c>
      <c r="O138" s="82">
        <f>N138+'BM 007'!O138</f>
        <v>0</v>
      </c>
      <c r="P138" s="80">
        <f t="shared" si="64"/>
        <v>38565.800000000003</v>
      </c>
      <c r="Q138" s="82">
        <f t="shared" si="65"/>
        <v>48886.01</v>
      </c>
      <c r="R138" s="82">
        <f t="shared" si="66"/>
        <v>48886.01</v>
      </c>
    </row>
    <row r="139" spans="2:21" s="34" customFormat="1" ht="13.2">
      <c r="B139" s="60" t="s">
        <v>271</v>
      </c>
      <c r="C139" s="61" t="s">
        <v>272</v>
      </c>
      <c r="D139" s="60"/>
      <c r="E139" s="62"/>
      <c r="F139" s="63"/>
      <c r="G139" s="63"/>
      <c r="H139" s="63"/>
      <c r="I139" s="63">
        <f>SUM(G139:H139)+'BM 007'!I139</f>
        <v>0</v>
      </c>
      <c r="J139" s="63">
        <f t="shared" si="39"/>
        <v>0</v>
      </c>
      <c r="K139" s="63"/>
      <c r="L139" s="63">
        <f t="shared" si="37"/>
        <v>0</v>
      </c>
      <c r="M139" s="63">
        <f t="shared" ref="M139:R139" si="67">SUM(M140,M148)</f>
        <v>0</v>
      </c>
      <c r="N139" s="63">
        <f t="shared" si="67"/>
        <v>0</v>
      </c>
      <c r="O139" s="63">
        <f t="shared" si="67"/>
        <v>0</v>
      </c>
      <c r="P139" s="63">
        <f t="shared" si="67"/>
        <v>2433803.8377</v>
      </c>
      <c r="Q139" s="63">
        <f t="shared" si="67"/>
        <v>3085089.94</v>
      </c>
      <c r="R139" s="63">
        <f t="shared" si="67"/>
        <v>3085089.94</v>
      </c>
    </row>
    <row r="140" spans="2:21" s="34" customFormat="1" ht="13.2">
      <c r="B140" s="66" t="s">
        <v>273</v>
      </c>
      <c r="C140" s="67" t="s">
        <v>274</v>
      </c>
      <c r="D140" s="68"/>
      <c r="E140" s="69"/>
      <c r="F140" s="70"/>
      <c r="G140" s="70"/>
      <c r="H140" s="70"/>
      <c r="I140" s="70">
        <f>SUM(G140:H140)+'BM 007'!I140</f>
        <v>0</v>
      </c>
      <c r="J140" s="70">
        <f t="shared" si="39"/>
        <v>0</v>
      </c>
      <c r="K140" s="71"/>
      <c r="L140" s="71">
        <f t="shared" si="37"/>
        <v>0</v>
      </c>
      <c r="M140" s="73">
        <f t="shared" ref="M140:R140" si="68">SUM(M141:M147)</f>
        <v>0</v>
      </c>
      <c r="N140" s="73">
        <f t="shared" si="68"/>
        <v>0</v>
      </c>
      <c r="O140" s="73">
        <f t="shared" si="68"/>
        <v>0</v>
      </c>
      <c r="P140" s="73">
        <f t="shared" si="68"/>
        <v>1345103.6276999998</v>
      </c>
      <c r="Q140" s="73">
        <f t="shared" si="68"/>
        <v>1705053.47</v>
      </c>
      <c r="R140" s="73">
        <f t="shared" si="68"/>
        <v>1705053.47</v>
      </c>
    </row>
    <row r="141" spans="2:21" s="34" customFormat="1" ht="46.2">
      <c r="B141" s="87" t="s">
        <v>275</v>
      </c>
      <c r="C141" s="88" t="s">
        <v>276</v>
      </c>
      <c r="D141" s="89" t="s">
        <v>79</v>
      </c>
      <c r="E141" s="90">
        <f>E135*2-E149</f>
        <v>26012.79</v>
      </c>
      <c r="F141" s="91"/>
      <c r="G141" s="91"/>
      <c r="H141" s="91"/>
      <c r="I141" s="79">
        <f>SUM(G141:H141)+'BM 007'!I141</f>
        <v>0</v>
      </c>
      <c r="J141" s="91">
        <f t="shared" si="39"/>
        <v>26012.79</v>
      </c>
      <c r="K141" s="84">
        <v>4.5</v>
      </c>
      <c r="L141" s="81">
        <f t="shared" si="37"/>
        <v>5.7042004950000003</v>
      </c>
      <c r="M141" s="82">
        <f t="shared" ref="M141:M147" si="69">TRUNC(F141*L141,2)</f>
        <v>0</v>
      </c>
      <c r="N141" s="82">
        <f t="shared" ref="N141:N147" si="70">TRUNC(G141*L141,2)</f>
        <v>0</v>
      </c>
      <c r="O141" s="82">
        <f>N141+'BM 007'!O141</f>
        <v>0</v>
      </c>
      <c r="P141" s="80">
        <f t="shared" ref="P141:P147" si="71">E141*K141</f>
        <v>117057.55500000001</v>
      </c>
      <c r="Q141" s="82">
        <f t="shared" ref="Q141:Q147" si="72">TRUNC(E141*L141,2)</f>
        <v>148382.16</v>
      </c>
      <c r="R141" s="82">
        <f t="shared" ref="R141:R147" si="73">Q141-O141</f>
        <v>148382.16</v>
      </c>
    </row>
    <row r="142" spans="2:21" s="34" customFormat="1" ht="69">
      <c r="B142" s="87" t="s">
        <v>277</v>
      </c>
      <c r="C142" s="88" t="s">
        <v>278</v>
      </c>
      <c r="D142" s="89" t="s">
        <v>79</v>
      </c>
      <c r="E142" s="90">
        <f>E145+E146</f>
        <v>462.83</v>
      </c>
      <c r="F142" s="91"/>
      <c r="G142" s="91"/>
      <c r="H142" s="91"/>
      <c r="I142" s="79">
        <f>SUM(G142:H142)+'BM 007'!I142</f>
        <v>0</v>
      </c>
      <c r="J142" s="91">
        <f t="shared" si="39"/>
        <v>462.83</v>
      </c>
      <c r="K142" s="84">
        <v>30</v>
      </c>
      <c r="L142" s="81">
        <f t="shared" si="37"/>
        <v>38.028003300000002</v>
      </c>
      <c r="M142" s="82">
        <f t="shared" si="69"/>
        <v>0</v>
      </c>
      <c r="N142" s="82">
        <f t="shared" si="70"/>
        <v>0</v>
      </c>
      <c r="O142" s="82">
        <f>N142+'BM 007'!O142</f>
        <v>0</v>
      </c>
      <c r="P142" s="80">
        <f t="shared" si="71"/>
        <v>13884.9</v>
      </c>
      <c r="Q142" s="82">
        <f t="shared" si="72"/>
        <v>17600.5</v>
      </c>
      <c r="R142" s="82">
        <f t="shared" si="73"/>
        <v>17600.5</v>
      </c>
    </row>
    <row r="143" spans="2:21" s="34" customFormat="1" ht="69">
      <c r="B143" s="87" t="s">
        <v>279</v>
      </c>
      <c r="C143" s="88" t="s">
        <v>280</v>
      </c>
      <c r="D143" s="89" t="s">
        <v>79</v>
      </c>
      <c r="E143" s="90">
        <f>E141-E142-E147</f>
        <v>25418.329999999998</v>
      </c>
      <c r="F143" s="91"/>
      <c r="G143" s="91"/>
      <c r="H143" s="91"/>
      <c r="I143" s="79">
        <f>SUM(G143:H143)+'BM 007'!I143</f>
        <v>0</v>
      </c>
      <c r="J143" s="91">
        <f t="shared" si="39"/>
        <v>25418.329999999998</v>
      </c>
      <c r="K143" s="84">
        <v>33.65</v>
      </c>
      <c r="L143" s="81">
        <f t="shared" si="37"/>
        <v>42.654743701500003</v>
      </c>
      <c r="M143" s="82">
        <f t="shared" si="69"/>
        <v>0</v>
      </c>
      <c r="N143" s="82">
        <f t="shared" si="70"/>
        <v>0</v>
      </c>
      <c r="O143" s="82">
        <f>N143+'BM 007'!O143</f>
        <v>0</v>
      </c>
      <c r="P143" s="80">
        <f t="shared" si="71"/>
        <v>855326.80449999985</v>
      </c>
      <c r="Q143" s="82">
        <f t="shared" si="72"/>
        <v>1084212.3500000001</v>
      </c>
      <c r="R143" s="82">
        <f t="shared" si="73"/>
        <v>1084212.3500000001</v>
      </c>
    </row>
    <row r="144" spans="2:21" s="34" customFormat="1" ht="23.4">
      <c r="B144" s="87" t="s">
        <v>281</v>
      </c>
      <c r="C144" s="88" t="s">
        <v>282</v>
      </c>
      <c r="D144" s="89" t="s">
        <v>79</v>
      </c>
      <c r="E144" s="90">
        <v>1328.83</v>
      </c>
      <c r="F144" s="91"/>
      <c r="G144" s="91"/>
      <c r="H144" s="91"/>
      <c r="I144" s="79">
        <f>SUM(G144:H144)+'BM 007'!I144</f>
        <v>0</v>
      </c>
      <c r="J144" s="91">
        <f t="shared" si="39"/>
        <v>1328.83</v>
      </c>
      <c r="K144" s="84">
        <v>162.54</v>
      </c>
      <c r="L144" s="81">
        <f t="shared" si="37"/>
        <v>206.0357218794</v>
      </c>
      <c r="M144" s="82">
        <f t="shared" si="69"/>
        <v>0</v>
      </c>
      <c r="N144" s="82">
        <f t="shared" si="70"/>
        <v>0</v>
      </c>
      <c r="O144" s="82">
        <f>N144+'BM 007'!O144</f>
        <v>0</v>
      </c>
      <c r="P144" s="80">
        <f t="shared" si="71"/>
        <v>215988.02819999997</v>
      </c>
      <c r="Q144" s="82">
        <f t="shared" si="72"/>
        <v>273786.44</v>
      </c>
      <c r="R144" s="82">
        <f t="shared" si="73"/>
        <v>273786.44</v>
      </c>
    </row>
    <row r="145" spans="2:18" s="34" customFormat="1" ht="46.2">
      <c r="B145" s="87" t="s">
        <v>283</v>
      </c>
      <c r="C145" s="88" t="s">
        <v>284</v>
      </c>
      <c r="D145" s="89" t="s">
        <v>79</v>
      </c>
      <c r="E145" s="92">
        <v>392.83</v>
      </c>
      <c r="F145" s="91"/>
      <c r="G145" s="91"/>
      <c r="H145" s="91"/>
      <c r="I145" s="79">
        <f>SUM(G145:H145)+'BM 007'!I145</f>
        <v>0</v>
      </c>
      <c r="J145" s="91">
        <f t="shared" si="39"/>
        <v>392.83</v>
      </c>
      <c r="K145" s="84">
        <v>148</v>
      </c>
      <c r="L145" s="81">
        <f t="shared" si="37"/>
        <v>187.60481628000002</v>
      </c>
      <c r="M145" s="82">
        <f t="shared" si="69"/>
        <v>0</v>
      </c>
      <c r="N145" s="82">
        <f t="shared" si="70"/>
        <v>0</v>
      </c>
      <c r="O145" s="82">
        <f>N145+'BM 007'!O145</f>
        <v>0</v>
      </c>
      <c r="P145" s="80">
        <f t="shared" si="71"/>
        <v>58138.84</v>
      </c>
      <c r="Q145" s="82">
        <f t="shared" si="72"/>
        <v>73696.789999999994</v>
      </c>
      <c r="R145" s="82">
        <f t="shared" si="73"/>
        <v>73696.789999999994</v>
      </c>
    </row>
    <row r="146" spans="2:18" s="34" customFormat="1" ht="13.2">
      <c r="B146" s="87" t="s">
        <v>285</v>
      </c>
      <c r="C146" s="88" t="s">
        <v>286</v>
      </c>
      <c r="D146" s="89" t="s">
        <v>79</v>
      </c>
      <c r="E146" s="92">
        <v>70</v>
      </c>
      <c r="F146" s="91"/>
      <c r="G146" s="91"/>
      <c r="H146" s="91"/>
      <c r="I146" s="79">
        <f>SUM(G146:H146)+'BM 007'!I146</f>
        <v>0</v>
      </c>
      <c r="J146" s="91">
        <f t="shared" si="39"/>
        <v>70</v>
      </c>
      <c r="K146" s="84">
        <v>740</v>
      </c>
      <c r="L146" s="81">
        <f t="shared" si="37"/>
        <v>938.0240814</v>
      </c>
      <c r="M146" s="82">
        <f t="shared" si="69"/>
        <v>0</v>
      </c>
      <c r="N146" s="82">
        <f t="shared" si="70"/>
        <v>0</v>
      </c>
      <c r="O146" s="82">
        <f>N146+'BM 007'!O146</f>
        <v>0</v>
      </c>
      <c r="P146" s="80">
        <f t="shared" si="71"/>
        <v>51800</v>
      </c>
      <c r="Q146" s="82">
        <f t="shared" si="72"/>
        <v>65661.679999999993</v>
      </c>
      <c r="R146" s="82">
        <f t="shared" si="73"/>
        <v>65661.679999999993</v>
      </c>
    </row>
    <row r="147" spans="2:18" s="34" customFormat="1" ht="13.2">
      <c r="B147" s="87" t="s">
        <v>287</v>
      </c>
      <c r="C147" s="88" t="s">
        <v>288</v>
      </c>
      <c r="D147" s="89" t="s">
        <v>79</v>
      </c>
      <c r="E147" s="90">
        <v>131.63</v>
      </c>
      <c r="F147" s="91"/>
      <c r="G147" s="91"/>
      <c r="H147" s="91"/>
      <c r="I147" s="79">
        <f>SUM(G147:H147)+'BM 007'!I147</f>
        <v>0</v>
      </c>
      <c r="J147" s="91">
        <f t="shared" si="39"/>
        <v>131.63</v>
      </c>
      <c r="K147" s="80">
        <v>250</v>
      </c>
      <c r="L147" s="81">
        <f t="shared" si="37"/>
        <v>316.90002750000002</v>
      </c>
      <c r="M147" s="82">
        <f t="shared" si="69"/>
        <v>0</v>
      </c>
      <c r="N147" s="82">
        <f t="shared" si="70"/>
        <v>0</v>
      </c>
      <c r="O147" s="82">
        <f>N147+'BM 007'!O147</f>
        <v>0</v>
      </c>
      <c r="P147" s="80">
        <f t="shared" si="71"/>
        <v>32907.5</v>
      </c>
      <c r="Q147" s="82">
        <f t="shared" si="72"/>
        <v>41713.550000000003</v>
      </c>
      <c r="R147" s="82">
        <f t="shared" si="73"/>
        <v>41713.550000000003</v>
      </c>
    </row>
    <row r="148" spans="2:18" s="34" customFormat="1" ht="13.2">
      <c r="B148" s="66" t="s">
        <v>289</v>
      </c>
      <c r="C148" s="67" t="s">
        <v>290</v>
      </c>
      <c r="D148" s="68"/>
      <c r="E148" s="69"/>
      <c r="F148" s="70"/>
      <c r="G148" s="70"/>
      <c r="H148" s="70"/>
      <c r="I148" s="70">
        <f>SUM(G148:H148)+'BM 007'!I148</f>
        <v>0</v>
      </c>
      <c r="J148" s="70">
        <f t="shared" si="39"/>
        <v>0</v>
      </c>
      <c r="K148" s="71"/>
      <c r="L148" s="71">
        <f t="shared" si="37"/>
        <v>0</v>
      </c>
      <c r="M148" s="73">
        <f t="shared" ref="M148:R148" si="74">SUM(M149:M154)</f>
        <v>0</v>
      </c>
      <c r="N148" s="73">
        <f t="shared" si="74"/>
        <v>0</v>
      </c>
      <c r="O148" s="73">
        <f t="shared" si="74"/>
        <v>0</v>
      </c>
      <c r="P148" s="73">
        <f t="shared" si="74"/>
        <v>1088700.21</v>
      </c>
      <c r="Q148" s="73">
        <f t="shared" si="74"/>
        <v>1380036.47</v>
      </c>
      <c r="R148" s="73">
        <f t="shared" si="74"/>
        <v>1380036.47</v>
      </c>
    </row>
    <row r="149" spans="2:18" s="34" customFormat="1" ht="57.6">
      <c r="B149" s="87" t="s">
        <v>291</v>
      </c>
      <c r="C149" s="88" t="s">
        <v>292</v>
      </c>
      <c r="D149" s="89" t="s">
        <v>79</v>
      </c>
      <c r="E149" s="90">
        <f>E151+E152+E153+E154</f>
        <v>4191.6100000000006</v>
      </c>
      <c r="F149" s="91"/>
      <c r="G149" s="91"/>
      <c r="H149" s="91"/>
      <c r="I149" s="79">
        <f>SUM(G149:H149)+'BM 007'!I149</f>
        <v>0</v>
      </c>
      <c r="J149" s="91">
        <f t="shared" si="39"/>
        <v>4191.6100000000006</v>
      </c>
      <c r="K149" s="84">
        <v>12</v>
      </c>
      <c r="L149" s="81">
        <f t="shared" si="37"/>
        <v>15.211201320000001</v>
      </c>
      <c r="M149" s="82">
        <f t="shared" ref="M149:M154" si="75">TRUNC(F149*L149,2)</f>
        <v>0</v>
      </c>
      <c r="N149" s="82">
        <f t="shared" ref="N149:N154" si="76">TRUNC(G149*L149,2)</f>
        <v>0</v>
      </c>
      <c r="O149" s="82">
        <f>N149+'BM 007'!O149</f>
        <v>0</v>
      </c>
      <c r="P149" s="80">
        <f t="shared" ref="P149:P154" si="77">E149*K149</f>
        <v>50299.320000000007</v>
      </c>
      <c r="Q149" s="82">
        <f t="shared" ref="Q149:Q154" si="78">TRUNC(E149*L149,2)</f>
        <v>63759.42</v>
      </c>
      <c r="R149" s="82">
        <f t="shared" ref="R149:R154" si="79">Q149-O149</f>
        <v>63759.42</v>
      </c>
    </row>
    <row r="150" spans="2:18" s="34" customFormat="1" ht="69">
      <c r="B150" s="87" t="s">
        <v>293</v>
      </c>
      <c r="C150" s="88" t="s">
        <v>294</v>
      </c>
      <c r="D150" s="89" t="s">
        <v>79</v>
      </c>
      <c r="E150" s="90">
        <f>E149</f>
        <v>4191.6100000000006</v>
      </c>
      <c r="F150" s="91"/>
      <c r="G150" s="91"/>
      <c r="H150" s="91"/>
      <c r="I150" s="79">
        <f>SUM(G150:H150)+'BM 007'!I150</f>
        <v>0</v>
      </c>
      <c r="J150" s="91">
        <f t="shared" si="39"/>
        <v>4191.6100000000006</v>
      </c>
      <c r="K150" s="84">
        <v>62</v>
      </c>
      <c r="L150" s="81">
        <f t="shared" si="37"/>
        <v>78.591206819999996</v>
      </c>
      <c r="M150" s="82">
        <f t="shared" si="75"/>
        <v>0</v>
      </c>
      <c r="N150" s="82">
        <f t="shared" si="76"/>
        <v>0</v>
      </c>
      <c r="O150" s="82">
        <f>N150+'BM 007'!O150</f>
        <v>0</v>
      </c>
      <c r="P150" s="80">
        <f t="shared" si="77"/>
        <v>259879.82000000004</v>
      </c>
      <c r="Q150" s="82">
        <f t="shared" si="78"/>
        <v>329423.68</v>
      </c>
      <c r="R150" s="82">
        <f t="shared" si="79"/>
        <v>329423.68</v>
      </c>
    </row>
    <row r="151" spans="2:18" s="34" customFormat="1" ht="23.4">
      <c r="B151" s="87" t="s">
        <v>295</v>
      </c>
      <c r="C151" s="88" t="s">
        <v>296</v>
      </c>
      <c r="D151" s="89" t="s">
        <v>79</v>
      </c>
      <c r="E151" s="90">
        <v>120.2</v>
      </c>
      <c r="F151" s="91"/>
      <c r="G151" s="91"/>
      <c r="H151" s="91"/>
      <c r="I151" s="79">
        <f>SUM(G151:H151)+'BM 007'!I151</f>
        <v>0</v>
      </c>
      <c r="J151" s="91">
        <f t="shared" si="39"/>
        <v>120.2</v>
      </c>
      <c r="K151" s="84">
        <v>178</v>
      </c>
      <c r="L151" s="81">
        <f t="shared" si="37"/>
        <v>225.63281958000002</v>
      </c>
      <c r="M151" s="82">
        <f t="shared" si="75"/>
        <v>0</v>
      </c>
      <c r="N151" s="82">
        <f t="shared" si="76"/>
        <v>0</v>
      </c>
      <c r="O151" s="82">
        <f>N151+'BM 007'!O151</f>
        <v>0</v>
      </c>
      <c r="P151" s="80">
        <f t="shared" si="77"/>
        <v>21395.600000000002</v>
      </c>
      <c r="Q151" s="82">
        <f t="shared" si="78"/>
        <v>27121.06</v>
      </c>
      <c r="R151" s="82">
        <f t="shared" si="79"/>
        <v>27121.06</v>
      </c>
    </row>
    <row r="152" spans="2:18" s="34" customFormat="1" ht="23.4">
      <c r="B152" s="87" t="s">
        <v>297</v>
      </c>
      <c r="C152" s="88" t="s">
        <v>298</v>
      </c>
      <c r="D152" s="89" t="s">
        <v>79</v>
      </c>
      <c r="E152" s="90">
        <v>52.6</v>
      </c>
      <c r="F152" s="91"/>
      <c r="G152" s="91"/>
      <c r="H152" s="91"/>
      <c r="I152" s="79">
        <f>SUM(G152:H152)+'BM 007'!I152</f>
        <v>0</v>
      </c>
      <c r="J152" s="91">
        <f t="shared" si="39"/>
        <v>52.6</v>
      </c>
      <c r="K152" s="84">
        <v>182</v>
      </c>
      <c r="L152" s="81">
        <f t="shared" si="37"/>
        <v>230.70322002</v>
      </c>
      <c r="M152" s="82">
        <f t="shared" si="75"/>
        <v>0</v>
      </c>
      <c r="N152" s="82">
        <f t="shared" si="76"/>
        <v>0</v>
      </c>
      <c r="O152" s="82">
        <f>N152+'BM 007'!O152</f>
        <v>0</v>
      </c>
      <c r="P152" s="80">
        <f t="shared" si="77"/>
        <v>9573.2000000000007</v>
      </c>
      <c r="Q152" s="82">
        <f t="shared" si="78"/>
        <v>12134.98</v>
      </c>
      <c r="R152" s="82">
        <f t="shared" si="79"/>
        <v>12134.98</v>
      </c>
    </row>
    <row r="153" spans="2:18" s="34" customFormat="1" ht="23.4">
      <c r="B153" s="87" t="s">
        <v>299</v>
      </c>
      <c r="C153" s="88" t="s">
        <v>300</v>
      </c>
      <c r="D153" s="89" t="s">
        <v>79</v>
      </c>
      <c r="E153" s="90">
        <v>2811.38</v>
      </c>
      <c r="F153" s="91"/>
      <c r="G153" s="91"/>
      <c r="H153" s="91"/>
      <c r="I153" s="79">
        <f>SUM(G153:H153)+'BM 007'!I153</f>
        <v>0</v>
      </c>
      <c r="J153" s="91">
        <f t="shared" si="39"/>
        <v>2811.38</v>
      </c>
      <c r="K153" s="84">
        <v>177</v>
      </c>
      <c r="L153" s="81">
        <f t="shared" si="37"/>
        <v>224.36521947</v>
      </c>
      <c r="M153" s="82">
        <f t="shared" si="75"/>
        <v>0</v>
      </c>
      <c r="N153" s="82">
        <f t="shared" si="76"/>
        <v>0</v>
      </c>
      <c r="O153" s="82">
        <f>N153+'BM 007'!O153</f>
        <v>0</v>
      </c>
      <c r="P153" s="80">
        <f t="shared" si="77"/>
        <v>497614.26</v>
      </c>
      <c r="Q153" s="82">
        <f t="shared" si="78"/>
        <v>630775.89</v>
      </c>
      <c r="R153" s="82">
        <f t="shared" si="79"/>
        <v>630775.89</v>
      </c>
    </row>
    <row r="154" spans="2:18" s="34" customFormat="1" ht="23.4">
      <c r="B154" s="87" t="s">
        <v>301</v>
      </c>
      <c r="C154" s="88" t="s">
        <v>302</v>
      </c>
      <c r="D154" s="89" t="s">
        <v>79</v>
      </c>
      <c r="E154" s="90">
        <v>1207.43</v>
      </c>
      <c r="F154" s="91"/>
      <c r="G154" s="91"/>
      <c r="H154" s="91"/>
      <c r="I154" s="79">
        <f>SUM(G154:H154)+'BM 007'!I154</f>
        <v>0</v>
      </c>
      <c r="J154" s="91">
        <f t="shared" si="39"/>
        <v>1207.43</v>
      </c>
      <c r="K154" s="84">
        <v>207</v>
      </c>
      <c r="L154" s="81">
        <f t="shared" si="37"/>
        <v>262.39322277000002</v>
      </c>
      <c r="M154" s="82">
        <f t="shared" si="75"/>
        <v>0</v>
      </c>
      <c r="N154" s="82">
        <f t="shared" si="76"/>
        <v>0</v>
      </c>
      <c r="O154" s="82">
        <f>N154+'BM 007'!O154</f>
        <v>0</v>
      </c>
      <c r="P154" s="80">
        <f t="shared" si="77"/>
        <v>249938.01</v>
      </c>
      <c r="Q154" s="82">
        <f t="shared" si="78"/>
        <v>316821.44</v>
      </c>
      <c r="R154" s="82">
        <f t="shared" si="79"/>
        <v>316821.44</v>
      </c>
    </row>
    <row r="155" spans="2:18" s="34" customFormat="1" ht="13.2">
      <c r="B155" s="60" t="s">
        <v>303</v>
      </c>
      <c r="C155" s="61" t="s">
        <v>304</v>
      </c>
      <c r="D155" s="60"/>
      <c r="E155" s="62"/>
      <c r="F155" s="63"/>
      <c r="G155" s="63"/>
      <c r="H155" s="63"/>
      <c r="I155" s="63">
        <f>SUM(G155:H155)+'BM 007'!I155</f>
        <v>0</v>
      </c>
      <c r="J155" s="63">
        <f t="shared" si="39"/>
        <v>0</v>
      </c>
      <c r="K155" s="63"/>
      <c r="L155" s="63">
        <f t="shared" si="37"/>
        <v>0</v>
      </c>
      <c r="M155" s="63">
        <f t="shared" ref="M155:R155" si="80">SUM(M156,M165)</f>
        <v>0</v>
      </c>
      <c r="N155" s="63">
        <f t="shared" si="80"/>
        <v>0</v>
      </c>
      <c r="O155" s="63">
        <f t="shared" si="80"/>
        <v>0</v>
      </c>
      <c r="P155" s="63">
        <f t="shared" si="80"/>
        <v>800757.83000000007</v>
      </c>
      <c r="Q155" s="63">
        <f t="shared" si="80"/>
        <v>1015040.66</v>
      </c>
      <c r="R155" s="63">
        <f t="shared" si="80"/>
        <v>1015040.66</v>
      </c>
    </row>
    <row r="156" spans="2:18" s="34" customFormat="1" ht="13.2">
      <c r="B156" s="66" t="s">
        <v>305</v>
      </c>
      <c r="C156" s="67" t="s">
        <v>306</v>
      </c>
      <c r="D156" s="68"/>
      <c r="E156" s="69"/>
      <c r="F156" s="70"/>
      <c r="G156" s="70"/>
      <c r="H156" s="70"/>
      <c r="I156" s="70">
        <f>SUM(G156:H156)+'BM 007'!I156</f>
        <v>0</v>
      </c>
      <c r="J156" s="70">
        <f t="shared" si="39"/>
        <v>0</v>
      </c>
      <c r="K156" s="71"/>
      <c r="L156" s="71">
        <f t="shared" si="37"/>
        <v>0</v>
      </c>
      <c r="M156" s="73">
        <f t="shared" ref="M156:R156" si="81">SUM(M157:M164)</f>
        <v>0</v>
      </c>
      <c r="N156" s="73">
        <f t="shared" si="81"/>
        <v>0</v>
      </c>
      <c r="O156" s="73">
        <f t="shared" si="81"/>
        <v>0</v>
      </c>
      <c r="P156" s="73">
        <f t="shared" si="81"/>
        <v>737633.33000000007</v>
      </c>
      <c r="Q156" s="73">
        <f t="shared" si="81"/>
        <v>935024.05</v>
      </c>
      <c r="R156" s="73">
        <f t="shared" si="81"/>
        <v>935024.05</v>
      </c>
    </row>
    <row r="157" spans="2:18" s="34" customFormat="1" ht="57.6">
      <c r="B157" s="87" t="s">
        <v>307</v>
      </c>
      <c r="C157" s="88" t="s">
        <v>308</v>
      </c>
      <c r="D157" s="89" t="s">
        <v>79</v>
      </c>
      <c r="E157" s="103">
        <v>7166.75</v>
      </c>
      <c r="F157" s="84"/>
      <c r="G157" s="84"/>
      <c r="H157" s="84"/>
      <c r="I157" s="79">
        <f>SUM(G157:H157)+'BM 007'!I157</f>
        <v>0</v>
      </c>
      <c r="J157" s="84">
        <f t="shared" si="39"/>
        <v>7166.75</v>
      </c>
      <c r="K157" s="84">
        <v>42.2</v>
      </c>
      <c r="L157" s="81">
        <f t="shared" ref="L157:L220" si="82">K157*(1+$T$26)</f>
        <v>53.492724642000006</v>
      </c>
      <c r="M157" s="82">
        <f t="shared" ref="M157:M164" si="83">TRUNC(F157*L157,2)</f>
        <v>0</v>
      </c>
      <c r="N157" s="82">
        <f t="shared" ref="N157:N164" si="84">TRUNC(G157*L157,2)</f>
        <v>0</v>
      </c>
      <c r="O157" s="82">
        <f>N157+'BM 007'!O157</f>
        <v>0</v>
      </c>
      <c r="P157" s="80">
        <f t="shared" ref="P157:P164" si="85">E157*K157</f>
        <v>302436.85000000003</v>
      </c>
      <c r="Q157" s="82">
        <f t="shared" ref="Q157:Q164" si="86">TRUNC(E157*L157,2)</f>
        <v>383368.98</v>
      </c>
      <c r="R157" s="82">
        <f t="shared" ref="R157:R164" si="87">Q157-O157</f>
        <v>383368.98</v>
      </c>
    </row>
    <row r="158" spans="2:18" s="34" customFormat="1" ht="46.2">
      <c r="B158" s="87" t="s">
        <v>309</v>
      </c>
      <c r="C158" s="88" t="s">
        <v>310</v>
      </c>
      <c r="D158" s="89" t="s">
        <v>79</v>
      </c>
      <c r="E158" s="104">
        <v>520.1</v>
      </c>
      <c r="F158" s="80"/>
      <c r="G158" s="80"/>
      <c r="H158" s="80"/>
      <c r="I158" s="79">
        <f>SUM(G158:H158)+'BM 007'!I158</f>
        <v>0</v>
      </c>
      <c r="J158" s="80">
        <f t="shared" si="39"/>
        <v>520.1</v>
      </c>
      <c r="K158" s="105">
        <v>35.200000000000003</v>
      </c>
      <c r="L158" s="81">
        <f t="shared" si="82"/>
        <v>44.619523872000009</v>
      </c>
      <c r="M158" s="82">
        <f t="shared" si="83"/>
        <v>0</v>
      </c>
      <c r="N158" s="82">
        <f t="shared" si="84"/>
        <v>0</v>
      </c>
      <c r="O158" s="82">
        <f>N158+'BM 007'!O158</f>
        <v>0</v>
      </c>
      <c r="P158" s="80">
        <f t="shared" si="85"/>
        <v>18307.520000000004</v>
      </c>
      <c r="Q158" s="82">
        <f t="shared" si="86"/>
        <v>23206.61</v>
      </c>
      <c r="R158" s="82">
        <f t="shared" si="87"/>
        <v>23206.61</v>
      </c>
    </row>
    <row r="159" spans="2:18" s="34" customFormat="1" ht="34.799999999999997">
      <c r="B159" s="87" t="s">
        <v>311</v>
      </c>
      <c r="C159" s="88" t="s">
        <v>312</v>
      </c>
      <c r="D159" s="89" t="s">
        <v>79</v>
      </c>
      <c r="E159" s="103">
        <v>1225.0999999999999</v>
      </c>
      <c r="F159" s="84"/>
      <c r="G159" s="84"/>
      <c r="H159" s="84"/>
      <c r="I159" s="79">
        <f>SUM(G159:H159)+'BM 007'!I159</f>
        <v>0</v>
      </c>
      <c r="J159" s="84">
        <f t="shared" ref="J159:J222" si="88">E159-I159</f>
        <v>1225.0999999999999</v>
      </c>
      <c r="K159" s="105">
        <v>60</v>
      </c>
      <c r="L159" s="81">
        <f t="shared" si="82"/>
        <v>76.056006600000003</v>
      </c>
      <c r="M159" s="82">
        <f t="shared" si="83"/>
        <v>0</v>
      </c>
      <c r="N159" s="82">
        <f t="shared" si="84"/>
        <v>0</v>
      </c>
      <c r="O159" s="82">
        <f>N159+'BM 007'!O159</f>
        <v>0</v>
      </c>
      <c r="P159" s="80">
        <f t="shared" si="85"/>
        <v>73506</v>
      </c>
      <c r="Q159" s="82">
        <f t="shared" si="86"/>
        <v>93176.21</v>
      </c>
      <c r="R159" s="82">
        <f t="shared" si="87"/>
        <v>93176.21</v>
      </c>
    </row>
    <row r="160" spans="2:18" s="34" customFormat="1" ht="46.2">
      <c r="B160" s="87" t="s">
        <v>313</v>
      </c>
      <c r="C160" s="88" t="s">
        <v>284</v>
      </c>
      <c r="D160" s="89" t="s">
        <v>79</v>
      </c>
      <c r="E160" s="106">
        <v>937</v>
      </c>
      <c r="F160" s="84"/>
      <c r="G160" s="84"/>
      <c r="H160" s="84"/>
      <c r="I160" s="79">
        <f>SUM(G160:H160)+'BM 007'!I160</f>
        <v>0</v>
      </c>
      <c r="J160" s="84">
        <f t="shared" si="88"/>
        <v>937</v>
      </c>
      <c r="K160" s="105">
        <v>158</v>
      </c>
      <c r="L160" s="81">
        <f t="shared" si="82"/>
        <v>200.28081738</v>
      </c>
      <c r="M160" s="82">
        <f t="shared" si="83"/>
        <v>0</v>
      </c>
      <c r="N160" s="82">
        <f t="shared" si="84"/>
        <v>0</v>
      </c>
      <c r="O160" s="82">
        <f>N160+'BM 007'!O160</f>
        <v>0</v>
      </c>
      <c r="P160" s="80">
        <f t="shared" si="85"/>
        <v>148046</v>
      </c>
      <c r="Q160" s="82">
        <f t="shared" si="86"/>
        <v>187663.12</v>
      </c>
      <c r="R160" s="82">
        <f t="shared" si="87"/>
        <v>187663.12</v>
      </c>
    </row>
    <row r="161" spans="2:18" s="34" customFormat="1" ht="46.2">
      <c r="B161" s="87" t="s">
        <v>314</v>
      </c>
      <c r="C161" s="88" t="s">
        <v>315</v>
      </c>
      <c r="D161" s="89" t="s">
        <v>79</v>
      </c>
      <c r="E161" s="106">
        <v>720.69</v>
      </c>
      <c r="F161" s="84"/>
      <c r="G161" s="84"/>
      <c r="H161" s="84"/>
      <c r="I161" s="79">
        <f>SUM(G161:H161)+'BM 007'!I161</f>
        <v>0</v>
      </c>
      <c r="J161" s="84">
        <f t="shared" si="88"/>
        <v>720.69</v>
      </c>
      <c r="K161" s="84">
        <v>185</v>
      </c>
      <c r="L161" s="81">
        <f t="shared" si="82"/>
        <v>234.50602035</v>
      </c>
      <c r="M161" s="82">
        <f t="shared" si="83"/>
        <v>0</v>
      </c>
      <c r="N161" s="82">
        <f t="shared" si="84"/>
        <v>0</v>
      </c>
      <c r="O161" s="82">
        <f>N161+'BM 007'!O161</f>
        <v>0</v>
      </c>
      <c r="P161" s="80">
        <f t="shared" si="85"/>
        <v>133327.65000000002</v>
      </c>
      <c r="Q161" s="82">
        <f t="shared" si="86"/>
        <v>169006.14</v>
      </c>
      <c r="R161" s="82">
        <f t="shared" si="87"/>
        <v>169006.14</v>
      </c>
    </row>
    <row r="162" spans="2:18" s="34" customFormat="1" ht="23.4">
      <c r="B162" s="87" t="s">
        <v>316</v>
      </c>
      <c r="C162" s="88" t="s">
        <v>317</v>
      </c>
      <c r="D162" s="89" t="s">
        <v>79</v>
      </c>
      <c r="E162" s="103">
        <v>50.69</v>
      </c>
      <c r="F162" s="84"/>
      <c r="G162" s="84"/>
      <c r="H162" s="84"/>
      <c r="I162" s="79">
        <f>SUM(G162:H162)+'BM 007'!I162</f>
        <v>0</v>
      </c>
      <c r="J162" s="84">
        <f t="shared" si="88"/>
        <v>50.69</v>
      </c>
      <c r="K162" s="84">
        <v>765</v>
      </c>
      <c r="L162" s="81">
        <f t="shared" si="82"/>
        <v>969.71408415000008</v>
      </c>
      <c r="M162" s="82">
        <f t="shared" si="83"/>
        <v>0</v>
      </c>
      <c r="N162" s="82">
        <f t="shared" si="84"/>
        <v>0</v>
      </c>
      <c r="O162" s="82">
        <f>N162+'BM 007'!O162</f>
        <v>0</v>
      </c>
      <c r="P162" s="80">
        <f t="shared" si="85"/>
        <v>38777.85</v>
      </c>
      <c r="Q162" s="82">
        <f t="shared" si="86"/>
        <v>49154.8</v>
      </c>
      <c r="R162" s="82">
        <f t="shared" si="87"/>
        <v>49154.8</v>
      </c>
    </row>
    <row r="163" spans="2:18" s="34" customFormat="1" ht="23.4">
      <c r="B163" s="87" t="s">
        <v>318</v>
      </c>
      <c r="C163" s="88" t="s">
        <v>319</v>
      </c>
      <c r="D163" s="89" t="s">
        <v>124</v>
      </c>
      <c r="E163" s="106">
        <v>36</v>
      </c>
      <c r="F163" s="84"/>
      <c r="G163" s="84"/>
      <c r="H163" s="84"/>
      <c r="I163" s="79">
        <f>SUM(G163:H163)+'BM 007'!I163</f>
        <v>0</v>
      </c>
      <c r="J163" s="84">
        <f t="shared" si="88"/>
        <v>36</v>
      </c>
      <c r="K163" s="84">
        <v>134</v>
      </c>
      <c r="L163" s="81">
        <f t="shared" si="82"/>
        <v>169.85841474</v>
      </c>
      <c r="M163" s="82">
        <f t="shared" si="83"/>
        <v>0</v>
      </c>
      <c r="N163" s="82">
        <f t="shared" si="84"/>
        <v>0</v>
      </c>
      <c r="O163" s="82">
        <f>N163+'BM 007'!O163</f>
        <v>0</v>
      </c>
      <c r="P163" s="80">
        <f t="shared" si="85"/>
        <v>4824</v>
      </c>
      <c r="Q163" s="82">
        <f t="shared" si="86"/>
        <v>6114.9</v>
      </c>
      <c r="R163" s="82">
        <f t="shared" si="87"/>
        <v>6114.9</v>
      </c>
    </row>
    <row r="164" spans="2:18" s="34" customFormat="1" ht="13.2">
      <c r="B164" s="87" t="s">
        <v>320</v>
      </c>
      <c r="C164" s="88" t="s">
        <v>321</v>
      </c>
      <c r="D164" s="89" t="s">
        <v>124</v>
      </c>
      <c r="E164" s="106">
        <v>123.54</v>
      </c>
      <c r="F164" s="84"/>
      <c r="G164" s="84"/>
      <c r="H164" s="84"/>
      <c r="I164" s="79">
        <f>SUM(G164:H164)+'BM 007'!I164</f>
        <v>0</v>
      </c>
      <c r="J164" s="84">
        <f t="shared" si="88"/>
        <v>123.54</v>
      </c>
      <c r="K164" s="84">
        <v>149</v>
      </c>
      <c r="L164" s="81">
        <f t="shared" si="82"/>
        <v>188.87241639000001</v>
      </c>
      <c r="M164" s="82">
        <f t="shared" si="83"/>
        <v>0</v>
      </c>
      <c r="N164" s="82">
        <f t="shared" si="84"/>
        <v>0</v>
      </c>
      <c r="O164" s="82">
        <f>N164+'BM 007'!O164</f>
        <v>0</v>
      </c>
      <c r="P164" s="80">
        <f t="shared" si="85"/>
        <v>18407.46</v>
      </c>
      <c r="Q164" s="82">
        <f t="shared" si="86"/>
        <v>23333.29</v>
      </c>
      <c r="R164" s="82">
        <f t="shared" si="87"/>
        <v>23333.29</v>
      </c>
    </row>
    <row r="165" spans="2:18" s="34" customFormat="1" ht="13.2">
      <c r="B165" s="66" t="s">
        <v>322</v>
      </c>
      <c r="C165" s="67" t="s">
        <v>323</v>
      </c>
      <c r="D165" s="68"/>
      <c r="E165" s="69"/>
      <c r="F165" s="70"/>
      <c r="G165" s="70"/>
      <c r="H165" s="70"/>
      <c r="I165" s="70">
        <f>SUM(G165:H165)+'BM 007'!I165</f>
        <v>0</v>
      </c>
      <c r="J165" s="70">
        <f t="shared" si="88"/>
        <v>0</v>
      </c>
      <c r="K165" s="71"/>
      <c r="L165" s="71">
        <f t="shared" si="82"/>
        <v>0</v>
      </c>
      <c r="M165" s="73">
        <f t="shared" ref="M165:R165" si="89">SUM(M166:M169)</f>
        <v>0</v>
      </c>
      <c r="N165" s="73">
        <f t="shared" si="89"/>
        <v>0</v>
      </c>
      <c r="O165" s="73">
        <f t="shared" si="89"/>
        <v>0</v>
      </c>
      <c r="P165" s="73">
        <f t="shared" si="89"/>
        <v>63124.5</v>
      </c>
      <c r="Q165" s="73">
        <f t="shared" si="89"/>
        <v>80016.61</v>
      </c>
      <c r="R165" s="73">
        <f t="shared" si="89"/>
        <v>80016.61</v>
      </c>
    </row>
    <row r="166" spans="2:18" s="34" customFormat="1" ht="34.799999999999997">
      <c r="B166" s="87" t="s">
        <v>324</v>
      </c>
      <c r="C166" s="88" t="s">
        <v>325</v>
      </c>
      <c r="D166" s="89" t="s">
        <v>79</v>
      </c>
      <c r="E166" s="90">
        <v>290.89999999999998</v>
      </c>
      <c r="F166" s="91"/>
      <c r="G166" s="91"/>
      <c r="H166" s="91"/>
      <c r="I166" s="79">
        <f>SUM(G166:H166)+'BM 007'!I166</f>
        <v>0</v>
      </c>
      <c r="J166" s="91">
        <f t="shared" si="88"/>
        <v>290.89999999999998</v>
      </c>
      <c r="K166" s="84">
        <v>105</v>
      </c>
      <c r="L166" s="81">
        <f t="shared" si="82"/>
        <v>133.09801155</v>
      </c>
      <c r="M166" s="82">
        <f>TRUNC(F166*L166,2)</f>
        <v>0</v>
      </c>
      <c r="N166" s="82">
        <f>TRUNC(G166*L166,2)</f>
        <v>0</v>
      </c>
      <c r="O166" s="82">
        <f>N166+'BM 007'!O166</f>
        <v>0</v>
      </c>
      <c r="P166" s="80">
        <f>E166*K166</f>
        <v>30544.499999999996</v>
      </c>
      <c r="Q166" s="82">
        <f>TRUNC(E166*L166,2)</f>
        <v>38718.21</v>
      </c>
      <c r="R166" s="82">
        <f>Q166-O166</f>
        <v>38718.21</v>
      </c>
    </row>
    <row r="167" spans="2:18" s="34" customFormat="1" ht="34.799999999999997">
      <c r="B167" s="87" t="s">
        <v>326</v>
      </c>
      <c r="C167" s="88" t="s">
        <v>327</v>
      </c>
      <c r="D167" s="89" t="s">
        <v>79</v>
      </c>
      <c r="E167" s="90">
        <v>230</v>
      </c>
      <c r="F167" s="91"/>
      <c r="G167" s="91"/>
      <c r="H167" s="91"/>
      <c r="I167" s="79">
        <f>SUM(G167:H167)+'BM 007'!I167</f>
        <v>0</v>
      </c>
      <c r="J167" s="91">
        <f t="shared" si="88"/>
        <v>230</v>
      </c>
      <c r="K167" s="84">
        <v>90</v>
      </c>
      <c r="L167" s="81">
        <f t="shared" si="82"/>
        <v>114.08400990000001</v>
      </c>
      <c r="M167" s="82">
        <f>TRUNC(F167*L167,2)</f>
        <v>0</v>
      </c>
      <c r="N167" s="82">
        <f>TRUNC(G167*L167,2)</f>
        <v>0</v>
      </c>
      <c r="O167" s="82">
        <f>N167+'BM 007'!O167</f>
        <v>0</v>
      </c>
      <c r="P167" s="80">
        <f>E167*K167</f>
        <v>20700</v>
      </c>
      <c r="Q167" s="82">
        <f>TRUNC(E167*L167,2)</f>
        <v>26239.32</v>
      </c>
      <c r="R167" s="82">
        <f>Q167-O167</f>
        <v>26239.32</v>
      </c>
    </row>
    <row r="168" spans="2:18" s="34" customFormat="1" ht="23.4">
      <c r="B168" s="87" t="s">
        <v>328</v>
      </c>
      <c r="C168" s="88" t="s">
        <v>329</v>
      </c>
      <c r="D168" s="89" t="s">
        <v>82</v>
      </c>
      <c r="E168" s="90">
        <v>72</v>
      </c>
      <c r="F168" s="91"/>
      <c r="G168" s="91"/>
      <c r="H168" s="91"/>
      <c r="I168" s="79">
        <f>SUM(G168:H168)+'BM 007'!I168</f>
        <v>0</v>
      </c>
      <c r="J168" s="91">
        <f t="shared" si="88"/>
        <v>72</v>
      </c>
      <c r="K168" s="84">
        <v>120</v>
      </c>
      <c r="L168" s="81">
        <f t="shared" si="82"/>
        <v>152.11201320000001</v>
      </c>
      <c r="M168" s="82">
        <f>TRUNC(F168*L168,2)</f>
        <v>0</v>
      </c>
      <c r="N168" s="82">
        <f>TRUNC(G168*L168,2)</f>
        <v>0</v>
      </c>
      <c r="O168" s="82">
        <f>N168+'BM 007'!O168</f>
        <v>0</v>
      </c>
      <c r="P168" s="80">
        <f>E168*K168</f>
        <v>8640</v>
      </c>
      <c r="Q168" s="82">
        <f>TRUNC(E168*L168,2)</f>
        <v>10952.06</v>
      </c>
      <c r="R168" s="82">
        <f>Q168-O168</f>
        <v>10952.06</v>
      </c>
    </row>
    <row r="169" spans="2:18" s="34" customFormat="1" ht="34.799999999999997">
      <c r="B169" s="87" t="s">
        <v>330</v>
      </c>
      <c r="C169" s="88" t="s">
        <v>331</v>
      </c>
      <c r="D169" s="89" t="s">
        <v>82</v>
      </c>
      <c r="E169" s="90">
        <v>72</v>
      </c>
      <c r="F169" s="91"/>
      <c r="G169" s="91"/>
      <c r="H169" s="91"/>
      <c r="I169" s="79">
        <f>SUM(G169:H169)+'BM 007'!I169</f>
        <v>0</v>
      </c>
      <c r="J169" s="91">
        <f t="shared" si="88"/>
        <v>72</v>
      </c>
      <c r="K169" s="84">
        <v>45</v>
      </c>
      <c r="L169" s="81">
        <f t="shared" si="82"/>
        <v>57.042004950000006</v>
      </c>
      <c r="M169" s="82">
        <f>TRUNC(F169*L169,2)</f>
        <v>0</v>
      </c>
      <c r="N169" s="82">
        <f>TRUNC(G169*L169,2)</f>
        <v>0</v>
      </c>
      <c r="O169" s="82">
        <f>N169+'BM 007'!O169</f>
        <v>0</v>
      </c>
      <c r="P169" s="80">
        <f>E169*K169</f>
        <v>3240</v>
      </c>
      <c r="Q169" s="82">
        <f>TRUNC(E169*L169,2)</f>
        <v>4107.0200000000004</v>
      </c>
      <c r="R169" s="82">
        <f>Q169-O169</f>
        <v>4107.0200000000004</v>
      </c>
    </row>
    <row r="170" spans="2:18" s="34" customFormat="1" ht="13.2">
      <c r="B170" s="60" t="s">
        <v>332</v>
      </c>
      <c r="C170" s="61" t="s">
        <v>333</v>
      </c>
      <c r="D170" s="60"/>
      <c r="E170" s="62"/>
      <c r="F170" s="63"/>
      <c r="G170" s="63"/>
      <c r="H170" s="63"/>
      <c r="I170" s="63">
        <f>SUM(G170:H170)+'BM 007'!I170</f>
        <v>0</v>
      </c>
      <c r="J170" s="63">
        <f t="shared" si="88"/>
        <v>0</v>
      </c>
      <c r="K170" s="63"/>
      <c r="L170" s="63">
        <f t="shared" si="82"/>
        <v>0</v>
      </c>
      <c r="M170" s="63">
        <f t="shared" ref="M170:R170" si="90">SUM(M171:M174)</f>
        <v>0</v>
      </c>
      <c r="N170" s="63">
        <f t="shared" si="90"/>
        <v>0</v>
      </c>
      <c r="O170" s="63">
        <f t="shared" si="90"/>
        <v>0</v>
      </c>
      <c r="P170" s="63">
        <f t="shared" si="90"/>
        <v>584904.20000000007</v>
      </c>
      <c r="Q170" s="63">
        <f t="shared" si="90"/>
        <v>741424.62000000011</v>
      </c>
      <c r="R170" s="63">
        <f t="shared" si="90"/>
        <v>741424.62000000011</v>
      </c>
    </row>
    <row r="171" spans="2:18" s="34" customFormat="1" ht="46.2">
      <c r="B171" s="87" t="s">
        <v>334</v>
      </c>
      <c r="C171" s="88" t="s">
        <v>335</v>
      </c>
      <c r="D171" s="89" t="s">
        <v>79</v>
      </c>
      <c r="E171" s="90">
        <v>3789.02</v>
      </c>
      <c r="F171" s="91"/>
      <c r="G171" s="91"/>
      <c r="H171" s="91"/>
      <c r="I171" s="79">
        <f>SUM(G171:H171)+'BM 007'!I171</f>
        <v>0</v>
      </c>
      <c r="J171" s="91">
        <f t="shared" si="88"/>
        <v>3789.02</v>
      </c>
      <c r="K171" s="84">
        <v>70</v>
      </c>
      <c r="L171" s="81">
        <f t="shared" si="82"/>
        <v>88.732007699999997</v>
      </c>
      <c r="M171" s="82">
        <f>TRUNC(F171*L171,2)</f>
        <v>0</v>
      </c>
      <c r="N171" s="82">
        <f>TRUNC(G171*L171,2)</f>
        <v>0</v>
      </c>
      <c r="O171" s="82">
        <f>N171+'BM 007'!O171</f>
        <v>0</v>
      </c>
      <c r="P171" s="80">
        <f>E171*K171</f>
        <v>265231.40000000002</v>
      </c>
      <c r="Q171" s="82">
        <f>TRUNC(E171*L171,2)</f>
        <v>336207.35</v>
      </c>
      <c r="R171" s="82">
        <f>Q171-O171</f>
        <v>336207.35</v>
      </c>
    </row>
    <row r="172" spans="2:18" s="34" customFormat="1" ht="23.4">
      <c r="B172" s="87" t="s">
        <v>336</v>
      </c>
      <c r="C172" s="88" t="s">
        <v>337</v>
      </c>
      <c r="D172" s="89" t="s">
        <v>79</v>
      </c>
      <c r="E172" s="90">
        <v>184.68</v>
      </c>
      <c r="F172" s="91"/>
      <c r="G172" s="91"/>
      <c r="H172" s="91"/>
      <c r="I172" s="79">
        <f>SUM(G172:H172)+'BM 007'!I172</f>
        <v>0</v>
      </c>
      <c r="J172" s="91">
        <f t="shared" si="88"/>
        <v>184.68</v>
      </c>
      <c r="K172" s="84">
        <v>735</v>
      </c>
      <c r="L172" s="81">
        <f t="shared" si="82"/>
        <v>931.68608085000005</v>
      </c>
      <c r="M172" s="82">
        <f>TRUNC(F172*L172,2)</f>
        <v>0</v>
      </c>
      <c r="N172" s="82">
        <f>TRUNC(G172*L172,2)</f>
        <v>0</v>
      </c>
      <c r="O172" s="82">
        <f>N172+'BM 007'!O172</f>
        <v>0</v>
      </c>
      <c r="P172" s="80">
        <f>E172*K172</f>
        <v>135739.80000000002</v>
      </c>
      <c r="Q172" s="82">
        <f>TRUNC(E172*L172,2)</f>
        <v>172063.78</v>
      </c>
      <c r="R172" s="82">
        <f>Q172-O172</f>
        <v>172063.78</v>
      </c>
    </row>
    <row r="173" spans="2:18" s="34" customFormat="1" ht="46.2">
      <c r="B173" s="87" t="s">
        <v>338</v>
      </c>
      <c r="C173" s="88" t="s">
        <v>339</v>
      </c>
      <c r="D173" s="89" t="s">
        <v>79</v>
      </c>
      <c r="E173" s="90">
        <v>798.6</v>
      </c>
      <c r="F173" s="91"/>
      <c r="G173" s="91"/>
      <c r="H173" s="91"/>
      <c r="I173" s="79">
        <f>SUM(G173:H173)+'BM 007'!I173</f>
        <v>0</v>
      </c>
      <c r="J173" s="91">
        <f t="shared" si="88"/>
        <v>798.6</v>
      </c>
      <c r="K173" s="84">
        <v>125</v>
      </c>
      <c r="L173" s="81">
        <f t="shared" si="82"/>
        <v>158.45001375000001</v>
      </c>
      <c r="M173" s="82">
        <f>TRUNC(F173*L173,2)</f>
        <v>0</v>
      </c>
      <c r="N173" s="82">
        <f>TRUNC(G173*L173,2)</f>
        <v>0</v>
      </c>
      <c r="O173" s="82">
        <f>N173+'BM 007'!O173</f>
        <v>0</v>
      </c>
      <c r="P173" s="80">
        <f>E173*K173</f>
        <v>99825</v>
      </c>
      <c r="Q173" s="82">
        <f>TRUNC(E173*L173,2)</f>
        <v>126538.18</v>
      </c>
      <c r="R173" s="82">
        <f>Q173-O173</f>
        <v>126538.18</v>
      </c>
    </row>
    <row r="174" spans="2:18" s="34" customFormat="1" ht="57.6">
      <c r="B174" s="87" t="s">
        <v>340</v>
      </c>
      <c r="C174" s="88" t="s">
        <v>341</v>
      </c>
      <c r="D174" s="89" t="s">
        <v>79</v>
      </c>
      <c r="E174" s="90">
        <v>489</v>
      </c>
      <c r="F174" s="91"/>
      <c r="G174" s="91"/>
      <c r="H174" s="91"/>
      <c r="I174" s="79">
        <f>SUM(G174:H174)+'BM 007'!I174</f>
        <v>0</v>
      </c>
      <c r="J174" s="91">
        <f t="shared" si="88"/>
        <v>489</v>
      </c>
      <c r="K174" s="84">
        <v>172</v>
      </c>
      <c r="L174" s="81">
        <f t="shared" si="82"/>
        <v>218.02721892</v>
      </c>
      <c r="M174" s="82">
        <f>TRUNC(F174*L174,2)</f>
        <v>0</v>
      </c>
      <c r="N174" s="82">
        <f>TRUNC(G174*L174,2)</f>
        <v>0</v>
      </c>
      <c r="O174" s="82">
        <f>N174+'BM 007'!O174</f>
        <v>0</v>
      </c>
      <c r="P174" s="80">
        <f>E174*K174</f>
        <v>84108</v>
      </c>
      <c r="Q174" s="82">
        <f>TRUNC(E174*L174,2)</f>
        <v>106615.31</v>
      </c>
      <c r="R174" s="82">
        <f>Q174-O174</f>
        <v>106615.31</v>
      </c>
    </row>
    <row r="175" spans="2:18" s="34" customFormat="1" ht="13.2">
      <c r="B175" s="60" t="s">
        <v>342</v>
      </c>
      <c r="C175" s="61" t="s">
        <v>343</v>
      </c>
      <c r="D175" s="60"/>
      <c r="E175" s="62"/>
      <c r="F175" s="63"/>
      <c r="G175" s="63"/>
      <c r="H175" s="63"/>
      <c r="I175" s="63">
        <f>SUM(G175:H175)+'BM 007'!I175</f>
        <v>0</v>
      </c>
      <c r="J175" s="63">
        <f t="shared" si="88"/>
        <v>0</v>
      </c>
      <c r="K175" s="63"/>
      <c r="L175" s="63">
        <f t="shared" si="82"/>
        <v>0</v>
      </c>
      <c r="M175" s="63">
        <f t="shared" ref="M175:R175" si="91">SUM(M176:M177)</f>
        <v>0</v>
      </c>
      <c r="N175" s="63">
        <f t="shared" si="91"/>
        <v>0</v>
      </c>
      <c r="O175" s="63">
        <f t="shared" si="91"/>
        <v>0</v>
      </c>
      <c r="P175" s="63">
        <f t="shared" si="91"/>
        <v>260085</v>
      </c>
      <c r="Q175" s="63">
        <f t="shared" si="91"/>
        <v>329683.77</v>
      </c>
      <c r="R175" s="63">
        <f t="shared" si="91"/>
        <v>329683.77</v>
      </c>
    </row>
    <row r="176" spans="2:18" s="34" customFormat="1" ht="34.799999999999997">
      <c r="B176" s="87" t="s">
        <v>344</v>
      </c>
      <c r="C176" s="88" t="s">
        <v>345</v>
      </c>
      <c r="D176" s="89" t="s">
        <v>79</v>
      </c>
      <c r="E176" s="90">
        <v>1785</v>
      </c>
      <c r="F176" s="91"/>
      <c r="G176" s="91"/>
      <c r="H176" s="91"/>
      <c r="I176" s="79">
        <f>SUM(G176:H176)+'BM 007'!I176</f>
        <v>0</v>
      </c>
      <c r="J176" s="91">
        <f t="shared" si="88"/>
        <v>1785</v>
      </c>
      <c r="K176" s="84">
        <v>125</v>
      </c>
      <c r="L176" s="81">
        <f t="shared" si="82"/>
        <v>158.45001375000001</v>
      </c>
      <c r="M176" s="82">
        <f>TRUNC(F176*L176,2)</f>
        <v>0</v>
      </c>
      <c r="N176" s="82">
        <f>TRUNC(G176*L176,2)</f>
        <v>0</v>
      </c>
      <c r="O176" s="82">
        <f>N176+'BM 007'!O176</f>
        <v>0</v>
      </c>
      <c r="P176" s="80">
        <f>E176*K176</f>
        <v>223125</v>
      </c>
      <c r="Q176" s="82">
        <f>TRUNC(E176*L176,2)</f>
        <v>282833.27</v>
      </c>
      <c r="R176" s="82">
        <f>Q176-O176</f>
        <v>282833.27</v>
      </c>
    </row>
    <row r="177" spans="2:18" s="34" customFormat="1" ht="34.799999999999997">
      <c r="B177" s="75" t="s">
        <v>346</v>
      </c>
      <c r="C177" s="76" t="s">
        <v>347</v>
      </c>
      <c r="D177" s="77" t="s">
        <v>79</v>
      </c>
      <c r="E177" s="93">
        <v>880</v>
      </c>
      <c r="F177" s="79"/>
      <c r="G177" s="79"/>
      <c r="H177" s="79"/>
      <c r="I177" s="79">
        <f>SUM(G177:H177)+'BM 007'!I177</f>
        <v>0</v>
      </c>
      <c r="J177" s="79">
        <f t="shared" si="88"/>
        <v>880</v>
      </c>
      <c r="K177" s="84">
        <v>42</v>
      </c>
      <c r="L177" s="81">
        <f t="shared" si="82"/>
        <v>53.239204620000002</v>
      </c>
      <c r="M177" s="82">
        <f>TRUNC(F177*L177,2)</f>
        <v>0</v>
      </c>
      <c r="N177" s="82">
        <f>TRUNC(G177*L177,2)</f>
        <v>0</v>
      </c>
      <c r="O177" s="82">
        <f>N177+'BM 007'!O177</f>
        <v>0</v>
      </c>
      <c r="P177" s="80">
        <f>E177*K177</f>
        <v>36960</v>
      </c>
      <c r="Q177" s="82">
        <f>TRUNC(E177*L177,2)</f>
        <v>46850.5</v>
      </c>
      <c r="R177" s="82">
        <f>Q177-O177</f>
        <v>46850.5</v>
      </c>
    </row>
    <row r="178" spans="2:18" s="34" customFormat="1" ht="13.2">
      <c r="B178" s="60" t="s">
        <v>348</v>
      </c>
      <c r="C178" s="61" t="s">
        <v>349</v>
      </c>
      <c r="D178" s="60"/>
      <c r="E178" s="62"/>
      <c r="F178" s="63"/>
      <c r="G178" s="63"/>
      <c r="H178" s="63"/>
      <c r="I178" s="63">
        <f>SUM(G178:H178)+'BM 007'!I178</f>
        <v>0</v>
      </c>
      <c r="J178" s="63">
        <f t="shared" si="88"/>
        <v>0</v>
      </c>
      <c r="K178" s="63"/>
      <c r="L178" s="63">
        <f t="shared" si="82"/>
        <v>0</v>
      </c>
      <c r="M178" s="63">
        <f t="shared" ref="M178:R178" si="92">SUM(M179,M205)</f>
        <v>0</v>
      </c>
      <c r="N178" s="63">
        <f t="shared" si="92"/>
        <v>0</v>
      </c>
      <c r="O178" s="63">
        <f t="shared" si="92"/>
        <v>0</v>
      </c>
      <c r="P178" s="63">
        <f t="shared" si="92"/>
        <v>3144051.95</v>
      </c>
      <c r="Q178" s="63">
        <f t="shared" si="92"/>
        <v>3985400.4499999997</v>
      </c>
      <c r="R178" s="63">
        <f t="shared" si="92"/>
        <v>3985400.4499999997</v>
      </c>
    </row>
    <row r="179" spans="2:18" s="34" customFormat="1" ht="13.2">
      <c r="B179" s="66" t="s">
        <v>350</v>
      </c>
      <c r="C179" s="67" t="s">
        <v>351</v>
      </c>
      <c r="D179" s="68"/>
      <c r="E179" s="69"/>
      <c r="F179" s="70"/>
      <c r="G179" s="70"/>
      <c r="H179" s="70"/>
      <c r="I179" s="70">
        <f>SUM(G179:H179)+'BM 007'!I179</f>
        <v>0</v>
      </c>
      <c r="J179" s="70">
        <f t="shared" si="88"/>
        <v>0</v>
      </c>
      <c r="K179" s="71"/>
      <c r="L179" s="71">
        <f t="shared" si="82"/>
        <v>0</v>
      </c>
      <c r="M179" s="73">
        <f t="shared" ref="M179:R179" si="93">SUM(M180:M204)</f>
        <v>0</v>
      </c>
      <c r="N179" s="73">
        <f t="shared" si="93"/>
        <v>0</v>
      </c>
      <c r="O179" s="73">
        <f t="shared" si="93"/>
        <v>0</v>
      </c>
      <c r="P179" s="73">
        <f t="shared" si="93"/>
        <v>2156515.4</v>
      </c>
      <c r="Q179" s="73">
        <f t="shared" si="93"/>
        <v>2733599.05</v>
      </c>
      <c r="R179" s="73">
        <f t="shared" si="93"/>
        <v>2733599.05</v>
      </c>
    </row>
    <row r="180" spans="2:18" s="34" customFormat="1" ht="114.6">
      <c r="B180" s="75" t="s">
        <v>352</v>
      </c>
      <c r="C180" s="88" t="s">
        <v>353</v>
      </c>
      <c r="D180" s="89" t="s">
        <v>63</v>
      </c>
      <c r="E180" s="92">
        <v>56</v>
      </c>
      <c r="F180" s="91"/>
      <c r="G180" s="91"/>
      <c r="H180" s="91"/>
      <c r="I180" s="79">
        <f>SUM(G180:H180)+'BM 007'!I180</f>
        <v>0</v>
      </c>
      <c r="J180" s="91">
        <f t="shared" si="88"/>
        <v>56</v>
      </c>
      <c r="K180" s="84">
        <v>3125</v>
      </c>
      <c r="L180" s="81">
        <f t="shared" si="82"/>
        <v>3961.25034375</v>
      </c>
      <c r="M180" s="82">
        <f t="shared" ref="M180:M204" si="94">TRUNC(F180*L180,2)</f>
        <v>0</v>
      </c>
      <c r="N180" s="82">
        <f t="shared" ref="N180:N204" si="95">TRUNC(G180*L180,2)</f>
        <v>0</v>
      </c>
      <c r="O180" s="82">
        <f>N180+'BM 007'!O180</f>
        <v>0</v>
      </c>
      <c r="P180" s="80">
        <f t="shared" ref="P180:P204" si="96">E180*K180</f>
        <v>175000</v>
      </c>
      <c r="Q180" s="82">
        <f t="shared" ref="Q180:Q204" si="97">TRUNC(E180*L180,2)</f>
        <v>221830.01</v>
      </c>
      <c r="R180" s="82">
        <f t="shared" ref="R180:R204" si="98">Q180-O180</f>
        <v>221830.01</v>
      </c>
    </row>
    <row r="181" spans="2:18" s="34" customFormat="1" ht="103.2">
      <c r="B181" s="75" t="s">
        <v>354</v>
      </c>
      <c r="C181" s="88" t="s">
        <v>355</v>
      </c>
      <c r="D181" s="89" t="s">
        <v>63</v>
      </c>
      <c r="E181" s="92">
        <v>51</v>
      </c>
      <c r="F181" s="91"/>
      <c r="G181" s="91"/>
      <c r="H181" s="91"/>
      <c r="I181" s="79">
        <f>SUM(G181:H181)+'BM 007'!I181</f>
        <v>0</v>
      </c>
      <c r="J181" s="91">
        <f t="shared" si="88"/>
        <v>51</v>
      </c>
      <c r="K181" s="84">
        <v>3580</v>
      </c>
      <c r="L181" s="81">
        <f t="shared" si="82"/>
        <v>4538.0083937999998</v>
      </c>
      <c r="M181" s="82">
        <f t="shared" si="94"/>
        <v>0</v>
      </c>
      <c r="N181" s="82">
        <f t="shared" si="95"/>
        <v>0</v>
      </c>
      <c r="O181" s="82">
        <f>N181+'BM 007'!O181</f>
        <v>0</v>
      </c>
      <c r="P181" s="80">
        <f t="shared" si="96"/>
        <v>182580</v>
      </c>
      <c r="Q181" s="82">
        <f t="shared" si="97"/>
        <v>231438.42</v>
      </c>
      <c r="R181" s="82">
        <f t="shared" si="98"/>
        <v>231438.42</v>
      </c>
    </row>
    <row r="182" spans="2:18" s="34" customFormat="1" ht="114.6">
      <c r="B182" s="75" t="s">
        <v>356</v>
      </c>
      <c r="C182" s="88" t="s">
        <v>357</v>
      </c>
      <c r="D182" s="89" t="s">
        <v>63</v>
      </c>
      <c r="E182" s="92">
        <v>11</v>
      </c>
      <c r="F182" s="91"/>
      <c r="G182" s="91"/>
      <c r="H182" s="91"/>
      <c r="I182" s="79">
        <f>SUM(G182:H182)+'BM 007'!I182</f>
        <v>0</v>
      </c>
      <c r="J182" s="91">
        <f t="shared" si="88"/>
        <v>11</v>
      </c>
      <c r="K182" s="84">
        <v>3995</v>
      </c>
      <c r="L182" s="81">
        <f t="shared" si="82"/>
        <v>5064.0624394500001</v>
      </c>
      <c r="M182" s="82">
        <f t="shared" si="94"/>
        <v>0</v>
      </c>
      <c r="N182" s="82">
        <f t="shared" si="95"/>
        <v>0</v>
      </c>
      <c r="O182" s="82">
        <f>N182+'BM 007'!O182</f>
        <v>0</v>
      </c>
      <c r="P182" s="80">
        <f t="shared" si="96"/>
        <v>43945</v>
      </c>
      <c r="Q182" s="82">
        <f t="shared" si="97"/>
        <v>55704.68</v>
      </c>
      <c r="R182" s="82">
        <f t="shared" si="98"/>
        <v>55704.68</v>
      </c>
    </row>
    <row r="183" spans="2:18" s="34" customFormat="1" ht="80.400000000000006">
      <c r="B183" s="75" t="s">
        <v>358</v>
      </c>
      <c r="C183" s="88" t="s">
        <v>359</v>
      </c>
      <c r="D183" s="89" t="s">
        <v>63</v>
      </c>
      <c r="E183" s="92">
        <v>2</v>
      </c>
      <c r="F183" s="91"/>
      <c r="G183" s="91"/>
      <c r="H183" s="91"/>
      <c r="I183" s="79">
        <f>SUM(G183:H183)+'BM 007'!I183</f>
        <v>0</v>
      </c>
      <c r="J183" s="91">
        <f t="shared" si="88"/>
        <v>2</v>
      </c>
      <c r="K183" s="84">
        <v>4100</v>
      </c>
      <c r="L183" s="81">
        <f t="shared" si="82"/>
        <v>5197.1604510000006</v>
      </c>
      <c r="M183" s="82">
        <f t="shared" si="94"/>
        <v>0</v>
      </c>
      <c r="N183" s="82">
        <f t="shared" si="95"/>
        <v>0</v>
      </c>
      <c r="O183" s="82">
        <f>N183+'BM 007'!O183</f>
        <v>0</v>
      </c>
      <c r="P183" s="80">
        <f t="shared" si="96"/>
        <v>8200</v>
      </c>
      <c r="Q183" s="82">
        <f t="shared" si="97"/>
        <v>10394.32</v>
      </c>
      <c r="R183" s="82">
        <f t="shared" si="98"/>
        <v>10394.32</v>
      </c>
    </row>
    <row r="184" spans="2:18" s="34" customFormat="1" ht="126">
      <c r="B184" s="75" t="s">
        <v>360</v>
      </c>
      <c r="C184" s="88" t="s">
        <v>361</v>
      </c>
      <c r="D184" s="89" t="s">
        <v>63</v>
      </c>
      <c r="E184" s="92">
        <v>24</v>
      </c>
      <c r="F184" s="91"/>
      <c r="G184" s="91"/>
      <c r="H184" s="91"/>
      <c r="I184" s="79">
        <f>SUM(G184:H184)+'BM 007'!I184</f>
        <v>0</v>
      </c>
      <c r="J184" s="91">
        <f t="shared" si="88"/>
        <v>24</v>
      </c>
      <c r="K184" s="84">
        <v>4425</v>
      </c>
      <c r="L184" s="81">
        <f t="shared" si="82"/>
        <v>5609.1304867500003</v>
      </c>
      <c r="M184" s="82">
        <f t="shared" si="94"/>
        <v>0</v>
      </c>
      <c r="N184" s="82">
        <f t="shared" si="95"/>
        <v>0</v>
      </c>
      <c r="O184" s="82">
        <f>N184+'BM 007'!O184</f>
        <v>0</v>
      </c>
      <c r="P184" s="80">
        <f t="shared" si="96"/>
        <v>106200</v>
      </c>
      <c r="Q184" s="82">
        <f t="shared" si="97"/>
        <v>134619.13</v>
      </c>
      <c r="R184" s="82">
        <f t="shared" si="98"/>
        <v>134619.13</v>
      </c>
    </row>
    <row r="185" spans="2:18" s="34" customFormat="1" ht="126">
      <c r="B185" s="75" t="s">
        <v>362</v>
      </c>
      <c r="C185" s="88" t="s">
        <v>363</v>
      </c>
      <c r="D185" s="89" t="s">
        <v>63</v>
      </c>
      <c r="E185" s="92">
        <v>8</v>
      </c>
      <c r="F185" s="91"/>
      <c r="G185" s="91"/>
      <c r="H185" s="91"/>
      <c r="I185" s="79">
        <f>SUM(G185:H185)+'BM 007'!I185</f>
        <v>0</v>
      </c>
      <c r="J185" s="91">
        <f t="shared" si="88"/>
        <v>8</v>
      </c>
      <c r="K185" s="84">
        <v>4495</v>
      </c>
      <c r="L185" s="81">
        <f t="shared" si="82"/>
        <v>5697.8624944500007</v>
      </c>
      <c r="M185" s="82">
        <f t="shared" si="94"/>
        <v>0</v>
      </c>
      <c r="N185" s="82">
        <f t="shared" si="95"/>
        <v>0</v>
      </c>
      <c r="O185" s="82">
        <f>N185+'BM 007'!O185</f>
        <v>0</v>
      </c>
      <c r="P185" s="80">
        <f t="shared" si="96"/>
        <v>35960</v>
      </c>
      <c r="Q185" s="82">
        <f t="shared" si="97"/>
        <v>45582.89</v>
      </c>
      <c r="R185" s="82">
        <f t="shared" si="98"/>
        <v>45582.89</v>
      </c>
    </row>
    <row r="186" spans="2:18" s="34" customFormat="1" ht="57.6">
      <c r="B186" s="75" t="s">
        <v>364</v>
      </c>
      <c r="C186" s="88" t="s">
        <v>365</v>
      </c>
      <c r="D186" s="89" t="s">
        <v>63</v>
      </c>
      <c r="E186" s="92">
        <v>3</v>
      </c>
      <c r="F186" s="91"/>
      <c r="G186" s="91"/>
      <c r="H186" s="91"/>
      <c r="I186" s="79">
        <f>SUM(G186:H186)+'BM 007'!I186</f>
        <v>0</v>
      </c>
      <c r="J186" s="91">
        <f t="shared" si="88"/>
        <v>3</v>
      </c>
      <c r="K186" s="84">
        <v>8550</v>
      </c>
      <c r="L186" s="81">
        <f t="shared" si="82"/>
        <v>10837.9809405</v>
      </c>
      <c r="M186" s="82">
        <f t="shared" si="94"/>
        <v>0</v>
      </c>
      <c r="N186" s="82">
        <f t="shared" si="95"/>
        <v>0</v>
      </c>
      <c r="O186" s="82">
        <f>N186+'BM 007'!O186</f>
        <v>0</v>
      </c>
      <c r="P186" s="80">
        <f t="shared" si="96"/>
        <v>25650</v>
      </c>
      <c r="Q186" s="82">
        <f t="shared" si="97"/>
        <v>32513.94</v>
      </c>
      <c r="R186" s="82">
        <f t="shared" si="98"/>
        <v>32513.94</v>
      </c>
    </row>
    <row r="187" spans="2:18" s="34" customFormat="1" ht="137.4">
      <c r="B187" s="75" t="s">
        <v>366</v>
      </c>
      <c r="C187" s="88" t="s">
        <v>367</v>
      </c>
      <c r="D187" s="89" t="s">
        <v>63</v>
      </c>
      <c r="E187" s="92">
        <v>2</v>
      </c>
      <c r="F187" s="91"/>
      <c r="G187" s="91"/>
      <c r="H187" s="91"/>
      <c r="I187" s="79">
        <f>SUM(G187:H187)+'BM 007'!I187</f>
        <v>0</v>
      </c>
      <c r="J187" s="91">
        <f t="shared" si="88"/>
        <v>2</v>
      </c>
      <c r="K187" s="84">
        <v>6750</v>
      </c>
      <c r="L187" s="81">
        <f t="shared" si="82"/>
        <v>8556.3007424999996</v>
      </c>
      <c r="M187" s="82">
        <f t="shared" si="94"/>
        <v>0</v>
      </c>
      <c r="N187" s="82">
        <f t="shared" si="95"/>
        <v>0</v>
      </c>
      <c r="O187" s="82">
        <f>N187+'BM 007'!O187</f>
        <v>0</v>
      </c>
      <c r="P187" s="80">
        <f t="shared" si="96"/>
        <v>13500</v>
      </c>
      <c r="Q187" s="82">
        <f t="shared" si="97"/>
        <v>17112.599999999999</v>
      </c>
      <c r="R187" s="82">
        <f t="shared" si="98"/>
        <v>17112.599999999999</v>
      </c>
    </row>
    <row r="188" spans="2:18" s="34" customFormat="1" ht="46.2">
      <c r="B188" s="75" t="s">
        <v>368</v>
      </c>
      <c r="C188" s="88" t="s">
        <v>369</v>
      </c>
      <c r="D188" s="89" t="s">
        <v>63</v>
      </c>
      <c r="E188" s="92">
        <v>18</v>
      </c>
      <c r="F188" s="91"/>
      <c r="G188" s="91"/>
      <c r="H188" s="91"/>
      <c r="I188" s="79">
        <f>SUM(G188:H188)+'BM 007'!I188</f>
        <v>0</v>
      </c>
      <c r="J188" s="91">
        <f t="shared" si="88"/>
        <v>18</v>
      </c>
      <c r="K188" s="84">
        <v>2490</v>
      </c>
      <c r="L188" s="81">
        <f t="shared" si="82"/>
        <v>3156.3242739000002</v>
      </c>
      <c r="M188" s="82">
        <f t="shared" si="94"/>
        <v>0</v>
      </c>
      <c r="N188" s="82">
        <f t="shared" si="95"/>
        <v>0</v>
      </c>
      <c r="O188" s="82">
        <f>N188+'BM 007'!O188</f>
        <v>0</v>
      </c>
      <c r="P188" s="80">
        <f t="shared" si="96"/>
        <v>44820</v>
      </c>
      <c r="Q188" s="82">
        <f t="shared" si="97"/>
        <v>56813.83</v>
      </c>
      <c r="R188" s="82">
        <f t="shared" si="98"/>
        <v>56813.83</v>
      </c>
    </row>
    <row r="189" spans="2:18" s="34" customFormat="1" ht="57.6">
      <c r="B189" s="75" t="s">
        <v>370</v>
      </c>
      <c r="C189" s="88" t="s">
        <v>371</v>
      </c>
      <c r="D189" s="89" t="s">
        <v>63</v>
      </c>
      <c r="E189" s="92">
        <v>1</v>
      </c>
      <c r="F189" s="91"/>
      <c r="G189" s="91"/>
      <c r="H189" s="91"/>
      <c r="I189" s="79">
        <f>SUM(G189:H189)+'BM 007'!I189</f>
        <v>0</v>
      </c>
      <c r="J189" s="91">
        <f t="shared" si="88"/>
        <v>1</v>
      </c>
      <c r="K189" s="84">
        <v>5950</v>
      </c>
      <c r="L189" s="81">
        <f t="shared" si="82"/>
        <v>7542.2206544999999</v>
      </c>
      <c r="M189" s="82">
        <f t="shared" si="94"/>
        <v>0</v>
      </c>
      <c r="N189" s="82">
        <f t="shared" si="95"/>
        <v>0</v>
      </c>
      <c r="O189" s="82">
        <f>N189+'BM 007'!O189</f>
        <v>0</v>
      </c>
      <c r="P189" s="80">
        <f t="shared" si="96"/>
        <v>5950</v>
      </c>
      <c r="Q189" s="82">
        <f t="shared" si="97"/>
        <v>7542.22</v>
      </c>
      <c r="R189" s="82">
        <f t="shared" si="98"/>
        <v>7542.22</v>
      </c>
    </row>
    <row r="190" spans="2:18" s="34" customFormat="1" ht="57.6">
      <c r="B190" s="75" t="s">
        <v>372</v>
      </c>
      <c r="C190" s="88" t="s">
        <v>373</v>
      </c>
      <c r="D190" s="89" t="s">
        <v>63</v>
      </c>
      <c r="E190" s="92">
        <v>1</v>
      </c>
      <c r="F190" s="91"/>
      <c r="G190" s="91"/>
      <c r="H190" s="91"/>
      <c r="I190" s="79">
        <f>SUM(G190:H190)+'BM 007'!I190</f>
        <v>0</v>
      </c>
      <c r="J190" s="91">
        <f t="shared" si="88"/>
        <v>1</v>
      </c>
      <c r="K190" s="84">
        <v>5950</v>
      </c>
      <c r="L190" s="81">
        <f t="shared" si="82"/>
        <v>7542.2206544999999</v>
      </c>
      <c r="M190" s="82">
        <f t="shared" si="94"/>
        <v>0</v>
      </c>
      <c r="N190" s="82">
        <f t="shared" si="95"/>
        <v>0</v>
      </c>
      <c r="O190" s="82">
        <f>N190+'BM 007'!O190</f>
        <v>0</v>
      </c>
      <c r="P190" s="80">
        <f t="shared" si="96"/>
        <v>5950</v>
      </c>
      <c r="Q190" s="82">
        <f t="shared" si="97"/>
        <v>7542.22</v>
      </c>
      <c r="R190" s="82">
        <f t="shared" si="98"/>
        <v>7542.22</v>
      </c>
    </row>
    <row r="191" spans="2:18" s="34" customFormat="1" ht="57.6">
      <c r="B191" s="75" t="s">
        <v>374</v>
      </c>
      <c r="C191" s="88" t="s">
        <v>375</v>
      </c>
      <c r="D191" s="89" t="s">
        <v>79</v>
      </c>
      <c r="E191" s="92">
        <v>184.04</v>
      </c>
      <c r="F191" s="91"/>
      <c r="G191" s="91"/>
      <c r="H191" s="91"/>
      <c r="I191" s="79">
        <f>SUM(G191:H191)+'BM 007'!I191</f>
        <v>0</v>
      </c>
      <c r="J191" s="91">
        <f t="shared" si="88"/>
        <v>184.04</v>
      </c>
      <c r="K191" s="84">
        <v>1265</v>
      </c>
      <c r="L191" s="81">
        <f t="shared" si="82"/>
        <v>1603.5141391500001</v>
      </c>
      <c r="M191" s="82">
        <f t="shared" si="94"/>
        <v>0</v>
      </c>
      <c r="N191" s="82">
        <f t="shared" si="95"/>
        <v>0</v>
      </c>
      <c r="O191" s="82">
        <f>N191+'BM 007'!O191</f>
        <v>0</v>
      </c>
      <c r="P191" s="80">
        <f t="shared" si="96"/>
        <v>232810.59999999998</v>
      </c>
      <c r="Q191" s="82">
        <f t="shared" si="97"/>
        <v>295110.74</v>
      </c>
      <c r="R191" s="82">
        <f t="shared" si="98"/>
        <v>295110.74</v>
      </c>
    </row>
    <row r="192" spans="2:18" s="34" customFormat="1" ht="46.2">
      <c r="B192" s="75" t="s">
        <v>376</v>
      </c>
      <c r="C192" s="88" t="s">
        <v>377</v>
      </c>
      <c r="D192" s="89" t="s">
        <v>79</v>
      </c>
      <c r="E192" s="92">
        <v>53.96</v>
      </c>
      <c r="F192" s="91"/>
      <c r="G192" s="91"/>
      <c r="H192" s="91"/>
      <c r="I192" s="79">
        <f>SUM(G192:H192)+'BM 007'!I192</f>
        <v>0</v>
      </c>
      <c r="J192" s="91">
        <f t="shared" si="88"/>
        <v>53.96</v>
      </c>
      <c r="K192" s="84">
        <v>1080</v>
      </c>
      <c r="L192" s="81">
        <f t="shared" si="82"/>
        <v>1369.0081188000001</v>
      </c>
      <c r="M192" s="82">
        <f t="shared" si="94"/>
        <v>0</v>
      </c>
      <c r="N192" s="82">
        <f t="shared" si="95"/>
        <v>0</v>
      </c>
      <c r="O192" s="82">
        <f>N192+'BM 007'!O192</f>
        <v>0</v>
      </c>
      <c r="P192" s="80">
        <f t="shared" si="96"/>
        <v>58276.800000000003</v>
      </c>
      <c r="Q192" s="82">
        <f t="shared" si="97"/>
        <v>73871.67</v>
      </c>
      <c r="R192" s="82">
        <f t="shared" si="98"/>
        <v>73871.67</v>
      </c>
    </row>
    <row r="193" spans="2:18" s="34" customFormat="1" ht="57.6">
      <c r="B193" s="75" t="s">
        <v>378</v>
      </c>
      <c r="C193" s="88" t="s">
        <v>379</v>
      </c>
      <c r="D193" s="89" t="s">
        <v>79</v>
      </c>
      <c r="E193" s="92">
        <v>130.29</v>
      </c>
      <c r="F193" s="91"/>
      <c r="G193" s="91"/>
      <c r="H193" s="91"/>
      <c r="I193" s="79">
        <f>SUM(G193:H193)+'BM 007'!I193</f>
        <v>0</v>
      </c>
      <c r="J193" s="91">
        <f t="shared" si="88"/>
        <v>130.29</v>
      </c>
      <c r="K193" s="84">
        <v>1220</v>
      </c>
      <c r="L193" s="81">
        <f t="shared" si="82"/>
        <v>1546.4721342</v>
      </c>
      <c r="M193" s="82">
        <f t="shared" si="94"/>
        <v>0</v>
      </c>
      <c r="N193" s="82">
        <f t="shared" si="95"/>
        <v>0</v>
      </c>
      <c r="O193" s="82">
        <f>N193+'BM 007'!O193</f>
        <v>0</v>
      </c>
      <c r="P193" s="80">
        <f t="shared" si="96"/>
        <v>158953.79999999999</v>
      </c>
      <c r="Q193" s="82">
        <f t="shared" si="97"/>
        <v>201489.85</v>
      </c>
      <c r="R193" s="82">
        <f t="shared" si="98"/>
        <v>201489.85</v>
      </c>
    </row>
    <row r="194" spans="2:18" s="34" customFormat="1" ht="57.6">
      <c r="B194" s="75" t="s">
        <v>380</v>
      </c>
      <c r="C194" s="88" t="s">
        <v>381</v>
      </c>
      <c r="D194" s="89" t="s">
        <v>79</v>
      </c>
      <c r="E194" s="92">
        <v>27.88</v>
      </c>
      <c r="F194" s="91"/>
      <c r="G194" s="91"/>
      <c r="H194" s="91"/>
      <c r="I194" s="79">
        <f>SUM(G194:H194)+'BM 007'!I194</f>
        <v>0</v>
      </c>
      <c r="J194" s="91">
        <f t="shared" si="88"/>
        <v>27.88</v>
      </c>
      <c r="K194" s="84">
        <v>2180</v>
      </c>
      <c r="L194" s="81">
        <f t="shared" si="82"/>
        <v>2763.3682398000001</v>
      </c>
      <c r="M194" s="82">
        <f t="shared" si="94"/>
        <v>0</v>
      </c>
      <c r="N194" s="82">
        <f t="shared" si="95"/>
        <v>0</v>
      </c>
      <c r="O194" s="82">
        <f>N194+'BM 007'!O194</f>
        <v>0</v>
      </c>
      <c r="P194" s="80">
        <f t="shared" si="96"/>
        <v>60778.400000000001</v>
      </c>
      <c r="Q194" s="82">
        <f t="shared" si="97"/>
        <v>77042.7</v>
      </c>
      <c r="R194" s="82">
        <f t="shared" si="98"/>
        <v>77042.7</v>
      </c>
    </row>
    <row r="195" spans="2:18" s="34" customFormat="1" ht="46.2">
      <c r="B195" s="75" t="s">
        <v>382</v>
      </c>
      <c r="C195" s="88" t="s">
        <v>383</v>
      </c>
      <c r="D195" s="89" t="s">
        <v>79</v>
      </c>
      <c r="E195" s="92">
        <v>24.23</v>
      </c>
      <c r="F195" s="91"/>
      <c r="G195" s="91"/>
      <c r="H195" s="91"/>
      <c r="I195" s="79">
        <f>SUM(G195:H195)+'BM 007'!I195</f>
        <v>0</v>
      </c>
      <c r="J195" s="91">
        <f t="shared" si="88"/>
        <v>24.23</v>
      </c>
      <c r="K195" s="84">
        <v>1170</v>
      </c>
      <c r="L195" s="81">
        <f t="shared" si="82"/>
        <v>1483.0921287000001</v>
      </c>
      <c r="M195" s="82">
        <f t="shared" si="94"/>
        <v>0</v>
      </c>
      <c r="N195" s="82">
        <f t="shared" si="95"/>
        <v>0</v>
      </c>
      <c r="O195" s="82">
        <f>N195+'BM 007'!O195</f>
        <v>0</v>
      </c>
      <c r="P195" s="80">
        <f t="shared" si="96"/>
        <v>28349.100000000002</v>
      </c>
      <c r="Q195" s="82">
        <f t="shared" si="97"/>
        <v>35935.32</v>
      </c>
      <c r="R195" s="82">
        <f t="shared" si="98"/>
        <v>35935.32</v>
      </c>
    </row>
    <row r="196" spans="2:18" s="34" customFormat="1" ht="57.6">
      <c r="B196" s="75" t="s">
        <v>384</v>
      </c>
      <c r="C196" s="88" t="s">
        <v>385</v>
      </c>
      <c r="D196" s="89" t="s">
        <v>79</v>
      </c>
      <c r="E196" s="92">
        <v>93.13</v>
      </c>
      <c r="F196" s="91"/>
      <c r="G196" s="91"/>
      <c r="H196" s="91"/>
      <c r="I196" s="79">
        <f>SUM(G196:H196)+'BM 007'!I196</f>
        <v>0</v>
      </c>
      <c r="J196" s="91">
        <f t="shared" si="88"/>
        <v>93.13</v>
      </c>
      <c r="K196" s="84">
        <v>1190</v>
      </c>
      <c r="L196" s="81">
        <f t="shared" si="82"/>
        <v>1508.4441309000001</v>
      </c>
      <c r="M196" s="82">
        <f t="shared" si="94"/>
        <v>0</v>
      </c>
      <c r="N196" s="82">
        <f t="shared" si="95"/>
        <v>0</v>
      </c>
      <c r="O196" s="82">
        <f>N196+'BM 007'!O196</f>
        <v>0</v>
      </c>
      <c r="P196" s="80">
        <f t="shared" si="96"/>
        <v>110824.7</v>
      </c>
      <c r="Q196" s="82">
        <f t="shared" si="97"/>
        <v>140481.4</v>
      </c>
      <c r="R196" s="82">
        <f t="shared" si="98"/>
        <v>140481.4</v>
      </c>
    </row>
    <row r="197" spans="2:18" s="34" customFormat="1" ht="91.8">
      <c r="B197" s="75" t="s">
        <v>386</v>
      </c>
      <c r="C197" s="88" t="s">
        <v>387</v>
      </c>
      <c r="D197" s="89" t="s">
        <v>79</v>
      </c>
      <c r="E197" s="92">
        <v>570.20000000000005</v>
      </c>
      <c r="F197" s="91"/>
      <c r="G197" s="91"/>
      <c r="H197" s="91"/>
      <c r="I197" s="79">
        <f>SUM(G197:H197)+'BM 007'!I197</f>
        <v>0</v>
      </c>
      <c r="J197" s="91">
        <f t="shared" si="88"/>
        <v>570.20000000000005</v>
      </c>
      <c r="K197" s="84">
        <v>1190</v>
      </c>
      <c r="L197" s="81">
        <f t="shared" si="82"/>
        <v>1508.4441309000001</v>
      </c>
      <c r="M197" s="82">
        <f t="shared" si="94"/>
        <v>0</v>
      </c>
      <c r="N197" s="82">
        <f t="shared" si="95"/>
        <v>0</v>
      </c>
      <c r="O197" s="82">
        <f>N197+'BM 007'!O197</f>
        <v>0</v>
      </c>
      <c r="P197" s="80">
        <f t="shared" si="96"/>
        <v>678538</v>
      </c>
      <c r="Q197" s="82">
        <f t="shared" si="97"/>
        <v>860114.84</v>
      </c>
      <c r="R197" s="82">
        <f t="shared" si="98"/>
        <v>860114.84</v>
      </c>
    </row>
    <row r="198" spans="2:18" s="34" customFormat="1" ht="23.4">
      <c r="B198" s="75" t="s">
        <v>388</v>
      </c>
      <c r="C198" s="88" t="s">
        <v>389</v>
      </c>
      <c r="D198" s="89" t="s">
        <v>390</v>
      </c>
      <c r="E198" s="92">
        <v>4</v>
      </c>
      <c r="F198" s="91"/>
      <c r="G198" s="91"/>
      <c r="H198" s="91"/>
      <c r="I198" s="79">
        <f>SUM(G198:H198)+'BM 007'!I198</f>
        <v>0</v>
      </c>
      <c r="J198" s="91">
        <f t="shared" si="88"/>
        <v>4</v>
      </c>
      <c r="K198" s="84">
        <v>1780</v>
      </c>
      <c r="L198" s="81">
        <f t="shared" si="82"/>
        <v>2256.3281958000002</v>
      </c>
      <c r="M198" s="82">
        <f t="shared" si="94"/>
        <v>0</v>
      </c>
      <c r="N198" s="82">
        <f t="shared" si="95"/>
        <v>0</v>
      </c>
      <c r="O198" s="82">
        <f>N198+'BM 007'!O198</f>
        <v>0</v>
      </c>
      <c r="P198" s="80">
        <f t="shared" si="96"/>
        <v>7120</v>
      </c>
      <c r="Q198" s="82">
        <f t="shared" si="97"/>
        <v>9025.31</v>
      </c>
      <c r="R198" s="82">
        <f t="shared" si="98"/>
        <v>9025.31</v>
      </c>
    </row>
    <row r="199" spans="2:18" s="34" customFormat="1" ht="23.4">
      <c r="B199" s="75" t="s">
        <v>391</v>
      </c>
      <c r="C199" s="88" t="s">
        <v>392</v>
      </c>
      <c r="D199" s="89" t="s">
        <v>390</v>
      </c>
      <c r="E199" s="92">
        <v>1</v>
      </c>
      <c r="F199" s="91"/>
      <c r="G199" s="91"/>
      <c r="H199" s="91"/>
      <c r="I199" s="79">
        <f>SUM(G199:H199)+'BM 007'!I199</f>
        <v>0</v>
      </c>
      <c r="J199" s="91">
        <f t="shared" si="88"/>
        <v>1</v>
      </c>
      <c r="K199" s="84">
        <v>840</v>
      </c>
      <c r="L199" s="81">
        <f t="shared" si="82"/>
        <v>1064.7840924</v>
      </c>
      <c r="M199" s="82">
        <f t="shared" si="94"/>
        <v>0</v>
      </c>
      <c r="N199" s="82">
        <f t="shared" si="95"/>
        <v>0</v>
      </c>
      <c r="O199" s="82">
        <f>N199+'BM 007'!O199</f>
        <v>0</v>
      </c>
      <c r="P199" s="80">
        <f t="shared" si="96"/>
        <v>840</v>
      </c>
      <c r="Q199" s="82">
        <f t="shared" si="97"/>
        <v>1064.78</v>
      </c>
      <c r="R199" s="82">
        <f t="shared" si="98"/>
        <v>1064.78</v>
      </c>
    </row>
    <row r="200" spans="2:18" s="34" customFormat="1" ht="23.4">
      <c r="B200" s="75" t="s">
        <v>393</v>
      </c>
      <c r="C200" s="88" t="s">
        <v>394</v>
      </c>
      <c r="D200" s="89" t="s">
        <v>390</v>
      </c>
      <c r="E200" s="92">
        <v>6</v>
      </c>
      <c r="F200" s="91"/>
      <c r="G200" s="91"/>
      <c r="H200" s="91"/>
      <c r="I200" s="79">
        <f>SUM(G200:H200)+'BM 007'!I200</f>
        <v>0</v>
      </c>
      <c r="J200" s="91">
        <f t="shared" si="88"/>
        <v>6</v>
      </c>
      <c r="K200" s="84">
        <v>2190</v>
      </c>
      <c r="L200" s="81">
        <f t="shared" si="82"/>
        <v>2776.0442409000002</v>
      </c>
      <c r="M200" s="82">
        <f t="shared" si="94"/>
        <v>0</v>
      </c>
      <c r="N200" s="82">
        <f t="shared" si="95"/>
        <v>0</v>
      </c>
      <c r="O200" s="82">
        <f>N200+'BM 007'!O200</f>
        <v>0</v>
      </c>
      <c r="P200" s="80">
        <f t="shared" si="96"/>
        <v>13140</v>
      </c>
      <c r="Q200" s="82">
        <f t="shared" si="97"/>
        <v>16656.259999999998</v>
      </c>
      <c r="R200" s="82">
        <f t="shared" si="98"/>
        <v>16656.259999999998</v>
      </c>
    </row>
    <row r="201" spans="2:18" s="34" customFormat="1" ht="46.2">
      <c r="B201" s="75" t="s">
        <v>395</v>
      </c>
      <c r="C201" s="88" t="s">
        <v>396</v>
      </c>
      <c r="D201" s="89" t="s">
        <v>390</v>
      </c>
      <c r="E201" s="92">
        <v>24</v>
      </c>
      <c r="F201" s="91"/>
      <c r="G201" s="91"/>
      <c r="H201" s="91"/>
      <c r="I201" s="79">
        <f>SUM(G201:H201)+'BM 007'!I201</f>
        <v>0</v>
      </c>
      <c r="J201" s="91">
        <f t="shared" si="88"/>
        <v>24</v>
      </c>
      <c r="K201" s="84">
        <v>1950</v>
      </c>
      <c r="L201" s="81">
        <f t="shared" si="82"/>
        <v>2471.8202145</v>
      </c>
      <c r="M201" s="82">
        <f t="shared" si="94"/>
        <v>0</v>
      </c>
      <c r="N201" s="82">
        <f t="shared" si="95"/>
        <v>0</v>
      </c>
      <c r="O201" s="82">
        <f>N201+'BM 007'!O201</f>
        <v>0</v>
      </c>
      <c r="P201" s="80">
        <f t="shared" si="96"/>
        <v>46800</v>
      </c>
      <c r="Q201" s="82">
        <f t="shared" si="97"/>
        <v>59323.68</v>
      </c>
      <c r="R201" s="82">
        <f t="shared" si="98"/>
        <v>59323.68</v>
      </c>
    </row>
    <row r="202" spans="2:18" s="34" customFormat="1" ht="34.799999999999997">
      <c r="B202" s="75" t="s">
        <v>397</v>
      </c>
      <c r="C202" s="88" t="s">
        <v>398</v>
      </c>
      <c r="D202" s="89" t="s">
        <v>79</v>
      </c>
      <c r="E202" s="92">
        <v>17.82</v>
      </c>
      <c r="F202" s="91"/>
      <c r="G202" s="91"/>
      <c r="H202" s="91"/>
      <c r="I202" s="79">
        <f>SUM(G202:H202)+'BM 007'!I202</f>
        <v>0</v>
      </c>
      <c r="J202" s="91">
        <f t="shared" si="88"/>
        <v>17.82</v>
      </c>
      <c r="K202" s="84">
        <v>950</v>
      </c>
      <c r="L202" s="81">
        <f t="shared" si="82"/>
        <v>1204.2201045000002</v>
      </c>
      <c r="M202" s="82">
        <f t="shared" si="94"/>
        <v>0</v>
      </c>
      <c r="N202" s="82">
        <f t="shared" si="95"/>
        <v>0</v>
      </c>
      <c r="O202" s="82">
        <f>N202+'BM 007'!O202</f>
        <v>0</v>
      </c>
      <c r="P202" s="80">
        <f t="shared" si="96"/>
        <v>16929</v>
      </c>
      <c r="Q202" s="82">
        <f t="shared" si="97"/>
        <v>21459.200000000001</v>
      </c>
      <c r="R202" s="82">
        <f t="shared" si="98"/>
        <v>21459.200000000001</v>
      </c>
    </row>
    <row r="203" spans="2:18" s="34" customFormat="1" ht="46.2">
      <c r="B203" s="75" t="s">
        <v>399</v>
      </c>
      <c r="C203" s="88" t="s">
        <v>400</v>
      </c>
      <c r="D203" s="89" t="s">
        <v>63</v>
      </c>
      <c r="E203" s="92">
        <v>18</v>
      </c>
      <c r="F203" s="91"/>
      <c r="G203" s="91"/>
      <c r="H203" s="91"/>
      <c r="I203" s="79">
        <f>SUM(G203:H203)+'BM 007'!I203</f>
        <v>0</v>
      </c>
      <c r="J203" s="91">
        <f t="shared" si="88"/>
        <v>18</v>
      </c>
      <c r="K203" s="84">
        <v>2480</v>
      </c>
      <c r="L203" s="81">
        <f t="shared" si="82"/>
        <v>3143.6482728000001</v>
      </c>
      <c r="M203" s="82">
        <f t="shared" si="94"/>
        <v>0</v>
      </c>
      <c r="N203" s="82">
        <f t="shared" si="95"/>
        <v>0</v>
      </c>
      <c r="O203" s="82">
        <f>N203+'BM 007'!O203</f>
        <v>0</v>
      </c>
      <c r="P203" s="80">
        <f t="shared" si="96"/>
        <v>44640</v>
      </c>
      <c r="Q203" s="82">
        <f t="shared" si="97"/>
        <v>56585.66</v>
      </c>
      <c r="R203" s="82">
        <f t="shared" si="98"/>
        <v>56585.66</v>
      </c>
    </row>
    <row r="204" spans="2:18" s="34" customFormat="1" ht="46.2">
      <c r="B204" s="75" t="s">
        <v>401</v>
      </c>
      <c r="C204" s="88" t="s">
        <v>402</v>
      </c>
      <c r="D204" s="89" t="s">
        <v>63</v>
      </c>
      <c r="E204" s="92">
        <v>47</v>
      </c>
      <c r="F204" s="91"/>
      <c r="G204" s="91"/>
      <c r="H204" s="91"/>
      <c r="I204" s="79">
        <f>SUM(G204:H204)+'BM 007'!I204</f>
        <v>0</v>
      </c>
      <c r="J204" s="91">
        <f t="shared" si="88"/>
        <v>47</v>
      </c>
      <c r="K204" s="84">
        <v>1080</v>
      </c>
      <c r="L204" s="81">
        <f t="shared" si="82"/>
        <v>1369.0081188000001</v>
      </c>
      <c r="M204" s="82">
        <f t="shared" si="94"/>
        <v>0</v>
      </c>
      <c r="N204" s="82">
        <f t="shared" si="95"/>
        <v>0</v>
      </c>
      <c r="O204" s="82">
        <f>N204+'BM 007'!O204</f>
        <v>0</v>
      </c>
      <c r="P204" s="80">
        <f t="shared" si="96"/>
        <v>50760</v>
      </c>
      <c r="Q204" s="82">
        <f t="shared" si="97"/>
        <v>64343.38</v>
      </c>
      <c r="R204" s="82">
        <f t="shared" si="98"/>
        <v>64343.38</v>
      </c>
    </row>
    <row r="205" spans="2:18" s="34" customFormat="1" ht="13.2">
      <c r="B205" s="66" t="s">
        <v>403</v>
      </c>
      <c r="C205" s="67" t="s">
        <v>404</v>
      </c>
      <c r="D205" s="68"/>
      <c r="E205" s="69"/>
      <c r="F205" s="70"/>
      <c r="G205" s="70"/>
      <c r="H205" s="70"/>
      <c r="I205" s="70">
        <f>SUM(G205:H205)+'BM 007'!I205</f>
        <v>0</v>
      </c>
      <c r="J205" s="70">
        <f t="shared" si="88"/>
        <v>0</v>
      </c>
      <c r="K205" s="71"/>
      <c r="L205" s="71">
        <f t="shared" si="82"/>
        <v>0</v>
      </c>
      <c r="M205" s="73">
        <f t="shared" ref="M205:R205" si="99">SUM(M206:M214)</f>
        <v>0</v>
      </c>
      <c r="N205" s="73">
        <f t="shared" si="99"/>
        <v>0</v>
      </c>
      <c r="O205" s="73">
        <f t="shared" si="99"/>
        <v>0</v>
      </c>
      <c r="P205" s="73">
        <f t="shared" si="99"/>
        <v>987536.55</v>
      </c>
      <c r="Q205" s="73">
        <f t="shared" si="99"/>
        <v>1251801.3999999999</v>
      </c>
      <c r="R205" s="73">
        <f t="shared" si="99"/>
        <v>1251801.3999999999</v>
      </c>
    </row>
    <row r="206" spans="2:18" s="34" customFormat="1" ht="46.2">
      <c r="B206" s="87" t="s">
        <v>405</v>
      </c>
      <c r="C206" s="88" t="s">
        <v>406</v>
      </c>
      <c r="D206" s="89" t="s">
        <v>124</v>
      </c>
      <c r="E206" s="92">
        <v>158.59</v>
      </c>
      <c r="F206" s="91"/>
      <c r="G206" s="91"/>
      <c r="H206" s="91"/>
      <c r="I206" s="79">
        <f>SUM(G206:H206)+'BM 007'!I206</f>
        <v>0</v>
      </c>
      <c r="J206" s="91">
        <f t="shared" si="88"/>
        <v>158.59</v>
      </c>
      <c r="K206" s="84">
        <v>415</v>
      </c>
      <c r="L206" s="81">
        <f t="shared" si="82"/>
        <v>526.05404565000003</v>
      </c>
      <c r="M206" s="82">
        <f t="shared" ref="M206:M214" si="100">TRUNC(F206*L206,2)</f>
        <v>0</v>
      </c>
      <c r="N206" s="82">
        <f t="shared" ref="N206:N214" si="101">TRUNC(G206*L206,2)</f>
        <v>0</v>
      </c>
      <c r="O206" s="82">
        <f>N206+'BM 007'!O206</f>
        <v>0</v>
      </c>
      <c r="P206" s="80">
        <f t="shared" ref="P206:P214" si="102">E206*K206</f>
        <v>65814.850000000006</v>
      </c>
      <c r="Q206" s="82">
        <f t="shared" ref="Q206:Q214" si="103">TRUNC(E206*L206,2)</f>
        <v>83426.91</v>
      </c>
      <c r="R206" s="82">
        <f t="shared" ref="R206:R214" si="104">Q206-O206</f>
        <v>83426.91</v>
      </c>
    </row>
    <row r="207" spans="2:18" s="34" customFormat="1" ht="13.2">
      <c r="B207" s="87" t="s">
        <v>407</v>
      </c>
      <c r="C207" s="88" t="s">
        <v>408</v>
      </c>
      <c r="D207" s="89" t="s">
        <v>124</v>
      </c>
      <c r="E207" s="92">
        <v>198.52</v>
      </c>
      <c r="F207" s="91"/>
      <c r="G207" s="91"/>
      <c r="H207" s="91"/>
      <c r="I207" s="79">
        <f>SUM(G207:H207)+'BM 007'!I207</f>
        <v>0</v>
      </c>
      <c r="J207" s="91">
        <f t="shared" si="88"/>
        <v>198.52</v>
      </c>
      <c r="K207" s="84">
        <v>455</v>
      </c>
      <c r="L207" s="81">
        <f t="shared" si="82"/>
        <v>576.75805005000007</v>
      </c>
      <c r="M207" s="82">
        <f t="shared" si="100"/>
        <v>0</v>
      </c>
      <c r="N207" s="82">
        <f t="shared" si="101"/>
        <v>0</v>
      </c>
      <c r="O207" s="82">
        <f>N207+'BM 007'!O207</f>
        <v>0</v>
      </c>
      <c r="P207" s="80">
        <f t="shared" si="102"/>
        <v>90326.6</v>
      </c>
      <c r="Q207" s="82">
        <f t="shared" si="103"/>
        <v>114498</v>
      </c>
      <c r="R207" s="82">
        <f t="shared" si="104"/>
        <v>114498</v>
      </c>
    </row>
    <row r="208" spans="2:18" s="34" customFormat="1" ht="23.4">
      <c r="B208" s="87" t="s">
        <v>409</v>
      </c>
      <c r="C208" s="88" t="s">
        <v>410</v>
      </c>
      <c r="D208" s="89" t="s">
        <v>124</v>
      </c>
      <c r="E208" s="92">
        <v>129.65</v>
      </c>
      <c r="F208" s="91"/>
      <c r="G208" s="91"/>
      <c r="H208" s="91"/>
      <c r="I208" s="79">
        <f>SUM(G208:H208)+'BM 007'!I208</f>
        <v>0</v>
      </c>
      <c r="J208" s="91">
        <f t="shared" si="88"/>
        <v>129.65</v>
      </c>
      <c r="K208" s="84">
        <v>745</v>
      </c>
      <c r="L208" s="81">
        <f t="shared" si="82"/>
        <v>944.36208195000006</v>
      </c>
      <c r="M208" s="82">
        <f t="shared" si="100"/>
        <v>0</v>
      </c>
      <c r="N208" s="82">
        <f t="shared" si="101"/>
        <v>0</v>
      </c>
      <c r="O208" s="82">
        <f>N208+'BM 007'!O208</f>
        <v>0</v>
      </c>
      <c r="P208" s="80">
        <f t="shared" si="102"/>
        <v>96589.25</v>
      </c>
      <c r="Q208" s="82">
        <f t="shared" si="103"/>
        <v>122436.54</v>
      </c>
      <c r="R208" s="82">
        <f t="shared" si="104"/>
        <v>122436.54</v>
      </c>
    </row>
    <row r="209" spans="1:23" s="34" customFormat="1" ht="23.4">
      <c r="B209" s="87" t="s">
        <v>411</v>
      </c>
      <c r="C209" s="88" t="s">
        <v>412</v>
      </c>
      <c r="D209" s="89" t="s">
        <v>124</v>
      </c>
      <c r="E209" s="92">
        <v>98.74</v>
      </c>
      <c r="F209" s="91"/>
      <c r="G209" s="91"/>
      <c r="H209" s="91"/>
      <c r="I209" s="79">
        <f>SUM(G209:H209)+'BM 007'!I209</f>
        <v>0</v>
      </c>
      <c r="J209" s="91">
        <f t="shared" si="88"/>
        <v>98.74</v>
      </c>
      <c r="K209" s="84">
        <v>855</v>
      </c>
      <c r="L209" s="81">
        <f t="shared" si="82"/>
        <v>1083.7980940500001</v>
      </c>
      <c r="M209" s="82">
        <f t="shared" si="100"/>
        <v>0</v>
      </c>
      <c r="N209" s="82">
        <f t="shared" si="101"/>
        <v>0</v>
      </c>
      <c r="O209" s="82">
        <f>N209+'BM 007'!O209</f>
        <v>0</v>
      </c>
      <c r="P209" s="80">
        <f t="shared" si="102"/>
        <v>84422.7</v>
      </c>
      <c r="Q209" s="82">
        <f t="shared" si="103"/>
        <v>107014.22</v>
      </c>
      <c r="R209" s="82">
        <f t="shared" si="104"/>
        <v>107014.22</v>
      </c>
    </row>
    <row r="210" spans="1:23" s="34" customFormat="1" ht="69">
      <c r="B210" s="87" t="s">
        <v>413</v>
      </c>
      <c r="C210" s="88" t="s">
        <v>414</v>
      </c>
      <c r="D210" s="89" t="s">
        <v>82</v>
      </c>
      <c r="E210" s="92">
        <v>12</v>
      </c>
      <c r="F210" s="91"/>
      <c r="G210" s="91"/>
      <c r="H210" s="91"/>
      <c r="I210" s="79">
        <f>SUM(G210:H210)+'BM 007'!I210</f>
        <v>0</v>
      </c>
      <c r="J210" s="91">
        <f t="shared" si="88"/>
        <v>12</v>
      </c>
      <c r="K210" s="84">
        <v>1650</v>
      </c>
      <c r="L210" s="81">
        <f t="shared" si="82"/>
        <v>2091.5401815</v>
      </c>
      <c r="M210" s="82">
        <f t="shared" si="100"/>
        <v>0</v>
      </c>
      <c r="N210" s="82">
        <f t="shared" si="101"/>
        <v>0</v>
      </c>
      <c r="O210" s="82">
        <f>N210+'BM 007'!O210</f>
        <v>0</v>
      </c>
      <c r="P210" s="80">
        <f t="shared" si="102"/>
        <v>19800</v>
      </c>
      <c r="Q210" s="82">
        <f t="shared" si="103"/>
        <v>25098.48</v>
      </c>
      <c r="R210" s="82">
        <f t="shared" si="104"/>
        <v>25098.48</v>
      </c>
    </row>
    <row r="211" spans="1:23" s="34" customFormat="1" ht="13.2">
      <c r="B211" s="87" t="s">
        <v>415</v>
      </c>
      <c r="C211" s="88" t="s">
        <v>416</v>
      </c>
      <c r="D211" s="89" t="s">
        <v>79</v>
      </c>
      <c r="E211" s="92">
        <v>72.650000000000006</v>
      </c>
      <c r="F211" s="91"/>
      <c r="G211" s="91"/>
      <c r="H211" s="91"/>
      <c r="I211" s="79">
        <f>SUM(G211:H211)+'BM 007'!I211</f>
        <v>0</v>
      </c>
      <c r="J211" s="91">
        <f t="shared" si="88"/>
        <v>72.650000000000006</v>
      </c>
      <c r="K211" s="84">
        <v>485</v>
      </c>
      <c r="L211" s="81">
        <f t="shared" si="82"/>
        <v>614.78605334999997</v>
      </c>
      <c r="M211" s="82">
        <f t="shared" si="100"/>
        <v>0</v>
      </c>
      <c r="N211" s="82">
        <f t="shared" si="101"/>
        <v>0</v>
      </c>
      <c r="O211" s="82">
        <f>N211+'BM 007'!O211</f>
        <v>0</v>
      </c>
      <c r="P211" s="80">
        <f t="shared" si="102"/>
        <v>35235.25</v>
      </c>
      <c r="Q211" s="82">
        <f t="shared" si="103"/>
        <v>44664.2</v>
      </c>
      <c r="R211" s="82">
        <f t="shared" si="104"/>
        <v>44664.2</v>
      </c>
    </row>
    <row r="212" spans="1:23" s="34" customFormat="1" ht="23.4">
      <c r="B212" s="87" t="s">
        <v>417</v>
      </c>
      <c r="C212" s="88" t="s">
        <v>418</v>
      </c>
      <c r="D212" s="89" t="s">
        <v>79</v>
      </c>
      <c r="E212" s="92">
        <v>51.22</v>
      </c>
      <c r="F212" s="91"/>
      <c r="G212" s="91"/>
      <c r="H212" s="91"/>
      <c r="I212" s="79">
        <f>SUM(G212:H212)+'BM 007'!I212</f>
        <v>0</v>
      </c>
      <c r="J212" s="91">
        <f t="shared" si="88"/>
        <v>51.22</v>
      </c>
      <c r="K212" s="84">
        <v>1350</v>
      </c>
      <c r="L212" s="81">
        <f t="shared" si="82"/>
        <v>1711.2601485</v>
      </c>
      <c r="M212" s="82">
        <f t="shared" si="100"/>
        <v>0</v>
      </c>
      <c r="N212" s="82">
        <f t="shared" si="101"/>
        <v>0</v>
      </c>
      <c r="O212" s="82">
        <f>N212+'BM 007'!O212</f>
        <v>0</v>
      </c>
      <c r="P212" s="80">
        <f t="shared" si="102"/>
        <v>69147</v>
      </c>
      <c r="Q212" s="82">
        <f t="shared" si="103"/>
        <v>87650.74</v>
      </c>
      <c r="R212" s="82">
        <f t="shared" si="104"/>
        <v>87650.74</v>
      </c>
    </row>
    <row r="213" spans="1:23" s="34" customFormat="1" ht="46.2">
      <c r="B213" s="87" t="s">
        <v>419</v>
      </c>
      <c r="C213" s="88" t="s">
        <v>420</v>
      </c>
      <c r="D213" s="89" t="s">
        <v>79</v>
      </c>
      <c r="E213" s="92">
        <v>98</v>
      </c>
      <c r="F213" s="91"/>
      <c r="G213" s="91"/>
      <c r="H213" s="91"/>
      <c r="I213" s="79">
        <f>SUM(G213:H213)+'BM 007'!I213</f>
        <v>0</v>
      </c>
      <c r="J213" s="91">
        <f t="shared" si="88"/>
        <v>98</v>
      </c>
      <c r="K213" s="84">
        <v>498</v>
      </c>
      <c r="L213" s="81">
        <f t="shared" si="82"/>
        <v>631.26485478000006</v>
      </c>
      <c r="M213" s="82">
        <f t="shared" si="100"/>
        <v>0</v>
      </c>
      <c r="N213" s="82">
        <f t="shared" si="101"/>
        <v>0</v>
      </c>
      <c r="O213" s="82">
        <f>N213+'BM 007'!O213</f>
        <v>0</v>
      </c>
      <c r="P213" s="80">
        <f t="shared" si="102"/>
        <v>48804</v>
      </c>
      <c r="Q213" s="82">
        <f t="shared" si="103"/>
        <v>61863.95</v>
      </c>
      <c r="R213" s="82">
        <f t="shared" si="104"/>
        <v>61863.95</v>
      </c>
    </row>
    <row r="214" spans="1:23" s="107" customFormat="1" ht="34.799999999999997">
      <c r="A214" s="34"/>
      <c r="B214" s="87" t="s">
        <v>421</v>
      </c>
      <c r="C214" s="88" t="s">
        <v>422</v>
      </c>
      <c r="D214" s="89" t="s">
        <v>79</v>
      </c>
      <c r="E214" s="92">
        <v>342.22</v>
      </c>
      <c r="F214" s="91"/>
      <c r="G214" s="91"/>
      <c r="H214" s="91"/>
      <c r="I214" s="79">
        <f>SUM(G214:H214)+'BM 007'!I214</f>
        <v>0</v>
      </c>
      <c r="J214" s="91">
        <f t="shared" si="88"/>
        <v>342.22</v>
      </c>
      <c r="K214" s="84">
        <v>1395</v>
      </c>
      <c r="L214" s="81">
        <f t="shared" si="82"/>
        <v>1768.3021534500001</v>
      </c>
      <c r="M214" s="82">
        <f t="shared" si="100"/>
        <v>0</v>
      </c>
      <c r="N214" s="82">
        <f t="shared" si="101"/>
        <v>0</v>
      </c>
      <c r="O214" s="82">
        <f>N214+'BM 007'!O214</f>
        <v>0</v>
      </c>
      <c r="P214" s="80">
        <f t="shared" si="102"/>
        <v>477396.9</v>
      </c>
      <c r="Q214" s="82">
        <f t="shared" si="103"/>
        <v>605148.36</v>
      </c>
      <c r="R214" s="82">
        <f t="shared" si="104"/>
        <v>605148.36</v>
      </c>
      <c r="S214" s="34"/>
      <c r="T214" s="34"/>
      <c r="U214" s="34"/>
      <c r="V214" s="34"/>
      <c r="W214" s="34"/>
    </row>
    <row r="215" spans="1:23" s="34" customFormat="1" ht="13.2">
      <c r="B215" s="60" t="s">
        <v>423</v>
      </c>
      <c r="C215" s="61" t="s">
        <v>424</v>
      </c>
      <c r="D215" s="60"/>
      <c r="E215" s="62"/>
      <c r="F215" s="63"/>
      <c r="G215" s="63"/>
      <c r="H215" s="63"/>
      <c r="I215" s="63">
        <f>SUM(G215:H215)+'BM 007'!I215</f>
        <v>0</v>
      </c>
      <c r="J215" s="63">
        <f t="shared" si="88"/>
        <v>0</v>
      </c>
      <c r="K215" s="63"/>
      <c r="L215" s="63">
        <f t="shared" si="82"/>
        <v>0</v>
      </c>
      <c r="M215" s="63">
        <f t="shared" ref="M215:R215" si="105">SUM(M216:M221)</f>
        <v>0</v>
      </c>
      <c r="N215" s="63">
        <f t="shared" si="105"/>
        <v>0</v>
      </c>
      <c r="O215" s="63">
        <f t="shared" si="105"/>
        <v>0</v>
      </c>
      <c r="P215" s="63">
        <f t="shared" si="105"/>
        <v>1326910.8099999998</v>
      </c>
      <c r="Q215" s="63">
        <f t="shared" si="105"/>
        <v>1681992.2700000003</v>
      </c>
      <c r="R215" s="63">
        <f t="shared" si="105"/>
        <v>1681992.2700000003</v>
      </c>
    </row>
    <row r="216" spans="1:23" s="34" customFormat="1" ht="23.4">
      <c r="B216" s="87" t="s">
        <v>425</v>
      </c>
      <c r="C216" s="88" t="s">
        <v>426</v>
      </c>
      <c r="D216" s="89" t="s">
        <v>79</v>
      </c>
      <c r="E216" s="90">
        <f>E143+E147</f>
        <v>25549.96</v>
      </c>
      <c r="F216" s="91"/>
      <c r="G216" s="91"/>
      <c r="H216" s="91"/>
      <c r="I216" s="79">
        <f>SUM(G216:H216)+'BM 007'!I216</f>
        <v>0</v>
      </c>
      <c r="J216" s="91">
        <f t="shared" si="88"/>
        <v>25549.96</v>
      </c>
      <c r="K216" s="84">
        <v>16</v>
      </c>
      <c r="L216" s="81">
        <f t="shared" si="82"/>
        <v>20.281601760000001</v>
      </c>
      <c r="M216" s="82">
        <f t="shared" ref="M216:M221" si="106">TRUNC(F216*L216,2)</f>
        <v>0</v>
      </c>
      <c r="N216" s="82">
        <f t="shared" ref="N216:N221" si="107">TRUNC(G216*L216,2)</f>
        <v>0</v>
      </c>
      <c r="O216" s="82">
        <f>N216+'BM 007'!O216</f>
        <v>0</v>
      </c>
      <c r="P216" s="80">
        <f t="shared" ref="P216:P221" si="108">E216*K216</f>
        <v>408799.36</v>
      </c>
      <c r="Q216" s="82">
        <f t="shared" ref="Q216:Q221" si="109">TRUNC(E216*L216,2)</f>
        <v>518194.11</v>
      </c>
      <c r="R216" s="82">
        <f t="shared" ref="R216:R221" si="110">Q216-O216</f>
        <v>518194.11</v>
      </c>
    </row>
    <row r="217" spans="1:23" s="34" customFormat="1" ht="23.4">
      <c r="B217" s="87" t="s">
        <v>427</v>
      </c>
      <c r="C217" s="88" t="s">
        <v>428</v>
      </c>
      <c r="D217" s="89" t="s">
        <v>79</v>
      </c>
      <c r="E217" s="90">
        <f>E171</f>
        <v>3789.02</v>
      </c>
      <c r="F217" s="91"/>
      <c r="G217" s="91"/>
      <c r="H217" s="91"/>
      <c r="I217" s="79">
        <f>SUM(G217:H217)+'BM 007'!I217</f>
        <v>0</v>
      </c>
      <c r="J217" s="91">
        <f t="shared" si="88"/>
        <v>3789.02</v>
      </c>
      <c r="K217" s="84">
        <v>25</v>
      </c>
      <c r="L217" s="81">
        <f t="shared" si="82"/>
        <v>31.690002750000001</v>
      </c>
      <c r="M217" s="82">
        <f t="shared" si="106"/>
        <v>0</v>
      </c>
      <c r="N217" s="82">
        <f t="shared" si="107"/>
        <v>0</v>
      </c>
      <c r="O217" s="82">
        <f>N217+'BM 007'!O217</f>
        <v>0</v>
      </c>
      <c r="P217" s="80">
        <f t="shared" si="108"/>
        <v>94725.5</v>
      </c>
      <c r="Q217" s="82">
        <f t="shared" si="109"/>
        <v>120074.05</v>
      </c>
      <c r="R217" s="82">
        <f t="shared" si="110"/>
        <v>120074.05</v>
      </c>
    </row>
    <row r="218" spans="1:23" s="34" customFormat="1" ht="23.4">
      <c r="B218" s="87" t="s">
        <v>429</v>
      </c>
      <c r="C218" s="88" t="s">
        <v>430</v>
      </c>
      <c r="D218" s="89" t="s">
        <v>79</v>
      </c>
      <c r="E218" s="90">
        <f>E216</f>
        <v>25549.96</v>
      </c>
      <c r="F218" s="91"/>
      <c r="G218" s="91"/>
      <c r="H218" s="91"/>
      <c r="I218" s="79">
        <f>SUM(G218:H218)+'BM 007'!I218</f>
        <v>0</v>
      </c>
      <c r="J218" s="91">
        <f t="shared" si="88"/>
        <v>25549.96</v>
      </c>
      <c r="K218" s="84">
        <v>4.5</v>
      </c>
      <c r="L218" s="81">
        <f t="shared" si="82"/>
        <v>5.7042004950000003</v>
      </c>
      <c r="M218" s="82">
        <f t="shared" si="106"/>
        <v>0</v>
      </c>
      <c r="N218" s="82">
        <f t="shared" si="107"/>
        <v>0</v>
      </c>
      <c r="O218" s="82">
        <f>N218+'BM 007'!O218</f>
        <v>0</v>
      </c>
      <c r="P218" s="80">
        <f t="shared" si="108"/>
        <v>114974.81999999999</v>
      </c>
      <c r="Q218" s="82">
        <f t="shared" si="109"/>
        <v>145742.09</v>
      </c>
      <c r="R218" s="82">
        <f t="shared" si="110"/>
        <v>145742.09</v>
      </c>
    </row>
    <row r="219" spans="1:23" s="34" customFormat="1" ht="23.4">
      <c r="B219" s="87" t="s">
        <v>431</v>
      </c>
      <c r="C219" s="88" t="s">
        <v>432</v>
      </c>
      <c r="D219" s="89" t="s">
        <v>79</v>
      </c>
      <c r="E219" s="90">
        <f>E217</f>
        <v>3789.02</v>
      </c>
      <c r="F219" s="91"/>
      <c r="G219" s="91"/>
      <c r="H219" s="91"/>
      <c r="I219" s="79">
        <f>SUM(G219:H219)+'BM 007'!I219</f>
        <v>0</v>
      </c>
      <c r="J219" s="91">
        <f t="shared" si="88"/>
        <v>3789.02</v>
      </c>
      <c r="K219" s="84">
        <v>5</v>
      </c>
      <c r="L219" s="81">
        <f t="shared" si="82"/>
        <v>6.3380005500000003</v>
      </c>
      <c r="M219" s="82">
        <f t="shared" si="106"/>
        <v>0</v>
      </c>
      <c r="N219" s="82">
        <f t="shared" si="107"/>
        <v>0</v>
      </c>
      <c r="O219" s="82">
        <f>N219+'BM 007'!O219</f>
        <v>0</v>
      </c>
      <c r="P219" s="80">
        <f t="shared" si="108"/>
        <v>18945.099999999999</v>
      </c>
      <c r="Q219" s="82">
        <f t="shared" si="109"/>
        <v>24014.81</v>
      </c>
      <c r="R219" s="82">
        <f t="shared" si="110"/>
        <v>24014.81</v>
      </c>
    </row>
    <row r="220" spans="1:23" s="34" customFormat="1" ht="23.4">
      <c r="B220" s="87" t="s">
        <v>433</v>
      </c>
      <c r="C220" s="88" t="s">
        <v>434</v>
      </c>
      <c r="D220" s="89" t="s">
        <v>79</v>
      </c>
      <c r="E220" s="90">
        <f>E216</f>
        <v>25549.96</v>
      </c>
      <c r="F220" s="91"/>
      <c r="G220" s="91"/>
      <c r="H220" s="91"/>
      <c r="I220" s="79">
        <f>SUM(G220:H220)+'BM 007'!I220</f>
        <v>0</v>
      </c>
      <c r="J220" s="91">
        <f t="shared" si="88"/>
        <v>25549.96</v>
      </c>
      <c r="K220" s="84">
        <v>23.5</v>
      </c>
      <c r="L220" s="81">
        <f t="shared" si="82"/>
        <v>29.788602585</v>
      </c>
      <c r="M220" s="82">
        <f t="shared" si="106"/>
        <v>0</v>
      </c>
      <c r="N220" s="82">
        <f t="shared" si="107"/>
        <v>0</v>
      </c>
      <c r="O220" s="82">
        <f>N220+'BM 007'!O220</f>
        <v>0</v>
      </c>
      <c r="P220" s="80">
        <f t="shared" si="108"/>
        <v>600424.05999999994</v>
      </c>
      <c r="Q220" s="82">
        <f t="shared" si="109"/>
        <v>761097.6</v>
      </c>
      <c r="R220" s="82">
        <f t="shared" si="110"/>
        <v>761097.6</v>
      </c>
    </row>
    <row r="221" spans="1:23" s="34" customFormat="1" ht="23.4">
      <c r="B221" s="87" t="s">
        <v>435</v>
      </c>
      <c r="C221" s="88" t="s">
        <v>436</v>
      </c>
      <c r="D221" s="89" t="s">
        <v>79</v>
      </c>
      <c r="E221" s="90">
        <f>E219</f>
        <v>3789.02</v>
      </c>
      <c r="F221" s="91"/>
      <c r="G221" s="91"/>
      <c r="H221" s="91"/>
      <c r="I221" s="79">
        <f>SUM(G221:H221)+'BM 007'!I221</f>
        <v>0</v>
      </c>
      <c r="J221" s="91">
        <f t="shared" si="88"/>
        <v>3789.02</v>
      </c>
      <c r="K221" s="84">
        <v>23.5</v>
      </c>
      <c r="L221" s="81">
        <f t="shared" ref="L221:L284" si="111">K221*(1+$T$26)</f>
        <v>29.788602585</v>
      </c>
      <c r="M221" s="82">
        <f t="shared" si="106"/>
        <v>0</v>
      </c>
      <c r="N221" s="82">
        <f t="shared" si="107"/>
        <v>0</v>
      </c>
      <c r="O221" s="82">
        <f>N221+'BM 007'!O221</f>
        <v>0</v>
      </c>
      <c r="P221" s="80">
        <f t="shared" si="108"/>
        <v>89041.97</v>
      </c>
      <c r="Q221" s="82">
        <f t="shared" si="109"/>
        <v>112869.61</v>
      </c>
      <c r="R221" s="82">
        <f t="shared" si="110"/>
        <v>112869.61</v>
      </c>
    </row>
    <row r="222" spans="1:23" s="34" customFormat="1" ht="13.2">
      <c r="A222" s="107"/>
      <c r="B222" s="60" t="s">
        <v>437</v>
      </c>
      <c r="C222" s="61" t="s">
        <v>438</v>
      </c>
      <c r="D222" s="60"/>
      <c r="E222" s="62"/>
      <c r="F222" s="63"/>
      <c r="G222" s="63"/>
      <c r="H222" s="63"/>
      <c r="I222" s="63">
        <f>SUM(G222:H222)+'BM 007'!I222</f>
        <v>0</v>
      </c>
      <c r="J222" s="63">
        <f t="shared" si="88"/>
        <v>0</v>
      </c>
      <c r="K222" s="63"/>
      <c r="L222" s="63">
        <f t="shared" si="111"/>
        <v>0</v>
      </c>
      <c r="M222" s="63">
        <f t="shared" ref="M222:R222" si="112">SUM(M223:M224)</f>
        <v>0</v>
      </c>
      <c r="N222" s="63">
        <f t="shared" si="112"/>
        <v>0</v>
      </c>
      <c r="O222" s="63">
        <f t="shared" si="112"/>
        <v>0</v>
      </c>
      <c r="P222" s="63">
        <f t="shared" si="112"/>
        <v>13739.5</v>
      </c>
      <c r="Q222" s="63">
        <f t="shared" si="112"/>
        <v>17416.18</v>
      </c>
      <c r="R222" s="63">
        <f t="shared" si="112"/>
        <v>17416.18</v>
      </c>
      <c r="S222" s="107"/>
      <c r="T222" s="107"/>
      <c r="U222" s="107"/>
      <c r="V222" s="107"/>
      <c r="W222" s="107"/>
    </row>
    <row r="223" spans="1:23" s="34" customFormat="1" ht="13.2">
      <c r="B223" s="87" t="s">
        <v>439</v>
      </c>
      <c r="C223" s="88" t="s">
        <v>440</v>
      </c>
      <c r="D223" s="89" t="s">
        <v>124</v>
      </c>
      <c r="E223" s="90">
        <v>199.3</v>
      </c>
      <c r="F223" s="91"/>
      <c r="G223" s="91"/>
      <c r="H223" s="91"/>
      <c r="I223" s="79">
        <f>SUM(G223:H223)+'BM 007'!I223</f>
        <v>0</v>
      </c>
      <c r="J223" s="91">
        <f t="shared" ref="J223:J286" si="113">E223-I223</f>
        <v>199.3</v>
      </c>
      <c r="K223" s="84">
        <v>25</v>
      </c>
      <c r="L223" s="81">
        <f t="shared" si="111"/>
        <v>31.690002750000001</v>
      </c>
      <c r="M223" s="82">
        <f>TRUNC(F223*L223,2)</f>
        <v>0</v>
      </c>
      <c r="N223" s="82">
        <f>TRUNC(G223*L223,2)</f>
        <v>0</v>
      </c>
      <c r="O223" s="82">
        <f>N223+'BM 007'!O223</f>
        <v>0</v>
      </c>
      <c r="P223" s="80">
        <f>E223*K223</f>
        <v>4982.5</v>
      </c>
      <c r="Q223" s="82">
        <f>TRUNC(E223*L223,2)</f>
        <v>6315.81</v>
      </c>
      <c r="R223" s="82">
        <f>Q223-O223</f>
        <v>6315.81</v>
      </c>
    </row>
    <row r="224" spans="1:23" s="34" customFormat="1" ht="23.4">
      <c r="B224" s="87" t="s">
        <v>441</v>
      </c>
      <c r="C224" s="88" t="s">
        <v>442</v>
      </c>
      <c r="D224" s="89" t="s">
        <v>124</v>
      </c>
      <c r="E224" s="92">
        <v>250.2</v>
      </c>
      <c r="F224" s="91"/>
      <c r="G224" s="91"/>
      <c r="H224" s="91"/>
      <c r="I224" s="79">
        <f>SUM(G224:H224)+'BM 007'!I224</f>
        <v>0</v>
      </c>
      <c r="J224" s="91">
        <f t="shared" si="113"/>
        <v>250.2</v>
      </c>
      <c r="K224" s="84">
        <v>35</v>
      </c>
      <c r="L224" s="81">
        <f t="shared" si="111"/>
        <v>44.366003849999998</v>
      </c>
      <c r="M224" s="82">
        <f>TRUNC(F224*L224,2)</f>
        <v>0</v>
      </c>
      <c r="N224" s="82">
        <f>TRUNC(G224*L224,2)</f>
        <v>0</v>
      </c>
      <c r="O224" s="82">
        <f>N224+'BM 007'!O224</f>
        <v>0</v>
      </c>
      <c r="P224" s="80">
        <f>E224*K224</f>
        <v>8757</v>
      </c>
      <c r="Q224" s="82">
        <f>TRUNC(E224*L224,2)</f>
        <v>11100.37</v>
      </c>
      <c r="R224" s="82">
        <f>Q224-O224</f>
        <v>11100.37</v>
      </c>
    </row>
    <row r="225" spans="2:20" s="34" customFormat="1" ht="13.2">
      <c r="B225" s="60" t="s">
        <v>443</v>
      </c>
      <c r="C225" s="61" t="s">
        <v>444</v>
      </c>
      <c r="D225" s="60"/>
      <c r="E225" s="62"/>
      <c r="F225" s="63"/>
      <c r="G225" s="63"/>
      <c r="H225" s="63"/>
      <c r="I225" s="63">
        <f>SUM(G225:H225)+'BM 007'!I225</f>
        <v>0</v>
      </c>
      <c r="J225" s="63">
        <f t="shared" si="113"/>
        <v>0</v>
      </c>
      <c r="K225" s="63"/>
      <c r="L225" s="63">
        <f t="shared" si="111"/>
        <v>0</v>
      </c>
      <c r="M225" s="63">
        <f t="shared" ref="M225:R225" si="114">SUM(M226,M240,M255,M291,M296,M307,M315)</f>
        <v>0</v>
      </c>
      <c r="N225" s="63">
        <f t="shared" si="114"/>
        <v>0</v>
      </c>
      <c r="O225" s="63">
        <f t="shared" si="114"/>
        <v>0</v>
      </c>
      <c r="P225" s="63">
        <f t="shared" si="114"/>
        <v>679789.94300000009</v>
      </c>
      <c r="Q225" s="63">
        <f t="shared" si="114"/>
        <v>861701.45999999985</v>
      </c>
      <c r="R225" s="63">
        <f t="shared" si="114"/>
        <v>861701.45999999985</v>
      </c>
    </row>
    <row r="226" spans="2:20" s="34" customFormat="1" ht="24">
      <c r="B226" s="66" t="s">
        <v>445</v>
      </c>
      <c r="C226" s="67" t="s">
        <v>446</v>
      </c>
      <c r="D226" s="68"/>
      <c r="E226" s="69"/>
      <c r="F226" s="70"/>
      <c r="G226" s="70"/>
      <c r="H226" s="70"/>
      <c r="I226" s="70">
        <f>SUM(G226:H226)+'BM 007'!I226</f>
        <v>0</v>
      </c>
      <c r="J226" s="70">
        <f t="shared" si="113"/>
        <v>0</v>
      </c>
      <c r="K226" s="71"/>
      <c r="L226" s="71">
        <f t="shared" si="111"/>
        <v>0</v>
      </c>
      <c r="M226" s="73">
        <f t="shared" ref="M226:R226" si="115">SUM(M227:M239)</f>
        <v>0</v>
      </c>
      <c r="N226" s="73">
        <f t="shared" si="115"/>
        <v>0</v>
      </c>
      <c r="O226" s="73">
        <f t="shared" si="115"/>
        <v>0</v>
      </c>
      <c r="P226" s="73">
        <f t="shared" si="115"/>
        <v>135121.34</v>
      </c>
      <c r="Q226" s="73">
        <f t="shared" si="115"/>
        <v>171279.75999999998</v>
      </c>
      <c r="R226" s="73">
        <f t="shared" si="115"/>
        <v>171279.75999999998</v>
      </c>
    </row>
    <row r="227" spans="2:20" s="34" customFormat="1" ht="23.4">
      <c r="B227" s="87" t="s">
        <v>447</v>
      </c>
      <c r="C227" s="88" t="s">
        <v>448</v>
      </c>
      <c r="D227" s="89" t="s">
        <v>82</v>
      </c>
      <c r="E227" s="90">
        <v>787.32</v>
      </c>
      <c r="F227" s="91"/>
      <c r="G227" s="91"/>
      <c r="H227" s="91"/>
      <c r="I227" s="91">
        <f>SUM(G227:H227)+'BM 007'!I227</f>
        <v>0</v>
      </c>
      <c r="J227" s="91">
        <f t="shared" si="113"/>
        <v>787.32</v>
      </c>
      <c r="K227" s="80">
        <v>70</v>
      </c>
      <c r="L227" s="81">
        <f t="shared" si="111"/>
        <v>88.732007699999997</v>
      </c>
      <c r="M227" s="82">
        <f t="shared" ref="M227:M239" si="116">TRUNC(F227*L227,2)</f>
        <v>0</v>
      </c>
      <c r="N227" s="82">
        <f t="shared" ref="N227:N239" si="117">TRUNC(G227*L227,2)</f>
        <v>0</v>
      </c>
      <c r="O227" s="82">
        <f>N227+'BM 007'!O227</f>
        <v>0</v>
      </c>
      <c r="P227" s="80">
        <f t="shared" ref="P227:P239" si="118">E227*K227</f>
        <v>55112.4</v>
      </c>
      <c r="Q227" s="82">
        <f t="shared" ref="Q227:Q239" si="119">TRUNC(E227*L227,2)</f>
        <v>69860.479999999996</v>
      </c>
      <c r="R227" s="82">
        <f t="shared" ref="R227:R239" si="120">Q227-O227</f>
        <v>69860.479999999996</v>
      </c>
    </row>
    <row r="228" spans="2:20" s="34" customFormat="1" ht="23.4">
      <c r="B228" s="87" t="s">
        <v>449</v>
      </c>
      <c r="C228" s="88" t="s">
        <v>450</v>
      </c>
      <c r="D228" s="89" t="s">
        <v>39</v>
      </c>
      <c r="E228" s="90">
        <v>30</v>
      </c>
      <c r="F228" s="91"/>
      <c r="G228" s="91"/>
      <c r="H228" s="91"/>
      <c r="I228" s="91">
        <f>SUM(G228:H228)+'BM 007'!I228</f>
        <v>0</v>
      </c>
      <c r="J228" s="91">
        <f t="shared" si="113"/>
        <v>30</v>
      </c>
      <c r="K228" s="80">
        <v>49.5</v>
      </c>
      <c r="L228" s="81">
        <f t="shared" si="111"/>
        <v>62.746205445000001</v>
      </c>
      <c r="M228" s="82">
        <f t="shared" si="116"/>
        <v>0</v>
      </c>
      <c r="N228" s="82">
        <f t="shared" si="117"/>
        <v>0</v>
      </c>
      <c r="O228" s="82">
        <f>N228+'BM 007'!O228</f>
        <v>0</v>
      </c>
      <c r="P228" s="80">
        <f t="shared" si="118"/>
        <v>1485</v>
      </c>
      <c r="Q228" s="82">
        <f t="shared" si="119"/>
        <v>1882.38</v>
      </c>
      <c r="R228" s="82">
        <f t="shared" si="120"/>
        <v>1882.38</v>
      </c>
    </row>
    <row r="229" spans="2:20" s="34" customFormat="1" ht="23.4">
      <c r="B229" s="87" t="s">
        <v>451</v>
      </c>
      <c r="C229" s="88" t="s">
        <v>452</v>
      </c>
      <c r="D229" s="89" t="s">
        <v>39</v>
      </c>
      <c r="E229" s="90">
        <v>38</v>
      </c>
      <c r="F229" s="91"/>
      <c r="G229" s="91"/>
      <c r="H229" s="91"/>
      <c r="I229" s="91">
        <f>SUM(G229:H229)+'BM 007'!I229</f>
        <v>0</v>
      </c>
      <c r="J229" s="91">
        <f t="shared" si="113"/>
        <v>38</v>
      </c>
      <c r="K229" s="80">
        <v>43.8</v>
      </c>
      <c r="L229" s="81">
        <f t="shared" si="111"/>
        <v>55.520884817999999</v>
      </c>
      <c r="M229" s="82">
        <f t="shared" si="116"/>
        <v>0</v>
      </c>
      <c r="N229" s="82">
        <f t="shared" si="117"/>
        <v>0</v>
      </c>
      <c r="O229" s="82">
        <f>N229+'BM 007'!O229</f>
        <v>0</v>
      </c>
      <c r="P229" s="80">
        <f t="shared" si="118"/>
        <v>1664.3999999999999</v>
      </c>
      <c r="Q229" s="82">
        <f t="shared" si="119"/>
        <v>2109.79</v>
      </c>
      <c r="R229" s="82">
        <f t="shared" si="120"/>
        <v>2109.79</v>
      </c>
    </row>
    <row r="230" spans="2:20" s="34" customFormat="1" ht="23.4">
      <c r="B230" s="87" t="s">
        <v>453</v>
      </c>
      <c r="C230" s="88" t="s">
        <v>454</v>
      </c>
      <c r="D230" s="89" t="s">
        <v>39</v>
      </c>
      <c r="E230" s="90">
        <v>24</v>
      </c>
      <c r="F230" s="91"/>
      <c r="G230" s="91"/>
      <c r="H230" s="91"/>
      <c r="I230" s="91">
        <f>SUM(G230:H230)+'BM 007'!I230</f>
        <v>0</v>
      </c>
      <c r="J230" s="91">
        <f t="shared" si="113"/>
        <v>24</v>
      </c>
      <c r="K230" s="80">
        <v>40</v>
      </c>
      <c r="L230" s="81">
        <f t="shared" si="111"/>
        <v>50.704004400000002</v>
      </c>
      <c r="M230" s="82">
        <f t="shared" si="116"/>
        <v>0</v>
      </c>
      <c r="N230" s="82">
        <f t="shared" si="117"/>
        <v>0</v>
      </c>
      <c r="O230" s="82">
        <f>N230+'BM 007'!O230</f>
        <v>0</v>
      </c>
      <c r="P230" s="80">
        <f t="shared" si="118"/>
        <v>960</v>
      </c>
      <c r="Q230" s="82">
        <f t="shared" si="119"/>
        <v>1216.8900000000001</v>
      </c>
      <c r="R230" s="82">
        <f t="shared" si="120"/>
        <v>1216.8900000000001</v>
      </c>
    </row>
    <row r="231" spans="2:20" s="34" customFormat="1" ht="23.4">
      <c r="B231" s="87" t="s">
        <v>455</v>
      </c>
      <c r="C231" s="88" t="s">
        <v>456</v>
      </c>
      <c r="D231" s="89" t="s">
        <v>39</v>
      </c>
      <c r="E231" s="90">
        <v>30</v>
      </c>
      <c r="F231" s="91"/>
      <c r="G231" s="91"/>
      <c r="H231" s="91"/>
      <c r="I231" s="91">
        <f>SUM(G231:H231)+'BM 007'!I231</f>
        <v>0</v>
      </c>
      <c r="J231" s="91">
        <f t="shared" si="113"/>
        <v>30</v>
      </c>
      <c r="K231" s="80">
        <v>50</v>
      </c>
      <c r="L231" s="81">
        <f t="shared" si="111"/>
        <v>63.380005500000003</v>
      </c>
      <c r="M231" s="82">
        <f t="shared" si="116"/>
        <v>0</v>
      </c>
      <c r="N231" s="82">
        <f t="shared" si="117"/>
        <v>0</v>
      </c>
      <c r="O231" s="82">
        <f>N231+'BM 007'!O231</f>
        <v>0</v>
      </c>
      <c r="P231" s="80">
        <f t="shared" si="118"/>
        <v>1500</v>
      </c>
      <c r="Q231" s="82">
        <f t="shared" si="119"/>
        <v>1901.4</v>
      </c>
      <c r="R231" s="82">
        <f t="shared" si="120"/>
        <v>1901.4</v>
      </c>
    </row>
    <row r="232" spans="2:20" s="34" customFormat="1" ht="23.4">
      <c r="B232" s="87" t="s">
        <v>457</v>
      </c>
      <c r="C232" s="88" t="s">
        <v>458</v>
      </c>
      <c r="D232" s="89" t="s">
        <v>39</v>
      </c>
      <c r="E232" s="90">
        <v>400</v>
      </c>
      <c r="F232" s="91"/>
      <c r="G232" s="91"/>
      <c r="H232" s="91"/>
      <c r="I232" s="91">
        <f>SUM(G232:H232)+'BM 007'!I232</f>
        <v>0</v>
      </c>
      <c r="J232" s="91">
        <f t="shared" si="113"/>
        <v>400</v>
      </c>
      <c r="K232" s="80">
        <v>9.7100000000000009</v>
      </c>
      <c r="L232" s="81">
        <f t="shared" si="111"/>
        <v>12.308397068100001</v>
      </c>
      <c r="M232" s="82">
        <f t="shared" si="116"/>
        <v>0</v>
      </c>
      <c r="N232" s="82">
        <f t="shared" si="117"/>
        <v>0</v>
      </c>
      <c r="O232" s="82">
        <f>N232+'BM 007'!O232</f>
        <v>0</v>
      </c>
      <c r="P232" s="80">
        <f t="shared" si="118"/>
        <v>3884.0000000000005</v>
      </c>
      <c r="Q232" s="82">
        <f t="shared" si="119"/>
        <v>4923.3500000000004</v>
      </c>
      <c r="R232" s="82">
        <f t="shared" si="120"/>
        <v>4923.3500000000004</v>
      </c>
    </row>
    <row r="233" spans="2:20" s="34" customFormat="1" ht="34.799999999999997">
      <c r="B233" s="87" t="s">
        <v>459</v>
      </c>
      <c r="C233" s="88" t="s">
        <v>460</v>
      </c>
      <c r="D233" s="89" t="s">
        <v>82</v>
      </c>
      <c r="E233" s="90">
        <v>53.61</v>
      </c>
      <c r="F233" s="91"/>
      <c r="G233" s="91"/>
      <c r="H233" s="91"/>
      <c r="I233" s="91">
        <f>SUM(G233:H233)+'BM 007'!I233</f>
        <v>0</v>
      </c>
      <c r="J233" s="91">
        <f t="shared" si="113"/>
        <v>53.61</v>
      </c>
      <c r="K233" s="80">
        <v>95</v>
      </c>
      <c r="L233" s="81">
        <f t="shared" si="111"/>
        <v>120.42201045</v>
      </c>
      <c r="M233" s="82">
        <f t="shared" si="116"/>
        <v>0</v>
      </c>
      <c r="N233" s="82">
        <f t="shared" si="117"/>
        <v>0</v>
      </c>
      <c r="O233" s="82">
        <f>N233+'BM 007'!O233</f>
        <v>0</v>
      </c>
      <c r="P233" s="80">
        <f t="shared" si="118"/>
        <v>5092.95</v>
      </c>
      <c r="Q233" s="82">
        <f t="shared" si="119"/>
        <v>6455.82</v>
      </c>
      <c r="R233" s="82">
        <f t="shared" si="120"/>
        <v>6455.82</v>
      </c>
    </row>
    <row r="234" spans="2:20" s="34" customFormat="1" ht="46.2">
      <c r="B234" s="87" t="s">
        <v>461</v>
      </c>
      <c r="C234" s="88" t="s">
        <v>462</v>
      </c>
      <c r="D234" s="89" t="s">
        <v>82</v>
      </c>
      <c r="E234" s="90">
        <v>91.42</v>
      </c>
      <c r="F234" s="91"/>
      <c r="G234" s="91"/>
      <c r="H234" s="91"/>
      <c r="I234" s="91">
        <f>SUM(G234:H234)+'BM 007'!I234</f>
        <v>0</v>
      </c>
      <c r="J234" s="91">
        <f t="shared" si="113"/>
        <v>91.42</v>
      </c>
      <c r="K234" s="80">
        <v>15</v>
      </c>
      <c r="L234" s="81">
        <f t="shared" si="111"/>
        <v>19.014001650000001</v>
      </c>
      <c r="M234" s="82">
        <f t="shared" si="116"/>
        <v>0</v>
      </c>
      <c r="N234" s="82">
        <f t="shared" si="117"/>
        <v>0</v>
      </c>
      <c r="O234" s="82">
        <f>N234+'BM 007'!O234</f>
        <v>0</v>
      </c>
      <c r="P234" s="80">
        <f t="shared" si="118"/>
        <v>1371.3</v>
      </c>
      <c r="Q234" s="82">
        <f t="shared" si="119"/>
        <v>1738.26</v>
      </c>
      <c r="R234" s="82">
        <f t="shared" si="120"/>
        <v>1738.26</v>
      </c>
    </row>
    <row r="235" spans="2:20" s="34" customFormat="1" ht="46.2">
      <c r="B235" s="87" t="s">
        <v>463</v>
      </c>
      <c r="C235" s="88" t="s">
        <v>464</v>
      </c>
      <c r="D235" s="89" t="s">
        <v>82</v>
      </c>
      <c r="E235" s="90">
        <v>8549.7900000000009</v>
      </c>
      <c r="F235" s="91"/>
      <c r="G235" s="91"/>
      <c r="H235" s="91"/>
      <c r="I235" s="91">
        <f>SUM(G235:H235)+'BM 007'!I235</f>
        <v>0</v>
      </c>
      <c r="J235" s="91">
        <f t="shared" si="113"/>
        <v>8549.7900000000009</v>
      </c>
      <c r="K235" s="80">
        <v>6</v>
      </c>
      <c r="L235" s="81">
        <f t="shared" si="111"/>
        <v>7.6056006600000003</v>
      </c>
      <c r="M235" s="82">
        <f t="shared" si="116"/>
        <v>0</v>
      </c>
      <c r="N235" s="82">
        <f t="shared" si="117"/>
        <v>0</v>
      </c>
      <c r="O235" s="82">
        <f>N235+'BM 007'!O235</f>
        <v>0</v>
      </c>
      <c r="P235" s="80">
        <f t="shared" si="118"/>
        <v>51298.740000000005</v>
      </c>
      <c r="Q235" s="82">
        <f t="shared" si="119"/>
        <v>65026.28</v>
      </c>
      <c r="R235" s="82">
        <f t="shared" si="120"/>
        <v>65026.28</v>
      </c>
    </row>
    <row r="236" spans="2:20" s="34" customFormat="1" ht="46.2">
      <c r="B236" s="87" t="s">
        <v>465</v>
      </c>
      <c r="C236" s="88" t="s">
        <v>466</v>
      </c>
      <c r="D236" s="89" t="s">
        <v>82</v>
      </c>
      <c r="E236" s="90">
        <v>98.51</v>
      </c>
      <c r="F236" s="91"/>
      <c r="G236" s="91"/>
      <c r="H236" s="91"/>
      <c r="I236" s="91">
        <f>SUM(G236:H236)+'BM 007'!I236</f>
        <v>0</v>
      </c>
      <c r="J236" s="91">
        <f t="shared" si="113"/>
        <v>98.51</v>
      </c>
      <c r="K236" s="80">
        <v>20</v>
      </c>
      <c r="L236" s="81">
        <f t="shared" si="111"/>
        <v>25.352002200000001</v>
      </c>
      <c r="M236" s="82">
        <f t="shared" si="116"/>
        <v>0</v>
      </c>
      <c r="N236" s="82">
        <f t="shared" si="117"/>
        <v>0</v>
      </c>
      <c r="O236" s="82">
        <f>N236+'BM 007'!O236</f>
        <v>0</v>
      </c>
      <c r="P236" s="80">
        <f t="shared" si="118"/>
        <v>1970.2</v>
      </c>
      <c r="Q236" s="82">
        <f t="shared" si="119"/>
        <v>2497.42</v>
      </c>
      <c r="R236" s="82">
        <f t="shared" si="120"/>
        <v>2497.42</v>
      </c>
      <c r="T236" s="83"/>
    </row>
    <row r="237" spans="2:20" s="34" customFormat="1" ht="23.4">
      <c r="B237" s="87" t="s">
        <v>467</v>
      </c>
      <c r="C237" s="88" t="s">
        <v>468</v>
      </c>
      <c r="D237" s="89" t="s">
        <v>39</v>
      </c>
      <c r="E237" s="90">
        <v>836</v>
      </c>
      <c r="F237" s="91"/>
      <c r="G237" s="91"/>
      <c r="H237" s="91"/>
      <c r="I237" s="91">
        <f>SUM(G237:H237)+'BM 007'!I237</f>
        <v>0</v>
      </c>
      <c r="J237" s="91">
        <f t="shared" si="113"/>
        <v>836</v>
      </c>
      <c r="K237" s="80">
        <v>8</v>
      </c>
      <c r="L237" s="81">
        <f t="shared" si="111"/>
        <v>10.14080088</v>
      </c>
      <c r="M237" s="82">
        <f t="shared" si="116"/>
        <v>0</v>
      </c>
      <c r="N237" s="82">
        <f t="shared" si="117"/>
        <v>0</v>
      </c>
      <c r="O237" s="82">
        <f>N237+'BM 007'!O237</f>
        <v>0</v>
      </c>
      <c r="P237" s="80">
        <f t="shared" si="118"/>
        <v>6688</v>
      </c>
      <c r="Q237" s="82">
        <f t="shared" si="119"/>
        <v>8477.7000000000007</v>
      </c>
      <c r="R237" s="82">
        <f t="shared" si="120"/>
        <v>8477.7000000000007</v>
      </c>
      <c r="T237" s="83"/>
    </row>
    <row r="238" spans="2:20" s="34" customFormat="1" ht="34.799999999999997">
      <c r="B238" s="87" t="s">
        <v>469</v>
      </c>
      <c r="C238" s="88" t="s">
        <v>470</v>
      </c>
      <c r="D238" s="89" t="s">
        <v>39</v>
      </c>
      <c r="E238" s="90">
        <v>1359</v>
      </c>
      <c r="F238" s="91"/>
      <c r="G238" s="91"/>
      <c r="H238" s="91"/>
      <c r="I238" s="91">
        <f>SUM(G238:H238)+'BM 007'!I238</f>
        <v>0</v>
      </c>
      <c r="J238" s="91">
        <f t="shared" si="113"/>
        <v>1359</v>
      </c>
      <c r="K238" s="80">
        <v>3</v>
      </c>
      <c r="L238" s="81">
        <f t="shared" si="111"/>
        <v>3.8028003300000002</v>
      </c>
      <c r="M238" s="82">
        <f t="shared" si="116"/>
        <v>0</v>
      </c>
      <c r="N238" s="82">
        <f t="shared" si="117"/>
        <v>0</v>
      </c>
      <c r="O238" s="82">
        <f>N238+'BM 007'!O238</f>
        <v>0</v>
      </c>
      <c r="P238" s="80">
        <f t="shared" si="118"/>
        <v>4077</v>
      </c>
      <c r="Q238" s="82">
        <f t="shared" si="119"/>
        <v>5168</v>
      </c>
      <c r="R238" s="82">
        <f t="shared" si="120"/>
        <v>5168</v>
      </c>
      <c r="T238" s="83"/>
    </row>
    <row r="239" spans="2:20" s="34" customFormat="1" ht="34.799999999999997">
      <c r="B239" s="87" t="s">
        <v>471</v>
      </c>
      <c r="C239" s="88" t="s">
        <v>472</v>
      </c>
      <c r="D239" s="89" t="s">
        <v>39</v>
      </c>
      <c r="E239" s="90">
        <v>5</v>
      </c>
      <c r="F239" s="91"/>
      <c r="G239" s="91"/>
      <c r="H239" s="91"/>
      <c r="I239" s="91">
        <f>SUM(G239:H239)+'BM 007'!I239</f>
        <v>0</v>
      </c>
      <c r="J239" s="91">
        <f t="shared" si="113"/>
        <v>5</v>
      </c>
      <c r="K239" s="80">
        <v>3.47</v>
      </c>
      <c r="L239" s="81">
        <f t="shared" si="111"/>
        <v>4.3985723817000002</v>
      </c>
      <c r="M239" s="82">
        <f t="shared" si="116"/>
        <v>0</v>
      </c>
      <c r="N239" s="82">
        <f t="shared" si="117"/>
        <v>0</v>
      </c>
      <c r="O239" s="82">
        <f>N239+'BM 007'!O239</f>
        <v>0</v>
      </c>
      <c r="P239" s="80">
        <f t="shared" si="118"/>
        <v>17.350000000000001</v>
      </c>
      <c r="Q239" s="82">
        <f t="shared" si="119"/>
        <v>21.99</v>
      </c>
      <c r="R239" s="82">
        <f t="shared" si="120"/>
        <v>21.99</v>
      </c>
      <c r="T239" s="83"/>
    </row>
    <row r="240" spans="2:20" s="34" customFormat="1" ht="13.2">
      <c r="B240" s="66" t="s">
        <v>473</v>
      </c>
      <c r="C240" s="67" t="s">
        <v>474</v>
      </c>
      <c r="D240" s="68"/>
      <c r="E240" s="69"/>
      <c r="F240" s="70"/>
      <c r="G240" s="70"/>
      <c r="H240" s="70"/>
      <c r="I240" s="70">
        <f>SUM(G240:H240)+'BM 007'!I240</f>
        <v>0</v>
      </c>
      <c r="J240" s="70">
        <f t="shared" si="113"/>
        <v>0</v>
      </c>
      <c r="K240" s="71"/>
      <c r="L240" s="71">
        <f t="shared" si="111"/>
        <v>0</v>
      </c>
      <c r="M240" s="73">
        <f t="shared" ref="M240:R240" si="121">SUM(M241:M254)</f>
        <v>0</v>
      </c>
      <c r="N240" s="73">
        <f t="shared" si="121"/>
        <v>0</v>
      </c>
      <c r="O240" s="73">
        <f t="shared" si="121"/>
        <v>0</v>
      </c>
      <c r="P240" s="73">
        <f t="shared" si="121"/>
        <v>310727.75299999997</v>
      </c>
      <c r="Q240" s="73">
        <f t="shared" si="121"/>
        <v>393878.46999999991</v>
      </c>
      <c r="R240" s="73">
        <f t="shared" si="121"/>
        <v>393878.46999999991</v>
      </c>
      <c r="T240" s="83"/>
    </row>
    <row r="241" spans="2:20" s="34" customFormat="1" ht="23.4">
      <c r="B241" s="87" t="s">
        <v>475</v>
      </c>
      <c r="C241" s="88" t="s">
        <v>476</v>
      </c>
      <c r="D241" s="89" t="s">
        <v>82</v>
      </c>
      <c r="E241" s="90">
        <v>1000</v>
      </c>
      <c r="F241" s="91"/>
      <c r="G241" s="91"/>
      <c r="H241" s="91"/>
      <c r="I241" s="91">
        <f>SUM(G241:H241)+'BM 007'!I241</f>
        <v>0</v>
      </c>
      <c r="J241" s="91">
        <f t="shared" si="113"/>
        <v>1000</v>
      </c>
      <c r="K241" s="80">
        <v>15</v>
      </c>
      <c r="L241" s="81">
        <f t="shared" si="111"/>
        <v>19.014001650000001</v>
      </c>
      <c r="M241" s="82">
        <f t="shared" ref="M241:M254" si="122">TRUNC(F241*L241,2)</f>
        <v>0</v>
      </c>
      <c r="N241" s="82">
        <f t="shared" ref="N241:N254" si="123">TRUNC(G241*L241,2)</f>
        <v>0</v>
      </c>
      <c r="O241" s="82">
        <f>N241+'BM 007'!O241</f>
        <v>0</v>
      </c>
      <c r="P241" s="80">
        <f t="shared" ref="P241:P254" si="124">E241*K241</f>
        <v>15000</v>
      </c>
      <c r="Q241" s="82">
        <f t="shared" ref="Q241:Q254" si="125">TRUNC(E241*L241,2)</f>
        <v>19014</v>
      </c>
      <c r="R241" s="82">
        <f t="shared" ref="R241:R254" si="126">Q241-O241</f>
        <v>19014</v>
      </c>
      <c r="T241" s="83"/>
    </row>
    <row r="242" spans="2:20" s="34" customFormat="1" ht="46.2">
      <c r="B242" s="87" t="s">
        <v>477</v>
      </c>
      <c r="C242" s="88" t="s">
        <v>478</v>
      </c>
      <c r="D242" s="89" t="s">
        <v>124</v>
      </c>
      <c r="E242" s="90">
        <v>9216.66</v>
      </c>
      <c r="F242" s="91"/>
      <c r="G242" s="91"/>
      <c r="H242" s="91"/>
      <c r="I242" s="91">
        <f>SUM(G242:H242)+'BM 007'!I242</f>
        <v>0</v>
      </c>
      <c r="J242" s="91">
        <f t="shared" si="113"/>
        <v>9216.66</v>
      </c>
      <c r="K242" s="80">
        <v>3.5</v>
      </c>
      <c r="L242" s="81">
        <f t="shared" si="111"/>
        <v>4.4366003850000002</v>
      </c>
      <c r="M242" s="82">
        <f t="shared" si="122"/>
        <v>0</v>
      </c>
      <c r="N242" s="82">
        <f t="shared" si="123"/>
        <v>0</v>
      </c>
      <c r="O242" s="82">
        <f>N242+'BM 007'!O242</f>
        <v>0</v>
      </c>
      <c r="P242" s="80">
        <f t="shared" si="124"/>
        <v>32258.309999999998</v>
      </c>
      <c r="Q242" s="82">
        <f t="shared" si="125"/>
        <v>40890.629999999997</v>
      </c>
      <c r="R242" s="82">
        <f t="shared" si="126"/>
        <v>40890.629999999997</v>
      </c>
    </row>
    <row r="243" spans="2:20" s="34" customFormat="1" ht="57.6">
      <c r="B243" s="87" t="s">
        <v>479</v>
      </c>
      <c r="C243" s="88" t="s">
        <v>480</v>
      </c>
      <c r="D243" s="89" t="s">
        <v>82</v>
      </c>
      <c r="E243" s="90">
        <v>16088.53</v>
      </c>
      <c r="F243" s="91"/>
      <c r="G243" s="91"/>
      <c r="H243" s="91"/>
      <c r="I243" s="91">
        <f>SUM(G243:H243)+'BM 007'!I243</f>
        <v>0</v>
      </c>
      <c r="J243" s="91">
        <f t="shared" si="113"/>
        <v>16088.53</v>
      </c>
      <c r="K243" s="80">
        <v>4.5</v>
      </c>
      <c r="L243" s="81">
        <f t="shared" si="111"/>
        <v>5.7042004950000003</v>
      </c>
      <c r="M243" s="82">
        <f t="shared" si="122"/>
        <v>0</v>
      </c>
      <c r="N243" s="82">
        <f t="shared" si="123"/>
        <v>0</v>
      </c>
      <c r="O243" s="82">
        <f>N243+'BM 007'!O243</f>
        <v>0</v>
      </c>
      <c r="P243" s="80">
        <f t="shared" si="124"/>
        <v>72398.385000000009</v>
      </c>
      <c r="Q243" s="82">
        <f t="shared" si="125"/>
        <v>91772.2</v>
      </c>
      <c r="R243" s="82">
        <f t="shared" si="126"/>
        <v>91772.2</v>
      </c>
    </row>
    <row r="244" spans="2:20" s="34" customFormat="1" ht="34.799999999999997">
      <c r="B244" s="87" t="s">
        <v>481</v>
      </c>
      <c r="C244" s="88" t="s">
        <v>482</v>
      </c>
      <c r="D244" s="89" t="s">
        <v>82</v>
      </c>
      <c r="E244" s="90">
        <v>1366.87</v>
      </c>
      <c r="F244" s="91"/>
      <c r="G244" s="91"/>
      <c r="H244" s="91"/>
      <c r="I244" s="91">
        <f>SUM(G244:H244)+'BM 007'!I244</f>
        <v>0</v>
      </c>
      <c r="J244" s="91">
        <f t="shared" si="113"/>
        <v>1366.87</v>
      </c>
      <c r="K244" s="80">
        <v>7</v>
      </c>
      <c r="L244" s="81">
        <f t="shared" si="111"/>
        <v>8.8732007700000004</v>
      </c>
      <c r="M244" s="82">
        <f t="shared" si="122"/>
        <v>0</v>
      </c>
      <c r="N244" s="82">
        <f t="shared" si="123"/>
        <v>0</v>
      </c>
      <c r="O244" s="82">
        <f>N244+'BM 007'!O244</f>
        <v>0</v>
      </c>
      <c r="P244" s="80">
        <f t="shared" si="124"/>
        <v>9568.09</v>
      </c>
      <c r="Q244" s="82">
        <f t="shared" si="125"/>
        <v>12128.51</v>
      </c>
      <c r="R244" s="82">
        <f t="shared" si="126"/>
        <v>12128.51</v>
      </c>
    </row>
    <row r="245" spans="2:20" s="34" customFormat="1" ht="57.6">
      <c r="B245" s="87" t="s">
        <v>483</v>
      </c>
      <c r="C245" s="88" t="s">
        <v>484</v>
      </c>
      <c r="D245" s="89" t="s">
        <v>82</v>
      </c>
      <c r="E245" s="90">
        <v>337.73</v>
      </c>
      <c r="F245" s="91"/>
      <c r="G245" s="91"/>
      <c r="H245" s="91"/>
      <c r="I245" s="91">
        <f>SUM(G245:H245)+'BM 007'!I245</f>
        <v>0</v>
      </c>
      <c r="J245" s="91">
        <f t="shared" si="113"/>
        <v>337.73</v>
      </c>
      <c r="K245" s="80">
        <v>10</v>
      </c>
      <c r="L245" s="81">
        <f t="shared" si="111"/>
        <v>12.676001100000001</v>
      </c>
      <c r="M245" s="82">
        <f t="shared" si="122"/>
        <v>0</v>
      </c>
      <c r="N245" s="82">
        <f t="shared" si="123"/>
        <v>0</v>
      </c>
      <c r="O245" s="82">
        <f>N245+'BM 007'!O245</f>
        <v>0</v>
      </c>
      <c r="P245" s="80">
        <f t="shared" si="124"/>
        <v>3377.3</v>
      </c>
      <c r="Q245" s="82">
        <f t="shared" si="125"/>
        <v>4281.0600000000004</v>
      </c>
      <c r="R245" s="82">
        <f t="shared" si="126"/>
        <v>4281.0600000000004</v>
      </c>
    </row>
    <row r="246" spans="2:20" s="34" customFormat="1" ht="34.799999999999997">
      <c r="B246" s="87" t="s">
        <v>485</v>
      </c>
      <c r="C246" s="88" t="s">
        <v>486</v>
      </c>
      <c r="D246" s="89" t="s">
        <v>82</v>
      </c>
      <c r="E246" s="90">
        <v>584.41</v>
      </c>
      <c r="F246" s="91"/>
      <c r="G246" s="91"/>
      <c r="H246" s="91"/>
      <c r="I246" s="91">
        <f>SUM(G246:H246)+'BM 007'!I246</f>
        <v>0</v>
      </c>
      <c r="J246" s="91">
        <f t="shared" si="113"/>
        <v>584.41</v>
      </c>
      <c r="K246" s="80">
        <v>11</v>
      </c>
      <c r="L246" s="81">
        <f t="shared" si="111"/>
        <v>13.943601210000001</v>
      </c>
      <c r="M246" s="82">
        <f t="shared" si="122"/>
        <v>0</v>
      </c>
      <c r="N246" s="82">
        <f t="shared" si="123"/>
        <v>0</v>
      </c>
      <c r="O246" s="82">
        <f>N246+'BM 007'!O246</f>
        <v>0</v>
      </c>
      <c r="P246" s="80">
        <f t="shared" si="124"/>
        <v>6428.5099999999993</v>
      </c>
      <c r="Q246" s="82">
        <f t="shared" si="125"/>
        <v>8148.77</v>
      </c>
      <c r="R246" s="82">
        <f t="shared" si="126"/>
        <v>8148.77</v>
      </c>
    </row>
    <row r="247" spans="2:20" s="34" customFormat="1" ht="34.799999999999997">
      <c r="B247" s="87" t="s">
        <v>487</v>
      </c>
      <c r="C247" s="88" t="s">
        <v>488</v>
      </c>
      <c r="D247" s="89" t="s">
        <v>82</v>
      </c>
      <c r="E247" s="90">
        <v>746.42</v>
      </c>
      <c r="F247" s="91"/>
      <c r="G247" s="91"/>
      <c r="H247" s="91"/>
      <c r="I247" s="91">
        <f>SUM(G247:H247)+'BM 007'!I247</f>
        <v>0</v>
      </c>
      <c r="J247" s="91">
        <f t="shared" si="113"/>
        <v>746.42</v>
      </c>
      <c r="K247" s="80">
        <v>18</v>
      </c>
      <c r="L247" s="81">
        <f t="shared" si="111"/>
        <v>22.816801980000001</v>
      </c>
      <c r="M247" s="82">
        <f t="shared" si="122"/>
        <v>0</v>
      </c>
      <c r="N247" s="82">
        <f t="shared" si="123"/>
        <v>0</v>
      </c>
      <c r="O247" s="82">
        <f>N247+'BM 007'!O247</f>
        <v>0</v>
      </c>
      <c r="P247" s="80">
        <f t="shared" si="124"/>
        <v>13435.56</v>
      </c>
      <c r="Q247" s="82">
        <f t="shared" si="125"/>
        <v>17030.91</v>
      </c>
      <c r="R247" s="82">
        <f t="shared" si="126"/>
        <v>17030.91</v>
      </c>
    </row>
    <row r="248" spans="2:20" s="34" customFormat="1" ht="34.799999999999997">
      <c r="B248" s="87" t="s">
        <v>489</v>
      </c>
      <c r="C248" s="88" t="s">
        <v>490</v>
      </c>
      <c r="D248" s="89" t="s">
        <v>82</v>
      </c>
      <c r="E248" s="90">
        <v>396.45</v>
      </c>
      <c r="F248" s="91"/>
      <c r="G248" s="91"/>
      <c r="H248" s="91"/>
      <c r="I248" s="91">
        <f>SUM(G248:H248)+'BM 007'!I248</f>
        <v>0</v>
      </c>
      <c r="J248" s="91">
        <f t="shared" si="113"/>
        <v>396.45</v>
      </c>
      <c r="K248" s="80">
        <v>25</v>
      </c>
      <c r="L248" s="81">
        <f t="shared" si="111"/>
        <v>31.690002750000001</v>
      </c>
      <c r="M248" s="82">
        <f t="shared" si="122"/>
        <v>0</v>
      </c>
      <c r="N248" s="82">
        <f t="shared" si="123"/>
        <v>0</v>
      </c>
      <c r="O248" s="82">
        <f>N248+'BM 007'!O248</f>
        <v>0</v>
      </c>
      <c r="P248" s="80">
        <f t="shared" si="124"/>
        <v>9911.25</v>
      </c>
      <c r="Q248" s="82">
        <f t="shared" si="125"/>
        <v>12563.5</v>
      </c>
      <c r="R248" s="82">
        <f t="shared" si="126"/>
        <v>12563.5</v>
      </c>
    </row>
    <row r="249" spans="2:20" s="34" customFormat="1" ht="57.6">
      <c r="B249" s="87" t="s">
        <v>491</v>
      </c>
      <c r="C249" s="88" t="s">
        <v>492</v>
      </c>
      <c r="D249" s="89" t="s">
        <v>82</v>
      </c>
      <c r="E249" s="90">
        <v>326.43</v>
      </c>
      <c r="F249" s="91"/>
      <c r="G249" s="91"/>
      <c r="H249" s="91"/>
      <c r="I249" s="91">
        <f>SUM(G249:H249)+'BM 007'!I249</f>
        <v>0</v>
      </c>
      <c r="J249" s="91">
        <f t="shared" si="113"/>
        <v>326.43</v>
      </c>
      <c r="K249" s="80">
        <v>40</v>
      </c>
      <c r="L249" s="81">
        <f t="shared" si="111"/>
        <v>50.704004400000002</v>
      </c>
      <c r="M249" s="82">
        <f t="shared" si="122"/>
        <v>0</v>
      </c>
      <c r="N249" s="82">
        <f t="shared" si="123"/>
        <v>0</v>
      </c>
      <c r="O249" s="82">
        <f>N249+'BM 007'!O249</f>
        <v>0</v>
      </c>
      <c r="P249" s="80">
        <f t="shared" si="124"/>
        <v>13057.2</v>
      </c>
      <c r="Q249" s="82">
        <f t="shared" si="125"/>
        <v>16551.3</v>
      </c>
      <c r="R249" s="82">
        <f t="shared" si="126"/>
        <v>16551.3</v>
      </c>
    </row>
    <row r="250" spans="2:20" s="34" customFormat="1" ht="46.2">
      <c r="B250" s="87" t="s">
        <v>493</v>
      </c>
      <c r="C250" s="88" t="s">
        <v>494</v>
      </c>
      <c r="D250" s="89" t="s">
        <v>82</v>
      </c>
      <c r="E250" s="90">
        <v>49.87</v>
      </c>
      <c r="F250" s="91"/>
      <c r="G250" s="91"/>
      <c r="H250" s="91"/>
      <c r="I250" s="91">
        <f>SUM(G250:H250)+'BM 007'!I250</f>
        <v>0</v>
      </c>
      <c r="J250" s="91">
        <f t="shared" si="113"/>
        <v>49.87</v>
      </c>
      <c r="K250" s="80">
        <v>125</v>
      </c>
      <c r="L250" s="81">
        <f t="shared" si="111"/>
        <v>158.45001375000001</v>
      </c>
      <c r="M250" s="82">
        <f t="shared" si="122"/>
        <v>0</v>
      </c>
      <c r="N250" s="82">
        <f t="shared" si="123"/>
        <v>0</v>
      </c>
      <c r="O250" s="82">
        <f>N250+'BM 007'!O250</f>
        <v>0</v>
      </c>
      <c r="P250" s="80">
        <f t="shared" si="124"/>
        <v>6233.75</v>
      </c>
      <c r="Q250" s="82">
        <f t="shared" si="125"/>
        <v>7901.9</v>
      </c>
      <c r="R250" s="82">
        <f t="shared" si="126"/>
        <v>7901.9</v>
      </c>
    </row>
    <row r="251" spans="2:20" s="34" customFormat="1" ht="46.2">
      <c r="B251" s="87" t="s">
        <v>495</v>
      </c>
      <c r="C251" s="88" t="s">
        <v>496</v>
      </c>
      <c r="D251" s="89" t="s">
        <v>82</v>
      </c>
      <c r="E251" s="90">
        <v>49.87</v>
      </c>
      <c r="F251" s="91"/>
      <c r="G251" s="91"/>
      <c r="H251" s="91"/>
      <c r="I251" s="91">
        <f>SUM(G251:H251)+'BM 007'!I251</f>
        <v>0</v>
      </c>
      <c r="J251" s="91">
        <f t="shared" si="113"/>
        <v>49.87</v>
      </c>
      <c r="K251" s="80">
        <v>170</v>
      </c>
      <c r="L251" s="81">
        <f t="shared" si="111"/>
        <v>215.49201870000002</v>
      </c>
      <c r="M251" s="82">
        <f t="shared" si="122"/>
        <v>0</v>
      </c>
      <c r="N251" s="82">
        <f t="shared" si="123"/>
        <v>0</v>
      </c>
      <c r="O251" s="82">
        <f>N251+'BM 007'!O251</f>
        <v>0</v>
      </c>
      <c r="P251" s="80">
        <f t="shared" si="124"/>
        <v>8477.9</v>
      </c>
      <c r="Q251" s="82">
        <f t="shared" si="125"/>
        <v>10746.58</v>
      </c>
      <c r="R251" s="82">
        <f t="shared" si="126"/>
        <v>10746.58</v>
      </c>
    </row>
    <row r="252" spans="2:20" s="34" customFormat="1" ht="46.2">
      <c r="B252" s="87" t="s">
        <v>497</v>
      </c>
      <c r="C252" s="88" t="s">
        <v>498</v>
      </c>
      <c r="D252" s="89" t="s">
        <v>82</v>
      </c>
      <c r="E252" s="90">
        <v>149.6</v>
      </c>
      <c r="F252" s="91"/>
      <c r="G252" s="91"/>
      <c r="H252" s="91"/>
      <c r="I252" s="91">
        <f>SUM(G252:H252)+'BM 007'!I252</f>
        <v>0</v>
      </c>
      <c r="J252" s="91">
        <f t="shared" si="113"/>
        <v>149.6</v>
      </c>
      <c r="K252" s="80">
        <v>290</v>
      </c>
      <c r="L252" s="81">
        <f t="shared" si="111"/>
        <v>367.6040319</v>
      </c>
      <c r="M252" s="82">
        <f t="shared" si="122"/>
        <v>0</v>
      </c>
      <c r="N252" s="82">
        <f t="shared" si="123"/>
        <v>0</v>
      </c>
      <c r="O252" s="82">
        <f>N252+'BM 007'!O252</f>
        <v>0</v>
      </c>
      <c r="P252" s="80">
        <f t="shared" si="124"/>
        <v>43384</v>
      </c>
      <c r="Q252" s="82">
        <f t="shared" si="125"/>
        <v>54993.56</v>
      </c>
      <c r="R252" s="82">
        <f t="shared" si="126"/>
        <v>54993.56</v>
      </c>
    </row>
    <row r="253" spans="2:20" s="34" customFormat="1" ht="23.4">
      <c r="B253" s="87" t="s">
        <v>499</v>
      </c>
      <c r="C253" s="88" t="s">
        <v>500</v>
      </c>
      <c r="D253" s="89" t="s">
        <v>82</v>
      </c>
      <c r="E253" s="90">
        <v>4482.08</v>
      </c>
      <c r="F253" s="91"/>
      <c r="G253" s="91"/>
      <c r="H253" s="91"/>
      <c r="I253" s="91">
        <f>SUM(G253:H253)+'BM 007'!I253</f>
        <v>0</v>
      </c>
      <c r="J253" s="91">
        <f t="shared" si="113"/>
        <v>4482.08</v>
      </c>
      <c r="K253" s="80">
        <v>9</v>
      </c>
      <c r="L253" s="81">
        <f t="shared" si="111"/>
        <v>11.408400990000001</v>
      </c>
      <c r="M253" s="82">
        <f t="shared" si="122"/>
        <v>0</v>
      </c>
      <c r="N253" s="82">
        <f t="shared" si="123"/>
        <v>0</v>
      </c>
      <c r="O253" s="82">
        <f>N253+'BM 007'!O253</f>
        <v>0</v>
      </c>
      <c r="P253" s="80">
        <f t="shared" si="124"/>
        <v>40338.720000000001</v>
      </c>
      <c r="Q253" s="82">
        <f t="shared" si="125"/>
        <v>51133.36</v>
      </c>
      <c r="R253" s="82">
        <f t="shared" si="126"/>
        <v>51133.36</v>
      </c>
    </row>
    <row r="254" spans="2:20" s="34" customFormat="1" ht="23.4">
      <c r="B254" s="87" t="s">
        <v>501</v>
      </c>
      <c r="C254" s="88" t="s">
        <v>502</v>
      </c>
      <c r="D254" s="89" t="s">
        <v>82</v>
      </c>
      <c r="E254" s="90">
        <v>3350.7979999999998</v>
      </c>
      <c r="F254" s="91"/>
      <c r="G254" s="91"/>
      <c r="H254" s="91"/>
      <c r="I254" s="91">
        <f>SUM(G254:H254)+'BM 007'!I254</f>
        <v>0</v>
      </c>
      <c r="J254" s="91">
        <f t="shared" si="113"/>
        <v>3350.7979999999998</v>
      </c>
      <c r="K254" s="80">
        <v>11</v>
      </c>
      <c r="L254" s="81">
        <f t="shared" si="111"/>
        <v>13.943601210000001</v>
      </c>
      <c r="M254" s="82">
        <f t="shared" si="122"/>
        <v>0</v>
      </c>
      <c r="N254" s="82">
        <f t="shared" si="123"/>
        <v>0</v>
      </c>
      <c r="O254" s="82">
        <f>N254+'BM 007'!O254</f>
        <v>0</v>
      </c>
      <c r="P254" s="80">
        <f t="shared" si="124"/>
        <v>36858.777999999998</v>
      </c>
      <c r="Q254" s="82">
        <f t="shared" si="125"/>
        <v>46722.19</v>
      </c>
      <c r="R254" s="82">
        <f t="shared" si="126"/>
        <v>46722.19</v>
      </c>
    </row>
    <row r="255" spans="2:20" s="34" customFormat="1" ht="13.2">
      <c r="B255" s="66" t="s">
        <v>503</v>
      </c>
      <c r="C255" s="67" t="s">
        <v>504</v>
      </c>
      <c r="D255" s="68"/>
      <c r="E255" s="69"/>
      <c r="F255" s="70"/>
      <c r="G255" s="70"/>
      <c r="H255" s="70"/>
      <c r="I255" s="70">
        <f>SUM(G255:H255)+'BM 007'!I255</f>
        <v>0</v>
      </c>
      <c r="J255" s="70">
        <f t="shared" si="113"/>
        <v>0</v>
      </c>
      <c r="K255" s="71"/>
      <c r="L255" s="71">
        <f t="shared" si="111"/>
        <v>0</v>
      </c>
      <c r="M255" s="73">
        <f t="shared" ref="M255:R255" si="127">SUM(M256:M290)</f>
        <v>0</v>
      </c>
      <c r="N255" s="73">
        <f t="shared" si="127"/>
        <v>0</v>
      </c>
      <c r="O255" s="73">
        <f t="shared" si="127"/>
        <v>0</v>
      </c>
      <c r="P255" s="73">
        <f t="shared" si="127"/>
        <v>65111</v>
      </c>
      <c r="Q255" s="73">
        <f t="shared" si="127"/>
        <v>82534.59</v>
      </c>
      <c r="R255" s="73">
        <f t="shared" si="127"/>
        <v>82534.59</v>
      </c>
    </row>
    <row r="256" spans="2:20" s="34" customFormat="1" ht="46.2">
      <c r="B256" s="87" t="s">
        <v>505</v>
      </c>
      <c r="C256" s="88" t="s">
        <v>506</v>
      </c>
      <c r="D256" s="89" t="s">
        <v>131</v>
      </c>
      <c r="E256" s="90">
        <v>3</v>
      </c>
      <c r="F256" s="91"/>
      <c r="G256" s="91"/>
      <c r="H256" s="91"/>
      <c r="I256" s="91">
        <f>SUM(G256:H256)+'BM 007'!I256</f>
        <v>0</v>
      </c>
      <c r="J256" s="91">
        <f t="shared" si="113"/>
        <v>3</v>
      </c>
      <c r="K256" s="80">
        <v>1080</v>
      </c>
      <c r="L256" s="81">
        <f t="shared" si="111"/>
        <v>1369.0081188000001</v>
      </c>
      <c r="M256" s="82">
        <f t="shared" ref="M256:M290" si="128">TRUNC(F256*L256,2)</f>
        <v>0</v>
      </c>
      <c r="N256" s="82">
        <f t="shared" ref="N256:N290" si="129">TRUNC(G256*L256,2)</f>
        <v>0</v>
      </c>
      <c r="O256" s="82">
        <f>N256+'BM 007'!O256</f>
        <v>0</v>
      </c>
      <c r="P256" s="80">
        <f t="shared" ref="P256:P290" si="130">E256*K256</f>
        <v>3240</v>
      </c>
      <c r="Q256" s="82">
        <f t="shared" ref="Q256:Q290" si="131">TRUNC(E256*L256,2)</f>
        <v>4107.0200000000004</v>
      </c>
      <c r="R256" s="82">
        <f t="shared" ref="R256:R290" si="132">Q256-O256</f>
        <v>4107.0200000000004</v>
      </c>
    </row>
    <row r="257" spans="2:18" s="34" customFormat="1" ht="46.2">
      <c r="B257" s="87" t="s">
        <v>507</v>
      </c>
      <c r="C257" s="88" t="s">
        <v>508</v>
      </c>
      <c r="D257" s="89" t="s">
        <v>131</v>
      </c>
      <c r="E257" s="90">
        <v>1</v>
      </c>
      <c r="F257" s="91"/>
      <c r="G257" s="91"/>
      <c r="H257" s="91"/>
      <c r="I257" s="91">
        <f>SUM(G257:H257)+'BM 007'!I257</f>
        <v>0</v>
      </c>
      <c r="J257" s="91">
        <f t="shared" si="113"/>
        <v>1</v>
      </c>
      <c r="K257" s="80">
        <v>1200</v>
      </c>
      <c r="L257" s="81">
        <f t="shared" si="111"/>
        <v>1521.120132</v>
      </c>
      <c r="M257" s="82">
        <f t="shared" si="128"/>
        <v>0</v>
      </c>
      <c r="N257" s="82">
        <f t="shared" si="129"/>
        <v>0</v>
      </c>
      <c r="O257" s="82">
        <f>N257+'BM 007'!O257</f>
        <v>0</v>
      </c>
      <c r="P257" s="80">
        <f t="shared" si="130"/>
        <v>1200</v>
      </c>
      <c r="Q257" s="82">
        <f t="shared" si="131"/>
        <v>1521.12</v>
      </c>
      <c r="R257" s="82">
        <f t="shared" si="132"/>
        <v>1521.12</v>
      </c>
    </row>
    <row r="258" spans="2:18" s="34" customFormat="1" ht="46.2">
      <c r="B258" s="87" t="s">
        <v>509</v>
      </c>
      <c r="C258" s="88" t="s">
        <v>510</v>
      </c>
      <c r="D258" s="89" t="s">
        <v>131</v>
      </c>
      <c r="E258" s="90">
        <v>4</v>
      </c>
      <c r="F258" s="91"/>
      <c r="G258" s="91"/>
      <c r="H258" s="91"/>
      <c r="I258" s="91">
        <f>SUM(G258:H258)+'BM 007'!I258</f>
        <v>0</v>
      </c>
      <c r="J258" s="91">
        <f t="shared" si="113"/>
        <v>4</v>
      </c>
      <c r="K258" s="80">
        <v>1890</v>
      </c>
      <c r="L258" s="81">
        <f t="shared" si="111"/>
        <v>2395.7642079000002</v>
      </c>
      <c r="M258" s="82">
        <f t="shared" si="128"/>
        <v>0</v>
      </c>
      <c r="N258" s="82">
        <f t="shared" si="129"/>
        <v>0</v>
      </c>
      <c r="O258" s="82">
        <f>N258+'BM 007'!O258</f>
        <v>0</v>
      </c>
      <c r="P258" s="80">
        <f t="shared" si="130"/>
        <v>7560</v>
      </c>
      <c r="Q258" s="82">
        <f t="shared" si="131"/>
        <v>9583.0499999999993</v>
      </c>
      <c r="R258" s="82">
        <f t="shared" si="132"/>
        <v>9583.0499999999993</v>
      </c>
    </row>
    <row r="259" spans="2:18" s="34" customFormat="1" ht="34.799999999999997">
      <c r="B259" s="87" t="s">
        <v>511</v>
      </c>
      <c r="C259" s="88" t="s">
        <v>512</v>
      </c>
      <c r="D259" s="89" t="s">
        <v>131</v>
      </c>
      <c r="E259" s="90">
        <v>19</v>
      </c>
      <c r="F259" s="91"/>
      <c r="G259" s="91"/>
      <c r="H259" s="91"/>
      <c r="I259" s="91">
        <f>SUM(G259:H259)+'BM 007'!I259</f>
        <v>0</v>
      </c>
      <c r="J259" s="91">
        <f t="shared" si="113"/>
        <v>19</v>
      </c>
      <c r="K259" s="80">
        <v>1000</v>
      </c>
      <c r="L259" s="81">
        <f t="shared" si="111"/>
        <v>1267.6001100000001</v>
      </c>
      <c r="M259" s="82">
        <f t="shared" si="128"/>
        <v>0</v>
      </c>
      <c r="N259" s="82">
        <f t="shared" si="129"/>
        <v>0</v>
      </c>
      <c r="O259" s="82">
        <f>N259+'BM 007'!O259</f>
        <v>0</v>
      </c>
      <c r="P259" s="80">
        <f t="shared" si="130"/>
        <v>19000</v>
      </c>
      <c r="Q259" s="82">
        <f t="shared" si="131"/>
        <v>24084.400000000001</v>
      </c>
      <c r="R259" s="82">
        <f t="shared" si="132"/>
        <v>24084.400000000001</v>
      </c>
    </row>
    <row r="260" spans="2:18" s="34" customFormat="1" ht="34.799999999999997">
      <c r="B260" s="87" t="s">
        <v>513</v>
      </c>
      <c r="C260" s="88" t="s">
        <v>514</v>
      </c>
      <c r="D260" s="89" t="s">
        <v>131</v>
      </c>
      <c r="E260" s="90">
        <v>2</v>
      </c>
      <c r="F260" s="91"/>
      <c r="G260" s="91"/>
      <c r="H260" s="91"/>
      <c r="I260" s="91">
        <f>SUM(G260:H260)+'BM 007'!I260</f>
        <v>0</v>
      </c>
      <c r="J260" s="91">
        <f t="shared" si="113"/>
        <v>2</v>
      </c>
      <c r="K260" s="80">
        <v>1400</v>
      </c>
      <c r="L260" s="81">
        <f t="shared" si="111"/>
        <v>1774.6401540000002</v>
      </c>
      <c r="M260" s="82">
        <f t="shared" si="128"/>
        <v>0</v>
      </c>
      <c r="N260" s="82">
        <f t="shared" si="129"/>
        <v>0</v>
      </c>
      <c r="O260" s="82">
        <f>N260+'BM 007'!O260</f>
        <v>0</v>
      </c>
      <c r="P260" s="80">
        <f t="shared" si="130"/>
        <v>2800</v>
      </c>
      <c r="Q260" s="82">
        <f t="shared" si="131"/>
        <v>3549.28</v>
      </c>
      <c r="R260" s="82">
        <f t="shared" si="132"/>
        <v>3549.28</v>
      </c>
    </row>
    <row r="261" spans="2:18" s="34" customFormat="1" ht="23.4">
      <c r="B261" s="87" t="s">
        <v>515</v>
      </c>
      <c r="C261" s="88" t="s">
        <v>516</v>
      </c>
      <c r="D261" s="89" t="s">
        <v>131</v>
      </c>
      <c r="E261" s="90">
        <v>2</v>
      </c>
      <c r="F261" s="91"/>
      <c r="G261" s="91"/>
      <c r="H261" s="91"/>
      <c r="I261" s="91">
        <f>SUM(G261:H261)+'BM 007'!I261</f>
        <v>0</v>
      </c>
      <c r="J261" s="91">
        <f t="shared" si="113"/>
        <v>2</v>
      </c>
      <c r="K261" s="80">
        <v>800</v>
      </c>
      <c r="L261" s="81">
        <f t="shared" si="111"/>
        <v>1014.080088</v>
      </c>
      <c r="M261" s="82">
        <f t="shared" si="128"/>
        <v>0</v>
      </c>
      <c r="N261" s="82">
        <f t="shared" si="129"/>
        <v>0</v>
      </c>
      <c r="O261" s="82">
        <f>N261+'BM 007'!O261</f>
        <v>0</v>
      </c>
      <c r="P261" s="80">
        <f t="shared" si="130"/>
        <v>1600</v>
      </c>
      <c r="Q261" s="82">
        <f t="shared" si="131"/>
        <v>2028.16</v>
      </c>
      <c r="R261" s="82">
        <f t="shared" si="132"/>
        <v>2028.16</v>
      </c>
    </row>
    <row r="262" spans="2:18" s="34" customFormat="1" ht="23.4">
      <c r="B262" s="87" t="s">
        <v>517</v>
      </c>
      <c r="C262" s="88" t="s">
        <v>518</v>
      </c>
      <c r="D262" s="89" t="s">
        <v>131</v>
      </c>
      <c r="E262" s="90">
        <v>1</v>
      </c>
      <c r="F262" s="91"/>
      <c r="G262" s="91"/>
      <c r="H262" s="91"/>
      <c r="I262" s="91">
        <f>SUM(G262:H262)+'BM 007'!I262</f>
        <v>0</v>
      </c>
      <c r="J262" s="91">
        <f t="shared" si="113"/>
        <v>1</v>
      </c>
      <c r="K262" s="80">
        <v>1200</v>
      </c>
      <c r="L262" s="81">
        <f t="shared" si="111"/>
        <v>1521.120132</v>
      </c>
      <c r="M262" s="82">
        <f t="shared" si="128"/>
        <v>0</v>
      </c>
      <c r="N262" s="82">
        <f t="shared" si="129"/>
        <v>0</v>
      </c>
      <c r="O262" s="82">
        <f>N262+'BM 007'!O262</f>
        <v>0</v>
      </c>
      <c r="P262" s="80">
        <f t="shared" si="130"/>
        <v>1200</v>
      </c>
      <c r="Q262" s="82">
        <f t="shared" si="131"/>
        <v>1521.12</v>
      </c>
      <c r="R262" s="82">
        <f t="shared" si="132"/>
        <v>1521.12</v>
      </c>
    </row>
    <row r="263" spans="2:18" s="34" customFormat="1" ht="23.4">
      <c r="B263" s="87" t="s">
        <v>519</v>
      </c>
      <c r="C263" s="88" t="s">
        <v>520</v>
      </c>
      <c r="D263" s="89" t="s">
        <v>131</v>
      </c>
      <c r="E263" s="90">
        <v>2</v>
      </c>
      <c r="F263" s="91"/>
      <c r="G263" s="91"/>
      <c r="H263" s="91"/>
      <c r="I263" s="91">
        <f>SUM(G263:H263)+'BM 007'!I263</f>
        <v>0</v>
      </c>
      <c r="J263" s="91">
        <f t="shared" si="113"/>
        <v>2</v>
      </c>
      <c r="K263" s="80">
        <v>2100</v>
      </c>
      <c r="L263" s="81">
        <f t="shared" si="111"/>
        <v>2661.960231</v>
      </c>
      <c r="M263" s="82">
        <f t="shared" si="128"/>
        <v>0</v>
      </c>
      <c r="N263" s="82">
        <f t="shared" si="129"/>
        <v>0</v>
      </c>
      <c r="O263" s="82">
        <f>N263+'BM 007'!O263</f>
        <v>0</v>
      </c>
      <c r="P263" s="80">
        <f t="shared" si="130"/>
        <v>4200</v>
      </c>
      <c r="Q263" s="82">
        <f t="shared" si="131"/>
        <v>5323.92</v>
      </c>
      <c r="R263" s="82">
        <f t="shared" si="132"/>
        <v>5323.92</v>
      </c>
    </row>
    <row r="264" spans="2:18" s="34" customFormat="1" ht="34.799999999999997">
      <c r="B264" s="87" t="s">
        <v>521</v>
      </c>
      <c r="C264" s="88" t="s">
        <v>522</v>
      </c>
      <c r="D264" s="89" t="s">
        <v>131</v>
      </c>
      <c r="E264" s="90">
        <v>16</v>
      </c>
      <c r="F264" s="91"/>
      <c r="G264" s="91"/>
      <c r="H264" s="91"/>
      <c r="I264" s="91">
        <f>SUM(G264:H264)+'BM 007'!I264</f>
        <v>0</v>
      </c>
      <c r="J264" s="91">
        <f t="shared" si="113"/>
        <v>16</v>
      </c>
      <c r="K264" s="80">
        <v>180</v>
      </c>
      <c r="L264" s="81">
        <f t="shared" si="111"/>
        <v>228.16801980000002</v>
      </c>
      <c r="M264" s="82">
        <f t="shared" si="128"/>
        <v>0</v>
      </c>
      <c r="N264" s="82">
        <f t="shared" si="129"/>
        <v>0</v>
      </c>
      <c r="O264" s="82">
        <f>N264+'BM 007'!O264</f>
        <v>0</v>
      </c>
      <c r="P264" s="80">
        <f t="shared" si="130"/>
        <v>2880</v>
      </c>
      <c r="Q264" s="82">
        <f t="shared" si="131"/>
        <v>3650.68</v>
      </c>
      <c r="R264" s="82">
        <f t="shared" si="132"/>
        <v>3650.68</v>
      </c>
    </row>
    <row r="265" spans="2:18" s="34" customFormat="1" ht="34.799999999999997">
      <c r="B265" s="87" t="s">
        <v>523</v>
      </c>
      <c r="C265" s="88" t="s">
        <v>524</v>
      </c>
      <c r="D265" s="89" t="s">
        <v>131</v>
      </c>
      <c r="E265" s="90">
        <v>8</v>
      </c>
      <c r="F265" s="91"/>
      <c r="G265" s="91"/>
      <c r="H265" s="91"/>
      <c r="I265" s="91">
        <f>SUM(G265:H265)+'BM 007'!I265</f>
        <v>0</v>
      </c>
      <c r="J265" s="91">
        <f t="shared" si="113"/>
        <v>8</v>
      </c>
      <c r="K265" s="80">
        <v>260</v>
      </c>
      <c r="L265" s="81">
        <f t="shared" si="111"/>
        <v>329.57602860000003</v>
      </c>
      <c r="M265" s="82">
        <f t="shared" si="128"/>
        <v>0</v>
      </c>
      <c r="N265" s="82">
        <f t="shared" si="129"/>
        <v>0</v>
      </c>
      <c r="O265" s="82">
        <f>N265+'BM 007'!O265</f>
        <v>0</v>
      </c>
      <c r="P265" s="80">
        <f t="shared" si="130"/>
        <v>2080</v>
      </c>
      <c r="Q265" s="82">
        <f t="shared" si="131"/>
        <v>2636.6</v>
      </c>
      <c r="R265" s="82">
        <f t="shared" si="132"/>
        <v>2636.6</v>
      </c>
    </row>
    <row r="266" spans="2:18" s="34" customFormat="1" ht="23.4">
      <c r="B266" s="87" t="s">
        <v>525</v>
      </c>
      <c r="C266" s="88" t="s">
        <v>526</v>
      </c>
      <c r="D266" s="89" t="s">
        <v>131</v>
      </c>
      <c r="E266" s="90">
        <v>1</v>
      </c>
      <c r="F266" s="91"/>
      <c r="G266" s="91"/>
      <c r="H266" s="91"/>
      <c r="I266" s="91">
        <f>SUM(G266:H266)+'BM 007'!I266</f>
        <v>0</v>
      </c>
      <c r="J266" s="91">
        <f t="shared" si="113"/>
        <v>1</v>
      </c>
      <c r="K266" s="80">
        <v>180</v>
      </c>
      <c r="L266" s="81">
        <f t="shared" si="111"/>
        <v>228.16801980000002</v>
      </c>
      <c r="M266" s="82">
        <f t="shared" si="128"/>
        <v>0</v>
      </c>
      <c r="N266" s="82">
        <f t="shared" si="129"/>
        <v>0</v>
      </c>
      <c r="O266" s="82">
        <f>N266+'BM 007'!O266</f>
        <v>0</v>
      </c>
      <c r="P266" s="80">
        <f t="shared" si="130"/>
        <v>180</v>
      </c>
      <c r="Q266" s="82">
        <f t="shared" si="131"/>
        <v>228.16</v>
      </c>
      <c r="R266" s="82">
        <f t="shared" si="132"/>
        <v>228.16</v>
      </c>
    </row>
    <row r="267" spans="2:18" s="34" customFormat="1" ht="23.4">
      <c r="B267" s="87" t="s">
        <v>527</v>
      </c>
      <c r="C267" s="88" t="s">
        <v>528</v>
      </c>
      <c r="D267" s="89" t="s">
        <v>131</v>
      </c>
      <c r="E267" s="90">
        <v>4</v>
      </c>
      <c r="F267" s="91"/>
      <c r="G267" s="91"/>
      <c r="H267" s="91"/>
      <c r="I267" s="91">
        <f>SUM(G267:H267)+'BM 007'!I267</f>
        <v>0</v>
      </c>
      <c r="J267" s="91">
        <f t="shared" si="113"/>
        <v>4</v>
      </c>
      <c r="K267" s="80">
        <v>180</v>
      </c>
      <c r="L267" s="81">
        <f t="shared" si="111"/>
        <v>228.16801980000002</v>
      </c>
      <c r="M267" s="82">
        <f t="shared" si="128"/>
        <v>0</v>
      </c>
      <c r="N267" s="82">
        <f t="shared" si="129"/>
        <v>0</v>
      </c>
      <c r="O267" s="82">
        <f>N267+'BM 007'!O267</f>
        <v>0</v>
      </c>
      <c r="P267" s="80">
        <f t="shared" si="130"/>
        <v>720</v>
      </c>
      <c r="Q267" s="82">
        <f t="shared" si="131"/>
        <v>912.67</v>
      </c>
      <c r="R267" s="82">
        <f t="shared" si="132"/>
        <v>912.67</v>
      </c>
    </row>
    <row r="268" spans="2:18" s="34" customFormat="1" ht="23.4">
      <c r="B268" s="87" t="s">
        <v>529</v>
      </c>
      <c r="C268" s="88" t="s">
        <v>530</v>
      </c>
      <c r="D268" s="89" t="s">
        <v>131</v>
      </c>
      <c r="E268" s="90">
        <v>11</v>
      </c>
      <c r="F268" s="91"/>
      <c r="G268" s="91"/>
      <c r="H268" s="91"/>
      <c r="I268" s="91">
        <f>SUM(G268:H268)+'BM 007'!I268</f>
        <v>0</v>
      </c>
      <c r="J268" s="91">
        <f t="shared" si="113"/>
        <v>11</v>
      </c>
      <c r="K268" s="80">
        <v>280</v>
      </c>
      <c r="L268" s="81">
        <f t="shared" si="111"/>
        <v>354.92803079999999</v>
      </c>
      <c r="M268" s="82">
        <f t="shared" si="128"/>
        <v>0</v>
      </c>
      <c r="N268" s="82">
        <f t="shared" si="129"/>
        <v>0</v>
      </c>
      <c r="O268" s="82">
        <f>N268+'BM 007'!O268</f>
        <v>0</v>
      </c>
      <c r="P268" s="80">
        <f t="shared" si="130"/>
        <v>3080</v>
      </c>
      <c r="Q268" s="82">
        <f t="shared" si="131"/>
        <v>3904.2</v>
      </c>
      <c r="R268" s="82">
        <f t="shared" si="132"/>
        <v>3904.2</v>
      </c>
    </row>
    <row r="269" spans="2:18" s="34" customFormat="1" ht="23.4">
      <c r="B269" s="87" t="s">
        <v>531</v>
      </c>
      <c r="C269" s="88" t="s">
        <v>532</v>
      </c>
      <c r="D269" s="89" t="s">
        <v>131</v>
      </c>
      <c r="E269" s="90">
        <v>4</v>
      </c>
      <c r="F269" s="91"/>
      <c r="G269" s="91"/>
      <c r="H269" s="91"/>
      <c r="I269" s="91">
        <f>SUM(G269:H269)+'BM 007'!I269</f>
        <v>0</v>
      </c>
      <c r="J269" s="91">
        <f t="shared" si="113"/>
        <v>4</v>
      </c>
      <c r="K269" s="80">
        <v>380</v>
      </c>
      <c r="L269" s="81">
        <f t="shared" si="111"/>
        <v>481.68804180000001</v>
      </c>
      <c r="M269" s="82">
        <f t="shared" si="128"/>
        <v>0</v>
      </c>
      <c r="N269" s="82">
        <f t="shared" si="129"/>
        <v>0</v>
      </c>
      <c r="O269" s="82">
        <f>N269+'BM 007'!O269</f>
        <v>0</v>
      </c>
      <c r="P269" s="80">
        <f t="shared" si="130"/>
        <v>1520</v>
      </c>
      <c r="Q269" s="82">
        <f t="shared" si="131"/>
        <v>1926.75</v>
      </c>
      <c r="R269" s="82">
        <f t="shared" si="132"/>
        <v>1926.75</v>
      </c>
    </row>
    <row r="270" spans="2:18" s="34" customFormat="1" ht="23.4">
      <c r="B270" s="87" t="s">
        <v>533</v>
      </c>
      <c r="C270" s="88" t="s">
        <v>534</v>
      </c>
      <c r="D270" s="89" t="s">
        <v>131</v>
      </c>
      <c r="E270" s="90">
        <v>1</v>
      </c>
      <c r="F270" s="91"/>
      <c r="G270" s="91"/>
      <c r="H270" s="91"/>
      <c r="I270" s="91">
        <f>SUM(G270:H270)+'BM 007'!I270</f>
        <v>0</v>
      </c>
      <c r="J270" s="91">
        <f t="shared" si="113"/>
        <v>1</v>
      </c>
      <c r="K270" s="80">
        <v>600</v>
      </c>
      <c r="L270" s="81">
        <f t="shared" si="111"/>
        <v>760.56006600000001</v>
      </c>
      <c r="M270" s="82">
        <f t="shared" si="128"/>
        <v>0</v>
      </c>
      <c r="N270" s="82">
        <f t="shared" si="129"/>
        <v>0</v>
      </c>
      <c r="O270" s="82">
        <f>N270+'BM 007'!O270</f>
        <v>0</v>
      </c>
      <c r="P270" s="80">
        <f t="shared" si="130"/>
        <v>600</v>
      </c>
      <c r="Q270" s="82">
        <f t="shared" si="131"/>
        <v>760.56</v>
      </c>
      <c r="R270" s="82">
        <f t="shared" si="132"/>
        <v>760.56</v>
      </c>
    </row>
    <row r="271" spans="2:18" s="34" customFormat="1" ht="13.2">
      <c r="B271" s="87" t="s">
        <v>535</v>
      </c>
      <c r="C271" s="88" t="s">
        <v>536</v>
      </c>
      <c r="D271" s="89" t="s">
        <v>131</v>
      </c>
      <c r="E271" s="90">
        <v>1</v>
      </c>
      <c r="F271" s="91"/>
      <c r="G271" s="91"/>
      <c r="H271" s="91"/>
      <c r="I271" s="91">
        <f>SUM(G271:H271)+'BM 007'!I271</f>
        <v>0</v>
      </c>
      <c r="J271" s="91">
        <f t="shared" si="113"/>
        <v>1</v>
      </c>
      <c r="K271" s="80">
        <v>350</v>
      </c>
      <c r="L271" s="81">
        <f t="shared" si="111"/>
        <v>443.66003850000004</v>
      </c>
      <c r="M271" s="82">
        <f t="shared" si="128"/>
        <v>0</v>
      </c>
      <c r="N271" s="82">
        <f t="shared" si="129"/>
        <v>0</v>
      </c>
      <c r="O271" s="82">
        <f>N271+'BM 007'!O271</f>
        <v>0</v>
      </c>
      <c r="P271" s="80">
        <f t="shared" si="130"/>
        <v>350</v>
      </c>
      <c r="Q271" s="82">
        <f t="shared" si="131"/>
        <v>443.66</v>
      </c>
      <c r="R271" s="82">
        <f t="shared" si="132"/>
        <v>443.66</v>
      </c>
    </row>
    <row r="272" spans="2:18" s="34" customFormat="1" ht="13.2">
      <c r="B272" s="87" t="s">
        <v>537</v>
      </c>
      <c r="C272" s="88" t="s">
        <v>538</v>
      </c>
      <c r="D272" s="89" t="s">
        <v>131</v>
      </c>
      <c r="E272" s="90">
        <v>6</v>
      </c>
      <c r="F272" s="91"/>
      <c r="G272" s="91"/>
      <c r="H272" s="91"/>
      <c r="I272" s="91">
        <f>SUM(G272:H272)+'BM 007'!I272</f>
        <v>0</v>
      </c>
      <c r="J272" s="91">
        <f t="shared" si="113"/>
        <v>6</v>
      </c>
      <c r="K272" s="80">
        <v>450</v>
      </c>
      <c r="L272" s="81">
        <f t="shared" si="111"/>
        <v>570.4200495</v>
      </c>
      <c r="M272" s="82">
        <f t="shared" si="128"/>
        <v>0</v>
      </c>
      <c r="N272" s="82">
        <f t="shared" si="129"/>
        <v>0</v>
      </c>
      <c r="O272" s="82">
        <f>N272+'BM 007'!O272</f>
        <v>0</v>
      </c>
      <c r="P272" s="80">
        <f t="shared" si="130"/>
        <v>2700</v>
      </c>
      <c r="Q272" s="82">
        <f t="shared" si="131"/>
        <v>3422.52</v>
      </c>
      <c r="R272" s="82">
        <f t="shared" si="132"/>
        <v>3422.52</v>
      </c>
    </row>
    <row r="273" spans="2:18" s="34" customFormat="1" ht="23.4">
      <c r="B273" s="87" t="s">
        <v>539</v>
      </c>
      <c r="C273" s="88" t="s">
        <v>540</v>
      </c>
      <c r="D273" s="89" t="s">
        <v>131</v>
      </c>
      <c r="E273" s="90">
        <v>1</v>
      </c>
      <c r="F273" s="91"/>
      <c r="G273" s="91"/>
      <c r="H273" s="91"/>
      <c r="I273" s="91">
        <f>SUM(G273:H273)+'BM 007'!I273</f>
        <v>0</v>
      </c>
      <c r="J273" s="91">
        <f t="shared" si="113"/>
        <v>1</v>
      </c>
      <c r="K273" s="80">
        <v>750</v>
      </c>
      <c r="L273" s="81">
        <f t="shared" si="111"/>
        <v>950.70008250000001</v>
      </c>
      <c r="M273" s="82">
        <f t="shared" si="128"/>
        <v>0</v>
      </c>
      <c r="N273" s="82">
        <f t="shared" si="129"/>
        <v>0</v>
      </c>
      <c r="O273" s="82">
        <f>N273+'BM 007'!O273</f>
        <v>0</v>
      </c>
      <c r="P273" s="80">
        <f t="shared" si="130"/>
        <v>750</v>
      </c>
      <c r="Q273" s="82">
        <f t="shared" si="131"/>
        <v>950.7</v>
      </c>
      <c r="R273" s="82">
        <f t="shared" si="132"/>
        <v>950.7</v>
      </c>
    </row>
    <row r="274" spans="2:18" s="34" customFormat="1" ht="34.799999999999997">
      <c r="B274" s="87" t="s">
        <v>541</v>
      </c>
      <c r="C274" s="88" t="s">
        <v>542</v>
      </c>
      <c r="D274" s="89" t="s">
        <v>131</v>
      </c>
      <c r="E274" s="90">
        <v>7</v>
      </c>
      <c r="F274" s="91"/>
      <c r="G274" s="91"/>
      <c r="H274" s="91"/>
      <c r="I274" s="91">
        <f>SUM(G274:H274)+'BM 007'!I274</f>
        <v>0</v>
      </c>
      <c r="J274" s="91">
        <f t="shared" si="113"/>
        <v>7</v>
      </c>
      <c r="K274" s="80">
        <v>20</v>
      </c>
      <c r="L274" s="81">
        <f t="shared" si="111"/>
        <v>25.352002200000001</v>
      </c>
      <c r="M274" s="82">
        <f t="shared" si="128"/>
        <v>0</v>
      </c>
      <c r="N274" s="82">
        <f t="shared" si="129"/>
        <v>0</v>
      </c>
      <c r="O274" s="82">
        <f>N274+'BM 007'!O274</f>
        <v>0</v>
      </c>
      <c r="P274" s="80">
        <f t="shared" si="130"/>
        <v>140</v>
      </c>
      <c r="Q274" s="82">
        <f t="shared" si="131"/>
        <v>177.46</v>
      </c>
      <c r="R274" s="82">
        <f t="shared" si="132"/>
        <v>177.46</v>
      </c>
    </row>
    <row r="275" spans="2:18" s="34" customFormat="1" ht="34.799999999999997">
      <c r="B275" s="87" t="s">
        <v>543</v>
      </c>
      <c r="C275" s="88" t="s">
        <v>544</v>
      </c>
      <c r="D275" s="89" t="s">
        <v>131</v>
      </c>
      <c r="E275" s="90">
        <v>17</v>
      </c>
      <c r="F275" s="91"/>
      <c r="G275" s="91"/>
      <c r="H275" s="91"/>
      <c r="I275" s="91">
        <f>SUM(G275:H275)+'BM 007'!I275</f>
        <v>0</v>
      </c>
      <c r="J275" s="91">
        <f t="shared" si="113"/>
        <v>17</v>
      </c>
      <c r="K275" s="80">
        <v>20</v>
      </c>
      <c r="L275" s="81">
        <f t="shared" si="111"/>
        <v>25.352002200000001</v>
      </c>
      <c r="M275" s="82">
        <f t="shared" si="128"/>
        <v>0</v>
      </c>
      <c r="N275" s="82">
        <f t="shared" si="129"/>
        <v>0</v>
      </c>
      <c r="O275" s="82">
        <f>N275+'BM 007'!O275</f>
        <v>0</v>
      </c>
      <c r="P275" s="80">
        <f t="shared" si="130"/>
        <v>340</v>
      </c>
      <c r="Q275" s="82">
        <f t="shared" si="131"/>
        <v>430.98</v>
      </c>
      <c r="R275" s="82">
        <f t="shared" si="132"/>
        <v>430.98</v>
      </c>
    </row>
    <row r="276" spans="2:18" s="34" customFormat="1" ht="34.799999999999997">
      <c r="B276" s="87" t="s">
        <v>545</v>
      </c>
      <c r="C276" s="88" t="s">
        <v>546</v>
      </c>
      <c r="D276" s="89" t="s">
        <v>131</v>
      </c>
      <c r="E276" s="90">
        <v>71</v>
      </c>
      <c r="F276" s="91"/>
      <c r="G276" s="91"/>
      <c r="H276" s="91"/>
      <c r="I276" s="91">
        <f>SUM(G276:H276)+'BM 007'!I276</f>
        <v>0</v>
      </c>
      <c r="J276" s="91">
        <f t="shared" si="113"/>
        <v>71</v>
      </c>
      <c r="K276" s="80">
        <v>20</v>
      </c>
      <c r="L276" s="81">
        <f t="shared" si="111"/>
        <v>25.352002200000001</v>
      </c>
      <c r="M276" s="82">
        <f t="shared" si="128"/>
        <v>0</v>
      </c>
      <c r="N276" s="82">
        <f t="shared" si="129"/>
        <v>0</v>
      </c>
      <c r="O276" s="82">
        <f>N276+'BM 007'!O276</f>
        <v>0</v>
      </c>
      <c r="P276" s="80">
        <f t="shared" si="130"/>
        <v>1420</v>
      </c>
      <c r="Q276" s="82">
        <f t="shared" si="131"/>
        <v>1799.99</v>
      </c>
      <c r="R276" s="82">
        <f t="shared" si="132"/>
        <v>1799.99</v>
      </c>
    </row>
    <row r="277" spans="2:18" s="34" customFormat="1" ht="34.799999999999997">
      <c r="B277" s="87" t="s">
        <v>547</v>
      </c>
      <c r="C277" s="88" t="s">
        <v>548</v>
      </c>
      <c r="D277" s="89" t="s">
        <v>131</v>
      </c>
      <c r="E277" s="90">
        <v>179</v>
      </c>
      <c r="F277" s="91"/>
      <c r="G277" s="91"/>
      <c r="H277" s="91"/>
      <c r="I277" s="91">
        <f>SUM(G277:H277)+'BM 007'!I277</f>
        <v>0</v>
      </c>
      <c r="J277" s="91">
        <f t="shared" si="113"/>
        <v>179</v>
      </c>
      <c r="K277" s="80">
        <v>20</v>
      </c>
      <c r="L277" s="81">
        <f t="shared" si="111"/>
        <v>25.352002200000001</v>
      </c>
      <c r="M277" s="82">
        <f t="shared" si="128"/>
        <v>0</v>
      </c>
      <c r="N277" s="82">
        <f t="shared" si="129"/>
        <v>0</v>
      </c>
      <c r="O277" s="82">
        <f>N277+'BM 007'!O277</f>
        <v>0</v>
      </c>
      <c r="P277" s="80">
        <f t="shared" si="130"/>
        <v>3580</v>
      </c>
      <c r="Q277" s="82">
        <f t="shared" si="131"/>
        <v>4538</v>
      </c>
      <c r="R277" s="82">
        <f t="shared" si="132"/>
        <v>4538</v>
      </c>
    </row>
    <row r="278" spans="2:18" s="34" customFormat="1" ht="34.799999999999997">
      <c r="B278" s="87" t="s">
        <v>549</v>
      </c>
      <c r="C278" s="88" t="s">
        <v>550</v>
      </c>
      <c r="D278" s="89" t="s">
        <v>131</v>
      </c>
      <c r="E278" s="90">
        <v>1</v>
      </c>
      <c r="F278" s="91"/>
      <c r="G278" s="91"/>
      <c r="H278" s="91"/>
      <c r="I278" s="91">
        <f>SUM(G278:H278)+'BM 007'!I278</f>
        <v>0</v>
      </c>
      <c r="J278" s="91">
        <f t="shared" si="113"/>
        <v>1</v>
      </c>
      <c r="K278" s="80">
        <v>25</v>
      </c>
      <c r="L278" s="81">
        <f t="shared" si="111"/>
        <v>31.690002750000001</v>
      </c>
      <c r="M278" s="82">
        <f t="shared" si="128"/>
        <v>0</v>
      </c>
      <c r="N278" s="82">
        <f t="shared" si="129"/>
        <v>0</v>
      </c>
      <c r="O278" s="82">
        <f>N278+'BM 007'!O278</f>
        <v>0</v>
      </c>
      <c r="P278" s="80">
        <f t="shared" si="130"/>
        <v>25</v>
      </c>
      <c r="Q278" s="82">
        <f t="shared" si="131"/>
        <v>31.69</v>
      </c>
      <c r="R278" s="82">
        <f t="shared" si="132"/>
        <v>31.69</v>
      </c>
    </row>
    <row r="279" spans="2:18" s="34" customFormat="1" ht="34.799999999999997">
      <c r="B279" s="87" t="s">
        <v>551</v>
      </c>
      <c r="C279" s="88" t="s">
        <v>552</v>
      </c>
      <c r="D279" s="89" t="s">
        <v>131</v>
      </c>
      <c r="E279" s="90">
        <v>8</v>
      </c>
      <c r="F279" s="91"/>
      <c r="G279" s="91"/>
      <c r="H279" s="91"/>
      <c r="I279" s="91">
        <f>SUM(G279:H279)+'BM 007'!I279</f>
        <v>0</v>
      </c>
      <c r="J279" s="91">
        <f t="shared" si="113"/>
        <v>8</v>
      </c>
      <c r="K279" s="80">
        <v>25</v>
      </c>
      <c r="L279" s="81">
        <f t="shared" si="111"/>
        <v>31.690002750000001</v>
      </c>
      <c r="M279" s="82">
        <f t="shared" si="128"/>
        <v>0</v>
      </c>
      <c r="N279" s="82">
        <f t="shared" si="129"/>
        <v>0</v>
      </c>
      <c r="O279" s="82">
        <f>N279+'BM 007'!O279</f>
        <v>0</v>
      </c>
      <c r="P279" s="80">
        <f t="shared" si="130"/>
        <v>200</v>
      </c>
      <c r="Q279" s="82">
        <f t="shared" si="131"/>
        <v>253.52</v>
      </c>
      <c r="R279" s="82">
        <f t="shared" si="132"/>
        <v>253.52</v>
      </c>
    </row>
    <row r="280" spans="2:18" s="34" customFormat="1" ht="34.799999999999997">
      <c r="B280" s="87" t="s">
        <v>553</v>
      </c>
      <c r="C280" s="88" t="s">
        <v>554</v>
      </c>
      <c r="D280" s="89" t="s">
        <v>131</v>
      </c>
      <c r="E280" s="90">
        <v>14</v>
      </c>
      <c r="F280" s="91"/>
      <c r="G280" s="91"/>
      <c r="H280" s="91"/>
      <c r="I280" s="91">
        <f>SUM(G280:H280)+'BM 007'!I280</f>
        <v>0</v>
      </c>
      <c r="J280" s="91">
        <f t="shared" si="113"/>
        <v>14</v>
      </c>
      <c r="K280" s="80">
        <v>25</v>
      </c>
      <c r="L280" s="81">
        <f t="shared" si="111"/>
        <v>31.690002750000001</v>
      </c>
      <c r="M280" s="82">
        <f t="shared" si="128"/>
        <v>0</v>
      </c>
      <c r="N280" s="82">
        <f t="shared" si="129"/>
        <v>0</v>
      </c>
      <c r="O280" s="82">
        <f>N280+'BM 007'!O280</f>
        <v>0</v>
      </c>
      <c r="P280" s="80">
        <f t="shared" si="130"/>
        <v>350</v>
      </c>
      <c r="Q280" s="82">
        <f t="shared" si="131"/>
        <v>443.66</v>
      </c>
      <c r="R280" s="82">
        <f t="shared" si="132"/>
        <v>443.66</v>
      </c>
    </row>
    <row r="281" spans="2:18" s="34" customFormat="1" ht="34.799999999999997">
      <c r="B281" s="87" t="s">
        <v>555</v>
      </c>
      <c r="C281" s="88" t="s">
        <v>556</v>
      </c>
      <c r="D281" s="89" t="s">
        <v>131</v>
      </c>
      <c r="E281" s="90">
        <v>5</v>
      </c>
      <c r="F281" s="91"/>
      <c r="G281" s="91"/>
      <c r="H281" s="91"/>
      <c r="I281" s="91">
        <f>SUM(G281:H281)+'BM 007'!I281</f>
        <v>0</v>
      </c>
      <c r="J281" s="91">
        <f t="shared" si="113"/>
        <v>5</v>
      </c>
      <c r="K281" s="80">
        <v>30</v>
      </c>
      <c r="L281" s="81">
        <f t="shared" si="111"/>
        <v>38.028003300000002</v>
      </c>
      <c r="M281" s="82">
        <f t="shared" si="128"/>
        <v>0</v>
      </c>
      <c r="N281" s="82">
        <f t="shared" si="129"/>
        <v>0</v>
      </c>
      <c r="O281" s="82">
        <f>N281+'BM 007'!O281</f>
        <v>0</v>
      </c>
      <c r="P281" s="80">
        <f t="shared" si="130"/>
        <v>150</v>
      </c>
      <c r="Q281" s="82">
        <f t="shared" si="131"/>
        <v>190.14</v>
      </c>
      <c r="R281" s="82">
        <f t="shared" si="132"/>
        <v>190.14</v>
      </c>
    </row>
    <row r="282" spans="2:18" s="34" customFormat="1" ht="34.799999999999997">
      <c r="B282" s="87" t="s">
        <v>557</v>
      </c>
      <c r="C282" s="88" t="s">
        <v>558</v>
      </c>
      <c r="D282" s="89" t="s">
        <v>131</v>
      </c>
      <c r="E282" s="90">
        <v>4</v>
      </c>
      <c r="F282" s="91"/>
      <c r="G282" s="91"/>
      <c r="H282" s="91"/>
      <c r="I282" s="91">
        <f>SUM(G282:H282)+'BM 007'!I282</f>
        <v>0</v>
      </c>
      <c r="J282" s="91">
        <f t="shared" si="113"/>
        <v>4</v>
      </c>
      <c r="K282" s="80">
        <v>40</v>
      </c>
      <c r="L282" s="81">
        <f t="shared" si="111"/>
        <v>50.704004400000002</v>
      </c>
      <c r="M282" s="82">
        <f t="shared" si="128"/>
        <v>0</v>
      </c>
      <c r="N282" s="82">
        <f t="shared" si="129"/>
        <v>0</v>
      </c>
      <c r="O282" s="82">
        <f>N282+'BM 007'!O282</f>
        <v>0</v>
      </c>
      <c r="P282" s="80">
        <f t="shared" si="130"/>
        <v>160</v>
      </c>
      <c r="Q282" s="82">
        <f t="shared" si="131"/>
        <v>202.81</v>
      </c>
      <c r="R282" s="82">
        <f t="shared" si="132"/>
        <v>202.81</v>
      </c>
    </row>
    <row r="283" spans="2:18" s="34" customFormat="1" ht="34.799999999999997">
      <c r="B283" s="87" t="s">
        <v>559</v>
      </c>
      <c r="C283" s="88" t="s">
        <v>560</v>
      </c>
      <c r="D283" s="89" t="s">
        <v>131</v>
      </c>
      <c r="E283" s="90">
        <v>4</v>
      </c>
      <c r="F283" s="91"/>
      <c r="G283" s="91"/>
      <c r="H283" s="91"/>
      <c r="I283" s="91">
        <f>SUM(G283:H283)+'BM 007'!I283</f>
        <v>0</v>
      </c>
      <c r="J283" s="91">
        <f t="shared" si="113"/>
        <v>4</v>
      </c>
      <c r="K283" s="80">
        <v>50</v>
      </c>
      <c r="L283" s="81">
        <f t="shared" si="111"/>
        <v>63.380005500000003</v>
      </c>
      <c r="M283" s="82">
        <f t="shared" si="128"/>
        <v>0</v>
      </c>
      <c r="N283" s="82">
        <f t="shared" si="129"/>
        <v>0</v>
      </c>
      <c r="O283" s="82">
        <f>N283+'BM 007'!O283</f>
        <v>0</v>
      </c>
      <c r="P283" s="80">
        <f t="shared" si="130"/>
        <v>200</v>
      </c>
      <c r="Q283" s="82">
        <f t="shared" si="131"/>
        <v>253.52</v>
      </c>
      <c r="R283" s="82">
        <f t="shared" si="132"/>
        <v>253.52</v>
      </c>
    </row>
    <row r="284" spans="2:18" s="34" customFormat="1" ht="34.799999999999997">
      <c r="B284" s="87" t="s">
        <v>561</v>
      </c>
      <c r="C284" s="88" t="s">
        <v>562</v>
      </c>
      <c r="D284" s="89" t="s">
        <v>131</v>
      </c>
      <c r="E284" s="90">
        <v>1</v>
      </c>
      <c r="F284" s="91"/>
      <c r="G284" s="91"/>
      <c r="H284" s="91"/>
      <c r="I284" s="91">
        <f>SUM(G284:H284)+'BM 007'!I284</f>
        <v>0</v>
      </c>
      <c r="J284" s="91">
        <f t="shared" si="113"/>
        <v>1</v>
      </c>
      <c r="K284" s="80">
        <v>80</v>
      </c>
      <c r="L284" s="81">
        <f t="shared" si="111"/>
        <v>101.4080088</v>
      </c>
      <c r="M284" s="82">
        <f t="shared" si="128"/>
        <v>0</v>
      </c>
      <c r="N284" s="82">
        <f t="shared" si="129"/>
        <v>0</v>
      </c>
      <c r="O284" s="82">
        <f>N284+'BM 007'!O284</f>
        <v>0</v>
      </c>
      <c r="P284" s="80">
        <f t="shared" si="130"/>
        <v>80</v>
      </c>
      <c r="Q284" s="82">
        <f t="shared" si="131"/>
        <v>101.4</v>
      </c>
      <c r="R284" s="82">
        <f t="shared" si="132"/>
        <v>101.4</v>
      </c>
    </row>
    <row r="285" spans="2:18" s="34" customFormat="1" ht="34.799999999999997">
      <c r="B285" s="87" t="s">
        <v>563</v>
      </c>
      <c r="C285" s="88" t="s">
        <v>564</v>
      </c>
      <c r="D285" s="89" t="s">
        <v>131</v>
      </c>
      <c r="E285" s="90">
        <v>9</v>
      </c>
      <c r="F285" s="91"/>
      <c r="G285" s="91"/>
      <c r="H285" s="91"/>
      <c r="I285" s="91">
        <f>SUM(G285:H285)+'BM 007'!I285</f>
        <v>0</v>
      </c>
      <c r="J285" s="91">
        <f t="shared" si="113"/>
        <v>9</v>
      </c>
      <c r="K285" s="80">
        <v>89</v>
      </c>
      <c r="L285" s="81">
        <f t="shared" ref="L285:L348" si="133">K285*(1+$T$26)</f>
        <v>112.81640979000001</v>
      </c>
      <c r="M285" s="82">
        <f t="shared" si="128"/>
        <v>0</v>
      </c>
      <c r="N285" s="82">
        <f t="shared" si="129"/>
        <v>0</v>
      </c>
      <c r="O285" s="82">
        <f>N285+'BM 007'!O285</f>
        <v>0</v>
      </c>
      <c r="P285" s="80">
        <f t="shared" si="130"/>
        <v>801</v>
      </c>
      <c r="Q285" s="82">
        <f t="shared" si="131"/>
        <v>1015.34</v>
      </c>
      <c r="R285" s="82">
        <f t="shared" si="132"/>
        <v>1015.34</v>
      </c>
    </row>
    <row r="286" spans="2:18" s="34" customFormat="1" ht="34.799999999999997">
      <c r="B286" s="87" t="s">
        <v>565</v>
      </c>
      <c r="C286" s="88" t="s">
        <v>566</v>
      </c>
      <c r="D286" s="89" t="s">
        <v>131</v>
      </c>
      <c r="E286" s="90">
        <v>4</v>
      </c>
      <c r="F286" s="91"/>
      <c r="G286" s="91"/>
      <c r="H286" s="91"/>
      <c r="I286" s="91">
        <f>SUM(G286:H286)+'BM 007'!I286</f>
        <v>0</v>
      </c>
      <c r="J286" s="91">
        <f t="shared" si="113"/>
        <v>4</v>
      </c>
      <c r="K286" s="80">
        <v>89</v>
      </c>
      <c r="L286" s="81">
        <f t="shared" si="133"/>
        <v>112.81640979000001</v>
      </c>
      <c r="M286" s="82">
        <f t="shared" si="128"/>
        <v>0</v>
      </c>
      <c r="N286" s="82">
        <f t="shared" si="129"/>
        <v>0</v>
      </c>
      <c r="O286" s="82">
        <f>N286+'BM 007'!O286</f>
        <v>0</v>
      </c>
      <c r="P286" s="80">
        <f t="shared" si="130"/>
        <v>356</v>
      </c>
      <c r="Q286" s="82">
        <f t="shared" si="131"/>
        <v>451.26</v>
      </c>
      <c r="R286" s="82">
        <f t="shared" si="132"/>
        <v>451.26</v>
      </c>
    </row>
    <row r="287" spans="2:18" s="34" customFormat="1" ht="34.799999999999997">
      <c r="B287" s="87" t="s">
        <v>567</v>
      </c>
      <c r="C287" s="88" t="s">
        <v>568</v>
      </c>
      <c r="D287" s="89" t="s">
        <v>131</v>
      </c>
      <c r="E287" s="90">
        <v>12</v>
      </c>
      <c r="F287" s="91"/>
      <c r="G287" s="91"/>
      <c r="H287" s="91"/>
      <c r="I287" s="91">
        <f>SUM(G287:H287)+'BM 007'!I287</f>
        <v>0</v>
      </c>
      <c r="J287" s="91">
        <f t="shared" ref="J287:J350" si="134">E287-I287</f>
        <v>12</v>
      </c>
      <c r="K287" s="80">
        <v>89</v>
      </c>
      <c r="L287" s="81">
        <f t="shared" si="133"/>
        <v>112.81640979000001</v>
      </c>
      <c r="M287" s="82">
        <f t="shared" si="128"/>
        <v>0</v>
      </c>
      <c r="N287" s="82">
        <f t="shared" si="129"/>
        <v>0</v>
      </c>
      <c r="O287" s="82">
        <f>N287+'BM 007'!O287</f>
        <v>0</v>
      </c>
      <c r="P287" s="80">
        <f t="shared" si="130"/>
        <v>1068</v>
      </c>
      <c r="Q287" s="82">
        <f t="shared" si="131"/>
        <v>1353.79</v>
      </c>
      <c r="R287" s="82">
        <f t="shared" si="132"/>
        <v>1353.79</v>
      </c>
    </row>
    <row r="288" spans="2:18" s="34" customFormat="1" ht="34.799999999999997">
      <c r="B288" s="87" t="s">
        <v>569</v>
      </c>
      <c r="C288" s="88" t="s">
        <v>570</v>
      </c>
      <c r="D288" s="89" t="s">
        <v>131</v>
      </c>
      <c r="E288" s="90">
        <v>4</v>
      </c>
      <c r="F288" s="91"/>
      <c r="G288" s="91"/>
      <c r="H288" s="91"/>
      <c r="I288" s="91">
        <f>SUM(G288:H288)+'BM 007'!I288</f>
        <v>0</v>
      </c>
      <c r="J288" s="91">
        <f t="shared" si="134"/>
        <v>4</v>
      </c>
      <c r="K288" s="80">
        <v>89</v>
      </c>
      <c r="L288" s="81">
        <f t="shared" si="133"/>
        <v>112.81640979000001</v>
      </c>
      <c r="M288" s="82">
        <f t="shared" si="128"/>
        <v>0</v>
      </c>
      <c r="N288" s="82">
        <f t="shared" si="129"/>
        <v>0</v>
      </c>
      <c r="O288" s="82">
        <f>N288+'BM 007'!O288</f>
        <v>0</v>
      </c>
      <c r="P288" s="80">
        <f t="shared" si="130"/>
        <v>356</v>
      </c>
      <c r="Q288" s="82">
        <f t="shared" si="131"/>
        <v>451.26</v>
      </c>
      <c r="R288" s="82">
        <f t="shared" si="132"/>
        <v>451.26</v>
      </c>
    </row>
    <row r="289" spans="2:18" s="34" customFormat="1" ht="34.799999999999997">
      <c r="B289" s="87" t="s">
        <v>571</v>
      </c>
      <c r="C289" s="88" t="s">
        <v>572</v>
      </c>
      <c r="D289" s="89" t="s">
        <v>131</v>
      </c>
      <c r="E289" s="90">
        <v>1</v>
      </c>
      <c r="F289" s="91"/>
      <c r="G289" s="91"/>
      <c r="H289" s="91"/>
      <c r="I289" s="91">
        <f>SUM(G289:H289)+'BM 007'!I289</f>
        <v>0</v>
      </c>
      <c r="J289" s="91">
        <f t="shared" si="134"/>
        <v>1</v>
      </c>
      <c r="K289" s="80">
        <v>110</v>
      </c>
      <c r="L289" s="81">
        <f t="shared" si="133"/>
        <v>139.4360121</v>
      </c>
      <c r="M289" s="82">
        <f t="shared" si="128"/>
        <v>0</v>
      </c>
      <c r="N289" s="82">
        <f t="shared" si="129"/>
        <v>0</v>
      </c>
      <c r="O289" s="82">
        <f>N289+'BM 007'!O289</f>
        <v>0</v>
      </c>
      <c r="P289" s="80">
        <f t="shared" si="130"/>
        <v>110</v>
      </c>
      <c r="Q289" s="82">
        <f t="shared" si="131"/>
        <v>139.43</v>
      </c>
      <c r="R289" s="82">
        <f t="shared" si="132"/>
        <v>139.43</v>
      </c>
    </row>
    <row r="290" spans="2:18" s="34" customFormat="1" ht="34.799999999999997">
      <c r="B290" s="87" t="s">
        <v>573</v>
      </c>
      <c r="C290" s="88" t="s">
        <v>574</v>
      </c>
      <c r="D290" s="89" t="s">
        <v>131</v>
      </c>
      <c r="E290" s="90">
        <v>1</v>
      </c>
      <c r="F290" s="91"/>
      <c r="G290" s="91"/>
      <c r="H290" s="91"/>
      <c r="I290" s="91">
        <f>SUM(G290:H290)+'BM 007'!I290</f>
        <v>0</v>
      </c>
      <c r="J290" s="91">
        <f t="shared" si="134"/>
        <v>1</v>
      </c>
      <c r="K290" s="80">
        <v>115</v>
      </c>
      <c r="L290" s="81">
        <f t="shared" si="133"/>
        <v>145.77401265</v>
      </c>
      <c r="M290" s="82">
        <f t="shared" si="128"/>
        <v>0</v>
      </c>
      <c r="N290" s="82">
        <f t="shared" si="129"/>
        <v>0</v>
      </c>
      <c r="O290" s="82">
        <f>N290+'BM 007'!O290</f>
        <v>0</v>
      </c>
      <c r="P290" s="80">
        <f t="shared" si="130"/>
        <v>115</v>
      </c>
      <c r="Q290" s="82">
        <f t="shared" si="131"/>
        <v>145.77000000000001</v>
      </c>
      <c r="R290" s="82">
        <f t="shared" si="132"/>
        <v>145.77000000000001</v>
      </c>
    </row>
    <row r="291" spans="2:18" s="34" customFormat="1" ht="13.2">
      <c r="B291" s="66" t="s">
        <v>575</v>
      </c>
      <c r="C291" s="67" t="s">
        <v>576</v>
      </c>
      <c r="D291" s="68"/>
      <c r="E291" s="69"/>
      <c r="F291" s="70"/>
      <c r="G291" s="70"/>
      <c r="H291" s="70"/>
      <c r="I291" s="70">
        <f>SUM(G291:H291)+'BM 007'!I291</f>
        <v>0</v>
      </c>
      <c r="J291" s="70">
        <f t="shared" si="134"/>
        <v>0</v>
      </c>
      <c r="K291" s="71"/>
      <c r="L291" s="71">
        <f t="shared" si="133"/>
        <v>0</v>
      </c>
      <c r="M291" s="73">
        <f t="shared" ref="M291:R291" si="135">SUM(M292:M295)</f>
        <v>0</v>
      </c>
      <c r="N291" s="73">
        <f t="shared" si="135"/>
        <v>0</v>
      </c>
      <c r="O291" s="73">
        <f t="shared" si="135"/>
        <v>0</v>
      </c>
      <c r="P291" s="73">
        <f t="shared" si="135"/>
        <v>100820.55</v>
      </c>
      <c r="Q291" s="73">
        <f t="shared" si="135"/>
        <v>127800.12</v>
      </c>
      <c r="R291" s="73">
        <f t="shared" si="135"/>
        <v>127800.12</v>
      </c>
    </row>
    <row r="292" spans="2:18" s="34" customFormat="1" ht="34.799999999999997">
      <c r="B292" s="87" t="s">
        <v>577</v>
      </c>
      <c r="C292" s="88" t="s">
        <v>578</v>
      </c>
      <c r="D292" s="89" t="s">
        <v>131</v>
      </c>
      <c r="E292" s="90">
        <v>55</v>
      </c>
      <c r="F292" s="91"/>
      <c r="G292" s="91"/>
      <c r="H292" s="91"/>
      <c r="I292" s="91">
        <f>SUM(G292:H292)+'BM 007'!I292</f>
        <v>0</v>
      </c>
      <c r="J292" s="91">
        <f t="shared" si="134"/>
        <v>55</v>
      </c>
      <c r="K292" s="80">
        <v>164.81</v>
      </c>
      <c r="L292" s="81">
        <f t="shared" si="133"/>
        <v>208.91317412910001</v>
      </c>
      <c r="M292" s="82">
        <f>TRUNC(F292*L292,2)</f>
        <v>0</v>
      </c>
      <c r="N292" s="82">
        <f>TRUNC(G292*L292,2)</f>
        <v>0</v>
      </c>
      <c r="O292" s="82">
        <f>N292+'BM 007'!O292</f>
        <v>0</v>
      </c>
      <c r="P292" s="80">
        <f>E292*K292</f>
        <v>9064.5499999999993</v>
      </c>
      <c r="Q292" s="82">
        <f>TRUNC(E292*L292,2)</f>
        <v>11490.22</v>
      </c>
      <c r="R292" s="82">
        <f>Q292-O292</f>
        <v>11490.22</v>
      </c>
    </row>
    <row r="293" spans="2:18" s="34" customFormat="1" ht="23.4">
      <c r="B293" s="87" t="s">
        <v>579</v>
      </c>
      <c r="C293" s="88" t="s">
        <v>580</v>
      </c>
      <c r="D293" s="89" t="s">
        <v>131</v>
      </c>
      <c r="E293" s="90">
        <v>887</v>
      </c>
      <c r="F293" s="91"/>
      <c r="G293" s="91"/>
      <c r="H293" s="91"/>
      <c r="I293" s="91">
        <f>SUM(G293:H293)+'BM 007'!I293</f>
        <v>0</v>
      </c>
      <c r="J293" s="91">
        <f t="shared" si="134"/>
        <v>887</v>
      </c>
      <c r="K293" s="80">
        <v>98</v>
      </c>
      <c r="L293" s="81">
        <f t="shared" si="133"/>
        <v>124.22481078000001</v>
      </c>
      <c r="M293" s="82">
        <f>TRUNC(F293*L293,2)</f>
        <v>0</v>
      </c>
      <c r="N293" s="82">
        <f>TRUNC(G293*L293,2)</f>
        <v>0</v>
      </c>
      <c r="O293" s="82">
        <f>N293+'BM 007'!O293</f>
        <v>0</v>
      </c>
      <c r="P293" s="80">
        <f>E293*K293</f>
        <v>86926</v>
      </c>
      <c r="Q293" s="82">
        <f>TRUNC(E293*L293,2)</f>
        <v>110187.4</v>
      </c>
      <c r="R293" s="82">
        <f>Q293-O293</f>
        <v>110187.4</v>
      </c>
    </row>
    <row r="294" spans="2:18" s="34" customFormat="1" ht="23.4">
      <c r="B294" s="87" t="s">
        <v>581</v>
      </c>
      <c r="C294" s="88" t="s">
        <v>582</v>
      </c>
      <c r="D294" s="89" t="s">
        <v>131</v>
      </c>
      <c r="E294" s="90">
        <v>15</v>
      </c>
      <c r="F294" s="91"/>
      <c r="G294" s="91"/>
      <c r="H294" s="91"/>
      <c r="I294" s="91">
        <f>SUM(G294:H294)+'BM 007'!I294</f>
        <v>0</v>
      </c>
      <c r="J294" s="91">
        <f t="shared" si="134"/>
        <v>15</v>
      </c>
      <c r="K294" s="80">
        <v>130</v>
      </c>
      <c r="L294" s="81">
        <f t="shared" si="133"/>
        <v>164.78801430000001</v>
      </c>
      <c r="M294" s="82">
        <f>TRUNC(F294*L294,2)</f>
        <v>0</v>
      </c>
      <c r="N294" s="82">
        <f>TRUNC(G294*L294,2)</f>
        <v>0</v>
      </c>
      <c r="O294" s="82">
        <f>N294+'BM 007'!O294</f>
        <v>0</v>
      </c>
      <c r="P294" s="80">
        <f>E294*K294</f>
        <v>1950</v>
      </c>
      <c r="Q294" s="82">
        <f>TRUNC(E294*L294,2)</f>
        <v>2471.8200000000002</v>
      </c>
      <c r="R294" s="82">
        <f>Q294-O294</f>
        <v>2471.8200000000002</v>
      </c>
    </row>
    <row r="295" spans="2:18" s="34" customFormat="1" ht="23.4">
      <c r="B295" s="87" t="s">
        <v>583</v>
      </c>
      <c r="C295" s="88" t="s">
        <v>584</v>
      </c>
      <c r="D295" s="89" t="s">
        <v>131</v>
      </c>
      <c r="E295" s="90">
        <v>32</v>
      </c>
      <c r="F295" s="91"/>
      <c r="G295" s="91"/>
      <c r="H295" s="91"/>
      <c r="I295" s="91">
        <f>SUM(G295:H295)+'BM 007'!I295</f>
        <v>0</v>
      </c>
      <c r="J295" s="91">
        <f t="shared" si="134"/>
        <v>32</v>
      </c>
      <c r="K295" s="80">
        <v>90</v>
      </c>
      <c r="L295" s="81">
        <f t="shared" si="133"/>
        <v>114.08400990000001</v>
      </c>
      <c r="M295" s="82">
        <f>TRUNC(F295*L295,2)</f>
        <v>0</v>
      </c>
      <c r="N295" s="82">
        <f>TRUNC(G295*L295,2)</f>
        <v>0</v>
      </c>
      <c r="O295" s="82">
        <f>N295+'BM 007'!O295</f>
        <v>0</v>
      </c>
      <c r="P295" s="80">
        <f>E295*K295</f>
        <v>2880</v>
      </c>
      <c r="Q295" s="82">
        <f>TRUNC(E295*L295,2)</f>
        <v>3650.68</v>
      </c>
      <c r="R295" s="82">
        <f>Q295-O295</f>
        <v>3650.68</v>
      </c>
    </row>
    <row r="296" spans="2:18" s="34" customFormat="1" ht="13.2">
      <c r="B296" s="66" t="s">
        <v>585</v>
      </c>
      <c r="C296" s="67" t="s">
        <v>586</v>
      </c>
      <c r="D296" s="68"/>
      <c r="E296" s="69"/>
      <c r="F296" s="70"/>
      <c r="G296" s="70"/>
      <c r="H296" s="70"/>
      <c r="I296" s="70">
        <f>SUM(G296:H296)+'BM 007'!I296</f>
        <v>0</v>
      </c>
      <c r="J296" s="70">
        <f t="shared" si="134"/>
        <v>0</v>
      </c>
      <c r="K296" s="71"/>
      <c r="L296" s="71">
        <f t="shared" si="133"/>
        <v>0</v>
      </c>
      <c r="M296" s="73">
        <f t="shared" ref="M296:R296" si="136">SUM(M297:M306)</f>
        <v>0</v>
      </c>
      <c r="N296" s="73">
        <f t="shared" si="136"/>
        <v>0</v>
      </c>
      <c r="O296" s="73">
        <f t="shared" si="136"/>
        <v>0</v>
      </c>
      <c r="P296" s="73">
        <f t="shared" si="136"/>
        <v>16787.3</v>
      </c>
      <c r="Q296" s="73">
        <f t="shared" si="136"/>
        <v>21279.56</v>
      </c>
      <c r="R296" s="73">
        <f t="shared" si="136"/>
        <v>21279.56</v>
      </c>
    </row>
    <row r="297" spans="2:18" s="34" customFormat="1" ht="46.2">
      <c r="B297" s="87" t="s">
        <v>587</v>
      </c>
      <c r="C297" s="88" t="s">
        <v>588</v>
      </c>
      <c r="D297" s="89" t="s">
        <v>131</v>
      </c>
      <c r="E297" s="90">
        <v>79</v>
      </c>
      <c r="F297" s="91"/>
      <c r="G297" s="91"/>
      <c r="H297" s="91"/>
      <c r="I297" s="91">
        <f>SUM(G297:H297)+'BM 007'!I297</f>
        <v>0</v>
      </c>
      <c r="J297" s="91">
        <f t="shared" si="134"/>
        <v>79</v>
      </c>
      <c r="K297" s="80">
        <v>32</v>
      </c>
      <c r="L297" s="81">
        <f t="shared" si="133"/>
        <v>40.563203520000002</v>
      </c>
      <c r="M297" s="82">
        <f t="shared" ref="M297:M306" si="137">TRUNC(F297*L297,2)</f>
        <v>0</v>
      </c>
      <c r="N297" s="82">
        <f t="shared" ref="N297:N306" si="138">TRUNC(G297*L297,2)</f>
        <v>0</v>
      </c>
      <c r="O297" s="82">
        <f>N297+'BM 007'!O297</f>
        <v>0</v>
      </c>
      <c r="P297" s="80">
        <f t="shared" ref="P297:P306" si="139">E297*K297</f>
        <v>2528</v>
      </c>
      <c r="Q297" s="82">
        <f t="shared" ref="Q297:Q306" si="140">TRUNC(E297*L297,2)</f>
        <v>3204.49</v>
      </c>
      <c r="R297" s="82">
        <f t="shared" ref="R297:R306" si="141">Q297-O297</f>
        <v>3204.49</v>
      </c>
    </row>
    <row r="298" spans="2:18" s="34" customFormat="1" ht="46.2">
      <c r="B298" s="87" t="s">
        <v>589</v>
      </c>
      <c r="C298" s="88" t="s">
        <v>590</v>
      </c>
      <c r="D298" s="89" t="s">
        <v>131</v>
      </c>
      <c r="E298" s="90">
        <v>73</v>
      </c>
      <c r="F298" s="91"/>
      <c r="G298" s="91"/>
      <c r="H298" s="91"/>
      <c r="I298" s="91">
        <f>SUM(G298:H298)+'BM 007'!I298</f>
        <v>0</v>
      </c>
      <c r="J298" s="91">
        <f t="shared" si="134"/>
        <v>73</v>
      </c>
      <c r="K298" s="80">
        <v>38</v>
      </c>
      <c r="L298" s="81">
        <f t="shared" si="133"/>
        <v>48.168804180000002</v>
      </c>
      <c r="M298" s="82">
        <f t="shared" si="137"/>
        <v>0</v>
      </c>
      <c r="N298" s="82">
        <f t="shared" si="138"/>
        <v>0</v>
      </c>
      <c r="O298" s="82">
        <f>N298+'BM 007'!O298</f>
        <v>0</v>
      </c>
      <c r="P298" s="80">
        <f t="shared" si="139"/>
        <v>2774</v>
      </c>
      <c r="Q298" s="82">
        <f t="shared" si="140"/>
        <v>3516.32</v>
      </c>
      <c r="R298" s="82">
        <f t="shared" si="141"/>
        <v>3516.32</v>
      </c>
    </row>
    <row r="299" spans="2:18" s="34" customFormat="1" ht="46.2">
      <c r="B299" s="87" t="s">
        <v>591</v>
      </c>
      <c r="C299" s="88" t="s">
        <v>592</v>
      </c>
      <c r="D299" s="89" t="s">
        <v>131</v>
      </c>
      <c r="E299" s="90">
        <v>34</v>
      </c>
      <c r="F299" s="91"/>
      <c r="G299" s="91"/>
      <c r="H299" s="91"/>
      <c r="I299" s="91">
        <f>SUM(G299:H299)+'BM 007'!I299</f>
        <v>0</v>
      </c>
      <c r="J299" s="91">
        <f t="shared" si="134"/>
        <v>34</v>
      </c>
      <c r="K299" s="80">
        <v>58.95</v>
      </c>
      <c r="L299" s="81">
        <f t="shared" si="133"/>
        <v>74.725026484500006</v>
      </c>
      <c r="M299" s="82">
        <f t="shared" si="137"/>
        <v>0</v>
      </c>
      <c r="N299" s="82">
        <f t="shared" si="138"/>
        <v>0</v>
      </c>
      <c r="O299" s="82">
        <f>N299+'BM 007'!O299</f>
        <v>0</v>
      </c>
      <c r="P299" s="80">
        <f t="shared" si="139"/>
        <v>2004.3000000000002</v>
      </c>
      <c r="Q299" s="82">
        <f t="shared" si="140"/>
        <v>2540.65</v>
      </c>
      <c r="R299" s="82">
        <f t="shared" si="141"/>
        <v>2540.65</v>
      </c>
    </row>
    <row r="300" spans="2:18" s="34" customFormat="1" ht="46.2">
      <c r="B300" s="87" t="s">
        <v>593</v>
      </c>
      <c r="C300" s="88" t="s">
        <v>594</v>
      </c>
      <c r="D300" s="89" t="s">
        <v>131</v>
      </c>
      <c r="E300" s="90">
        <v>55</v>
      </c>
      <c r="F300" s="91"/>
      <c r="G300" s="91"/>
      <c r="H300" s="91"/>
      <c r="I300" s="91">
        <f>SUM(G300:H300)+'BM 007'!I300</f>
        <v>0</v>
      </c>
      <c r="J300" s="91">
        <f t="shared" si="134"/>
        <v>55</v>
      </c>
      <c r="K300" s="80">
        <v>50</v>
      </c>
      <c r="L300" s="81">
        <f t="shared" si="133"/>
        <v>63.380005500000003</v>
      </c>
      <c r="M300" s="82">
        <f t="shared" si="137"/>
        <v>0</v>
      </c>
      <c r="N300" s="82">
        <f t="shared" si="138"/>
        <v>0</v>
      </c>
      <c r="O300" s="82">
        <f>N300+'BM 007'!O300</f>
        <v>0</v>
      </c>
      <c r="P300" s="80">
        <f t="shared" si="139"/>
        <v>2750</v>
      </c>
      <c r="Q300" s="82">
        <f t="shared" si="140"/>
        <v>3485.9</v>
      </c>
      <c r="R300" s="82">
        <f t="shared" si="141"/>
        <v>3485.9</v>
      </c>
    </row>
    <row r="301" spans="2:18" s="34" customFormat="1" ht="46.2">
      <c r="B301" s="87" t="s">
        <v>595</v>
      </c>
      <c r="C301" s="88" t="s">
        <v>596</v>
      </c>
      <c r="D301" s="89" t="s">
        <v>131</v>
      </c>
      <c r="E301" s="90">
        <v>41</v>
      </c>
      <c r="F301" s="91"/>
      <c r="G301" s="91"/>
      <c r="H301" s="91"/>
      <c r="I301" s="91">
        <f>SUM(G301:H301)+'BM 007'!I301</f>
        <v>0</v>
      </c>
      <c r="J301" s="91">
        <f t="shared" si="134"/>
        <v>41</v>
      </c>
      <c r="K301" s="80">
        <v>52</v>
      </c>
      <c r="L301" s="81">
        <f t="shared" si="133"/>
        <v>65.915205720000003</v>
      </c>
      <c r="M301" s="82">
        <f t="shared" si="137"/>
        <v>0</v>
      </c>
      <c r="N301" s="82">
        <f t="shared" si="138"/>
        <v>0</v>
      </c>
      <c r="O301" s="82">
        <f>N301+'BM 007'!O301</f>
        <v>0</v>
      </c>
      <c r="P301" s="80">
        <f t="shared" si="139"/>
        <v>2132</v>
      </c>
      <c r="Q301" s="82">
        <f t="shared" si="140"/>
        <v>2702.52</v>
      </c>
      <c r="R301" s="82">
        <f t="shared" si="141"/>
        <v>2702.52</v>
      </c>
    </row>
    <row r="302" spans="2:18" s="34" customFormat="1" ht="34.799999999999997">
      <c r="B302" s="87" t="s">
        <v>597</v>
      </c>
      <c r="C302" s="88" t="s">
        <v>598</v>
      </c>
      <c r="D302" s="89" t="s">
        <v>131</v>
      </c>
      <c r="E302" s="90">
        <v>3</v>
      </c>
      <c r="F302" s="91"/>
      <c r="G302" s="91"/>
      <c r="H302" s="91"/>
      <c r="I302" s="91">
        <f>SUM(G302:H302)+'BM 007'!I302</f>
        <v>0</v>
      </c>
      <c r="J302" s="91">
        <f t="shared" si="134"/>
        <v>3</v>
      </c>
      <c r="K302" s="80">
        <v>51</v>
      </c>
      <c r="L302" s="81">
        <f t="shared" si="133"/>
        <v>64.647605609999999</v>
      </c>
      <c r="M302" s="82">
        <f t="shared" si="137"/>
        <v>0</v>
      </c>
      <c r="N302" s="82">
        <f t="shared" si="138"/>
        <v>0</v>
      </c>
      <c r="O302" s="82">
        <f>N302+'BM 007'!O302</f>
        <v>0</v>
      </c>
      <c r="P302" s="80">
        <f t="shared" si="139"/>
        <v>153</v>
      </c>
      <c r="Q302" s="82">
        <f t="shared" si="140"/>
        <v>193.94</v>
      </c>
      <c r="R302" s="82">
        <f t="shared" si="141"/>
        <v>193.94</v>
      </c>
    </row>
    <row r="303" spans="2:18" s="34" customFormat="1" ht="34.799999999999997">
      <c r="B303" s="87" t="s">
        <v>599</v>
      </c>
      <c r="C303" s="88" t="s">
        <v>600</v>
      </c>
      <c r="D303" s="89" t="s">
        <v>131</v>
      </c>
      <c r="E303" s="90">
        <v>1</v>
      </c>
      <c r="F303" s="91"/>
      <c r="G303" s="91"/>
      <c r="H303" s="91"/>
      <c r="I303" s="91">
        <f>SUM(G303:H303)+'BM 007'!I303</f>
        <v>0</v>
      </c>
      <c r="J303" s="91">
        <f t="shared" si="134"/>
        <v>1</v>
      </c>
      <c r="K303" s="80">
        <v>60</v>
      </c>
      <c r="L303" s="81">
        <f t="shared" si="133"/>
        <v>76.056006600000003</v>
      </c>
      <c r="M303" s="82">
        <f t="shared" si="137"/>
        <v>0</v>
      </c>
      <c r="N303" s="82">
        <f t="shared" si="138"/>
        <v>0</v>
      </c>
      <c r="O303" s="82">
        <f>N303+'BM 007'!O303</f>
        <v>0</v>
      </c>
      <c r="P303" s="80">
        <f t="shared" si="139"/>
        <v>60</v>
      </c>
      <c r="Q303" s="82">
        <f t="shared" si="140"/>
        <v>76.05</v>
      </c>
      <c r="R303" s="82">
        <f t="shared" si="141"/>
        <v>76.05</v>
      </c>
    </row>
    <row r="304" spans="2:18" s="34" customFormat="1" ht="34.799999999999997">
      <c r="B304" s="87" t="s">
        <v>601</v>
      </c>
      <c r="C304" s="88" t="s">
        <v>602</v>
      </c>
      <c r="D304" s="89" t="s">
        <v>131</v>
      </c>
      <c r="E304" s="90">
        <v>15</v>
      </c>
      <c r="F304" s="91"/>
      <c r="G304" s="91"/>
      <c r="H304" s="91"/>
      <c r="I304" s="91">
        <f>SUM(G304:H304)+'BM 007'!I304</f>
        <v>0</v>
      </c>
      <c r="J304" s="91">
        <f t="shared" si="134"/>
        <v>15</v>
      </c>
      <c r="K304" s="80">
        <v>230</v>
      </c>
      <c r="L304" s="81">
        <f t="shared" si="133"/>
        <v>291.54802530000001</v>
      </c>
      <c r="M304" s="82">
        <f t="shared" si="137"/>
        <v>0</v>
      </c>
      <c r="N304" s="82">
        <f t="shared" si="138"/>
        <v>0</v>
      </c>
      <c r="O304" s="82">
        <f>N304+'BM 007'!O304</f>
        <v>0</v>
      </c>
      <c r="P304" s="80">
        <f t="shared" si="139"/>
        <v>3450</v>
      </c>
      <c r="Q304" s="82">
        <f t="shared" si="140"/>
        <v>4373.22</v>
      </c>
      <c r="R304" s="82">
        <f t="shared" si="141"/>
        <v>4373.22</v>
      </c>
    </row>
    <row r="305" spans="2:18" s="34" customFormat="1" ht="34.799999999999997">
      <c r="B305" s="87" t="s">
        <v>603</v>
      </c>
      <c r="C305" s="88" t="s">
        <v>604</v>
      </c>
      <c r="D305" s="89" t="s">
        <v>131</v>
      </c>
      <c r="E305" s="90">
        <v>5</v>
      </c>
      <c r="F305" s="91"/>
      <c r="G305" s="91"/>
      <c r="H305" s="91"/>
      <c r="I305" s="91">
        <f>SUM(G305:H305)+'BM 007'!I305</f>
        <v>0</v>
      </c>
      <c r="J305" s="91">
        <f t="shared" si="134"/>
        <v>5</v>
      </c>
      <c r="K305" s="80">
        <v>140</v>
      </c>
      <c r="L305" s="81">
        <f t="shared" si="133"/>
        <v>177.46401539999999</v>
      </c>
      <c r="M305" s="82">
        <f t="shared" si="137"/>
        <v>0</v>
      </c>
      <c r="N305" s="82">
        <f t="shared" si="138"/>
        <v>0</v>
      </c>
      <c r="O305" s="82">
        <f>N305+'BM 007'!O305</f>
        <v>0</v>
      </c>
      <c r="P305" s="80">
        <f t="shared" si="139"/>
        <v>700</v>
      </c>
      <c r="Q305" s="82">
        <f t="shared" si="140"/>
        <v>887.32</v>
      </c>
      <c r="R305" s="82">
        <f t="shared" si="141"/>
        <v>887.32</v>
      </c>
    </row>
    <row r="306" spans="2:18" s="34" customFormat="1" ht="46.2">
      <c r="B306" s="87" t="s">
        <v>605</v>
      </c>
      <c r="C306" s="88" t="s">
        <v>606</v>
      </c>
      <c r="D306" s="89" t="s">
        <v>131</v>
      </c>
      <c r="E306" s="90">
        <v>4</v>
      </c>
      <c r="F306" s="91"/>
      <c r="G306" s="91"/>
      <c r="H306" s="91"/>
      <c r="I306" s="91">
        <f>SUM(G306:H306)+'BM 007'!I306</f>
        <v>0</v>
      </c>
      <c r="J306" s="91">
        <f t="shared" si="134"/>
        <v>4</v>
      </c>
      <c r="K306" s="80">
        <v>59</v>
      </c>
      <c r="L306" s="81">
        <f t="shared" si="133"/>
        <v>74.78840649</v>
      </c>
      <c r="M306" s="82">
        <f t="shared" si="137"/>
        <v>0</v>
      </c>
      <c r="N306" s="82">
        <f t="shared" si="138"/>
        <v>0</v>
      </c>
      <c r="O306" s="82">
        <f>N306+'BM 007'!O306</f>
        <v>0</v>
      </c>
      <c r="P306" s="80">
        <f t="shared" si="139"/>
        <v>236</v>
      </c>
      <c r="Q306" s="82">
        <f t="shared" si="140"/>
        <v>299.14999999999998</v>
      </c>
      <c r="R306" s="82">
        <f t="shared" si="141"/>
        <v>299.14999999999998</v>
      </c>
    </row>
    <row r="307" spans="2:18" s="34" customFormat="1" ht="13.2">
      <c r="B307" s="66" t="s">
        <v>607</v>
      </c>
      <c r="C307" s="67" t="s">
        <v>608</v>
      </c>
      <c r="D307" s="68"/>
      <c r="E307" s="69"/>
      <c r="F307" s="70"/>
      <c r="G307" s="70"/>
      <c r="H307" s="70"/>
      <c r="I307" s="70">
        <f>SUM(G307:H307)+'BM 007'!I307</f>
        <v>0</v>
      </c>
      <c r="J307" s="70">
        <f t="shared" si="134"/>
        <v>0</v>
      </c>
      <c r="K307" s="71"/>
      <c r="L307" s="71">
        <f t="shared" si="133"/>
        <v>0</v>
      </c>
      <c r="M307" s="73">
        <f t="shared" ref="M307:R307" si="142">SUM(M308:M314)</f>
        <v>0</v>
      </c>
      <c r="N307" s="73">
        <f t="shared" si="142"/>
        <v>0</v>
      </c>
      <c r="O307" s="73">
        <f t="shared" si="142"/>
        <v>0</v>
      </c>
      <c r="P307" s="73">
        <f t="shared" si="142"/>
        <v>50562</v>
      </c>
      <c r="Q307" s="73">
        <f t="shared" si="142"/>
        <v>64092.350000000006</v>
      </c>
      <c r="R307" s="73">
        <f t="shared" si="142"/>
        <v>64092.350000000006</v>
      </c>
    </row>
    <row r="308" spans="2:18" s="34" customFormat="1" ht="46.2">
      <c r="B308" s="87" t="s">
        <v>609</v>
      </c>
      <c r="C308" s="88" t="s">
        <v>610</v>
      </c>
      <c r="D308" s="89" t="s">
        <v>131</v>
      </c>
      <c r="E308" s="90">
        <v>202</v>
      </c>
      <c r="F308" s="91"/>
      <c r="G308" s="91"/>
      <c r="H308" s="91"/>
      <c r="I308" s="91">
        <f>SUM(G308:H308)+'BM 007'!I308</f>
        <v>0</v>
      </c>
      <c r="J308" s="91">
        <f t="shared" si="134"/>
        <v>202</v>
      </c>
      <c r="K308" s="80">
        <v>38</v>
      </c>
      <c r="L308" s="81">
        <f t="shared" si="133"/>
        <v>48.168804180000002</v>
      </c>
      <c r="M308" s="82">
        <f t="shared" ref="M308:M314" si="143">TRUNC(F308*L308,2)</f>
        <v>0</v>
      </c>
      <c r="N308" s="82">
        <f t="shared" ref="N308:N314" si="144">TRUNC(G308*L308,2)</f>
        <v>0</v>
      </c>
      <c r="O308" s="82">
        <f>N308+'BM 007'!O308</f>
        <v>0</v>
      </c>
      <c r="P308" s="80">
        <f t="shared" ref="P308:P314" si="145">E308*K308</f>
        <v>7676</v>
      </c>
      <c r="Q308" s="82">
        <f t="shared" ref="Q308:Q314" si="146">TRUNC(E308*L308,2)</f>
        <v>9730.09</v>
      </c>
      <c r="R308" s="82">
        <f t="shared" ref="R308:R314" si="147">Q308-O308</f>
        <v>9730.09</v>
      </c>
    </row>
    <row r="309" spans="2:18" s="34" customFormat="1" ht="46.2">
      <c r="B309" s="87" t="s">
        <v>611</v>
      </c>
      <c r="C309" s="88" t="s">
        <v>612</v>
      </c>
      <c r="D309" s="89" t="s">
        <v>131</v>
      </c>
      <c r="E309" s="90">
        <v>508</v>
      </c>
      <c r="F309" s="91"/>
      <c r="G309" s="91"/>
      <c r="H309" s="91"/>
      <c r="I309" s="91">
        <f>SUM(G309:H309)+'BM 007'!I309</f>
        <v>0</v>
      </c>
      <c r="J309" s="91">
        <f t="shared" si="134"/>
        <v>508</v>
      </c>
      <c r="K309" s="80">
        <v>40</v>
      </c>
      <c r="L309" s="81">
        <f t="shared" si="133"/>
        <v>50.704004400000002</v>
      </c>
      <c r="M309" s="82">
        <f t="shared" si="143"/>
        <v>0</v>
      </c>
      <c r="N309" s="82">
        <f t="shared" si="144"/>
        <v>0</v>
      </c>
      <c r="O309" s="82">
        <f>N309+'BM 007'!O309</f>
        <v>0</v>
      </c>
      <c r="P309" s="80">
        <f t="shared" si="145"/>
        <v>20320</v>
      </c>
      <c r="Q309" s="82">
        <f t="shared" si="146"/>
        <v>25757.63</v>
      </c>
      <c r="R309" s="82">
        <f t="shared" si="147"/>
        <v>25757.63</v>
      </c>
    </row>
    <row r="310" spans="2:18" s="34" customFormat="1" ht="34.799999999999997">
      <c r="B310" s="87" t="s">
        <v>613</v>
      </c>
      <c r="C310" s="88" t="s">
        <v>614</v>
      </c>
      <c r="D310" s="89" t="s">
        <v>131</v>
      </c>
      <c r="E310" s="90">
        <v>52</v>
      </c>
      <c r="F310" s="91"/>
      <c r="G310" s="91"/>
      <c r="H310" s="91"/>
      <c r="I310" s="91">
        <f>SUM(G310:H310)+'BM 007'!I310</f>
        <v>0</v>
      </c>
      <c r="J310" s="91">
        <f t="shared" si="134"/>
        <v>52</v>
      </c>
      <c r="K310" s="80">
        <v>65</v>
      </c>
      <c r="L310" s="81">
        <f t="shared" si="133"/>
        <v>82.394007150000007</v>
      </c>
      <c r="M310" s="82">
        <f t="shared" si="143"/>
        <v>0</v>
      </c>
      <c r="N310" s="82">
        <f t="shared" si="144"/>
        <v>0</v>
      </c>
      <c r="O310" s="82">
        <f>N310+'BM 007'!O310</f>
        <v>0</v>
      </c>
      <c r="P310" s="80">
        <f t="shared" si="145"/>
        <v>3380</v>
      </c>
      <c r="Q310" s="82">
        <f t="shared" si="146"/>
        <v>4284.4799999999996</v>
      </c>
      <c r="R310" s="82">
        <f t="shared" si="147"/>
        <v>4284.4799999999996</v>
      </c>
    </row>
    <row r="311" spans="2:18" s="34" customFormat="1" ht="46.2">
      <c r="B311" s="87" t="s">
        <v>615</v>
      </c>
      <c r="C311" s="88" t="s">
        <v>610</v>
      </c>
      <c r="D311" s="89" t="s">
        <v>131</v>
      </c>
      <c r="E311" s="90">
        <v>2</v>
      </c>
      <c r="F311" s="91"/>
      <c r="G311" s="91"/>
      <c r="H311" s="91"/>
      <c r="I311" s="91">
        <f>SUM(G311:H311)+'BM 007'!I311</f>
        <v>0</v>
      </c>
      <c r="J311" s="91">
        <f t="shared" si="134"/>
        <v>2</v>
      </c>
      <c r="K311" s="80">
        <v>38</v>
      </c>
      <c r="L311" s="81">
        <f t="shared" si="133"/>
        <v>48.168804180000002</v>
      </c>
      <c r="M311" s="82">
        <f t="shared" si="143"/>
        <v>0</v>
      </c>
      <c r="N311" s="82">
        <f t="shared" si="144"/>
        <v>0</v>
      </c>
      <c r="O311" s="82">
        <f>N311+'BM 007'!O311</f>
        <v>0</v>
      </c>
      <c r="P311" s="80">
        <f t="shared" si="145"/>
        <v>76</v>
      </c>
      <c r="Q311" s="82">
        <f t="shared" si="146"/>
        <v>96.33</v>
      </c>
      <c r="R311" s="82">
        <f t="shared" si="147"/>
        <v>96.33</v>
      </c>
    </row>
    <row r="312" spans="2:18" s="34" customFormat="1" ht="23.4">
      <c r="B312" s="87" t="s">
        <v>616</v>
      </c>
      <c r="C312" s="88" t="s">
        <v>617</v>
      </c>
      <c r="D312" s="89" t="s">
        <v>131</v>
      </c>
      <c r="E312" s="90">
        <v>201</v>
      </c>
      <c r="F312" s="91"/>
      <c r="G312" s="91"/>
      <c r="H312" s="91"/>
      <c r="I312" s="91">
        <f>SUM(G312:H312)+'BM 007'!I312</f>
        <v>0</v>
      </c>
      <c r="J312" s="91">
        <f t="shared" si="134"/>
        <v>201</v>
      </c>
      <c r="K312" s="80">
        <v>30</v>
      </c>
      <c r="L312" s="81">
        <f t="shared" si="133"/>
        <v>38.028003300000002</v>
      </c>
      <c r="M312" s="82">
        <f t="shared" si="143"/>
        <v>0</v>
      </c>
      <c r="N312" s="82">
        <f t="shared" si="144"/>
        <v>0</v>
      </c>
      <c r="O312" s="82">
        <f>N312+'BM 007'!O312</f>
        <v>0</v>
      </c>
      <c r="P312" s="80">
        <f t="shared" si="145"/>
        <v>6030</v>
      </c>
      <c r="Q312" s="82">
        <f t="shared" si="146"/>
        <v>7643.62</v>
      </c>
      <c r="R312" s="82">
        <f t="shared" si="147"/>
        <v>7643.62</v>
      </c>
    </row>
    <row r="313" spans="2:18" s="34" customFormat="1" ht="23.4">
      <c r="B313" s="87" t="s">
        <v>618</v>
      </c>
      <c r="C313" s="88" t="s">
        <v>619</v>
      </c>
      <c r="D313" s="89" t="s">
        <v>131</v>
      </c>
      <c r="E313" s="90">
        <v>12</v>
      </c>
      <c r="F313" s="91"/>
      <c r="G313" s="91"/>
      <c r="H313" s="91"/>
      <c r="I313" s="91">
        <f>SUM(G313:H313)+'BM 007'!I313</f>
        <v>0</v>
      </c>
      <c r="J313" s="91">
        <f t="shared" si="134"/>
        <v>12</v>
      </c>
      <c r="K313" s="80">
        <v>40</v>
      </c>
      <c r="L313" s="81">
        <f t="shared" si="133"/>
        <v>50.704004400000002</v>
      </c>
      <c r="M313" s="82">
        <f t="shared" si="143"/>
        <v>0</v>
      </c>
      <c r="N313" s="82">
        <f t="shared" si="144"/>
        <v>0</v>
      </c>
      <c r="O313" s="82">
        <f>N313+'BM 007'!O313</f>
        <v>0</v>
      </c>
      <c r="P313" s="80">
        <f t="shared" si="145"/>
        <v>480</v>
      </c>
      <c r="Q313" s="82">
        <f t="shared" si="146"/>
        <v>608.44000000000005</v>
      </c>
      <c r="R313" s="82">
        <f t="shared" si="147"/>
        <v>608.44000000000005</v>
      </c>
    </row>
    <row r="314" spans="2:18" s="34" customFormat="1" ht="23.4">
      <c r="B314" s="87" t="s">
        <v>620</v>
      </c>
      <c r="C314" s="88" t="s">
        <v>621</v>
      </c>
      <c r="D314" s="89" t="s">
        <v>131</v>
      </c>
      <c r="E314" s="90">
        <v>180</v>
      </c>
      <c r="F314" s="91"/>
      <c r="G314" s="91"/>
      <c r="H314" s="91"/>
      <c r="I314" s="91">
        <f>SUM(G314:H314)+'BM 007'!I314</f>
        <v>0</v>
      </c>
      <c r="J314" s="91">
        <f t="shared" si="134"/>
        <v>180</v>
      </c>
      <c r="K314" s="80">
        <v>70</v>
      </c>
      <c r="L314" s="81">
        <f t="shared" si="133"/>
        <v>88.732007699999997</v>
      </c>
      <c r="M314" s="82">
        <f t="shared" si="143"/>
        <v>0</v>
      </c>
      <c r="N314" s="82">
        <f t="shared" si="144"/>
        <v>0</v>
      </c>
      <c r="O314" s="82">
        <f>N314+'BM 007'!O314</f>
        <v>0</v>
      </c>
      <c r="P314" s="80">
        <f t="shared" si="145"/>
        <v>12600</v>
      </c>
      <c r="Q314" s="82">
        <f t="shared" si="146"/>
        <v>15971.76</v>
      </c>
      <c r="R314" s="82">
        <f t="shared" si="147"/>
        <v>15971.76</v>
      </c>
    </row>
    <row r="315" spans="2:18" s="34" customFormat="1" ht="26.25" customHeight="1">
      <c r="B315" s="66" t="s">
        <v>622</v>
      </c>
      <c r="C315" s="67" t="s">
        <v>623</v>
      </c>
      <c r="D315" s="68"/>
      <c r="E315" s="69"/>
      <c r="F315" s="70"/>
      <c r="G315" s="70"/>
      <c r="H315" s="70"/>
      <c r="I315" s="70">
        <f>SUM(G315:H315)+'BM 007'!I315</f>
        <v>0</v>
      </c>
      <c r="J315" s="70">
        <f t="shared" si="134"/>
        <v>0</v>
      </c>
      <c r="K315" s="71"/>
      <c r="L315" s="71">
        <f t="shared" si="133"/>
        <v>0</v>
      </c>
      <c r="M315" s="73">
        <f t="shared" ref="M315:R315" si="148">SUM(M316)</f>
        <v>0</v>
      </c>
      <c r="N315" s="73">
        <f t="shared" si="148"/>
        <v>0</v>
      </c>
      <c r="O315" s="73">
        <f t="shared" si="148"/>
        <v>0</v>
      </c>
      <c r="P315" s="73">
        <f t="shared" si="148"/>
        <v>660</v>
      </c>
      <c r="Q315" s="73">
        <f t="shared" si="148"/>
        <v>836.61</v>
      </c>
      <c r="R315" s="73">
        <f t="shared" si="148"/>
        <v>836.61</v>
      </c>
    </row>
    <row r="316" spans="2:18" s="34" customFormat="1" ht="13.2">
      <c r="B316" s="75" t="s">
        <v>624</v>
      </c>
      <c r="C316" s="76" t="s">
        <v>625</v>
      </c>
      <c r="D316" s="77" t="s">
        <v>131</v>
      </c>
      <c r="E316" s="78">
        <v>3</v>
      </c>
      <c r="F316" s="79"/>
      <c r="G316" s="79"/>
      <c r="H316" s="79"/>
      <c r="I316" s="79">
        <f>SUM(G316:H316)+'BM 007'!I316</f>
        <v>0</v>
      </c>
      <c r="J316" s="79">
        <f t="shared" si="134"/>
        <v>3</v>
      </c>
      <c r="K316" s="84">
        <v>220</v>
      </c>
      <c r="L316" s="81">
        <f t="shared" si="133"/>
        <v>278.8720242</v>
      </c>
      <c r="M316" s="82">
        <f>TRUNC(F316*L316,2)</f>
        <v>0</v>
      </c>
      <c r="N316" s="82">
        <f>TRUNC(G316*L316,2)</f>
        <v>0</v>
      </c>
      <c r="O316" s="82">
        <f>N316+'BM 007'!O316</f>
        <v>0</v>
      </c>
      <c r="P316" s="80">
        <f>E316*K316</f>
        <v>660</v>
      </c>
      <c r="Q316" s="82">
        <f>TRUNC(E316*L316,2)</f>
        <v>836.61</v>
      </c>
      <c r="R316" s="82">
        <f>Q316-O316</f>
        <v>836.61</v>
      </c>
    </row>
    <row r="317" spans="2:18" s="34" customFormat="1" ht="13.2">
      <c r="B317" s="60" t="s">
        <v>626</v>
      </c>
      <c r="C317" s="61" t="s">
        <v>627</v>
      </c>
      <c r="D317" s="60"/>
      <c r="E317" s="62"/>
      <c r="F317" s="63"/>
      <c r="G317" s="63"/>
      <c r="H317" s="63"/>
      <c r="I317" s="63">
        <f>SUM(G317:H317)+'BM 007'!I317</f>
        <v>0</v>
      </c>
      <c r="J317" s="63">
        <f t="shared" si="134"/>
        <v>0</v>
      </c>
      <c r="K317" s="63"/>
      <c r="L317" s="63">
        <f t="shared" si="133"/>
        <v>0</v>
      </c>
      <c r="M317" s="63">
        <f t="shared" ref="M317:R317" si="149">SUM(M318:M327)</f>
        <v>0</v>
      </c>
      <c r="N317" s="63">
        <f t="shared" si="149"/>
        <v>0</v>
      </c>
      <c r="O317" s="63">
        <f t="shared" si="149"/>
        <v>0</v>
      </c>
      <c r="P317" s="63">
        <f t="shared" si="149"/>
        <v>37271.68</v>
      </c>
      <c r="Q317" s="63">
        <f t="shared" si="149"/>
        <v>47245.569999999992</v>
      </c>
      <c r="R317" s="63">
        <f t="shared" si="149"/>
        <v>47245.569999999992</v>
      </c>
    </row>
    <row r="318" spans="2:18" s="34" customFormat="1" ht="23.4">
      <c r="B318" s="75" t="s">
        <v>628</v>
      </c>
      <c r="C318" s="76" t="s">
        <v>629</v>
      </c>
      <c r="D318" s="77" t="s">
        <v>82</v>
      </c>
      <c r="E318" s="93">
        <v>170</v>
      </c>
      <c r="F318" s="79"/>
      <c r="G318" s="79"/>
      <c r="H318" s="79"/>
      <c r="I318" s="79">
        <f>SUM(G318:H318)+'BM 007'!I318</f>
        <v>0</v>
      </c>
      <c r="J318" s="79">
        <f t="shared" si="134"/>
        <v>170</v>
      </c>
      <c r="K318" s="80">
        <v>100</v>
      </c>
      <c r="L318" s="81">
        <f t="shared" si="133"/>
        <v>126.76001100000001</v>
      </c>
      <c r="M318" s="82">
        <f t="shared" ref="M318:M327" si="150">TRUNC(F318*L318,2)</f>
        <v>0</v>
      </c>
      <c r="N318" s="82">
        <f t="shared" ref="N318:N327" si="151">TRUNC(G318*L318,2)</f>
        <v>0</v>
      </c>
      <c r="O318" s="82">
        <f>N318+'BM 007'!O318</f>
        <v>0</v>
      </c>
      <c r="P318" s="80">
        <f t="shared" ref="P318:P327" si="152">E318*K318</f>
        <v>17000</v>
      </c>
      <c r="Q318" s="82">
        <f t="shared" ref="Q318:Q327" si="153">TRUNC(E318*L318,2)</f>
        <v>21549.200000000001</v>
      </c>
      <c r="R318" s="82">
        <f t="shared" ref="R318:R327" si="154">Q318-O318</f>
        <v>21549.200000000001</v>
      </c>
    </row>
    <row r="319" spans="2:18" s="34" customFormat="1" ht="23.4">
      <c r="B319" s="75" t="s">
        <v>630</v>
      </c>
      <c r="C319" s="76" t="s">
        <v>631</v>
      </c>
      <c r="D319" s="77" t="s">
        <v>131</v>
      </c>
      <c r="E319" s="93">
        <v>1</v>
      </c>
      <c r="F319" s="79"/>
      <c r="G319" s="79"/>
      <c r="H319" s="79"/>
      <c r="I319" s="79">
        <f>SUM(G319:H319)+'BM 007'!I319</f>
        <v>0</v>
      </c>
      <c r="J319" s="79">
        <f t="shared" si="134"/>
        <v>1</v>
      </c>
      <c r="K319" s="80">
        <v>1300</v>
      </c>
      <c r="L319" s="81">
        <f t="shared" si="133"/>
        <v>1647.8801430000001</v>
      </c>
      <c r="M319" s="82">
        <f t="shared" si="150"/>
        <v>0</v>
      </c>
      <c r="N319" s="82">
        <f t="shared" si="151"/>
        <v>0</v>
      </c>
      <c r="O319" s="82">
        <f>N319+'BM 007'!O319</f>
        <v>0</v>
      </c>
      <c r="P319" s="80">
        <f t="shared" si="152"/>
        <v>1300</v>
      </c>
      <c r="Q319" s="82">
        <f t="shared" si="153"/>
        <v>1647.88</v>
      </c>
      <c r="R319" s="82">
        <f t="shared" si="154"/>
        <v>1647.88</v>
      </c>
    </row>
    <row r="320" spans="2:18" s="34" customFormat="1" ht="23.4">
      <c r="B320" s="75" t="s">
        <v>632</v>
      </c>
      <c r="C320" s="76" t="s">
        <v>633</v>
      </c>
      <c r="D320" s="77" t="s">
        <v>82</v>
      </c>
      <c r="E320" s="93">
        <v>250</v>
      </c>
      <c r="F320" s="79"/>
      <c r="G320" s="79"/>
      <c r="H320" s="79"/>
      <c r="I320" s="79">
        <f>SUM(G320:H320)+'BM 007'!I320</f>
        <v>0</v>
      </c>
      <c r="J320" s="79">
        <f t="shared" si="134"/>
        <v>250</v>
      </c>
      <c r="K320" s="80">
        <v>38</v>
      </c>
      <c r="L320" s="81">
        <f t="shared" si="133"/>
        <v>48.168804180000002</v>
      </c>
      <c r="M320" s="82">
        <f t="shared" si="150"/>
        <v>0</v>
      </c>
      <c r="N320" s="82">
        <f t="shared" si="151"/>
        <v>0</v>
      </c>
      <c r="O320" s="82">
        <f>N320+'BM 007'!O320</f>
        <v>0</v>
      </c>
      <c r="P320" s="80">
        <f t="shared" si="152"/>
        <v>9500</v>
      </c>
      <c r="Q320" s="82">
        <f t="shared" si="153"/>
        <v>12042.2</v>
      </c>
      <c r="R320" s="82">
        <f t="shared" si="154"/>
        <v>12042.2</v>
      </c>
    </row>
    <row r="321" spans="2:18" s="34" customFormat="1" ht="13.2">
      <c r="B321" s="75" t="s">
        <v>634</v>
      </c>
      <c r="C321" s="76" t="s">
        <v>635</v>
      </c>
      <c r="D321" s="77" t="s">
        <v>39</v>
      </c>
      <c r="E321" s="78">
        <v>20</v>
      </c>
      <c r="F321" s="79"/>
      <c r="G321" s="79"/>
      <c r="H321" s="79"/>
      <c r="I321" s="79">
        <f>SUM(G321:H321)+'BM 007'!I321</f>
        <v>0</v>
      </c>
      <c r="J321" s="79">
        <f t="shared" si="134"/>
        <v>20</v>
      </c>
      <c r="K321" s="84">
        <v>42</v>
      </c>
      <c r="L321" s="81">
        <f t="shared" si="133"/>
        <v>53.239204620000002</v>
      </c>
      <c r="M321" s="82">
        <f t="shared" si="150"/>
        <v>0</v>
      </c>
      <c r="N321" s="82">
        <f t="shared" si="151"/>
        <v>0</v>
      </c>
      <c r="O321" s="82">
        <f>N321+'BM 007'!O321</f>
        <v>0</v>
      </c>
      <c r="P321" s="80">
        <f t="shared" si="152"/>
        <v>840</v>
      </c>
      <c r="Q321" s="82">
        <f t="shared" si="153"/>
        <v>1064.78</v>
      </c>
      <c r="R321" s="82">
        <f t="shared" si="154"/>
        <v>1064.78</v>
      </c>
    </row>
    <row r="322" spans="2:18" s="34" customFormat="1" ht="23.4">
      <c r="B322" s="75" t="s">
        <v>636</v>
      </c>
      <c r="C322" s="76" t="s">
        <v>637</v>
      </c>
      <c r="D322" s="77" t="s">
        <v>39</v>
      </c>
      <c r="E322" s="78">
        <v>30</v>
      </c>
      <c r="F322" s="79"/>
      <c r="G322" s="79"/>
      <c r="H322" s="79"/>
      <c r="I322" s="79">
        <f>SUM(G322:H322)+'BM 007'!I322</f>
        <v>0</v>
      </c>
      <c r="J322" s="79">
        <f t="shared" si="134"/>
        <v>30</v>
      </c>
      <c r="K322" s="84">
        <v>25</v>
      </c>
      <c r="L322" s="81">
        <f t="shared" si="133"/>
        <v>31.690002750000001</v>
      </c>
      <c r="M322" s="82">
        <f t="shared" si="150"/>
        <v>0</v>
      </c>
      <c r="N322" s="82">
        <f t="shared" si="151"/>
        <v>0</v>
      </c>
      <c r="O322" s="82">
        <f>N322+'BM 007'!O322</f>
        <v>0</v>
      </c>
      <c r="P322" s="80">
        <f t="shared" si="152"/>
        <v>750</v>
      </c>
      <c r="Q322" s="82">
        <f t="shared" si="153"/>
        <v>950.7</v>
      </c>
      <c r="R322" s="82">
        <f t="shared" si="154"/>
        <v>950.7</v>
      </c>
    </row>
    <row r="323" spans="2:18" s="34" customFormat="1" ht="46.2">
      <c r="B323" s="75" t="s">
        <v>638</v>
      </c>
      <c r="C323" s="76" t="s">
        <v>639</v>
      </c>
      <c r="D323" s="77" t="s">
        <v>39</v>
      </c>
      <c r="E323" s="78">
        <v>2</v>
      </c>
      <c r="F323" s="79"/>
      <c r="G323" s="79"/>
      <c r="H323" s="79"/>
      <c r="I323" s="79">
        <f>SUM(G323:H323)+'BM 007'!I323</f>
        <v>0</v>
      </c>
      <c r="J323" s="79">
        <f t="shared" si="134"/>
        <v>2</v>
      </c>
      <c r="K323" s="84">
        <v>1800</v>
      </c>
      <c r="L323" s="81">
        <f t="shared" si="133"/>
        <v>2281.680198</v>
      </c>
      <c r="M323" s="82">
        <f t="shared" si="150"/>
        <v>0</v>
      </c>
      <c r="N323" s="82">
        <f t="shared" si="151"/>
        <v>0</v>
      </c>
      <c r="O323" s="82">
        <f>N323+'BM 007'!O323</f>
        <v>0</v>
      </c>
      <c r="P323" s="80">
        <f t="shared" si="152"/>
        <v>3600</v>
      </c>
      <c r="Q323" s="82">
        <f t="shared" si="153"/>
        <v>4563.3599999999997</v>
      </c>
      <c r="R323" s="82">
        <f t="shared" si="154"/>
        <v>4563.3599999999997</v>
      </c>
    </row>
    <row r="324" spans="2:18" s="34" customFormat="1" ht="23.4">
      <c r="B324" s="75" t="s">
        <v>640</v>
      </c>
      <c r="C324" s="76" t="s">
        <v>641</v>
      </c>
      <c r="D324" s="77" t="s">
        <v>39</v>
      </c>
      <c r="E324" s="78">
        <v>17</v>
      </c>
      <c r="F324" s="79"/>
      <c r="G324" s="79"/>
      <c r="H324" s="79"/>
      <c r="I324" s="79">
        <f>SUM(G324:H324)+'BM 007'!I324</f>
        <v>0</v>
      </c>
      <c r="J324" s="79">
        <f t="shared" si="134"/>
        <v>17</v>
      </c>
      <c r="K324" s="84">
        <v>160</v>
      </c>
      <c r="L324" s="81">
        <f t="shared" si="133"/>
        <v>202.81601760000001</v>
      </c>
      <c r="M324" s="82">
        <f t="shared" si="150"/>
        <v>0</v>
      </c>
      <c r="N324" s="82">
        <f t="shared" si="151"/>
        <v>0</v>
      </c>
      <c r="O324" s="82">
        <f>N324+'BM 007'!O324</f>
        <v>0</v>
      </c>
      <c r="P324" s="80">
        <f t="shared" si="152"/>
        <v>2720</v>
      </c>
      <c r="Q324" s="82">
        <f t="shared" si="153"/>
        <v>3447.87</v>
      </c>
      <c r="R324" s="82">
        <f t="shared" si="154"/>
        <v>3447.87</v>
      </c>
    </row>
    <row r="325" spans="2:18" s="34" customFormat="1" ht="13.2">
      <c r="B325" s="75" t="s">
        <v>642</v>
      </c>
      <c r="C325" s="76" t="s">
        <v>643</v>
      </c>
      <c r="D325" s="77" t="s">
        <v>39</v>
      </c>
      <c r="E325" s="78">
        <v>100</v>
      </c>
      <c r="F325" s="79"/>
      <c r="G325" s="79"/>
      <c r="H325" s="79"/>
      <c r="I325" s="79">
        <f>SUM(G325:H325)+'BM 007'!I325</f>
        <v>0</v>
      </c>
      <c r="J325" s="79">
        <f t="shared" si="134"/>
        <v>100</v>
      </c>
      <c r="K325" s="84">
        <v>5.27</v>
      </c>
      <c r="L325" s="81">
        <f t="shared" si="133"/>
        <v>6.6802525796999994</v>
      </c>
      <c r="M325" s="82">
        <f t="shared" si="150"/>
        <v>0</v>
      </c>
      <c r="N325" s="82">
        <f t="shared" si="151"/>
        <v>0</v>
      </c>
      <c r="O325" s="82">
        <f>N325+'BM 007'!O325</f>
        <v>0</v>
      </c>
      <c r="P325" s="80">
        <f t="shared" si="152"/>
        <v>527</v>
      </c>
      <c r="Q325" s="82">
        <f t="shared" si="153"/>
        <v>668.02</v>
      </c>
      <c r="R325" s="82">
        <f t="shared" si="154"/>
        <v>668.02</v>
      </c>
    </row>
    <row r="326" spans="2:18" s="34" customFormat="1" ht="23.25" customHeight="1">
      <c r="B326" s="75" t="s">
        <v>644</v>
      </c>
      <c r="C326" s="76" t="s">
        <v>645</v>
      </c>
      <c r="D326" s="77" t="s">
        <v>124</v>
      </c>
      <c r="E326" s="78">
        <v>12</v>
      </c>
      <c r="F326" s="79"/>
      <c r="G326" s="79"/>
      <c r="H326" s="79"/>
      <c r="I326" s="79">
        <f>SUM(G326:H326)+'BM 007'!I326</f>
        <v>0</v>
      </c>
      <c r="J326" s="79">
        <f t="shared" si="134"/>
        <v>12</v>
      </c>
      <c r="K326" s="84">
        <v>15.39</v>
      </c>
      <c r="L326" s="81">
        <f t="shared" si="133"/>
        <v>19.5083656929</v>
      </c>
      <c r="M326" s="82">
        <f t="shared" si="150"/>
        <v>0</v>
      </c>
      <c r="N326" s="82">
        <f t="shared" si="151"/>
        <v>0</v>
      </c>
      <c r="O326" s="82">
        <f>N326+'BM 007'!O326</f>
        <v>0</v>
      </c>
      <c r="P326" s="80">
        <f t="shared" si="152"/>
        <v>184.68</v>
      </c>
      <c r="Q326" s="82">
        <f t="shared" si="153"/>
        <v>234.1</v>
      </c>
      <c r="R326" s="82">
        <f t="shared" si="154"/>
        <v>234.1</v>
      </c>
    </row>
    <row r="327" spans="2:18" s="34" customFormat="1" ht="23.4">
      <c r="B327" s="75" t="s">
        <v>646</v>
      </c>
      <c r="C327" s="76" t="s">
        <v>647</v>
      </c>
      <c r="D327" s="77" t="s">
        <v>39</v>
      </c>
      <c r="E327" s="78">
        <v>17</v>
      </c>
      <c r="F327" s="79"/>
      <c r="G327" s="79"/>
      <c r="H327" s="79"/>
      <c r="I327" s="79">
        <f>SUM(G327:H327)+'BM 007'!I327</f>
        <v>0</v>
      </c>
      <c r="J327" s="79">
        <f t="shared" si="134"/>
        <v>17</v>
      </c>
      <c r="K327" s="84">
        <v>50</v>
      </c>
      <c r="L327" s="81">
        <f t="shared" si="133"/>
        <v>63.380005500000003</v>
      </c>
      <c r="M327" s="82">
        <f t="shared" si="150"/>
        <v>0</v>
      </c>
      <c r="N327" s="82">
        <f t="shared" si="151"/>
        <v>0</v>
      </c>
      <c r="O327" s="82">
        <f>N327+'BM 007'!O327</f>
        <v>0</v>
      </c>
      <c r="P327" s="80">
        <f t="shared" si="152"/>
        <v>850</v>
      </c>
      <c r="Q327" s="82">
        <f t="shared" si="153"/>
        <v>1077.46</v>
      </c>
      <c r="R327" s="82">
        <f t="shared" si="154"/>
        <v>1077.46</v>
      </c>
    </row>
    <row r="328" spans="2:18" s="34" customFormat="1" ht="13.2">
      <c r="B328" s="60" t="s">
        <v>648</v>
      </c>
      <c r="C328" s="61" t="s">
        <v>649</v>
      </c>
      <c r="D328" s="60"/>
      <c r="E328" s="62"/>
      <c r="F328" s="63"/>
      <c r="G328" s="63"/>
      <c r="H328" s="63"/>
      <c r="I328" s="63">
        <f>SUM(G328:H328)+'BM 007'!I328</f>
        <v>0</v>
      </c>
      <c r="J328" s="63">
        <f t="shared" si="134"/>
        <v>0</v>
      </c>
      <c r="K328" s="63"/>
      <c r="L328" s="63">
        <f t="shared" si="133"/>
        <v>0</v>
      </c>
      <c r="M328" s="63">
        <f t="shared" ref="M328:R328" si="155">SUM(M329,M337,M395,M406,M474)</f>
        <v>0</v>
      </c>
      <c r="N328" s="63">
        <f t="shared" si="155"/>
        <v>0</v>
      </c>
      <c r="O328" s="63">
        <f t="shared" si="155"/>
        <v>6476.81</v>
      </c>
      <c r="P328" s="63">
        <f t="shared" si="155"/>
        <v>482517.43010000006</v>
      </c>
      <c r="Q328" s="63">
        <f t="shared" si="155"/>
        <v>611638.38000000012</v>
      </c>
      <c r="R328" s="63">
        <f t="shared" si="155"/>
        <v>605161.57000000007</v>
      </c>
    </row>
    <row r="329" spans="2:18" s="34" customFormat="1" ht="13.2">
      <c r="B329" s="66" t="s">
        <v>650</v>
      </c>
      <c r="C329" s="67" t="s">
        <v>651</v>
      </c>
      <c r="D329" s="68"/>
      <c r="E329" s="69"/>
      <c r="F329" s="70"/>
      <c r="G329" s="70"/>
      <c r="H329" s="70"/>
      <c r="I329" s="70">
        <f>SUM(G329:H329)+'BM 007'!I329</f>
        <v>0</v>
      </c>
      <c r="J329" s="70">
        <f t="shared" si="134"/>
        <v>0</v>
      </c>
      <c r="K329" s="71"/>
      <c r="L329" s="71">
        <f t="shared" si="133"/>
        <v>0</v>
      </c>
      <c r="M329" s="73">
        <f t="shared" ref="M329:R329" si="156">SUM(M330:M336)</f>
        <v>0</v>
      </c>
      <c r="N329" s="73">
        <f t="shared" si="156"/>
        <v>0</v>
      </c>
      <c r="O329" s="73">
        <f t="shared" si="156"/>
        <v>2814.07</v>
      </c>
      <c r="P329" s="73">
        <f t="shared" si="156"/>
        <v>39545.715000000004</v>
      </c>
      <c r="Q329" s="73">
        <f t="shared" si="156"/>
        <v>50128.12</v>
      </c>
      <c r="R329" s="73">
        <f t="shared" si="156"/>
        <v>47314.05</v>
      </c>
    </row>
    <row r="330" spans="2:18" s="34" customFormat="1" ht="23.4">
      <c r="B330" s="75" t="s">
        <v>652</v>
      </c>
      <c r="C330" s="76" t="s">
        <v>653</v>
      </c>
      <c r="D330" s="77" t="s">
        <v>82</v>
      </c>
      <c r="E330" s="90">
        <v>9.3800000000000008</v>
      </c>
      <c r="F330" s="91"/>
      <c r="G330" s="91"/>
      <c r="H330" s="91"/>
      <c r="I330" s="91">
        <f>SUM(G330:H330)+'BM 007'!I330</f>
        <v>0</v>
      </c>
      <c r="J330" s="91">
        <f t="shared" si="134"/>
        <v>9.3800000000000008</v>
      </c>
      <c r="K330" s="80">
        <v>6.5</v>
      </c>
      <c r="L330" s="81">
        <f t="shared" si="133"/>
        <v>8.2394007150000004</v>
      </c>
      <c r="M330" s="82">
        <f t="shared" ref="M330:M336" si="157">TRUNC(F330*L330,2)</f>
        <v>0</v>
      </c>
      <c r="N330" s="82">
        <f t="shared" ref="N330:N336" si="158">TRUNC(G330*L330,2)</f>
        <v>0</v>
      </c>
      <c r="O330" s="82">
        <f>N330+'BM 007'!O330</f>
        <v>0</v>
      </c>
      <c r="P330" s="80">
        <f t="shared" ref="P330:P336" si="159">E330*K330</f>
        <v>60.970000000000006</v>
      </c>
      <c r="Q330" s="82">
        <f t="shared" ref="Q330:Q336" si="160">TRUNC(E330*L330,2)</f>
        <v>77.28</v>
      </c>
      <c r="R330" s="82">
        <f t="shared" ref="R330:R336" si="161">Q330-O330</f>
        <v>77.28</v>
      </c>
    </row>
    <row r="331" spans="2:18" s="34" customFormat="1" ht="23.4">
      <c r="B331" s="75" t="s">
        <v>654</v>
      </c>
      <c r="C331" s="76" t="s">
        <v>655</v>
      </c>
      <c r="D331" s="77" t="s">
        <v>82</v>
      </c>
      <c r="E331" s="90">
        <v>1074.94</v>
      </c>
      <c r="F331" s="91"/>
      <c r="G331" s="91"/>
      <c r="H331" s="91"/>
      <c r="I331" s="91">
        <f>SUM(G331:H331)+'BM 007'!I331</f>
        <v>0</v>
      </c>
      <c r="J331" s="91">
        <f t="shared" si="134"/>
        <v>1074.94</v>
      </c>
      <c r="K331" s="80">
        <v>8</v>
      </c>
      <c r="L331" s="81">
        <f t="shared" si="133"/>
        <v>10.14080088</v>
      </c>
      <c r="M331" s="82">
        <f t="shared" si="157"/>
        <v>0</v>
      </c>
      <c r="N331" s="82">
        <f t="shared" si="158"/>
        <v>0</v>
      </c>
      <c r="O331" s="82">
        <f>N331+'BM 007'!O331</f>
        <v>0</v>
      </c>
      <c r="P331" s="80">
        <f t="shared" si="159"/>
        <v>8599.52</v>
      </c>
      <c r="Q331" s="82">
        <f t="shared" si="160"/>
        <v>10900.75</v>
      </c>
      <c r="R331" s="82">
        <f t="shared" si="161"/>
        <v>10900.75</v>
      </c>
    </row>
    <row r="332" spans="2:18" s="34" customFormat="1" ht="23.4">
      <c r="B332" s="75" t="s">
        <v>656</v>
      </c>
      <c r="C332" s="76" t="s">
        <v>657</v>
      </c>
      <c r="D332" s="77" t="s">
        <v>82</v>
      </c>
      <c r="E332" s="93">
        <v>17.41</v>
      </c>
      <c r="F332" s="79"/>
      <c r="G332" s="79"/>
      <c r="H332" s="79"/>
      <c r="I332" s="79">
        <f>SUM(G332:H332)+'BM 007'!I332</f>
        <v>0</v>
      </c>
      <c r="J332" s="79">
        <f t="shared" si="134"/>
        <v>17.41</v>
      </c>
      <c r="K332" s="80">
        <v>17.5</v>
      </c>
      <c r="L332" s="81">
        <f t="shared" si="133"/>
        <v>22.183001924999999</v>
      </c>
      <c r="M332" s="82">
        <f t="shared" si="157"/>
        <v>0</v>
      </c>
      <c r="N332" s="82">
        <f t="shared" si="158"/>
        <v>0</v>
      </c>
      <c r="O332" s="82">
        <f>N332+'BM 007'!O332</f>
        <v>0</v>
      </c>
      <c r="P332" s="80">
        <f t="shared" si="159"/>
        <v>304.67500000000001</v>
      </c>
      <c r="Q332" s="82">
        <f t="shared" si="160"/>
        <v>386.2</v>
      </c>
      <c r="R332" s="82">
        <f t="shared" si="161"/>
        <v>386.2</v>
      </c>
    </row>
    <row r="333" spans="2:18" s="34" customFormat="1" ht="23.4">
      <c r="B333" s="75" t="s">
        <v>658</v>
      </c>
      <c r="C333" s="76" t="s">
        <v>659</v>
      </c>
      <c r="D333" s="77" t="s">
        <v>82</v>
      </c>
      <c r="E333" s="93">
        <v>471.41</v>
      </c>
      <c r="F333" s="79"/>
      <c r="G333" s="79"/>
      <c r="H333" s="79"/>
      <c r="I333" s="79">
        <f>SUM(G333:H333)+'BM 007'!I333</f>
        <v>0</v>
      </c>
      <c r="J333" s="79">
        <f t="shared" si="134"/>
        <v>471.41</v>
      </c>
      <c r="K333" s="80">
        <v>23.5</v>
      </c>
      <c r="L333" s="81">
        <f t="shared" si="133"/>
        <v>29.788602585</v>
      </c>
      <c r="M333" s="82">
        <f t="shared" si="157"/>
        <v>0</v>
      </c>
      <c r="N333" s="82">
        <f t="shared" si="158"/>
        <v>0</v>
      </c>
      <c r="O333" s="82">
        <f>N333+'BM 007'!O333</f>
        <v>0</v>
      </c>
      <c r="P333" s="80">
        <f t="shared" si="159"/>
        <v>11078.135</v>
      </c>
      <c r="Q333" s="82">
        <f t="shared" si="160"/>
        <v>14042.64</v>
      </c>
      <c r="R333" s="82">
        <f t="shared" si="161"/>
        <v>14042.64</v>
      </c>
    </row>
    <row r="334" spans="2:18" s="34" customFormat="1" ht="23.4">
      <c r="B334" s="75" t="s">
        <v>660</v>
      </c>
      <c r="C334" s="76" t="s">
        <v>661</v>
      </c>
      <c r="D334" s="77" t="s">
        <v>82</v>
      </c>
      <c r="E334" s="93">
        <v>25.81</v>
      </c>
      <c r="F334" s="79"/>
      <c r="G334" s="79"/>
      <c r="H334" s="79"/>
      <c r="I334" s="79">
        <f>SUM(G334:H334)+'BM 007'!I334</f>
        <v>0</v>
      </c>
      <c r="J334" s="79">
        <f t="shared" si="134"/>
        <v>25.81</v>
      </c>
      <c r="K334" s="80">
        <v>27.5</v>
      </c>
      <c r="L334" s="81">
        <f t="shared" si="133"/>
        <v>34.859003025</v>
      </c>
      <c r="M334" s="82">
        <f t="shared" si="157"/>
        <v>0</v>
      </c>
      <c r="N334" s="82">
        <f t="shared" si="158"/>
        <v>0</v>
      </c>
      <c r="O334" s="82">
        <f>N334+'BM 007'!O334</f>
        <v>0</v>
      </c>
      <c r="P334" s="80">
        <f t="shared" si="159"/>
        <v>709.77499999999998</v>
      </c>
      <c r="Q334" s="82">
        <f t="shared" si="160"/>
        <v>899.71</v>
      </c>
      <c r="R334" s="82">
        <f t="shared" si="161"/>
        <v>899.71</v>
      </c>
    </row>
    <row r="335" spans="2:18" s="34" customFormat="1" ht="23.4">
      <c r="B335" s="75" t="s">
        <v>662</v>
      </c>
      <c r="C335" s="76" t="s">
        <v>663</v>
      </c>
      <c r="D335" s="77" t="s">
        <v>124</v>
      </c>
      <c r="E335" s="93">
        <v>165.66</v>
      </c>
      <c r="F335" s="79"/>
      <c r="G335" s="79"/>
      <c r="H335" s="79"/>
      <c r="I335" s="79">
        <f>SUM(G335:H335)+'BM 007'!I335</f>
        <v>0</v>
      </c>
      <c r="J335" s="79">
        <f t="shared" si="134"/>
        <v>165.66</v>
      </c>
      <c r="K335" s="80">
        <v>41</v>
      </c>
      <c r="L335" s="81">
        <f t="shared" si="133"/>
        <v>51.971604510000006</v>
      </c>
      <c r="M335" s="82">
        <f t="shared" si="157"/>
        <v>0</v>
      </c>
      <c r="N335" s="82">
        <f t="shared" si="158"/>
        <v>0</v>
      </c>
      <c r="O335" s="82">
        <f>N335+'BM 007'!O335</f>
        <v>0</v>
      </c>
      <c r="P335" s="80">
        <f t="shared" si="159"/>
        <v>6792.0599999999995</v>
      </c>
      <c r="Q335" s="82">
        <f t="shared" si="160"/>
        <v>8609.61</v>
      </c>
      <c r="R335" s="82">
        <f t="shared" si="161"/>
        <v>8609.61</v>
      </c>
    </row>
    <row r="336" spans="2:18" s="34" customFormat="1" ht="23.4">
      <c r="B336" s="75" t="s">
        <v>664</v>
      </c>
      <c r="C336" s="76" t="s">
        <v>665</v>
      </c>
      <c r="D336" s="77" t="s">
        <v>124</v>
      </c>
      <c r="E336" s="93">
        <v>162.16999999999999</v>
      </c>
      <c r="F336" s="79"/>
      <c r="G336" s="79"/>
      <c r="H336" s="79"/>
      <c r="I336" s="79">
        <f>SUM(G336:H336)+'BM 007'!I336</f>
        <v>30</v>
      </c>
      <c r="J336" s="79">
        <f t="shared" si="134"/>
        <v>132.16999999999999</v>
      </c>
      <c r="K336" s="80">
        <v>74</v>
      </c>
      <c r="L336" s="81">
        <f t="shared" si="133"/>
        <v>93.802408140000011</v>
      </c>
      <c r="M336" s="82">
        <f t="shared" si="157"/>
        <v>0</v>
      </c>
      <c r="N336" s="82">
        <f t="shared" si="158"/>
        <v>0</v>
      </c>
      <c r="O336" s="82">
        <f>N336+'BM 007'!O336</f>
        <v>2814.07</v>
      </c>
      <c r="P336" s="80">
        <f t="shared" si="159"/>
        <v>12000.58</v>
      </c>
      <c r="Q336" s="82">
        <f t="shared" si="160"/>
        <v>15211.93</v>
      </c>
      <c r="R336" s="82">
        <f t="shared" si="161"/>
        <v>12397.86</v>
      </c>
    </row>
    <row r="337" spans="2:18" s="34" customFormat="1" ht="24">
      <c r="B337" s="66" t="s">
        <v>666</v>
      </c>
      <c r="C337" s="67" t="s">
        <v>667</v>
      </c>
      <c r="D337" s="68"/>
      <c r="E337" s="69"/>
      <c r="F337" s="70"/>
      <c r="G337" s="70"/>
      <c r="H337" s="70"/>
      <c r="I337" s="70">
        <f>SUM(G337:H337)+'BM 007'!I337</f>
        <v>0</v>
      </c>
      <c r="J337" s="70">
        <f t="shared" si="134"/>
        <v>0</v>
      </c>
      <c r="K337" s="71"/>
      <c r="L337" s="71">
        <f t="shared" si="133"/>
        <v>0</v>
      </c>
      <c r="M337" s="73">
        <f t="shared" ref="M337:R337" si="162">SUM(M338:M394)</f>
        <v>0</v>
      </c>
      <c r="N337" s="73">
        <f t="shared" si="162"/>
        <v>0</v>
      </c>
      <c r="O337" s="73">
        <f t="shared" si="162"/>
        <v>848.67</v>
      </c>
      <c r="P337" s="73">
        <f t="shared" si="162"/>
        <v>49585.86</v>
      </c>
      <c r="Q337" s="73">
        <f t="shared" si="162"/>
        <v>62854.749999999985</v>
      </c>
      <c r="R337" s="73">
        <f t="shared" si="162"/>
        <v>62006.079999999987</v>
      </c>
    </row>
    <row r="338" spans="2:18" s="34" customFormat="1" ht="46.2">
      <c r="B338" s="75" t="s">
        <v>668</v>
      </c>
      <c r="C338" s="76" t="s">
        <v>669</v>
      </c>
      <c r="D338" s="77" t="s">
        <v>131</v>
      </c>
      <c r="E338" s="93">
        <v>2</v>
      </c>
      <c r="F338" s="79"/>
      <c r="G338" s="79"/>
      <c r="H338" s="79"/>
      <c r="I338" s="79">
        <f>SUM(G338:H338)+'BM 007'!I338</f>
        <v>0</v>
      </c>
      <c r="J338" s="79">
        <f t="shared" si="134"/>
        <v>2</v>
      </c>
      <c r="K338" s="80">
        <v>119</v>
      </c>
      <c r="L338" s="81">
        <f t="shared" si="133"/>
        <v>150.84441309000002</v>
      </c>
      <c r="M338" s="82">
        <f t="shared" ref="M338:M369" si="163">TRUNC(F338*L338,2)</f>
        <v>0</v>
      </c>
      <c r="N338" s="82">
        <f t="shared" ref="N338:N369" si="164">TRUNC(G338*L338,2)</f>
        <v>0</v>
      </c>
      <c r="O338" s="82">
        <f>N338+'BM 007'!O338</f>
        <v>0</v>
      </c>
      <c r="P338" s="80">
        <f t="shared" ref="P338:P369" si="165">E338*K338</f>
        <v>238</v>
      </c>
      <c r="Q338" s="82">
        <f t="shared" ref="Q338:Q369" si="166">TRUNC(E338*L338,2)</f>
        <v>301.68</v>
      </c>
      <c r="R338" s="82">
        <f t="shared" ref="R338:R369" si="167">Q338-O338</f>
        <v>301.68</v>
      </c>
    </row>
    <row r="339" spans="2:18" s="34" customFormat="1" ht="46.2">
      <c r="B339" s="75" t="s">
        <v>670</v>
      </c>
      <c r="C339" s="76" t="s">
        <v>671</v>
      </c>
      <c r="D339" s="77" t="s">
        <v>131</v>
      </c>
      <c r="E339" s="93">
        <v>12</v>
      </c>
      <c r="F339" s="79"/>
      <c r="G339" s="79"/>
      <c r="H339" s="79"/>
      <c r="I339" s="79">
        <f>SUM(G339:H339)+'BM 007'!I339</f>
        <v>0</v>
      </c>
      <c r="J339" s="79">
        <f t="shared" si="134"/>
        <v>12</v>
      </c>
      <c r="K339" s="80">
        <v>215</v>
      </c>
      <c r="L339" s="81">
        <f t="shared" si="133"/>
        <v>272.53402364999999</v>
      </c>
      <c r="M339" s="82">
        <f t="shared" si="163"/>
        <v>0</v>
      </c>
      <c r="N339" s="82">
        <f t="shared" si="164"/>
        <v>0</v>
      </c>
      <c r="O339" s="82">
        <f>N339+'BM 007'!O339</f>
        <v>0</v>
      </c>
      <c r="P339" s="80">
        <f t="shared" si="165"/>
        <v>2580</v>
      </c>
      <c r="Q339" s="82">
        <f t="shared" si="166"/>
        <v>3270.4</v>
      </c>
      <c r="R339" s="82">
        <f t="shared" si="167"/>
        <v>3270.4</v>
      </c>
    </row>
    <row r="340" spans="2:18" s="34" customFormat="1" ht="23.4">
      <c r="B340" s="75" t="s">
        <v>672</v>
      </c>
      <c r="C340" s="76" t="s">
        <v>673</v>
      </c>
      <c r="D340" s="77" t="s">
        <v>131</v>
      </c>
      <c r="E340" s="93">
        <v>15</v>
      </c>
      <c r="F340" s="79"/>
      <c r="G340" s="79"/>
      <c r="H340" s="79"/>
      <c r="I340" s="79">
        <f>SUM(G340:H340)+'BM 007'!I340</f>
        <v>0</v>
      </c>
      <c r="J340" s="79">
        <f t="shared" si="134"/>
        <v>15</v>
      </c>
      <c r="K340" s="80">
        <v>98</v>
      </c>
      <c r="L340" s="81">
        <f t="shared" si="133"/>
        <v>124.22481078000001</v>
      </c>
      <c r="M340" s="82">
        <f t="shared" si="163"/>
        <v>0</v>
      </c>
      <c r="N340" s="82">
        <f t="shared" si="164"/>
        <v>0</v>
      </c>
      <c r="O340" s="82">
        <f>N340+'BM 007'!O340</f>
        <v>0</v>
      </c>
      <c r="P340" s="80">
        <f t="shared" si="165"/>
        <v>1470</v>
      </c>
      <c r="Q340" s="82">
        <f t="shared" si="166"/>
        <v>1863.37</v>
      </c>
      <c r="R340" s="82">
        <f t="shared" si="167"/>
        <v>1863.37</v>
      </c>
    </row>
    <row r="341" spans="2:18" s="34" customFormat="1" ht="34.799999999999997">
      <c r="B341" s="75" t="s">
        <v>674</v>
      </c>
      <c r="C341" s="76" t="s">
        <v>675</v>
      </c>
      <c r="D341" s="77" t="s">
        <v>131</v>
      </c>
      <c r="E341" s="93">
        <v>5</v>
      </c>
      <c r="F341" s="79"/>
      <c r="G341" s="79"/>
      <c r="H341" s="79"/>
      <c r="I341" s="79">
        <f>SUM(G341:H341)+'BM 007'!I341</f>
        <v>0</v>
      </c>
      <c r="J341" s="79">
        <f t="shared" si="134"/>
        <v>5</v>
      </c>
      <c r="K341" s="80">
        <v>52</v>
      </c>
      <c r="L341" s="81">
        <f t="shared" si="133"/>
        <v>65.915205720000003</v>
      </c>
      <c r="M341" s="82">
        <f t="shared" si="163"/>
        <v>0</v>
      </c>
      <c r="N341" s="82">
        <f t="shared" si="164"/>
        <v>0</v>
      </c>
      <c r="O341" s="82">
        <f>N341+'BM 007'!O341</f>
        <v>0</v>
      </c>
      <c r="P341" s="80">
        <f t="shared" si="165"/>
        <v>260</v>
      </c>
      <c r="Q341" s="82">
        <f t="shared" si="166"/>
        <v>329.57</v>
      </c>
      <c r="R341" s="82">
        <f t="shared" si="167"/>
        <v>329.57</v>
      </c>
    </row>
    <row r="342" spans="2:18" s="34" customFormat="1" ht="34.799999999999997">
      <c r="B342" s="75" t="s">
        <v>676</v>
      </c>
      <c r="C342" s="76" t="s">
        <v>677</v>
      </c>
      <c r="D342" s="77" t="s">
        <v>131</v>
      </c>
      <c r="E342" s="93">
        <v>160</v>
      </c>
      <c r="F342" s="79"/>
      <c r="G342" s="79"/>
      <c r="H342" s="79"/>
      <c r="I342" s="79">
        <f>SUM(G342:H342)+'BM 007'!I342</f>
        <v>0</v>
      </c>
      <c r="J342" s="79">
        <f t="shared" si="134"/>
        <v>160</v>
      </c>
      <c r="K342" s="80">
        <v>105.95</v>
      </c>
      <c r="L342" s="81">
        <f t="shared" si="133"/>
        <v>134.30223165450002</v>
      </c>
      <c r="M342" s="82">
        <f t="shared" si="163"/>
        <v>0</v>
      </c>
      <c r="N342" s="82">
        <f t="shared" si="164"/>
        <v>0</v>
      </c>
      <c r="O342" s="82">
        <f>N342+'BM 007'!O342</f>
        <v>0</v>
      </c>
      <c r="P342" s="80">
        <f t="shared" si="165"/>
        <v>16952</v>
      </c>
      <c r="Q342" s="82">
        <f t="shared" si="166"/>
        <v>21488.35</v>
      </c>
      <c r="R342" s="82">
        <f t="shared" si="167"/>
        <v>21488.35</v>
      </c>
    </row>
    <row r="343" spans="2:18" s="34" customFormat="1" ht="23.4">
      <c r="B343" s="75" t="s">
        <v>678</v>
      </c>
      <c r="C343" s="76" t="s">
        <v>679</v>
      </c>
      <c r="D343" s="77" t="s">
        <v>131</v>
      </c>
      <c r="E343" s="93">
        <v>11</v>
      </c>
      <c r="F343" s="79"/>
      <c r="G343" s="79"/>
      <c r="H343" s="79"/>
      <c r="I343" s="79">
        <f>SUM(G343:H343)+'BM 007'!I343</f>
        <v>0</v>
      </c>
      <c r="J343" s="79">
        <f t="shared" si="134"/>
        <v>11</v>
      </c>
      <c r="K343" s="80">
        <v>485</v>
      </c>
      <c r="L343" s="81">
        <f t="shared" si="133"/>
        <v>614.78605334999997</v>
      </c>
      <c r="M343" s="82">
        <f t="shared" si="163"/>
        <v>0</v>
      </c>
      <c r="N343" s="82">
        <f t="shared" si="164"/>
        <v>0</v>
      </c>
      <c r="O343" s="82">
        <f>N343+'BM 007'!O343</f>
        <v>0</v>
      </c>
      <c r="P343" s="80">
        <f t="shared" si="165"/>
        <v>5335</v>
      </c>
      <c r="Q343" s="82">
        <f t="shared" si="166"/>
        <v>6762.64</v>
      </c>
      <c r="R343" s="82">
        <f t="shared" si="167"/>
        <v>6762.64</v>
      </c>
    </row>
    <row r="344" spans="2:18" s="34" customFormat="1" ht="34.799999999999997">
      <c r="B344" s="75" t="s">
        <v>680</v>
      </c>
      <c r="C344" s="88" t="s">
        <v>681</v>
      </c>
      <c r="D344" s="89" t="s">
        <v>131</v>
      </c>
      <c r="E344" s="90">
        <v>3</v>
      </c>
      <c r="F344" s="91"/>
      <c r="G344" s="91"/>
      <c r="H344" s="91"/>
      <c r="I344" s="91">
        <f>SUM(G344:H344)+'BM 007'!I344</f>
        <v>0</v>
      </c>
      <c r="J344" s="91">
        <f t="shared" si="134"/>
        <v>3</v>
      </c>
      <c r="K344" s="80">
        <v>165</v>
      </c>
      <c r="L344" s="81">
        <f t="shared" si="133"/>
        <v>209.15401815000001</v>
      </c>
      <c r="M344" s="82">
        <f t="shared" si="163"/>
        <v>0</v>
      </c>
      <c r="N344" s="82">
        <f t="shared" si="164"/>
        <v>0</v>
      </c>
      <c r="O344" s="82">
        <f>N344+'BM 007'!O344</f>
        <v>0</v>
      </c>
      <c r="P344" s="80">
        <f t="shared" si="165"/>
        <v>495</v>
      </c>
      <c r="Q344" s="82">
        <f t="shared" si="166"/>
        <v>627.46</v>
      </c>
      <c r="R344" s="82">
        <f t="shared" si="167"/>
        <v>627.46</v>
      </c>
    </row>
    <row r="345" spans="2:18" s="34" customFormat="1" ht="23.4">
      <c r="B345" s="75" t="s">
        <v>682</v>
      </c>
      <c r="C345" s="88" t="s">
        <v>683</v>
      </c>
      <c r="D345" s="89" t="s">
        <v>131</v>
      </c>
      <c r="E345" s="90">
        <v>1</v>
      </c>
      <c r="F345" s="91"/>
      <c r="G345" s="91"/>
      <c r="H345" s="91"/>
      <c r="I345" s="91">
        <f>SUM(G345:H345)+'BM 007'!I345</f>
        <v>0</v>
      </c>
      <c r="J345" s="91">
        <f t="shared" si="134"/>
        <v>1</v>
      </c>
      <c r="K345" s="80">
        <v>169</v>
      </c>
      <c r="L345" s="81">
        <f t="shared" si="133"/>
        <v>214.22441859</v>
      </c>
      <c r="M345" s="82">
        <f t="shared" si="163"/>
        <v>0</v>
      </c>
      <c r="N345" s="82">
        <f t="shared" si="164"/>
        <v>0</v>
      </c>
      <c r="O345" s="82">
        <f>N345+'BM 007'!O345</f>
        <v>0</v>
      </c>
      <c r="P345" s="80">
        <f t="shared" si="165"/>
        <v>169</v>
      </c>
      <c r="Q345" s="82">
        <f t="shared" si="166"/>
        <v>214.22</v>
      </c>
      <c r="R345" s="82">
        <f t="shared" si="167"/>
        <v>214.22</v>
      </c>
    </row>
    <row r="346" spans="2:18" s="34" customFormat="1" ht="23.4">
      <c r="B346" s="75" t="s">
        <v>684</v>
      </c>
      <c r="C346" s="88" t="s">
        <v>685</v>
      </c>
      <c r="D346" s="89" t="s">
        <v>131</v>
      </c>
      <c r="E346" s="90">
        <v>1</v>
      </c>
      <c r="F346" s="91"/>
      <c r="G346" s="91"/>
      <c r="H346" s="91"/>
      <c r="I346" s="91">
        <f>SUM(G346:H346)+'BM 007'!I346</f>
        <v>0</v>
      </c>
      <c r="J346" s="91">
        <f t="shared" si="134"/>
        <v>1</v>
      </c>
      <c r="K346" s="80">
        <v>99</v>
      </c>
      <c r="L346" s="81">
        <f t="shared" si="133"/>
        <v>125.49241089</v>
      </c>
      <c r="M346" s="82">
        <f t="shared" si="163"/>
        <v>0</v>
      </c>
      <c r="N346" s="82">
        <f t="shared" si="164"/>
        <v>0</v>
      </c>
      <c r="O346" s="82">
        <f>N346+'BM 007'!O346</f>
        <v>0</v>
      </c>
      <c r="P346" s="80">
        <f t="shared" si="165"/>
        <v>99</v>
      </c>
      <c r="Q346" s="82">
        <f t="shared" si="166"/>
        <v>125.49</v>
      </c>
      <c r="R346" s="82">
        <f t="shared" si="167"/>
        <v>125.49</v>
      </c>
    </row>
    <row r="347" spans="2:18" s="34" customFormat="1" ht="23.4">
      <c r="B347" s="75" t="s">
        <v>686</v>
      </c>
      <c r="C347" s="88" t="s">
        <v>687</v>
      </c>
      <c r="D347" s="89" t="s">
        <v>131</v>
      </c>
      <c r="E347" s="90">
        <v>1</v>
      </c>
      <c r="F347" s="91"/>
      <c r="G347" s="91"/>
      <c r="H347" s="91"/>
      <c r="I347" s="91">
        <f>SUM(G347:H347)+'BM 007'!I347</f>
        <v>0</v>
      </c>
      <c r="J347" s="91">
        <f t="shared" si="134"/>
        <v>1</v>
      </c>
      <c r="K347" s="80">
        <v>265</v>
      </c>
      <c r="L347" s="81">
        <f t="shared" si="133"/>
        <v>335.91402915000003</v>
      </c>
      <c r="M347" s="82">
        <f t="shared" si="163"/>
        <v>0</v>
      </c>
      <c r="N347" s="82">
        <f t="shared" si="164"/>
        <v>0</v>
      </c>
      <c r="O347" s="82">
        <f>N347+'BM 007'!O347</f>
        <v>0</v>
      </c>
      <c r="P347" s="80">
        <f t="shared" si="165"/>
        <v>265</v>
      </c>
      <c r="Q347" s="82">
        <f t="shared" si="166"/>
        <v>335.91</v>
      </c>
      <c r="R347" s="82">
        <f t="shared" si="167"/>
        <v>335.91</v>
      </c>
    </row>
    <row r="348" spans="2:18" s="34" customFormat="1" ht="57.6">
      <c r="B348" s="75" t="s">
        <v>688</v>
      </c>
      <c r="C348" s="88" t="s">
        <v>689</v>
      </c>
      <c r="D348" s="89" t="s">
        <v>131</v>
      </c>
      <c r="E348" s="90">
        <v>16</v>
      </c>
      <c r="F348" s="91"/>
      <c r="G348" s="91"/>
      <c r="H348" s="91"/>
      <c r="I348" s="91">
        <f>SUM(G348:H348)+'BM 007'!I348</f>
        <v>0</v>
      </c>
      <c r="J348" s="91">
        <f t="shared" si="134"/>
        <v>16</v>
      </c>
      <c r="K348" s="80">
        <v>9.8000000000000007</v>
      </c>
      <c r="L348" s="81">
        <f t="shared" si="133"/>
        <v>12.422481078000002</v>
      </c>
      <c r="M348" s="82">
        <f t="shared" si="163"/>
        <v>0</v>
      </c>
      <c r="N348" s="82">
        <f t="shared" si="164"/>
        <v>0</v>
      </c>
      <c r="O348" s="82">
        <f>N348+'BM 007'!O348</f>
        <v>0</v>
      </c>
      <c r="P348" s="80">
        <f t="shared" si="165"/>
        <v>156.80000000000001</v>
      </c>
      <c r="Q348" s="82">
        <f t="shared" si="166"/>
        <v>198.75</v>
      </c>
      <c r="R348" s="82">
        <f t="shared" si="167"/>
        <v>198.75</v>
      </c>
    </row>
    <row r="349" spans="2:18" s="34" customFormat="1" ht="57.6">
      <c r="B349" s="75" t="s">
        <v>690</v>
      </c>
      <c r="C349" s="88" t="s">
        <v>691</v>
      </c>
      <c r="D349" s="89" t="s">
        <v>131</v>
      </c>
      <c r="E349" s="90">
        <v>4</v>
      </c>
      <c r="F349" s="91"/>
      <c r="G349" s="91"/>
      <c r="H349" s="91"/>
      <c r="I349" s="91">
        <f>SUM(G349:H349)+'BM 007'!I349</f>
        <v>0</v>
      </c>
      <c r="J349" s="91">
        <f t="shared" si="134"/>
        <v>4</v>
      </c>
      <c r="K349" s="80">
        <v>12.5</v>
      </c>
      <c r="L349" s="81">
        <f t="shared" ref="L349:L412" si="168">K349*(1+$T$26)</f>
        <v>15.845001375000001</v>
      </c>
      <c r="M349" s="82">
        <f t="shared" si="163"/>
        <v>0</v>
      </c>
      <c r="N349" s="82">
        <f t="shared" si="164"/>
        <v>0</v>
      </c>
      <c r="O349" s="82">
        <f>N349+'BM 007'!O349</f>
        <v>0</v>
      </c>
      <c r="P349" s="80">
        <f t="shared" si="165"/>
        <v>50</v>
      </c>
      <c r="Q349" s="82">
        <f t="shared" si="166"/>
        <v>63.38</v>
      </c>
      <c r="R349" s="82">
        <f t="shared" si="167"/>
        <v>63.38</v>
      </c>
    </row>
    <row r="350" spans="2:18" s="34" customFormat="1" ht="57.6">
      <c r="B350" s="75" t="s">
        <v>692</v>
      </c>
      <c r="C350" s="88" t="s">
        <v>693</v>
      </c>
      <c r="D350" s="89" t="s">
        <v>131</v>
      </c>
      <c r="E350" s="90">
        <v>2</v>
      </c>
      <c r="F350" s="91"/>
      <c r="G350" s="91"/>
      <c r="H350" s="91"/>
      <c r="I350" s="91">
        <f>SUM(G350:H350)+'BM 007'!I350</f>
        <v>0</v>
      </c>
      <c r="J350" s="91">
        <f t="shared" si="134"/>
        <v>2</v>
      </c>
      <c r="K350" s="80">
        <v>28</v>
      </c>
      <c r="L350" s="81">
        <f t="shared" si="168"/>
        <v>35.492803080000002</v>
      </c>
      <c r="M350" s="82">
        <f t="shared" si="163"/>
        <v>0</v>
      </c>
      <c r="N350" s="82">
        <f t="shared" si="164"/>
        <v>0</v>
      </c>
      <c r="O350" s="82">
        <f>N350+'BM 007'!O350</f>
        <v>0</v>
      </c>
      <c r="P350" s="80">
        <f t="shared" si="165"/>
        <v>56</v>
      </c>
      <c r="Q350" s="82">
        <f t="shared" si="166"/>
        <v>70.98</v>
      </c>
      <c r="R350" s="82">
        <f t="shared" si="167"/>
        <v>70.98</v>
      </c>
    </row>
    <row r="351" spans="2:18" s="34" customFormat="1" ht="57.6">
      <c r="B351" s="75" t="s">
        <v>694</v>
      </c>
      <c r="C351" s="88" t="s">
        <v>695</v>
      </c>
      <c r="D351" s="89" t="s">
        <v>131</v>
      </c>
      <c r="E351" s="90">
        <v>30</v>
      </c>
      <c r="F351" s="91"/>
      <c r="G351" s="91"/>
      <c r="H351" s="91"/>
      <c r="I351" s="91">
        <f>SUM(G351:H351)+'BM 007'!I351</f>
        <v>0</v>
      </c>
      <c r="J351" s="91">
        <f t="shared" ref="J351:J414" si="169">E351-I351</f>
        <v>30</v>
      </c>
      <c r="K351" s="80">
        <v>38</v>
      </c>
      <c r="L351" s="81">
        <f t="shared" si="168"/>
        <v>48.168804180000002</v>
      </c>
      <c r="M351" s="82">
        <f t="shared" si="163"/>
        <v>0</v>
      </c>
      <c r="N351" s="82">
        <f t="shared" si="164"/>
        <v>0</v>
      </c>
      <c r="O351" s="82">
        <f>N351+'BM 007'!O351</f>
        <v>0</v>
      </c>
      <c r="P351" s="80">
        <f t="shared" si="165"/>
        <v>1140</v>
      </c>
      <c r="Q351" s="82">
        <f t="shared" si="166"/>
        <v>1445.06</v>
      </c>
      <c r="R351" s="82">
        <f t="shared" si="167"/>
        <v>1445.06</v>
      </c>
    </row>
    <row r="352" spans="2:18" s="34" customFormat="1" ht="46.2">
      <c r="B352" s="75" t="s">
        <v>696</v>
      </c>
      <c r="C352" s="88" t="s">
        <v>697</v>
      </c>
      <c r="D352" s="89" t="s">
        <v>131</v>
      </c>
      <c r="E352" s="90">
        <v>320</v>
      </c>
      <c r="F352" s="91"/>
      <c r="G352" s="91"/>
      <c r="H352" s="91"/>
      <c r="I352" s="91">
        <f>SUM(G352:H352)+'BM 007'!I352</f>
        <v>0</v>
      </c>
      <c r="J352" s="91">
        <f t="shared" si="169"/>
        <v>320</v>
      </c>
      <c r="K352" s="80">
        <v>5.33</v>
      </c>
      <c r="L352" s="81">
        <f t="shared" si="168"/>
        <v>6.7563085863000003</v>
      </c>
      <c r="M352" s="82">
        <f t="shared" si="163"/>
        <v>0</v>
      </c>
      <c r="N352" s="82">
        <f t="shared" si="164"/>
        <v>0</v>
      </c>
      <c r="O352" s="82">
        <f>N352+'BM 007'!O352</f>
        <v>0</v>
      </c>
      <c r="P352" s="80">
        <f t="shared" si="165"/>
        <v>1705.6</v>
      </c>
      <c r="Q352" s="82">
        <f t="shared" si="166"/>
        <v>2162.0100000000002</v>
      </c>
      <c r="R352" s="82">
        <f t="shared" si="167"/>
        <v>2162.0100000000002</v>
      </c>
    </row>
    <row r="353" spans="2:18" s="34" customFormat="1" ht="23.4">
      <c r="B353" s="75" t="s">
        <v>698</v>
      </c>
      <c r="C353" s="88" t="s">
        <v>699</v>
      </c>
      <c r="D353" s="89" t="s">
        <v>131</v>
      </c>
      <c r="E353" s="90">
        <v>12</v>
      </c>
      <c r="F353" s="91"/>
      <c r="G353" s="91"/>
      <c r="H353" s="91"/>
      <c r="I353" s="91">
        <f>SUM(G353:H353)+'BM 007'!I353</f>
        <v>0</v>
      </c>
      <c r="J353" s="91">
        <f t="shared" si="169"/>
        <v>12</v>
      </c>
      <c r="K353" s="80">
        <v>4.92</v>
      </c>
      <c r="L353" s="81">
        <f t="shared" si="168"/>
        <v>6.2365925412000003</v>
      </c>
      <c r="M353" s="82">
        <f t="shared" si="163"/>
        <v>0</v>
      </c>
      <c r="N353" s="82">
        <f t="shared" si="164"/>
        <v>0</v>
      </c>
      <c r="O353" s="82">
        <f>N353+'BM 007'!O353</f>
        <v>0</v>
      </c>
      <c r="P353" s="80">
        <f t="shared" si="165"/>
        <v>59.04</v>
      </c>
      <c r="Q353" s="82">
        <f t="shared" si="166"/>
        <v>74.83</v>
      </c>
      <c r="R353" s="82">
        <f t="shared" si="167"/>
        <v>74.83</v>
      </c>
    </row>
    <row r="354" spans="2:18" s="34" customFormat="1" ht="23.4">
      <c r="B354" s="75" t="s">
        <v>700</v>
      </c>
      <c r="C354" s="88" t="s">
        <v>701</v>
      </c>
      <c r="D354" s="89" t="s">
        <v>131</v>
      </c>
      <c r="E354" s="90">
        <v>1</v>
      </c>
      <c r="F354" s="91"/>
      <c r="G354" s="91"/>
      <c r="H354" s="91"/>
      <c r="I354" s="91">
        <f>SUM(G354:H354)+'BM 007'!I354</f>
        <v>0</v>
      </c>
      <c r="J354" s="91">
        <f t="shared" si="169"/>
        <v>1</v>
      </c>
      <c r="K354" s="80">
        <v>5.49</v>
      </c>
      <c r="L354" s="81">
        <f t="shared" si="168"/>
        <v>6.9591246039000003</v>
      </c>
      <c r="M354" s="82">
        <f t="shared" si="163"/>
        <v>0</v>
      </c>
      <c r="N354" s="82">
        <f t="shared" si="164"/>
        <v>0</v>
      </c>
      <c r="O354" s="82">
        <f>N354+'BM 007'!O354</f>
        <v>0</v>
      </c>
      <c r="P354" s="80">
        <f t="shared" si="165"/>
        <v>5.49</v>
      </c>
      <c r="Q354" s="82">
        <f t="shared" si="166"/>
        <v>6.95</v>
      </c>
      <c r="R354" s="82">
        <f t="shared" si="167"/>
        <v>6.95</v>
      </c>
    </row>
    <row r="355" spans="2:18" s="34" customFormat="1" ht="23.4">
      <c r="B355" s="75" t="s">
        <v>702</v>
      </c>
      <c r="C355" s="88" t="s">
        <v>703</v>
      </c>
      <c r="D355" s="89" t="s">
        <v>131</v>
      </c>
      <c r="E355" s="90">
        <v>1</v>
      </c>
      <c r="F355" s="91"/>
      <c r="G355" s="91"/>
      <c r="H355" s="91"/>
      <c r="I355" s="91">
        <f>SUM(G355:H355)+'BM 007'!I355</f>
        <v>0</v>
      </c>
      <c r="J355" s="91">
        <f t="shared" si="169"/>
        <v>1</v>
      </c>
      <c r="K355" s="80">
        <v>8.5</v>
      </c>
      <c r="L355" s="81">
        <f t="shared" si="168"/>
        <v>10.774600935</v>
      </c>
      <c r="M355" s="82">
        <f t="shared" si="163"/>
        <v>0</v>
      </c>
      <c r="N355" s="82">
        <f t="shared" si="164"/>
        <v>0</v>
      </c>
      <c r="O355" s="82">
        <f>N355+'BM 007'!O355</f>
        <v>0</v>
      </c>
      <c r="P355" s="80">
        <f t="shared" si="165"/>
        <v>8.5</v>
      </c>
      <c r="Q355" s="82">
        <f t="shared" si="166"/>
        <v>10.77</v>
      </c>
      <c r="R355" s="82">
        <f t="shared" si="167"/>
        <v>10.77</v>
      </c>
    </row>
    <row r="356" spans="2:18" s="34" customFormat="1" ht="23.4">
      <c r="B356" s="75" t="s">
        <v>704</v>
      </c>
      <c r="C356" s="88" t="s">
        <v>705</v>
      </c>
      <c r="D356" s="89" t="s">
        <v>131</v>
      </c>
      <c r="E356" s="90">
        <v>1</v>
      </c>
      <c r="F356" s="91"/>
      <c r="G356" s="91"/>
      <c r="H356" s="91"/>
      <c r="I356" s="91">
        <f>SUM(G356:H356)+'BM 007'!I356</f>
        <v>0</v>
      </c>
      <c r="J356" s="91">
        <f t="shared" si="169"/>
        <v>1</v>
      </c>
      <c r="K356" s="80">
        <v>14.47</v>
      </c>
      <c r="L356" s="81">
        <f t="shared" si="168"/>
        <v>18.3421735917</v>
      </c>
      <c r="M356" s="82">
        <f t="shared" si="163"/>
        <v>0</v>
      </c>
      <c r="N356" s="82">
        <f t="shared" si="164"/>
        <v>0</v>
      </c>
      <c r="O356" s="82">
        <f>N356+'BM 007'!O356</f>
        <v>0</v>
      </c>
      <c r="P356" s="80">
        <f t="shared" si="165"/>
        <v>14.47</v>
      </c>
      <c r="Q356" s="82">
        <f t="shared" si="166"/>
        <v>18.34</v>
      </c>
      <c r="R356" s="82">
        <f t="shared" si="167"/>
        <v>18.34</v>
      </c>
    </row>
    <row r="357" spans="2:18" s="34" customFormat="1" ht="23.4">
      <c r="B357" s="75" t="s">
        <v>706</v>
      </c>
      <c r="C357" s="88" t="s">
        <v>707</v>
      </c>
      <c r="D357" s="89" t="s">
        <v>131</v>
      </c>
      <c r="E357" s="90">
        <v>4</v>
      </c>
      <c r="F357" s="91"/>
      <c r="G357" s="91"/>
      <c r="H357" s="91"/>
      <c r="I357" s="91">
        <f>SUM(G357:H357)+'BM 007'!I357</f>
        <v>0</v>
      </c>
      <c r="J357" s="91">
        <f t="shared" si="169"/>
        <v>4</v>
      </c>
      <c r="K357" s="80">
        <v>31.9</v>
      </c>
      <c r="L357" s="81">
        <f t="shared" si="168"/>
        <v>40.436443509</v>
      </c>
      <c r="M357" s="82">
        <f t="shared" si="163"/>
        <v>0</v>
      </c>
      <c r="N357" s="82">
        <f t="shared" si="164"/>
        <v>0</v>
      </c>
      <c r="O357" s="82">
        <f>N357+'BM 007'!O357</f>
        <v>0</v>
      </c>
      <c r="P357" s="80">
        <f t="shared" si="165"/>
        <v>127.6</v>
      </c>
      <c r="Q357" s="82">
        <f t="shared" si="166"/>
        <v>161.74</v>
      </c>
      <c r="R357" s="82">
        <f t="shared" si="167"/>
        <v>161.74</v>
      </c>
    </row>
    <row r="358" spans="2:18" s="34" customFormat="1" ht="23.4">
      <c r="B358" s="75" t="s">
        <v>708</v>
      </c>
      <c r="C358" s="88" t="s">
        <v>709</v>
      </c>
      <c r="D358" s="89" t="s">
        <v>131</v>
      </c>
      <c r="E358" s="90">
        <v>1</v>
      </c>
      <c r="F358" s="91"/>
      <c r="G358" s="91"/>
      <c r="H358" s="91"/>
      <c r="I358" s="91">
        <f>SUM(G358:H358)+'BM 007'!I358</f>
        <v>0</v>
      </c>
      <c r="J358" s="91">
        <f t="shared" si="169"/>
        <v>1</v>
      </c>
      <c r="K358" s="80">
        <v>11.22</v>
      </c>
      <c r="L358" s="81">
        <f t="shared" si="168"/>
        <v>14.222473234200001</v>
      </c>
      <c r="M358" s="82">
        <f t="shared" si="163"/>
        <v>0</v>
      </c>
      <c r="N358" s="82">
        <f t="shared" si="164"/>
        <v>0</v>
      </c>
      <c r="O358" s="82">
        <f>N358+'BM 007'!O358</f>
        <v>0</v>
      </c>
      <c r="P358" s="80">
        <f t="shared" si="165"/>
        <v>11.22</v>
      </c>
      <c r="Q358" s="82">
        <f t="shared" si="166"/>
        <v>14.22</v>
      </c>
      <c r="R358" s="82">
        <f t="shared" si="167"/>
        <v>14.22</v>
      </c>
    </row>
    <row r="359" spans="2:18" s="34" customFormat="1" ht="23.4">
      <c r="B359" s="75" t="s">
        <v>710</v>
      </c>
      <c r="C359" s="88" t="s">
        <v>711</v>
      </c>
      <c r="D359" s="89" t="s">
        <v>131</v>
      </c>
      <c r="E359" s="90">
        <v>57</v>
      </c>
      <c r="F359" s="91"/>
      <c r="G359" s="91"/>
      <c r="H359" s="91"/>
      <c r="I359" s="91">
        <f>SUM(G359:H359)+'BM 007'!I359</f>
        <v>0</v>
      </c>
      <c r="J359" s="91">
        <f t="shared" si="169"/>
        <v>57</v>
      </c>
      <c r="K359" s="80">
        <v>14.54</v>
      </c>
      <c r="L359" s="81">
        <f t="shared" si="168"/>
        <v>18.430905599399999</v>
      </c>
      <c r="M359" s="82">
        <f t="shared" si="163"/>
        <v>0</v>
      </c>
      <c r="N359" s="82">
        <f t="shared" si="164"/>
        <v>0</v>
      </c>
      <c r="O359" s="82">
        <f>N359+'BM 007'!O359</f>
        <v>0</v>
      </c>
      <c r="P359" s="80">
        <f t="shared" si="165"/>
        <v>828.78</v>
      </c>
      <c r="Q359" s="82">
        <f t="shared" si="166"/>
        <v>1050.56</v>
      </c>
      <c r="R359" s="82">
        <f t="shared" si="167"/>
        <v>1050.56</v>
      </c>
    </row>
    <row r="360" spans="2:18" s="34" customFormat="1" ht="23.4">
      <c r="B360" s="75" t="s">
        <v>712</v>
      </c>
      <c r="C360" s="88" t="s">
        <v>713</v>
      </c>
      <c r="D360" s="89" t="s">
        <v>131</v>
      </c>
      <c r="E360" s="90">
        <v>1</v>
      </c>
      <c r="F360" s="91"/>
      <c r="G360" s="91"/>
      <c r="H360" s="91"/>
      <c r="I360" s="91">
        <f>SUM(G360:H360)+'BM 007'!I360</f>
        <v>0</v>
      </c>
      <c r="J360" s="91">
        <f t="shared" si="169"/>
        <v>1</v>
      </c>
      <c r="K360" s="80">
        <v>16.8</v>
      </c>
      <c r="L360" s="81">
        <f t="shared" si="168"/>
        <v>21.295681848000001</v>
      </c>
      <c r="M360" s="82">
        <f t="shared" si="163"/>
        <v>0</v>
      </c>
      <c r="N360" s="82">
        <f t="shared" si="164"/>
        <v>0</v>
      </c>
      <c r="O360" s="82">
        <f>N360+'BM 007'!O360</f>
        <v>0</v>
      </c>
      <c r="P360" s="80">
        <f t="shared" si="165"/>
        <v>16.8</v>
      </c>
      <c r="Q360" s="82">
        <f t="shared" si="166"/>
        <v>21.29</v>
      </c>
      <c r="R360" s="82">
        <f t="shared" si="167"/>
        <v>21.29</v>
      </c>
    </row>
    <row r="361" spans="2:18" s="34" customFormat="1" ht="46.2">
      <c r="B361" s="75" t="s">
        <v>714</v>
      </c>
      <c r="C361" s="88" t="s">
        <v>715</v>
      </c>
      <c r="D361" s="89" t="s">
        <v>131</v>
      </c>
      <c r="E361" s="90">
        <v>1</v>
      </c>
      <c r="F361" s="91"/>
      <c r="G361" s="91"/>
      <c r="H361" s="91"/>
      <c r="I361" s="91">
        <f>SUM(G361:H361)+'BM 007'!I361</f>
        <v>0</v>
      </c>
      <c r="J361" s="91">
        <f t="shared" si="169"/>
        <v>1</v>
      </c>
      <c r="K361" s="80">
        <v>25</v>
      </c>
      <c r="L361" s="81">
        <f t="shared" si="168"/>
        <v>31.690002750000001</v>
      </c>
      <c r="M361" s="82">
        <f t="shared" si="163"/>
        <v>0</v>
      </c>
      <c r="N361" s="82">
        <f t="shared" si="164"/>
        <v>0</v>
      </c>
      <c r="O361" s="82">
        <f>N361+'BM 007'!O361</f>
        <v>0</v>
      </c>
      <c r="P361" s="80">
        <f t="shared" si="165"/>
        <v>25</v>
      </c>
      <c r="Q361" s="82">
        <f t="shared" si="166"/>
        <v>31.69</v>
      </c>
      <c r="R361" s="82">
        <f t="shared" si="167"/>
        <v>31.69</v>
      </c>
    </row>
    <row r="362" spans="2:18" s="34" customFormat="1" ht="34.799999999999997">
      <c r="B362" s="75" t="s">
        <v>716</v>
      </c>
      <c r="C362" s="88" t="s">
        <v>717</v>
      </c>
      <c r="D362" s="89" t="s">
        <v>131</v>
      </c>
      <c r="E362" s="90">
        <v>24</v>
      </c>
      <c r="F362" s="91"/>
      <c r="G362" s="91"/>
      <c r="H362" s="91"/>
      <c r="I362" s="91">
        <f>SUM(G362:H362)+'BM 007'!I362</f>
        <v>0</v>
      </c>
      <c r="J362" s="91">
        <f t="shared" si="169"/>
        <v>24</v>
      </c>
      <c r="K362" s="80">
        <v>5.37</v>
      </c>
      <c r="L362" s="81">
        <f t="shared" si="168"/>
        <v>6.8070125907000003</v>
      </c>
      <c r="M362" s="82">
        <f t="shared" si="163"/>
        <v>0</v>
      </c>
      <c r="N362" s="82">
        <f t="shared" si="164"/>
        <v>0</v>
      </c>
      <c r="O362" s="82">
        <f>N362+'BM 007'!O362</f>
        <v>0</v>
      </c>
      <c r="P362" s="80">
        <f t="shared" si="165"/>
        <v>128.88</v>
      </c>
      <c r="Q362" s="82">
        <f t="shared" si="166"/>
        <v>163.36000000000001</v>
      </c>
      <c r="R362" s="82">
        <f t="shared" si="167"/>
        <v>163.36000000000001</v>
      </c>
    </row>
    <row r="363" spans="2:18" s="34" customFormat="1" ht="34.799999999999997">
      <c r="B363" s="75" t="s">
        <v>718</v>
      </c>
      <c r="C363" s="88" t="s">
        <v>719</v>
      </c>
      <c r="D363" s="89" t="s">
        <v>131</v>
      </c>
      <c r="E363" s="90">
        <v>2</v>
      </c>
      <c r="F363" s="91"/>
      <c r="G363" s="91"/>
      <c r="H363" s="91"/>
      <c r="I363" s="91">
        <f>SUM(G363:H363)+'BM 007'!I363</f>
        <v>0</v>
      </c>
      <c r="J363" s="91">
        <f t="shared" si="169"/>
        <v>2</v>
      </c>
      <c r="K363" s="80">
        <v>8.76</v>
      </c>
      <c r="L363" s="81">
        <f t="shared" si="168"/>
        <v>11.104176963600001</v>
      </c>
      <c r="M363" s="82">
        <f t="shared" si="163"/>
        <v>0</v>
      </c>
      <c r="N363" s="82">
        <f t="shared" si="164"/>
        <v>0</v>
      </c>
      <c r="O363" s="82">
        <f>N363+'BM 007'!O363</f>
        <v>0</v>
      </c>
      <c r="P363" s="80">
        <f t="shared" si="165"/>
        <v>17.52</v>
      </c>
      <c r="Q363" s="82">
        <f t="shared" si="166"/>
        <v>22.2</v>
      </c>
      <c r="R363" s="82">
        <f t="shared" si="167"/>
        <v>22.2</v>
      </c>
    </row>
    <row r="364" spans="2:18" s="34" customFormat="1" ht="34.799999999999997">
      <c r="B364" s="75" t="s">
        <v>720</v>
      </c>
      <c r="C364" s="88" t="s">
        <v>721</v>
      </c>
      <c r="D364" s="89" t="s">
        <v>131</v>
      </c>
      <c r="E364" s="90">
        <v>4</v>
      </c>
      <c r="F364" s="91"/>
      <c r="G364" s="91"/>
      <c r="H364" s="91"/>
      <c r="I364" s="91">
        <f>SUM(G364:H364)+'BM 007'!I364</f>
        <v>0</v>
      </c>
      <c r="J364" s="91">
        <f t="shared" si="169"/>
        <v>4</v>
      </c>
      <c r="K364" s="80">
        <v>11.55</v>
      </c>
      <c r="L364" s="81">
        <f t="shared" si="168"/>
        <v>14.640781270500002</v>
      </c>
      <c r="M364" s="82">
        <f t="shared" si="163"/>
        <v>0</v>
      </c>
      <c r="N364" s="82">
        <f t="shared" si="164"/>
        <v>0</v>
      </c>
      <c r="O364" s="82">
        <f>N364+'BM 007'!O364</f>
        <v>0</v>
      </c>
      <c r="P364" s="80">
        <f t="shared" si="165"/>
        <v>46.2</v>
      </c>
      <c r="Q364" s="82">
        <f t="shared" si="166"/>
        <v>58.56</v>
      </c>
      <c r="R364" s="82">
        <f t="shared" si="167"/>
        <v>58.56</v>
      </c>
    </row>
    <row r="365" spans="2:18" s="34" customFormat="1" ht="34.799999999999997">
      <c r="B365" s="75" t="s">
        <v>722</v>
      </c>
      <c r="C365" s="88" t="s">
        <v>723</v>
      </c>
      <c r="D365" s="89" t="s">
        <v>131</v>
      </c>
      <c r="E365" s="90">
        <v>2</v>
      </c>
      <c r="F365" s="91"/>
      <c r="G365" s="91"/>
      <c r="H365" s="91"/>
      <c r="I365" s="91">
        <f>SUM(G365:H365)+'BM 007'!I365</f>
        <v>0</v>
      </c>
      <c r="J365" s="91">
        <f t="shared" si="169"/>
        <v>2</v>
      </c>
      <c r="K365" s="80">
        <v>34.32</v>
      </c>
      <c r="L365" s="81">
        <f t="shared" si="168"/>
        <v>43.504035775200002</v>
      </c>
      <c r="M365" s="82">
        <f t="shared" si="163"/>
        <v>0</v>
      </c>
      <c r="N365" s="82">
        <f t="shared" si="164"/>
        <v>0</v>
      </c>
      <c r="O365" s="82">
        <f>N365+'BM 007'!O365</f>
        <v>0</v>
      </c>
      <c r="P365" s="80">
        <f t="shared" si="165"/>
        <v>68.64</v>
      </c>
      <c r="Q365" s="82">
        <f t="shared" si="166"/>
        <v>87</v>
      </c>
      <c r="R365" s="82">
        <f t="shared" si="167"/>
        <v>87</v>
      </c>
    </row>
    <row r="366" spans="2:18" s="34" customFormat="1" ht="34.799999999999997">
      <c r="B366" s="75" t="s">
        <v>724</v>
      </c>
      <c r="C366" s="88" t="s">
        <v>725</v>
      </c>
      <c r="D366" s="89" t="s">
        <v>131</v>
      </c>
      <c r="E366" s="90">
        <v>3</v>
      </c>
      <c r="F366" s="91"/>
      <c r="G366" s="91"/>
      <c r="H366" s="91"/>
      <c r="I366" s="91">
        <f>SUM(G366:H366)+'BM 007'!I366</f>
        <v>0</v>
      </c>
      <c r="J366" s="91">
        <f t="shared" si="169"/>
        <v>3</v>
      </c>
      <c r="K366" s="80">
        <v>71.75</v>
      </c>
      <c r="L366" s="81">
        <f t="shared" si="168"/>
        <v>90.950307892500007</v>
      </c>
      <c r="M366" s="82">
        <f t="shared" si="163"/>
        <v>0</v>
      </c>
      <c r="N366" s="82">
        <f t="shared" si="164"/>
        <v>0</v>
      </c>
      <c r="O366" s="82">
        <f>N366+'BM 007'!O366</f>
        <v>0</v>
      </c>
      <c r="P366" s="80">
        <f t="shared" si="165"/>
        <v>215.25</v>
      </c>
      <c r="Q366" s="82">
        <f t="shared" si="166"/>
        <v>272.85000000000002</v>
      </c>
      <c r="R366" s="82">
        <f t="shared" si="167"/>
        <v>272.85000000000002</v>
      </c>
    </row>
    <row r="367" spans="2:18" s="34" customFormat="1" ht="46.2">
      <c r="B367" s="75" t="s">
        <v>726</v>
      </c>
      <c r="C367" s="88" t="s">
        <v>727</v>
      </c>
      <c r="D367" s="89" t="s">
        <v>131</v>
      </c>
      <c r="E367" s="90">
        <v>1</v>
      </c>
      <c r="F367" s="91"/>
      <c r="G367" s="91"/>
      <c r="H367" s="91"/>
      <c r="I367" s="91">
        <f>SUM(G367:H367)+'BM 007'!I367</f>
        <v>0</v>
      </c>
      <c r="J367" s="91">
        <f t="shared" si="169"/>
        <v>1</v>
      </c>
      <c r="K367" s="80">
        <v>14.38</v>
      </c>
      <c r="L367" s="81">
        <f t="shared" si="168"/>
        <v>18.228089581800003</v>
      </c>
      <c r="M367" s="82">
        <f t="shared" si="163"/>
        <v>0</v>
      </c>
      <c r="N367" s="82">
        <f t="shared" si="164"/>
        <v>0</v>
      </c>
      <c r="O367" s="82">
        <f>N367+'BM 007'!O367</f>
        <v>0</v>
      </c>
      <c r="P367" s="80">
        <f t="shared" si="165"/>
        <v>14.38</v>
      </c>
      <c r="Q367" s="82">
        <f t="shared" si="166"/>
        <v>18.22</v>
      </c>
      <c r="R367" s="82">
        <f t="shared" si="167"/>
        <v>18.22</v>
      </c>
    </row>
    <row r="368" spans="2:18" s="34" customFormat="1" ht="23.4">
      <c r="B368" s="75" t="s">
        <v>728</v>
      </c>
      <c r="C368" s="88" t="s">
        <v>729</v>
      </c>
      <c r="D368" s="89" t="s">
        <v>131</v>
      </c>
      <c r="E368" s="90">
        <v>22</v>
      </c>
      <c r="F368" s="91"/>
      <c r="G368" s="91"/>
      <c r="H368" s="91"/>
      <c r="I368" s="91">
        <f>SUM(G368:H368)+'BM 007'!I368</f>
        <v>0</v>
      </c>
      <c r="J368" s="91">
        <f t="shared" si="169"/>
        <v>22</v>
      </c>
      <c r="K368" s="80">
        <v>14.99</v>
      </c>
      <c r="L368" s="81">
        <f t="shared" si="168"/>
        <v>19.0013256489</v>
      </c>
      <c r="M368" s="82">
        <f t="shared" si="163"/>
        <v>0</v>
      </c>
      <c r="N368" s="82">
        <f t="shared" si="164"/>
        <v>0</v>
      </c>
      <c r="O368" s="82">
        <f>N368+'BM 007'!O368</f>
        <v>0</v>
      </c>
      <c r="P368" s="80">
        <f t="shared" si="165"/>
        <v>329.78000000000003</v>
      </c>
      <c r="Q368" s="82">
        <f t="shared" si="166"/>
        <v>418.02</v>
      </c>
      <c r="R368" s="82">
        <f t="shared" si="167"/>
        <v>418.02</v>
      </c>
    </row>
    <row r="369" spans="2:18" s="34" customFormat="1" ht="23.4">
      <c r="B369" s="75" t="s">
        <v>730</v>
      </c>
      <c r="C369" s="88" t="s">
        <v>731</v>
      </c>
      <c r="D369" s="89" t="s">
        <v>131</v>
      </c>
      <c r="E369" s="90">
        <v>289</v>
      </c>
      <c r="F369" s="91"/>
      <c r="G369" s="91"/>
      <c r="H369" s="91"/>
      <c r="I369" s="91">
        <f>SUM(G369:H369)+'BM 007'!I369</f>
        <v>0</v>
      </c>
      <c r="J369" s="91">
        <f t="shared" si="169"/>
        <v>289</v>
      </c>
      <c r="K369" s="80">
        <v>13.04</v>
      </c>
      <c r="L369" s="81">
        <f t="shared" si="168"/>
        <v>16.529505434400001</v>
      </c>
      <c r="M369" s="82">
        <f t="shared" si="163"/>
        <v>0</v>
      </c>
      <c r="N369" s="82">
        <f t="shared" si="164"/>
        <v>0</v>
      </c>
      <c r="O369" s="82">
        <f>N369+'BM 007'!O369</f>
        <v>0</v>
      </c>
      <c r="P369" s="80">
        <f t="shared" si="165"/>
        <v>3768.56</v>
      </c>
      <c r="Q369" s="82">
        <f t="shared" si="166"/>
        <v>4777.0200000000004</v>
      </c>
      <c r="R369" s="82">
        <f t="shared" si="167"/>
        <v>4777.0200000000004</v>
      </c>
    </row>
    <row r="370" spans="2:18" s="34" customFormat="1" ht="34.799999999999997">
      <c r="B370" s="75" t="s">
        <v>732</v>
      </c>
      <c r="C370" s="88" t="s">
        <v>733</v>
      </c>
      <c r="D370" s="89" t="s">
        <v>131</v>
      </c>
      <c r="E370" s="90">
        <v>7</v>
      </c>
      <c r="F370" s="91"/>
      <c r="G370" s="91"/>
      <c r="H370" s="91"/>
      <c r="I370" s="91">
        <f>SUM(G370:H370)+'BM 007'!I370</f>
        <v>0</v>
      </c>
      <c r="J370" s="91">
        <f t="shared" si="169"/>
        <v>7</v>
      </c>
      <c r="K370" s="80">
        <v>3.95</v>
      </c>
      <c r="L370" s="81">
        <f t="shared" si="168"/>
        <v>5.0070204345000002</v>
      </c>
      <c r="M370" s="82">
        <f t="shared" ref="M370:M394" si="170">TRUNC(F370*L370,2)</f>
        <v>0</v>
      </c>
      <c r="N370" s="82">
        <f t="shared" ref="N370:N394" si="171">TRUNC(G370*L370,2)</f>
        <v>0</v>
      </c>
      <c r="O370" s="82">
        <f>N370+'BM 007'!O370</f>
        <v>0</v>
      </c>
      <c r="P370" s="80">
        <f t="shared" ref="P370:P394" si="172">E370*K370</f>
        <v>27.650000000000002</v>
      </c>
      <c r="Q370" s="82">
        <f t="shared" ref="Q370:Q394" si="173">TRUNC(E370*L370,2)</f>
        <v>35.04</v>
      </c>
      <c r="R370" s="82">
        <f t="shared" ref="R370:R394" si="174">Q370-O370</f>
        <v>35.04</v>
      </c>
    </row>
    <row r="371" spans="2:18" s="34" customFormat="1" ht="34.799999999999997">
      <c r="B371" s="75" t="s">
        <v>734</v>
      </c>
      <c r="C371" s="88" t="s">
        <v>735</v>
      </c>
      <c r="D371" s="89" t="s">
        <v>131</v>
      </c>
      <c r="E371" s="90">
        <v>270</v>
      </c>
      <c r="F371" s="91"/>
      <c r="G371" s="91"/>
      <c r="H371" s="91"/>
      <c r="I371" s="91">
        <f>SUM(G371:H371)+'BM 007'!I371</f>
        <v>0</v>
      </c>
      <c r="J371" s="91">
        <f t="shared" si="169"/>
        <v>270</v>
      </c>
      <c r="K371" s="80">
        <v>4.67</v>
      </c>
      <c r="L371" s="81">
        <f t="shared" si="168"/>
        <v>5.9196925137000003</v>
      </c>
      <c r="M371" s="82">
        <f t="shared" si="170"/>
        <v>0</v>
      </c>
      <c r="N371" s="82">
        <f t="shared" si="171"/>
        <v>0</v>
      </c>
      <c r="O371" s="82">
        <f>N371+'BM 007'!O371</f>
        <v>0</v>
      </c>
      <c r="P371" s="80">
        <f t="shared" si="172"/>
        <v>1260.9000000000001</v>
      </c>
      <c r="Q371" s="82">
        <f t="shared" si="173"/>
        <v>1598.31</v>
      </c>
      <c r="R371" s="82">
        <f t="shared" si="174"/>
        <v>1598.31</v>
      </c>
    </row>
    <row r="372" spans="2:18" s="34" customFormat="1" ht="34.799999999999997">
      <c r="B372" s="75" t="s">
        <v>736</v>
      </c>
      <c r="C372" s="88" t="s">
        <v>737</v>
      </c>
      <c r="D372" s="89" t="s">
        <v>131</v>
      </c>
      <c r="E372" s="90">
        <v>3</v>
      </c>
      <c r="F372" s="91"/>
      <c r="G372" s="91"/>
      <c r="H372" s="91"/>
      <c r="I372" s="91">
        <f>SUM(G372:H372)+'BM 007'!I372</f>
        <v>0</v>
      </c>
      <c r="J372" s="91">
        <f t="shared" si="169"/>
        <v>3</v>
      </c>
      <c r="K372" s="80">
        <v>7.2</v>
      </c>
      <c r="L372" s="81">
        <f t="shared" si="168"/>
        <v>9.1267207920000004</v>
      </c>
      <c r="M372" s="82">
        <f t="shared" si="170"/>
        <v>0</v>
      </c>
      <c r="N372" s="82">
        <f t="shared" si="171"/>
        <v>0</v>
      </c>
      <c r="O372" s="82">
        <f>N372+'BM 007'!O372</f>
        <v>0</v>
      </c>
      <c r="P372" s="80">
        <f t="shared" si="172"/>
        <v>21.6</v>
      </c>
      <c r="Q372" s="82">
        <f t="shared" si="173"/>
        <v>27.38</v>
      </c>
      <c r="R372" s="82">
        <f t="shared" si="174"/>
        <v>27.38</v>
      </c>
    </row>
    <row r="373" spans="2:18" s="34" customFormat="1" ht="34.799999999999997">
      <c r="B373" s="75" t="s">
        <v>738</v>
      </c>
      <c r="C373" s="76" t="s">
        <v>739</v>
      </c>
      <c r="D373" s="77" t="s">
        <v>131</v>
      </c>
      <c r="E373" s="93">
        <v>128</v>
      </c>
      <c r="F373" s="79"/>
      <c r="G373" s="79"/>
      <c r="H373" s="79"/>
      <c r="I373" s="79">
        <f>SUM(G373:H373)+'BM 007'!I373</f>
        <v>0</v>
      </c>
      <c r="J373" s="79">
        <f t="shared" si="169"/>
        <v>128</v>
      </c>
      <c r="K373" s="80">
        <v>11.5</v>
      </c>
      <c r="L373" s="81">
        <f t="shared" si="168"/>
        <v>14.577401265000001</v>
      </c>
      <c r="M373" s="82">
        <f t="shared" si="170"/>
        <v>0</v>
      </c>
      <c r="N373" s="82">
        <f t="shared" si="171"/>
        <v>0</v>
      </c>
      <c r="O373" s="82">
        <f>N373+'BM 007'!O373</f>
        <v>0</v>
      </c>
      <c r="P373" s="80">
        <f t="shared" si="172"/>
        <v>1472</v>
      </c>
      <c r="Q373" s="82">
        <f t="shared" si="173"/>
        <v>1865.9</v>
      </c>
      <c r="R373" s="82">
        <f t="shared" si="174"/>
        <v>1865.9</v>
      </c>
    </row>
    <row r="374" spans="2:18" s="34" customFormat="1" ht="34.799999999999997">
      <c r="B374" s="75" t="s">
        <v>740</v>
      </c>
      <c r="C374" s="76" t="s">
        <v>741</v>
      </c>
      <c r="D374" s="77" t="s">
        <v>131</v>
      </c>
      <c r="E374" s="93">
        <v>4</v>
      </c>
      <c r="F374" s="79"/>
      <c r="G374" s="79"/>
      <c r="H374" s="79"/>
      <c r="I374" s="79">
        <f>SUM(G374:H374)+'BM 007'!I374</f>
        <v>0</v>
      </c>
      <c r="J374" s="79">
        <f t="shared" si="169"/>
        <v>4</v>
      </c>
      <c r="K374" s="80">
        <v>12.42</v>
      </c>
      <c r="L374" s="81">
        <f t="shared" si="168"/>
        <v>15.743593366200001</v>
      </c>
      <c r="M374" s="82">
        <f t="shared" si="170"/>
        <v>0</v>
      </c>
      <c r="N374" s="82">
        <f t="shared" si="171"/>
        <v>0</v>
      </c>
      <c r="O374" s="82">
        <f>N374+'BM 007'!O374</f>
        <v>0</v>
      </c>
      <c r="P374" s="80">
        <f t="shared" si="172"/>
        <v>49.68</v>
      </c>
      <c r="Q374" s="82">
        <f t="shared" si="173"/>
        <v>62.97</v>
      </c>
      <c r="R374" s="82">
        <f t="shared" si="174"/>
        <v>62.97</v>
      </c>
    </row>
    <row r="375" spans="2:18" s="34" customFormat="1" ht="34.799999999999997">
      <c r="B375" s="75" t="s">
        <v>742</v>
      </c>
      <c r="C375" s="76" t="s">
        <v>743</v>
      </c>
      <c r="D375" s="77" t="s">
        <v>131</v>
      </c>
      <c r="E375" s="93">
        <v>31</v>
      </c>
      <c r="F375" s="79"/>
      <c r="G375" s="79"/>
      <c r="H375" s="79"/>
      <c r="I375" s="79">
        <f>SUM(G375:H375)+'BM 007'!I375</f>
        <v>0</v>
      </c>
      <c r="J375" s="79">
        <f t="shared" si="169"/>
        <v>31</v>
      </c>
      <c r="K375" s="80">
        <v>35.909999999999997</v>
      </c>
      <c r="L375" s="81">
        <f t="shared" si="168"/>
        <v>45.519519950099998</v>
      </c>
      <c r="M375" s="82">
        <f t="shared" si="170"/>
        <v>0</v>
      </c>
      <c r="N375" s="82">
        <f t="shared" si="171"/>
        <v>0</v>
      </c>
      <c r="O375" s="82">
        <f>N375+'BM 007'!O375</f>
        <v>0</v>
      </c>
      <c r="P375" s="80">
        <f t="shared" si="172"/>
        <v>1113.2099999999998</v>
      </c>
      <c r="Q375" s="82">
        <f t="shared" si="173"/>
        <v>1411.1</v>
      </c>
      <c r="R375" s="82">
        <f t="shared" si="174"/>
        <v>1411.1</v>
      </c>
    </row>
    <row r="376" spans="2:18" s="34" customFormat="1" ht="46.2">
      <c r="B376" s="75" t="s">
        <v>744</v>
      </c>
      <c r="C376" s="76" t="s">
        <v>745</v>
      </c>
      <c r="D376" s="77" t="s">
        <v>131</v>
      </c>
      <c r="E376" s="93">
        <v>20</v>
      </c>
      <c r="F376" s="79"/>
      <c r="G376" s="79"/>
      <c r="H376" s="79"/>
      <c r="I376" s="79">
        <f>SUM(G376:H376)+'BM 007'!I376</f>
        <v>6</v>
      </c>
      <c r="J376" s="79">
        <f t="shared" si="169"/>
        <v>14</v>
      </c>
      <c r="K376" s="80">
        <v>90</v>
      </c>
      <c r="L376" s="81">
        <f t="shared" si="168"/>
        <v>114.08400990000001</v>
      </c>
      <c r="M376" s="82">
        <f t="shared" si="170"/>
        <v>0</v>
      </c>
      <c r="N376" s="82">
        <f t="shared" si="171"/>
        <v>0</v>
      </c>
      <c r="O376" s="82">
        <f>N376+'BM 007'!O376</f>
        <v>684.5</v>
      </c>
      <c r="P376" s="80">
        <f t="shared" si="172"/>
        <v>1800</v>
      </c>
      <c r="Q376" s="82">
        <f t="shared" si="173"/>
        <v>2281.6799999999998</v>
      </c>
      <c r="R376" s="82">
        <f t="shared" si="174"/>
        <v>1597.1799999999998</v>
      </c>
    </row>
    <row r="377" spans="2:18" s="34" customFormat="1" ht="13.2">
      <c r="B377" s="75" t="s">
        <v>746</v>
      </c>
      <c r="C377" s="76" t="s">
        <v>747</v>
      </c>
      <c r="D377" s="77" t="s">
        <v>131</v>
      </c>
      <c r="E377" s="93">
        <v>20</v>
      </c>
      <c r="F377" s="79"/>
      <c r="G377" s="79"/>
      <c r="H377" s="79"/>
      <c r="I377" s="79">
        <f>SUM(G377:H377)+'BM 007'!I377</f>
        <v>0</v>
      </c>
      <c r="J377" s="79">
        <f t="shared" si="169"/>
        <v>20</v>
      </c>
      <c r="K377" s="80">
        <v>5.14</v>
      </c>
      <c r="L377" s="81">
        <f t="shared" si="168"/>
        <v>6.5154645654000003</v>
      </c>
      <c r="M377" s="82">
        <f t="shared" si="170"/>
        <v>0</v>
      </c>
      <c r="N377" s="82">
        <f t="shared" si="171"/>
        <v>0</v>
      </c>
      <c r="O377" s="82">
        <f>N377+'BM 007'!O377</f>
        <v>0</v>
      </c>
      <c r="P377" s="80">
        <f t="shared" si="172"/>
        <v>102.8</v>
      </c>
      <c r="Q377" s="82">
        <f t="shared" si="173"/>
        <v>130.30000000000001</v>
      </c>
      <c r="R377" s="82">
        <f t="shared" si="174"/>
        <v>130.30000000000001</v>
      </c>
    </row>
    <row r="378" spans="2:18" s="34" customFormat="1" ht="13.2">
      <c r="B378" s="75" t="s">
        <v>748</v>
      </c>
      <c r="C378" s="76" t="s">
        <v>749</v>
      </c>
      <c r="D378" s="77" t="s">
        <v>131</v>
      </c>
      <c r="E378" s="93">
        <v>17</v>
      </c>
      <c r="F378" s="79"/>
      <c r="G378" s="79"/>
      <c r="H378" s="79"/>
      <c r="I378" s="79">
        <f>SUM(G378:H378)+'BM 007'!I378</f>
        <v>0</v>
      </c>
      <c r="J378" s="79">
        <f t="shared" si="169"/>
        <v>17</v>
      </c>
      <c r="K378" s="80">
        <v>11.25</v>
      </c>
      <c r="L378" s="81">
        <f t="shared" si="168"/>
        <v>14.260501237500002</v>
      </c>
      <c r="M378" s="82">
        <f t="shared" si="170"/>
        <v>0</v>
      </c>
      <c r="N378" s="82">
        <f t="shared" si="171"/>
        <v>0</v>
      </c>
      <c r="O378" s="82">
        <f>N378+'BM 007'!O378</f>
        <v>0</v>
      </c>
      <c r="P378" s="80">
        <f t="shared" si="172"/>
        <v>191.25</v>
      </c>
      <c r="Q378" s="82">
        <f t="shared" si="173"/>
        <v>242.42</v>
      </c>
      <c r="R378" s="82">
        <f t="shared" si="174"/>
        <v>242.42</v>
      </c>
    </row>
    <row r="379" spans="2:18" s="34" customFormat="1" ht="13.2">
      <c r="B379" s="75" t="s">
        <v>750</v>
      </c>
      <c r="C379" s="76" t="s">
        <v>751</v>
      </c>
      <c r="D379" s="77" t="s">
        <v>131</v>
      </c>
      <c r="E379" s="93">
        <v>1</v>
      </c>
      <c r="F379" s="79"/>
      <c r="G379" s="79"/>
      <c r="H379" s="79"/>
      <c r="I379" s="79">
        <f>SUM(G379:H379)+'BM 007'!I379</f>
        <v>0</v>
      </c>
      <c r="J379" s="79">
        <f t="shared" si="169"/>
        <v>1</v>
      </c>
      <c r="K379" s="80">
        <v>12.27</v>
      </c>
      <c r="L379" s="81">
        <f t="shared" si="168"/>
        <v>15.5534533497</v>
      </c>
      <c r="M379" s="82">
        <f t="shared" si="170"/>
        <v>0</v>
      </c>
      <c r="N379" s="82">
        <f t="shared" si="171"/>
        <v>0</v>
      </c>
      <c r="O379" s="82">
        <f>N379+'BM 007'!O379</f>
        <v>0</v>
      </c>
      <c r="P379" s="80">
        <f t="shared" si="172"/>
        <v>12.27</v>
      </c>
      <c r="Q379" s="82">
        <f t="shared" si="173"/>
        <v>15.55</v>
      </c>
      <c r="R379" s="82">
        <f t="shared" si="174"/>
        <v>15.55</v>
      </c>
    </row>
    <row r="380" spans="2:18" s="34" customFormat="1" ht="13.2">
      <c r="B380" s="75" t="s">
        <v>752</v>
      </c>
      <c r="C380" s="76" t="s">
        <v>753</v>
      </c>
      <c r="D380" s="77" t="s">
        <v>131</v>
      </c>
      <c r="E380" s="93">
        <v>12</v>
      </c>
      <c r="F380" s="79"/>
      <c r="G380" s="79"/>
      <c r="H380" s="79"/>
      <c r="I380" s="79">
        <f>SUM(G380:H380)+'BM 007'!I380</f>
        <v>0</v>
      </c>
      <c r="J380" s="79">
        <f t="shared" si="169"/>
        <v>12</v>
      </c>
      <c r="K380" s="80">
        <v>22.03</v>
      </c>
      <c r="L380" s="81">
        <f t="shared" si="168"/>
        <v>27.925230423300004</v>
      </c>
      <c r="M380" s="82">
        <f t="shared" si="170"/>
        <v>0</v>
      </c>
      <c r="N380" s="82">
        <f t="shared" si="171"/>
        <v>0</v>
      </c>
      <c r="O380" s="82">
        <f>N380+'BM 007'!O380</f>
        <v>0</v>
      </c>
      <c r="P380" s="80">
        <f t="shared" si="172"/>
        <v>264.36</v>
      </c>
      <c r="Q380" s="82">
        <f t="shared" si="173"/>
        <v>335.1</v>
      </c>
      <c r="R380" s="82">
        <f t="shared" si="174"/>
        <v>335.1</v>
      </c>
    </row>
    <row r="381" spans="2:18" s="34" customFormat="1" ht="13.2">
      <c r="B381" s="75" t="s">
        <v>754</v>
      </c>
      <c r="C381" s="76" t="s">
        <v>755</v>
      </c>
      <c r="D381" s="77" t="s">
        <v>131</v>
      </c>
      <c r="E381" s="93">
        <v>16</v>
      </c>
      <c r="F381" s="79"/>
      <c r="G381" s="79"/>
      <c r="H381" s="79"/>
      <c r="I381" s="79">
        <f>SUM(G381:H381)+'BM 007'!I381</f>
        <v>4</v>
      </c>
      <c r="J381" s="79">
        <f t="shared" si="169"/>
        <v>12</v>
      </c>
      <c r="K381" s="80">
        <v>32.380000000000003</v>
      </c>
      <c r="L381" s="81">
        <f t="shared" si="168"/>
        <v>41.044891561800007</v>
      </c>
      <c r="M381" s="82">
        <f t="shared" si="170"/>
        <v>0</v>
      </c>
      <c r="N381" s="82">
        <f t="shared" si="171"/>
        <v>0</v>
      </c>
      <c r="O381" s="82">
        <f>N381+'BM 007'!O381</f>
        <v>164.17</v>
      </c>
      <c r="P381" s="80">
        <f t="shared" si="172"/>
        <v>518.08000000000004</v>
      </c>
      <c r="Q381" s="82">
        <f t="shared" si="173"/>
        <v>656.71</v>
      </c>
      <c r="R381" s="82">
        <f t="shared" si="174"/>
        <v>492.54000000000008</v>
      </c>
    </row>
    <row r="382" spans="2:18" s="34" customFormat="1" ht="23.4">
      <c r="B382" s="75" t="s">
        <v>756</v>
      </c>
      <c r="C382" s="76" t="s">
        <v>757</v>
      </c>
      <c r="D382" s="77" t="s">
        <v>131</v>
      </c>
      <c r="E382" s="93">
        <v>16</v>
      </c>
      <c r="F382" s="79"/>
      <c r="G382" s="79"/>
      <c r="H382" s="79"/>
      <c r="I382" s="79">
        <f>SUM(G382:H382)+'BM 007'!I382</f>
        <v>0</v>
      </c>
      <c r="J382" s="79">
        <f t="shared" si="169"/>
        <v>16</v>
      </c>
      <c r="K382" s="80">
        <v>12.35</v>
      </c>
      <c r="L382" s="81">
        <f t="shared" si="168"/>
        <v>15.6548613585</v>
      </c>
      <c r="M382" s="82">
        <f t="shared" si="170"/>
        <v>0</v>
      </c>
      <c r="N382" s="82">
        <f t="shared" si="171"/>
        <v>0</v>
      </c>
      <c r="O382" s="82">
        <f>N382+'BM 007'!O382</f>
        <v>0</v>
      </c>
      <c r="P382" s="80">
        <f t="shared" si="172"/>
        <v>197.6</v>
      </c>
      <c r="Q382" s="82">
        <f t="shared" si="173"/>
        <v>250.47</v>
      </c>
      <c r="R382" s="82">
        <f t="shared" si="174"/>
        <v>250.47</v>
      </c>
    </row>
    <row r="383" spans="2:18" s="34" customFormat="1" ht="34.799999999999997">
      <c r="B383" s="75" t="s">
        <v>758</v>
      </c>
      <c r="C383" s="76" t="s">
        <v>759</v>
      </c>
      <c r="D383" s="77" t="s">
        <v>131</v>
      </c>
      <c r="E383" s="93">
        <v>3</v>
      </c>
      <c r="F383" s="79"/>
      <c r="G383" s="79"/>
      <c r="H383" s="79"/>
      <c r="I383" s="79">
        <f>SUM(G383:H383)+'BM 007'!I383</f>
        <v>0</v>
      </c>
      <c r="J383" s="79">
        <f t="shared" si="169"/>
        <v>3</v>
      </c>
      <c r="K383" s="80">
        <v>12.27</v>
      </c>
      <c r="L383" s="81">
        <f t="shared" si="168"/>
        <v>15.5534533497</v>
      </c>
      <c r="M383" s="82">
        <f t="shared" si="170"/>
        <v>0</v>
      </c>
      <c r="N383" s="82">
        <f t="shared" si="171"/>
        <v>0</v>
      </c>
      <c r="O383" s="82">
        <f>N383+'BM 007'!O383</f>
        <v>0</v>
      </c>
      <c r="P383" s="80">
        <f t="shared" si="172"/>
        <v>36.81</v>
      </c>
      <c r="Q383" s="82">
        <f t="shared" si="173"/>
        <v>46.66</v>
      </c>
      <c r="R383" s="82">
        <f t="shared" si="174"/>
        <v>46.66</v>
      </c>
    </row>
    <row r="384" spans="2:18" s="34" customFormat="1" ht="23.4">
      <c r="B384" s="75" t="s">
        <v>760</v>
      </c>
      <c r="C384" s="76" t="s">
        <v>761</v>
      </c>
      <c r="D384" s="77" t="s">
        <v>131</v>
      </c>
      <c r="E384" s="93">
        <v>34</v>
      </c>
      <c r="F384" s="79"/>
      <c r="G384" s="79"/>
      <c r="H384" s="79"/>
      <c r="I384" s="79">
        <f>SUM(G384:H384)+'BM 007'!I384</f>
        <v>0</v>
      </c>
      <c r="J384" s="79">
        <f t="shared" si="169"/>
        <v>34</v>
      </c>
      <c r="K384" s="80">
        <v>18.5</v>
      </c>
      <c r="L384" s="81">
        <f t="shared" si="168"/>
        <v>23.450602035000003</v>
      </c>
      <c r="M384" s="82">
        <f t="shared" si="170"/>
        <v>0</v>
      </c>
      <c r="N384" s="82">
        <f t="shared" si="171"/>
        <v>0</v>
      </c>
      <c r="O384" s="82">
        <f>N384+'BM 007'!O384</f>
        <v>0</v>
      </c>
      <c r="P384" s="80">
        <f t="shared" si="172"/>
        <v>629</v>
      </c>
      <c r="Q384" s="82">
        <f t="shared" si="173"/>
        <v>797.32</v>
      </c>
      <c r="R384" s="82">
        <f t="shared" si="174"/>
        <v>797.32</v>
      </c>
    </row>
    <row r="385" spans="2:18" s="34" customFormat="1" ht="23.4">
      <c r="B385" s="75" t="s">
        <v>762</v>
      </c>
      <c r="C385" s="76" t="s">
        <v>763</v>
      </c>
      <c r="D385" s="77" t="s">
        <v>131</v>
      </c>
      <c r="E385" s="93">
        <v>2</v>
      </c>
      <c r="F385" s="79"/>
      <c r="G385" s="79"/>
      <c r="H385" s="79"/>
      <c r="I385" s="79">
        <f>SUM(G385:H385)+'BM 007'!I385</f>
        <v>0</v>
      </c>
      <c r="J385" s="79">
        <f t="shared" si="169"/>
        <v>2</v>
      </c>
      <c r="K385" s="80">
        <v>24.61</v>
      </c>
      <c r="L385" s="81">
        <f t="shared" si="168"/>
        <v>31.195638707100002</v>
      </c>
      <c r="M385" s="82">
        <f t="shared" si="170"/>
        <v>0</v>
      </c>
      <c r="N385" s="82">
        <f t="shared" si="171"/>
        <v>0</v>
      </c>
      <c r="O385" s="82">
        <f>N385+'BM 007'!O385</f>
        <v>0</v>
      </c>
      <c r="P385" s="80">
        <f t="shared" si="172"/>
        <v>49.22</v>
      </c>
      <c r="Q385" s="82">
        <f t="shared" si="173"/>
        <v>62.39</v>
      </c>
      <c r="R385" s="82">
        <f t="shared" si="174"/>
        <v>62.39</v>
      </c>
    </row>
    <row r="386" spans="2:18" s="34" customFormat="1" ht="34.799999999999997">
      <c r="B386" s="75" t="s">
        <v>764</v>
      </c>
      <c r="C386" s="76" t="s">
        <v>765</v>
      </c>
      <c r="D386" s="77" t="s">
        <v>131</v>
      </c>
      <c r="E386" s="93">
        <v>9</v>
      </c>
      <c r="F386" s="79"/>
      <c r="G386" s="79"/>
      <c r="H386" s="79"/>
      <c r="I386" s="79">
        <f>SUM(G386:H386)+'BM 007'!I386</f>
        <v>0</v>
      </c>
      <c r="J386" s="79">
        <f t="shared" si="169"/>
        <v>9</v>
      </c>
      <c r="K386" s="80">
        <v>26.08</v>
      </c>
      <c r="L386" s="81">
        <f t="shared" si="168"/>
        <v>33.059010868800002</v>
      </c>
      <c r="M386" s="82">
        <f t="shared" si="170"/>
        <v>0</v>
      </c>
      <c r="N386" s="82">
        <f t="shared" si="171"/>
        <v>0</v>
      </c>
      <c r="O386" s="82">
        <f>N386+'BM 007'!O386</f>
        <v>0</v>
      </c>
      <c r="P386" s="80">
        <f t="shared" si="172"/>
        <v>234.71999999999997</v>
      </c>
      <c r="Q386" s="82">
        <f t="shared" si="173"/>
        <v>297.52999999999997</v>
      </c>
      <c r="R386" s="82">
        <f t="shared" si="174"/>
        <v>297.52999999999997</v>
      </c>
    </row>
    <row r="387" spans="2:18" s="34" customFormat="1" ht="23.4">
      <c r="B387" s="75" t="s">
        <v>766</v>
      </c>
      <c r="C387" s="88" t="s">
        <v>767</v>
      </c>
      <c r="D387" s="89" t="s">
        <v>131</v>
      </c>
      <c r="E387" s="90">
        <v>1</v>
      </c>
      <c r="F387" s="91"/>
      <c r="G387" s="91"/>
      <c r="H387" s="91"/>
      <c r="I387" s="91">
        <f>SUM(G387:H387)+'BM 007'!I387</f>
        <v>0</v>
      </c>
      <c r="J387" s="91">
        <f t="shared" si="169"/>
        <v>1</v>
      </c>
      <c r="K387" s="80">
        <v>40</v>
      </c>
      <c r="L387" s="81">
        <f t="shared" si="168"/>
        <v>50.704004400000002</v>
      </c>
      <c r="M387" s="82">
        <f t="shared" si="170"/>
        <v>0</v>
      </c>
      <c r="N387" s="82">
        <f t="shared" si="171"/>
        <v>0</v>
      </c>
      <c r="O387" s="82">
        <f>N387+'BM 007'!O387</f>
        <v>0</v>
      </c>
      <c r="P387" s="80">
        <f t="shared" si="172"/>
        <v>40</v>
      </c>
      <c r="Q387" s="82">
        <f t="shared" si="173"/>
        <v>50.7</v>
      </c>
      <c r="R387" s="82">
        <f t="shared" si="174"/>
        <v>50.7</v>
      </c>
    </row>
    <row r="388" spans="2:18" s="34" customFormat="1" ht="46.2">
      <c r="B388" s="75" t="s">
        <v>768</v>
      </c>
      <c r="C388" s="88" t="s">
        <v>769</v>
      </c>
      <c r="D388" s="89" t="s">
        <v>131</v>
      </c>
      <c r="E388" s="90">
        <v>29</v>
      </c>
      <c r="F388" s="91"/>
      <c r="G388" s="91"/>
      <c r="H388" s="91"/>
      <c r="I388" s="91">
        <f>SUM(G388:H388)+'BM 007'!I388</f>
        <v>0</v>
      </c>
      <c r="J388" s="91">
        <f t="shared" si="169"/>
        <v>29</v>
      </c>
      <c r="K388" s="80">
        <v>17.22</v>
      </c>
      <c r="L388" s="81">
        <f t="shared" si="168"/>
        <v>21.828073894199999</v>
      </c>
      <c r="M388" s="82">
        <f t="shared" si="170"/>
        <v>0</v>
      </c>
      <c r="N388" s="82">
        <f t="shared" si="171"/>
        <v>0</v>
      </c>
      <c r="O388" s="82">
        <f>N388+'BM 007'!O388</f>
        <v>0</v>
      </c>
      <c r="P388" s="80">
        <f t="shared" si="172"/>
        <v>499.38</v>
      </c>
      <c r="Q388" s="82">
        <f t="shared" si="173"/>
        <v>633.01</v>
      </c>
      <c r="R388" s="82">
        <f t="shared" si="174"/>
        <v>633.01</v>
      </c>
    </row>
    <row r="389" spans="2:18" s="34" customFormat="1" ht="23.4">
      <c r="B389" s="75" t="s">
        <v>770</v>
      </c>
      <c r="C389" s="76" t="s">
        <v>771</v>
      </c>
      <c r="D389" s="77" t="s">
        <v>131</v>
      </c>
      <c r="E389" s="93">
        <v>207</v>
      </c>
      <c r="F389" s="79"/>
      <c r="G389" s="79"/>
      <c r="H389" s="79"/>
      <c r="I389" s="79">
        <f>SUM(G389:H389)+'BM 007'!I389</f>
        <v>0</v>
      </c>
      <c r="J389" s="79">
        <f t="shared" si="169"/>
        <v>207</v>
      </c>
      <c r="K389" s="80">
        <v>6.59</v>
      </c>
      <c r="L389" s="81">
        <f t="shared" si="168"/>
        <v>8.3534847248999995</v>
      </c>
      <c r="M389" s="82">
        <f t="shared" si="170"/>
        <v>0</v>
      </c>
      <c r="N389" s="82">
        <f t="shared" si="171"/>
        <v>0</v>
      </c>
      <c r="O389" s="82">
        <f>N389+'BM 007'!O389</f>
        <v>0</v>
      </c>
      <c r="P389" s="80">
        <f t="shared" si="172"/>
        <v>1364.1299999999999</v>
      </c>
      <c r="Q389" s="82">
        <f t="shared" si="173"/>
        <v>1729.17</v>
      </c>
      <c r="R389" s="82">
        <f t="shared" si="174"/>
        <v>1729.17</v>
      </c>
    </row>
    <row r="390" spans="2:18" s="34" customFormat="1" ht="23.4">
      <c r="B390" s="75" t="s">
        <v>772</v>
      </c>
      <c r="C390" s="76" t="s">
        <v>773</v>
      </c>
      <c r="D390" s="77" t="s">
        <v>131</v>
      </c>
      <c r="E390" s="93">
        <v>50</v>
      </c>
      <c r="F390" s="79"/>
      <c r="G390" s="79"/>
      <c r="H390" s="79"/>
      <c r="I390" s="79">
        <f>SUM(G390:H390)+'BM 007'!I390</f>
        <v>0</v>
      </c>
      <c r="J390" s="79">
        <f t="shared" si="169"/>
        <v>50</v>
      </c>
      <c r="K390" s="80">
        <v>22.07</v>
      </c>
      <c r="L390" s="81">
        <f t="shared" si="168"/>
        <v>27.9759344277</v>
      </c>
      <c r="M390" s="82">
        <f t="shared" si="170"/>
        <v>0</v>
      </c>
      <c r="N390" s="82">
        <f t="shared" si="171"/>
        <v>0</v>
      </c>
      <c r="O390" s="82">
        <f>N390+'BM 007'!O390</f>
        <v>0</v>
      </c>
      <c r="P390" s="80">
        <f t="shared" si="172"/>
        <v>1103.5</v>
      </c>
      <c r="Q390" s="82">
        <f t="shared" si="173"/>
        <v>1398.79</v>
      </c>
      <c r="R390" s="82">
        <f t="shared" si="174"/>
        <v>1398.79</v>
      </c>
    </row>
    <row r="391" spans="2:18" s="34" customFormat="1" ht="23.4">
      <c r="B391" s="75" t="s">
        <v>774</v>
      </c>
      <c r="C391" s="76" t="s">
        <v>775</v>
      </c>
      <c r="D391" s="77" t="s">
        <v>131</v>
      </c>
      <c r="E391" s="93">
        <v>1</v>
      </c>
      <c r="F391" s="79"/>
      <c r="G391" s="79"/>
      <c r="H391" s="79"/>
      <c r="I391" s="79">
        <f>SUM(G391:H391)+'BM 007'!I391</f>
        <v>0</v>
      </c>
      <c r="J391" s="79">
        <f t="shared" si="169"/>
        <v>1</v>
      </c>
      <c r="K391" s="80">
        <v>19.649999999999999</v>
      </c>
      <c r="L391" s="81">
        <f t="shared" si="168"/>
        <v>24.908342161499998</v>
      </c>
      <c r="M391" s="82">
        <f t="shared" si="170"/>
        <v>0</v>
      </c>
      <c r="N391" s="82">
        <f t="shared" si="171"/>
        <v>0</v>
      </c>
      <c r="O391" s="82">
        <f>N391+'BM 007'!O391</f>
        <v>0</v>
      </c>
      <c r="P391" s="80">
        <f t="shared" si="172"/>
        <v>19.649999999999999</v>
      </c>
      <c r="Q391" s="82">
        <f t="shared" si="173"/>
        <v>24.9</v>
      </c>
      <c r="R391" s="82">
        <f t="shared" si="174"/>
        <v>24.9</v>
      </c>
    </row>
    <row r="392" spans="2:18" s="34" customFormat="1" ht="23.4">
      <c r="B392" s="75" t="s">
        <v>776</v>
      </c>
      <c r="C392" s="76" t="s">
        <v>777</v>
      </c>
      <c r="D392" s="77" t="s">
        <v>131</v>
      </c>
      <c r="E392" s="93">
        <v>19</v>
      </c>
      <c r="F392" s="79"/>
      <c r="G392" s="79"/>
      <c r="H392" s="79"/>
      <c r="I392" s="79">
        <f>SUM(G392:H392)+'BM 007'!I392</f>
        <v>0</v>
      </c>
      <c r="J392" s="79">
        <f t="shared" si="169"/>
        <v>19</v>
      </c>
      <c r="K392" s="80">
        <v>41.43</v>
      </c>
      <c r="L392" s="81">
        <f t="shared" si="168"/>
        <v>52.516672557300005</v>
      </c>
      <c r="M392" s="82">
        <f t="shared" si="170"/>
        <v>0</v>
      </c>
      <c r="N392" s="82">
        <f t="shared" si="171"/>
        <v>0</v>
      </c>
      <c r="O392" s="82">
        <f>N392+'BM 007'!O392</f>
        <v>0</v>
      </c>
      <c r="P392" s="80">
        <f t="shared" si="172"/>
        <v>787.17</v>
      </c>
      <c r="Q392" s="82">
        <f t="shared" si="173"/>
        <v>997.81</v>
      </c>
      <c r="R392" s="82">
        <f t="shared" si="174"/>
        <v>997.81</v>
      </c>
    </row>
    <row r="393" spans="2:18" s="34" customFormat="1" ht="46.2">
      <c r="B393" s="75" t="s">
        <v>778</v>
      </c>
      <c r="C393" s="76" t="s">
        <v>779</v>
      </c>
      <c r="D393" s="77" t="s">
        <v>131</v>
      </c>
      <c r="E393" s="93">
        <v>12</v>
      </c>
      <c r="F393" s="79"/>
      <c r="G393" s="79"/>
      <c r="H393" s="79"/>
      <c r="I393" s="79">
        <f>SUM(G393:H393)+'BM 007'!I393</f>
        <v>0</v>
      </c>
      <c r="J393" s="79">
        <f t="shared" si="169"/>
        <v>12</v>
      </c>
      <c r="K393" s="80">
        <v>76.31</v>
      </c>
      <c r="L393" s="81">
        <f t="shared" si="168"/>
        <v>96.730564394100014</v>
      </c>
      <c r="M393" s="82">
        <f t="shared" si="170"/>
        <v>0</v>
      </c>
      <c r="N393" s="82">
        <f t="shared" si="171"/>
        <v>0</v>
      </c>
      <c r="O393" s="82">
        <f>N393+'BM 007'!O393</f>
        <v>0</v>
      </c>
      <c r="P393" s="80">
        <f t="shared" si="172"/>
        <v>915.72</v>
      </c>
      <c r="Q393" s="82">
        <f t="shared" si="173"/>
        <v>1160.76</v>
      </c>
      <c r="R393" s="82">
        <f t="shared" si="174"/>
        <v>1160.76</v>
      </c>
    </row>
    <row r="394" spans="2:18" s="34" customFormat="1" ht="34.799999999999997">
      <c r="B394" s="75" t="s">
        <v>780</v>
      </c>
      <c r="C394" s="76" t="s">
        <v>781</v>
      </c>
      <c r="D394" s="77" t="s">
        <v>131</v>
      </c>
      <c r="E394" s="93">
        <v>3</v>
      </c>
      <c r="F394" s="79"/>
      <c r="G394" s="79"/>
      <c r="H394" s="79"/>
      <c r="I394" s="79">
        <f>SUM(G394:H394)+'BM 007'!I394</f>
        <v>0</v>
      </c>
      <c r="J394" s="79">
        <f t="shared" si="169"/>
        <v>3</v>
      </c>
      <c r="K394" s="80">
        <v>72.55</v>
      </c>
      <c r="L394" s="81">
        <f t="shared" si="168"/>
        <v>91.964387980500007</v>
      </c>
      <c r="M394" s="82">
        <f t="shared" si="170"/>
        <v>0</v>
      </c>
      <c r="N394" s="82">
        <f t="shared" si="171"/>
        <v>0</v>
      </c>
      <c r="O394" s="82">
        <f>N394+'BM 007'!O394</f>
        <v>0</v>
      </c>
      <c r="P394" s="80">
        <f t="shared" si="172"/>
        <v>217.64999999999998</v>
      </c>
      <c r="Q394" s="82">
        <f t="shared" si="173"/>
        <v>275.89</v>
      </c>
      <c r="R394" s="82">
        <f t="shared" si="174"/>
        <v>275.89</v>
      </c>
    </row>
    <row r="395" spans="2:18" s="34" customFormat="1" ht="24">
      <c r="B395" s="66" t="s">
        <v>782</v>
      </c>
      <c r="C395" s="67" t="s">
        <v>783</v>
      </c>
      <c r="D395" s="68"/>
      <c r="E395" s="69"/>
      <c r="F395" s="70"/>
      <c r="G395" s="70"/>
      <c r="H395" s="70"/>
      <c r="I395" s="70">
        <f>SUM(G395:H395)+'BM 007'!I395</f>
        <v>0</v>
      </c>
      <c r="J395" s="70">
        <f t="shared" si="169"/>
        <v>0</v>
      </c>
      <c r="K395" s="71"/>
      <c r="L395" s="71">
        <f t="shared" si="168"/>
        <v>0</v>
      </c>
      <c r="M395" s="73">
        <f t="shared" ref="M395:R395" si="175">SUM(M396:M405)</f>
        <v>0</v>
      </c>
      <c r="N395" s="73">
        <f t="shared" si="175"/>
        <v>0</v>
      </c>
      <c r="O395" s="73">
        <f t="shared" si="175"/>
        <v>2814.07</v>
      </c>
      <c r="P395" s="73">
        <f t="shared" si="175"/>
        <v>131062.87509999999</v>
      </c>
      <c r="Q395" s="73">
        <f t="shared" si="175"/>
        <v>166135.25</v>
      </c>
      <c r="R395" s="73">
        <f t="shared" si="175"/>
        <v>163321.18</v>
      </c>
    </row>
    <row r="396" spans="2:18" s="34" customFormat="1" ht="34.799999999999997">
      <c r="B396" s="75" t="s">
        <v>784</v>
      </c>
      <c r="C396" s="76" t="s">
        <v>785</v>
      </c>
      <c r="D396" s="77" t="s">
        <v>82</v>
      </c>
      <c r="E396" s="108">
        <v>867.48</v>
      </c>
      <c r="F396" s="109"/>
      <c r="G396" s="109"/>
      <c r="H396" s="109"/>
      <c r="I396" s="109">
        <f>SUM(G396:H396)+'BM 007'!I396</f>
        <v>0</v>
      </c>
      <c r="J396" s="109">
        <f t="shared" si="169"/>
        <v>867.48</v>
      </c>
      <c r="K396" s="80">
        <v>24.65</v>
      </c>
      <c r="L396" s="81">
        <f t="shared" si="168"/>
        <v>31.246342711499999</v>
      </c>
      <c r="M396" s="82">
        <f t="shared" ref="M396:M405" si="176">TRUNC(F396*L396,2)</f>
        <v>0</v>
      </c>
      <c r="N396" s="82">
        <f t="shared" ref="N396:N405" si="177">TRUNC(G396*L396,2)</f>
        <v>0</v>
      </c>
      <c r="O396" s="82">
        <f>N396+'BM 007'!O396</f>
        <v>0</v>
      </c>
      <c r="P396" s="80">
        <f t="shared" ref="P396:P405" si="178">E396*K396</f>
        <v>21383.381999999998</v>
      </c>
      <c r="Q396" s="82">
        <f t="shared" ref="Q396:Q405" si="179">TRUNC(E396*L396,2)</f>
        <v>27105.57</v>
      </c>
      <c r="R396" s="82">
        <f t="shared" ref="R396:R405" si="180">Q396-O396</f>
        <v>27105.57</v>
      </c>
    </row>
    <row r="397" spans="2:18" s="34" customFormat="1" ht="23.4">
      <c r="B397" s="75" t="s">
        <v>786</v>
      </c>
      <c r="C397" s="76" t="s">
        <v>653</v>
      </c>
      <c r="D397" s="77" t="s">
        <v>82</v>
      </c>
      <c r="E397" s="110">
        <v>18.04</v>
      </c>
      <c r="F397" s="111"/>
      <c r="G397" s="111"/>
      <c r="H397" s="111"/>
      <c r="I397" s="111">
        <f>SUM(G397:H397)+'BM 007'!I397</f>
        <v>0</v>
      </c>
      <c r="J397" s="111">
        <f t="shared" si="169"/>
        <v>18.04</v>
      </c>
      <c r="K397" s="80">
        <v>6.5</v>
      </c>
      <c r="L397" s="81">
        <f t="shared" si="168"/>
        <v>8.2394007150000004</v>
      </c>
      <c r="M397" s="82">
        <f t="shared" si="176"/>
        <v>0</v>
      </c>
      <c r="N397" s="82">
        <f t="shared" si="177"/>
        <v>0</v>
      </c>
      <c r="O397" s="82">
        <f>N397+'BM 007'!O397</f>
        <v>0</v>
      </c>
      <c r="P397" s="80">
        <f t="shared" si="178"/>
        <v>117.25999999999999</v>
      </c>
      <c r="Q397" s="82">
        <f t="shared" si="179"/>
        <v>148.63</v>
      </c>
      <c r="R397" s="82">
        <f t="shared" si="180"/>
        <v>148.63</v>
      </c>
    </row>
    <row r="398" spans="2:18" s="34" customFormat="1" ht="23.4">
      <c r="B398" s="75" t="s">
        <v>787</v>
      </c>
      <c r="C398" s="76" t="s">
        <v>655</v>
      </c>
      <c r="D398" s="77" t="s">
        <v>82</v>
      </c>
      <c r="E398" s="110">
        <v>739.18</v>
      </c>
      <c r="F398" s="111"/>
      <c r="G398" s="111"/>
      <c r="H398" s="111"/>
      <c r="I398" s="111">
        <f>SUM(G398:H398)+'BM 007'!I398</f>
        <v>0</v>
      </c>
      <c r="J398" s="111">
        <f t="shared" si="169"/>
        <v>739.18</v>
      </c>
      <c r="K398" s="80">
        <v>8</v>
      </c>
      <c r="L398" s="81">
        <f t="shared" si="168"/>
        <v>10.14080088</v>
      </c>
      <c r="M398" s="82">
        <f t="shared" si="176"/>
        <v>0</v>
      </c>
      <c r="N398" s="82">
        <f t="shared" si="177"/>
        <v>0</v>
      </c>
      <c r="O398" s="82">
        <f>N398+'BM 007'!O398</f>
        <v>0</v>
      </c>
      <c r="P398" s="80">
        <f t="shared" si="178"/>
        <v>5913.44</v>
      </c>
      <c r="Q398" s="82">
        <f t="shared" si="179"/>
        <v>7495.87</v>
      </c>
      <c r="R398" s="82">
        <f t="shared" si="180"/>
        <v>7495.87</v>
      </c>
    </row>
    <row r="399" spans="2:18" s="34" customFormat="1" ht="23.4">
      <c r="B399" s="75" t="s">
        <v>788</v>
      </c>
      <c r="C399" s="76" t="s">
        <v>659</v>
      </c>
      <c r="D399" s="77" t="s">
        <v>82</v>
      </c>
      <c r="E399" s="112">
        <v>19.510000000000002</v>
      </c>
      <c r="F399" s="113"/>
      <c r="G399" s="113"/>
      <c r="H399" s="113"/>
      <c r="I399" s="113">
        <f>SUM(G399:H399)+'BM 007'!I399</f>
        <v>0</v>
      </c>
      <c r="J399" s="113">
        <f t="shared" si="169"/>
        <v>19.510000000000002</v>
      </c>
      <c r="K399" s="80">
        <v>23.5</v>
      </c>
      <c r="L399" s="81">
        <f t="shared" si="168"/>
        <v>29.788602585</v>
      </c>
      <c r="M399" s="82">
        <f t="shared" si="176"/>
        <v>0</v>
      </c>
      <c r="N399" s="82">
        <f t="shared" si="177"/>
        <v>0</v>
      </c>
      <c r="O399" s="82">
        <f>N399+'BM 007'!O399</f>
        <v>0</v>
      </c>
      <c r="P399" s="80">
        <f t="shared" si="178"/>
        <v>458.48500000000001</v>
      </c>
      <c r="Q399" s="82">
        <f t="shared" si="179"/>
        <v>581.16999999999996</v>
      </c>
      <c r="R399" s="82">
        <f t="shared" si="180"/>
        <v>581.16999999999996</v>
      </c>
    </row>
    <row r="400" spans="2:18" s="34" customFormat="1" ht="34.799999999999997">
      <c r="B400" s="75" t="s">
        <v>789</v>
      </c>
      <c r="C400" s="76" t="s">
        <v>790</v>
      </c>
      <c r="D400" s="77" t="s">
        <v>82</v>
      </c>
      <c r="E400" s="108">
        <v>609.66</v>
      </c>
      <c r="F400" s="109"/>
      <c r="G400" s="109"/>
      <c r="H400" s="109"/>
      <c r="I400" s="109">
        <f>SUM(G400:H400)+'BM 007'!I400</f>
        <v>0</v>
      </c>
      <c r="J400" s="109">
        <f t="shared" si="169"/>
        <v>609.66</v>
      </c>
      <c r="K400" s="80">
        <v>27.5</v>
      </c>
      <c r="L400" s="81">
        <f t="shared" si="168"/>
        <v>34.859003025</v>
      </c>
      <c r="M400" s="82">
        <f t="shared" si="176"/>
        <v>0</v>
      </c>
      <c r="N400" s="82">
        <f t="shared" si="177"/>
        <v>0</v>
      </c>
      <c r="O400" s="82">
        <f>N400+'BM 007'!O400</f>
        <v>0</v>
      </c>
      <c r="P400" s="80">
        <f t="shared" si="178"/>
        <v>16765.649999999998</v>
      </c>
      <c r="Q400" s="82">
        <f t="shared" si="179"/>
        <v>21252.13</v>
      </c>
      <c r="R400" s="82">
        <f t="shared" si="180"/>
        <v>21252.13</v>
      </c>
    </row>
    <row r="401" spans="2:18" s="34" customFormat="1" ht="34.799999999999997">
      <c r="B401" s="75" t="s">
        <v>791</v>
      </c>
      <c r="C401" s="76" t="s">
        <v>792</v>
      </c>
      <c r="D401" s="77" t="s">
        <v>82</v>
      </c>
      <c r="E401" s="114">
        <v>307.39999999999998</v>
      </c>
      <c r="F401" s="82"/>
      <c r="G401" s="82"/>
      <c r="H401" s="82"/>
      <c r="I401" s="82">
        <f>SUM(G401:H401)+'BM 007'!I401</f>
        <v>30</v>
      </c>
      <c r="J401" s="82">
        <f t="shared" si="169"/>
        <v>277.39999999999998</v>
      </c>
      <c r="K401" s="80">
        <v>74</v>
      </c>
      <c r="L401" s="81">
        <f t="shared" si="168"/>
        <v>93.802408140000011</v>
      </c>
      <c r="M401" s="82">
        <f t="shared" si="176"/>
        <v>0</v>
      </c>
      <c r="N401" s="82">
        <f t="shared" si="177"/>
        <v>0</v>
      </c>
      <c r="O401" s="82">
        <f>N401+'BM 007'!O401</f>
        <v>2814.07</v>
      </c>
      <c r="P401" s="80">
        <f t="shared" si="178"/>
        <v>22747.599999999999</v>
      </c>
      <c r="Q401" s="82">
        <f t="shared" si="179"/>
        <v>28834.86</v>
      </c>
      <c r="R401" s="82">
        <f t="shared" si="180"/>
        <v>26020.79</v>
      </c>
    </row>
    <row r="402" spans="2:18" s="34" customFormat="1" ht="34.799999999999997">
      <c r="B402" s="75" t="s">
        <v>793</v>
      </c>
      <c r="C402" s="76" t="s">
        <v>794</v>
      </c>
      <c r="D402" s="77" t="s">
        <v>82</v>
      </c>
      <c r="E402" s="114">
        <v>340.33</v>
      </c>
      <c r="F402" s="82"/>
      <c r="G402" s="82"/>
      <c r="H402" s="82"/>
      <c r="I402" s="82">
        <f>SUM(G402:H402)+'BM 007'!I402</f>
        <v>0</v>
      </c>
      <c r="J402" s="82">
        <f t="shared" si="169"/>
        <v>340.33</v>
      </c>
      <c r="K402" s="80">
        <v>34.57</v>
      </c>
      <c r="L402" s="81">
        <f t="shared" si="168"/>
        <v>43.820935802699999</v>
      </c>
      <c r="M402" s="82">
        <f t="shared" si="176"/>
        <v>0</v>
      </c>
      <c r="N402" s="82">
        <f t="shared" si="177"/>
        <v>0</v>
      </c>
      <c r="O402" s="82">
        <f>N402+'BM 007'!O402</f>
        <v>0</v>
      </c>
      <c r="P402" s="80">
        <f t="shared" si="178"/>
        <v>11765.2081</v>
      </c>
      <c r="Q402" s="82">
        <f t="shared" si="179"/>
        <v>14913.57</v>
      </c>
      <c r="R402" s="82">
        <f t="shared" si="180"/>
        <v>14913.57</v>
      </c>
    </row>
    <row r="403" spans="2:18" s="34" customFormat="1" ht="23.4">
      <c r="B403" s="75" t="s">
        <v>795</v>
      </c>
      <c r="C403" s="76" t="s">
        <v>796</v>
      </c>
      <c r="D403" s="77" t="s">
        <v>82</v>
      </c>
      <c r="E403" s="114">
        <v>52.07</v>
      </c>
      <c r="F403" s="82"/>
      <c r="G403" s="82"/>
      <c r="H403" s="82"/>
      <c r="I403" s="82">
        <f>SUM(G403:H403)+'BM 007'!I403</f>
        <v>0</v>
      </c>
      <c r="J403" s="82">
        <f t="shared" si="169"/>
        <v>52.07</v>
      </c>
      <c r="K403" s="80">
        <v>165</v>
      </c>
      <c r="L403" s="81">
        <f t="shared" si="168"/>
        <v>209.15401815000001</v>
      </c>
      <c r="M403" s="82">
        <f t="shared" si="176"/>
        <v>0</v>
      </c>
      <c r="N403" s="82">
        <f t="shared" si="177"/>
        <v>0</v>
      </c>
      <c r="O403" s="82">
        <f>N403+'BM 007'!O403</f>
        <v>0</v>
      </c>
      <c r="P403" s="80">
        <f t="shared" si="178"/>
        <v>8591.5499999999993</v>
      </c>
      <c r="Q403" s="82">
        <f t="shared" si="179"/>
        <v>10890.64</v>
      </c>
      <c r="R403" s="82">
        <f t="shared" si="180"/>
        <v>10890.64</v>
      </c>
    </row>
    <row r="404" spans="2:18" s="34" customFormat="1" ht="23.4">
      <c r="B404" s="75" t="s">
        <v>797</v>
      </c>
      <c r="C404" s="76" t="s">
        <v>796</v>
      </c>
      <c r="D404" s="77" t="s">
        <v>82</v>
      </c>
      <c r="E404" s="114">
        <v>3.02</v>
      </c>
      <c r="F404" s="82"/>
      <c r="G404" s="82"/>
      <c r="H404" s="82"/>
      <c r="I404" s="82">
        <f>SUM(G404:H404)+'BM 007'!I404</f>
        <v>0</v>
      </c>
      <c r="J404" s="82">
        <f t="shared" si="169"/>
        <v>3.02</v>
      </c>
      <c r="K404" s="80">
        <v>165</v>
      </c>
      <c r="L404" s="81">
        <f t="shared" si="168"/>
        <v>209.15401815000001</v>
      </c>
      <c r="M404" s="82">
        <f t="shared" si="176"/>
        <v>0</v>
      </c>
      <c r="N404" s="82">
        <f t="shared" si="177"/>
        <v>0</v>
      </c>
      <c r="O404" s="82">
        <f>N404+'BM 007'!O404</f>
        <v>0</v>
      </c>
      <c r="P404" s="80">
        <f t="shared" si="178"/>
        <v>498.3</v>
      </c>
      <c r="Q404" s="82">
        <f t="shared" si="179"/>
        <v>631.64</v>
      </c>
      <c r="R404" s="82">
        <f t="shared" si="180"/>
        <v>631.64</v>
      </c>
    </row>
    <row r="405" spans="2:18" s="34" customFormat="1" ht="23.4">
      <c r="B405" s="75" t="s">
        <v>798</v>
      </c>
      <c r="C405" s="76" t="s">
        <v>799</v>
      </c>
      <c r="D405" s="77" t="s">
        <v>82</v>
      </c>
      <c r="E405" s="114">
        <v>658.8</v>
      </c>
      <c r="F405" s="82"/>
      <c r="G405" s="82"/>
      <c r="H405" s="82"/>
      <c r="I405" s="82">
        <f>SUM(G405:H405)+'BM 007'!I405</f>
        <v>0</v>
      </c>
      <c r="J405" s="82">
        <f t="shared" si="169"/>
        <v>658.8</v>
      </c>
      <c r="K405" s="80">
        <v>65</v>
      </c>
      <c r="L405" s="81">
        <f t="shared" si="168"/>
        <v>82.394007150000007</v>
      </c>
      <c r="M405" s="82">
        <f t="shared" si="176"/>
        <v>0</v>
      </c>
      <c r="N405" s="82">
        <f t="shared" si="177"/>
        <v>0</v>
      </c>
      <c r="O405" s="82">
        <f>N405+'BM 007'!O405</f>
        <v>0</v>
      </c>
      <c r="P405" s="80">
        <f t="shared" si="178"/>
        <v>42822</v>
      </c>
      <c r="Q405" s="82">
        <f t="shared" si="179"/>
        <v>54281.17</v>
      </c>
      <c r="R405" s="82">
        <f t="shared" si="180"/>
        <v>54281.17</v>
      </c>
    </row>
    <row r="406" spans="2:18" s="34" customFormat="1" ht="36">
      <c r="B406" s="66" t="s">
        <v>800</v>
      </c>
      <c r="C406" s="115" t="s">
        <v>801</v>
      </c>
      <c r="D406" s="116"/>
      <c r="E406" s="117"/>
      <c r="F406" s="118"/>
      <c r="G406" s="118"/>
      <c r="H406" s="118"/>
      <c r="I406" s="118">
        <f>SUM(G406:H406)+'BM 007'!I406</f>
        <v>0</v>
      </c>
      <c r="J406" s="118">
        <f t="shared" si="169"/>
        <v>0</v>
      </c>
      <c r="K406" s="119"/>
      <c r="L406" s="119">
        <f t="shared" si="168"/>
        <v>0</v>
      </c>
      <c r="M406" s="73">
        <f t="shared" ref="M406:R406" si="181">SUM(M407:M473)</f>
        <v>0</v>
      </c>
      <c r="N406" s="73">
        <f t="shared" si="181"/>
        <v>0</v>
      </c>
      <c r="O406" s="73">
        <f t="shared" si="181"/>
        <v>0</v>
      </c>
      <c r="P406" s="73">
        <f t="shared" si="181"/>
        <v>84729.980000000025</v>
      </c>
      <c r="Q406" s="73">
        <f t="shared" si="181"/>
        <v>107403.37000000007</v>
      </c>
      <c r="R406" s="73">
        <f t="shared" si="181"/>
        <v>107403.37000000007</v>
      </c>
    </row>
    <row r="407" spans="2:18" s="34" customFormat="1" ht="46.2">
      <c r="B407" s="75" t="s">
        <v>802</v>
      </c>
      <c r="C407" s="76" t="s">
        <v>803</v>
      </c>
      <c r="D407" s="77" t="s">
        <v>131</v>
      </c>
      <c r="E407" s="93">
        <v>209</v>
      </c>
      <c r="F407" s="79"/>
      <c r="G407" s="79"/>
      <c r="H407" s="79"/>
      <c r="I407" s="79">
        <f>SUM(G407:H407)+'BM 007'!I407</f>
        <v>0</v>
      </c>
      <c r="J407" s="79">
        <f t="shared" si="169"/>
        <v>209</v>
      </c>
      <c r="K407" s="80">
        <v>15.61</v>
      </c>
      <c r="L407" s="81">
        <f t="shared" si="168"/>
        <v>19.787237717100002</v>
      </c>
      <c r="M407" s="82">
        <f t="shared" ref="M407:M438" si="182">TRUNC(F407*L407,2)</f>
        <v>0</v>
      </c>
      <c r="N407" s="82">
        <f t="shared" ref="N407:N438" si="183">TRUNC(G407*L407,2)</f>
        <v>0</v>
      </c>
      <c r="O407" s="82">
        <f>N407+'BM 007'!O407</f>
        <v>0</v>
      </c>
      <c r="P407" s="80">
        <f t="shared" ref="P407:P438" si="184">E407*K407</f>
        <v>3262.49</v>
      </c>
      <c r="Q407" s="82">
        <f t="shared" ref="Q407:Q438" si="185">TRUNC(E407*L407,2)</f>
        <v>4135.53</v>
      </c>
      <c r="R407" s="82">
        <f t="shared" ref="R407:R438" si="186">Q407-O407</f>
        <v>4135.53</v>
      </c>
    </row>
    <row r="408" spans="2:18" s="34" customFormat="1" ht="46.2">
      <c r="B408" s="75" t="s">
        <v>804</v>
      </c>
      <c r="C408" s="76" t="s">
        <v>805</v>
      </c>
      <c r="D408" s="77" t="s">
        <v>131</v>
      </c>
      <c r="E408" s="93">
        <v>127</v>
      </c>
      <c r="F408" s="79"/>
      <c r="G408" s="79"/>
      <c r="H408" s="79"/>
      <c r="I408" s="79">
        <f>SUM(G408:H408)+'BM 007'!I408</f>
        <v>0</v>
      </c>
      <c r="J408" s="79">
        <f t="shared" si="169"/>
        <v>127</v>
      </c>
      <c r="K408" s="80">
        <v>13.73</v>
      </c>
      <c r="L408" s="81">
        <f t="shared" si="168"/>
        <v>17.404149510300002</v>
      </c>
      <c r="M408" s="82">
        <f t="shared" si="182"/>
        <v>0</v>
      </c>
      <c r="N408" s="82">
        <f t="shared" si="183"/>
        <v>0</v>
      </c>
      <c r="O408" s="82">
        <f>N408+'BM 007'!O408</f>
        <v>0</v>
      </c>
      <c r="P408" s="80">
        <f t="shared" si="184"/>
        <v>1743.71</v>
      </c>
      <c r="Q408" s="82">
        <f t="shared" si="185"/>
        <v>2210.3200000000002</v>
      </c>
      <c r="R408" s="82">
        <f t="shared" si="186"/>
        <v>2210.3200000000002</v>
      </c>
    </row>
    <row r="409" spans="2:18" s="34" customFormat="1" ht="34.799999999999997">
      <c r="B409" s="75" t="s">
        <v>806</v>
      </c>
      <c r="C409" s="76" t="s">
        <v>807</v>
      </c>
      <c r="D409" s="77" t="s">
        <v>131</v>
      </c>
      <c r="E409" s="93">
        <v>286</v>
      </c>
      <c r="F409" s="79"/>
      <c r="G409" s="79"/>
      <c r="H409" s="79"/>
      <c r="I409" s="79">
        <f>SUM(G409:H409)+'BM 007'!I409</f>
        <v>0</v>
      </c>
      <c r="J409" s="79">
        <f t="shared" si="169"/>
        <v>286</v>
      </c>
      <c r="K409" s="80">
        <v>46.17</v>
      </c>
      <c r="L409" s="81">
        <f t="shared" si="168"/>
        <v>58.525097078700007</v>
      </c>
      <c r="M409" s="82">
        <f t="shared" si="182"/>
        <v>0</v>
      </c>
      <c r="N409" s="82">
        <f t="shared" si="183"/>
        <v>0</v>
      </c>
      <c r="O409" s="82">
        <f>N409+'BM 007'!O409</f>
        <v>0</v>
      </c>
      <c r="P409" s="80">
        <f t="shared" si="184"/>
        <v>13204.62</v>
      </c>
      <c r="Q409" s="82">
        <f t="shared" si="185"/>
        <v>16738.169999999998</v>
      </c>
      <c r="R409" s="82">
        <f t="shared" si="186"/>
        <v>16738.169999999998</v>
      </c>
    </row>
    <row r="410" spans="2:18" s="34" customFormat="1" ht="34.799999999999997">
      <c r="B410" s="75" t="s">
        <v>808</v>
      </c>
      <c r="C410" s="76" t="s">
        <v>809</v>
      </c>
      <c r="D410" s="77" t="s">
        <v>131</v>
      </c>
      <c r="E410" s="93">
        <v>2</v>
      </c>
      <c r="F410" s="79"/>
      <c r="G410" s="79"/>
      <c r="H410" s="79"/>
      <c r="I410" s="79">
        <f>SUM(G410:H410)+'BM 007'!I410</f>
        <v>0</v>
      </c>
      <c r="J410" s="79">
        <f t="shared" si="169"/>
        <v>2</v>
      </c>
      <c r="K410" s="80">
        <v>95</v>
      </c>
      <c r="L410" s="81">
        <f t="shared" si="168"/>
        <v>120.42201045</v>
      </c>
      <c r="M410" s="82">
        <f t="shared" si="182"/>
        <v>0</v>
      </c>
      <c r="N410" s="82">
        <f t="shared" si="183"/>
        <v>0</v>
      </c>
      <c r="O410" s="82">
        <f>N410+'BM 007'!O410</f>
        <v>0</v>
      </c>
      <c r="P410" s="80">
        <f t="shared" si="184"/>
        <v>190</v>
      </c>
      <c r="Q410" s="82">
        <f t="shared" si="185"/>
        <v>240.84</v>
      </c>
      <c r="R410" s="82">
        <f t="shared" si="186"/>
        <v>240.84</v>
      </c>
    </row>
    <row r="411" spans="2:18" s="34" customFormat="1" ht="34.799999999999997">
      <c r="B411" s="75" t="s">
        <v>810</v>
      </c>
      <c r="C411" s="76" t="s">
        <v>811</v>
      </c>
      <c r="D411" s="77" t="s">
        <v>131</v>
      </c>
      <c r="E411" s="93">
        <v>4</v>
      </c>
      <c r="F411" s="79"/>
      <c r="G411" s="79"/>
      <c r="H411" s="79"/>
      <c r="I411" s="79">
        <f>SUM(G411:H411)+'BM 007'!I411</f>
        <v>0</v>
      </c>
      <c r="J411" s="79">
        <f t="shared" si="169"/>
        <v>4</v>
      </c>
      <c r="K411" s="80">
        <v>240</v>
      </c>
      <c r="L411" s="81">
        <f t="shared" si="168"/>
        <v>304.22402640000001</v>
      </c>
      <c r="M411" s="82">
        <f t="shared" si="182"/>
        <v>0</v>
      </c>
      <c r="N411" s="82">
        <f t="shared" si="183"/>
        <v>0</v>
      </c>
      <c r="O411" s="82">
        <f>N411+'BM 007'!O411</f>
        <v>0</v>
      </c>
      <c r="P411" s="80">
        <f t="shared" si="184"/>
        <v>960</v>
      </c>
      <c r="Q411" s="82">
        <f t="shared" si="185"/>
        <v>1216.8900000000001</v>
      </c>
      <c r="R411" s="82">
        <f t="shared" si="186"/>
        <v>1216.8900000000001</v>
      </c>
    </row>
    <row r="412" spans="2:18" s="34" customFormat="1" ht="46.2">
      <c r="B412" s="75" t="s">
        <v>812</v>
      </c>
      <c r="C412" s="76" t="s">
        <v>813</v>
      </c>
      <c r="D412" s="77" t="s">
        <v>131</v>
      </c>
      <c r="E412" s="93">
        <v>412</v>
      </c>
      <c r="F412" s="79"/>
      <c r="G412" s="79"/>
      <c r="H412" s="79"/>
      <c r="I412" s="79">
        <f>SUM(G412:H412)+'BM 007'!I412</f>
        <v>0</v>
      </c>
      <c r="J412" s="79">
        <f t="shared" si="169"/>
        <v>412</v>
      </c>
      <c r="K412" s="80">
        <v>8.31</v>
      </c>
      <c r="L412" s="81">
        <f t="shared" si="168"/>
        <v>10.533756914100001</v>
      </c>
      <c r="M412" s="82">
        <f t="shared" si="182"/>
        <v>0</v>
      </c>
      <c r="N412" s="82">
        <f t="shared" si="183"/>
        <v>0</v>
      </c>
      <c r="O412" s="82">
        <f>N412+'BM 007'!O412</f>
        <v>0</v>
      </c>
      <c r="P412" s="80">
        <f t="shared" si="184"/>
        <v>3423.7200000000003</v>
      </c>
      <c r="Q412" s="82">
        <f t="shared" si="185"/>
        <v>4339.8999999999996</v>
      </c>
      <c r="R412" s="82">
        <f t="shared" si="186"/>
        <v>4339.8999999999996</v>
      </c>
    </row>
    <row r="413" spans="2:18" s="34" customFormat="1" ht="34.799999999999997">
      <c r="B413" s="75" t="s">
        <v>814</v>
      </c>
      <c r="C413" s="76" t="s">
        <v>815</v>
      </c>
      <c r="D413" s="77" t="s">
        <v>131</v>
      </c>
      <c r="E413" s="93">
        <v>2</v>
      </c>
      <c r="F413" s="79"/>
      <c r="G413" s="79"/>
      <c r="H413" s="79"/>
      <c r="I413" s="79">
        <f>SUM(G413:H413)+'BM 007'!I413</f>
        <v>0</v>
      </c>
      <c r="J413" s="79">
        <f t="shared" si="169"/>
        <v>2</v>
      </c>
      <c r="K413" s="80">
        <v>29</v>
      </c>
      <c r="L413" s="81">
        <f t="shared" ref="L413:L476" si="187">K413*(1+$T$26)</f>
        <v>36.760403190000005</v>
      </c>
      <c r="M413" s="82">
        <f t="shared" si="182"/>
        <v>0</v>
      </c>
      <c r="N413" s="82">
        <f t="shared" si="183"/>
        <v>0</v>
      </c>
      <c r="O413" s="82">
        <f>N413+'BM 007'!O413</f>
        <v>0</v>
      </c>
      <c r="P413" s="80">
        <f t="shared" si="184"/>
        <v>58</v>
      </c>
      <c r="Q413" s="82">
        <f t="shared" si="185"/>
        <v>73.52</v>
      </c>
      <c r="R413" s="82">
        <f t="shared" si="186"/>
        <v>73.52</v>
      </c>
    </row>
    <row r="414" spans="2:18" s="34" customFormat="1" ht="46.2">
      <c r="B414" s="75" t="s">
        <v>816</v>
      </c>
      <c r="C414" s="76" t="s">
        <v>817</v>
      </c>
      <c r="D414" s="77" t="s">
        <v>131</v>
      </c>
      <c r="E414" s="93">
        <v>115</v>
      </c>
      <c r="F414" s="79"/>
      <c r="G414" s="79"/>
      <c r="H414" s="79"/>
      <c r="I414" s="79">
        <f>SUM(G414:H414)+'BM 007'!I414</f>
        <v>0</v>
      </c>
      <c r="J414" s="79">
        <f t="shared" si="169"/>
        <v>115</v>
      </c>
      <c r="K414" s="80">
        <v>9.2899999999999991</v>
      </c>
      <c r="L414" s="81">
        <f t="shared" si="187"/>
        <v>11.7760050219</v>
      </c>
      <c r="M414" s="82">
        <f t="shared" si="182"/>
        <v>0</v>
      </c>
      <c r="N414" s="82">
        <f t="shared" si="183"/>
        <v>0</v>
      </c>
      <c r="O414" s="82">
        <f>N414+'BM 007'!O414</f>
        <v>0</v>
      </c>
      <c r="P414" s="80">
        <f t="shared" si="184"/>
        <v>1068.3499999999999</v>
      </c>
      <c r="Q414" s="82">
        <f t="shared" si="185"/>
        <v>1354.24</v>
      </c>
      <c r="R414" s="82">
        <f t="shared" si="186"/>
        <v>1354.24</v>
      </c>
    </row>
    <row r="415" spans="2:18" s="34" customFormat="1" ht="46.2">
      <c r="B415" s="75" t="s">
        <v>818</v>
      </c>
      <c r="C415" s="76" t="s">
        <v>819</v>
      </c>
      <c r="D415" s="77" t="s">
        <v>131</v>
      </c>
      <c r="E415" s="93">
        <v>158</v>
      </c>
      <c r="F415" s="79"/>
      <c r="G415" s="79"/>
      <c r="H415" s="79"/>
      <c r="I415" s="79">
        <f>SUM(G415:H415)+'BM 007'!I415</f>
        <v>0</v>
      </c>
      <c r="J415" s="79">
        <f t="shared" ref="J415:J478" si="188">E415-I415</f>
        <v>158</v>
      </c>
      <c r="K415" s="80">
        <v>14.75</v>
      </c>
      <c r="L415" s="81">
        <f t="shared" si="187"/>
        <v>18.6971016225</v>
      </c>
      <c r="M415" s="82">
        <f t="shared" si="182"/>
        <v>0</v>
      </c>
      <c r="N415" s="82">
        <f t="shared" si="183"/>
        <v>0</v>
      </c>
      <c r="O415" s="82">
        <f>N415+'BM 007'!O415</f>
        <v>0</v>
      </c>
      <c r="P415" s="80">
        <f t="shared" si="184"/>
        <v>2330.5</v>
      </c>
      <c r="Q415" s="82">
        <f t="shared" si="185"/>
        <v>2954.14</v>
      </c>
      <c r="R415" s="82">
        <f t="shared" si="186"/>
        <v>2954.14</v>
      </c>
    </row>
    <row r="416" spans="2:18" s="34" customFormat="1" ht="46.2">
      <c r="B416" s="75" t="s">
        <v>820</v>
      </c>
      <c r="C416" s="76" t="s">
        <v>821</v>
      </c>
      <c r="D416" s="77" t="s">
        <v>131</v>
      </c>
      <c r="E416" s="93">
        <v>28</v>
      </c>
      <c r="F416" s="79"/>
      <c r="G416" s="79"/>
      <c r="H416" s="79"/>
      <c r="I416" s="79">
        <f>SUM(G416:H416)+'BM 007'!I416</f>
        <v>0</v>
      </c>
      <c r="J416" s="79">
        <f t="shared" si="188"/>
        <v>28</v>
      </c>
      <c r="K416" s="80">
        <v>29.5</v>
      </c>
      <c r="L416" s="81">
        <f t="shared" si="187"/>
        <v>37.394203245</v>
      </c>
      <c r="M416" s="82">
        <f t="shared" si="182"/>
        <v>0</v>
      </c>
      <c r="N416" s="82">
        <f t="shared" si="183"/>
        <v>0</v>
      </c>
      <c r="O416" s="82">
        <f>N416+'BM 007'!O416</f>
        <v>0</v>
      </c>
      <c r="P416" s="80">
        <f t="shared" si="184"/>
        <v>826</v>
      </c>
      <c r="Q416" s="82">
        <f t="shared" si="185"/>
        <v>1047.03</v>
      </c>
      <c r="R416" s="82">
        <f t="shared" si="186"/>
        <v>1047.03</v>
      </c>
    </row>
    <row r="417" spans="2:18" s="34" customFormat="1" ht="22.5" customHeight="1">
      <c r="B417" s="75" t="s">
        <v>822</v>
      </c>
      <c r="C417" s="76" t="s">
        <v>823</v>
      </c>
      <c r="D417" s="77" t="s">
        <v>131</v>
      </c>
      <c r="E417" s="93">
        <v>37</v>
      </c>
      <c r="F417" s="79"/>
      <c r="G417" s="79"/>
      <c r="H417" s="79"/>
      <c r="I417" s="79">
        <f>SUM(G417:H417)+'BM 007'!I417</f>
        <v>0</v>
      </c>
      <c r="J417" s="79">
        <f t="shared" si="188"/>
        <v>37</v>
      </c>
      <c r="K417" s="80">
        <v>34.119999999999997</v>
      </c>
      <c r="L417" s="81">
        <f t="shared" si="187"/>
        <v>43.250515753199998</v>
      </c>
      <c r="M417" s="82">
        <f t="shared" si="182"/>
        <v>0</v>
      </c>
      <c r="N417" s="82">
        <f t="shared" si="183"/>
        <v>0</v>
      </c>
      <c r="O417" s="82">
        <f>N417+'BM 007'!O417</f>
        <v>0</v>
      </c>
      <c r="P417" s="80">
        <f t="shared" si="184"/>
        <v>1262.4399999999998</v>
      </c>
      <c r="Q417" s="82">
        <f t="shared" si="185"/>
        <v>1600.26</v>
      </c>
      <c r="R417" s="82">
        <f t="shared" si="186"/>
        <v>1600.26</v>
      </c>
    </row>
    <row r="418" spans="2:18" s="34" customFormat="1" ht="34.799999999999997">
      <c r="B418" s="75" t="s">
        <v>824</v>
      </c>
      <c r="C418" s="76" t="s">
        <v>825</v>
      </c>
      <c r="D418" s="77" t="s">
        <v>131</v>
      </c>
      <c r="E418" s="93">
        <v>77</v>
      </c>
      <c r="F418" s="79"/>
      <c r="G418" s="79"/>
      <c r="H418" s="79"/>
      <c r="I418" s="79">
        <f>SUM(G418:H418)+'BM 007'!I418</f>
        <v>0</v>
      </c>
      <c r="J418" s="79">
        <f t="shared" si="188"/>
        <v>77</v>
      </c>
      <c r="K418" s="80">
        <v>42</v>
      </c>
      <c r="L418" s="81">
        <f t="shared" si="187"/>
        <v>53.239204620000002</v>
      </c>
      <c r="M418" s="82">
        <f t="shared" si="182"/>
        <v>0</v>
      </c>
      <c r="N418" s="82">
        <f t="shared" si="183"/>
        <v>0</v>
      </c>
      <c r="O418" s="82">
        <f>N418+'BM 007'!O418</f>
        <v>0</v>
      </c>
      <c r="P418" s="80">
        <f t="shared" si="184"/>
        <v>3234</v>
      </c>
      <c r="Q418" s="82">
        <f t="shared" si="185"/>
        <v>4099.41</v>
      </c>
      <c r="R418" s="82">
        <f t="shared" si="186"/>
        <v>4099.41</v>
      </c>
    </row>
    <row r="419" spans="2:18" s="34" customFormat="1" ht="34.799999999999997">
      <c r="B419" s="75" t="s">
        <v>826</v>
      </c>
      <c r="C419" s="76" t="s">
        <v>827</v>
      </c>
      <c r="D419" s="77" t="s">
        <v>131</v>
      </c>
      <c r="E419" s="93">
        <v>1</v>
      </c>
      <c r="F419" s="79"/>
      <c r="G419" s="79"/>
      <c r="H419" s="79"/>
      <c r="I419" s="79">
        <f>SUM(G419:H419)+'BM 007'!I419</f>
        <v>0</v>
      </c>
      <c r="J419" s="79">
        <f t="shared" si="188"/>
        <v>1</v>
      </c>
      <c r="K419" s="80">
        <v>88</v>
      </c>
      <c r="L419" s="81">
        <f t="shared" si="187"/>
        <v>111.54880968000001</v>
      </c>
      <c r="M419" s="82">
        <f t="shared" si="182"/>
        <v>0</v>
      </c>
      <c r="N419" s="82">
        <f t="shared" si="183"/>
        <v>0</v>
      </c>
      <c r="O419" s="82">
        <f>N419+'BM 007'!O419</f>
        <v>0</v>
      </c>
      <c r="P419" s="80">
        <f t="shared" si="184"/>
        <v>88</v>
      </c>
      <c r="Q419" s="82">
        <f t="shared" si="185"/>
        <v>111.54</v>
      </c>
      <c r="R419" s="82">
        <f t="shared" si="186"/>
        <v>111.54</v>
      </c>
    </row>
    <row r="420" spans="2:18" s="34" customFormat="1" ht="34.799999999999997">
      <c r="B420" s="75" t="s">
        <v>828</v>
      </c>
      <c r="C420" s="76" t="s">
        <v>829</v>
      </c>
      <c r="D420" s="77" t="s">
        <v>131</v>
      </c>
      <c r="E420" s="93">
        <v>4</v>
      </c>
      <c r="F420" s="79"/>
      <c r="G420" s="79"/>
      <c r="H420" s="79"/>
      <c r="I420" s="79">
        <f>SUM(G420:H420)+'BM 007'!I420</f>
        <v>0</v>
      </c>
      <c r="J420" s="79">
        <f t="shared" si="188"/>
        <v>4</v>
      </c>
      <c r="K420" s="80">
        <v>235</v>
      </c>
      <c r="L420" s="81">
        <f t="shared" si="187"/>
        <v>297.88602585000001</v>
      </c>
      <c r="M420" s="82">
        <f t="shared" si="182"/>
        <v>0</v>
      </c>
      <c r="N420" s="82">
        <f t="shared" si="183"/>
        <v>0</v>
      </c>
      <c r="O420" s="82">
        <f>N420+'BM 007'!O420</f>
        <v>0</v>
      </c>
      <c r="P420" s="80">
        <f t="shared" si="184"/>
        <v>940</v>
      </c>
      <c r="Q420" s="82">
        <f t="shared" si="185"/>
        <v>1191.54</v>
      </c>
      <c r="R420" s="82">
        <f t="shared" si="186"/>
        <v>1191.54</v>
      </c>
    </row>
    <row r="421" spans="2:18" s="34" customFormat="1" ht="57.6">
      <c r="B421" s="75" t="s">
        <v>830</v>
      </c>
      <c r="C421" s="76" t="s">
        <v>831</v>
      </c>
      <c r="D421" s="77" t="s">
        <v>131</v>
      </c>
      <c r="E421" s="93">
        <v>326</v>
      </c>
      <c r="F421" s="79"/>
      <c r="G421" s="79"/>
      <c r="H421" s="79"/>
      <c r="I421" s="79">
        <f>SUM(G421:H421)+'BM 007'!I421</f>
        <v>0</v>
      </c>
      <c r="J421" s="79">
        <f t="shared" si="188"/>
        <v>326</v>
      </c>
      <c r="K421" s="80">
        <v>9.08</v>
      </c>
      <c r="L421" s="81">
        <f t="shared" si="187"/>
        <v>11.509808998800001</v>
      </c>
      <c r="M421" s="82">
        <f t="shared" si="182"/>
        <v>0</v>
      </c>
      <c r="N421" s="82">
        <f t="shared" si="183"/>
        <v>0</v>
      </c>
      <c r="O421" s="82">
        <f>N421+'BM 007'!O421</f>
        <v>0</v>
      </c>
      <c r="P421" s="80">
        <f t="shared" si="184"/>
        <v>2960.08</v>
      </c>
      <c r="Q421" s="82">
        <f t="shared" si="185"/>
        <v>3752.19</v>
      </c>
      <c r="R421" s="82">
        <f t="shared" si="186"/>
        <v>3752.19</v>
      </c>
    </row>
    <row r="422" spans="2:18" s="34" customFormat="1" ht="46.2">
      <c r="B422" s="75" t="s">
        <v>832</v>
      </c>
      <c r="C422" s="76" t="s">
        <v>833</v>
      </c>
      <c r="D422" s="77" t="s">
        <v>131</v>
      </c>
      <c r="E422" s="93">
        <v>166</v>
      </c>
      <c r="F422" s="79"/>
      <c r="G422" s="79"/>
      <c r="H422" s="79"/>
      <c r="I422" s="79">
        <f>SUM(G422:H422)+'BM 007'!I422</f>
        <v>0</v>
      </c>
      <c r="J422" s="79">
        <f t="shared" si="188"/>
        <v>166</v>
      </c>
      <c r="K422" s="80">
        <v>9.4600000000000009</v>
      </c>
      <c r="L422" s="81">
        <f t="shared" si="187"/>
        <v>11.991497040600002</v>
      </c>
      <c r="M422" s="82">
        <f t="shared" si="182"/>
        <v>0</v>
      </c>
      <c r="N422" s="82">
        <f t="shared" si="183"/>
        <v>0</v>
      </c>
      <c r="O422" s="82">
        <f>N422+'BM 007'!O422</f>
        <v>0</v>
      </c>
      <c r="P422" s="80">
        <f t="shared" si="184"/>
        <v>1570.3600000000001</v>
      </c>
      <c r="Q422" s="82">
        <f t="shared" si="185"/>
        <v>1990.58</v>
      </c>
      <c r="R422" s="82">
        <f t="shared" si="186"/>
        <v>1990.58</v>
      </c>
    </row>
    <row r="423" spans="2:18" s="34" customFormat="1" ht="13.2">
      <c r="B423" s="75" t="s">
        <v>834</v>
      </c>
      <c r="C423" s="76" t="s">
        <v>747</v>
      </c>
      <c r="D423" s="77" t="s">
        <v>131</v>
      </c>
      <c r="E423" s="93">
        <v>96</v>
      </c>
      <c r="F423" s="79"/>
      <c r="G423" s="79"/>
      <c r="H423" s="79"/>
      <c r="I423" s="79">
        <f>SUM(G423:H423)+'BM 007'!I423</f>
        <v>0</v>
      </c>
      <c r="J423" s="79">
        <f t="shared" si="188"/>
        <v>96</v>
      </c>
      <c r="K423" s="80">
        <v>5.14</v>
      </c>
      <c r="L423" s="81">
        <f t="shared" si="187"/>
        <v>6.5154645654000003</v>
      </c>
      <c r="M423" s="82">
        <f t="shared" si="182"/>
        <v>0</v>
      </c>
      <c r="N423" s="82">
        <f t="shared" si="183"/>
        <v>0</v>
      </c>
      <c r="O423" s="82">
        <f>N423+'BM 007'!O423</f>
        <v>0</v>
      </c>
      <c r="P423" s="80">
        <f t="shared" si="184"/>
        <v>493.43999999999994</v>
      </c>
      <c r="Q423" s="82">
        <f t="shared" si="185"/>
        <v>625.48</v>
      </c>
      <c r="R423" s="82">
        <f t="shared" si="186"/>
        <v>625.48</v>
      </c>
    </row>
    <row r="424" spans="2:18" s="34" customFormat="1" ht="46.2">
      <c r="B424" s="75" t="s">
        <v>835</v>
      </c>
      <c r="C424" s="76" t="s">
        <v>836</v>
      </c>
      <c r="D424" s="77" t="s">
        <v>131</v>
      </c>
      <c r="E424" s="93">
        <v>26</v>
      </c>
      <c r="F424" s="79"/>
      <c r="G424" s="79"/>
      <c r="H424" s="79"/>
      <c r="I424" s="79">
        <f>SUM(G424:H424)+'BM 007'!I424</f>
        <v>0</v>
      </c>
      <c r="J424" s="79">
        <f t="shared" si="188"/>
        <v>26</v>
      </c>
      <c r="K424" s="80">
        <v>21.35</v>
      </c>
      <c r="L424" s="81">
        <f t="shared" si="187"/>
        <v>27.063262348500004</v>
      </c>
      <c r="M424" s="82">
        <f t="shared" si="182"/>
        <v>0</v>
      </c>
      <c r="N424" s="82">
        <f t="shared" si="183"/>
        <v>0</v>
      </c>
      <c r="O424" s="82">
        <f>N424+'BM 007'!O424</f>
        <v>0</v>
      </c>
      <c r="P424" s="80">
        <f t="shared" si="184"/>
        <v>555.1</v>
      </c>
      <c r="Q424" s="82">
        <f t="shared" si="185"/>
        <v>703.64</v>
      </c>
      <c r="R424" s="82">
        <f t="shared" si="186"/>
        <v>703.64</v>
      </c>
    </row>
    <row r="425" spans="2:18" s="34" customFormat="1" ht="46.2">
      <c r="B425" s="75" t="s">
        <v>837</v>
      </c>
      <c r="C425" s="76" t="s">
        <v>838</v>
      </c>
      <c r="D425" s="77" t="s">
        <v>131</v>
      </c>
      <c r="E425" s="93">
        <v>86</v>
      </c>
      <c r="F425" s="79"/>
      <c r="G425" s="79"/>
      <c r="H425" s="79"/>
      <c r="I425" s="79">
        <f>SUM(G425:H425)+'BM 007'!I425</f>
        <v>0</v>
      </c>
      <c r="J425" s="79">
        <f t="shared" si="188"/>
        <v>86</v>
      </c>
      <c r="K425" s="80">
        <v>25.91</v>
      </c>
      <c r="L425" s="81">
        <f t="shared" si="187"/>
        <v>32.843518850100004</v>
      </c>
      <c r="M425" s="82">
        <f t="shared" si="182"/>
        <v>0</v>
      </c>
      <c r="N425" s="82">
        <f t="shared" si="183"/>
        <v>0</v>
      </c>
      <c r="O425" s="82">
        <f>N425+'BM 007'!O425</f>
        <v>0</v>
      </c>
      <c r="P425" s="80">
        <f t="shared" si="184"/>
        <v>2228.2600000000002</v>
      </c>
      <c r="Q425" s="82">
        <f t="shared" si="185"/>
        <v>2824.54</v>
      </c>
      <c r="R425" s="82">
        <f t="shared" si="186"/>
        <v>2824.54</v>
      </c>
    </row>
    <row r="426" spans="2:18" s="34" customFormat="1" ht="34.799999999999997">
      <c r="B426" s="75" t="s">
        <v>839</v>
      </c>
      <c r="C426" s="76" t="s">
        <v>840</v>
      </c>
      <c r="D426" s="77" t="s">
        <v>131</v>
      </c>
      <c r="E426" s="93">
        <v>19</v>
      </c>
      <c r="F426" s="79"/>
      <c r="G426" s="79"/>
      <c r="H426" s="79"/>
      <c r="I426" s="79">
        <f>SUM(G426:H426)+'BM 007'!I426</f>
        <v>0</v>
      </c>
      <c r="J426" s="79">
        <f t="shared" si="188"/>
        <v>19</v>
      </c>
      <c r="K426" s="80">
        <v>100.92</v>
      </c>
      <c r="L426" s="81">
        <f t="shared" si="187"/>
        <v>127.9262031012</v>
      </c>
      <c r="M426" s="82">
        <f t="shared" si="182"/>
        <v>0</v>
      </c>
      <c r="N426" s="82">
        <f t="shared" si="183"/>
        <v>0</v>
      </c>
      <c r="O426" s="82">
        <f>N426+'BM 007'!O426</f>
        <v>0</v>
      </c>
      <c r="P426" s="80">
        <f t="shared" si="184"/>
        <v>1917.48</v>
      </c>
      <c r="Q426" s="82">
        <f t="shared" si="185"/>
        <v>2430.59</v>
      </c>
      <c r="R426" s="82">
        <f t="shared" si="186"/>
        <v>2430.59</v>
      </c>
    </row>
    <row r="427" spans="2:18" s="34" customFormat="1" ht="34.799999999999997">
      <c r="B427" s="75" t="s">
        <v>841</v>
      </c>
      <c r="C427" s="76" t="s">
        <v>842</v>
      </c>
      <c r="D427" s="77" t="s">
        <v>131</v>
      </c>
      <c r="E427" s="93">
        <v>1</v>
      </c>
      <c r="F427" s="79"/>
      <c r="G427" s="79"/>
      <c r="H427" s="79"/>
      <c r="I427" s="79">
        <f>SUM(G427:H427)+'BM 007'!I427</f>
        <v>0</v>
      </c>
      <c r="J427" s="79">
        <f t="shared" si="188"/>
        <v>1</v>
      </c>
      <c r="K427" s="80">
        <v>135</v>
      </c>
      <c r="L427" s="81">
        <f t="shared" si="187"/>
        <v>171.12601485000002</v>
      </c>
      <c r="M427" s="82">
        <f t="shared" si="182"/>
        <v>0</v>
      </c>
      <c r="N427" s="82">
        <f t="shared" si="183"/>
        <v>0</v>
      </c>
      <c r="O427" s="82">
        <f>N427+'BM 007'!O427</f>
        <v>0</v>
      </c>
      <c r="P427" s="80">
        <f t="shared" si="184"/>
        <v>135</v>
      </c>
      <c r="Q427" s="82">
        <f t="shared" si="185"/>
        <v>171.12</v>
      </c>
      <c r="R427" s="82">
        <f t="shared" si="186"/>
        <v>171.12</v>
      </c>
    </row>
    <row r="428" spans="2:18" s="34" customFormat="1" ht="46.2">
      <c r="B428" s="75" t="s">
        <v>843</v>
      </c>
      <c r="C428" s="76" t="s">
        <v>844</v>
      </c>
      <c r="D428" s="77" t="s">
        <v>131</v>
      </c>
      <c r="E428" s="93">
        <v>38</v>
      </c>
      <c r="F428" s="79"/>
      <c r="G428" s="79"/>
      <c r="H428" s="79"/>
      <c r="I428" s="79">
        <f>SUM(G428:H428)+'BM 007'!I428</f>
        <v>0</v>
      </c>
      <c r="J428" s="79">
        <f t="shared" si="188"/>
        <v>38</v>
      </c>
      <c r="K428" s="80">
        <v>9.08</v>
      </c>
      <c r="L428" s="81">
        <f t="shared" si="187"/>
        <v>11.509808998800001</v>
      </c>
      <c r="M428" s="82">
        <f t="shared" si="182"/>
        <v>0</v>
      </c>
      <c r="N428" s="82">
        <f t="shared" si="183"/>
        <v>0</v>
      </c>
      <c r="O428" s="82">
        <f>N428+'BM 007'!O428</f>
        <v>0</v>
      </c>
      <c r="P428" s="80">
        <f t="shared" si="184"/>
        <v>345.04</v>
      </c>
      <c r="Q428" s="82">
        <f t="shared" si="185"/>
        <v>437.37</v>
      </c>
      <c r="R428" s="82">
        <f t="shared" si="186"/>
        <v>437.37</v>
      </c>
    </row>
    <row r="429" spans="2:18" s="34" customFormat="1" ht="46.2">
      <c r="B429" s="75" t="s">
        <v>845</v>
      </c>
      <c r="C429" s="76" t="s">
        <v>846</v>
      </c>
      <c r="D429" s="77" t="s">
        <v>131</v>
      </c>
      <c r="E429" s="93">
        <v>38</v>
      </c>
      <c r="F429" s="79"/>
      <c r="G429" s="79"/>
      <c r="H429" s="79"/>
      <c r="I429" s="79">
        <f>SUM(G429:H429)+'BM 007'!I429</f>
        <v>0</v>
      </c>
      <c r="J429" s="79">
        <f t="shared" si="188"/>
        <v>38</v>
      </c>
      <c r="K429" s="80">
        <v>25.03</v>
      </c>
      <c r="L429" s="81">
        <f t="shared" si="187"/>
        <v>31.728030753300004</v>
      </c>
      <c r="M429" s="82">
        <f t="shared" si="182"/>
        <v>0</v>
      </c>
      <c r="N429" s="82">
        <f t="shared" si="183"/>
        <v>0</v>
      </c>
      <c r="O429" s="82">
        <f>N429+'BM 007'!O429</f>
        <v>0</v>
      </c>
      <c r="P429" s="80">
        <f t="shared" si="184"/>
        <v>951.1400000000001</v>
      </c>
      <c r="Q429" s="82">
        <f t="shared" si="185"/>
        <v>1205.6600000000001</v>
      </c>
      <c r="R429" s="82">
        <f t="shared" si="186"/>
        <v>1205.6600000000001</v>
      </c>
    </row>
    <row r="430" spans="2:18" s="34" customFormat="1" ht="46.2">
      <c r="B430" s="75" t="s">
        <v>847</v>
      </c>
      <c r="C430" s="76" t="s">
        <v>848</v>
      </c>
      <c r="D430" s="77" t="s">
        <v>131</v>
      </c>
      <c r="E430" s="93">
        <v>9</v>
      </c>
      <c r="F430" s="79"/>
      <c r="G430" s="79"/>
      <c r="H430" s="79"/>
      <c r="I430" s="79">
        <f>SUM(G430:H430)+'BM 007'!I430</f>
        <v>0</v>
      </c>
      <c r="J430" s="79">
        <f t="shared" si="188"/>
        <v>9</v>
      </c>
      <c r="K430" s="80">
        <v>38.549999999999997</v>
      </c>
      <c r="L430" s="81">
        <f t="shared" si="187"/>
        <v>48.865984240499998</v>
      </c>
      <c r="M430" s="82">
        <f t="shared" si="182"/>
        <v>0</v>
      </c>
      <c r="N430" s="82">
        <f t="shared" si="183"/>
        <v>0</v>
      </c>
      <c r="O430" s="82">
        <f>N430+'BM 007'!O430</f>
        <v>0</v>
      </c>
      <c r="P430" s="80">
        <f t="shared" si="184"/>
        <v>346.95</v>
      </c>
      <c r="Q430" s="82">
        <f t="shared" si="185"/>
        <v>439.79</v>
      </c>
      <c r="R430" s="82">
        <f t="shared" si="186"/>
        <v>439.79</v>
      </c>
    </row>
    <row r="431" spans="2:18" s="34" customFormat="1" ht="57.6">
      <c r="B431" s="75" t="s">
        <v>849</v>
      </c>
      <c r="C431" s="76" t="s">
        <v>850</v>
      </c>
      <c r="D431" s="77" t="s">
        <v>131</v>
      </c>
      <c r="E431" s="93">
        <v>24</v>
      </c>
      <c r="F431" s="79"/>
      <c r="G431" s="79"/>
      <c r="H431" s="79"/>
      <c r="I431" s="79">
        <f>SUM(G431:H431)+'BM 007'!I431</f>
        <v>0</v>
      </c>
      <c r="J431" s="79">
        <f t="shared" si="188"/>
        <v>24</v>
      </c>
      <c r="K431" s="80">
        <v>48.29</v>
      </c>
      <c r="L431" s="81">
        <f t="shared" si="187"/>
        <v>61.212409311900004</v>
      </c>
      <c r="M431" s="82">
        <f t="shared" si="182"/>
        <v>0</v>
      </c>
      <c r="N431" s="82">
        <f t="shared" si="183"/>
        <v>0</v>
      </c>
      <c r="O431" s="82">
        <f>N431+'BM 007'!O431</f>
        <v>0</v>
      </c>
      <c r="P431" s="80">
        <f t="shared" si="184"/>
        <v>1158.96</v>
      </c>
      <c r="Q431" s="82">
        <f t="shared" si="185"/>
        <v>1469.09</v>
      </c>
      <c r="R431" s="82">
        <f t="shared" si="186"/>
        <v>1469.09</v>
      </c>
    </row>
    <row r="432" spans="2:18" s="34" customFormat="1" ht="23.4">
      <c r="B432" s="75" t="s">
        <v>851</v>
      </c>
      <c r="C432" s="76" t="s">
        <v>852</v>
      </c>
      <c r="D432" s="77" t="s">
        <v>131</v>
      </c>
      <c r="E432" s="93">
        <v>64</v>
      </c>
      <c r="F432" s="79"/>
      <c r="G432" s="79"/>
      <c r="H432" s="79"/>
      <c r="I432" s="79">
        <f>SUM(G432:H432)+'BM 007'!I432</f>
        <v>0</v>
      </c>
      <c r="J432" s="79">
        <f t="shared" si="188"/>
        <v>64</v>
      </c>
      <c r="K432" s="80">
        <v>28.98</v>
      </c>
      <c r="L432" s="81">
        <f t="shared" si="187"/>
        <v>36.735051187800003</v>
      </c>
      <c r="M432" s="82">
        <f t="shared" si="182"/>
        <v>0</v>
      </c>
      <c r="N432" s="82">
        <f t="shared" si="183"/>
        <v>0</v>
      </c>
      <c r="O432" s="82">
        <f>N432+'BM 007'!O432</f>
        <v>0</v>
      </c>
      <c r="P432" s="80">
        <f t="shared" si="184"/>
        <v>1854.72</v>
      </c>
      <c r="Q432" s="82">
        <f t="shared" si="185"/>
        <v>2351.04</v>
      </c>
      <c r="R432" s="82">
        <f t="shared" si="186"/>
        <v>2351.04</v>
      </c>
    </row>
    <row r="433" spans="2:18" s="34" customFormat="1" ht="23.4">
      <c r="B433" s="75" t="s">
        <v>853</v>
      </c>
      <c r="C433" s="76" t="s">
        <v>854</v>
      </c>
      <c r="D433" s="77" t="s">
        <v>131</v>
      </c>
      <c r="E433" s="93">
        <v>69</v>
      </c>
      <c r="F433" s="79"/>
      <c r="G433" s="79"/>
      <c r="H433" s="79"/>
      <c r="I433" s="79">
        <f>SUM(G433:H433)+'BM 007'!I433</f>
        <v>0</v>
      </c>
      <c r="J433" s="79">
        <f t="shared" si="188"/>
        <v>69</v>
      </c>
      <c r="K433" s="80">
        <v>44.64</v>
      </c>
      <c r="L433" s="81">
        <f t="shared" si="187"/>
        <v>56.585668910400003</v>
      </c>
      <c r="M433" s="82">
        <f t="shared" si="182"/>
        <v>0</v>
      </c>
      <c r="N433" s="82">
        <f t="shared" si="183"/>
        <v>0</v>
      </c>
      <c r="O433" s="82">
        <f>N433+'BM 007'!O433</f>
        <v>0</v>
      </c>
      <c r="P433" s="80">
        <f t="shared" si="184"/>
        <v>3080.16</v>
      </c>
      <c r="Q433" s="82">
        <f t="shared" si="185"/>
        <v>3904.41</v>
      </c>
      <c r="R433" s="82">
        <f t="shared" si="186"/>
        <v>3904.41</v>
      </c>
    </row>
    <row r="434" spans="2:18" s="34" customFormat="1" ht="23.4">
      <c r="B434" s="75" t="s">
        <v>855</v>
      </c>
      <c r="C434" s="76" t="s">
        <v>856</v>
      </c>
      <c r="D434" s="77" t="s">
        <v>131</v>
      </c>
      <c r="E434" s="93">
        <v>1</v>
      </c>
      <c r="F434" s="79"/>
      <c r="G434" s="79"/>
      <c r="H434" s="79"/>
      <c r="I434" s="79">
        <f>SUM(G434:H434)+'BM 007'!I434</f>
        <v>0</v>
      </c>
      <c r="J434" s="79">
        <f t="shared" si="188"/>
        <v>1</v>
      </c>
      <c r="K434" s="80">
        <v>51.15</v>
      </c>
      <c r="L434" s="81">
        <f t="shared" si="187"/>
        <v>64.837745626499995</v>
      </c>
      <c r="M434" s="82">
        <f t="shared" si="182"/>
        <v>0</v>
      </c>
      <c r="N434" s="82">
        <f t="shared" si="183"/>
        <v>0</v>
      </c>
      <c r="O434" s="82">
        <f>N434+'BM 007'!O434</f>
        <v>0</v>
      </c>
      <c r="P434" s="80">
        <f t="shared" si="184"/>
        <v>51.15</v>
      </c>
      <c r="Q434" s="82">
        <f t="shared" si="185"/>
        <v>64.83</v>
      </c>
      <c r="R434" s="82">
        <f t="shared" si="186"/>
        <v>64.83</v>
      </c>
    </row>
    <row r="435" spans="2:18" s="34" customFormat="1" ht="23.4">
      <c r="B435" s="75" t="s">
        <v>857</v>
      </c>
      <c r="C435" s="76" t="s">
        <v>858</v>
      </c>
      <c r="D435" s="77" t="s">
        <v>131</v>
      </c>
      <c r="E435" s="93">
        <v>52</v>
      </c>
      <c r="F435" s="79"/>
      <c r="G435" s="79"/>
      <c r="H435" s="79"/>
      <c r="I435" s="79">
        <f>SUM(G435:H435)+'BM 007'!I435</f>
        <v>0</v>
      </c>
      <c r="J435" s="79">
        <f t="shared" si="188"/>
        <v>52</v>
      </c>
      <c r="K435" s="80">
        <v>140</v>
      </c>
      <c r="L435" s="81">
        <f t="shared" si="187"/>
        <v>177.46401539999999</v>
      </c>
      <c r="M435" s="82">
        <f t="shared" si="182"/>
        <v>0</v>
      </c>
      <c r="N435" s="82">
        <f t="shared" si="183"/>
        <v>0</v>
      </c>
      <c r="O435" s="82">
        <f>N435+'BM 007'!O435</f>
        <v>0</v>
      </c>
      <c r="P435" s="80">
        <f t="shared" si="184"/>
        <v>7280</v>
      </c>
      <c r="Q435" s="82">
        <f t="shared" si="185"/>
        <v>9228.1200000000008</v>
      </c>
      <c r="R435" s="82">
        <f t="shared" si="186"/>
        <v>9228.1200000000008</v>
      </c>
    </row>
    <row r="436" spans="2:18" s="34" customFormat="1" ht="34.799999999999997">
      <c r="B436" s="75" t="s">
        <v>859</v>
      </c>
      <c r="C436" s="76" t="s">
        <v>860</v>
      </c>
      <c r="D436" s="77" t="s">
        <v>131</v>
      </c>
      <c r="E436" s="93">
        <v>68</v>
      </c>
      <c r="F436" s="79"/>
      <c r="G436" s="79"/>
      <c r="H436" s="79"/>
      <c r="I436" s="79">
        <f>SUM(G436:H436)+'BM 007'!I436</f>
        <v>0</v>
      </c>
      <c r="J436" s="79">
        <f t="shared" si="188"/>
        <v>68</v>
      </c>
      <c r="K436" s="80">
        <v>80</v>
      </c>
      <c r="L436" s="81">
        <f t="shared" si="187"/>
        <v>101.4080088</v>
      </c>
      <c r="M436" s="82">
        <f t="shared" si="182"/>
        <v>0</v>
      </c>
      <c r="N436" s="82">
        <f t="shared" si="183"/>
        <v>0</v>
      </c>
      <c r="O436" s="82">
        <f>N436+'BM 007'!O436</f>
        <v>0</v>
      </c>
      <c r="P436" s="80">
        <f t="shared" si="184"/>
        <v>5440</v>
      </c>
      <c r="Q436" s="82">
        <f t="shared" si="185"/>
        <v>6895.74</v>
      </c>
      <c r="R436" s="82">
        <f t="shared" si="186"/>
        <v>6895.74</v>
      </c>
    </row>
    <row r="437" spans="2:18" s="34" customFormat="1" ht="23.4">
      <c r="B437" s="75" t="s">
        <v>861</v>
      </c>
      <c r="C437" s="76" t="s">
        <v>862</v>
      </c>
      <c r="D437" s="77" t="s">
        <v>131</v>
      </c>
      <c r="E437" s="93">
        <v>10</v>
      </c>
      <c r="F437" s="79"/>
      <c r="G437" s="79"/>
      <c r="H437" s="79"/>
      <c r="I437" s="79">
        <f>SUM(G437:H437)+'BM 007'!I437</f>
        <v>0</v>
      </c>
      <c r="J437" s="79">
        <f t="shared" si="188"/>
        <v>10</v>
      </c>
      <c r="K437" s="80">
        <v>18.14</v>
      </c>
      <c r="L437" s="81">
        <f t="shared" si="187"/>
        <v>22.994265995400003</v>
      </c>
      <c r="M437" s="82">
        <f t="shared" si="182"/>
        <v>0</v>
      </c>
      <c r="N437" s="82">
        <f t="shared" si="183"/>
        <v>0</v>
      </c>
      <c r="O437" s="82">
        <f>N437+'BM 007'!O437</f>
        <v>0</v>
      </c>
      <c r="P437" s="80">
        <f t="shared" si="184"/>
        <v>181.4</v>
      </c>
      <c r="Q437" s="82">
        <f t="shared" si="185"/>
        <v>229.94</v>
      </c>
      <c r="R437" s="82">
        <f t="shared" si="186"/>
        <v>229.94</v>
      </c>
    </row>
    <row r="438" spans="2:18" s="34" customFormat="1" ht="23.4">
      <c r="B438" s="75" t="s">
        <v>863</v>
      </c>
      <c r="C438" s="76" t="s">
        <v>864</v>
      </c>
      <c r="D438" s="77" t="s">
        <v>131</v>
      </c>
      <c r="E438" s="93">
        <v>54</v>
      </c>
      <c r="F438" s="79"/>
      <c r="G438" s="79"/>
      <c r="H438" s="79"/>
      <c r="I438" s="79">
        <f>SUM(G438:H438)+'BM 007'!I438</f>
        <v>0</v>
      </c>
      <c r="J438" s="79">
        <f t="shared" si="188"/>
        <v>54</v>
      </c>
      <c r="K438" s="80">
        <v>21.55</v>
      </c>
      <c r="L438" s="81">
        <f t="shared" si="187"/>
        <v>27.316782370500004</v>
      </c>
      <c r="M438" s="82">
        <f t="shared" si="182"/>
        <v>0</v>
      </c>
      <c r="N438" s="82">
        <f t="shared" si="183"/>
        <v>0</v>
      </c>
      <c r="O438" s="82">
        <f>N438+'BM 007'!O438</f>
        <v>0</v>
      </c>
      <c r="P438" s="80">
        <f t="shared" si="184"/>
        <v>1163.7</v>
      </c>
      <c r="Q438" s="82">
        <f t="shared" si="185"/>
        <v>1475.1</v>
      </c>
      <c r="R438" s="82">
        <f t="shared" si="186"/>
        <v>1475.1</v>
      </c>
    </row>
    <row r="439" spans="2:18" s="34" customFormat="1" ht="23.4">
      <c r="B439" s="75" t="s">
        <v>865</v>
      </c>
      <c r="C439" s="76" t="s">
        <v>866</v>
      </c>
      <c r="D439" s="77" t="s">
        <v>131</v>
      </c>
      <c r="E439" s="93">
        <v>7</v>
      </c>
      <c r="F439" s="79"/>
      <c r="G439" s="79"/>
      <c r="H439" s="79"/>
      <c r="I439" s="79">
        <f>SUM(G439:H439)+'BM 007'!I439</f>
        <v>0</v>
      </c>
      <c r="J439" s="79">
        <f t="shared" si="188"/>
        <v>7</v>
      </c>
      <c r="K439" s="80">
        <v>22.95</v>
      </c>
      <c r="L439" s="81">
        <f t="shared" si="187"/>
        <v>29.0914225245</v>
      </c>
      <c r="M439" s="82">
        <f t="shared" ref="M439:M470" si="189">TRUNC(F439*L439,2)</f>
        <v>0</v>
      </c>
      <c r="N439" s="82">
        <f t="shared" ref="N439:N473" si="190">TRUNC(G439*L439,2)</f>
        <v>0</v>
      </c>
      <c r="O439" s="82">
        <f>N439+'BM 007'!O439</f>
        <v>0</v>
      </c>
      <c r="P439" s="80">
        <f t="shared" ref="P439:P464" si="191">E439*K439</f>
        <v>160.65</v>
      </c>
      <c r="Q439" s="82">
        <f t="shared" ref="Q439:Q473" si="192">TRUNC(E439*L439,2)</f>
        <v>203.63</v>
      </c>
      <c r="R439" s="82">
        <f t="shared" ref="R439:R470" si="193">Q439-O439</f>
        <v>203.63</v>
      </c>
    </row>
    <row r="440" spans="2:18" s="34" customFormat="1" ht="23.4">
      <c r="B440" s="75" t="s">
        <v>867</v>
      </c>
      <c r="C440" s="76" t="s">
        <v>868</v>
      </c>
      <c r="D440" s="77" t="s">
        <v>131</v>
      </c>
      <c r="E440" s="93">
        <v>48</v>
      </c>
      <c r="F440" s="79"/>
      <c r="G440" s="79"/>
      <c r="H440" s="79"/>
      <c r="I440" s="79">
        <f>SUM(G440:H440)+'BM 007'!I440</f>
        <v>0</v>
      </c>
      <c r="J440" s="79">
        <f t="shared" si="188"/>
        <v>48</v>
      </c>
      <c r="K440" s="80">
        <v>49</v>
      </c>
      <c r="L440" s="81">
        <f t="shared" si="187"/>
        <v>62.112405390000006</v>
      </c>
      <c r="M440" s="82">
        <f t="shared" si="189"/>
        <v>0</v>
      </c>
      <c r="N440" s="82">
        <f t="shared" si="190"/>
        <v>0</v>
      </c>
      <c r="O440" s="82">
        <f>N440+'BM 007'!O440</f>
        <v>0</v>
      </c>
      <c r="P440" s="80">
        <f t="shared" si="191"/>
        <v>2352</v>
      </c>
      <c r="Q440" s="82">
        <f t="shared" si="192"/>
        <v>2981.39</v>
      </c>
      <c r="R440" s="82">
        <f t="shared" si="193"/>
        <v>2981.39</v>
      </c>
    </row>
    <row r="441" spans="2:18" s="34" customFormat="1" ht="23.4">
      <c r="B441" s="75" t="s">
        <v>869</v>
      </c>
      <c r="C441" s="76" t="s">
        <v>870</v>
      </c>
      <c r="D441" s="77" t="s">
        <v>131</v>
      </c>
      <c r="E441" s="93">
        <v>1</v>
      </c>
      <c r="F441" s="79"/>
      <c r="G441" s="79"/>
      <c r="H441" s="79"/>
      <c r="I441" s="79">
        <f>SUM(G441:H441)+'BM 007'!I441</f>
        <v>0</v>
      </c>
      <c r="J441" s="79">
        <f t="shared" si="188"/>
        <v>1</v>
      </c>
      <c r="K441" s="80">
        <v>37.4</v>
      </c>
      <c r="L441" s="81">
        <f t="shared" si="187"/>
        <v>47.408244113999999</v>
      </c>
      <c r="M441" s="82">
        <f t="shared" si="189"/>
        <v>0</v>
      </c>
      <c r="N441" s="82">
        <f t="shared" si="190"/>
        <v>0</v>
      </c>
      <c r="O441" s="82">
        <f>N441+'BM 007'!O441</f>
        <v>0</v>
      </c>
      <c r="P441" s="80">
        <f t="shared" si="191"/>
        <v>37.4</v>
      </c>
      <c r="Q441" s="82">
        <f t="shared" si="192"/>
        <v>47.4</v>
      </c>
      <c r="R441" s="82">
        <f t="shared" si="193"/>
        <v>47.4</v>
      </c>
    </row>
    <row r="442" spans="2:18" s="34" customFormat="1" ht="23.4">
      <c r="B442" s="75" t="s">
        <v>871</v>
      </c>
      <c r="C442" s="76" t="s">
        <v>872</v>
      </c>
      <c r="D442" s="77" t="s">
        <v>131</v>
      </c>
      <c r="E442" s="93">
        <v>2</v>
      </c>
      <c r="F442" s="79"/>
      <c r="G442" s="79"/>
      <c r="H442" s="79"/>
      <c r="I442" s="79">
        <f>SUM(G442:H442)+'BM 007'!I442</f>
        <v>0</v>
      </c>
      <c r="J442" s="79">
        <f t="shared" si="188"/>
        <v>2</v>
      </c>
      <c r="K442" s="80">
        <v>78.239999999999995</v>
      </c>
      <c r="L442" s="81">
        <f t="shared" si="187"/>
        <v>99.177032606400005</v>
      </c>
      <c r="M442" s="82">
        <f t="shared" si="189"/>
        <v>0</v>
      </c>
      <c r="N442" s="82">
        <f t="shared" si="190"/>
        <v>0</v>
      </c>
      <c r="O442" s="82">
        <f>N442+'BM 007'!O442</f>
        <v>0</v>
      </c>
      <c r="P442" s="80">
        <f t="shared" si="191"/>
        <v>156.47999999999999</v>
      </c>
      <c r="Q442" s="82">
        <f t="shared" si="192"/>
        <v>198.35</v>
      </c>
      <c r="R442" s="82">
        <f t="shared" si="193"/>
        <v>198.35</v>
      </c>
    </row>
    <row r="443" spans="2:18" s="34" customFormat="1" ht="23.4">
      <c r="B443" s="75" t="s">
        <v>873</v>
      </c>
      <c r="C443" s="76" t="s">
        <v>874</v>
      </c>
      <c r="D443" s="77" t="s">
        <v>131</v>
      </c>
      <c r="E443" s="93">
        <v>1</v>
      </c>
      <c r="F443" s="79"/>
      <c r="G443" s="79"/>
      <c r="H443" s="79"/>
      <c r="I443" s="79">
        <f>SUM(G443:H443)+'BM 007'!I443</f>
        <v>0</v>
      </c>
      <c r="J443" s="79">
        <f t="shared" si="188"/>
        <v>1</v>
      </c>
      <c r="K443" s="80">
        <v>155</v>
      </c>
      <c r="L443" s="81">
        <f t="shared" si="187"/>
        <v>196.47801705000001</v>
      </c>
      <c r="M443" s="82">
        <f t="shared" si="189"/>
        <v>0</v>
      </c>
      <c r="N443" s="82">
        <f t="shared" si="190"/>
        <v>0</v>
      </c>
      <c r="O443" s="82">
        <f>N443+'BM 007'!O443</f>
        <v>0</v>
      </c>
      <c r="P443" s="80">
        <f t="shared" si="191"/>
        <v>155</v>
      </c>
      <c r="Q443" s="82">
        <f t="shared" si="192"/>
        <v>196.47</v>
      </c>
      <c r="R443" s="82">
        <f t="shared" si="193"/>
        <v>196.47</v>
      </c>
    </row>
    <row r="444" spans="2:18" s="34" customFormat="1" ht="23.4">
      <c r="B444" s="75" t="s">
        <v>875</v>
      </c>
      <c r="C444" s="76" t="s">
        <v>876</v>
      </c>
      <c r="D444" s="77" t="s">
        <v>131</v>
      </c>
      <c r="E444" s="93">
        <v>17</v>
      </c>
      <c r="F444" s="79"/>
      <c r="G444" s="79"/>
      <c r="H444" s="79"/>
      <c r="I444" s="79">
        <f>SUM(G444:H444)+'BM 007'!I444</f>
        <v>0</v>
      </c>
      <c r="J444" s="79">
        <f t="shared" si="188"/>
        <v>17</v>
      </c>
      <c r="K444" s="80">
        <v>8.85</v>
      </c>
      <c r="L444" s="81">
        <f t="shared" si="187"/>
        <v>11.2182609735</v>
      </c>
      <c r="M444" s="82">
        <f t="shared" si="189"/>
        <v>0</v>
      </c>
      <c r="N444" s="82">
        <f t="shared" si="190"/>
        <v>0</v>
      </c>
      <c r="O444" s="82">
        <f>N444+'BM 007'!O444</f>
        <v>0</v>
      </c>
      <c r="P444" s="80">
        <f t="shared" si="191"/>
        <v>150.44999999999999</v>
      </c>
      <c r="Q444" s="82">
        <f t="shared" si="192"/>
        <v>190.71</v>
      </c>
      <c r="R444" s="82">
        <f t="shared" si="193"/>
        <v>190.71</v>
      </c>
    </row>
    <row r="445" spans="2:18" s="34" customFormat="1" ht="34.799999999999997">
      <c r="B445" s="75" t="s">
        <v>877</v>
      </c>
      <c r="C445" s="76" t="s">
        <v>878</v>
      </c>
      <c r="D445" s="77" t="s">
        <v>131</v>
      </c>
      <c r="E445" s="93">
        <v>3</v>
      </c>
      <c r="F445" s="79"/>
      <c r="G445" s="79"/>
      <c r="H445" s="79"/>
      <c r="I445" s="79">
        <f>SUM(G445:H445)+'BM 007'!I445</f>
        <v>0</v>
      </c>
      <c r="J445" s="79">
        <f t="shared" si="188"/>
        <v>3</v>
      </c>
      <c r="K445" s="80">
        <v>7.63</v>
      </c>
      <c r="L445" s="81">
        <f t="shared" si="187"/>
        <v>9.6717888392999996</v>
      </c>
      <c r="M445" s="82">
        <f t="shared" si="189"/>
        <v>0</v>
      </c>
      <c r="N445" s="82">
        <f t="shared" si="190"/>
        <v>0</v>
      </c>
      <c r="O445" s="82">
        <f>N445+'BM 007'!O445</f>
        <v>0</v>
      </c>
      <c r="P445" s="80">
        <f t="shared" si="191"/>
        <v>22.89</v>
      </c>
      <c r="Q445" s="82">
        <f t="shared" si="192"/>
        <v>29.01</v>
      </c>
      <c r="R445" s="82">
        <f t="shared" si="193"/>
        <v>29.01</v>
      </c>
    </row>
    <row r="446" spans="2:18" s="34" customFormat="1" ht="23.4">
      <c r="B446" s="75" t="s">
        <v>879</v>
      </c>
      <c r="C446" s="88" t="s">
        <v>711</v>
      </c>
      <c r="D446" s="89" t="s">
        <v>131</v>
      </c>
      <c r="E446" s="90">
        <v>82</v>
      </c>
      <c r="F446" s="91"/>
      <c r="G446" s="91"/>
      <c r="H446" s="91"/>
      <c r="I446" s="91">
        <f>SUM(G446:H446)+'BM 007'!I446</f>
        <v>0</v>
      </c>
      <c r="J446" s="91">
        <f t="shared" si="188"/>
        <v>82</v>
      </c>
      <c r="K446" s="80">
        <v>14.54</v>
      </c>
      <c r="L446" s="81">
        <f t="shared" si="187"/>
        <v>18.430905599399999</v>
      </c>
      <c r="M446" s="82">
        <f t="shared" si="189"/>
        <v>0</v>
      </c>
      <c r="N446" s="82">
        <f t="shared" si="190"/>
        <v>0</v>
      </c>
      <c r="O446" s="82">
        <f>N446+'BM 007'!O446</f>
        <v>0</v>
      </c>
      <c r="P446" s="80">
        <f t="shared" si="191"/>
        <v>1192.28</v>
      </c>
      <c r="Q446" s="82">
        <f t="shared" si="192"/>
        <v>1511.33</v>
      </c>
      <c r="R446" s="82">
        <f t="shared" si="193"/>
        <v>1511.33</v>
      </c>
    </row>
    <row r="447" spans="2:18" s="34" customFormat="1" ht="23.4">
      <c r="B447" s="75" t="s">
        <v>880</v>
      </c>
      <c r="C447" s="76" t="s">
        <v>881</v>
      </c>
      <c r="D447" s="77" t="s">
        <v>131</v>
      </c>
      <c r="E447" s="93">
        <v>5</v>
      </c>
      <c r="F447" s="79"/>
      <c r="G447" s="79"/>
      <c r="H447" s="79"/>
      <c r="I447" s="79">
        <f>SUM(G447:H447)+'BM 007'!I447</f>
        <v>0</v>
      </c>
      <c r="J447" s="79">
        <f t="shared" si="188"/>
        <v>5</v>
      </c>
      <c r="K447" s="80">
        <v>19.91</v>
      </c>
      <c r="L447" s="81">
        <f t="shared" si="187"/>
        <v>25.2379181901</v>
      </c>
      <c r="M447" s="82">
        <f t="shared" si="189"/>
        <v>0</v>
      </c>
      <c r="N447" s="82">
        <f t="shared" si="190"/>
        <v>0</v>
      </c>
      <c r="O447" s="82">
        <f>N447+'BM 007'!O447</f>
        <v>0</v>
      </c>
      <c r="P447" s="80">
        <f t="shared" si="191"/>
        <v>99.55</v>
      </c>
      <c r="Q447" s="82">
        <f t="shared" si="192"/>
        <v>126.18</v>
      </c>
      <c r="R447" s="82">
        <f t="shared" si="193"/>
        <v>126.18</v>
      </c>
    </row>
    <row r="448" spans="2:18" s="34" customFormat="1" ht="23.4">
      <c r="B448" s="75" t="s">
        <v>882</v>
      </c>
      <c r="C448" s="76" t="s">
        <v>883</v>
      </c>
      <c r="D448" s="77" t="s">
        <v>131</v>
      </c>
      <c r="E448" s="93">
        <v>1</v>
      </c>
      <c r="F448" s="79"/>
      <c r="G448" s="79"/>
      <c r="H448" s="79"/>
      <c r="I448" s="79">
        <f>SUM(G448:H448)+'BM 007'!I448</f>
        <v>0</v>
      </c>
      <c r="J448" s="79">
        <f t="shared" si="188"/>
        <v>1</v>
      </c>
      <c r="K448" s="80">
        <v>25.24</v>
      </c>
      <c r="L448" s="81">
        <f t="shared" si="187"/>
        <v>31.994226776399998</v>
      </c>
      <c r="M448" s="82">
        <f t="shared" si="189"/>
        <v>0</v>
      </c>
      <c r="N448" s="82">
        <f t="shared" si="190"/>
        <v>0</v>
      </c>
      <c r="O448" s="82">
        <f>N448+'BM 007'!O448</f>
        <v>0</v>
      </c>
      <c r="P448" s="80">
        <f t="shared" si="191"/>
        <v>25.24</v>
      </c>
      <c r="Q448" s="82">
        <f t="shared" si="192"/>
        <v>31.99</v>
      </c>
      <c r="R448" s="82">
        <f t="shared" si="193"/>
        <v>31.99</v>
      </c>
    </row>
    <row r="449" spans="2:18" s="34" customFormat="1" ht="46.2">
      <c r="B449" s="75" t="s">
        <v>884</v>
      </c>
      <c r="C449" s="76" t="s">
        <v>885</v>
      </c>
      <c r="D449" s="77" t="s">
        <v>131</v>
      </c>
      <c r="E449" s="93">
        <v>79</v>
      </c>
      <c r="F449" s="79"/>
      <c r="G449" s="79"/>
      <c r="H449" s="79"/>
      <c r="I449" s="79">
        <f>SUM(G449:H449)+'BM 007'!I449</f>
        <v>0</v>
      </c>
      <c r="J449" s="79">
        <f t="shared" si="188"/>
        <v>79</v>
      </c>
      <c r="K449" s="80">
        <v>13.15</v>
      </c>
      <c r="L449" s="81">
        <f t="shared" si="187"/>
        <v>16.6689414465</v>
      </c>
      <c r="M449" s="82">
        <f t="shared" si="189"/>
        <v>0</v>
      </c>
      <c r="N449" s="82">
        <f t="shared" si="190"/>
        <v>0</v>
      </c>
      <c r="O449" s="82">
        <f>N449+'BM 007'!O449</f>
        <v>0</v>
      </c>
      <c r="P449" s="80">
        <f t="shared" si="191"/>
        <v>1038.8500000000001</v>
      </c>
      <c r="Q449" s="82">
        <f t="shared" si="192"/>
        <v>1316.84</v>
      </c>
      <c r="R449" s="82">
        <f t="shared" si="193"/>
        <v>1316.84</v>
      </c>
    </row>
    <row r="450" spans="2:18" s="34" customFormat="1" ht="23.4">
      <c r="B450" s="75" t="s">
        <v>886</v>
      </c>
      <c r="C450" s="76" t="s">
        <v>757</v>
      </c>
      <c r="D450" s="77" t="s">
        <v>131</v>
      </c>
      <c r="E450" s="93">
        <v>1</v>
      </c>
      <c r="F450" s="79"/>
      <c r="G450" s="79"/>
      <c r="H450" s="79"/>
      <c r="I450" s="79">
        <f>SUM(G450:H450)+'BM 007'!I450</f>
        <v>0</v>
      </c>
      <c r="J450" s="79">
        <f t="shared" si="188"/>
        <v>1</v>
      </c>
      <c r="K450" s="80">
        <v>12.35</v>
      </c>
      <c r="L450" s="81">
        <f t="shared" si="187"/>
        <v>15.6548613585</v>
      </c>
      <c r="M450" s="82">
        <f t="shared" si="189"/>
        <v>0</v>
      </c>
      <c r="N450" s="82">
        <f t="shared" si="190"/>
        <v>0</v>
      </c>
      <c r="O450" s="82">
        <f>N450+'BM 007'!O450</f>
        <v>0</v>
      </c>
      <c r="P450" s="80">
        <f t="shared" si="191"/>
        <v>12.35</v>
      </c>
      <c r="Q450" s="82">
        <f t="shared" si="192"/>
        <v>15.65</v>
      </c>
      <c r="R450" s="82">
        <f t="shared" si="193"/>
        <v>15.65</v>
      </c>
    </row>
    <row r="451" spans="2:18" s="34" customFormat="1" ht="23.4">
      <c r="B451" s="75" t="s">
        <v>887</v>
      </c>
      <c r="C451" s="76" t="s">
        <v>761</v>
      </c>
      <c r="D451" s="77" t="s">
        <v>131</v>
      </c>
      <c r="E451" s="93">
        <v>3</v>
      </c>
      <c r="F451" s="79"/>
      <c r="G451" s="79"/>
      <c r="H451" s="79"/>
      <c r="I451" s="79">
        <f>SUM(G451:H451)+'BM 007'!I451</f>
        <v>0</v>
      </c>
      <c r="J451" s="79">
        <f t="shared" si="188"/>
        <v>3</v>
      </c>
      <c r="K451" s="80">
        <v>18.5</v>
      </c>
      <c r="L451" s="81">
        <f t="shared" si="187"/>
        <v>23.450602035000003</v>
      </c>
      <c r="M451" s="82">
        <f t="shared" si="189"/>
        <v>0</v>
      </c>
      <c r="N451" s="82">
        <f t="shared" si="190"/>
        <v>0</v>
      </c>
      <c r="O451" s="82">
        <f>N451+'BM 007'!O451</f>
        <v>0</v>
      </c>
      <c r="P451" s="80">
        <f t="shared" si="191"/>
        <v>55.5</v>
      </c>
      <c r="Q451" s="82">
        <f t="shared" si="192"/>
        <v>70.349999999999994</v>
      </c>
      <c r="R451" s="82">
        <f t="shared" si="193"/>
        <v>70.349999999999994</v>
      </c>
    </row>
    <row r="452" spans="2:18" s="34" customFormat="1" ht="23.4">
      <c r="B452" s="75" t="s">
        <v>888</v>
      </c>
      <c r="C452" s="76" t="s">
        <v>771</v>
      </c>
      <c r="D452" s="77" t="s">
        <v>131</v>
      </c>
      <c r="E452" s="93">
        <v>77</v>
      </c>
      <c r="F452" s="79"/>
      <c r="G452" s="79"/>
      <c r="H452" s="79"/>
      <c r="I452" s="79">
        <f>SUM(G452:H452)+'BM 007'!I452</f>
        <v>0</v>
      </c>
      <c r="J452" s="79">
        <f t="shared" si="188"/>
        <v>77</v>
      </c>
      <c r="K452" s="80">
        <v>6.59</v>
      </c>
      <c r="L452" s="81">
        <f t="shared" si="187"/>
        <v>8.3534847248999995</v>
      </c>
      <c r="M452" s="82">
        <f t="shared" si="189"/>
        <v>0</v>
      </c>
      <c r="N452" s="82">
        <f t="shared" si="190"/>
        <v>0</v>
      </c>
      <c r="O452" s="82">
        <f>N452+'BM 007'!O452</f>
        <v>0</v>
      </c>
      <c r="P452" s="80">
        <f t="shared" si="191"/>
        <v>507.43</v>
      </c>
      <c r="Q452" s="82">
        <f t="shared" si="192"/>
        <v>643.21</v>
      </c>
      <c r="R452" s="82">
        <f t="shared" si="193"/>
        <v>643.21</v>
      </c>
    </row>
    <row r="453" spans="2:18" s="34" customFormat="1" ht="23.4">
      <c r="B453" s="75" t="s">
        <v>889</v>
      </c>
      <c r="C453" s="76" t="s">
        <v>773</v>
      </c>
      <c r="D453" s="77" t="s">
        <v>131</v>
      </c>
      <c r="E453" s="93">
        <v>3</v>
      </c>
      <c r="F453" s="79"/>
      <c r="G453" s="79"/>
      <c r="H453" s="79"/>
      <c r="I453" s="79">
        <f>SUM(G453:H453)+'BM 007'!I453</f>
        <v>0</v>
      </c>
      <c r="J453" s="79">
        <f t="shared" si="188"/>
        <v>3</v>
      </c>
      <c r="K453" s="80">
        <v>22.07</v>
      </c>
      <c r="L453" s="81">
        <f t="shared" si="187"/>
        <v>27.9759344277</v>
      </c>
      <c r="M453" s="82">
        <f t="shared" si="189"/>
        <v>0</v>
      </c>
      <c r="N453" s="82">
        <f t="shared" si="190"/>
        <v>0</v>
      </c>
      <c r="O453" s="82">
        <f>N453+'BM 007'!O453</f>
        <v>0</v>
      </c>
      <c r="P453" s="80">
        <f t="shared" si="191"/>
        <v>66.210000000000008</v>
      </c>
      <c r="Q453" s="82">
        <f t="shared" si="192"/>
        <v>83.92</v>
      </c>
      <c r="R453" s="82">
        <f t="shared" si="193"/>
        <v>83.92</v>
      </c>
    </row>
    <row r="454" spans="2:18" s="34" customFormat="1" ht="23.4">
      <c r="B454" s="75" t="s">
        <v>890</v>
      </c>
      <c r="C454" s="88" t="s">
        <v>711</v>
      </c>
      <c r="D454" s="89" t="s">
        <v>131</v>
      </c>
      <c r="E454" s="90">
        <v>14</v>
      </c>
      <c r="F454" s="91"/>
      <c r="G454" s="91"/>
      <c r="H454" s="91"/>
      <c r="I454" s="91">
        <f>SUM(G454:H454)+'BM 007'!I454</f>
        <v>0</v>
      </c>
      <c r="J454" s="91">
        <f t="shared" si="188"/>
        <v>14</v>
      </c>
      <c r="K454" s="80">
        <v>14.54</v>
      </c>
      <c r="L454" s="81">
        <f t="shared" si="187"/>
        <v>18.430905599399999</v>
      </c>
      <c r="M454" s="82">
        <f t="shared" si="189"/>
        <v>0</v>
      </c>
      <c r="N454" s="82">
        <f t="shared" si="190"/>
        <v>0</v>
      </c>
      <c r="O454" s="82">
        <f>N454+'BM 007'!O454</f>
        <v>0</v>
      </c>
      <c r="P454" s="80">
        <f t="shared" si="191"/>
        <v>203.56</v>
      </c>
      <c r="Q454" s="82">
        <f t="shared" si="192"/>
        <v>258.02999999999997</v>
      </c>
      <c r="R454" s="82">
        <f t="shared" si="193"/>
        <v>258.02999999999997</v>
      </c>
    </row>
    <row r="455" spans="2:18" s="34" customFormat="1" ht="46.2">
      <c r="B455" s="75" t="s">
        <v>891</v>
      </c>
      <c r="C455" s="76" t="s">
        <v>892</v>
      </c>
      <c r="D455" s="77" t="s">
        <v>131</v>
      </c>
      <c r="E455" s="93">
        <v>91</v>
      </c>
      <c r="F455" s="79"/>
      <c r="G455" s="79"/>
      <c r="H455" s="79"/>
      <c r="I455" s="79">
        <f>SUM(G455:H455)+'BM 007'!I455</f>
        <v>0</v>
      </c>
      <c r="J455" s="79">
        <f t="shared" si="188"/>
        <v>91</v>
      </c>
      <c r="K455" s="80">
        <v>22.83</v>
      </c>
      <c r="L455" s="81">
        <f t="shared" si="187"/>
        <v>28.9393105113</v>
      </c>
      <c r="M455" s="82">
        <f t="shared" si="189"/>
        <v>0</v>
      </c>
      <c r="N455" s="82">
        <f t="shared" si="190"/>
        <v>0</v>
      </c>
      <c r="O455" s="82">
        <f>N455+'BM 007'!O455</f>
        <v>0</v>
      </c>
      <c r="P455" s="80">
        <f t="shared" si="191"/>
        <v>2077.5299999999997</v>
      </c>
      <c r="Q455" s="82">
        <f t="shared" si="192"/>
        <v>2633.47</v>
      </c>
      <c r="R455" s="82">
        <f t="shared" si="193"/>
        <v>2633.47</v>
      </c>
    </row>
    <row r="456" spans="2:18" s="34" customFormat="1" ht="46.2">
      <c r="B456" s="75" t="s">
        <v>893</v>
      </c>
      <c r="C456" s="76" t="s">
        <v>894</v>
      </c>
      <c r="D456" s="77" t="s">
        <v>131</v>
      </c>
      <c r="E456" s="93">
        <v>26</v>
      </c>
      <c r="F456" s="79"/>
      <c r="G456" s="79"/>
      <c r="H456" s="79"/>
      <c r="I456" s="79">
        <f>SUM(G456:H456)+'BM 007'!I456</f>
        <v>0</v>
      </c>
      <c r="J456" s="79">
        <f t="shared" si="188"/>
        <v>26</v>
      </c>
      <c r="K456" s="80">
        <v>42.22</v>
      </c>
      <c r="L456" s="81">
        <f t="shared" si="187"/>
        <v>53.518076644200001</v>
      </c>
      <c r="M456" s="82">
        <f t="shared" si="189"/>
        <v>0</v>
      </c>
      <c r="N456" s="82">
        <f t="shared" si="190"/>
        <v>0</v>
      </c>
      <c r="O456" s="82">
        <f>N456+'BM 007'!O456</f>
        <v>0</v>
      </c>
      <c r="P456" s="80">
        <f t="shared" si="191"/>
        <v>1097.72</v>
      </c>
      <c r="Q456" s="82">
        <f t="shared" si="192"/>
        <v>1391.46</v>
      </c>
      <c r="R456" s="82">
        <f t="shared" si="193"/>
        <v>1391.46</v>
      </c>
    </row>
    <row r="457" spans="2:18" s="34" customFormat="1" ht="23.4">
      <c r="B457" s="75" t="s">
        <v>895</v>
      </c>
      <c r="C457" s="76" t="s">
        <v>896</v>
      </c>
      <c r="D457" s="77" t="s">
        <v>131</v>
      </c>
      <c r="E457" s="93">
        <v>46</v>
      </c>
      <c r="F457" s="79"/>
      <c r="G457" s="79"/>
      <c r="H457" s="79"/>
      <c r="I457" s="79">
        <f>SUM(G457:H457)+'BM 007'!I457</f>
        <v>0</v>
      </c>
      <c r="J457" s="79">
        <f t="shared" si="188"/>
        <v>46</v>
      </c>
      <c r="K457" s="80">
        <v>110</v>
      </c>
      <c r="L457" s="81">
        <f t="shared" si="187"/>
        <v>139.4360121</v>
      </c>
      <c r="M457" s="82">
        <f t="shared" si="189"/>
        <v>0</v>
      </c>
      <c r="N457" s="82">
        <f t="shared" si="190"/>
        <v>0</v>
      </c>
      <c r="O457" s="82">
        <f>N457+'BM 007'!O457</f>
        <v>0</v>
      </c>
      <c r="P457" s="80">
        <f t="shared" si="191"/>
        <v>5060</v>
      </c>
      <c r="Q457" s="82">
        <f t="shared" si="192"/>
        <v>6414.05</v>
      </c>
      <c r="R457" s="82">
        <f t="shared" si="193"/>
        <v>6414.05</v>
      </c>
    </row>
    <row r="458" spans="2:18" s="34" customFormat="1" ht="34.799999999999997">
      <c r="B458" s="75" t="s">
        <v>897</v>
      </c>
      <c r="C458" s="76" t="s">
        <v>898</v>
      </c>
      <c r="D458" s="77" t="s">
        <v>131</v>
      </c>
      <c r="E458" s="93">
        <v>11</v>
      </c>
      <c r="F458" s="79"/>
      <c r="G458" s="79"/>
      <c r="H458" s="79"/>
      <c r="I458" s="79">
        <f>SUM(G458:H458)+'BM 007'!I458</f>
        <v>0</v>
      </c>
      <c r="J458" s="79">
        <f t="shared" si="188"/>
        <v>11</v>
      </c>
      <c r="K458" s="80">
        <v>35.5</v>
      </c>
      <c r="L458" s="81">
        <f t="shared" si="187"/>
        <v>44.999803905</v>
      </c>
      <c r="M458" s="82">
        <f t="shared" si="189"/>
        <v>0</v>
      </c>
      <c r="N458" s="82">
        <f t="shared" si="190"/>
        <v>0</v>
      </c>
      <c r="O458" s="82">
        <f>N458+'BM 007'!O458</f>
        <v>0</v>
      </c>
      <c r="P458" s="80">
        <f t="shared" si="191"/>
        <v>390.5</v>
      </c>
      <c r="Q458" s="82">
        <f t="shared" si="192"/>
        <v>494.99</v>
      </c>
      <c r="R458" s="82">
        <f t="shared" si="193"/>
        <v>494.99</v>
      </c>
    </row>
    <row r="459" spans="2:18" s="34" customFormat="1" ht="46.2">
      <c r="B459" s="75" t="s">
        <v>899</v>
      </c>
      <c r="C459" s="76" t="s">
        <v>900</v>
      </c>
      <c r="D459" s="77" t="s">
        <v>131</v>
      </c>
      <c r="E459" s="93">
        <v>12</v>
      </c>
      <c r="F459" s="79"/>
      <c r="G459" s="79"/>
      <c r="H459" s="79"/>
      <c r="I459" s="79">
        <f>SUM(G459:H459)+'BM 007'!I459</f>
        <v>0</v>
      </c>
      <c r="J459" s="79">
        <f t="shared" si="188"/>
        <v>12</v>
      </c>
      <c r="K459" s="80">
        <v>37.299999999999997</v>
      </c>
      <c r="L459" s="81">
        <f t="shared" si="187"/>
        <v>47.281484102999997</v>
      </c>
      <c r="M459" s="82">
        <f t="shared" si="189"/>
        <v>0</v>
      </c>
      <c r="N459" s="82">
        <f t="shared" si="190"/>
        <v>0</v>
      </c>
      <c r="O459" s="82">
        <f>N459+'BM 007'!O459</f>
        <v>0</v>
      </c>
      <c r="P459" s="80">
        <f t="shared" si="191"/>
        <v>447.59999999999997</v>
      </c>
      <c r="Q459" s="82">
        <f t="shared" si="192"/>
        <v>567.37</v>
      </c>
      <c r="R459" s="82">
        <f t="shared" si="193"/>
        <v>567.37</v>
      </c>
    </row>
    <row r="460" spans="2:18" s="34" customFormat="1" ht="46.2">
      <c r="B460" s="75" t="s">
        <v>901</v>
      </c>
      <c r="C460" s="76" t="s">
        <v>902</v>
      </c>
      <c r="D460" s="77" t="s">
        <v>131</v>
      </c>
      <c r="E460" s="93">
        <v>2</v>
      </c>
      <c r="F460" s="79"/>
      <c r="G460" s="79"/>
      <c r="H460" s="79"/>
      <c r="I460" s="79">
        <f>SUM(G460:H460)+'BM 007'!I460</f>
        <v>0</v>
      </c>
      <c r="J460" s="79">
        <f t="shared" si="188"/>
        <v>2</v>
      </c>
      <c r="K460" s="80">
        <v>42.5</v>
      </c>
      <c r="L460" s="81">
        <f t="shared" si="187"/>
        <v>53.873004675000004</v>
      </c>
      <c r="M460" s="82">
        <f t="shared" si="189"/>
        <v>0</v>
      </c>
      <c r="N460" s="82">
        <f t="shared" si="190"/>
        <v>0</v>
      </c>
      <c r="O460" s="82">
        <f>N460+'BM 007'!O460</f>
        <v>0</v>
      </c>
      <c r="P460" s="80">
        <f t="shared" si="191"/>
        <v>85</v>
      </c>
      <c r="Q460" s="82">
        <f t="shared" si="192"/>
        <v>107.74</v>
      </c>
      <c r="R460" s="82">
        <f t="shared" si="193"/>
        <v>107.74</v>
      </c>
    </row>
    <row r="461" spans="2:18" s="34" customFormat="1" ht="23.4">
      <c r="B461" s="75" t="s">
        <v>903</v>
      </c>
      <c r="C461" s="76" t="s">
        <v>904</v>
      </c>
      <c r="D461" s="77" t="s">
        <v>131</v>
      </c>
      <c r="E461" s="93">
        <v>6</v>
      </c>
      <c r="F461" s="79"/>
      <c r="G461" s="79"/>
      <c r="H461" s="79"/>
      <c r="I461" s="79">
        <f>SUM(G461:H461)+'BM 007'!I461</f>
        <v>0</v>
      </c>
      <c r="J461" s="79">
        <f t="shared" si="188"/>
        <v>6</v>
      </c>
      <c r="K461" s="80">
        <v>68</v>
      </c>
      <c r="L461" s="81">
        <f t="shared" si="187"/>
        <v>86.196807480000004</v>
      </c>
      <c r="M461" s="82">
        <f t="shared" si="189"/>
        <v>0</v>
      </c>
      <c r="N461" s="82">
        <f t="shared" si="190"/>
        <v>0</v>
      </c>
      <c r="O461" s="82">
        <f>N461+'BM 007'!O461</f>
        <v>0</v>
      </c>
      <c r="P461" s="80">
        <f t="shared" si="191"/>
        <v>408</v>
      </c>
      <c r="Q461" s="82">
        <f t="shared" si="192"/>
        <v>517.17999999999995</v>
      </c>
      <c r="R461" s="82">
        <f t="shared" si="193"/>
        <v>517.17999999999995</v>
      </c>
    </row>
    <row r="462" spans="2:18" s="34" customFormat="1" ht="46.2">
      <c r="B462" s="75" t="s">
        <v>905</v>
      </c>
      <c r="C462" s="76" t="s">
        <v>906</v>
      </c>
      <c r="D462" s="77" t="s">
        <v>131</v>
      </c>
      <c r="E462" s="93">
        <v>3</v>
      </c>
      <c r="F462" s="79"/>
      <c r="G462" s="79"/>
      <c r="H462" s="79"/>
      <c r="I462" s="79">
        <f>SUM(G462:H462)+'BM 007'!I462</f>
        <v>0</v>
      </c>
      <c r="J462" s="79">
        <f t="shared" si="188"/>
        <v>3</v>
      </c>
      <c r="K462" s="80">
        <v>36.61</v>
      </c>
      <c r="L462" s="81">
        <f t="shared" si="187"/>
        <v>46.406840027100003</v>
      </c>
      <c r="M462" s="82">
        <f t="shared" si="189"/>
        <v>0</v>
      </c>
      <c r="N462" s="82">
        <f t="shared" si="190"/>
        <v>0</v>
      </c>
      <c r="O462" s="82">
        <f>N462+'BM 007'!O462</f>
        <v>0</v>
      </c>
      <c r="P462" s="80">
        <f t="shared" si="191"/>
        <v>109.83</v>
      </c>
      <c r="Q462" s="82">
        <f t="shared" si="192"/>
        <v>139.22</v>
      </c>
      <c r="R462" s="82">
        <f t="shared" si="193"/>
        <v>139.22</v>
      </c>
    </row>
    <row r="463" spans="2:18" s="34" customFormat="1" ht="46.2">
      <c r="B463" s="75" t="s">
        <v>907</v>
      </c>
      <c r="C463" s="76" t="s">
        <v>908</v>
      </c>
      <c r="D463" s="77" t="s">
        <v>131</v>
      </c>
      <c r="E463" s="93">
        <v>3</v>
      </c>
      <c r="F463" s="79"/>
      <c r="G463" s="79"/>
      <c r="H463" s="79"/>
      <c r="I463" s="79">
        <f>SUM(G463:H463)+'BM 007'!I463</f>
        <v>0</v>
      </c>
      <c r="J463" s="79">
        <f t="shared" si="188"/>
        <v>3</v>
      </c>
      <c r="K463" s="82">
        <v>11.81</v>
      </c>
      <c r="L463" s="81">
        <f t="shared" si="187"/>
        <v>14.970357299100002</v>
      </c>
      <c r="M463" s="82">
        <f t="shared" si="189"/>
        <v>0</v>
      </c>
      <c r="N463" s="82">
        <f t="shared" si="190"/>
        <v>0</v>
      </c>
      <c r="O463" s="82">
        <f>N463+'BM 007'!O463</f>
        <v>0</v>
      </c>
      <c r="P463" s="82">
        <f t="shared" si="191"/>
        <v>35.43</v>
      </c>
      <c r="Q463" s="82">
        <f t="shared" si="192"/>
        <v>44.91</v>
      </c>
      <c r="R463" s="82">
        <f t="shared" si="193"/>
        <v>44.91</v>
      </c>
    </row>
    <row r="464" spans="2:18" s="34" customFormat="1" ht="34.799999999999997">
      <c r="B464" s="75" t="s">
        <v>909</v>
      </c>
      <c r="C464" s="76" t="s">
        <v>910</v>
      </c>
      <c r="D464" s="77" t="s">
        <v>131</v>
      </c>
      <c r="E464" s="93">
        <v>72</v>
      </c>
      <c r="F464" s="79"/>
      <c r="G464" s="79"/>
      <c r="H464" s="79"/>
      <c r="I464" s="79">
        <f>SUM(G464:H464)+'BM 007'!I464</f>
        <v>0</v>
      </c>
      <c r="J464" s="79">
        <f t="shared" si="188"/>
        <v>72</v>
      </c>
      <c r="K464" s="82">
        <v>13</v>
      </c>
      <c r="L464" s="81">
        <f t="shared" si="187"/>
        <v>16.478801430000001</v>
      </c>
      <c r="M464" s="82">
        <f t="shared" si="189"/>
        <v>0</v>
      </c>
      <c r="N464" s="82">
        <f t="shared" si="190"/>
        <v>0</v>
      </c>
      <c r="O464" s="82">
        <f>N464+'BM 007'!O464</f>
        <v>0</v>
      </c>
      <c r="P464" s="82">
        <f t="shared" si="191"/>
        <v>936</v>
      </c>
      <c r="Q464" s="82">
        <f t="shared" si="192"/>
        <v>1186.47</v>
      </c>
      <c r="R464" s="82">
        <f t="shared" si="193"/>
        <v>1186.47</v>
      </c>
    </row>
    <row r="465" spans="2:18" s="34" customFormat="1" ht="13.2">
      <c r="B465" s="75" t="s">
        <v>911</v>
      </c>
      <c r="C465" s="76"/>
      <c r="D465" s="77"/>
      <c r="E465" s="93"/>
      <c r="F465" s="79"/>
      <c r="G465" s="79"/>
      <c r="H465" s="79"/>
      <c r="I465" s="79">
        <f>SUM(G465:H465)+'BM 007'!I465</f>
        <v>0</v>
      </c>
      <c r="J465" s="79">
        <f t="shared" si="188"/>
        <v>0</v>
      </c>
      <c r="K465" s="82"/>
      <c r="L465" s="81">
        <f t="shared" si="187"/>
        <v>0</v>
      </c>
      <c r="M465" s="82">
        <f t="shared" si="189"/>
        <v>0</v>
      </c>
      <c r="N465" s="82">
        <f t="shared" si="190"/>
        <v>0</v>
      </c>
      <c r="O465" s="82">
        <f>N465+'BM 007'!O465</f>
        <v>0</v>
      </c>
      <c r="P465" s="82"/>
      <c r="Q465" s="82">
        <f t="shared" si="192"/>
        <v>0</v>
      </c>
      <c r="R465" s="82">
        <f t="shared" si="193"/>
        <v>0</v>
      </c>
    </row>
    <row r="466" spans="2:18" s="34" customFormat="1" ht="34.799999999999997">
      <c r="B466" s="75" t="s">
        <v>912</v>
      </c>
      <c r="C466" s="76" t="s">
        <v>733</v>
      </c>
      <c r="D466" s="77" t="s">
        <v>131</v>
      </c>
      <c r="E466" s="93">
        <v>8</v>
      </c>
      <c r="F466" s="79"/>
      <c r="G466" s="79"/>
      <c r="H466" s="79"/>
      <c r="I466" s="79">
        <f>SUM(G466:H466)+'BM 007'!I466</f>
        <v>0</v>
      </c>
      <c r="J466" s="79">
        <f t="shared" si="188"/>
        <v>8</v>
      </c>
      <c r="K466" s="82">
        <v>3.95</v>
      </c>
      <c r="L466" s="81">
        <f t="shared" si="187"/>
        <v>5.0070204345000002</v>
      </c>
      <c r="M466" s="82">
        <f t="shared" si="189"/>
        <v>0</v>
      </c>
      <c r="N466" s="82">
        <f t="shared" si="190"/>
        <v>0</v>
      </c>
      <c r="O466" s="82">
        <f>N466+'BM 007'!O466</f>
        <v>0</v>
      </c>
      <c r="P466" s="82">
        <f t="shared" ref="P466:P473" si="194">E466*K466</f>
        <v>31.6</v>
      </c>
      <c r="Q466" s="82">
        <f t="shared" si="192"/>
        <v>40.049999999999997</v>
      </c>
      <c r="R466" s="82">
        <f t="shared" si="193"/>
        <v>40.049999999999997</v>
      </c>
    </row>
    <row r="467" spans="2:18" s="34" customFormat="1" ht="34.799999999999997">
      <c r="B467" s="75" t="s">
        <v>913</v>
      </c>
      <c r="C467" s="88" t="s">
        <v>735</v>
      </c>
      <c r="D467" s="89" t="s">
        <v>131</v>
      </c>
      <c r="E467" s="90">
        <v>238</v>
      </c>
      <c r="F467" s="91"/>
      <c r="G467" s="91"/>
      <c r="H467" s="91"/>
      <c r="I467" s="91">
        <f>SUM(G467:H467)+'BM 007'!I467</f>
        <v>0</v>
      </c>
      <c r="J467" s="91">
        <f t="shared" si="188"/>
        <v>238</v>
      </c>
      <c r="K467" s="80">
        <v>4.67</v>
      </c>
      <c r="L467" s="81">
        <f t="shared" si="187"/>
        <v>5.9196925137000003</v>
      </c>
      <c r="M467" s="82">
        <f t="shared" si="189"/>
        <v>0</v>
      </c>
      <c r="N467" s="82">
        <f t="shared" si="190"/>
        <v>0</v>
      </c>
      <c r="O467" s="82">
        <f>N467+'BM 007'!O467</f>
        <v>0</v>
      </c>
      <c r="P467" s="80">
        <f t="shared" si="194"/>
        <v>1111.46</v>
      </c>
      <c r="Q467" s="82">
        <f t="shared" si="192"/>
        <v>1408.88</v>
      </c>
      <c r="R467" s="82">
        <f t="shared" si="193"/>
        <v>1408.88</v>
      </c>
    </row>
    <row r="468" spans="2:18" s="34" customFormat="1" ht="34.799999999999997">
      <c r="B468" s="75" t="s">
        <v>914</v>
      </c>
      <c r="C468" s="76" t="s">
        <v>739</v>
      </c>
      <c r="D468" s="77" t="s">
        <v>131</v>
      </c>
      <c r="E468" s="93">
        <v>30</v>
      </c>
      <c r="F468" s="79"/>
      <c r="G468" s="79"/>
      <c r="H468" s="79"/>
      <c r="I468" s="79">
        <f>SUM(G468:H468)+'BM 007'!I468</f>
        <v>0</v>
      </c>
      <c r="J468" s="79">
        <f t="shared" si="188"/>
        <v>30</v>
      </c>
      <c r="K468" s="80">
        <v>11.5</v>
      </c>
      <c r="L468" s="81">
        <f t="shared" si="187"/>
        <v>14.577401265000001</v>
      </c>
      <c r="M468" s="82">
        <f t="shared" si="189"/>
        <v>0</v>
      </c>
      <c r="N468" s="82">
        <f t="shared" si="190"/>
        <v>0</v>
      </c>
      <c r="O468" s="82">
        <f>N468+'BM 007'!O468</f>
        <v>0</v>
      </c>
      <c r="P468" s="80">
        <f t="shared" si="194"/>
        <v>345</v>
      </c>
      <c r="Q468" s="82">
        <f t="shared" si="192"/>
        <v>437.32</v>
      </c>
      <c r="R468" s="82">
        <f t="shared" si="193"/>
        <v>437.32</v>
      </c>
    </row>
    <row r="469" spans="2:18" s="34" customFormat="1" ht="34.799999999999997">
      <c r="B469" s="75" t="s">
        <v>915</v>
      </c>
      <c r="C469" s="76" t="s">
        <v>916</v>
      </c>
      <c r="D469" s="77" t="s">
        <v>131</v>
      </c>
      <c r="E469" s="93">
        <v>1</v>
      </c>
      <c r="F469" s="79"/>
      <c r="G469" s="79"/>
      <c r="H469" s="79"/>
      <c r="I469" s="79">
        <f>SUM(G469:H469)+'BM 007'!I469</f>
        <v>0</v>
      </c>
      <c r="J469" s="79">
        <f t="shared" si="188"/>
        <v>1</v>
      </c>
      <c r="K469" s="80">
        <v>10.5</v>
      </c>
      <c r="L469" s="81">
        <f t="shared" si="187"/>
        <v>13.309801155000001</v>
      </c>
      <c r="M469" s="82">
        <f t="shared" si="189"/>
        <v>0</v>
      </c>
      <c r="N469" s="82">
        <f t="shared" si="190"/>
        <v>0</v>
      </c>
      <c r="O469" s="82">
        <f>N469+'BM 007'!O469</f>
        <v>0</v>
      </c>
      <c r="P469" s="80">
        <f t="shared" si="194"/>
        <v>10.5</v>
      </c>
      <c r="Q469" s="82">
        <f t="shared" si="192"/>
        <v>13.3</v>
      </c>
      <c r="R469" s="82">
        <f t="shared" si="193"/>
        <v>13.3</v>
      </c>
    </row>
    <row r="470" spans="2:18" s="34" customFormat="1" ht="34.799999999999997">
      <c r="B470" s="75" t="s">
        <v>917</v>
      </c>
      <c r="C470" s="76" t="s">
        <v>918</v>
      </c>
      <c r="D470" s="77" t="s">
        <v>131</v>
      </c>
      <c r="E470" s="93">
        <v>1</v>
      </c>
      <c r="F470" s="79"/>
      <c r="G470" s="79"/>
      <c r="H470" s="79"/>
      <c r="I470" s="79">
        <f>SUM(G470:H470)+'BM 007'!I470</f>
        <v>0</v>
      </c>
      <c r="J470" s="79">
        <f t="shared" si="188"/>
        <v>1</v>
      </c>
      <c r="K470" s="80">
        <v>10.14</v>
      </c>
      <c r="L470" s="81">
        <f t="shared" si="187"/>
        <v>12.853465115400001</v>
      </c>
      <c r="M470" s="82">
        <f t="shared" si="189"/>
        <v>0</v>
      </c>
      <c r="N470" s="82">
        <f t="shared" si="190"/>
        <v>0</v>
      </c>
      <c r="O470" s="82">
        <f>N470+'BM 007'!O470</f>
        <v>0</v>
      </c>
      <c r="P470" s="80">
        <f t="shared" si="194"/>
        <v>10.14</v>
      </c>
      <c r="Q470" s="82">
        <f t="shared" si="192"/>
        <v>12.85</v>
      </c>
      <c r="R470" s="82">
        <f t="shared" si="193"/>
        <v>12.85</v>
      </c>
    </row>
    <row r="471" spans="2:18" s="34" customFormat="1" ht="34.799999999999997">
      <c r="B471" s="75" t="s">
        <v>919</v>
      </c>
      <c r="C471" s="88" t="s">
        <v>717</v>
      </c>
      <c r="D471" s="89" t="s">
        <v>131</v>
      </c>
      <c r="E471" s="90">
        <v>238</v>
      </c>
      <c r="F471" s="91"/>
      <c r="G471" s="91"/>
      <c r="H471" s="91"/>
      <c r="I471" s="91">
        <f>SUM(G471:H471)+'BM 007'!I471</f>
        <v>0</v>
      </c>
      <c r="J471" s="91">
        <f t="shared" si="188"/>
        <v>238</v>
      </c>
      <c r="K471" s="80">
        <v>8</v>
      </c>
      <c r="L471" s="81">
        <f t="shared" si="187"/>
        <v>10.14080088</v>
      </c>
      <c r="M471" s="82">
        <f t="shared" ref="M471:M473" si="195">TRUNC(F471*L471,2)</f>
        <v>0</v>
      </c>
      <c r="N471" s="82">
        <f t="shared" si="190"/>
        <v>0</v>
      </c>
      <c r="O471" s="82">
        <f>N471+'BM 007'!O471</f>
        <v>0</v>
      </c>
      <c r="P471" s="80">
        <f t="shared" si="194"/>
        <v>1904</v>
      </c>
      <c r="Q471" s="82">
        <f t="shared" si="192"/>
        <v>2413.5100000000002</v>
      </c>
      <c r="R471" s="82">
        <f t="shared" ref="R471:R473" si="196">Q471-O471</f>
        <v>2413.5100000000002</v>
      </c>
    </row>
    <row r="472" spans="2:18" s="34" customFormat="1" ht="34.799999999999997">
      <c r="B472" s="75" t="s">
        <v>920</v>
      </c>
      <c r="C472" s="88" t="s">
        <v>921</v>
      </c>
      <c r="D472" s="89" t="s">
        <v>131</v>
      </c>
      <c r="E472" s="90">
        <v>6</v>
      </c>
      <c r="F472" s="91"/>
      <c r="G472" s="91"/>
      <c r="H472" s="91"/>
      <c r="I472" s="91">
        <f>SUM(G472:H472)+'BM 007'!I472</f>
        <v>0</v>
      </c>
      <c r="J472" s="91">
        <f t="shared" si="188"/>
        <v>6</v>
      </c>
      <c r="K472" s="80">
        <v>7.51</v>
      </c>
      <c r="L472" s="81">
        <f t="shared" si="187"/>
        <v>9.5196768260999995</v>
      </c>
      <c r="M472" s="82">
        <f t="shared" si="195"/>
        <v>0</v>
      </c>
      <c r="N472" s="82">
        <f t="shared" si="190"/>
        <v>0</v>
      </c>
      <c r="O472" s="82">
        <f>N472+'BM 007'!O472</f>
        <v>0</v>
      </c>
      <c r="P472" s="80">
        <f t="shared" si="194"/>
        <v>45.06</v>
      </c>
      <c r="Q472" s="82">
        <f t="shared" si="192"/>
        <v>57.11</v>
      </c>
      <c r="R472" s="82">
        <f t="shared" si="196"/>
        <v>57.11</v>
      </c>
    </row>
    <row r="473" spans="2:18" s="34" customFormat="1" ht="34.799999999999997">
      <c r="B473" s="87" t="s">
        <v>922</v>
      </c>
      <c r="C473" s="88" t="s">
        <v>721</v>
      </c>
      <c r="D473" s="89" t="s">
        <v>131</v>
      </c>
      <c r="E473" s="90">
        <v>8</v>
      </c>
      <c r="F473" s="91"/>
      <c r="G473" s="91"/>
      <c r="H473" s="91"/>
      <c r="I473" s="91">
        <f>SUM(G473:H473)+'BM 007'!I473</f>
        <v>0</v>
      </c>
      <c r="J473" s="91">
        <f t="shared" si="188"/>
        <v>8</v>
      </c>
      <c r="K473" s="80">
        <v>10.5</v>
      </c>
      <c r="L473" s="81">
        <f t="shared" si="187"/>
        <v>13.309801155000001</v>
      </c>
      <c r="M473" s="82">
        <f t="shared" si="195"/>
        <v>0</v>
      </c>
      <c r="N473" s="82">
        <f t="shared" si="190"/>
        <v>0</v>
      </c>
      <c r="O473" s="82">
        <f>N473+'BM 007'!O473</f>
        <v>0</v>
      </c>
      <c r="P473" s="80">
        <f t="shared" si="194"/>
        <v>84</v>
      </c>
      <c r="Q473" s="82">
        <f t="shared" si="192"/>
        <v>106.47</v>
      </c>
      <c r="R473" s="82">
        <f t="shared" si="196"/>
        <v>106.47</v>
      </c>
    </row>
    <row r="474" spans="2:18" s="34" customFormat="1" ht="24">
      <c r="B474" s="66" t="s">
        <v>923</v>
      </c>
      <c r="C474" s="67" t="s">
        <v>924</v>
      </c>
      <c r="D474" s="68"/>
      <c r="E474" s="69"/>
      <c r="F474" s="70"/>
      <c r="G474" s="70"/>
      <c r="H474" s="70"/>
      <c r="I474" s="70">
        <f>SUM(G474:H474)+'BM 007'!I474</f>
        <v>0</v>
      </c>
      <c r="J474" s="70">
        <f t="shared" si="188"/>
        <v>0</v>
      </c>
      <c r="K474" s="71"/>
      <c r="L474" s="71">
        <f t="shared" si="187"/>
        <v>0</v>
      </c>
      <c r="M474" s="73">
        <f t="shared" ref="M474:R474" si="197">SUM(M475:M480)</f>
        <v>0</v>
      </c>
      <c r="N474" s="73">
        <f t="shared" si="197"/>
        <v>0</v>
      </c>
      <c r="O474" s="73">
        <f t="shared" si="197"/>
        <v>0</v>
      </c>
      <c r="P474" s="73">
        <f t="shared" si="197"/>
        <v>177593</v>
      </c>
      <c r="Q474" s="73">
        <f t="shared" si="197"/>
        <v>225116.89</v>
      </c>
      <c r="R474" s="73">
        <f t="shared" si="197"/>
        <v>225116.89</v>
      </c>
    </row>
    <row r="475" spans="2:18" s="34" customFormat="1" ht="23.4">
      <c r="B475" s="87" t="s">
        <v>925</v>
      </c>
      <c r="C475" s="88" t="s">
        <v>926</v>
      </c>
      <c r="D475" s="89" t="s">
        <v>131</v>
      </c>
      <c r="E475" s="90">
        <v>1</v>
      </c>
      <c r="F475" s="91"/>
      <c r="G475" s="91"/>
      <c r="H475" s="91"/>
      <c r="I475" s="91">
        <f>SUM(G475:H475)+'BM 007'!I475</f>
        <v>0</v>
      </c>
      <c r="J475" s="91">
        <f t="shared" si="188"/>
        <v>1</v>
      </c>
      <c r="K475" s="80">
        <v>40</v>
      </c>
      <c r="L475" s="81">
        <f t="shared" si="187"/>
        <v>50.704004400000002</v>
      </c>
      <c r="M475" s="82">
        <f t="shared" ref="M475:M480" si="198">TRUNC(F475*L475,2)</f>
        <v>0</v>
      </c>
      <c r="N475" s="82">
        <f t="shared" ref="N475:N480" si="199">TRUNC(G475*L475,2)</f>
        <v>0</v>
      </c>
      <c r="O475" s="82">
        <f>N475+'BM 007'!O475</f>
        <v>0</v>
      </c>
      <c r="P475" s="80">
        <f t="shared" ref="P475:P480" si="200">E475*K475</f>
        <v>40</v>
      </c>
      <c r="Q475" s="82">
        <f t="shared" ref="Q475:Q480" si="201">TRUNC(E475*L475,2)</f>
        <v>50.7</v>
      </c>
      <c r="R475" s="82">
        <f t="shared" ref="R475:R480" si="202">Q475-O475</f>
        <v>50.7</v>
      </c>
    </row>
    <row r="476" spans="2:18" s="34" customFormat="1" ht="23.4">
      <c r="B476" s="87" t="s">
        <v>927</v>
      </c>
      <c r="C476" s="88" t="s">
        <v>928</v>
      </c>
      <c r="D476" s="89" t="s">
        <v>131</v>
      </c>
      <c r="E476" s="90">
        <v>69</v>
      </c>
      <c r="F476" s="91"/>
      <c r="G476" s="91"/>
      <c r="H476" s="91"/>
      <c r="I476" s="91">
        <f>SUM(G476:H476)+'BM 007'!I476</f>
        <v>0</v>
      </c>
      <c r="J476" s="91">
        <f t="shared" si="188"/>
        <v>69</v>
      </c>
      <c r="K476" s="80">
        <v>62</v>
      </c>
      <c r="L476" s="81">
        <f t="shared" si="187"/>
        <v>78.591206819999996</v>
      </c>
      <c r="M476" s="82">
        <f t="shared" si="198"/>
        <v>0</v>
      </c>
      <c r="N476" s="82">
        <f t="shared" si="199"/>
        <v>0</v>
      </c>
      <c r="O476" s="82">
        <f>N476+'BM 007'!O476</f>
        <v>0</v>
      </c>
      <c r="P476" s="80">
        <f t="shared" si="200"/>
        <v>4278</v>
      </c>
      <c r="Q476" s="82">
        <f t="shared" si="201"/>
        <v>5422.79</v>
      </c>
      <c r="R476" s="82">
        <f t="shared" si="202"/>
        <v>5422.79</v>
      </c>
    </row>
    <row r="477" spans="2:18" s="34" customFormat="1" ht="34.799999999999997">
      <c r="B477" s="87" t="s">
        <v>929</v>
      </c>
      <c r="C477" s="88" t="s">
        <v>930</v>
      </c>
      <c r="D477" s="89" t="s">
        <v>131</v>
      </c>
      <c r="E477" s="90">
        <v>3</v>
      </c>
      <c r="F477" s="91"/>
      <c r="G477" s="91"/>
      <c r="H477" s="91"/>
      <c r="I477" s="91">
        <f>SUM(G477:H477)+'BM 007'!I477</f>
        <v>0</v>
      </c>
      <c r="J477" s="91">
        <f t="shared" si="188"/>
        <v>3</v>
      </c>
      <c r="K477" s="80">
        <v>25</v>
      </c>
      <c r="L477" s="81">
        <f t="shared" ref="L477:L540" si="203">K477*(1+$T$26)</f>
        <v>31.690002750000001</v>
      </c>
      <c r="M477" s="82">
        <f t="shared" si="198"/>
        <v>0</v>
      </c>
      <c r="N477" s="82">
        <f t="shared" si="199"/>
        <v>0</v>
      </c>
      <c r="O477" s="82">
        <f>N477+'BM 007'!O477</f>
        <v>0</v>
      </c>
      <c r="P477" s="80">
        <f t="shared" si="200"/>
        <v>75</v>
      </c>
      <c r="Q477" s="82">
        <f t="shared" si="201"/>
        <v>95.07</v>
      </c>
      <c r="R477" s="82">
        <f t="shared" si="202"/>
        <v>95.07</v>
      </c>
    </row>
    <row r="478" spans="2:18" s="34" customFormat="1" ht="34.799999999999997">
      <c r="B478" s="87" t="s">
        <v>931</v>
      </c>
      <c r="C478" s="88" t="s">
        <v>932</v>
      </c>
      <c r="D478" s="89" t="s">
        <v>131</v>
      </c>
      <c r="E478" s="90">
        <v>2</v>
      </c>
      <c r="F478" s="91"/>
      <c r="G478" s="91"/>
      <c r="H478" s="91"/>
      <c r="I478" s="91">
        <f>SUM(G478:H478)+'BM 007'!I478</f>
        <v>0</v>
      </c>
      <c r="J478" s="91">
        <f t="shared" si="188"/>
        <v>2</v>
      </c>
      <c r="K478" s="80">
        <v>2100</v>
      </c>
      <c r="L478" s="81">
        <f t="shared" si="203"/>
        <v>2661.960231</v>
      </c>
      <c r="M478" s="82">
        <f t="shared" si="198"/>
        <v>0</v>
      </c>
      <c r="N478" s="82">
        <f t="shared" si="199"/>
        <v>0</v>
      </c>
      <c r="O478" s="82">
        <f>N478+'BM 007'!O478</f>
        <v>0</v>
      </c>
      <c r="P478" s="80">
        <f t="shared" si="200"/>
        <v>4200</v>
      </c>
      <c r="Q478" s="82">
        <f t="shared" si="201"/>
        <v>5323.92</v>
      </c>
      <c r="R478" s="82">
        <f t="shared" si="202"/>
        <v>5323.92</v>
      </c>
    </row>
    <row r="479" spans="2:18" s="34" customFormat="1" ht="34.799999999999997">
      <c r="B479" s="87" t="s">
        <v>933</v>
      </c>
      <c r="C479" s="88" t="s">
        <v>934</v>
      </c>
      <c r="D479" s="89" t="s">
        <v>131</v>
      </c>
      <c r="E479" s="90">
        <v>6</v>
      </c>
      <c r="F479" s="91"/>
      <c r="G479" s="91"/>
      <c r="H479" s="91"/>
      <c r="I479" s="91">
        <f>SUM(G479:H479)+'BM 007'!I479</f>
        <v>0</v>
      </c>
      <c r="J479" s="91">
        <f t="shared" ref="J479:J542" si="204">E479-I479</f>
        <v>6</v>
      </c>
      <c r="K479" s="80">
        <v>9000</v>
      </c>
      <c r="L479" s="81">
        <f t="shared" si="203"/>
        <v>11408.40099</v>
      </c>
      <c r="M479" s="82">
        <f t="shared" si="198"/>
        <v>0</v>
      </c>
      <c r="N479" s="82">
        <f t="shared" si="199"/>
        <v>0</v>
      </c>
      <c r="O479" s="82">
        <f>N479+'BM 007'!O479</f>
        <v>0</v>
      </c>
      <c r="P479" s="80">
        <f t="shared" si="200"/>
        <v>54000</v>
      </c>
      <c r="Q479" s="82">
        <f t="shared" si="201"/>
        <v>68450.399999999994</v>
      </c>
      <c r="R479" s="82">
        <f t="shared" si="202"/>
        <v>68450.399999999994</v>
      </c>
    </row>
    <row r="480" spans="2:18" s="34" customFormat="1" ht="23.4">
      <c r="B480" s="87" t="s">
        <v>935</v>
      </c>
      <c r="C480" s="88" t="s">
        <v>936</v>
      </c>
      <c r="D480" s="89" t="s">
        <v>131</v>
      </c>
      <c r="E480" s="90">
        <v>1</v>
      </c>
      <c r="F480" s="91"/>
      <c r="G480" s="91"/>
      <c r="H480" s="91"/>
      <c r="I480" s="91">
        <f>SUM(G480:H480)+'BM 007'!I480</f>
        <v>0</v>
      </c>
      <c r="J480" s="91">
        <f t="shared" si="204"/>
        <v>1</v>
      </c>
      <c r="K480" s="80">
        <v>115000</v>
      </c>
      <c r="L480" s="81">
        <f t="shared" si="203"/>
        <v>145774.01265000002</v>
      </c>
      <c r="M480" s="82">
        <f t="shared" si="198"/>
        <v>0</v>
      </c>
      <c r="N480" s="82">
        <f t="shared" si="199"/>
        <v>0</v>
      </c>
      <c r="O480" s="82">
        <f>N480+'BM 007'!O480</f>
        <v>0</v>
      </c>
      <c r="P480" s="80">
        <f t="shared" si="200"/>
        <v>115000</v>
      </c>
      <c r="Q480" s="82">
        <f t="shared" si="201"/>
        <v>145774.01</v>
      </c>
      <c r="R480" s="82">
        <f t="shared" si="202"/>
        <v>145774.01</v>
      </c>
    </row>
    <row r="481" spans="2:18" s="34" customFormat="1" ht="13.2">
      <c r="B481" s="60" t="s">
        <v>937</v>
      </c>
      <c r="C481" s="61" t="s">
        <v>938</v>
      </c>
      <c r="D481" s="60"/>
      <c r="E481" s="62"/>
      <c r="F481" s="63"/>
      <c r="G481" s="63"/>
      <c r="H481" s="63"/>
      <c r="I481" s="63">
        <f>SUM(G481:H481)+'BM 007'!I481</f>
        <v>0</v>
      </c>
      <c r="J481" s="63">
        <f t="shared" si="204"/>
        <v>0</v>
      </c>
      <c r="K481" s="63"/>
      <c r="L481" s="63">
        <f t="shared" si="203"/>
        <v>0</v>
      </c>
      <c r="M481" s="63">
        <f t="shared" ref="M481:R481" si="205">SUM(M482,M487)</f>
        <v>0</v>
      </c>
      <c r="N481" s="63">
        <f t="shared" si="205"/>
        <v>0</v>
      </c>
      <c r="O481" s="63">
        <f t="shared" si="205"/>
        <v>0</v>
      </c>
      <c r="P481" s="63">
        <f t="shared" si="205"/>
        <v>198555.35149999999</v>
      </c>
      <c r="Q481" s="63">
        <f t="shared" si="205"/>
        <v>251688.67</v>
      </c>
      <c r="R481" s="63">
        <f t="shared" si="205"/>
        <v>251688.67</v>
      </c>
    </row>
    <row r="482" spans="2:18" s="34" customFormat="1" ht="13.2">
      <c r="B482" s="66" t="s">
        <v>939</v>
      </c>
      <c r="C482" s="67" t="s">
        <v>940</v>
      </c>
      <c r="D482" s="68"/>
      <c r="E482" s="69"/>
      <c r="F482" s="70"/>
      <c r="G482" s="70"/>
      <c r="H482" s="70"/>
      <c r="I482" s="70">
        <f>SUM(G482:H482)+'BM 007'!I482</f>
        <v>0</v>
      </c>
      <c r="J482" s="70">
        <f t="shared" si="204"/>
        <v>0</v>
      </c>
      <c r="K482" s="71"/>
      <c r="L482" s="71">
        <f t="shared" si="203"/>
        <v>0</v>
      </c>
      <c r="M482" s="73">
        <f t="shared" ref="M482:R482" si="206">SUM(M483:M486)</f>
        <v>0</v>
      </c>
      <c r="N482" s="73">
        <f t="shared" si="206"/>
        <v>0</v>
      </c>
      <c r="O482" s="73">
        <f t="shared" si="206"/>
        <v>0</v>
      </c>
      <c r="P482" s="73">
        <f t="shared" si="206"/>
        <v>157288.71</v>
      </c>
      <c r="Q482" s="73">
        <f t="shared" si="206"/>
        <v>199379.17</v>
      </c>
      <c r="R482" s="73">
        <f t="shared" si="206"/>
        <v>199379.17</v>
      </c>
    </row>
    <row r="483" spans="2:18" s="34" customFormat="1" ht="46.2">
      <c r="B483" s="75" t="s">
        <v>941</v>
      </c>
      <c r="C483" s="76" t="s">
        <v>942</v>
      </c>
      <c r="D483" s="77" t="s">
        <v>82</v>
      </c>
      <c r="E483" s="93">
        <v>546.20000000000005</v>
      </c>
      <c r="F483" s="79"/>
      <c r="G483" s="79"/>
      <c r="H483" s="79"/>
      <c r="I483" s="79">
        <f>SUM(G483:H483)+'BM 007'!I483</f>
        <v>0</v>
      </c>
      <c r="J483" s="79">
        <f t="shared" si="204"/>
        <v>546.20000000000005</v>
      </c>
      <c r="K483" s="84">
        <v>71.55</v>
      </c>
      <c r="L483" s="81">
        <f t="shared" si="203"/>
        <v>90.696787870500003</v>
      </c>
      <c r="M483" s="82">
        <f>TRUNC(F483*L483,2)</f>
        <v>0</v>
      </c>
      <c r="N483" s="82">
        <f>TRUNC(G483*L483,2)</f>
        <v>0</v>
      </c>
      <c r="O483" s="82">
        <f>N483+'BM 007'!O483</f>
        <v>0</v>
      </c>
      <c r="P483" s="80">
        <f>E483*K483</f>
        <v>39080.61</v>
      </c>
      <c r="Q483" s="82">
        <f>TRUNC(E483*L483,2)</f>
        <v>49538.58</v>
      </c>
      <c r="R483" s="82">
        <f>Q483-O483</f>
        <v>49538.58</v>
      </c>
    </row>
    <row r="484" spans="2:18" s="34" customFormat="1" ht="46.2">
      <c r="B484" s="75" t="s">
        <v>943</v>
      </c>
      <c r="C484" s="76" t="s">
        <v>944</v>
      </c>
      <c r="D484" s="77" t="s">
        <v>124</v>
      </c>
      <c r="E484" s="93">
        <v>314</v>
      </c>
      <c r="F484" s="79"/>
      <c r="G484" s="79"/>
      <c r="H484" s="79"/>
      <c r="I484" s="79">
        <f>SUM(G484:H484)+'BM 007'!I484</f>
        <v>0</v>
      </c>
      <c r="J484" s="79">
        <f t="shared" si="204"/>
        <v>314</v>
      </c>
      <c r="K484" s="84">
        <v>120.15</v>
      </c>
      <c r="L484" s="81">
        <f t="shared" si="203"/>
        <v>152.30215321650002</v>
      </c>
      <c r="M484" s="82">
        <f>TRUNC(F484*L484,2)</f>
        <v>0</v>
      </c>
      <c r="N484" s="82">
        <f>TRUNC(G484*L484,2)</f>
        <v>0</v>
      </c>
      <c r="O484" s="82">
        <f>N484+'BM 007'!O484</f>
        <v>0</v>
      </c>
      <c r="P484" s="80">
        <f>E484*K484</f>
        <v>37727.1</v>
      </c>
      <c r="Q484" s="82">
        <f>TRUNC(E484*L484,2)</f>
        <v>47822.87</v>
      </c>
      <c r="R484" s="82">
        <f>Q484-O484</f>
        <v>47822.87</v>
      </c>
    </row>
    <row r="485" spans="2:18" s="34" customFormat="1" ht="46.2">
      <c r="B485" s="75" t="s">
        <v>945</v>
      </c>
      <c r="C485" s="76" t="s">
        <v>946</v>
      </c>
      <c r="D485" s="77" t="s">
        <v>82</v>
      </c>
      <c r="E485" s="78">
        <v>36.700000000000003</v>
      </c>
      <c r="F485" s="79"/>
      <c r="G485" s="79"/>
      <c r="H485" s="79"/>
      <c r="I485" s="79">
        <f>SUM(G485:H485)+'BM 007'!I485</f>
        <v>0</v>
      </c>
      <c r="J485" s="79">
        <f t="shared" si="204"/>
        <v>36.700000000000003</v>
      </c>
      <c r="K485" s="84">
        <v>149.85</v>
      </c>
      <c r="L485" s="81">
        <f t="shared" si="203"/>
        <v>189.94987648349999</v>
      </c>
      <c r="M485" s="82">
        <f>TRUNC(F485*L485,2)</f>
        <v>0</v>
      </c>
      <c r="N485" s="82">
        <f>TRUNC(G485*L485,2)</f>
        <v>0</v>
      </c>
      <c r="O485" s="82">
        <f>N485+'BM 007'!O485</f>
        <v>0</v>
      </c>
      <c r="P485" s="80">
        <f>E485*K485</f>
        <v>5499.4949999999999</v>
      </c>
      <c r="Q485" s="82">
        <f>TRUNC(E485*L485,2)</f>
        <v>6971.16</v>
      </c>
      <c r="R485" s="82">
        <f>Q485-O485</f>
        <v>6971.16</v>
      </c>
    </row>
    <row r="486" spans="2:18" s="34" customFormat="1" ht="46.2">
      <c r="B486" s="75" t="s">
        <v>947</v>
      </c>
      <c r="C486" s="76" t="s">
        <v>948</v>
      </c>
      <c r="D486" s="77" t="s">
        <v>82</v>
      </c>
      <c r="E486" s="93">
        <v>180.5</v>
      </c>
      <c r="F486" s="79"/>
      <c r="G486" s="79"/>
      <c r="H486" s="79"/>
      <c r="I486" s="79">
        <f>SUM(G486:H486)+'BM 007'!I486</f>
        <v>0</v>
      </c>
      <c r="J486" s="79">
        <f t="shared" si="204"/>
        <v>180.5</v>
      </c>
      <c r="K486" s="84">
        <v>415.41</v>
      </c>
      <c r="L486" s="81">
        <f t="shared" si="203"/>
        <v>526.57376169510007</v>
      </c>
      <c r="M486" s="82">
        <f>TRUNC(F486*L486,2)</f>
        <v>0</v>
      </c>
      <c r="N486" s="82">
        <f>TRUNC(G486*L486,2)</f>
        <v>0</v>
      </c>
      <c r="O486" s="82">
        <f>N486+'BM 007'!O486</f>
        <v>0</v>
      </c>
      <c r="P486" s="80">
        <f>E486*K486</f>
        <v>74981.505000000005</v>
      </c>
      <c r="Q486" s="82">
        <f>TRUNC(E486*L486,2)</f>
        <v>95046.56</v>
      </c>
      <c r="R486" s="82">
        <f>Q486-O486</f>
        <v>95046.56</v>
      </c>
    </row>
    <row r="487" spans="2:18" s="34" customFormat="1" ht="13.2">
      <c r="B487" s="66" t="s">
        <v>949</v>
      </c>
      <c r="C487" s="67" t="s">
        <v>950</v>
      </c>
      <c r="D487" s="68"/>
      <c r="E487" s="69"/>
      <c r="F487" s="70"/>
      <c r="G487" s="70"/>
      <c r="H487" s="70"/>
      <c r="I487" s="70">
        <f>SUM(G487:H487)+'BM 007'!I487</f>
        <v>0</v>
      </c>
      <c r="J487" s="70">
        <f t="shared" si="204"/>
        <v>0</v>
      </c>
      <c r="K487" s="71"/>
      <c r="L487" s="71">
        <f t="shared" si="203"/>
        <v>0</v>
      </c>
      <c r="M487" s="73">
        <f t="shared" ref="M487:R487" si="207">SUM(M488:M506)</f>
        <v>0</v>
      </c>
      <c r="N487" s="73">
        <f t="shared" si="207"/>
        <v>0</v>
      </c>
      <c r="O487" s="73">
        <f t="shared" si="207"/>
        <v>0</v>
      </c>
      <c r="P487" s="73">
        <f t="shared" si="207"/>
        <v>41266.641499999998</v>
      </c>
      <c r="Q487" s="73">
        <f t="shared" si="207"/>
        <v>52309.5</v>
      </c>
      <c r="R487" s="73">
        <f t="shared" si="207"/>
        <v>52309.5</v>
      </c>
    </row>
    <row r="488" spans="2:18" s="34" customFormat="1" ht="34.799999999999997">
      <c r="B488" s="75" t="s">
        <v>951</v>
      </c>
      <c r="C488" s="76" t="s">
        <v>952</v>
      </c>
      <c r="D488" s="77" t="s">
        <v>131</v>
      </c>
      <c r="E488" s="78">
        <v>362</v>
      </c>
      <c r="F488" s="79"/>
      <c r="G488" s="79"/>
      <c r="H488" s="79"/>
      <c r="I488" s="79">
        <f>SUM(G488:H488)+'BM 007'!I488</f>
        <v>0</v>
      </c>
      <c r="J488" s="79">
        <f t="shared" si="204"/>
        <v>362</v>
      </c>
      <c r="K488" s="84">
        <v>5.6295000000000002</v>
      </c>
      <c r="L488" s="81">
        <f t="shared" si="203"/>
        <v>7.1359548192450006</v>
      </c>
      <c r="M488" s="82">
        <f t="shared" ref="M488:M506" si="208">TRUNC(F488*L488,2)</f>
        <v>0</v>
      </c>
      <c r="N488" s="82">
        <f t="shared" ref="N488:N506" si="209">TRUNC(G488*L488,2)</f>
        <v>0</v>
      </c>
      <c r="O488" s="82">
        <f>N488+'BM 007'!O488</f>
        <v>0</v>
      </c>
      <c r="P488" s="80">
        <f t="shared" ref="P488:P506" si="210">E488*K488</f>
        <v>2037.8790000000001</v>
      </c>
      <c r="Q488" s="82">
        <f t="shared" ref="Q488:Q506" si="211">TRUNC(E488*L488,2)</f>
        <v>2583.21</v>
      </c>
      <c r="R488" s="82">
        <f t="shared" ref="R488:R506" si="212">Q488-O488</f>
        <v>2583.21</v>
      </c>
    </row>
    <row r="489" spans="2:18" s="34" customFormat="1" ht="34.799999999999997">
      <c r="B489" s="75" t="s">
        <v>953</v>
      </c>
      <c r="C489" s="76" t="s">
        <v>954</v>
      </c>
      <c r="D489" s="77" t="s">
        <v>131</v>
      </c>
      <c r="E489" s="78">
        <v>41</v>
      </c>
      <c r="F489" s="79"/>
      <c r="G489" s="79"/>
      <c r="H489" s="79"/>
      <c r="I489" s="79">
        <f>SUM(G489:H489)+'BM 007'!I489</f>
        <v>0</v>
      </c>
      <c r="J489" s="79">
        <f t="shared" si="204"/>
        <v>41</v>
      </c>
      <c r="K489" s="84">
        <v>12.771000000000001</v>
      </c>
      <c r="L489" s="81">
        <f t="shared" si="203"/>
        <v>16.188521004810003</v>
      </c>
      <c r="M489" s="82">
        <f t="shared" si="208"/>
        <v>0</v>
      </c>
      <c r="N489" s="82">
        <f t="shared" si="209"/>
        <v>0</v>
      </c>
      <c r="O489" s="82">
        <f>N489+'BM 007'!O489</f>
        <v>0</v>
      </c>
      <c r="P489" s="80">
        <f t="shared" si="210"/>
        <v>523.61099999999999</v>
      </c>
      <c r="Q489" s="82">
        <f t="shared" si="211"/>
        <v>663.72</v>
      </c>
      <c r="R489" s="82">
        <f t="shared" si="212"/>
        <v>663.72</v>
      </c>
    </row>
    <row r="490" spans="2:18" s="34" customFormat="1" ht="34.799999999999997">
      <c r="B490" s="75" t="s">
        <v>955</v>
      </c>
      <c r="C490" s="76" t="s">
        <v>956</v>
      </c>
      <c r="D490" s="77" t="s">
        <v>131</v>
      </c>
      <c r="E490" s="78">
        <v>4</v>
      </c>
      <c r="F490" s="79"/>
      <c r="G490" s="79"/>
      <c r="H490" s="79"/>
      <c r="I490" s="79">
        <f>SUM(G490:H490)+'BM 007'!I490</f>
        <v>0</v>
      </c>
      <c r="J490" s="79">
        <f t="shared" si="204"/>
        <v>4</v>
      </c>
      <c r="K490" s="84">
        <v>20.358000000000001</v>
      </c>
      <c r="L490" s="81">
        <f t="shared" si="203"/>
        <v>25.805803039380002</v>
      </c>
      <c r="M490" s="82">
        <f t="shared" si="208"/>
        <v>0</v>
      </c>
      <c r="N490" s="82">
        <f t="shared" si="209"/>
        <v>0</v>
      </c>
      <c r="O490" s="82">
        <f>N490+'BM 007'!O490</f>
        <v>0</v>
      </c>
      <c r="P490" s="80">
        <f t="shared" si="210"/>
        <v>81.432000000000002</v>
      </c>
      <c r="Q490" s="82">
        <f t="shared" si="211"/>
        <v>103.22</v>
      </c>
      <c r="R490" s="82">
        <f t="shared" si="212"/>
        <v>103.22</v>
      </c>
    </row>
    <row r="491" spans="2:18" s="34" customFormat="1" ht="34.799999999999997">
      <c r="B491" s="75" t="s">
        <v>957</v>
      </c>
      <c r="C491" s="76" t="s">
        <v>958</v>
      </c>
      <c r="D491" s="77" t="s">
        <v>131</v>
      </c>
      <c r="E491" s="78">
        <v>12</v>
      </c>
      <c r="F491" s="79"/>
      <c r="G491" s="79"/>
      <c r="H491" s="79"/>
      <c r="I491" s="79">
        <f>SUM(G491:H491)+'BM 007'!I491</f>
        <v>0</v>
      </c>
      <c r="J491" s="79">
        <f t="shared" si="204"/>
        <v>12</v>
      </c>
      <c r="K491" s="84">
        <v>68.418000000000006</v>
      </c>
      <c r="L491" s="81">
        <f t="shared" si="203"/>
        <v>86.726664325980011</v>
      </c>
      <c r="M491" s="82">
        <f t="shared" si="208"/>
        <v>0</v>
      </c>
      <c r="N491" s="82">
        <f t="shared" si="209"/>
        <v>0</v>
      </c>
      <c r="O491" s="82">
        <f>N491+'BM 007'!O491</f>
        <v>0</v>
      </c>
      <c r="P491" s="80">
        <f t="shared" si="210"/>
        <v>821.01600000000008</v>
      </c>
      <c r="Q491" s="82">
        <f t="shared" si="211"/>
        <v>1040.71</v>
      </c>
      <c r="R491" s="82">
        <f t="shared" si="212"/>
        <v>1040.71</v>
      </c>
    </row>
    <row r="492" spans="2:18" s="34" customFormat="1" ht="46.2">
      <c r="B492" s="75" t="s">
        <v>959</v>
      </c>
      <c r="C492" s="76" t="s">
        <v>960</v>
      </c>
      <c r="D492" s="77" t="s">
        <v>131</v>
      </c>
      <c r="E492" s="78">
        <v>106</v>
      </c>
      <c r="F492" s="79"/>
      <c r="G492" s="79"/>
      <c r="H492" s="79"/>
      <c r="I492" s="79">
        <f>SUM(G492:H492)+'BM 007'!I492</f>
        <v>0</v>
      </c>
      <c r="J492" s="79">
        <f t="shared" si="204"/>
        <v>106</v>
      </c>
      <c r="K492" s="84">
        <v>20.52</v>
      </c>
      <c r="L492" s="81">
        <f t="shared" si="203"/>
        <v>26.011154257200001</v>
      </c>
      <c r="M492" s="82">
        <f t="shared" si="208"/>
        <v>0</v>
      </c>
      <c r="N492" s="82">
        <f t="shared" si="209"/>
        <v>0</v>
      </c>
      <c r="O492" s="82">
        <f>N492+'BM 007'!O492</f>
        <v>0</v>
      </c>
      <c r="P492" s="80">
        <f t="shared" si="210"/>
        <v>2175.12</v>
      </c>
      <c r="Q492" s="82">
        <f t="shared" si="211"/>
        <v>2757.18</v>
      </c>
      <c r="R492" s="82">
        <f t="shared" si="212"/>
        <v>2757.18</v>
      </c>
    </row>
    <row r="493" spans="2:18" s="34" customFormat="1" ht="46.2">
      <c r="B493" s="75" t="s">
        <v>961</v>
      </c>
      <c r="C493" s="76" t="s">
        <v>962</v>
      </c>
      <c r="D493" s="77" t="s">
        <v>131</v>
      </c>
      <c r="E493" s="78">
        <v>14</v>
      </c>
      <c r="F493" s="79"/>
      <c r="G493" s="79"/>
      <c r="H493" s="79"/>
      <c r="I493" s="79">
        <f>SUM(G493:H493)+'BM 007'!I493</f>
        <v>0</v>
      </c>
      <c r="J493" s="79">
        <f t="shared" si="204"/>
        <v>14</v>
      </c>
      <c r="K493" s="84">
        <v>11.4885</v>
      </c>
      <c r="L493" s="81">
        <f t="shared" si="203"/>
        <v>14.562823863735002</v>
      </c>
      <c r="M493" s="82">
        <f t="shared" si="208"/>
        <v>0</v>
      </c>
      <c r="N493" s="82">
        <f t="shared" si="209"/>
        <v>0</v>
      </c>
      <c r="O493" s="82">
        <f>N493+'BM 007'!O493</f>
        <v>0</v>
      </c>
      <c r="P493" s="80">
        <f t="shared" si="210"/>
        <v>160.839</v>
      </c>
      <c r="Q493" s="82">
        <f t="shared" si="211"/>
        <v>203.87</v>
      </c>
      <c r="R493" s="82">
        <f t="shared" si="212"/>
        <v>203.87</v>
      </c>
    </row>
    <row r="494" spans="2:18" s="34" customFormat="1" ht="46.2">
      <c r="B494" s="75" t="s">
        <v>963</v>
      </c>
      <c r="C494" s="76" t="s">
        <v>964</v>
      </c>
      <c r="D494" s="77" t="s">
        <v>131</v>
      </c>
      <c r="E494" s="78">
        <v>6</v>
      </c>
      <c r="F494" s="79"/>
      <c r="G494" s="79"/>
      <c r="H494" s="79"/>
      <c r="I494" s="79">
        <f>SUM(G494:H494)+'BM 007'!I494</f>
        <v>0</v>
      </c>
      <c r="J494" s="79">
        <f t="shared" si="204"/>
        <v>6</v>
      </c>
      <c r="K494" s="84">
        <v>13.432499999999999</v>
      </c>
      <c r="L494" s="81">
        <f t="shared" si="203"/>
        <v>17.027038477575001</v>
      </c>
      <c r="M494" s="82">
        <f t="shared" si="208"/>
        <v>0</v>
      </c>
      <c r="N494" s="82">
        <f t="shared" si="209"/>
        <v>0</v>
      </c>
      <c r="O494" s="82">
        <f>N494+'BM 007'!O494</f>
        <v>0</v>
      </c>
      <c r="P494" s="80">
        <f t="shared" si="210"/>
        <v>80.594999999999999</v>
      </c>
      <c r="Q494" s="82">
        <f t="shared" si="211"/>
        <v>102.16</v>
      </c>
      <c r="R494" s="82">
        <f t="shared" si="212"/>
        <v>102.16</v>
      </c>
    </row>
    <row r="495" spans="2:18" s="34" customFormat="1" ht="23.4">
      <c r="B495" s="75" t="s">
        <v>965</v>
      </c>
      <c r="C495" s="76" t="s">
        <v>966</v>
      </c>
      <c r="D495" s="77" t="s">
        <v>131</v>
      </c>
      <c r="E495" s="78">
        <v>3</v>
      </c>
      <c r="F495" s="79"/>
      <c r="G495" s="79"/>
      <c r="H495" s="79"/>
      <c r="I495" s="79">
        <f>SUM(G495:H495)+'BM 007'!I495</f>
        <v>0</v>
      </c>
      <c r="J495" s="79">
        <f t="shared" si="204"/>
        <v>3</v>
      </c>
      <c r="K495" s="84">
        <v>42.214500000000001</v>
      </c>
      <c r="L495" s="81">
        <f t="shared" si="203"/>
        <v>53.511104843595007</v>
      </c>
      <c r="M495" s="82">
        <f t="shared" si="208"/>
        <v>0</v>
      </c>
      <c r="N495" s="82">
        <f t="shared" si="209"/>
        <v>0</v>
      </c>
      <c r="O495" s="82">
        <f>N495+'BM 007'!O495</f>
        <v>0</v>
      </c>
      <c r="P495" s="80">
        <f t="shared" si="210"/>
        <v>126.6435</v>
      </c>
      <c r="Q495" s="82">
        <f t="shared" si="211"/>
        <v>160.53</v>
      </c>
      <c r="R495" s="82">
        <f t="shared" si="212"/>
        <v>160.53</v>
      </c>
    </row>
    <row r="496" spans="2:18" s="34" customFormat="1" ht="34.799999999999997">
      <c r="B496" s="75" t="s">
        <v>967</v>
      </c>
      <c r="C496" s="76" t="s">
        <v>968</v>
      </c>
      <c r="D496" s="77" t="s">
        <v>131</v>
      </c>
      <c r="E496" s="78">
        <v>51</v>
      </c>
      <c r="F496" s="79"/>
      <c r="G496" s="79"/>
      <c r="H496" s="79"/>
      <c r="I496" s="79">
        <f>SUM(G496:H496)+'BM 007'!I496</f>
        <v>0</v>
      </c>
      <c r="J496" s="79">
        <f t="shared" si="204"/>
        <v>51</v>
      </c>
      <c r="K496" s="84">
        <v>15.1335</v>
      </c>
      <c r="L496" s="81">
        <f t="shared" si="203"/>
        <v>19.183226264685</v>
      </c>
      <c r="M496" s="82">
        <f t="shared" si="208"/>
        <v>0</v>
      </c>
      <c r="N496" s="82">
        <f t="shared" si="209"/>
        <v>0</v>
      </c>
      <c r="O496" s="82">
        <f>N496+'BM 007'!O496</f>
        <v>0</v>
      </c>
      <c r="P496" s="80">
        <f t="shared" si="210"/>
        <v>771.80849999999998</v>
      </c>
      <c r="Q496" s="82">
        <f t="shared" si="211"/>
        <v>978.34</v>
      </c>
      <c r="R496" s="82">
        <f t="shared" si="212"/>
        <v>978.34</v>
      </c>
    </row>
    <row r="497" spans="2:18" s="34" customFormat="1" ht="34.799999999999997">
      <c r="B497" s="75" t="s">
        <v>969</v>
      </c>
      <c r="C497" s="76" t="s">
        <v>970</v>
      </c>
      <c r="D497" s="77" t="s">
        <v>131</v>
      </c>
      <c r="E497" s="78">
        <v>8</v>
      </c>
      <c r="F497" s="79"/>
      <c r="G497" s="79"/>
      <c r="H497" s="79"/>
      <c r="I497" s="79">
        <f>SUM(G497:H497)+'BM 007'!I497</f>
        <v>0</v>
      </c>
      <c r="J497" s="79">
        <f t="shared" si="204"/>
        <v>8</v>
      </c>
      <c r="K497" s="84">
        <v>23.638500000000001</v>
      </c>
      <c r="L497" s="81">
        <f t="shared" si="203"/>
        <v>29.964165200235001</v>
      </c>
      <c r="M497" s="82">
        <f t="shared" si="208"/>
        <v>0</v>
      </c>
      <c r="N497" s="82">
        <f t="shared" si="209"/>
        <v>0</v>
      </c>
      <c r="O497" s="82">
        <f>N497+'BM 007'!O497</f>
        <v>0</v>
      </c>
      <c r="P497" s="80">
        <f t="shared" si="210"/>
        <v>189.108</v>
      </c>
      <c r="Q497" s="82">
        <f t="shared" si="211"/>
        <v>239.71</v>
      </c>
      <c r="R497" s="82">
        <f t="shared" si="212"/>
        <v>239.71</v>
      </c>
    </row>
    <row r="498" spans="2:18" s="34" customFormat="1" ht="34.799999999999997">
      <c r="B498" s="75" t="s">
        <v>971</v>
      </c>
      <c r="C498" s="76" t="s">
        <v>972</v>
      </c>
      <c r="D498" s="77" t="s">
        <v>131</v>
      </c>
      <c r="E498" s="78">
        <v>3</v>
      </c>
      <c r="F498" s="79"/>
      <c r="G498" s="79"/>
      <c r="H498" s="79"/>
      <c r="I498" s="79">
        <f>SUM(G498:H498)+'BM 007'!I498</f>
        <v>0</v>
      </c>
      <c r="J498" s="79">
        <f t="shared" si="204"/>
        <v>3</v>
      </c>
      <c r="K498" s="84">
        <v>32.656500000000001</v>
      </c>
      <c r="L498" s="81">
        <f t="shared" si="203"/>
        <v>41.395382992215005</v>
      </c>
      <c r="M498" s="82">
        <f t="shared" si="208"/>
        <v>0</v>
      </c>
      <c r="N498" s="82">
        <f t="shared" si="209"/>
        <v>0</v>
      </c>
      <c r="O498" s="82">
        <f>N498+'BM 007'!O498</f>
        <v>0</v>
      </c>
      <c r="P498" s="80">
        <f t="shared" si="210"/>
        <v>97.969500000000011</v>
      </c>
      <c r="Q498" s="82">
        <f t="shared" si="211"/>
        <v>124.18</v>
      </c>
      <c r="R498" s="82">
        <f t="shared" si="212"/>
        <v>124.18</v>
      </c>
    </row>
    <row r="499" spans="2:18" s="34" customFormat="1" ht="23.4">
      <c r="B499" s="75" t="s">
        <v>973</v>
      </c>
      <c r="C499" s="76" t="s">
        <v>974</v>
      </c>
      <c r="D499" s="77" t="s">
        <v>131</v>
      </c>
      <c r="E499" s="78">
        <v>14</v>
      </c>
      <c r="F499" s="79"/>
      <c r="G499" s="79"/>
      <c r="H499" s="79"/>
      <c r="I499" s="79">
        <f>SUM(G499:H499)+'BM 007'!I499</f>
        <v>0</v>
      </c>
      <c r="J499" s="79">
        <f t="shared" si="204"/>
        <v>14</v>
      </c>
      <c r="K499" s="84">
        <v>24.003</v>
      </c>
      <c r="L499" s="81">
        <f t="shared" si="203"/>
        <v>30.426205440330001</v>
      </c>
      <c r="M499" s="82">
        <f t="shared" si="208"/>
        <v>0</v>
      </c>
      <c r="N499" s="82">
        <f t="shared" si="209"/>
        <v>0</v>
      </c>
      <c r="O499" s="82">
        <f>N499+'BM 007'!O499</f>
        <v>0</v>
      </c>
      <c r="P499" s="80">
        <f t="shared" si="210"/>
        <v>336.04200000000003</v>
      </c>
      <c r="Q499" s="82">
        <f t="shared" si="211"/>
        <v>425.96</v>
      </c>
      <c r="R499" s="82">
        <f t="shared" si="212"/>
        <v>425.96</v>
      </c>
    </row>
    <row r="500" spans="2:18" s="34" customFormat="1" ht="23.4">
      <c r="B500" s="75" t="s">
        <v>975</v>
      </c>
      <c r="C500" s="76" t="s">
        <v>976</v>
      </c>
      <c r="D500" s="77" t="s">
        <v>131</v>
      </c>
      <c r="E500" s="78">
        <v>47</v>
      </c>
      <c r="F500" s="79"/>
      <c r="G500" s="79"/>
      <c r="H500" s="79"/>
      <c r="I500" s="79">
        <f>SUM(G500:H500)+'BM 007'!I500</f>
        <v>0</v>
      </c>
      <c r="J500" s="79">
        <f t="shared" si="204"/>
        <v>47</v>
      </c>
      <c r="K500" s="84">
        <v>54.7425</v>
      </c>
      <c r="L500" s="81">
        <f t="shared" si="203"/>
        <v>69.391599021675006</v>
      </c>
      <c r="M500" s="82">
        <f t="shared" si="208"/>
        <v>0</v>
      </c>
      <c r="N500" s="82">
        <f t="shared" si="209"/>
        <v>0</v>
      </c>
      <c r="O500" s="82">
        <f>N500+'BM 007'!O500</f>
        <v>0</v>
      </c>
      <c r="P500" s="80">
        <f t="shared" si="210"/>
        <v>2572.8975</v>
      </c>
      <c r="Q500" s="82">
        <f t="shared" si="211"/>
        <v>3261.4</v>
      </c>
      <c r="R500" s="82">
        <f t="shared" si="212"/>
        <v>3261.4</v>
      </c>
    </row>
    <row r="501" spans="2:18" s="34" customFormat="1" ht="23.4">
      <c r="B501" s="75" t="s">
        <v>977</v>
      </c>
      <c r="C501" s="76" t="s">
        <v>978</v>
      </c>
      <c r="D501" s="77" t="s">
        <v>131</v>
      </c>
      <c r="E501" s="78">
        <v>3</v>
      </c>
      <c r="F501" s="79"/>
      <c r="G501" s="79"/>
      <c r="H501" s="79"/>
      <c r="I501" s="79">
        <f>SUM(G501:H501)+'BM 007'!I501</f>
        <v>0</v>
      </c>
      <c r="J501" s="79">
        <f t="shared" si="204"/>
        <v>3</v>
      </c>
      <c r="K501" s="84">
        <v>79.393500000000003</v>
      </c>
      <c r="L501" s="81">
        <f t="shared" si="203"/>
        <v>100.63920933328501</v>
      </c>
      <c r="M501" s="82">
        <f t="shared" si="208"/>
        <v>0</v>
      </c>
      <c r="N501" s="82">
        <f t="shared" si="209"/>
        <v>0</v>
      </c>
      <c r="O501" s="82">
        <f>N501+'BM 007'!O501</f>
        <v>0</v>
      </c>
      <c r="P501" s="80">
        <f t="shared" si="210"/>
        <v>238.18049999999999</v>
      </c>
      <c r="Q501" s="82">
        <f t="shared" si="211"/>
        <v>301.91000000000003</v>
      </c>
      <c r="R501" s="82">
        <f t="shared" si="212"/>
        <v>301.91000000000003</v>
      </c>
    </row>
    <row r="502" spans="2:18" s="34" customFormat="1" ht="34.799999999999997">
      <c r="B502" s="75" t="s">
        <v>979</v>
      </c>
      <c r="C502" s="76" t="s">
        <v>980</v>
      </c>
      <c r="D502" s="77" t="s">
        <v>131</v>
      </c>
      <c r="E502" s="78">
        <v>3</v>
      </c>
      <c r="F502" s="79"/>
      <c r="G502" s="79"/>
      <c r="H502" s="79"/>
      <c r="I502" s="79">
        <f>SUM(G502:H502)+'BM 007'!I502</f>
        <v>0</v>
      </c>
      <c r="J502" s="79">
        <f t="shared" si="204"/>
        <v>3</v>
      </c>
      <c r="K502" s="84">
        <v>634.5</v>
      </c>
      <c r="L502" s="81">
        <f t="shared" si="203"/>
        <v>804.29226979500004</v>
      </c>
      <c r="M502" s="82">
        <f t="shared" si="208"/>
        <v>0</v>
      </c>
      <c r="N502" s="82">
        <f t="shared" si="209"/>
        <v>0</v>
      </c>
      <c r="O502" s="82">
        <f>N502+'BM 007'!O502</f>
        <v>0</v>
      </c>
      <c r="P502" s="80">
        <f t="shared" si="210"/>
        <v>1903.5</v>
      </c>
      <c r="Q502" s="82">
        <f t="shared" si="211"/>
        <v>2412.87</v>
      </c>
      <c r="R502" s="82">
        <f t="shared" si="212"/>
        <v>2412.87</v>
      </c>
    </row>
    <row r="503" spans="2:18" s="34" customFormat="1" ht="23.4">
      <c r="B503" s="75" t="s">
        <v>981</v>
      </c>
      <c r="C503" s="76" t="s">
        <v>982</v>
      </c>
      <c r="D503" s="77" t="s">
        <v>131</v>
      </c>
      <c r="E503" s="78">
        <v>6</v>
      </c>
      <c r="F503" s="79"/>
      <c r="G503" s="79"/>
      <c r="H503" s="79"/>
      <c r="I503" s="79">
        <f>SUM(G503:H503)+'BM 007'!I503</f>
        <v>0</v>
      </c>
      <c r="J503" s="79">
        <f t="shared" si="204"/>
        <v>6</v>
      </c>
      <c r="K503" s="84">
        <v>985</v>
      </c>
      <c r="L503" s="81">
        <f t="shared" si="203"/>
        <v>1248.5861083500001</v>
      </c>
      <c r="M503" s="82">
        <f t="shared" si="208"/>
        <v>0</v>
      </c>
      <c r="N503" s="82">
        <f t="shared" si="209"/>
        <v>0</v>
      </c>
      <c r="O503" s="82">
        <f>N503+'BM 007'!O503</f>
        <v>0</v>
      </c>
      <c r="P503" s="80">
        <f t="shared" si="210"/>
        <v>5910</v>
      </c>
      <c r="Q503" s="82">
        <f t="shared" si="211"/>
        <v>7491.51</v>
      </c>
      <c r="R503" s="82">
        <f t="shared" si="212"/>
        <v>7491.51</v>
      </c>
    </row>
    <row r="504" spans="2:18" s="34" customFormat="1" ht="23.4">
      <c r="B504" s="75" t="s">
        <v>983</v>
      </c>
      <c r="C504" s="76" t="s">
        <v>984</v>
      </c>
      <c r="D504" s="77" t="s">
        <v>131</v>
      </c>
      <c r="E504" s="78">
        <v>6</v>
      </c>
      <c r="F504" s="79"/>
      <c r="G504" s="79"/>
      <c r="H504" s="79"/>
      <c r="I504" s="79">
        <f>SUM(G504:H504)+'BM 007'!I504</f>
        <v>0</v>
      </c>
      <c r="J504" s="79">
        <f t="shared" si="204"/>
        <v>6</v>
      </c>
      <c r="K504" s="84">
        <v>895</v>
      </c>
      <c r="L504" s="81">
        <f t="shared" si="203"/>
        <v>1134.5020984499999</v>
      </c>
      <c r="M504" s="82">
        <f t="shared" si="208"/>
        <v>0</v>
      </c>
      <c r="N504" s="82">
        <f t="shared" si="209"/>
        <v>0</v>
      </c>
      <c r="O504" s="82">
        <f>N504+'BM 007'!O504</f>
        <v>0</v>
      </c>
      <c r="P504" s="80">
        <f t="shared" si="210"/>
        <v>5370</v>
      </c>
      <c r="Q504" s="82">
        <f t="shared" si="211"/>
        <v>6807.01</v>
      </c>
      <c r="R504" s="82">
        <f t="shared" si="212"/>
        <v>6807.01</v>
      </c>
    </row>
    <row r="505" spans="2:18" s="34" customFormat="1" ht="23.4">
      <c r="B505" s="75" t="s">
        <v>985</v>
      </c>
      <c r="C505" s="76" t="s">
        <v>986</v>
      </c>
      <c r="D505" s="77" t="s">
        <v>131</v>
      </c>
      <c r="E505" s="78">
        <v>6</v>
      </c>
      <c r="F505" s="79"/>
      <c r="G505" s="79"/>
      <c r="H505" s="79"/>
      <c r="I505" s="79">
        <f>SUM(G505:H505)+'BM 007'!I505</f>
        <v>0</v>
      </c>
      <c r="J505" s="79">
        <f t="shared" si="204"/>
        <v>6</v>
      </c>
      <c r="K505" s="84">
        <v>895</v>
      </c>
      <c r="L505" s="81">
        <f t="shared" si="203"/>
        <v>1134.5020984499999</v>
      </c>
      <c r="M505" s="82">
        <f t="shared" si="208"/>
        <v>0</v>
      </c>
      <c r="N505" s="82">
        <f t="shared" si="209"/>
        <v>0</v>
      </c>
      <c r="O505" s="82">
        <f>N505+'BM 007'!O505</f>
        <v>0</v>
      </c>
      <c r="P505" s="80">
        <f t="shared" si="210"/>
        <v>5370</v>
      </c>
      <c r="Q505" s="82">
        <f t="shared" si="211"/>
        <v>6807.01</v>
      </c>
      <c r="R505" s="82">
        <f t="shared" si="212"/>
        <v>6807.01</v>
      </c>
    </row>
    <row r="506" spans="2:18" s="34" customFormat="1" ht="34.799999999999997">
      <c r="B506" s="75" t="s">
        <v>987</v>
      </c>
      <c r="C506" s="76" t="s">
        <v>988</v>
      </c>
      <c r="D506" s="77" t="s">
        <v>131</v>
      </c>
      <c r="E506" s="78">
        <v>20</v>
      </c>
      <c r="F506" s="79"/>
      <c r="G506" s="79"/>
      <c r="H506" s="79"/>
      <c r="I506" s="79">
        <f>SUM(G506:H506)+'BM 007'!I506</f>
        <v>0</v>
      </c>
      <c r="J506" s="79">
        <f t="shared" si="204"/>
        <v>20</v>
      </c>
      <c r="K506" s="84">
        <v>625</v>
      </c>
      <c r="L506" s="81">
        <f t="shared" si="203"/>
        <v>792.25006875000008</v>
      </c>
      <c r="M506" s="82">
        <f t="shared" si="208"/>
        <v>0</v>
      </c>
      <c r="N506" s="82">
        <f t="shared" si="209"/>
        <v>0</v>
      </c>
      <c r="O506" s="82">
        <f>N506+'BM 007'!O506</f>
        <v>0</v>
      </c>
      <c r="P506" s="80">
        <f t="shared" si="210"/>
        <v>12500</v>
      </c>
      <c r="Q506" s="82">
        <f t="shared" si="211"/>
        <v>15845</v>
      </c>
      <c r="R506" s="82">
        <f t="shared" si="212"/>
        <v>15845</v>
      </c>
    </row>
    <row r="507" spans="2:18" s="34" customFormat="1" ht="13.2">
      <c r="B507" s="60" t="s">
        <v>989</v>
      </c>
      <c r="C507" s="61" t="s">
        <v>990</v>
      </c>
      <c r="D507" s="60"/>
      <c r="E507" s="62"/>
      <c r="F507" s="63"/>
      <c r="G507" s="63"/>
      <c r="H507" s="63"/>
      <c r="I507" s="63">
        <f>SUM(G507:H507)+'BM 007'!I507</f>
        <v>0</v>
      </c>
      <c r="J507" s="63">
        <f t="shared" si="204"/>
        <v>0</v>
      </c>
      <c r="K507" s="63"/>
      <c r="L507" s="63">
        <f t="shared" si="203"/>
        <v>0</v>
      </c>
      <c r="M507" s="63">
        <f t="shared" ref="M507:R507" si="213">SUM(M508,M520,M552,M554)</f>
        <v>0</v>
      </c>
      <c r="N507" s="63">
        <f t="shared" si="213"/>
        <v>0</v>
      </c>
      <c r="O507" s="63">
        <f t="shared" si="213"/>
        <v>1262.51</v>
      </c>
      <c r="P507" s="63">
        <f t="shared" si="213"/>
        <v>248226.55</v>
      </c>
      <c r="Q507" s="63">
        <f t="shared" si="213"/>
        <v>314651.83</v>
      </c>
      <c r="R507" s="63">
        <f t="shared" si="213"/>
        <v>313389.32</v>
      </c>
    </row>
    <row r="508" spans="2:18" s="34" customFormat="1" ht="13.2">
      <c r="B508" s="66" t="s">
        <v>991</v>
      </c>
      <c r="C508" s="67" t="s">
        <v>992</v>
      </c>
      <c r="D508" s="68"/>
      <c r="E508" s="69"/>
      <c r="F508" s="70"/>
      <c r="G508" s="70"/>
      <c r="H508" s="70"/>
      <c r="I508" s="70">
        <f>SUM(G508:H508)+'BM 007'!I508</f>
        <v>0</v>
      </c>
      <c r="J508" s="70">
        <f t="shared" si="204"/>
        <v>0</v>
      </c>
      <c r="K508" s="71"/>
      <c r="L508" s="71">
        <f t="shared" si="203"/>
        <v>0</v>
      </c>
      <c r="M508" s="73">
        <f t="shared" ref="M508:R508" si="214">SUM(M509:M519)</f>
        <v>0</v>
      </c>
      <c r="N508" s="73">
        <f t="shared" si="214"/>
        <v>0</v>
      </c>
      <c r="O508" s="73">
        <f t="shared" si="214"/>
        <v>836.61</v>
      </c>
      <c r="P508" s="73">
        <f t="shared" si="214"/>
        <v>96780</v>
      </c>
      <c r="Q508" s="73">
        <f t="shared" si="214"/>
        <v>122678.3</v>
      </c>
      <c r="R508" s="73">
        <f t="shared" si="214"/>
        <v>121841.69</v>
      </c>
    </row>
    <row r="509" spans="2:18" s="34" customFormat="1" ht="23.4">
      <c r="B509" s="75" t="s">
        <v>993</v>
      </c>
      <c r="C509" s="76" t="s">
        <v>994</v>
      </c>
      <c r="D509" s="77" t="s">
        <v>124</v>
      </c>
      <c r="E509" s="93">
        <v>300</v>
      </c>
      <c r="F509" s="79"/>
      <c r="G509" s="79"/>
      <c r="H509" s="79"/>
      <c r="I509" s="79">
        <f>SUM(G509:H509)+'BM 007'!I509</f>
        <v>0</v>
      </c>
      <c r="J509" s="79">
        <f t="shared" si="204"/>
        <v>300</v>
      </c>
      <c r="K509" s="84">
        <v>18</v>
      </c>
      <c r="L509" s="81">
        <f t="shared" si="203"/>
        <v>22.816801980000001</v>
      </c>
      <c r="M509" s="82">
        <f t="shared" ref="M509:M519" si="215">TRUNC(F509*L509,2)</f>
        <v>0</v>
      </c>
      <c r="N509" s="82">
        <f t="shared" ref="N509:N519" si="216">TRUNC(G509*L509,2)</f>
        <v>0</v>
      </c>
      <c r="O509" s="82">
        <f>N509+'BM 007'!O509</f>
        <v>0</v>
      </c>
      <c r="P509" s="80">
        <f t="shared" ref="P509:P519" si="217">E509*K509</f>
        <v>5400</v>
      </c>
      <c r="Q509" s="82">
        <f t="shared" ref="Q509:Q519" si="218">TRUNC(E509*L509,2)</f>
        <v>6845.04</v>
      </c>
      <c r="R509" s="82">
        <f t="shared" ref="R509:R519" si="219">Q509-O509</f>
        <v>6845.04</v>
      </c>
    </row>
    <row r="510" spans="2:18" s="34" customFormat="1" ht="34.799999999999997">
      <c r="B510" s="75" t="s">
        <v>995</v>
      </c>
      <c r="C510" s="76" t="s">
        <v>996</v>
      </c>
      <c r="D510" s="77" t="s">
        <v>390</v>
      </c>
      <c r="E510" s="93">
        <v>60</v>
      </c>
      <c r="F510" s="79"/>
      <c r="G510" s="79"/>
      <c r="H510" s="79"/>
      <c r="I510" s="79">
        <f>SUM(G510:H510)+'BM 007'!I510</f>
        <v>0</v>
      </c>
      <c r="J510" s="79">
        <f t="shared" si="204"/>
        <v>60</v>
      </c>
      <c r="K510" s="84">
        <v>39</v>
      </c>
      <c r="L510" s="81">
        <f t="shared" si="203"/>
        <v>49.436404289999999</v>
      </c>
      <c r="M510" s="82">
        <f t="shared" si="215"/>
        <v>0</v>
      </c>
      <c r="N510" s="82">
        <f t="shared" si="216"/>
        <v>0</v>
      </c>
      <c r="O510" s="82">
        <f>N510+'BM 007'!O510</f>
        <v>0</v>
      </c>
      <c r="P510" s="80">
        <f t="shared" si="217"/>
        <v>2340</v>
      </c>
      <c r="Q510" s="82">
        <f t="shared" si="218"/>
        <v>2966.18</v>
      </c>
      <c r="R510" s="82">
        <f t="shared" si="219"/>
        <v>2966.18</v>
      </c>
    </row>
    <row r="511" spans="2:18" s="34" customFormat="1" ht="13.2">
      <c r="B511" s="75" t="s">
        <v>997</v>
      </c>
      <c r="C511" s="76" t="s">
        <v>998</v>
      </c>
      <c r="D511" s="77" t="s">
        <v>390</v>
      </c>
      <c r="E511" s="93">
        <v>60</v>
      </c>
      <c r="F511" s="79"/>
      <c r="G511" s="79"/>
      <c r="H511" s="79"/>
      <c r="I511" s="79">
        <f>SUM(G511:H511)+'BM 007'!I511</f>
        <v>0</v>
      </c>
      <c r="J511" s="79">
        <f t="shared" si="204"/>
        <v>60</v>
      </c>
      <c r="K511" s="84">
        <v>18</v>
      </c>
      <c r="L511" s="81">
        <f t="shared" si="203"/>
        <v>22.816801980000001</v>
      </c>
      <c r="M511" s="82">
        <f t="shared" si="215"/>
        <v>0</v>
      </c>
      <c r="N511" s="82">
        <f t="shared" si="216"/>
        <v>0</v>
      </c>
      <c r="O511" s="82">
        <f>N511+'BM 007'!O511</f>
        <v>0</v>
      </c>
      <c r="P511" s="80">
        <f t="shared" si="217"/>
        <v>1080</v>
      </c>
      <c r="Q511" s="82">
        <f t="shared" si="218"/>
        <v>1369</v>
      </c>
      <c r="R511" s="82">
        <f t="shared" si="219"/>
        <v>1369</v>
      </c>
    </row>
    <row r="512" spans="2:18" s="34" customFormat="1" ht="46.2">
      <c r="B512" s="75" t="s">
        <v>999</v>
      </c>
      <c r="C512" s="76" t="s">
        <v>1000</v>
      </c>
      <c r="D512" s="77" t="s">
        <v>124</v>
      </c>
      <c r="E512" s="93">
        <v>210</v>
      </c>
      <c r="F512" s="79"/>
      <c r="G512" s="79"/>
      <c r="H512" s="79"/>
      <c r="I512" s="79">
        <f>SUM(G512:H512)+'BM 007'!I512</f>
        <v>0</v>
      </c>
      <c r="J512" s="79">
        <f t="shared" si="204"/>
        <v>210</v>
      </c>
      <c r="K512" s="84">
        <v>40</v>
      </c>
      <c r="L512" s="81">
        <f t="shared" si="203"/>
        <v>50.704004400000002</v>
      </c>
      <c r="M512" s="82">
        <f t="shared" si="215"/>
        <v>0</v>
      </c>
      <c r="N512" s="82">
        <f t="shared" si="216"/>
        <v>0</v>
      </c>
      <c r="O512" s="82">
        <f>N512+'BM 007'!O512</f>
        <v>0</v>
      </c>
      <c r="P512" s="80">
        <f t="shared" si="217"/>
        <v>8400</v>
      </c>
      <c r="Q512" s="82">
        <f t="shared" si="218"/>
        <v>10647.84</v>
      </c>
      <c r="R512" s="82">
        <f t="shared" si="219"/>
        <v>10647.84</v>
      </c>
    </row>
    <row r="513" spans="2:18" s="34" customFormat="1" ht="46.2">
      <c r="B513" s="75" t="s">
        <v>1001</v>
      </c>
      <c r="C513" s="76" t="s">
        <v>1002</v>
      </c>
      <c r="D513" s="77" t="s">
        <v>124</v>
      </c>
      <c r="E513" s="93">
        <v>120</v>
      </c>
      <c r="F513" s="79"/>
      <c r="G513" s="79"/>
      <c r="H513" s="79"/>
      <c r="I513" s="79">
        <f>SUM(G513:H513)+'BM 007'!I513</f>
        <v>0</v>
      </c>
      <c r="J513" s="79">
        <f t="shared" si="204"/>
        <v>120</v>
      </c>
      <c r="K513" s="84">
        <v>75</v>
      </c>
      <c r="L513" s="81">
        <f t="shared" si="203"/>
        <v>95.070008250000001</v>
      </c>
      <c r="M513" s="82">
        <f t="shared" si="215"/>
        <v>0</v>
      </c>
      <c r="N513" s="82">
        <f t="shared" si="216"/>
        <v>0</v>
      </c>
      <c r="O513" s="82">
        <f>N513+'BM 007'!O513</f>
        <v>0</v>
      </c>
      <c r="P513" s="80">
        <f t="shared" si="217"/>
        <v>9000</v>
      </c>
      <c r="Q513" s="82">
        <f t="shared" si="218"/>
        <v>11408.4</v>
      </c>
      <c r="R513" s="82">
        <f t="shared" si="219"/>
        <v>11408.4</v>
      </c>
    </row>
    <row r="514" spans="2:18" s="34" customFormat="1" ht="46.2">
      <c r="B514" s="75" t="s">
        <v>1003</v>
      </c>
      <c r="C514" s="76" t="s">
        <v>1004</v>
      </c>
      <c r="D514" s="77" t="s">
        <v>124</v>
      </c>
      <c r="E514" s="93">
        <v>36</v>
      </c>
      <c r="F514" s="79"/>
      <c r="G514" s="79"/>
      <c r="H514" s="79"/>
      <c r="I514" s="79">
        <f>SUM(G514:H514)+'BM 007'!I514</f>
        <v>0</v>
      </c>
      <c r="J514" s="79">
        <f t="shared" si="204"/>
        <v>36</v>
      </c>
      <c r="K514" s="84">
        <v>130</v>
      </c>
      <c r="L514" s="81">
        <f t="shared" si="203"/>
        <v>164.78801430000001</v>
      </c>
      <c r="M514" s="82">
        <f t="shared" si="215"/>
        <v>0</v>
      </c>
      <c r="N514" s="82">
        <f t="shared" si="216"/>
        <v>0</v>
      </c>
      <c r="O514" s="82">
        <f>N514+'BM 007'!O514</f>
        <v>0</v>
      </c>
      <c r="P514" s="80">
        <f t="shared" si="217"/>
        <v>4680</v>
      </c>
      <c r="Q514" s="82">
        <f t="shared" si="218"/>
        <v>5932.36</v>
      </c>
      <c r="R514" s="82">
        <f t="shared" si="219"/>
        <v>5932.36</v>
      </c>
    </row>
    <row r="515" spans="2:18" s="34" customFormat="1" ht="46.2">
      <c r="B515" s="75" t="s">
        <v>1005</v>
      </c>
      <c r="C515" s="76" t="s">
        <v>1006</v>
      </c>
      <c r="D515" s="77" t="s">
        <v>124</v>
      </c>
      <c r="E515" s="93">
        <v>36</v>
      </c>
      <c r="F515" s="79"/>
      <c r="G515" s="79"/>
      <c r="H515" s="79"/>
      <c r="I515" s="79">
        <f>SUM(G515:H515)+'BM 007'!I515</f>
        <v>0</v>
      </c>
      <c r="J515" s="79">
        <f t="shared" si="204"/>
        <v>36</v>
      </c>
      <c r="K515" s="84">
        <v>180</v>
      </c>
      <c r="L515" s="81">
        <f t="shared" si="203"/>
        <v>228.16801980000002</v>
      </c>
      <c r="M515" s="82">
        <f t="shared" si="215"/>
        <v>0</v>
      </c>
      <c r="N515" s="82">
        <f t="shared" si="216"/>
        <v>0</v>
      </c>
      <c r="O515" s="82">
        <f>N515+'BM 007'!O515</f>
        <v>0</v>
      </c>
      <c r="P515" s="80">
        <f t="shared" si="217"/>
        <v>6480</v>
      </c>
      <c r="Q515" s="82">
        <f t="shared" si="218"/>
        <v>8214.0400000000009</v>
      </c>
      <c r="R515" s="82">
        <f t="shared" si="219"/>
        <v>8214.0400000000009</v>
      </c>
    </row>
    <row r="516" spans="2:18" s="34" customFormat="1" ht="46.2">
      <c r="B516" s="75" t="s">
        <v>1007</v>
      </c>
      <c r="C516" s="76" t="s">
        <v>1008</v>
      </c>
      <c r="D516" s="77" t="s">
        <v>124</v>
      </c>
      <c r="E516" s="93">
        <v>120</v>
      </c>
      <c r="F516" s="79"/>
      <c r="G516" s="79"/>
      <c r="H516" s="79"/>
      <c r="I516" s="79">
        <f>SUM(G516:H516)+'BM 007'!I516</f>
        <v>6</v>
      </c>
      <c r="J516" s="79">
        <f t="shared" si="204"/>
        <v>114</v>
      </c>
      <c r="K516" s="84">
        <v>110</v>
      </c>
      <c r="L516" s="81">
        <f t="shared" si="203"/>
        <v>139.4360121</v>
      </c>
      <c r="M516" s="82">
        <f t="shared" si="215"/>
        <v>0</v>
      </c>
      <c r="N516" s="82">
        <f t="shared" si="216"/>
        <v>0</v>
      </c>
      <c r="O516" s="82">
        <f>N516+'BM 007'!O516</f>
        <v>836.61</v>
      </c>
      <c r="P516" s="80">
        <f t="shared" si="217"/>
        <v>13200</v>
      </c>
      <c r="Q516" s="82">
        <f t="shared" si="218"/>
        <v>16732.32</v>
      </c>
      <c r="R516" s="82">
        <f t="shared" si="219"/>
        <v>15895.71</v>
      </c>
    </row>
    <row r="517" spans="2:18" s="34" customFormat="1" ht="46.2">
      <c r="B517" s="75" t="s">
        <v>1009</v>
      </c>
      <c r="C517" s="76" t="s">
        <v>1010</v>
      </c>
      <c r="D517" s="77" t="s">
        <v>124</v>
      </c>
      <c r="E517" s="93">
        <v>120</v>
      </c>
      <c r="F517" s="79"/>
      <c r="G517" s="79"/>
      <c r="H517" s="79"/>
      <c r="I517" s="79">
        <f>SUM(G517:H517)+'BM 007'!I517</f>
        <v>0</v>
      </c>
      <c r="J517" s="79">
        <f t="shared" si="204"/>
        <v>120</v>
      </c>
      <c r="K517" s="84">
        <v>50</v>
      </c>
      <c r="L517" s="81">
        <f t="shared" si="203"/>
        <v>63.380005500000003</v>
      </c>
      <c r="M517" s="82">
        <f t="shared" si="215"/>
        <v>0</v>
      </c>
      <c r="N517" s="82">
        <f t="shared" si="216"/>
        <v>0</v>
      </c>
      <c r="O517" s="82">
        <f>N517+'BM 007'!O517</f>
        <v>0</v>
      </c>
      <c r="P517" s="80">
        <f t="shared" si="217"/>
        <v>6000</v>
      </c>
      <c r="Q517" s="82">
        <f t="shared" si="218"/>
        <v>7605.6</v>
      </c>
      <c r="R517" s="82">
        <f t="shared" si="219"/>
        <v>7605.6</v>
      </c>
    </row>
    <row r="518" spans="2:18" s="34" customFormat="1" ht="46.2">
      <c r="B518" s="75" t="s">
        <v>1011</v>
      </c>
      <c r="C518" s="76" t="s">
        <v>1012</v>
      </c>
      <c r="D518" s="77" t="s">
        <v>124</v>
      </c>
      <c r="E518" s="93">
        <v>120</v>
      </c>
      <c r="F518" s="79"/>
      <c r="G518" s="79"/>
      <c r="H518" s="79"/>
      <c r="I518" s="79">
        <f>SUM(G518:H518)+'BM 007'!I518</f>
        <v>0</v>
      </c>
      <c r="J518" s="79">
        <f t="shared" si="204"/>
        <v>120</v>
      </c>
      <c r="K518" s="84">
        <v>60</v>
      </c>
      <c r="L518" s="81">
        <f t="shared" si="203"/>
        <v>76.056006600000003</v>
      </c>
      <c r="M518" s="82">
        <f t="shared" si="215"/>
        <v>0</v>
      </c>
      <c r="N518" s="82">
        <f t="shared" si="216"/>
        <v>0</v>
      </c>
      <c r="O518" s="82">
        <f>N518+'BM 007'!O518</f>
        <v>0</v>
      </c>
      <c r="P518" s="80">
        <f t="shared" si="217"/>
        <v>7200</v>
      </c>
      <c r="Q518" s="82">
        <f t="shared" si="218"/>
        <v>9126.7199999999993</v>
      </c>
      <c r="R518" s="82">
        <f t="shared" si="219"/>
        <v>9126.7199999999993</v>
      </c>
    </row>
    <row r="519" spans="2:18" s="34" customFormat="1" ht="57.6">
      <c r="B519" s="75" t="s">
        <v>1013</v>
      </c>
      <c r="C519" s="76" t="s">
        <v>1014</v>
      </c>
      <c r="D519" s="77" t="s">
        <v>124</v>
      </c>
      <c r="E519" s="78">
        <v>300</v>
      </c>
      <c r="F519" s="79"/>
      <c r="G519" s="79"/>
      <c r="H519" s="79"/>
      <c r="I519" s="79">
        <f>SUM(G519:H519)+'BM 007'!I519</f>
        <v>0</v>
      </c>
      <c r="J519" s="79">
        <f t="shared" si="204"/>
        <v>300</v>
      </c>
      <c r="K519" s="84">
        <v>110</v>
      </c>
      <c r="L519" s="81">
        <f t="shared" si="203"/>
        <v>139.4360121</v>
      </c>
      <c r="M519" s="82">
        <f t="shared" si="215"/>
        <v>0</v>
      </c>
      <c r="N519" s="82">
        <f t="shared" si="216"/>
        <v>0</v>
      </c>
      <c r="O519" s="82">
        <f>N519+'BM 007'!O519</f>
        <v>0</v>
      </c>
      <c r="P519" s="80">
        <f t="shared" si="217"/>
        <v>33000</v>
      </c>
      <c r="Q519" s="82">
        <f t="shared" si="218"/>
        <v>41830.800000000003</v>
      </c>
      <c r="R519" s="82">
        <f t="shared" si="219"/>
        <v>41830.800000000003</v>
      </c>
    </row>
    <row r="520" spans="2:18" s="34" customFormat="1" ht="24">
      <c r="B520" s="66" t="s">
        <v>1015</v>
      </c>
      <c r="C520" s="67" t="s">
        <v>1016</v>
      </c>
      <c r="D520" s="68"/>
      <c r="E520" s="69"/>
      <c r="F520" s="70"/>
      <c r="G520" s="70"/>
      <c r="H520" s="70"/>
      <c r="I520" s="70">
        <f>SUM(G520:H520)+'BM 007'!I520</f>
        <v>0</v>
      </c>
      <c r="J520" s="70">
        <f t="shared" si="204"/>
        <v>0</v>
      </c>
      <c r="K520" s="71"/>
      <c r="L520" s="71">
        <f t="shared" si="203"/>
        <v>0</v>
      </c>
      <c r="M520" s="73">
        <f t="shared" ref="M520:R520" si="220">SUM(M521:M551)</f>
        <v>0</v>
      </c>
      <c r="N520" s="73">
        <f t="shared" si="220"/>
        <v>0</v>
      </c>
      <c r="O520" s="73">
        <f t="shared" si="220"/>
        <v>425.9</v>
      </c>
      <c r="P520" s="73">
        <f t="shared" si="220"/>
        <v>88676.55</v>
      </c>
      <c r="Q520" s="73">
        <f t="shared" si="220"/>
        <v>112406.29000000001</v>
      </c>
      <c r="R520" s="73">
        <f t="shared" si="220"/>
        <v>111980.38999999998</v>
      </c>
    </row>
    <row r="521" spans="2:18" s="34" customFormat="1" ht="46.2">
      <c r="B521" s="75" t="s">
        <v>1017</v>
      </c>
      <c r="C521" s="76" t="s">
        <v>1018</v>
      </c>
      <c r="D521" s="77" t="s">
        <v>39</v>
      </c>
      <c r="E521" s="78">
        <v>10</v>
      </c>
      <c r="F521" s="79"/>
      <c r="G521" s="79"/>
      <c r="H521" s="79"/>
      <c r="I521" s="79">
        <f>SUM(G521:H521)+'BM 007'!I521</f>
        <v>1</v>
      </c>
      <c r="J521" s="79">
        <f t="shared" si="204"/>
        <v>9</v>
      </c>
      <c r="K521" s="84">
        <v>198</v>
      </c>
      <c r="L521" s="81">
        <f t="shared" si="203"/>
        <v>250.98482178</v>
      </c>
      <c r="M521" s="82">
        <f t="shared" ref="M521:M551" si="221">TRUNC(F521*L521,2)</f>
        <v>0</v>
      </c>
      <c r="N521" s="82">
        <f t="shared" ref="N521:N551" si="222">TRUNC(G521*L521,2)</f>
        <v>0</v>
      </c>
      <c r="O521" s="82">
        <f>N521+'BM 007'!O521</f>
        <v>250.98</v>
      </c>
      <c r="P521" s="80">
        <f t="shared" ref="P521:P551" si="223">E521*K521</f>
        <v>1980</v>
      </c>
      <c r="Q521" s="82">
        <f t="shared" ref="Q521:Q551" si="224">TRUNC(E521*L521,2)</f>
        <v>2509.84</v>
      </c>
      <c r="R521" s="82">
        <f t="shared" ref="R521:R551" si="225">Q521-O521</f>
        <v>2258.86</v>
      </c>
    </row>
    <row r="522" spans="2:18" s="34" customFormat="1" ht="46.2">
      <c r="B522" s="75" t="s">
        <v>1019</v>
      </c>
      <c r="C522" s="76" t="s">
        <v>1020</v>
      </c>
      <c r="D522" s="77" t="s">
        <v>39</v>
      </c>
      <c r="E522" s="78">
        <v>173</v>
      </c>
      <c r="F522" s="79"/>
      <c r="G522" s="79"/>
      <c r="H522" s="79"/>
      <c r="I522" s="79">
        <f>SUM(G522:H522)+'BM 007'!I522</f>
        <v>0</v>
      </c>
      <c r="J522" s="79">
        <f t="shared" si="204"/>
        <v>173</v>
      </c>
      <c r="K522" s="84">
        <v>18</v>
      </c>
      <c r="L522" s="81">
        <f t="shared" si="203"/>
        <v>22.816801980000001</v>
      </c>
      <c r="M522" s="82">
        <f t="shared" si="221"/>
        <v>0</v>
      </c>
      <c r="N522" s="82">
        <f t="shared" si="222"/>
        <v>0</v>
      </c>
      <c r="O522" s="82">
        <f>N522+'BM 007'!O522</f>
        <v>0</v>
      </c>
      <c r="P522" s="80">
        <f t="shared" si="223"/>
        <v>3114</v>
      </c>
      <c r="Q522" s="82">
        <f t="shared" si="224"/>
        <v>3947.3</v>
      </c>
      <c r="R522" s="82">
        <f t="shared" si="225"/>
        <v>3947.3</v>
      </c>
    </row>
    <row r="523" spans="2:18" s="34" customFormat="1" ht="46.2">
      <c r="B523" s="75" t="s">
        <v>1021</v>
      </c>
      <c r="C523" s="76" t="s">
        <v>1022</v>
      </c>
      <c r="D523" s="77" t="s">
        <v>39</v>
      </c>
      <c r="E523" s="78">
        <v>7</v>
      </c>
      <c r="F523" s="79"/>
      <c r="G523" s="79"/>
      <c r="H523" s="79"/>
      <c r="I523" s="79">
        <f>SUM(G523:H523)+'BM 007'!I523</f>
        <v>0</v>
      </c>
      <c r="J523" s="79">
        <f t="shared" si="204"/>
        <v>7</v>
      </c>
      <c r="K523" s="84">
        <v>69</v>
      </c>
      <c r="L523" s="81">
        <f t="shared" si="203"/>
        <v>87.464407590000008</v>
      </c>
      <c r="M523" s="82">
        <f t="shared" si="221"/>
        <v>0</v>
      </c>
      <c r="N523" s="82">
        <f t="shared" si="222"/>
        <v>0</v>
      </c>
      <c r="O523" s="82">
        <f>N523+'BM 007'!O523</f>
        <v>0</v>
      </c>
      <c r="P523" s="80">
        <f t="shared" si="223"/>
        <v>483</v>
      </c>
      <c r="Q523" s="82">
        <f t="shared" si="224"/>
        <v>612.25</v>
      </c>
      <c r="R523" s="82">
        <f t="shared" si="225"/>
        <v>612.25</v>
      </c>
    </row>
    <row r="524" spans="2:18" s="34" customFormat="1" ht="46.2">
      <c r="B524" s="75" t="s">
        <v>1023</v>
      </c>
      <c r="C524" s="76" t="s">
        <v>1024</v>
      </c>
      <c r="D524" s="77" t="s">
        <v>39</v>
      </c>
      <c r="E524" s="78">
        <v>30</v>
      </c>
      <c r="F524" s="79"/>
      <c r="G524" s="79"/>
      <c r="H524" s="79"/>
      <c r="I524" s="79">
        <f>SUM(G524:H524)+'BM 007'!I524</f>
        <v>0</v>
      </c>
      <c r="J524" s="79">
        <f t="shared" si="204"/>
        <v>30</v>
      </c>
      <c r="K524" s="84">
        <v>94.65</v>
      </c>
      <c r="L524" s="81">
        <f t="shared" si="203"/>
        <v>119.97835041150002</v>
      </c>
      <c r="M524" s="82">
        <f t="shared" si="221"/>
        <v>0</v>
      </c>
      <c r="N524" s="82">
        <f t="shared" si="222"/>
        <v>0</v>
      </c>
      <c r="O524" s="82">
        <f>N524+'BM 007'!O524</f>
        <v>0</v>
      </c>
      <c r="P524" s="80">
        <f t="shared" si="223"/>
        <v>2839.5</v>
      </c>
      <c r="Q524" s="82">
        <f t="shared" si="224"/>
        <v>3599.35</v>
      </c>
      <c r="R524" s="82">
        <f t="shared" si="225"/>
        <v>3599.35</v>
      </c>
    </row>
    <row r="525" spans="2:18" s="34" customFormat="1" ht="46.2">
      <c r="B525" s="75" t="s">
        <v>1025</v>
      </c>
      <c r="C525" s="76" t="s">
        <v>1026</v>
      </c>
      <c r="D525" s="77" t="s">
        <v>39</v>
      </c>
      <c r="E525" s="78">
        <v>40</v>
      </c>
      <c r="F525" s="79"/>
      <c r="G525" s="79"/>
      <c r="H525" s="79"/>
      <c r="I525" s="79">
        <f>SUM(G525:H525)+'BM 007'!I525</f>
        <v>0</v>
      </c>
      <c r="J525" s="79">
        <f t="shared" si="204"/>
        <v>40</v>
      </c>
      <c r="K525" s="84">
        <v>60.11</v>
      </c>
      <c r="L525" s="81">
        <f t="shared" si="203"/>
        <v>76.19544261210001</v>
      </c>
      <c r="M525" s="82">
        <f t="shared" si="221"/>
        <v>0</v>
      </c>
      <c r="N525" s="82">
        <f t="shared" si="222"/>
        <v>0</v>
      </c>
      <c r="O525" s="82">
        <f>N525+'BM 007'!O525</f>
        <v>0</v>
      </c>
      <c r="P525" s="80">
        <f t="shared" si="223"/>
        <v>2404.4</v>
      </c>
      <c r="Q525" s="82">
        <f t="shared" si="224"/>
        <v>3047.81</v>
      </c>
      <c r="R525" s="82">
        <f t="shared" si="225"/>
        <v>3047.81</v>
      </c>
    </row>
    <row r="526" spans="2:18" s="34" customFormat="1" ht="46.2">
      <c r="B526" s="75" t="s">
        <v>1027</v>
      </c>
      <c r="C526" s="76" t="s">
        <v>1028</v>
      </c>
      <c r="D526" s="77" t="s">
        <v>39</v>
      </c>
      <c r="E526" s="78">
        <v>50</v>
      </c>
      <c r="F526" s="79"/>
      <c r="G526" s="79"/>
      <c r="H526" s="79"/>
      <c r="I526" s="79">
        <f>SUM(G526:H526)+'BM 007'!I526</f>
        <v>0</v>
      </c>
      <c r="J526" s="79">
        <f t="shared" si="204"/>
        <v>50</v>
      </c>
      <c r="K526" s="84">
        <v>36.9</v>
      </c>
      <c r="L526" s="81">
        <f t="shared" si="203"/>
        <v>46.774444058999997</v>
      </c>
      <c r="M526" s="82">
        <f t="shared" si="221"/>
        <v>0</v>
      </c>
      <c r="N526" s="82">
        <f t="shared" si="222"/>
        <v>0</v>
      </c>
      <c r="O526" s="82">
        <f>N526+'BM 007'!O526</f>
        <v>0</v>
      </c>
      <c r="P526" s="80">
        <f t="shared" si="223"/>
        <v>1845</v>
      </c>
      <c r="Q526" s="82">
        <f t="shared" si="224"/>
        <v>2338.7199999999998</v>
      </c>
      <c r="R526" s="82">
        <f t="shared" si="225"/>
        <v>2338.7199999999998</v>
      </c>
    </row>
    <row r="527" spans="2:18" s="34" customFormat="1" ht="46.2">
      <c r="B527" s="75" t="s">
        <v>1029</v>
      </c>
      <c r="C527" s="76" t="s">
        <v>1030</v>
      </c>
      <c r="D527" s="77" t="s">
        <v>39</v>
      </c>
      <c r="E527" s="78">
        <v>50</v>
      </c>
      <c r="F527" s="79"/>
      <c r="G527" s="79"/>
      <c r="H527" s="79"/>
      <c r="I527" s="79">
        <f>SUM(G527:H527)+'BM 007'!I527</f>
        <v>0</v>
      </c>
      <c r="J527" s="79">
        <f t="shared" si="204"/>
        <v>50</v>
      </c>
      <c r="K527" s="84">
        <v>42.56</v>
      </c>
      <c r="L527" s="81">
        <f t="shared" si="203"/>
        <v>53.949060681600002</v>
      </c>
      <c r="M527" s="82">
        <f t="shared" si="221"/>
        <v>0</v>
      </c>
      <c r="N527" s="82">
        <f t="shared" si="222"/>
        <v>0</v>
      </c>
      <c r="O527" s="82">
        <f>N527+'BM 007'!O527</f>
        <v>0</v>
      </c>
      <c r="P527" s="80">
        <f t="shared" si="223"/>
        <v>2128</v>
      </c>
      <c r="Q527" s="82">
        <f t="shared" si="224"/>
        <v>2697.45</v>
      </c>
      <c r="R527" s="82">
        <f t="shared" si="225"/>
        <v>2697.45</v>
      </c>
    </row>
    <row r="528" spans="2:18" s="34" customFormat="1" ht="34.799999999999997">
      <c r="B528" s="75" t="s">
        <v>1031</v>
      </c>
      <c r="C528" s="76" t="s">
        <v>1032</v>
      </c>
      <c r="D528" s="77" t="s">
        <v>39</v>
      </c>
      <c r="E528" s="78">
        <v>20</v>
      </c>
      <c r="F528" s="79"/>
      <c r="G528" s="79"/>
      <c r="H528" s="79"/>
      <c r="I528" s="79">
        <f>SUM(G528:H528)+'BM 007'!I528</f>
        <v>0</v>
      </c>
      <c r="J528" s="79">
        <f t="shared" si="204"/>
        <v>20</v>
      </c>
      <c r="K528" s="84">
        <v>78.33</v>
      </c>
      <c r="L528" s="81">
        <f t="shared" si="203"/>
        <v>99.291116616300002</v>
      </c>
      <c r="M528" s="82">
        <f t="shared" si="221"/>
        <v>0</v>
      </c>
      <c r="N528" s="82">
        <f t="shared" si="222"/>
        <v>0</v>
      </c>
      <c r="O528" s="82">
        <f>N528+'BM 007'!O528</f>
        <v>0</v>
      </c>
      <c r="P528" s="80">
        <f t="shared" si="223"/>
        <v>1566.6</v>
      </c>
      <c r="Q528" s="82">
        <f t="shared" si="224"/>
        <v>1985.82</v>
      </c>
      <c r="R528" s="82">
        <f t="shared" si="225"/>
        <v>1985.82</v>
      </c>
    </row>
    <row r="529" spans="2:18" s="34" customFormat="1" ht="34.799999999999997">
      <c r="B529" s="75" t="s">
        <v>1033</v>
      </c>
      <c r="C529" s="76" t="s">
        <v>1034</v>
      </c>
      <c r="D529" s="77" t="s">
        <v>39</v>
      </c>
      <c r="E529" s="78">
        <v>10</v>
      </c>
      <c r="F529" s="79"/>
      <c r="G529" s="79"/>
      <c r="H529" s="79"/>
      <c r="I529" s="79">
        <f>SUM(G529:H529)+'BM 007'!I529</f>
        <v>0</v>
      </c>
      <c r="J529" s="79">
        <f t="shared" si="204"/>
        <v>10</v>
      </c>
      <c r="K529" s="84">
        <v>95</v>
      </c>
      <c r="L529" s="81">
        <f t="shared" si="203"/>
        <v>120.42201045</v>
      </c>
      <c r="M529" s="82">
        <f t="shared" si="221"/>
        <v>0</v>
      </c>
      <c r="N529" s="82">
        <f t="shared" si="222"/>
        <v>0</v>
      </c>
      <c r="O529" s="82">
        <f>N529+'BM 007'!O529</f>
        <v>0</v>
      </c>
      <c r="P529" s="80">
        <f t="shared" si="223"/>
        <v>950</v>
      </c>
      <c r="Q529" s="82">
        <f t="shared" si="224"/>
        <v>1204.22</v>
      </c>
      <c r="R529" s="82">
        <f t="shared" si="225"/>
        <v>1204.22</v>
      </c>
    </row>
    <row r="530" spans="2:18" s="34" customFormat="1" ht="34.799999999999997">
      <c r="B530" s="75" t="s">
        <v>1035</v>
      </c>
      <c r="C530" s="76" t="s">
        <v>1036</v>
      </c>
      <c r="D530" s="77" t="s">
        <v>39</v>
      </c>
      <c r="E530" s="78">
        <v>10</v>
      </c>
      <c r="F530" s="79"/>
      <c r="G530" s="79"/>
      <c r="H530" s="79"/>
      <c r="I530" s="79">
        <f>SUM(G530:H530)+'BM 007'!I530</f>
        <v>0</v>
      </c>
      <c r="J530" s="79">
        <f t="shared" si="204"/>
        <v>10</v>
      </c>
      <c r="K530" s="84">
        <v>128</v>
      </c>
      <c r="L530" s="81">
        <f t="shared" si="203"/>
        <v>162.25281408000001</v>
      </c>
      <c r="M530" s="82">
        <f t="shared" si="221"/>
        <v>0</v>
      </c>
      <c r="N530" s="82">
        <f t="shared" si="222"/>
        <v>0</v>
      </c>
      <c r="O530" s="82">
        <f>N530+'BM 007'!O530</f>
        <v>0</v>
      </c>
      <c r="P530" s="80">
        <f t="shared" si="223"/>
        <v>1280</v>
      </c>
      <c r="Q530" s="82">
        <f t="shared" si="224"/>
        <v>1622.52</v>
      </c>
      <c r="R530" s="82">
        <f t="shared" si="225"/>
        <v>1622.52</v>
      </c>
    </row>
    <row r="531" spans="2:18" s="34" customFormat="1" ht="23.4">
      <c r="B531" s="75" t="s">
        <v>1037</v>
      </c>
      <c r="C531" s="76" t="s">
        <v>1038</v>
      </c>
      <c r="D531" s="77" t="s">
        <v>39</v>
      </c>
      <c r="E531" s="78">
        <v>173</v>
      </c>
      <c r="F531" s="79"/>
      <c r="G531" s="79"/>
      <c r="H531" s="79"/>
      <c r="I531" s="79">
        <f>SUM(G531:H531)+'BM 007'!I531</f>
        <v>0</v>
      </c>
      <c r="J531" s="79">
        <f t="shared" si="204"/>
        <v>173</v>
      </c>
      <c r="K531" s="84">
        <v>60</v>
      </c>
      <c r="L531" s="81">
        <f t="shared" si="203"/>
        <v>76.056006600000003</v>
      </c>
      <c r="M531" s="82">
        <f t="shared" si="221"/>
        <v>0</v>
      </c>
      <c r="N531" s="82">
        <f t="shared" si="222"/>
        <v>0</v>
      </c>
      <c r="O531" s="82">
        <f>N531+'BM 007'!O531</f>
        <v>0</v>
      </c>
      <c r="P531" s="80">
        <f t="shared" si="223"/>
        <v>10380</v>
      </c>
      <c r="Q531" s="82">
        <f t="shared" si="224"/>
        <v>13157.68</v>
      </c>
      <c r="R531" s="82">
        <f t="shared" si="225"/>
        <v>13157.68</v>
      </c>
    </row>
    <row r="532" spans="2:18" s="34" customFormat="1" ht="46.2">
      <c r="B532" s="75" t="s">
        <v>1039</v>
      </c>
      <c r="C532" s="76" t="s">
        <v>1040</v>
      </c>
      <c r="D532" s="77" t="s">
        <v>39</v>
      </c>
      <c r="E532" s="78">
        <v>20</v>
      </c>
      <c r="F532" s="79"/>
      <c r="G532" s="79"/>
      <c r="H532" s="79"/>
      <c r="I532" s="79">
        <f>SUM(G532:H532)+'BM 007'!I532</f>
        <v>0</v>
      </c>
      <c r="J532" s="79">
        <f t="shared" si="204"/>
        <v>20</v>
      </c>
      <c r="K532" s="84">
        <v>85</v>
      </c>
      <c r="L532" s="81">
        <f t="shared" si="203"/>
        <v>107.74600935000001</v>
      </c>
      <c r="M532" s="82">
        <f t="shared" si="221"/>
        <v>0</v>
      </c>
      <c r="N532" s="82">
        <f t="shared" si="222"/>
        <v>0</v>
      </c>
      <c r="O532" s="82">
        <f>N532+'BM 007'!O532</f>
        <v>0</v>
      </c>
      <c r="P532" s="80">
        <f t="shared" si="223"/>
        <v>1700</v>
      </c>
      <c r="Q532" s="82">
        <f t="shared" si="224"/>
        <v>2154.92</v>
      </c>
      <c r="R532" s="82">
        <f t="shared" si="225"/>
        <v>2154.92</v>
      </c>
    </row>
    <row r="533" spans="2:18" s="34" customFormat="1" ht="46.2">
      <c r="B533" s="75" t="s">
        <v>1041</v>
      </c>
      <c r="C533" s="76" t="s">
        <v>1042</v>
      </c>
      <c r="D533" s="77" t="s">
        <v>39</v>
      </c>
      <c r="E533" s="78">
        <v>6</v>
      </c>
      <c r="F533" s="79"/>
      <c r="G533" s="79"/>
      <c r="H533" s="79"/>
      <c r="I533" s="79">
        <f>SUM(G533:H533)+'BM 007'!I533</f>
        <v>0</v>
      </c>
      <c r="J533" s="79">
        <f t="shared" si="204"/>
        <v>6</v>
      </c>
      <c r="K533" s="84">
        <v>285</v>
      </c>
      <c r="L533" s="81">
        <f t="shared" si="203"/>
        <v>361.26603134999999</v>
      </c>
      <c r="M533" s="82">
        <f t="shared" si="221"/>
        <v>0</v>
      </c>
      <c r="N533" s="82">
        <f t="shared" si="222"/>
        <v>0</v>
      </c>
      <c r="O533" s="82">
        <f>N533+'BM 007'!O533</f>
        <v>0</v>
      </c>
      <c r="P533" s="80">
        <f t="shared" si="223"/>
        <v>1710</v>
      </c>
      <c r="Q533" s="82">
        <f t="shared" si="224"/>
        <v>2167.59</v>
      </c>
      <c r="R533" s="82">
        <f t="shared" si="225"/>
        <v>2167.59</v>
      </c>
    </row>
    <row r="534" spans="2:18" s="34" customFormat="1" ht="34.799999999999997">
      <c r="B534" s="75" t="s">
        <v>1043</v>
      </c>
      <c r="C534" s="76" t="s">
        <v>1044</v>
      </c>
      <c r="D534" s="77" t="s">
        <v>39</v>
      </c>
      <c r="E534" s="78">
        <v>20</v>
      </c>
      <c r="F534" s="79"/>
      <c r="G534" s="79"/>
      <c r="H534" s="79"/>
      <c r="I534" s="79">
        <f>SUM(G534:H534)+'BM 007'!I534</f>
        <v>0</v>
      </c>
      <c r="J534" s="79">
        <f t="shared" si="204"/>
        <v>20</v>
      </c>
      <c r="K534" s="84">
        <v>38</v>
      </c>
      <c r="L534" s="81">
        <f t="shared" si="203"/>
        <v>48.168804180000002</v>
      </c>
      <c r="M534" s="82">
        <f t="shared" si="221"/>
        <v>0</v>
      </c>
      <c r="N534" s="82">
        <f t="shared" si="222"/>
        <v>0</v>
      </c>
      <c r="O534" s="82">
        <f>N534+'BM 007'!O534</f>
        <v>0</v>
      </c>
      <c r="P534" s="80">
        <f t="shared" si="223"/>
        <v>760</v>
      </c>
      <c r="Q534" s="82">
        <f t="shared" si="224"/>
        <v>963.37</v>
      </c>
      <c r="R534" s="82">
        <f t="shared" si="225"/>
        <v>963.37</v>
      </c>
    </row>
    <row r="535" spans="2:18" s="34" customFormat="1" ht="34.799999999999997">
      <c r="B535" s="75" t="s">
        <v>1045</v>
      </c>
      <c r="C535" s="76" t="s">
        <v>1046</v>
      </c>
      <c r="D535" s="77" t="s">
        <v>39</v>
      </c>
      <c r="E535" s="78">
        <v>10</v>
      </c>
      <c r="F535" s="79"/>
      <c r="G535" s="79"/>
      <c r="H535" s="79"/>
      <c r="I535" s="79">
        <f>SUM(G535:H535)+'BM 007'!I535</f>
        <v>0</v>
      </c>
      <c r="J535" s="79">
        <f t="shared" si="204"/>
        <v>10</v>
      </c>
      <c r="K535" s="84">
        <v>118</v>
      </c>
      <c r="L535" s="81">
        <f t="shared" si="203"/>
        <v>149.57681298</v>
      </c>
      <c r="M535" s="82">
        <f t="shared" si="221"/>
        <v>0</v>
      </c>
      <c r="N535" s="82">
        <f t="shared" si="222"/>
        <v>0</v>
      </c>
      <c r="O535" s="82">
        <f>N535+'BM 007'!O535</f>
        <v>0</v>
      </c>
      <c r="P535" s="80">
        <f t="shared" si="223"/>
        <v>1180</v>
      </c>
      <c r="Q535" s="82">
        <f t="shared" si="224"/>
        <v>1495.76</v>
      </c>
      <c r="R535" s="82">
        <f t="shared" si="225"/>
        <v>1495.76</v>
      </c>
    </row>
    <row r="536" spans="2:18" s="34" customFormat="1" ht="23.4">
      <c r="B536" s="75" t="s">
        <v>1047</v>
      </c>
      <c r="C536" s="76" t="s">
        <v>1048</v>
      </c>
      <c r="D536" s="77" t="s">
        <v>39</v>
      </c>
      <c r="E536" s="78">
        <v>10</v>
      </c>
      <c r="F536" s="79"/>
      <c r="G536" s="79"/>
      <c r="H536" s="79"/>
      <c r="I536" s="79">
        <f>SUM(G536:H536)+'BM 007'!I536</f>
        <v>0</v>
      </c>
      <c r="J536" s="79">
        <f t="shared" si="204"/>
        <v>10</v>
      </c>
      <c r="K536" s="84">
        <v>88.39</v>
      </c>
      <c r="L536" s="81">
        <f t="shared" si="203"/>
        <v>112.04317372290001</v>
      </c>
      <c r="M536" s="82">
        <f t="shared" si="221"/>
        <v>0</v>
      </c>
      <c r="N536" s="82">
        <f t="shared" si="222"/>
        <v>0</v>
      </c>
      <c r="O536" s="82">
        <f>N536+'BM 007'!O536</f>
        <v>0</v>
      </c>
      <c r="P536" s="80">
        <f t="shared" si="223"/>
        <v>883.9</v>
      </c>
      <c r="Q536" s="82">
        <f t="shared" si="224"/>
        <v>1120.43</v>
      </c>
      <c r="R536" s="82">
        <f t="shared" si="225"/>
        <v>1120.43</v>
      </c>
    </row>
    <row r="537" spans="2:18" s="34" customFormat="1" ht="23.4">
      <c r="B537" s="75" t="s">
        <v>1049</v>
      </c>
      <c r="C537" s="76" t="s">
        <v>1050</v>
      </c>
      <c r="D537" s="77" t="s">
        <v>39</v>
      </c>
      <c r="E537" s="78">
        <v>20</v>
      </c>
      <c r="F537" s="79"/>
      <c r="G537" s="79"/>
      <c r="H537" s="79"/>
      <c r="I537" s="79">
        <f>SUM(G537:H537)+'BM 007'!I537</f>
        <v>0</v>
      </c>
      <c r="J537" s="79">
        <f t="shared" si="204"/>
        <v>20</v>
      </c>
      <c r="K537" s="84">
        <v>45.21</v>
      </c>
      <c r="L537" s="81">
        <f t="shared" si="203"/>
        <v>57.308200973100007</v>
      </c>
      <c r="M537" s="82">
        <f t="shared" si="221"/>
        <v>0</v>
      </c>
      <c r="N537" s="82">
        <f t="shared" si="222"/>
        <v>0</v>
      </c>
      <c r="O537" s="82">
        <f>N537+'BM 007'!O537</f>
        <v>0</v>
      </c>
      <c r="P537" s="80">
        <f t="shared" si="223"/>
        <v>904.2</v>
      </c>
      <c r="Q537" s="82">
        <f t="shared" si="224"/>
        <v>1146.1600000000001</v>
      </c>
      <c r="R537" s="82">
        <f t="shared" si="225"/>
        <v>1146.1600000000001</v>
      </c>
    </row>
    <row r="538" spans="2:18" s="34" customFormat="1" ht="23.4">
      <c r="B538" s="75" t="s">
        <v>1051</v>
      </c>
      <c r="C538" s="76" t="s">
        <v>1052</v>
      </c>
      <c r="D538" s="77" t="s">
        <v>39</v>
      </c>
      <c r="E538" s="78">
        <v>10</v>
      </c>
      <c r="F538" s="79"/>
      <c r="G538" s="79"/>
      <c r="H538" s="79"/>
      <c r="I538" s="79">
        <f>SUM(G538:H538)+'BM 007'!I538</f>
        <v>0</v>
      </c>
      <c r="J538" s="79">
        <f t="shared" si="204"/>
        <v>10</v>
      </c>
      <c r="K538" s="84">
        <v>65.290000000000006</v>
      </c>
      <c r="L538" s="81">
        <f t="shared" si="203"/>
        <v>82.761611181900008</v>
      </c>
      <c r="M538" s="82">
        <f t="shared" si="221"/>
        <v>0</v>
      </c>
      <c r="N538" s="82">
        <f t="shared" si="222"/>
        <v>0</v>
      </c>
      <c r="O538" s="82">
        <f>N538+'BM 007'!O538</f>
        <v>0</v>
      </c>
      <c r="P538" s="80">
        <f t="shared" si="223"/>
        <v>652.90000000000009</v>
      </c>
      <c r="Q538" s="82">
        <f t="shared" si="224"/>
        <v>827.61</v>
      </c>
      <c r="R538" s="82">
        <f t="shared" si="225"/>
        <v>827.61</v>
      </c>
    </row>
    <row r="539" spans="2:18" s="34" customFormat="1" ht="46.2">
      <c r="B539" s="75" t="s">
        <v>1053</v>
      </c>
      <c r="C539" s="76" t="s">
        <v>1054</v>
      </c>
      <c r="D539" s="77" t="s">
        <v>39</v>
      </c>
      <c r="E539" s="78">
        <v>30</v>
      </c>
      <c r="F539" s="79"/>
      <c r="G539" s="79"/>
      <c r="H539" s="79"/>
      <c r="I539" s="79">
        <f>SUM(G539:H539)+'BM 007'!I539</f>
        <v>0</v>
      </c>
      <c r="J539" s="79">
        <f t="shared" si="204"/>
        <v>30</v>
      </c>
      <c r="K539" s="84">
        <v>80</v>
      </c>
      <c r="L539" s="81">
        <f t="shared" si="203"/>
        <v>101.4080088</v>
      </c>
      <c r="M539" s="82">
        <f t="shared" si="221"/>
        <v>0</v>
      </c>
      <c r="N539" s="82">
        <f t="shared" si="222"/>
        <v>0</v>
      </c>
      <c r="O539" s="82">
        <f>N539+'BM 007'!O539</f>
        <v>0</v>
      </c>
      <c r="P539" s="80">
        <f t="shared" si="223"/>
        <v>2400</v>
      </c>
      <c r="Q539" s="82">
        <f t="shared" si="224"/>
        <v>3042.24</v>
      </c>
      <c r="R539" s="82">
        <f t="shared" si="225"/>
        <v>3042.24</v>
      </c>
    </row>
    <row r="540" spans="2:18" s="34" customFormat="1" ht="34.799999999999997">
      <c r="B540" s="75" t="s">
        <v>1055</v>
      </c>
      <c r="C540" s="76" t="s">
        <v>1056</v>
      </c>
      <c r="D540" s="77" t="s">
        <v>39</v>
      </c>
      <c r="E540" s="78">
        <v>50</v>
      </c>
      <c r="F540" s="79"/>
      <c r="G540" s="79"/>
      <c r="H540" s="79"/>
      <c r="I540" s="79">
        <f>SUM(G540:H540)+'BM 007'!I540</f>
        <v>0</v>
      </c>
      <c r="J540" s="79">
        <f t="shared" si="204"/>
        <v>50</v>
      </c>
      <c r="K540" s="84">
        <v>120</v>
      </c>
      <c r="L540" s="81">
        <f t="shared" si="203"/>
        <v>152.11201320000001</v>
      </c>
      <c r="M540" s="82">
        <f t="shared" si="221"/>
        <v>0</v>
      </c>
      <c r="N540" s="82">
        <f t="shared" si="222"/>
        <v>0</v>
      </c>
      <c r="O540" s="82">
        <f>N540+'BM 007'!O540</f>
        <v>0</v>
      </c>
      <c r="P540" s="80">
        <f t="shared" si="223"/>
        <v>6000</v>
      </c>
      <c r="Q540" s="82">
        <f t="shared" si="224"/>
        <v>7605.6</v>
      </c>
      <c r="R540" s="82">
        <f t="shared" si="225"/>
        <v>7605.6</v>
      </c>
    </row>
    <row r="541" spans="2:18" s="34" customFormat="1" ht="34.799999999999997">
      <c r="B541" s="75" t="s">
        <v>1057</v>
      </c>
      <c r="C541" s="76" t="s">
        <v>1058</v>
      </c>
      <c r="D541" s="77" t="s">
        <v>39</v>
      </c>
      <c r="E541" s="78">
        <v>10</v>
      </c>
      <c r="F541" s="79"/>
      <c r="G541" s="79"/>
      <c r="H541" s="79"/>
      <c r="I541" s="79">
        <f>SUM(G541:H541)+'BM 007'!I541</f>
        <v>0</v>
      </c>
      <c r="J541" s="79">
        <f t="shared" si="204"/>
        <v>10</v>
      </c>
      <c r="K541" s="84">
        <v>137.9</v>
      </c>
      <c r="L541" s="81">
        <f t="shared" ref="L541:L590" si="226">K541*(1+$T$26)</f>
        <v>174.80205516900003</v>
      </c>
      <c r="M541" s="82">
        <f t="shared" si="221"/>
        <v>0</v>
      </c>
      <c r="N541" s="82">
        <f t="shared" si="222"/>
        <v>0</v>
      </c>
      <c r="O541" s="82">
        <f>N541+'BM 007'!O541</f>
        <v>0</v>
      </c>
      <c r="P541" s="80">
        <f t="shared" si="223"/>
        <v>1379</v>
      </c>
      <c r="Q541" s="82">
        <f t="shared" si="224"/>
        <v>1748.02</v>
      </c>
      <c r="R541" s="82">
        <f t="shared" si="225"/>
        <v>1748.02</v>
      </c>
    </row>
    <row r="542" spans="2:18" s="34" customFormat="1" ht="23.4">
      <c r="B542" s="75" t="s">
        <v>1059</v>
      </c>
      <c r="C542" s="76" t="s">
        <v>1060</v>
      </c>
      <c r="D542" s="77" t="s">
        <v>39</v>
      </c>
      <c r="E542" s="78">
        <v>20</v>
      </c>
      <c r="F542" s="79"/>
      <c r="G542" s="79"/>
      <c r="H542" s="79"/>
      <c r="I542" s="79">
        <f>SUM(G542:H542)+'BM 007'!I542</f>
        <v>2</v>
      </c>
      <c r="J542" s="79">
        <f t="shared" si="204"/>
        <v>18</v>
      </c>
      <c r="K542" s="84">
        <v>69</v>
      </c>
      <c r="L542" s="81">
        <f t="shared" si="226"/>
        <v>87.464407590000008</v>
      </c>
      <c r="M542" s="82">
        <f t="shared" si="221"/>
        <v>0</v>
      </c>
      <c r="N542" s="82">
        <f t="shared" si="222"/>
        <v>0</v>
      </c>
      <c r="O542" s="82">
        <f>N542+'BM 007'!O542</f>
        <v>174.92</v>
      </c>
      <c r="P542" s="80">
        <f t="shared" si="223"/>
        <v>1380</v>
      </c>
      <c r="Q542" s="82">
        <f t="shared" si="224"/>
        <v>1749.28</v>
      </c>
      <c r="R542" s="82">
        <f t="shared" si="225"/>
        <v>1574.36</v>
      </c>
    </row>
    <row r="543" spans="2:18" s="34" customFormat="1" ht="46.2">
      <c r="B543" s="75" t="s">
        <v>1061</v>
      </c>
      <c r="C543" s="76" t="s">
        <v>1062</v>
      </c>
      <c r="D543" s="77" t="s">
        <v>39</v>
      </c>
      <c r="E543" s="78">
        <v>10</v>
      </c>
      <c r="F543" s="79"/>
      <c r="G543" s="79"/>
      <c r="H543" s="79"/>
      <c r="I543" s="79">
        <f>SUM(G543:H543)+'BM 007'!I543</f>
        <v>0</v>
      </c>
      <c r="J543" s="79">
        <f t="shared" ref="J543:J590" si="227">E543-I543</f>
        <v>10</v>
      </c>
      <c r="K543" s="84">
        <v>180</v>
      </c>
      <c r="L543" s="81">
        <f t="shared" si="226"/>
        <v>228.16801980000002</v>
      </c>
      <c r="M543" s="82">
        <f t="shared" si="221"/>
        <v>0</v>
      </c>
      <c r="N543" s="82">
        <f t="shared" si="222"/>
        <v>0</v>
      </c>
      <c r="O543" s="82">
        <f>N543+'BM 007'!O543</f>
        <v>0</v>
      </c>
      <c r="P543" s="80">
        <f t="shared" si="223"/>
        <v>1800</v>
      </c>
      <c r="Q543" s="82">
        <f t="shared" si="224"/>
        <v>2281.6799999999998</v>
      </c>
      <c r="R543" s="82">
        <f t="shared" si="225"/>
        <v>2281.6799999999998</v>
      </c>
    </row>
    <row r="544" spans="2:18" s="34" customFormat="1" ht="69">
      <c r="B544" s="75" t="s">
        <v>1063</v>
      </c>
      <c r="C544" s="76" t="s">
        <v>1064</v>
      </c>
      <c r="D544" s="77" t="s">
        <v>39</v>
      </c>
      <c r="E544" s="78">
        <v>1</v>
      </c>
      <c r="F544" s="79"/>
      <c r="G544" s="79"/>
      <c r="H544" s="79"/>
      <c r="I544" s="79">
        <f>SUM(G544:H544)+'BM 007'!I544</f>
        <v>0</v>
      </c>
      <c r="J544" s="79">
        <f t="shared" si="227"/>
        <v>1</v>
      </c>
      <c r="K544" s="84">
        <v>320</v>
      </c>
      <c r="L544" s="81">
        <f t="shared" si="226"/>
        <v>405.63203520000002</v>
      </c>
      <c r="M544" s="82">
        <f t="shared" si="221"/>
        <v>0</v>
      </c>
      <c r="N544" s="82">
        <f t="shared" si="222"/>
        <v>0</v>
      </c>
      <c r="O544" s="82">
        <f>N544+'BM 007'!O544</f>
        <v>0</v>
      </c>
      <c r="P544" s="80">
        <f t="shared" si="223"/>
        <v>320</v>
      </c>
      <c r="Q544" s="82">
        <f t="shared" si="224"/>
        <v>405.63</v>
      </c>
      <c r="R544" s="82">
        <f t="shared" si="225"/>
        <v>405.63</v>
      </c>
    </row>
    <row r="545" spans="2:18" s="34" customFormat="1" ht="57.6">
      <c r="B545" s="75" t="s">
        <v>1065</v>
      </c>
      <c r="C545" s="76" t="s">
        <v>1066</v>
      </c>
      <c r="D545" s="77" t="s">
        <v>39</v>
      </c>
      <c r="E545" s="78">
        <v>1</v>
      </c>
      <c r="F545" s="79"/>
      <c r="G545" s="79"/>
      <c r="H545" s="79"/>
      <c r="I545" s="79">
        <f>SUM(G545:H545)+'BM 007'!I545</f>
        <v>0</v>
      </c>
      <c r="J545" s="79">
        <f t="shared" si="227"/>
        <v>1</v>
      </c>
      <c r="K545" s="84">
        <v>800</v>
      </c>
      <c r="L545" s="81">
        <f t="shared" si="226"/>
        <v>1014.080088</v>
      </c>
      <c r="M545" s="82">
        <f t="shared" si="221"/>
        <v>0</v>
      </c>
      <c r="N545" s="82">
        <f t="shared" si="222"/>
        <v>0</v>
      </c>
      <c r="O545" s="82">
        <f>N545+'BM 007'!O545</f>
        <v>0</v>
      </c>
      <c r="P545" s="80">
        <f t="shared" si="223"/>
        <v>800</v>
      </c>
      <c r="Q545" s="82">
        <f t="shared" si="224"/>
        <v>1014.08</v>
      </c>
      <c r="R545" s="82">
        <f t="shared" si="225"/>
        <v>1014.08</v>
      </c>
    </row>
    <row r="546" spans="2:18" s="34" customFormat="1" ht="23.4">
      <c r="B546" s="75" t="s">
        <v>1067</v>
      </c>
      <c r="C546" s="76" t="s">
        <v>1068</v>
      </c>
      <c r="D546" s="77" t="s">
        <v>39</v>
      </c>
      <c r="E546" s="78">
        <v>2</v>
      </c>
      <c r="F546" s="79"/>
      <c r="G546" s="79"/>
      <c r="H546" s="79"/>
      <c r="I546" s="79">
        <f>SUM(G546:H546)+'BM 007'!I546</f>
        <v>0</v>
      </c>
      <c r="J546" s="79">
        <f t="shared" si="227"/>
        <v>2</v>
      </c>
      <c r="K546" s="84">
        <v>605.34</v>
      </c>
      <c r="L546" s="81">
        <f t="shared" si="226"/>
        <v>767.32905058740005</v>
      </c>
      <c r="M546" s="82">
        <f t="shared" si="221"/>
        <v>0</v>
      </c>
      <c r="N546" s="82">
        <f t="shared" si="222"/>
        <v>0</v>
      </c>
      <c r="O546" s="82">
        <f>N546+'BM 007'!O546</f>
        <v>0</v>
      </c>
      <c r="P546" s="80">
        <f t="shared" si="223"/>
        <v>1210.68</v>
      </c>
      <c r="Q546" s="82">
        <f t="shared" si="224"/>
        <v>1534.65</v>
      </c>
      <c r="R546" s="82">
        <f t="shared" si="225"/>
        <v>1534.65</v>
      </c>
    </row>
    <row r="547" spans="2:18" s="34" customFormat="1" ht="23.4">
      <c r="B547" s="75" t="s">
        <v>1069</v>
      </c>
      <c r="C547" s="76" t="s">
        <v>1070</v>
      </c>
      <c r="D547" s="77" t="s">
        <v>39</v>
      </c>
      <c r="E547" s="78">
        <v>3</v>
      </c>
      <c r="F547" s="79"/>
      <c r="G547" s="79"/>
      <c r="H547" s="79"/>
      <c r="I547" s="79">
        <f>SUM(G547:H547)+'BM 007'!I547</f>
        <v>0</v>
      </c>
      <c r="J547" s="79">
        <f t="shared" si="227"/>
        <v>3</v>
      </c>
      <c r="K547" s="84">
        <v>311.79000000000002</v>
      </c>
      <c r="L547" s="81">
        <f t="shared" si="226"/>
        <v>395.22503829690004</v>
      </c>
      <c r="M547" s="82">
        <f t="shared" si="221"/>
        <v>0</v>
      </c>
      <c r="N547" s="82">
        <f t="shared" si="222"/>
        <v>0</v>
      </c>
      <c r="O547" s="82">
        <f>N547+'BM 007'!O547</f>
        <v>0</v>
      </c>
      <c r="P547" s="80">
        <f t="shared" si="223"/>
        <v>935.37000000000012</v>
      </c>
      <c r="Q547" s="82">
        <f t="shared" si="224"/>
        <v>1185.67</v>
      </c>
      <c r="R547" s="82">
        <f t="shared" si="225"/>
        <v>1185.67</v>
      </c>
    </row>
    <row r="548" spans="2:18" s="34" customFormat="1" ht="23.4">
      <c r="B548" s="75" t="s">
        <v>1071</v>
      </c>
      <c r="C548" s="76" t="s">
        <v>1072</v>
      </c>
      <c r="D548" s="77" t="s">
        <v>39</v>
      </c>
      <c r="E548" s="78">
        <v>2</v>
      </c>
      <c r="F548" s="79"/>
      <c r="G548" s="79"/>
      <c r="H548" s="79"/>
      <c r="I548" s="79">
        <f>SUM(G548:H548)+'BM 007'!I548</f>
        <v>0</v>
      </c>
      <c r="J548" s="79">
        <f t="shared" si="227"/>
        <v>2</v>
      </c>
      <c r="K548" s="84">
        <v>195</v>
      </c>
      <c r="L548" s="81">
        <f t="shared" si="226"/>
        <v>247.18202145000001</v>
      </c>
      <c r="M548" s="82">
        <f t="shared" si="221"/>
        <v>0</v>
      </c>
      <c r="N548" s="82">
        <f t="shared" si="222"/>
        <v>0</v>
      </c>
      <c r="O548" s="82">
        <f>N548+'BM 007'!O548</f>
        <v>0</v>
      </c>
      <c r="P548" s="80">
        <f t="shared" si="223"/>
        <v>390</v>
      </c>
      <c r="Q548" s="82">
        <f t="shared" si="224"/>
        <v>494.36</v>
      </c>
      <c r="R548" s="82">
        <f t="shared" si="225"/>
        <v>494.36</v>
      </c>
    </row>
    <row r="549" spans="2:18" s="34" customFormat="1" ht="46.2">
      <c r="B549" s="75" t="s">
        <v>1073</v>
      </c>
      <c r="C549" s="76" t="s">
        <v>1074</v>
      </c>
      <c r="D549" s="77" t="s">
        <v>39</v>
      </c>
      <c r="E549" s="78">
        <v>1</v>
      </c>
      <c r="F549" s="79"/>
      <c r="G549" s="79"/>
      <c r="H549" s="79"/>
      <c r="I549" s="79">
        <f>SUM(G549:H549)+'BM 007'!I549</f>
        <v>0</v>
      </c>
      <c r="J549" s="79">
        <f t="shared" si="227"/>
        <v>1</v>
      </c>
      <c r="K549" s="84">
        <v>1400</v>
      </c>
      <c r="L549" s="81">
        <f t="shared" si="226"/>
        <v>1774.6401540000002</v>
      </c>
      <c r="M549" s="82">
        <f t="shared" si="221"/>
        <v>0</v>
      </c>
      <c r="N549" s="82">
        <f t="shared" si="222"/>
        <v>0</v>
      </c>
      <c r="O549" s="82">
        <f>N549+'BM 007'!O549</f>
        <v>0</v>
      </c>
      <c r="P549" s="80">
        <f t="shared" si="223"/>
        <v>1400</v>
      </c>
      <c r="Q549" s="82">
        <f t="shared" si="224"/>
        <v>1774.64</v>
      </c>
      <c r="R549" s="82">
        <f t="shared" si="225"/>
        <v>1774.64</v>
      </c>
    </row>
    <row r="550" spans="2:18" s="34" customFormat="1" ht="46.2">
      <c r="B550" s="75" t="s">
        <v>1075</v>
      </c>
      <c r="C550" s="76" t="s">
        <v>1076</v>
      </c>
      <c r="D550" s="77" t="s">
        <v>39</v>
      </c>
      <c r="E550" s="78">
        <v>16</v>
      </c>
      <c r="F550" s="79"/>
      <c r="G550" s="79"/>
      <c r="H550" s="79"/>
      <c r="I550" s="79">
        <f>SUM(G550:H550)+'BM 007'!I550</f>
        <v>0</v>
      </c>
      <c r="J550" s="79">
        <f t="shared" si="227"/>
        <v>16</v>
      </c>
      <c r="K550" s="84">
        <v>1900</v>
      </c>
      <c r="L550" s="81">
        <f t="shared" si="226"/>
        <v>2408.4402090000003</v>
      </c>
      <c r="M550" s="82">
        <f t="shared" si="221"/>
        <v>0</v>
      </c>
      <c r="N550" s="82">
        <f t="shared" si="222"/>
        <v>0</v>
      </c>
      <c r="O550" s="82">
        <f>N550+'BM 007'!O550</f>
        <v>0</v>
      </c>
      <c r="P550" s="80">
        <f t="shared" si="223"/>
        <v>30400</v>
      </c>
      <c r="Q550" s="82">
        <f t="shared" si="224"/>
        <v>38535.040000000001</v>
      </c>
      <c r="R550" s="82">
        <f t="shared" si="225"/>
        <v>38535.040000000001</v>
      </c>
    </row>
    <row r="551" spans="2:18" s="34" customFormat="1" ht="34.799999999999997">
      <c r="B551" s="75" t="s">
        <v>1077</v>
      </c>
      <c r="C551" s="76" t="s">
        <v>1078</v>
      </c>
      <c r="D551" s="77" t="s">
        <v>39</v>
      </c>
      <c r="E551" s="78">
        <v>140</v>
      </c>
      <c r="F551" s="79"/>
      <c r="G551" s="79"/>
      <c r="H551" s="79"/>
      <c r="I551" s="79">
        <f>SUM(G551:H551)+'BM 007'!I551</f>
        <v>0</v>
      </c>
      <c r="J551" s="79">
        <f t="shared" si="227"/>
        <v>140</v>
      </c>
      <c r="K551" s="84">
        <v>25</v>
      </c>
      <c r="L551" s="81">
        <f t="shared" si="226"/>
        <v>31.690002750000001</v>
      </c>
      <c r="M551" s="82">
        <f t="shared" si="221"/>
        <v>0</v>
      </c>
      <c r="N551" s="82">
        <f t="shared" si="222"/>
        <v>0</v>
      </c>
      <c r="O551" s="82">
        <f>N551+'BM 007'!O551</f>
        <v>0</v>
      </c>
      <c r="P551" s="80">
        <f t="shared" si="223"/>
        <v>3500</v>
      </c>
      <c r="Q551" s="82">
        <f t="shared" si="224"/>
        <v>4436.6000000000004</v>
      </c>
      <c r="R551" s="82">
        <f t="shared" si="225"/>
        <v>4436.6000000000004</v>
      </c>
    </row>
    <row r="552" spans="2:18" s="34" customFormat="1" ht="13.2">
      <c r="B552" s="66" t="s">
        <v>1079</v>
      </c>
      <c r="C552" s="67" t="s">
        <v>1080</v>
      </c>
      <c r="D552" s="68"/>
      <c r="E552" s="69"/>
      <c r="F552" s="70"/>
      <c r="G552" s="70"/>
      <c r="H552" s="70"/>
      <c r="I552" s="70">
        <f>SUM(G552:H552)+'BM 007'!I552</f>
        <v>0</v>
      </c>
      <c r="J552" s="70">
        <f t="shared" si="227"/>
        <v>0</v>
      </c>
      <c r="K552" s="71"/>
      <c r="L552" s="71">
        <f t="shared" si="226"/>
        <v>0</v>
      </c>
      <c r="M552" s="73">
        <f t="shared" ref="M552:R552" si="228">SUM(M553:M553)</f>
        <v>0</v>
      </c>
      <c r="N552" s="73">
        <f t="shared" si="228"/>
        <v>0</v>
      </c>
      <c r="O552" s="73">
        <f t="shared" si="228"/>
        <v>0</v>
      </c>
      <c r="P552" s="73">
        <f t="shared" si="228"/>
        <v>7310</v>
      </c>
      <c r="Q552" s="73">
        <f t="shared" si="228"/>
        <v>9266.15</v>
      </c>
      <c r="R552" s="73">
        <f t="shared" si="228"/>
        <v>9266.15</v>
      </c>
    </row>
    <row r="553" spans="2:18" s="34" customFormat="1" ht="34.799999999999997">
      <c r="B553" s="75" t="s">
        <v>1081</v>
      </c>
      <c r="C553" s="76" t="s">
        <v>1082</v>
      </c>
      <c r="D553" s="77" t="s">
        <v>63</v>
      </c>
      <c r="E553" s="78">
        <v>43</v>
      </c>
      <c r="F553" s="79"/>
      <c r="G553" s="79"/>
      <c r="H553" s="79"/>
      <c r="I553" s="79">
        <f>SUM(G553:H553)+'BM 007'!I553</f>
        <v>0</v>
      </c>
      <c r="J553" s="79">
        <f t="shared" si="227"/>
        <v>43</v>
      </c>
      <c r="K553" s="84">
        <v>170</v>
      </c>
      <c r="L553" s="81">
        <f t="shared" si="226"/>
        <v>215.49201870000002</v>
      </c>
      <c r="M553" s="82">
        <f>TRUNC(F553*L553,2)</f>
        <v>0</v>
      </c>
      <c r="N553" s="82">
        <f>TRUNC(G553*L553,2)</f>
        <v>0</v>
      </c>
      <c r="O553" s="82">
        <f>N553+'BM 007'!O553</f>
        <v>0</v>
      </c>
      <c r="P553" s="80">
        <f>E553*K553</f>
        <v>7310</v>
      </c>
      <c r="Q553" s="82">
        <f>TRUNC(E553*L553,2)</f>
        <v>9266.15</v>
      </c>
      <c r="R553" s="82">
        <f>Q553-O553</f>
        <v>9266.15</v>
      </c>
    </row>
    <row r="554" spans="2:18" s="34" customFormat="1" ht="13.2">
      <c r="B554" s="66" t="s">
        <v>1083</v>
      </c>
      <c r="C554" s="67" t="s">
        <v>1084</v>
      </c>
      <c r="D554" s="68"/>
      <c r="E554" s="69"/>
      <c r="F554" s="70"/>
      <c r="G554" s="70"/>
      <c r="H554" s="70"/>
      <c r="I554" s="70">
        <f>SUM(G554:H554)+'BM 007'!I554</f>
        <v>0</v>
      </c>
      <c r="J554" s="70">
        <f t="shared" si="227"/>
        <v>0</v>
      </c>
      <c r="K554" s="71"/>
      <c r="L554" s="120">
        <f t="shared" si="226"/>
        <v>0</v>
      </c>
      <c r="M554" s="73">
        <f t="shared" ref="M554:R554" si="229">SUM(M555:M565)</f>
        <v>0</v>
      </c>
      <c r="N554" s="73">
        <f t="shared" si="229"/>
        <v>0</v>
      </c>
      <c r="O554" s="73">
        <f t="shared" si="229"/>
        <v>0</v>
      </c>
      <c r="P554" s="73">
        <f t="shared" si="229"/>
        <v>55460</v>
      </c>
      <c r="Q554" s="73">
        <f t="shared" si="229"/>
        <v>70301.090000000011</v>
      </c>
      <c r="R554" s="73">
        <f t="shared" si="229"/>
        <v>70301.090000000011</v>
      </c>
    </row>
    <row r="555" spans="2:18" s="34" customFormat="1" ht="23.4">
      <c r="B555" s="75" t="s">
        <v>1085</v>
      </c>
      <c r="C555" s="76" t="s">
        <v>1086</v>
      </c>
      <c r="D555" s="77" t="s">
        <v>131</v>
      </c>
      <c r="E555" s="78">
        <v>1</v>
      </c>
      <c r="F555" s="79"/>
      <c r="G555" s="79"/>
      <c r="H555" s="79"/>
      <c r="I555" s="79">
        <f>SUM(G555:H555)+'BM 007'!I555</f>
        <v>0</v>
      </c>
      <c r="J555" s="79">
        <f t="shared" si="227"/>
        <v>1</v>
      </c>
      <c r="K555" s="84">
        <v>5800</v>
      </c>
      <c r="L555" s="81">
        <f t="shared" si="226"/>
        <v>7352.0806380000004</v>
      </c>
      <c r="M555" s="82">
        <f t="shared" ref="M555:M565" si="230">TRUNC(F555*L555,2)</f>
        <v>0</v>
      </c>
      <c r="N555" s="82">
        <f t="shared" ref="N555:N565" si="231">TRUNC(G555*L555,2)</f>
        <v>0</v>
      </c>
      <c r="O555" s="82">
        <f>N555+'BM 007'!O555</f>
        <v>0</v>
      </c>
      <c r="P555" s="80">
        <f t="shared" ref="P555:P565" si="232">E555*K555</f>
        <v>5800</v>
      </c>
      <c r="Q555" s="82">
        <f t="shared" ref="Q555:Q565" si="233">TRUNC(E555*L555,2)</f>
        <v>7352.08</v>
      </c>
      <c r="R555" s="82">
        <f t="shared" ref="R555:R565" si="234">Q555-O555</f>
        <v>7352.08</v>
      </c>
    </row>
    <row r="556" spans="2:18" s="34" customFormat="1" ht="57.6">
      <c r="B556" s="75" t="s">
        <v>1087</v>
      </c>
      <c r="C556" s="76" t="s">
        <v>1088</v>
      </c>
      <c r="D556" s="77" t="s">
        <v>131</v>
      </c>
      <c r="E556" s="78">
        <v>1</v>
      </c>
      <c r="F556" s="79"/>
      <c r="G556" s="79"/>
      <c r="H556" s="79"/>
      <c r="I556" s="79">
        <f>SUM(G556:H556)+'BM 007'!I556</f>
        <v>0</v>
      </c>
      <c r="J556" s="79">
        <f t="shared" si="227"/>
        <v>1</v>
      </c>
      <c r="K556" s="84">
        <v>2950</v>
      </c>
      <c r="L556" s="81">
        <f t="shared" si="226"/>
        <v>3739.4203245000003</v>
      </c>
      <c r="M556" s="82">
        <f t="shared" si="230"/>
        <v>0</v>
      </c>
      <c r="N556" s="82">
        <f t="shared" si="231"/>
        <v>0</v>
      </c>
      <c r="O556" s="82">
        <f>N556+'BM 007'!O556</f>
        <v>0</v>
      </c>
      <c r="P556" s="80">
        <f t="shared" si="232"/>
        <v>2950</v>
      </c>
      <c r="Q556" s="82">
        <f t="shared" si="233"/>
        <v>3739.42</v>
      </c>
      <c r="R556" s="82">
        <f t="shared" si="234"/>
        <v>3739.42</v>
      </c>
    </row>
    <row r="557" spans="2:18" s="34" customFormat="1" ht="34.799999999999997">
      <c r="B557" s="75" t="s">
        <v>1089</v>
      </c>
      <c r="C557" s="76" t="s">
        <v>1090</v>
      </c>
      <c r="D557" s="77" t="s">
        <v>131</v>
      </c>
      <c r="E557" s="78">
        <v>1</v>
      </c>
      <c r="F557" s="79"/>
      <c r="G557" s="79"/>
      <c r="H557" s="79"/>
      <c r="I557" s="79">
        <f>SUM(G557:H557)+'BM 007'!I557</f>
        <v>0</v>
      </c>
      <c r="J557" s="79">
        <f t="shared" si="227"/>
        <v>1</v>
      </c>
      <c r="K557" s="84">
        <v>5100</v>
      </c>
      <c r="L557" s="81">
        <f t="shared" si="226"/>
        <v>6464.7605610000001</v>
      </c>
      <c r="M557" s="82">
        <f t="shared" si="230"/>
        <v>0</v>
      </c>
      <c r="N557" s="82">
        <f t="shared" si="231"/>
        <v>0</v>
      </c>
      <c r="O557" s="82">
        <f>N557+'BM 007'!O557</f>
        <v>0</v>
      </c>
      <c r="P557" s="80">
        <f t="shared" si="232"/>
        <v>5100</v>
      </c>
      <c r="Q557" s="82">
        <f t="shared" si="233"/>
        <v>6464.76</v>
      </c>
      <c r="R557" s="82">
        <f t="shared" si="234"/>
        <v>6464.76</v>
      </c>
    </row>
    <row r="558" spans="2:18" s="34" customFormat="1" ht="34.799999999999997">
      <c r="B558" s="75" t="s">
        <v>1091</v>
      </c>
      <c r="C558" s="76" t="s">
        <v>1092</v>
      </c>
      <c r="D558" s="77" t="s">
        <v>131</v>
      </c>
      <c r="E558" s="78">
        <v>1</v>
      </c>
      <c r="F558" s="79"/>
      <c r="G558" s="79"/>
      <c r="H558" s="79"/>
      <c r="I558" s="79">
        <f>SUM(G558:H558)+'BM 007'!I558</f>
        <v>0</v>
      </c>
      <c r="J558" s="79">
        <f t="shared" si="227"/>
        <v>1</v>
      </c>
      <c r="K558" s="84">
        <v>6200</v>
      </c>
      <c r="L558" s="81">
        <f t="shared" si="226"/>
        <v>7859.1206820000007</v>
      </c>
      <c r="M558" s="82">
        <f t="shared" si="230"/>
        <v>0</v>
      </c>
      <c r="N558" s="82">
        <f t="shared" si="231"/>
        <v>0</v>
      </c>
      <c r="O558" s="82">
        <f>N558+'BM 007'!O558</f>
        <v>0</v>
      </c>
      <c r="P558" s="80">
        <f t="shared" si="232"/>
        <v>6200</v>
      </c>
      <c r="Q558" s="82">
        <f t="shared" si="233"/>
        <v>7859.12</v>
      </c>
      <c r="R558" s="82">
        <f t="shared" si="234"/>
        <v>7859.12</v>
      </c>
    </row>
    <row r="559" spans="2:18" s="34" customFormat="1" ht="23.4">
      <c r="B559" s="75" t="s">
        <v>1093</v>
      </c>
      <c r="C559" s="76" t="s">
        <v>1094</v>
      </c>
      <c r="D559" s="77" t="s">
        <v>131</v>
      </c>
      <c r="E559" s="78">
        <v>15</v>
      </c>
      <c r="F559" s="79"/>
      <c r="G559" s="79"/>
      <c r="H559" s="79"/>
      <c r="I559" s="79">
        <f>SUM(G559:H559)+'BM 007'!I559</f>
        <v>0</v>
      </c>
      <c r="J559" s="79">
        <f t="shared" si="227"/>
        <v>15</v>
      </c>
      <c r="K559" s="84">
        <v>250</v>
      </c>
      <c r="L559" s="81">
        <f t="shared" si="226"/>
        <v>316.90002750000002</v>
      </c>
      <c r="M559" s="82">
        <f t="shared" si="230"/>
        <v>0</v>
      </c>
      <c r="N559" s="82">
        <f t="shared" si="231"/>
        <v>0</v>
      </c>
      <c r="O559" s="82">
        <f>N559+'BM 007'!O559</f>
        <v>0</v>
      </c>
      <c r="P559" s="80">
        <f t="shared" si="232"/>
        <v>3750</v>
      </c>
      <c r="Q559" s="82">
        <f t="shared" si="233"/>
        <v>4753.5</v>
      </c>
      <c r="R559" s="82">
        <f t="shared" si="234"/>
        <v>4753.5</v>
      </c>
    </row>
    <row r="560" spans="2:18" s="34" customFormat="1" ht="23.4">
      <c r="B560" s="75" t="s">
        <v>1095</v>
      </c>
      <c r="C560" s="76" t="s">
        <v>1096</v>
      </c>
      <c r="D560" s="77" t="s">
        <v>131</v>
      </c>
      <c r="E560" s="78">
        <v>1</v>
      </c>
      <c r="F560" s="79"/>
      <c r="G560" s="79"/>
      <c r="H560" s="79"/>
      <c r="I560" s="79">
        <f>SUM(G560:H560)+'BM 007'!I560</f>
        <v>0</v>
      </c>
      <c r="J560" s="79">
        <f t="shared" si="227"/>
        <v>1</v>
      </c>
      <c r="K560" s="84">
        <v>350</v>
      </c>
      <c r="L560" s="81">
        <f t="shared" si="226"/>
        <v>443.66003850000004</v>
      </c>
      <c r="M560" s="82">
        <f t="shared" si="230"/>
        <v>0</v>
      </c>
      <c r="N560" s="82">
        <f t="shared" si="231"/>
        <v>0</v>
      </c>
      <c r="O560" s="82">
        <f>N560+'BM 007'!O560</f>
        <v>0</v>
      </c>
      <c r="P560" s="80">
        <f t="shared" si="232"/>
        <v>350</v>
      </c>
      <c r="Q560" s="82">
        <f t="shared" si="233"/>
        <v>443.66</v>
      </c>
      <c r="R560" s="82">
        <f t="shared" si="234"/>
        <v>443.66</v>
      </c>
    </row>
    <row r="561" spans="2:18" s="34" customFormat="1" ht="23.4">
      <c r="B561" s="75" t="s">
        <v>1097</v>
      </c>
      <c r="C561" s="76" t="s">
        <v>1098</v>
      </c>
      <c r="D561" s="77" t="s">
        <v>131</v>
      </c>
      <c r="E561" s="78">
        <v>15</v>
      </c>
      <c r="F561" s="79"/>
      <c r="G561" s="79"/>
      <c r="H561" s="79"/>
      <c r="I561" s="79">
        <f>SUM(G561:H561)+'BM 007'!I561</f>
        <v>0</v>
      </c>
      <c r="J561" s="79">
        <f t="shared" si="227"/>
        <v>15</v>
      </c>
      <c r="K561" s="84">
        <v>260</v>
      </c>
      <c r="L561" s="81">
        <f t="shared" si="226"/>
        <v>329.57602860000003</v>
      </c>
      <c r="M561" s="82">
        <f t="shared" si="230"/>
        <v>0</v>
      </c>
      <c r="N561" s="82">
        <f t="shared" si="231"/>
        <v>0</v>
      </c>
      <c r="O561" s="82">
        <f>N561+'BM 007'!O561</f>
        <v>0</v>
      </c>
      <c r="P561" s="80">
        <f t="shared" si="232"/>
        <v>3900</v>
      </c>
      <c r="Q561" s="82">
        <f t="shared" si="233"/>
        <v>4943.6400000000003</v>
      </c>
      <c r="R561" s="82">
        <f t="shared" si="234"/>
        <v>4943.6400000000003</v>
      </c>
    </row>
    <row r="562" spans="2:18" s="34" customFormat="1" ht="23.4">
      <c r="B562" s="75" t="s">
        <v>1099</v>
      </c>
      <c r="C562" s="76" t="s">
        <v>1100</v>
      </c>
      <c r="D562" s="77" t="s">
        <v>131</v>
      </c>
      <c r="E562" s="78">
        <v>1</v>
      </c>
      <c r="F562" s="79"/>
      <c r="G562" s="79"/>
      <c r="H562" s="79"/>
      <c r="I562" s="79">
        <f>SUM(G562:H562)+'BM 007'!I562</f>
        <v>0</v>
      </c>
      <c r="J562" s="79">
        <f t="shared" si="227"/>
        <v>1</v>
      </c>
      <c r="K562" s="84">
        <v>360</v>
      </c>
      <c r="L562" s="81">
        <f t="shared" si="226"/>
        <v>456.33603960000005</v>
      </c>
      <c r="M562" s="82">
        <f t="shared" si="230"/>
        <v>0</v>
      </c>
      <c r="N562" s="82">
        <f t="shared" si="231"/>
        <v>0</v>
      </c>
      <c r="O562" s="82">
        <f>N562+'BM 007'!O562</f>
        <v>0</v>
      </c>
      <c r="P562" s="80">
        <f t="shared" si="232"/>
        <v>360</v>
      </c>
      <c r="Q562" s="82">
        <f t="shared" si="233"/>
        <v>456.33</v>
      </c>
      <c r="R562" s="82">
        <f t="shared" si="234"/>
        <v>456.33</v>
      </c>
    </row>
    <row r="563" spans="2:18" s="34" customFormat="1" ht="13.2">
      <c r="B563" s="75" t="s">
        <v>1101</v>
      </c>
      <c r="C563" s="76" t="s">
        <v>1102</v>
      </c>
      <c r="D563" s="77" t="s">
        <v>131</v>
      </c>
      <c r="E563" s="78">
        <v>2</v>
      </c>
      <c r="F563" s="79"/>
      <c r="G563" s="79"/>
      <c r="H563" s="79"/>
      <c r="I563" s="79">
        <f>SUM(G563:H563)+'BM 007'!I563</f>
        <v>0</v>
      </c>
      <c r="J563" s="79">
        <f t="shared" si="227"/>
        <v>2</v>
      </c>
      <c r="K563" s="84">
        <v>3650</v>
      </c>
      <c r="L563" s="81">
        <f t="shared" si="226"/>
        <v>4626.7404015000002</v>
      </c>
      <c r="M563" s="82">
        <f t="shared" si="230"/>
        <v>0</v>
      </c>
      <c r="N563" s="82">
        <f t="shared" si="231"/>
        <v>0</v>
      </c>
      <c r="O563" s="82">
        <f>N563+'BM 007'!O563</f>
        <v>0</v>
      </c>
      <c r="P563" s="80">
        <f t="shared" si="232"/>
        <v>7300</v>
      </c>
      <c r="Q563" s="82">
        <f t="shared" si="233"/>
        <v>9253.48</v>
      </c>
      <c r="R563" s="82">
        <f t="shared" si="234"/>
        <v>9253.48</v>
      </c>
    </row>
    <row r="564" spans="2:18" s="34" customFormat="1" ht="23.4">
      <c r="B564" s="75" t="s">
        <v>1103</v>
      </c>
      <c r="C564" s="76" t="s">
        <v>1104</v>
      </c>
      <c r="D564" s="77" t="s">
        <v>131</v>
      </c>
      <c r="E564" s="78">
        <v>60</v>
      </c>
      <c r="F564" s="79"/>
      <c r="G564" s="79"/>
      <c r="H564" s="79"/>
      <c r="I564" s="79">
        <f>SUM(G564:H564)+'BM 007'!I564</f>
        <v>0</v>
      </c>
      <c r="J564" s="79">
        <f t="shared" si="227"/>
        <v>60</v>
      </c>
      <c r="K564" s="84">
        <v>280</v>
      </c>
      <c r="L564" s="81">
        <f t="shared" si="226"/>
        <v>354.92803079999999</v>
      </c>
      <c r="M564" s="82">
        <f t="shared" si="230"/>
        <v>0</v>
      </c>
      <c r="N564" s="82">
        <f t="shared" si="231"/>
        <v>0</v>
      </c>
      <c r="O564" s="82">
        <f>N564+'BM 007'!O564</f>
        <v>0</v>
      </c>
      <c r="P564" s="80">
        <f t="shared" si="232"/>
        <v>16800</v>
      </c>
      <c r="Q564" s="82">
        <f t="shared" si="233"/>
        <v>21295.68</v>
      </c>
      <c r="R564" s="82">
        <f t="shared" si="234"/>
        <v>21295.68</v>
      </c>
    </row>
    <row r="565" spans="2:18" s="34" customFormat="1" ht="34.799999999999997">
      <c r="B565" s="75" t="s">
        <v>1105</v>
      </c>
      <c r="C565" s="76" t="s">
        <v>1106</v>
      </c>
      <c r="D565" s="77" t="s">
        <v>131</v>
      </c>
      <c r="E565" s="78">
        <v>10</v>
      </c>
      <c r="F565" s="79"/>
      <c r="G565" s="79"/>
      <c r="H565" s="79"/>
      <c r="I565" s="79">
        <f>SUM(G565:H565)+'BM 007'!I565</f>
        <v>0</v>
      </c>
      <c r="J565" s="79">
        <f t="shared" si="227"/>
        <v>10</v>
      </c>
      <c r="K565" s="84">
        <v>295</v>
      </c>
      <c r="L565" s="81">
        <f t="shared" si="226"/>
        <v>373.94203245</v>
      </c>
      <c r="M565" s="82">
        <f t="shared" si="230"/>
        <v>0</v>
      </c>
      <c r="N565" s="82">
        <f t="shared" si="231"/>
        <v>0</v>
      </c>
      <c r="O565" s="82">
        <f>N565+'BM 007'!O565</f>
        <v>0</v>
      </c>
      <c r="P565" s="80">
        <f t="shared" si="232"/>
        <v>2950</v>
      </c>
      <c r="Q565" s="82">
        <f t="shared" si="233"/>
        <v>3739.42</v>
      </c>
      <c r="R565" s="82">
        <f t="shared" si="234"/>
        <v>3739.42</v>
      </c>
    </row>
    <row r="566" spans="2:18" s="34" customFormat="1" ht="13.2">
      <c r="B566" s="60" t="s">
        <v>1107</v>
      </c>
      <c r="C566" s="61" t="s">
        <v>1108</v>
      </c>
      <c r="D566" s="60"/>
      <c r="E566" s="62"/>
      <c r="F566" s="63"/>
      <c r="G566" s="63"/>
      <c r="H566" s="63"/>
      <c r="I566" s="63">
        <f>SUM(G566:H566)+'BM 007'!I566</f>
        <v>0</v>
      </c>
      <c r="J566" s="63">
        <f t="shared" si="227"/>
        <v>0</v>
      </c>
      <c r="K566" s="63"/>
      <c r="L566" s="63">
        <f t="shared" si="226"/>
        <v>0</v>
      </c>
      <c r="M566" s="63">
        <f t="shared" ref="M566:R566" si="235">SUM(M567:M587)</f>
        <v>0</v>
      </c>
      <c r="N566" s="63">
        <f t="shared" si="235"/>
        <v>0</v>
      </c>
      <c r="O566" s="63">
        <f t="shared" si="235"/>
        <v>0</v>
      </c>
      <c r="P566" s="63">
        <f t="shared" si="235"/>
        <v>397499.3</v>
      </c>
      <c r="Q566" s="63">
        <f t="shared" si="235"/>
        <v>503870.0799999999</v>
      </c>
      <c r="R566" s="63">
        <f t="shared" si="235"/>
        <v>503870.0799999999</v>
      </c>
    </row>
    <row r="567" spans="2:18" s="34" customFormat="1" ht="57.6">
      <c r="B567" s="87" t="s">
        <v>1109</v>
      </c>
      <c r="C567" s="88" t="s">
        <v>1110</v>
      </c>
      <c r="D567" s="89" t="s">
        <v>63</v>
      </c>
      <c r="E567" s="92">
        <v>33</v>
      </c>
      <c r="F567" s="91"/>
      <c r="G567" s="91"/>
      <c r="H567" s="91"/>
      <c r="I567" s="91">
        <f>SUM(G567:H567)+'BM 007'!I567</f>
        <v>0</v>
      </c>
      <c r="J567" s="91">
        <f t="shared" si="227"/>
        <v>33</v>
      </c>
      <c r="K567" s="84">
        <v>540</v>
      </c>
      <c r="L567" s="81">
        <f t="shared" si="226"/>
        <v>684.50405940000007</v>
      </c>
      <c r="M567" s="82">
        <f t="shared" ref="M567:M587" si="236">TRUNC(F567*L567,2)</f>
        <v>0</v>
      </c>
      <c r="N567" s="82">
        <f t="shared" ref="N567:N587" si="237">TRUNC(G567*L567,2)</f>
        <v>0</v>
      </c>
      <c r="O567" s="82">
        <f>N567+'BM 007'!O567</f>
        <v>0</v>
      </c>
      <c r="P567" s="80">
        <f t="shared" ref="P567:P587" si="238">E567*K567</f>
        <v>17820</v>
      </c>
      <c r="Q567" s="82">
        <f t="shared" ref="Q567:Q587" si="239">TRUNC(E567*L567,2)</f>
        <v>22588.63</v>
      </c>
      <c r="R567" s="82">
        <f t="shared" ref="R567:R587" si="240">Q567-O567</f>
        <v>22588.63</v>
      </c>
    </row>
    <row r="568" spans="2:18" s="34" customFormat="1" ht="57.6">
      <c r="B568" s="87" t="s">
        <v>1111</v>
      </c>
      <c r="C568" s="88" t="s">
        <v>1112</v>
      </c>
      <c r="D568" s="89" t="s">
        <v>63</v>
      </c>
      <c r="E568" s="90">
        <f>56-E567</f>
        <v>23</v>
      </c>
      <c r="F568" s="91"/>
      <c r="G568" s="91"/>
      <c r="H568" s="91"/>
      <c r="I568" s="91">
        <f>SUM(G568:H568)+'BM 007'!I568</f>
        <v>0</v>
      </c>
      <c r="J568" s="91">
        <f t="shared" si="227"/>
        <v>23</v>
      </c>
      <c r="K568" s="80">
        <v>685</v>
      </c>
      <c r="L568" s="81">
        <f t="shared" si="226"/>
        <v>868.30607535000001</v>
      </c>
      <c r="M568" s="82">
        <f t="shared" si="236"/>
        <v>0</v>
      </c>
      <c r="N568" s="82">
        <f t="shared" si="237"/>
        <v>0</v>
      </c>
      <c r="O568" s="82">
        <f>N568+'BM 007'!O568</f>
        <v>0</v>
      </c>
      <c r="P568" s="80">
        <f t="shared" si="238"/>
        <v>15755</v>
      </c>
      <c r="Q568" s="82">
        <f t="shared" si="239"/>
        <v>19971.03</v>
      </c>
      <c r="R568" s="82">
        <f t="shared" si="240"/>
        <v>19971.03</v>
      </c>
    </row>
    <row r="569" spans="2:18" s="34" customFormat="1" ht="34.799999999999997">
      <c r="B569" s="87" t="s">
        <v>1113</v>
      </c>
      <c r="C569" s="88" t="s">
        <v>1114</v>
      </c>
      <c r="D569" s="89" t="s">
        <v>131</v>
      </c>
      <c r="E569" s="92">
        <v>17</v>
      </c>
      <c r="F569" s="91"/>
      <c r="G569" s="91"/>
      <c r="H569" s="91"/>
      <c r="I569" s="91">
        <f>SUM(G569:H569)+'BM 007'!I569</f>
        <v>0</v>
      </c>
      <c r="J569" s="91">
        <f t="shared" si="227"/>
        <v>17</v>
      </c>
      <c r="K569" s="84">
        <v>725</v>
      </c>
      <c r="L569" s="81">
        <f t="shared" si="226"/>
        <v>919.01007975000005</v>
      </c>
      <c r="M569" s="82">
        <f t="shared" si="236"/>
        <v>0</v>
      </c>
      <c r="N569" s="82">
        <f t="shared" si="237"/>
        <v>0</v>
      </c>
      <c r="O569" s="82">
        <f>N569+'BM 007'!O569</f>
        <v>0</v>
      </c>
      <c r="P569" s="80">
        <f t="shared" si="238"/>
        <v>12325</v>
      </c>
      <c r="Q569" s="82">
        <f t="shared" si="239"/>
        <v>15623.17</v>
      </c>
      <c r="R569" s="82">
        <f t="shared" si="240"/>
        <v>15623.17</v>
      </c>
    </row>
    <row r="570" spans="2:18" s="34" customFormat="1" ht="23.4">
      <c r="B570" s="87" t="s">
        <v>1115</v>
      </c>
      <c r="C570" s="88" t="s">
        <v>1116</v>
      </c>
      <c r="D570" s="89" t="s">
        <v>63</v>
      </c>
      <c r="E570" s="92">
        <v>56</v>
      </c>
      <c r="F570" s="91"/>
      <c r="G570" s="91"/>
      <c r="H570" s="91"/>
      <c r="I570" s="91">
        <f>SUM(G570:H570)+'BM 007'!I570</f>
        <v>0</v>
      </c>
      <c r="J570" s="91">
        <f t="shared" si="227"/>
        <v>56</v>
      </c>
      <c r="K570" s="84">
        <v>175</v>
      </c>
      <c r="L570" s="81">
        <f t="shared" si="226"/>
        <v>221.83001925000002</v>
      </c>
      <c r="M570" s="82">
        <f t="shared" si="236"/>
        <v>0</v>
      </c>
      <c r="N570" s="82">
        <f t="shared" si="237"/>
        <v>0</v>
      </c>
      <c r="O570" s="82">
        <f>N570+'BM 007'!O570</f>
        <v>0</v>
      </c>
      <c r="P570" s="80">
        <f t="shared" si="238"/>
        <v>9800</v>
      </c>
      <c r="Q570" s="82">
        <f t="shared" si="239"/>
        <v>12422.48</v>
      </c>
      <c r="R570" s="82">
        <f t="shared" si="240"/>
        <v>12422.48</v>
      </c>
    </row>
    <row r="571" spans="2:18" s="34" customFormat="1" ht="23.4">
      <c r="B571" s="87" t="s">
        <v>1117</v>
      </c>
      <c r="C571" s="88" t="s">
        <v>1118</v>
      </c>
      <c r="D571" s="89" t="s">
        <v>63</v>
      </c>
      <c r="E571" s="92">
        <v>11</v>
      </c>
      <c r="F571" s="91"/>
      <c r="G571" s="91"/>
      <c r="H571" s="91"/>
      <c r="I571" s="91">
        <f>SUM(G571:H571)+'BM 007'!I571</f>
        <v>0</v>
      </c>
      <c r="J571" s="91">
        <f t="shared" si="227"/>
        <v>11</v>
      </c>
      <c r="K571" s="84">
        <v>120</v>
      </c>
      <c r="L571" s="81">
        <f t="shared" si="226"/>
        <v>152.11201320000001</v>
      </c>
      <c r="M571" s="82">
        <f t="shared" si="236"/>
        <v>0</v>
      </c>
      <c r="N571" s="82">
        <f t="shared" si="237"/>
        <v>0</v>
      </c>
      <c r="O571" s="82">
        <f>N571+'BM 007'!O571</f>
        <v>0</v>
      </c>
      <c r="P571" s="80">
        <f t="shared" si="238"/>
        <v>1320</v>
      </c>
      <c r="Q571" s="82">
        <f t="shared" si="239"/>
        <v>1673.23</v>
      </c>
      <c r="R571" s="82">
        <f t="shared" si="240"/>
        <v>1673.23</v>
      </c>
    </row>
    <row r="572" spans="2:18" s="34" customFormat="1" ht="46.2">
      <c r="B572" s="87" t="s">
        <v>1119</v>
      </c>
      <c r="C572" s="88" t="s">
        <v>1120</v>
      </c>
      <c r="D572" s="89" t="s">
        <v>63</v>
      </c>
      <c r="E572" s="92">
        <v>20</v>
      </c>
      <c r="F572" s="91"/>
      <c r="G572" s="91"/>
      <c r="H572" s="91"/>
      <c r="I572" s="91">
        <f>SUM(G572:H572)+'BM 007'!I572</f>
        <v>0</v>
      </c>
      <c r="J572" s="91">
        <f t="shared" si="227"/>
        <v>20</v>
      </c>
      <c r="K572" s="84">
        <v>205</v>
      </c>
      <c r="L572" s="81">
        <f t="shared" si="226"/>
        <v>259.85802254999999</v>
      </c>
      <c r="M572" s="82">
        <f t="shared" si="236"/>
        <v>0</v>
      </c>
      <c r="N572" s="82">
        <f t="shared" si="237"/>
        <v>0</v>
      </c>
      <c r="O572" s="82">
        <f>N572+'BM 007'!O572</f>
        <v>0</v>
      </c>
      <c r="P572" s="80">
        <f t="shared" si="238"/>
        <v>4100</v>
      </c>
      <c r="Q572" s="82">
        <f t="shared" si="239"/>
        <v>5197.16</v>
      </c>
      <c r="R572" s="82">
        <f t="shared" si="240"/>
        <v>5197.16</v>
      </c>
    </row>
    <row r="573" spans="2:18" s="34" customFormat="1" ht="23.4">
      <c r="B573" s="87" t="s">
        <v>1121</v>
      </c>
      <c r="C573" s="88" t="s">
        <v>1122</v>
      </c>
      <c r="D573" s="89" t="s">
        <v>63</v>
      </c>
      <c r="E573" s="92">
        <v>39</v>
      </c>
      <c r="F573" s="91"/>
      <c r="G573" s="91"/>
      <c r="H573" s="91"/>
      <c r="I573" s="91">
        <f>SUM(G573:H573)+'BM 007'!I573</f>
        <v>0</v>
      </c>
      <c r="J573" s="91">
        <f t="shared" si="227"/>
        <v>39</v>
      </c>
      <c r="K573" s="84">
        <v>730</v>
      </c>
      <c r="L573" s="81">
        <f t="shared" si="226"/>
        <v>925.34808029999999</v>
      </c>
      <c r="M573" s="82">
        <f t="shared" si="236"/>
        <v>0</v>
      </c>
      <c r="N573" s="82">
        <f t="shared" si="237"/>
        <v>0</v>
      </c>
      <c r="O573" s="82">
        <f>N573+'BM 007'!O573</f>
        <v>0</v>
      </c>
      <c r="P573" s="80">
        <f t="shared" si="238"/>
        <v>28470</v>
      </c>
      <c r="Q573" s="82">
        <f t="shared" si="239"/>
        <v>36088.57</v>
      </c>
      <c r="R573" s="82">
        <f t="shared" si="240"/>
        <v>36088.57</v>
      </c>
    </row>
    <row r="574" spans="2:18" s="34" customFormat="1" ht="23.4">
      <c r="B574" s="87" t="s">
        <v>1123</v>
      </c>
      <c r="C574" s="88" t="s">
        <v>1124</v>
      </c>
      <c r="D574" s="89" t="s">
        <v>63</v>
      </c>
      <c r="E574" s="92">
        <v>6</v>
      </c>
      <c r="F574" s="91"/>
      <c r="G574" s="91"/>
      <c r="H574" s="91"/>
      <c r="I574" s="91">
        <f>SUM(G574:H574)+'BM 007'!I574</f>
        <v>0</v>
      </c>
      <c r="J574" s="91">
        <f t="shared" si="227"/>
        <v>6</v>
      </c>
      <c r="K574" s="84">
        <v>4500</v>
      </c>
      <c r="L574" s="81">
        <f t="shared" si="226"/>
        <v>5704.200495</v>
      </c>
      <c r="M574" s="82">
        <f t="shared" si="236"/>
        <v>0</v>
      </c>
      <c r="N574" s="82">
        <f t="shared" si="237"/>
        <v>0</v>
      </c>
      <c r="O574" s="82">
        <f>N574+'BM 007'!O574</f>
        <v>0</v>
      </c>
      <c r="P574" s="80">
        <f t="shared" si="238"/>
        <v>27000</v>
      </c>
      <c r="Q574" s="82">
        <f t="shared" si="239"/>
        <v>34225.199999999997</v>
      </c>
      <c r="R574" s="82">
        <f t="shared" si="240"/>
        <v>34225.199999999997</v>
      </c>
    </row>
    <row r="575" spans="2:18" s="34" customFormat="1" ht="46.2">
      <c r="B575" s="87" t="s">
        <v>1125</v>
      </c>
      <c r="C575" s="88" t="s">
        <v>1126</v>
      </c>
      <c r="D575" s="89" t="s">
        <v>63</v>
      </c>
      <c r="E575" s="92">
        <v>59</v>
      </c>
      <c r="F575" s="91"/>
      <c r="G575" s="91"/>
      <c r="H575" s="91"/>
      <c r="I575" s="91">
        <f>SUM(G575:H575)+'BM 007'!I575</f>
        <v>0</v>
      </c>
      <c r="J575" s="91">
        <f t="shared" si="227"/>
        <v>59</v>
      </c>
      <c r="K575" s="84">
        <v>745</v>
      </c>
      <c r="L575" s="81">
        <f t="shared" si="226"/>
        <v>944.36208195000006</v>
      </c>
      <c r="M575" s="82">
        <f t="shared" si="236"/>
        <v>0</v>
      </c>
      <c r="N575" s="82">
        <f t="shared" si="237"/>
        <v>0</v>
      </c>
      <c r="O575" s="82">
        <f>N575+'BM 007'!O575</f>
        <v>0</v>
      </c>
      <c r="P575" s="80">
        <f t="shared" si="238"/>
        <v>43955</v>
      </c>
      <c r="Q575" s="82">
        <f t="shared" si="239"/>
        <v>55717.36</v>
      </c>
      <c r="R575" s="82">
        <f t="shared" si="240"/>
        <v>55717.36</v>
      </c>
    </row>
    <row r="576" spans="2:18" s="34" customFormat="1" ht="23.4">
      <c r="B576" s="87" t="s">
        <v>1127</v>
      </c>
      <c r="C576" s="88" t="s">
        <v>1128</v>
      </c>
      <c r="D576" s="89" t="s">
        <v>63</v>
      </c>
      <c r="E576" s="92">
        <v>74</v>
      </c>
      <c r="F576" s="91"/>
      <c r="G576" s="91"/>
      <c r="H576" s="91"/>
      <c r="I576" s="91">
        <f>SUM(G576:H576)+'BM 007'!I576</f>
        <v>0</v>
      </c>
      <c r="J576" s="91">
        <f t="shared" si="227"/>
        <v>74</v>
      </c>
      <c r="K576" s="84">
        <v>250</v>
      </c>
      <c r="L576" s="81">
        <f t="shared" si="226"/>
        <v>316.90002750000002</v>
      </c>
      <c r="M576" s="82">
        <f t="shared" si="236"/>
        <v>0</v>
      </c>
      <c r="N576" s="82">
        <f t="shared" si="237"/>
        <v>0</v>
      </c>
      <c r="O576" s="82">
        <f>N576+'BM 007'!O576</f>
        <v>0</v>
      </c>
      <c r="P576" s="80">
        <f t="shared" si="238"/>
        <v>18500</v>
      </c>
      <c r="Q576" s="82">
        <f t="shared" si="239"/>
        <v>23450.6</v>
      </c>
      <c r="R576" s="82">
        <f t="shared" si="240"/>
        <v>23450.6</v>
      </c>
    </row>
    <row r="577" spans="1:23" s="34" customFormat="1" ht="23.4">
      <c r="B577" s="87" t="s">
        <v>1129</v>
      </c>
      <c r="C577" s="88" t="s">
        <v>1130</v>
      </c>
      <c r="D577" s="89" t="s">
        <v>63</v>
      </c>
      <c r="E577" s="92">
        <v>49</v>
      </c>
      <c r="F577" s="91"/>
      <c r="G577" s="91"/>
      <c r="H577" s="91"/>
      <c r="I577" s="91">
        <f>SUM(G577:H577)+'BM 007'!I577</f>
        <v>0</v>
      </c>
      <c r="J577" s="91">
        <f t="shared" si="227"/>
        <v>49</v>
      </c>
      <c r="K577" s="84">
        <v>250</v>
      </c>
      <c r="L577" s="81">
        <f t="shared" si="226"/>
        <v>316.90002750000002</v>
      </c>
      <c r="M577" s="82">
        <f t="shared" si="236"/>
        <v>0</v>
      </c>
      <c r="N577" s="82">
        <f t="shared" si="237"/>
        <v>0</v>
      </c>
      <c r="O577" s="82">
        <f>N577+'BM 007'!O577</f>
        <v>0</v>
      </c>
      <c r="P577" s="80">
        <f t="shared" si="238"/>
        <v>12250</v>
      </c>
      <c r="Q577" s="82">
        <f t="shared" si="239"/>
        <v>15528.1</v>
      </c>
      <c r="R577" s="82">
        <f t="shared" si="240"/>
        <v>15528.1</v>
      </c>
    </row>
    <row r="578" spans="1:23" s="34" customFormat="1" ht="23.4">
      <c r="B578" s="87" t="s">
        <v>1131</v>
      </c>
      <c r="C578" s="88" t="s">
        <v>1132</v>
      </c>
      <c r="D578" s="89" t="s">
        <v>63</v>
      </c>
      <c r="E578" s="92">
        <v>102</v>
      </c>
      <c r="F578" s="91"/>
      <c r="G578" s="91"/>
      <c r="H578" s="91"/>
      <c r="I578" s="91">
        <f>SUM(G578:H578)+'BM 007'!I578</f>
        <v>0</v>
      </c>
      <c r="J578" s="91">
        <f t="shared" si="227"/>
        <v>102</v>
      </c>
      <c r="K578" s="84">
        <v>200</v>
      </c>
      <c r="L578" s="81">
        <f t="shared" si="226"/>
        <v>253.52002200000001</v>
      </c>
      <c r="M578" s="82">
        <f t="shared" si="236"/>
        <v>0</v>
      </c>
      <c r="N578" s="82">
        <f t="shared" si="237"/>
        <v>0</v>
      </c>
      <c r="O578" s="82">
        <f>N578+'BM 007'!O578</f>
        <v>0</v>
      </c>
      <c r="P578" s="80">
        <f t="shared" si="238"/>
        <v>20400</v>
      </c>
      <c r="Q578" s="82">
        <f t="shared" si="239"/>
        <v>25859.040000000001</v>
      </c>
      <c r="R578" s="82">
        <f t="shared" si="240"/>
        <v>25859.040000000001</v>
      </c>
    </row>
    <row r="579" spans="1:23" s="34" customFormat="1" ht="13.2">
      <c r="B579" s="87" t="s">
        <v>1133</v>
      </c>
      <c r="C579" s="88" t="s">
        <v>1134</v>
      </c>
      <c r="D579" s="89" t="s">
        <v>63</v>
      </c>
      <c r="E579" s="92">
        <v>135</v>
      </c>
      <c r="F579" s="91"/>
      <c r="G579" s="91"/>
      <c r="H579" s="91"/>
      <c r="I579" s="91">
        <f>SUM(G579:H579)+'BM 007'!I579</f>
        <v>0</v>
      </c>
      <c r="J579" s="91">
        <f t="shared" si="227"/>
        <v>135</v>
      </c>
      <c r="K579" s="84">
        <v>85</v>
      </c>
      <c r="L579" s="81">
        <f t="shared" si="226"/>
        <v>107.74600935000001</v>
      </c>
      <c r="M579" s="82">
        <f t="shared" si="236"/>
        <v>0</v>
      </c>
      <c r="N579" s="82">
        <f t="shared" si="237"/>
        <v>0</v>
      </c>
      <c r="O579" s="82">
        <f>N579+'BM 007'!O579</f>
        <v>0</v>
      </c>
      <c r="P579" s="80">
        <f t="shared" si="238"/>
        <v>11475</v>
      </c>
      <c r="Q579" s="82">
        <f t="shared" si="239"/>
        <v>14545.71</v>
      </c>
      <c r="R579" s="82">
        <f t="shared" si="240"/>
        <v>14545.71</v>
      </c>
    </row>
    <row r="580" spans="1:23" s="34" customFormat="1" ht="34.799999999999997">
      <c r="B580" s="87" t="s">
        <v>1135</v>
      </c>
      <c r="C580" s="88" t="s">
        <v>1136</v>
      </c>
      <c r="D580" s="89" t="s">
        <v>79</v>
      </c>
      <c r="E580" s="92">
        <v>43.42</v>
      </c>
      <c r="F580" s="91"/>
      <c r="G580" s="91"/>
      <c r="H580" s="91"/>
      <c r="I580" s="91">
        <f>SUM(G580:H580)+'BM 007'!I580</f>
        <v>0</v>
      </c>
      <c r="J580" s="91">
        <f t="shared" si="227"/>
        <v>43.42</v>
      </c>
      <c r="K580" s="84">
        <v>2590</v>
      </c>
      <c r="L580" s="81">
        <f t="shared" si="226"/>
        <v>3283.0842849000001</v>
      </c>
      <c r="M580" s="82">
        <f t="shared" si="236"/>
        <v>0</v>
      </c>
      <c r="N580" s="82">
        <f t="shared" si="237"/>
        <v>0</v>
      </c>
      <c r="O580" s="82">
        <f>N580+'BM 007'!O580</f>
        <v>0</v>
      </c>
      <c r="P580" s="80">
        <f t="shared" si="238"/>
        <v>112457.8</v>
      </c>
      <c r="Q580" s="82">
        <f t="shared" si="239"/>
        <v>142551.51</v>
      </c>
      <c r="R580" s="82">
        <f t="shared" si="240"/>
        <v>142551.51</v>
      </c>
    </row>
    <row r="581" spans="1:23" s="34" customFormat="1" ht="34.799999999999997">
      <c r="B581" s="87" t="s">
        <v>1137</v>
      </c>
      <c r="C581" s="88" t="s">
        <v>1138</v>
      </c>
      <c r="D581" s="89" t="s">
        <v>79</v>
      </c>
      <c r="E581" s="92">
        <v>8.93</v>
      </c>
      <c r="F581" s="91"/>
      <c r="G581" s="91"/>
      <c r="H581" s="91"/>
      <c r="I581" s="91">
        <f>SUM(G581:H581)+'BM 007'!I581</f>
        <v>0</v>
      </c>
      <c r="J581" s="91">
        <f t="shared" si="227"/>
        <v>8.93</v>
      </c>
      <c r="K581" s="84">
        <v>950</v>
      </c>
      <c r="L581" s="81">
        <f t="shared" si="226"/>
        <v>1204.2201045000002</v>
      </c>
      <c r="M581" s="82">
        <f t="shared" si="236"/>
        <v>0</v>
      </c>
      <c r="N581" s="82">
        <f t="shared" si="237"/>
        <v>0</v>
      </c>
      <c r="O581" s="82">
        <f>N581+'BM 007'!O581</f>
        <v>0</v>
      </c>
      <c r="P581" s="80">
        <f t="shared" si="238"/>
        <v>8483.5</v>
      </c>
      <c r="Q581" s="82">
        <f t="shared" si="239"/>
        <v>10753.68</v>
      </c>
      <c r="R581" s="82">
        <f t="shared" si="240"/>
        <v>10753.68</v>
      </c>
    </row>
    <row r="582" spans="1:23" s="34" customFormat="1" ht="23.4">
      <c r="B582" s="87" t="s">
        <v>1139</v>
      </c>
      <c r="C582" s="88" t="s">
        <v>1140</v>
      </c>
      <c r="D582" s="89" t="s">
        <v>63</v>
      </c>
      <c r="E582" s="92">
        <v>1</v>
      </c>
      <c r="F582" s="91"/>
      <c r="G582" s="91"/>
      <c r="H582" s="91"/>
      <c r="I582" s="91">
        <f>SUM(G582:H582)+'BM 007'!I582</f>
        <v>0</v>
      </c>
      <c r="J582" s="91">
        <f t="shared" si="227"/>
        <v>1</v>
      </c>
      <c r="K582" s="84">
        <v>210</v>
      </c>
      <c r="L582" s="81">
        <f t="shared" si="226"/>
        <v>266.19602309999999</v>
      </c>
      <c r="M582" s="82">
        <f t="shared" si="236"/>
        <v>0</v>
      </c>
      <c r="N582" s="82">
        <f t="shared" si="237"/>
        <v>0</v>
      </c>
      <c r="O582" s="82">
        <f>N582+'BM 007'!O582</f>
        <v>0</v>
      </c>
      <c r="P582" s="80">
        <f t="shared" si="238"/>
        <v>210</v>
      </c>
      <c r="Q582" s="82">
        <f t="shared" si="239"/>
        <v>266.19</v>
      </c>
      <c r="R582" s="82">
        <f t="shared" si="240"/>
        <v>266.19</v>
      </c>
    </row>
    <row r="583" spans="1:23" ht="35.4">
      <c r="A583" s="34"/>
      <c r="B583" s="87" t="s">
        <v>1141</v>
      </c>
      <c r="C583" s="88" t="s">
        <v>1142</v>
      </c>
      <c r="D583" s="89" t="s">
        <v>63</v>
      </c>
      <c r="E583" s="92">
        <v>22</v>
      </c>
      <c r="F583" s="91"/>
      <c r="G583" s="91"/>
      <c r="H583" s="91"/>
      <c r="I583" s="91">
        <f>SUM(G583:H583)+'BM 007'!I583</f>
        <v>0</v>
      </c>
      <c r="J583" s="91">
        <f t="shared" si="227"/>
        <v>22</v>
      </c>
      <c r="K583" s="84">
        <v>490</v>
      </c>
      <c r="L583" s="81">
        <f t="shared" si="226"/>
        <v>621.12405390000004</v>
      </c>
      <c r="M583" s="82">
        <f t="shared" si="236"/>
        <v>0</v>
      </c>
      <c r="N583" s="82">
        <f t="shared" si="237"/>
        <v>0</v>
      </c>
      <c r="O583" s="82">
        <f>N583+'BM 007'!O583</f>
        <v>0</v>
      </c>
      <c r="P583" s="80">
        <f t="shared" si="238"/>
        <v>10780</v>
      </c>
      <c r="Q583" s="82">
        <f t="shared" si="239"/>
        <v>13664.72</v>
      </c>
      <c r="R583" s="82">
        <f t="shared" si="240"/>
        <v>13664.72</v>
      </c>
      <c r="S583" s="34"/>
      <c r="T583" s="34"/>
      <c r="U583" s="34"/>
      <c r="V583" s="34"/>
      <c r="W583" s="34"/>
    </row>
    <row r="584" spans="1:23" ht="58.2">
      <c r="A584" s="34"/>
      <c r="B584" s="87" t="s">
        <v>1143</v>
      </c>
      <c r="C584" s="88" t="s">
        <v>1144</v>
      </c>
      <c r="D584" s="89" t="s">
        <v>63</v>
      </c>
      <c r="E584" s="92">
        <v>3</v>
      </c>
      <c r="F584" s="91"/>
      <c r="G584" s="91"/>
      <c r="H584" s="91"/>
      <c r="I584" s="91">
        <f>SUM(G584:H584)+'BM 007'!I584</f>
        <v>0</v>
      </c>
      <c r="J584" s="91">
        <f t="shared" si="227"/>
        <v>3</v>
      </c>
      <c r="K584" s="84">
        <v>2480</v>
      </c>
      <c r="L584" s="81">
        <f t="shared" si="226"/>
        <v>3143.6482728000001</v>
      </c>
      <c r="M584" s="82">
        <f t="shared" si="236"/>
        <v>0</v>
      </c>
      <c r="N584" s="82">
        <f t="shared" si="237"/>
        <v>0</v>
      </c>
      <c r="O584" s="82">
        <f>N584+'BM 007'!O584</f>
        <v>0</v>
      </c>
      <c r="P584" s="80">
        <f t="shared" si="238"/>
        <v>7440</v>
      </c>
      <c r="Q584" s="82">
        <f t="shared" si="239"/>
        <v>9430.94</v>
      </c>
      <c r="R584" s="82">
        <f t="shared" si="240"/>
        <v>9430.94</v>
      </c>
      <c r="S584" s="34"/>
      <c r="T584" s="34"/>
      <c r="U584" s="34"/>
      <c r="V584" s="34"/>
      <c r="W584" s="34"/>
    </row>
    <row r="585" spans="1:23" ht="24">
      <c r="A585" s="34"/>
      <c r="B585" s="87" t="s">
        <v>1145</v>
      </c>
      <c r="C585" s="88" t="s">
        <v>1146</v>
      </c>
      <c r="D585" s="89" t="s">
        <v>63</v>
      </c>
      <c r="E585" s="92">
        <v>7</v>
      </c>
      <c r="F585" s="91"/>
      <c r="G585" s="91"/>
      <c r="H585" s="91"/>
      <c r="I585" s="91">
        <f>SUM(G585:H585)+'BM 007'!I585</f>
        <v>0</v>
      </c>
      <c r="J585" s="91">
        <f t="shared" si="227"/>
        <v>7</v>
      </c>
      <c r="K585" s="84">
        <v>950</v>
      </c>
      <c r="L585" s="81">
        <f t="shared" si="226"/>
        <v>1204.2201045000002</v>
      </c>
      <c r="M585" s="82">
        <f t="shared" si="236"/>
        <v>0</v>
      </c>
      <c r="N585" s="82">
        <f t="shared" si="237"/>
        <v>0</v>
      </c>
      <c r="O585" s="82">
        <f>N585+'BM 007'!O585</f>
        <v>0</v>
      </c>
      <c r="P585" s="80">
        <f t="shared" si="238"/>
        <v>6650</v>
      </c>
      <c r="Q585" s="82">
        <f t="shared" si="239"/>
        <v>8429.5400000000009</v>
      </c>
      <c r="R585" s="82">
        <f t="shared" si="240"/>
        <v>8429.5400000000009</v>
      </c>
      <c r="S585" s="34"/>
      <c r="T585" s="34"/>
      <c r="U585" s="34"/>
      <c r="V585" s="34"/>
      <c r="W585" s="34"/>
    </row>
    <row r="586" spans="1:23" ht="35.4">
      <c r="A586" s="34"/>
      <c r="B586" s="87" t="s">
        <v>1147</v>
      </c>
      <c r="C586" s="88" t="s">
        <v>1148</v>
      </c>
      <c r="D586" s="89" t="s">
        <v>63</v>
      </c>
      <c r="E586" s="92">
        <v>43</v>
      </c>
      <c r="F586" s="91"/>
      <c r="G586" s="91"/>
      <c r="H586" s="91"/>
      <c r="I586" s="91">
        <f>SUM(G586:H586)+'BM 007'!I586</f>
        <v>0</v>
      </c>
      <c r="J586" s="91">
        <f t="shared" si="227"/>
        <v>43</v>
      </c>
      <c r="K586" s="84">
        <v>300</v>
      </c>
      <c r="L586" s="81">
        <f t="shared" si="226"/>
        <v>380.280033</v>
      </c>
      <c r="M586" s="82">
        <f t="shared" si="236"/>
        <v>0</v>
      </c>
      <c r="N586" s="82">
        <f t="shared" si="237"/>
        <v>0</v>
      </c>
      <c r="O586" s="82">
        <f>N586+'BM 007'!O586</f>
        <v>0</v>
      </c>
      <c r="P586" s="80">
        <f t="shared" si="238"/>
        <v>12900</v>
      </c>
      <c r="Q586" s="82">
        <f t="shared" si="239"/>
        <v>16352.04</v>
      </c>
      <c r="R586" s="82">
        <f t="shared" si="240"/>
        <v>16352.04</v>
      </c>
      <c r="S586" s="34"/>
      <c r="T586" s="34"/>
      <c r="U586" s="34"/>
      <c r="V586" s="34"/>
      <c r="W586" s="34"/>
    </row>
    <row r="587" spans="1:23" ht="35.4">
      <c r="A587" s="34"/>
      <c r="B587" s="87" t="s">
        <v>1149</v>
      </c>
      <c r="C587" s="88" t="s">
        <v>1150</v>
      </c>
      <c r="D587" s="89" t="s">
        <v>63</v>
      </c>
      <c r="E587" s="92">
        <v>4</v>
      </c>
      <c r="F587" s="91"/>
      <c r="G587" s="91"/>
      <c r="H587" s="91"/>
      <c r="I587" s="91">
        <f>SUM(G587:H587)+'BM 007'!I587</f>
        <v>0</v>
      </c>
      <c r="J587" s="91">
        <f t="shared" si="227"/>
        <v>4</v>
      </c>
      <c r="K587" s="84">
        <v>3852</v>
      </c>
      <c r="L587" s="81">
        <f t="shared" si="226"/>
        <v>4882.7956237200005</v>
      </c>
      <c r="M587" s="82">
        <f t="shared" si="236"/>
        <v>0</v>
      </c>
      <c r="N587" s="82">
        <f t="shared" si="237"/>
        <v>0</v>
      </c>
      <c r="O587" s="82">
        <f>N587+'BM 007'!O587</f>
        <v>0</v>
      </c>
      <c r="P587" s="80">
        <f t="shared" si="238"/>
        <v>15408</v>
      </c>
      <c r="Q587" s="82">
        <f t="shared" si="239"/>
        <v>19531.18</v>
      </c>
      <c r="R587" s="82">
        <f t="shared" si="240"/>
        <v>19531.18</v>
      </c>
      <c r="S587" s="34"/>
      <c r="T587" s="34"/>
      <c r="U587" s="34"/>
      <c r="V587" s="34"/>
      <c r="W587" s="34"/>
    </row>
    <row r="588" spans="1:23">
      <c r="A588" s="34"/>
      <c r="B588" s="60" t="s">
        <v>1151</v>
      </c>
      <c r="C588" s="61" t="s">
        <v>1152</v>
      </c>
      <c r="D588" s="60"/>
      <c r="E588" s="62"/>
      <c r="F588" s="63"/>
      <c r="G588" s="63"/>
      <c r="H588" s="63"/>
      <c r="I588" s="63">
        <f>SUM(G588:H588)+'BM 007'!I588</f>
        <v>0</v>
      </c>
      <c r="J588" s="63">
        <f t="shared" si="227"/>
        <v>0</v>
      </c>
      <c r="K588" s="63"/>
      <c r="L588" s="63">
        <f t="shared" si="226"/>
        <v>0</v>
      </c>
      <c r="M588" s="63">
        <f t="shared" ref="M588:R588" si="241">SUM(M589:M590)</f>
        <v>0</v>
      </c>
      <c r="N588" s="63">
        <f t="shared" si="241"/>
        <v>0</v>
      </c>
      <c r="O588" s="63">
        <f t="shared" si="241"/>
        <v>0</v>
      </c>
      <c r="P588" s="63">
        <f t="shared" si="241"/>
        <v>30555.67</v>
      </c>
      <c r="Q588" s="63">
        <f t="shared" si="241"/>
        <v>38732.36</v>
      </c>
      <c r="R588" s="63">
        <f t="shared" si="241"/>
        <v>38732.36</v>
      </c>
      <c r="S588" s="34"/>
      <c r="T588" s="34"/>
      <c r="U588" s="34"/>
      <c r="V588" s="34"/>
      <c r="W588" s="34"/>
    </row>
    <row r="589" spans="1:23" ht="24">
      <c r="A589" s="34"/>
      <c r="B589" s="75" t="s">
        <v>1153</v>
      </c>
      <c r="C589" s="76" t="s">
        <v>1154</v>
      </c>
      <c r="D589" s="121" t="s">
        <v>63</v>
      </c>
      <c r="E589" s="78">
        <v>1</v>
      </c>
      <c r="F589" s="79"/>
      <c r="G589" s="79"/>
      <c r="H589" s="79"/>
      <c r="I589" s="79">
        <f>SUM(G589:H589)+'BM 007'!I589</f>
        <v>0</v>
      </c>
      <c r="J589" s="79">
        <f t="shared" si="227"/>
        <v>1</v>
      </c>
      <c r="K589" s="84">
        <v>5076.55</v>
      </c>
      <c r="L589" s="81">
        <f t="shared" si="226"/>
        <v>6435.0353384205009</v>
      </c>
      <c r="M589" s="82">
        <f>TRUNC(F589*L589,2)</f>
        <v>0</v>
      </c>
      <c r="N589" s="82">
        <f>TRUNC(G589*L589,2)</f>
        <v>0</v>
      </c>
      <c r="O589" s="82">
        <f>N589+'BM 007'!O589</f>
        <v>0</v>
      </c>
      <c r="P589" s="80">
        <f>E589*K589</f>
        <v>5076.55</v>
      </c>
      <c r="Q589" s="82">
        <f>TRUNC(E589*L589,2)</f>
        <v>6435.03</v>
      </c>
      <c r="R589" s="82">
        <f>Q589-O589</f>
        <v>6435.03</v>
      </c>
      <c r="S589" s="34"/>
      <c r="T589" s="34"/>
      <c r="U589" s="34"/>
      <c r="V589" s="34"/>
      <c r="W589" s="34"/>
    </row>
    <row r="590" spans="1:23" s="122" customFormat="1" ht="13.8">
      <c r="A590" s="34"/>
      <c r="B590" s="75" t="s">
        <v>1155</v>
      </c>
      <c r="C590" s="76" t="s">
        <v>1156</v>
      </c>
      <c r="D590" s="77" t="s">
        <v>79</v>
      </c>
      <c r="E590" s="93">
        <v>6369.78</v>
      </c>
      <c r="F590" s="79"/>
      <c r="G590" s="79"/>
      <c r="H590" s="79"/>
      <c r="I590" s="79">
        <f>SUM(G590:H590)+'BM 007'!I590</f>
        <v>0</v>
      </c>
      <c r="J590" s="79">
        <f t="shared" si="227"/>
        <v>6369.78</v>
      </c>
      <c r="K590" s="123">
        <v>4</v>
      </c>
      <c r="L590" s="81">
        <f t="shared" si="226"/>
        <v>5.0704004400000002</v>
      </c>
      <c r="M590" s="82">
        <f>TRUNC(F590*L590,2)</f>
        <v>0</v>
      </c>
      <c r="N590" s="82">
        <f>TRUNC(G590*L590,2)</f>
        <v>0</v>
      </c>
      <c r="O590" s="82">
        <f>N590+'BM 007'!O590</f>
        <v>0</v>
      </c>
      <c r="P590" s="124">
        <f>E590*K590</f>
        <v>25479.119999999999</v>
      </c>
      <c r="Q590" s="82">
        <f>TRUNC(E590*L590,2)</f>
        <v>32297.33</v>
      </c>
      <c r="R590" s="82">
        <f>Q590-O590</f>
        <v>32297.33</v>
      </c>
      <c r="S590" s="34"/>
      <c r="T590" s="34"/>
      <c r="U590" s="34"/>
      <c r="V590" s="34"/>
      <c r="W590" s="34"/>
    </row>
    <row r="591" spans="1:23" s="122" customFormat="1" ht="31.5" customHeight="1">
      <c r="A591" s="2"/>
      <c r="B591" s="533" t="s">
        <v>1157</v>
      </c>
      <c r="C591" s="533"/>
      <c r="D591" s="533"/>
      <c r="E591" s="533"/>
      <c r="F591" s="533"/>
      <c r="G591" s="533"/>
      <c r="H591" s="533"/>
      <c r="I591" s="533"/>
      <c r="J591" s="533"/>
      <c r="K591" s="533"/>
      <c r="L591" s="533"/>
      <c r="M591" s="131">
        <f>M27+M46+M58+M88+M126+M134+M148+M162+M167+M171+M216+M225+M234+M319+M432+M447+M463+M491</f>
        <v>115334.2</v>
      </c>
      <c r="N591" s="132">
        <f>SUM(N27,N52,N62,N94,N131,N139,N155,N170,N175,N178,N215,N222,N225,N317,N328,N481,N507,N566,N588)</f>
        <v>1022392.4099999999</v>
      </c>
      <c r="O591" s="132">
        <f>SUM(O27,O52,O62,O94,O131,O139,O155,O170,O175,O178,O215,O222,O225,O317,O328,O481,O507,O566,O588)</f>
        <v>6218389.9899999993</v>
      </c>
      <c r="P591" s="132">
        <f>SUM(P27,P52,P62,P94,P131,P139,P155,P170,P175,P178,P215,P222,P225,P317,P328,P481,P507,P566,P588)</f>
        <v>20732092.142300002</v>
      </c>
      <c r="Q591" s="132">
        <f>SUM(Q27,Q52,Q62,Q94,Q131,Q139,Q155,Q170,Q175,Q178,Q215,Q222,Q225,Q317,Q328,Q481,Q507,Q566,Q588)</f>
        <v>26279999.999999993</v>
      </c>
      <c r="R591" s="132">
        <f>SUM(R27,R52,R62,R94,R131,R139,R155,R170,R175,R178,R215,R222,R225,R317,R328,R481,R507,R566,R588)</f>
        <v>20061610.009999998</v>
      </c>
      <c r="S591" s="2"/>
      <c r="T591" s="2"/>
      <c r="U591" s="2"/>
      <c r="V591" s="2"/>
      <c r="W591" s="2"/>
    </row>
    <row r="592" spans="1:23" s="122" customFormat="1" ht="31.5" customHeight="1">
      <c r="A592" s="2"/>
      <c r="B592" s="533" t="s">
        <v>1196</v>
      </c>
      <c r="C592" s="533"/>
      <c r="D592" s="533"/>
      <c r="E592" s="533"/>
      <c r="F592" s="533"/>
      <c r="G592" s="533"/>
      <c r="H592" s="533"/>
      <c r="I592" s="533"/>
      <c r="J592" s="533"/>
      <c r="K592" s="533"/>
      <c r="L592" s="533"/>
      <c r="M592" s="131"/>
      <c r="N592" s="133"/>
      <c r="O592" s="131"/>
      <c r="P592" s="132"/>
      <c r="Q592" s="132"/>
      <c r="R592" s="134"/>
      <c r="S592" s="2"/>
      <c r="T592" s="2"/>
      <c r="U592" s="2"/>
      <c r="V592" s="2"/>
      <c r="W592" s="2"/>
    </row>
    <row r="593" spans="1:23" s="122" customFormat="1" ht="31.5" customHeight="1">
      <c r="A593" s="2"/>
      <c r="B593" s="533" t="s">
        <v>1430</v>
      </c>
      <c r="C593" s="533"/>
      <c r="D593" s="533"/>
      <c r="E593" s="533"/>
      <c r="F593" s="533"/>
      <c r="G593" s="533"/>
      <c r="H593" s="533"/>
      <c r="I593" s="533"/>
      <c r="J593" s="533"/>
      <c r="K593" s="533"/>
      <c r="L593" s="533"/>
      <c r="M593" s="131"/>
      <c r="N593" s="133">
        <v>150000</v>
      </c>
      <c r="O593" s="131"/>
      <c r="P593" s="132"/>
      <c r="Q593" s="132"/>
      <c r="R593" s="134"/>
      <c r="S593" s="2"/>
      <c r="T593" s="2"/>
      <c r="U593" s="2"/>
      <c r="V593" s="2"/>
      <c r="W593" s="2"/>
    </row>
    <row r="594" spans="1:23" s="122" customFormat="1" ht="31.5" customHeight="1">
      <c r="A594" s="2"/>
      <c r="B594" s="533" t="s">
        <v>1320</v>
      </c>
      <c r="C594" s="533"/>
      <c r="D594" s="533"/>
      <c r="E594" s="533"/>
      <c r="F594" s="533"/>
      <c r="G594" s="533"/>
      <c r="H594" s="533"/>
      <c r="I594" s="533"/>
      <c r="J594" s="533"/>
      <c r="K594" s="533"/>
      <c r="L594" s="533"/>
      <c r="M594" s="131"/>
      <c r="N594" s="133">
        <v>25675</v>
      </c>
      <c r="O594" s="131"/>
      <c r="P594" s="132"/>
      <c r="Q594" s="132"/>
      <c r="R594" s="134"/>
      <c r="S594" s="2"/>
      <c r="T594" s="2"/>
      <c r="U594" s="2"/>
      <c r="V594" s="2"/>
      <c r="W594" s="2"/>
    </row>
    <row r="595" spans="1:23" s="122" customFormat="1" ht="31.5" customHeight="1">
      <c r="A595" s="2"/>
      <c r="B595" s="533" t="s">
        <v>1591</v>
      </c>
      <c r="C595" s="533"/>
      <c r="D595" s="533"/>
      <c r="E595" s="533"/>
      <c r="F595" s="533"/>
      <c r="G595" s="533"/>
      <c r="H595" s="533"/>
      <c r="I595" s="533"/>
      <c r="J595" s="533"/>
      <c r="K595" s="533"/>
      <c r="L595" s="533"/>
      <c r="M595" s="131"/>
      <c r="N595" s="133">
        <v>87463.58</v>
      </c>
      <c r="O595" s="131"/>
      <c r="P595" s="132"/>
      <c r="Q595" s="132"/>
      <c r="R595" s="134"/>
      <c r="S595" s="2"/>
      <c r="T595" s="2"/>
      <c r="U595" s="2"/>
      <c r="V595" s="2"/>
      <c r="W595" s="2"/>
    </row>
    <row r="596" spans="1:23" s="122" customFormat="1" ht="31.5" hidden="1" customHeight="1">
      <c r="A596" s="2"/>
      <c r="B596" s="272"/>
      <c r="C596" s="273"/>
      <c r="D596" s="273"/>
      <c r="E596" s="273"/>
      <c r="F596" s="273"/>
      <c r="G596" s="273"/>
      <c r="H596" s="273"/>
      <c r="I596" s="273"/>
      <c r="J596" s="273"/>
      <c r="K596" s="273"/>
      <c r="L596" s="274"/>
      <c r="M596" s="131"/>
      <c r="N596" s="133"/>
      <c r="O596" s="131"/>
      <c r="P596" s="132"/>
      <c r="Q596" s="132"/>
      <c r="R596" s="134"/>
      <c r="S596" s="2"/>
      <c r="T596" s="2"/>
      <c r="U596" s="2"/>
      <c r="V596" s="2"/>
      <c r="W596" s="2"/>
    </row>
    <row r="597" spans="1:23" s="122" customFormat="1" ht="31.5" customHeight="1">
      <c r="A597" s="2"/>
      <c r="B597" s="533" t="s">
        <v>1161</v>
      </c>
      <c r="C597" s="533"/>
      <c r="D597" s="533"/>
      <c r="E597" s="533"/>
      <c r="F597" s="533"/>
      <c r="G597" s="533"/>
      <c r="H597" s="533"/>
      <c r="I597" s="533"/>
      <c r="J597" s="533"/>
      <c r="K597" s="533"/>
      <c r="L597" s="533"/>
      <c r="M597" s="131">
        <f>M28+M47+M59+M89+M127+M135+M149+M163+M168+M172+M217+M226+M235+M320+M433+M448+M464+M492</f>
        <v>18284.47</v>
      </c>
      <c r="N597" s="131">
        <f>N591-SUM(N592:N596)</f>
        <v>759253.82999999984</v>
      </c>
      <c r="O597" s="131" t="s">
        <v>1162</v>
      </c>
      <c r="P597" s="132">
        <f>P28+P47+P59+P89+P127+P135+P149+P163+P168+P172+P217+P226+P235+P320+P433+P448+P464+P492</f>
        <v>1855118.2200000002</v>
      </c>
      <c r="Q597" s="132" t="s">
        <v>1162</v>
      </c>
      <c r="R597" s="134" t="s">
        <v>1162</v>
      </c>
      <c r="S597" s="2"/>
      <c r="T597" s="2"/>
      <c r="U597" s="2"/>
      <c r="V597" s="2"/>
      <c r="W597" s="2"/>
    </row>
    <row r="598" spans="1:23" s="122" customFormat="1" ht="8.25" customHeight="1">
      <c r="D598" s="135"/>
      <c r="E598" s="136"/>
      <c r="F598" s="136"/>
      <c r="G598" s="136"/>
      <c r="H598" s="136"/>
      <c r="I598" s="136"/>
      <c r="J598" s="137"/>
      <c r="K598" s="137"/>
      <c r="L598" s="137"/>
      <c r="M598" s="137"/>
      <c r="N598" s="137"/>
      <c r="O598" s="138"/>
      <c r="P598" s="139"/>
      <c r="Q598" s="139"/>
      <c r="R598" s="137"/>
    </row>
    <row r="599" spans="1:23" s="122" customFormat="1" ht="15.75" customHeight="1">
      <c r="B599" s="140" t="s">
        <v>1163</v>
      </c>
      <c r="C599" s="141" t="s">
        <v>1164</v>
      </c>
      <c r="D599" s="534" t="s">
        <v>1165</v>
      </c>
      <c r="E599" s="534"/>
      <c r="F599" s="142" t="s">
        <v>1163</v>
      </c>
      <c r="G599" s="143" t="s">
        <v>1164</v>
      </c>
      <c r="H599" s="144"/>
      <c r="I599" s="534" t="s">
        <v>1165</v>
      </c>
      <c r="J599" s="534"/>
      <c r="K599" s="145"/>
      <c r="L599" s="142" t="s">
        <v>1166</v>
      </c>
      <c r="M599" s="142"/>
      <c r="N599" s="146"/>
      <c r="O599" s="535" t="s">
        <v>1167</v>
      </c>
      <c r="P599" s="535"/>
      <c r="Q599" s="535"/>
      <c r="R599" s="137"/>
    </row>
    <row r="600" spans="1:23" s="122" customFormat="1" ht="19.5" customHeight="1">
      <c r="B600" s="147" t="s">
        <v>1168</v>
      </c>
      <c r="C600" s="148" t="s">
        <v>1169</v>
      </c>
      <c r="D600" s="536">
        <f>TRUNC(35%*11%*N597,2)</f>
        <v>29231.27</v>
      </c>
      <c r="E600" s="536"/>
      <c r="F600" s="149" t="s">
        <v>1170</v>
      </c>
      <c r="G600" s="150"/>
      <c r="H600" s="151"/>
      <c r="I600" s="537"/>
      <c r="J600" s="537"/>
      <c r="K600" s="152"/>
      <c r="L600" s="149" t="s">
        <v>1171</v>
      </c>
      <c r="M600" s="150" t="e">
        <f>#REF!</f>
        <v>#REF!</v>
      </c>
      <c r="N600" s="150"/>
      <c r="O600" s="535"/>
      <c r="P600" s="535"/>
      <c r="Q600" s="535"/>
      <c r="R600" s="137"/>
    </row>
    <row r="601" spans="1:23" s="122" customFormat="1" ht="19.5" customHeight="1">
      <c r="B601" s="147" t="s">
        <v>1172</v>
      </c>
      <c r="C601" s="148" t="s">
        <v>1198</v>
      </c>
      <c r="D601" s="536">
        <f>E609</f>
        <v>26573.88</v>
      </c>
      <c r="E601" s="536"/>
      <c r="F601" s="149" t="s">
        <v>1174</v>
      </c>
      <c r="G601" s="150"/>
      <c r="H601" s="151"/>
      <c r="I601" s="537"/>
      <c r="J601" s="537"/>
      <c r="K601" s="152"/>
      <c r="L601" s="149" t="s">
        <v>1175</v>
      </c>
      <c r="M601" s="150" t="e">
        <f>#REF!</f>
        <v>#REF!</v>
      </c>
      <c r="N601" s="150"/>
      <c r="O601" s="538">
        <f>N597-D600-D601-D602-I600-I601-I602-N600-N601-N602</f>
        <v>703448.67999999982</v>
      </c>
      <c r="P601" s="538"/>
      <c r="Q601" s="538"/>
      <c r="R601" s="137"/>
    </row>
    <row r="602" spans="1:23" ht="19.5" customHeight="1">
      <c r="A602" s="122"/>
      <c r="B602" s="153" t="s">
        <v>1176</v>
      </c>
      <c r="C602" s="154">
        <v>0</v>
      </c>
      <c r="D602" s="539"/>
      <c r="E602" s="539"/>
      <c r="F602" s="155" t="s">
        <v>1177</v>
      </c>
      <c r="G602" s="156"/>
      <c r="H602" s="157"/>
      <c r="I602" s="540"/>
      <c r="J602" s="540"/>
      <c r="K602" s="159"/>
      <c r="L602" s="155" t="s">
        <v>1178</v>
      </c>
      <c r="M602" s="158"/>
      <c r="N602" s="158"/>
      <c r="O602" s="538"/>
      <c r="P602" s="538"/>
      <c r="Q602" s="538"/>
      <c r="R602" s="137"/>
      <c r="S602" s="122"/>
      <c r="T602" s="122"/>
      <c r="U602" s="122"/>
      <c r="V602" s="122"/>
      <c r="W602" s="122"/>
    </row>
    <row r="603" spans="1:23">
      <c r="A603" s="122"/>
      <c r="B603" s="122"/>
      <c r="C603" s="122"/>
      <c r="D603" s="135"/>
      <c r="E603" s="136"/>
      <c r="F603" s="136"/>
      <c r="G603" s="136"/>
      <c r="H603" s="136"/>
      <c r="I603" s="136"/>
      <c r="J603" s="137"/>
      <c r="K603" s="137"/>
      <c r="L603" s="137"/>
      <c r="M603" s="137"/>
      <c r="N603" s="137"/>
      <c r="O603" s="137"/>
      <c r="P603" s="139"/>
      <c r="Q603" s="139"/>
      <c r="R603" s="137"/>
      <c r="S603" s="122"/>
      <c r="T603" s="122"/>
      <c r="U603" s="122"/>
      <c r="V603" s="122"/>
      <c r="W603" s="122"/>
    </row>
    <row r="604" spans="1:23">
      <c r="A604" s="122"/>
      <c r="B604" s="122"/>
      <c r="C604" s="122"/>
      <c r="D604" s="135"/>
      <c r="E604" s="136"/>
      <c r="F604" s="136"/>
      <c r="G604" s="136"/>
      <c r="H604" s="136"/>
      <c r="I604" s="136"/>
      <c r="J604" s="137"/>
      <c r="K604" s="137"/>
      <c r="L604" s="137"/>
      <c r="M604" s="137"/>
      <c r="N604" s="137"/>
      <c r="O604" s="137"/>
      <c r="P604" s="139"/>
      <c r="Q604" s="139"/>
      <c r="R604" s="137"/>
      <c r="S604" s="122"/>
      <c r="T604" s="122"/>
      <c r="U604" s="122"/>
      <c r="V604" s="122"/>
      <c r="W604" s="122"/>
    </row>
    <row r="605" spans="1:23" ht="27.75" customHeight="1">
      <c r="A605" s="122"/>
      <c r="B605" s="122"/>
      <c r="C605" s="541" t="s">
        <v>1179</v>
      </c>
      <c r="D605" s="541"/>
      <c r="E605" s="541"/>
      <c r="F605" s="136"/>
      <c r="G605" s="136"/>
      <c r="H605" s="136"/>
      <c r="I605" s="136"/>
      <c r="J605" s="137"/>
      <c r="K605" s="137"/>
      <c r="L605" s="137"/>
      <c r="M605" s="137"/>
      <c r="N605" s="137"/>
      <c r="O605" s="137"/>
      <c r="P605" s="139"/>
      <c r="Q605" s="139"/>
      <c r="R605" s="137"/>
      <c r="S605" s="122"/>
      <c r="T605" s="122"/>
      <c r="U605" s="122"/>
      <c r="V605" s="122"/>
      <c r="W605" s="122"/>
    </row>
    <row r="606" spans="1:23" ht="24.75" customHeight="1">
      <c r="A606" s="122"/>
      <c r="B606" s="122"/>
      <c r="C606" s="542" t="s">
        <v>1180</v>
      </c>
      <c r="D606" s="542"/>
      <c r="E606" s="160">
        <f>N597</f>
        <v>759253.82999999984</v>
      </c>
      <c r="F606" s="136"/>
      <c r="G606" s="136"/>
      <c r="H606" s="136"/>
      <c r="I606" s="136"/>
      <c r="J606" s="137"/>
      <c r="K606" s="137"/>
      <c r="L606" s="137"/>
      <c r="M606" s="137"/>
      <c r="N606" s="137"/>
      <c r="O606" s="137"/>
      <c r="P606" s="139"/>
      <c r="Q606" s="139"/>
      <c r="R606" s="137"/>
      <c r="S606" s="122"/>
      <c r="T606" s="122"/>
      <c r="U606" s="122"/>
      <c r="V606" s="122"/>
      <c r="W606" s="122"/>
    </row>
    <row r="607" spans="1:23" ht="24.75" customHeight="1">
      <c r="A607" s="122"/>
      <c r="B607" s="122"/>
      <c r="C607" s="543" t="s">
        <v>1183</v>
      </c>
      <c r="D607" s="543"/>
      <c r="E607" s="162">
        <f>0.7*E606</f>
        <v>531477.68099999987</v>
      </c>
      <c r="F607" s="136"/>
      <c r="G607" s="136"/>
      <c r="H607" s="136"/>
      <c r="I607" s="136"/>
      <c r="J607" s="137"/>
      <c r="K607" s="137"/>
      <c r="L607" s="137"/>
      <c r="M607" s="137"/>
      <c r="N607" s="137"/>
      <c r="O607" s="137"/>
      <c r="P607" s="139"/>
      <c r="Q607" s="139"/>
      <c r="R607" s="137"/>
      <c r="S607" s="122"/>
      <c r="T607" s="122"/>
      <c r="U607" s="122"/>
      <c r="V607" s="122"/>
      <c r="W607" s="122"/>
    </row>
    <row r="608" spans="1:23" ht="24.75" customHeight="1">
      <c r="A608" s="122"/>
      <c r="B608" s="122"/>
      <c r="C608" s="543" t="s">
        <v>1184</v>
      </c>
      <c r="D608" s="543"/>
      <c r="E608" s="163">
        <f>E607/E606</f>
        <v>0.7</v>
      </c>
      <c r="F608" s="136"/>
      <c r="G608" s="136"/>
      <c r="H608" s="136"/>
      <c r="I608" s="136"/>
      <c r="J608" s="137"/>
      <c r="K608" s="137"/>
      <c r="L608" s="137"/>
      <c r="M608" s="137"/>
      <c r="N608" s="137"/>
      <c r="O608" s="137"/>
      <c r="P608" s="139"/>
      <c r="Q608" s="139"/>
      <c r="R608" s="137"/>
      <c r="S608" s="122"/>
      <c r="T608" s="122"/>
      <c r="U608" s="122"/>
      <c r="V608" s="122"/>
      <c r="W608" s="122"/>
    </row>
    <row r="609" spans="1:23" ht="24.75" customHeight="1">
      <c r="A609" s="122"/>
      <c r="B609" s="122"/>
      <c r="C609" s="545" t="s">
        <v>1185</v>
      </c>
      <c r="D609" s="545"/>
      <c r="E609" s="164">
        <f>TRUNC(E607*5%,2)</f>
        <v>26573.88</v>
      </c>
      <c r="F609" s="136"/>
      <c r="G609" s="136"/>
      <c r="H609" s="136"/>
      <c r="I609" s="136"/>
      <c r="J609" s="137"/>
      <c r="K609" s="137"/>
      <c r="L609" s="137"/>
      <c r="M609" s="137"/>
      <c r="N609" s="137"/>
      <c r="O609" s="137"/>
      <c r="P609" s="139"/>
      <c r="Q609" s="139"/>
      <c r="R609" s="137"/>
      <c r="S609" s="122"/>
      <c r="T609" s="122"/>
      <c r="U609" s="122"/>
      <c r="V609" s="122"/>
      <c r="W609" s="122"/>
    </row>
    <row r="611" spans="1:23" ht="19.5" customHeight="1">
      <c r="C611" s="546" t="s">
        <v>1186</v>
      </c>
      <c r="D611" s="546"/>
      <c r="E611" s="546"/>
      <c r="F611" s="546"/>
      <c r="G611" s="546"/>
      <c r="J611" s="4"/>
      <c r="N611" s="546" t="s">
        <v>1187</v>
      </c>
      <c r="O611" s="546"/>
      <c r="P611" s="546"/>
      <c r="Q611" s="546"/>
      <c r="R611" s="546"/>
      <c r="S611" s="5"/>
    </row>
    <row r="612" spans="1:23" ht="19.5" customHeight="1">
      <c r="C612" s="548" t="s">
        <v>1188</v>
      </c>
      <c r="D612" s="548"/>
      <c r="E612" s="168">
        <v>45390</v>
      </c>
      <c r="F612" s="166" t="s">
        <v>1189</v>
      </c>
      <c r="G612" s="167">
        <v>157132.10999999999</v>
      </c>
      <c r="J612" s="4"/>
      <c r="K612" s="4"/>
      <c r="N612" s="548" t="s">
        <v>1190</v>
      </c>
      <c r="O612" s="548"/>
      <c r="P612" s="168">
        <v>44973</v>
      </c>
      <c r="Q612" s="169" t="s">
        <v>1162</v>
      </c>
      <c r="R612" s="225"/>
      <c r="S612" s="6"/>
      <c r="T612" s="5"/>
    </row>
    <row r="613" spans="1:23" ht="19.5" customHeight="1">
      <c r="C613" s="549" t="s">
        <v>1191</v>
      </c>
      <c r="D613" s="549"/>
      <c r="E613" s="173">
        <v>45390</v>
      </c>
      <c r="F613" s="171" t="s">
        <v>1189</v>
      </c>
      <c r="G613" s="172">
        <v>12663.81</v>
      </c>
      <c r="J613" s="4"/>
      <c r="K613" s="4"/>
      <c r="N613" s="549" t="s">
        <v>1199</v>
      </c>
      <c r="O613" s="549"/>
      <c r="P613" s="173">
        <v>44973</v>
      </c>
      <c r="Q613" s="171" t="s">
        <v>1162</v>
      </c>
      <c r="R613" s="172">
        <v>354202.96</v>
      </c>
      <c r="S613" s="6"/>
      <c r="T613" s="5"/>
    </row>
    <row r="614" spans="1:23" ht="19.5" customHeight="1">
      <c r="C614" s="549" t="s">
        <v>1200</v>
      </c>
      <c r="D614" s="549"/>
      <c r="E614" s="173">
        <v>45421</v>
      </c>
      <c r="F614" s="171" t="s">
        <v>1189</v>
      </c>
      <c r="G614" s="172">
        <v>60499.5</v>
      </c>
      <c r="J614" s="4"/>
      <c r="K614" s="4"/>
      <c r="N614" s="549" t="s">
        <v>1201</v>
      </c>
      <c r="O614" s="549"/>
      <c r="P614" s="173"/>
      <c r="Q614" s="171"/>
      <c r="R614" s="172">
        <v>119528.5</v>
      </c>
      <c r="S614" s="6"/>
      <c r="T614" s="5"/>
    </row>
    <row r="615" spans="1:23" ht="19.5" customHeight="1">
      <c r="C615" s="549" t="s">
        <v>1202</v>
      </c>
      <c r="D615" s="549"/>
      <c r="E615" s="173">
        <v>45446</v>
      </c>
      <c r="F615" s="171" t="s">
        <v>1203</v>
      </c>
      <c r="G615" s="172">
        <v>60640</v>
      </c>
      <c r="J615" s="4"/>
      <c r="K615" s="4"/>
      <c r="N615" s="549" t="s">
        <v>1250</v>
      </c>
      <c r="O615" s="549"/>
      <c r="P615" s="173"/>
      <c r="Q615" s="171"/>
      <c r="R615" s="172">
        <v>155349.44</v>
      </c>
      <c r="S615" s="6"/>
      <c r="T615" s="5"/>
    </row>
    <row r="616" spans="1:23" ht="19.5" customHeight="1">
      <c r="C616" s="549" t="s">
        <v>1204</v>
      </c>
      <c r="D616" s="549"/>
      <c r="E616" s="173">
        <v>45446</v>
      </c>
      <c r="F616" s="171" t="s">
        <v>1203</v>
      </c>
      <c r="G616" s="172">
        <v>15160</v>
      </c>
      <c r="J616" s="4"/>
      <c r="K616" s="4"/>
      <c r="N616" s="549" t="s">
        <v>1431</v>
      </c>
      <c r="O616" s="549"/>
      <c r="P616" s="173"/>
      <c r="Q616" s="171"/>
      <c r="R616" s="172">
        <v>118394.27</v>
      </c>
      <c r="S616" s="6"/>
      <c r="T616" s="5"/>
    </row>
    <row r="617" spans="1:23" ht="19.5" customHeight="1">
      <c r="C617" s="549" t="s">
        <v>1205</v>
      </c>
      <c r="D617" s="549"/>
      <c r="E617" s="173">
        <v>45447</v>
      </c>
      <c r="F617" s="171" t="s">
        <v>1203</v>
      </c>
      <c r="G617" s="172">
        <v>193505</v>
      </c>
      <c r="J617" s="4"/>
      <c r="K617" s="4"/>
      <c r="N617" s="549" t="s">
        <v>1435</v>
      </c>
      <c r="O617" s="549"/>
      <c r="P617" s="173"/>
      <c r="Q617" s="171"/>
      <c r="R617" s="172">
        <v>146586.07999999999</v>
      </c>
      <c r="S617" s="6"/>
      <c r="T617" s="5"/>
    </row>
    <row r="618" spans="1:23" ht="19.5" customHeight="1">
      <c r="C618" s="549" t="s">
        <v>1206</v>
      </c>
      <c r="D618" s="549"/>
      <c r="E618" s="173">
        <v>45457</v>
      </c>
      <c r="F618" s="171" t="s">
        <v>1189</v>
      </c>
      <c r="G618" s="172">
        <v>101107.04</v>
      </c>
      <c r="J618" s="4"/>
      <c r="K618" s="4"/>
      <c r="N618" s="549" t="s">
        <v>1579</v>
      </c>
      <c r="O618" s="549"/>
      <c r="P618" s="173"/>
      <c r="Q618" s="171"/>
      <c r="R618" s="172">
        <v>136462.16</v>
      </c>
      <c r="S618" s="6"/>
      <c r="T618" s="5"/>
    </row>
    <row r="619" spans="1:23" ht="19.5" customHeight="1">
      <c r="C619" s="549" t="s">
        <v>1251</v>
      </c>
      <c r="D619" s="549"/>
      <c r="E619" s="173">
        <v>45462</v>
      </c>
      <c r="F619" s="171" t="s">
        <v>1203</v>
      </c>
      <c r="G619" s="172">
        <v>37190</v>
      </c>
      <c r="J619" s="4"/>
      <c r="K619" s="4"/>
      <c r="N619" s="549" t="s">
        <v>1592</v>
      </c>
      <c r="O619" s="549"/>
      <c r="P619" s="173"/>
      <c r="Q619" s="171"/>
      <c r="R619" s="172">
        <f>SUM(N592:N595)</f>
        <v>263138.58</v>
      </c>
      <c r="S619" s="6"/>
      <c r="T619" s="5"/>
    </row>
    <row r="620" spans="1:23" ht="19.5" customHeight="1">
      <c r="C620" s="549" t="s">
        <v>1252</v>
      </c>
      <c r="D620" s="549"/>
      <c r="E620" s="173">
        <v>45463</v>
      </c>
      <c r="F620" s="171" t="s">
        <v>1189</v>
      </c>
      <c r="G620" s="172">
        <v>21981.17</v>
      </c>
      <c r="J620" s="4"/>
      <c r="K620" s="4"/>
      <c r="N620" s="549"/>
      <c r="O620" s="549"/>
      <c r="P620" s="173"/>
      <c r="Q620" s="171"/>
      <c r="R620" s="172"/>
      <c r="S620" s="6"/>
      <c r="T620" s="5"/>
    </row>
    <row r="621" spans="1:23" ht="19.5" customHeight="1">
      <c r="C621" s="549" t="s">
        <v>1253</v>
      </c>
      <c r="D621" s="549"/>
      <c r="E621" s="173">
        <v>45463</v>
      </c>
      <c r="F621" s="171" t="s">
        <v>1203</v>
      </c>
      <c r="G621" s="172">
        <v>65870.5</v>
      </c>
      <c r="J621" s="4"/>
      <c r="K621" s="4"/>
      <c r="N621" s="550"/>
      <c r="O621" s="550"/>
      <c r="P621" s="175"/>
      <c r="Q621" s="176"/>
      <c r="R621" s="177"/>
      <c r="S621" s="6"/>
      <c r="T621" s="5"/>
    </row>
    <row r="622" spans="1:23" ht="19.5" customHeight="1">
      <c r="C622" s="549" t="s">
        <v>1254</v>
      </c>
      <c r="D622" s="549"/>
      <c r="E622" s="173">
        <v>45463</v>
      </c>
      <c r="F622" s="171" t="s">
        <v>1203</v>
      </c>
      <c r="G622" s="172">
        <v>16468</v>
      </c>
      <c r="J622" s="4"/>
      <c r="K622" s="4"/>
      <c r="N622" s="179"/>
      <c r="O622" s="180"/>
      <c r="P622" s="180"/>
      <c r="Q622" s="180"/>
      <c r="R622" s="181">
        <f>SUM(R612:R621)</f>
        <v>1293661.99</v>
      </c>
      <c r="S622" s="6"/>
      <c r="T622" s="5"/>
    </row>
    <row r="623" spans="1:23" ht="19.5" customHeight="1">
      <c r="C623" s="549" t="s">
        <v>1321</v>
      </c>
      <c r="D623" s="549"/>
      <c r="E623" s="173">
        <v>45502</v>
      </c>
      <c r="F623" s="171" t="s">
        <v>1189</v>
      </c>
      <c r="G623" s="172">
        <v>75035.899999999994</v>
      </c>
      <c r="J623" s="4"/>
      <c r="K623" s="4"/>
      <c r="S623" s="6"/>
      <c r="T623" s="5"/>
    </row>
    <row r="624" spans="1:23" ht="19.5" customHeight="1">
      <c r="C624" s="549" t="s">
        <v>1322</v>
      </c>
      <c r="D624" s="549"/>
      <c r="E624" s="173">
        <v>45503</v>
      </c>
      <c r="F624" s="171" t="s">
        <v>1189</v>
      </c>
      <c r="G624" s="172">
        <v>3201.96</v>
      </c>
      <c r="J624" s="4"/>
      <c r="K624" s="4"/>
      <c r="R624" s="183"/>
      <c r="S624" s="6"/>
      <c r="T624" s="5"/>
    </row>
    <row r="625" spans="3:20" ht="19.5" customHeight="1">
      <c r="C625" s="549" t="s">
        <v>1323</v>
      </c>
      <c r="D625" s="549"/>
      <c r="E625" s="173">
        <v>45506</v>
      </c>
      <c r="F625" s="171" t="s">
        <v>1324</v>
      </c>
      <c r="G625" s="172">
        <v>43780</v>
      </c>
      <c r="J625" s="4"/>
      <c r="K625" s="4"/>
      <c r="S625" s="6"/>
      <c r="T625" s="5"/>
    </row>
    <row r="626" spans="3:20" ht="19.5" customHeight="1">
      <c r="C626" s="549" t="s">
        <v>1325</v>
      </c>
      <c r="D626" s="549"/>
      <c r="E626" s="173">
        <v>45510</v>
      </c>
      <c r="F626" s="171" t="s">
        <v>1189</v>
      </c>
      <c r="G626" s="172">
        <v>13904.88</v>
      </c>
      <c r="J626" s="4"/>
      <c r="K626" s="4"/>
      <c r="S626" s="6"/>
      <c r="T626" s="5"/>
    </row>
    <row r="627" spans="3:20" ht="19.5" customHeight="1">
      <c r="C627" s="549" t="s">
        <v>1326</v>
      </c>
      <c r="D627" s="549"/>
      <c r="E627" s="173">
        <v>45516</v>
      </c>
      <c r="F627" s="171" t="s">
        <v>1189</v>
      </c>
      <c r="G627" s="172">
        <v>171.67</v>
      </c>
      <c r="J627" s="4"/>
      <c r="K627" s="4"/>
      <c r="S627" s="6"/>
      <c r="T627" s="5"/>
    </row>
    <row r="628" spans="3:20" ht="19.5" customHeight="1">
      <c r="C628" s="549" t="s">
        <v>1327</v>
      </c>
      <c r="D628" s="549"/>
      <c r="E628" s="173">
        <v>45516</v>
      </c>
      <c r="F628" s="171" t="s">
        <v>1189</v>
      </c>
      <c r="G628" s="172">
        <v>29223.439999999999</v>
      </c>
      <c r="J628" s="4"/>
      <c r="K628" s="4"/>
      <c r="S628" s="6"/>
      <c r="T628" s="5"/>
    </row>
    <row r="629" spans="3:20" ht="19.5" customHeight="1">
      <c r="C629" s="549" t="s">
        <v>1328</v>
      </c>
      <c r="D629" s="549"/>
      <c r="E629" s="173">
        <v>45518</v>
      </c>
      <c r="F629" s="171" t="s">
        <v>1189</v>
      </c>
      <c r="G629" s="172">
        <v>7038.13</v>
      </c>
      <c r="J629" s="4"/>
      <c r="K629" s="4"/>
      <c r="S629" s="6"/>
      <c r="T629" s="5"/>
    </row>
    <row r="630" spans="3:20" ht="19.5" customHeight="1">
      <c r="C630" s="549" t="s">
        <v>1436</v>
      </c>
      <c r="D630" s="549"/>
      <c r="E630" s="173">
        <v>45545</v>
      </c>
      <c r="F630" s="171" t="s">
        <v>1189</v>
      </c>
      <c r="G630" s="172">
        <v>38536.79</v>
      </c>
      <c r="J630" s="4"/>
      <c r="K630" s="4"/>
      <c r="S630" s="6"/>
      <c r="T630" s="5"/>
    </row>
    <row r="631" spans="3:20" ht="19.5" customHeight="1">
      <c r="C631" s="549" t="s">
        <v>1437</v>
      </c>
      <c r="D631" s="549"/>
      <c r="E631" s="173">
        <v>45541</v>
      </c>
      <c r="F631" s="171" t="s">
        <v>1324</v>
      </c>
      <c r="G631" s="172">
        <v>68671.320000000007</v>
      </c>
      <c r="J631" s="4"/>
      <c r="K631" s="4"/>
      <c r="S631" s="6"/>
      <c r="T631" s="5"/>
    </row>
    <row r="632" spans="3:20" ht="19.5" customHeight="1">
      <c r="C632" s="549" t="s">
        <v>1438</v>
      </c>
      <c r="D632" s="549"/>
      <c r="E632" s="173">
        <v>45566</v>
      </c>
      <c r="F632" s="171" t="s">
        <v>1324</v>
      </c>
      <c r="G632" s="172">
        <v>17795</v>
      </c>
      <c r="J632" s="4"/>
      <c r="K632" s="4"/>
      <c r="S632" s="6"/>
      <c r="T632" s="5"/>
    </row>
    <row r="633" spans="3:20" ht="19.5" customHeight="1">
      <c r="C633" s="549" t="s">
        <v>1439</v>
      </c>
      <c r="D633" s="549"/>
      <c r="E633" s="173">
        <v>45581</v>
      </c>
      <c r="F633" s="171" t="s">
        <v>1189</v>
      </c>
      <c r="G633" s="172">
        <v>86512.68</v>
      </c>
      <c r="J633" s="4"/>
      <c r="K633" s="4"/>
      <c r="S633" s="6"/>
      <c r="T633" s="5"/>
    </row>
    <row r="634" spans="3:20" ht="19.5" customHeight="1">
      <c r="C634" s="549" t="s">
        <v>1580</v>
      </c>
      <c r="D634" s="549"/>
      <c r="E634" s="173">
        <v>45572</v>
      </c>
      <c r="F634" s="171" t="s">
        <v>1324</v>
      </c>
      <c r="G634" s="172">
        <v>55880</v>
      </c>
      <c r="J634" s="4"/>
      <c r="K634" s="4"/>
      <c r="S634" s="6"/>
      <c r="T634" s="5"/>
    </row>
    <row r="635" spans="3:20" ht="19.5" customHeight="1">
      <c r="C635" s="549" t="s">
        <v>1581</v>
      </c>
      <c r="D635" s="549"/>
      <c r="E635" s="173">
        <v>45602</v>
      </c>
      <c r="F635" s="171" t="s">
        <v>1189</v>
      </c>
      <c r="G635" s="172">
        <v>38402.1</v>
      </c>
      <c r="J635" s="4"/>
      <c r="K635" s="4"/>
      <c r="S635" s="6"/>
      <c r="T635" s="5"/>
    </row>
    <row r="636" spans="3:20" ht="19.5" customHeight="1">
      <c r="C636" s="549" t="s">
        <v>1582</v>
      </c>
      <c r="D636" s="549"/>
      <c r="E636" s="173">
        <v>45609</v>
      </c>
      <c r="F636" s="171" t="s">
        <v>1189</v>
      </c>
      <c r="G636" s="172">
        <v>82512.91</v>
      </c>
      <c r="J636" s="4"/>
      <c r="K636" s="4"/>
      <c r="S636" s="6"/>
      <c r="T636" s="5"/>
    </row>
    <row r="637" spans="3:20" ht="19.5" customHeight="1">
      <c r="C637" s="549" t="s">
        <v>1583</v>
      </c>
      <c r="D637" s="549"/>
      <c r="E637" s="173">
        <v>45567</v>
      </c>
      <c r="F637" s="171" t="s">
        <v>1584</v>
      </c>
      <c r="G637" s="172">
        <v>17981.580000000002</v>
      </c>
      <c r="J637" s="4"/>
      <c r="K637" s="4"/>
      <c r="S637" s="6"/>
      <c r="T637" s="5"/>
    </row>
    <row r="638" spans="3:20" ht="19.5" customHeight="1">
      <c r="C638" s="549" t="s">
        <v>1585</v>
      </c>
      <c r="D638" s="549"/>
      <c r="E638" s="173">
        <v>45610</v>
      </c>
      <c r="F638" s="269" t="s">
        <v>1584</v>
      </c>
      <c r="G638" s="270">
        <v>27039.39</v>
      </c>
      <c r="J638" s="4"/>
      <c r="K638" s="4"/>
      <c r="S638" s="6"/>
      <c r="T638" s="5"/>
    </row>
    <row r="639" spans="3:20" ht="19.5" customHeight="1">
      <c r="C639" s="549" t="s">
        <v>1583</v>
      </c>
      <c r="D639" s="549"/>
      <c r="E639" s="173">
        <v>45610</v>
      </c>
      <c r="F639" s="269" t="s">
        <v>1584</v>
      </c>
      <c r="G639" s="270">
        <v>42442.61</v>
      </c>
      <c r="J639" s="4"/>
      <c r="K639" s="4"/>
      <c r="S639" s="6"/>
      <c r="T639" s="5"/>
    </row>
    <row r="640" spans="3:20" ht="19.5" customHeight="1">
      <c r="C640" s="549" t="s">
        <v>1586</v>
      </c>
      <c r="D640" s="549"/>
      <c r="E640" s="271">
        <v>45624</v>
      </c>
      <c r="F640" s="269" t="s">
        <v>1189</v>
      </c>
      <c r="G640" s="270">
        <v>128994.73</v>
      </c>
      <c r="J640" s="4"/>
      <c r="K640" s="4"/>
      <c r="S640" s="6"/>
      <c r="T640" s="5"/>
    </row>
    <row r="641" spans="3:20" ht="19.5" customHeight="1">
      <c r="C641" s="550"/>
      <c r="D641" s="550"/>
      <c r="E641" s="175"/>
      <c r="F641" s="176"/>
      <c r="G641" s="177"/>
      <c r="J641" s="4"/>
      <c r="K641" s="4"/>
      <c r="S641" s="6"/>
      <c r="T641" s="5"/>
    </row>
    <row r="642" spans="3:20" ht="19.5" customHeight="1">
      <c r="C642" s="179"/>
      <c r="D642" s="180"/>
      <c r="E642" s="180"/>
      <c r="F642" s="180"/>
      <c r="G642" s="181">
        <f>SUM(G612:G641)</f>
        <v>1519342.22</v>
      </c>
      <c r="J642" s="4"/>
      <c r="K642" s="4"/>
      <c r="S642" s="6"/>
      <c r="T642" s="5"/>
    </row>
    <row r="645" spans="3:20" ht="28.8">
      <c r="C645" s="226" t="s">
        <v>1255</v>
      </c>
      <c r="D645" s="560" t="s">
        <v>1256</v>
      </c>
      <c r="E645" s="560"/>
      <c r="F645" s="560"/>
      <c r="G645" s="227" t="s">
        <v>1257</v>
      </c>
      <c r="H645" s="5"/>
      <c r="I645" s="228" t="s">
        <v>1258</v>
      </c>
      <c r="J645" s="229" t="s">
        <v>1259</v>
      </c>
    </row>
    <row r="646" spans="3:20">
      <c r="C646" s="230" t="s">
        <v>1260</v>
      </c>
      <c r="D646" s="564">
        <f>'BM 007'!D645+'BM 008'!N592</f>
        <v>388833.5</v>
      </c>
      <c r="E646" s="564"/>
      <c r="F646" s="564"/>
      <c r="G646" s="232" t="s">
        <v>1261</v>
      </c>
      <c r="H646" s="2"/>
      <c r="I646" s="233">
        <f>SUMIF($F$612:$F$641,G646,$G$612:$G$641)</f>
        <v>388833.5</v>
      </c>
      <c r="J646" s="233">
        <f t="shared" ref="J646:J656" si="242">I646-D646</f>
        <v>0</v>
      </c>
    </row>
    <row r="647" spans="3:20">
      <c r="C647" s="234" t="s">
        <v>1329</v>
      </c>
      <c r="D647" s="561">
        <f>'BM 007'!D646+'BM 008'!N593</f>
        <v>631238.59</v>
      </c>
      <c r="E647" s="561"/>
      <c r="F647" s="561"/>
      <c r="G647" s="235" t="s">
        <v>1263</v>
      </c>
      <c r="H647" s="2"/>
      <c r="I647" s="236">
        <f>SUMIF($F$612:$F$641,G647,$G$612:$G$641)</f>
        <v>856918.81999999983</v>
      </c>
      <c r="J647" s="236">
        <f t="shared" si="242"/>
        <v>225680.22999999986</v>
      </c>
    </row>
    <row r="648" spans="3:20">
      <c r="C648" s="234" t="s">
        <v>1330</v>
      </c>
      <c r="D648" s="561">
        <f>'BM 007'!D647+'BM 008'!N594</f>
        <v>186126.32</v>
      </c>
      <c r="E648" s="561"/>
      <c r="F648" s="561"/>
      <c r="G648" s="235" t="s">
        <v>1331</v>
      </c>
      <c r="H648" s="2"/>
      <c r="I648" s="236">
        <f>SUMIF($F$612:$F$641,G648,$G$612:$G$641)</f>
        <v>186126.32</v>
      </c>
      <c r="J648" s="236">
        <f t="shared" si="242"/>
        <v>0</v>
      </c>
    </row>
    <row r="649" spans="3:20">
      <c r="C649" s="234" t="s">
        <v>1587</v>
      </c>
      <c r="D649" s="561">
        <f>'BM 007'!D648+'BM 008'!N595</f>
        <v>87463.58</v>
      </c>
      <c r="E649" s="561"/>
      <c r="F649" s="561"/>
      <c r="G649" s="235" t="s">
        <v>1584</v>
      </c>
      <c r="H649" s="2"/>
      <c r="I649" s="236">
        <f>SUMIF($F$612:$F$641,G649,$G$612:$G$641)</f>
        <v>87463.58</v>
      </c>
      <c r="J649" s="236">
        <f t="shared" si="242"/>
        <v>0</v>
      </c>
    </row>
    <row r="650" spans="3:20">
      <c r="C650" s="234"/>
      <c r="D650" s="561"/>
      <c r="E650" s="561"/>
      <c r="F650" s="561"/>
      <c r="G650" s="235" t="s">
        <v>1265</v>
      </c>
      <c r="H650" s="2"/>
      <c r="I650" s="238">
        <f t="shared" ref="I650:I656" si="243">SUMIF($G$671:$G$709,G650,$H$671:$I$709)</f>
        <v>0</v>
      </c>
      <c r="J650" s="236">
        <f t="shared" si="242"/>
        <v>0</v>
      </c>
    </row>
    <row r="651" spans="3:20">
      <c r="C651" s="234"/>
      <c r="D651" s="561"/>
      <c r="E651" s="561"/>
      <c r="F651" s="561"/>
      <c r="G651" s="237" t="s">
        <v>1266</v>
      </c>
      <c r="H651" s="2"/>
      <c r="I651" s="238">
        <f t="shared" si="243"/>
        <v>0</v>
      </c>
      <c r="J651" s="236">
        <f t="shared" si="242"/>
        <v>0</v>
      </c>
    </row>
    <row r="652" spans="3:20">
      <c r="C652" s="234"/>
      <c r="D652" s="561"/>
      <c r="E652" s="561"/>
      <c r="F652" s="561"/>
      <c r="G652" s="237" t="s">
        <v>1267</v>
      </c>
      <c r="H652" s="2"/>
      <c r="I652" s="238">
        <f t="shared" si="243"/>
        <v>0</v>
      </c>
      <c r="J652" s="236">
        <f t="shared" si="242"/>
        <v>0</v>
      </c>
    </row>
    <row r="653" spans="3:20">
      <c r="C653" s="234"/>
      <c r="D653" s="561"/>
      <c r="E653" s="561"/>
      <c r="F653" s="561"/>
      <c r="G653" s="237" t="s">
        <v>1268</v>
      </c>
      <c r="H653" s="2"/>
      <c r="I653" s="238">
        <f t="shared" si="243"/>
        <v>0</v>
      </c>
      <c r="J653" s="236">
        <f t="shared" si="242"/>
        <v>0</v>
      </c>
    </row>
    <row r="654" spans="3:20">
      <c r="C654" s="234"/>
      <c r="D654" s="561"/>
      <c r="E654" s="561"/>
      <c r="F654" s="561"/>
      <c r="G654" s="237" t="s">
        <v>1269</v>
      </c>
      <c r="H654" s="2"/>
      <c r="I654" s="238">
        <f t="shared" si="243"/>
        <v>0</v>
      </c>
      <c r="J654" s="236">
        <f t="shared" si="242"/>
        <v>0</v>
      </c>
    </row>
    <row r="655" spans="3:20">
      <c r="C655" s="234"/>
      <c r="D655" s="561"/>
      <c r="E655" s="561"/>
      <c r="F655" s="561"/>
      <c r="G655" s="237"/>
      <c r="H655" s="2"/>
      <c r="I655" s="238">
        <f t="shared" si="243"/>
        <v>0</v>
      </c>
      <c r="J655" s="236">
        <f t="shared" si="242"/>
        <v>0</v>
      </c>
    </row>
    <row r="656" spans="3:20">
      <c r="C656" s="239"/>
      <c r="D656" s="562"/>
      <c r="E656" s="562"/>
      <c r="F656" s="562"/>
      <c r="G656" s="240"/>
      <c r="H656" s="2"/>
      <c r="I656" s="241">
        <f t="shared" si="243"/>
        <v>0</v>
      </c>
      <c r="J656" s="241">
        <f t="shared" si="242"/>
        <v>0</v>
      </c>
    </row>
    <row r="657" spans="4:10">
      <c r="D657" s="563">
        <f>SUM(D646:F656)</f>
        <v>1293661.99</v>
      </c>
      <c r="E657" s="563"/>
      <c r="F657" s="563"/>
      <c r="H657" s="2"/>
      <c r="I657" s="242">
        <f>SUM(I646:I656)</f>
        <v>1519342.22</v>
      </c>
      <c r="J657" s="242">
        <f>SUM(J646:J656)</f>
        <v>225680.22999999986</v>
      </c>
    </row>
  </sheetData>
  <mergeCells count="140">
    <mergeCell ref="D657:F657"/>
    <mergeCell ref="D648:F648"/>
    <mergeCell ref="D649:F649"/>
    <mergeCell ref="D650:F650"/>
    <mergeCell ref="D651:F651"/>
    <mergeCell ref="D652:F652"/>
    <mergeCell ref="D653:F653"/>
    <mergeCell ref="D654:F654"/>
    <mergeCell ref="D655:F655"/>
    <mergeCell ref="D656:F656"/>
    <mergeCell ref="C636:D636"/>
    <mergeCell ref="C637:D637"/>
    <mergeCell ref="C638:D638"/>
    <mergeCell ref="C639:D639"/>
    <mergeCell ref="C640:D640"/>
    <mergeCell ref="C641:D641"/>
    <mergeCell ref="D645:F645"/>
    <mergeCell ref="D646:F646"/>
    <mergeCell ref="D647:F647"/>
    <mergeCell ref="C627:D627"/>
    <mergeCell ref="C628:D628"/>
    <mergeCell ref="C629:D629"/>
    <mergeCell ref="C630:D630"/>
    <mergeCell ref="C631:D631"/>
    <mergeCell ref="C632:D632"/>
    <mergeCell ref="C633:D633"/>
    <mergeCell ref="C634:D634"/>
    <mergeCell ref="C635:D635"/>
    <mergeCell ref="C620:D620"/>
    <mergeCell ref="N620:O620"/>
    <mergeCell ref="C621:D621"/>
    <mergeCell ref="N621:O621"/>
    <mergeCell ref="C622:D622"/>
    <mergeCell ref="C623:D623"/>
    <mergeCell ref="C624:D624"/>
    <mergeCell ref="C625:D625"/>
    <mergeCell ref="C626:D626"/>
    <mergeCell ref="C615:D615"/>
    <mergeCell ref="N615:O615"/>
    <mergeCell ref="C616:D616"/>
    <mergeCell ref="N616:O616"/>
    <mergeCell ref="C617:D617"/>
    <mergeCell ref="N617:O617"/>
    <mergeCell ref="C618:D618"/>
    <mergeCell ref="N618:O618"/>
    <mergeCell ref="C619:D619"/>
    <mergeCell ref="N619:O619"/>
    <mergeCell ref="C609:D609"/>
    <mergeCell ref="C611:G611"/>
    <mergeCell ref="N611:R611"/>
    <mergeCell ref="C612:D612"/>
    <mergeCell ref="N612:O612"/>
    <mergeCell ref="C613:D613"/>
    <mergeCell ref="N613:O613"/>
    <mergeCell ref="C614:D614"/>
    <mergeCell ref="N614:O614"/>
    <mergeCell ref="D601:E601"/>
    <mergeCell ref="I601:J601"/>
    <mergeCell ref="O601:Q602"/>
    <mergeCell ref="D602:E602"/>
    <mergeCell ref="I602:J602"/>
    <mergeCell ref="C605:E605"/>
    <mergeCell ref="C606:D606"/>
    <mergeCell ref="C607:D607"/>
    <mergeCell ref="C608:D608"/>
    <mergeCell ref="B591:L591"/>
    <mergeCell ref="B592:L592"/>
    <mergeCell ref="B593:L593"/>
    <mergeCell ref="B594:L594"/>
    <mergeCell ref="B595:L595"/>
    <mergeCell ref="B597:L597"/>
    <mergeCell ref="D599:E599"/>
    <mergeCell ref="I599:J599"/>
    <mergeCell ref="O599:Q600"/>
    <mergeCell ref="D600:E600"/>
    <mergeCell ref="I600:J600"/>
    <mergeCell ref="B22:C22"/>
    <mergeCell ref="D22:J22"/>
    <mergeCell ref="L22:O22"/>
    <mergeCell ref="P22:R22"/>
    <mergeCell ref="B23:R23"/>
    <mergeCell ref="B25:B26"/>
    <mergeCell ref="C25:C26"/>
    <mergeCell ref="D25:D26"/>
    <mergeCell ref="E25:J25"/>
    <mergeCell ref="N25:R25"/>
    <mergeCell ref="B19:C19"/>
    <mergeCell ref="D19:J19"/>
    <mergeCell ref="L19:O19"/>
    <mergeCell ref="P19:R19"/>
    <mergeCell ref="B20:C20"/>
    <mergeCell ref="D20:J20"/>
    <mergeCell ref="L20:O20"/>
    <mergeCell ref="P20:R20"/>
    <mergeCell ref="B21:C21"/>
    <mergeCell ref="D21:J21"/>
    <mergeCell ref="L21:O21"/>
    <mergeCell ref="P21:R21"/>
    <mergeCell ref="B15:C15"/>
    <mergeCell ref="D15:G15"/>
    <mergeCell ref="I15:J15"/>
    <mergeCell ref="L15:N15"/>
    <mergeCell ref="P15:R15"/>
    <mergeCell ref="B16:R16"/>
    <mergeCell ref="B17:R17"/>
    <mergeCell ref="B18:C18"/>
    <mergeCell ref="D18:J18"/>
    <mergeCell ref="L18:O18"/>
    <mergeCell ref="P18:R18"/>
    <mergeCell ref="B13:C13"/>
    <mergeCell ref="D13:J13"/>
    <mergeCell ref="L13:O13"/>
    <mergeCell ref="P13:R13"/>
    <mergeCell ref="B14:C14"/>
    <mergeCell ref="D14:G14"/>
    <mergeCell ref="I14:J14"/>
    <mergeCell ref="L14:N14"/>
    <mergeCell ref="P14:R14"/>
    <mergeCell ref="B10:C10"/>
    <mergeCell ref="D10:J10"/>
    <mergeCell ref="L10:O10"/>
    <mergeCell ref="P10:R10"/>
    <mergeCell ref="B11:C11"/>
    <mergeCell ref="D11:J11"/>
    <mergeCell ref="L11:O11"/>
    <mergeCell ref="P11:R11"/>
    <mergeCell ref="B12:C12"/>
    <mergeCell ref="D12:G12"/>
    <mergeCell ref="I12:J12"/>
    <mergeCell ref="L12:N12"/>
    <mergeCell ref="P12:R12"/>
    <mergeCell ref="B2:R2"/>
    <mergeCell ref="B3:R3"/>
    <mergeCell ref="B4:R4"/>
    <mergeCell ref="B5:R5"/>
    <mergeCell ref="B6:R6"/>
    <mergeCell ref="B7:R7"/>
    <mergeCell ref="B8:R8"/>
    <mergeCell ref="B9:C9"/>
    <mergeCell ref="D9:R9"/>
  </mergeCells>
  <conditionalFormatting sqref="R27:R590">
    <cfRule type="cellIs" dxfId="6" priority="2" operator="lessThan">
      <formula>0</formula>
    </cfRule>
  </conditionalFormatting>
  <printOptions horizontalCentered="1"/>
  <pageMargins left="0.51180555555555596" right="0.51180555555555596" top="0.78749999999999998" bottom="1.1812499999999999" header="0.511811023622047" footer="0.511811023622047"/>
  <pageSetup paperSize="9" scale="38" fitToHeight="26" orientation="portrait" horizontalDpi="300" verticalDpi="300" r:id="rId1"/>
  <colBreaks count="1" manualBreakCount="1">
    <brk id="1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665"/>
  <sheetViews>
    <sheetView view="pageBreakPreview" topLeftCell="B640" zoomScale="75" zoomScaleNormal="70" zoomScalePageLayoutView="75" workbookViewId="0">
      <selection activeCell="D654" sqref="D654"/>
    </sheetView>
  </sheetViews>
  <sheetFormatPr defaultColWidth="9.109375" defaultRowHeight="14.4"/>
  <cols>
    <col min="1" max="1" width="3.6640625" style="2" hidden="1" customWidth="1"/>
    <col min="2" max="2" width="11.33203125" style="2" customWidth="1"/>
    <col min="3" max="3" width="40.33203125" style="2" customWidth="1"/>
    <col min="4" max="4" width="5.88671875" style="3" customWidth="1"/>
    <col min="5" max="5" width="15.33203125" style="4" customWidth="1"/>
    <col min="6" max="6" width="15.109375" style="4" customWidth="1"/>
    <col min="7" max="7" width="18" style="4" customWidth="1"/>
    <col min="8" max="8" width="4.44140625" style="4" hidden="1" customWidth="1"/>
    <col min="9" max="9" width="15" style="4" customWidth="1"/>
    <col min="10" max="10" width="14.33203125" style="5" customWidth="1"/>
    <col min="11" max="11" width="17" style="5" hidden="1" customWidth="1"/>
    <col min="12" max="12" width="15.88671875" style="5" customWidth="1"/>
    <col min="13" max="13" width="25.33203125" style="5" hidden="1" customWidth="1"/>
    <col min="14" max="15" width="23.5546875" style="5" customWidth="1"/>
    <col min="16" max="16" width="23.5546875" style="6" hidden="1" customWidth="1"/>
    <col min="17" max="17" width="23.5546875" style="6" customWidth="1"/>
    <col min="18" max="18" width="23.5546875" style="5" customWidth="1"/>
    <col min="19" max="19" width="3" style="2" customWidth="1"/>
    <col min="20" max="20" width="23.33203125" style="2" customWidth="1"/>
    <col min="21" max="21" width="22.6640625" style="2" customWidth="1"/>
    <col min="22" max="22" width="21.44140625" style="2" customWidth="1"/>
    <col min="23" max="23" width="17.109375" style="2" customWidth="1"/>
    <col min="24" max="16384" width="9.109375" style="2"/>
  </cols>
  <sheetData>
    <row r="1" spans="2:23" ht="6" customHeight="1"/>
    <row r="2" spans="2:23" ht="29.25" customHeight="1">
      <c r="B2" s="491"/>
      <c r="C2" s="491"/>
      <c r="D2" s="491"/>
      <c r="E2" s="491"/>
      <c r="F2" s="491"/>
      <c r="G2" s="491"/>
      <c r="H2" s="491"/>
      <c r="I2" s="491"/>
      <c r="J2" s="491"/>
      <c r="K2" s="491"/>
      <c r="L2" s="491"/>
      <c r="M2" s="491"/>
      <c r="N2" s="491"/>
      <c r="O2" s="491"/>
      <c r="P2" s="491"/>
      <c r="Q2" s="491"/>
      <c r="R2" s="491"/>
      <c r="S2" s="7"/>
    </row>
    <row r="3" spans="2:23" ht="29.25" customHeight="1">
      <c r="B3" s="492" t="s">
        <v>0</v>
      </c>
      <c r="C3" s="492"/>
      <c r="D3" s="492"/>
      <c r="E3" s="492"/>
      <c r="F3" s="492"/>
      <c r="G3" s="492"/>
      <c r="H3" s="492"/>
      <c r="I3" s="492"/>
      <c r="J3" s="492"/>
      <c r="K3" s="492"/>
      <c r="L3" s="492"/>
      <c r="M3" s="492"/>
      <c r="N3" s="492"/>
      <c r="O3" s="492"/>
      <c r="P3" s="492"/>
      <c r="Q3" s="492"/>
      <c r="R3" s="492"/>
      <c r="S3" s="7"/>
      <c r="W3" s="8"/>
    </row>
    <row r="4" spans="2:23" ht="29.25" customHeight="1">
      <c r="B4" s="493"/>
      <c r="C4" s="493"/>
      <c r="D4" s="493"/>
      <c r="E4" s="493"/>
      <c r="F4" s="493"/>
      <c r="G4" s="493"/>
      <c r="H4" s="493"/>
      <c r="I4" s="493"/>
      <c r="J4" s="493"/>
      <c r="K4" s="493"/>
      <c r="L4" s="493"/>
      <c r="M4" s="493"/>
      <c r="N4" s="493"/>
      <c r="O4" s="493"/>
      <c r="P4" s="493"/>
      <c r="Q4" s="493"/>
      <c r="R4" s="493"/>
      <c r="S4" s="9"/>
      <c r="T4" s="2">
        <v>12630000</v>
      </c>
    </row>
    <row r="5" spans="2:23" ht="8.25" customHeight="1">
      <c r="B5" s="494"/>
      <c r="C5" s="494"/>
      <c r="D5" s="494"/>
      <c r="E5" s="494"/>
      <c r="F5" s="494"/>
      <c r="G5" s="494"/>
      <c r="H5" s="494"/>
      <c r="I5" s="494"/>
      <c r="J5" s="494"/>
      <c r="K5" s="494"/>
      <c r="L5" s="494"/>
      <c r="M5" s="494"/>
      <c r="N5" s="494"/>
      <c r="O5" s="494"/>
      <c r="P5" s="494"/>
      <c r="Q5" s="494"/>
      <c r="R5" s="494"/>
      <c r="S5" s="9"/>
    </row>
    <row r="6" spans="2:23" ht="38.25" customHeight="1">
      <c r="B6" s="495" t="s">
        <v>1593</v>
      </c>
      <c r="C6" s="495"/>
      <c r="D6" s="495"/>
      <c r="E6" s="495"/>
      <c r="F6" s="495"/>
      <c r="G6" s="495"/>
      <c r="H6" s="495"/>
      <c r="I6" s="495"/>
      <c r="J6" s="495"/>
      <c r="K6" s="495"/>
      <c r="L6" s="495"/>
      <c r="M6" s="495"/>
      <c r="N6" s="495"/>
      <c r="O6" s="495"/>
      <c r="P6" s="495"/>
      <c r="Q6" s="495"/>
      <c r="R6" s="495"/>
      <c r="S6" s="7"/>
    </row>
    <row r="7" spans="2:23" ht="8.25" customHeight="1">
      <c r="B7" s="496"/>
      <c r="C7" s="496"/>
      <c r="D7" s="496"/>
      <c r="E7" s="496"/>
      <c r="F7" s="496"/>
      <c r="G7" s="496"/>
      <c r="H7" s="496"/>
      <c r="I7" s="496"/>
      <c r="J7" s="496"/>
      <c r="K7" s="496"/>
      <c r="L7" s="496"/>
      <c r="M7" s="496"/>
      <c r="N7" s="496"/>
      <c r="O7" s="496"/>
      <c r="P7" s="496"/>
      <c r="Q7" s="496"/>
      <c r="R7" s="496"/>
      <c r="S7" s="7"/>
    </row>
    <row r="8" spans="2:23" ht="25.5" customHeight="1">
      <c r="B8" s="497" t="s">
        <v>2</v>
      </c>
      <c r="C8" s="497"/>
      <c r="D8" s="497"/>
      <c r="E8" s="497"/>
      <c r="F8" s="497"/>
      <c r="G8" s="497"/>
      <c r="H8" s="497"/>
      <c r="I8" s="497"/>
      <c r="J8" s="497"/>
      <c r="K8" s="497"/>
      <c r="L8" s="497"/>
      <c r="M8" s="497"/>
      <c r="N8" s="497"/>
      <c r="O8" s="497"/>
      <c r="P8" s="497"/>
      <c r="Q8" s="497"/>
      <c r="R8" s="497"/>
      <c r="S8" s="7"/>
      <c r="T8" s="2">
        <f>480/30</f>
        <v>16</v>
      </c>
    </row>
    <row r="9" spans="2:23" s="10" customFormat="1" ht="31.5" customHeight="1">
      <c r="B9" s="498" t="s">
        <v>3</v>
      </c>
      <c r="C9" s="498"/>
      <c r="D9" s="499" t="s">
        <v>4</v>
      </c>
      <c r="E9" s="499"/>
      <c r="F9" s="499"/>
      <c r="G9" s="499"/>
      <c r="H9" s="499"/>
      <c r="I9" s="499"/>
      <c r="J9" s="499"/>
      <c r="K9" s="499"/>
      <c r="L9" s="499"/>
      <c r="M9" s="499"/>
      <c r="N9" s="499"/>
      <c r="O9" s="499"/>
      <c r="P9" s="499"/>
      <c r="Q9" s="499"/>
      <c r="R9" s="499"/>
      <c r="S9" s="11"/>
    </row>
    <row r="10" spans="2:23" s="10" customFormat="1" ht="31.5" customHeight="1">
      <c r="B10" s="498" t="s">
        <v>5</v>
      </c>
      <c r="C10" s="498"/>
      <c r="D10" s="500" t="s">
        <v>6</v>
      </c>
      <c r="E10" s="500"/>
      <c r="F10" s="500"/>
      <c r="G10" s="500"/>
      <c r="H10" s="500"/>
      <c r="I10" s="500"/>
      <c r="J10" s="500"/>
      <c r="K10" s="12"/>
      <c r="L10" s="501" t="s">
        <v>7</v>
      </c>
      <c r="M10" s="501"/>
      <c r="N10" s="501"/>
      <c r="O10" s="501"/>
      <c r="P10" s="502">
        <v>45383</v>
      </c>
      <c r="Q10" s="502"/>
      <c r="R10" s="502"/>
      <c r="S10" s="11"/>
    </row>
    <row r="11" spans="2:23" s="10" customFormat="1" ht="31.5" customHeight="1">
      <c r="B11" s="498" t="s">
        <v>8</v>
      </c>
      <c r="C11" s="498"/>
      <c r="D11" s="503" t="s">
        <v>9</v>
      </c>
      <c r="E11" s="503"/>
      <c r="F11" s="503"/>
      <c r="G11" s="503"/>
      <c r="H11" s="503"/>
      <c r="I11" s="503"/>
      <c r="J11" s="503"/>
      <c r="K11" s="12"/>
      <c r="L11" s="501" t="s">
        <v>10</v>
      </c>
      <c r="M11" s="501"/>
      <c r="N11" s="501"/>
      <c r="O11" s="501"/>
      <c r="P11" s="502">
        <f>P10+600</f>
        <v>45983</v>
      </c>
      <c r="Q11" s="502"/>
      <c r="R11" s="502"/>
      <c r="S11" s="11"/>
    </row>
    <row r="12" spans="2:23" s="10" customFormat="1" ht="36.75" customHeight="1">
      <c r="B12" s="504" t="s">
        <v>11</v>
      </c>
      <c r="C12" s="504"/>
      <c r="D12" s="505" t="s">
        <v>12</v>
      </c>
      <c r="E12" s="505"/>
      <c r="F12" s="505"/>
      <c r="G12" s="505"/>
      <c r="H12" s="13"/>
      <c r="I12" s="506"/>
      <c r="J12" s="506"/>
      <c r="K12" s="14"/>
      <c r="L12" s="507"/>
      <c r="M12" s="507"/>
      <c r="N12" s="507"/>
      <c r="O12" s="1" t="s">
        <v>13</v>
      </c>
      <c r="P12" s="502">
        <v>45383</v>
      </c>
      <c r="Q12" s="502"/>
      <c r="R12" s="502"/>
      <c r="S12" s="11"/>
      <c r="T12" s="15"/>
    </row>
    <row r="13" spans="2:23" s="10" customFormat="1" ht="31.5" customHeight="1">
      <c r="B13" s="508" t="s">
        <v>14</v>
      </c>
      <c r="C13" s="508"/>
      <c r="D13" s="509">
        <f>Q591</f>
        <v>26279999.999999993</v>
      </c>
      <c r="E13" s="509"/>
      <c r="F13" s="509"/>
      <c r="G13" s="509"/>
      <c r="H13" s="509"/>
      <c r="I13" s="509"/>
      <c r="J13" s="509"/>
      <c r="K13" s="16"/>
      <c r="L13" s="510" t="s">
        <v>15</v>
      </c>
      <c r="M13" s="510"/>
      <c r="N13" s="510"/>
      <c r="O13" s="510"/>
      <c r="P13" s="511" t="s">
        <v>16</v>
      </c>
      <c r="Q13" s="511"/>
      <c r="R13" s="511"/>
      <c r="S13" s="11"/>
    </row>
    <row r="14" spans="2:23" s="10" customFormat="1" ht="31.5" customHeight="1">
      <c r="B14" s="512" t="s">
        <v>17</v>
      </c>
      <c r="C14" s="512"/>
      <c r="D14" s="513"/>
      <c r="E14" s="513"/>
      <c r="F14" s="513"/>
      <c r="G14" s="513"/>
      <c r="H14" s="18"/>
      <c r="I14" s="514" t="s">
        <v>18</v>
      </c>
      <c r="J14" s="514"/>
      <c r="K14" s="17"/>
      <c r="L14" s="515"/>
      <c r="M14" s="515"/>
      <c r="N14" s="515"/>
      <c r="O14" s="19" t="s">
        <v>19</v>
      </c>
      <c r="P14" s="516"/>
      <c r="Q14" s="516"/>
      <c r="R14" s="516"/>
      <c r="S14" s="11"/>
      <c r="T14" s="15"/>
    </row>
    <row r="15" spans="2:23" s="10" customFormat="1" ht="31.5" customHeight="1">
      <c r="B15" s="517" t="s">
        <v>20</v>
      </c>
      <c r="C15" s="517"/>
      <c r="D15" s="518" t="s">
        <v>21</v>
      </c>
      <c r="E15" s="518"/>
      <c r="F15" s="518"/>
      <c r="G15" s="518"/>
      <c r="H15" s="20"/>
      <c r="I15" s="518" t="s">
        <v>18</v>
      </c>
      <c r="J15" s="518"/>
      <c r="K15" s="21"/>
      <c r="L15" s="519" t="s">
        <v>22</v>
      </c>
      <c r="M15" s="519"/>
      <c r="N15" s="519"/>
      <c r="O15" s="22" t="s">
        <v>19</v>
      </c>
      <c r="P15" s="520" t="s">
        <v>23</v>
      </c>
      <c r="Q15" s="520"/>
      <c r="R15" s="520"/>
      <c r="S15" s="11"/>
      <c r="T15" s="23">
        <f>D13</f>
        <v>26279999.999999993</v>
      </c>
      <c r="U15" s="24"/>
    </row>
    <row r="16" spans="2:23" s="10" customFormat="1" ht="6" customHeight="1">
      <c r="B16" s="521"/>
      <c r="C16" s="521"/>
      <c r="D16" s="521"/>
      <c r="E16" s="521"/>
      <c r="F16" s="521"/>
      <c r="G16" s="521"/>
      <c r="H16" s="521"/>
      <c r="I16" s="521"/>
      <c r="J16" s="521"/>
      <c r="K16" s="521"/>
      <c r="L16" s="521"/>
      <c r="M16" s="521"/>
      <c r="N16" s="521"/>
      <c r="O16" s="521"/>
      <c r="P16" s="521"/>
      <c r="Q16" s="521"/>
      <c r="R16" s="521"/>
      <c r="S16" s="11"/>
      <c r="T16" s="23"/>
      <c r="U16" s="25"/>
    </row>
    <row r="17" spans="1:23" s="10" customFormat="1" ht="27.75" customHeight="1">
      <c r="B17" s="497" t="s">
        <v>24</v>
      </c>
      <c r="C17" s="497"/>
      <c r="D17" s="497"/>
      <c r="E17" s="497"/>
      <c r="F17" s="497"/>
      <c r="G17" s="497"/>
      <c r="H17" s="497"/>
      <c r="I17" s="497"/>
      <c r="J17" s="497"/>
      <c r="K17" s="497"/>
      <c r="L17" s="497"/>
      <c r="M17" s="497"/>
      <c r="N17" s="497"/>
      <c r="O17" s="497"/>
      <c r="P17" s="497"/>
      <c r="Q17" s="497"/>
      <c r="R17" s="497"/>
      <c r="S17" s="11"/>
      <c r="T17" s="26"/>
      <c r="U17" s="27"/>
      <c r="W17" s="28"/>
    </row>
    <row r="18" spans="1:23" ht="43.5" customHeight="1">
      <c r="A18" s="10"/>
      <c r="B18" s="522" t="s">
        <v>25</v>
      </c>
      <c r="C18" s="522"/>
      <c r="D18" s="523" t="s">
        <v>4</v>
      </c>
      <c r="E18" s="523"/>
      <c r="F18" s="523"/>
      <c r="G18" s="523"/>
      <c r="H18" s="523"/>
      <c r="I18" s="523"/>
      <c r="J18" s="523"/>
      <c r="K18" s="29"/>
      <c r="L18" s="501" t="s">
        <v>26</v>
      </c>
      <c r="M18" s="501"/>
      <c r="N18" s="501"/>
      <c r="O18" s="501"/>
      <c r="P18" s="524">
        <f>N591</f>
        <v>557090.72</v>
      </c>
      <c r="Q18" s="524"/>
      <c r="R18" s="524"/>
      <c r="S18" s="30"/>
      <c r="T18" s="23">
        <f>T15-Q33-Q32</f>
        <v>23966799.799999993</v>
      </c>
      <c r="U18" s="31"/>
      <c r="V18" s="10"/>
      <c r="W18" s="28"/>
    </row>
    <row r="19" spans="1:23" ht="31.5" customHeight="1">
      <c r="A19" s="10"/>
      <c r="B19" s="522" t="s">
        <v>27</v>
      </c>
      <c r="C19" s="522"/>
      <c r="D19" s="525" t="s">
        <v>1594</v>
      </c>
      <c r="E19" s="525"/>
      <c r="F19" s="525"/>
      <c r="G19" s="525"/>
      <c r="H19" s="525"/>
      <c r="I19" s="525"/>
      <c r="J19" s="525"/>
      <c r="K19" s="29"/>
      <c r="L19" s="501" t="s">
        <v>29</v>
      </c>
      <c r="M19" s="501"/>
      <c r="N19" s="501"/>
      <c r="O19" s="501"/>
      <c r="P19" s="524">
        <f>P18-P20</f>
        <v>0</v>
      </c>
      <c r="Q19" s="524"/>
      <c r="R19" s="524"/>
      <c r="S19" s="30"/>
      <c r="T19" s="23">
        <f>P21-O33-O32</f>
        <v>6179137.7799999993</v>
      </c>
      <c r="U19" s="10"/>
      <c r="V19" s="10"/>
      <c r="W19" s="10"/>
    </row>
    <row r="20" spans="1:23" s="34" customFormat="1" ht="31.5" customHeight="1">
      <c r="A20" s="10"/>
      <c r="B20" s="526" t="s">
        <v>30</v>
      </c>
      <c r="C20" s="526"/>
      <c r="D20" s="523" t="s">
        <v>1595</v>
      </c>
      <c r="E20" s="523"/>
      <c r="F20" s="523"/>
      <c r="G20" s="523"/>
      <c r="H20" s="523"/>
      <c r="I20" s="523"/>
      <c r="J20" s="523"/>
      <c r="K20" s="29"/>
      <c r="L20" s="501" t="s">
        <v>32</v>
      </c>
      <c r="M20" s="501"/>
      <c r="N20" s="501"/>
      <c r="O20" s="501"/>
      <c r="P20" s="524">
        <f>N591</f>
        <v>557090.72</v>
      </c>
      <c r="Q20" s="524"/>
      <c r="R20" s="524"/>
      <c r="S20" s="30"/>
      <c r="T20" s="32">
        <f>T19/T18</f>
        <v>0.25782072832268582</v>
      </c>
      <c r="U20" s="24">
        <v>739429.5</v>
      </c>
      <c r="V20" s="10"/>
      <c r="W20" s="33"/>
    </row>
    <row r="21" spans="1:23" s="34" customFormat="1" ht="31.5" customHeight="1">
      <c r="A21" s="10"/>
      <c r="B21" s="526" t="s">
        <v>33</v>
      </c>
      <c r="C21" s="526"/>
      <c r="D21" s="527">
        <v>45660</v>
      </c>
      <c r="E21" s="527"/>
      <c r="F21" s="527"/>
      <c r="G21" s="527"/>
      <c r="H21" s="527"/>
      <c r="I21" s="527"/>
      <c r="J21" s="527"/>
      <c r="K21" s="35"/>
      <c r="L21" s="501" t="s">
        <v>34</v>
      </c>
      <c r="M21" s="501"/>
      <c r="N21" s="501"/>
      <c r="O21" s="501"/>
      <c r="P21" s="524">
        <f>P20+'BM 008'!P21:R21</f>
        <v>6775480.709999999</v>
      </c>
      <c r="Q21" s="524"/>
      <c r="R21" s="524"/>
      <c r="S21" s="36"/>
      <c r="T21" s="32">
        <f>T20-I33</f>
        <v>2.0728322685792389E-5</v>
      </c>
      <c r="U21" s="32"/>
      <c r="V21" s="10"/>
      <c r="W21" s="10"/>
    </row>
    <row r="22" spans="1:23" s="34" customFormat="1" ht="31.5" customHeight="1">
      <c r="A22" s="10"/>
      <c r="B22" s="526" t="s">
        <v>35</v>
      </c>
      <c r="C22" s="526"/>
      <c r="D22" s="527">
        <v>45663</v>
      </c>
      <c r="E22" s="527"/>
      <c r="F22" s="527"/>
      <c r="G22" s="527"/>
      <c r="H22" s="527"/>
      <c r="I22" s="527"/>
      <c r="J22" s="527"/>
      <c r="K22" s="35"/>
      <c r="L22" s="501" t="s">
        <v>36</v>
      </c>
      <c r="M22" s="501"/>
      <c r="N22" s="501"/>
      <c r="O22" s="501"/>
      <c r="P22" s="524">
        <f>R591</f>
        <v>19504519.289999999</v>
      </c>
      <c r="Q22" s="524"/>
      <c r="R22" s="524"/>
      <c r="S22" s="36"/>
      <c r="T22" s="31"/>
      <c r="U22" s="37"/>
      <c r="V22" s="10"/>
      <c r="W22" s="10"/>
    </row>
    <row r="23" spans="1:23" s="34" customFormat="1" ht="5.25" customHeight="1">
      <c r="A23" s="10"/>
      <c r="B23" s="528"/>
      <c r="C23" s="528"/>
      <c r="D23" s="528"/>
      <c r="E23" s="528"/>
      <c r="F23" s="528"/>
      <c r="G23" s="528"/>
      <c r="H23" s="528"/>
      <c r="I23" s="528"/>
      <c r="J23" s="528"/>
      <c r="K23" s="528"/>
      <c r="L23" s="528"/>
      <c r="M23" s="528"/>
      <c r="N23" s="528"/>
      <c r="O23" s="528"/>
      <c r="P23" s="528"/>
      <c r="Q23" s="528"/>
      <c r="R23" s="528"/>
      <c r="S23" s="10"/>
      <c r="T23" s="10"/>
      <c r="U23" s="10"/>
      <c r="V23" s="10"/>
      <c r="W23" s="10"/>
    </row>
    <row r="24" spans="1:23" s="34" customFormat="1" ht="2.25" customHeight="1">
      <c r="A24" s="2"/>
      <c r="B24" s="38"/>
      <c r="C24" s="39"/>
      <c r="D24" s="40"/>
      <c r="E24" s="41"/>
      <c r="F24" s="42"/>
      <c r="G24" s="43"/>
      <c r="H24" s="43"/>
      <c r="I24" s="43"/>
      <c r="J24" s="39"/>
      <c r="K24" s="39"/>
      <c r="L24" s="39"/>
      <c r="M24" s="39"/>
      <c r="N24" s="39"/>
      <c r="O24" s="39"/>
      <c r="P24" s="44"/>
      <c r="Q24" s="44"/>
      <c r="R24" s="45"/>
      <c r="S24" s="2"/>
      <c r="T24" s="2"/>
      <c r="U24" s="2"/>
      <c r="V24" s="2"/>
      <c r="W24" s="2"/>
    </row>
    <row r="25" spans="1:23" s="34" customFormat="1" ht="18" customHeight="1">
      <c r="A25" s="2"/>
      <c r="B25" s="529" t="s">
        <v>37</v>
      </c>
      <c r="C25" s="530" t="s">
        <v>38</v>
      </c>
      <c r="D25" s="530" t="s">
        <v>39</v>
      </c>
      <c r="E25" s="531" t="s">
        <v>40</v>
      </c>
      <c r="F25" s="531"/>
      <c r="G25" s="531"/>
      <c r="H25" s="531"/>
      <c r="I25" s="531"/>
      <c r="J25" s="531"/>
      <c r="K25" s="48" t="s">
        <v>41</v>
      </c>
      <c r="L25" s="48" t="s">
        <v>42</v>
      </c>
      <c r="M25" s="48"/>
      <c r="N25" s="532" t="s">
        <v>43</v>
      </c>
      <c r="O25" s="532"/>
      <c r="P25" s="532"/>
      <c r="Q25" s="532"/>
      <c r="R25" s="532"/>
      <c r="S25" s="2"/>
      <c r="T25" s="49" t="s">
        <v>44</v>
      </c>
      <c r="U25" s="50">
        <v>20732092.140000001</v>
      </c>
      <c r="V25" s="51">
        <v>0.26760000016091001</v>
      </c>
      <c r="W25" s="2"/>
    </row>
    <row r="26" spans="1:23" s="34" customFormat="1" ht="43.5" customHeight="1">
      <c r="A26" s="2"/>
      <c r="B26" s="529"/>
      <c r="C26" s="530"/>
      <c r="D26" s="530"/>
      <c r="E26" s="52" t="s">
        <v>45</v>
      </c>
      <c r="F26" s="53" t="s">
        <v>46</v>
      </c>
      <c r="G26" s="53" t="s">
        <v>47</v>
      </c>
      <c r="H26" s="54"/>
      <c r="I26" s="55" t="s">
        <v>48</v>
      </c>
      <c r="J26" s="55" t="s">
        <v>49</v>
      </c>
      <c r="K26" s="56" t="s">
        <v>50</v>
      </c>
      <c r="L26" s="47" t="s">
        <v>50</v>
      </c>
      <c r="M26" s="48" t="s">
        <v>51</v>
      </c>
      <c r="N26" s="57" t="s">
        <v>52</v>
      </c>
      <c r="O26" s="57" t="s">
        <v>53</v>
      </c>
      <c r="P26" s="57" t="s">
        <v>54</v>
      </c>
      <c r="Q26" s="57" t="s">
        <v>55</v>
      </c>
      <c r="R26" s="58" t="s">
        <v>56</v>
      </c>
      <c r="S26" s="2"/>
      <c r="T26" s="59">
        <v>0.26760011</v>
      </c>
      <c r="U26" s="50">
        <v>5547907.8600000003</v>
      </c>
      <c r="V26" s="50">
        <v>26280000</v>
      </c>
      <c r="W26" s="2"/>
    </row>
    <row r="27" spans="1:23" s="34" customFormat="1" ht="13.2">
      <c r="B27" s="60" t="s">
        <v>57</v>
      </c>
      <c r="C27" s="61" t="s">
        <v>58</v>
      </c>
      <c r="D27" s="60"/>
      <c r="E27" s="62"/>
      <c r="F27" s="63"/>
      <c r="G27" s="63"/>
      <c r="H27" s="63"/>
      <c r="I27" s="63"/>
      <c r="J27" s="63"/>
      <c r="K27" s="63"/>
      <c r="L27" s="64"/>
      <c r="M27" s="63">
        <f t="shared" ref="M27:R27" si="0">M28+M30+M35+M43</f>
        <v>52234.18</v>
      </c>
      <c r="N27" s="63">
        <f t="shared" si="0"/>
        <v>52234.18</v>
      </c>
      <c r="O27" s="63">
        <f t="shared" si="0"/>
        <v>1140684.24</v>
      </c>
      <c r="P27" s="63">
        <f t="shared" si="0"/>
        <v>2403883</v>
      </c>
      <c r="Q27" s="63">
        <f t="shared" si="0"/>
        <v>3047162.2499999991</v>
      </c>
      <c r="R27" s="63">
        <f t="shared" si="0"/>
        <v>1906478.0099999998</v>
      </c>
      <c r="U27" s="65"/>
    </row>
    <row r="28" spans="1:23" s="34" customFormat="1" ht="13.2">
      <c r="B28" s="66" t="s">
        <v>59</v>
      </c>
      <c r="C28" s="67" t="s">
        <v>60</v>
      </c>
      <c r="D28" s="68"/>
      <c r="E28" s="69"/>
      <c r="F28" s="70"/>
      <c r="G28" s="70"/>
      <c r="H28" s="70"/>
      <c r="I28" s="70"/>
      <c r="J28" s="70"/>
      <c r="K28" s="71"/>
      <c r="L28" s="72"/>
      <c r="M28" s="73">
        <f t="shared" ref="M28:R28" si="1">SUM(M29)</f>
        <v>0</v>
      </c>
      <c r="N28" s="73">
        <f t="shared" si="1"/>
        <v>0</v>
      </c>
      <c r="O28" s="73">
        <f t="shared" si="1"/>
        <v>41273.050000000003</v>
      </c>
      <c r="P28" s="73">
        <f t="shared" si="1"/>
        <v>32560</v>
      </c>
      <c r="Q28" s="73">
        <f t="shared" si="1"/>
        <v>41273.050000000003</v>
      </c>
      <c r="R28" s="73">
        <f t="shared" si="1"/>
        <v>0</v>
      </c>
      <c r="T28" s="74"/>
    </row>
    <row r="29" spans="1:23" s="34" customFormat="1" ht="13.2">
      <c r="B29" s="75" t="s">
        <v>61</v>
      </c>
      <c r="C29" s="76" t="s">
        <v>62</v>
      </c>
      <c r="D29" s="77" t="s">
        <v>63</v>
      </c>
      <c r="E29" s="78">
        <v>1</v>
      </c>
      <c r="F29" s="79"/>
      <c r="G29" s="79"/>
      <c r="H29" s="79"/>
      <c r="I29" s="79">
        <f>SUM(G29:H29)+'BM 008'!I29</f>
        <v>1</v>
      </c>
      <c r="J29" s="79">
        <f>E29-I29</f>
        <v>0</v>
      </c>
      <c r="K29" s="80">
        <v>32560</v>
      </c>
      <c r="L29" s="81">
        <f t="shared" ref="L29:L92" si="2">K29*(1+$T$26)</f>
        <v>41273.059581599999</v>
      </c>
      <c r="M29" s="82">
        <f>TRUNC(F29*L29,2)</f>
        <v>0</v>
      </c>
      <c r="N29" s="82">
        <f>TRUNC(G29*L29,2)</f>
        <v>0</v>
      </c>
      <c r="O29" s="82">
        <f>N29+'BM 008'!O29</f>
        <v>41273.050000000003</v>
      </c>
      <c r="P29" s="82">
        <f>E29*K29</f>
        <v>32560</v>
      </c>
      <c r="Q29" s="82">
        <f>TRUNC(E29*L29,2)</f>
        <v>41273.050000000003</v>
      </c>
      <c r="R29" s="82">
        <f>Q29-O29</f>
        <v>0</v>
      </c>
      <c r="T29" s="74"/>
    </row>
    <row r="30" spans="1:23" s="34" customFormat="1" ht="13.2">
      <c r="B30" s="66" t="s">
        <v>64</v>
      </c>
      <c r="C30" s="67" t="s">
        <v>65</v>
      </c>
      <c r="D30" s="68"/>
      <c r="E30" s="69"/>
      <c r="F30" s="70"/>
      <c r="G30" s="70"/>
      <c r="H30" s="70"/>
      <c r="I30" s="70">
        <f>SUM(G30:H30)+'BM 008'!I30</f>
        <v>0</v>
      </c>
      <c r="J30" s="70"/>
      <c r="K30" s="71"/>
      <c r="L30" s="71">
        <f t="shared" si="2"/>
        <v>0</v>
      </c>
      <c r="M30" s="73">
        <f t="shared" ref="M30:R30" si="3">SUM(M31:M34)</f>
        <v>49039.83</v>
      </c>
      <c r="N30" s="73">
        <f t="shared" si="3"/>
        <v>49039.83</v>
      </c>
      <c r="O30" s="73">
        <f t="shared" si="3"/>
        <v>596342.92999999993</v>
      </c>
      <c r="P30" s="73">
        <f t="shared" si="3"/>
        <v>1872865.9</v>
      </c>
      <c r="Q30" s="73">
        <f t="shared" si="3"/>
        <v>2374044.9999999995</v>
      </c>
      <c r="R30" s="73">
        <f t="shared" si="3"/>
        <v>1777702.0699999998</v>
      </c>
      <c r="T30" s="83"/>
    </row>
    <row r="31" spans="1:23" s="34" customFormat="1" ht="23.4">
      <c r="B31" s="75" t="s">
        <v>66</v>
      </c>
      <c r="C31" s="76" t="s">
        <v>67</v>
      </c>
      <c r="D31" s="77" t="s">
        <v>68</v>
      </c>
      <c r="E31" s="78">
        <v>20</v>
      </c>
      <c r="F31" s="79"/>
      <c r="G31" s="79"/>
      <c r="H31" s="79"/>
      <c r="I31" s="79">
        <f>SUM(G31:H31)+'BM 008'!I31</f>
        <v>0</v>
      </c>
      <c r="J31" s="79">
        <f t="shared" ref="J31:J94" si="4">E31-I31</f>
        <v>20</v>
      </c>
      <c r="K31" s="84">
        <v>1200</v>
      </c>
      <c r="L31" s="81">
        <f t="shared" si="2"/>
        <v>1521.120132</v>
      </c>
      <c r="M31" s="82">
        <f>TRUNC(F31*L31,2)</f>
        <v>0</v>
      </c>
      <c r="N31" s="82">
        <f>TRUNC(G31*L31,2)</f>
        <v>0</v>
      </c>
      <c r="O31" s="82">
        <f>N31+'BM 008'!O31</f>
        <v>0</v>
      </c>
      <c r="P31" s="82">
        <f>E31*K31</f>
        <v>24000</v>
      </c>
      <c r="Q31" s="82">
        <f>TRUNC(E31*L31,2)</f>
        <v>30422.400000000001</v>
      </c>
      <c r="R31" s="82">
        <f>Q31-O31</f>
        <v>30422.400000000001</v>
      </c>
    </row>
    <row r="32" spans="1:23" s="34" customFormat="1" ht="13.2">
      <c r="B32" s="75" t="s">
        <v>69</v>
      </c>
      <c r="C32" s="85" t="s">
        <v>70</v>
      </c>
      <c r="D32" s="77" t="s">
        <v>68</v>
      </c>
      <c r="E32" s="78">
        <v>20</v>
      </c>
      <c r="F32" s="86">
        <f>'M.C. MED. 09'!K23</f>
        <v>0.42399999999999949</v>
      </c>
      <c r="G32" s="86">
        <f>F32</f>
        <v>0.42399999999999949</v>
      </c>
      <c r="H32" s="79"/>
      <c r="I32" s="86">
        <f>SUM(G32:H32)+'BM 008'!I32</f>
        <v>5.1559999999999988</v>
      </c>
      <c r="J32" s="79">
        <f t="shared" si="4"/>
        <v>14.844000000000001</v>
      </c>
      <c r="K32" s="84">
        <v>51500.32</v>
      </c>
      <c r="L32" s="81">
        <f t="shared" si="2"/>
        <v>65281.811297035201</v>
      </c>
      <c r="M32" s="82">
        <f>TRUNC(F32*L32,2)</f>
        <v>27679.48</v>
      </c>
      <c r="N32" s="82">
        <f>TRUNC(G32*L32,2)</f>
        <v>27679.48</v>
      </c>
      <c r="O32" s="82">
        <f>N32+'BM 008'!O32</f>
        <v>336592.97</v>
      </c>
      <c r="P32" s="82">
        <f>E32*K32</f>
        <v>1030006.4</v>
      </c>
      <c r="Q32" s="82">
        <f>TRUNC(E32*L32,2)</f>
        <v>1305636.22</v>
      </c>
      <c r="R32" s="82">
        <f>Q32-O32</f>
        <v>969043.25</v>
      </c>
      <c r="T32" s="83"/>
    </row>
    <row r="33" spans="1:21" s="34" customFormat="1" ht="194.4">
      <c r="B33" s="75" t="s">
        <v>71</v>
      </c>
      <c r="C33" s="85" t="s">
        <v>72</v>
      </c>
      <c r="D33" s="77" t="s">
        <v>39</v>
      </c>
      <c r="E33" s="78">
        <v>1</v>
      </c>
      <c r="F33" s="86">
        <f>'M.C. MED. 09'!K41</f>
        <v>2.1200000000000024E-2</v>
      </c>
      <c r="G33" s="86">
        <f>F33</f>
        <v>2.1200000000000024E-2</v>
      </c>
      <c r="H33" s="79"/>
      <c r="I33" s="86">
        <f>SUM(G33:H33)+'BM 008'!I33</f>
        <v>0.25780000000000003</v>
      </c>
      <c r="J33" s="79">
        <f t="shared" si="4"/>
        <v>0.74219999999999997</v>
      </c>
      <c r="K33" s="84">
        <v>794859.5</v>
      </c>
      <c r="L33" s="81">
        <f t="shared" si="2"/>
        <v>1007563.9896345451</v>
      </c>
      <c r="M33" s="82">
        <f>TRUNC(F33*L33,2)</f>
        <v>21360.35</v>
      </c>
      <c r="N33" s="82">
        <f>TRUNC(G33*L33,2)</f>
        <v>21360.35</v>
      </c>
      <c r="O33" s="82">
        <f>N33+'BM 008'!O33</f>
        <v>259749.96000000002</v>
      </c>
      <c r="P33" s="82">
        <f>E33*K33</f>
        <v>794859.5</v>
      </c>
      <c r="Q33" s="82">
        <f>TRUNC(E33*L33,2)</f>
        <v>1007563.98</v>
      </c>
      <c r="R33" s="82">
        <f>Q33-O33</f>
        <v>747814.02</v>
      </c>
      <c r="T33" s="83"/>
    </row>
    <row r="34" spans="1:21" s="34" customFormat="1" ht="23.4">
      <c r="B34" s="75" t="s">
        <v>73</v>
      </c>
      <c r="C34" s="76" t="s">
        <v>74</v>
      </c>
      <c r="D34" s="77" t="s">
        <v>68</v>
      </c>
      <c r="E34" s="78">
        <v>20</v>
      </c>
      <c r="F34" s="79"/>
      <c r="G34" s="79"/>
      <c r="H34" s="79"/>
      <c r="I34" s="79">
        <f>SUM(G34:H34)+'BM 008'!I34</f>
        <v>0</v>
      </c>
      <c r="J34" s="79">
        <f t="shared" si="4"/>
        <v>20</v>
      </c>
      <c r="K34" s="84">
        <v>1200</v>
      </c>
      <c r="L34" s="81">
        <f t="shared" si="2"/>
        <v>1521.120132</v>
      </c>
      <c r="M34" s="82">
        <f>TRUNC(F34*L34,2)</f>
        <v>0</v>
      </c>
      <c r="N34" s="82">
        <f>TRUNC(G34*L34,2)</f>
        <v>0</v>
      </c>
      <c r="O34" s="82">
        <f>N34+'BM 008'!O34</f>
        <v>0</v>
      </c>
      <c r="P34" s="82">
        <f>E34*K34</f>
        <v>24000</v>
      </c>
      <c r="Q34" s="82">
        <f>TRUNC(E34*L34,2)</f>
        <v>30422.400000000001</v>
      </c>
      <c r="R34" s="82">
        <f>Q34-O34</f>
        <v>30422.400000000001</v>
      </c>
    </row>
    <row r="35" spans="1:21" s="34" customFormat="1" ht="13.2">
      <c r="B35" s="66" t="s">
        <v>75</v>
      </c>
      <c r="C35" s="67" t="s">
        <v>76</v>
      </c>
      <c r="D35" s="68"/>
      <c r="E35" s="69"/>
      <c r="F35" s="70"/>
      <c r="G35" s="70"/>
      <c r="H35" s="70"/>
      <c r="I35" s="70">
        <f>SUM(G35:H35)+'BM 008'!I35</f>
        <v>0</v>
      </c>
      <c r="J35" s="70">
        <f t="shared" si="4"/>
        <v>0</v>
      </c>
      <c r="K35" s="71"/>
      <c r="L35" s="71">
        <f t="shared" si="2"/>
        <v>0</v>
      </c>
      <c r="M35" s="73">
        <f t="shared" ref="M35:R35" si="5">SUM(M36:M42)</f>
        <v>0</v>
      </c>
      <c r="N35" s="73">
        <f t="shared" si="5"/>
        <v>0</v>
      </c>
      <c r="O35" s="73">
        <f t="shared" si="5"/>
        <v>352925.19</v>
      </c>
      <c r="P35" s="73">
        <f t="shared" si="5"/>
        <v>278420</v>
      </c>
      <c r="Q35" s="73">
        <f t="shared" si="5"/>
        <v>352925.19</v>
      </c>
      <c r="R35" s="73">
        <f t="shared" si="5"/>
        <v>0</v>
      </c>
    </row>
    <row r="36" spans="1:21" s="34" customFormat="1" ht="13.2">
      <c r="B36" s="87" t="s">
        <v>77</v>
      </c>
      <c r="C36" s="88" t="s">
        <v>78</v>
      </c>
      <c r="D36" s="89" t="s">
        <v>79</v>
      </c>
      <c r="E36" s="90">
        <v>128</v>
      </c>
      <c r="F36" s="91"/>
      <c r="G36" s="91"/>
      <c r="H36" s="91"/>
      <c r="I36" s="79">
        <f>SUM(G36:H36)+'BM 008'!I36</f>
        <v>128</v>
      </c>
      <c r="J36" s="91">
        <f t="shared" si="4"/>
        <v>0</v>
      </c>
      <c r="K36" s="80">
        <v>125</v>
      </c>
      <c r="L36" s="81">
        <f t="shared" si="2"/>
        <v>158.45001375000001</v>
      </c>
      <c r="M36" s="82">
        <f t="shared" ref="M36:M42" si="6">TRUNC(F36*L36,2)</f>
        <v>0</v>
      </c>
      <c r="N36" s="82">
        <f t="shared" ref="N36:N42" si="7">TRUNC(G36*L36,2)</f>
        <v>0</v>
      </c>
      <c r="O36" s="82">
        <f>N36+'BM 008'!O36</f>
        <v>20281.599999999999</v>
      </c>
      <c r="P36" s="82">
        <f t="shared" ref="P36:P42" si="8">E36*K36</f>
        <v>16000</v>
      </c>
      <c r="Q36" s="82">
        <f t="shared" ref="Q36:Q42" si="9">TRUNC(E36*L36,2)</f>
        <v>20281.599999999999</v>
      </c>
      <c r="R36" s="82">
        <f t="shared" ref="R36:R42" si="10">Q36-O36</f>
        <v>0</v>
      </c>
    </row>
    <row r="37" spans="1:21" s="34" customFormat="1" ht="46.2">
      <c r="B37" s="87" t="s">
        <v>80</v>
      </c>
      <c r="C37" s="76" t="s">
        <v>81</v>
      </c>
      <c r="D37" s="77" t="s">
        <v>82</v>
      </c>
      <c r="E37" s="78">
        <v>156</v>
      </c>
      <c r="F37" s="91"/>
      <c r="G37" s="91"/>
      <c r="H37" s="91"/>
      <c r="I37" s="79">
        <f>SUM(G37:H37)+'BM 008'!I37</f>
        <v>156.0001</v>
      </c>
      <c r="J37" s="91">
        <f t="shared" si="4"/>
        <v>-1.0000000000331966E-4</v>
      </c>
      <c r="K37" s="80">
        <v>70</v>
      </c>
      <c r="L37" s="81">
        <f t="shared" si="2"/>
        <v>88.732007699999997</v>
      </c>
      <c r="M37" s="82">
        <f t="shared" si="6"/>
        <v>0</v>
      </c>
      <c r="N37" s="82">
        <f t="shared" si="7"/>
        <v>0</v>
      </c>
      <c r="O37" s="82">
        <f>N37+'BM 008'!O37</f>
        <v>13842.19</v>
      </c>
      <c r="P37" s="82">
        <f t="shared" si="8"/>
        <v>10920</v>
      </c>
      <c r="Q37" s="82">
        <f t="shared" si="9"/>
        <v>13842.19</v>
      </c>
      <c r="R37" s="82">
        <f t="shared" si="10"/>
        <v>0</v>
      </c>
    </row>
    <row r="38" spans="1:21" s="34" customFormat="1" ht="34.799999999999997">
      <c r="B38" s="87" t="s">
        <v>83</v>
      </c>
      <c r="C38" s="88" t="s">
        <v>84</v>
      </c>
      <c r="D38" s="89" t="s">
        <v>79</v>
      </c>
      <c r="E38" s="92">
        <v>40</v>
      </c>
      <c r="F38" s="91"/>
      <c r="G38" s="91"/>
      <c r="H38" s="91"/>
      <c r="I38" s="79">
        <f>SUM(G38:H38)+'BM 008'!I38</f>
        <v>40</v>
      </c>
      <c r="J38" s="91">
        <f t="shared" si="4"/>
        <v>0</v>
      </c>
      <c r="K38" s="80">
        <v>1150</v>
      </c>
      <c r="L38" s="81">
        <f t="shared" si="2"/>
        <v>1457.7401265000001</v>
      </c>
      <c r="M38" s="82">
        <f t="shared" si="6"/>
        <v>0</v>
      </c>
      <c r="N38" s="82">
        <f t="shared" si="7"/>
        <v>0</v>
      </c>
      <c r="O38" s="82">
        <f>N38+'BM 008'!O38</f>
        <v>58309.599999999999</v>
      </c>
      <c r="P38" s="82">
        <f t="shared" si="8"/>
        <v>46000</v>
      </c>
      <c r="Q38" s="82">
        <f t="shared" si="9"/>
        <v>58309.599999999999</v>
      </c>
      <c r="R38" s="82">
        <f t="shared" si="10"/>
        <v>0</v>
      </c>
    </row>
    <row r="39" spans="1:21" s="34" customFormat="1" ht="23.4">
      <c r="B39" s="87" t="s">
        <v>85</v>
      </c>
      <c r="C39" s="88" t="s">
        <v>86</v>
      </c>
      <c r="D39" s="89" t="s">
        <v>79</v>
      </c>
      <c r="E39" s="92">
        <v>68</v>
      </c>
      <c r="F39" s="91"/>
      <c r="G39" s="91"/>
      <c r="H39" s="91"/>
      <c r="I39" s="79">
        <f>SUM(G39:H39)+'BM 008'!I39</f>
        <v>68</v>
      </c>
      <c r="J39" s="91">
        <f t="shared" si="4"/>
        <v>0</v>
      </c>
      <c r="K39" s="80">
        <v>1000</v>
      </c>
      <c r="L39" s="81">
        <f t="shared" si="2"/>
        <v>1267.6001100000001</v>
      </c>
      <c r="M39" s="82">
        <f t="shared" si="6"/>
        <v>0</v>
      </c>
      <c r="N39" s="82">
        <f t="shared" si="7"/>
        <v>0</v>
      </c>
      <c r="O39" s="82">
        <f>N39+'BM 008'!O39</f>
        <v>86196.800000000003</v>
      </c>
      <c r="P39" s="82">
        <f t="shared" si="8"/>
        <v>68000</v>
      </c>
      <c r="Q39" s="82">
        <f t="shared" si="9"/>
        <v>86196.800000000003</v>
      </c>
      <c r="R39" s="82">
        <f t="shared" si="10"/>
        <v>0</v>
      </c>
    </row>
    <row r="40" spans="1:21" s="34" customFormat="1" ht="34.799999999999997">
      <c r="B40" s="87" t="s">
        <v>87</v>
      </c>
      <c r="C40" s="88" t="s">
        <v>88</v>
      </c>
      <c r="D40" s="89" t="s">
        <v>79</v>
      </c>
      <c r="E40" s="92">
        <v>60</v>
      </c>
      <c r="F40" s="91"/>
      <c r="G40" s="91"/>
      <c r="H40" s="91"/>
      <c r="I40" s="79">
        <f>SUM(G40:H40)+'BM 008'!I40</f>
        <v>60</v>
      </c>
      <c r="J40" s="91">
        <f t="shared" si="4"/>
        <v>0</v>
      </c>
      <c r="K40" s="80">
        <v>600</v>
      </c>
      <c r="L40" s="81">
        <f t="shared" si="2"/>
        <v>760.56006600000001</v>
      </c>
      <c r="M40" s="82">
        <f t="shared" si="6"/>
        <v>0</v>
      </c>
      <c r="N40" s="82">
        <f t="shared" si="7"/>
        <v>0</v>
      </c>
      <c r="O40" s="82">
        <f>N40+'BM 008'!O40</f>
        <v>45633.599999999999</v>
      </c>
      <c r="P40" s="82">
        <f t="shared" si="8"/>
        <v>36000</v>
      </c>
      <c r="Q40" s="82">
        <f t="shared" si="9"/>
        <v>45633.599999999999</v>
      </c>
      <c r="R40" s="82">
        <f t="shared" si="10"/>
        <v>0</v>
      </c>
      <c r="T40" s="83"/>
      <c r="U40" s="83"/>
    </row>
    <row r="41" spans="1:21" s="34" customFormat="1" ht="34.799999999999997">
      <c r="B41" s="87" t="s">
        <v>89</v>
      </c>
      <c r="C41" s="76" t="s">
        <v>90</v>
      </c>
      <c r="D41" s="77" t="s">
        <v>79</v>
      </c>
      <c r="E41" s="78">
        <v>60</v>
      </c>
      <c r="F41" s="79"/>
      <c r="G41" s="91"/>
      <c r="H41" s="79"/>
      <c r="I41" s="79">
        <f>SUM(G41:H41)+'BM 008'!I41</f>
        <v>60</v>
      </c>
      <c r="J41" s="79">
        <f t="shared" si="4"/>
        <v>0</v>
      </c>
      <c r="K41" s="80">
        <v>1150</v>
      </c>
      <c r="L41" s="81">
        <f t="shared" si="2"/>
        <v>1457.7401265000001</v>
      </c>
      <c r="M41" s="82">
        <f t="shared" si="6"/>
        <v>0</v>
      </c>
      <c r="N41" s="82">
        <f t="shared" si="7"/>
        <v>0</v>
      </c>
      <c r="O41" s="82">
        <f>N41+'BM 008'!O41</f>
        <v>87464.4</v>
      </c>
      <c r="P41" s="82">
        <f t="shared" si="8"/>
        <v>69000</v>
      </c>
      <c r="Q41" s="82">
        <f t="shared" si="9"/>
        <v>87464.4</v>
      </c>
      <c r="R41" s="82">
        <f t="shared" si="10"/>
        <v>0</v>
      </c>
    </row>
    <row r="42" spans="1:21" s="34" customFormat="1" ht="34.200000000000003">
      <c r="B42" s="87" t="s">
        <v>91</v>
      </c>
      <c r="C42" s="184" t="s">
        <v>1195</v>
      </c>
      <c r="D42" s="77" t="s">
        <v>79</v>
      </c>
      <c r="E42" s="78">
        <v>50</v>
      </c>
      <c r="F42" s="79"/>
      <c r="G42" s="91"/>
      <c r="H42" s="79"/>
      <c r="I42" s="79">
        <f>SUM(G42:H42)+'BM 008'!I42</f>
        <v>50</v>
      </c>
      <c r="J42" s="79">
        <f t="shared" si="4"/>
        <v>0</v>
      </c>
      <c r="K42" s="80">
        <v>650</v>
      </c>
      <c r="L42" s="81">
        <f t="shared" si="2"/>
        <v>823.94007150000004</v>
      </c>
      <c r="M42" s="82">
        <f t="shared" si="6"/>
        <v>0</v>
      </c>
      <c r="N42" s="82">
        <f t="shared" si="7"/>
        <v>0</v>
      </c>
      <c r="O42" s="82">
        <f>N42+'BM 008'!O42</f>
        <v>41197</v>
      </c>
      <c r="P42" s="82">
        <f t="shared" si="8"/>
        <v>32500</v>
      </c>
      <c r="Q42" s="82">
        <f t="shared" si="9"/>
        <v>41197</v>
      </c>
      <c r="R42" s="82">
        <f t="shared" si="10"/>
        <v>0</v>
      </c>
    </row>
    <row r="43" spans="1:21" s="34" customFormat="1" ht="13.2">
      <c r="B43" s="66" t="s">
        <v>93</v>
      </c>
      <c r="C43" s="67" t="s">
        <v>94</v>
      </c>
      <c r="D43" s="68"/>
      <c r="E43" s="69"/>
      <c r="F43" s="70"/>
      <c r="G43" s="70"/>
      <c r="H43" s="70"/>
      <c r="I43" s="70">
        <f>SUM(G43:H43)+'BM 008'!I43</f>
        <v>0</v>
      </c>
      <c r="J43" s="70">
        <f t="shared" si="4"/>
        <v>0</v>
      </c>
      <c r="K43" s="71"/>
      <c r="L43" s="71">
        <f t="shared" si="2"/>
        <v>0</v>
      </c>
      <c r="M43" s="73">
        <f t="shared" ref="M43:R43" si="11">SUM(M44:M51)</f>
        <v>3194.35</v>
      </c>
      <c r="N43" s="73">
        <f t="shared" si="11"/>
        <v>3194.35</v>
      </c>
      <c r="O43" s="73">
        <f t="shared" si="11"/>
        <v>150143.07</v>
      </c>
      <c r="P43" s="73">
        <f t="shared" si="11"/>
        <v>220037.1</v>
      </c>
      <c r="Q43" s="73">
        <f t="shared" si="11"/>
        <v>278919.01</v>
      </c>
      <c r="R43" s="73">
        <f t="shared" si="11"/>
        <v>128775.94</v>
      </c>
    </row>
    <row r="44" spans="1:21" s="34" customFormat="1" ht="34.799999999999997">
      <c r="A44" s="83"/>
      <c r="B44" s="87" t="s">
        <v>95</v>
      </c>
      <c r="C44" s="76" t="s">
        <v>96</v>
      </c>
      <c r="D44" s="77" t="s">
        <v>79</v>
      </c>
      <c r="E44" s="93">
        <v>2573.3000000000002</v>
      </c>
      <c r="F44" s="79"/>
      <c r="G44" s="79"/>
      <c r="H44" s="79"/>
      <c r="I44" s="79">
        <f>SUM(G44:H44)+'BM 008'!I44</f>
        <v>2573.3000000000002</v>
      </c>
      <c r="J44" s="79">
        <f t="shared" si="4"/>
        <v>0</v>
      </c>
      <c r="K44" s="80">
        <v>2</v>
      </c>
      <c r="L44" s="81">
        <f t="shared" si="2"/>
        <v>2.5352002200000001</v>
      </c>
      <c r="M44" s="82">
        <f t="shared" ref="M44:M51" si="12">TRUNC(F44*L44,2)</f>
        <v>0</v>
      </c>
      <c r="N44" s="82">
        <f t="shared" ref="N44:N51" si="13">TRUNC(G44*L44,2)</f>
        <v>0</v>
      </c>
      <c r="O44" s="82">
        <f>N44+'BM 008'!O44</f>
        <v>6523.83</v>
      </c>
      <c r="P44" s="82">
        <f t="shared" ref="P44:P51" si="14">E44*K44</f>
        <v>5146.6000000000004</v>
      </c>
      <c r="Q44" s="82">
        <f t="shared" ref="Q44:Q51" si="15">TRUNC(E44*L44,2)</f>
        <v>6523.83</v>
      </c>
      <c r="R44" s="82">
        <f t="shared" ref="R44:R51" si="16">Q44-O44</f>
        <v>0</v>
      </c>
    </row>
    <row r="45" spans="1:21" s="34" customFormat="1" ht="23.4">
      <c r="B45" s="87" t="s">
        <v>97</v>
      </c>
      <c r="C45" s="88" t="s">
        <v>98</v>
      </c>
      <c r="D45" s="89" t="s">
        <v>99</v>
      </c>
      <c r="E45" s="90">
        <v>5.9</v>
      </c>
      <c r="F45" s="91"/>
      <c r="G45" s="91"/>
      <c r="H45" s="91"/>
      <c r="I45" s="79">
        <f>SUM(G45:H45)+'BM 008'!I45</f>
        <v>5.9</v>
      </c>
      <c r="J45" s="91">
        <f t="shared" si="4"/>
        <v>0</v>
      </c>
      <c r="K45" s="80">
        <v>55</v>
      </c>
      <c r="L45" s="81">
        <f t="shared" si="2"/>
        <v>69.71800605</v>
      </c>
      <c r="M45" s="82">
        <f t="shared" si="12"/>
        <v>0</v>
      </c>
      <c r="N45" s="82">
        <f t="shared" si="13"/>
        <v>0</v>
      </c>
      <c r="O45" s="82">
        <f>N45+'BM 008'!O45</f>
        <v>411.33</v>
      </c>
      <c r="P45" s="82">
        <f t="shared" si="14"/>
        <v>324.5</v>
      </c>
      <c r="Q45" s="82">
        <f t="shared" si="15"/>
        <v>411.33</v>
      </c>
      <c r="R45" s="82">
        <f t="shared" si="16"/>
        <v>0</v>
      </c>
    </row>
    <row r="46" spans="1:21" s="34" customFormat="1" ht="13.2">
      <c r="B46" s="87" t="s">
        <v>100</v>
      </c>
      <c r="C46" s="88" t="s">
        <v>101</v>
      </c>
      <c r="D46" s="89" t="s">
        <v>79</v>
      </c>
      <c r="E46" s="90">
        <v>88</v>
      </c>
      <c r="F46" s="91"/>
      <c r="G46" s="91"/>
      <c r="H46" s="91"/>
      <c r="I46" s="79">
        <f>SUM(G46:H46)+'BM 008'!I46</f>
        <v>88</v>
      </c>
      <c r="J46" s="91">
        <f t="shared" si="4"/>
        <v>0</v>
      </c>
      <c r="K46" s="80">
        <v>10</v>
      </c>
      <c r="L46" s="81">
        <f t="shared" si="2"/>
        <v>12.676001100000001</v>
      </c>
      <c r="M46" s="82">
        <f t="shared" si="12"/>
        <v>0</v>
      </c>
      <c r="N46" s="82">
        <f t="shared" si="13"/>
        <v>0</v>
      </c>
      <c r="O46" s="82">
        <f>N46+'BM 008'!O46</f>
        <v>1115.48</v>
      </c>
      <c r="P46" s="82">
        <f t="shared" si="14"/>
        <v>880</v>
      </c>
      <c r="Q46" s="82">
        <f t="shared" si="15"/>
        <v>1115.48</v>
      </c>
      <c r="R46" s="82">
        <f t="shared" si="16"/>
        <v>0</v>
      </c>
    </row>
    <row r="47" spans="1:21" s="34" customFormat="1" ht="34.799999999999997">
      <c r="B47" s="87" t="s">
        <v>102</v>
      </c>
      <c r="C47" s="88" t="s">
        <v>103</v>
      </c>
      <c r="D47" s="89" t="s">
        <v>99</v>
      </c>
      <c r="E47" s="90">
        <v>6.8</v>
      </c>
      <c r="F47" s="91"/>
      <c r="G47" s="91"/>
      <c r="H47" s="91"/>
      <c r="I47" s="79">
        <f>SUM(G47:H47)+'BM 008'!I47</f>
        <v>6.8</v>
      </c>
      <c r="J47" s="91">
        <f t="shared" si="4"/>
        <v>0</v>
      </c>
      <c r="K47" s="80">
        <v>220</v>
      </c>
      <c r="L47" s="81">
        <f t="shared" si="2"/>
        <v>278.8720242</v>
      </c>
      <c r="M47" s="82">
        <f t="shared" si="12"/>
        <v>0</v>
      </c>
      <c r="N47" s="82">
        <f t="shared" si="13"/>
        <v>0</v>
      </c>
      <c r="O47" s="82">
        <f>N47+'BM 008'!O47</f>
        <v>1896.32</v>
      </c>
      <c r="P47" s="82">
        <f t="shared" si="14"/>
        <v>1496</v>
      </c>
      <c r="Q47" s="82">
        <f t="shared" si="15"/>
        <v>1896.32</v>
      </c>
      <c r="R47" s="82">
        <f t="shared" si="16"/>
        <v>0</v>
      </c>
    </row>
    <row r="48" spans="1:21" s="34" customFormat="1" ht="23.4">
      <c r="B48" s="87" t="s">
        <v>104</v>
      </c>
      <c r="C48" s="88" t="s">
        <v>105</v>
      </c>
      <c r="D48" s="89" t="s">
        <v>79</v>
      </c>
      <c r="E48" s="90">
        <v>88</v>
      </c>
      <c r="F48" s="91"/>
      <c r="G48" s="91"/>
      <c r="H48" s="91"/>
      <c r="I48" s="79">
        <f>SUM(G48:H48)+'BM 008'!I48</f>
        <v>88</v>
      </c>
      <c r="J48" s="91">
        <f t="shared" si="4"/>
        <v>0</v>
      </c>
      <c r="K48" s="80">
        <v>15</v>
      </c>
      <c r="L48" s="81">
        <f t="shared" si="2"/>
        <v>19.014001650000001</v>
      </c>
      <c r="M48" s="82">
        <f t="shared" si="12"/>
        <v>0</v>
      </c>
      <c r="N48" s="82">
        <f t="shared" si="13"/>
        <v>0</v>
      </c>
      <c r="O48" s="82">
        <f>N48+'BM 008'!O48</f>
        <v>1673.23</v>
      </c>
      <c r="P48" s="80">
        <f t="shared" si="14"/>
        <v>1320</v>
      </c>
      <c r="Q48" s="82">
        <f t="shared" si="15"/>
        <v>1673.23</v>
      </c>
      <c r="R48" s="82">
        <f t="shared" si="16"/>
        <v>0</v>
      </c>
    </row>
    <row r="49" spans="2:20" s="34" customFormat="1" ht="23.4">
      <c r="B49" s="87" t="s">
        <v>106</v>
      </c>
      <c r="C49" s="76" t="s">
        <v>107</v>
      </c>
      <c r="D49" s="89" t="s">
        <v>99</v>
      </c>
      <c r="E49" s="90">
        <v>4350</v>
      </c>
      <c r="F49" s="91"/>
      <c r="G49" s="91"/>
      <c r="H49" s="91"/>
      <c r="I49" s="79">
        <f>SUM(G49:H49)+'BM 008'!I49</f>
        <v>1616.87</v>
      </c>
      <c r="J49" s="91">
        <f t="shared" si="4"/>
        <v>2733.13</v>
      </c>
      <c r="K49" s="80">
        <v>10</v>
      </c>
      <c r="L49" s="81">
        <f t="shared" si="2"/>
        <v>12.676001100000001</v>
      </c>
      <c r="M49" s="82">
        <f t="shared" si="12"/>
        <v>0</v>
      </c>
      <c r="N49" s="82">
        <f t="shared" si="13"/>
        <v>0</v>
      </c>
      <c r="O49" s="82">
        <f>N49+'BM 008'!O49</f>
        <v>20495.439999999999</v>
      </c>
      <c r="P49" s="80">
        <f t="shared" si="14"/>
        <v>43500</v>
      </c>
      <c r="Q49" s="82">
        <f t="shared" si="15"/>
        <v>55140.6</v>
      </c>
      <c r="R49" s="82">
        <f t="shared" si="16"/>
        <v>34645.160000000003</v>
      </c>
      <c r="T49" s="185">
        <v>20000</v>
      </c>
    </row>
    <row r="50" spans="2:20" s="34" customFormat="1" ht="57.6">
      <c r="B50" s="87" t="s">
        <v>108</v>
      </c>
      <c r="C50" s="76" t="s">
        <v>109</v>
      </c>
      <c r="D50" s="89" t="s">
        <v>110</v>
      </c>
      <c r="E50" s="90">
        <v>3985</v>
      </c>
      <c r="F50" s="91">
        <f>15*4</f>
        <v>60</v>
      </c>
      <c r="G50" s="91">
        <f>F50</f>
        <v>60</v>
      </c>
      <c r="H50" s="91"/>
      <c r="I50" s="79">
        <f>SUM(G50:H50)+'BM 008'!I50</f>
        <v>2887.87</v>
      </c>
      <c r="J50" s="91">
        <f t="shared" si="4"/>
        <v>1097.1300000000001</v>
      </c>
      <c r="K50" s="80">
        <v>12</v>
      </c>
      <c r="L50" s="81">
        <f t="shared" si="2"/>
        <v>15.211201320000001</v>
      </c>
      <c r="M50" s="82">
        <f t="shared" si="12"/>
        <v>912.67</v>
      </c>
      <c r="N50" s="82">
        <f t="shared" si="13"/>
        <v>912.67</v>
      </c>
      <c r="O50" s="82">
        <f>N50+'BM 008'!O50</f>
        <v>43927.96</v>
      </c>
      <c r="P50" s="80">
        <f t="shared" si="14"/>
        <v>47820</v>
      </c>
      <c r="Q50" s="82">
        <f t="shared" si="15"/>
        <v>60616.63</v>
      </c>
      <c r="R50" s="82">
        <f t="shared" si="16"/>
        <v>16688.669999999998</v>
      </c>
      <c r="T50" s="83"/>
    </row>
    <row r="51" spans="2:20" s="34" customFormat="1" ht="34.799999999999997">
      <c r="B51" s="87" t="s">
        <v>111</v>
      </c>
      <c r="C51" s="76" t="s">
        <v>112</v>
      </c>
      <c r="D51" s="89" t="s">
        <v>113</v>
      </c>
      <c r="E51" s="90">
        <f>E50*30</f>
        <v>119550</v>
      </c>
      <c r="F51" s="91">
        <f>15*4*30</f>
        <v>1800</v>
      </c>
      <c r="G51" s="91">
        <f>F51</f>
        <v>1800</v>
      </c>
      <c r="H51" s="91"/>
      <c r="I51" s="79">
        <f>SUM(G51:H51)+'BM 008'!I51</f>
        <v>58456.525000000001</v>
      </c>
      <c r="J51" s="91">
        <f t="shared" si="4"/>
        <v>61093.474999999999</v>
      </c>
      <c r="K51" s="80">
        <v>1</v>
      </c>
      <c r="L51" s="81">
        <f t="shared" si="2"/>
        <v>1.2676001100000001</v>
      </c>
      <c r="M51" s="82">
        <f t="shared" si="12"/>
        <v>2281.6799999999998</v>
      </c>
      <c r="N51" s="82">
        <f t="shared" si="13"/>
        <v>2281.6799999999998</v>
      </c>
      <c r="O51" s="82">
        <f>N51+'BM 008'!O51</f>
        <v>74099.48</v>
      </c>
      <c r="P51" s="80">
        <f t="shared" si="14"/>
        <v>119550</v>
      </c>
      <c r="Q51" s="82">
        <f t="shared" si="15"/>
        <v>151541.59</v>
      </c>
      <c r="R51" s="82">
        <f t="shared" si="16"/>
        <v>77442.11</v>
      </c>
    </row>
    <row r="52" spans="2:20" s="34" customFormat="1" ht="13.2">
      <c r="B52" s="60" t="s">
        <v>114</v>
      </c>
      <c r="C52" s="61" t="s">
        <v>115</v>
      </c>
      <c r="D52" s="60"/>
      <c r="E52" s="62"/>
      <c r="F52" s="63"/>
      <c r="G52" s="63"/>
      <c r="H52" s="63"/>
      <c r="I52" s="63">
        <f>SUM(G52:H52)+'BM 008'!I52</f>
        <v>0</v>
      </c>
      <c r="J52" s="63">
        <f t="shared" si="4"/>
        <v>0</v>
      </c>
      <c r="K52" s="63"/>
      <c r="L52" s="63">
        <f t="shared" si="2"/>
        <v>0</v>
      </c>
      <c r="M52" s="63">
        <f t="shared" ref="M52:R52" si="17">M53</f>
        <v>0</v>
      </c>
      <c r="N52" s="63">
        <f t="shared" si="17"/>
        <v>0</v>
      </c>
      <c r="O52" s="63">
        <f t="shared" si="17"/>
        <v>1043334.3999999999</v>
      </c>
      <c r="P52" s="63">
        <f t="shared" si="17"/>
        <v>823958.14</v>
      </c>
      <c r="Q52" s="63">
        <f t="shared" si="17"/>
        <v>1044449.3999999999</v>
      </c>
      <c r="R52" s="63">
        <f t="shared" si="17"/>
        <v>1115</v>
      </c>
    </row>
    <row r="53" spans="2:20" s="34" customFormat="1" ht="13.2">
      <c r="B53" s="66" t="s">
        <v>116</v>
      </c>
      <c r="C53" s="67" t="s">
        <v>117</v>
      </c>
      <c r="D53" s="68"/>
      <c r="E53" s="69"/>
      <c r="F53" s="70"/>
      <c r="G53" s="70"/>
      <c r="H53" s="70"/>
      <c r="I53" s="70">
        <f>SUM(G53:H53)+'BM 008'!I53</f>
        <v>0</v>
      </c>
      <c r="J53" s="70">
        <f t="shared" si="4"/>
        <v>0</v>
      </c>
      <c r="K53" s="71"/>
      <c r="L53" s="71">
        <f t="shared" si="2"/>
        <v>0</v>
      </c>
      <c r="M53" s="73">
        <f t="shared" ref="M53:R53" si="18">SUM(M54:M61)</f>
        <v>0</v>
      </c>
      <c r="N53" s="73">
        <f t="shared" si="18"/>
        <v>0</v>
      </c>
      <c r="O53" s="73">
        <f t="shared" si="18"/>
        <v>1043334.3999999999</v>
      </c>
      <c r="P53" s="73">
        <f t="shared" si="18"/>
        <v>823958.14</v>
      </c>
      <c r="Q53" s="73">
        <f t="shared" si="18"/>
        <v>1044449.3999999999</v>
      </c>
      <c r="R53" s="73">
        <f t="shared" si="18"/>
        <v>1115</v>
      </c>
    </row>
    <row r="54" spans="2:20" s="34" customFormat="1" ht="34.799999999999997">
      <c r="B54" s="87" t="s">
        <v>118</v>
      </c>
      <c r="C54" s="88" t="s">
        <v>119</v>
      </c>
      <c r="D54" s="89" t="s">
        <v>82</v>
      </c>
      <c r="E54" s="92">
        <v>196.9</v>
      </c>
      <c r="F54" s="91"/>
      <c r="G54" s="91"/>
      <c r="H54" s="91"/>
      <c r="I54" s="79">
        <f>SUM(G54:H54)+'BM 008'!I54</f>
        <v>196.9</v>
      </c>
      <c r="J54" s="91">
        <f t="shared" si="4"/>
        <v>0</v>
      </c>
      <c r="K54" s="80">
        <v>75</v>
      </c>
      <c r="L54" s="81">
        <f t="shared" si="2"/>
        <v>95.070008250000001</v>
      </c>
      <c r="M54" s="82">
        <f t="shared" ref="M54:M61" si="19">TRUNC(F54*L54,2)</f>
        <v>0</v>
      </c>
      <c r="N54" s="82">
        <f t="shared" ref="N54:N61" si="20">TRUNC(G54*L54,2)</f>
        <v>0</v>
      </c>
      <c r="O54" s="82">
        <f>N54+'BM 008'!O54</f>
        <v>18719.28</v>
      </c>
      <c r="P54" s="80">
        <f t="shared" ref="P54:P61" si="21">E54*K54</f>
        <v>14767.5</v>
      </c>
      <c r="Q54" s="82">
        <f t="shared" ref="Q54:Q61" si="22">TRUNC(E54*L54,2)</f>
        <v>18719.28</v>
      </c>
      <c r="R54" s="82">
        <f t="shared" ref="R54:R61" si="23">Q54-O54</f>
        <v>0</v>
      </c>
    </row>
    <row r="55" spans="2:20" s="34" customFormat="1" ht="34.799999999999997">
      <c r="B55" s="87" t="s">
        <v>120</v>
      </c>
      <c r="C55" s="88" t="s">
        <v>121</v>
      </c>
      <c r="D55" s="89" t="s">
        <v>63</v>
      </c>
      <c r="E55" s="92">
        <v>1</v>
      </c>
      <c r="F55" s="91"/>
      <c r="G55" s="91"/>
      <c r="H55" s="91"/>
      <c r="I55" s="79">
        <f>SUM(G55:H55)+'BM 008'!I55</f>
        <v>1</v>
      </c>
      <c r="J55" s="91">
        <f t="shared" si="4"/>
        <v>0</v>
      </c>
      <c r="K55" s="80">
        <v>11000</v>
      </c>
      <c r="L55" s="81">
        <f t="shared" si="2"/>
        <v>13943.601210000001</v>
      </c>
      <c r="M55" s="82">
        <f t="shared" si="19"/>
        <v>0</v>
      </c>
      <c r="N55" s="82">
        <f t="shared" si="20"/>
        <v>0</v>
      </c>
      <c r="O55" s="82">
        <f>N55+'BM 008'!O55</f>
        <v>13943.6</v>
      </c>
      <c r="P55" s="80">
        <f t="shared" si="21"/>
        <v>11000</v>
      </c>
      <c r="Q55" s="82">
        <f t="shared" si="22"/>
        <v>13943.6</v>
      </c>
      <c r="R55" s="82">
        <f t="shared" si="23"/>
        <v>0</v>
      </c>
    </row>
    <row r="56" spans="2:20" s="34" customFormat="1" ht="46.2">
      <c r="B56" s="87" t="s">
        <v>122</v>
      </c>
      <c r="C56" s="88" t="s">
        <v>123</v>
      </c>
      <c r="D56" s="89" t="s">
        <v>124</v>
      </c>
      <c r="E56" s="90">
        <v>1837</v>
      </c>
      <c r="F56" s="91"/>
      <c r="G56" s="91"/>
      <c r="H56" s="91"/>
      <c r="I56" s="79">
        <f>SUM(G56:H56)+'BM 008'!I56</f>
        <v>1837</v>
      </c>
      <c r="J56" s="91">
        <f t="shared" si="4"/>
        <v>0</v>
      </c>
      <c r="K56" s="80">
        <v>405</v>
      </c>
      <c r="L56" s="81">
        <f t="shared" si="2"/>
        <v>513.37804455000003</v>
      </c>
      <c r="M56" s="82">
        <f t="shared" si="19"/>
        <v>0</v>
      </c>
      <c r="N56" s="82">
        <f t="shared" si="20"/>
        <v>0</v>
      </c>
      <c r="O56" s="82">
        <f>N56+'BM 008'!O56</f>
        <v>943075.46</v>
      </c>
      <c r="P56" s="80">
        <f t="shared" si="21"/>
        <v>743985</v>
      </c>
      <c r="Q56" s="82">
        <f t="shared" si="22"/>
        <v>943075.46</v>
      </c>
      <c r="R56" s="82">
        <f t="shared" si="23"/>
        <v>0</v>
      </c>
    </row>
    <row r="57" spans="2:20" s="34" customFormat="1" ht="46.2">
      <c r="B57" s="87" t="s">
        <v>125</v>
      </c>
      <c r="C57" s="88" t="s">
        <v>126</v>
      </c>
      <c r="D57" s="89" t="s">
        <v>110</v>
      </c>
      <c r="E57" s="90">
        <v>293.92</v>
      </c>
      <c r="F57" s="91"/>
      <c r="G57" s="91"/>
      <c r="H57" s="91"/>
      <c r="I57" s="79">
        <f>SUM(G57:H57)+'BM 008'!I57</f>
        <v>293.92</v>
      </c>
      <c r="J57" s="91">
        <f t="shared" si="4"/>
        <v>0</v>
      </c>
      <c r="K57" s="80">
        <v>12</v>
      </c>
      <c r="L57" s="81">
        <f t="shared" si="2"/>
        <v>15.211201320000001</v>
      </c>
      <c r="M57" s="82">
        <f t="shared" si="19"/>
        <v>0</v>
      </c>
      <c r="N57" s="82">
        <f t="shared" si="20"/>
        <v>0</v>
      </c>
      <c r="O57" s="82">
        <f>N57+'BM 008'!O57</f>
        <v>4470.87</v>
      </c>
      <c r="P57" s="80">
        <f t="shared" si="21"/>
        <v>3527.04</v>
      </c>
      <c r="Q57" s="82">
        <f t="shared" si="22"/>
        <v>4470.87</v>
      </c>
      <c r="R57" s="82">
        <f t="shared" si="23"/>
        <v>0</v>
      </c>
    </row>
    <row r="58" spans="2:20" s="34" customFormat="1" ht="34.799999999999997">
      <c r="B58" s="87" t="s">
        <v>127</v>
      </c>
      <c r="C58" s="88" t="s">
        <v>128</v>
      </c>
      <c r="D58" s="89" t="s">
        <v>113</v>
      </c>
      <c r="E58" s="90">
        <f>E57*30</f>
        <v>8817.6</v>
      </c>
      <c r="F58" s="91"/>
      <c r="G58" s="91"/>
      <c r="H58" s="91"/>
      <c r="I58" s="79">
        <f>SUM(G58:H58)+'BM 008'!I58</f>
        <v>7938.0000000000009</v>
      </c>
      <c r="J58" s="91">
        <f t="shared" si="4"/>
        <v>879.59999999999945</v>
      </c>
      <c r="K58" s="80">
        <v>1</v>
      </c>
      <c r="L58" s="81">
        <f t="shared" si="2"/>
        <v>1.2676001100000001</v>
      </c>
      <c r="M58" s="82">
        <f t="shared" si="19"/>
        <v>0</v>
      </c>
      <c r="N58" s="82">
        <f t="shared" si="20"/>
        <v>0</v>
      </c>
      <c r="O58" s="82">
        <f>N58+'BM 008'!O58</f>
        <v>10062.200000000001</v>
      </c>
      <c r="P58" s="80">
        <f t="shared" si="21"/>
        <v>8817.6</v>
      </c>
      <c r="Q58" s="82">
        <f t="shared" si="22"/>
        <v>11177.19</v>
      </c>
      <c r="R58" s="82">
        <f t="shared" si="23"/>
        <v>1114.9899999999998</v>
      </c>
    </row>
    <row r="59" spans="2:20" s="34" customFormat="1" ht="23.4">
      <c r="B59" s="87" t="s">
        <v>129</v>
      </c>
      <c r="C59" s="88" t="s">
        <v>130</v>
      </c>
      <c r="D59" s="89" t="s">
        <v>131</v>
      </c>
      <c r="E59" s="92">
        <v>167</v>
      </c>
      <c r="F59" s="91"/>
      <c r="G59" s="91"/>
      <c r="H59" s="91"/>
      <c r="I59" s="79">
        <f>SUM(G59:H59)+'BM 008'!I59</f>
        <v>167</v>
      </c>
      <c r="J59" s="91">
        <f t="shared" si="4"/>
        <v>0</v>
      </c>
      <c r="K59" s="80">
        <v>23</v>
      </c>
      <c r="L59" s="81">
        <f t="shared" si="2"/>
        <v>29.154802530000001</v>
      </c>
      <c r="M59" s="82">
        <f t="shared" si="19"/>
        <v>0</v>
      </c>
      <c r="N59" s="82">
        <f t="shared" si="20"/>
        <v>0</v>
      </c>
      <c r="O59" s="82">
        <f>N59+'BM 008'!O59</f>
        <v>4868.84</v>
      </c>
      <c r="P59" s="80">
        <f t="shared" si="21"/>
        <v>3841</v>
      </c>
      <c r="Q59" s="82">
        <f t="shared" si="22"/>
        <v>4868.8500000000004</v>
      </c>
      <c r="R59" s="82">
        <f t="shared" si="23"/>
        <v>1.0000000000218279E-2</v>
      </c>
    </row>
    <row r="60" spans="2:20" s="34" customFormat="1" ht="13.2">
      <c r="B60" s="87" t="s">
        <v>132</v>
      </c>
      <c r="C60" s="88" t="s">
        <v>133</v>
      </c>
      <c r="D60" s="89" t="s">
        <v>63</v>
      </c>
      <c r="E60" s="92">
        <v>2</v>
      </c>
      <c r="F60" s="91"/>
      <c r="G60" s="91"/>
      <c r="H60" s="91"/>
      <c r="I60" s="79">
        <f>SUM(G60:H60)+'BM 008'!I60</f>
        <v>2</v>
      </c>
      <c r="J60" s="91">
        <f t="shared" si="4"/>
        <v>0</v>
      </c>
      <c r="K60" s="80">
        <v>14000</v>
      </c>
      <c r="L60" s="81">
        <f t="shared" si="2"/>
        <v>17746.401540000003</v>
      </c>
      <c r="M60" s="82">
        <f t="shared" si="19"/>
        <v>0</v>
      </c>
      <c r="N60" s="82">
        <f t="shared" si="20"/>
        <v>0</v>
      </c>
      <c r="O60" s="82">
        <f>N60+'BM 008'!O60</f>
        <v>35492.800000000003</v>
      </c>
      <c r="P60" s="80">
        <f t="shared" si="21"/>
        <v>28000</v>
      </c>
      <c r="Q60" s="82">
        <f t="shared" si="22"/>
        <v>35492.800000000003</v>
      </c>
      <c r="R60" s="82">
        <f t="shared" si="23"/>
        <v>0</v>
      </c>
    </row>
    <row r="61" spans="2:20" s="34" customFormat="1" ht="13.2">
      <c r="B61" s="87" t="s">
        <v>134</v>
      </c>
      <c r="C61" s="88" t="s">
        <v>135</v>
      </c>
      <c r="D61" s="89" t="s">
        <v>63</v>
      </c>
      <c r="E61" s="92">
        <v>167</v>
      </c>
      <c r="F61" s="91"/>
      <c r="G61" s="91"/>
      <c r="H61" s="91"/>
      <c r="I61" s="79">
        <f>SUM(G61:H61)+'BM 008'!I61</f>
        <v>167</v>
      </c>
      <c r="J61" s="91">
        <f t="shared" si="4"/>
        <v>0</v>
      </c>
      <c r="K61" s="80">
        <v>60</v>
      </c>
      <c r="L61" s="81">
        <f t="shared" si="2"/>
        <v>76.056006600000003</v>
      </c>
      <c r="M61" s="82">
        <f t="shared" si="19"/>
        <v>0</v>
      </c>
      <c r="N61" s="82">
        <f t="shared" si="20"/>
        <v>0</v>
      </c>
      <c r="O61" s="82">
        <f>N61+'BM 008'!O61</f>
        <v>12701.35</v>
      </c>
      <c r="P61" s="80">
        <f t="shared" si="21"/>
        <v>10020</v>
      </c>
      <c r="Q61" s="82">
        <f t="shared" si="22"/>
        <v>12701.35</v>
      </c>
      <c r="R61" s="82">
        <f t="shared" si="23"/>
        <v>0</v>
      </c>
    </row>
    <row r="62" spans="2:20" s="34" customFormat="1" ht="15.75" customHeight="1">
      <c r="B62" s="60" t="s">
        <v>136</v>
      </c>
      <c r="C62" s="61" t="s">
        <v>137</v>
      </c>
      <c r="D62" s="60"/>
      <c r="E62" s="62"/>
      <c r="F62" s="63"/>
      <c r="G62" s="63"/>
      <c r="H62" s="63"/>
      <c r="I62" s="63">
        <f>SUM(G62:H62)+'BM 008'!I62</f>
        <v>0</v>
      </c>
      <c r="J62" s="63">
        <f t="shared" si="4"/>
        <v>0</v>
      </c>
      <c r="K62" s="63"/>
      <c r="L62" s="63">
        <f t="shared" si="2"/>
        <v>0</v>
      </c>
      <c r="M62" s="63">
        <f t="shared" ref="M62:R62" si="24">SUM(M63,M79)</f>
        <v>0</v>
      </c>
      <c r="N62" s="63">
        <f t="shared" si="24"/>
        <v>0</v>
      </c>
      <c r="O62" s="63">
        <f t="shared" si="24"/>
        <v>788372.97</v>
      </c>
      <c r="P62" s="63">
        <f t="shared" si="24"/>
        <v>621941.5</v>
      </c>
      <c r="Q62" s="63">
        <f t="shared" si="24"/>
        <v>788372.97</v>
      </c>
      <c r="R62" s="63">
        <f t="shared" si="24"/>
        <v>0</v>
      </c>
    </row>
    <row r="63" spans="2:20" s="34" customFormat="1" ht="13.2">
      <c r="B63" s="66" t="s">
        <v>138</v>
      </c>
      <c r="C63" s="67" t="s">
        <v>139</v>
      </c>
      <c r="D63" s="68"/>
      <c r="E63" s="69"/>
      <c r="F63" s="70"/>
      <c r="G63" s="70"/>
      <c r="H63" s="70"/>
      <c r="I63" s="70">
        <f>SUM(G63:H63)+'BM 008'!I63</f>
        <v>0</v>
      </c>
      <c r="J63" s="70">
        <f t="shared" si="4"/>
        <v>0</v>
      </c>
      <c r="K63" s="71"/>
      <c r="L63" s="71">
        <f t="shared" si="2"/>
        <v>0</v>
      </c>
      <c r="M63" s="73">
        <f t="shared" ref="M63:R63" si="25">SUM(M64:M78)</f>
        <v>0</v>
      </c>
      <c r="N63" s="73">
        <f t="shared" si="25"/>
        <v>0</v>
      </c>
      <c r="O63" s="73">
        <f t="shared" si="25"/>
        <v>597801.35</v>
      </c>
      <c r="P63" s="73">
        <f t="shared" si="25"/>
        <v>471600.95</v>
      </c>
      <c r="Q63" s="73">
        <f t="shared" si="25"/>
        <v>597801.35</v>
      </c>
      <c r="R63" s="73">
        <f t="shared" si="25"/>
        <v>0</v>
      </c>
    </row>
    <row r="64" spans="2:20" s="34" customFormat="1" ht="23.4">
      <c r="B64" s="87" t="s">
        <v>140</v>
      </c>
      <c r="C64" s="88" t="s">
        <v>141</v>
      </c>
      <c r="D64" s="89" t="s">
        <v>110</v>
      </c>
      <c r="E64" s="90">
        <v>259.39</v>
      </c>
      <c r="F64" s="91"/>
      <c r="G64" s="91"/>
      <c r="H64" s="91"/>
      <c r="I64" s="79">
        <f>SUM(G64:H64)+'BM 008'!I64</f>
        <v>259.39</v>
      </c>
      <c r="J64" s="91">
        <f t="shared" si="4"/>
        <v>0</v>
      </c>
      <c r="K64" s="80">
        <v>80</v>
      </c>
      <c r="L64" s="81">
        <f t="shared" si="2"/>
        <v>101.4080088</v>
      </c>
      <c r="M64" s="82">
        <f t="shared" ref="M64:M78" si="26">TRUNC(F64*L64,2)</f>
        <v>0</v>
      </c>
      <c r="N64" s="82">
        <f t="shared" ref="N64:N78" si="27">TRUNC(G64*L64,2)</f>
        <v>0</v>
      </c>
      <c r="O64" s="82">
        <f>N64+'BM 008'!O64</f>
        <v>26304.22</v>
      </c>
      <c r="P64" s="80">
        <f t="shared" ref="P64:P78" si="28">E64*K64</f>
        <v>20751.199999999997</v>
      </c>
      <c r="Q64" s="82">
        <f t="shared" ref="Q64:Q78" si="29">TRUNC(E64*L64,2)</f>
        <v>26304.22</v>
      </c>
      <c r="R64" s="82">
        <f t="shared" ref="R64:R78" si="30">Q64-O64</f>
        <v>0</v>
      </c>
    </row>
    <row r="65" spans="2:20" s="34" customFormat="1" ht="23.4">
      <c r="B65" s="87" t="s">
        <v>142</v>
      </c>
      <c r="C65" s="88" t="s">
        <v>143</v>
      </c>
      <c r="D65" s="89" t="s">
        <v>79</v>
      </c>
      <c r="E65" s="92">
        <v>72.260000000000005</v>
      </c>
      <c r="F65" s="91"/>
      <c r="G65" s="91"/>
      <c r="H65" s="91"/>
      <c r="I65" s="79">
        <f>SUM(G65:H65)+'BM 008'!I65</f>
        <v>72.260000000000005</v>
      </c>
      <c r="J65" s="91">
        <f t="shared" si="4"/>
        <v>0</v>
      </c>
      <c r="K65" s="80">
        <v>30</v>
      </c>
      <c r="L65" s="81">
        <f t="shared" si="2"/>
        <v>38.028003300000002</v>
      </c>
      <c r="M65" s="82">
        <f t="shared" si="26"/>
        <v>0</v>
      </c>
      <c r="N65" s="82">
        <f t="shared" si="27"/>
        <v>0</v>
      </c>
      <c r="O65" s="82">
        <f>N65+'BM 008'!O65</f>
        <v>2747.9</v>
      </c>
      <c r="P65" s="80">
        <f t="shared" si="28"/>
        <v>2167.8000000000002</v>
      </c>
      <c r="Q65" s="82">
        <f t="shared" si="29"/>
        <v>2747.9</v>
      </c>
      <c r="R65" s="82">
        <f t="shared" si="30"/>
        <v>0</v>
      </c>
    </row>
    <row r="66" spans="2:20" s="34" customFormat="1" ht="23.4">
      <c r="B66" s="87" t="s">
        <v>144</v>
      </c>
      <c r="C66" s="88" t="s">
        <v>145</v>
      </c>
      <c r="D66" s="89" t="s">
        <v>110</v>
      </c>
      <c r="E66" s="92">
        <v>217.8</v>
      </c>
      <c r="F66" s="91"/>
      <c r="G66" s="91"/>
      <c r="H66" s="91"/>
      <c r="I66" s="79">
        <f>SUM(G66:H66)+'BM 008'!I66</f>
        <v>217.8</v>
      </c>
      <c r="J66" s="91">
        <f t="shared" si="4"/>
        <v>0</v>
      </c>
      <c r="K66" s="80">
        <v>25</v>
      </c>
      <c r="L66" s="81">
        <f t="shared" si="2"/>
        <v>31.690002750000001</v>
      </c>
      <c r="M66" s="82">
        <f t="shared" si="26"/>
        <v>0</v>
      </c>
      <c r="N66" s="82">
        <f t="shared" si="27"/>
        <v>0</v>
      </c>
      <c r="O66" s="82">
        <f>N66+'BM 008'!O66</f>
        <v>6902.08</v>
      </c>
      <c r="P66" s="80">
        <f t="shared" si="28"/>
        <v>5445</v>
      </c>
      <c r="Q66" s="82">
        <f t="shared" si="29"/>
        <v>6902.08</v>
      </c>
      <c r="R66" s="82">
        <f t="shared" si="30"/>
        <v>0</v>
      </c>
    </row>
    <row r="67" spans="2:20" s="34" customFormat="1" ht="46.2">
      <c r="B67" s="87" t="s">
        <v>146</v>
      </c>
      <c r="C67" s="88" t="s">
        <v>126</v>
      </c>
      <c r="D67" s="89" t="s">
        <v>110</v>
      </c>
      <c r="E67" s="90">
        <v>140.80000000000001</v>
      </c>
      <c r="F67" s="91"/>
      <c r="G67" s="91"/>
      <c r="H67" s="91"/>
      <c r="I67" s="79">
        <f>SUM(G67:H67)+'BM 008'!I67</f>
        <v>140.80000000000001</v>
      </c>
      <c r="J67" s="91">
        <f t="shared" si="4"/>
        <v>0</v>
      </c>
      <c r="K67" s="80">
        <v>12</v>
      </c>
      <c r="L67" s="81">
        <f t="shared" si="2"/>
        <v>15.211201320000001</v>
      </c>
      <c r="M67" s="82">
        <f t="shared" si="26"/>
        <v>0</v>
      </c>
      <c r="N67" s="82">
        <f t="shared" si="27"/>
        <v>0</v>
      </c>
      <c r="O67" s="82">
        <f>N67+'BM 008'!O67</f>
        <v>2141.73</v>
      </c>
      <c r="P67" s="80">
        <f t="shared" si="28"/>
        <v>1689.6000000000001</v>
      </c>
      <c r="Q67" s="82">
        <f t="shared" si="29"/>
        <v>2141.73</v>
      </c>
      <c r="R67" s="82">
        <f t="shared" si="30"/>
        <v>0</v>
      </c>
    </row>
    <row r="68" spans="2:20" s="34" customFormat="1" ht="34.799999999999997">
      <c r="B68" s="87" t="s">
        <v>147</v>
      </c>
      <c r="C68" s="88" t="s">
        <v>128</v>
      </c>
      <c r="D68" s="89" t="s">
        <v>113</v>
      </c>
      <c r="E68" s="90">
        <f>E64*30</f>
        <v>7781.7</v>
      </c>
      <c r="F68" s="91"/>
      <c r="G68" s="91"/>
      <c r="H68" s="91"/>
      <c r="I68" s="79">
        <f>SUM(G68:H68)+'BM 008'!I68</f>
        <v>7781.7</v>
      </c>
      <c r="J68" s="91">
        <f t="shared" si="4"/>
        <v>0</v>
      </c>
      <c r="K68" s="80">
        <v>1</v>
      </c>
      <c r="L68" s="81">
        <f t="shared" si="2"/>
        <v>1.2676001100000001</v>
      </c>
      <c r="M68" s="82">
        <f t="shared" si="26"/>
        <v>0</v>
      </c>
      <c r="N68" s="82">
        <f t="shared" si="27"/>
        <v>0</v>
      </c>
      <c r="O68" s="82">
        <f>N68+'BM 008'!O68</f>
        <v>9864.08</v>
      </c>
      <c r="P68" s="80">
        <f t="shared" si="28"/>
        <v>7781.7</v>
      </c>
      <c r="Q68" s="82">
        <f t="shared" si="29"/>
        <v>9864.08</v>
      </c>
      <c r="R68" s="82">
        <f t="shared" si="30"/>
        <v>0</v>
      </c>
      <c r="T68" s="83"/>
    </row>
    <row r="69" spans="2:20" s="34" customFormat="1" ht="23.4">
      <c r="B69" s="87" t="s">
        <v>148</v>
      </c>
      <c r="C69" s="88" t="s">
        <v>149</v>
      </c>
      <c r="D69" s="89" t="s">
        <v>79</v>
      </c>
      <c r="E69" s="90">
        <v>233.48</v>
      </c>
      <c r="F69" s="91"/>
      <c r="G69" s="91"/>
      <c r="H69" s="91"/>
      <c r="I69" s="79">
        <f>SUM(G69:H69)+'BM 008'!I69</f>
        <v>233.4802253775074</v>
      </c>
      <c r="J69" s="91">
        <f t="shared" si="4"/>
        <v>-2.2537750740525553E-4</v>
      </c>
      <c r="K69" s="80">
        <v>35</v>
      </c>
      <c r="L69" s="81">
        <f t="shared" si="2"/>
        <v>44.366003849999998</v>
      </c>
      <c r="M69" s="82">
        <f t="shared" si="26"/>
        <v>0</v>
      </c>
      <c r="N69" s="82">
        <f t="shared" si="27"/>
        <v>0</v>
      </c>
      <c r="O69" s="82">
        <f>N69+'BM 008'!O69</f>
        <v>10358.57</v>
      </c>
      <c r="P69" s="80">
        <f t="shared" si="28"/>
        <v>8171.7999999999993</v>
      </c>
      <c r="Q69" s="82">
        <f t="shared" si="29"/>
        <v>10358.57</v>
      </c>
      <c r="R69" s="82">
        <f t="shared" si="30"/>
        <v>0</v>
      </c>
    </row>
    <row r="70" spans="2:20" s="34" customFormat="1" ht="23.4">
      <c r="B70" s="87" t="s">
        <v>150</v>
      </c>
      <c r="C70" s="88" t="s">
        <v>151</v>
      </c>
      <c r="D70" s="89" t="s">
        <v>152</v>
      </c>
      <c r="E70" s="90">
        <v>190.3</v>
      </c>
      <c r="F70" s="91"/>
      <c r="G70" s="91"/>
      <c r="H70" s="91"/>
      <c r="I70" s="79">
        <f>SUM(G70:H70)+'BM 008'!I70</f>
        <v>190.3</v>
      </c>
      <c r="J70" s="91">
        <f t="shared" si="4"/>
        <v>0</v>
      </c>
      <c r="K70" s="80">
        <v>20</v>
      </c>
      <c r="L70" s="81">
        <f t="shared" si="2"/>
        <v>25.352002200000001</v>
      </c>
      <c r="M70" s="82">
        <f t="shared" si="26"/>
        <v>0</v>
      </c>
      <c r="N70" s="82">
        <f t="shared" si="27"/>
        <v>0</v>
      </c>
      <c r="O70" s="82">
        <f>N70+'BM 008'!O70</f>
        <v>4824.4799999999996</v>
      </c>
      <c r="P70" s="80">
        <f t="shared" si="28"/>
        <v>3806</v>
      </c>
      <c r="Q70" s="82">
        <f t="shared" si="29"/>
        <v>4824.4799999999996</v>
      </c>
      <c r="R70" s="82">
        <f t="shared" si="30"/>
        <v>0</v>
      </c>
    </row>
    <row r="71" spans="2:20" s="34" customFormat="1" ht="34.799999999999997">
      <c r="B71" s="87" t="s">
        <v>153</v>
      </c>
      <c r="C71" s="88" t="s">
        <v>154</v>
      </c>
      <c r="D71" s="89" t="s">
        <v>152</v>
      </c>
      <c r="E71" s="90">
        <v>77</v>
      </c>
      <c r="F71" s="91"/>
      <c r="G71" s="91"/>
      <c r="H71" s="91"/>
      <c r="I71" s="79">
        <f>SUM(G71:H71)+'BM 008'!I71</f>
        <v>77</v>
      </c>
      <c r="J71" s="91">
        <f t="shared" si="4"/>
        <v>0</v>
      </c>
      <c r="K71" s="80">
        <v>19</v>
      </c>
      <c r="L71" s="81">
        <f t="shared" si="2"/>
        <v>24.084402090000001</v>
      </c>
      <c r="M71" s="82">
        <f t="shared" si="26"/>
        <v>0</v>
      </c>
      <c r="N71" s="82">
        <f t="shared" si="27"/>
        <v>0</v>
      </c>
      <c r="O71" s="82">
        <f>N71+'BM 008'!O71</f>
        <v>1854.49</v>
      </c>
      <c r="P71" s="80">
        <f t="shared" si="28"/>
        <v>1463</v>
      </c>
      <c r="Q71" s="82">
        <f t="shared" si="29"/>
        <v>1854.49</v>
      </c>
      <c r="R71" s="82">
        <f t="shared" si="30"/>
        <v>0</v>
      </c>
    </row>
    <row r="72" spans="2:20" s="34" customFormat="1" ht="23.4">
      <c r="B72" s="87" t="s">
        <v>155</v>
      </c>
      <c r="C72" s="88" t="s">
        <v>156</v>
      </c>
      <c r="D72" s="89" t="s">
        <v>152</v>
      </c>
      <c r="E72" s="90">
        <v>566.5</v>
      </c>
      <c r="F72" s="91"/>
      <c r="G72" s="91"/>
      <c r="H72" s="91"/>
      <c r="I72" s="79">
        <f>SUM(G72:H72)+'BM 008'!I72</f>
        <v>566.50014977685623</v>
      </c>
      <c r="J72" s="91">
        <f t="shared" si="4"/>
        <v>-1.497768562330748E-4</v>
      </c>
      <c r="K72" s="80">
        <v>17.5</v>
      </c>
      <c r="L72" s="81">
        <f t="shared" si="2"/>
        <v>22.183001924999999</v>
      </c>
      <c r="M72" s="82">
        <f t="shared" si="26"/>
        <v>0</v>
      </c>
      <c r="N72" s="82">
        <f t="shared" si="27"/>
        <v>0</v>
      </c>
      <c r="O72" s="82">
        <f>N72+'BM 008'!O72</f>
        <v>12566.669999999998</v>
      </c>
      <c r="P72" s="80">
        <f t="shared" si="28"/>
        <v>9913.75</v>
      </c>
      <c r="Q72" s="82">
        <f t="shared" si="29"/>
        <v>12566.67</v>
      </c>
      <c r="R72" s="82">
        <f t="shared" si="30"/>
        <v>0</v>
      </c>
      <c r="T72" s="83"/>
    </row>
    <row r="73" spans="2:20" s="34" customFormat="1" ht="23.4">
      <c r="B73" s="87" t="s">
        <v>157</v>
      </c>
      <c r="C73" s="88" t="s">
        <v>158</v>
      </c>
      <c r="D73" s="89" t="s">
        <v>152</v>
      </c>
      <c r="E73" s="90">
        <v>1663.2</v>
      </c>
      <c r="F73" s="91"/>
      <c r="G73" s="91"/>
      <c r="H73" s="91"/>
      <c r="I73" s="79">
        <f>SUM(G73:H73)+'BM 008'!I73</f>
        <v>1663.2003</v>
      </c>
      <c r="J73" s="91">
        <f t="shared" si="4"/>
        <v>-2.9999999992469384E-4</v>
      </c>
      <c r="K73" s="80">
        <v>16</v>
      </c>
      <c r="L73" s="81">
        <f t="shared" si="2"/>
        <v>20.281601760000001</v>
      </c>
      <c r="M73" s="82">
        <f t="shared" si="26"/>
        <v>0</v>
      </c>
      <c r="N73" s="82">
        <f t="shared" si="27"/>
        <v>0</v>
      </c>
      <c r="O73" s="82">
        <f>N73+'BM 008'!O73</f>
        <v>33732.36</v>
      </c>
      <c r="P73" s="80">
        <f t="shared" si="28"/>
        <v>26611.200000000001</v>
      </c>
      <c r="Q73" s="82">
        <f t="shared" si="29"/>
        <v>33732.36</v>
      </c>
      <c r="R73" s="82">
        <f t="shared" si="30"/>
        <v>0</v>
      </c>
    </row>
    <row r="74" spans="2:20" s="34" customFormat="1" ht="23.4">
      <c r="B74" s="87" t="s">
        <v>159</v>
      </c>
      <c r="C74" s="88" t="s">
        <v>160</v>
      </c>
      <c r="D74" s="89" t="s">
        <v>152</v>
      </c>
      <c r="E74" s="90">
        <v>4944.5</v>
      </c>
      <c r="F74" s="91"/>
      <c r="G74" s="91"/>
      <c r="H74" s="91"/>
      <c r="I74" s="79">
        <f>SUM(G74:H74)+'BM 008'!I74</f>
        <v>4944.5003000000006</v>
      </c>
      <c r="J74" s="91">
        <f t="shared" si="4"/>
        <v>-3.0000000060681487E-4</v>
      </c>
      <c r="K74" s="80">
        <v>14.5</v>
      </c>
      <c r="L74" s="81">
        <f t="shared" si="2"/>
        <v>18.380201595000003</v>
      </c>
      <c r="M74" s="82">
        <f t="shared" si="26"/>
        <v>0</v>
      </c>
      <c r="N74" s="82">
        <f t="shared" si="27"/>
        <v>0</v>
      </c>
      <c r="O74" s="82">
        <f>N74+'BM 008'!O74</f>
        <v>90880.9</v>
      </c>
      <c r="P74" s="80">
        <f t="shared" si="28"/>
        <v>71695.25</v>
      </c>
      <c r="Q74" s="82">
        <f t="shared" si="29"/>
        <v>90880.9</v>
      </c>
      <c r="R74" s="82">
        <f t="shared" si="30"/>
        <v>0</v>
      </c>
    </row>
    <row r="75" spans="2:20" s="34" customFormat="1" ht="23.4">
      <c r="B75" s="87" t="s">
        <v>161</v>
      </c>
      <c r="C75" s="88" t="s">
        <v>162</v>
      </c>
      <c r="D75" s="89" t="s">
        <v>152</v>
      </c>
      <c r="E75" s="90">
        <v>115.5</v>
      </c>
      <c r="F75" s="91"/>
      <c r="G75" s="91"/>
      <c r="H75" s="91"/>
      <c r="I75" s="79">
        <f>SUM(G75:H75)+'BM 008'!I75</f>
        <v>115.5</v>
      </c>
      <c r="J75" s="91">
        <f t="shared" si="4"/>
        <v>0</v>
      </c>
      <c r="K75" s="94">
        <v>14.5</v>
      </c>
      <c r="L75" s="81">
        <f t="shared" si="2"/>
        <v>18.380201595000003</v>
      </c>
      <c r="M75" s="82">
        <f t="shared" si="26"/>
        <v>0</v>
      </c>
      <c r="N75" s="82">
        <f t="shared" si="27"/>
        <v>0</v>
      </c>
      <c r="O75" s="82">
        <f>N75+'BM 008'!O75</f>
        <v>2122.91</v>
      </c>
      <c r="P75" s="94">
        <f t="shared" si="28"/>
        <v>1674.75</v>
      </c>
      <c r="Q75" s="82">
        <f t="shared" si="29"/>
        <v>2122.91</v>
      </c>
      <c r="R75" s="82">
        <f t="shared" si="30"/>
        <v>0</v>
      </c>
    </row>
    <row r="76" spans="2:20" s="34" customFormat="1" ht="23.4">
      <c r="B76" s="87" t="s">
        <v>163</v>
      </c>
      <c r="C76" s="88" t="s">
        <v>164</v>
      </c>
      <c r="D76" s="89" t="s">
        <v>152</v>
      </c>
      <c r="E76" s="90">
        <v>7195.1</v>
      </c>
      <c r="F76" s="91"/>
      <c r="G76" s="91"/>
      <c r="H76" s="91"/>
      <c r="I76" s="79">
        <f>SUM(G76:H76)+'BM 008'!I76</f>
        <v>7195.1005000000005</v>
      </c>
      <c r="J76" s="91">
        <f t="shared" si="4"/>
        <v>-5.0000000010186341E-4</v>
      </c>
      <c r="K76" s="80">
        <v>14</v>
      </c>
      <c r="L76" s="81">
        <f t="shared" si="2"/>
        <v>17.746401540000001</v>
      </c>
      <c r="M76" s="82">
        <f t="shared" si="26"/>
        <v>0</v>
      </c>
      <c r="N76" s="82">
        <f t="shared" si="27"/>
        <v>0</v>
      </c>
      <c r="O76" s="82">
        <f>N76+'BM 008'!O76</f>
        <v>127687.13</v>
      </c>
      <c r="P76" s="80">
        <f t="shared" si="28"/>
        <v>100731.40000000001</v>
      </c>
      <c r="Q76" s="82">
        <f t="shared" si="29"/>
        <v>127687.13</v>
      </c>
      <c r="R76" s="82">
        <f t="shared" si="30"/>
        <v>0</v>
      </c>
    </row>
    <row r="77" spans="2:20" s="34" customFormat="1" ht="34.799999999999997">
      <c r="B77" s="87" t="s">
        <v>165</v>
      </c>
      <c r="C77" s="88" t="s">
        <v>166</v>
      </c>
      <c r="D77" s="89" t="s">
        <v>79</v>
      </c>
      <c r="E77" s="90">
        <v>415.8</v>
      </c>
      <c r="F77" s="91"/>
      <c r="G77" s="91"/>
      <c r="H77" s="91"/>
      <c r="I77" s="79">
        <f>SUM(G77:H77)+'BM 008'!I77</f>
        <v>415.80005</v>
      </c>
      <c r="J77" s="91">
        <f t="shared" si="4"/>
        <v>-4.9999999987448973E-5</v>
      </c>
      <c r="K77" s="80">
        <v>120</v>
      </c>
      <c r="L77" s="81">
        <f t="shared" si="2"/>
        <v>152.11201320000001</v>
      </c>
      <c r="M77" s="82">
        <f t="shared" si="26"/>
        <v>0</v>
      </c>
      <c r="N77" s="82">
        <f t="shared" si="27"/>
        <v>0</v>
      </c>
      <c r="O77" s="82">
        <f>N77+'BM 008'!O77</f>
        <v>63248.17</v>
      </c>
      <c r="P77" s="80">
        <f t="shared" si="28"/>
        <v>49896</v>
      </c>
      <c r="Q77" s="82">
        <f t="shared" si="29"/>
        <v>63248.17</v>
      </c>
      <c r="R77" s="82">
        <f t="shared" si="30"/>
        <v>0</v>
      </c>
    </row>
    <row r="78" spans="2:20" s="34" customFormat="1" ht="34.799999999999997">
      <c r="B78" s="87" t="s">
        <v>167</v>
      </c>
      <c r="C78" s="88" t="s">
        <v>168</v>
      </c>
      <c r="D78" s="89" t="s">
        <v>169</v>
      </c>
      <c r="E78" s="92">
        <v>213.07</v>
      </c>
      <c r="F78" s="91"/>
      <c r="G78" s="91"/>
      <c r="H78" s="91"/>
      <c r="I78" s="79">
        <f>SUM(G78:H78)+'BM 008'!I78</f>
        <v>213.07001051856443</v>
      </c>
      <c r="J78" s="91">
        <f t="shared" si="4"/>
        <v>-1.051856443723409E-5</v>
      </c>
      <c r="K78" s="95">
        <v>750</v>
      </c>
      <c r="L78" s="81">
        <f t="shared" si="2"/>
        <v>950.70008250000001</v>
      </c>
      <c r="M78" s="82">
        <f t="shared" si="26"/>
        <v>0</v>
      </c>
      <c r="N78" s="82">
        <f t="shared" si="27"/>
        <v>0</v>
      </c>
      <c r="O78" s="82">
        <f>N78+'BM 008'!O78</f>
        <v>202565.66</v>
      </c>
      <c r="P78" s="95">
        <f t="shared" si="28"/>
        <v>159802.5</v>
      </c>
      <c r="Q78" s="82">
        <f t="shared" si="29"/>
        <v>202565.66</v>
      </c>
      <c r="R78" s="82">
        <f t="shared" si="30"/>
        <v>0</v>
      </c>
    </row>
    <row r="79" spans="2:20" s="34" customFormat="1" ht="13.2">
      <c r="B79" s="66" t="s">
        <v>170</v>
      </c>
      <c r="C79" s="67" t="s">
        <v>171</v>
      </c>
      <c r="D79" s="68"/>
      <c r="E79" s="69"/>
      <c r="F79" s="70"/>
      <c r="G79" s="70"/>
      <c r="H79" s="70"/>
      <c r="I79" s="70">
        <f>SUM(G79:H79)+'BM 008'!I79</f>
        <v>0</v>
      </c>
      <c r="J79" s="70">
        <f t="shared" si="4"/>
        <v>0</v>
      </c>
      <c r="K79" s="71"/>
      <c r="L79" s="71">
        <f t="shared" si="2"/>
        <v>0</v>
      </c>
      <c r="M79" s="73">
        <f t="shared" ref="M79:R79" si="31">SUM(M80:M93)</f>
        <v>0</v>
      </c>
      <c r="N79" s="73">
        <f t="shared" si="31"/>
        <v>0</v>
      </c>
      <c r="O79" s="73">
        <f t="shared" si="31"/>
        <v>190571.62</v>
      </c>
      <c r="P79" s="73">
        <f t="shared" si="31"/>
        <v>150340.54999999999</v>
      </c>
      <c r="Q79" s="73">
        <f t="shared" si="31"/>
        <v>190571.62</v>
      </c>
      <c r="R79" s="73">
        <f t="shared" si="31"/>
        <v>0</v>
      </c>
    </row>
    <row r="80" spans="2:20" s="34" customFormat="1" ht="23.4">
      <c r="B80" s="87" t="s">
        <v>172</v>
      </c>
      <c r="C80" s="88" t="s">
        <v>141</v>
      </c>
      <c r="D80" s="89" t="s">
        <v>110</v>
      </c>
      <c r="E80" s="90">
        <v>268.39999999999998</v>
      </c>
      <c r="F80" s="91"/>
      <c r="G80" s="91"/>
      <c r="H80" s="91"/>
      <c r="I80" s="79">
        <f>SUM(G80:H80)+'BM 008'!I80</f>
        <v>268.39999999999998</v>
      </c>
      <c r="J80" s="91">
        <f t="shared" si="4"/>
        <v>0</v>
      </c>
      <c r="K80" s="80">
        <v>80</v>
      </c>
      <c r="L80" s="81">
        <f t="shared" si="2"/>
        <v>101.4080088</v>
      </c>
      <c r="M80" s="82">
        <f t="shared" ref="M80:M93" si="32">TRUNC(F80*L80,2)</f>
        <v>0</v>
      </c>
      <c r="N80" s="82">
        <f t="shared" ref="N80:N93" si="33">TRUNC(G80*L80,2)</f>
        <v>0</v>
      </c>
      <c r="O80" s="82">
        <f>N80+'BM 008'!O80</f>
        <v>27217.9</v>
      </c>
      <c r="P80" s="80">
        <f t="shared" ref="P80:P93" si="34">E80*K80</f>
        <v>21472</v>
      </c>
      <c r="Q80" s="82">
        <f t="shared" ref="Q80:Q93" si="35">TRUNC(E80*L80,2)</f>
        <v>27217.9</v>
      </c>
      <c r="R80" s="82">
        <f t="shared" ref="R80:R93" si="36">Q80-O80</f>
        <v>0</v>
      </c>
    </row>
    <row r="81" spans="2:21" s="34" customFormat="1" ht="23.4">
      <c r="B81" s="87" t="s">
        <v>173</v>
      </c>
      <c r="C81" s="88" t="s">
        <v>145</v>
      </c>
      <c r="D81" s="89" t="s">
        <v>110</v>
      </c>
      <c r="E81" s="92">
        <v>111.1</v>
      </c>
      <c r="F81" s="91"/>
      <c r="G81" s="91"/>
      <c r="H81" s="91"/>
      <c r="I81" s="79">
        <f>SUM(G81:H81)+'BM 008'!I81</f>
        <v>111.10031555693061</v>
      </c>
      <c r="J81" s="91">
        <f t="shared" si="4"/>
        <v>-3.1555693061591228E-4</v>
      </c>
      <c r="K81" s="80">
        <v>25</v>
      </c>
      <c r="L81" s="81">
        <f t="shared" si="2"/>
        <v>31.690002750000001</v>
      </c>
      <c r="M81" s="82">
        <f t="shared" si="32"/>
        <v>0</v>
      </c>
      <c r="N81" s="82">
        <f t="shared" si="33"/>
        <v>0</v>
      </c>
      <c r="O81" s="82">
        <f>N81+'BM 008'!O81</f>
        <v>3520.75</v>
      </c>
      <c r="P81" s="80">
        <f t="shared" si="34"/>
        <v>2777.5</v>
      </c>
      <c r="Q81" s="82">
        <f t="shared" si="35"/>
        <v>3520.75</v>
      </c>
      <c r="R81" s="82">
        <f t="shared" si="36"/>
        <v>0</v>
      </c>
      <c r="T81" s="83"/>
    </row>
    <row r="82" spans="2:21" s="34" customFormat="1" ht="46.2">
      <c r="B82" s="87" t="s">
        <v>174</v>
      </c>
      <c r="C82" s="88" t="s">
        <v>126</v>
      </c>
      <c r="D82" s="89" t="s">
        <v>110</v>
      </c>
      <c r="E82" s="92">
        <v>268.39999999999998</v>
      </c>
      <c r="F82" s="91"/>
      <c r="G82" s="91"/>
      <c r="H82" s="91"/>
      <c r="I82" s="79">
        <f>SUM(G82:H82)+'BM 008'!I82</f>
        <v>268.39999999999998</v>
      </c>
      <c r="J82" s="91">
        <f t="shared" si="4"/>
        <v>0</v>
      </c>
      <c r="K82" s="80">
        <v>10</v>
      </c>
      <c r="L82" s="81">
        <f t="shared" si="2"/>
        <v>12.676001100000001</v>
      </c>
      <c r="M82" s="82">
        <f t="shared" si="32"/>
        <v>0</v>
      </c>
      <c r="N82" s="82">
        <f t="shared" si="33"/>
        <v>0</v>
      </c>
      <c r="O82" s="82">
        <f>N82+'BM 008'!O82</f>
        <v>3402.2299999999996</v>
      </c>
      <c r="P82" s="80">
        <f t="shared" si="34"/>
        <v>2684</v>
      </c>
      <c r="Q82" s="82">
        <f t="shared" si="35"/>
        <v>3402.23</v>
      </c>
      <c r="R82" s="82">
        <f t="shared" si="36"/>
        <v>0</v>
      </c>
    </row>
    <row r="83" spans="2:21" s="34" customFormat="1" ht="34.799999999999997">
      <c r="B83" s="87" t="s">
        <v>175</v>
      </c>
      <c r="C83" s="88" t="s">
        <v>128</v>
      </c>
      <c r="D83" s="89" t="s">
        <v>113</v>
      </c>
      <c r="E83" s="90">
        <f>E82*30</f>
        <v>8051.9999999999991</v>
      </c>
      <c r="F83" s="91"/>
      <c r="G83" s="91"/>
      <c r="H83" s="91"/>
      <c r="I83" s="79">
        <f>SUM(G83:H83)+'BM 008'!I83</f>
        <v>8052.0026296410897</v>
      </c>
      <c r="J83" s="91">
        <f t="shared" si="4"/>
        <v>-2.6296410906070378E-3</v>
      </c>
      <c r="K83" s="80">
        <v>3</v>
      </c>
      <c r="L83" s="81">
        <f t="shared" si="2"/>
        <v>3.8028003300000002</v>
      </c>
      <c r="M83" s="82">
        <f t="shared" si="32"/>
        <v>0</v>
      </c>
      <c r="N83" s="82">
        <f t="shared" si="33"/>
        <v>0</v>
      </c>
      <c r="O83" s="82">
        <f>N83+'BM 008'!O83</f>
        <v>30620.140000000003</v>
      </c>
      <c r="P83" s="80">
        <f t="shared" si="34"/>
        <v>24155.999999999996</v>
      </c>
      <c r="Q83" s="82">
        <f t="shared" si="35"/>
        <v>30620.14</v>
      </c>
      <c r="R83" s="82">
        <f t="shared" si="36"/>
        <v>0</v>
      </c>
      <c r="T83" s="83"/>
    </row>
    <row r="84" spans="2:21" s="34" customFormat="1" ht="34.799999999999997">
      <c r="B84" s="87" t="s">
        <v>176</v>
      </c>
      <c r="C84" s="88" t="s">
        <v>177</v>
      </c>
      <c r="D84" s="89" t="s">
        <v>79</v>
      </c>
      <c r="E84" s="90">
        <v>243.1</v>
      </c>
      <c r="F84" s="91"/>
      <c r="G84" s="91"/>
      <c r="H84" s="91"/>
      <c r="I84" s="79">
        <f>SUM(G84:H84)+'BM 008'!I84</f>
        <v>243.10022539780761</v>
      </c>
      <c r="J84" s="91">
        <f t="shared" si="4"/>
        <v>-2.2539780761121619E-4</v>
      </c>
      <c r="K84" s="80">
        <v>35</v>
      </c>
      <c r="L84" s="81">
        <f t="shared" si="2"/>
        <v>44.366003849999998</v>
      </c>
      <c r="M84" s="82">
        <f t="shared" si="32"/>
        <v>0</v>
      </c>
      <c r="N84" s="82">
        <f t="shared" si="33"/>
        <v>0</v>
      </c>
      <c r="O84" s="82">
        <f>N84+'BM 008'!O84</f>
        <v>10785.369999999999</v>
      </c>
      <c r="P84" s="80">
        <f t="shared" si="34"/>
        <v>8508.5</v>
      </c>
      <c r="Q84" s="82">
        <f t="shared" si="35"/>
        <v>10785.37</v>
      </c>
      <c r="R84" s="82">
        <f t="shared" si="36"/>
        <v>0</v>
      </c>
      <c r="T84" s="83"/>
    </row>
    <row r="85" spans="2:21" s="34" customFormat="1" ht="23.4">
      <c r="B85" s="87" t="s">
        <v>178</v>
      </c>
      <c r="C85" s="88" t="s">
        <v>151</v>
      </c>
      <c r="D85" s="89" t="s">
        <v>152</v>
      </c>
      <c r="E85" s="90">
        <v>185.9</v>
      </c>
      <c r="F85" s="91"/>
      <c r="G85" s="91"/>
      <c r="H85" s="91"/>
      <c r="I85" s="79">
        <f>SUM(G85:H85)+'BM 008'!I85</f>
        <v>185.9</v>
      </c>
      <c r="J85" s="91">
        <f t="shared" si="4"/>
        <v>0</v>
      </c>
      <c r="K85" s="80">
        <v>20</v>
      </c>
      <c r="L85" s="81">
        <f t="shared" si="2"/>
        <v>25.352002200000001</v>
      </c>
      <c r="M85" s="82">
        <f t="shared" si="32"/>
        <v>0</v>
      </c>
      <c r="N85" s="82">
        <f t="shared" si="33"/>
        <v>0</v>
      </c>
      <c r="O85" s="82">
        <f>N85+'BM 008'!O85</f>
        <v>4712.93</v>
      </c>
      <c r="P85" s="80">
        <f t="shared" si="34"/>
        <v>3718</v>
      </c>
      <c r="Q85" s="82">
        <f t="shared" si="35"/>
        <v>4712.93</v>
      </c>
      <c r="R85" s="82">
        <f t="shared" si="36"/>
        <v>0</v>
      </c>
    </row>
    <row r="86" spans="2:21" s="34" customFormat="1" ht="23.4">
      <c r="B86" s="87" t="s">
        <v>179</v>
      </c>
      <c r="C86" s="88" t="s">
        <v>180</v>
      </c>
      <c r="D86" s="89" t="s">
        <v>152</v>
      </c>
      <c r="E86" s="90">
        <v>199.1</v>
      </c>
      <c r="F86" s="91"/>
      <c r="G86" s="91"/>
      <c r="H86" s="91"/>
      <c r="I86" s="79">
        <f>SUM(G86:H86)+'BM 008'!I86</f>
        <v>199.1</v>
      </c>
      <c r="J86" s="91">
        <f t="shared" si="4"/>
        <v>0</v>
      </c>
      <c r="K86" s="80">
        <v>19</v>
      </c>
      <c r="L86" s="81">
        <f t="shared" si="2"/>
        <v>24.084402090000001</v>
      </c>
      <c r="M86" s="82">
        <f t="shared" si="32"/>
        <v>0</v>
      </c>
      <c r="N86" s="82">
        <f t="shared" si="33"/>
        <v>0</v>
      </c>
      <c r="O86" s="82">
        <f>N86+'BM 008'!O86</f>
        <v>4795.2</v>
      </c>
      <c r="P86" s="80">
        <f t="shared" si="34"/>
        <v>3782.9</v>
      </c>
      <c r="Q86" s="82">
        <f t="shared" si="35"/>
        <v>4795.2</v>
      </c>
      <c r="R86" s="82">
        <f t="shared" si="36"/>
        <v>0</v>
      </c>
    </row>
    <row r="87" spans="2:21" s="34" customFormat="1" ht="23.4">
      <c r="B87" s="87" t="s">
        <v>181</v>
      </c>
      <c r="C87" s="88" t="s">
        <v>156</v>
      </c>
      <c r="D87" s="89" t="s">
        <v>152</v>
      </c>
      <c r="E87" s="90">
        <v>378.4</v>
      </c>
      <c r="F87" s="91"/>
      <c r="G87" s="91"/>
      <c r="H87" s="91"/>
      <c r="I87" s="79">
        <f>SUM(G87:H87)+'BM 008'!I87</f>
        <v>378.4</v>
      </c>
      <c r="J87" s="91">
        <f t="shared" si="4"/>
        <v>0</v>
      </c>
      <c r="K87" s="80">
        <v>17.5</v>
      </c>
      <c r="L87" s="81">
        <f t="shared" si="2"/>
        <v>22.183001924999999</v>
      </c>
      <c r="M87" s="82">
        <f t="shared" si="32"/>
        <v>0</v>
      </c>
      <c r="N87" s="82">
        <f t="shared" si="33"/>
        <v>0</v>
      </c>
      <c r="O87" s="82">
        <f>N87+'BM 008'!O87</f>
        <v>8394.0400000000009</v>
      </c>
      <c r="P87" s="80">
        <f t="shared" si="34"/>
        <v>6622</v>
      </c>
      <c r="Q87" s="82">
        <f t="shared" si="35"/>
        <v>8394.0400000000009</v>
      </c>
      <c r="R87" s="82">
        <f t="shared" si="36"/>
        <v>0</v>
      </c>
    </row>
    <row r="88" spans="2:21" s="34" customFormat="1" ht="23.4">
      <c r="B88" s="87" t="s">
        <v>182</v>
      </c>
      <c r="C88" s="88" t="s">
        <v>158</v>
      </c>
      <c r="D88" s="89" t="s">
        <v>152</v>
      </c>
      <c r="E88" s="90">
        <v>445.5</v>
      </c>
      <c r="F88" s="91"/>
      <c r="G88" s="91"/>
      <c r="H88" s="91"/>
      <c r="I88" s="79">
        <f>SUM(G88:H88)+'BM 008'!I88</f>
        <v>445.50009999999997</v>
      </c>
      <c r="J88" s="91">
        <f t="shared" si="4"/>
        <v>-9.9999999974897946E-5</v>
      </c>
      <c r="K88" s="80">
        <v>16</v>
      </c>
      <c r="L88" s="81">
        <f t="shared" si="2"/>
        <v>20.281601760000001</v>
      </c>
      <c r="M88" s="82">
        <f t="shared" si="32"/>
        <v>0</v>
      </c>
      <c r="N88" s="82">
        <f t="shared" si="33"/>
        <v>0</v>
      </c>
      <c r="O88" s="82">
        <f>N88+'BM 008'!O88</f>
        <v>9035.4500000000007</v>
      </c>
      <c r="P88" s="80">
        <f t="shared" si="34"/>
        <v>7128</v>
      </c>
      <c r="Q88" s="82">
        <f t="shared" si="35"/>
        <v>9035.4500000000007</v>
      </c>
      <c r="R88" s="82">
        <f t="shared" si="36"/>
        <v>0</v>
      </c>
    </row>
    <row r="89" spans="2:21" s="34" customFormat="1" ht="23.4">
      <c r="B89" s="87" t="s">
        <v>183</v>
      </c>
      <c r="C89" s="88" t="s">
        <v>160</v>
      </c>
      <c r="D89" s="89" t="s">
        <v>152</v>
      </c>
      <c r="E89" s="90">
        <v>177.1</v>
      </c>
      <c r="F89" s="91"/>
      <c r="G89" s="91"/>
      <c r="H89" s="91"/>
      <c r="I89" s="79">
        <f>SUM(G89:H89)+'BM 008'!I89</f>
        <v>177.1</v>
      </c>
      <c r="J89" s="91">
        <f t="shared" si="4"/>
        <v>0</v>
      </c>
      <c r="K89" s="80">
        <v>14.5</v>
      </c>
      <c r="L89" s="81">
        <f t="shared" si="2"/>
        <v>18.380201595000003</v>
      </c>
      <c r="M89" s="82">
        <f t="shared" si="32"/>
        <v>0</v>
      </c>
      <c r="N89" s="82">
        <f t="shared" si="33"/>
        <v>0</v>
      </c>
      <c r="O89" s="82">
        <f>N89+'BM 008'!O89</f>
        <v>3255.13</v>
      </c>
      <c r="P89" s="80">
        <f t="shared" si="34"/>
        <v>2567.9499999999998</v>
      </c>
      <c r="Q89" s="82">
        <f t="shared" si="35"/>
        <v>3255.13</v>
      </c>
      <c r="R89" s="82">
        <f t="shared" si="36"/>
        <v>0</v>
      </c>
    </row>
    <row r="90" spans="2:21" s="34" customFormat="1" ht="23.4">
      <c r="B90" s="87" t="s">
        <v>184</v>
      </c>
      <c r="C90" s="88" t="s">
        <v>162</v>
      </c>
      <c r="D90" s="89" t="s">
        <v>152</v>
      </c>
      <c r="E90" s="90">
        <v>61.6</v>
      </c>
      <c r="F90" s="91"/>
      <c r="G90" s="91"/>
      <c r="H90" s="91"/>
      <c r="I90" s="79">
        <f>SUM(G90:H90)+'BM 008'!I90</f>
        <v>61.6</v>
      </c>
      <c r="J90" s="91">
        <f t="shared" si="4"/>
        <v>0</v>
      </c>
      <c r="K90" s="94">
        <v>14.5</v>
      </c>
      <c r="L90" s="81">
        <f t="shared" si="2"/>
        <v>18.380201595000003</v>
      </c>
      <c r="M90" s="82">
        <f t="shared" si="32"/>
        <v>0</v>
      </c>
      <c r="N90" s="82">
        <f t="shared" si="33"/>
        <v>0</v>
      </c>
      <c r="O90" s="82">
        <f>N90+'BM 008'!O90</f>
        <v>1132.22</v>
      </c>
      <c r="P90" s="80">
        <f t="shared" si="34"/>
        <v>893.2</v>
      </c>
      <c r="Q90" s="82">
        <f t="shared" si="35"/>
        <v>1132.22</v>
      </c>
      <c r="R90" s="82">
        <f t="shared" si="36"/>
        <v>0</v>
      </c>
    </row>
    <row r="91" spans="2:21" s="34" customFormat="1" ht="34.799999999999997">
      <c r="B91" s="87" t="s">
        <v>185</v>
      </c>
      <c r="C91" s="88" t="s">
        <v>186</v>
      </c>
      <c r="D91" s="89" t="s">
        <v>79</v>
      </c>
      <c r="E91" s="90">
        <v>299.2</v>
      </c>
      <c r="F91" s="91"/>
      <c r="G91" s="91"/>
      <c r="H91" s="91"/>
      <c r="I91" s="79">
        <f>SUM(G91:H91)+'BM 008'!I91</f>
        <v>299.20005634945187</v>
      </c>
      <c r="J91" s="91">
        <f t="shared" si="4"/>
        <v>-5.6349451881487767E-5</v>
      </c>
      <c r="K91" s="80">
        <v>140</v>
      </c>
      <c r="L91" s="81">
        <f t="shared" si="2"/>
        <v>177.46401539999999</v>
      </c>
      <c r="M91" s="82">
        <f t="shared" si="32"/>
        <v>0</v>
      </c>
      <c r="N91" s="82">
        <f t="shared" si="33"/>
        <v>0</v>
      </c>
      <c r="O91" s="82">
        <f>N91+'BM 008'!O91</f>
        <v>53097.229999999996</v>
      </c>
      <c r="P91" s="80">
        <f t="shared" si="34"/>
        <v>41888</v>
      </c>
      <c r="Q91" s="82">
        <f t="shared" si="35"/>
        <v>53097.23</v>
      </c>
      <c r="R91" s="82">
        <f t="shared" si="36"/>
        <v>0</v>
      </c>
      <c r="T91" s="83"/>
      <c r="U91" s="83"/>
    </row>
    <row r="92" spans="2:21" s="34" customFormat="1" ht="23.4">
      <c r="B92" s="87" t="s">
        <v>187</v>
      </c>
      <c r="C92" s="88" t="s">
        <v>188</v>
      </c>
      <c r="D92" s="89" t="s">
        <v>169</v>
      </c>
      <c r="E92" s="92">
        <v>22.99</v>
      </c>
      <c r="F92" s="91"/>
      <c r="G92" s="91"/>
      <c r="H92" s="91"/>
      <c r="I92" s="79">
        <f>SUM(G92:H92)+'BM 008'!I92</f>
        <v>22.990010518564347</v>
      </c>
      <c r="J92" s="91">
        <f t="shared" si="4"/>
        <v>-1.0518564348416248E-5</v>
      </c>
      <c r="K92" s="95">
        <v>750</v>
      </c>
      <c r="L92" s="81">
        <f t="shared" si="2"/>
        <v>950.70008250000001</v>
      </c>
      <c r="M92" s="82">
        <f t="shared" si="32"/>
        <v>0</v>
      </c>
      <c r="N92" s="82">
        <f t="shared" si="33"/>
        <v>0</v>
      </c>
      <c r="O92" s="82">
        <f>N92+'BM 008'!O92</f>
        <v>21856.59</v>
      </c>
      <c r="P92" s="80">
        <f t="shared" si="34"/>
        <v>17242.5</v>
      </c>
      <c r="Q92" s="82">
        <f t="shared" si="35"/>
        <v>21856.59</v>
      </c>
      <c r="R92" s="82">
        <f t="shared" si="36"/>
        <v>0</v>
      </c>
      <c r="T92" s="83"/>
      <c r="U92" s="83"/>
    </row>
    <row r="93" spans="2:21" s="34" customFormat="1" ht="23.4">
      <c r="B93" s="87" t="s">
        <v>189</v>
      </c>
      <c r="C93" s="88" t="s">
        <v>190</v>
      </c>
      <c r="D93" s="89" t="s">
        <v>63</v>
      </c>
      <c r="E93" s="92">
        <v>230</v>
      </c>
      <c r="F93" s="91"/>
      <c r="G93" s="91"/>
      <c r="H93" s="91"/>
      <c r="I93" s="79">
        <f>SUM(G93:H93)+'BM 008'!I93</f>
        <v>230.00026296410891</v>
      </c>
      <c r="J93" s="91">
        <f t="shared" si="4"/>
        <v>-2.6296410891291089E-4</v>
      </c>
      <c r="K93" s="80">
        <v>30</v>
      </c>
      <c r="L93" s="81">
        <f t="shared" ref="L93:L156" si="37">K93*(1+$T$26)</f>
        <v>38.028003300000002</v>
      </c>
      <c r="M93" s="82">
        <f t="shared" si="32"/>
        <v>0</v>
      </c>
      <c r="N93" s="82">
        <f t="shared" si="33"/>
        <v>0</v>
      </c>
      <c r="O93" s="82">
        <f>N93+'BM 008'!O93</f>
        <v>8746.44</v>
      </c>
      <c r="P93" s="80">
        <f t="shared" si="34"/>
        <v>6900</v>
      </c>
      <c r="Q93" s="82">
        <f t="shared" si="35"/>
        <v>8746.44</v>
      </c>
      <c r="R93" s="82">
        <f t="shared" si="36"/>
        <v>0</v>
      </c>
      <c r="T93" s="83"/>
      <c r="U93" s="83"/>
    </row>
    <row r="94" spans="2:21" s="34" customFormat="1" ht="13.2">
      <c r="B94" s="60" t="s">
        <v>191</v>
      </c>
      <c r="C94" s="61" t="s">
        <v>192</v>
      </c>
      <c r="D94" s="60"/>
      <c r="E94" s="62"/>
      <c r="F94" s="63"/>
      <c r="G94" s="63"/>
      <c r="H94" s="63"/>
      <c r="I94" s="63">
        <f>SUM(G94:H94)+'BM 008'!I94</f>
        <v>0</v>
      </c>
      <c r="J94" s="63">
        <f t="shared" si="4"/>
        <v>0</v>
      </c>
      <c r="K94" s="63"/>
      <c r="L94" s="63">
        <f t="shared" si="37"/>
        <v>0</v>
      </c>
      <c r="M94" s="63">
        <f t="shared" ref="M94:R94" si="38">SUM(M95,M107,M120)</f>
        <v>487177.71</v>
      </c>
      <c r="N94" s="63">
        <f t="shared" si="38"/>
        <v>487177.71</v>
      </c>
      <c r="O94" s="63">
        <f t="shared" si="38"/>
        <v>3757194.8000000003</v>
      </c>
      <c r="P94" s="63">
        <f t="shared" si="38"/>
        <v>4541959.5</v>
      </c>
      <c r="Q94" s="63">
        <f t="shared" si="38"/>
        <v>5757388.21</v>
      </c>
      <c r="R94" s="63">
        <f t="shared" si="38"/>
        <v>2000193.41</v>
      </c>
    </row>
    <row r="95" spans="2:21" s="34" customFormat="1" ht="13.2">
      <c r="B95" s="66" t="s">
        <v>193</v>
      </c>
      <c r="C95" s="67" t="s">
        <v>194</v>
      </c>
      <c r="D95" s="68"/>
      <c r="E95" s="69"/>
      <c r="F95" s="70"/>
      <c r="G95" s="70"/>
      <c r="H95" s="70"/>
      <c r="I95" s="70">
        <f>SUM(G95:H95)+'BM 008'!I95</f>
        <v>0</v>
      </c>
      <c r="J95" s="70">
        <f t="shared" ref="J95:J158" si="39">E95-I95</f>
        <v>0</v>
      </c>
      <c r="K95" s="71"/>
      <c r="L95" s="71">
        <f t="shared" si="37"/>
        <v>0</v>
      </c>
      <c r="M95" s="73">
        <f t="shared" ref="M95:R95" si="40">SUM(M96:M106)</f>
        <v>133483.26</v>
      </c>
      <c r="N95" s="73">
        <f t="shared" si="40"/>
        <v>133483.26</v>
      </c>
      <c r="O95" s="73">
        <f t="shared" si="40"/>
        <v>1003564.49</v>
      </c>
      <c r="P95" s="73">
        <f t="shared" si="40"/>
        <v>1372038.75</v>
      </c>
      <c r="Q95" s="73">
        <f t="shared" si="40"/>
        <v>1739196.42</v>
      </c>
      <c r="R95" s="73">
        <f t="shared" si="40"/>
        <v>735631.93000000017</v>
      </c>
    </row>
    <row r="96" spans="2:21" s="34" customFormat="1" ht="34.799999999999997">
      <c r="B96" s="87" t="s">
        <v>195</v>
      </c>
      <c r="C96" s="88" t="s">
        <v>196</v>
      </c>
      <c r="D96" s="89" t="s">
        <v>79</v>
      </c>
      <c r="E96" s="92">
        <v>3575</v>
      </c>
      <c r="F96" s="91">
        <f>0.55*E96-1754</f>
        <v>212.25000000000023</v>
      </c>
      <c r="G96" s="91">
        <f t="shared" ref="G96:G106" si="41">F96</f>
        <v>212.25000000000023</v>
      </c>
      <c r="H96" s="91"/>
      <c r="I96" s="79">
        <f>SUM(G96:H96)+'BM 008'!I96</f>
        <v>1966.2500000000002</v>
      </c>
      <c r="J96" s="91">
        <f t="shared" si="39"/>
        <v>1608.7499999999998</v>
      </c>
      <c r="K96" s="80">
        <v>130</v>
      </c>
      <c r="L96" s="81">
        <f t="shared" si="37"/>
        <v>164.78801430000001</v>
      </c>
      <c r="M96" s="82">
        <f t="shared" ref="M96:M106" si="42">TRUNC(F96*L96,2)</f>
        <v>34976.25</v>
      </c>
      <c r="N96" s="82">
        <f t="shared" ref="N96:N106" si="43">TRUNC(G96*L96,2)</f>
        <v>34976.25</v>
      </c>
      <c r="O96" s="82">
        <f>N96+'BM 008'!O96</f>
        <v>324014.40999999997</v>
      </c>
      <c r="P96" s="80">
        <f t="shared" ref="P96:P106" si="44">E96*K96</f>
        <v>464750</v>
      </c>
      <c r="Q96" s="82">
        <f t="shared" ref="Q96:Q106" si="45">TRUNC(E96*L96,2)</f>
        <v>589117.15</v>
      </c>
      <c r="R96" s="82">
        <f t="shared" ref="R96:R106" si="46">Q96-O96</f>
        <v>265102.74000000005</v>
      </c>
    </row>
    <row r="97" spans="2:20" s="34" customFormat="1" ht="46.2">
      <c r="B97" s="87" t="s">
        <v>197</v>
      </c>
      <c r="C97" s="88" t="s">
        <v>198</v>
      </c>
      <c r="D97" s="89" t="s">
        <v>152</v>
      </c>
      <c r="E97" s="90">
        <v>2130.6999999999998</v>
      </c>
      <c r="F97" s="91">
        <f>'M.C. MED. 09'!K614</f>
        <v>161.09</v>
      </c>
      <c r="G97" s="91">
        <f t="shared" si="41"/>
        <v>161.09</v>
      </c>
      <c r="H97" s="91"/>
      <c r="I97" s="79">
        <f>SUM(G97:H97)+'BM 008'!I97</f>
        <v>977.41000000000008</v>
      </c>
      <c r="J97" s="91">
        <f t="shared" si="39"/>
        <v>1153.2899999999997</v>
      </c>
      <c r="K97" s="80">
        <v>20</v>
      </c>
      <c r="L97" s="81">
        <f t="shared" si="37"/>
        <v>25.352002200000001</v>
      </c>
      <c r="M97" s="82">
        <f t="shared" si="42"/>
        <v>4083.95</v>
      </c>
      <c r="N97" s="82">
        <f t="shared" si="43"/>
        <v>4083.95</v>
      </c>
      <c r="O97" s="82">
        <f>N97+'BM 008'!O97</f>
        <v>24779.27</v>
      </c>
      <c r="P97" s="80">
        <f t="shared" si="44"/>
        <v>42614</v>
      </c>
      <c r="Q97" s="82">
        <f t="shared" si="45"/>
        <v>54017.51</v>
      </c>
      <c r="R97" s="82">
        <f t="shared" si="46"/>
        <v>29238.240000000002</v>
      </c>
    </row>
    <row r="98" spans="2:20" s="34" customFormat="1" ht="46.2">
      <c r="B98" s="87" t="s">
        <v>199</v>
      </c>
      <c r="C98" s="88" t="s">
        <v>200</v>
      </c>
      <c r="D98" s="89" t="s">
        <v>152</v>
      </c>
      <c r="E98" s="90">
        <v>3031.6</v>
      </c>
      <c r="F98" s="91">
        <f>'M.C. MED. 09'!K636</f>
        <v>267.33999999999997</v>
      </c>
      <c r="G98" s="91">
        <f t="shared" si="41"/>
        <v>267.33999999999997</v>
      </c>
      <c r="H98" s="91"/>
      <c r="I98" s="79">
        <f>SUM(G98:H98)+'BM 008'!I98</f>
        <v>1870.3</v>
      </c>
      <c r="J98" s="91">
        <f t="shared" si="39"/>
        <v>1161.3</v>
      </c>
      <c r="K98" s="80">
        <v>19</v>
      </c>
      <c r="L98" s="81">
        <f t="shared" si="37"/>
        <v>24.084402090000001</v>
      </c>
      <c r="M98" s="82">
        <f t="shared" si="42"/>
        <v>6438.72</v>
      </c>
      <c r="N98" s="82">
        <f t="shared" si="43"/>
        <v>6438.72</v>
      </c>
      <c r="O98" s="82">
        <f>N98+'BM 008'!O98</f>
        <v>45045.03</v>
      </c>
      <c r="P98" s="80">
        <f t="shared" si="44"/>
        <v>57600.4</v>
      </c>
      <c r="Q98" s="82">
        <f t="shared" si="45"/>
        <v>73014.27</v>
      </c>
      <c r="R98" s="82">
        <f t="shared" si="46"/>
        <v>27969.240000000005</v>
      </c>
    </row>
    <row r="99" spans="2:20" s="34" customFormat="1" ht="46.2">
      <c r="B99" s="87" t="s">
        <v>201</v>
      </c>
      <c r="C99" s="88" t="s">
        <v>202</v>
      </c>
      <c r="D99" s="89" t="s">
        <v>152</v>
      </c>
      <c r="E99" s="90">
        <v>5608.9</v>
      </c>
      <c r="F99" s="91">
        <f>'M.C. MED. 09'!K659</f>
        <v>400.6</v>
      </c>
      <c r="G99" s="91">
        <f t="shared" si="41"/>
        <v>400.6</v>
      </c>
      <c r="H99" s="91"/>
      <c r="I99" s="79">
        <f>SUM(G99:H99)+'BM 008'!I99</f>
        <v>3021.96</v>
      </c>
      <c r="J99" s="91">
        <f t="shared" si="39"/>
        <v>2586.9399999999996</v>
      </c>
      <c r="K99" s="80">
        <v>17.5</v>
      </c>
      <c r="L99" s="81">
        <f t="shared" si="37"/>
        <v>22.183001924999999</v>
      </c>
      <c r="M99" s="82">
        <f t="shared" si="42"/>
        <v>8886.51</v>
      </c>
      <c r="N99" s="82">
        <f t="shared" si="43"/>
        <v>8886.51</v>
      </c>
      <c r="O99" s="82">
        <f>N99+'BM 008'!O99</f>
        <v>67036.12999999999</v>
      </c>
      <c r="P99" s="80">
        <f t="shared" si="44"/>
        <v>98155.75</v>
      </c>
      <c r="Q99" s="82">
        <f t="shared" si="45"/>
        <v>124422.23</v>
      </c>
      <c r="R99" s="82">
        <f t="shared" si="46"/>
        <v>57386.100000000006</v>
      </c>
    </row>
    <row r="100" spans="2:20" s="34" customFormat="1" ht="46.2">
      <c r="B100" s="87" t="s">
        <v>203</v>
      </c>
      <c r="C100" s="88" t="s">
        <v>204</v>
      </c>
      <c r="D100" s="89" t="s">
        <v>152</v>
      </c>
      <c r="E100" s="90">
        <v>4215.2</v>
      </c>
      <c r="F100" s="91">
        <f>'M.C. MED. 09'!K681</f>
        <v>438.44</v>
      </c>
      <c r="G100" s="91">
        <f t="shared" si="41"/>
        <v>438.44</v>
      </c>
      <c r="H100" s="91"/>
      <c r="I100" s="79">
        <f>SUM(G100:H100)+'BM 008'!I100</f>
        <v>1988.5600000000002</v>
      </c>
      <c r="J100" s="91">
        <f t="shared" si="39"/>
        <v>2226.6399999999994</v>
      </c>
      <c r="K100" s="80">
        <v>16</v>
      </c>
      <c r="L100" s="81">
        <f t="shared" si="37"/>
        <v>20.281601760000001</v>
      </c>
      <c r="M100" s="82">
        <f t="shared" si="42"/>
        <v>8892.26</v>
      </c>
      <c r="N100" s="82">
        <f t="shared" si="43"/>
        <v>8892.26</v>
      </c>
      <c r="O100" s="82">
        <f>N100+'BM 008'!O100</f>
        <v>40331.160000000003</v>
      </c>
      <c r="P100" s="80">
        <f t="shared" si="44"/>
        <v>67443.199999999997</v>
      </c>
      <c r="Q100" s="82">
        <f t="shared" si="45"/>
        <v>85491</v>
      </c>
      <c r="R100" s="82">
        <f t="shared" si="46"/>
        <v>45159.839999999997</v>
      </c>
    </row>
    <row r="101" spans="2:20" s="34" customFormat="1" ht="46.2">
      <c r="B101" s="87" t="s">
        <v>205</v>
      </c>
      <c r="C101" s="88" t="s">
        <v>206</v>
      </c>
      <c r="D101" s="89" t="s">
        <v>152</v>
      </c>
      <c r="E101" s="90">
        <v>3267</v>
      </c>
      <c r="F101" s="91">
        <f>'M.C. MED. 09'!K705</f>
        <v>241.52</v>
      </c>
      <c r="G101" s="91">
        <f t="shared" si="41"/>
        <v>241.52</v>
      </c>
      <c r="H101" s="91"/>
      <c r="I101" s="79">
        <f>SUM(G101:H101)+'BM 008'!I101</f>
        <v>3041.34</v>
      </c>
      <c r="J101" s="91">
        <f t="shared" si="39"/>
        <v>225.65999999999985</v>
      </c>
      <c r="K101" s="80">
        <v>14.5</v>
      </c>
      <c r="L101" s="81">
        <f t="shared" si="37"/>
        <v>18.380201595000003</v>
      </c>
      <c r="M101" s="82">
        <f t="shared" si="42"/>
        <v>4439.18</v>
      </c>
      <c r="N101" s="82">
        <f t="shared" si="43"/>
        <v>4439.18</v>
      </c>
      <c r="O101" s="82">
        <f>N101+'BM 008'!O101</f>
        <v>55900.41</v>
      </c>
      <c r="P101" s="80">
        <f t="shared" si="44"/>
        <v>47371.5</v>
      </c>
      <c r="Q101" s="82">
        <f t="shared" si="45"/>
        <v>60048.11</v>
      </c>
      <c r="R101" s="82">
        <f t="shared" si="46"/>
        <v>4147.6999999999971</v>
      </c>
      <c r="T101" s="96"/>
    </row>
    <row r="102" spans="2:20" s="34" customFormat="1" ht="46.2">
      <c r="B102" s="87" t="s">
        <v>207</v>
      </c>
      <c r="C102" s="88" t="s">
        <v>208</v>
      </c>
      <c r="D102" s="89" t="s">
        <v>152</v>
      </c>
      <c r="E102" s="90">
        <v>8421.6</v>
      </c>
      <c r="F102" s="91">
        <f>'M.C. MED. 09'!K727</f>
        <v>1065.78</v>
      </c>
      <c r="G102" s="91">
        <f t="shared" si="41"/>
        <v>1065.78</v>
      </c>
      <c r="H102" s="91"/>
      <c r="I102" s="79">
        <f>SUM(G102:H102)+'BM 008'!I102</f>
        <v>4294.3499999999995</v>
      </c>
      <c r="J102" s="91">
        <f t="shared" si="39"/>
        <v>4127.2500000000009</v>
      </c>
      <c r="K102" s="94">
        <v>14.5</v>
      </c>
      <c r="L102" s="81">
        <f t="shared" si="37"/>
        <v>18.380201595000003</v>
      </c>
      <c r="M102" s="82">
        <f t="shared" si="42"/>
        <v>19589.25</v>
      </c>
      <c r="N102" s="82">
        <f t="shared" si="43"/>
        <v>19589.25</v>
      </c>
      <c r="O102" s="82">
        <f>N102+'BM 008'!O102</f>
        <v>78930.990000000005</v>
      </c>
      <c r="P102" s="80">
        <f t="shared" si="44"/>
        <v>122113.20000000001</v>
      </c>
      <c r="Q102" s="82">
        <f t="shared" si="45"/>
        <v>154790.70000000001</v>
      </c>
      <c r="R102" s="82">
        <f t="shared" si="46"/>
        <v>75859.710000000006</v>
      </c>
      <c r="T102" s="96"/>
    </row>
    <row r="103" spans="2:20" s="34" customFormat="1" ht="46.2">
      <c r="B103" s="87" t="s">
        <v>209</v>
      </c>
      <c r="C103" s="88" t="s">
        <v>210</v>
      </c>
      <c r="D103" s="89" t="s">
        <v>152</v>
      </c>
      <c r="E103" s="92">
        <v>7144.5</v>
      </c>
      <c r="F103" s="91">
        <f>'M.C. MED. 09'!K750</f>
        <v>377.05</v>
      </c>
      <c r="G103" s="91">
        <f t="shared" si="41"/>
        <v>377.05</v>
      </c>
      <c r="H103" s="91"/>
      <c r="I103" s="79">
        <f>SUM(G103:H103)+'BM 008'!I103</f>
        <v>4605.97</v>
      </c>
      <c r="J103" s="91">
        <f t="shared" si="39"/>
        <v>2538.5299999999997</v>
      </c>
      <c r="K103" s="80">
        <v>14</v>
      </c>
      <c r="L103" s="81">
        <f t="shared" si="37"/>
        <v>17.746401540000001</v>
      </c>
      <c r="M103" s="82">
        <f t="shared" si="42"/>
        <v>6691.28</v>
      </c>
      <c r="N103" s="82">
        <f t="shared" si="43"/>
        <v>6691.28</v>
      </c>
      <c r="O103" s="82">
        <f>N103+'BM 008'!O103</f>
        <v>81739.360000000001</v>
      </c>
      <c r="P103" s="80">
        <f t="shared" si="44"/>
        <v>100023</v>
      </c>
      <c r="Q103" s="82">
        <f t="shared" si="45"/>
        <v>126789.16</v>
      </c>
      <c r="R103" s="82">
        <f t="shared" si="46"/>
        <v>45049.8</v>
      </c>
      <c r="T103" s="96"/>
    </row>
    <row r="104" spans="2:20" s="34" customFormat="1" ht="46.2">
      <c r="B104" s="87" t="s">
        <v>211</v>
      </c>
      <c r="C104" s="88" t="s">
        <v>212</v>
      </c>
      <c r="D104" s="89" t="s">
        <v>152</v>
      </c>
      <c r="E104" s="92">
        <v>6531.8</v>
      </c>
      <c r="F104" s="91">
        <f>'M.C. MED. 09'!K773</f>
        <v>940.9</v>
      </c>
      <c r="G104" s="91">
        <f t="shared" si="41"/>
        <v>940.9</v>
      </c>
      <c r="H104" s="91"/>
      <c r="I104" s="79">
        <f>SUM(G104:H104)+'BM 008'!I104</f>
        <v>4988.45</v>
      </c>
      <c r="J104" s="91">
        <f t="shared" si="39"/>
        <v>1543.3500000000004</v>
      </c>
      <c r="K104" s="95">
        <v>14</v>
      </c>
      <c r="L104" s="81">
        <f t="shared" si="37"/>
        <v>17.746401540000001</v>
      </c>
      <c r="M104" s="82">
        <f t="shared" si="42"/>
        <v>16697.580000000002</v>
      </c>
      <c r="N104" s="82">
        <f t="shared" si="43"/>
        <v>16697.580000000002</v>
      </c>
      <c r="O104" s="82">
        <f>N104+'BM 008'!O104</f>
        <v>88527.010000000009</v>
      </c>
      <c r="P104" s="80">
        <f t="shared" si="44"/>
        <v>91445.2</v>
      </c>
      <c r="Q104" s="82">
        <f t="shared" si="45"/>
        <v>115915.94</v>
      </c>
      <c r="R104" s="82">
        <f t="shared" si="46"/>
        <v>27388.929999999993</v>
      </c>
      <c r="T104" s="96"/>
    </row>
    <row r="105" spans="2:20" s="34" customFormat="1" ht="23.4">
      <c r="B105" s="87" t="s">
        <v>213</v>
      </c>
      <c r="C105" s="88" t="s">
        <v>190</v>
      </c>
      <c r="D105" s="89" t="s">
        <v>63</v>
      </c>
      <c r="E105" s="92">
        <v>240</v>
      </c>
      <c r="F105" s="91">
        <f>0.55*E105-117</f>
        <v>15</v>
      </c>
      <c r="G105" s="91">
        <f t="shared" si="41"/>
        <v>15</v>
      </c>
      <c r="H105" s="91"/>
      <c r="I105" s="79">
        <f>SUM(G105:H105)+'BM 008'!I105</f>
        <v>132</v>
      </c>
      <c r="J105" s="91">
        <f t="shared" si="39"/>
        <v>108</v>
      </c>
      <c r="K105" s="80">
        <v>30</v>
      </c>
      <c r="L105" s="81">
        <f t="shared" si="37"/>
        <v>38.028003300000002</v>
      </c>
      <c r="M105" s="82">
        <f t="shared" si="42"/>
        <v>570.41999999999996</v>
      </c>
      <c r="N105" s="82">
        <f t="shared" si="43"/>
        <v>570.41999999999996</v>
      </c>
      <c r="O105" s="82">
        <f>N105+'BM 008'!O105</f>
        <v>5019.68</v>
      </c>
      <c r="P105" s="80">
        <f t="shared" si="44"/>
        <v>7200</v>
      </c>
      <c r="Q105" s="82">
        <f t="shared" si="45"/>
        <v>9126.7199999999993</v>
      </c>
      <c r="R105" s="82">
        <f t="shared" si="46"/>
        <v>4107.0399999999991</v>
      </c>
      <c r="T105" s="96"/>
    </row>
    <row r="106" spans="2:20" s="34" customFormat="1" ht="23.4">
      <c r="B106" s="87" t="s">
        <v>214</v>
      </c>
      <c r="C106" s="88" t="s">
        <v>215</v>
      </c>
      <c r="D106" s="89" t="s">
        <v>169</v>
      </c>
      <c r="E106" s="92">
        <v>364.43</v>
      </c>
      <c r="F106" s="91">
        <f>'M.C. MED. 09'!K916</f>
        <v>23.37</v>
      </c>
      <c r="G106" s="91">
        <f t="shared" si="41"/>
        <v>23.37</v>
      </c>
      <c r="H106" s="91"/>
      <c r="I106" s="79">
        <f>SUM(G106:H106)+'BM 008'!I106</f>
        <v>202.21000000000004</v>
      </c>
      <c r="J106" s="91">
        <f t="shared" si="39"/>
        <v>162.21999999999997</v>
      </c>
      <c r="K106" s="95">
        <v>750</v>
      </c>
      <c r="L106" s="81">
        <f t="shared" si="37"/>
        <v>950.70008250000001</v>
      </c>
      <c r="M106" s="82">
        <f t="shared" si="42"/>
        <v>22217.86</v>
      </c>
      <c r="N106" s="82">
        <f t="shared" si="43"/>
        <v>22217.86</v>
      </c>
      <c r="O106" s="82">
        <f>N106+'BM 008'!O106</f>
        <v>192241.03999999998</v>
      </c>
      <c r="P106" s="80">
        <f t="shared" si="44"/>
        <v>273322.5</v>
      </c>
      <c r="Q106" s="82">
        <f t="shared" si="45"/>
        <v>346463.63</v>
      </c>
      <c r="R106" s="82">
        <f t="shared" si="46"/>
        <v>154222.59000000003</v>
      </c>
      <c r="T106" s="96"/>
    </row>
    <row r="107" spans="2:20" s="34" customFormat="1" ht="13.2">
      <c r="B107" s="66" t="s">
        <v>216</v>
      </c>
      <c r="C107" s="67" t="s">
        <v>217</v>
      </c>
      <c r="D107" s="68"/>
      <c r="E107" s="69"/>
      <c r="F107" s="70"/>
      <c r="G107" s="70"/>
      <c r="H107" s="70"/>
      <c r="I107" s="70">
        <f>SUM(G107:H107)+'BM 008'!I107</f>
        <v>0</v>
      </c>
      <c r="J107" s="70">
        <f t="shared" si="39"/>
        <v>0</v>
      </c>
      <c r="K107" s="71"/>
      <c r="L107" s="71">
        <f t="shared" si="37"/>
        <v>0</v>
      </c>
      <c r="M107" s="73">
        <f t="shared" ref="M107:R107" si="47">SUM(M108:M119)</f>
        <v>119989.46</v>
      </c>
      <c r="N107" s="73">
        <f t="shared" si="47"/>
        <v>119989.46</v>
      </c>
      <c r="O107" s="73">
        <f t="shared" si="47"/>
        <v>801429.02</v>
      </c>
      <c r="P107" s="73">
        <f t="shared" si="47"/>
        <v>951249.7</v>
      </c>
      <c r="Q107" s="73">
        <f t="shared" si="47"/>
        <v>1205804.17</v>
      </c>
      <c r="R107" s="73">
        <f t="shared" si="47"/>
        <v>404375.14999999997</v>
      </c>
      <c r="T107" s="96"/>
    </row>
    <row r="108" spans="2:20" s="34" customFormat="1" ht="46.2">
      <c r="B108" s="87" t="s">
        <v>218</v>
      </c>
      <c r="C108" s="88" t="s">
        <v>219</v>
      </c>
      <c r="D108" s="89" t="s">
        <v>79</v>
      </c>
      <c r="E108" s="92">
        <v>2299</v>
      </c>
      <c r="F108" s="91">
        <f>TRUNC(0.18*E108,2)</f>
        <v>413.82</v>
      </c>
      <c r="G108" s="91">
        <f t="shared" ref="G108:G119" si="48">F108</f>
        <v>413.82</v>
      </c>
      <c r="H108" s="91"/>
      <c r="I108" s="79">
        <f>SUM(G108:H108)+'BM 008'!I108</f>
        <v>1722.82</v>
      </c>
      <c r="J108" s="91">
        <f t="shared" si="39"/>
        <v>576.18000000000006</v>
      </c>
      <c r="K108" s="80">
        <v>60</v>
      </c>
      <c r="L108" s="81">
        <f t="shared" si="37"/>
        <v>76.056006600000003</v>
      </c>
      <c r="M108" s="82">
        <f t="shared" ref="M108:M119" si="49">TRUNC(F108*L108,2)</f>
        <v>31473.49</v>
      </c>
      <c r="N108" s="82">
        <f t="shared" ref="N108:N119" si="50">TRUNC(G108*L108,2)</f>
        <v>31473.49</v>
      </c>
      <c r="O108" s="82">
        <f>N108+'BM 008'!O108</f>
        <v>131030.77</v>
      </c>
      <c r="P108" s="80">
        <f t="shared" ref="P108:P119" si="51">E108*K108</f>
        <v>137940</v>
      </c>
      <c r="Q108" s="82">
        <f t="shared" ref="Q108:Q119" si="52">TRUNC(E108*L108,2)</f>
        <v>174852.75</v>
      </c>
      <c r="R108" s="82">
        <f t="shared" ref="R108:R119" si="53">Q108-O108</f>
        <v>43821.979999999996</v>
      </c>
      <c r="T108" s="96"/>
    </row>
    <row r="109" spans="2:20" s="34" customFormat="1" ht="46.2">
      <c r="B109" s="87" t="s">
        <v>220</v>
      </c>
      <c r="C109" s="88" t="s">
        <v>198</v>
      </c>
      <c r="D109" s="89" t="s">
        <v>152</v>
      </c>
      <c r="E109" s="90">
        <v>347.6</v>
      </c>
      <c r="F109" s="91">
        <f>'M.C. MED. 09'!K933</f>
        <v>24.9</v>
      </c>
      <c r="G109" s="91">
        <f t="shared" si="48"/>
        <v>24.9</v>
      </c>
      <c r="H109" s="91"/>
      <c r="I109" s="79">
        <f>SUM(G109:H109)+'BM 008'!I109</f>
        <v>212.9</v>
      </c>
      <c r="J109" s="91">
        <f t="shared" si="39"/>
        <v>134.70000000000002</v>
      </c>
      <c r="K109" s="80">
        <v>20</v>
      </c>
      <c r="L109" s="81">
        <f t="shared" si="37"/>
        <v>25.352002200000001</v>
      </c>
      <c r="M109" s="82">
        <f t="shared" si="49"/>
        <v>631.26</v>
      </c>
      <c r="N109" s="82">
        <f t="shared" si="50"/>
        <v>631.26</v>
      </c>
      <c r="O109" s="82">
        <f>N109+'BM 008'!O109</f>
        <v>5397.41</v>
      </c>
      <c r="P109" s="80">
        <f t="shared" si="51"/>
        <v>6952</v>
      </c>
      <c r="Q109" s="82">
        <f t="shared" si="52"/>
        <v>8812.35</v>
      </c>
      <c r="R109" s="82">
        <f t="shared" si="53"/>
        <v>3414.9400000000005</v>
      </c>
      <c r="T109" s="96"/>
    </row>
    <row r="110" spans="2:20" s="34" customFormat="1" ht="46.2">
      <c r="B110" s="87" t="s">
        <v>221</v>
      </c>
      <c r="C110" s="88" t="s">
        <v>222</v>
      </c>
      <c r="D110" s="89" t="s">
        <v>152</v>
      </c>
      <c r="E110" s="90">
        <v>3626.7</v>
      </c>
      <c r="F110" s="91">
        <f>'M.C. MED. 09'!K950</f>
        <v>208</v>
      </c>
      <c r="G110" s="91">
        <f t="shared" si="48"/>
        <v>208</v>
      </c>
      <c r="H110" s="91"/>
      <c r="I110" s="79">
        <f>SUM(G110:H110)+'BM 008'!I110</f>
        <v>2024.3100000000002</v>
      </c>
      <c r="J110" s="91">
        <f t="shared" si="39"/>
        <v>1602.3899999999996</v>
      </c>
      <c r="K110" s="80">
        <v>19</v>
      </c>
      <c r="L110" s="81">
        <f t="shared" si="37"/>
        <v>24.084402090000001</v>
      </c>
      <c r="M110" s="82">
        <f t="shared" si="49"/>
        <v>5009.55</v>
      </c>
      <c r="N110" s="82">
        <f t="shared" si="50"/>
        <v>5009.55</v>
      </c>
      <c r="O110" s="82">
        <f>N110+'BM 008'!O110</f>
        <v>48754.260000000009</v>
      </c>
      <c r="P110" s="80">
        <f t="shared" si="51"/>
        <v>68907.3</v>
      </c>
      <c r="Q110" s="82">
        <f t="shared" si="52"/>
        <v>87346.9</v>
      </c>
      <c r="R110" s="82">
        <f t="shared" si="53"/>
        <v>38592.639999999985</v>
      </c>
      <c r="T110" s="96"/>
    </row>
    <row r="111" spans="2:20" s="34" customFormat="1" ht="46.2">
      <c r="B111" s="87" t="s">
        <v>223</v>
      </c>
      <c r="C111" s="88" t="s">
        <v>202</v>
      </c>
      <c r="D111" s="89" t="s">
        <v>152</v>
      </c>
      <c r="E111" s="90">
        <v>1762.2</v>
      </c>
      <c r="F111" s="79">
        <f>'M.C. MED. 09'!K968</f>
        <v>70.819999999999993</v>
      </c>
      <c r="G111" s="91">
        <f t="shared" si="48"/>
        <v>70.819999999999993</v>
      </c>
      <c r="H111" s="91"/>
      <c r="I111" s="79">
        <f>SUM(G111:H111)+'BM 008'!I111</f>
        <v>863.28</v>
      </c>
      <c r="J111" s="91">
        <f t="shared" si="39"/>
        <v>898.92000000000007</v>
      </c>
      <c r="K111" s="80">
        <v>17.5</v>
      </c>
      <c r="L111" s="81">
        <f t="shared" si="37"/>
        <v>22.183001924999999</v>
      </c>
      <c r="M111" s="82">
        <f t="shared" si="49"/>
        <v>1571</v>
      </c>
      <c r="N111" s="82">
        <f t="shared" si="50"/>
        <v>1571</v>
      </c>
      <c r="O111" s="82">
        <f>N111+'BM 008'!O111</f>
        <v>19150.129999999997</v>
      </c>
      <c r="P111" s="80">
        <f t="shared" si="51"/>
        <v>30838.5</v>
      </c>
      <c r="Q111" s="82">
        <f t="shared" si="52"/>
        <v>39090.879999999997</v>
      </c>
      <c r="R111" s="82">
        <f t="shared" si="53"/>
        <v>19940.75</v>
      </c>
    </row>
    <row r="112" spans="2:20" s="34" customFormat="1" ht="46.2">
      <c r="B112" s="87" t="s">
        <v>224</v>
      </c>
      <c r="C112" s="88" t="s">
        <v>204</v>
      </c>
      <c r="D112" s="89" t="s">
        <v>152</v>
      </c>
      <c r="E112" s="90">
        <v>542.29999999999995</v>
      </c>
      <c r="F112" s="79">
        <f>'M.C. MED. 09'!K985</f>
        <v>45.2</v>
      </c>
      <c r="G112" s="91">
        <f t="shared" si="48"/>
        <v>45.2</v>
      </c>
      <c r="H112" s="91"/>
      <c r="I112" s="79">
        <f>SUM(G112:H112)+'BM 008'!I112</f>
        <v>318.76</v>
      </c>
      <c r="J112" s="91">
        <f t="shared" si="39"/>
        <v>223.53999999999996</v>
      </c>
      <c r="K112" s="80">
        <v>16</v>
      </c>
      <c r="L112" s="81">
        <f t="shared" si="37"/>
        <v>20.281601760000001</v>
      </c>
      <c r="M112" s="82">
        <f t="shared" si="49"/>
        <v>916.72</v>
      </c>
      <c r="N112" s="82">
        <f t="shared" si="50"/>
        <v>916.72</v>
      </c>
      <c r="O112" s="82">
        <f>N112+'BM 008'!O112</f>
        <v>6464.93</v>
      </c>
      <c r="P112" s="80">
        <f t="shared" si="51"/>
        <v>8676.7999999999993</v>
      </c>
      <c r="Q112" s="82">
        <f t="shared" si="52"/>
        <v>10998.71</v>
      </c>
      <c r="R112" s="82">
        <f t="shared" si="53"/>
        <v>4533.7799999999988</v>
      </c>
      <c r="T112" s="83"/>
    </row>
    <row r="113" spans="2:20" s="34" customFormat="1" ht="46.2">
      <c r="B113" s="87" t="s">
        <v>225</v>
      </c>
      <c r="C113" s="88" t="s">
        <v>206</v>
      </c>
      <c r="D113" s="89" t="s">
        <v>152</v>
      </c>
      <c r="E113" s="90">
        <v>3532.1</v>
      </c>
      <c r="F113" s="79">
        <f>'M.C. MED. 09'!K1000</f>
        <v>250.2</v>
      </c>
      <c r="G113" s="91">
        <f t="shared" si="48"/>
        <v>250.2</v>
      </c>
      <c r="H113" s="91"/>
      <c r="I113" s="79">
        <f>SUM(G113:H113)+'BM 008'!I113</f>
        <v>1774.77</v>
      </c>
      <c r="J113" s="91">
        <f t="shared" si="39"/>
        <v>1757.33</v>
      </c>
      <c r="K113" s="80">
        <v>14.5</v>
      </c>
      <c r="L113" s="81">
        <f t="shared" si="37"/>
        <v>18.380201595000003</v>
      </c>
      <c r="M113" s="82">
        <f t="shared" si="49"/>
        <v>4598.72</v>
      </c>
      <c r="N113" s="82">
        <f t="shared" si="50"/>
        <v>4598.72</v>
      </c>
      <c r="O113" s="82">
        <f>N113+'BM 008'!O113</f>
        <v>32620.59</v>
      </c>
      <c r="P113" s="80">
        <f t="shared" si="51"/>
        <v>51215.45</v>
      </c>
      <c r="Q113" s="82">
        <f t="shared" si="52"/>
        <v>64920.71</v>
      </c>
      <c r="R113" s="82">
        <f t="shared" si="53"/>
        <v>32300.12</v>
      </c>
      <c r="T113" s="83"/>
    </row>
    <row r="114" spans="2:20" s="34" customFormat="1" ht="46.2">
      <c r="B114" s="87" t="s">
        <v>226</v>
      </c>
      <c r="C114" s="88" t="s">
        <v>208</v>
      </c>
      <c r="D114" s="89" t="s">
        <v>152</v>
      </c>
      <c r="E114" s="90">
        <v>7313.9</v>
      </c>
      <c r="F114" s="79">
        <f>'M.C. MED. 09'!K1017</f>
        <v>285.36</v>
      </c>
      <c r="G114" s="91">
        <f t="shared" si="48"/>
        <v>285.36</v>
      </c>
      <c r="H114" s="91"/>
      <c r="I114" s="79">
        <f>SUM(G114:H114)+'BM 008'!I114</f>
        <v>4366.46</v>
      </c>
      <c r="J114" s="91">
        <f t="shared" si="39"/>
        <v>2947.4399999999996</v>
      </c>
      <c r="K114" s="94">
        <v>14.5</v>
      </c>
      <c r="L114" s="81">
        <f t="shared" si="37"/>
        <v>18.380201595000003</v>
      </c>
      <c r="M114" s="82">
        <f t="shared" si="49"/>
        <v>5244.97</v>
      </c>
      <c r="N114" s="82">
        <f t="shared" si="50"/>
        <v>5244.97</v>
      </c>
      <c r="O114" s="82">
        <f>N114+'BM 008'!O114</f>
        <v>80256.400000000009</v>
      </c>
      <c r="P114" s="80">
        <f t="shared" si="51"/>
        <v>106051.54999999999</v>
      </c>
      <c r="Q114" s="82">
        <f t="shared" si="52"/>
        <v>134430.95000000001</v>
      </c>
      <c r="R114" s="82">
        <f t="shared" si="53"/>
        <v>54174.55</v>
      </c>
      <c r="T114" s="83"/>
    </row>
    <row r="115" spans="2:20" s="34" customFormat="1" ht="46.2">
      <c r="B115" s="87" t="s">
        <v>227</v>
      </c>
      <c r="C115" s="88" t="s">
        <v>210</v>
      </c>
      <c r="D115" s="89" t="s">
        <v>152</v>
      </c>
      <c r="E115" s="92">
        <v>4513.3</v>
      </c>
      <c r="F115" s="79">
        <f>'M.C. MED. 09'!K1032</f>
        <v>134</v>
      </c>
      <c r="G115" s="91">
        <f t="shared" si="48"/>
        <v>134</v>
      </c>
      <c r="H115" s="91"/>
      <c r="I115" s="79">
        <f>SUM(G115:H115)+'BM 008'!I115</f>
        <v>2557.42</v>
      </c>
      <c r="J115" s="91">
        <f t="shared" si="39"/>
        <v>1955.88</v>
      </c>
      <c r="K115" s="80">
        <v>14</v>
      </c>
      <c r="L115" s="81">
        <f t="shared" si="37"/>
        <v>17.746401540000001</v>
      </c>
      <c r="M115" s="82">
        <f t="shared" si="49"/>
        <v>2378.0100000000002</v>
      </c>
      <c r="N115" s="82">
        <f t="shared" si="50"/>
        <v>2378.0100000000002</v>
      </c>
      <c r="O115" s="82">
        <f>N115+'BM 008'!O115</f>
        <v>45384.979999999996</v>
      </c>
      <c r="P115" s="80">
        <f t="shared" si="51"/>
        <v>63186.200000000004</v>
      </c>
      <c r="Q115" s="82">
        <f t="shared" si="52"/>
        <v>80094.83</v>
      </c>
      <c r="R115" s="82">
        <f t="shared" si="53"/>
        <v>34709.850000000006</v>
      </c>
      <c r="T115" s="83"/>
    </row>
    <row r="116" spans="2:20" s="34" customFormat="1" ht="46.2">
      <c r="B116" s="87" t="s">
        <v>228</v>
      </c>
      <c r="C116" s="88" t="s">
        <v>212</v>
      </c>
      <c r="D116" s="89" t="s">
        <v>152</v>
      </c>
      <c r="E116" s="92">
        <v>14626.7</v>
      </c>
      <c r="F116" s="79">
        <f>'M.C. MED. 09'!K1048</f>
        <v>276.76</v>
      </c>
      <c r="G116" s="91">
        <f t="shared" si="48"/>
        <v>276.76</v>
      </c>
      <c r="H116" s="91"/>
      <c r="I116" s="79">
        <f>SUM(G116:H116)+'BM 008'!I116</f>
        <v>9706.9500000000007</v>
      </c>
      <c r="J116" s="91">
        <f t="shared" si="39"/>
        <v>4919.75</v>
      </c>
      <c r="K116" s="95">
        <v>14</v>
      </c>
      <c r="L116" s="81">
        <f t="shared" si="37"/>
        <v>17.746401540000001</v>
      </c>
      <c r="M116" s="82">
        <f t="shared" si="49"/>
        <v>4911.49</v>
      </c>
      <c r="N116" s="82">
        <f t="shared" si="50"/>
        <v>4911.49</v>
      </c>
      <c r="O116" s="82">
        <f>N116+'BM 008'!O116</f>
        <v>172263.40999999997</v>
      </c>
      <c r="P116" s="80">
        <f t="shared" si="51"/>
        <v>204773.80000000002</v>
      </c>
      <c r="Q116" s="82">
        <f t="shared" si="52"/>
        <v>259571.29</v>
      </c>
      <c r="R116" s="82">
        <f t="shared" si="53"/>
        <v>87307.880000000034</v>
      </c>
      <c r="T116" s="83"/>
    </row>
    <row r="117" spans="2:20" s="34" customFormat="1" ht="22.8">
      <c r="B117" s="87" t="s">
        <v>229</v>
      </c>
      <c r="C117" s="88" t="s">
        <v>230</v>
      </c>
      <c r="D117" s="89" t="s">
        <v>231</v>
      </c>
      <c r="E117" s="92">
        <v>3177.02</v>
      </c>
      <c r="F117" s="91">
        <f>TRUNC(0.18*E117,2)</f>
        <v>571.86</v>
      </c>
      <c r="G117" s="91">
        <f t="shared" si="48"/>
        <v>571.86</v>
      </c>
      <c r="H117" s="91"/>
      <c r="I117" s="79">
        <f>SUM(G117:H117)+'BM 008'!I117</f>
        <v>2380.86</v>
      </c>
      <c r="J117" s="91">
        <f t="shared" si="39"/>
        <v>796.15999999999985</v>
      </c>
      <c r="K117" s="80">
        <v>30</v>
      </c>
      <c r="L117" s="81">
        <f t="shared" si="37"/>
        <v>38.028003300000002</v>
      </c>
      <c r="M117" s="82">
        <f t="shared" si="49"/>
        <v>21746.69</v>
      </c>
      <c r="N117" s="82">
        <f t="shared" si="50"/>
        <v>21746.69</v>
      </c>
      <c r="O117" s="82">
        <f>N117+'BM 008'!O117</f>
        <v>90539.32</v>
      </c>
      <c r="P117" s="80">
        <f t="shared" si="51"/>
        <v>95310.6</v>
      </c>
      <c r="Q117" s="82">
        <f t="shared" si="52"/>
        <v>120815.72</v>
      </c>
      <c r="R117" s="82">
        <f t="shared" si="53"/>
        <v>30276.399999999994</v>
      </c>
      <c r="T117" s="83"/>
    </row>
    <row r="118" spans="2:20" s="34" customFormat="1" ht="23.4">
      <c r="B118" s="87" t="s">
        <v>232</v>
      </c>
      <c r="C118" s="88" t="s">
        <v>190</v>
      </c>
      <c r="D118" s="89" t="s">
        <v>63</v>
      </c>
      <c r="E118" s="92">
        <v>240</v>
      </c>
      <c r="F118" s="91">
        <v>43</v>
      </c>
      <c r="G118" s="91">
        <f t="shared" si="48"/>
        <v>43</v>
      </c>
      <c r="H118" s="91"/>
      <c r="I118" s="79">
        <f>SUM(G118:H118)+'BM 008'!I118</f>
        <v>179</v>
      </c>
      <c r="J118" s="91">
        <f t="shared" si="39"/>
        <v>61</v>
      </c>
      <c r="K118" s="80">
        <v>30</v>
      </c>
      <c r="L118" s="81">
        <f t="shared" si="37"/>
        <v>38.028003300000002</v>
      </c>
      <c r="M118" s="82">
        <f t="shared" si="49"/>
        <v>1635.2</v>
      </c>
      <c r="N118" s="82">
        <f t="shared" si="50"/>
        <v>1635.2</v>
      </c>
      <c r="O118" s="82">
        <f>N118+'BM 008'!O118</f>
        <v>6806.9899999999989</v>
      </c>
      <c r="P118" s="80">
        <f t="shared" si="51"/>
        <v>7200</v>
      </c>
      <c r="Q118" s="82">
        <f t="shared" si="52"/>
        <v>9126.7199999999993</v>
      </c>
      <c r="R118" s="82">
        <f t="shared" si="53"/>
        <v>2319.7300000000005</v>
      </c>
      <c r="T118" s="83"/>
    </row>
    <row r="119" spans="2:20" s="34" customFormat="1" ht="23.4">
      <c r="B119" s="87" t="s">
        <v>233</v>
      </c>
      <c r="C119" s="88" t="s">
        <v>215</v>
      </c>
      <c r="D119" s="89" t="s">
        <v>169</v>
      </c>
      <c r="E119" s="92">
        <v>226.93</v>
      </c>
      <c r="F119" s="91">
        <f>'M.C. MED. 09'!K1272</f>
        <v>41.94</v>
      </c>
      <c r="G119" s="91">
        <f t="shared" si="48"/>
        <v>41.94</v>
      </c>
      <c r="H119" s="91"/>
      <c r="I119" s="79">
        <f>SUM(G119:H119)+'BM 008'!I119</f>
        <v>171.2</v>
      </c>
      <c r="J119" s="91">
        <f t="shared" si="39"/>
        <v>55.730000000000018</v>
      </c>
      <c r="K119" s="95">
        <v>750</v>
      </c>
      <c r="L119" s="81">
        <f t="shared" si="37"/>
        <v>950.70008250000001</v>
      </c>
      <c r="M119" s="82">
        <f t="shared" si="49"/>
        <v>39872.36</v>
      </c>
      <c r="N119" s="82">
        <f t="shared" si="50"/>
        <v>39872.36</v>
      </c>
      <c r="O119" s="82">
        <f>N119+'BM 008'!O119</f>
        <v>162759.83000000002</v>
      </c>
      <c r="P119" s="80">
        <f t="shared" si="51"/>
        <v>170197.5</v>
      </c>
      <c r="Q119" s="82">
        <f t="shared" si="52"/>
        <v>215742.36</v>
      </c>
      <c r="R119" s="82">
        <f t="shared" si="53"/>
        <v>52982.52999999997</v>
      </c>
      <c r="T119" s="83"/>
    </row>
    <row r="120" spans="2:20" s="34" customFormat="1" ht="13.2">
      <c r="B120" s="66" t="s">
        <v>234</v>
      </c>
      <c r="C120" s="67" t="s">
        <v>235</v>
      </c>
      <c r="D120" s="68"/>
      <c r="E120" s="69"/>
      <c r="F120" s="70"/>
      <c r="G120" s="70"/>
      <c r="H120" s="70"/>
      <c r="I120" s="70">
        <f>SUM(G120:H120)+'BM 008'!I120</f>
        <v>0</v>
      </c>
      <c r="J120" s="70">
        <f t="shared" si="39"/>
        <v>0</v>
      </c>
      <c r="K120" s="71"/>
      <c r="L120" s="71">
        <f t="shared" si="37"/>
        <v>0</v>
      </c>
      <c r="M120" s="73">
        <f t="shared" ref="M120:R120" si="54">SUM(M121:M130)</f>
        <v>233704.99</v>
      </c>
      <c r="N120" s="73">
        <f t="shared" si="54"/>
        <v>233704.99</v>
      </c>
      <c r="O120" s="73">
        <f t="shared" si="54"/>
        <v>1952201.2900000003</v>
      </c>
      <c r="P120" s="73">
        <f t="shared" si="54"/>
        <v>2218671.0499999998</v>
      </c>
      <c r="Q120" s="73">
        <f t="shared" si="54"/>
        <v>2812387.62</v>
      </c>
      <c r="R120" s="73">
        <f t="shared" si="54"/>
        <v>860186.32999999984</v>
      </c>
      <c r="T120" s="83"/>
    </row>
    <row r="121" spans="2:20" s="34" customFormat="1" ht="57.6">
      <c r="B121" s="87" t="s">
        <v>236</v>
      </c>
      <c r="C121" s="88" t="s">
        <v>237</v>
      </c>
      <c r="D121" s="89" t="s">
        <v>79</v>
      </c>
      <c r="E121" s="92">
        <v>770.47</v>
      </c>
      <c r="F121" s="91">
        <f>TRUNC(0.62*E121,2)-412.69</f>
        <v>65</v>
      </c>
      <c r="G121" s="91">
        <f t="shared" ref="G121:G130" si="55">F121</f>
        <v>65</v>
      </c>
      <c r="H121" s="91"/>
      <c r="I121" s="79">
        <f>SUM(G121:H121)+'BM 008'!I121</f>
        <v>477.69</v>
      </c>
      <c r="J121" s="91">
        <f t="shared" si="39"/>
        <v>292.78000000000003</v>
      </c>
      <c r="K121" s="80">
        <v>130</v>
      </c>
      <c r="L121" s="81">
        <f t="shared" si="37"/>
        <v>164.78801430000001</v>
      </c>
      <c r="M121" s="82">
        <f t="shared" ref="M121:M130" si="56">TRUNC(F121*L121,2)</f>
        <v>10711.22</v>
      </c>
      <c r="N121" s="82">
        <f t="shared" ref="N121:N130" si="57">TRUNC(G121*L121,2)</f>
        <v>10711.22</v>
      </c>
      <c r="O121" s="82">
        <f>N121+'BM 008'!O121</f>
        <v>78717.570000000007</v>
      </c>
      <c r="P121" s="80">
        <f t="shared" ref="P121:P130" si="58">E121*K121</f>
        <v>100161.1</v>
      </c>
      <c r="Q121" s="82">
        <f t="shared" ref="Q121:Q130" si="59">TRUNC(E121*L121,2)</f>
        <v>126964.22</v>
      </c>
      <c r="R121" s="82">
        <f t="shared" ref="R121:R130" si="60">Q121-O121</f>
        <v>48246.649999999994</v>
      </c>
      <c r="T121" s="83"/>
    </row>
    <row r="122" spans="2:20" s="34" customFormat="1" ht="69">
      <c r="B122" s="87" t="s">
        <v>238</v>
      </c>
      <c r="C122" s="88" t="s">
        <v>239</v>
      </c>
      <c r="D122" s="89" t="s">
        <v>79</v>
      </c>
      <c r="E122" s="92">
        <v>7163.62</v>
      </c>
      <c r="F122" s="91">
        <f>TRUNC(0.62*E122,2)-3737.12</f>
        <v>704.31999999999971</v>
      </c>
      <c r="G122" s="91">
        <f t="shared" si="55"/>
        <v>704.31999999999971</v>
      </c>
      <c r="H122" s="91"/>
      <c r="I122" s="79">
        <f>SUM(G122:H122)+'BM 008'!I122</f>
        <v>4441.4399999999996</v>
      </c>
      <c r="J122" s="91">
        <f t="shared" si="39"/>
        <v>2722.1800000000003</v>
      </c>
      <c r="K122" s="80">
        <v>130</v>
      </c>
      <c r="L122" s="81">
        <f t="shared" si="37"/>
        <v>164.78801430000001</v>
      </c>
      <c r="M122" s="82">
        <f t="shared" si="56"/>
        <v>116063.49</v>
      </c>
      <c r="N122" s="82">
        <f t="shared" si="57"/>
        <v>116063.49</v>
      </c>
      <c r="O122" s="82">
        <f>N122+'BM 008'!O122</f>
        <v>731896.06</v>
      </c>
      <c r="P122" s="80">
        <f t="shared" si="58"/>
        <v>931270.6</v>
      </c>
      <c r="Q122" s="82">
        <f t="shared" si="59"/>
        <v>1180478.71</v>
      </c>
      <c r="R122" s="82">
        <f t="shared" si="60"/>
        <v>448582.64999999991</v>
      </c>
      <c r="T122" s="83"/>
    </row>
    <row r="123" spans="2:20" s="34" customFormat="1" ht="46.2">
      <c r="B123" s="87" t="s">
        <v>240</v>
      </c>
      <c r="C123" s="88" t="s">
        <v>241</v>
      </c>
      <c r="D123" s="89" t="s">
        <v>152</v>
      </c>
      <c r="E123" s="92">
        <v>2362.8000000000002</v>
      </c>
      <c r="F123" s="91"/>
      <c r="G123" s="91">
        <f t="shared" si="55"/>
        <v>0</v>
      </c>
      <c r="H123" s="91"/>
      <c r="I123" s="79">
        <f>SUM(G123:H123)+'BM 008'!I123</f>
        <v>2362.8004152064877</v>
      </c>
      <c r="J123" s="91">
        <f t="shared" si="39"/>
        <v>-4.1520648755977163E-4</v>
      </c>
      <c r="K123" s="80">
        <v>19</v>
      </c>
      <c r="L123" s="81">
        <f t="shared" si="37"/>
        <v>24.084402090000001</v>
      </c>
      <c r="M123" s="82">
        <f t="shared" si="56"/>
        <v>0</v>
      </c>
      <c r="N123" s="82">
        <f t="shared" si="57"/>
        <v>0</v>
      </c>
      <c r="O123" s="82">
        <f>N123+'BM 008'!O123</f>
        <v>56906.619999999995</v>
      </c>
      <c r="P123" s="80">
        <f t="shared" si="58"/>
        <v>44893.200000000004</v>
      </c>
      <c r="Q123" s="82">
        <f t="shared" si="59"/>
        <v>56906.62</v>
      </c>
      <c r="R123" s="82">
        <f t="shared" si="60"/>
        <v>0</v>
      </c>
      <c r="T123" s="83"/>
    </row>
    <row r="124" spans="2:20" s="34" customFormat="1" ht="46.2">
      <c r="B124" s="87" t="s">
        <v>242</v>
      </c>
      <c r="C124" s="88" t="s">
        <v>243</v>
      </c>
      <c r="D124" s="89" t="s">
        <v>152</v>
      </c>
      <c r="E124" s="90">
        <v>602.79999999999995</v>
      </c>
      <c r="F124" s="91"/>
      <c r="G124" s="91">
        <f t="shared" si="55"/>
        <v>0</v>
      </c>
      <c r="H124" s="91"/>
      <c r="I124" s="79">
        <f>SUM(G124:H124)+'BM 008'!I124</f>
        <v>602.79999999999995</v>
      </c>
      <c r="J124" s="91">
        <f t="shared" si="39"/>
        <v>0</v>
      </c>
      <c r="K124" s="80">
        <v>17.5</v>
      </c>
      <c r="L124" s="81">
        <f t="shared" si="37"/>
        <v>22.183001924999999</v>
      </c>
      <c r="M124" s="82">
        <f t="shared" si="56"/>
        <v>0</v>
      </c>
      <c r="N124" s="82">
        <f t="shared" si="57"/>
        <v>0</v>
      </c>
      <c r="O124" s="82">
        <f>N124+'BM 008'!O124</f>
        <v>13371.91</v>
      </c>
      <c r="P124" s="80">
        <f t="shared" si="58"/>
        <v>10549</v>
      </c>
      <c r="Q124" s="82">
        <f t="shared" si="59"/>
        <v>13371.91</v>
      </c>
      <c r="R124" s="82">
        <f t="shared" si="60"/>
        <v>0</v>
      </c>
      <c r="T124" s="83"/>
    </row>
    <row r="125" spans="2:20" s="34" customFormat="1" ht="46.2">
      <c r="B125" s="87" t="s">
        <v>244</v>
      </c>
      <c r="C125" s="88" t="s">
        <v>245</v>
      </c>
      <c r="D125" s="89" t="s">
        <v>152</v>
      </c>
      <c r="E125" s="90">
        <v>3562.9</v>
      </c>
      <c r="F125" s="91"/>
      <c r="G125" s="91">
        <f t="shared" si="55"/>
        <v>0</v>
      </c>
      <c r="H125" s="91"/>
      <c r="I125" s="79">
        <f>SUM(G125:H125)+'BM 008'!I125</f>
        <v>3276.43</v>
      </c>
      <c r="J125" s="91">
        <f t="shared" si="39"/>
        <v>286.47000000000025</v>
      </c>
      <c r="K125" s="80">
        <v>16</v>
      </c>
      <c r="L125" s="81">
        <f t="shared" si="37"/>
        <v>20.281601760000001</v>
      </c>
      <c r="M125" s="82">
        <f t="shared" si="56"/>
        <v>0</v>
      </c>
      <c r="N125" s="82">
        <f t="shared" si="57"/>
        <v>0</v>
      </c>
      <c r="O125" s="82">
        <f>N125+'BM 008'!O125</f>
        <v>66451.23</v>
      </c>
      <c r="P125" s="80">
        <f t="shared" si="58"/>
        <v>57006.400000000001</v>
      </c>
      <c r="Q125" s="82">
        <f t="shared" si="59"/>
        <v>72261.31</v>
      </c>
      <c r="R125" s="82">
        <f t="shared" si="60"/>
        <v>5810.0800000000017</v>
      </c>
    </row>
    <row r="126" spans="2:20" s="34" customFormat="1" ht="46.2">
      <c r="B126" s="87" t="s">
        <v>246</v>
      </c>
      <c r="C126" s="88" t="s">
        <v>247</v>
      </c>
      <c r="D126" s="89" t="s">
        <v>152</v>
      </c>
      <c r="E126" s="90">
        <v>8278.6</v>
      </c>
      <c r="F126" s="91">
        <f>'M.C. MED. 09'!K1350</f>
        <v>871</v>
      </c>
      <c r="G126" s="91">
        <f t="shared" si="55"/>
        <v>871</v>
      </c>
      <c r="H126" s="91"/>
      <c r="I126" s="79">
        <f>SUM(G126:H126)+'BM 008'!I126</f>
        <v>6350.53</v>
      </c>
      <c r="J126" s="91">
        <f t="shared" si="39"/>
        <v>1928.0700000000006</v>
      </c>
      <c r="K126" s="80">
        <v>14.5</v>
      </c>
      <c r="L126" s="81">
        <f t="shared" si="37"/>
        <v>18.380201595000003</v>
      </c>
      <c r="M126" s="82">
        <f t="shared" si="56"/>
        <v>16009.15</v>
      </c>
      <c r="N126" s="82">
        <f t="shared" si="57"/>
        <v>16009.15</v>
      </c>
      <c r="O126" s="82">
        <f>N126+'BM 008'!O126</f>
        <v>116724</v>
      </c>
      <c r="P126" s="80">
        <f t="shared" si="58"/>
        <v>120039.70000000001</v>
      </c>
      <c r="Q126" s="82">
        <f t="shared" si="59"/>
        <v>152162.32999999999</v>
      </c>
      <c r="R126" s="82">
        <f t="shared" si="60"/>
        <v>35438.329999999987</v>
      </c>
    </row>
    <row r="127" spans="2:20" s="34" customFormat="1" ht="46.2">
      <c r="B127" s="87" t="s">
        <v>248</v>
      </c>
      <c r="C127" s="88" t="s">
        <v>249</v>
      </c>
      <c r="D127" s="89" t="s">
        <v>152</v>
      </c>
      <c r="E127" s="90">
        <v>8114.7</v>
      </c>
      <c r="F127" s="91"/>
      <c r="G127" s="91">
        <f t="shared" si="55"/>
        <v>0</v>
      </c>
      <c r="H127" s="91"/>
      <c r="I127" s="79">
        <f>SUM(G127:H127)+'BM 008'!I127</f>
        <v>8114.7</v>
      </c>
      <c r="J127" s="91">
        <f t="shared" si="39"/>
        <v>0</v>
      </c>
      <c r="K127" s="94">
        <v>14.5</v>
      </c>
      <c r="L127" s="81">
        <f t="shared" si="37"/>
        <v>18.380201595000003</v>
      </c>
      <c r="M127" s="82">
        <f t="shared" si="56"/>
        <v>0</v>
      </c>
      <c r="N127" s="82">
        <f t="shared" si="57"/>
        <v>0</v>
      </c>
      <c r="O127" s="82">
        <f>N127+'BM 008'!O127</f>
        <v>149149.81</v>
      </c>
      <c r="P127" s="80">
        <f t="shared" si="58"/>
        <v>117663.15</v>
      </c>
      <c r="Q127" s="82">
        <f t="shared" si="59"/>
        <v>149149.82</v>
      </c>
      <c r="R127" s="82">
        <f t="shared" si="60"/>
        <v>1.0000000009313226E-2</v>
      </c>
    </row>
    <row r="128" spans="2:20" s="34" customFormat="1" ht="46.2">
      <c r="B128" s="87" t="s">
        <v>250</v>
      </c>
      <c r="C128" s="88" t="s">
        <v>251</v>
      </c>
      <c r="D128" s="89" t="s">
        <v>152</v>
      </c>
      <c r="E128" s="90">
        <v>11554.4</v>
      </c>
      <c r="F128" s="91">
        <f>'M.C. MED. 09'!K1389</f>
        <v>654.27</v>
      </c>
      <c r="G128" s="91">
        <f t="shared" si="55"/>
        <v>654.27</v>
      </c>
      <c r="H128" s="91"/>
      <c r="I128" s="79">
        <f>SUM(G128:H128)+'BM 008'!I128</f>
        <v>10899.85</v>
      </c>
      <c r="J128" s="91">
        <f t="shared" si="39"/>
        <v>654.54999999999927</v>
      </c>
      <c r="K128" s="80">
        <v>14</v>
      </c>
      <c r="L128" s="81">
        <f t="shared" si="37"/>
        <v>17.746401540000001</v>
      </c>
      <c r="M128" s="82">
        <f t="shared" si="56"/>
        <v>11610.93</v>
      </c>
      <c r="N128" s="82">
        <f t="shared" si="57"/>
        <v>11610.93</v>
      </c>
      <c r="O128" s="82">
        <f>N128+'BM 008'!O128</f>
        <v>193433.09</v>
      </c>
      <c r="P128" s="80">
        <f t="shared" si="58"/>
        <v>161761.60000000001</v>
      </c>
      <c r="Q128" s="82">
        <f t="shared" si="59"/>
        <v>205049.02</v>
      </c>
      <c r="R128" s="82">
        <f t="shared" si="60"/>
        <v>11615.929999999993</v>
      </c>
    </row>
    <row r="129" spans="2:21" s="34" customFormat="1" ht="57.6">
      <c r="B129" s="87" t="s">
        <v>252</v>
      </c>
      <c r="C129" s="88" t="s">
        <v>253</v>
      </c>
      <c r="D129" s="89" t="s">
        <v>152</v>
      </c>
      <c r="E129" s="90">
        <v>5166.7</v>
      </c>
      <c r="F129" s="91">
        <f>'M.C. MED. 09'!K1412</f>
        <v>751.23</v>
      </c>
      <c r="G129" s="91">
        <f t="shared" si="55"/>
        <v>751.23</v>
      </c>
      <c r="H129" s="91"/>
      <c r="I129" s="79">
        <f>SUM(G129:H129)+'BM 008'!I129</f>
        <v>3953.11</v>
      </c>
      <c r="J129" s="91">
        <f t="shared" si="39"/>
        <v>1213.5899999999997</v>
      </c>
      <c r="K129" s="80">
        <v>14</v>
      </c>
      <c r="L129" s="81">
        <f t="shared" si="37"/>
        <v>17.746401540000001</v>
      </c>
      <c r="M129" s="82">
        <f t="shared" si="56"/>
        <v>13331.62</v>
      </c>
      <c r="N129" s="82">
        <f t="shared" si="57"/>
        <v>13331.62</v>
      </c>
      <c r="O129" s="82">
        <f>N129+'BM 008'!O129</f>
        <v>70153.45</v>
      </c>
      <c r="P129" s="80">
        <f t="shared" si="58"/>
        <v>72333.8</v>
      </c>
      <c r="Q129" s="82">
        <f t="shared" si="59"/>
        <v>91690.33</v>
      </c>
      <c r="R129" s="82">
        <f t="shared" si="60"/>
        <v>21536.880000000005</v>
      </c>
    </row>
    <row r="130" spans="2:21" s="34" customFormat="1" ht="23.4">
      <c r="B130" s="87" t="s">
        <v>254</v>
      </c>
      <c r="C130" s="88" t="s">
        <v>215</v>
      </c>
      <c r="D130" s="89" t="s">
        <v>169</v>
      </c>
      <c r="E130" s="92">
        <v>803.99</v>
      </c>
      <c r="F130" s="91">
        <f>'M.C. MED. 09'!K1490</f>
        <v>69.400000000000006</v>
      </c>
      <c r="G130" s="91">
        <f t="shared" si="55"/>
        <v>69.400000000000006</v>
      </c>
      <c r="H130" s="91"/>
      <c r="I130" s="79">
        <f>SUM(G130:H130)+'BM 008'!I130</f>
        <v>500.04999999999995</v>
      </c>
      <c r="J130" s="91">
        <f t="shared" si="39"/>
        <v>303.94000000000005</v>
      </c>
      <c r="K130" s="95">
        <v>750</v>
      </c>
      <c r="L130" s="81">
        <f t="shared" si="37"/>
        <v>950.70008250000001</v>
      </c>
      <c r="M130" s="82">
        <f t="shared" si="56"/>
        <v>65978.58</v>
      </c>
      <c r="N130" s="82">
        <f t="shared" si="57"/>
        <v>65978.58</v>
      </c>
      <c r="O130" s="82">
        <f>N130+'BM 008'!O130</f>
        <v>475397.55</v>
      </c>
      <c r="P130" s="80">
        <f t="shared" si="58"/>
        <v>602992.5</v>
      </c>
      <c r="Q130" s="82">
        <f t="shared" si="59"/>
        <v>764353.35</v>
      </c>
      <c r="R130" s="82">
        <f t="shared" si="60"/>
        <v>288955.8</v>
      </c>
      <c r="T130" s="83"/>
      <c r="U130" s="83"/>
    </row>
    <row r="131" spans="2:21" s="34" customFormat="1" ht="17.399999999999999">
      <c r="B131" s="60" t="s">
        <v>255</v>
      </c>
      <c r="C131" s="61" t="s">
        <v>256</v>
      </c>
      <c r="D131" s="60"/>
      <c r="E131" s="62"/>
      <c r="F131" s="63"/>
      <c r="G131" s="63"/>
      <c r="H131" s="63"/>
      <c r="I131" s="63">
        <f>SUM(G131:H131)+'BM 008'!I131</f>
        <v>0</v>
      </c>
      <c r="J131" s="63">
        <f t="shared" si="39"/>
        <v>0</v>
      </c>
      <c r="K131" s="63"/>
      <c r="L131" s="63">
        <f t="shared" si="37"/>
        <v>0</v>
      </c>
      <c r="M131" s="63">
        <f t="shared" ref="M131:R131" si="61">SUM(M132:M138)</f>
        <v>14612.26</v>
      </c>
      <c r="N131" s="63">
        <f t="shared" si="61"/>
        <v>14612.26</v>
      </c>
      <c r="O131" s="63">
        <f t="shared" si="61"/>
        <v>35088.410000000003</v>
      </c>
      <c r="P131" s="63">
        <f t="shared" si="61"/>
        <v>1701680.9500000002</v>
      </c>
      <c r="Q131" s="63">
        <f t="shared" si="61"/>
        <v>2157050.9299999997</v>
      </c>
      <c r="R131" s="63">
        <f t="shared" si="61"/>
        <v>2121962.52</v>
      </c>
      <c r="T131" s="97"/>
    </row>
    <row r="132" spans="2:21" s="34" customFormat="1" ht="23.4">
      <c r="B132" s="87" t="s">
        <v>257</v>
      </c>
      <c r="C132" s="98" t="s">
        <v>258</v>
      </c>
      <c r="D132" s="99" t="s">
        <v>169</v>
      </c>
      <c r="E132" s="100">
        <v>261.60000000000002</v>
      </c>
      <c r="F132" s="101"/>
      <c r="G132" s="101"/>
      <c r="H132" s="101"/>
      <c r="I132" s="79">
        <f>SUM(G132:H132)+'BM 008'!I132</f>
        <v>0</v>
      </c>
      <c r="J132" s="101">
        <f t="shared" si="39"/>
        <v>261.60000000000002</v>
      </c>
      <c r="K132" s="102">
        <v>620</v>
      </c>
      <c r="L132" s="81">
        <f t="shared" si="37"/>
        <v>785.91206820000002</v>
      </c>
      <c r="M132" s="82">
        <f t="shared" ref="M132:M138" si="62">TRUNC(F132*L132,2)</f>
        <v>0</v>
      </c>
      <c r="N132" s="82">
        <f t="shared" ref="N132:N138" si="63">TRUNC(G132*L132,2)</f>
        <v>0</v>
      </c>
      <c r="O132" s="82">
        <f>N132+'BM 008'!O132</f>
        <v>0</v>
      </c>
      <c r="P132" s="80">
        <f t="shared" ref="P132:P138" si="64">E132*K132</f>
        <v>162192</v>
      </c>
      <c r="Q132" s="82">
        <f t="shared" ref="Q132:Q138" si="65">TRUNC(E132*L132,2)</f>
        <v>205594.59</v>
      </c>
      <c r="R132" s="82">
        <f t="shared" ref="R132:R138" si="66">Q132-O132</f>
        <v>205594.59</v>
      </c>
    </row>
    <row r="133" spans="2:21" s="34" customFormat="1" ht="34.799999999999997">
      <c r="B133" s="87" t="s">
        <v>259</v>
      </c>
      <c r="C133" s="88" t="s">
        <v>260</v>
      </c>
      <c r="D133" s="89" t="s">
        <v>82</v>
      </c>
      <c r="E133" s="90">
        <v>3852</v>
      </c>
      <c r="F133" s="91"/>
      <c r="G133" s="91"/>
      <c r="H133" s="91"/>
      <c r="I133" s="79">
        <f>SUM(G133:H133)+'BM 008'!I133</f>
        <v>0</v>
      </c>
      <c r="J133" s="91">
        <f t="shared" si="39"/>
        <v>3852</v>
      </c>
      <c r="K133" s="84">
        <v>20</v>
      </c>
      <c r="L133" s="81">
        <f t="shared" si="37"/>
        <v>25.352002200000001</v>
      </c>
      <c r="M133" s="82">
        <f t="shared" si="62"/>
        <v>0</v>
      </c>
      <c r="N133" s="82">
        <f t="shared" si="63"/>
        <v>0</v>
      </c>
      <c r="O133" s="82">
        <f>N133+'BM 008'!O133</f>
        <v>0</v>
      </c>
      <c r="P133" s="80">
        <f t="shared" si="64"/>
        <v>77040</v>
      </c>
      <c r="Q133" s="82">
        <f t="shared" si="65"/>
        <v>97655.91</v>
      </c>
      <c r="R133" s="82">
        <f t="shared" si="66"/>
        <v>97655.91</v>
      </c>
    </row>
    <row r="134" spans="2:21" s="34" customFormat="1" ht="46.2">
      <c r="B134" s="87" t="s">
        <v>261</v>
      </c>
      <c r="C134" s="88" t="s">
        <v>262</v>
      </c>
      <c r="D134" s="89" t="s">
        <v>110</v>
      </c>
      <c r="E134" s="92">
        <v>112</v>
      </c>
      <c r="F134" s="91"/>
      <c r="G134" s="91">
        <f>F134</f>
        <v>0</v>
      </c>
      <c r="H134" s="91"/>
      <c r="I134" s="79">
        <f>SUM(G134:H134)+'BM 008'!I134</f>
        <v>2.66</v>
      </c>
      <c r="J134" s="91">
        <f t="shared" si="39"/>
        <v>109.34</v>
      </c>
      <c r="K134" s="84">
        <v>650</v>
      </c>
      <c r="L134" s="81">
        <f t="shared" si="37"/>
        <v>823.94007150000004</v>
      </c>
      <c r="M134" s="82">
        <f t="shared" si="62"/>
        <v>0</v>
      </c>
      <c r="N134" s="82">
        <f t="shared" si="63"/>
        <v>0</v>
      </c>
      <c r="O134" s="82">
        <f>N134+'BM 008'!O134</f>
        <v>2191.6799999999998</v>
      </c>
      <c r="P134" s="80">
        <f t="shared" si="64"/>
        <v>72800</v>
      </c>
      <c r="Q134" s="82">
        <f t="shared" si="65"/>
        <v>92281.279999999999</v>
      </c>
      <c r="R134" s="82">
        <f t="shared" si="66"/>
        <v>90089.600000000006</v>
      </c>
    </row>
    <row r="135" spans="2:21" s="34" customFormat="1" ht="69">
      <c r="B135" s="87" t="s">
        <v>263</v>
      </c>
      <c r="C135" s="88" t="s">
        <v>264</v>
      </c>
      <c r="D135" s="89" t="s">
        <v>79</v>
      </c>
      <c r="E135" s="90">
        <v>15102.2</v>
      </c>
      <c r="F135" s="91">
        <f>'M.C. MED. 09'!K1526</f>
        <v>145</v>
      </c>
      <c r="G135" s="91">
        <f>F135</f>
        <v>145</v>
      </c>
      <c r="H135" s="91"/>
      <c r="I135" s="79">
        <f>SUM(G135:H135)+'BM 008'!I135</f>
        <v>326.44</v>
      </c>
      <c r="J135" s="91">
        <f t="shared" si="39"/>
        <v>14775.76</v>
      </c>
      <c r="K135" s="84">
        <v>79.5</v>
      </c>
      <c r="L135" s="81">
        <f t="shared" si="37"/>
        <v>100.77420874500001</v>
      </c>
      <c r="M135" s="82">
        <f t="shared" si="62"/>
        <v>14612.26</v>
      </c>
      <c r="N135" s="82">
        <f t="shared" si="63"/>
        <v>14612.26</v>
      </c>
      <c r="O135" s="82">
        <f>N135+'BM 008'!O135</f>
        <v>32896.730000000003</v>
      </c>
      <c r="P135" s="80">
        <f t="shared" si="64"/>
        <v>1200624.9000000001</v>
      </c>
      <c r="Q135" s="82">
        <f t="shared" si="65"/>
        <v>1521912.25</v>
      </c>
      <c r="R135" s="82">
        <f t="shared" si="66"/>
        <v>1489015.52</v>
      </c>
    </row>
    <row r="136" spans="2:21" s="34" customFormat="1" ht="57.6">
      <c r="B136" s="87" t="s">
        <v>265</v>
      </c>
      <c r="C136" s="88" t="s">
        <v>266</v>
      </c>
      <c r="D136" s="89" t="s">
        <v>79</v>
      </c>
      <c r="E136" s="90">
        <v>772</v>
      </c>
      <c r="F136" s="91"/>
      <c r="G136" s="91"/>
      <c r="H136" s="91"/>
      <c r="I136" s="79">
        <f>SUM(G136:H136)+'BM 008'!I136</f>
        <v>0</v>
      </c>
      <c r="J136" s="91">
        <f t="shared" si="39"/>
        <v>772</v>
      </c>
      <c r="K136" s="84">
        <v>150</v>
      </c>
      <c r="L136" s="81">
        <f t="shared" si="37"/>
        <v>190.1400165</v>
      </c>
      <c r="M136" s="82">
        <f t="shared" si="62"/>
        <v>0</v>
      </c>
      <c r="N136" s="82">
        <f t="shared" si="63"/>
        <v>0</v>
      </c>
      <c r="O136" s="82">
        <f>N136+'BM 008'!O136</f>
        <v>0</v>
      </c>
      <c r="P136" s="80">
        <f t="shared" si="64"/>
        <v>115800</v>
      </c>
      <c r="Q136" s="82">
        <f t="shared" si="65"/>
        <v>146788.09</v>
      </c>
      <c r="R136" s="82">
        <f t="shared" si="66"/>
        <v>146788.09</v>
      </c>
    </row>
    <row r="137" spans="2:21" s="34" customFormat="1" ht="46.2">
      <c r="B137" s="87" t="s">
        <v>267</v>
      </c>
      <c r="C137" s="88" t="s">
        <v>268</v>
      </c>
      <c r="D137" s="89" t="s">
        <v>79</v>
      </c>
      <c r="E137" s="90">
        <v>210.05</v>
      </c>
      <c r="F137" s="91"/>
      <c r="G137" s="91"/>
      <c r="H137" s="91"/>
      <c r="I137" s="79">
        <f>SUM(G137:H137)+'BM 008'!I137</f>
        <v>0</v>
      </c>
      <c r="J137" s="91">
        <f t="shared" si="39"/>
        <v>210.05</v>
      </c>
      <c r="K137" s="84">
        <v>165</v>
      </c>
      <c r="L137" s="81">
        <f t="shared" si="37"/>
        <v>209.15401815000001</v>
      </c>
      <c r="M137" s="82">
        <f t="shared" si="62"/>
        <v>0</v>
      </c>
      <c r="N137" s="82">
        <f t="shared" si="63"/>
        <v>0</v>
      </c>
      <c r="O137" s="82">
        <f>N137+'BM 008'!O137</f>
        <v>0</v>
      </c>
      <c r="P137" s="80">
        <f t="shared" si="64"/>
        <v>34658.25</v>
      </c>
      <c r="Q137" s="82">
        <f t="shared" si="65"/>
        <v>43932.800000000003</v>
      </c>
      <c r="R137" s="82">
        <f t="shared" si="66"/>
        <v>43932.800000000003</v>
      </c>
    </row>
    <row r="138" spans="2:21" s="34" customFormat="1" ht="23.4">
      <c r="B138" s="87" t="s">
        <v>269</v>
      </c>
      <c r="C138" s="88" t="s">
        <v>270</v>
      </c>
      <c r="D138" s="89" t="s">
        <v>124</v>
      </c>
      <c r="E138" s="90">
        <v>550.94000000000005</v>
      </c>
      <c r="F138" s="91"/>
      <c r="G138" s="91"/>
      <c r="H138" s="91"/>
      <c r="I138" s="79">
        <f>SUM(G138:H138)+'BM 008'!I138</f>
        <v>0</v>
      </c>
      <c r="J138" s="91">
        <f t="shared" si="39"/>
        <v>550.94000000000005</v>
      </c>
      <c r="K138" s="84">
        <v>70</v>
      </c>
      <c r="L138" s="81">
        <f t="shared" si="37"/>
        <v>88.732007699999997</v>
      </c>
      <c r="M138" s="82">
        <f t="shared" si="62"/>
        <v>0</v>
      </c>
      <c r="N138" s="82">
        <f t="shared" si="63"/>
        <v>0</v>
      </c>
      <c r="O138" s="82">
        <f>N138+'BM 008'!O138</f>
        <v>0</v>
      </c>
      <c r="P138" s="80">
        <f t="shared" si="64"/>
        <v>38565.800000000003</v>
      </c>
      <c r="Q138" s="82">
        <f t="shared" si="65"/>
        <v>48886.01</v>
      </c>
      <c r="R138" s="82">
        <f t="shared" si="66"/>
        <v>48886.01</v>
      </c>
    </row>
    <row r="139" spans="2:21" s="34" customFormat="1" ht="13.2">
      <c r="B139" s="60" t="s">
        <v>271</v>
      </c>
      <c r="C139" s="61" t="s">
        <v>272</v>
      </c>
      <c r="D139" s="60"/>
      <c r="E139" s="62"/>
      <c r="F139" s="63"/>
      <c r="G139" s="63"/>
      <c r="H139" s="63"/>
      <c r="I139" s="63">
        <f>SUM(G139:H139)+'BM 008'!I139</f>
        <v>0</v>
      </c>
      <c r="J139" s="63">
        <f t="shared" si="39"/>
        <v>0</v>
      </c>
      <c r="K139" s="63"/>
      <c r="L139" s="63">
        <f t="shared" si="37"/>
        <v>0</v>
      </c>
      <c r="M139" s="63">
        <f t="shared" ref="M139:R139" si="67">SUM(M140,M148)</f>
        <v>0</v>
      </c>
      <c r="N139" s="63">
        <f t="shared" si="67"/>
        <v>0</v>
      </c>
      <c r="O139" s="63">
        <f t="shared" si="67"/>
        <v>0</v>
      </c>
      <c r="P139" s="63">
        <f t="shared" si="67"/>
        <v>2433803.8377</v>
      </c>
      <c r="Q139" s="63">
        <f t="shared" si="67"/>
        <v>3085089.94</v>
      </c>
      <c r="R139" s="63">
        <f t="shared" si="67"/>
        <v>3085089.94</v>
      </c>
    </row>
    <row r="140" spans="2:21" s="34" customFormat="1" ht="13.2">
      <c r="B140" s="66" t="s">
        <v>273</v>
      </c>
      <c r="C140" s="67" t="s">
        <v>274</v>
      </c>
      <c r="D140" s="68"/>
      <c r="E140" s="69"/>
      <c r="F140" s="70"/>
      <c r="G140" s="70"/>
      <c r="H140" s="70"/>
      <c r="I140" s="70">
        <f>SUM(G140:H140)+'BM 008'!I140</f>
        <v>0</v>
      </c>
      <c r="J140" s="70">
        <f t="shared" si="39"/>
        <v>0</v>
      </c>
      <c r="K140" s="71"/>
      <c r="L140" s="71">
        <f t="shared" si="37"/>
        <v>0</v>
      </c>
      <c r="M140" s="73">
        <f t="shared" ref="M140:R140" si="68">SUM(M141:M147)</f>
        <v>0</v>
      </c>
      <c r="N140" s="73">
        <f t="shared" si="68"/>
        <v>0</v>
      </c>
      <c r="O140" s="73">
        <f t="shared" si="68"/>
        <v>0</v>
      </c>
      <c r="P140" s="73">
        <f t="shared" si="68"/>
        <v>1345103.6276999998</v>
      </c>
      <c r="Q140" s="73">
        <f t="shared" si="68"/>
        <v>1705053.47</v>
      </c>
      <c r="R140" s="73">
        <f t="shared" si="68"/>
        <v>1705053.47</v>
      </c>
    </row>
    <row r="141" spans="2:21" s="34" customFormat="1" ht="46.2">
      <c r="B141" s="87" t="s">
        <v>275</v>
      </c>
      <c r="C141" s="88" t="s">
        <v>276</v>
      </c>
      <c r="D141" s="89" t="s">
        <v>79</v>
      </c>
      <c r="E141" s="90">
        <f>E135*2-E149</f>
        <v>26012.79</v>
      </c>
      <c r="F141" s="91"/>
      <c r="G141" s="91"/>
      <c r="H141" s="91"/>
      <c r="I141" s="79">
        <f>SUM(G141:H141)+'BM 008'!I141</f>
        <v>0</v>
      </c>
      <c r="J141" s="91">
        <f t="shared" si="39"/>
        <v>26012.79</v>
      </c>
      <c r="K141" s="84">
        <v>4.5</v>
      </c>
      <c r="L141" s="81">
        <f t="shared" si="37"/>
        <v>5.7042004950000003</v>
      </c>
      <c r="M141" s="82">
        <f t="shared" ref="M141:M147" si="69">TRUNC(F141*L141,2)</f>
        <v>0</v>
      </c>
      <c r="N141" s="82">
        <f t="shared" ref="N141:N147" si="70">TRUNC(G141*L141,2)</f>
        <v>0</v>
      </c>
      <c r="O141" s="82">
        <f>N141+'BM 008'!O141</f>
        <v>0</v>
      </c>
      <c r="P141" s="80">
        <f t="shared" ref="P141:P147" si="71">E141*K141</f>
        <v>117057.55500000001</v>
      </c>
      <c r="Q141" s="82">
        <f t="shared" ref="Q141:Q147" si="72">TRUNC(E141*L141,2)</f>
        <v>148382.16</v>
      </c>
      <c r="R141" s="82">
        <f t="shared" ref="R141:R147" si="73">Q141-O141</f>
        <v>148382.16</v>
      </c>
    </row>
    <row r="142" spans="2:21" s="34" customFormat="1" ht="69">
      <c r="B142" s="87" t="s">
        <v>277</v>
      </c>
      <c r="C142" s="88" t="s">
        <v>278</v>
      </c>
      <c r="D142" s="89" t="s">
        <v>79</v>
      </c>
      <c r="E142" s="90">
        <f>E145+E146</f>
        <v>462.83</v>
      </c>
      <c r="F142" s="91"/>
      <c r="G142" s="91"/>
      <c r="H142" s="91"/>
      <c r="I142" s="79">
        <f>SUM(G142:H142)+'BM 008'!I142</f>
        <v>0</v>
      </c>
      <c r="J142" s="91">
        <f t="shared" si="39"/>
        <v>462.83</v>
      </c>
      <c r="K142" s="84">
        <v>30</v>
      </c>
      <c r="L142" s="81">
        <f t="shared" si="37"/>
        <v>38.028003300000002</v>
      </c>
      <c r="M142" s="82">
        <f t="shared" si="69"/>
        <v>0</v>
      </c>
      <c r="N142" s="82">
        <f t="shared" si="70"/>
        <v>0</v>
      </c>
      <c r="O142" s="82">
        <f>N142+'BM 008'!O142</f>
        <v>0</v>
      </c>
      <c r="P142" s="80">
        <f t="shared" si="71"/>
        <v>13884.9</v>
      </c>
      <c r="Q142" s="82">
        <f t="shared" si="72"/>
        <v>17600.5</v>
      </c>
      <c r="R142" s="82">
        <f t="shared" si="73"/>
        <v>17600.5</v>
      </c>
    </row>
    <row r="143" spans="2:21" s="34" customFormat="1" ht="69">
      <c r="B143" s="87" t="s">
        <v>279</v>
      </c>
      <c r="C143" s="88" t="s">
        <v>280</v>
      </c>
      <c r="D143" s="89" t="s">
        <v>79</v>
      </c>
      <c r="E143" s="90">
        <f>E141-E142-E147</f>
        <v>25418.329999999998</v>
      </c>
      <c r="F143" s="91"/>
      <c r="G143" s="91"/>
      <c r="H143" s="91"/>
      <c r="I143" s="79">
        <f>SUM(G143:H143)+'BM 008'!I143</f>
        <v>0</v>
      </c>
      <c r="J143" s="91">
        <f t="shared" si="39"/>
        <v>25418.329999999998</v>
      </c>
      <c r="K143" s="84">
        <v>33.65</v>
      </c>
      <c r="L143" s="81">
        <f t="shared" si="37"/>
        <v>42.654743701500003</v>
      </c>
      <c r="M143" s="82">
        <f t="shared" si="69"/>
        <v>0</v>
      </c>
      <c r="N143" s="82">
        <f t="shared" si="70"/>
        <v>0</v>
      </c>
      <c r="O143" s="82">
        <f>N143+'BM 008'!O143</f>
        <v>0</v>
      </c>
      <c r="P143" s="80">
        <f t="shared" si="71"/>
        <v>855326.80449999985</v>
      </c>
      <c r="Q143" s="82">
        <f t="shared" si="72"/>
        <v>1084212.3500000001</v>
      </c>
      <c r="R143" s="82">
        <f t="shared" si="73"/>
        <v>1084212.3500000001</v>
      </c>
    </row>
    <row r="144" spans="2:21" s="34" customFormat="1" ht="23.4">
      <c r="B144" s="87" t="s">
        <v>281</v>
      </c>
      <c r="C144" s="88" t="s">
        <v>282</v>
      </c>
      <c r="D144" s="89" t="s">
        <v>79</v>
      </c>
      <c r="E144" s="90">
        <v>1328.83</v>
      </c>
      <c r="F144" s="91"/>
      <c r="G144" s="91"/>
      <c r="H144" s="91"/>
      <c r="I144" s="79">
        <f>SUM(G144:H144)+'BM 008'!I144</f>
        <v>0</v>
      </c>
      <c r="J144" s="91">
        <f t="shared" si="39"/>
        <v>1328.83</v>
      </c>
      <c r="K144" s="84">
        <v>162.54</v>
      </c>
      <c r="L144" s="81">
        <f t="shared" si="37"/>
        <v>206.0357218794</v>
      </c>
      <c r="M144" s="82">
        <f t="shared" si="69"/>
        <v>0</v>
      </c>
      <c r="N144" s="82">
        <f t="shared" si="70"/>
        <v>0</v>
      </c>
      <c r="O144" s="82">
        <f>N144+'BM 008'!O144</f>
        <v>0</v>
      </c>
      <c r="P144" s="80">
        <f t="shared" si="71"/>
        <v>215988.02819999997</v>
      </c>
      <c r="Q144" s="82">
        <f t="shared" si="72"/>
        <v>273786.44</v>
      </c>
      <c r="R144" s="82">
        <f t="shared" si="73"/>
        <v>273786.44</v>
      </c>
    </row>
    <row r="145" spans="2:18" s="34" customFormat="1" ht="46.2">
      <c r="B145" s="87" t="s">
        <v>283</v>
      </c>
      <c r="C145" s="88" t="s">
        <v>284</v>
      </c>
      <c r="D145" s="89" t="s">
        <v>79</v>
      </c>
      <c r="E145" s="92">
        <v>392.83</v>
      </c>
      <c r="F145" s="91"/>
      <c r="G145" s="91"/>
      <c r="H145" s="91"/>
      <c r="I145" s="79">
        <f>SUM(G145:H145)+'BM 008'!I145</f>
        <v>0</v>
      </c>
      <c r="J145" s="91">
        <f t="shared" si="39"/>
        <v>392.83</v>
      </c>
      <c r="K145" s="84">
        <v>148</v>
      </c>
      <c r="L145" s="81">
        <f t="shared" si="37"/>
        <v>187.60481628000002</v>
      </c>
      <c r="M145" s="82">
        <f t="shared" si="69"/>
        <v>0</v>
      </c>
      <c r="N145" s="82">
        <f t="shared" si="70"/>
        <v>0</v>
      </c>
      <c r="O145" s="82">
        <f>N145+'BM 008'!O145</f>
        <v>0</v>
      </c>
      <c r="P145" s="80">
        <f t="shared" si="71"/>
        <v>58138.84</v>
      </c>
      <c r="Q145" s="82">
        <f t="shared" si="72"/>
        <v>73696.789999999994</v>
      </c>
      <c r="R145" s="82">
        <f t="shared" si="73"/>
        <v>73696.789999999994</v>
      </c>
    </row>
    <row r="146" spans="2:18" s="34" customFormat="1" ht="13.2">
      <c r="B146" s="87" t="s">
        <v>285</v>
      </c>
      <c r="C146" s="88" t="s">
        <v>286</v>
      </c>
      <c r="D146" s="89" t="s">
        <v>79</v>
      </c>
      <c r="E146" s="92">
        <v>70</v>
      </c>
      <c r="F146" s="91"/>
      <c r="G146" s="91"/>
      <c r="H146" s="91"/>
      <c r="I146" s="79">
        <f>SUM(G146:H146)+'BM 008'!I146</f>
        <v>0</v>
      </c>
      <c r="J146" s="91">
        <f t="shared" si="39"/>
        <v>70</v>
      </c>
      <c r="K146" s="84">
        <v>740</v>
      </c>
      <c r="L146" s="81">
        <f t="shared" si="37"/>
        <v>938.0240814</v>
      </c>
      <c r="M146" s="82">
        <f t="shared" si="69"/>
        <v>0</v>
      </c>
      <c r="N146" s="82">
        <f t="shared" si="70"/>
        <v>0</v>
      </c>
      <c r="O146" s="82">
        <f>N146+'BM 008'!O146</f>
        <v>0</v>
      </c>
      <c r="P146" s="80">
        <f t="shared" si="71"/>
        <v>51800</v>
      </c>
      <c r="Q146" s="82">
        <f t="shared" si="72"/>
        <v>65661.679999999993</v>
      </c>
      <c r="R146" s="82">
        <f t="shared" si="73"/>
        <v>65661.679999999993</v>
      </c>
    </row>
    <row r="147" spans="2:18" s="34" customFormat="1" ht="13.2">
      <c r="B147" s="87" t="s">
        <v>287</v>
      </c>
      <c r="C147" s="88" t="s">
        <v>288</v>
      </c>
      <c r="D147" s="89" t="s">
        <v>79</v>
      </c>
      <c r="E147" s="90">
        <v>131.63</v>
      </c>
      <c r="F147" s="91"/>
      <c r="G147" s="91"/>
      <c r="H147" s="91"/>
      <c r="I147" s="79">
        <f>SUM(G147:H147)+'BM 008'!I147</f>
        <v>0</v>
      </c>
      <c r="J147" s="91">
        <f t="shared" si="39"/>
        <v>131.63</v>
      </c>
      <c r="K147" s="80">
        <v>250</v>
      </c>
      <c r="L147" s="81">
        <f t="shared" si="37"/>
        <v>316.90002750000002</v>
      </c>
      <c r="M147" s="82">
        <f t="shared" si="69"/>
        <v>0</v>
      </c>
      <c r="N147" s="82">
        <f t="shared" si="70"/>
        <v>0</v>
      </c>
      <c r="O147" s="82">
        <f>N147+'BM 008'!O147</f>
        <v>0</v>
      </c>
      <c r="P147" s="80">
        <f t="shared" si="71"/>
        <v>32907.5</v>
      </c>
      <c r="Q147" s="82">
        <f t="shared" si="72"/>
        <v>41713.550000000003</v>
      </c>
      <c r="R147" s="82">
        <f t="shared" si="73"/>
        <v>41713.550000000003</v>
      </c>
    </row>
    <row r="148" spans="2:18" s="34" customFormat="1" ht="13.2">
      <c r="B148" s="66" t="s">
        <v>289</v>
      </c>
      <c r="C148" s="67" t="s">
        <v>290</v>
      </c>
      <c r="D148" s="68"/>
      <c r="E148" s="69"/>
      <c r="F148" s="70"/>
      <c r="G148" s="70"/>
      <c r="H148" s="70"/>
      <c r="I148" s="70">
        <f>SUM(G148:H148)+'BM 008'!I148</f>
        <v>0</v>
      </c>
      <c r="J148" s="70">
        <f t="shared" si="39"/>
        <v>0</v>
      </c>
      <c r="K148" s="71"/>
      <c r="L148" s="71">
        <f t="shared" si="37"/>
        <v>0</v>
      </c>
      <c r="M148" s="73">
        <f t="shared" ref="M148:R148" si="74">SUM(M149:M154)</f>
        <v>0</v>
      </c>
      <c r="N148" s="73">
        <f t="shared" si="74"/>
        <v>0</v>
      </c>
      <c r="O148" s="73">
        <f t="shared" si="74"/>
        <v>0</v>
      </c>
      <c r="P148" s="73">
        <f t="shared" si="74"/>
        <v>1088700.21</v>
      </c>
      <c r="Q148" s="73">
        <f t="shared" si="74"/>
        <v>1380036.47</v>
      </c>
      <c r="R148" s="73">
        <f t="shared" si="74"/>
        <v>1380036.47</v>
      </c>
    </row>
    <row r="149" spans="2:18" s="34" customFormat="1" ht="57.6">
      <c r="B149" s="87" t="s">
        <v>291</v>
      </c>
      <c r="C149" s="88" t="s">
        <v>292</v>
      </c>
      <c r="D149" s="89" t="s">
        <v>79</v>
      </c>
      <c r="E149" s="90">
        <f>E151+E152+E153+E154</f>
        <v>4191.6100000000006</v>
      </c>
      <c r="F149" s="91"/>
      <c r="G149" s="91"/>
      <c r="H149" s="91"/>
      <c r="I149" s="79">
        <f>SUM(G149:H149)+'BM 008'!I149</f>
        <v>0</v>
      </c>
      <c r="J149" s="91">
        <f t="shared" si="39"/>
        <v>4191.6100000000006</v>
      </c>
      <c r="K149" s="84">
        <v>12</v>
      </c>
      <c r="L149" s="81">
        <f t="shared" si="37"/>
        <v>15.211201320000001</v>
      </c>
      <c r="M149" s="82">
        <f t="shared" ref="M149:M154" si="75">TRUNC(F149*L149,2)</f>
        <v>0</v>
      </c>
      <c r="N149" s="82">
        <f t="shared" ref="N149:N154" si="76">TRUNC(G149*L149,2)</f>
        <v>0</v>
      </c>
      <c r="O149" s="82">
        <f>N149+'BM 008'!O149</f>
        <v>0</v>
      </c>
      <c r="P149" s="80">
        <f t="shared" ref="P149:P154" si="77">E149*K149</f>
        <v>50299.320000000007</v>
      </c>
      <c r="Q149" s="82">
        <f t="shared" ref="Q149:Q154" si="78">TRUNC(E149*L149,2)</f>
        <v>63759.42</v>
      </c>
      <c r="R149" s="82">
        <f t="shared" ref="R149:R154" si="79">Q149-O149</f>
        <v>63759.42</v>
      </c>
    </row>
    <row r="150" spans="2:18" s="34" customFormat="1" ht="69">
      <c r="B150" s="87" t="s">
        <v>293</v>
      </c>
      <c r="C150" s="88" t="s">
        <v>294</v>
      </c>
      <c r="D150" s="89" t="s">
        <v>79</v>
      </c>
      <c r="E150" s="90">
        <f>E149</f>
        <v>4191.6100000000006</v>
      </c>
      <c r="F150" s="91"/>
      <c r="G150" s="91"/>
      <c r="H150" s="91"/>
      <c r="I150" s="79">
        <f>SUM(G150:H150)+'BM 008'!I150</f>
        <v>0</v>
      </c>
      <c r="J150" s="91">
        <f t="shared" si="39"/>
        <v>4191.6100000000006</v>
      </c>
      <c r="K150" s="84">
        <v>62</v>
      </c>
      <c r="L150" s="81">
        <f t="shared" si="37"/>
        <v>78.591206819999996</v>
      </c>
      <c r="M150" s="82">
        <f t="shared" si="75"/>
        <v>0</v>
      </c>
      <c r="N150" s="82">
        <f t="shared" si="76"/>
        <v>0</v>
      </c>
      <c r="O150" s="82">
        <f>N150+'BM 008'!O150</f>
        <v>0</v>
      </c>
      <c r="P150" s="80">
        <f t="shared" si="77"/>
        <v>259879.82000000004</v>
      </c>
      <c r="Q150" s="82">
        <f t="shared" si="78"/>
        <v>329423.68</v>
      </c>
      <c r="R150" s="82">
        <f t="shared" si="79"/>
        <v>329423.68</v>
      </c>
    </row>
    <row r="151" spans="2:18" s="34" customFormat="1" ht="23.4">
      <c r="B151" s="87" t="s">
        <v>295</v>
      </c>
      <c r="C151" s="88" t="s">
        <v>296</v>
      </c>
      <c r="D151" s="89" t="s">
        <v>79</v>
      </c>
      <c r="E151" s="90">
        <v>120.2</v>
      </c>
      <c r="F151" s="91"/>
      <c r="G151" s="91"/>
      <c r="H151" s="91"/>
      <c r="I151" s="79">
        <f>SUM(G151:H151)+'BM 008'!I151</f>
        <v>0</v>
      </c>
      <c r="J151" s="91">
        <f t="shared" si="39"/>
        <v>120.2</v>
      </c>
      <c r="K151" s="84">
        <v>178</v>
      </c>
      <c r="L151" s="81">
        <f t="shared" si="37"/>
        <v>225.63281958000002</v>
      </c>
      <c r="M151" s="82">
        <f t="shared" si="75"/>
        <v>0</v>
      </c>
      <c r="N151" s="82">
        <f t="shared" si="76"/>
        <v>0</v>
      </c>
      <c r="O151" s="82">
        <f>N151+'BM 008'!O151</f>
        <v>0</v>
      </c>
      <c r="P151" s="80">
        <f t="shared" si="77"/>
        <v>21395.600000000002</v>
      </c>
      <c r="Q151" s="82">
        <f t="shared" si="78"/>
        <v>27121.06</v>
      </c>
      <c r="R151" s="82">
        <f t="shared" si="79"/>
        <v>27121.06</v>
      </c>
    </row>
    <row r="152" spans="2:18" s="34" customFormat="1" ht="23.4">
      <c r="B152" s="87" t="s">
        <v>297</v>
      </c>
      <c r="C152" s="88" t="s">
        <v>298</v>
      </c>
      <c r="D152" s="89" t="s">
        <v>79</v>
      </c>
      <c r="E152" s="90">
        <v>52.6</v>
      </c>
      <c r="F152" s="91"/>
      <c r="G152" s="91"/>
      <c r="H152" s="91"/>
      <c r="I152" s="79">
        <f>SUM(G152:H152)+'BM 008'!I152</f>
        <v>0</v>
      </c>
      <c r="J152" s="91">
        <f t="shared" si="39"/>
        <v>52.6</v>
      </c>
      <c r="K152" s="84">
        <v>182</v>
      </c>
      <c r="L152" s="81">
        <f t="shared" si="37"/>
        <v>230.70322002</v>
      </c>
      <c r="M152" s="82">
        <f t="shared" si="75"/>
        <v>0</v>
      </c>
      <c r="N152" s="82">
        <f t="shared" si="76"/>
        <v>0</v>
      </c>
      <c r="O152" s="82">
        <f>N152+'BM 008'!O152</f>
        <v>0</v>
      </c>
      <c r="P152" s="80">
        <f t="shared" si="77"/>
        <v>9573.2000000000007</v>
      </c>
      <c r="Q152" s="82">
        <f t="shared" si="78"/>
        <v>12134.98</v>
      </c>
      <c r="R152" s="82">
        <f t="shared" si="79"/>
        <v>12134.98</v>
      </c>
    </row>
    <row r="153" spans="2:18" s="34" customFormat="1" ht="23.4">
      <c r="B153" s="87" t="s">
        <v>299</v>
      </c>
      <c r="C153" s="88" t="s">
        <v>300</v>
      </c>
      <c r="D153" s="89" t="s">
        <v>79</v>
      </c>
      <c r="E153" s="90">
        <v>2811.38</v>
      </c>
      <c r="F153" s="91"/>
      <c r="G153" s="91"/>
      <c r="H153" s="91"/>
      <c r="I153" s="79">
        <f>SUM(G153:H153)+'BM 008'!I153</f>
        <v>0</v>
      </c>
      <c r="J153" s="91">
        <f t="shared" si="39"/>
        <v>2811.38</v>
      </c>
      <c r="K153" s="84">
        <v>177</v>
      </c>
      <c r="L153" s="81">
        <f t="shared" si="37"/>
        <v>224.36521947</v>
      </c>
      <c r="M153" s="82">
        <f t="shared" si="75"/>
        <v>0</v>
      </c>
      <c r="N153" s="82">
        <f t="shared" si="76"/>
        <v>0</v>
      </c>
      <c r="O153" s="82">
        <f>N153+'BM 008'!O153</f>
        <v>0</v>
      </c>
      <c r="P153" s="80">
        <f t="shared" si="77"/>
        <v>497614.26</v>
      </c>
      <c r="Q153" s="82">
        <f t="shared" si="78"/>
        <v>630775.89</v>
      </c>
      <c r="R153" s="82">
        <f t="shared" si="79"/>
        <v>630775.89</v>
      </c>
    </row>
    <row r="154" spans="2:18" s="34" customFormat="1" ht="23.4">
      <c r="B154" s="87" t="s">
        <v>301</v>
      </c>
      <c r="C154" s="88" t="s">
        <v>302</v>
      </c>
      <c r="D154" s="89" t="s">
        <v>79</v>
      </c>
      <c r="E154" s="90">
        <v>1207.43</v>
      </c>
      <c r="F154" s="91"/>
      <c r="G154" s="91"/>
      <c r="H154" s="91"/>
      <c r="I154" s="79">
        <f>SUM(G154:H154)+'BM 008'!I154</f>
        <v>0</v>
      </c>
      <c r="J154" s="91">
        <f t="shared" si="39"/>
        <v>1207.43</v>
      </c>
      <c r="K154" s="84">
        <v>207</v>
      </c>
      <c r="L154" s="81">
        <f t="shared" si="37"/>
        <v>262.39322277000002</v>
      </c>
      <c r="M154" s="82">
        <f t="shared" si="75"/>
        <v>0</v>
      </c>
      <c r="N154" s="82">
        <f t="shared" si="76"/>
        <v>0</v>
      </c>
      <c r="O154" s="82">
        <f>N154+'BM 008'!O154</f>
        <v>0</v>
      </c>
      <c r="P154" s="80">
        <f t="shared" si="77"/>
        <v>249938.01</v>
      </c>
      <c r="Q154" s="82">
        <f t="shared" si="78"/>
        <v>316821.44</v>
      </c>
      <c r="R154" s="82">
        <f t="shared" si="79"/>
        <v>316821.44</v>
      </c>
    </row>
    <row r="155" spans="2:18" s="34" customFormat="1" ht="13.2">
      <c r="B155" s="60" t="s">
        <v>303</v>
      </c>
      <c r="C155" s="61" t="s">
        <v>304</v>
      </c>
      <c r="D155" s="60"/>
      <c r="E155" s="62"/>
      <c r="F155" s="63"/>
      <c r="G155" s="63"/>
      <c r="H155" s="63"/>
      <c r="I155" s="63">
        <f>SUM(G155:H155)+'BM 008'!I155</f>
        <v>0</v>
      </c>
      <c r="J155" s="63">
        <f t="shared" si="39"/>
        <v>0</v>
      </c>
      <c r="K155" s="63"/>
      <c r="L155" s="63">
        <f t="shared" si="37"/>
        <v>0</v>
      </c>
      <c r="M155" s="63">
        <f t="shared" ref="M155:R155" si="80">SUM(M156,M165)</f>
        <v>0</v>
      </c>
      <c r="N155" s="63">
        <f t="shared" si="80"/>
        <v>0</v>
      </c>
      <c r="O155" s="63">
        <f t="shared" si="80"/>
        <v>0</v>
      </c>
      <c r="P155" s="63">
        <f t="shared" si="80"/>
        <v>800757.83000000007</v>
      </c>
      <c r="Q155" s="63">
        <f t="shared" si="80"/>
        <v>1015040.66</v>
      </c>
      <c r="R155" s="63">
        <f t="shared" si="80"/>
        <v>1015040.66</v>
      </c>
    </row>
    <row r="156" spans="2:18" s="34" customFormat="1" ht="13.2">
      <c r="B156" s="66" t="s">
        <v>305</v>
      </c>
      <c r="C156" s="67" t="s">
        <v>306</v>
      </c>
      <c r="D156" s="68"/>
      <c r="E156" s="69"/>
      <c r="F156" s="70"/>
      <c r="G156" s="70"/>
      <c r="H156" s="70"/>
      <c r="I156" s="70">
        <f>SUM(G156:H156)+'BM 008'!I156</f>
        <v>0</v>
      </c>
      <c r="J156" s="70">
        <f t="shared" si="39"/>
        <v>0</v>
      </c>
      <c r="K156" s="71"/>
      <c r="L156" s="71">
        <f t="shared" si="37"/>
        <v>0</v>
      </c>
      <c r="M156" s="73">
        <f t="shared" ref="M156:R156" si="81">SUM(M157:M164)</f>
        <v>0</v>
      </c>
      <c r="N156" s="73">
        <f t="shared" si="81"/>
        <v>0</v>
      </c>
      <c r="O156" s="73">
        <f t="shared" si="81"/>
        <v>0</v>
      </c>
      <c r="P156" s="73">
        <f t="shared" si="81"/>
        <v>737633.33000000007</v>
      </c>
      <c r="Q156" s="73">
        <f t="shared" si="81"/>
        <v>935024.05</v>
      </c>
      <c r="R156" s="73">
        <f t="shared" si="81"/>
        <v>935024.05</v>
      </c>
    </row>
    <row r="157" spans="2:18" s="34" customFormat="1" ht="57.6">
      <c r="B157" s="87" t="s">
        <v>307</v>
      </c>
      <c r="C157" s="88" t="s">
        <v>308</v>
      </c>
      <c r="D157" s="89" t="s">
        <v>79</v>
      </c>
      <c r="E157" s="103">
        <v>7166.75</v>
      </c>
      <c r="F157" s="84"/>
      <c r="G157" s="84"/>
      <c r="H157" s="84"/>
      <c r="I157" s="79">
        <f>SUM(G157:H157)+'BM 008'!I157</f>
        <v>0</v>
      </c>
      <c r="J157" s="84">
        <f t="shared" si="39"/>
        <v>7166.75</v>
      </c>
      <c r="K157" s="84">
        <v>42.2</v>
      </c>
      <c r="L157" s="81">
        <f t="shared" ref="L157:L220" si="82">K157*(1+$T$26)</f>
        <v>53.492724642000006</v>
      </c>
      <c r="M157" s="82">
        <f t="shared" ref="M157:M164" si="83">TRUNC(F157*L157,2)</f>
        <v>0</v>
      </c>
      <c r="N157" s="82">
        <f t="shared" ref="N157:N164" si="84">TRUNC(G157*L157,2)</f>
        <v>0</v>
      </c>
      <c r="O157" s="82">
        <f>N157+'BM 008'!O157</f>
        <v>0</v>
      </c>
      <c r="P157" s="80">
        <f t="shared" ref="P157:P164" si="85">E157*K157</f>
        <v>302436.85000000003</v>
      </c>
      <c r="Q157" s="82">
        <f t="shared" ref="Q157:Q164" si="86">TRUNC(E157*L157,2)</f>
        <v>383368.98</v>
      </c>
      <c r="R157" s="82">
        <f t="shared" ref="R157:R164" si="87">Q157-O157</f>
        <v>383368.98</v>
      </c>
    </row>
    <row r="158" spans="2:18" s="34" customFormat="1" ht="46.2">
      <c r="B158" s="87" t="s">
        <v>309</v>
      </c>
      <c r="C158" s="88" t="s">
        <v>310</v>
      </c>
      <c r="D158" s="89" t="s">
        <v>79</v>
      </c>
      <c r="E158" s="104">
        <v>520.1</v>
      </c>
      <c r="F158" s="80"/>
      <c r="G158" s="80"/>
      <c r="H158" s="80"/>
      <c r="I158" s="79">
        <f>SUM(G158:H158)+'BM 008'!I158</f>
        <v>0</v>
      </c>
      <c r="J158" s="80">
        <f t="shared" si="39"/>
        <v>520.1</v>
      </c>
      <c r="K158" s="105">
        <v>35.200000000000003</v>
      </c>
      <c r="L158" s="81">
        <f t="shared" si="82"/>
        <v>44.619523872000009</v>
      </c>
      <c r="M158" s="82">
        <f t="shared" si="83"/>
        <v>0</v>
      </c>
      <c r="N158" s="82">
        <f t="shared" si="84"/>
        <v>0</v>
      </c>
      <c r="O158" s="82">
        <f>N158+'BM 008'!O158</f>
        <v>0</v>
      </c>
      <c r="P158" s="80">
        <f t="shared" si="85"/>
        <v>18307.520000000004</v>
      </c>
      <c r="Q158" s="82">
        <f t="shared" si="86"/>
        <v>23206.61</v>
      </c>
      <c r="R158" s="82">
        <f t="shared" si="87"/>
        <v>23206.61</v>
      </c>
    </row>
    <row r="159" spans="2:18" s="34" customFormat="1" ht="34.799999999999997">
      <c r="B159" s="87" t="s">
        <v>311</v>
      </c>
      <c r="C159" s="88" t="s">
        <v>312</v>
      </c>
      <c r="D159" s="89" t="s">
        <v>79</v>
      </c>
      <c r="E159" s="103">
        <v>1225.0999999999999</v>
      </c>
      <c r="F159" s="84"/>
      <c r="G159" s="84"/>
      <c r="H159" s="84"/>
      <c r="I159" s="79">
        <f>SUM(G159:H159)+'BM 008'!I159</f>
        <v>0</v>
      </c>
      <c r="J159" s="84">
        <f t="shared" ref="J159:J222" si="88">E159-I159</f>
        <v>1225.0999999999999</v>
      </c>
      <c r="K159" s="105">
        <v>60</v>
      </c>
      <c r="L159" s="81">
        <f t="shared" si="82"/>
        <v>76.056006600000003</v>
      </c>
      <c r="M159" s="82">
        <f t="shared" si="83"/>
        <v>0</v>
      </c>
      <c r="N159" s="82">
        <f t="shared" si="84"/>
        <v>0</v>
      </c>
      <c r="O159" s="82">
        <f>N159+'BM 008'!O159</f>
        <v>0</v>
      </c>
      <c r="P159" s="80">
        <f t="shared" si="85"/>
        <v>73506</v>
      </c>
      <c r="Q159" s="82">
        <f t="shared" si="86"/>
        <v>93176.21</v>
      </c>
      <c r="R159" s="82">
        <f t="shared" si="87"/>
        <v>93176.21</v>
      </c>
    </row>
    <row r="160" spans="2:18" s="34" customFormat="1" ht="46.2">
      <c r="B160" s="87" t="s">
        <v>313</v>
      </c>
      <c r="C160" s="88" t="s">
        <v>284</v>
      </c>
      <c r="D160" s="89" t="s">
        <v>79</v>
      </c>
      <c r="E160" s="106">
        <v>937</v>
      </c>
      <c r="F160" s="84"/>
      <c r="G160" s="84"/>
      <c r="H160" s="84"/>
      <c r="I160" s="79">
        <f>SUM(G160:H160)+'BM 008'!I160</f>
        <v>0</v>
      </c>
      <c r="J160" s="84">
        <f t="shared" si="88"/>
        <v>937</v>
      </c>
      <c r="K160" s="105">
        <v>158</v>
      </c>
      <c r="L160" s="81">
        <f t="shared" si="82"/>
        <v>200.28081738</v>
      </c>
      <c r="M160" s="82">
        <f t="shared" si="83"/>
        <v>0</v>
      </c>
      <c r="N160" s="82">
        <f t="shared" si="84"/>
        <v>0</v>
      </c>
      <c r="O160" s="82">
        <f>N160+'BM 008'!O160</f>
        <v>0</v>
      </c>
      <c r="P160" s="80">
        <f t="shared" si="85"/>
        <v>148046</v>
      </c>
      <c r="Q160" s="82">
        <f t="shared" si="86"/>
        <v>187663.12</v>
      </c>
      <c r="R160" s="82">
        <f t="shared" si="87"/>
        <v>187663.12</v>
      </c>
    </row>
    <row r="161" spans="2:18" s="34" customFormat="1" ht="46.2">
      <c r="B161" s="87" t="s">
        <v>314</v>
      </c>
      <c r="C161" s="88" t="s">
        <v>315</v>
      </c>
      <c r="D161" s="89" t="s">
        <v>79</v>
      </c>
      <c r="E161" s="106">
        <v>720.69</v>
      </c>
      <c r="F161" s="84"/>
      <c r="G161" s="84"/>
      <c r="H161" s="84"/>
      <c r="I161" s="79">
        <f>SUM(G161:H161)+'BM 008'!I161</f>
        <v>0</v>
      </c>
      <c r="J161" s="84">
        <f t="shared" si="88"/>
        <v>720.69</v>
      </c>
      <c r="K161" s="84">
        <v>185</v>
      </c>
      <c r="L161" s="81">
        <f t="shared" si="82"/>
        <v>234.50602035</v>
      </c>
      <c r="M161" s="82">
        <f t="shared" si="83"/>
        <v>0</v>
      </c>
      <c r="N161" s="82">
        <f t="shared" si="84"/>
        <v>0</v>
      </c>
      <c r="O161" s="82">
        <f>N161+'BM 008'!O161</f>
        <v>0</v>
      </c>
      <c r="P161" s="80">
        <f t="shared" si="85"/>
        <v>133327.65000000002</v>
      </c>
      <c r="Q161" s="82">
        <f t="shared" si="86"/>
        <v>169006.14</v>
      </c>
      <c r="R161" s="82">
        <f t="shared" si="87"/>
        <v>169006.14</v>
      </c>
    </row>
    <row r="162" spans="2:18" s="34" customFormat="1" ht="23.4">
      <c r="B162" s="87" t="s">
        <v>316</v>
      </c>
      <c r="C162" s="88" t="s">
        <v>317</v>
      </c>
      <c r="D162" s="89" t="s">
        <v>79</v>
      </c>
      <c r="E162" s="103">
        <v>50.69</v>
      </c>
      <c r="F162" s="84"/>
      <c r="G162" s="84"/>
      <c r="H162" s="84"/>
      <c r="I162" s="79">
        <f>SUM(G162:H162)+'BM 008'!I162</f>
        <v>0</v>
      </c>
      <c r="J162" s="84">
        <f t="shared" si="88"/>
        <v>50.69</v>
      </c>
      <c r="K162" s="84">
        <v>765</v>
      </c>
      <c r="L162" s="81">
        <f t="shared" si="82"/>
        <v>969.71408415000008</v>
      </c>
      <c r="M162" s="82">
        <f t="shared" si="83"/>
        <v>0</v>
      </c>
      <c r="N162" s="82">
        <f t="shared" si="84"/>
        <v>0</v>
      </c>
      <c r="O162" s="82">
        <f>N162+'BM 008'!O162</f>
        <v>0</v>
      </c>
      <c r="P162" s="80">
        <f t="shared" si="85"/>
        <v>38777.85</v>
      </c>
      <c r="Q162" s="82">
        <f t="shared" si="86"/>
        <v>49154.8</v>
      </c>
      <c r="R162" s="82">
        <f t="shared" si="87"/>
        <v>49154.8</v>
      </c>
    </row>
    <row r="163" spans="2:18" s="34" customFormat="1" ht="23.4">
      <c r="B163" s="87" t="s">
        <v>318</v>
      </c>
      <c r="C163" s="88" t="s">
        <v>319</v>
      </c>
      <c r="D163" s="89" t="s">
        <v>124</v>
      </c>
      <c r="E163" s="106">
        <v>36</v>
      </c>
      <c r="F163" s="84"/>
      <c r="G163" s="84"/>
      <c r="H163" s="84"/>
      <c r="I163" s="79">
        <f>SUM(G163:H163)+'BM 008'!I163</f>
        <v>0</v>
      </c>
      <c r="J163" s="84">
        <f t="shared" si="88"/>
        <v>36</v>
      </c>
      <c r="K163" s="84">
        <v>134</v>
      </c>
      <c r="L163" s="81">
        <f t="shared" si="82"/>
        <v>169.85841474</v>
      </c>
      <c r="M163" s="82">
        <f t="shared" si="83"/>
        <v>0</v>
      </c>
      <c r="N163" s="82">
        <f t="shared" si="84"/>
        <v>0</v>
      </c>
      <c r="O163" s="82">
        <f>N163+'BM 008'!O163</f>
        <v>0</v>
      </c>
      <c r="P163" s="80">
        <f t="shared" si="85"/>
        <v>4824</v>
      </c>
      <c r="Q163" s="82">
        <f t="shared" si="86"/>
        <v>6114.9</v>
      </c>
      <c r="R163" s="82">
        <f t="shared" si="87"/>
        <v>6114.9</v>
      </c>
    </row>
    <row r="164" spans="2:18" s="34" customFormat="1" ht="13.2">
      <c r="B164" s="87" t="s">
        <v>320</v>
      </c>
      <c r="C164" s="88" t="s">
        <v>321</v>
      </c>
      <c r="D164" s="89" t="s">
        <v>124</v>
      </c>
      <c r="E164" s="106">
        <v>123.54</v>
      </c>
      <c r="F164" s="84"/>
      <c r="G164" s="84"/>
      <c r="H164" s="84"/>
      <c r="I164" s="79">
        <f>SUM(G164:H164)+'BM 008'!I164</f>
        <v>0</v>
      </c>
      <c r="J164" s="84">
        <f t="shared" si="88"/>
        <v>123.54</v>
      </c>
      <c r="K164" s="84">
        <v>149</v>
      </c>
      <c r="L164" s="81">
        <f t="shared" si="82"/>
        <v>188.87241639000001</v>
      </c>
      <c r="M164" s="82">
        <f t="shared" si="83"/>
        <v>0</v>
      </c>
      <c r="N164" s="82">
        <f t="shared" si="84"/>
        <v>0</v>
      </c>
      <c r="O164" s="82">
        <f>N164+'BM 008'!O164</f>
        <v>0</v>
      </c>
      <c r="P164" s="80">
        <f t="shared" si="85"/>
        <v>18407.46</v>
      </c>
      <c r="Q164" s="82">
        <f t="shared" si="86"/>
        <v>23333.29</v>
      </c>
      <c r="R164" s="82">
        <f t="shared" si="87"/>
        <v>23333.29</v>
      </c>
    </row>
    <row r="165" spans="2:18" s="34" customFormat="1" ht="13.2">
      <c r="B165" s="66" t="s">
        <v>322</v>
      </c>
      <c r="C165" s="67" t="s">
        <v>323</v>
      </c>
      <c r="D165" s="68"/>
      <c r="E165" s="69"/>
      <c r="F165" s="70"/>
      <c r="G165" s="70"/>
      <c r="H165" s="70"/>
      <c r="I165" s="70">
        <f>SUM(G165:H165)+'BM 008'!I165</f>
        <v>0</v>
      </c>
      <c r="J165" s="70">
        <f t="shared" si="88"/>
        <v>0</v>
      </c>
      <c r="K165" s="71"/>
      <c r="L165" s="71">
        <f t="shared" si="82"/>
        <v>0</v>
      </c>
      <c r="M165" s="73">
        <f t="shared" ref="M165:R165" si="89">SUM(M166:M169)</f>
        <v>0</v>
      </c>
      <c r="N165" s="73">
        <f t="shared" si="89"/>
        <v>0</v>
      </c>
      <c r="O165" s="73">
        <f t="shared" si="89"/>
        <v>0</v>
      </c>
      <c r="P165" s="73">
        <f t="shared" si="89"/>
        <v>63124.5</v>
      </c>
      <c r="Q165" s="73">
        <f t="shared" si="89"/>
        <v>80016.61</v>
      </c>
      <c r="R165" s="73">
        <f t="shared" si="89"/>
        <v>80016.61</v>
      </c>
    </row>
    <row r="166" spans="2:18" s="34" customFormat="1" ht="34.799999999999997">
      <c r="B166" s="87" t="s">
        <v>324</v>
      </c>
      <c r="C166" s="88" t="s">
        <v>325</v>
      </c>
      <c r="D166" s="89" t="s">
        <v>79</v>
      </c>
      <c r="E166" s="90">
        <v>290.89999999999998</v>
      </c>
      <c r="F166" s="91"/>
      <c r="G166" s="91"/>
      <c r="H166" s="91"/>
      <c r="I166" s="79">
        <f>SUM(G166:H166)+'BM 008'!I166</f>
        <v>0</v>
      </c>
      <c r="J166" s="91">
        <f t="shared" si="88"/>
        <v>290.89999999999998</v>
      </c>
      <c r="K166" s="84">
        <v>105</v>
      </c>
      <c r="L166" s="81">
        <f t="shared" si="82"/>
        <v>133.09801155</v>
      </c>
      <c r="M166" s="82">
        <f>TRUNC(F166*L166,2)</f>
        <v>0</v>
      </c>
      <c r="N166" s="82">
        <f>TRUNC(G166*L166,2)</f>
        <v>0</v>
      </c>
      <c r="O166" s="82">
        <f>N166+'BM 008'!O166</f>
        <v>0</v>
      </c>
      <c r="P166" s="80">
        <f>E166*K166</f>
        <v>30544.499999999996</v>
      </c>
      <c r="Q166" s="82">
        <f>TRUNC(E166*L166,2)</f>
        <v>38718.21</v>
      </c>
      <c r="R166" s="82">
        <f>Q166-O166</f>
        <v>38718.21</v>
      </c>
    </row>
    <row r="167" spans="2:18" s="34" customFormat="1" ht="34.799999999999997">
      <c r="B167" s="87" t="s">
        <v>326</v>
      </c>
      <c r="C167" s="88" t="s">
        <v>327</v>
      </c>
      <c r="D167" s="89" t="s">
        <v>79</v>
      </c>
      <c r="E167" s="90">
        <v>230</v>
      </c>
      <c r="F167" s="91"/>
      <c r="G167" s="91"/>
      <c r="H167" s="91"/>
      <c r="I167" s="79">
        <f>SUM(G167:H167)+'BM 008'!I167</f>
        <v>0</v>
      </c>
      <c r="J167" s="91">
        <f t="shared" si="88"/>
        <v>230</v>
      </c>
      <c r="K167" s="84">
        <v>90</v>
      </c>
      <c r="L167" s="81">
        <f t="shared" si="82"/>
        <v>114.08400990000001</v>
      </c>
      <c r="M167" s="82">
        <f>TRUNC(F167*L167,2)</f>
        <v>0</v>
      </c>
      <c r="N167" s="82">
        <f>TRUNC(G167*L167,2)</f>
        <v>0</v>
      </c>
      <c r="O167" s="82">
        <f>N167+'BM 008'!O167</f>
        <v>0</v>
      </c>
      <c r="P167" s="80">
        <f>E167*K167</f>
        <v>20700</v>
      </c>
      <c r="Q167" s="82">
        <f>TRUNC(E167*L167,2)</f>
        <v>26239.32</v>
      </c>
      <c r="R167" s="82">
        <f>Q167-O167</f>
        <v>26239.32</v>
      </c>
    </row>
    <row r="168" spans="2:18" s="34" customFormat="1" ht="23.4">
      <c r="B168" s="87" t="s">
        <v>328</v>
      </c>
      <c r="C168" s="88" t="s">
        <v>329</v>
      </c>
      <c r="D168" s="89" t="s">
        <v>82</v>
      </c>
      <c r="E168" s="90">
        <v>72</v>
      </c>
      <c r="F168" s="91"/>
      <c r="G168" s="91"/>
      <c r="H168" s="91"/>
      <c r="I168" s="79">
        <f>SUM(G168:H168)+'BM 008'!I168</f>
        <v>0</v>
      </c>
      <c r="J168" s="91">
        <f t="shared" si="88"/>
        <v>72</v>
      </c>
      <c r="K168" s="84">
        <v>120</v>
      </c>
      <c r="L168" s="81">
        <f t="shared" si="82"/>
        <v>152.11201320000001</v>
      </c>
      <c r="M168" s="82">
        <f>TRUNC(F168*L168,2)</f>
        <v>0</v>
      </c>
      <c r="N168" s="82">
        <f>TRUNC(G168*L168,2)</f>
        <v>0</v>
      </c>
      <c r="O168" s="82">
        <f>N168+'BM 008'!O168</f>
        <v>0</v>
      </c>
      <c r="P168" s="80">
        <f>E168*K168</f>
        <v>8640</v>
      </c>
      <c r="Q168" s="82">
        <f>TRUNC(E168*L168,2)</f>
        <v>10952.06</v>
      </c>
      <c r="R168" s="82">
        <f>Q168-O168</f>
        <v>10952.06</v>
      </c>
    </row>
    <row r="169" spans="2:18" s="34" customFormat="1" ht="34.799999999999997">
      <c r="B169" s="87" t="s">
        <v>330</v>
      </c>
      <c r="C169" s="88" t="s">
        <v>331</v>
      </c>
      <c r="D169" s="89" t="s">
        <v>82</v>
      </c>
      <c r="E169" s="90">
        <v>72</v>
      </c>
      <c r="F169" s="91"/>
      <c r="G169" s="91"/>
      <c r="H169" s="91"/>
      <c r="I169" s="79">
        <f>SUM(G169:H169)+'BM 008'!I169</f>
        <v>0</v>
      </c>
      <c r="J169" s="91">
        <f t="shared" si="88"/>
        <v>72</v>
      </c>
      <c r="K169" s="84">
        <v>45</v>
      </c>
      <c r="L169" s="81">
        <f t="shared" si="82"/>
        <v>57.042004950000006</v>
      </c>
      <c r="M169" s="82">
        <f>TRUNC(F169*L169,2)</f>
        <v>0</v>
      </c>
      <c r="N169" s="82">
        <f>TRUNC(G169*L169,2)</f>
        <v>0</v>
      </c>
      <c r="O169" s="82">
        <f>N169+'BM 008'!O169</f>
        <v>0</v>
      </c>
      <c r="P169" s="80">
        <f>E169*K169</f>
        <v>3240</v>
      </c>
      <c r="Q169" s="82">
        <f>TRUNC(E169*L169,2)</f>
        <v>4107.0200000000004</v>
      </c>
      <c r="R169" s="82">
        <f>Q169-O169</f>
        <v>4107.0200000000004</v>
      </c>
    </row>
    <row r="170" spans="2:18" s="34" customFormat="1" ht="13.2">
      <c r="B170" s="60" t="s">
        <v>332</v>
      </c>
      <c r="C170" s="61" t="s">
        <v>333</v>
      </c>
      <c r="D170" s="60"/>
      <c r="E170" s="62"/>
      <c r="F170" s="63"/>
      <c r="G170" s="63"/>
      <c r="H170" s="63"/>
      <c r="I170" s="63">
        <f>SUM(G170:H170)+'BM 008'!I170</f>
        <v>0</v>
      </c>
      <c r="J170" s="63">
        <f t="shared" si="88"/>
        <v>0</v>
      </c>
      <c r="K170" s="63"/>
      <c r="L170" s="63">
        <f t="shared" si="82"/>
        <v>0</v>
      </c>
      <c r="M170" s="63">
        <f t="shared" ref="M170:R170" si="90">SUM(M171:M174)</f>
        <v>0</v>
      </c>
      <c r="N170" s="63">
        <f t="shared" si="90"/>
        <v>0</v>
      </c>
      <c r="O170" s="63">
        <f t="shared" si="90"/>
        <v>0</v>
      </c>
      <c r="P170" s="63">
        <f t="shared" si="90"/>
        <v>584904.20000000007</v>
      </c>
      <c r="Q170" s="63">
        <f t="shared" si="90"/>
        <v>741424.62000000011</v>
      </c>
      <c r="R170" s="63">
        <f t="shared" si="90"/>
        <v>741424.62000000011</v>
      </c>
    </row>
    <row r="171" spans="2:18" s="34" customFormat="1" ht="46.2">
      <c r="B171" s="87" t="s">
        <v>334</v>
      </c>
      <c r="C171" s="88" t="s">
        <v>335</v>
      </c>
      <c r="D171" s="89" t="s">
        <v>79</v>
      </c>
      <c r="E171" s="90">
        <v>3789.02</v>
      </c>
      <c r="F171" s="91"/>
      <c r="G171" s="91"/>
      <c r="H171" s="91"/>
      <c r="I171" s="79">
        <f>SUM(G171:H171)+'BM 008'!I171</f>
        <v>0</v>
      </c>
      <c r="J171" s="91">
        <f t="shared" si="88"/>
        <v>3789.02</v>
      </c>
      <c r="K171" s="84">
        <v>70</v>
      </c>
      <c r="L171" s="81">
        <f t="shared" si="82"/>
        <v>88.732007699999997</v>
      </c>
      <c r="M171" s="82">
        <f>TRUNC(F171*L171,2)</f>
        <v>0</v>
      </c>
      <c r="N171" s="82">
        <f>TRUNC(G171*L171,2)</f>
        <v>0</v>
      </c>
      <c r="O171" s="82">
        <f>N171+'BM 008'!O171</f>
        <v>0</v>
      </c>
      <c r="P171" s="80">
        <f>E171*K171</f>
        <v>265231.40000000002</v>
      </c>
      <c r="Q171" s="82">
        <f>TRUNC(E171*L171,2)</f>
        <v>336207.35</v>
      </c>
      <c r="R171" s="82">
        <f>Q171-O171</f>
        <v>336207.35</v>
      </c>
    </row>
    <row r="172" spans="2:18" s="34" customFormat="1" ht="23.4">
      <c r="B172" s="87" t="s">
        <v>336</v>
      </c>
      <c r="C172" s="88" t="s">
        <v>337</v>
      </c>
      <c r="D172" s="89" t="s">
        <v>79</v>
      </c>
      <c r="E172" s="90">
        <v>184.68</v>
      </c>
      <c r="F172" s="91"/>
      <c r="G172" s="91"/>
      <c r="H172" s="91"/>
      <c r="I172" s="79">
        <f>SUM(G172:H172)+'BM 008'!I172</f>
        <v>0</v>
      </c>
      <c r="J172" s="91">
        <f t="shared" si="88"/>
        <v>184.68</v>
      </c>
      <c r="K172" s="84">
        <v>735</v>
      </c>
      <c r="L172" s="81">
        <f t="shared" si="82"/>
        <v>931.68608085000005</v>
      </c>
      <c r="M172" s="82">
        <f>TRUNC(F172*L172,2)</f>
        <v>0</v>
      </c>
      <c r="N172" s="82">
        <f>TRUNC(G172*L172,2)</f>
        <v>0</v>
      </c>
      <c r="O172" s="82">
        <f>N172+'BM 008'!O172</f>
        <v>0</v>
      </c>
      <c r="P172" s="80">
        <f>E172*K172</f>
        <v>135739.80000000002</v>
      </c>
      <c r="Q172" s="82">
        <f>TRUNC(E172*L172,2)</f>
        <v>172063.78</v>
      </c>
      <c r="R172" s="82">
        <f>Q172-O172</f>
        <v>172063.78</v>
      </c>
    </row>
    <row r="173" spans="2:18" s="34" customFormat="1" ht="46.2">
      <c r="B173" s="87" t="s">
        <v>338</v>
      </c>
      <c r="C173" s="88" t="s">
        <v>339</v>
      </c>
      <c r="D173" s="89" t="s">
        <v>79</v>
      </c>
      <c r="E173" s="90">
        <v>798.6</v>
      </c>
      <c r="F173" s="91"/>
      <c r="G173" s="91"/>
      <c r="H173" s="91"/>
      <c r="I173" s="79">
        <f>SUM(G173:H173)+'BM 008'!I173</f>
        <v>0</v>
      </c>
      <c r="J173" s="91">
        <f t="shared" si="88"/>
        <v>798.6</v>
      </c>
      <c r="K173" s="84">
        <v>125</v>
      </c>
      <c r="L173" s="81">
        <f t="shared" si="82"/>
        <v>158.45001375000001</v>
      </c>
      <c r="M173" s="82">
        <f>TRUNC(F173*L173,2)</f>
        <v>0</v>
      </c>
      <c r="N173" s="82">
        <f>TRUNC(G173*L173,2)</f>
        <v>0</v>
      </c>
      <c r="O173" s="82">
        <f>N173+'BM 008'!O173</f>
        <v>0</v>
      </c>
      <c r="P173" s="80">
        <f>E173*K173</f>
        <v>99825</v>
      </c>
      <c r="Q173" s="82">
        <f>TRUNC(E173*L173,2)</f>
        <v>126538.18</v>
      </c>
      <c r="R173" s="82">
        <f>Q173-O173</f>
        <v>126538.18</v>
      </c>
    </row>
    <row r="174" spans="2:18" s="34" customFormat="1" ht="57.6">
      <c r="B174" s="87" t="s">
        <v>340</v>
      </c>
      <c r="C174" s="88" t="s">
        <v>341</v>
      </c>
      <c r="D174" s="89" t="s">
        <v>79</v>
      </c>
      <c r="E174" s="90">
        <v>489</v>
      </c>
      <c r="F174" s="91"/>
      <c r="G174" s="91"/>
      <c r="H174" s="91"/>
      <c r="I174" s="79">
        <f>SUM(G174:H174)+'BM 008'!I174</f>
        <v>0</v>
      </c>
      <c r="J174" s="91">
        <f t="shared" si="88"/>
        <v>489</v>
      </c>
      <c r="K174" s="84">
        <v>172</v>
      </c>
      <c r="L174" s="81">
        <f t="shared" si="82"/>
        <v>218.02721892</v>
      </c>
      <c r="M174" s="82">
        <f>TRUNC(F174*L174,2)</f>
        <v>0</v>
      </c>
      <c r="N174" s="82">
        <f>TRUNC(G174*L174,2)</f>
        <v>0</v>
      </c>
      <c r="O174" s="82">
        <f>N174+'BM 008'!O174</f>
        <v>0</v>
      </c>
      <c r="P174" s="80">
        <f>E174*K174</f>
        <v>84108</v>
      </c>
      <c r="Q174" s="82">
        <f>TRUNC(E174*L174,2)</f>
        <v>106615.31</v>
      </c>
      <c r="R174" s="82">
        <f>Q174-O174</f>
        <v>106615.31</v>
      </c>
    </row>
    <row r="175" spans="2:18" s="34" customFormat="1" ht="13.2">
      <c r="B175" s="60" t="s">
        <v>342</v>
      </c>
      <c r="C175" s="61" t="s">
        <v>343</v>
      </c>
      <c r="D175" s="60"/>
      <c r="E175" s="62"/>
      <c r="F175" s="63"/>
      <c r="G175" s="63"/>
      <c r="H175" s="63"/>
      <c r="I175" s="63">
        <f>SUM(G175:H175)+'BM 008'!I175</f>
        <v>0</v>
      </c>
      <c r="J175" s="63">
        <f t="shared" si="88"/>
        <v>0</v>
      </c>
      <c r="K175" s="63"/>
      <c r="L175" s="63">
        <f t="shared" si="82"/>
        <v>0</v>
      </c>
      <c r="M175" s="63">
        <f t="shared" ref="M175:R175" si="91">SUM(M176:M177)</f>
        <v>3066.57</v>
      </c>
      <c r="N175" s="63">
        <f t="shared" si="91"/>
        <v>3066.57</v>
      </c>
      <c r="O175" s="63">
        <f t="shared" si="91"/>
        <v>3066.57</v>
      </c>
      <c r="P175" s="63">
        <f t="shared" si="91"/>
        <v>260085</v>
      </c>
      <c r="Q175" s="63">
        <f t="shared" si="91"/>
        <v>329683.77</v>
      </c>
      <c r="R175" s="63">
        <f t="shared" si="91"/>
        <v>326617.2</v>
      </c>
    </row>
    <row r="176" spans="2:18" s="34" customFormat="1" ht="34.799999999999997">
      <c r="B176" s="87" t="s">
        <v>344</v>
      </c>
      <c r="C176" s="88" t="s">
        <v>345</v>
      </c>
      <c r="D176" s="89" t="s">
        <v>79</v>
      </c>
      <c r="E176" s="90">
        <v>1785</v>
      </c>
      <c r="F176" s="91"/>
      <c r="G176" s="91"/>
      <c r="H176" s="91"/>
      <c r="I176" s="79">
        <f>SUM(G176:H176)+'BM 008'!I176</f>
        <v>0</v>
      </c>
      <c r="J176" s="91">
        <f t="shared" si="88"/>
        <v>1785</v>
      </c>
      <c r="K176" s="84">
        <v>125</v>
      </c>
      <c r="L176" s="81">
        <f t="shared" si="82"/>
        <v>158.45001375000001</v>
      </c>
      <c r="M176" s="82">
        <f>TRUNC(F176*L176,2)</f>
        <v>0</v>
      </c>
      <c r="N176" s="82">
        <f>TRUNC(G176*L176,2)</f>
        <v>0</v>
      </c>
      <c r="O176" s="82">
        <f>N176+'BM 008'!O176</f>
        <v>0</v>
      </c>
      <c r="P176" s="80">
        <f>E176*K176</f>
        <v>223125</v>
      </c>
      <c r="Q176" s="82">
        <f>TRUNC(E176*L176,2)</f>
        <v>282833.27</v>
      </c>
      <c r="R176" s="82">
        <f>Q176-O176</f>
        <v>282833.27</v>
      </c>
    </row>
    <row r="177" spans="2:18" s="34" customFormat="1" ht="34.799999999999997">
      <c r="B177" s="75" t="s">
        <v>346</v>
      </c>
      <c r="C177" s="76" t="s">
        <v>347</v>
      </c>
      <c r="D177" s="77" t="s">
        <v>79</v>
      </c>
      <c r="E177" s="93">
        <v>880</v>
      </c>
      <c r="F177" s="79">
        <f>'M.C. MED. 09'!K1546</f>
        <v>57.6</v>
      </c>
      <c r="G177" s="79">
        <f>F177</f>
        <v>57.6</v>
      </c>
      <c r="H177" s="79"/>
      <c r="I177" s="79">
        <f>SUM(G177:H177)+'BM 008'!I177</f>
        <v>57.6</v>
      </c>
      <c r="J177" s="79">
        <f t="shared" si="88"/>
        <v>822.4</v>
      </c>
      <c r="K177" s="84">
        <v>42</v>
      </c>
      <c r="L177" s="81">
        <f t="shared" si="82"/>
        <v>53.239204620000002</v>
      </c>
      <c r="M177" s="82">
        <f>TRUNC(F177*L177,2)</f>
        <v>3066.57</v>
      </c>
      <c r="N177" s="82">
        <f>TRUNC(G177*L177,2)</f>
        <v>3066.57</v>
      </c>
      <c r="O177" s="82">
        <f>N177+'BM 008'!O177</f>
        <v>3066.57</v>
      </c>
      <c r="P177" s="80">
        <f>E177*K177</f>
        <v>36960</v>
      </c>
      <c r="Q177" s="82">
        <f>TRUNC(E177*L177,2)</f>
        <v>46850.5</v>
      </c>
      <c r="R177" s="82">
        <f>Q177-O177</f>
        <v>43783.93</v>
      </c>
    </row>
    <row r="178" spans="2:18" s="34" customFormat="1" ht="13.2">
      <c r="B178" s="60" t="s">
        <v>348</v>
      </c>
      <c r="C178" s="61" t="s">
        <v>349</v>
      </c>
      <c r="D178" s="60"/>
      <c r="E178" s="62"/>
      <c r="F178" s="63"/>
      <c r="G178" s="63"/>
      <c r="H178" s="63"/>
      <c r="I178" s="63">
        <f>SUM(G178:H178)+'BM 008'!I178</f>
        <v>0</v>
      </c>
      <c r="J178" s="63">
        <f t="shared" si="88"/>
        <v>0</v>
      </c>
      <c r="K178" s="63"/>
      <c r="L178" s="63">
        <f t="shared" si="82"/>
        <v>0</v>
      </c>
      <c r="M178" s="63">
        <f t="shared" ref="M178:R178" si="92">SUM(M179,M205)</f>
        <v>0</v>
      </c>
      <c r="N178" s="63">
        <f t="shared" si="92"/>
        <v>0</v>
      </c>
      <c r="O178" s="63">
        <f t="shared" si="92"/>
        <v>0</v>
      </c>
      <c r="P178" s="63">
        <f t="shared" si="92"/>
        <v>3144051.95</v>
      </c>
      <c r="Q178" s="63">
        <f t="shared" si="92"/>
        <v>3985400.4499999997</v>
      </c>
      <c r="R178" s="63">
        <f t="shared" si="92"/>
        <v>3985400.4499999997</v>
      </c>
    </row>
    <row r="179" spans="2:18" s="34" customFormat="1" ht="13.2">
      <c r="B179" s="66" t="s">
        <v>350</v>
      </c>
      <c r="C179" s="67" t="s">
        <v>351</v>
      </c>
      <c r="D179" s="68"/>
      <c r="E179" s="69"/>
      <c r="F179" s="70"/>
      <c r="G179" s="70"/>
      <c r="H179" s="70"/>
      <c r="I179" s="70">
        <f>SUM(G179:H179)+'BM 008'!I179</f>
        <v>0</v>
      </c>
      <c r="J179" s="70">
        <f t="shared" si="88"/>
        <v>0</v>
      </c>
      <c r="K179" s="71"/>
      <c r="L179" s="71">
        <f t="shared" si="82"/>
        <v>0</v>
      </c>
      <c r="M179" s="73">
        <f t="shared" ref="M179:R179" si="93">SUM(M180:M204)</f>
        <v>0</v>
      </c>
      <c r="N179" s="73">
        <f t="shared" si="93"/>
        <v>0</v>
      </c>
      <c r="O179" s="73">
        <f t="shared" si="93"/>
        <v>0</v>
      </c>
      <c r="P179" s="73">
        <f t="shared" si="93"/>
        <v>2156515.4</v>
      </c>
      <c r="Q179" s="73">
        <f t="shared" si="93"/>
        <v>2733599.05</v>
      </c>
      <c r="R179" s="73">
        <f t="shared" si="93"/>
        <v>2733599.05</v>
      </c>
    </row>
    <row r="180" spans="2:18" s="34" customFormat="1" ht="114.6">
      <c r="B180" s="75" t="s">
        <v>352</v>
      </c>
      <c r="C180" s="88" t="s">
        <v>353</v>
      </c>
      <c r="D180" s="89" t="s">
        <v>63</v>
      </c>
      <c r="E180" s="92">
        <v>56</v>
      </c>
      <c r="F180" s="91"/>
      <c r="G180" s="91"/>
      <c r="H180" s="91"/>
      <c r="I180" s="79">
        <f>SUM(G180:H180)+'BM 008'!I180</f>
        <v>0</v>
      </c>
      <c r="J180" s="91">
        <f t="shared" si="88"/>
        <v>56</v>
      </c>
      <c r="K180" s="84">
        <v>3125</v>
      </c>
      <c r="L180" s="81">
        <f t="shared" si="82"/>
        <v>3961.25034375</v>
      </c>
      <c r="M180" s="82">
        <f t="shared" ref="M180:M204" si="94">TRUNC(F180*L180,2)</f>
        <v>0</v>
      </c>
      <c r="N180" s="82">
        <f t="shared" ref="N180:N204" si="95">TRUNC(G180*L180,2)</f>
        <v>0</v>
      </c>
      <c r="O180" s="82">
        <f>N180+'BM 008'!O180</f>
        <v>0</v>
      </c>
      <c r="P180" s="80">
        <f t="shared" ref="P180:P204" si="96">E180*K180</f>
        <v>175000</v>
      </c>
      <c r="Q180" s="82">
        <f t="shared" ref="Q180:Q204" si="97">TRUNC(E180*L180,2)</f>
        <v>221830.01</v>
      </c>
      <c r="R180" s="82">
        <f t="shared" ref="R180:R204" si="98">Q180-O180</f>
        <v>221830.01</v>
      </c>
    </row>
    <row r="181" spans="2:18" s="34" customFormat="1" ht="103.2">
      <c r="B181" s="75" t="s">
        <v>354</v>
      </c>
      <c r="C181" s="88" t="s">
        <v>355</v>
      </c>
      <c r="D181" s="89" t="s">
        <v>63</v>
      </c>
      <c r="E181" s="92">
        <v>51</v>
      </c>
      <c r="F181" s="91"/>
      <c r="G181" s="91"/>
      <c r="H181" s="91"/>
      <c r="I181" s="79">
        <f>SUM(G181:H181)+'BM 008'!I181</f>
        <v>0</v>
      </c>
      <c r="J181" s="91">
        <f t="shared" si="88"/>
        <v>51</v>
      </c>
      <c r="K181" s="84">
        <v>3580</v>
      </c>
      <c r="L181" s="81">
        <f t="shared" si="82"/>
        <v>4538.0083937999998</v>
      </c>
      <c r="M181" s="82">
        <f t="shared" si="94"/>
        <v>0</v>
      </c>
      <c r="N181" s="82">
        <f t="shared" si="95"/>
        <v>0</v>
      </c>
      <c r="O181" s="82">
        <f>N181+'BM 008'!O181</f>
        <v>0</v>
      </c>
      <c r="P181" s="80">
        <f t="shared" si="96"/>
        <v>182580</v>
      </c>
      <c r="Q181" s="82">
        <f t="shared" si="97"/>
        <v>231438.42</v>
      </c>
      <c r="R181" s="82">
        <f t="shared" si="98"/>
        <v>231438.42</v>
      </c>
    </row>
    <row r="182" spans="2:18" s="34" customFormat="1" ht="114.6">
      <c r="B182" s="75" t="s">
        <v>356</v>
      </c>
      <c r="C182" s="88" t="s">
        <v>357</v>
      </c>
      <c r="D182" s="89" t="s">
        <v>63</v>
      </c>
      <c r="E182" s="92">
        <v>11</v>
      </c>
      <c r="F182" s="91"/>
      <c r="G182" s="91"/>
      <c r="H182" s="91"/>
      <c r="I182" s="79">
        <f>SUM(G182:H182)+'BM 008'!I182</f>
        <v>0</v>
      </c>
      <c r="J182" s="91">
        <f t="shared" si="88"/>
        <v>11</v>
      </c>
      <c r="K182" s="84">
        <v>3995</v>
      </c>
      <c r="L182" s="81">
        <f t="shared" si="82"/>
        <v>5064.0624394500001</v>
      </c>
      <c r="M182" s="82">
        <f t="shared" si="94"/>
        <v>0</v>
      </c>
      <c r="N182" s="82">
        <f t="shared" si="95"/>
        <v>0</v>
      </c>
      <c r="O182" s="82">
        <f>N182+'BM 008'!O182</f>
        <v>0</v>
      </c>
      <c r="P182" s="80">
        <f t="shared" si="96"/>
        <v>43945</v>
      </c>
      <c r="Q182" s="82">
        <f t="shared" si="97"/>
        <v>55704.68</v>
      </c>
      <c r="R182" s="82">
        <f t="shared" si="98"/>
        <v>55704.68</v>
      </c>
    </row>
    <row r="183" spans="2:18" s="34" customFormat="1" ht="80.400000000000006">
      <c r="B183" s="75" t="s">
        <v>358</v>
      </c>
      <c r="C183" s="88" t="s">
        <v>359</v>
      </c>
      <c r="D183" s="89" t="s">
        <v>63</v>
      </c>
      <c r="E183" s="92">
        <v>2</v>
      </c>
      <c r="F183" s="91"/>
      <c r="G183" s="91"/>
      <c r="H183" s="91"/>
      <c r="I183" s="79">
        <f>SUM(G183:H183)+'BM 008'!I183</f>
        <v>0</v>
      </c>
      <c r="J183" s="91">
        <f t="shared" si="88"/>
        <v>2</v>
      </c>
      <c r="K183" s="84">
        <v>4100</v>
      </c>
      <c r="L183" s="81">
        <f t="shared" si="82"/>
        <v>5197.1604510000006</v>
      </c>
      <c r="M183" s="82">
        <f t="shared" si="94"/>
        <v>0</v>
      </c>
      <c r="N183" s="82">
        <f t="shared" si="95"/>
        <v>0</v>
      </c>
      <c r="O183" s="82">
        <f>N183+'BM 008'!O183</f>
        <v>0</v>
      </c>
      <c r="P183" s="80">
        <f t="shared" si="96"/>
        <v>8200</v>
      </c>
      <c r="Q183" s="82">
        <f t="shared" si="97"/>
        <v>10394.32</v>
      </c>
      <c r="R183" s="82">
        <f t="shared" si="98"/>
        <v>10394.32</v>
      </c>
    </row>
    <row r="184" spans="2:18" s="34" customFormat="1" ht="126">
      <c r="B184" s="75" t="s">
        <v>360</v>
      </c>
      <c r="C184" s="88" t="s">
        <v>361</v>
      </c>
      <c r="D184" s="89" t="s">
        <v>63</v>
      </c>
      <c r="E184" s="92">
        <v>24</v>
      </c>
      <c r="F184" s="91"/>
      <c r="G184" s="91"/>
      <c r="H184" s="91"/>
      <c r="I184" s="79">
        <f>SUM(G184:H184)+'BM 008'!I184</f>
        <v>0</v>
      </c>
      <c r="J184" s="91">
        <f t="shared" si="88"/>
        <v>24</v>
      </c>
      <c r="K184" s="84">
        <v>4425</v>
      </c>
      <c r="L184" s="81">
        <f t="shared" si="82"/>
        <v>5609.1304867500003</v>
      </c>
      <c r="M184" s="82">
        <f t="shared" si="94"/>
        <v>0</v>
      </c>
      <c r="N184" s="82">
        <f t="shared" si="95"/>
        <v>0</v>
      </c>
      <c r="O184" s="82">
        <f>N184+'BM 008'!O184</f>
        <v>0</v>
      </c>
      <c r="P184" s="80">
        <f t="shared" si="96"/>
        <v>106200</v>
      </c>
      <c r="Q184" s="82">
        <f t="shared" si="97"/>
        <v>134619.13</v>
      </c>
      <c r="R184" s="82">
        <f t="shared" si="98"/>
        <v>134619.13</v>
      </c>
    </row>
    <row r="185" spans="2:18" s="34" customFormat="1" ht="126">
      <c r="B185" s="75" t="s">
        <v>362</v>
      </c>
      <c r="C185" s="88" t="s">
        <v>363</v>
      </c>
      <c r="D185" s="89" t="s">
        <v>63</v>
      </c>
      <c r="E185" s="92">
        <v>8</v>
      </c>
      <c r="F185" s="91"/>
      <c r="G185" s="91"/>
      <c r="H185" s="91"/>
      <c r="I185" s="79">
        <f>SUM(G185:H185)+'BM 008'!I185</f>
        <v>0</v>
      </c>
      <c r="J185" s="91">
        <f t="shared" si="88"/>
        <v>8</v>
      </c>
      <c r="K185" s="84">
        <v>4495</v>
      </c>
      <c r="L185" s="81">
        <f t="shared" si="82"/>
        <v>5697.8624944500007</v>
      </c>
      <c r="M185" s="82">
        <f t="shared" si="94"/>
        <v>0</v>
      </c>
      <c r="N185" s="82">
        <f t="shared" si="95"/>
        <v>0</v>
      </c>
      <c r="O185" s="82">
        <f>N185+'BM 008'!O185</f>
        <v>0</v>
      </c>
      <c r="P185" s="80">
        <f t="shared" si="96"/>
        <v>35960</v>
      </c>
      <c r="Q185" s="82">
        <f t="shared" si="97"/>
        <v>45582.89</v>
      </c>
      <c r="R185" s="82">
        <f t="shared" si="98"/>
        <v>45582.89</v>
      </c>
    </row>
    <row r="186" spans="2:18" s="34" customFormat="1" ht="57.6">
      <c r="B186" s="75" t="s">
        <v>364</v>
      </c>
      <c r="C186" s="88" t="s">
        <v>365</v>
      </c>
      <c r="D186" s="89" t="s">
        <v>63</v>
      </c>
      <c r="E186" s="92">
        <v>3</v>
      </c>
      <c r="F186" s="91"/>
      <c r="G186" s="91"/>
      <c r="H186" s="91"/>
      <c r="I186" s="79">
        <f>SUM(G186:H186)+'BM 008'!I186</f>
        <v>0</v>
      </c>
      <c r="J186" s="91">
        <f t="shared" si="88"/>
        <v>3</v>
      </c>
      <c r="K186" s="84">
        <v>8550</v>
      </c>
      <c r="L186" s="81">
        <f t="shared" si="82"/>
        <v>10837.9809405</v>
      </c>
      <c r="M186" s="82">
        <f t="shared" si="94"/>
        <v>0</v>
      </c>
      <c r="N186" s="82">
        <f t="shared" si="95"/>
        <v>0</v>
      </c>
      <c r="O186" s="82">
        <f>N186+'BM 008'!O186</f>
        <v>0</v>
      </c>
      <c r="P186" s="80">
        <f t="shared" si="96"/>
        <v>25650</v>
      </c>
      <c r="Q186" s="82">
        <f t="shared" si="97"/>
        <v>32513.94</v>
      </c>
      <c r="R186" s="82">
        <f t="shared" si="98"/>
        <v>32513.94</v>
      </c>
    </row>
    <row r="187" spans="2:18" s="34" customFormat="1" ht="137.4">
      <c r="B187" s="75" t="s">
        <v>366</v>
      </c>
      <c r="C187" s="88" t="s">
        <v>367</v>
      </c>
      <c r="D187" s="89" t="s">
        <v>63</v>
      </c>
      <c r="E187" s="92">
        <v>2</v>
      </c>
      <c r="F187" s="91"/>
      <c r="G187" s="91"/>
      <c r="H187" s="91"/>
      <c r="I187" s="79">
        <f>SUM(G187:H187)+'BM 008'!I187</f>
        <v>0</v>
      </c>
      <c r="J187" s="91">
        <f t="shared" si="88"/>
        <v>2</v>
      </c>
      <c r="K187" s="84">
        <v>6750</v>
      </c>
      <c r="L187" s="81">
        <f t="shared" si="82"/>
        <v>8556.3007424999996</v>
      </c>
      <c r="M187" s="82">
        <f t="shared" si="94"/>
        <v>0</v>
      </c>
      <c r="N187" s="82">
        <f t="shared" si="95"/>
        <v>0</v>
      </c>
      <c r="O187" s="82">
        <f>N187+'BM 008'!O187</f>
        <v>0</v>
      </c>
      <c r="P187" s="80">
        <f t="shared" si="96"/>
        <v>13500</v>
      </c>
      <c r="Q187" s="82">
        <f t="shared" si="97"/>
        <v>17112.599999999999</v>
      </c>
      <c r="R187" s="82">
        <f t="shared" si="98"/>
        <v>17112.599999999999</v>
      </c>
    </row>
    <row r="188" spans="2:18" s="34" customFormat="1" ht="46.2">
      <c r="B188" s="75" t="s">
        <v>368</v>
      </c>
      <c r="C188" s="88" t="s">
        <v>369</v>
      </c>
      <c r="D188" s="89" t="s">
        <v>63</v>
      </c>
      <c r="E188" s="92">
        <v>18</v>
      </c>
      <c r="F188" s="91"/>
      <c r="G188" s="91"/>
      <c r="H188" s="91"/>
      <c r="I188" s="79">
        <f>SUM(G188:H188)+'BM 008'!I188</f>
        <v>0</v>
      </c>
      <c r="J188" s="91">
        <f t="shared" si="88"/>
        <v>18</v>
      </c>
      <c r="K188" s="84">
        <v>2490</v>
      </c>
      <c r="L188" s="81">
        <f t="shared" si="82"/>
        <v>3156.3242739000002</v>
      </c>
      <c r="M188" s="82">
        <f t="shared" si="94"/>
        <v>0</v>
      </c>
      <c r="N188" s="82">
        <f t="shared" si="95"/>
        <v>0</v>
      </c>
      <c r="O188" s="82">
        <f>N188+'BM 008'!O188</f>
        <v>0</v>
      </c>
      <c r="P188" s="80">
        <f t="shared" si="96"/>
        <v>44820</v>
      </c>
      <c r="Q188" s="82">
        <f t="shared" si="97"/>
        <v>56813.83</v>
      </c>
      <c r="R188" s="82">
        <f t="shared" si="98"/>
        <v>56813.83</v>
      </c>
    </row>
    <row r="189" spans="2:18" s="34" customFormat="1" ht="57.6">
      <c r="B189" s="75" t="s">
        <v>370</v>
      </c>
      <c r="C189" s="88" t="s">
        <v>371</v>
      </c>
      <c r="D189" s="89" t="s">
        <v>63</v>
      </c>
      <c r="E189" s="92">
        <v>1</v>
      </c>
      <c r="F189" s="91"/>
      <c r="G189" s="91"/>
      <c r="H189" s="91"/>
      <c r="I189" s="79">
        <f>SUM(G189:H189)+'BM 008'!I189</f>
        <v>0</v>
      </c>
      <c r="J189" s="91">
        <f t="shared" si="88"/>
        <v>1</v>
      </c>
      <c r="K189" s="84">
        <v>5950</v>
      </c>
      <c r="L189" s="81">
        <f t="shared" si="82"/>
        <v>7542.2206544999999</v>
      </c>
      <c r="M189" s="82">
        <f t="shared" si="94"/>
        <v>0</v>
      </c>
      <c r="N189" s="82">
        <f t="shared" si="95"/>
        <v>0</v>
      </c>
      <c r="O189" s="82">
        <f>N189+'BM 008'!O189</f>
        <v>0</v>
      </c>
      <c r="P189" s="80">
        <f t="shared" si="96"/>
        <v>5950</v>
      </c>
      <c r="Q189" s="82">
        <f t="shared" si="97"/>
        <v>7542.22</v>
      </c>
      <c r="R189" s="82">
        <f t="shared" si="98"/>
        <v>7542.22</v>
      </c>
    </row>
    <row r="190" spans="2:18" s="34" customFormat="1" ht="57.6">
      <c r="B190" s="75" t="s">
        <v>372</v>
      </c>
      <c r="C190" s="88" t="s">
        <v>373</v>
      </c>
      <c r="D190" s="89" t="s">
        <v>63</v>
      </c>
      <c r="E190" s="92">
        <v>1</v>
      </c>
      <c r="F190" s="91"/>
      <c r="G190" s="91"/>
      <c r="H190" s="91"/>
      <c r="I190" s="79">
        <f>SUM(G190:H190)+'BM 008'!I190</f>
        <v>0</v>
      </c>
      <c r="J190" s="91">
        <f t="shared" si="88"/>
        <v>1</v>
      </c>
      <c r="K190" s="84">
        <v>5950</v>
      </c>
      <c r="L190" s="81">
        <f t="shared" si="82"/>
        <v>7542.2206544999999</v>
      </c>
      <c r="M190" s="82">
        <f t="shared" si="94"/>
        <v>0</v>
      </c>
      <c r="N190" s="82">
        <f t="shared" si="95"/>
        <v>0</v>
      </c>
      <c r="O190" s="82">
        <f>N190+'BM 008'!O190</f>
        <v>0</v>
      </c>
      <c r="P190" s="80">
        <f t="shared" si="96"/>
        <v>5950</v>
      </c>
      <c r="Q190" s="82">
        <f t="shared" si="97"/>
        <v>7542.22</v>
      </c>
      <c r="R190" s="82">
        <f t="shared" si="98"/>
        <v>7542.22</v>
      </c>
    </row>
    <row r="191" spans="2:18" s="34" customFormat="1" ht="57.6">
      <c r="B191" s="75" t="s">
        <v>374</v>
      </c>
      <c r="C191" s="88" t="s">
        <v>375</v>
      </c>
      <c r="D191" s="89" t="s">
        <v>79</v>
      </c>
      <c r="E191" s="92">
        <v>184.04</v>
      </c>
      <c r="F191" s="91"/>
      <c r="G191" s="91"/>
      <c r="H191" s="91"/>
      <c r="I191" s="79">
        <f>SUM(G191:H191)+'BM 008'!I191</f>
        <v>0</v>
      </c>
      <c r="J191" s="91">
        <f t="shared" si="88"/>
        <v>184.04</v>
      </c>
      <c r="K191" s="84">
        <v>1265</v>
      </c>
      <c r="L191" s="81">
        <f t="shared" si="82"/>
        <v>1603.5141391500001</v>
      </c>
      <c r="M191" s="82">
        <f t="shared" si="94"/>
        <v>0</v>
      </c>
      <c r="N191" s="82">
        <f t="shared" si="95"/>
        <v>0</v>
      </c>
      <c r="O191" s="82">
        <f>N191+'BM 008'!O191</f>
        <v>0</v>
      </c>
      <c r="P191" s="80">
        <f t="shared" si="96"/>
        <v>232810.59999999998</v>
      </c>
      <c r="Q191" s="82">
        <f t="shared" si="97"/>
        <v>295110.74</v>
      </c>
      <c r="R191" s="82">
        <f t="shared" si="98"/>
        <v>295110.74</v>
      </c>
    </row>
    <row r="192" spans="2:18" s="34" customFormat="1" ht="46.2">
      <c r="B192" s="75" t="s">
        <v>376</v>
      </c>
      <c r="C192" s="88" t="s">
        <v>377</v>
      </c>
      <c r="D192" s="89" t="s">
        <v>79</v>
      </c>
      <c r="E192" s="92">
        <v>53.96</v>
      </c>
      <c r="F192" s="91"/>
      <c r="G192" s="91"/>
      <c r="H192" s="91"/>
      <c r="I192" s="79">
        <f>SUM(G192:H192)+'BM 008'!I192</f>
        <v>0</v>
      </c>
      <c r="J192" s="91">
        <f t="shared" si="88"/>
        <v>53.96</v>
      </c>
      <c r="K192" s="84">
        <v>1080</v>
      </c>
      <c r="L192" s="81">
        <f t="shared" si="82"/>
        <v>1369.0081188000001</v>
      </c>
      <c r="M192" s="82">
        <f t="shared" si="94"/>
        <v>0</v>
      </c>
      <c r="N192" s="82">
        <f t="shared" si="95"/>
        <v>0</v>
      </c>
      <c r="O192" s="82">
        <f>N192+'BM 008'!O192</f>
        <v>0</v>
      </c>
      <c r="P192" s="80">
        <f t="shared" si="96"/>
        <v>58276.800000000003</v>
      </c>
      <c r="Q192" s="82">
        <f t="shared" si="97"/>
        <v>73871.67</v>
      </c>
      <c r="R192" s="82">
        <f t="shared" si="98"/>
        <v>73871.67</v>
      </c>
    </row>
    <row r="193" spans="2:18" s="34" customFormat="1" ht="57.6">
      <c r="B193" s="75" t="s">
        <v>378</v>
      </c>
      <c r="C193" s="88" t="s">
        <v>379</v>
      </c>
      <c r="D193" s="89" t="s">
        <v>79</v>
      </c>
      <c r="E193" s="92">
        <v>130.29</v>
      </c>
      <c r="F193" s="91"/>
      <c r="G193" s="91"/>
      <c r="H193" s="91"/>
      <c r="I193" s="79">
        <f>SUM(G193:H193)+'BM 008'!I193</f>
        <v>0</v>
      </c>
      <c r="J193" s="91">
        <f t="shared" si="88"/>
        <v>130.29</v>
      </c>
      <c r="K193" s="84">
        <v>1220</v>
      </c>
      <c r="L193" s="81">
        <f t="shared" si="82"/>
        <v>1546.4721342</v>
      </c>
      <c r="M193" s="82">
        <f t="shared" si="94"/>
        <v>0</v>
      </c>
      <c r="N193" s="82">
        <f t="shared" si="95"/>
        <v>0</v>
      </c>
      <c r="O193" s="82">
        <f>N193+'BM 008'!O193</f>
        <v>0</v>
      </c>
      <c r="P193" s="80">
        <f t="shared" si="96"/>
        <v>158953.79999999999</v>
      </c>
      <c r="Q193" s="82">
        <f t="shared" si="97"/>
        <v>201489.85</v>
      </c>
      <c r="R193" s="82">
        <f t="shared" si="98"/>
        <v>201489.85</v>
      </c>
    </row>
    <row r="194" spans="2:18" s="34" customFormat="1" ht="57.6">
      <c r="B194" s="75" t="s">
        <v>380</v>
      </c>
      <c r="C194" s="88" t="s">
        <v>381</v>
      </c>
      <c r="D194" s="89" t="s">
        <v>79</v>
      </c>
      <c r="E194" s="92">
        <v>27.88</v>
      </c>
      <c r="F194" s="91"/>
      <c r="G194" s="91"/>
      <c r="H194" s="91"/>
      <c r="I194" s="79">
        <f>SUM(G194:H194)+'BM 008'!I194</f>
        <v>0</v>
      </c>
      <c r="J194" s="91">
        <f t="shared" si="88"/>
        <v>27.88</v>
      </c>
      <c r="K194" s="84">
        <v>2180</v>
      </c>
      <c r="L194" s="81">
        <f t="shared" si="82"/>
        <v>2763.3682398000001</v>
      </c>
      <c r="M194" s="82">
        <f t="shared" si="94"/>
        <v>0</v>
      </c>
      <c r="N194" s="82">
        <f t="shared" si="95"/>
        <v>0</v>
      </c>
      <c r="O194" s="82">
        <f>N194+'BM 008'!O194</f>
        <v>0</v>
      </c>
      <c r="P194" s="80">
        <f t="shared" si="96"/>
        <v>60778.400000000001</v>
      </c>
      <c r="Q194" s="82">
        <f t="shared" si="97"/>
        <v>77042.7</v>
      </c>
      <c r="R194" s="82">
        <f t="shared" si="98"/>
        <v>77042.7</v>
      </c>
    </row>
    <row r="195" spans="2:18" s="34" customFormat="1" ht="46.2">
      <c r="B195" s="75" t="s">
        <v>382</v>
      </c>
      <c r="C195" s="88" t="s">
        <v>383</v>
      </c>
      <c r="D195" s="89" t="s">
        <v>79</v>
      </c>
      <c r="E195" s="92">
        <v>24.23</v>
      </c>
      <c r="F195" s="91"/>
      <c r="G195" s="91"/>
      <c r="H195" s="91"/>
      <c r="I195" s="79">
        <f>SUM(G195:H195)+'BM 008'!I195</f>
        <v>0</v>
      </c>
      <c r="J195" s="91">
        <f t="shared" si="88"/>
        <v>24.23</v>
      </c>
      <c r="K195" s="84">
        <v>1170</v>
      </c>
      <c r="L195" s="81">
        <f t="shared" si="82"/>
        <v>1483.0921287000001</v>
      </c>
      <c r="M195" s="82">
        <f t="shared" si="94"/>
        <v>0</v>
      </c>
      <c r="N195" s="82">
        <f t="shared" si="95"/>
        <v>0</v>
      </c>
      <c r="O195" s="82">
        <f>N195+'BM 008'!O195</f>
        <v>0</v>
      </c>
      <c r="P195" s="80">
        <f t="shared" si="96"/>
        <v>28349.100000000002</v>
      </c>
      <c r="Q195" s="82">
        <f t="shared" si="97"/>
        <v>35935.32</v>
      </c>
      <c r="R195" s="82">
        <f t="shared" si="98"/>
        <v>35935.32</v>
      </c>
    </row>
    <row r="196" spans="2:18" s="34" customFormat="1" ht="57.6">
      <c r="B196" s="75" t="s">
        <v>384</v>
      </c>
      <c r="C196" s="88" t="s">
        <v>385</v>
      </c>
      <c r="D196" s="89" t="s">
        <v>79</v>
      </c>
      <c r="E196" s="92">
        <v>93.13</v>
      </c>
      <c r="F196" s="91"/>
      <c r="G196" s="91"/>
      <c r="H196" s="91"/>
      <c r="I196" s="79">
        <f>SUM(G196:H196)+'BM 008'!I196</f>
        <v>0</v>
      </c>
      <c r="J196" s="91">
        <f t="shared" si="88"/>
        <v>93.13</v>
      </c>
      <c r="K196" s="84">
        <v>1190</v>
      </c>
      <c r="L196" s="81">
        <f t="shared" si="82"/>
        <v>1508.4441309000001</v>
      </c>
      <c r="M196" s="82">
        <f t="shared" si="94"/>
        <v>0</v>
      </c>
      <c r="N196" s="82">
        <f t="shared" si="95"/>
        <v>0</v>
      </c>
      <c r="O196" s="82">
        <f>N196+'BM 008'!O196</f>
        <v>0</v>
      </c>
      <c r="P196" s="80">
        <f t="shared" si="96"/>
        <v>110824.7</v>
      </c>
      <c r="Q196" s="82">
        <f t="shared" si="97"/>
        <v>140481.4</v>
      </c>
      <c r="R196" s="82">
        <f t="shared" si="98"/>
        <v>140481.4</v>
      </c>
    </row>
    <row r="197" spans="2:18" s="34" customFormat="1" ht="91.8">
      <c r="B197" s="75" t="s">
        <v>386</v>
      </c>
      <c r="C197" s="88" t="s">
        <v>387</v>
      </c>
      <c r="D197" s="89" t="s">
        <v>79</v>
      </c>
      <c r="E197" s="92">
        <v>570.20000000000005</v>
      </c>
      <c r="F197" s="91"/>
      <c r="G197" s="91"/>
      <c r="H197" s="91"/>
      <c r="I197" s="79">
        <f>SUM(G197:H197)+'BM 008'!I197</f>
        <v>0</v>
      </c>
      <c r="J197" s="91">
        <f t="shared" si="88"/>
        <v>570.20000000000005</v>
      </c>
      <c r="K197" s="84">
        <v>1190</v>
      </c>
      <c r="L197" s="81">
        <f t="shared" si="82"/>
        <v>1508.4441309000001</v>
      </c>
      <c r="M197" s="82">
        <f t="shared" si="94"/>
        <v>0</v>
      </c>
      <c r="N197" s="82">
        <f t="shared" si="95"/>
        <v>0</v>
      </c>
      <c r="O197" s="82">
        <f>N197+'BM 008'!O197</f>
        <v>0</v>
      </c>
      <c r="P197" s="80">
        <f t="shared" si="96"/>
        <v>678538</v>
      </c>
      <c r="Q197" s="82">
        <f t="shared" si="97"/>
        <v>860114.84</v>
      </c>
      <c r="R197" s="82">
        <f t="shared" si="98"/>
        <v>860114.84</v>
      </c>
    </row>
    <row r="198" spans="2:18" s="34" customFormat="1" ht="23.4">
      <c r="B198" s="75" t="s">
        <v>388</v>
      </c>
      <c r="C198" s="88" t="s">
        <v>389</v>
      </c>
      <c r="D198" s="89" t="s">
        <v>390</v>
      </c>
      <c r="E198" s="92">
        <v>4</v>
      </c>
      <c r="F198" s="91"/>
      <c r="G198" s="91"/>
      <c r="H198" s="91"/>
      <c r="I198" s="79">
        <f>SUM(G198:H198)+'BM 008'!I198</f>
        <v>0</v>
      </c>
      <c r="J198" s="91">
        <f t="shared" si="88"/>
        <v>4</v>
      </c>
      <c r="K198" s="84">
        <v>1780</v>
      </c>
      <c r="L198" s="81">
        <f t="shared" si="82"/>
        <v>2256.3281958000002</v>
      </c>
      <c r="M198" s="82">
        <f t="shared" si="94"/>
        <v>0</v>
      </c>
      <c r="N198" s="82">
        <f t="shared" si="95"/>
        <v>0</v>
      </c>
      <c r="O198" s="82">
        <f>N198+'BM 008'!O198</f>
        <v>0</v>
      </c>
      <c r="P198" s="80">
        <f t="shared" si="96"/>
        <v>7120</v>
      </c>
      <c r="Q198" s="82">
        <f t="shared" si="97"/>
        <v>9025.31</v>
      </c>
      <c r="R198" s="82">
        <f t="shared" si="98"/>
        <v>9025.31</v>
      </c>
    </row>
    <row r="199" spans="2:18" s="34" customFormat="1" ht="23.4">
      <c r="B199" s="75" t="s">
        <v>391</v>
      </c>
      <c r="C199" s="88" t="s">
        <v>392</v>
      </c>
      <c r="D199" s="89" t="s">
        <v>390</v>
      </c>
      <c r="E199" s="92">
        <v>1</v>
      </c>
      <c r="F199" s="91"/>
      <c r="G199" s="91"/>
      <c r="H199" s="91"/>
      <c r="I199" s="79">
        <f>SUM(G199:H199)+'BM 008'!I199</f>
        <v>0</v>
      </c>
      <c r="J199" s="91">
        <f t="shared" si="88"/>
        <v>1</v>
      </c>
      <c r="K199" s="84">
        <v>840</v>
      </c>
      <c r="L199" s="81">
        <f t="shared" si="82"/>
        <v>1064.7840924</v>
      </c>
      <c r="M199" s="82">
        <f t="shared" si="94"/>
        <v>0</v>
      </c>
      <c r="N199" s="82">
        <f t="shared" si="95"/>
        <v>0</v>
      </c>
      <c r="O199" s="82">
        <f>N199+'BM 008'!O199</f>
        <v>0</v>
      </c>
      <c r="P199" s="80">
        <f t="shared" si="96"/>
        <v>840</v>
      </c>
      <c r="Q199" s="82">
        <f t="shared" si="97"/>
        <v>1064.78</v>
      </c>
      <c r="R199" s="82">
        <f t="shared" si="98"/>
        <v>1064.78</v>
      </c>
    </row>
    <row r="200" spans="2:18" s="34" customFormat="1" ht="23.4">
      <c r="B200" s="75" t="s">
        <v>393</v>
      </c>
      <c r="C200" s="88" t="s">
        <v>394</v>
      </c>
      <c r="D200" s="89" t="s">
        <v>390</v>
      </c>
      <c r="E200" s="92">
        <v>6</v>
      </c>
      <c r="F200" s="91"/>
      <c r="G200" s="91"/>
      <c r="H200" s="91"/>
      <c r="I200" s="79">
        <f>SUM(G200:H200)+'BM 008'!I200</f>
        <v>0</v>
      </c>
      <c r="J200" s="91">
        <f t="shared" si="88"/>
        <v>6</v>
      </c>
      <c r="K200" s="84">
        <v>2190</v>
      </c>
      <c r="L200" s="81">
        <f t="shared" si="82"/>
        <v>2776.0442409000002</v>
      </c>
      <c r="M200" s="82">
        <f t="shared" si="94"/>
        <v>0</v>
      </c>
      <c r="N200" s="82">
        <f t="shared" si="95"/>
        <v>0</v>
      </c>
      <c r="O200" s="82">
        <f>N200+'BM 008'!O200</f>
        <v>0</v>
      </c>
      <c r="P200" s="80">
        <f t="shared" si="96"/>
        <v>13140</v>
      </c>
      <c r="Q200" s="82">
        <f t="shared" si="97"/>
        <v>16656.259999999998</v>
      </c>
      <c r="R200" s="82">
        <f t="shared" si="98"/>
        <v>16656.259999999998</v>
      </c>
    </row>
    <row r="201" spans="2:18" s="34" customFormat="1" ht="46.2">
      <c r="B201" s="75" t="s">
        <v>395</v>
      </c>
      <c r="C201" s="88" t="s">
        <v>396</v>
      </c>
      <c r="D201" s="89" t="s">
        <v>390</v>
      </c>
      <c r="E201" s="92">
        <v>24</v>
      </c>
      <c r="F201" s="91"/>
      <c r="G201" s="91"/>
      <c r="H201" s="91"/>
      <c r="I201" s="79">
        <f>SUM(G201:H201)+'BM 008'!I201</f>
        <v>0</v>
      </c>
      <c r="J201" s="91">
        <f t="shared" si="88"/>
        <v>24</v>
      </c>
      <c r="K201" s="84">
        <v>1950</v>
      </c>
      <c r="L201" s="81">
        <f t="shared" si="82"/>
        <v>2471.8202145</v>
      </c>
      <c r="M201" s="82">
        <f t="shared" si="94"/>
        <v>0</v>
      </c>
      <c r="N201" s="82">
        <f t="shared" si="95"/>
        <v>0</v>
      </c>
      <c r="O201" s="82">
        <f>N201+'BM 008'!O201</f>
        <v>0</v>
      </c>
      <c r="P201" s="80">
        <f t="shared" si="96"/>
        <v>46800</v>
      </c>
      <c r="Q201" s="82">
        <f t="shared" si="97"/>
        <v>59323.68</v>
      </c>
      <c r="R201" s="82">
        <f t="shared" si="98"/>
        <v>59323.68</v>
      </c>
    </row>
    <row r="202" spans="2:18" s="34" customFormat="1" ht="34.799999999999997">
      <c r="B202" s="75" t="s">
        <v>397</v>
      </c>
      <c r="C202" s="88" t="s">
        <v>398</v>
      </c>
      <c r="D202" s="89" t="s">
        <v>79</v>
      </c>
      <c r="E202" s="92">
        <v>17.82</v>
      </c>
      <c r="F202" s="91"/>
      <c r="G202" s="91"/>
      <c r="H202" s="91"/>
      <c r="I202" s="79">
        <f>SUM(G202:H202)+'BM 008'!I202</f>
        <v>0</v>
      </c>
      <c r="J202" s="91">
        <f t="shared" si="88"/>
        <v>17.82</v>
      </c>
      <c r="K202" s="84">
        <v>950</v>
      </c>
      <c r="L202" s="81">
        <f t="shared" si="82"/>
        <v>1204.2201045000002</v>
      </c>
      <c r="M202" s="82">
        <f t="shared" si="94"/>
        <v>0</v>
      </c>
      <c r="N202" s="82">
        <f t="shared" si="95"/>
        <v>0</v>
      </c>
      <c r="O202" s="82">
        <f>N202+'BM 008'!O202</f>
        <v>0</v>
      </c>
      <c r="P202" s="80">
        <f t="shared" si="96"/>
        <v>16929</v>
      </c>
      <c r="Q202" s="82">
        <f t="shared" si="97"/>
        <v>21459.200000000001</v>
      </c>
      <c r="R202" s="82">
        <f t="shared" si="98"/>
        <v>21459.200000000001</v>
      </c>
    </row>
    <row r="203" spans="2:18" s="34" customFormat="1" ht="46.2">
      <c r="B203" s="75" t="s">
        <v>399</v>
      </c>
      <c r="C203" s="88" t="s">
        <v>400</v>
      </c>
      <c r="D203" s="89" t="s">
        <v>63</v>
      </c>
      <c r="E203" s="92">
        <v>18</v>
      </c>
      <c r="F203" s="91"/>
      <c r="G203" s="91"/>
      <c r="H203" s="91"/>
      <c r="I203" s="79">
        <f>SUM(G203:H203)+'BM 008'!I203</f>
        <v>0</v>
      </c>
      <c r="J203" s="91">
        <f t="shared" si="88"/>
        <v>18</v>
      </c>
      <c r="K203" s="84">
        <v>2480</v>
      </c>
      <c r="L203" s="81">
        <f t="shared" si="82"/>
        <v>3143.6482728000001</v>
      </c>
      <c r="M203" s="82">
        <f t="shared" si="94"/>
        <v>0</v>
      </c>
      <c r="N203" s="82">
        <f t="shared" si="95"/>
        <v>0</v>
      </c>
      <c r="O203" s="82">
        <f>N203+'BM 008'!O203</f>
        <v>0</v>
      </c>
      <c r="P203" s="80">
        <f t="shared" si="96"/>
        <v>44640</v>
      </c>
      <c r="Q203" s="82">
        <f t="shared" si="97"/>
        <v>56585.66</v>
      </c>
      <c r="R203" s="82">
        <f t="shared" si="98"/>
        <v>56585.66</v>
      </c>
    </row>
    <row r="204" spans="2:18" s="34" customFormat="1" ht="46.2">
      <c r="B204" s="75" t="s">
        <v>401</v>
      </c>
      <c r="C204" s="88" t="s">
        <v>402</v>
      </c>
      <c r="D204" s="89" t="s">
        <v>63</v>
      </c>
      <c r="E204" s="92">
        <v>47</v>
      </c>
      <c r="F204" s="91"/>
      <c r="G204" s="91"/>
      <c r="H204" s="91"/>
      <c r="I204" s="79">
        <f>SUM(G204:H204)+'BM 008'!I204</f>
        <v>0</v>
      </c>
      <c r="J204" s="91">
        <f t="shared" si="88"/>
        <v>47</v>
      </c>
      <c r="K204" s="84">
        <v>1080</v>
      </c>
      <c r="L204" s="81">
        <f t="shared" si="82"/>
        <v>1369.0081188000001</v>
      </c>
      <c r="M204" s="82">
        <f t="shared" si="94"/>
        <v>0</v>
      </c>
      <c r="N204" s="82">
        <f t="shared" si="95"/>
        <v>0</v>
      </c>
      <c r="O204" s="82">
        <f>N204+'BM 008'!O204</f>
        <v>0</v>
      </c>
      <c r="P204" s="80">
        <f t="shared" si="96"/>
        <v>50760</v>
      </c>
      <c r="Q204" s="82">
        <f t="shared" si="97"/>
        <v>64343.38</v>
      </c>
      <c r="R204" s="82">
        <f t="shared" si="98"/>
        <v>64343.38</v>
      </c>
    </row>
    <row r="205" spans="2:18" s="34" customFormat="1" ht="13.2">
      <c r="B205" s="66" t="s">
        <v>403</v>
      </c>
      <c r="C205" s="67" t="s">
        <v>404</v>
      </c>
      <c r="D205" s="68"/>
      <c r="E205" s="69"/>
      <c r="F205" s="70"/>
      <c r="G205" s="70"/>
      <c r="H205" s="70"/>
      <c r="I205" s="70">
        <f>SUM(G205:H205)+'BM 008'!I205</f>
        <v>0</v>
      </c>
      <c r="J205" s="70">
        <f t="shared" si="88"/>
        <v>0</v>
      </c>
      <c r="K205" s="71"/>
      <c r="L205" s="71">
        <f t="shared" si="82"/>
        <v>0</v>
      </c>
      <c r="M205" s="73">
        <f t="shared" ref="M205:R205" si="99">SUM(M206:M214)</f>
        <v>0</v>
      </c>
      <c r="N205" s="73">
        <f t="shared" si="99"/>
        <v>0</v>
      </c>
      <c r="O205" s="73">
        <f t="shared" si="99"/>
        <v>0</v>
      </c>
      <c r="P205" s="73">
        <f t="shared" si="99"/>
        <v>987536.55</v>
      </c>
      <c r="Q205" s="73">
        <f t="shared" si="99"/>
        <v>1251801.3999999999</v>
      </c>
      <c r="R205" s="73">
        <f t="shared" si="99"/>
        <v>1251801.3999999999</v>
      </c>
    </row>
    <row r="206" spans="2:18" s="34" customFormat="1" ht="46.2">
      <c r="B206" s="87" t="s">
        <v>405</v>
      </c>
      <c r="C206" s="88" t="s">
        <v>406</v>
      </c>
      <c r="D206" s="89" t="s">
        <v>124</v>
      </c>
      <c r="E206" s="92">
        <v>158.59</v>
      </c>
      <c r="F206" s="91"/>
      <c r="G206" s="91"/>
      <c r="H206" s="91"/>
      <c r="I206" s="79">
        <f>SUM(G206:H206)+'BM 008'!I206</f>
        <v>0</v>
      </c>
      <c r="J206" s="91">
        <f t="shared" si="88"/>
        <v>158.59</v>
      </c>
      <c r="K206" s="84">
        <v>415</v>
      </c>
      <c r="L206" s="81">
        <f t="shared" si="82"/>
        <v>526.05404565000003</v>
      </c>
      <c r="M206" s="82">
        <f t="shared" ref="M206:M214" si="100">TRUNC(F206*L206,2)</f>
        <v>0</v>
      </c>
      <c r="N206" s="82">
        <f t="shared" ref="N206:N214" si="101">TRUNC(G206*L206,2)</f>
        <v>0</v>
      </c>
      <c r="O206" s="82">
        <f>N206+'BM 008'!O206</f>
        <v>0</v>
      </c>
      <c r="P206" s="80">
        <f t="shared" ref="P206:P214" si="102">E206*K206</f>
        <v>65814.850000000006</v>
      </c>
      <c r="Q206" s="82">
        <f t="shared" ref="Q206:Q214" si="103">TRUNC(E206*L206,2)</f>
        <v>83426.91</v>
      </c>
      <c r="R206" s="82">
        <f t="shared" ref="R206:R214" si="104">Q206-O206</f>
        <v>83426.91</v>
      </c>
    </row>
    <row r="207" spans="2:18" s="34" customFormat="1" ht="13.2">
      <c r="B207" s="87" t="s">
        <v>407</v>
      </c>
      <c r="C207" s="88" t="s">
        <v>408</v>
      </c>
      <c r="D207" s="89" t="s">
        <v>124</v>
      </c>
      <c r="E207" s="92">
        <v>198.52</v>
      </c>
      <c r="F207" s="91"/>
      <c r="G207" s="91"/>
      <c r="H207" s="91"/>
      <c r="I207" s="79">
        <f>SUM(G207:H207)+'BM 008'!I207</f>
        <v>0</v>
      </c>
      <c r="J207" s="91">
        <f t="shared" si="88"/>
        <v>198.52</v>
      </c>
      <c r="K207" s="84">
        <v>455</v>
      </c>
      <c r="L207" s="81">
        <f t="shared" si="82"/>
        <v>576.75805005000007</v>
      </c>
      <c r="M207" s="82">
        <f t="shared" si="100"/>
        <v>0</v>
      </c>
      <c r="N207" s="82">
        <f t="shared" si="101"/>
        <v>0</v>
      </c>
      <c r="O207" s="82">
        <f>N207+'BM 008'!O207</f>
        <v>0</v>
      </c>
      <c r="P207" s="80">
        <f t="shared" si="102"/>
        <v>90326.6</v>
      </c>
      <c r="Q207" s="82">
        <f t="shared" si="103"/>
        <v>114498</v>
      </c>
      <c r="R207" s="82">
        <f t="shared" si="104"/>
        <v>114498</v>
      </c>
    </row>
    <row r="208" spans="2:18" s="34" customFormat="1" ht="23.4">
      <c r="B208" s="87" t="s">
        <v>409</v>
      </c>
      <c r="C208" s="88" t="s">
        <v>410</v>
      </c>
      <c r="D208" s="89" t="s">
        <v>124</v>
      </c>
      <c r="E208" s="92">
        <v>129.65</v>
      </c>
      <c r="F208" s="91"/>
      <c r="G208" s="91"/>
      <c r="H208" s="91"/>
      <c r="I208" s="79">
        <f>SUM(G208:H208)+'BM 008'!I208</f>
        <v>0</v>
      </c>
      <c r="J208" s="91">
        <f t="shared" si="88"/>
        <v>129.65</v>
      </c>
      <c r="K208" s="84">
        <v>745</v>
      </c>
      <c r="L208" s="81">
        <f t="shared" si="82"/>
        <v>944.36208195000006</v>
      </c>
      <c r="M208" s="82">
        <f t="shared" si="100"/>
        <v>0</v>
      </c>
      <c r="N208" s="82">
        <f t="shared" si="101"/>
        <v>0</v>
      </c>
      <c r="O208" s="82">
        <f>N208+'BM 008'!O208</f>
        <v>0</v>
      </c>
      <c r="P208" s="80">
        <f t="shared" si="102"/>
        <v>96589.25</v>
      </c>
      <c r="Q208" s="82">
        <f t="shared" si="103"/>
        <v>122436.54</v>
      </c>
      <c r="R208" s="82">
        <f t="shared" si="104"/>
        <v>122436.54</v>
      </c>
    </row>
    <row r="209" spans="1:23" s="34" customFormat="1" ht="23.4">
      <c r="B209" s="87" t="s">
        <v>411</v>
      </c>
      <c r="C209" s="88" t="s">
        <v>412</v>
      </c>
      <c r="D209" s="89" t="s">
        <v>124</v>
      </c>
      <c r="E209" s="92">
        <v>98.74</v>
      </c>
      <c r="F209" s="91"/>
      <c r="G209" s="91"/>
      <c r="H209" s="91"/>
      <c r="I209" s="79">
        <f>SUM(G209:H209)+'BM 008'!I209</f>
        <v>0</v>
      </c>
      <c r="J209" s="91">
        <f t="shared" si="88"/>
        <v>98.74</v>
      </c>
      <c r="K209" s="84">
        <v>855</v>
      </c>
      <c r="L209" s="81">
        <f t="shared" si="82"/>
        <v>1083.7980940500001</v>
      </c>
      <c r="M209" s="82">
        <f t="shared" si="100"/>
        <v>0</v>
      </c>
      <c r="N209" s="82">
        <f t="shared" si="101"/>
        <v>0</v>
      </c>
      <c r="O209" s="82">
        <f>N209+'BM 008'!O209</f>
        <v>0</v>
      </c>
      <c r="P209" s="80">
        <f t="shared" si="102"/>
        <v>84422.7</v>
      </c>
      <c r="Q209" s="82">
        <f t="shared" si="103"/>
        <v>107014.22</v>
      </c>
      <c r="R209" s="82">
        <f t="shared" si="104"/>
        <v>107014.22</v>
      </c>
    </row>
    <row r="210" spans="1:23" s="34" customFormat="1" ht="69">
      <c r="B210" s="87" t="s">
        <v>413</v>
      </c>
      <c r="C210" s="88" t="s">
        <v>414</v>
      </c>
      <c r="D210" s="89" t="s">
        <v>82</v>
      </c>
      <c r="E210" s="92">
        <v>12</v>
      </c>
      <c r="F210" s="91"/>
      <c r="G210" s="91"/>
      <c r="H210" s="91"/>
      <c r="I210" s="79">
        <f>SUM(G210:H210)+'BM 008'!I210</f>
        <v>0</v>
      </c>
      <c r="J210" s="91">
        <f t="shared" si="88"/>
        <v>12</v>
      </c>
      <c r="K210" s="84">
        <v>1650</v>
      </c>
      <c r="L210" s="81">
        <f t="shared" si="82"/>
        <v>2091.5401815</v>
      </c>
      <c r="M210" s="82">
        <f t="shared" si="100"/>
        <v>0</v>
      </c>
      <c r="N210" s="82">
        <f t="shared" si="101"/>
        <v>0</v>
      </c>
      <c r="O210" s="82">
        <f>N210+'BM 008'!O210</f>
        <v>0</v>
      </c>
      <c r="P210" s="80">
        <f t="shared" si="102"/>
        <v>19800</v>
      </c>
      <c r="Q210" s="82">
        <f t="shared" si="103"/>
        <v>25098.48</v>
      </c>
      <c r="R210" s="82">
        <f t="shared" si="104"/>
        <v>25098.48</v>
      </c>
    </row>
    <row r="211" spans="1:23" s="34" customFormat="1" ht="13.2">
      <c r="B211" s="87" t="s">
        <v>415</v>
      </c>
      <c r="C211" s="88" t="s">
        <v>416</v>
      </c>
      <c r="D211" s="89" t="s">
        <v>79</v>
      </c>
      <c r="E211" s="92">
        <v>72.650000000000006</v>
      </c>
      <c r="F211" s="91"/>
      <c r="G211" s="91"/>
      <c r="H211" s="91"/>
      <c r="I211" s="79">
        <f>SUM(G211:H211)+'BM 008'!I211</f>
        <v>0</v>
      </c>
      <c r="J211" s="91">
        <f t="shared" si="88"/>
        <v>72.650000000000006</v>
      </c>
      <c r="K211" s="84">
        <v>485</v>
      </c>
      <c r="L211" s="81">
        <f t="shared" si="82"/>
        <v>614.78605334999997</v>
      </c>
      <c r="M211" s="82">
        <f t="shared" si="100"/>
        <v>0</v>
      </c>
      <c r="N211" s="82">
        <f t="shared" si="101"/>
        <v>0</v>
      </c>
      <c r="O211" s="82">
        <f>N211+'BM 008'!O211</f>
        <v>0</v>
      </c>
      <c r="P211" s="80">
        <f t="shared" si="102"/>
        <v>35235.25</v>
      </c>
      <c r="Q211" s="82">
        <f t="shared" si="103"/>
        <v>44664.2</v>
      </c>
      <c r="R211" s="82">
        <f t="shared" si="104"/>
        <v>44664.2</v>
      </c>
    </row>
    <row r="212" spans="1:23" s="34" customFormat="1" ht="23.4">
      <c r="B212" s="87" t="s">
        <v>417</v>
      </c>
      <c r="C212" s="88" t="s">
        <v>418</v>
      </c>
      <c r="D212" s="89" t="s">
        <v>79</v>
      </c>
      <c r="E212" s="92">
        <v>51.22</v>
      </c>
      <c r="F212" s="91"/>
      <c r="G212" s="91"/>
      <c r="H212" s="91"/>
      <c r="I212" s="79">
        <f>SUM(G212:H212)+'BM 008'!I212</f>
        <v>0</v>
      </c>
      <c r="J212" s="91">
        <f t="shared" si="88"/>
        <v>51.22</v>
      </c>
      <c r="K212" s="84">
        <v>1350</v>
      </c>
      <c r="L212" s="81">
        <f t="shared" si="82"/>
        <v>1711.2601485</v>
      </c>
      <c r="M212" s="82">
        <f t="shared" si="100"/>
        <v>0</v>
      </c>
      <c r="N212" s="82">
        <f t="shared" si="101"/>
        <v>0</v>
      </c>
      <c r="O212" s="82">
        <f>N212+'BM 008'!O212</f>
        <v>0</v>
      </c>
      <c r="P212" s="80">
        <f t="shared" si="102"/>
        <v>69147</v>
      </c>
      <c r="Q212" s="82">
        <f t="shared" si="103"/>
        <v>87650.74</v>
      </c>
      <c r="R212" s="82">
        <f t="shared" si="104"/>
        <v>87650.74</v>
      </c>
    </row>
    <row r="213" spans="1:23" s="34" customFormat="1" ht="46.2">
      <c r="B213" s="87" t="s">
        <v>419</v>
      </c>
      <c r="C213" s="88" t="s">
        <v>420</v>
      </c>
      <c r="D213" s="89" t="s">
        <v>79</v>
      </c>
      <c r="E213" s="92">
        <v>98</v>
      </c>
      <c r="F213" s="91"/>
      <c r="G213" s="91"/>
      <c r="H213" s="91"/>
      <c r="I213" s="79">
        <f>SUM(G213:H213)+'BM 008'!I213</f>
        <v>0</v>
      </c>
      <c r="J213" s="91">
        <f t="shared" si="88"/>
        <v>98</v>
      </c>
      <c r="K213" s="84">
        <v>498</v>
      </c>
      <c r="L213" s="81">
        <f t="shared" si="82"/>
        <v>631.26485478000006</v>
      </c>
      <c r="M213" s="82">
        <f t="shared" si="100"/>
        <v>0</v>
      </c>
      <c r="N213" s="82">
        <f t="shared" si="101"/>
        <v>0</v>
      </c>
      <c r="O213" s="82">
        <f>N213+'BM 008'!O213</f>
        <v>0</v>
      </c>
      <c r="P213" s="80">
        <f t="shared" si="102"/>
        <v>48804</v>
      </c>
      <c r="Q213" s="82">
        <f t="shared" si="103"/>
        <v>61863.95</v>
      </c>
      <c r="R213" s="82">
        <f t="shared" si="104"/>
        <v>61863.95</v>
      </c>
    </row>
    <row r="214" spans="1:23" s="107" customFormat="1" ht="34.799999999999997">
      <c r="A214" s="34"/>
      <c r="B214" s="87" t="s">
        <v>421</v>
      </c>
      <c r="C214" s="88" t="s">
        <v>422</v>
      </c>
      <c r="D214" s="89" t="s">
        <v>79</v>
      </c>
      <c r="E214" s="92">
        <v>342.22</v>
      </c>
      <c r="F214" s="91"/>
      <c r="G214" s="91"/>
      <c r="H214" s="91"/>
      <c r="I214" s="79">
        <f>SUM(G214:H214)+'BM 008'!I214</f>
        <v>0</v>
      </c>
      <c r="J214" s="91">
        <f t="shared" si="88"/>
        <v>342.22</v>
      </c>
      <c r="K214" s="84">
        <v>1395</v>
      </c>
      <c r="L214" s="81">
        <f t="shared" si="82"/>
        <v>1768.3021534500001</v>
      </c>
      <c r="M214" s="82">
        <f t="shared" si="100"/>
        <v>0</v>
      </c>
      <c r="N214" s="82">
        <f t="shared" si="101"/>
        <v>0</v>
      </c>
      <c r="O214" s="82">
        <f>N214+'BM 008'!O214</f>
        <v>0</v>
      </c>
      <c r="P214" s="80">
        <f t="shared" si="102"/>
        <v>477396.9</v>
      </c>
      <c r="Q214" s="82">
        <f t="shared" si="103"/>
        <v>605148.36</v>
      </c>
      <c r="R214" s="82">
        <f t="shared" si="104"/>
        <v>605148.36</v>
      </c>
      <c r="S214" s="34"/>
      <c r="T214" s="34"/>
      <c r="U214" s="34"/>
      <c r="V214" s="34"/>
      <c r="W214" s="34"/>
    </row>
    <row r="215" spans="1:23" s="34" customFormat="1" ht="13.2">
      <c r="B215" s="60" t="s">
        <v>423</v>
      </c>
      <c r="C215" s="61" t="s">
        <v>424</v>
      </c>
      <c r="D215" s="60"/>
      <c r="E215" s="62"/>
      <c r="F215" s="63"/>
      <c r="G215" s="63"/>
      <c r="H215" s="63"/>
      <c r="I215" s="63">
        <f>SUM(G215:H215)+'BM 008'!I215</f>
        <v>0</v>
      </c>
      <c r="J215" s="63">
        <f t="shared" si="88"/>
        <v>0</v>
      </c>
      <c r="K215" s="63"/>
      <c r="L215" s="63">
        <f t="shared" si="82"/>
        <v>0</v>
      </c>
      <c r="M215" s="63">
        <f t="shared" ref="M215:R215" si="105">SUM(M216:M221)</f>
        <v>0</v>
      </c>
      <c r="N215" s="63">
        <f t="shared" si="105"/>
        <v>0</v>
      </c>
      <c r="O215" s="63">
        <f t="shared" si="105"/>
        <v>0</v>
      </c>
      <c r="P215" s="63">
        <f t="shared" si="105"/>
        <v>1326910.8099999998</v>
      </c>
      <c r="Q215" s="63">
        <f t="shared" si="105"/>
        <v>1681992.2700000003</v>
      </c>
      <c r="R215" s="63">
        <f t="shared" si="105"/>
        <v>1681992.2700000003</v>
      </c>
    </row>
    <row r="216" spans="1:23" s="34" customFormat="1" ht="23.4">
      <c r="B216" s="87" t="s">
        <v>425</v>
      </c>
      <c r="C216" s="88" t="s">
        <v>426</v>
      </c>
      <c r="D216" s="89" t="s">
        <v>79</v>
      </c>
      <c r="E216" s="90">
        <f>E143+E147</f>
        <v>25549.96</v>
      </c>
      <c r="F216" s="91"/>
      <c r="G216" s="91"/>
      <c r="H216" s="91"/>
      <c r="I216" s="79">
        <f>SUM(G216:H216)+'BM 008'!I216</f>
        <v>0</v>
      </c>
      <c r="J216" s="91">
        <f t="shared" si="88"/>
        <v>25549.96</v>
      </c>
      <c r="K216" s="84">
        <v>16</v>
      </c>
      <c r="L216" s="81">
        <f t="shared" si="82"/>
        <v>20.281601760000001</v>
      </c>
      <c r="M216" s="82">
        <f t="shared" ref="M216:M221" si="106">TRUNC(F216*L216,2)</f>
        <v>0</v>
      </c>
      <c r="N216" s="82">
        <f t="shared" ref="N216:N221" si="107">TRUNC(G216*L216,2)</f>
        <v>0</v>
      </c>
      <c r="O216" s="82">
        <f>N216+'BM 008'!O216</f>
        <v>0</v>
      </c>
      <c r="P216" s="80">
        <f t="shared" ref="P216:P221" si="108">E216*K216</f>
        <v>408799.36</v>
      </c>
      <c r="Q216" s="82">
        <f t="shared" ref="Q216:Q221" si="109">TRUNC(E216*L216,2)</f>
        <v>518194.11</v>
      </c>
      <c r="R216" s="82">
        <f t="shared" ref="R216:R221" si="110">Q216-O216</f>
        <v>518194.11</v>
      </c>
    </row>
    <row r="217" spans="1:23" s="34" customFormat="1" ht="23.4">
      <c r="B217" s="87" t="s">
        <v>427</v>
      </c>
      <c r="C217" s="88" t="s">
        <v>428</v>
      </c>
      <c r="D217" s="89" t="s">
        <v>79</v>
      </c>
      <c r="E217" s="90">
        <f>E171</f>
        <v>3789.02</v>
      </c>
      <c r="F217" s="91"/>
      <c r="G217" s="91"/>
      <c r="H217" s="91"/>
      <c r="I217" s="79">
        <f>SUM(G217:H217)+'BM 008'!I217</f>
        <v>0</v>
      </c>
      <c r="J217" s="91">
        <f t="shared" si="88"/>
        <v>3789.02</v>
      </c>
      <c r="K217" s="84">
        <v>25</v>
      </c>
      <c r="L217" s="81">
        <f t="shared" si="82"/>
        <v>31.690002750000001</v>
      </c>
      <c r="M217" s="82">
        <f t="shared" si="106"/>
        <v>0</v>
      </c>
      <c r="N217" s="82">
        <f t="shared" si="107"/>
        <v>0</v>
      </c>
      <c r="O217" s="82">
        <f>N217+'BM 008'!O217</f>
        <v>0</v>
      </c>
      <c r="P217" s="80">
        <f t="shared" si="108"/>
        <v>94725.5</v>
      </c>
      <c r="Q217" s="82">
        <f t="shared" si="109"/>
        <v>120074.05</v>
      </c>
      <c r="R217" s="82">
        <f t="shared" si="110"/>
        <v>120074.05</v>
      </c>
    </row>
    <row r="218" spans="1:23" s="34" customFormat="1" ht="23.4">
      <c r="B218" s="87" t="s">
        <v>429</v>
      </c>
      <c r="C218" s="88" t="s">
        <v>430</v>
      </c>
      <c r="D218" s="89" t="s">
        <v>79</v>
      </c>
      <c r="E218" s="90">
        <f>E216</f>
        <v>25549.96</v>
      </c>
      <c r="F218" s="91"/>
      <c r="G218" s="91"/>
      <c r="H218" s="91"/>
      <c r="I218" s="79">
        <f>SUM(G218:H218)+'BM 008'!I218</f>
        <v>0</v>
      </c>
      <c r="J218" s="91">
        <f t="shared" si="88"/>
        <v>25549.96</v>
      </c>
      <c r="K218" s="84">
        <v>4.5</v>
      </c>
      <c r="L218" s="81">
        <f t="shared" si="82"/>
        <v>5.7042004950000003</v>
      </c>
      <c r="M218" s="82">
        <f t="shared" si="106"/>
        <v>0</v>
      </c>
      <c r="N218" s="82">
        <f t="shared" si="107"/>
        <v>0</v>
      </c>
      <c r="O218" s="82">
        <f>N218+'BM 008'!O218</f>
        <v>0</v>
      </c>
      <c r="P218" s="80">
        <f t="shared" si="108"/>
        <v>114974.81999999999</v>
      </c>
      <c r="Q218" s="82">
        <f t="shared" si="109"/>
        <v>145742.09</v>
      </c>
      <c r="R218" s="82">
        <f t="shared" si="110"/>
        <v>145742.09</v>
      </c>
    </row>
    <row r="219" spans="1:23" s="34" customFormat="1" ht="23.4">
      <c r="B219" s="87" t="s">
        <v>431</v>
      </c>
      <c r="C219" s="88" t="s">
        <v>432</v>
      </c>
      <c r="D219" s="89" t="s">
        <v>79</v>
      </c>
      <c r="E219" s="90">
        <f>E217</f>
        <v>3789.02</v>
      </c>
      <c r="F219" s="91"/>
      <c r="G219" s="91"/>
      <c r="H219" s="91"/>
      <c r="I219" s="79">
        <f>SUM(G219:H219)+'BM 008'!I219</f>
        <v>0</v>
      </c>
      <c r="J219" s="91">
        <f t="shared" si="88"/>
        <v>3789.02</v>
      </c>
      <c r="K219" s="84">
        <v>5</v>
      </c>
      <c r="L219" s="81">
        <f t="shared" si="82"/>
        <v>6.3380005500000003</v>
      </c>
      <c r="M219" s="82">
        <f t="shared" si="106"/>
        <v>0</v>
      </c>
      <c r="N219" s="82">
        <f t="shared" si="107"/>
        <v>0</v>
      </c>
      <c r="O219" s="82">
        <f>N219+'BM 008'!O219</f>
        <v>0</v>
      </c>
      <c r="P219" s="80">
        <f t="shared" si="108"/>
        <v>18945.099999999999</v>
      </c>
      <c r="Q219" s="82">
        <f t="shared" si="109"/>
        <v>24014.81</v>
      </c>
      <c r="R219" s="82">
        <f t="shared" si="110"/>
        <v>24014.81</v>
      </c>
    </row>
    <row r="220" spans="1:23" s="34" customFormat="1" ht="23.4">
      <c r="B220" s="87" t="s">
        <v>433</v>
      </c>
      <c r="C220" s="88" t="s">
        <v>434</v>
      </c>
      <c r="D220" s="89" t="s">
        <v>79</v>
      </c>
      <c r="E220" s="90">
        <f>E216</f>
        <v>25549.96</v>
      </c>
      <c r="F220" s="91"/>
      <c r="G220" s="91"/>
      <c r="H220" s="91"/>
      <c r="I220" s="79">
        <f>SUM(G220:H220)+'BM 008'!I220</f>
        <v>0</v>
      </c>
      <c r="J220" s="91">
        <f t="shared" si="88"/>
        <v>25549.96</v>
      </c>
      <c r="K220" s="84">
        <v>23.5</v>
      </c>
      <c r="L220" s="81">
        <f t="shared" si="82"/>
        <v>29.788602585</v>
      </c>
      <c r="M220" s="82">
        <f t="shared" si="106"/>
        <v>0</v>
      </c>
      <c r="N220" s="82">
        <f t="shared" si="107"/>
        <v>0</v>
      </c>
      <c r="O220" s="82">
        <f>N220+'BM 008'!O220</f>
        <v>0</v>
      </c>
      <c r="P220" s="80">
        <f t="shared" si="108"/>
        <v>600424.05999999994</v>
      </c>
      <c r="Q220" s="82">
        <f t="shared" si="109"/>
        <v>761097.6</v>
      </c>
      <c r="R220" s="82">
        <f t="shared" si="110"/>
        <v>761097.6</v>
      </c>
    </row>
    <row r="221" spans="1:23" s="34" customFormat="1" ht="23.4">
      <c r="B221" s="87" t="s">
        <v>435</v>
      </c>
      <c r="C221" s="88" t="s">
        <v>436</v>
      </c>
      <c r="D221" s="89" t="s">
        <v>79</v>
      </c>
      <c r="E221" s="90">
        <f>E219</f>
        <v>3789.02</v>
      </c>
      <c r="F221" s="91"/>
      <c r="G221" s="91"/>
      <c r="H221" s="91"/>
      <c r="I221" s="79">
        <f>SUM(G221:H221)+'BM 008'!I221</f>
        <v>0</v>
      </c>
      <c r="J221" s="91">
        <f t="shared" si="88"/>
        <v>3789.02</v>
      </c>
      <c r="K221" s="84">
        <v>23.5</v>
      </c>
      <c r="L221" s="81">
        <f t="shared" ref="L221:L284" si="111">K221*(1+$T$26)</f>
        <v>29.788602585</v>
      </c>
      <c r="M221" s="82">
        <f t="shared" si="106"/>
        <v>0</v>
      </c>
      <c r="N221" s="82">
        <f t="shared" si="107"/>
        <v>0</v>
      </c>
      <c r="O221" s="82">
        <f>N221+'BM 008'!O221</f>
        <v>0</v>
      </c>
      <c r="P221" s="80">
        <f t="shared" si="108"/>
        <v>89041.97</v>
      </c>
      <c r="Q221" s="82">
        <f t="shared" si="109"/>
        <v>112869.61</v>
      </c>
      <c r="R221" s="82">
        <f t="shared" si="110"/>
        <v>112869.61</v>
      </c>
    </row>
    <row r="222" spans="1:23" s="34" customFormat="1" ht="13.2">
      <c r="A222" s="107"/>
      <c r="B222" s="60" t="s">
        <v>437</v>
      </c>
      <c r="C222" s="61" t="s">
        <v>438</v>
      </c>
      <c r="D222" s="60"/>
      <c r="E222" s="62"/>
      <c r="F222" s="63"/>
      <c r="G222" s="63"/>
      <c r="H222" s="63"/>
      <c r="I222" s="63">
        <f>SUM(G222:H222)+'BM 008'!I222</f>
        <v>0</v>
      </c>
      <c r="J222" s="63">
        <f t="shared" si="88"/>
        <v>0</v>
      </c>
      <c r="K222" s="63"/>
      <c r="L222" s="63">
        <f t="shared" si="111"/>
        <v>0</v>
      </c>
      <c r="M222" s="63">
        <f t="shared" ref="M222:R222" si="112">SUM(M223:M224)</f>
        <v>0</v>
      </c>
      <c r="N222" s="63">
        <f t="shared" si="112"/>
        <v>0</v>
      </c>
      <c r="O222" s="63">
        <f t="shared" si="112"/>
        <v>0</v>
      </c>
      <c r="P222" s="63">
        <f t="shared" si="112"/>
        <v>13739.5</v>
      </c>
      <c r="Q222" s="63">
        <f t="shared" si="112"/>
        <v>17416.18</v>
      </c>
      <c r="R222" s="63">
        <f t="shared" si="112"/>
        <v>17416.18</v>
      </c>
      <c r="S222" s="107"/>
      <c r="T222" s="107"/>
      <c r="U222" s="107"/>
      <c r="V222" s="107"/>
      <c r="W222" s="107"/>
    </row>
    <row r="223" spans="1:23" s="34" customFormat="1" ht="13.2">
      <c r="B223" s="87" t="s">
        <v>439</v>
      </c>
      <c r="C223" s="88" t="s">
        <v>440</v>
      </c>
      <c r="D223" s="89" t="s">
        <v>124</v>
      </c>
      <c r="E223" s="90">
        <v>199.3</v>
      </c>
      <c r="F223" s="91"/>
      <c r="G223" s="91"/>
      <c r="H223" s="91"/>
      <c r="I223" s="79">
        <f>SUM(G223:H223)+'BM 008'!I223</f>
        <v>0</v>
      </c>
      <c r="J223" s="91">
        <f t="shared" ref="J223:J286" si="113">E223-I223</f>
        <v>199.3</v>
      </c>
      <c r="K223" s="84">
        <v>25</v>
      </c>
      <c r="L223" s="81">
        <f t="shared" si="111"/>
        <v>31.690002750000001</v>
      </c>
      <c r="M223" s="82">
        <f>TRUNC(F223*L223,2)</f>
        <v>0</v>
      </c>
      <c r="N223" s="82">
        <f>TRUNC(G223*L223,2)</f>
        <v>0</v>
      </c>
      <c r="O223" s="82">
        <f>N223+'BM 008'!O223</f>
        <v>0</v>
      </c>
      <c r="P223" s="80">
        <f>E223*K223</f>
        <v>4982.5</v>
      </c>
      <c r="Q223" s="82">
        <f>TRUNC(E223*L223,2)</f>
        <v>6315.81</v>
      </c>
      <c r="R223" s="82">
        <f>Q223-O223</f>
        <v>6315.81</v>
      </c>
    </row>
    <row r="224" spans="1:23" s="34" customFormat="1" ht="23.4">
      <c r="B224" s="87" t="s">
        <v>441</v>
      </c>
      <c r="C224" s="88" t="s">
        <v>442</v>
      </c>
      <c r="D224" s="89" t="s">
        <v>124</v>
      </c>
      <c r="E224" s="92">
        <v>250.2</v>
      </c>
      <c r="F224" s="91"/>
      <c r="G224" s="91"/>
      <c r="H224" s="91"/>
      <c r="I224" s="79">
        <f>SUM(G224:H224)+'BM 008'!I224</f>
        <v>0</v>
      </c>
      <c r="J224" s="91">
        <f t="shared" si="113"/>
        <v>250.2</v>
      </c>
      <c r="K224" s="84">
        <v>35</v>
      </c>
      <c r="L224" s="81">
        <f t="shared" si="111"/>
        <v>44.366003849999998</v>
      </c>
      <c r="M224" s="82">
        <f>TRUNC(F224*L224,2)</f>
        <v>0</v>
      </c>
      <c r="N224" s="82">
        <f>TRUNC(G224*L224,2)</f>
        <v>0</v>
      </c>
      <c r="O224" s="82">
        <f>N224+'BM 008'!O224</f>
        <v>0</v>
      </c>
      <c r="P224" s="80">
        <f>E224*K224</f>
        <v>8757</v>
      </c>
      <c r="Q224" s="82">
        <f>TRUNC(E224*L224,2)</f>
        <v>11100.37</v>
      </c>
      <c r="R224" s="82">
        <f>Q224-O224</f>
        <v>11100.37</v>
      </c>
    </row>
    <row r="225" spans="2:20" s="34" customFormat="1" ht="13.2">
      <c r="B225" s="60" t="s">
        <v>443</v>
      </c>
      <c r="C225" s="61" t="s">
        <v>444</v>
      </c>
      <c r="D225" s="60"/>
      <c r="E225" s="62"/>
      <c r="F225" s="63"/>
      <c r="G225" s="63"/>
      <c r="H225" s="63"/>
      <c r="I225" s="63">
        <f>SUM(G225:H225)+'BM 008'!I225</f>
        <v>0</v>
      </c>
      <c r="J225" s="63">
        <f t="shared" si="113"/>
        <v>0</v>
      </c>
      <c r="K225" s="63"/>
      <c r="L225" s="63">
        <f t="shared" si="111"/>
        <v>0</v>
      </c>
      <c r="M225" s="63">
        <f t="shared" ref="M225:R225" si="114">SUM(M226,M240,M255,M291,M296,M307,M315)</f>
        <v>0</v>
      </c>
      <c r="N225" s="63">
        <f t="shared" si="114"/>
        <v>0</v>
      </c>
      <c r="O225" s="63">
        <f t="shared" si="114"/>
        <v>0</v>
      </c>
      <c r="P225" s="63">
        <f t="shared" si="114"/>
        <v>679789.94300000009</v>
      </c>
      <c r="Q225" s="63">
        <f t="shared" si="114"/>
        <v>861701.45999999985</v>
      </c>
      <c r="R225" s="63">
        <f t="shared" si="114"/>
        <v>861701.45999999985</v>
      </c>
    </row>
    <row r="226" spans="2:20" s="34" customFormat="1" ht="24">
      <c r="B226" s="66" t="s">
        <v>445</v>
      </c>
      <c r="C226" s="67" t="s">
        <v>446</v>
      </c>
      <c r="D226" s="68"/>
      <c r="E226" s="69"/>
      <c r="F226" s="70"/>
      <c r="G226" s="70"/>
      <c r="H226" s="70"/>
      <c r="I226" s="70">
        <f>SUM(G226:H226)+'BM 008'!I226</f>
        <v>0</v>
      </c>
      <c r="J226" s="70">
        <f t="shared" si="113"/>
        <v>0</v>
      </c>
      <c r="K226" s="71"/>
      <c r="L226" s="71">
        <f t="shared" si="111"/>
        <v>0</v>
      </c>
      <c r="M226" s="73">
        <f t="shared" ref="M226:R226" si="115">SUM(M227:M239)</f>
        <v>0</v>
      </c>
      <c r="N226" s="73">
        <f t="shared" si="115"/>
        <v>0</v>
      </c>
      <c r="O226" s="73">
        <f t="shared" si="115"/>
        <v>0</v>
      </c>
      <c r="P226" s="73">
        <f t="shared" si="115"/>
        <v>135121.34</v>
      </c>
      <c r="Q226" s="73">
        <f t="shared" si="115"/>
        <v>171279.75999999998</v>
      </c>
      <c r="R226" s="73">
        <f t="shared" si="115"/>
        <v>171279.75999999998</v>
      </c>
    </row>
    <row r="227" spans="2:20" s="34" customFormat="1" ht="23.4">
      <c r="B227" s="87" t="s">
        <v>447</v>
      </c>
      <c r="C227" s="88" t="s">
        <v>448</v>
      </c>
      <c r="D227" s="89" t="s">
        <v>82</v>
      </c>
      <c r="E227" s="90">
        <v>787.32</v>
      </c>
      <c r="F227" s="91"/>
      <c r="G227" s="91"/>
      <c r="H227" s="91"/>
      <c r="I227" s="91">
        <f>SUM(G227:H227)+'BM 008'!I227</f>
        <v>0</v>
      </c>
      <c r="J227" s="91">
        <f t="shared" si="113"/>
        <v>787.32</v>
      </c>
      <c r="K227" s="80">
        <v>70</v>
      </c>
      <c r="L227" s="81">
        <f t="shared" si="111"/>
        <v>88.732007699999997</v>
      </c>
      <c r="M227" s="82">
        <f t="shared" ref="M227:M239" si="116">TRUNC(F227*L227,2)</f>
        <v>0</v>
      </c>
      <c r="N227" s="82">
        <f t="shared" ref="N227:N239" si="117">TRUNC(G227*L227,2)</f>
        <v>0</v>
      </c>
      <c r="O227" s="82">
        <f>N227+'BM 008'!O227</f>
        <v>0</v>
      </c>
      <c r="P227" s="80">
        <f t="shared" ref="P227:P239" si="118">E227*K227</f>
        <v>55112.4</v>
      </c>
      <c r="Q227" s="82">
        <f t="shared" ref="Q227:Q239" si="119">TRUNC(E227*L227,2)</f>
        <v>69860.479999999996</v>
      </c>
      <c r="R227" s="82">
        <f t="shared" ref="R227:R239" si="120">Q227-O227</f>
        <v>69860.479999999996</v>
      </c>
    </row>
    <row r="228" spans="2:20" s="34" customFormat="1" ht="23.4">
      <c r="B228" s="87" t="s">
        <v>449</v>
      </c>
      <c r="C228" s="88" t="s">
        <v>450</v>
      </c>
      <c r="D228" s="89" t="s">
        <v>39</v>
      </c>
      <c r="E228" s="90">
        <v>30</v>
      </c>
      <c r="F228" s="91"/>
      <c r="G228" s="91"/>
      <c r="H228" s="91"/>
      <c r="I228" s="91">
        <f>SUM(G228:H228)+'BM 008'!I228</f>
        <v>0</v>
      </c>
      <c r="J228" s="91">
        <f t="shared" si="113"/>
        <v>30</v>
      </c>
      <c r="K228" s="80">
        <v>49.5</v>
      </c>
      <c r="L228" s="81">
        <f t="shared" si="111"/>
        <v>62.746205445000001</v>
      </c>
      <c r="M228" s="82">
        <f t="shared" si="116"/>
        <v>0</v>
      </c>
      <c r="N228" s="82">
        <f t="shared" si="117"/>
        <v>0</v>
      </c>
      <c r="O228" s="82">
        <f>N228+'BM 008'!O228</f>
        <v>0</v>
      </c>
      <c r="P228" s="80">
        <f t="shared" si="118"/>
        <v>1485</v>
      </c>
      <c r="Q228" s="82">
        <f t="shared" si="119"/>
        <v>1882.38</v>
      </c>
      <c r="R228" s="82">
        <f t="shared" si="120"/>
        <v>1882.38</v>
      </c>
    </row>
    <row r="229" spans="2:20" s="34" customFormat="1" ht="23.4">
      <c r="B229" s="87" t="s">
        <v>451</v>
      </c>
      <c r="C229" s="88" t="s">
        <v>452</v>
      </c>
      <c r="D229" s="89" t="s">
        <v>39</v>
      </c>
      <c r="E229" s="90">
        <v>38</v>
      </c>
      <c r="F229" s="91"/>
      <c r="G229" s="91"/>
      <c r="H229" s="91"/>
      <c r="I229" s="91">
        <f>SUM(G229:H229)+'BM 008'!I229</f>
        <v>0</v>
      </c>
      <c r="J229" s="91">
        <f t="shared" si="113"/>
        <v>38</v>
      </c>
      <c r="K229" s="80">
        <v>43.8</v>
      </c>
      <c r="L229" s="81">
        <f t="shared" si="111"/>
        <v>55.520884817999999</v>
      </c>
      <c r="M229" s="82">
        <f t="shared" si="116"/>
        <v>0</v>
      </c>
      <c r="N229" s="82">
        <f t="shared" si="117"/>
        <v>0</v>
      </c>
      <c r="O229" s="82">
        <f>N229+'BM 008'!O229</f>
        <v>0</v>
      </c>
      <c r="P229" s="80">
        <f t="shared" si="118"/>
        <v>1664.3999999999999</v>
      </c>
      <c r="Q229" s="82">
        <f t="shared" si="119"/>
        <v>2109.79</v>
      </c>
      <c r="R229" s="82">
        <f t="shared" si="120"/>
        <v>2109.79</v>
      </c>
    </row>
    <row r="230" spans="2:20" s="34" customFormat="1" ht="23.4">
      <c r="B230" s="87" t="s">
        <v>453</v>
      </c>
      <c r="C230" s="88" t="s">
        <v>454</v>
      </c>
      <c r="D230" s="89" t="s">
        <v>39</v>
      </c>
      <c r="E230" s="90">
        <v>24</v>
      </c>
      <c r="F230" s="91"/>
      <c r="G230" s="91"/>
      <c r="H230" s="91"/>
      <c r="I230" s="91">
        <f>SUM(G230:H230)+'BM 008'!I230</f>
        <v>0</v>
      </c>
      <c r="J230" s="91">
        <f t="shared" si="113"/>
        <v>24</v>
      </c>
      <c r="K230" s="80">
        <v>40</v>
      </c>
      <c r="L230" s="81">
        <f t="shared" si="111"/>
        <v>50.704004400000002</v>
      </c>
      <c r="M230" s="82">
        <f t="shared" si="116"/>
        <v>0</v>
      </c>
      <c r="N230" s="82">
        <f t="shared" si="117"/>
        <v>0</v>
      </c>
      <c r="O230" s="82">
        <f>N230+'BM 008'!O230</f>
        <v>0</v>
      </c>
      <c r="P230" s="80">
        <f t="shared" si="118"/>
        <v>960</v>
      </c>
      <c r="Q230" s="82">
        <f t="shared" si="119"/>
        <v>1216.8900000000001</v>
      </c>
      <c r="R230" s="82">
        <f t="shared" si="120"/>
        <v>1216.8900000000001</v>
      </c>
    </row>
    <row r="231" spans="2:20" s="34" customFormat="1" ht="23.4">
      <c r="B231" s="87" t="s">
        <v>455</v>
      </c>
      <c r="C231" s="88" t="s">
        <v>456</v>
      </c>
      <c r="D231" s="89" t="s">
        <v>39</v>
      </c>
      <c r="E231" s="90">
        <v>30</v>
      </c>
      <c r="F231" s="91"/>
      <c r="G231" s="91"/>
      <c r="H231" s="91"/>
      <c r="I231" s="91">
        <f>SUM(G231:H231)+'BM 008'!I231</f>
        <v>0</v>
      </c>
      <c r="J231" s="91">
        <f t="shared" si="113"/>
        <v>30</v>
      </c>
      <c r="K231" s="80">
        <v>50</v>
      </c>
      <c r="L231" s="81">
        <f t="shared" si="111"/>
        <v>63.380005500000003</v>
      </c>
      <c r="M231" s="82">
        <f t="shared" si="116"/>
        <v>0</v>
      </c>
      <c r="N231" s="82">
        <f t="shared" si="117"/>
        <v>0</v>
      </c>
      <c r="O231" s="82">
        <f>N231+'BM 008'!O231</f>
        <v>0</v>
      </c>
      <c r="P231" s="80">
        <f t="shared" si="118"/>
        <v>1500</v>
      </c>
      <c r="Q231" s="82">
        <f t="shared" si="119"/>
        <v>1901.4</v>
      </c>
      <c r="R231" s="82">
        <f t="shared" si="120"/>
        <v>1901.4</v>
      </c>
    </row>
    <row r="232" spans="2:20" s="34" customFormat="1" ht="23.4">
      <c r="B232" s="87" t="s">
        <v>457</v>
      </c>
      <c r="C232" s="88" t="s">
        <v>458</v>
      </c>
      <c r="D232" s="89" t="s">
        <v>39</v>
      </c>
      <c r="E232" s="90">
        <v>400</v>
      </c>
      <c r="F232" s="91"/>
      <c r="G232" s="91"/>
      <c r="H232" s="91"/>
      <c r="I232" s="91">
        <f>SUM(G232:H232)+'BM 008'!I232</f>
        <v>0</v>
      </c>
      <c r="J232" s="91">
        <f t="shared" si="113"/>
        <v>400</v>
      </c>
      <c r="K232" s="80">
        <v>9.7100000000000009</v>
      </c>
      <c r="L232" s="81">
        <f t="shared" si="111"/>
        <v>12.308397068100001</v>
      </c>
      <c r="M232" s="82">
        <f t="shared" si="116"/>
        <v>0</v>
      </c>
      <c r="N232" s="82">
        <f t="shared" si="117"/>
        <v>0</v>
      </c>
      <c r="O232" s="82">
        <f>N232+'BM 008'!O232</f>
        <v>0</v>
      </c>
      <c r="P232" s="80">
        <f t="shared" si="118"/>
        <v>3884.0000000000005</v>
      </c>
      <c r="Q232" s="82">
        <f t="shared" si="119"/>
        <v>4923.3500000000004</v>
      </c>
      <c r="R232" s="82">
        <f t="shared" si="120"/>
        <v>4923.3500000000004</v>
      </c>
    </row>
    <row r="233" spans="2:20" s="34" customFormat="1" ht="34.799999999999997">
      <c r="B233" s="87" t="s">
        <v>459</v>
      </c>
      <c r="C233" s="88" t="s">
        <v>460</v>
      </c>
      <c r="D233" s="89" t="s">
        <v>82</v>
      </c>
      <c r="E233" s="90">
        <v>53.61</v>
      </c>
      <c r="F233" s="91"/>
      <c r="G233" s="91"/>
      <c r="H233" s="91"/>
      <c r="I233" s="91">
        <f>SUM(G233:H233)+'BM 008'!I233</f>
        <v>0</v>
      </c>
      <c r="J233" s="91">
        <f t="shared" si="113"/>
        <v>53.61</v>
      </c>
      <c r="K233" s="80">
        <v>95</v>
      </c>
      <c r="L233" s="81">
        <f t="shared" si="111"/>
        <v>120.42201045</v>
      </c>
      <c r="M233" s="82">
        <f t="shared" si="116"/>
        <v>0</v>
      </c>
      <c r="N233" s="82">
        <f t="shared" si="117"/>
        <v>0</v>
      </c>
      <c r="O233" s="82">
        <f>N233+'BM 008'!O233</f>
        <v>0</v>
      </c>
      <c r="P233" s="80">
        <f t="shared" si="118"/>
        <v>5092.95</v>
      </c>
      <c r="Q233" s="82">
        <f t="shared" si="119"/>
        <v>6455.82</v>
      </c>
      <c r="R233" s="82">
        <f t="shared" si="120"/>
        <v>6455.82</v>
      </c>
    </row>
    <row r="234" spans="2:20" s="34" customFormat="1" ht="46.2">
      <c r="B234" s="87" t="s">
        <v>461</v>
      </c>
      <c r="C234" s="88" t="s">
        <v>462</v>
      </c>
      <c r="D234" s="89" t="s">
        <v>82</v>
      </c>
      <c r="E234" s="90">
        <v>91.42</v>
      </c>
      <c r="F234" s="91"/>
      <c r="G234" s="91"/>
      <c r="H234" s="91"/>
      <c r="I234" s="91">
        <f>SUM(G234:H234)+'BM 008'!I234</f>
        <v>0</v>
      </c>
      <c r="J234" s="91">
        <f t="shared" si="113"/>
        <v>91.42</v>
      </c>
      <c r="K234" s="80">
        <v>15</v>
      </c>
      <c r="L234" s="81">
        <f t="shared" si="111"/>
        <v>19.014001650000001</v>
      </c>
      <c r="M234" s="82">
        <f t="shared" si="116"/>
        <v>0</v>
      </c>
      <c r="N234" s="82">
        <f t="shared" si="117"/>
        <v>0</v>
      </c>
      <c r="O234" s="82">
        <f>N234+'BM 008'!O234</f>
        <v>0</v>
      </c>
      <c r="P234" s="80">
        <f t="shared" si="118"/>
        <v>1371.3</v>
      </c>
      <c r="Q234" s="82">
        <f t="shared" si="119"/>
        <v>1738.26</v>
      </c>
      <c r="R234" s="82">
        <f t="shared" si="120"/>
        <v>1738.26</v>
      </c>
    </row>
    <row r="235" spans="2:20" s="34" customFormat="1" ht="46.2">
      <c r="B235" s="87" t="s">
        <v>463</v>
      </c>
      <c r="C235" s="88" t="s">
        <v>464</v>
      </c>
      <c r="D235" s="89" t="s">
        <v>82</v>
      </c>
      <c r="E235" s="90">
        <v>8549.7900000000009</v>
      </c>
      <c r="F235" s="91"/>
      <c r="G235" s="91"/>
      <c r="H235" s="91"/>
      <c r="I235" s="91">
        <f>SUM(G235:H235)+'BM 008'!I235</f>
        <v>0</v>
      </c>
      <c r="J235" s="91">
        <f t="shared" si="113"/>
        <v>8549.7900000000009</v>
      </c>
      <c r="K235" s="80">
        <v>6</v>
      </c>
      <c r="L235" s="81">
        <f t="shared" si="111"/>
        <v>7.6056006600000003</v>
      </c>
      <c r="M235" s="82">
        <f t="shared" si="116"/>
        <v>0</v>
      </c>
      <c r="N235" s="82">
        <f t="shared" si="117"/>
        <v>0</v>
      </c>
      <c r="O235" s="82">
        <f>N235+'BM 008'!O235</f>
        <v>0</v>
      </c>
      <c r="P235" s="80">
        <f t="shared" si="118"/>
        <v>51298.740000000005</v>
      </c>
      <c r="Q235" s="82">
        <f t="shared" si="119"/>
        <v>65026.28</v>
      </c>
      <c r="R235" s="82">
        <f t="shared" si="120"/>
        <v>65026.28</v>
      </c>
    </row>
    <row r="236" spans="2:20" s="34" customFormat="1" ht="46.2">
      <c r="B236" s="87" t="s">
        <v>465</v>
      </c>
      <c r="C236" s="88" t="s">
        <v>466</v>
      </c>
      <c r="D236" s="89" t="s">
        <v>82</v>
      </c>
      <c r="E236" s="90">
        <v>98.51</v>
      </c>
      <c r="F236" s="91"/>
      <c r="G236" s="91"/>
      <c r="H236" s="91"/>
      <c r="I236" s="91">
        <f>SUM(G236:H236)+'BM 008'!I236</f>
        <v>0</v>
      </c>
      <c r="J236" s="91">
        <f t="shared" si="113"/>
        <v>98.51</v>
      </c>
      <c r="K236" s="80">
        <v>20</v>
      </c>
      <c r="L236" s="81">
        <f t="shared" si="111"/>
        <v>25.352002200000001</v>
      </c>
      <c r="M236" s="82">
        <f t="shared" si="116"/>
        <v>0</v>
      </c>
      <c r="N236" s="82">
        <f t="shared" si="117"/>
        <v>0</v>
      </c>
      <c r="O236" s="82">
        <f>N236+'BM 008'!O236</f>
        <v>0</v>
      </c>
      <c r="P236" s="80">
        <f t="shared" si="118"/>
        <v>1970.2</v>
      </c>
      <c r="Q236" s="82">
        <f t="shared" si="119"/>
        <v>2497.42</v>
      </c>
      <c r="R236" s="82">
        <f t="shared" si="120"/>
        <v>2497.42</v>
      </c>
      <c r="T236" s="83"/>
    </row>
    <row r="237" spans="2:20" s="34" customFormat="1" ht="23.4">
      <c r="B237" s="87" t="s">
        <v>467</v>
      </c>
      <c r="C237" s="88" t="s">
        <v>468</v>
      </c>
      <c r="D237" s="89" t="s">
        <v>39</v>
      </c>
      <c r="E237" s="90">
        <v>836</v>
      </c>
      <c r="F237" s="91"/>
      <c r="G237" s="91"/>
      <c r="H237" s="91"/>
      <c r="I237" s="91">
        <f>SUM(G237:H237)+'BM 008'!I237</f>
        <v>0</v>
      </c>
      <c r="J237" s="91">
        <f t="shared" si="113"/>
        <v>836</v>
      </c>
      <c r="K237" s="80">
        <v>8</v>
      </c>
      <c r="L237" s="81">
        <f t="shared" si="111"/>
        <v>10.14080088</v>
      </c>
      <c r="M237" s="82">
        <f t="shared" si="116"/>
        <v>0</v>
      </c>
      <c r="N237" s="82">
        <f t="shared" si="117"/>
        <v>0</v>
      </c>
      <c r="O237" s="82">
        <f>N237+'BM 008'!O237</f>
        <v>0</v>
      </c>
      <c r="P237" s="80">
        <f t="shared" si="118"/>
        <v>6688</v>
      </c>
      <c r="Q237" s="82">
        <f t="shared" si="119"/>
        <v>8477.7000000000007</v>
      </c>
      <c r="R237" s="82">
        <f t="shared" si="120"/>
        <v>8477.7000000000007</v>
      </c>
      <c r="T237" s="83"/>
    </row>
    <row r="238" spans="2:20" s="34" customFormat="1" ht="34.799999999999997">
      <c r="B238" s="87" t="s">
        <v>469</v>
      </c>
      <c r="C238" s="88" t="s">
        <v>470</v>
      </c>
      <c r="D238" s="89" t="s">
        <v>39</v>
      </c>
      <c r="E238" s="90">
        <v>1359</v>
      </c>
      <c r="F238" s="91"/>
      <c r="G238" s="91"/>
      <c r="H238" s="91"/>
      <c r="I238" s="91">
        <f>SUM(G238:H238)+'BM 008'!I238</f>
        <v>0</v>
      </c>
      <c r="J238" s="91">
        <f t="shared" si="113"/>
        <v>1359</v>
      </c>
      <c r="K238" s="80">
        <v>3</v>
      </c>
      <c r="L238" s="81">
        <f t="shared" si="111"/>
        <v>3.8028003300000002</v>
      </c>
      <c r="M238" s="82">
        <f t="shared" si="116"/>
        <v>0</v>
      </c>
      <c r="N238" s="82">
        <f t="shared" si="117"/>
        <v>0</v>
      </c>
      <c r="O238" s="82">
        <f>N238+'BM 008'!O238</f>
        <v>0</v>
      </c>
      <c r="P238" s="80">
        <f t="shared" si="118"/>
        <v>4077</v>
      </c>
      <c r="Q238" s="82">
        <f t="shared" si="119"/>
        <v>5168</v>
      </c>
      <c r="R238" s="82">
        <f t="shared" si="120"/>
        <v>5168</v>
      </c>
      <c r="T238" s="83"/>
    </row>
    <row r="239" spans="2:20" s="34" customFormat="1" ht="34.799999999999997">
      <c r="B239" s="87" t="s">
        <v>471</v>
      </c>
      <c r="C239" s="88" t="s">
        <v>472</v>
      </c>
      <c r="D239" s="89" t="s">
        <v>39</v>
      </c>
      <c r="E239" s="90">
        <v>5</v>
      </c>
      <c r="F239" s="91"/>
      <c r="G239" s="91"/>
      <c r="H239" s="91"/>
      <c r="I239" s="91">
        <f>SUM(G239:H239)+'BM 008'!I239</f>
        <v>0</v>
      </c>
      <c r="J239" s="91">
        <f t="shared" si="113"/>
        <v>5</v>
      </c>
      <c r="K239" s="80">
        <v>3.47</v>
      </c>
      <c r="L239" s="81">
        <f t="shared" si="111"/>
        <v>4.3985723817000002</v>
      </c>
      <c r="M239" s="82">
        <f t="shared" si="116"/>
        <v>0</v>
      </c>
      <c r="N239" s="82">
        <f t="shared" si="117"/>
        <v>0</v>
      </c>
      <c r="O239" s="82">
        <f>N239+'BM 008'!O239</f>
        <v>0</v>
      </c>
      <c r="P239" s="80">
        <f t="shared" si="118"/>
        <v>17.350000000000001</v>
      </c>
      <c r="Q239" s="82">
        <f t="shared" si="119"/>
        <v>21.99</v>
      </c>
      <c r="R239" s="82">
        <f t="shared" si="120"/>
        <v>21.99</v>
      </c>
      <c r="T239" s="83"/>
    </row>
    <row r="240" spans="2:20" s="34" customFormat="1" ht="13.2">
      <c r="B240" s="66" t="s">
        <v>473</v>
      </c>
      <c r="C240" s="67" t="s">
        <v>474</v>
      </c>
      <c r="D240" s="68"/>
      <c r="E240" s="69"/>
      <c r="F240" s="70"/>
      <c r="G240" s="70"/>
      <c r="H240" s="70"/>
      <c r="I240" s="70">
        <f>SUM(G240:H240)+'BM 008'!I240</f>
        <v>0</v>
      </c>
      <c r="J240" s="70">
        <f t="shared" si="113"/>
        <v>0</v>
      </c>
      <c r="K240" s="71"/>
      <c r="L240" s="71">
        <f t="shared" si="111"/>
        <v>0</v>
      </c>
      <c r="M240" s="73">
        <f t="shared" ref="M240:R240" si="121">SUM(M241:M254)</f>
        <v>0</v>
      </c>
      <c r="N240" s="73">
        <f t="shared" si="121"/>
        <v>0</v>
      </c>
      <c r="O240" s="73">
        <f t="shared" si="121"/>
        <v>0</v>
      </c>
      <c r="P240" s="73">
        <f t="shared" si="121"/>
        <v>310727.75299999997</v>
      </c>
      <c r="Q240" s="73">
        <f t="shared" si="121"/>
        <v>393878.46999999991</v>
      </c>
      <c r="R240" s="73">
        <f t="shared" si="121"/>
        <v>393878.46999999991</v>
      </c>
      <c r="T240" s="83"/>
    </row>
    <row r="241" spans="2:20" s="34" customFormat="1" ht="23.4">
      <c r="B241" s="87" t="s">
        <v>475</v>
      </c>
      <c r="C241" s="88" t="s">
        <v>476</v>
      </c>
      <c r="D241" s="89" t="s">
        <v>82</v>
      </c>
      <c r="E241" s="90">
        <v>1000</v>
      </c>
      <c r="F241" s="91"/>
      <c r="G241" s="91"/>
      <c r="H241" s="91"/>
      <c r="I241" s="91">
        <f>SUM(G241:H241)+'BM 008'!I241</f>
        <v>0</v>
      </c>
      <c r="J241" s="91">
        <f t="shared" si="113"/>
        <v>1000</v>
      </c>
      <c r="K241" s="80">
        <v>15</v>
      </c>
      <c r="L241" s="81">
        <f t="shared" si="111"/>
        <v>19.014001650000001</v>
      </c>
      <c r="M241" s="82">
        <f t="shared" ref="M241:M254" si="122">TRUNC(F241*L241,2)</f>
        <v>0</v>
      </c>
      <c r="N241" s="82">
        <f t="shared" ref="N241:N254" si="123">TRUNC(G241*L241,2)</f>
        <v>0</v>
      </c>
      <c r="O241" s="82">
        <f>N241+'BM 008'!O241</f>
        <v>0</v>
      </c>
      <c r="P241" s="80">
        <f t="shared" ref="P241:P254" si="124">E241*K241</f>
        <v>15000</v>
      </c>
      <c r="Q241" s="82">
        <f t="shared" ref="Q241:Q254" si="125">TRUNC(E241*L241,2)</f>
        <v>19014</v>
      </c>
      <c r="R241" s="82">
        <f t="shared" ref="R241:R254" si="126">Q241-O241</f>
        <v>19014</v>
      </c>
      <c r="T241" s="83"/>
    </row>
    <row r="242" spans="2:20" s="34" customFormat="1" ht="46.2">
      <c r="B242" s="87" t="s">
        <v>477</v>
      </c>
      <c r="C242" s="88" t="s">
        <v>478</v>
      </c>
      <c r="D242" s="89" t="s">
        <v>124</v>
      </c>
      <c r="E242" s="90">
        <v>9216.66</v>
      </c>
      <c r="F242" s="91"/>
      <c r="G242" s="91"/>
      <c r="H242" s="91"/>
      <c r="I242" s="91">
        <f>SUM(G242:H242)+'BM 008'!I242</f>
        <v>0</v>
      </c>
      <c r="J242" s="91">
        <f t="shared" si="113"/>
        <v>9216.66</v>
      </c>
      <c r="K242" s="80">
        <v>3.5</v>
      </c>
      <c r="L242" s="81">
        <f t="shared" si="111"/>
        <v>4.4366003850000002</v>
      </c>
      <c r="M242" s="82">
        <f t="shared" si="122"/>
        <v>0</v>
      </c>
      <c r="N242" s="82">
        <f t="shared" si="123"/>
        <v>0</v>
      </c>
      <c r="O242" s="82">
        <f>N242+'BM 008'!O242</f>
        <v>0</v>
      </c>
      <c r="P242" s="80">
        <f t="shared" si="124"/>
        <v>32258.309999999998</v>
      </c>
      <c r="Q242" s="82">
        <f t="shared" si="125"/>
        <v>40890.629999999997</v>
      </c>
      <c r="R242" s="82">
        <f t="shared" si="126"/>
        <v>40890.629999999997</v>
      </c>
    </row>
    <row r="243" spans="2:20" s="34" customFormat="1" ht="57.6">
      <c r="B243" s="87" t="s">
        <v>479</v>
      </c>
      <c r="C243" s="88" t="s">
        <v>480</v>
      </c>
      <c r="D243" s="89" t="s">
        <v>82</v>
      </c>
      <c r="E243" s="90">
        <v>16088.53</v>
      </c>
      <c r="F243" s="91"/>
      <c r="G243" s="91"/>
      <c r="H243" s="91"/>
      <c r="I243" s="91">
        <f>SUM(G243:H243)+'BM 008'!I243</f>
        <v>0</v>
      </c>
      <c r="J243" s="91">
        <f t="shared" si="113"/>
        <v>16088.53</v>
      </c>
      <c r="K243" s="80">
        <v>4.5</v>
      </c>
      <c r="L243" s="81">
        <f t="shared" si="111"/>
        <v>5.7042004950000003</v>
      </c>
      <c r="M243" s="82">
        <f t="shared" si="122"/>
        <v>0</v>
      </c>
      <c r="N243" s="82">
        <f t="shared" si="123"/>
        <v>0</v>
      </c>
      <c r="O243" s="82">
        <f>N243+'BM 008'!O243</f>
        <v>0</v>
      </c>
      <c r="P243" s="80">
        <f t="shared" si="124"/>
        <v>72398.385000000009</v>
      </c>
      <c r="Q243" s="82">
        <f t="shared" si="125"/>
        <v>91772.2</v>
      </c>
      <c r="R243" s="82">
        <f t="shared" si="126"/>
        <v>91772.2</v>
      </c>
    </row>
    <row r="244" spans="2:20" s="34" customFormat="1" ht="34.799999999999997">
      <c r="B244" s="87" t="s">
        <v>481</v>
      </c>
      <c r="C244" s="88" t="s">
        <v>482</v>
      </c>
      <c r="D244" s="89" t="s">
        <v>82</v>
      </c>
      <c r="E244" s="90">
        <v>1366.87</v>
      </c>
      <c r="F244" s="91"/>
      <c r="G244" s="91"/>
      <c r="H244" s="91"/>
      <c r="I244" s="91">
        <f>SUM(G244:H244)+'BM 008'!I244</f>
        <v>0</v>
      </c>
      <c r="J244" s="91">
        <f t="shared" si="113"/>
        <v>1366.87</v>
      </c>
      <c r="K244" s="80">
        <v>7</v>
      </c>
      <c r="L244" s="81">
        <f t="shared" si="111"/>
        <v>8.8732007700000004</v>
      </c>
      <c r="M244" s="82">
        <f t="shared" si="122"/>
        <v>0</v>
      </c>
      <c r="N244" s="82">
        <f t="shared" si="123"/>
        <v>0</v>
      </c>
      <c r="O244" s="82">
        <f>N244+'BM 008'!O244</f>
        <v>0</v>
      </c>
      <c r="P244" s="80">
        <f t="shared" si="124"/>
        <v>9568.09</v>
      </c>
      <c r="Q244" s="82">
        <f t="shared" si="125"/>
        <v>12128.51</v>
      </c>
      <c r="R244" s="82">
        <f t="shared" si="126"/>
        <v>12128.51</v>
      </c>
    </row>
    <row r="245" spans="2:20" s="34" customFormat="1" ht="57.6">
      <c r="B245" s="87" t="s">
        <v>483</v>
      </c>
      <c r="C245" s="88" t="s">
        <v>484</v>
      </c>
      <c r="D245" s="89" t="s">
        <v>82</v>
      </c>
      <c r="E245" s="90">
        <v>337.73</v>
      </c>
      <c r="F245" s="91"/>
      <c r="G245" s="91"/>
      <c r="H245" s="91"/>
      <c r="I245" s="91">
        <f>SUM(G245:H245)+'BM 008'!I245</f>
        <v>0</v>
      </c>
      <c r="J245" s="91">
        <f t="shared" si="113"/>
        <v>337.73</v>
      </c>
      <c r="K245" s="80">
        <v>10</v>
      </c>
      <c r="L245" s="81">
        <f t="shared" si="111"/>
        <v>12.676001100000001</v>
      </c>
      <c r="M245" s="82">
        <f t="shared" si="122"/>
        <v>0</v>
      </c>
      <c r="N245" s="82">
        <f t="shared" si="123"/>
        <v>0</v>
      </c>
      <c r="O245" s="82">
        <f>N245+'BM 008'!O245</f>
        <v>0</v>
      </c>
      <c r="P245" s="80">
        <f t="shared" si="124"/>
        <v>3377.3</v>
      </c>
      <c r="Q245" s="82">
        <f t="shared" si="125"/>
        <v>4281.0600000000004</v>
      </c>
      <c r="R245" s="82">
        <f t="shared" si="126"/>
        <v>4281.0600000000004</v>
      </c>
    </row>
    <row r="246" spans="2:20" s="34" customFormat="1" ht="34.799999999999997">
      <c r="B246" s="87" t="s">
        <v>485</v>
      </c>
      <c r="C246" s="88" t="s">
        <v>486</v>
      </c>
      <c r="D246" s="89" t="s">
        <v>82</v>
      </c>
      <c r="E246" s="90">
        <v>584.41</v>
      </c>
      <c r="F246" s="91"/>
      <c r="G246" s="91"/>
      <c r="H246" s="91"/>
      <c r="I246" s="91">
        <f>SUM(G246:H246)+'BM 008'!I246</f>
        <v>0</v>
      </c>
      <c r="J246" s="91">
        <f t="shared" si="113"/>
        <v>584.41</v>
      </c>
      <c r="K246" s="80">
        <v>11</v>
      </c>
      <c r="L246" s="81">
        <f t="shared" si="111"/>
        <v>13.943601210000001</v>
      </c>
      <c r="M246" s="82">
        <f t="shared" si="122"/>
        <v>0</v>
      </c>
      <c r="N246" s="82">
        <f t="shared" si="123"/>
        <v>0</v>
      </c>
      <c r="O246" s="82">
        <f>N246+'BM 008'!O246</f>
        <v>0</v>
      </c>
      <c r="P246" s="80">
        <f t="shared" si="124"/>
        <v>6428.5099999999993</v>
      </c>
      <c r="Q246" s="82">
        <f t="shared" si="125"/>
        <v>8148.77</v>
      </c>
      <c r="R246" s="82">
        <f t="shared" si="126"/>
        <v>8148.77</v>
      </c>
    </row>
    <row r="247" spans="2:20" s="34" customFormat="1" ht="34.799999999999997">
      <c r="B247" s="87" t="s">
        <v>487</v>
      </c>
      <c r="C247" s="88" t="s">
        <v>488</v>
      </c>
      <c r="D247" s="89" t="s">
        <v>82</v>
      </c>
      <c r="E247" s="90">
        <v>746.42</v>
      </c>
      <c r="F247" s="91"/>
      <c r="G247" s="91"/>
      <c r="H247" s="91"/>
      <c r="I247" s="91">
        <f>SUM(G247:H247)+'BM 008'!I247</f>
        <v>0</v>
      </c>
      <c r="J247" s="91">
        <f t="shared" si="113"/>
        <v>746.42</v>
      </c>
      <c r="K247" s="80">
        <v>18</v>
      </c>
      <c r="L247" s="81">
        <f t="shared" si="111"/>
        <v>22.816801980000001</v>
      </c>
      <c r="M247" s="82">
        <f t="shared" si="122"/>
        <v>0</v>
      </c>
      <c r="N247" s="82">
        <f t="shared" si="123"/>
        <v>0</v>
      </c>
      <c r="O247" s="82">
        <f>N247+'BM 008'!O247</f>
        <v>0</v>
      </c>
      <c r="P247" s="80">
        <f t="shared" si="124"/>
        <v>13435.56</v>
      </c>
      <c r="Q247" s="82">
        <f t="shared" si="125"/>
        <v>17030.91</v>
      </c>
      <c r="R247" s="82">
        <f t="shared" si="126"/>
        <v>17030.91</v>
      </c>
    </row>
    <row r="248" spans="2:20" s="34" customFormat="1" ht="34.799999999999997">
      <c r="B248" s="87" t="s">
        <v>489</v>
      </c>
      <c r="C248" s="88" t="s">
        <v>490</v>
      </c>
      <c r="D248" s="89" t="s">
        <v>82</v>
      </c>
      <c r="E248" s="90">
        <v>396.45</v>
      </c>
      <c r="F248" s="91"/>
      <c r="G248" s="91"/>
      <c r="H248" s="91"/>
      <c r="I248" s="91">
        <f>SUM(G248:H248)+'BM 008'!I248</f>
        <v>0</v>
      </c>
      <c r="J248" s="91">
        <f t="shared" si="113"/>
        <v>396.45</v>
      </c>
      <c r="K248" s="80">
        <v>25</v>
      </c>
      <c r="L248" s="81">
        <f t="shared" si="111"/>
        <v>31.690002750000001</v>
      </c>
      <c r="M248" s="82">
        <f t="shared" si="122"/>
        <v>0</v>
      </c>
      <c r="N248" s="82">
        <f t="shared" si="123"/>
        <v>0</v>
      </c>
      <c r="O248" s="82">
        <f>N248+'BM 008'!O248</f>
        <v>0</v>
      </c>
      <c r="P248" s="80">
        <f t="shared" si="124"/>
        <v>9911.25</v>
      </c>
      <c r="Q248" s="82">
        <f t="shared" si="125"/>
        <v>12563.5</v>
      </c>
      <c r="R248" s="82">
        <f t="shared" si="126"/>
        <v>12563.5</v>
      </c>
    </row>
    <row r="249" spans="2:20" s="34" customFormat="1" ht="57.6">
      <c r="B249" s="87" t="s">
        <v>491</v>
      </c>
      <c r="C249" s="88" t="s">
        <v>492</v>
      </c>
      <c r="D249" s="89" t="s">
        <v>82</v>
      </c>
      <c r="E249" s="90">
        <v>326.43</v>
      </c>
      <c r="F249" s="91"/>
      <c r="G249" s="91"/>
      <c r="H249" s="91"/>
      <c r="I249" s="91">
        <f>SUM(G249:H249)+'BM 008'!I249</f>
        <v>0</v>
      </c>
      <c r="J249" s="91">
        <f t="shared" si="113"/>
        <v>326.43</v>
      </c>
      <c r="K249" s="80">
        <v>40</v>
      </c>
      <c r="L249" s="81">
        <f t="shared" si="111"/>
        <v>50.704004400000002</v>
      </c>
      <c r="M249" s="82">
        <f t="shared" si="122"/>
        <v>0</v>
      </c>
      <c r="N249" s="82">
        <f t="shared" si="123"/>
        <v>0</v>
      </c>
      <c r="O249" s="82">
        <f>N249+'BM 008'!O249</f>
        <v>0</v>
      </c>
      <c r="P249" s="80">
        <f t="shared" si="124"/>
        <v>13057.2</v>
      </c>
      <c r="Q249" s="82">
        <f t="shared" si="125"/>
        <v>16551.3</v>
      </c>
      <c r="R249" s="82">
        <f t="shared" si="126"/>
        <v>16551.3</v>
      </c>
    </row>
    <row r="250" spans="2:20" s="34" customFormat="1" ht="46.2">
      <c r="B250" s="87" t="s">
        <v>493</v>
      </c>
      <c r="C250" s="88" t="s">
        <v>494</v>
      </c>
      <c r="D250" s="89" t="s">
        <v>82</v>
      </c>
      <c r="E250" s="90">
        <v>49.87</v>
      </c>
      <c r="F250" s="91"/>
      <c r="G250" s="91"/>
      <c r="H250" s="91"/>
      <c r="I250" s="91">
        <f>SUM(G250:H250)+'BM 008'!I250</f>
        <v>0</v>
      </c>
      <c r="J250" s="91">
        <f t="shared" si="113"/>
        <v>49.87</v>
      </c>
      <c r="K250" s="80">
        <v>125</v>
      </c>
      <c r="L250" s="81">
        <f t="shared" si="111"/>
        <v>158.45001375000001</v>
      </c>
      <c r="M250" s="82">
        <f t="shared" si="122"/>
        <v>0</v>
      </c>
      <c r="N250" s="82">
        <f t="shared" si="123"/>
        <v>0</v>
      </c>
      <c r="O250" s="82">
        <f>N250+'BM 008'!O250</f>
        <v>0</v>
      </c>
      <c r="P250" s="80">
        <f t="shared" si="124"/>
        <v>6233.75</v>
      </c>
      <c r="Q250" s="82">
        <f t="shared" si="125"/>
        <v>7901.9</v>
      </c>
      <c r="R250" s="82">
        <f t="shared" si="126"/>
        <v>7901.9</v>
      </c>
    </row>
    <row r="251" spans="2:20" s="34" customFormat="1" ht="46.2">
      <c r="B251" s="87" t="s">
        <v>495</v>
      </c>
      <c r="C251" s="88" t="s">
        <v>496</v>
      </c>
      <c r="D251" s="89" t="s">
        <v>82</v>
      </c>
      <c r="E251" s="90">
        <v>49.87</v>
      </c>
      <c r="F251" s="91"/>
      <c r="G251" s="91"/>
      <c r="H251" s="91"/>
      <c r="I251" s="91">
        <f>SUM(G251:H251)+'BM 008'!I251</f>
        <v>0</v>
      </c>
      <c r="J251" s="91">
        <f t="shared" si="113"/>
        <v>49.87</v>
      </c>
      <c r="K251" s="80">
        <v>170</v>
      </c>
      <c r="L251" s="81">
        <f t="shared" si="111"/>
        <v>215.49201870000002</v>
      </c>
      <c r="M251" s="82">
        <f t="shared" si="122"/>
        <v>0</v>
      </c>
      <c r="N251" s="82">
        <f t="shared" si="123"/>
        <v>0</v>
      </c>
      <c r="O251" s="82">
        <f>N251+'BM 008'!O251</f>
        <v>0</v>
      </c>
      <c r="P251" s="80">
        <f t="shared" si="124"/>
        <v>8477.9</v>
      </c>
      <c r="Q251" s="82">
        <f t="shared" si="125"/>
        <v>10746.58</v>
      </c>
      <c r="R251" s="82">
        <f t="shared" si="126"/>
        <v>10746.58</v>
      </c>
    </row>
    <row r="252" spans="2:20" s="34" customFormat="1" ht="46.2">
      <c r="B252" s="87" t="s">
        <v>497</v>
      </c>
      <c r="C252" s="88" t="s">
        <v>498</v>
      </c>
      <c r="D252" s="89" t="s">
        <v>82</v>
      </c>
      <c r="E252" s="90">
        <v>149.6</v>
      </c>
      <c r="F252" s="91"/>
      <c r="G252" s="91"/>
      <c r="H252" s="91"/>
      <c r="I252" s="91">
        <f>SUM(G252:H252)+'BM 008'!I252</f>
        <v>0</v>
      </c>
      <c r="J252" s="91">
        <f t="shared" si="113"/>
        <v>149.6</v>
      </c>
      <c r="K252" s="80">
        <v>290</v>
      </c>
      <c r="L252" s="81">
        <f t="shared" si="111"/>
        <v>367.6040319</v>
      </c>
      <c r="M252" s="82">
        <f t="shared" si="122"/>
        <v>0</v>
      </c>
      <c r="N252" s="82">
        <f t="shared" si="123"/>
        <v>0</v>
      </c>
      <c r="O252" s="82">
        <f>N252+'BM 008'!O252</f>
        <v>0</v>
      </c>
      <c r="P252" s="80">
        <f t="shared" si="124"/>
        <v>43384</v>
      </c>
      <c r="Q252" s="82">
        <f t="shared" si="125"/>
        <v>54993.56</v>
      </c>
      <c r="R252" s="82">
        <f t="shared" si="126"/>
        <v>54993.56</v>
      </c>
    </row>
    <row r="253" spans="2:20" s="34" customFormat="1" ht="23.4">
      <c r="B253" s="87" t="s">
        <v>499</v>
      </c>
      <c r="C253" s="88" t="s">
        <v>500</v>
      </c>
      <c r="D253" s="89" t="s">
        <v>82</v>
      </c>
      <c r="E253" s="90">
        <v>4482.08</v>
      </c>
      <c r="F253" s="91"/>
      <c r="G253" s="91"/>
      <c r="H253" s="91"/>
      <c r="I253" s="91">
        <f>SUM(G253:H253)+'BM 008'!I253</f>
        <v>0</v>
      </c>
      <c r="J253" s="91">
        <f t="shared" si="113"/>
        <v>4482.08</v>
      </c>
      <c r="K253" s="80">
        <v>9</v>
      </c>
      <c r="L253" s="81">
        <f t="shared" si="111"/>
        <v>11.408400990000001</v>
      </c>
      <c r="M253" s="82">
        <f t="shared" si="122"/>
        <v>0</v>
      </c>
      <c r="N253" s="82">
        <f t="shared" si="123"/>
        <v>0</v>
      </c>
      <c r="O253" s="82">
        <f>N253+'BM 008'!O253</f>
        <v>0</v>
      </c>
      <c r="P253" s="80">
        <f t="shared" si="124"/>
        <v>40338.720000000001</v>
      </c>
      <c r="Q253" s="82">
        <f t="shared" si="125"/>
        <v>51133.36</v>
      </c>
      <c r="R253" s="82">
        <f t="shared" si="126"/>
        <v>51133.36</v>
      </c>
    </row>
    <row r="254" spans="2:20" s="34" customFormat="1" ht="23.4">
      <c r="B254" s="87" t="s">
        <v>501</v>
      </c>
      <c r="C254" s="88" t="s">
        <v>502</v>
      </c>
      <c r="D254" s="89" t="s">
        <v>82</v>
      </c>
      <c r="E254" s="90">
        <v>3350.7979999999998</v>
      </c>
      <c r="F254" s="91"/>
      <c r="G254" s="91"/>
      <c r="H254" s="91"/>
      <c r="I254" s="91">
        <f>SUM(G254:H254)+'BM 008'!I254</f>
        <v>0</v>
      </c>
      <c r="J254" s="91">
        <f t="shared" si="113"/>
        <v>3350.7979999999998</v>
      </c>
      <c r="K254" s="80">
        <v>11</v>
      </c>
      <c r="L254" s="81">
        <f t="shared" si="111"/>
        <v>13.943601210000001</v>
      </c>
      <c r="M254" s="82">
        <f t="shared" si="122"/>
        <v>0</v>
      </c>
      <c r="N254" s="82">
        <f t="shared" si="123"/>
        <v>0</v>
      </c>
      <c r="O254" s="82">
        <f>N254+'BM 008'!O254</f>
        <v>0</v>
      </c>
      <c r="P254" s="80">
        <f t="shared" si="124"/>
        <v>36858.777999999998</v>
      </c>
      <c r="Q254" s="82">
        <f t="shared" si="125"/>
        <v>46722.19</v>
      </c>
      <c r="R254" s="82">
        <f t="shared" si="126"/>
        <v>46722.19</v>
      </c>
    </row>
    <row r="255" spans="2:20" s="34" customFormat="1" ht="13.2">
      <c r="B255" s="66" t="s">
        <v>503</v>
      </c>
      <c r="C255" s="67" t="s">
        <v>504</v>
      </c>
      <c r="D255" s="68"/>
      <c r="E255" s="69"/>
      <c r="F255" s="70"/>
      <c r="G255" s="70"/>
      <c r="H255" s="70"/>
      <c r="I255" s="70">
        <f>SUM(G255:H255)+'BM 008'!I255</f>
        <v>0</v>
      </c>
      <c r="J255" s="70">
        <f t="shared" si="113"/>
        <v>0</v>
      </c>
      <c r="K255" s="71"/>
      <c r="L255" s="71">
        <f t="shared" si="111"/>
        <v>0</v>
      </c>
      <c r="M255" s="73">
        <f t="shared" ref="M255:R255" si="127">SUM(M256:M290)</f>
        <v>0</v>
      </c>
      <c r="N255" s="73">
        <f t="shared" si="127"/>
        <v>0</v>
      </c>
      <c r="O255" s="73">
        <f t="shared" si="127"/>
        <v>0</v>
      </c>
      <c r="P255" s="73">
        <f t="shared" si="127"/>
        <v>65111</v>
      </c>
      <c r="Q255" s="73">
        <f t="shared" si="127"/>
        <v>82534.59</v>
      </c>
      <c r="R255" s="73">
        <f t="shared" si="127"/>
        <v>82534.59</v>
      </c>
    </row>
    <row r="256" spans="2:20" s="34" customFormat="1" ht="46.2">
      <c r="B256" s="87" t="s">
        <v>505</v>
      </c>
      <c r="C256" s="88" t="s">
        <v>506</v>
      </c>
      <c r="D256" s="89" t="s">
        <v>131</v>
      </c>
      <c r="E256" s="90">
        <v>3</v>
      </c>
      <c r="F256" s="91"/>
      <c r="G256" s="91"/>
      <c r="H256" s="91"/>
      <c r="I256" s="91">
        <f>SUM(G256:H256)+'BM 008'!I256</f>
        <v>0</v>
      </c>
      <c r="J256" s="91">
        <f t="shared" si="113"/>
        <v>3</v>
      </c>
      <c r="K256" s="80">
        <v>1080</v>
      </c>
      <c r="L256" s="81">
        <f t="shared" si="111"/>
        <v>1369.0081188000001</v>
      </c>
      <c r="M256" s="82">
        <f t="shared" ref="M256:M290" si="128">TRUNC(F256*L256,2)</f>
        <v>0</v>
      </c>
      <c r="N256" s="82">
        <f t="shared" ref="N256:N290" si="129">TRUNC(G256*L256,2)</f>
        <v>0</v>
      </c>
      <c r="O256" s="82">
        <f>N256+'BM 008'!O256</f>
        <v>0</v>
      </c>
      <c r="P256" s="80">
        <f t="shared" ref="P256:P290" si="130">E256*K256</f>
        <v>3240</v>
      </c>
      <c r="Q256" s="82">
        <f t="shared" ref="Q256:Q290" si="131">TRUNC(E256*L256,2)</f>
        <v>4107.0200000000004</v>
      </c>
      <c r="R256" s="82">
        <f t="shared" ref="R256:R290" si="132">Q256-O256</f>
        <v>4107.0200000000004</v>
      </c>
    </row>
    <row r="257" spans="2:18" s="34" customFormat="1" ht="46.2">
      <c r="B257" s="87" t="s">
        <v>507</v>
      </c>
      <c r="C257" s="88" t="s">
        <v>508</v>
      </c>
      <c r="D257" s="89" t="s">
        <v>131</v>
      </c>
      <c r="E257" s="90">
        <v>1</v>
      </c>
      <c r="F257" s="91"/>
      <c r="G257" s="91"/>
      <c r="H257" s="91"/>
      <c r="I257" s="91">
        <f>SUM(G257:H257)+'BM 008'!I257</f>
        <v>0</v>
      </c>
      <c r="J257" s="91">
        <f t="shared" si="113"/>
        <v>1</v>
      </c>
      <c r="K257" s="80">
        <v>1200</v>
      </c>
      <c r="L257" s="81">
        <f t="shared" si="111"/>
        <v>1521.120132</v>
      </c>
      <c r="M257" s="82">
        <f t="shared" si="128"/>
        <v>0</v>
      </c>
      <c r="N257" s="82">
        <f t="shared" si="129"/>
        <v>0</v>
      </c>
      <c r="O257" s="82">
        <f>N257+'BM 008'!O257</f>
        <v>0</v>
      </c>
      <c r="P257" s="80">
        <f t="shared" si="130"/>
        <v>1200</v>
      </c>
      <c r="Q257" s="82">
        <f t="shared" si="131"/>
        <v>1521.12</v>
      </c>
      <c r="R257" s="82">
        <f t="shared" si="132"/>
        <v>1521.12</v>
      </c>
    </row>
    <row r="258" spans="2:18" s="34" customFormat="1" ht="46.2">
      <c r="B258" s="87" t="s">
        <v>509</v>
      </c>
      <c r="C258" s="88" t="s">
        <v>510</v>
      </c>
      <c r="D258" s="89" t="s">
        <v>131</v>
      </c>
      <c r="E258" s="90">
        <v>4</v>
      </c>
      <c r="F258" s="91"/>
      <c r="G258" s="91"/>
      <c r="H258" s="91"/>
      <c r="I258" s="91">
        <f>SUM(G258:H258)+'BM 008'!I258</f>
        <v>0</v>
      </c>
      <c r="J258" s="91">
        <f t="shared" si="113"/>
        <v>4</v>
      </c>
      <c r="K258" s="80">
        <v>1890</v>
      </c>
      <c r="L258" s="81">
        <f t="shared" si="111"/>
        <v>2395.7642079000002</v>
      </c>
      <c r="M258" s="82">
        <f t="shared" si="128"/>
        <v>0</v>
      </c>
      <c r="N258" s="82">
        <f t="shared" si="129"/>
        <v>0</v>
      </c>
      <c r="O258" s="82">
        <f>N258+'BM 008'!O258</f>
        <v>0</v>
      </c>
      <c r="P258" s="80">
        <f t="shared" si="130"/>
        <v>7560</v>
      </c>
      <c r="Q258" s="82">
        <f t="shared" si="131"/>
        <v>9583.0499999999993</v>
      </c>
      <c r="R258" s="82">
        <f t="shared" si="132"/>
        <v>9583.0499999999993</v>
      </c>
    </row>
    <row r="259" spans="2:18" s="34" customFormat="1" ht="34.799999999999997">
      <c r="B259" s="87" t="s">
        <v>511</v>
      </c>
      <c r="C259" s="88" t="s">
        <v>512</v>
      </c>
      <c r="D259" s="89" t="s">
        <v>131</v>
      </c>
      <c r="E259" s="90">
        <v>19</v>
      </c>
      <c r="F259" s="91"/>
      <c r="G259" s="91"/>
      <c r="H259" s="91"/>
      <c r="I259" s="91">
        <f>SUM(G259:H259)+'BM 008'!I259</f>
        <v>0</v>
      </c>
      <c r="J259" s="91">
        <f t="shared" si="113"/>
        <v>19</v>
      </c>
      <c r="K259" s="80">
        <v>1000</v>
      </c>
      <c r="L259" s="81">
        <f t="shared" si="111"/>
        <v>1267.6001100000001</v>
      </c>
      <c r="M259" s="82">
        <f t="shared" si="128"/>
        <v>0</v>
      </c>
      <c r="N259" s="82">
        <f t="shared" si="129"/>
        <v>0</v>
      </c>
      <c r="O259" s="82">
        <f>N259+'BM 008'!O259</f>
        <v>0</v>
      </c>
      <c r="P259" s="80">
        <f t="shared" si="130"/>
        <v>19000</v>
      </c>
      <c r="Q259" s="82">
        <f t="shared" si="131"/>
        <v>24084.400000000001</v>
      </c>
      <c r="R259" s="82">
        <f t="shared" si="132"/>
        <v>24084.400000000001</v>
      </c>
    </row>
    <row r="260" spans="2:18" s="34" customFormat="1" ht="34.799999999999997">
      <c r="B260" s="87" t="s">
        <v>513</v>
      </c>
      <c r="C260" s="88" t="s">
        <v>514</v>
      </c>
      <c r="D260" s="89" t="s">
        <v>131</v>
      </c>
      <c r="E260" s="90">
        <v>2</v>
      </c>
      <c r="F260" s="91"/>
      <c r="G260" s="91"/>
      <c r="H260" s="91"/>
      <c r="I260" s="91">
        <f>SUM(G260:H260)+'BM 008'!I260</f>
        <v>0</v>
      </c>
      <c r="J260" s="91">
        <f t="shared" si="113"/>
        <v>2</v>
      </c>
      <c r="K260" s="80">
        <v>1400</v>
      </c>
      <c r="L260" s="81">
        <f t="shared" si="111"/>
        <v>1774.6401540000002</v>
      </c>
      <c r="M260" s="82">
        <f t="shared" si="128"/>
        <v>0</v>
      </c>
      <c r="N260" s="82">
        <f t="shared" si="129"/>
        <v>0</v>
      </c>
      <c r="O260" s="82">
        <f>N260+'BM 008'!O260</f>
        <v>0</v>
      </c>
      <c r="P260" s="80">
        <f t="shared" si="130"/>
        <v>2800</v>
      </c>
      <c r="Q260" s="82">
        <f t="shared" si="131"/>
        <v>3549.28</v>
      </c>
      <c r="R260" s="82">
        <f t="shared" si="132"/>
        <v>3549.28</v>
      </c>
    </row>
    <row r="261" spans="2:18" s="34" customFormat="1" ht="23.4">
      <c r="B261" s="87" t="s">
        <v>515</v>
      </c>
      <c r="C261" s="88" t="s">
        <v>516</v>
      </c>
      <c r="D261" s="89" t="s">
        <v>131</v>
      </c>
      <c r="E261" s="90">
        <v>2</v>
      </c>
      <c r="F261" s="91"/>
      <c r="G261" s="91"/>
      <c r="H261" s="91"/>
      <c r="I261" s="91">
        <f>SUM(G261:H261)+'BM 008'!I261</f>
        <v>0</v>
      </c>
      <c r="J261" s="91">
        <f t="shared" si="113"/>
        <v>2</v>
      </c>
      <c r="K261" s="80">
        <v>800</v>
      </c>
      <c r="L261" s="81">
        <f t="shared" si="111"/>
        <v>1014.080088</v>
      </c>
      <c r="M261" s="82">
        <f t="shared" si="128"/>
        <v>0</v>
      </c>
      <c r="N261" s="82">
        <f t="shared" si="129"/>
        <v>0</v>
      </c>
      <c r="O261" s="82">
        <f>N261+'BM 008'!O261</f>
        <v>0</v>
      </c>
      <c r="P261" s="80">
        <f t="shared" si="130"/>
        <v>1600</v>
      </c>
      <c r="Q261" s="82">
        <f t="shared" si="131"/>
        <v>2028.16</v>
      </c>
      <c r="R261" s="82">
        <f t="shared" si="132"/>
        <v>2028.16</v>
      </c>
    </row>
    <row r="262" spans="2:18" s="34" customFormat="1" ht="23.4">
      <c r="B262" s="87" t="s">
        <v>517</v>
      </c>
      <c r="C262" s="88" t="s">
        <v>518</v>
      </c>
      <c r="D262" s="89" t="s">
        <v>131</v>
      </c>
      <c r="E262" s="90">
        <v>1</v>
      </c>
      <c r="F262" s="91"/>
      <c r="G262" s="91"/>
      <c r="H262" s="91"/>
      <c r="I262" s="91">
        <f>SUM(G262:H262)+'BM 008'!I262</f>
        <v>0</v>
      </c>
      <c r="J262" s="91">
        <f t="shared" si="113"/>
        <v>1</v>
      </c>
      <c r="K262" s="80">
        <v>1200</v>
      </c>
      <c r="L262" s="81">
        <f t="shared" si="111"/>
        <v>1521.120132</v>
      </c>
      <c r="M262" s="82">
        <f t="shared" si="128"/>
        <v>0</v>
      </c>
      <c r="N262" s="82">
        <f t="shared" si="129"/>
        <v>0</v>
      </c>
      <c r="O262" s="82">
        <f>N262+'BM 008'!O262</f>
        <v>0</v>
      </c>
      <c r="P262" s="80">
        <f t="shared" si="130"/>
        <v>1200</v>
      </c>
      <c r="Q262" s="82">
        <f t="shared" si="131"/>
        <v>1521.12</v>
      </c>
      <c r="R262" s="82">
        <f t="shared" si="132"/>
        <v>1521.12</v>
      </c>
    </row>
    <row r="263" spans="2:18" s="34" customFormat="1" ht="23.4">
      <c r="B263" s="87" t="s">
        <v>519</v>
      </c>
      <c r="C263" s="88" t="s">
        <v>520</v>
      </c>
      <c r="D263" s="89" t="s">
        <v>131</v>
      </c>
      <c r="E263" s="90">
        <v>2</v>
      </c>
      <c r="F263" s="91"/>
      <c r="G263" s="91"/>
      <c r="H263" s="91"/>
      <c r="I263" s="91">
        <f>SUM(G263:H263)+'BM 008'!I263</f>
        <v>0</v>
      </c>
      <c r="J263" s="91">
        <f t="shared" si="113"/>
        <v>2</v>
      </c>
      <c r="K263" s="80">
        <v>2100</v>
      </c>
      <c r="L263" s="81">
        <f t="shared" si="111"/>
        <v>2661.960231</v>
      </c>
      <c r="M263" s="82">
        <f t="shared" si="128"/>
        <v>0</v>
      </c>
      <c r="N263" s="82">
        <f t="shared" si="129"/>
        <v>0</v>
      </c>
      <c r="O263" s="82">
        <f>N263+'BM 008'!O263</f>
        <v>0</v>
      </c>
      <c r="P263" s="80">
        <f t="shared" si="130"/>
        <v>4200</v>
      </c>
      <c r="Q263" s="82">
        <f t="shared" si="131"/>
        <v>5323.92</v>
      </c>
      <c r="R263" s="82">
        <f t="shared" si="132"/>
        <v>5323.92</v>
      </c>
    </row>
    <row r="264" spans="2:18" s="34" customFormat="1" ht="34.799999999999997">
      <c r="B264" s="87" t="s">
        <v>521</v>
      </c>
      <c r="C264" s="88" t="s">
        <v>522</v>
      </c>
      <c r="D264" s="89" t="s">
        <v>131</v>
      </c>
      <c r="E264" s="90">
        <v>16</v>
      </c>
      <c r="F264" s="91"/>
      <c r="G264" s="91"/>
      <c r="H264" s="91"/>
      <c r="I264" s="91">
        <f>SUM(G264:H264)+'BM 008'!I264</f>
        <v>0</v>
      </c>
      <c r="J264" s="91">
        <f t="shared" si="113"/>
        <v>16</v>
      </c>
      <c r="K264" s="80">
        <v>180</v>
      </c>
      <c r="L264" s="81">
        <f t="shared" si="111"/>
        <v>228.16801980000002</v>
      </c>
      <c r="M264" s="82">
        <f t="shared" si="128"/>
        <v>0</v>
      </c>
      <c r="N264" s="82">
        <f t="shared" si="129"/>
        <v>0</v>
      </c>
      <c r="O264" s="82">
        <f>N264+'BM 008'!O264</f>
        <v>0</v>
      </c>
      <c r="P264" s="80">
        <f t="shared" si="130"/>
        <v>2880</v>
      </c>
      <c r="Q264" s="82">
        <f t="shared" si="131"/>
        <v>3650.68</v>
      </c>
      <c r="R264" s="82">
        <f t="shared" si="132"/>
        <v>3650.68</v>
      </c>
    </row>
    <row r="265" spans="2:18" s="34" customFormat="1" ht="34.799999999999997">
      <c r="B265" s="87" t="s">
        <v>523</v>
      </c>
      <c r="C265" s="88" t="s">
        <v>524</v>
      </c>
      <c r="D265" s="89" t="s">
        <v>131</v>
      </c>
      <c r="E265" s="90">
        <v>8</v>
      </c>
      <c r="F265" s="91"/>
      <c r="G265" s="91"/>
      <c r="H265" s="91"/>
      <c r="I265" s="91">
        <f>SUM(G265:H265)+'BM 008'!I265</f>
        <v>0</v>
      </c>
      <c r="J265" s="91">
        <f t="shared" si="113"/>
        <v>8</v>
      </c>
      <c r="K265" s="80">
        <v>260</v>
      </c>
      <c r="L265" s="81">
        <f t="shared" si="111"/>
        <v>329.57602860000003</v>
      </c>
      <c r="M265" s="82">
        <f t="shared" si="128"/>
        <v>0</v>
      </c>
      <c r="N265" s="82">
        <f t="shared" si="129"/>
        <v>0</v>
      </c>
      <c r="O265" s="82">
        <f>N265+'BM 008'!O265</f>
        <v>0</v>
      </c>
      <c r="P265" s="80">
        <f t="shared" si="130"/>
        <v>2080</v>
      </c>
      <c r="Q265" s="82">
        <f t="shared" si="131"/>
        <v>2636.6</v>
      </c>
      <c r="R265" s="82">
        <f t="shared" si="132"/>
        <v>2636.6</v>
      </c>
    </row>
    <row r="266" spans="2:18" s="34" customFormat="1" ht="23.4">
      <c r="B266" s="87" t="s">
        <v>525</v>
      </c>
      <c r="C266" s="88" t="s">
        <v>526</v>
      </c>
      <c r="D266" s="89" t="s">
        <v>131</v>
      </c>
      <c r="E266" s="90">
        <v>1</v>
      </c>
      <c r="F266" s="91"/>
      <c r="G266" s="91"/>
      <c r="H266" s="91"/>
      <c r="I266" s="91">
        <f>SUM(G266:H266)+'BM 008'!I266</f>
        <v>0</v>
      </c>
      <c r="J266" s="91">
        <f t="shared" si="113"/>
        <v>1</v>
      </c>
      <c r="K266" s="80">
        <v>180</v>
      </c>
      <c r="L266" s="81">
        <f t="shared" si="111"/>
        <v>228.16801980000002</v>
      </c>
      <c r="M266" s="82">
        <f t="shared" si="128"/>
        <v>0</v>
      </c>
      <c r="N266" s="82">
        <f t="shared" si="129"/>
        <v>0</v>
      </c>
      <c r="O266" s="82">
        <f>N266+'BM 008'!O266</f>
        <v>0</v>
      </c>
      <c r="P266" s="80">
        <f t="shared" si="130"/>
        <v>180</v>
      </c>
      <c r="Q266" s="82">
        <f t="shared" si="131"/>
        <v>228.16</v>
      </c>
      <c r="R266" s="82">
        <f t="shared" si="132"/>
        <v>228.16</v>
      </c>
    </row>
    <row r="267" spans="2:18" s="34" customFormat="1" ht="23.4">
      <c r="B267" s="87" t="s">
        <v>527</v>
      </c>
      <c r="C267" s="88" t="s">
        <v>528</v>
      </c>
      <c r="D267" s="89" t="s">
        <v>131</v>
      </c>
      <c r="E267" s="90">
        <v>4</v>
      </c>
      <c r="F267" s="91"/>
      <c r="G267" s="91"/>
      <c r="H267" s="91"/>
      <c r="I267" s="91">
        <f>SUM(G267:H267)+'BM 008'!I267</f>
        <v>0</v>
      </c>
      <c r="J267" s="91">
        <f t="shared" si="113"/>
        <v>4</v>
      </c>
      <c r="K267" s="80">
        <v>180</v>
      </c>
      <c r="L267" s="81">
        <f t="shared" si="111"/>
        <v>228.16801980000002</v>
      </c>
      <c r="M267" s="82">
        <f t="shared" si="128"/>
        <v>0</v>
      </c>
      <c r="N267" s="82">
        <f t="shared" si="129"/>
        <v>0</v>
      </c>
      <c r="O267" s="82">
        <f>N267+'BM 008'!O267</f>
        <v>0</v>
      </c>
      <c r="P267" s="80">
        <f t="shared" si="130"/>
        <v>720</v>
      </c>
      <c r="Q267" s="82">
        <f t="shared" si="131"/>
        <v>912.67</v>
      </c>
      <c r="R267" s="82">
        <f t="shared" si="132"/>
        <v>912.67</v>
      </c>
    </row>
    <row r="268" spans="2:18" s="34" customFormat="1" ht="23.4">
      <c r="B268" s="87" t="s">
        <v>529</v>
      </c>
      <c r="C268" s="88" t="s">
        <v>530</v>
      </c>
      <c r="D268" s="89" t="s">
        <v>131</v>
      </c>
      <c r="E268" s="90">
        <v>11</v>
      </c>
      <c r="F268" s="91"/>
      <c r="G268" s="91"/>
      <c r="H268" s="91"/>
      <c r="I268" s="91">
        <f>SUM(G268:H268)+'BM 008'!I268</f>
        <v>0</v>
      </c>
      <c r="J268" s="91">
        <f t="shared" si="113"/>
        <v>11</v>
      </c>
      <c r="K268" s="80">
        <v>280</v>
      </c>
      <c r="L268" s="81">
        <f t="shared" si="111"/>
        <v>354.92803079999999</v>
      </c>
      <c r="M268" s="82">
        <f t="shared" si="128"/>
        <v>0</v>
      </c>
      <c r="N268" s="82">
        <f t="shared" si="129"/>
        <v>0</v>
      </c>
      <c r="O268" s="82">
        <f>N268+'BM 008'!O268</f>
        <v>0</v>
      </c>
      <c r="P268" s="80">
        <f t="shared" si="130"/>
        <v>3080</v>
      </c>
      <c r="Q268" s="82">
        <f t="shared" si="131"/>
        <v>3904.2</v>
      </c>
      <c r="R268" s="82">
        <f t="shared" si="132"/>
        <v>3904.2</v>
      </c>
    </row>
    <row r="269" spans="2:18" s="34" customFormat="1" ht="23.4">
      <c r="B269" s="87" t="s">
        <v>531</v>
      </c>
      <c r="C269" s="88" t="s">
        <v>532</v>
      </c>
      <c r="D269" s="89" t="s">
        <v>131</v>
      </c>
      <c r="E269" s="90">
        <v>4</v>
      </c>
      <c r="F269" s="91"/>
      <c r="G269" s="91"/>
      <c r="H269" s="91"/>
      <c r="I269" s="91">
        <f>SUM(G269:H269)+'BM 008'!I269</f>
        <v>0</v>
      </c>
      <c r="J269" s="91">
        <f t="shared" si="113"/>
        <v>4</v>
      </c>
      <c r="K269" s="80">
        <v>380</v>
      </c>
      <c r="L269" s="81">
        <f t="shared" si="111"/>
        <v>481.68804180000001</v>
      </c>
      <c r="M269" s="82">
        <f t="shared" si="128"/>
        <v>0</v>
      </c>
      <c r="N269" s="82">
        <f t="shared" si="129"/>
        <v>0</v>
      </c>
      <c r="O269" s="82">
        <f>N269+'BM 008'!O269</f>
        <v>0</v>
      </c>
      <c r="P269" s="80">
        <f t="shared" si="130"/>
        <v>1520</v>
      </c>
      <c r="Q269" s="82">
        <f t="shared" si="131"/>
        <v>1926.75</v>
      </c>
      <c r="R269" s="82">
        <f t="shared" si="132"/>
        <v>1926.75</v>
      </c>
    </row>
    <row r="270" spans="2:18" s="34" customFormat="1" ht="23.4">
      <c r="B270" s="87" t="s">
        <v>533</v>
      </c>
      <c r="C270" s="88" t="s">
        <v>534</v>
      </c>
      <c r="D270" s="89" t="s">
        <v>131</v>
      </c>
      <c r="E270" s="90">
        <v>1</v>
      </c>
      <c r="F270" s="91"/>
      <c r="G270" s="91"/>
      <c r="H270" s="91"/>
      <c r="I270" s="91">
        <f>SUM(G270:H270)+'BM 008'!I270</f>
        <v>0</v>
      </c>
      <c r="J270" s="91">
        <f t="shared" si="113"/>
        <v>1</v>
      </c>
      <c r="K270" s="80">
        <v>600</v>
      </c>
      <c r="L270" s="81">
        <f t="shared" si="111"/>
        <v>760.56006600000001</v>
      </c>
      <c r="M270" s="82">
        <f t="shared" si="128"/>
        <v>0</v>
      </c>
      <c r="N270" s="82">
        <f t="shared" si="129"/>
        <v>0</v>
      </c>
      <c r="O270" s="82">
        <f>N270+'BM 008'!O270</f>
        <v>0</v>
      </c>
      <c r="P270" s="80">
        <f t="shared" si="130"/>
        <v>600</v>
      </c>
      <c r="Q270" s="82">
        <f t="shared" si="131"/>
        <v>760.56</v>
      </c>
      <c r="R270" s="82">
        <f t="shared" si="132"/>
        <v>760.56</v>
      </c>
    </row>
    <row r="271" spans="2:18" s="34" customFormat="1" ht="13.2">
      <c r="B271" s="87" t="s">
        <v>535</v>
      </c>
      <c r="C271" s="88" t="s">
        <v>536</v>
      </c>
      <c r="D271" s="89" t="s">
        <v>131</v>
      </c>
      <c r="E271" s="90">
        <v>1</v>
      </c>
      <c r="F271" s="91"/>
      <c r="G271" s="91"/>
      <c r="H271" s="91"/>
      <c r="I271" s="91">
        <f>SUM(G271:H271)+'BM 008'!I271</f>
        <v>0</v>
      </c>
      <c r="J271" s="91">
        <f t="shared" si="113"/>
        <v>1</v>
      </c>
      <c r="K271" s="80">
        <v>350</v>
      </c>
      <c r="L271" s="81">
        <f t="shared" si="111"/>
        <v>443.66003850000004</v>
      </c>
      <c r="M271" s="82">
        <f t="shared" si="128"/>
        <v>0</v>
      </c>
      <c r="N271" s="82">
        <f t="shared" si="129"/>
        <v>0</v>
      </c>
      <c r="O271" s="82">
        <f>N271+'BM 008'!O271</f>
        <v>0</v>
      </c>
      <c r="P271" s="80">
        <f t="shared" si="130"/>
        <v>350</v>
      </c>
      <c r="Q271" s="82">
        <f t="shared" si="131"/>
        <v>443.66</v>
      </c>
      <c r="R271" s="82">
        <f t="shared" si="132"/>
        <v>443.66</v>
      </c>
    </row>
    <row r="272" spans="2:18" s="34" customFormat="1" ht="13.2">
      <c r="B272" s="87" t="s">
        <v>537</v>
      </c>
      <c r="C272" s="88" t="s">
        <v>538</v>
      </c>
      <c r="D272" s="89" t="s">
        <v>131</v>
      </c>
      <c r="E272" s="90">
        <v>6</v>
      </c>
      <c r="F272" s="91"/>
      <c r="G272" s="91"/>
      <c r="H272" s="91"/>
      <c r="I272" s="91">
        <f>SUM(G272:H272)+'BM 008'!I272</f>
        <v>0</v>
      </c>
      <c r="J272" s="91">
        <f t="shared" si="113"/>
        <v>6</v>
      </c>
      <c r="K272" s="80">
        <v>450</v>
      </c>
      <c r="L272" s="81">
        <f t="shared" si="111"/>
        <v>570.4200495</v>
      </c>
      <c r="M272" s="82">
        <f t="shared" si="128"/>
        <v>0</v>
      </c>
      <c r="N272" s="82">
        <f t="shared" si="129"/>
        <v>0</v>
      </c>
      <c r="O272" s="82">
        <f>N272+'BM 008'!O272</f>
        <v>0</v>
      </c>
      <c r="P272" s="80">
        <f t="shared" si="130"/>
        <v>2700</v>
      </c>
      <c r="Q272" s="82">
        <f t="shared" si="131"/>
        <v>3422.52</v>
      </c>
      <c r="R272" s="82">
        <f t="shared" si="132"/>
        <v>3422.52</v>
      </c>
    </row>
    <row r="273" spans="2:18" s="34" customFormat="1" ht="23.4">
      <c r="B273" s="87" t="s">
        <v>539</v>
      </c>
      <c r="C273" s="88" t="s">
        <v>540</v>
      </c>
      <c r="D273" s="89" t="s">
        <v>131</v>
      </c>
      <c r="E273" s="90">
        <v>1</v>
      </c>
      <c r="F273" s="91"/>
      <c r="G273" s="91"/>
      <c r="H273" s="91"/>
      <c r="I273" s="91">
        <f>SUM(G273:H273)+'BM 008'!I273</f>
        <v>0</v>
      </c>
      <c r="J273" s="91">
        <f t="shared" si="113"/>
        <v>1</v>
      </c>
      <c r="K273" s="80">
        <v>750</v>
      </c>
      <c r="L273" s="81">
        <f t="shared" si="111"/>
        <v>950.70008250000001</v>
      </c>
      <c r="M273" s="82">
        <f t="shared" si="128"/>
        <v>0</v>
      </c>
      <c r="N273" s="82">
        <f t="shared" si="129"/>
        <v>0</v>
      </c>
      <c r="O273" s="82">
        <f>N273+'BM 008'!O273</f>
        <v>0</v>
      </c>
      <c r="P273" s="80">
        <f t="shared" si="130"/>
        <v>750</v>
      </c>
      <c r="Q273" s="82">
        <f t="shared" si="131"/>
        <v>950.7</v>
      </c>
      <c r="R273" s="82">
        <f t="shared" si="132"/>
        <v>950.7</v>
      </c>
    </row>
    <row r="274" spans="2:18" s="34" customFormat="1" ht="34.799999999999997">
      <c r="B274" s="87" t="s">
        <v>541</v>
      </c>
      <c r="C274" s="88" t="s">
        <v>542</v>
      </c>
      <c r="D274" s="89" t="s">
        <v>131</v>
      </c>
      <c r="E274" s="90">
        <v>7</v>
      </c>
      <c r="F274" s="91"/>
      <c r="G274" s="91"/>
      <c r="H274" s="91"/>
      <c r="I274" s="91">
        <f>SUM(G274:H274)+'BM 008'!I274</f>
        <v>0</v>
      </c>
      <c r="J274" s="91">
        <f t="shared" si="113"/>
        <v>7</v>
      </c>
      <c r="K274" s="80">
        <v>20</v>
      </c>
      <c r="L274" s="81">
        <f t="shared" si="111"/>
        <v>25.352002200000001</v>
      </c>
      <c r="M274" s="82">
        <f t="shared" si="128"/>
        <v>0</v>
      </c>
      <c r="N274" s="82">
        <f t="shared" si="129"/>
        <v>0</v>
      </c>
      <c r="O274" s="82">
        <f>N274+'BM 008'!O274</f>
        <v>0</v>
      </c>
      <c r="P274" s="80">
        <f t="shared" si="130"/>
        <v>140</v>
      </c>
      <c r="Q274" s="82">
        <f t="shared" si="131"/>
        <v>177.46</v>
      </c>
      <c r="R274" s="82">
        <f t="shared" si="132"/>
        <v>177.46</v>
      </c>
    </row>
    <row r="275" spans="2:18" s="34" customFormat="1" ht="34.799999999999997">
      <c r="B275" s="87" t="s">
        <v>543</v>
      </c>
      <c r="C275" s="88" t="s">
        <v>544</v>
      </c>
      <c r="D275" s="89" t="s">
        <v>131</v>
      </c>
      <c r="E275" s="90">
        <v>17</v>
      </c>
      <c r="F275" s="91"/>
      <c r="G275" s="91"/>
      <c r="H275" s="91"/>
      <c r="I275" s="91">
        <f>SUM(G275:H275)+'BM 008'!I275</f>
        <v>0</v>
      </c>
      <c r="J275" s="91">
        <f t="shared" si="113"/>
        <v>17</v>
      </c>
      <c r="K275" s="80">
        <v>20</v>
      </c>
      <c r="L275" s="81">
        <f t="shared" si="111"/>
        <v>25.352002200000001</v>
      </c>
      <c r="M275" s="82">
        <f t="shared" si="128"/>
        <v>0</v>
      </c>
      <c r="N275" s="82">
        <f t="shared" si="129"/>
        <v>0</v>
      </c>
      <c r="O275" s="82">
        <f>N275+'BM 008'!O275</f>
        <v>0</v>
      </c>
      <c r="P275" s="80">
        <f t="shared" si="130"/>
        <v>340</v>
      </c>
      <c r="Q275" s="82">
        <f t="shared" si="131"/>
        <v>430.98</v>
      </c>
      <c r="R275" s="82">
        <f t="shared" si="132"/>
        <v>430.98</v>
      </c>
    </row>
    <row r="276" spans="2:18" s="34" customFormat="1" ht="34.799999999999997">
      <c r="B276" s="87" t="s">
        <v>545</v>
      </c>
      <c r="C276" s="88" t="s">
        <v>546</v>
      </c>
      <c r="D276" s="89" t="s">
        <v>131</v>
      </c>
      <c r="E276" s="90">
        <v>71</v>
      </c>
      <c r="F276" s="91"/>
      <c r="G276" s="91"/>
      <c r="H276" s="91"/>
      <c r="I276" s="91">
        <f>SUM(G276:H276)+'BM 008'!I276</f>
        <v>0</v>
      </c>
      <c r="J276" s="91">
        <f t="shared" si="113"/>
        <v>71</v>
      </c>
      <c r="K276" s="80">
        <v>20</v>
      </c>
      <c r="L276" s="81">
        <f t="shared" si="111"/>
        <v>25.352002200000001</v>
      </c>
      <c r="M276" s="82">
        <f t="shared" si="128"/>
        <v>0</v>
      </c>
      <c r="N276" s="82">
        <f t="shared" si="129"/>
        <v>0</v>
      </c>
      <c r="O276" s="82">
        <f>N276+'BM 008'!O276</f>
        <v>0</v>
      </c>
      <c r="P276" s="80">
        <f t="shared" si="130"/>
        <v>1420</v>
      </c>
      <c r="Q276" s="82">
        <f t="shared" si="131"/>
        <v>1799.99</v>
      </c>
      <c r="R276" s="82">
        <f t="shared" si="132"/>
        <v>1799.99</v>
      </c>
    </row>
    <row r="277" spans="2:18" s="34" customFormat="1" ht="34.799999999999997">
      <c r="B277" s="87" t="s">
        <v>547</v>
      </c>
      <c r="C277" s="88" t="s">
        <v>548</v>
      </c>
      <c r="D277" s="89" t="s">
        <v>131</v>
      </c>
      <c r="E277" s="90">
        <v>179</v>
      </c>
      <c r="F277" s="91"/>
      <c r="G277" s="91"/>
      <c r="H277" s="91"/>
      <c r="I277" s="91">
        <f>SUM(G277:H277)+'BM 008'!I277</f>
        <v>0</v>
      </c>
      <c r="J277" s="91">
        <f t="shared" si="113"/>
        <v>179</v>
      </c>
      <c r="K277" s="80">
        <v>20</v>
      </c>
      <c r="L277" s="81">
        <f t="shared" si="111"/>
        <v>25.352002200000001</v>
      </c>
      <c r="M277" s="82">
        <f t="shared" si="128"/>
        <v>0</v>
      </c>
      <c r="N277" s="82">
        <f t="shared" si="129"/>
        <v>0</v>
      </c>
      <c r="O277" s="82">
        <f>N277+'BM 008'!O277</f>
        <v>0</v>
      </c>
      <c r="P277" s="80">
        <f t="shared" si="130"/>
        <v>3580</v>
      </c>
      <c r="Q277" s="82">
        <f t="shared" si="131"/>
        <v>4538</v>
      </c>
      <c r="R277" s="82">
        <f t="shared" si="132"/>
        <v>4538</v>
      </c>
    </row>
    <row r="278" spans="2:18" s="34" customFormat="1" ht="34.799999999999997">
      <c r="B278" s="87" t="s">
        <v>549</v>
      </c>
      <c r="C278" s="88" t="s">
        <v>550</v>
      </c>
      <c r="D278" s="89" t="s">
        <v>131</v>
      </c>
      <c r="E278" s="90">
        <v>1</v>
      </c>
      <c r="F278" s="91"/>
      <c r="G278" s="91"/>
      <c r="H278" s="91"/>
      <c r="I278" s="91">
        <f>SUM(G278:H278)+'BM 008'!I278</f>
        <v>0</v>
      </c>
      <c r="J278" s="91">
        <f t="shared" si="113"/>
        <v>1</v>
      </c>
      <c r="K278" s="80">
        <v>25</v>
      </c>
      <c r="L278" s="81">
        <f t="shared" si="111"/>
        <v>31.690002750000001</v>
      </c>
      <c r="M278" s="82">
        <f t="shared" si="128"/>
        <v>0</v>
      </c>
      <c r="N278" s="82">
        <f t="shared" si="129"/>
        <v>0</v>
      </c>
      <c r="O278" s="82">
        <f>N278+'BM 008'!O278</f>
        <v>0</v>
      </c>
      <c r="P278" s="80">
        <f t="shared" si="130"/>
        <v>25</v>
      </c>
      <c r="Q278" s="82">
        <f t="shared" si="131"/>
        <v>31.69</v>
      </c>
      <c r="R278" s="82">
        <f t="shared" si="132"/>
        <v>31.69</v>
      </c>
    </row>
    <row r="279" spans="2:18" s="34" customFormat="1" ht="34.799999999999997">
      <c r="B279" s="87" t="s">
        <v>551</v>
      </c>
      <c r="C279" s="88" t="s">
        <v>552</v>
      </c>
      <c r="D279" s="89" t="s">
        <v>131</v>
      </c>
      <c r="E279" s="90">
        <v>8</v>
      </c>
      <c r="F279" s="91"/>
      <c r="G279" s="91"/>
      <c r="H279" s="91"/>
      <c r="I279" s="91">
        <f>SUM(G279:H279)+'BM 008'!I279</f>
        <v>0</v>
      </c>
      <c r="J279" s="91">
        <f t="shared" si="113"/>
        <v>8</v>
      </c>
      <c r="K279" s="80">
        <v>25</v>
      </c>
      <c r="L279" s="81">
        <f t="shared" si="111"/>
        <v>31.690002750000001</v>
      </c>
      <c r="M279" s="82">
        <f t="shared" si="128"/>
        <v>0</v>
      </c>
      <c r="N279" s="82">
        <f t="shared" si="129"/>
        <v>0</v>
      </c>
      <c r="O279" s="82">
        <f>N279+'BM 008'!O279</f>
        <v>0</v>
      </c>
      <c r="P279" s="80">
        <f t="shared" si="130"/>
        <v>200</v>
      </c>
      <c r="Q279" s="82">
        <f t="shared" si="131"/>
        <v>253.52</v>
      </c>
      <c r="R279" s="82">
        <f t="shared" si="132"/>
        <v>253.52</v>
      </c>
    </row>
    <row r="280" spans="2:18" s="34" customFormat="1" ht="34.799999999999997">
      <c r="B280" s="87" t="s">
        <v>553</v>
      </c>
      <c r="C280" s="88" t="s">
        <v>554</v>
      </c>
      <c r="D280" s="89" t="s">
        <v>131</v>
      </c>
      <c r="E280" s="90">
        <v>14</v>
      </c>
      <c r="F280" s="91"/>
      <c r="G280" s="91"/>
      <c r="H280" s="91"/>
      <c r="I280" s="91">
        <f>SUM(G280:H280)+'BM 008'!I280</f>
        <v>0</v>
      </c>
      <c r="J280" s="91">
        <f t="shared" si="113"/>
        <v>14</v>
      </c>
      <c r="K280" s="80">
        <v>25</v>
      </c>
      <c r="L280" s="81">
        <f t="shared" si="111"/>
        <v>31.690002750000001</v>
      </c>
      <c r="M280" s="82">
        <f t="shared" si="128"/>
        <v>0</v>
      </c>
      <c r="N280" s="82">
        <f t="shared" si="129"/>
        <v>0</v>
      </c>
      <c r="O280" s="82">
        <f>N280+'BM 008'!O280</f>
        <v>0</v>
      </c>
      <c r="P280" s="80">
        <f t="shared" si="130"/>
        <v>350</v>
      </c>
      <c r="Q280" s="82">
        <f t="shared" si="131"/>
        <v>443.66</v>
      </c>
      <c r="R280" s="82">
        <f t="shared" si="132"/>
        <v>443.66</v>
      </c>
    </row>
    <row r="281" spans="2:18" s="34" customFormat="1" ht="34.799999999999997">
      <c r="B281" s="87" t="s">
        <v>555</v>
      </c>
      <c r="C281" s="88" t="s">
        <v>556</v>
      </c>
      <c r="D281" s="89" t="s">
        <v>131</v>
      </c>
      <c r="E281" s="90">
        <v>5</v>
      </c>
      <c r="F281" s="91"/>
      <c r="G281" s="91"/>
      <c r="H281" s="91"/>
      <c r="I281" s="91">
        <f>SUM(G281:H281)+'BM 008'!I281</f>
        <v>0</v>
      </c>
      <c r="J281" s="91">
        <f t="shared" si="113"/>
        <v>5</v>
      </c>
      <c r="K281" s="80">
        <v>30</v>
      </c>
      <c r="L281" s="81">
        <f t="shared" si="111"/>
        <v>38.028003300000002</v>
      </c>
      <c r="M281" s="82">
        <f t="shared" si="128"/>
        <v>0</v>
      </c>
      <c r="N281" s="82">
        <f t="shared" si="129"/>
        <v>0</v>
      </c>
      <c r="O281" s="82">
        <f>N281+'BM 008'!O281</f>
        <v>0</v>
      </c>
      <c r="P281" s="80">
        <f t="shared" si="130"/>
        <v>150</v>
      </c>
      <c r="Q281" s="82">
        <f t="shared" si="131"/>
        <v>190.14</v>
      </c>
      <c r="R281" s="82">
        <f t="shared" si="132"/>
        <v>190.14</v>
      </c>
    </row>
    <row r="282" spans="2:18" s="34" customFormat="1" ht="34.799999999999997">
      <c r="B282" s="87" t="s">
        <v>557</v>
      </c>
      <c r="C282" s="88" t="s">
        <v>558</v>
      </c>
      <c r="D282" s="89" t="s">
        <v>131</v>
      </c>
      <c r="E282" s="90">
        <v>4</v>
      </c>
      <c r="F282" s="91"/>
      <c r="G282" s="91"/>
      <c r="H282" s="91"/>
      <c r="I282" s="91">
        <f>SUM(G282:H282)+'BM 008'!I282</f>
        <v>0</v>
      </c>
      <c r="J282" s="91">
        <f t="shared" si="113"/>
        <v>4</v>
      </c>
      <c r="K282" s="80">
        <v>40</v>
      </c>
      <c r="L282" s="81">
        <f t="shared" si="111"/>
        <v>50.704004400000002</v>
      </c>
      <c r="M282" s="82">
        <f t="shared" si="128"/>
        <v>0</v>
      </c>
      <c r="N282" s="82">
        <f t="shared" si="129"/>
        <v>0</v>
      </c>
      <c r="O282" s="82">
        <f>N282+'BM 008'!O282</f>
        <v>0</v>
      </c>
      <c r="P282" s="80">
        <f t="shared" si="130"/>
        <v>160</v>
      </c>
      <c r="Q282" s="82">
        <f t="shared" si="131"/>
        <v>202.81</v>
      </c>
      <c r="R282" s="82">
        <f t="shared" si="132"/>
        <v>202.81</v>
      </c>
    </row>
    <row r="283" spans="2:18" s="34" customFormat="1" ht="34.799999999999997">
      <c r="B283" s="87" t="s">
        <v>559</v>
      </c>
      <c r="C283" s="88" t="s">
        <v>560</v>
      </c>
      <c r="D283" s="89" t="s">
        <v>131</v>
      </c>
      <c r="E283" s="90">
        <v>4</v>
      </c>
      <c r="F283" s="91"/>
      <c r="G283" s="91"/>
      <c r="H283" s="91"/>
      <c r="I283" s="91">
        <f>SUM(G283:H283)+'BM 008'!I283</f>
        <v>0</v>
      </c>
      <c r="J283" s="91">
        <f t="shared" si="113"/>
        <v>4</v>
      </c>
      <c r="K283" s="80">
        <v>50</v>
      </c>
      <c r="L283" s="81">
        <f t="shared" si="111"/>
        <v>63.380005500000003</v>
      </c>
      <c r="M283" s="82">
        <f t="shared" si="128"/>
        <v>0</v>
      </c>
      <c r="N283" s="82">
        <f t="shared" si="129"/>
        <v>0</v>
      </c>
      <c r="O283" s="82">
        <f>N283+'BM 008'!O283</f>
        <v>0</v>
      </c>
      <c r="P283" s="80">
        <f t="shared" si="130"/>
        <v>200</v>
      </c>
      <c r="Q283" s="82">
        <f t="shared" si="131"/>
        <v>253.52</v>
      </c>
      <c r="R283" s="82">
        <f t="shared" si="132"/>
        <v>253.52</v>
      </c>
    </row>
    <row r="284" spans="2:18" s="34" customFormat="1" ht="34.799999999999997">
      <c r="B284" s="87" t="s">
        <v>561</v>
      </c>
      <c r="C284" s="88" t="s">
        <v>562</v>
      </c>
      <c r="D284" s="89" t="s">
        <v>131</v>
      </c>
      <c r="E284" s="90">
        <v>1</v>
      </c>
      <c r="F284" s="91"/>
      <c r="G284" s="91"/>
      <c r="H284" s="91"/>
      <c r="I284" s="91">
        <f>SUM(G284:H284)+'BM 008'!I284</f>
        <v>0</v>
      </c>
      <c r="J284" s="91">
        <f t="shared" si="113"/>
        <v>1</v>
      </c>
      <c r="K284" s="80">
        <v>80</v>
      </c>
      <c r="L284" s="81">
        <f t="shared" si="111"/>
        <v>101.4080088</v>
      </c>
      <c r="M284" s="82">
        <f t="shared" si="128"/>
        <v>0</v>
      </c>
      <c r="N284" s="82">
        <f t="shared" si="129"/>
        <v>0</v>
      </c>
      <c r="O284" s="82">
        <f>N284+'BM 008'!O284</f>
        <v>0</v>
      </c>
      <c r="P284" s="80">
        <f t="shared" si="130"/>
        <v>80</v>
      </c>
      <c r="Q284" s="82">
        <f t="shared" si="131"/>
        <v>101.4</v>
      </c>
      <c r="R284" s="82">
        <f t="shared" si="132"/>
        <v>101.4</v>
      </c>
    </row>
    <row r="285" spans="2:18" s="34" customFormat="1" ht="34.799999999999997">
      <c r="B285" s="87" t="s">
        <v>563</v>
      </c>
      <c r="C285" s="88" t="s">
        <v>564</v>
      </c>
      <c r="D285" s="89" t="s">
        <v>131</v>
      </c>
      <c r="E285" s="90">
        <v>9</v>
      </c>
      <c r="F285" s="91"/>
      <c r="G285" s="91"/>
      <c r="H285" s="91"/>
      <c r="I285" s="91">
        <f>SUM(G285:H285)+'BM 008'!I285</f>
        <v>0</v>
      </c>
      <c r="J285" s="91">
        <f t="shared" si="113"/>
        <v>9</v>
      </c>
      <c r="K285" s="80">
        <v>89</v>
      </c>
      <c r="L285" s="81">
        <f t="shared" ref="L285:L348" si="133">K285*(1+$T$26)</f>
        <v>112.81640979000001</v>
      </c>
      <c r="M285" s="82">
        <f t="shared" si="128"/>
        <v>0</v>
      </c>
      <c r="N285" s="82">
        <f t="shared" si="129"/>
        <v>0</v>
      </c>
      <c r="O285" s="82">
        <f>N285+'BM 008'!O285</f>
        <v>0</v>
      </c>
      <c r="P285" s="80">
        <f t="shared" si="130"/>
        <v>801</v>
      </c>
      <c r="Q285" s="82">
        <f t="shared" si="131"/>
        <v>1015.34</v>
      </c>
      <c r="R285" s="82">
        <f t="shared" si="132"/>
        <v>1015.34</v>
      </c>
    </row>
    <row r="286" spans="2:18" s="34" customFormat="1" ht="34.799999999999997">
      <c r="B286" s="87" t="s">
        <v>565</v>
      </c>
      <c r="C286" s="88" t="s">
        <v>566</v>
      </c>
      <c r="D286" s="89" t="s">
        <v>131</v>
      </c>
      <c r="E286" s="90">
        <v>4</v>
      </c>
      <c r="F286" s="91"/>
      <c r="G286" s="91"/>
      <c r="H286" s="91"/>
      <c r="I286" s="91">
        <f>SUM(G286:H286)+'BM 008'!I286</f>
        <v>0</v>
      </c>
      <c r="J286" s="91">
        <f t="shared" si="113"/>
        <v>4</v>
      </c>
      <c r="K286" s="80">
        <v>89</v>
      </c>
      <c r="L286" s="81">
        <f t="shared" si="133"/>
        <v>112.81640979000001</v>
      </c>
      <c r="M286" s="82">
        <f t="shared" si="128"/>
        <v>0</v>
      </c>
      <c r="N286" s="82">
        <f t="shared" si="129"/>
        <v>0</v>
      </c>
      <c r="O286" s="82">
        <f>N286+'BM 008'!O286</f>
        <v>0</v>
      </c>
      <c r="P286" s="80">
        <f t="shared" si="130"/>
        <v>356</v>
      </c>
      <c r="Q286" s="82">
        <f t="shared" si="131"/>
        <v>451.26</v>
      </c>
      <c r="R286" s="82">
        <f t="shared" si="132"/>
        <v>451.26</v>
      </c>
    </row>
    <row r="287" spans="2:18" s="34" customFormat="1" ht="34.799999999999997">
      <c r="B287" s="87" t="s">
        <v>567</v>
      </c>
      <c r="C287" s="88" t="s">
        <v>568</v>
      </c>
      <c r="D287" s="89" t="s">
        <v>131</v>
      </c>
      <c r="E287" s="90">
        <v>12</v>
      </c>
      <c r="F287" s="91"/>
      <c r="G287" s="91"/>
      <c r="H287" s="91"/>
      <c r="I287" s="91">
        <f>SUM(G287:H287)+'BM 008'!I287</f>
        <v>0</v>
      </c>
      <c r="J287" s="91">
        <f t="shared" ref="J287:J350" si="134">E287-I287</f>
        <v>12</v>
      </c>
      <c r="K287" s="80">
        <v>89</v>
      </c>
      <c r="L287" s="81">
        <f t="shared" si="133"/>
        <v>112.81640979000001</v>
      </c>
      <c r="M287" s="82">
        <f t="shared" si="128"/>
        <v>0</v>
      </c>
      <c r="N287" s="82">
        <f t="shared" si="129"/>
        <v>0</v>
      </c>
      <c r="O287" s="82">
        <f>N287+'BM 008'!O287</f>
        <v>0</v>
      </c>
      <c r="P287" s="80">
        <f t="shared" si="130"/>
        <v>1068</v>
      </c>
      <c r="Q287" s="82">
        <f t="shared" si="131"/>
        <v>1353.79</v>
      </c>
      <c r="R287" s="82">
        <f t="shared" si="132"/>
        <v>1353.79</v>
      </c>
    </row>
    <row r="288" spans="2:18" s="34" customFormat="1" ht="34.799999999999997">
      <c r="B288" s="87" t="s">
        <v>569</v>
      </c>
      <c r="C288" s="88" t="s">
        <v>570</v>
      </c>
      <c r="D288" s="89" t="s">
        <v>131</v>
      </c>
      <c r="E288" s="90">
        <v>4</v>
      </c>
      <c r="F288" s="91"/>
      <c r="G288" s="91"/>
      <c r="H288" s="91"/>
      <c r="I288" s="91">
        <f>SUM(G288:H288)+'BM 008'!I288</f>
        <v>0</v>
      </c>
      <c r="J288" s="91">
        <f t="shared" si="134"/>
        <v>4</v>
      </c>
      <c r="K288" s="80">
        <v>89</v>
      </c>
      <c r="L288" s="81">
        <f t="shared" si="133"/>
        <v>112.81640979000001</v>
      </c>
      <c r="M288" s="82">
        <f t="shared" si="128"/>
        <v>0</v>
      </c>
      <c r="N288" s="82">
        <f t="shared" si="129"/>
        <v>0</v>
      </c>
      <c r="O288" s="82">
        <f>N288+'BM 008'!O288</f>
        <v>0</v>
      </c>
      <c r="P288" s="80">
        <f t="shared" si="130"/>
        <v>356</v>
      </c>
      <c r="Q288" s="82">
        <f t="shared" si="131"/>
        <v>451.26</v>
      </c>
      <c r="R288" s="82">
        <f t="shared" si="132"/>
        <v>451.26</v>
      </c>
    </row>
    <row r="289" spans="2:18" s="34" customFormat="1" ht="34.799999999999997">
      <c r="B289" s="87" t="s">
        <v>571</v>
      </c>
      <c r="C289" s="88" t="s">
        <v>572</v>
      </c>
      <c r="D289" s="89" t="s">
        <v>131</v>
      </c>
      <c r="E289" s="90">
        <v>1</v>
      </c>
      <c r="F289" s="91"/>
      <c r="G289" s="91"/>
      <c r="H289" s="91"/>
      <c r="I289" s="91">
        <f>SUM(G289:H289)+'BM 008'!I289</f>
        <v>0</v>
      </c>
      <c r="J289" s="91">
        <f t="shared" si="134"/>
        <v>1</v>
      </c>
      <c r="K289" s="80">
        <v>110</v>
      </c>
      <c r="L289" s="81">
        <f t="shared" si="133"/>
        <v>139.4360121</v>
      </c>
      <c r="M289" s="82">
        <f t="shared" si="128"/>
        <v>0</v>
      </c>
      <c r="N289" s="82">
        <f t="shared" si="129"/>
        <v>0</v>
      </c>
      <c r="O289" s="82">
        <f>N289+'BM 008'!O289</f>
        <v>0</v>
      </c>
      <c r="P289" s="80">
        <f t="shared" si="130"/>
        <v>110</v>
      </c>
      <c r="Q289" s="82">
        <f t="shared" si="131"/>
        <v>139.43</v>
      </c>
      <c r="R289" s="82">
        <f t="shared" si="132"/>
        <v>139.43</v>
      </c>
    </row>
    <row r="290" spans="2:18" s="34" customFormat="1" ht="34.799999999999997">
      <c r="B290" s="87" t="s">
        <v>573</v>
      </c>
      <c r="C290" s="88" t="s">
        <v>574</v>
      </c>
      <c r="D290" s="89" t="s">
        <v>131</v>
      </c>
      <c r="E290" s="90">
        <v>1</v>
      </c>
      <c r="F290" s="91"/>
      <c r="G290" s="91"/>
      <c r="H290" s="91"/>
      <c r="I290" s="91">
        <f>SUM(G290:H290)+'BM 008'!I290</f>
        <v>0</v>
      </c>
      <c r="J290" s="91">
        <f t="shared" si="134"/>
        <v>1</v>
      </c>
      <c r="K290" s="80">
        <v>115</v>
      </c>
      <c r="L290" s="81">
        <f t="shared" si="133"/>
        <v>145.77401265</v>
      </c>
      <c r="M290" s="82">
        <f t="shared" si="128"/>
        <v>0</v>
      </c>
      <c r="N290" s="82">
        <f t="shared" si="129"/>
        <v>0</v>
      </c>
      <c r="O290" s="82">
        <f>N290+'BM 008'!O290</f>
        <v>0</v>
      </c>
      <c r="P290" s="80">
        <f t="shared" si="130"/>
        <v>115</v>
      </c>
      <c r="Q290" s="82">
        <f t="shared" si="131"/>
        <v>145.77000000000001</v>
      </c>
      <c r="R290" s="82">
        <f t="shared" si="132"/>
        <v>145.77000000000001</v>
      </c>
    </row>
    <row r="291" spans="2:18" s="34" customFormat="1" ht="13.2">
      <c r="B291" s="66" t="s">
        <v>575</v>
      </c>
      <c r="C291" s="67" t="s">
        <v>576</v>
      </c>
      <c r="D291" s="68"/>
      <c r="E291" s="69"/>
      <c r="F291" s="70"/>
      <c r="G291" s="70"/>
      <c r="H291" s="70"/>
      <c r="I291" s="70">
        <f>SUM(G291:H291)+'BM 008'!I291</f>
        <v>0</v>
      </c>
      <c r="J291" s="70">
        <f t="shared" si="134"/>
        <v>0</v>
      </c>
      <c r="K291" s="71"/>
      <c r="L291" s="71">
        <f t="shared" si="133"/>
        <v>0</v>
      </c>
      <c r="M291" s="73">
        <f t="shared" ref="M291:R291" si="135">SUM(M292:M295)</f>
        <v>0</v>
      </c>
      <c r="N291" s="73">
        <f t="shared" si="135"/>
        <v>0</v>
      </c>
      <c r="O291" s="73">
        <f t="shared" si="135"/>
        <v>0</v>
      </c>
      <c r="P291" s="73">
        <f t="shared" si="135"/>
        <v>100820.55</v>
      </c>
      <c r="Q291" s="73">
        <f t="shared" si="135"/>
        <v>127800.12</v>
      </c>
      <c r="R291" s="73">
        <f t="shared" si="135"/>
        <v>127800.12</v>
      </c>
    </row>
    <row r="292" spans="2:18" s="34" customFormat="1" ht="34.799999999999997">
      <c r="B292" s="87" t="s">
        <v>577</v>
      </c>
      <c r="C292" s="88" t="s">
        <v>578</v>
      </c>
      <c r="D292" s="89" t="s">
        <v>131</v>
      </c>
      <c r="E292" s="90">
        <v>55</v>
      </c>
      <c r="F292" s="91"/>
      <c r="G292" s="91"/>
      <c r="H292" s="91"/>
      <c r="I292" s="91">
        <f>SUM(G292:H292)+'BM 008'!I292</f>
        <v>0</v>
      </c>
      <c r="J292" s="91">
        <f t="shared" si="134"/>
        <v>55</v>
      </c>
      <c r="K292" s="80">
        <v>164.81</v>
      </c>
      <c r="L292" s="81">
        <f t="shared" si="133"/>
        <v>208.91317412910001</v>
      </c>
      <c r="M292" s="82">
        <f>TRUNC(F292*L292,2)</f>
        <v>0</v>
      </c>
      <c r="N292" s="82">
        <f>TRUNC(G292*L292,2)</f>
        <v>0</v>
      </c>
      <c r="O292" s="82">
        <f>N292+'BM 008'!O292</f>
        <v>0</v>
      </c>
      <c r="P292" s="80">
        <f>E292*K292</f>
        <v>9064.5499999999993</v>
      </c>
      <c r="Q292" s="82">
        <f>TRUNC(E292*L292,2)</f>
        <v>11490.22</v>
      </c>
      <c r="R292" s="82">
        <f>Q292-O292</f>
        <v>11490.22</v>
      </c>
    </row>
    <row r="293" spans="2:18" s="34" customFormat="1" ht="23.4">
      <c r="B293" s="87" t="s">
        <v>579</v>
      </c>
      <c r="C293" s="88" t="s">
        <v>580</v>
      </c>
      <c r="D293" s="89" t="s">
        <v>131</v>
      </c>
      <c r="E293" s="90">
        <v>887</v>
      </c>
      <c r="F293" s="91"/>
      <c r="G293" s="91"/>
      <c r="H293" s="91"/>
      <c r="I293" s="91">
        <f>SUM(G293:H293)+'BM 008'!I293</f>
        <v>0</v>
      </c>
      <c r="J293" s="91">
        <f t="shared" si="134"/>
        <v>887</v>
      </c>
      <c r="K293" s="80">
        <v>98</v>
      </c>
      <c r="L293" s="81">
        <f t="shared" si="133"/>
        <v>124.22481078000001</v>
      </c>
      <c r="M293" s="82">
        <f>TRUNC(F293*L293,2)</f>
        <v>0</v>
      </c>
      <c r="N293" s="82">
        <f>TRUNC(G293*L293,2)</f>
        <v>0</v>
      </c>
      <c r="O293" s="82">
        <f>N293+'BM 008'!O293</f>
        <v>0</v>
      </c>
      <c r="P293" s="80">
        <f>E293*K293</f>
        <v>86926</v>
      </c>
      <c r="Q293" s="82">
        <f>TRUNC(E293*L293,2)</f>
        <v>110187.4</v>
      </c>
      <c r="R293" s="82">
        <f>Q293-O293</f>
        <v>110187.4</v>
      </c>
    </row>
    <row r="294" spans="2:18" s="34" customFormat="1" ht="23.4">
      <c r="B294" s="87" t="s">
        <v>581</v>
      </c>
      <c r="C294" s="88" t="s">
        <v>582</v>
      </c>
      <c r="D294" s="89" t="s">
        <v>131</v>
      </c>
      <c r="E294" s="90">
        <v>15</v>
      </c>
      <c r="F294" s="91"/>
      <c r="G294" s="91"/>
      <c r="H294" s="91"/>
      <c r="I294" s="91">
        <f>SUM(G294:H294)+'BM 008'!I294</f>
        <v>0</v>
      </c>
      <c r="J294" s="91">
        <f t="shared" si="134"/>
        <v>15</v>
      </c>
      <c r="K294" s="80">
        <v>130</v>
      </c>
      <c r="L294" s="81">
        <f t="shared" si="133"/>
        <v>164.78801430000001</v>
      </c>
      <c r="M294" s="82">
        <f>TRUNC(F294*L294,2)</f>
        <v>0</v>
      </c>
      <c r="N294" s="82">
        <f>TRUNC(G294*L294,2)</f>
        <v>0</v>
      </c>
      <c r="O294" s="82">
        <f>N294+'BM 008'!O294</f>
        <v>0</v>
      </c>
      <c r="P294" s="80">
        <f>E294*K294</f>
        <v>1950</v>
      </c>
      <c r="Q294" s="82">
        <f>TRUNC(E294*L294,2)</f>
        <v>2471.8200000000002</v>
      </c>
      <c r="R294" s="82">
        <f>Q294-O294</f>
        <v>2471.8200000000002</v>
      </c>
    </row>
    <row r="295" spans="2:18" s="34" customFormat="1" ht="23.4">
      <c r="B295" s="87" t="s">
        <v>583</v>
      </c>
      <c r="C295" s="88" t="s">
        <v>584</v>
      </c>
      <c r="D295" s="89" t="s">
        <v>131</v>
      </c>
      <c r="E295" s="90">
        <v>32</v>
      </c>
      <c r="F295" s="91"/>
      <c r="G295" s="91"/>
      <c r="H295" s="91"/>
      <c r="I295" s="91">
        <f>SUM(G295:H295)+'BM 008'!I295</f>
        <v>0</v>
      </c>
      <c r="J295" s="91">
        <f t="shared" si="134"/>
        <v>32</v>
      </c>
      <c r="K295" s="80">
        <v>90</v>
      </c>
      <c r="L295" s="81">
        <f t="shared" si="133"/>
        <v>114.08400990000001</v>
      </c>
      <c r="M295" s="82">
        <f>TRUNC(F295*L295,2)</f>
        <v>0</v>
      </c>
      <c r="N295" s="82">
        <f>TRUNC(G295*L295,2)</f>
        <v>0</v>
      </c>
      <c r="O295" s="82">
        <f>N295+'BM 008'!O295</f>
        <v>0</v>
      </c>
      <c r="P295" s="80">
        <f>E295*K295</f>
        <v>2880</v>
      </c>
      <c r="Q295" s="82">
        <f>TRUNC(E295*L295,2)</f>
        <v>3650.68</v>
      </c>
      <c r="R295" s="82">
        <f>Q295-O295</f>
        <v>3650.68</v>
      </c>
    </row>
    <row r="296" spans="2:18" s="34" customFormat="1" ht="13.2">
      <c r="B296" s="66" t="s">
        <v>585</v>
      </c>
      <c r="C296" s="67" t="s">
        <v>586</v>
      </c>
      <c r="D296" s="68"/>
      <c r="E296" s="69"/>
      <c r="F296" s="70"/>
      <c r="G296" s="70"/>
      <c r="H296" s="70"/>
      <c r="I296" s="70">
        <f>SUM(G296:H296)+'BM 008'!I296</f>
        <v>0</v>
      </c>
      <c r="J296" s="70">
        <f t="shared" si="134"/>
        <v>0</v>
      </c>
      <c r="K296" s="71"/>
      <c r="L296" s="71">
        <f t="shared" si="133"/>
        <v>0</v>
      </c>
      <c r="M296" s="73">
        <f t="shared" ref="M296:R296" si="136">SUM(M297:M306)</f>
        <v>0</v>
      </c>
      <c r="N296" s="73">
        <f t="shared" si="136"/>
        <v>0</v>
      </c>
      <c r="O296" s="73">
        <f t="shared" si="136"/>
        <v>0</v>
      </c>
      <c r="P296" s="73">
        <f t="shared" si="136"/>
        <v>16787.3</v>
      </c>
      <c r="Q296" s="73">
        <f t="shared" si="136"/>
        <v>21279.56</v>
      </c>
      <c r="R296" s="73">
        <f t="shared" si="136"/>
        <v>21279.56</v>
      </c>
    </row>
    <row r="297" spans="2:18" s="34" customFormat="1" ht="46.2">
      <c r="B297" s="87" t="s">
        <v>587</v>
      </c>
      <c r="C297" s="88" t="s">
        <v>588</v>
      </c>
      <c r="D297" s="89" t="s">
        <v>131</v>
      </c>
      <c r="E297" s="90">
        <v>79</v>
      </c>
      <c r="F297" s="91"/>
      <c r="G297" s="91"/>
      <c r="H297" s="91"/>
      <c r="I297" s="91">
        <f>SUM(G297:H297)+'BM 008'!I297</f>
        <v>0</v>
      </c>
      <c r="J297" s="91">
        <f t="shared" si="134"/>
        <v>79</v>
      </c>
      <c r="K297" s="80">
        <v>32</v>
      </c>
      <c r="L297" s="81">
        <f t="shared" si="133"/>
        <v>40.563203520000002</v>
      </c>
      <c r="M297" s="82">
        <f t="shared" ref="M297:M306" si="137">TRUNC(F297*L297,2)</f>
        <v>0</v>
      </c>
      <c r="N297" s="82">
        <f t="shared" ref="N297:N306" si="138">TRUNC(G297*L297,2)</f>
        <v>0</v>
      </c>
      <c r="O297" s="82">
        <f>N297+'BM 008'!O297</f>
        <v>0</v>
      </c>
      <c r="P297" s="80">
        <f t="shared" ref="P297:P306" si="139">E297*K297</f>
        <v>2528</v>
      </c>
      <c r="Q297" s="82">
        <f t="shared" ref="Q297:Q306" si="140">TRUNC(E297*L297,2)</f>
        <v>3204.49</v>
      </c>
      <c r="R297" s="82">
        <f t="shared" ref="R297:R306" si="141">Q297-O297</f>
        <v>3204.49</v>
      </c>
    </row>
    <row r="298" spans="2:18" s="34" customFormat="1" ht="46.2">
      <c r="B298" s="87" t="s">
        <v>589</v>
      </c>
      <c r="C298" s="88" t="s">
        <v>590</v>
      </c>
      <c r="D298" s="89" t="s">
        <v>131</v>
      </c>
      <c r="E298" s="90">
        <v>73</v>
      </c>
      <c r="F298" s="91"/>
      <c r="G298" s="91"/>
      <c r="H298" s="91"/>
      <c r="I298" s="91">
        <f>SUM(G298:H298)+'BM 008'!I298</f>
        <v>0</v>
      </c>
      <c r="J298" s="91">
        <f t="shared" si="134"/>
        <v>73</v>
      </c>
      <c r="K298" s="80">
        <v>38</v>
      </c>
      <c r="L298" s="81">
        <f t="shared" si="133"/>
        <v>48.168804180000002</v>
      </c>
      <c r="M298" s="82">
        <f t="shared" si="137"/>
        <v>0</v>
      </c>
      <c r="N298" s="82">
        <f t="shared" si="138"/>
        <v>0</v>
      </c>
      <c r="O298" s="82">
        <f>N298+'BM 008'!O298</f>
        <v>0</v>
      </c>
      <c r="P298" s="80">
        <f t="shared" si="139"/>
        <v>2774</v>
      </c>
      <c r="Q298" s="82">
        <f t="shared" si="140"/>
        <v>3516.32</v>
      </c>
      <c r="R298" s="82">
        <f t="shared" si="141"/>
        <v>3516.32</v>
      </c>
    </row>
    <row r="299" spans="2:18" s="34" customFormat="1" ht="46.2">
      <c r="B299" s="87" t="s">
        <v>591</v>
      </c>
      <c r="C299" s="88" t="s">
        <v>592</v>
      </c>
      <c r="D299" s="89" t="s">
        <v>131</v>
      </c>
      <c r="E299" s="90">
        <v>34</v>
      </c>
      <c r="F299" s="91"/>
      <c r="G299" s="91"/>
      <c r="H299" s="91"/>
      <c r="I299" s="91">
        <f>SUM(G299:H299)+'BM 008'!I299</f>
        <v>0</v>
      </c>
      <c r="J299" s="91">
        <f t="shared" si="134"/>
        <v>34</v>
      </c>
      <c r="K299" s="80">
        <v>58.95</v>
      </c>
      <c r="L299" s="81">
        <f t="shared" si="133"/>
        <v>74.725026484500006</v>
      </c>
      <c r="M299" s="82">
        <f t="shared" si="137"/>
        <v>0</v>
      </c>
      <c r="N299" s="82">
        <f t="shared" si="138"/>
        <v>0</v>
      </c>
      <c r="O299" s="82">
        <f>N299+'BM 008'!O299</f>
        <v>0</v>
      </c>
      <c r="P299" s="80">
        <f t="shared" si="139"/>
        <v>2004.3000000000002</v>
      </c>
      <c r="Q299" s="82">
        <f t="shared" si="140"/>
        <v>2540.65</v>
      </c>
      <c r="R299" s="82">
        <f t="shared" si="141"/>
        <v>2540.65</v>
      </c>
    </row>
    <row r="300" spans="2:18" s="34" customFormat="1" ht="46.2">
      <c r="B300" s="87" t="s">
        <v>593</v>
      </c>
      <c r="C300" s="88" t="s">
        <v>594</v>
      </c>
      <c r="D300" s="89" t="s">
        <v>131</v>
      </c>
      <c r="E300" s="90">
        <v>55</v>
      </c>
      <c r="F300" s="91"/>
      <c r="G300" s="91"/>
      <c r="H300" s="91"/>
      <c r="I300" s="91">
        <f>SUM(G300:H300)+'BM 008'!I300</f>
        <v>0</v>
      </c>
      <c r="J300" s="91">
        <f t="shared" si="134"/>
        <v>55</v>
      </c>
      <c r="K300" s="80">
        <v>50</v>
      </c>
      <c r="L300" s="81">
        <f t="shared" si="133"/>
        <v>63.380005500000003</v>
      </c>
      <c r="M300" s="82">
        <f t="shared" si="137"/>
        <v>0</v>
      </c>
      <c r="N300" s="82">
        <f t="shared" si="138"/>
        <v>0</v>
      </c>
      <c r="O300" s="82">
        <f>N300+'BM 008'!O300</f>
        <v>0</v>
      </c>
      <c r="P300" s="80">
        <f t="shared" si="139"/>
        <v>2750</v>
      </c>
      <c r="Q300" s="82">
        <f t="shared" si="140"/>
        <v>3485.9</v>
      </c>
      <c r="R300" s="82">
        <f t="shared" si="141"/>
        <v>3485.9</v>
      </c>
    </row>
    <row r="301" spans="2:18" s="34" customFormat="1" ht="46.2">
      <c r="B301" s="87" t="s">
        <v>595</v>
      </c>
      <c r="C301" s="88" t="s">
        <v>596</v>
      </c>
      <c r="D301" s="89" t="s">
        <v>131</v>
      </c>
      <c r="E301" s="90">
        <v>41</v>
      </c>
      <c r="F301" s="91"/>
      <c r="G301" s="91"/>
      <c r="H301" s="91"/>
      <c r="I301" s="91">
        <f>SUM(G301:H301)+'BM 008'!I301</f>
        <v>0</v>
      </c>
      <c r="J301" s="91">
        <f t="shared" si="134"/>
        <v>41</v>
      </c>
      <c r="K301" s="80">
        <v>52</v>
      </c>
      <c r="L301" s="81">
        <f t="shared" si="133"/>
        <v>65.915205720000003</v>
      </c>
      <c r="M301" s="82">
        <f t="shared" si="137"/>
        <v>0</v>
      </c>
      <c r="N301" s="82">
        <f t="shared" si="138"/>
        <v>0</v>
      </c>
      <c r="O301" s="82">
        <f>N301+'BM 008'!O301</f>
        <v>0</v>
      </c>
      <c r="P301" s="80">
        <f t="shared" si="139"/>
        <v>2132</v>
      </c>
      <c r="Q301" s="82">
        <f t="shared" si="140"/>
        <v>2702.52</v>
      </c>
      <c r="R301" s="82">
        <f t="shared" si="141"/>
        <v>2702.52</v>
      </c>
    </row>
    <row r="302" spans="2:18" s="34" customFormat="1" ht="34.799999999999997">
      <c r="B302" s="87" t="s">
        <v>597</v>
      </c>
      <c r="C302" s="88" t="s">
        <v>598</v>
      </c>
      <c r="D302" s="89" t="s">
        <v>131</v>
      </c>
      <c r="E302" s="90">
        <v>3</v>
      </c>
      <c r="F302" s="91"/>
      <c r="G302" s="91"/>
      <c r="H302" s="91"/>
      <c r="I302" s="91">
        <f>SUM(G302:H302)+'BM 008'!I302</f>
        <v>0</v>
      </c>
      <c r="J302" s="91">
        <f t="shared" si="134"/>
        <v>3</v>
      </c>
      <c r="K302" s="80">
        <v>51</v>
      </c>
      <c r="L302" s="81">
        <f t="shared" si="133"/>
        <v>64.647605609999999</v>
      </c>
      <c r="M302" s="82">
        <f t="shared" si="137"/>
        <v>0</v>
      </c>
      <c r="N302" s="82">
        <f t="shared" si="138"/>
        <v>0</v>
      </c>
      <c r="O302" s="82">
        <f>N302+'BM 008'!O302</f>
        <v>0</v>
      </c>
      <c r="P302" s="80">
        <f t="shared" si="139"/>
        <v>153</v>
      </c>
      <c r="Q302" s="82">
        <f t="shared" si="140"/>
        <v>193.94</v>
      </c>
      <c r="R302" s="82">
        <f t="shared" si="141"/>
        <v>193.94</v>
      </c>
    </row>
    <row r="303" spans="2:18" s="34" customFormat="1" ht="34.799999999999997">
      <c r="B303" s="87" t="s">
        <v>599</v>
      </c>
      <c r="C303" s="88" t="s">
        <v>600</v>
      </c>
      <c r="D303" s="89" t="s">
        <v>131</v>
      </c>
      <c r="E303" s="90">
        <v>1</v>
      </c>
      <c r="F303" s="91"/>
      <c r="G303" s="91"/>
      <c r="H303" s="91"/>
      <c r="I303" s="91">
        <f>SUM(G303:H303)+'BM 008'!I303</f>
        <v>0</v>
      </c>
      <c r="J303" s="91">
        <f t="shared" si="134"/>
        <v>1</v>
      </c>
      <c r="K303" s="80">
        <v>60</v>
      </c>
      <c r="L303" s="81">
        <f t="shared" si="133"/>
        <v>76.056006600000003</v>
      </c>
      <c r="M303" s="82">
        <f t="shared" si="137"/>
        <v>0</v>
      </c>
      <c r="N303" s="82">
        <f t="shared" si="138"/>
        <v>0</v>
      </c>
      <c r="O303" s="82">
        <f>N303+'BM 008'!O303</f>
        <v>0</v>
      </c>
      <c r="P303" s="80">
        <f t="shared" si="139"/>
        <v>60</v>
      </c>
      <c r="Q303" s="82">
        <f t="shared" si="140"/>
        <v>76.05</v>
      </c>
      <c r="R303" s="82">
        <f t="shared" si="141"/>
        <v>76.05</v>
      </c>
    </row>
    <row r="304" spans="2:18" s="34" customFormat="1" ht="34.799999999999997">
      <c r="B304" s="87" t="s">
        <v>601</v>
      </c>
      <c r="C304" s="88" t="s">
        <v>602</v>
      </c>
      <c r="D304" s="89" t="s">
        <v>131</v>
      </c>
      <c r="E304" s="90">
        <v>15</v>
      </c>
      <c r="F304" s="91"/>
      <c r="G304" s="91"/>
      <c r="H304" s="91"/>
      <c r="I304" s="91">
        <f>SUM(G304:H304)+'BM 008'!I304</f>
        <v>0</v>
      </c>
      <c r="J304" s="91">
        <f t="shared" si="134"/>
        <v>15</v>
      </c>
      <c r="K304" s="80">
        <v>230</v>
      </c>
      <c r="L304" s="81">
        <f t="shared" si="133"/>
        <v>291.54802530000001</v>
      </c>
      <c r="M304" s="82">
        <f t="shared" si="137"/>
        <v>0</v>
      </c>
      <c r="N304" s="82">
        <f t="shared" si="138"/>
        <v>0</v>
      </c>
      <c r="O304" s="82">
        <f>N304+'BM 008'!O304</f>
        <v>0</v>
      </c>
      <c r="P304" s="80">
        <f t="shared" si="139"/>
        <v>3450</v>
      </c>
      <c r="Q304" s="82">
        <f t="shared" si="140"/>
        <v>4373.22</v>
      </c>
      <c r="R304" s="82">
        <f t="shared" si="141"/>
        <v>4373.22</v>
      </c>
    </row>
    <row r="305" spans="2:18" s="34" customFormat="1" ht="34.799999999999997">
      <c r="B305" s="87" t="s">
        <v>603</v>
      </c>
      <c r="C305" s="88" t="s">
        <v>604</v>
      </c>
      <c r="D305" s="89" t="s">
        <v>131</v>
      </c>
      <c r="E305" s="90">
        <v>5</v>
      </c>
      <c r="F305" s="91"/>
      <c r="G305" s="91"/>
      <c r="H305" s="91"/>
      <c r="I305" s="91">
        <f>SUM(G305:H305)+'BM 008'!I305</f>
        <v>0</v>
      </c>
      <c r="J305" s="91">
        <f t="shared" si="134"/>
        <v>5</v>
      </c>
      <c r="K305" s="80">
        <v>140</v>
      </c>
      <c r="L305" s="81">
        <f t="shared" si="133"/>
        <v>177.46401539999999</v>
      </c>
      <c r="M305" s="82">
        <f t="shared" si="137"/>
        <v>0</v>
      </c>
      <c r="N305" s="82">
        <f t="shared" si="138"/>
        <v>0</v>
      </c>
      <c r="O305" s="82">
        <f>N305+'BM 008'!O305</f>
        <v>0</v>
      </c>
      <c r="P305" s="80">
        <f t="shared" si="139"/>
        <v>700</v>
      </c>
      <c r="Q305" s="82">
        <f t="shared" si="140"/>
        <v>887.32</v>
      </c>
      <c r="R305" s="82">
        <f t="shared" si="141"/>
        <v>887.32</v>
      </c>
    </row>
    <row r="306" spans="2:18" s="34" customFormat="1" ht="46.2">
      <c r="B306" s="87" t="s">
        <v>605</v>
      </c>
      <c r="C306" s="88" t="s">
        <v>606</v>
      </c>
      <c r="D306" s="89" t="s">
        <v>131</v>
      </c>
      <c r="E306" s="90">
        <v>4</v>
      </c>
      <c r="F306" s="91"/>
      <c r="G306" s="91"/>
      <c r="H306" s="91"/>
      <c r="I306" s="91">
        <f>SUM(G306:H306)+'BM 008'!I306</f>
        <v>0</v>
      </c>
      <c r="J306" s="91">
        <f t="shared" si="134"/>
        <v>4</v>
      </c>
      <c r="K306" s="80">
        <v>59</v>
      </c>
      <c r="L306" s="81">
        <f t="shared" si="133"/>
        <v>74.78840649</v>
      </c>
      <c r="M306" s="82">
        <f t="shared" si="137"/>
        <v>0</v>
      </c>
      <c r="N306" s="82">
        <f t="shared" si="138"/>
        <v>0</v>
      </c>
      <c r="O306" s="82">
        <f>N306+'BM 008'!O306</f>
        <v>0</v>
      </c>
      <c r="P306" s="80">
        <f t="shared" si="139"/>
        <v>236</v>
      </c>
      <c r="Q306" s="82">
        <f t="shared" si="140"/>
        <v>299.14999999999998</v>
      </c>
      <c r="R306" s="82">
        <f t="shared" si="141"/>
        <v>299.14999999999998</v>
      </c>
    </row>
    <row r="307" spans="2:18" s="34" customFormat="1" ht="13.2">
      <c r="B307" s="66" t="s">
        <v>607</v>
      </c>
      <c r="C307" s="67" t="s">
        <v>608</v>
      </c>
      <c r="D307" s="68"/>
      <c r="E307" s="69"/>
      <c r="F307" s="70"/>
      <c r="G307" s="70"/>
      <c r="H307" s="70"/>
      <c r="I307" s="70">
        <f>SUM(G307:H307)+'BM 008'!I307</f>
        <v>0</v>
      </c>
      <c r="J307" s="70">
        <f t="shared" si="134"/>
        <v>0</v>
      </c>
      <c r="K307" s="71"/>
      <c r="L307" s="71">
        <f t="shared" si="133"/>
        <v>0</v>
      </c>
      <c r="M307" s="73">
        <f t="shared" ref="M307:R307" si="142">SUM(M308:M314)</f>
        <v>0</v>
      </c>
      <c r="N307" s="73">
        <f t="shared" si="142"/>
        <v>0</v>
      </c>
      <c r="O307" s="73">
        <f t="shared" si="142"/>
        <v>0</v>
      </c>
      <c r="P307" s="73">
        <f t="shared" si="142"/>
        <v>50562</v>
      </c>
      <c r="Q307" s="73">
        <f t="shared" si="142"/>
        <v>64092.350000000006</v>
      </c>
      <c r="R307" s="73">
        <f t="shared" si="142"/>
        <v>64092.350000000006</v>
      </c>
    </row>
    <row r="308" spans="2:18" s="34" customFormat="1" ht="46.2">
      <c r="B308" s="87" t="s">
        <v>609</v>
      </c>
      <c r="C308" s="88" t="s">
        <v>610</v>
      </c>
      <c r="D308" s="89" t="s">
        <v>131</v>
      </c>
      <c r="E308" s="90">
        <v>202</v>
      </c>
      <c r="F308" s="91"/>
      <c r="G308" s="91"/>
      <c r="H308" s="91"/>
      <c r="I308" s="91">
        <f>SUM(G308:H308)+'BM 008'!I308</f>
        <v>0</v>
      </c>
      <c r="J308" s="91">
        <f t="shared" si="134"/>
        <v>202</v>
      </c>
      <c r="K308" s="80">
        <v>38</v>
      </c>
      <c r="L308" s="81">
        <f t="shared" si="133"/>
        <v>48.168804180000002</v>
      </c>
      <c r="M308" s="82">
        <f t="shared" ref="M308:M314" si="143">TRUNC(F308*L308,2)</f>
        <v>0</v>
      </c>
      <c r="N308" s="82">
        <f t="shared" ref="N308:N314" si="144">TRUNC(G308*L308,2)</f>
        <v>0</v>
      </c>
      <c r="O308" s="82">
        <f>N308+'BM 008'!O308</f>
        <v>0</v>
      </c>
      <c r="P308" s="80">
        <f t="shared" ref="P308:P314" si="145">E308*K308</f>
        <v>7676</v>
      </c>
      <c r="Q308" s="82">
        <f t="shared" ref="Q308:Q314" si="146">TRUNC(E308*L308,2)</f>
        <v>9730.09</v>
      </c>
      <c r="R308" s="82">
        <f t="shared" ref="R308:R314" si="147">Q308-O308</f>
        <v>9730.09</v>
      </c>
    </row>
    <row r="309" spans="2:18" s="34" customFormat="1" ht="46.2">
      <c r="B309" s="87" t="s">
        <v>611</v>
      </c>
      <c r="C309" s="88" t="s">
        <v>612</v>
      </c>
      <c r="D309" s="89" t="s">
        <v>131</v>
      </c>
      <c r="E309" s="90">
        <v>508</v>
      </c>
      <c r="F309" s="91"/>
      <c r="G309" s="91"/>
      <c r="H309" s="91"/>
      <c r="I309" s="91">
        <f>SUM(G309:H309)+'BM 008'!I309</f>
        <v>0</v>
      </c>
      <c r="J309" s="91">
        <f t="shared" si="134"/>
        <v>508</v>
      </c>
      <c r="K309" s="80">
        <v>40</v>
      </c>
      <c r="L309" s="81">
        <f t="shared" si="133"/>
        <v>50.704004400000002</v>
      </c>
      <c r="M309" s="82">
        <f t="shared" si="143"/>
        <v>0</v>
      </c>
      <c r="N309" s="82">
        <f t="shared" si="144"/>
        <v>0</v>
      </c>
      <c r="O309" s="82">
        <f>N309+'BM 008'!O309</f>
        <v>0</v>
      </c>
      <c r="P309" s="80">
        <f t="shared" si="145"/>
        <v>20320</v>
      </c>
      <c r="Q309" s="82">
        <f t="shared" si="146"/>
        <v>25757.63</v>
      </c>
      <c r="R309" s="82">
        <f t="shared" si="147"/>
        <v>25757.63</v>
      </c>
    </row>
    <row r="310" spans="2:18" s="34" customFormat="1" ht="34.799999999999997">
      <c r="B310" s="87" t="s">
        <v>613</v>
      </c>
      <c r="C310" s="88" t="s">
        <v>614</v>
      </c>
      <c r="D310" s="89" t="s">
        <v>131</v>
      </c>
      <c r="E310" s="90">
        <v>52</v>
      </c>
      <c r="F310" s="91"/>
      <c r="G310" s="91"/>
      <c r="H310" s="91"/>
      <c r="I310" s="91">
        <f>SUM(G310:H310)+'BM 008'!I310</f>
        <v>0</v>
      </c>
      <c r="J310" s="91">
        <f t="shared" si="134"/>
        <v>52</v>
      </c>
      <c r="K310" s="80">
        <v>65</v>
      </c>
      <c r="L310" s="81">
        <f t="shared" si="133"/>
        <v>82.394007150000007</v>
      </c>
      <c r="M310" s="82">
        <f t="shared" si="143"/>
        <v>0</v>
      </c>
      <c r="N310" s="82">
        <f t="shared" si="144"/>
        <v>0</v>
      </c>
      <c r="O310" s="82">
        <f>N310+'BM 008'!O310</f>
        <v>0</v>
      </c>
      <c r="P310" s="80">
        <f t="shared" si="145"/>
        <v>3380</v>
      </c>
      <c r="Q310" s="82">
        <f t="shared" si="146"/>
        <v>4284.4799999999996</v>
      </c>
      <c r="R310" s="82">
        <f t="shared" si="147"/>
        <v>4284.4799999999996</v>
      </c>
    </row>
    <row r="311" spans="2:18" s="34" customFormat="1" ht="46.2">
      <c r="B311" s="87" t="s">
        <v>615</v>
      </c>
      <c r="C311" s="88" t="s">
        <v>610</v>
      </c>
      <c r="D311" s="89" t="s">
        <v>131</v>
      </c>
      <c r="E311" s="90">
        <v>2</v>
      </c>
      <c r="F311" s="91"/>
      <c r="G311" s="91"/>
      <c r="H311" s="91"/>
      <c r="I311" s="91">
        <f>SUM(G311:H311)+'BM 008'!I311</f>
        <v>0</v>
      </c>
      <c r="J311" s="91">
        <f t="shared" si="134"/>
        <v>2</v>
      </c>
      <c r="K311" s="80">
        <v>38</v>
      </c>
      <c r="L311" s="81">
        <f t="shared" si="133"/>
        <v>48.168804180000002</v>
      </c>
      <c r="M311" s="82">
        <f t="shared" si="143"/>
        <v>0</v>
      </c>
      <c r="N311" s="82">
        <f t="shared" si="144"/>
        <v>0</v>
      </c>
      <c r="O311" s="82">
        <f>N311+'BM 008'!O311</f>
        <v>0</v>
      </c>
      <c r="P311" s="80">
        <f t="shared" si="145"/>
        <v>76</v>
      </c>
      <c r="Q311" s="82">
        <f t="shared" si="146"/>
        <v>96.33</v>
      </c>
      <c r="R311" s="82">
        <f t="shared" si="147"/>
        <v>96.33</v>
      </c>
    </row>
    <row r="312" spans="2:18" s="34" customFormat="1" ht="23.4">
      <c r="B312" s="87" t="s">
        <v>616</v>
      </c>
      <c r="C312" s="88" t="s">
        <v>617</v>
      </c>
      <c r="D312" s="89" t="s">
        <v>131</v>
      </c>
      <c r="E312" s="90">
        <v>201</v>
      </c>
      <c r="F312" s="91"/>
      <c r="G312" s="91"/>
      <c r="H312" s="91"/>
      <c r="I312" s="91">
        <f>SUM(G312:H312)+'BM 008'!I312</f>
        <v>0</v>
      </c>
      <c r="J312" s="91">
        <f t="shared" si="134"/>
        <v>201</v>
      </c>
      <c r="K312" s="80">
        <v>30</v>
      </c>
      <c r="L312" s="81">
        <f t="shared" si="133"/>
        <v>38.028003300000002</v>
      </c>
      <c r="M312" s="82">
        <f t="shared" si="143"/>
        <v>0</v>
      </c>
      <c r="N312" s="82">
        <f t="shared" si="144"/>
        <v>0</v>
      </c>
      <c r="O312" s="82">
        <f>N312+'BM 008'!O312</f>
        <v>0</v>
      </c>
      <c r="P312" s="80">
        <f t="shared" si="145"/>
        <v>6030</v>
      </c>
      <c r="Q312" s="82">
        <f t="shared" si="146"/>
        <v>7643.62</v>
      </c>
      <c r="R312" s="82">
        <f t="shared" si="147"/>
        <v>7643.62</v>
      </c>
    </row>
    <row r="313" spans="2:18" s="34" customFormat="1" ht="23.4">
      <c r="B313" s="87" t="s">
        <v>618</v>
      </c>
      <c r="C313" s="88" t="s">
        <v>619</v>
      </c>
      <c r="D313" s="89" t="s">
        <v>131</v>
      </c>
      <c r="E313" s="90">
        <v>12</v>
      </c>
      <c r="F313" s="91"/>
      <c r="G313" s="91"/>
      <c r="H313" s="91"/>
      <c r="I313" s="91">
        <f>SUM(G313:H313)+'BM 008'!I313</f>
        <v>0</v>
      </c>
      <c r="J313" s="91">
        <f t="shared" si="134"/>
        <v>12</v>
      </c>
      <c r="K313" s="80">
        <v>40</v>
      </c>
      <c r="L313" s="81">
        <f t="shared" si="133"/>
        <v>50.704004400000002</v>
      </c>
      <c r="M313" s="82">
        <f t="shared" si="143"/>
        <v>0</v>
      </c>
      <c r="N313" s="82">
        <f t="shared" si="144"/>
        <v>0</v>
      </c>
      <c r="O313" s="82">
        <f>N313+'BM 008'!O313</f>
        <v>0</v>
      </c>
      <c r="P313" s="80">
        <f t="shared" si="145"/>
        <v>480</v>
      </c>
      <c r="Q313" s="82">
        <f t="shared" si="146"/>
        <v>608.44000000000005</v>
      </c>
      <c r="R313" s="82">
        <f t="shared" si="147"/>
        <v>608.44000000000005</v>
      </c>
    </row>
    <row r="314" spans="2:18" s="34" customFormat="1" ht="23.4">
      <c r="B314" s="87" t="s">
        <v>620</v>
      </c>
      <c r="C314" s="88" t="s">
        <v>621</v>
      </c>
      <c r="D314" s="89" t="s">
        <v>131</v>
      </c>
      <c r="E314" s="90">
        <v>180</v>
      </c>
      <c r="F314" s="91"/>
      <c r="G314" s="91"/>
      <c r="H314" s="91"/>
      <c r="I314" s="91">
        <f>SUM(G314:H314)+'BM 008'!I314</f>
        <v>0</v>
      </c>
      <c r="J314" s="91">
        <f t="shared" si="134"/>
        <v>180</v>
      </c>
      <c r="K314" s="80">
        <v>70</v>
      </c>
      <c r="L314" s="81">
        <f t="shared" si="133"/>
        <v>88.732007699999997</v>
      </c>
      <c r="M314" s="82">
        <f t="shared" si="143"/>
        <v>0</v>
      </c>
      <c r="N314" s="82">
        <f t="shared" si="144"/>
        <v>0</v>
      </c>
      <c r="O314" s="82">
        <f>N314+'BM 008'!O314</f>
        <v>0</v>
      </c>
      <c r="P314" s="80">
        <f t="shared" si="145"/>
        <v>12600</v>
      </c>
      <c r="Q314" s="82">
        <f t="shared" si="146"/>
        <v>15971.76</v>
      </c>
      <c r="R314" s="82">
        <f t="shared" si="147"/>
        <v>15971.76</v>
      </c>
    </row>
    <row r="315" spans="2:18" s="34" customFormat="1" ht="26.25" customHeight="1">
      <c r="B315" s="66" t="s">
        <v>622</v>
      </c>
      <c r="C315" s="67" t="s">
        <v>623</v>
      </c>
      <c r="D315" s="68"/>
      <c r="E315" s="69"/>
      <c r="F315" s="70"/>
      <c r="G315" s="70"/>
      <c r="H315" s="70"/>
      <c r="I315" s="70">
        <f>SUM(G315:H315)+'BM 008'!I315</f>
        <v>0</v>
      </c>
      <c r="J315" s="70">
        <f t="shared" si="134"/>
        <v>0</v>
      </c>
      <c r="K315" s="71"/>
      <c r="L315" s="71">
        <f t="shared" si="133"/>
        <v>0</v>
      </c>
      <c r="M315" s="73">
        <f t="shared" ref="M315:R315" si="148">SUM(M316)</f>
        <v>0</v>
      </c>
      <c r="N315" s="73">
        <f t="shared" si="148"/>
        <v>0</v>
      </c>
      <c r="O315" s="73">
        <f t="shared" si="148"/>
        <v>0</v>
      </c>
      <c r="P315" s="73">
        <f t="shared" si="148"/>
        <v>660</v>
      </c>
      <c r="Q315" s="73">
        <f t="shared" si="148"/>
        <v>836.61</v>
      </c>
      <c r="R315" s="73">
        <f t="shared" si="148"/>
        <v>836.61</v>
      </c>
    </row>
    <row r="316" spans="2:18" s="34" customFormat="1" ht="13.2">
      <c r="B316" s="75" t="s">
        <v>624</v>
      </c>
      <c r="C316" s="76" t="s">
        <v>625</v>
      </c>
      <c r="D316" s="77" t="s">
        <v>131</v>
      </c>
      <c r="E316" s="78">
        <v>3</v>
      </c>
      <c r="F316" s="79"/>
      <c r="G316" s="79"/>
      <c r="H316" s="79"/>
      <c r="I316" s="79">
        <f>SUM(G316:H316)+'BM 008'!I316</f>
        <v>0</v>
      </c>
      <c r="J316" s="79">
        <f t="shared" si="134"/>
        <v>3</v>
      </c>
      <c r="K316" s="84">
        <v>220</v>
      </c>
      <c r="L316" s="81">
        <f t="shared" si="133"/>
        <v>278.8720242</v>
      </c>
      <c r="M316" s="82">
        <f>TRUNC(F316*L316,2)</f>
        <v>0</v>
      </c>
      <c r="N316" s="82">
        <f>TRUNC(G316*L316,2)</f>
        <v>0</v>
      </c>
      <c r="O316" s="82">
        <f>N316+'BM 008'!O316</f>
        <v>0</v>
      </c>
      <c r="P316" s="80">
        <f>E316*K316</f>
        <v>660</v>
      </c>
      <c r="Q316" s="82">
        <f>TRUNC(E316*L316,2)</f>
        <v>836.61</v>
      </c>
      <c r="R316" s="82">
        <f>Q316-O316</f>
        <v>836.61</v>
      </c>
    </row>
    <row r="317" spans="2:18" s="34" customFormat="1" ht="13.2">
      <c r="B317" s="60" t="s">
        <v>626</v>
      </c>
      <c r="C317" s="61" t="s">
        <v>627</v>
      </c>
      <c r="D317" s="60"/>
      <c r="E317" s="62"/>
      <c r="F317" s="63"/>
      <c r="G317" s="63"/>
      <c r="H317" s="63"/>
      <c r="I317" s="63">
        <f>SUM(G317:H317)+'BM 008'!I317</f>
        <v>0</v>
      </c>
      <c r="J317" s="63">
        <f t="shared" si="134"/>
        <v>0</v>
      </c>
      <c r="K317" s="63"/>
      <c r="L317" s="63">
        <f t="shared" si="133"/>
        <v>0</v>
      </c>
      <c r="M317" s="63">
        <f t="shared" ref="M317:R317" si="149">SUM(M318:M327)</f>
        <v>0</v>
      </c>
      <c r="N317" s="63">
        <f t="shared" si="149"/>
        <v>0</v>
      </c>
      <c r="O317" s="63">
        <f t="shared" si="149"/>
        <v>0</v>
      </c>
      <c r="P317" s="63">
        <f t="shared" si="149"/>
        <v>37271.68</v>
      </c>
      <c r="Q317" s="63">
        <f t="shared" si="149"/>
        <v>47245.569999999992</v>
      </c>
      <c r="R317" s="63">
        <f t="shared" si="149"/>
        <v>47245.569999999992</v>
      </c>
    </row>
    <row r="318" spans="2:18" s="34" customFormat="1" ht="23.4">
      <c r="B318" s="75" t="s">
        <v>628</v>
      </c>
      <c r="C318" s="76" t="s">
        <v>629</v>
      </c>
      <c r="D318" s="77" t="s">
        <v>82</v>
      </c>
      <c r="E318" s="93">
        <v>170</v>
      </c>
      <c r="F318" s="79"/>
      <c r="G318" s="79"/>
      <c r="H318" s="79"/>
      <c r="I318" s="79">
        <f>SUM(G318:H318)+'BM 008'!I318</f>
        <v>0</v>
      </c>
      <c r="J318" s="79">
        <f t="shared" si="134"/>
        <v>170</v>
      </c>
      <c r="K318" s="80">
        <v>100</v>
      </c>
      <c r="L318" s="81">
        <f t="shared" si="133"/>
        <v>126.76001100000001</v>
      </c>
      <c r="M318" s="82">
        <f t="shared" ref="M318:M327" si="150">TRUNC(F318*L318,2)</f>
        <v>0</v>
      </c>
      <c r="N318" s="82">
        <f t="shared" ref="N318:N327" si="151">TRUNC(G318*L318,2)</f>
        <v>0</v>
      </c>
      <c r="O318" s="82">
        <f>N318+'BM 008'!O318</f>
        <v>0</v>
      </c>
      <c r="P318" s="80">
        <f t="shared" ref="P318:P327" si="152">E318*K318</f>
        <v>17000</v>
      </c>
      <c r="Q318" s="82">
        <f t="shared" ref="Q318:Q327" si="153">TRUNC(E318*L318,2)</f>
        <v>21549.200000000001</v>
      </c>
      <c r="R318" s="82">
        <f t="shared" ref="R318:R327" si="154">Q318-O318</f>
        <v>21549.200000000001</v>
      </c>
    </row>
    <row r="319" spans="2:18" s="34" customFormat="1" ht="23.4">
      <c r="B319" s="75" t="s">
        <v>630</v>
      </c>
      <c r="C319" s="76" t="s">
        <v>631</v>
      </c>
      <c r="D319" s="77" t="s">
        <v>131</v>
      </c>
      <c r="E319" s="93">
        <v>1</v>
      </c>
      <c r="F319" s="79"/>
      <c r="G319" s="79"/>
      <c r="H319" s="79"/>
      <c r="I319" s="79">
        <f>SUM(G319:H319)+'BM 008'!I319</f>
        <v>0</v>
      </c>
      <c r="J319" s="79">
        <f t="shared" si="134"/>
        <v>1</v>
      </c>
      <c r="K319" s="80">
        <v>1300</v>
      </c>
      <c r="L319" s="81">
        <f t="shared" si="133"/>
        <v>1647.8801430000001</v>
      </c>
      <c r="M319" s="82">
        <f t="shared" si="150"/>
        <v>0</v>
      </c>
      <c r="N319" s="82">
        <f t="shared" si="151"/>
        <v>0</v>
      </c>
      <c r="O319" s="82">
        <f>N319+'BM 008'!O319</f>
        <v>0</v>
      </c>
      <c r="P319" s="80">
        <f t="shared" si="152"/>
        <v>1300</v>
      </c>
      <c r="Q319" s="82">
        <f t="shared" si="153"/>
        <v>1647.88</v>
      </c>
      <c r="R319" s="82">
        <f t="shared" si="154"/>
        <v>1647.88</v>
      </c>
    </row>
    <row r="320" spans="2:18" s="34" customFormat="1" ht="23.4">
      <c r="B320" s="75" t="s">
        <v>632</v>
      </c>
      <c r="C320" s="76" t="s">
        <v>633</v>
      </c>
      <c r="D320" s="77" t="s">
        <v>82</v>
      </c>
      <c r="E320" s="93">
        <v>250</v>
      </c>
      <c r="F320" s="79"/>
      <c r="G320" s="79"/>
      <c r="H320" s="79"/>
      <c r="I320" s="79">
        <f>SUM(G320:H320)+'BM 008'!I320</f>
        <v>0</v>
      </c>
      <c r="J320" s="79">
        <f t="shared" si="134"/>
        <v>250</v>
      </c>
      <c r="K320" s="80">
        <v>38</v>
      </c>
      <c r="L320" s="81">
        <f t="shared" si="133"/>
        <v>48.168804180000002</v>
      </c>
      <c r="M320" s="82">
        <f t="shared" si="150"/>
        <v>0</v>
      </c>
      <c r="N320" s="82">
        <f t="shared" si="151"/>
        <v>0</v>
      </c>
      <c r="O320" s="82">
        <f>N320+'BM 008'!O320</f>
        <v>0</v>
      </c>
      <c r="P320" s="80">
        <f t="shared" si="152"/>
        <v>9500</v>
      </c>
      <c r="Q320" s="82">
        <f t="shared" si="153"/>
        <v>12042.2</v>
      </c>
      <c r="R320" s="82">
        <f t="shared" si="154"/>
        <v>12042.2</v>
      </c>
    </row>
    <row r="321" spans="2:18" s="34" customFormat="1" ht="13.2">
      <c r="B321" s="75" t="s">
        <v>634</v>
      </c>
      <c r="C321" s="76" t="s">
        <v>635</v>
      </c>
      <c r="D321" s="77" t="s">
        <v>39</v>
      </c>
      <c r="E321" s="78">
        <v>20</v>
      </c>
      <c r="F321" s="79"/>
      <c r="G321" s="79"/>
      <c r="H321" s="79"/>
      <c r="I321" s="79">
        <f>SUM(G321:H321)+'BM 008'!I321</f>
        <v>0</v>
      </c>
      <c r="J321" s="79">
        <f t="shared" si="134"/>
        <v>20</v>
      </c>
      <c r="K321" s="84">
        <v>42</v>
      </c>
      <c r="L321" s="81">
        <f t="shared" si="133"/>
        <v>53.239204620000002</v>
      </c>
      <c r="M321" s="82">
        <f t="shared" si="150"/>
        <v>0</v>
      </c>
      <c r="N321" s="82">
        <f t="shared" si="151"/>
        <v>0</v>
      </c>
      <c r="O321" s="82">
        <f>N321+'BM 008'!O321</f>
        <v>0</v>
      </c>
      <c r="P321" s="80">
        <f t="shared" si="152"/>
        <v>840</v>
      </c>
      <c r="Q321" s="82">
        <f t="shared" si="153"/>
        <v>1064.78</v>
      </c>
      <c r="R321" s="82">
        <f t="shared" si="154"/>
        <v>1064.78</v>
      </c>
    </row>
    <row r="322" spans="2:18" s="34" customFormat="1" ht="23.4">
      <c r="B322" s="75" t="s">
        <v>636</v>
      </c>
      <c r="C322" s="76" t="s">
        <v>637</v>
      </c>
      <c r="D322" s="77" t="s">
        <v>39</v>
      </c>
      <c r="E322" s="78">
        <v>30</v>
      </c>
      <c r="F322" s="79"/>
      <c r="G322" s="79"/>
      <c r="H322" s="79"/>
      <c r="I322" s="79">
        <f>SUM(G322:H322)+'BM 008'!I322</f>
        <v>0</v>
      </c>
      <c r="J322" s="79">
        <f t="shared" si="134"/>
        <v>30</v>
      </c>
      <c r="K322" s="84">
        <v>25</v>
      </c>
      <c r="L322" s="81">
        <f t="shared" si="133"/>
        <v>31.690002750000001</v>
      </c>
      <c r="M322" s="82">
        <f t="shared" si="150"/>
        <v>0</v>
      </c>
      <c r="N322" s="82">
        <f t="shared" si="151"/>
        <v>0</v>
      </c>
      <c r="O322" s="82">
        <f>N322+'BM 008'!O322</f>
        <v>0</v>
      </c>
      <c r="P322" s="80">
        <f t="shared" si="152"/>
        <v>750</v>
      </c>
      <c r="Q322" s="82">
        <f t="shared" si="153"/>
        <v>950.7</v>
      </c>
      <c r="R322" s="82">
        <f t="shared" si="154"/>
        <v>950.7</v>
      </c>
    </row>
    <row r="323" spans="2:18" s="34" customFormat="1" ht="46.2">
      <c r="B323" s="75" t="s">
        <v>638</v>
      </c>
      <c r="C323" s="76" t="s">
        <v>639</v>
      </c>
      <c r="D323" s="77" t="s">
        <v>39</v>
      </c>
      <c r="E323" s="78">
        <v>2</v>
      </c>
      <c r="F323" s="79"/>
      <c r="G323" s="79"/>
      <c r="H323" s="79"/>
      <c r="I323" s="79">
        <f>SUM(G323:H323)+'BM 008'!I323</f>
        <v>0</v>
      </c>
      <c r="J323" s="79">
        <f t="shared" si="134"/>
        <v>2</v>
      </c>
      <c r="K323" s="84">
        <v>1800</v>
      </c>
      <c r="L323" s="81">
        <f t="shared" si="133"/>
        <v>2281.680198</v>
      </c>
      <c r="M323" s="82">
        <f t="shared" si="150"/>
        <v>0</v>
      </c>
      <c r="N323" s="82">
        <f t="shared" si="151"/>
        <v>0</v>
      </c>
      <c r="O323" s="82">
        <f>N323+'BM 008'!O323</f>
        <v>0</v>
      </c>
      <c r="P323" s="80">
        <f t="shared" si="152"/>
        <v>3600</v>
      </c>
      <c r="Q323" s="82">
        <f t="shared" si="153"/>
        <v>4563.3599999999997</v>
      </c>
      <c r="R323" s="82">
        <f t="shared" si="154"/>
        <v>4563.3599999999997</v>
      </c>
    </row>
    <row r="324" spans="2:18" s="34" customFormat="1" ht="23.4">
      <c r="B324" s="75" t="s">
        <v>640</v>
      </c>
      <c r="C324" s="76" t="s">
        <v>641</v>
      </c>
      <c r="D324" s="77" t="s">
        <v>39</v>
      </c>
      <c r="E324" s="78">
        <v>17</v>
      </c>
      <c r="F324" s="79"/>
      <c r="G324" s="79"/>
      <c r="H324" s="79"/>
      <c r="I324" s="79">
        <f>SUM(G324:H324)+'BM 008'!I324</f>
        <v>0</v>
      </c>
      <c r="J324" s="79">
        <f t="shared" si="134"/>
        <v>17</v>
      </c>
      <c r="K324" s="84">
        <v>160</v>
      </c>
      <c r="L324" s="81">
        <f t="shared" si="133"/>
        <v>202.81601760000001</v>
      </c>
      <c r="M324" s="82">
        <f t="shared" si="150"/>
        <v>0</v>
      </c>
      <c r="N324" s="82">
        <f t="shared" si="151"/>
        <v>0</v>
      </c>
      <c r="O324" s="82">
        <f>N324+'BM 008'!O324</f>
        <v>0</v>
      </c>
      <c r="P324" s="80">
        <f t="shared" si="152"/>
        <v>2720</v>
      </c>
      <c r="Q324" s="82">
        <f t="shared" si="153"/>
        <v>3447.87</v>
      </c>
      <c r="R324" s="82">
        <f t="shared" si="154"/>
        <v>3447.87</v>
      </c>
    </row>
    <row r="325" spans="2:18" s="34" customFormat="1" ht="13.2">
      <c r="B325" s="75" t="s">
        <v>642</v>
      </c>
      <c r="C325" s="76" t="s">
        <v>643</v>
      </c>
      <c r="D325" s="77" t="s">
        <v>39</v>
      </c>
      <c r="E325" s="78">
        <v>100</v>
      </c>
      <c r="F325" s="79"/>
      <c r="G325" s="79"/>
      <c r="H325" s="79"/>
      <c r="I325" s="79">
        <f>SUM(G325:H325)+'BM 008'!I325</f>
        <v>0</v>
      </c>
      <c r="J325" s="79">
        <f t="shared" si="134"/>
        <v>100</v>
      </c>
      <c r="K325" s="84">
        <v>5.27</v>
      </c>
      <c r="L325" s="81">
        <f t="shared" si="133"/>
        <v>6.6802525796999994</v>
      </c>
      <c r="M325" s="82">
        <f t="shared" si="150"/>
        <v>0</v>
      </c>
      <c r="N325" s="82">
        <f t="shared" si="151"/>
        <v>0</v>
      </c>
      <c r="O325" s="82">
        <f>N325+'BM 008'!O325</f>
        <v>0</v>
      </c>
      <c r="P325" s="80">
        <f t="shared" si="152"/>
        <v>527</v>
      </c>
      <c r="Q325" s="82">
        <f t="shared" si="153"/>
        <v>668.02</v>
      </c>
      <c r="R325" s="82">
        <f t="shared" si="154"/>
        <v>668.02</v>
      </c>
    </row>
    <row r="326" spans="2:18" s="34" customFormat="1" ht="23.25" customHeight="1">
      <c r="B326" s="75" t="s">
        <v>644</v>
      </c>
      <c r="C326" s="76" t="s">
        <v>645</v>
      </c>
      <c r="D326" s="77" t="s">
        <v>124</v>
      </c>
      <c r="E326" s="78">
        <v>12</v>
      </c>
      <c r="F326" s="79"/>
      <c r="G326" s="79"/>
      <c r="H326" s="79"/>
      <c r="I326" s="79">
        <f>SUM(G326:H326)+'BM 008'!I326</f>
        <v>0</v>
      </c>
      <c r="J326" s="79">
        <f t="shared" si="134"/>
        <v>12</v>
      </c>
      <c r="K326" s="84">
        <v>15.39</v>
      </c>
      <c r="L326" s="81">
        <f t="shared" si="133"/>
        <v>19.5083656929</v>
      </c>
      <c r="M326" s="82">
        <f t="shared" si="150"/>
        <v>0</v>
      </c>
      <c r="N326" s="82">
        <f t="shared" si="151"/>
        <v>0</v>
      </c>
      <c r="O326" s="82">
        <f>N326+'BM 008'!O326</f>
        <v>0</v>
      </c>
      <c r="P326" s="80">
        <f t="shared" si="152"/>
        <v>184.68</v>
      </c>
      <c r="Q326" s="82">
        <f t="shared" si="153"/>
        <v>234.1</v>
      </c>
      <c r="R326" s="82">
        <f t="shared" si="154"/>
        <v>234.1</v>
      </c>
    </row>
    <row r="327" spans="2:18" s="34" customFormat="1" ht="23.4">
      <c r="B327" s="75" t="s">
        <v>646</v>
      </c>
      <c r="C327" s="76" t="s">
        <v>647</v>
      </c>
      <c r="D327" s="77" t="s">
        <v>39</v>
      </c>
      <c r="E327" s="78">
        <v>17</v>
      </c>
      <c r="F327" s="79"/>
      <c r="G327" s="79"/>
      <c r="H327" s="79"/>
      <c r="I327" s="79">
        <f>SUM(G327:H327)+'BM 008'!I327</f>
        <v>0</v>
      </c>
      <c r="J327" s="79">
        <f t="shared" si="134"/>
        <v>17</v>
      </c>
      <c r="K327" s="84">
        <v>50</v>
      </c>
      <c r="L327" s="81">
        <f t="shared" si="133"/>
        <v>63.380005500000003</v>
      </c>
      <c r="M327" s="82">
        <f t="shared" si="150"/>
        <v>0</v>
      </c>
      <c r="N327" s="82">
        <f t="shared" si="151"/>
        <v>0</v>
      </c>
      <c r="O327" s="82">
        <f>N327+'BM 008'!O327</f>
        <v>0</v>
      </c>
      <c r="P327" s="80">
        <f t="shared" si="152"/>
        <v>850</v>
      </c>
      <c r="Q327" s="82">
        <f t="shared" si="153"/>
        <v>1077.46</v>
      </c>
      <c r="R327" s="82">
        <f t="shared" si="154"/>
        <v>1077.46</v>
      </c>
    </row>
    <row r="328" spans="2:18" s="34" customFormat="1" ht="13.2">
      <c r="B328" s="60" t="s">
        <v>648</v>
      </c>
      <c r="C328" s="61" t="s">
        <v>649</v>
      </c>
      <c r="D328" s="60"/>
      <c r="E328" s="62"/>
      <c r="F328" s="63"/>
      <c r="G328" s="63"/>
      <c r="H328" s="63"/>
      <c r="I328" s="63">
        <f>SUM(G328:H328)+'BM 008'!I328</f>
        <v>0</v>
      </c>
      <c r="J328" s="63">
        <f t="shared" si="134"/>
        <v>0</v>
      </c>
      <c r="K328" s="63"/>
      <c r="L328" s="63">
        <f t="shared" si="133"/>
        <v>0</v>
      </c>
      <c r="M328" s="63">
        <f t="shared" ref="M328:R328" si="155">SUM(M329,M337,M395,M406,M474)</f>
        <v>0</v>
      </c>
      <c r="N328" s="63">
        <f t="shared" si="155"/>
        <v>0</v>
      </c>
      <c r="O328" s="63">
        <f t="shared" si="155"/>
        <v>6476.81</v>
      </c>
      <c r="P328" s="63">
        <f t="shared" si="155"/>
        <v>482517.43010000006</v>
      </c>
      <c r="Q328" s="63">
        <f t="shared" si="155"/>
        <v>611638.38000000012</v>
      </c>
      <c r="R328" s="63">
        <f t="shared" si="155"/>
        <v>605161.57000000007</v>
      </c>
    </row>
    <row r="329" spans="2:18" s="34" customFormat="1" ht="13.2">
      <c r="B329" s="66" t="s">
        <v>650</v>
      </c>
      <c r="C329" s="67" t="s">
        <v>651</v>
      </c>
      <c r="D329" s="68"/>
      <c r="E329" s="69"/>
      <c r="F329" s="70"/>
      <c r="G329" s="70"/>
      <c r="H329" s="70"/>
      <c r="I329" s="70">
        <f>SUM(G329:H329)+'BM 008'!I329</f>
        <v>0</v>
      </c>
      <c r="J329" s="70">
        <f t="shared" si="134"/>
        <v>0</v>
      </c>
      <c r="K329" s="71"/>
      <c r="L329" s="71">
        <f t="shared" si="133"/>
        <v>0</v>
      </c>
      <c r="M329" s="73">
        <f t="shared" ref="M329:R329" si="156">SUM(M330:M336)</f>
        <v>0</v>
      </c>
      <c r="N329" s="73">
        <f t="shared" si="156"/>
        <v>0</v>
      </c>
      <c r="O329" s="73">
        <f t="shared" si="156"/>
        <v>2814.07</v>
      </c>
      <c r="P329" s="73">
        <f t="shared" si="156"/>
        <v>39545.715000000004</v>
      </c>
      <c r="Q329" s="73">
        <f t="shared" si="156"/>
        <v>50128.12</v>
      </c>
      <c r="R329" s="73">
        <f t="shared" si="156"/>
        <v>47314.05</v>
      </c>
    </row>
    <row r="330" spans="2:18" s="34" customFormat="1" ht="23.4">
      <c r="B330" s="75" t="s">
        <v>652</v>
      </c>
      <c r="C330" s="76" t="s">
        <v>653</v>
      </c>
      <c r="D330" s="77" t="s">
        <v>82</v>
      </c>
      <c r="E330" s="90">
        <v>9.3800000000000008</v>
      </c>
      <c r="F330" s="91"/>
      <c r="G330" s="91"/>
      <c r="H330" s="91"/>
      <c r="I330" s="91">
        <f>SUM(G330:H330)+'BM 008'!I330</f>
        <v>0</v>
      </c>
      <c r="J330" s="91">
        <f t="shared" si="134"/>
        <v>9.3800000000000008</v>
      </c>
      <c r="K330" s="80">
        <v>6.5</v>
      </c>
      <c r="L330" s="81">
        <f t="shared" si="133"/>
        <v>8.2394007150000004</v>
      </c>
      <c r="M330" s="82">
        <f t="shared" ref="M330:M336" si="157">TRUNC(F330*L330,2)</f>
        <v>0</v>
      </c>
      <c r="N330" s="82">
        <f t="shared" ref="N330:N336" si="158">TRUNC(G330*L330,2)</f>
        <v>0</v>
      </c>
      <c r="O330" s="82">
        <f>N330+'BM 008'!O330</f>
        <v>0</v>
      </c>
      <c r="P330" s="80">
        <f t="shared" ref="P330:P336" si="159">E330*K330</f>
        <v>60.970000000000006</v>
      </c>
      <c r="Q330" s="82">
        <f t="shared" ref="Q330:Q336" si="160">TRUNC(E330*L330,2)</f>
        <v>77.28</v>
      </c>
      <c r="R330" s="82">
        <f t="shared" ref="R330:R336" si="161">Q330-O330</f>
        <v>77.28</v>
      </c>
    </row>
    <row r="331" spans="2:18" s="34" customFormat="1" ht="23.4">
      <c r="B331" s="75" t="s">
        <v>654</v>
      </c>
      <c r="C331" s="76" t="s">
        <v>655</v>
      </c>
      <c r="D331" s="77" t="s">
        <v>82</v>
      </c>
      <c r="E331" s="90">
        <v>1074.94</v>
      </c>
      <c r="F331" s="91"/>
      <c r="G331" s="91"/>
      <c r="H331" s="91"/>
      <c r="I331" s="91">
        <f>SUM(G331:H331)+'BM 008'!I331</f>
        <v>0</v>
      </c>
      <c r="J331" s="91">
        <f t="shared" si="134"/>
        <v>1074.94</v>
      </c>
      <c r="K331" s="80">
        <v>8</v>
      </c>
      <c r="L331" s="81">
        <f t="shared" si="133"/>
        <v>10.14080088</v>
      </c>
      <c r="M331" s="82">
        <f t="shared" si="157"/>
        <v>0</v>
      </c>
      <c r="N331" s="82">
        <f t="shared" si="158"/>
        <v>0</v>
      </c>
      <c r="O331" s="82">
        <f>N331+'BM 008'!O331</f>
        <v>0</v>
      </c>
      <c r="P331" s="80">
        <f t="shared" si="159"/>
        <v>8599.52</v>
      </c>
      <c r="Q331" s="82">
        <f t="shared" si="160"/>
        <v>10900.75</v>
      </c>
      <c r="R331" s="82">
        <f t="shared" si="161"/>
        <v>10900.75</v>
      </c>
    </row>
    <row r="332" spans="2:18" s="34" customFormat="1" ht="23.4">
      <c r="B332" s="75" t="s">
        <v>656</v>
      </c>
      <c r="C332" s="76" t="s">
        <v>657</v>
      </c>
      <c r="D332" s="77" t="s">
        <v>82</v>
      </c>
      <c r="E332" s="93">
        <v>17.41</v>
      </c>
      <c r="F332" s="79"/>
      <c r="G332" s="79"/>
      <c r="H332" s="79"/>
      <c r="I332" s="79">
        <f>SUM(G332:H332)+'BM 008'!I332</f>
        <v>0</v>
      </c>
      <c r="J332" s="79">
        <f t="shared" si="134"/>
        <v>17.41</v>
      </c>
      <c r="K332" s="80">
        <v>17.5</v>
      </c>
      <c r="L332" s="81">
        <f t="shared" si="133"/>
        <v>22.183001924999999</v>
      </c>
      <c r="M332" s="82">
        <f t="shared" si="157"/>
        <v>0</v>
      </c>
      <c r="N332" s="82">
        <f t="shared" si="158"/>
        <v>0</v>
      </c>
      <c r="O332" s="82">
        <f>N332+'BM 008'!O332</f>
        <v>0</v>
      </c>
      <c r="P332" s="80">
        <f t="shared" si="159"/>
        <v>304.67500000000001</v>
      </c>
      <c r="Q332" s="82">
        <f t="shared" si="160"/>
        <v>386.2</v>
      </c>
      <c r="R332" s="82">
        <f t="shared" si="161"/>
        <v>386.2</v>
      </c>
    </row>
    <row r="333" spans="2:18" s="34" customFormat="1" ht="23.4">
      <c r="B333" s="75" t="s">
        <v>658</v>
      </c>
      <c r="C333" s="76" t="s">
        <v>659</v>
      </c>
      <c r="D333" s="77" t="s">
        <v>82</v>
      </c>
      <c r="E333" s="93">
        <v>471.41</v>
      </c>
      <c r="F333" s="79"/>
      <c r="G333" s="79"/>
      <c r="H333" s="79"/>
      <c r="I333" s="79">
        <f>SUM(G333:H333)+'BM 008'!I333</f>
        <v>0</v>
      </c>
      <c r="J333" s="79">
        <f t="shared" si="134"/>
        <v>471.41</v>
      </c>
      <c r="K333" s="80">
        <v>23.5</v>
      </c>
      <c r="L333" s="81">
        <f t="shared" si="133"/>
        <v>29.788602585</v>
      </c>
      <c r="M333" s="82">
        <f t="shared" si="157"/>
        <v>0</v>
      </c>
      <c r="N333" s="82">
        <f t="shared" si="158"/>
        <v>0</v>
      </c>
      <c r="O333" s="82">
        <f>N333+'BM 008'!O333</f>
        <v>0</v>
      </c>
      <c r="P333" s="80">
        <f t="shared" si="159"/>
        <v>11078.135</v>
      </c>
      <c r="Q333" s="82">
        <f t="shared" si="160"/>
        <v>14042.64</v>
      </c>
      <c r="R333" s="82">
        <f t="shared" si="161"/>
        <v>14042.64</v>
      </c>
    </row>
    <row r="334" spans="2:18" s="34" customFormat="1" ht="23.4">
      <c r="B334" s="75" t="s">
        <v>660</v>
      </c>
      <c r="C334" s="76" t="s">
        <v>661</v>
      </c>
      <c r="D334" s="77" t="s">
        <v>82</v>
      </c>
      <c r="E334" s="93">
        <v>25.81</v>
      </c>
      <c r="F334" s="79"/>
      <c r="G334" s="79"/>
      <c r="H334" s="79"/>
      <c r="I334" s="79">
        <f>SUM(G334:H334)+'BM 008'!I334</f>
        <v>0</v>
      </c>
      <c r="J334" s="79">
        <f t="shared" si="134"/>
        <v>25.81</v>
      </c>
      <c r="K334" s="80">
        <v>27.5</v>
      </c>
      <c r="L334" s="81">
        <f t="shared" si="133"/>
        <v>34.859003025</v>
      </c>
      <c r="M334" s="82">
        <f t="shared" si="157"/>
        <v>0</v>
      </c>
      <c r="N334" s="82">
        <f t="shared" si="158"/>
        <v>0</v>
      </c>
      <c r="O334" s="82">
        <f>N334+'BM 008'!O334</f>
        <v>0</v>
      </c>
      <c r="P334" s="80">
        <f t="shared" si="159"/>
        <v>709.77499999999998</v>
      </c>
      <c r="Q334" s="82">
        <f t="shared" si="160"/>
        <v>899.71</v>
      </c>
      <c r="R334" s="82">
        <f t="shared" si="161"/>
        <v>899.71</v>
      </c>
    </row>
    <row r="335" spans="2:18" s="34" customFormat="1" ht="23.4">
      <c r="B335" s="75" t="s">
        <v>662</v>
      </c>
      <c r="C335" s="76" t="s">
        <v>663</v>
      </c>
      <c r="D335" s="77" t="s">
        <v>124</v>
      </c>
      <c r="E335" s="93">
        <v>165.66</v>
      </c>
      <c r="F335" s="79"/>
      <c r="G335" s="79"/>
      <c r="H335" s="79"/>
      <c r="I335" s="79">
        <f>SUM(G335:H335)+'BM 008'!I335</f>
        <v>0</v>
      </c>
      <c r="J335" s="79">
        <f t="shared" si="134"/>
        <v>165.66</v>
      </c>
      <c r="K335" s="80">
        <v>41</v>
      </c>
      <c r="L335" s="81">
        <f t="shared" si="133"/>
        <v>51.971604510000006</v>
      </c>
      <c r="M335" s="82">
        <f t="shared" si="157"/>
        <v>0</v>
      </c>
      <c r="N335" s="82">
        <f t="shared" si="158"/>
        <v>0</v>
      </c>
      <c r="O335" s="82">
        <f>N335+'BM 008'!O335</f>
        <v>0</v>
      </c>
      <c r="P335" s="80">
        <f t="shared" si="159"/>
        <v>6792.0599999999995</v>
      </c>
      <c r="Q335" s="82">
        <f t="shared" si="160"/>
        <v>8609.61</v>
      </c>
      <c r="R335" s="82">
        <f t="shared" si="161"/>
        <v>8609.61</v>
      </c>
    </row>
    <row r="336" spans="2:18" s="34" customFormat="1" ht="23.4">
      <c r="B336" s="75" t="s">
        <v>664</v>
      </c>
      <c r="C336" s="76" t="s">
        <v>665</v>
      </c>
      <c r="D336" s="77" t="s">
        <v>124</v>
      </c>
      <c r="E336" s="93">
        <v>162.16999999999999</v>
      </c>
      <c r="F336" s="79"/>
      <c r="G336" s="79"/>
      <c r="H336" s="79"/>
      <c r="I336" s="79">
        <f>SUM(G336:H336)+'BM 008'!I336</f>
        <v>30</v>
      </c>
      <c r="J336" s="79">
        <f t="shared" si="134"/>
        <v>132.16999999999999</v>
      </c>
      <c r="K336" s="80">
        <v>74</v>
      </c>
      <c r="L336" s="81">
        <f t="shared" si="133"/>
        <v>93.802408140000011</v>
      </c>
      <c r="M336" s="82">
        <f t="shared" si="157"/>
        <v>0</v>
      </c>
      <c r="N336" s="82">
        <f t="shared" si="158"/>
        <v>0</v>
      </c>
      <c r="O336" s="82">
        <f>N336+'BM 008'!O336</f>
        <v>2814.07</v>
      </c>
      <c r="P336" s="80">
        <f t="shared" si="159"/>
        <v>12000.58</v>
      </c>
      <c r="Q336" s="82">
        <f t="shared" si="160"/>
        <v>15211.93</v>
      </c>
      <c r="R336" s="82">
        <f t="shared" si="161"/>
        <v>12397.86</v>
      </c>
    </row>
    <row r="337" spans="2:18" s="34" customFormat="1" ht="24">
      <c r="B337" s="66" t="s">
        <v>666</v>
      </c>
      <c r="C337" s="67" t="s">
        <v>667</v>
      </c>
      <c r="D337" s="68"/>
      <c r="E337" s="69"/>
      <c r="F337" s="70"/>
      <c r="G337" s="70"/>
      <c r="H337" s="70"/>
      <c r="I337" s="70">
        <f>SUM(G337:H337)+'BM 008'!I337</f>
        <v>0</v>
      </c>
      <c r="J337" s="70">
        <f t="shared" si="134"/>
        <v>0</v>
      </c>
      <c r="K337" s="71"/>
      <c r="L337" s="71">
        <f t="shared" si="133"/>
        <v>0</v>
      </c>
      <c r="M337" s="73">
        <f t="shared" ref="M337:R337" si="162">SUM(M338:M394)</f>
        <v>0</v>
      </c>
      <c r="N337" s="73">
        <f t="shared" si="162"/>
        <v>0</v>
      </c>
      <c r="O337" s="73">
        <f t="shared" si="162"/>
        <v>848.67</v>
      </c>
      <c r="P337" s="73">
        <f t="shared" si="162"/>
        <v>49585.86</v>
      </c>
      <c r="Q337" s="73">
        <f t="shared" si="162"/>
        <v>62854.749999999985</v>
      </c>
      <c r="R337" s="73">
        <f t="shared" si="162"/>
        <v>62006.079999999987</v>
      </c>
    </row>
    <row r="338" spans="2:18" s="34" customFormat="1" ht="46.2">
      <c r="B338" s="75" t="s">
        <v>668</v>
      </c>
      <c r="C338" s="76" t="s">
        <v>669</v>
      </c>
      <c r="D338" s="77" t="s">
        <v>131</v>
      </c>
      <c r="E338" s="93">
        <v>2</v>
      </c>
      <c r="F338" s="79"/>
      <c r="G338" s="79"/>
      <c r="H338" s="79"/>
      <c r="I338" s="79">
        <f>SUM(G338:H338)+'BM 008'!I338</f>
        <v>0</v>
      </c>
      <c r="J338" s="79">
        <f t="shared" si="134"/>
        <v>2</v>
      </c>
      <c r="K338" s="80">
        <v>119</v>
      </c>
      <c r="L338" s="81">
        <f t="shared" si="133"/>
        <v>150.84441309000002</v>
      </c>
      <c r="M338" s="82">
        <f t="shared" ref="M338:M369" si="163">TRUNC(F338*L338,2)</f>
        <v>0</v>
      </c>
      <c r="N338" s="82">
        <f t="shared" ref="N338:N369" si="164">TRUNC(G338*L338,2)</f>
        <v>0</v>
      </c>
      <c r="O338" s="82">
        <f>N338+'BM 008'!O338</f>
        <v>0</v>
      </c>
      <c r="P338" s="80">
        <f t="shared" ref="P338:P369" si="165">E338*K338</f>
        <v>238</v>
      </c>
      <c r="Q338" s="82">
        <f t="shared" ref="Q338:Q369" si="166">TRUNC(E338*L338,2)</f>
        <v>301.68</v>
      </c>
      <c r="R338" s="82">
        <f t="shared" ref="R338:R369" si="167">Q338-O338</f>
        <v>301.68</v>
      </c>
    </row>
    <row r="339" spans="2:18" s="34" customFormat="1" ht="46.2">
      <c r="B339" s="75" t="s">
        <v>670</v>
      </c>
      <c r="C339" s="76" t="s">
        <v>671</v>
      </c>
      <c r="D339" s="77" t="s">
        <v>131</v>
      </c>
      <c r="E339" s="93">
        <v>12</v>
      </c>
      <c r="F339" s="79"/>
      <c r="G339" s="79"/>
      <c r="H339" s="79"/>
      <c r="I339" s="79">
        <f>SUM(G339:H339)+'BM 008'!I339</f>
        <v>0</v>
      </c>
      <c r="J339" s="79">
        <f t="shared" si="134"/>
        <v>12</v>
      </c>
      <c r="K339" s="80">
        <v>215</v>
      </c>
      <c r="L339" s="81">
        <f t="shared" si="133"/>
        <v>272.53402364999999</v>
      </c>
      <c r="M339" s="82">
        <f t="shared" si="163"/>
        <v>0</v>
      </c>
      <c r="N339" s="82">
        <f t="shared" si="164"/>
        <v>0</v>
      </c>
      <c r="O339" s="82">
        <f>N339+'BM 008'!O339</f>
        <v>0</v>
      </c>
      <c r="P339" s="80">
        <f t="shared" si="165"/>
        <v>2580</v>
      </c>
      <c r="Q339" s="82">
        <f t="shared" si="166"/>
        <v>3270.4</v>
      </c>
      <c r="R339" s="82">
        <f t="shared" si="167"/>
        <v>3270.4</v>
      </c>
    </row>
    <row r="340" spans="2:18" s="34" customFormat="1" ht="23.4">
      <c r="B340" s="75" t="s">
        <v>672</v>
      </c>
      <c r="C340" s="76" t="s">
        <v>673</v>
      </c>
      <c r="D340" s="77" t="s">
        <v>131</v>
      </c>
      <c r="E340" s="93">
        <v>15</v>
      </c>
      <c r="F340" s="79"/>
      <c r="G340" s="79"/>
      <c r="H340" s="79"/>
      <c r="I340" s="79">
        <f>SUM(G340:H340)+'BM 008'!I340</f>
        <v>0</v>
      </c>
      <c r="J340" s="79">
        <f t="shared" si="134"/>
        <v>15</v>
      </c>
      <c r="K340" s="80">
        <v>98</v>
      </c>
      <c r="L340" s="81">
        <f t="shared" si="133"/>
        <v>124.22481078000001</v>
      </c>
      <c r="M340" s="82">
        <f t="shared" si="163"/>
        <v>0</v>
      </c>
      <c r="N340" s="82">
        <f t="shared" si="164"/>
        <v>0</v>
      </c>
      <c r="O340" s="82">
        <f>N340+'BM 008'!O340</f>
        <v>0</v>
      </c>
      <c r="P340" s="80">
        <f t="shared" si="165"/>
        <v>1470</v>
      </c>
      <c r="Q340" s="82">
        <f t="shared" si="166"/>
        <v>1863.37</v>
      </c>
      <c r="R340" s="82">
        <f t="shared" si="167"/>
        <v>1863.37</v>
      </c>
    </row>
    <row r="341" spans="2:18" s="34" customFormat="1" ht="34.799999999999997">
      <c r="B341" s="75" t="s">
        <v>674</v>
      </c>
      <c r="C341" s="76" t="s">
        <v>675</v>
      </c>
      <c r="D341" s="77" t="s">
        <v>131</v>
      </c>
      <c r="E341" s="93">
        <v>5</v>
      </c>
      <c r="F341" s="79"/>
      <c r="G341" s="79"/>
      <c r="H341" s="79"/>
      <c r="I341" s="79">
        <f>SUM(G341:H341)+'BM 008'!I341</f>
        <v>0</v>
      </c>
      <c r="J341" s="79">
        <f t="shared" si="134"/>
        <v>5</v>
      </c>
      <c r="K341" s="80">
        <v>52</v>
      </c>
      <c r="L341" s="81">
        <f t="shared" si="133"/>
        <v>65.915205720000003</v>
      </c>
      <c r="M341" s="82">
        <f t="shared" si="163"/>
        <v>0</v>
      </c>
      <c r="N341" s="82">
        <f t="shared" si="164"/>
        <v>0</v>
      </c>
      <c r="O341" s="82">
        <f>N341+'BM 008'!O341</f>
        <v>0</v>
      </c>
      <c r="P341" s="80">
        <f t="shared" si="165"/>
        <v>260</v>
      </c>
      <c r="Q341" s="82">
        <f t="shared" si="166"/>
        <v>329.57</v>
      </c>
      <c r="R341" s="82">
        <f t="shared" si="167"/>
        <v>329.57</v>
      </c>
    </row>
    <row r="342" spans="2:18" s="34" customFormat="1" ht="34.799999999999997">
      <c r="B342" s="75" t="s">
        <v>676</v>
      </c>
      <c r="C342" s="76" t="s">
        <v>677</v>
      </c>
      <c r="D342" s="77" t="s">
        <v>131</v>
      </c>
      <c r="E342" s="93">
        <v>160</v>
      </c>
      <c r="F342" s="79"/>
      <c r="G342" s="79"/>
      <c r="H342" s="79"/>
      <c r="I342" s="79">
        <f>SUM(G342:H342)+'BM 008'!I342</f>
        <v>0</v>
      </c>
      <c r="J342" s="79">
        <f t="shared" si="134"/>
        <v>160</v>
      </c>
      <c r="K342" s="80">
        <v>105.95</v>
      </c>
      <c r="L342" s="81">
        <f t="shared" si="133"/>
        <v>134.30223165450002</v>
      </c>
      <c r="M342" s="82">
        <f t="shared" si="163"/>
        <v>0</v>
      </c>
      <c r="N342" s="82">
        <f t="shared" si="164"/>
        <v>0</v>
      </c>
      <c r="O342" s="82">
        <f>N342+'BM 008'!O342</f>
        <v>0</v>
      </c>
      <c r="P342" s="80">
        <f t="shared" si="165"/>
        <v>16952</v>
      </c>
      <c r="Q342" s="82">
        <f t="shared" si="166"/>
        <v>21488.35</v>
      </c>
      <c r="R342" s="82">
        <f t="shared" si="167"/>
        <v>21488.35</v>
      </c>
    </row>
    <row r="343" spans="2:18" s="34" customFormat="1" ht="23.4">
      <c r="B343" s="75" t="s">
        <v>678</v>
      </c>
      <c r="C343" s="76" t="s">
        <v>679</v>
      </c>
      <c r="D343" s="77" t="s">
        <v>131</v>
      </c>
      <c r="E343" s="93">
        <v>11</v>
      </c>
      <c r="F343" s="79"/>
      <c r="G343" s="79"/>
      <c r="H343" s="79"/>
      <c r="I343" s="79">
        <f>SUM(G343:H343)+'BM 008'!I343</f>
        <v>0</v>
      </c>
      <c r="J343" s="79">
        <f t="shared" si="134"/>
        <v>11</v>
      </c>
      <c r="K343" s="80">
        <v>485</v>
      </c>
      <c r="L343" s="81">
        <f t="shared" si="133"/>
        <v>614.78605334999997</v>
      </c>
      <c r="M343" s="82">
        <f t="shared" si="163"/>
        <v>0</v>
      </c>
      <c r="N343" s="82">
        <f t="shared" si="164"/>
        <v>0</v>
      </c>
      <c r="O343" s="82">
        <f>N343+'BM 008'!O343</f>
        <v>0</v>
      </c>
      <c r="P343" s="80">
        <f t="shared" si="165"/>
        <v>5335</v>
      </c>
      <c r="Q343" s="82">
        <f t="shared" si="166"/>
        <v>6762.64</v>
      </c>
      <c r="R343" s="82">
        <f t="shared" si="167"/>
        <v>6762.64</v>
      </c>
    </row>
    <row r="344" spans="2:18" s="34" customFormat="1" ht="34.799999999999997">
      <c r="B344" s="75" t="s">
        <v>680</v>
      </c>
      <c r="C344" s="88" t="s">
        <v>681</v>
      </c>
      <c r="D344" s="89" t="s">
        <v>131</v>
      </c>
      <c r="E344" s="90">
        <v>3</v>
      </c>
      <c r="F344" s="91"/>
      <c r="G344" s="91"/>
      <c r="H344" s="91"/>
      <c r="I344" s="91">
        <f>SUM(G344:H344)+'BM 008'!I344</f>
        <v>0</v>
      </c>
      <c r="J344" s="91">
        <f t="shared" si="134"/>
        <v>3</v>
      </c>
      <c r="K344" s="80">
        <v>165</v>
      </c>
      <c r="L344" s="81">
        <f t="shared" si="133"/>
        <v>209.15401815000001</v>
      </c>
      <c r="M344" s="82">
        <f t="shared" si="163"/>
        <v>0</v>
      </c>
      <c r="N344" s="82">
        <f t="shared" si="164"/>
        <v>0</v>
      </c>
      <c r="O344" s="82">
        <f>N344+'BM 008'!O344</f>
        <v>0</v>
      </c>
      <c r="P344" s="80">
        <f t="shared" si="165"/>
        <v>495</v>
      </c>
      <c r="Q344" s="82">
        <f t="shared" si="166"/>
        <v>627.46</v>
      </c>
      <c r="R344" s="82">
        <f t="shared" si="167"/>
        <v>627.46</v>
      </c>
    </row>
    <row r="345" spans="2:18" s="34" customFormat="1" ht="23.4">
      <c r="B345" s="75" t="s">
        <v>682</v>
      </c>
      <c r="C345" s="88" t="s">
        <v>683</v>
      </c>
      <c r="D345" s="89" t="s">
        <v>131</v>
      </c>
      <c r="E345" s="90">
        <v>1</v>
      </c>
      <c r="F345" s="91"/>
      <c r="G345" s="91"/>
      <c r="H345" s="91"/>
      <c r="I345" s="91">
        <f>SUM(G345:H345)+'BM 008'!I345</f>
        <v>0</v>
      </c>
      <c r="J345" s="91">
        <f t="shared" si="134"/>
        <v>1</v>
      </c>
      <c r="K345" s="80">
        <v>169</v>
      </c>
      <c r="L345" s="81">
        <f t="shared" si="133"/>
        <v>214.22441859</v>
      </c>
      <c r="M345" s="82">
        <f t="shared" si="163"/>
        <v>0</v>
      </c>
      <c r="N345" s="82">
        <f t="shared" si="164"/>
        <v>0</v>
      </c>
      <c r="O345" s="82">
        <f>N345+'BM 008'!O345</f>
        <v>0</v>
      </c>
      <c r="P345" s="80">
        <f t="shared" si="165"/>
        <v>169</v>
      </c>
      <c r="Q345" s="82">
        <f t="shared" si="166"/>
        <v>214.22</v>
      </c>
      <c r="R345" s="82">
        <f t="shared" si="167"/>
        <v>214.22</v>
      </c>
    </row>
    <row r="346" spans="2:18" s="34" customFormat="1" ht="23.4">
      <c r="B346" s="75" t="s">
        <v>684</v>
      </c>
      <c r="C346" s="88" t="s">
        <v>685</v>
      </c>
      <c r="D346" s="89" t="s">
        <v>131</v>
      </c>
      <c r="E346" s="90">
        <v>1</v>
      </c>
      <c r="F346" s="91"/>
      <c r="G346" s="91"/>
      <c r="H346" s="91"/>
      <c r="I346" s="91">
        <f>SUM(G346:H346)+'BM 008'!I346</f>
        <v>0</v>
      </c>
      <c r="J346" s="91">
        <f t="shared" si="134"/>
        <v>1</v>
      </c>
      <c r="K346" s="80">
        <v>99</v>
      </c>
      <c r="L346" s="81">
        <f t="shared" si="133"/>
        <v>125.49241089</v>
      </c>
      <c r="M346" s="82">
        <f t="shared" si="163"/>
        <v>0</v>
      </c>
      <c r="N346" s="82">
        <f t="shared" si="164"/>
        <v>0</v>
      </c>
      <c r="O346" s="82">
        <f>N346+'BM 008'!O346</f>
        <v>0</v>
      </c>
      <c r="P346" s="80">
        <f t="shared" si="165"/>
        <v>99</v>
      </c>
      <c r="Q346" s="82">
        <f t="shared" si="166"/>
        <v>125.49</v>
      </c>
      <c r="R346" s="82">
        <f t="shared" si="167"/>
        <v>125.49</v>
      </c>
    </row>
    <row r="347" spans="2:18" s="34" customFormat="1" ht="23.4">
      <c r="B347" s="75" t="s">
        <v>686</v>
      </c>
      <c r="C347" s="88" t="s">
        <v>687</v>
      </c>
      <c r="D347" s="89" t="s">
        <v>131</v>
      </c>
      <c r="E347" s="90">
        <v>1</v>
      </c>
      <c r="F347" s="91"/>
      <c r="G347" s="91"/>
      <c r="H347" s="91"/>
      <c r="I347" s="91">
        <f>SUM(G347:H347)+'BM 008'!I347</f>
        <v>0</v>
      </c>
      <c r="J347" s="91">
        <f t="shared" si="134"/>
        <v>1</v>
      </c>
      <c r="K347" s="80">
        <v>265</v>
      </c>
      <c r="L347" s="81">
        <f t="shared" si="133"/>
        <v>335.91402915000003</v>
      </c>
      <c r="M347" s="82">
        <f t="shared" si="163"/>
        <v>0</v>
      </c>
      <c r="N347" s="82">
        <f t="shared" si="164"/>
        <v>0</v>
      </c>
      <c r="O347" s="82">
        <f>N347+'BM 008'!O347</f>
        <v>0</v>
      </c>
      <c r="P347" s="80">
        <f t="shared" si="165"/>
        <v>265</v>
      </c>
      <c r="Q347" s="82">
        <f t="shared" si="166"/>
        <v>335.91</v>
      </c>
      <c r="R347" s="82">
        <f t="shared" si="167"/>
        <v>335.91</v>
      </c>
    </row>
    <row r="348" spans="2:18" s="34" customFormat="1" ht="57.6">
      <c r="B348" s="75" t="s">
        <v>688</v>
      </c>
      <c r="C348" s="88" t="s">
        <v>689</v>
      </c>
      <c r="D348" s="89" t="s">
        <v>131</v>
      </c>
      <c r="E348" s="90">
        <v>16</v>
      </c>
      <c r="F348" s="91"/>
      <c r="G348" s="91"/>
      <c r="H348" s="91"/>
      <c r="I348" s="91">
        <f>SUM(G348:H348)+'BM 008'!I348</f>
        <v>0</v>
      </c>
      <c r="J348" s="91">
        <f t="shared" si="134"/>
        <v>16</v>
      </c>
      <c r="K348" s="80">
        <v>9.8000000000000007</v>
      </c>
      <c r="L348" s="81">
        <f t="shared" si="133"/>
        <v>12.422481078000002</v>
      </c>
      <c r="M348" s="82">
        <f t="shared" si="163"/>
        <v>0</v>
      </c>
      <c r="N348" s="82">
        <f t="shared" si="164"/>
        <v>0</v>
      </c>
      <c r="O348" s="82">
        <f>N348+'BM 008'!O348</f>
        <v>0</v>
      </c>
      <c r="P348" s="80">
        <f t="shared" si="165"/>
        <v>156.80000000000001</v>
      </c>
      <c r="Q348" s="82">
        <f t="shared" si="166"/>
        <v>198.75</v>
      </c>
      <c r="R348" s="82">
        <f t="shared" si="167"/>
        <v>198.75</v>
      </c>
    </row>
    <row r="349" spans="2:18" s="34" customFormat="1" ht="57.6">
      <c r="B349" s="75" t="s">
        <v>690</v>
      </c>
      <c r="C349" s="88" t="s">
        <v>691</v>
      </c>
      <c r="D349" s="89" t="s">
        <v>131</v>
      </c>
      <c r="E349" s="90">
        <v>4</v>
      </c>
      <c r="F349" s="91"/>
      <c r="G349" s="91"/>
      <c r="H349" s="91"/>
      <c r="I349" s="91">
        <f>SUM(G349:H349)+'BM 008'!I349</f>
        <v>0</v>
      </c>
      <c r="J349" s="91">
        <f t="shared" si="134"/>
        <v>4</v>
      </c>
      <c r="K349" s="80">
        <v>12.5</v>
      </c>
      <c r="L349" s="81">
        <f t="shared" ref="L349:L412" si="168">K349*(1+$T$26)</f>
        <v>15.845001375000001</v>
      </c>
      <c r="M349" s="82">
        <f t="shared" si="163"/>
        <v>0</v>
      </c>
      <c r="N349" s="82">
        <f t="shared" si="164"/>
        <v>0</v>
      </c>
      <c r="O349" s="82">
        <f>N349+'BM 008'!O349</f>
        <v>0</v>
      </c>
      <c r="P349" s="80">
        <f t="shared" si="165"/>
        <v>50</v>
      </c>
      <c r="Q349" s="82">
        <f t="shared" si="166"/>
        <v>63.38</v>
      </c>
      <c r="R349" s="82">
        <f t="shared" si="167"/>
        <v>63.38</v>
      </c>
    </row>
    <row r="350" spans="2:18" s="34" customFormat="1" ht="57.6">
      <c r="B350" s="75" t="s">
        <v>692</v>
      </c>
      <c r="C350" s="88" t="s">
        <v>693</v>
      </c>
      <c r="D350" s="89" t="s">
        <v>131</v>
      </c>
      <c r="E350" s="90">
        <v>2</v>
      </c>
      <c r="F350" s="91"/>
      <c r="G350" s="91"/>
      <c r="H350" s="91"/>
      <c r="I350" s="91">
        <f>SUM(G350:H350)+'BM 008'!I350</f>
        <v>0</v>
      </c>
      <c r="J350" s="91">
        <f t="shared" si="134"/>
        <v>2</v>
      </c>
      <c r="K350" s="80">
        <v>28</v>
      </c>
      <c r="L350" s="81">
        <f t="shared" si="168"/>
        <v>35.492803080000002</v>
      </c>
      <c r="M350" s="82">
        <f t="shared" si="163"/>
        <v>0</v>
      </c>
      <c r="N350" s="82">
        <f t="shared" si="164"/>
        <v>0</v>
      </c>
      <c r="O350" s="82">
        <f>N350+'BM 008'!O350</f>
        <v>0</v>
      </c>
      <c r="P350" s="80">
        <f t="shared" si="165"/>
        <v>56</v>
      </c>
      <c r="Q350" s="82">
        <f t="shared" si="166"/>
        <v>70.98</v>
      </c>
      <c r="R350" s="82">
        <f t="shared" si="167"/>
        <v>70.98</v>
      </c>
    </row>
    <row r="351" spans="2:18" s="34" customFormat="1" ht="57.6">
      <c r="B351" s="75" t="s">
        <v>694</v>
      </c>
      <c r="C351" s="88" t="s">
        <v>695</v>
      </c>
      <c r="D351" s="89" t="s">
        <v>131</v>
      </c>
      <c r="E351" s="90">
        <v>30</v>
      </c>
      <c r="F351" s="91"/>
      <c r="G351" s="91"/>
      <c r="H351" s="91"/>
      <c r="I351" s="91">
        <f>SUM(G351:H351)+'BM 008'!I351</f>
        <v>0</v>
      </c>
      <c r="J351" s="91">
        <f t="shared" ref="J351:J414" si="169">E351-I351</f>
        <v>30</v>
      </c>
      <c r="K351" s="80">
        <v>38</v>
      </c>
      <c r="L351" s="81">
        <f t="shared" si="168"/>
        <v>48.168804180000002</v>
      </c>
      <c r="M351" s="82">
        <f t="shared" si="163"/>
        <v>0</v>
      </c>
      <c r="N351" s="82">
        <f t="shared" si="164"/>
        <v>0</v>
      </c>
      <c r="O351" s="82">
        <f>N351+'BM 008'!O351</f>
        <v>0</v>
      </c>
      <c r="P351" s="80">
        <f t="shared" si="165"/>
        <v>1140</v>
      </c>
      <c r="Q351" s="82">
        <f t="shared" si="166"/>
        <v>1445.06</v>
      </c>
      <c r="R351" s="82">
        <f t="shared" si="167"/>
        <v>1445.06</v>
      </c>
    </row>
    <row r="352" spans="2:18" s="34" customFormat="1" ht="46.2">
      <c r="B352" s="75" t="s">
        <v>696</v>
      </c>
      <c r="C352" s="88" t="s">
        <v>697</v>
      </c>
      <c r="D352" s="89" t="s">
        <v>131</v>
      </c>
      <c r="E352" s="90">
        <v>320</v>
      </c>
      <c r="F352" s="91"/>
      <c r="G352" s="91"/>
      <c r="H352" s="91"/>
      <c r="I352" s="91">
        <f>SUM(G352:H352)+'BM 008'!I352</f>
        <v>0</v>
      </c>
      <c r="J352" s="91">
        <f t="shared" si="169"/>
        <v>320</v>
      </c>
      <c r="K352" s="80">
        <v>5.33</v>
      </c>
      <c r="L352" s="81">
        <f t="shared" si="168"/>
        <v>6.7563085863000003</v>
      </c>
      <c r="M352" s="82">
        <f t="shared" si="163"/>
        <v>0</v>
      </c>
      <c r="N352" s="82">
        <f t="shared" si="164"/>
        <v>0</v>
      </c>
      <c r="O352" s="82">
        <f>N352+'BM 008'!O352</f>
        <v>0</v>
      </c>
      <c r="P352" s="80">
        <f t="shared" si="165"/>
        <v>1705.6</v>
      </c>
      <c r="Q352" s="82">
        <f t="shared" si="166"/>
        <v>2162.0100000000002</v>
      </c>
      <c r="R352" s="82">
        <f t="shared" si="167"/>
        <v>2162.0100000000002</v>
      </c>
    </row>
    <row r="353" spans="2:18" s="34" customFormat="1" ht="23.4">
      <c r="B353" s="75" t="s">
        <v>698</v>
      </c>
      <c r="C353" s="88" t="s">
        <v>699</v>
      </c>
      <c r="D353" s="89" t="s">
        <v>131</v>
      </c>
      <c r="E353" s="90">
        <v>12</v>
      </c>
      <c r="F353" s="91"/>
      <c r="G353" s="91"/>
      <c r="H353" s="91"/>
      <c r="I353" s="91">
        <f>SUM(G353:H353)+'BM 008'!I353</f>
        <v>0</v>
      </c>
      <c r="J353" s="91">
        <f t="shared" si="169"/>
        <v>12</v>
      </c>
      <c r="K353" s="80">
        <v>4.92</v>
      </c>
      <c r="L353" s="81">
        <f t="shared" si="168"/>
        <v>6.2365925412000003</v>
      </c>
      <c r="M353" s="82">
        <f t="shared" si="163"/>
        <v>0</v>
      </c>
      <c r="N353" s="82">
        <f t="shared" si="164"/>
        <v>0</v>
      </c>
      <c r="O353" s="82">
        <f>N353+'BM 008'!O353</f>
        <v>0</v>
      </c>
      <c r="P353" s="80">
        <f t="shared" si="165"/>
        <v>59.04</v>
      </c>
      <c r="Q353" s="82">
        <f t="shared" si="166"/>
        <v>74.83</v>
      </c>
      <c r="R353" s="82">
        <f t="shared" si="167"/>
        <v>74.83</v>
      </c>
    </row>
    <row r="354" spans="2:18" s="34" customFormat="1" ht="23.4">
      <c r="B354" s="75" t="s">
        <v>700</v>
      </c>
      <c r="C354" s="88" t="s">
        <v>701</v>
      </c>
      <c r="D354" s="89" t="s">
        <v>131</v>
      </c>
      <c r="E354" s="90">
        <v>1</v>
      </c>
      <c r="F354" s="91"/>
      <c r="G354" s="91"/>
      <c r="H354" s="91"/>
      <c r="I354" s="91">
        <f>SUM(G354:H354)+'BM 008'!I354</f>
        <v>0</v>
      </c>
      <c r="J354" s="91">
        <f t="shared" si="169"/>
        <v>1</v>
      </c>
      <c r="K354" s="80">
        <v>5.49</v>
      </c>
      <c r="L354" s="81">
        <f t="shared" si="168"/>
        <v>6.9591246039000003</v>
      </c>
      <c r="M354" s="82">
        <f t="shared" si="163"/>
        <v>0</v>
      </c>
      <c r="N354" s="82">
        <f t="shared" si="164"/>
        <v>0</v>
      </c>
      <c r="O354" s="82">
        <f>N354+'BM 008'!O354</f>
        <v>0</v>
      </c>
      <c r="P354" s="80">
        <f t="shared" si="165"/>
        <v>5.49</v>
      </c>
      <c r="Q354" s="82">
        <f t="shared" si="166"/>
        <v>6.95</v>
      </c>
      <c r="R354" s="82">
        <f t="shared" si="167"/>
        <v>6.95</v>
      </c>
    </row>
    <row r="355" spans="2:18" s="34" customFormat="1" ht="23.4">
      <c r="B355" s="75" t="s">
        <v>702</v>
      </c>
      <c r="C355" s="88" t="s">
        <v>703</v>
      </c>
      <c r="D355" s="89" t="s">
        <v>131</v>
      </c>
      <c r="E355" s="90">
        <v>1</v>
      </c>
      <c r="F355" s="91"/>
      <c r="G355" s="91"/>
      <c r="H355" s="91"/>
      <c r="I355" s="91">
        <f>SUM(G355:H355)+'BM 008'!I355</f>
        <v>0</v>
      </c>
      <c r="J355" s="91">
        <f t="shared" si="169"/>
        <v>1</v>
      </c>
      <c r="K355" s="80">
        <v>8.5</v>
      </c>
      <c r="L355" s="81">
        <f t="shared" si="168"/>
        <v>10.774600935</v>
      </c>
      <c r="M355" s="82">
        <f t="shared" si="163"/>
        <v>0</v>
      </c>
      <c r="N355" s="82">
        <f t="shared" si="164"/>
        <v>0</v>
      </c>
      <c r="O355" s="82">
        <f>N355+'BM 008'!O355</f>
        <v>0</v>
      </c>
      <c r="P355" s="80">
        <f t="shared" si="165"/>
        <v>8.5</v>
      </c>
      <c r="Q355" s="82">
        <f t="shared" si="166"/>
        <v>10.77</v>
      </c>
      <c r="R355" s="82">
        <f t="shared" si="167"/>
        <v>10.77</v>
      </c>
    </row>
    <row r="356" spans="2:18" s="34" customFormat="1" ht="23.4">
      <c r="B356" s="75" t="s">
        <v>704</v>
      </c>
      <c r="C356" s="88" t="s">
        <v>705</v>
      </c>
      <c r="D356" s="89" t="s">
        <v>131</v>
      </c>
      <c r="E356" s="90">
        <v>1</v>
      </c>
      <c r="F356" s="91"/>
      <c r="G356" s="91"/>
      <c r="H356" s="91"/>
      <c r="I356" s="91">
        <f>SUM(G356:H356)+'BM 008'!I356</f>
        <v>0</v>
      </c>
      <c r="J356" s="91">
        <f t="shared" si="169"/>
        <v>1</v>
      </c>
      <c r="K356" s="80">
        <v>14.47</v>
      </c>
      <c r="L356" s="81">
        <f t="shared" si="168"/>
        <v>18.3421735917</v>
      </c>
      <c r="M356" s="82">
        <f t="shared" si="163"/>
        <v>0</v>
      </c>
      <c r="N356" s="82">
        <f t="shared" si="164"/>
        <v>0</v>
      </c>
      <c r="O356" s="82">
        <f>N356+'BM 008'!O356</f>
        <v>0</v>
      </c>
      <c r="P356" s="80">
        <f t="shared" si="165"/>
        <v>14.47</v>
      </c>
      <c r="Q356" s="82">
        <f t="shared" si="166"/>
        <v>18.34</v>
      </c>
      <c r="R356" s="82">
        <f t="shared" si="167"/>
        <v>18.34</v>
      </c>
    </row>
    <row r="357" spans="2:18" s="34" customFormat="1" ht="23.4">
      <c r="B357" s="75" t="s">
        <v>706</v>
      </c>
      <c r="C357" s="88" t="s">
        <v>707</v>
      </c>
      <c r="D357" s="89" t="s">
        <v>131</v>
      </c>
      <c r="E357" s="90">
        <v>4</v>
      </c>
      <c r="F357" s="91"/>
      <c r="G357" s="91"/>
      <c r="H357" s="91"/>
      <c r="I357" s="91">
        <f>SUM(G357:H357)+'BM 008'!I357</f>
        <v>0</v>
      </c>
      <c r="J357" s="91">
        <f t="shared" si="169"/>
        <v>4</v>
      </c>
      <c r="K357" s="80">
        <v>31.9</v>
      </c>
      <c r="L357" s="81">
        <f t="shared" si="168"/>
        <v>40.436443509</v>
      </c>
      <c r="M357" s="82">
        <f t="shared" si="163"/>
        <v>0</v>
      </c>
      <c r="N357" s="82">
        <f t="shared" si="164"/>
        <v>0</v>
      </c>
      <c r="O357" s="82">
        <f>N357+'BM 008'!O357</f>
        <v>0</v>
      </c>
      <c r="P357" s="80">
        <f t="shared" si="165"/>
        <v>127.6</v>
      </c>
      <c r="Q357" s="82">
        <f t="shared" si="166"/>
        <v>161.74</v>
      </c>
      <c r="R357" s="82">
        <f t="shared" si="167"/>
        <v>161.74</v>
      </c>
    </row>
    <row r="358" spans="2:18" s="34" customFormat="1" ht="23.4">
      <c r="B358" s="75" t="s">
        <v>708</v>
      </c>
      <c r="C358" s="88" t="s">
        <v>709</v>
      </c>
      <c r="D358" s="89" t="s">
        <v>131</v>
      </c>
      <c r="E358" s="90">
        <v>1</v>
      </c>
      <c r="F358" s="91"/>
      <c r="G358" s="91"/>
      <c r="H358" s="91"/>
      <c r="I358" s="91">
        <f>SUM(G358:H358)+'BM 008'!I358</f>
        <v>0</v>
      </c>
      <c r="J358" s="91">
        <f t="shared" si="169"/>
        <v>1</v>
      </c>
      <c r="K358" s="80">
        <v>11.22</v>
      </c>
      <c r="L358" s="81">
        <f t="shared" si="168"/>
        <v>14.222473234200001</v>
      </c>
      <c r="M358" s="82">
        <f t="shared" si="163"/>
        <v>0</v>
      </c>
      <c r="N358" s="82">
        <f t="shared" si="164"/>
        <v>0</v>
      </c>
      <c r="O358" s="82">
        <f>N358+'BM 008'!O358</f>
        <v>0</v>
      </c>
      <c r="P358" s="80">
        <f t="shared" si="165"/>
        <v>11.22</v>
      </c>
      <c r="Q358" s="82">
        <f t="shared" si="166"/>
        <v>14.22</v>
      </c>
      <c r="R358" s="82">
        <f t="shared" si="167"/>
        <v>14.22</v>
      </c>
    </row>
    <row r="359" spans="2:18" s="34" customFormat="1" ht="23.4">
      <c r="B359" s="75" t="s">
        <v>710</v>
      </c>
      <c r="C359" s="88" t="s">
        <v>711</v>
      </c>
      <c r="D359" s="89" t="s">
        <v>131</v>
      </c>
      <c r="E359" s="90">
        <v>57</v>
      </c>
      <c r="F359" s="91"/>
      <c r="G359" s="91"/>
      <c r="H359" s="91"/>
      <c r="I359" s="91">
        <f>SUM(G359:H359)+'BM 008'!I359</f>
        <v>0</v>
      </c>
      <c r="J359" s="91">
        <f t="shared" si="169"/>
        <v>57</v>
      </c>
      <c r="K359" s="80">
        <v>14.54</v>
      </c>
      <c r="L359" s="81">
        <f t="shared" si="168"/>
        <v>18.430905599399999</v>
      </c>
      <c r="M359" s="82">
        <f t="shared" si="163"/>
        <v>0</v>
      </c>
      <c r="N359" s="82">
        <f t="shared" si="164"/>
        <v>0</v>
      </c>
      <c r="O359" s="82">
        <f>N359+'BM 008'!O359</f>
        <v>0</v>
      </c>
      <c r="P359" s="80">
        <f t="shared" si="165"/>
        <v>828.78</v>
      </c>
      <c r="Q359" s="82">
        <f t="shared" si="166"/>
        <v>1050.56</v>
      </c>
      <c r="R359" s="82">
        <f t="shared" si="167"/>
        <v>1050.56</v>
      </c>
    </row>
    <row r="360" spans="2:18" s="34" customFormat="1" ht="23.4">
      <c r="B360" s="75" t="s">
        <v>712</v>
      </c>
      <c r="C360" s="88" t="s">
        <v>713</v>
      </c>
      <c r="D360" s="89" t="s">
        <v>131</v>
      </c>
      <c r="E360" s="90">
        <v>1</v>
      </c>
      <c r="F360" s="91"/>
      <c r="G360" s="91"/>
      <c r="H360" s="91"/>
      <c r="I360" s="91">
        <f>SUM(G360:H360)+'BM 008'!I360</f>
        <v>0</v>
      </c>
      <c r="J360" s="91">
        <f t="shared" si="169"/>
        <v>1</v>
      </c>
      <c r="K360" s="80">
        <v>16.8</v>
      </c>
      <c r="L360" s="81">
        <f t="shared" si="168"/>
        <v>21.295681848000001</v>
      </c>
      <c r="M360" s="82">
        <f t="shared" si="163"/>
        <v>0</v>
      </c>
      <c r="N360" s="82">
        <f t="shared" si="164"/>
        <v>0</v>
      </c>
      <c r="O360" s="82">
        <f>N360+'BM 008'!O360</f>
        <v>0</v>
      </c>
      <c r="P360" s="80">
        <f t="shared" si="165"/>
        <v>16.8</v>
      </c>
      <c r="Q360" s="82">
        <f t="shared" si="166"/>
        <v>21.29</v>
      </c>
      <c r="R360" s="82">
        <f t="shared" si="167"/>
        <v>21.29</v>
      </c>
    </row>
    <row r="361" spans="2:18" s="34" customFormat="1" ht="46.2">
      <c r="B361" s="75" t="s">
        <v>714</v>
      </c>
      <c r="C361" s="88" t="s">
        <v>715</v>
      </c>
      <c r="D361" s="89" t="s">
        <v>131</v>
      </c>
      <c r="E361" s="90">
        <v>1</v>
      </c>
      <c r="F361" s="91"/>
      <c r="G361" s="91"/>
      <c r="H361" s="91"/>
      <c r="I361" s="91">
        <f>SUM(G361:H361)+'BM 008'!I361</f>
        <v>0</v>
      </c>
      <c r="J361" s="91">
        <f t="shared" si="169"/>
        <v>1</v>
      </c>
      <c r="K361" s="80">
        <v>25</v>
      </c>
      <c r="L361" s="81">
        <f t="shared" si="168"/>
        <v>31.690002750000001</v>
      </c>
      <c r="M361" s="82">
        <f t="shared" si="163"/>
        <v>0</v>
      </c>
      <c r="N361" s="82">
        <f t="shared" si="164"/>
        <v>0</v>
      </c>
      <c r="O361" s="82">
        <f>N361+'BM 008'!O361</f>
        <v>0</v>
      </c>
      <c r="P361" s="80">
        <f t="shared" si="165"/>
        <v>25</v>
      </c>
      <c r="Q361" s="82">
        <f t="shared" si="166"/>
        <v>31.69</v>
      </c>
      <c r="R361" s="82">
        <f t="shared" si="167"/>
        <v>31.69</v>
      </c>
    </row>
    <row r="362" spans="2:18" s="34" customFormat="1" ht="34.799999999999997">
      <c r="B362" s="75" t="s">
        <v>716</v>
      </c>
      <c r="C362" s="88" t="s">
        <v>717</v>
      </c>
      <c r="D362" s="89" t="s">
        <v>131</v>
      </c>
      <c r="E362" s="90">
        <v>24</v>
      </c>
      <c r="F362" s="91"/>
      <c r="G362" s="91"/>
      <c r="H362" s="91"/>
      <c r="I362" s="91">
        <f>SUM(G362:H362)+'BM 008'!I362</f>
        <v>0</v>
      </c>
      <c r="J362" s="91">
        <f t="shared" si="169"/>
        <v>24</v>
      </c>
      <c r="K362" s="80">
        <v>5.37</v>
      </c>
      <c r="L362" s="81">
        <f t="shared" si="168"/>
        <v>6.8070125907000003</v>
      </c>
      <c r="M362" s="82">
        <f t="shared" si="163"/>
        <v>0</v>
      </c>
      <c r="N362" s="82">
        <f t="shared" si="164"/>
        <v>0</v>
      </c>
      <c r="O362" s="82">
        <f>N362+'BM 008'!O362</f>
        <v>0</v>
      </c>
      <c r="P362" s="80">
        <f t="shared" si="165"/>
        <v>128.88</v>
      </c>
      <c r="Q362" s="82">
        <f t="shared" si="166"/>
        <v>163.36000000000001</v>
      </c>
      <c r="R362" s="82">
        <f t="shared" si="167"/>
        <v>163.36000000000001</v>
      </c>
    </row>
    <row r="363" spans="2:18" s="34" customFormat="1" ht="34.799999999999997">
      <c r="B363" s="75" t="s">
        <v>718</v>
      </c>
      <c r="C363" s="88" t="s">
        <v>719</v>
      </c>
      <c r="D363" s="89" t="s">
        <v>131</v>
      </c>
      <c r="E363" s="90">
        <v>2</v>
      </c>
      <c r="F363" s="91"/>
      <c r="G363" s="91"/>
      <c r="H363" s="91"/>
      <c r="I363" s="91">
        <f>SUM(G363:H363)+'BM 008'!I363</f>
        <v>0</v>
      </c>
      <c r="J363" s="91">
        <f t="shared" si="169"/>
        <v>2</v>
      </c>
      <c r="K363" s="80">
        <v>8.76</v>
      </c>
      <c r="L363" s="81">
        <f t="shared" si="168"/>
        <v>11.104176963600001</v>
      </c>
      <c r="M363" s="82">
        <f t="shared" si="163"/>
        <v>0</v>
      </c>
      <c r="N363" s="82">
        <f t="shared" si="164"/>
        <v>0</v>
      </c>
      <c r="O363" s="82">
        <f>N363+'BM 008'!O363</f>
        <v>0</v>
      </c>
      <c r="P363" s="80">
        <f t="shared" si="165"/>
        <v>17.52</v>
      </c>
      <c r="Q363" s="82">
        <f t="shared" si="166"/>
        <v>22.2</v>
      </c>
      <c r="R363" s="82">
        <f t="shared" si="167"/>
        <v>22.2</v>
      </c>
    </row>
    <row r="364" spans="2:18" s="34" customFormat="1" ht="34.799999999999997">
      <c r="B364" s="75" t="s">
        <v>720</v>
      </c>
      <c r="C364" s="88" t="s">
        <v>721</v>
      </c>
      <c r="D364" s="89" t="s">
        <v>131</v>
      </c>
      <c r="E364" s="90">
        <v>4</v>
      </c>
      <c r="F364" s="91"/>
      <c r="G364" s="91"/>
      <c r="H364" s="91"/>
      <c r="I364" s="91">
        <f>SUM(G364:H364)+'BM 008'!I364</f>
        <v>0</v>
      </c>
      <c r="J364" s="91">
        <f t="shared" si="169"/>
        <v>4</v>
      </c>
      <c r="K364" s="80">
        <v>11.55</v>
      </c>
      <c r="L364" s="81">
        <f t="shared" si="168"/>
        <v>14.640781270500002</v>
      </c>
      <c r="M364" s="82">
        <f t="shared" si="163"/>
        <v>0</v>
      </c>
      <c r="N364" s="82">
        <f t="shared" si="164"/>
        <v>0</v>
      </c>
      <c r="O364" s="82">
        <f>N364+'BM 008'!O364</f>
        <v>0</v>
      </c>
      <c r="P364" s="80">
        <f t="shared" si="165"/>
        <v>46.2</v>
      </c>
      <c r="Q364" s="82">
        <f t="shared" si="166"/>
        <v>58.56</v>
      </c>
      <c r="R364" s="82">
        <f t="shared" si="167"/>
        <v>58.56</v>
      </c>
    </row>
    <row r="365" spans="2:18" s="34" customFormat="1" ht="34.799999999999997">
      <c r="B365" s="75" t="s">
        <v>722</v>
      </c>
      <c r="C365" s="88" t="s">
        <v>723</v>
      </c>
      <c r="D365" s="89" t="s">
        <v>131</v>
      </c>
      <c r="E365" s="90">
        <v>2</v>
      </c>
      <c r="F365" s="91"/>
      <c r="G365" s="91"/>
      <c r="H365" s="91"/>
      <c r="I365" s="91">
        <f>SUM(G365:H365)+'BM 008'!I365</f>
        <v>0</v>
      </c>
      <c r="J365" s="91">
        <f t="shared" si="169"/>
        <v>2</v>
      </c>
      <c r="K365" s="80">
        <v>34.32</v>
      </c>
      <c r="L365" s="81">
        <f t="shared" si="168"/>
        <v>43.504035775200002</v>
      </c>
      <c r="M365" s="82">
        <f t="shared" si="163"/>
        <v>0</v>
      </c>
      <c r="N365" s="82">
        <f t="shared" si="164"/>
        <v>0</v>
      </c>
      <c r="O365" s="82">
        <f>N365+'BM 008'!O365</f>
        <v>0</v>
      </c>
      <c r="P365" s="80">
        <f t="shared" si="165"/>
        <v>68.64</v>
      </c>
      <c r="Q365" s="82">
        <f t="shared" si="166"/>
        <v>87</v>
      </c>
      <c r="R365" s="82">
        <f t="shared" si="167"/>
        <v>87</v>
      </c>
    </row>
    <row r="366" spans="2:18" s="34" customFormat="1" ht="34.799999999999997">
      <c r="B366" s="75" t="s">
        <v>724</v>
      </c>
      <c r="C366" s="88" t="s">
        <v>725</v>
      </c>
      <c r="D366" s="89" t="s">
        <v>131</v>
      </c>
      <c r="E366" s="90">
        <v>3</v>
      </c>
      <c r="F366" s="91"/>
      <c r="G366" s="91"/>
      <c r="H366" s="91"/>
      <c r="I366" s="91">
        <f>SUM(G366:H366)+'BM 008'!I366</f>
        <v>0</v>
      </c>
      <c r="J366" s="91">
        <f t="shared" si="169"/>
        <v>3</v>
      </c>
      <c r="K366" s="80">
        <v>71.75</v>
      </c>
      <c r="L366" s="81">
        <f t="shared" si="168"/>
        <v>90.950307892500007</v>
      </c>
      <c r="M366" s="82">
        <f t="shared" si="163"/>
        <v>0</v>
      </c>
      <c r="N366" s="82">
        <f t="shared" si="164"/>
        <v>0</v>
      </c>
      <c r="O366" s="82">
        <f>N366+'BM 008'!O366</f>
        <v>0</v>
      </c>
      <c r="P366" s="80">
        <f t="shared" si="165"/>
        <v>215.25</v>
      </c>
      <c r="Q366" s="82">
        <f t="shared" si="166"/>
        <v>272.85000000000002</v>
      </c>
      <c r="R366" s="82">
        <f t="shared" si="167"/>
        <v>272.85000000000002</v>
      </c>
    </row>
    <row r="367" spans="2:18" s="34" customFormat="1" ht="46.2">
      <c r="B367" s="75" t="s">
        <v>726</v>
      </c>
      <c r="C367" s="88" t="s">
        <v>727</v>
      </c>
      <c r="D367" s="89" t="s">
        <v>131</v>
      </c>
      <c r="E367" s="90">
        <v>1</v>
      </c>
      <c r="F367" s="91"/>
      <c r="G367" s="91"/>
      <c r="H367" s="91"/>
      <c r="I367" s="91">
        <f>SUM(G367:H367)+'BM 008'!I367</f>
        <v>0</v>
      </c>
      <c r="J367" s="91">
        <f t="shared" si="169"/>
        <v>1</v>
      </c>
      <c r="K367" s="80">
        <v>14.38</v>
      </c>
      <c r="L367" s="81">
        <f t="shared" si="168"/>
        <v>18.228089581800003</v>
      </c>
      <c r="M367" s="82">
        <f t="shared" si="163"/>
        <v>0</v>
      </c>
      <c r="N367" s="82">
        <f t="shared" si="164"/>
        <v>0</v>
      </c>
      <c r="O367" s="82">
        <f>N367+'BM 008'!O367</f>
        <v>0</v>
      </c>
      <c r="P367" s="80">
        <f t="shared" si="165"/>
        <v>14.38</v>
      </c>
      <c r="Q367" s="82">
        <f t="shared" si="166"/>
        <v>18.22</v>
      </c>
      <c r="R367" s="82">
        <f t="shared" si="167"/>
        <v>18.22</v>
      </c>
    </row>
    <row r="368" spans="2:18" s="34" customFormat="1" ht="23.4">
      <c r="B368" s="75" t="s">
        <v>728</v>
      </c>
      <c r="C368" s="88" t="s">
        <v>729</v>
      </c>
      <c r="D368" s="89" t="s">
        <v>131</v>
      </c>
      <c r="E368" s="90">
        <v>22</v>
      </c>
      <c r="F368" s="91"/>
      <c r="G368" s="91"/>
      <c r="H368" s="91"/>
      <c r="I368" s="91">
        <f>SUM(G368:H368)+'BM 008'!I368</f>
        <v>0</v>
      </c>
      <c r="J368" s="91">
        <f t="shared" si="169"/>
        <v>22</v>
      </c>
      <c r="K368" s="80">
        <v>14.99</v>
      </c>
      <c r="L368" s="81">
        <f t="shared" si="168"/>
        <v>19.0013256489</v>
      </c>
      <c r="M368" s="82">
        <f t="shared" si="163"/>
        <v>0</v>
      </c>
      <c r="N368" s="82">
        <f t="shared" si="164"/>
        <v>0</v>
      </c>
      <c r="O368" s="82">
        <f>N368+'BM 008'!O368</f>
        <v>0</v>
      </c>
      <c r="P368" s="80">
        <f t="shared" si="165"/>
        <v>329.78000000000003</v>
      </c>
      <c r="Q368" s="82">
        <f t="shared" si="166"/>
        <v>418.02</v>
      </c>
      <c r="R368" s="82">
        <f t="shared" si="167"/>
        <v>418.02</v>
      </c>
    </row>
    <row r="369" spans="2:18" s="34" customFormat="1" ht="23.4">
      <c r="B369" s="75" t="s">
        <v>730</v>
      </c>
      <c r="C369" s="88" t="s">
        <v>731</v>
      </c>
      <c r="D369" s="89" t="s">
        <v>131</v>
      </c>
      <c r="E369" s="90">
        <v>289</v>
      </c>
      <c r="F369" s="91"/>
      <c r="G369" s="91"/>
      <c r="H369" s="91"/>
      <c r="I369" s="91">
        <f>SUM(G369:H369)+'BM 008'!I369</f>
        <v>0</v>
      </c>
      <c r="J369" s="91">
        <f t="shared" si="169"/>
        <v>289</v>
      </c>
      <c r="K369" s="80">
        <v>13.04</v>
      </c>
      <c r="L369" s="81">
        <f t="shared" si="168"/>
        <v>16.529505434400001</v>
      </c>
      <c r="M369" s="82">
        <f t="shared" si="163"/>
        <v>0</v>
      </c>
      <c r="N369" s="82">
        <f t="shared" si="164"/>
        <v>0</v>
      </c>
      <c r="O369" s="82">
        <f>N369+'BM 008'!O369</f>
        <v>0</v>
      </c>
      <c r="P369" s="80">
        <f t="shared" si="165"/>
        <v>3768.56</v>
      </c>
      <c r="Q369" s="82">
        <f t="shared" si="166"/>
        <v>4777.0200000000004</v>
      </c>
      <c r="R369" s="82">
        <f t="shared" si="167"/>
        <v>4777.0200000000004</v>
      </c>
    </row>
    <row r="370" spans="2:18" s="34" customFormat="1" ht="34.799999999999997">
      <c r="B370" s="75" t="s">
        <v>732</v>
      </c>
      <c r="C370" s="88" t="s">
        <v>733</v>
      </c>
      <c r="D370" s="89" t="s">
        <v>131</v>
      </c>
      <c r="E370" s="90">
        <v>7</v>
      </c>
      <c r="F370" s="91"/>
      <c r="G370" s="91"/>
      <c r="H370" s="91"/>
      <c r="I370" s="91">
        <f>SUM(G370:H370)+'BM 008'!I370</f>
        <v>0</v>
      </c>
      <c r="J370" s="91">
        <f t="shared" si="169"/>
        <v>7</v>
      </c>
      <c r="K370" s="80">
        <v>3.95</v>
      </c>
      <c r="L370" s="81">
        <f t="shared" si="168"/>
        <v>5.0070204345000002</v>
      </c>
      <c r="M370" s="82">
        <f t="shared" ref="M370:M394" si="170">TRUNC(F370*L370,2)</f>
        <v>0</v>
      </c>
      <c r="N370" s="82">
        <f t="shared" ref="N370:N394" si="171">TRUNC(G370*L370,2)</f>
        <v>0</v>
      </c>
      <c r="O370" s="82">
        <f>N370+'BM 008'!O370</f>
        <v>0</v>
      </c>
      <c r="P370" s="80">
        <f t="shared" ref="P370:P394" si="172">E370*K370</f>
        <v>27.650000000000002</v>
      </c>
      <c r="Q370" s="82">
        <f t="shared" ref="Q370:Q394" si="173">TRUNC(E370*L370,2)</f>
        <v>35.04</v>
      </c>
      <c r="R370" s="82">
        <f t="shared" ref="R370:R394" si="174">Q370-O370</f>
        <v>35.04</v>
      </c>
    </row>
    <row r="371" spans="2:18" s="34" customFormat="1" ht="34.799999999999997">
      <c r="B371" s="75" t="s">
        <v>734</v>
      </c>
      <c r="C371" s="88" t="s">
        <v>735</v>
      </c>
      <c r="D371" s="89" t="s">
        <v>131</v>
      </c>
      <c r="E371" s="90">
        <v>270</v>
      </c>
      <c r="F371" s="91"/>
      <c r="G371" s="91"/>
      <c r="H371" s="91"/>
      <c r="I371" s="91">
        <f>SUM(G371:H371)+'BM 008'!I371</f>
        <v>0</v>
      </c>
      <c r="J371" s="91">
        <f t="shared" si="169"/>
        <v>270</v>
      </c>
      <c r="K371" s="80">
        <v>4.67</v>
      </c>
      <c r="L371" s="81">
        <f t="shared" si="168"/>
        <v>5.9196925137000003</v>
      </c>
      <c r="M371" s="82">
        <f t="shared" si="170"/>
        <v>0</v>
      </c>
      <c r="N371" s="82">
        <f t="shared" si="171"/>
        <v>0</v>
      </c>
      <c r="O371" s="82">
        <f>N371+'BM 008'!O371</f>
        <v>0</v>
      </c>
      <c r="P371" s="80">
        <f t="shared" si="172"/>
        <v>1260.9000000000001</v>
      </c>
      <c r="Q371" s="82">
        <f t="shared" si="173"/>
        <v>1598.31</v>
      </c>
      <c r="R371" s="82">
        <f t="shared" si="174"/>
        <v>1598.31</v>
      </c>
    </row>
    <row r="372" spans="2:18" s="34" customFormat="1" ht="34.799999999999997">
      <c r="B372" s="75" t="s">
        <v>736</v>
      </c>
      <c r="C372" s="88" t="s">
        <v>737</v>
      </c>
      <c r="D372" s="89" t="s">
        <v>131</v>
      </c>
      <c r="E372" s="90">
        <v>3</v>
      </c>
      <c r="F372" s="91"/>
      <c r="G372" s="91"/>
      <c r="H372" s="91"/>
      <c r="I372" s="91">
        <f>SUM(G372:H372)+'BM 008'!I372</f>
        <v>0</v>
      </c>
      <c r="J372" s="91">
        <f t="shared" si="169"/>
        <v>3</v>
      </c>
      <c r="K372" s="80">
        <v>7.2</v>
      </c>
      <c r="L372" s="81">
        <f t="shared" si="168"/>
        <v>9.1267207920000004</v>
      </c>
      <c r="M372" s="82">
        <f t="shared" si="170"/>
        <v>0</v>
      </c>
      <c r="N372" s="82">
        <f t="shared" si="171"/>
        <v>0</v>
      </c>
      <c r="O372" s="82">
        <f>N372+'BM 008'!O372</f>
        <v>0</v>
      </c>
      <c r="P372" s="80">
        <f t="shared" si="172"/>
        <v>21.6</v>
      </c>
      <c r="Q372" s="82">
        <f t="shared" si="173"/>
        <v>27.38</v>
      </c>
      <c r="R372" s="82">
        <f t="shared" si="174"/>
        <v>27.38</v>
      </c>
    </row>
    <row r="373" spans="2:18" s="34" customFormat="1" ht="34.799999999999997">
      <c r="B373" s="75" t="s">
        <v>738</v>
      </c>
      <c r="C373" s="76" t="s">
        <v>739</v>
      </c>
      <c r="D373" s="77" t="s">
        <v>131</v>
      </c>
      <c r="E373" s="93">
        <v>128</v>
      </c>
      <c r="F373" s="79"/>
      <c r="G373" s="79"/>
      <c r="H373" s="79"/>
      <c r="I373" s="79">
        <f>SUM(G373:H373)+'BM 008'!I373</f>
        <v>0</v>
      </c>
      <c r="J373" s="79">
        <f t="shared" si="169"/>
        <v>128</v>
      </c>
      <c r="K373" s="80">
        <v>11.5</v>
      </c>
      <c r="L373" s="81">
        <f t="shared" si="168"/>
        <v>14.577401265000001</v>
      </c>
      <c r="M373" s="82">
        <f t="shared" si="170"/>
        <v>0</v>
      </c>
      <c r="N373" s="82">
        <f t="shared" si="171"/>
        <v>0</v>
      </c>
      <c r="O373" s="82">
        <f>N373+'BM 008'!O373</f>
        <v>0</v>
      </c>
      <c r="P373" s="80">
        <f t="shared" si="172"/>
        <v>1472</v>
      </c>
      <c r="Q373" s="82">
        <f t="shared" si="173"/>
        <v>1865.9</v>
      </c>
      <c r="R373" s="82">
        <f t="shared" si="174"/>
        <v>1865.9</v>
      </c>
    </row>
    <row r="374" spans="2:18" s="34" customFormat="1" ht="34.799999999999997">
      <c r="B374" s="75" t="s">
        <v>740</v>
      </c>
      <c r="C374" s="76" t="s">
        <v>741</v>
      </c>
      <c r="D374" s="77" t="s">
        <v>131</v>
      </c>
      <c r="E374" s="93">
        <v>4</v>
      </c>
      <c r="F374" s="79"/>
      <c r="G374" s="79"/>
      <c r="H374" s="79"/>
      <c r="I374" s="79">
        <f>SUM(G374:H374)+'BM 008'!I374</f>
        <v>0</v>
      </c>
      <c r="J374" s="79">
        <f t="shared" si="169"/>
        <v>4</v>
      </c>
      <c r="K374" s="80">
        <v>12.42</v>
      </c>
      <c r="L374" s="81">
        <f t="shared" si="168"/>
        <v>15.743593366200001</v>
      </c>
      <c r="M374" s="82">
        <f t="shared" si="170"/>
        <v>0</v>
      </c>
      <c r="N374" s="82">
        <f t="shared" si="171"/>
        <v>0</v>
      </c>
      <c r="O374" s="82">
        <f>N374+'BM 008'!O374</f>
        <v>0</v>
      </c>
      <c r="P374" s="80">
        <f t="shared" si="172"/>
        <v>49.68</v>
      </c>
      <c r="Q374" s="82">
        <f t="shared" si="173"/>
        <v>62.97</v>
      </c>
      <c r="R374" s="82">
        <f t="shared" si="174"/>
        <v>62.97</v>
      </c>
    </row>
    <row r="375" spans="2:18" s="34" customFormat="1" ht="34.799999999999997">
      <c r="B375" s="75" t="s">
        <v>742</v>
      </c>
      <c r="C375" s="76" t="s">
        <v>743</v>
      </c>
      <c r="D375" s="77" t="s">
        <v>131</v>
      </c>
      <c r="E375" s="93">
        <v>31</v>
      </c>
      <c r="F375" s="79"/>
      <c r="G375" s="79"/>
      <c r="H375" s="79"/>
      <c r="I375" s="79">
        <f>SUM(G375:H375)+'BM 008'!I375</f>
        <v>0</v>
      </c>
      <c r="J375" s="79">
        <f t="shared" si="169"/>
        <v>31</v>
      </c>
      <c r="K375" s="80">
        <v>35.909999999999997</v>
      </c>
      <c r="L375" s="81">
        <f t="shared" si="168"/>
        <v>45.519519950099998</v>
      </c>
      <c r="M375" s="82">
        <f t="shared" si="170"/>
        <v>0</v>
      </c>
      <c r="N375" s="82">
        <f t="shared" si="171"/>
        <v>0</v>
      </c>
      <c r="O375" s="82">
        <f>N375+'BM 008'!O375</f>
        <v>0</v>
      </c>
      <c r="P375" s="80">
        <f t="shared" si="172"/>
        <v>1113.2099999999998</v>
      </c>
      <c r="Q375" s="82">
        <f t="shared" si="173"/>
        <v>1411.1</v>
      </c>
      <c r="R375" s="82">
        <f t="shared" si="174"/>
        <v>1411.1</v>
      </c>
    </row>
    <row r="376" spans="2:18" s="34" customFormat="1" ht="46.2">
      <c r="B376" s="75" t="s">
        <v>744</v>
      </c>
      <c r="C376" s="76" t="s">
        <v>745</v>
      </c>
      <c r="D376" s="77" t="s">
        <v>131</v>
      </c>
      <c r="E376" s="93">
        <v>20</v>
      </c>
      <c r="F376" s="79"/>
      <c r="G376" s="79"/>
      <c r="H376" s="79"/>
      <c r="I376" s="79">
        <f>SUM(G376:H376)+'BM 008'!I376</f>
        <v>6</v>
      </c>
      <c r="J376" s="79">
        <f t="shared" si="169"/>
        <v>14</v>
      </c>
      <c r="K376" s="80">
        <v>90</v>
      </c>
      <c r="L376" s="81">
        <f t="shared" si="168"/>
        <v>114.08400990000001</v>
      </c>
      <c r="M376" s="82">
        <f t="shared" si="170"/>
        <v>0</v>
      </c>
      <c r="N376" s="82">
        <f t="shared" si="171"/>
        <v>0</v>
      </c>
      <c r="O376" s="82">
        <f>N376+'BM 008'!O376</f>
        <v>684.5</v>
      </c>
      <c r="P376" s="80">
        <f t="shared" si="172"/>
        <v>1800</v>
      </c>
      <c r="Q376" s="82">
        <f t="shared" si="173"/>
        <v>2281.6799999999998</v>
      </c>
      <c r="R376" s="82">
        <f t="shared" si="174"/>
        <v>1597.1799999999998</v>
      </c>
    </row>
    <row r="377" spans="2:18" s="34" customFormat="1" ht="13.2">
      <c r="B377" s="75" t="s">
        <v>746</v>
      </c>
      <c r="C377" s="76" t="s">
        <v>747</v>
      </c>
      <c r="D377" s="77" t="s">
        <v>131</v>
      </c>
      <c r="E377" s="93">
        <v>20</v>
      </c>
      <c r="F377" s="79"/>
      <c r="G377" s="79"/>
      <c r="H377" s="79"/>
      <c r="I377" s="79">
        <f>SUM(G377:H377)+'BM 008'!I377</f>
        <v>0</v>
      </c>
      <c r="J377" s="79">
        <f t="shared" si="169"/>
        <v>20</v>
      </c>
      <c r="K377" s="80">
        <v>5.14</v>
      </c>
      <c r="L377" s="81">
        <f t="shared" si="168"/>
        <v>6.5154645654000003</v>
      </c>
      <c r="M377" s="82">
        <f t="shared" si="170"/>
        <v>0</v>
      </c>
      <c r="N377" s="82">
        <f t="shared" si="171"/>
        <v>0</v>
      </c>
      <c r="O377" s="82">
        <f>N377+'BM 008'!O377</f>
        <v>0</v>
      </c>
      <c r="P377" s="80">
        <f t="shared" si="172"/>
        <v>102.8</v>
      </c>
      <c r="Q377" s="82">
        <f t="shared" si="173"/>
        <v>130.30000000000001</v>
      </c>
      <c r="R377" s="82">
        <f t="shared" si="174"/>
        <v>130.30000000000001</v>
      </c>
    </row>
    <row r="378" spans="2:18" s="34" customFormat="1" ht="13.2">
      <c r="B378" s="75" t="s">
        <v>748</v>
      </c>
      <c r="C378" s="76" t="s">
        <v>749</v>
      </c>
      <c r="D378" s="77" t="s">
        <v>131</v>
      </c>
      <c r="E378" s="93">
        <v>17</v>
      </c>
      <c r="F378" s="79"/>
      <c r="G378" s="79"/>
      <c r="H378" s="79"/>
      <c r="I378" s="79">
        <f>SUM(G378:H378)+'BM 008'!I378</f>
        <v>0</v>
      </c>
      <c r="J378" s="79">
        <f t="shared" si="169"/>
        <v>17</v>
      </c>
      <c r="K378" s="80">
        <v>11.25</v>
      </c>
      <c r="L378" s="81">
        <f t="shared" si="168"/>
        <v>14.260501237500002</v>
      </c>
      <c r="M378" s="82">
        <f t="shared" si="170"/>
        <v>0</v>
      </c>
      <c r="N378" s="82">
        <f t="shared" si="171"/>
        <v>0</v>
      </c>
      <c r="O378" s="82">
        <f>N378+'BM 008'!O378</f>
        <v>0</v>
      </c>
      <c r="P378" s="80">
        <f t="shared" si="172"/>
        <v>191.25</v>
      </c>
      <c r="Q378" s="82">
        <f t="shared" si="173"/>
        <v>242.42</v>
      </c>
      <c r="R378" s="82">
        <f t="shared" si="174"/>
        <v>242.42</v>
      </c>
    </row>
    <row r="379" spans="2:18" s="34" customFormat="1" ht="13.2">
      <c r="B379" s="75" t="s">
        <v>750</v>
      </c>
      <c r="C379" s="76" t="s">
        <v>751</v>
      </c>
      <c r="D379" s="77" t="s">
        <v>131</v>
      </c>
      <c r="E379" s="93">
        <v>1</v>
      </c>
      <c r="F379" s="79"/>
      <c r="G379" s="79"/>
      <c r="H379" s="79"/>
      <c r="I379" s="79">
        <f>SUM(G379:H379)+'BM 008'!I379</f>
        <v>0</v>
      </c>
      <c r="J379" s="79">
        <f t="shared" si="169"/>
        <v>1</v>
      </c>
      <c r="K379" s="80">
        <v>12.27</v>
      </c>
      <c r="L379" s="81">
        <f t="shared" si="168"/>
        <v>15.5534533497</v>
      </c>
      <c r="M379" s="82">
        <f t="shared" si="170"/>
        <v>0</v>
      </c>
      <c r="N379" s="82">
        <f t="shared" si="171"/>
        <v>0</v>
      </c>
      <c r="O379" s="82">
        <f>N379+'BM 008'!O379</f>
        <v>0</v>
      </c>
      <c r="P379" s="80">
        <f t="shared" si="172"/>
        <v>12.27</v>
      </c>
      <c r="Q379" s="82">
        <f t="shared" si="173"/>
        <v>15.55</v>
      </c>
      <c r="R379" s="82">
        <f t="shared" si="174"/>
        <v>15.55</v>
      </c>
    </row>
    <row r="380" spans="2:18" s="34" customFormat="1" ht="13.2">
      <c r="B380" s="75" t="s">
        <v>752</v>
      </c>
      <c r="C380" s="76" t="s">
        <v>753</v>
      </c>
      <c r="D380" s="77" t="s">
        <v>131</v>
      </c>
      <c r="E380" s="93">
        <v>12</v>
      </c>
      <c r="F380" s="79"/>
      <c r="G380" s="79"/>
      <c r="H380" s="79"/>
      <c r="I380" s="79">
        <f>SUM(G380:H380)+'BM 008'!I380</f>
        <v>0</v>
      </c>
      <c r="J380" s="79">
        <f t="shared" si="169"/>
        <v>12</v>
      </c>
      <c r="K380" s="80">
        <v>22.03</v>
      </c>
      <c r="L380" s="81">
        <f t="shared" si="168"/>
        <v>27.925230423300004</v>
      </c>
      <c r="M380" s="82">
        <f t="shared" si="170"/>
        <v>0</v>
      </c>
      <c r="N380" s="82">
        <f t="shared" si="171"/>
        <v>0</v>
      </c>
      <c r="O380" s="82">
        <f>N380+'BM 008'!O380</f>
        <v>0</v>
      </c>
      <c r="P380" s="80">
        <f t="shared" si="172"/>
        <v>264.36</v>
      </c>
      <c r="Q380" s="82">
        <f t="shared" si="173"/>
        <v>335.1</v>
      </c>
      <c r="R380" s="82">
        <f t="shared" si="174"/>
        <v>335.1</v>
      </c>
    </row>
    <row r="381" spans="2:18" s="34" customFormat="1" ht="13.2">
      <c r="B381" s="75" t="s">
        <v>754</v>
      </c>
      <c r="C381" s="76" t="s">
        <v>755</v>
      </c>
      <c r="D381" s="77" t="s">
        <v>131</v>
      </c>
      <c r="E381" s="93">
        <v>16</v>
      </c>
      <c r="F381" s="79"/>
      <c r="G381" s="79"/>
      <c r="H381" s="79"/>
      <c r="I381" s="79">
        <f>SUM(G381:H381)+'BM 008'!I381</f>
        <v>4</v>
      </c>
      <c r="J381" s="79">
        <f t="shared" si="169"/>
        <v>12</v>
      </c>
      <c r="K381" s="80">
        <v>32.380000000000003</v>
      </c>
      <c r="L381" s="81">
        <f t="shared" si="168"/>
        <v>41.044891561800007</v>
      </c>
      <c r="M381" s="82">
        <f t="shared" si="170"/>
        <v>0</v>
      </c>
      <c r="N381" s="82">
        <f t="shared" si="171"/>
        <v>0</v>
      </c>
      <c r="O381" s="82">
        <f>N381+'BM 008'!O381</f>
        <v>164.17</v>
      </c>
      <c r="P381" s="80">
        <f t="shared" si="172"/>
        <v>518.08000000000004</v>
      </c>
      <c r="Q381" s="82">
        <f t="shared" si="173"/>
        <v>656.71</v>
      </c>
      <c r="R381" s="82">
        <f t="shared" si="174"/>
        <v>492.54000000000008</v>
      </c>
    </row>
    <row r="382" spans="2:18" s="34" customFormat="1" ht="23.4">
      <c r="B382" s="75" t="s">
        <v>756</v>
      </c>
      <c r="C382" s="76" t="s">
        <v>757</v>
      </c>
      <c r="D382" s="77" t="s">
        <v>131</v>
      </c>
      <c r="E382" s="93">
        <v>16</v>
      </c>
      <c r="F382" s="79"/>
      <c r="G382" s="79"/>
      <c r="H382" s="79"/>
      <c r="I382" s="79">
        <f>SUM(G382:H382)+'BM 008'!I382</f>
        <v>0</v>
      </c>
      <c r="J382" s="79">
        <f t="shared" si="169"/>
        <v>16</v>
      </c>
      <c r="K382" s="80">
        <v>12.35</v>
      </c>
      <c r="L382" s="81">
        <f t="shared" si="168"/>
        <v>15.6548613585</v>
      </c>
      <c r="M382" s="82">
        <f t="shared" si="170"/>
        <v>0</v>
      </c>
      <c r="N382" s="82">
        <f t="shared" si="171"/>
        <v>0</v>
      </c>
      <c r="O382" s="82">
        <f>N382+'BM 008'!O382</f>
        <v>0</v>
      </c>
      <c r="P382" s="80">
        <f t="shared" si="172"/>
        <v>197.6</v>
      </c>
      <c r="Q382" s="82">
        <f t="shared" si="173"/>
        <v>250.47</v>
      </c>
      <c r="R382" s="82">
        <f t="shared" si="174"/>
        <v>250.47</v>
      </c>
    </row>
    <row r="383" spans="2:18" s="34" customFormat="1" ht="34.799999999999997">
      <c r="B383" s="75" t="s">
        <v>758</v>
      </c>
      <c r="C383" s="76" t="s">
        <v>759</v>
      </c>
      <c r="D383" s="77" t="s">
        <v>131</v>
      </c>
      <c r="E383" s="93">
        <v>3</v>
      </c>
      <c r="F383" s="79"/>
      <c r="G383" s="79"/>
      <c r="H383" s="79"/>
      <c r="I383" s="79">
        <f>SUM(G383:H383)+'BM 008'!I383</f>
        <v>0</v>
      </c>
      <c r="J383" s="79">
        <f t="shared" si="169"/>
        <v>3</v>
      </c>
      <c r="K383" s="80">
        <v>12.27</v>
      </c>
      <c r="L383" s="81">
        <f t="shared" si="168"/>
        <v>15.5534533497</v>
      </c>
      <c r="M383" s="82">
        <f t="shared" si="170"/>
        <v>0</v>
      </c>
      <c r="N383" s="82">
        <f t="shared" si="171"/>
        <v>0</v>
      </c>
      <c r="O383" s="82">
        <f>N383+'BM 008'!O383</f>
        <v>0</v>
      </c>
      <c r="P383" s="80">
        <f t="shared" si="172"/>
        <v>36.81</v>
      </c>
      <c r="Q383" s="82">
        <f t="shared" si="173"/>
        <v>46.66</v>
      </c>
      <c r="R383" s="82">
        <f t="shared" si="174"/>
        <v>46.66</v>
      </c>
    </row>
    <row r="384" spans="2:18" s="34" customFormat="1" ht="23.4">
      <c r="B384" s="75" t="s">
        <v>760</v>
      </c>
      <c r="C384" s="76" t="s">
        <v>761</v>
      </c>
      <c r="D384" s="77" t="s">
        <v>131</v>
      </c>
      <c r="E384" s="93">
        <v>34</v>
      </c>
      <c r="F384" s="79"/>
      <c r="G384" s="79"/>
      <c r="H384" s="79"/>
      <c r="I384" s="79">
        <f>SUM(G384:H384)+'BM 008'!I384</f>
        <v>0</v>
      </c>
      <c r="J384" s="79">
        <f t="shared" si="169"/>
        <v>34</v>
      </c>
      <c r="K384" s="80">
        <v>18.5</v>
      </c>
      <c r="L384" s="81">
        <f t="shared" si="168"/>
        <v>23.450602035000003</v>
      </c>
      <c r="M384" s="82">
        <f t="shared" si="170"/>
        <v>0</v>
      </c>
      <c r="N384" s="82">
        <f t="shared" si="171"/>
        <v>0</v>
      </c>
      <c r="O384" s="82">
        <f>N384+'BM 008'!O384</f>
        <v>0</v>
      </c>
      <c r="P384" s="80">
        <f t="shared" si="172"/>
        <v>629</v>
      </c>
      <c r="Q384" s="82">
        <f t="shared" si="173"/>
        <v>797.32</v>
      </c>
      <c r="R384" s="82">
        <f t="shared" si="174"/>
        <v>797.32</v>
      </c>
    </row>
    <row r="385" spans="2:18" s="34" customFormat="1" ht="23.4">
      <c r="B385" s="75" t="s">
        <v>762</v>
      </c>
      <c r="C385" s="76" t="s">
        <v>763</v>
      </c>
      <c r="D385" s="77" t="s">
        <v>131</v>
      </c>
      <c r="E385" s="93">
        <v>2</v>
      </c>
      <c r="F385" s="79"/>
      <c r="G385" s="79"/>
      <c r="H385" s="79"/>
      <c r="I385" s="79">
        <f>SUM(G385:H385)+'BM 008'!I385</f>
        <v>0</v>
      </c>
      <c r="J385" s="79">
        <f t="shared" si="169"/>
        <v>2</v>
      </c>
      <c r="K385" s="80">
        <v>24.61</v>
      </c>
      <c r="L385" s="81">
        <f t="shared" si="168"/>
        <v>31.195638707100002</v>
      </c>
      <c r="M385" s="82">
        <f t="shared" si="170"/>
        <v>0</v>
      </c>
      <c r="N385" s="82">
        <f t="shared" si="171"/>
        <v>0</v>
      </c>
      <c r="O385" s="82">
        <f>N385+'BM 008'!O385</f>
        <v>0</v>
      </c>
      <c r="P385" s="80">
        <f t="shared" si="172"/>
        <v>49.22</v>
      </c>
      <c r="Q385" s="82">
        <f t="shared" si="173"/>
        <v>62.39</v>
      </c>
      <c r="R385" s="82">
        <f t="shared" si="174"/>
        <v>62.39</v>
      </c>
    </row>
    <row r="386" spans="2:18" s="34" customFormat="1" ht="34.799999999999997">
      <c r="B386" s="75" t="s">
        <v>764</v>
      </c>
      <c r="C386" s="76" t="s">
        <v>765</v>
      </c>
      <c r="D386" s="77" t="s">
        <v>131</v>
      </c>
      <c r="E386" s="93">
        <v>9</v>
      </c>
      <c r="F386" s="79"/>
      <c r="G386" s="79"/>
      <c r="H386" s="79"/>
      <c r="I386" s="79">
        <f>SUM(G386:H386)+'BM 008'!I386</f>
        <v>0</v>
      </c>
      <c r="J386" s="79">
        <f t="shared" si="169"/>
        <v>9</v>
      </c>
      <c r="K386" s="80">
        <v>26.08</v>
      </c>
      <c r="L386" s="81">
        <f t="shared" si="168"/>
        <v>33.059010868800002</v>
      </c>
      <c r="M386" s="82">
        <f t="shared" si="170"/>
        <v>0</v>
      </c>
      <c r="N386" s="82">
        <f t="shared" si="171"/>
        <v>0</v>
      </c>
      <c r="O386" s="82">
        <f>N386+'BM 008'!O386</f>
        <v>0</v>
      </c>
      <c r="P386" s="80">
        <f t="shared" si="172"/>
        <v>234.71999999999997</v>
      </c>
      <c r="Q386" s="82">
        <f t="shared" si="173"/>
        <v>297.52999999999997</v>
      </c>
      <c r="R386" s="82">
        <f t="shared" si="174"/>
        <v>297.52999999999997</v>
      </c>
    </row>
    <row r="387" spans="2:18" s="34" customFormat="1" ht="23.4">
      <c r="B387" s="75" t="s">
        <v>766</v>
      </c>
      <c r="C387" s="88" t="s">
        <v>767</v>
      </c>
      <c r="D387" s="89" t="s">
        <v>131</v>
      </c>
      <c r="E387" s="90">
        <v>1</v>
      </c>
      <c r="F387" s="91"/>
      <c r="G387" s="91"/>
      <c r="H387" s="91"/>
      <c r="I387" s="91">
        <f>SUM(G387:H387)+'BM 008'!I387</f>
        <v>0</v>
      </c>
      <c r="J387" s="91">
        <f t="shared" si="169"/>
        <v>1</v>
      </c>
      <c r="K387" s="80">
        <v>40</v>
      </c>
      <c r="L387" s="81">
        <f t="shared" si="168"/>
        <v>50.704004400000002</v>
      </c>
      <c r="M387" s="82">
        <f t="shared" si="170"/>
        <v>0</v>
      </c>
      <c r="N387" s="82">
        <f t="shared" si="171"/>
        <v>0</v>
      </c>
      <c r="O387" s="82">
        <f>N387+'BM 008'!O387</f>
        <v>0</v>
      </c>
      <c r="P387" s="80">
        <f t="shared" si="172"/>
        <v>40</v>
      </c>
      <c r="Q387" s="82">
        <f t="shared" si="173"/>
        <v>50.7</v>
      </c>
      <c r="R387" s="82">
        <f t="shared" si="174"/>
        <v>50.7</v>
      </c>
    </row>
    <row r="388" spans="2:18" s="34" customFormat="1" ht="46.2">
      <c r="B388" s="75" t="s">
        <v>768</v>
      </c>
      <c r="C388" s="88" t="s">
        <v>769</v>
      </c>
      <c r="D388" s="89" t="s">
        <v>131</v>
      </c>
      <c r="E388" s="90">
        <v>29</v>
      </c>
      <c r="F388" s="91"/>
      <c r="G388" s="91"/>
      <c r="H388" s="91"/>
      <c r="I388" s="91">
        <f>SUM(G388:H388)+'BM 008'!I388</f>
        <v>0</v>
      </c>
      <c r="J388" s="91">
        <f t="shared" si="169"/>
        <v>29</v>
      </c>
      <c r="K388" s="80">
        <v>17.22</v>
      </c>
      <c r="L388" s="81">
        <f t="shared" si="168"/>
        <v>21.828073894199999</v>
      </c>
      <c r="M388" s="82">
        <f t="shared" si="170"/>
        <v>0</v>
      </c>
      <c r="N388" s="82">
        <f t="shared" si="171"/>
        <v>0</v>
      </c>
      <c r="O388" s="82">
        <f>N388+'BM 008'!O388</f>
        <v>0</v>
      </c>
      <c r="P388" s="80">
        <f t="shared" si="172"/>
        <v>499.38</v>
      </c>
      <c r="Q388" s="82">
        <f t="shared" si="173"/>
        <v>633.01</v>
      </c>
      <c r="R388" s="82">
        <f t="shared" si="174"/>
        <v>633.01</v>
      </c>
    </row>
    <row r="389" spans="2:18" s="34" customFormat="1" ht="23.4">
      <c r="B389" s="75" t="s">
        <v>770</v>
      </c>
      <c r="C389" s="76" t="s">
        <v>771</v>
      </c>
      <c r="D389" s="77" t="s">
        <v>131</v>
      </c>
      <c r="E389" s="93">
        <v>207</v>
      </c>
      <c r="F389" s="79"/>
      <c r="G389" s="79"/>
      <c r="H389" s="79"/>
      <c r="I389" s="79">
        <f>SUM(G389:H389)+'BM 008'!I389</f>
        <v>0</v>
      </c>
      <c r="J389" s="79">
        <f t="shared" si="169"/>
        <v>207</v>
      </c>
      <c r="K389" s="80">
        <v>6.59</v>
      </c>
      <c r="L389" s="81">
        <f t="shared" si="168"/>
        <v>8.3534847248999995</v>
      </c>
      <c r="M389" s="82">
        <f t="shared" si="170"/>
        <v>0</v>
      </c>
      <c r="N389" s="82">
        <f t="shared" si="171"/>
        <v>0</v>
      </c>
      <c r="O389" s="82">
        <f>N389+'BM 008'!O389</f>
        <v>0</v>
      </c>
      <c r="P389" s="80">
        <f t="shared" si="172"/>
        <v>1364.1299999999999</v>
      </c>
      <c r="Q389" s="82">
        <f t="shared" si="173"/>
        <v>1729.17</v>
      </c>
      <c r="R389" s="82">
        <f t="shared" si="174"/>
        <v>1729.17</v>
      </c>
    </row>
    <row r="390" spans="2:18" s="34" customFormat="1" ht="23.4">
      <c r="B390" s="75" t="s">
        <v>772</v>
      </c>
      <c r="C390" s="76" t="s">
        <v>773</v>
      </c>
      <c r="D390" s="77" t="s">
        <v>131</v>
      </c>
      <c r="E390" s="93">
        <v>50</v>
      </c>
      <c r="F390" s="79"/>
      <c r="G390" s="79"/>
      <c r="H390" s="79"/>
      <c r="I390" s="79">
        <f>SUM(G390:H390)+'BM 008'!I390</f>
        <v>0</v>
      </c>
      <c r="J390" s="79">
        <f t="shared" si="169"/>
        <v>50</v>
      </c>
      <c r="K390" s="80">
        <v>22.07</v>
      </c>
      <c r="L390" s="81">
        <f t="shared" si="168"/>
        <v>27.9759344277</v>
      </c>
      <c r="M390" s="82">
        <f t="shared" si="170"/>
        <v>0</v>
      </c>
      <c r="N390" s="82">
        <f t="shared" si="171"/>
        <v>0</v>
      </c>
      <c r="O390" s="82">
        <f>N390+'BM 008'!O390</f>
        <v>0</v>
      </c>
      <c r="P390" s="80">
        <f t="shared" si="172"/>
        <v>1103.5</v>
      </c>
      <c r="Q390" s="82">
        <f t="shared" si="173"/>
        <v>1398.79</v>
      </c>
      <c r="R390" s="82">
        <f t="shared" si="174"/>
        <v>1398.79</v>
      </c>
    </row>
    <row r="391" spans="2:18" s="34" customFormat="1" ht="23.4">
      <c r="B391" s="75" t="s">
        <v>774</v>
      </c>
      <c r="C391" s="76" t="s">
        <v>775</v>
      </c>
      <c r="D391" s="77" t="s">
        <v>131</v>
      </c>
      <c r="E391" s="93">
        <v>1</v>
      </c>
      <c r="F391" s="79"/>
      <c r="G391" s="79"/>
      <c r="H391" s="79"/>
      <c r="I391" s="79">
        <f>SUM(G391:H391)+'BM 008'!I391</f>
        <v>0</v>
      </c>
      <c r="J391" s="79">
        <f t="shared" si="169"/>
        <v>1</v>
      </c>
      <c r="K391" s="80">
        <v>19.649999999999999</v>
      </c>
      <c r="L391" s="81">
        <f t="shared" si="168"/>
        <v>24.908342161499998</v>
      </c>
      <c r="M391" s="82">
        <f t="shared" si="170"/>
        <v>0</v>
      </c>
      <c r="N391" s="82">
        <f t="shared" si="171"/>
        <v>0</v>
      </c>
      <c r="O391" s="82">
        <f>N391+'BM 008'!O391</f>
        <v>0</v>
      </c>
      <c r="P391" s="80">
        <f t="shared" si="172"/>
        <v>19.649999999999999</v>
      </c>
      <c r="Q391" s="82">
        <f t="shared" si="173"/>
        <v>24.9</v>
      </c>
      <c r="R391" s="82">
        <f t="shared" si="174"/>
        <v>24.9</v>
      </c>
    </row>
    <row r="392" spans="2:18" s="34" customFormat="1" ht="23.4">
      <c r="B392" s="75" t="s">
        <v>776</v>
      </c>
      <c r="C392" s="76" t="s">
        <v>777</v>
      </c>
      <c r="D392" s="77" t="s">
        <v>131</v>
      </c>
      <c r="E392" s="93">
        <v>19</v>
      </c>
      <c r="F392" s="79"/>
      <c r="G392" s="79"/>
      <c r="H392" s="79"/>
      <c r="I392" s="79">
        <f>SUM(G392:H392)+'BM 008'!I392</f>
        <v>0</v>
      </c>
      <c r="J392" s="79">
        <f t="shared" si="169"/>
        <v>19</v>
      </c>
      <c r="K392" s="80">
        <v>41.43</v>
      </c>
      <c r="L392" s="81">
        <f t="shared" si="168"/>
        <v>52.516672557300005</v>
      </c>
      <c r="M392" s="82">
        <f t="shared" si="170"/>
        <v>0</v>
      </c>
      <c r="N392" s="82">
        <f t="shared" si="171"/>
        <v>0</v>
      </c>
      <c r="O392" s="82">
        <f>N392+'BM 008'!O392</f>
        <v>0</v>
      </c>
      <c r="P392" s="80">
        <f t="shared" si="172"/>
        <v>787.17</v>
      </c>
      <c r="Q392" s="82">
        <f t="shared" si="173"/>
        <v>997.81</v>
      </c>
      <c r="R392" s="82">
        <f t="shared" si="174"/>
        <v>997.81</v>
      </c>
    </row>
    <row r="393" spans="2:18" s="34" customFormat="1" ht="46.2">
      <c r="B393" s="75" t="s">
        <v>778</v>
      </c>
      <c r="C393" s="76" t="s">
        <v>779</v>
      </c>
      <c r="D393" s="77" t="s">
        <v>131</v>
      </c>
      <c r="E393" s="93">
        <v>12</v>
      </c>
      <c r="F393" s="79"/>
      <c r="G393" s="79"/>
      <c r="H393" s="79"/>
      <c r="I393" s="79">
        <f>SUM(G393:H393)+'BM 008'!I393</f>
        <v>0</v>
      </c>
      <c r="J393" s="79">
        <f t="shared" si="169"/>
        <v>12</v>
      </c>
      <c r="K393" s="80">
        <v>76.31</v>
      </c>
      <c r="L393" s="81">
        <f t="shared" si="168"/>
        <v>96.730564394100014</v>
      </c>
      <c r="M393" s="82">
        <f t="shared" si="170"/>
        <v>0</v>
      </c>
      <c r="N393" s="82">
        <f t="shared" si="171"/>
        <v>0</v>
      </c>
      <c r="O393" s="82">
        <f>N393+'BM 008'!O393</f>
        <v>0</v>
      </c>
      <c r="P393" s="80">
        <f t="shared" si="172"/>
        <v>915.72</v>
      </c>
      <c r="Q393" s="82">
        <f t="shared" si="173"/>
        <v>1160.76</v>
      </c>
      <c r="R393" s="82">
        <f t="shared" si="174"/>
        <v>1160.76</v>
      </c>
    </row>
    <row r="394" spans="2:18" s="34" customFormat="1" ht="34.799999999999997">
      <c r="B394" s="75" t="s">
        <v>780</v>
      </c>
      <c r="C394" s="76" t="s">
        <v>781</v>
      </c>
      <c r="D394" s="77" t="s">
        <v>131</v>
      </c>
      <c r="E394" s="93">
        <v>3</v>
      </c>
      <c r="F394" s="79"/>
      <c r="G394" s="79"/>
      <c r="H394" s="79"/>
      <c r="I394" s="79">
        <f>SUM(G394:H394)+'BM 008'!I394</f>
        <v>0</v>
      </c>
      <c r="J394" s="79">
        <f t="shared" si="169"/>
        <v>3</v>
      </c>
      <c r="K394" s="80">
        <v>72.55</v>
      </c>
      <c r="L394" s="81">
        <f t="shared" si="168"/>
        <v>91.964387980500007</v>
      </c>
      <c r="M394" s="82">
        <f t="shared" si="170"/>
        <v>0</v>
      </c>
      <c r="N394" s="82">
        <f t="shared" si="171"/>
        <v>0</v>
      </c>
      <c r="O394" s="82">
        <f>N394+'BM 008'!O394</f>
        <v>0</v>
      </c>
      <c r="P394" s="80">
        <f t="shared" si="172"/>
        <v>217.64999999999998</v>
      </c>
      <c r="Q394" s="82">
        <f t="shared" si="173"/>
        <v>275.89</v>
      </c>
      <c r="R394" s="82">
        <f t="shared" si="174"/>
        <v>275.89</v>
      </c>
    </row>
    <row r="395" spans="2:18" s="34" customFormat="1" ht="24">
      <c r="B395" s="66" t="s">
        <v>782</v>
      </c>
      <c r="C395" s="67" t="s">
        <v>783</v>
      </c>
      <c r="D395" s="68"/>
      <c r="E395" s="69"/>
      <c r="F395" s="70"/>
      <c r="G395" s="70"/>
      <c r="H395" s="70"/>
      <c r="I395" s="70">
        <f>SUM(G395:H395)+'BM 008'!I395</f>
        <v>0</v>
      </c>
      <c r="J395" s="70">
        <f t="shared" si="169"/>
        <v>0</v>
      </c>
      <c r="K395" s="71"/>
      <c r="L395" s="71">
        <f t="shared" si="168"/>
        <v>0</v>
      </c>
      <c r="M395" s="73">
        <f t="shared" ref="M395:R395" si="175">SUM(M396:M405)</f>
        <v>0</v>
      </c>
      <c r="N395" s="73">
        <f t="shared" si="175"/>
        <v>0</v>
      </c>
      <c r="O395" s="73">
        <f t="shared" si="175"/>
        <v>2814.07</v>
      </c>
      <c r="P395" s="73">
        <f t="shared" si="175"/>
        <v>131062.87509999999</v>
      </c>
      <c r="Q395" s="73">
        <f t="shared" si="175"/>
        <v>166135.25</v>
      </c>
      <c r="R395" s="73">
        <f t="shared" si="175"/>
        <v>163321.18</v>
      </c>
    </row>
    <row r="396" spans="2:18" s="34" customFormat="1" ht="34.799999999999997">
      <c r="B396" s="75" t="s">
        <v>784</v>
      </c>
      <c r="C396" s="76" t="s">
        <v>785</v>
      </c>
      <c r="D396" s="77" t="s">
        <v>82</v>
      </c>
      <c r="E396" s="108">
        <v>867.48</v>
      </c>
      <c r="F396" s="109"/>
      <c r="G396" s="109"/>
      <c r="H396" s="109"/>
      <c r="I396" s="109">
        <f>SUM(G396:H396)+'BM 008'!I396</f>
        <v>0</v>
      </c>
      <c r="J396" s="109">
        <f t="shared" si="169"/>
        <v>867.48</v>
      </c>
      <c r="K396" s="80">
        <v>24.65</v>
      </c>
      <c r="L396" s="81">
        <f t="shared" si="168"/>
        <v>31.246342711499999</v>
      </c>
      <c r="M396" s="82">
        <f t="shared" ref="M396:M405" si="176">TRUNC(F396*L396,2)</f>
        <v>0</v>
      </c>
      <c r="N396" s="82">
        <f t="shared" ref="N396:N405" si="177">TRUNC(G396*L396,2)</f>
        <v>0</v>
      </c>
      <c r="O396" s="82">
        <f>N396+'BM 008'!O396</f>
        <v>0</v>
      </c>
      <c r="P396" s="80">
        <f t="shared" ref="P396:P405" si="178">E396*K396</f>
        <v>21383.381999999998</v>
      </c>
      <c r="Q396" s="82">
        <f t="shared" ref="Q396:Q405" si="179">TRUNC(E396*L396,2)</f>
        <v>27105.57</v>
      </c>
      <c r="R396" s="82">
        <f t="shared" ref="R396:R405" si="180">Q396-O396</f>
        <v>27105.57</v>
      </c>
    </row>
    <row r="397" spans="2:18" s="34" customFormat="1" ht="23.4">
      <c r="B397" s="75" t="s">
        <v>786</v>
      </c>
      <c r="C397" s="76" t="s">
        <v>653</v>
      </c>
      <c r="D397" s="77" t="s">
        <v>82</v>
      </c>
      <c r="E397" s="110">
        <v>18.04</v>
      </c>
      <c r="F397" s="111"/>
      <c r="G397" s="111"/>
      <c r="H397" s="111"/>
      <c r="I397" s="111">
        <f>SUM(G397:H397)+'BM 008'!I397</f>
        <v>0</v>
      </c>
      <c r="J397" s="111">
        <f t="shared" si="169"/>
        <v>18.04</v>
      </c>
      <c r="K397" s="80">
        <v>6.5</v>
      </c>
      <c r="L397" s="81">
        <f t="shared" si="168"/>
        <v>8.2394007150000004</v>
      </c>
      <c r="M397" s="82">
        <f t="shared" si="176"/>
        <v>0</v>
      </c>
      <c r="N397" s="82">
        <f t="shared" si="177"/>
        <v>0</v>
      </c>
      <c r="O397" s="82">
        <f>N397+'BM 008'!O397</f>
        <v>0</v>
      </c>
      <c r="P397" s="80">
        <f t="shared" si="178"/>
        <v>117.25999999999999</v>
      </c>
      <c r="Q397" s="82">
        <f t="shared" si="179"/>
        <v>148.63</v>
      </c>
      <c r="R397" s="82">
        <f t="shared" si="180"/>
        <v>148.63</v>
      </c>
    </row>
    <row r="398" spans="2:18" s="34" customFormat="1" ht="23.4">
      <c r="B398" s="75" t="s">
        <v>787</v>
      </c>
      <c r="C398" s="76" t="s">
        <v>655</v>
      </c>
      <c r="D398" s="77" t="s">
        <v>82</v>
      </c>
      <c r="E398" s="110">
        <v>739.18</v>
      </c>
      <c r="F398" s="111"/>
      <c r="G398" s="111"/>
      <c r="H398" s="111"/>
      <c r="I398" s="111">
        <f>SUM(G398:H398)+'BM 008'!I398</f>
        <v>0</v>
      </c>
      <c r="J398" s="111">
        <f t="shared" si="169"/>
        <v>739.18</v>
      </c>
      <c r="K398" s="80">
        <v>8</v>
      </c>
      <c r="L398" s="81">
        <f t="shared" si="168"/>
        <v>10.14080088</v>
      </c>
      <c r="M398" s="82">
        <f t="shared" si="176"/>
        <v>0</v>
      </c>
      <c r="N398" s="82">
        <f t="shared" si="177"/>
        <v>0</v>
      </c>
      <c r="O398" s="82">
        <f>N398+'BM 008'!O398</f>
        <v>0</v>
      </c>
      <c r="P398" s="80">
        <f t="shared" si="178"/>
        <v>5913.44</v>
      </c>
      <c r="Q398" s="82">
        <f t="shared" si="179"/>
        <v>7495.87</v>
      </c>
      <c r="R398" s="82">
        <f t="shared" si="180"/>
        <v>7495.87</v>
      </c>
    </row>
    <row r="399" spans="2:18" s="34" customFormat="1" ht="23.4">
      <c r="B399" s="75" t="s">
        <v>788</v>
      </c>
      <c r="C399" s="76" t="s">
        <v>659</v>
      </c>
      <c r="D399" s="77" t="s">
        <v>82</v>
      </c>
      <c r="E399" s="112">
        <v>19.510000000000002</v>
      </c>
      <c r="F399" s="113"/>
      <c r="G399" s="113"/>
      <c r="H399" s="113"/>
      <c r="I399" s="113">
        <f>SUM(G399:H399)+'BM 008'!I399</f>
        <v>0</v>
      </c>
      <c r="J399" s="113">
        <f t="shared" si="169"/>
        <v>19.510000000000002</v>
      </c>
      <c r="K399" s="80">
        <v>23.5</v>
      </c>
      <c r="L399" s="81">
        <f t="shared" si="168"/>
        <v>29.788602585</v>
      </c>
      <c r="M399" s="82">
        <f t="shared" si="176"/>
        <v>0</v>
      </c>
      <c r="N399" s="82">
        <f t="shared" si="177"/>
        <v>0</v>
      </c>
      <c r="O399" s="82">
        <f>N399+'BM 008'!O399</f>
        <v>0</v>
      </c>
      <c r="P399" s="80">
        <f t="shared" si="178"/>
        <v>458.48500000000001</v>
      </c>
      <c r="Q399" s="82">
        <f t="shared" si="179"/>
        <v>581.16999999999996</v>
      </c>
      <c r="R399" s="82">
        <f t="shared" si="180"/>
        <v>581.16999999999996</v>
      </c>
    </row>
    <row r="400" spans="2:18" s="34" customFormat="1" ht="34.799999999999997">
      <c r="B400" s="75" t="s">
        <v>789</v>
      </c>
      <c r="C400" s="76" t="s">
        <v>790</v>
      </c>
      <c r="D400" s="77" t="s">
        <v>82</v>
      </c>
      <c r="E400" s="108">
        <v>609.66</v>
      </c>
      <c r="F400" s="109"/>
      <c r="G400" s="109"/>
      <c r="H400" s="109"/>
      <c r="I400" s="109">
        <f>SUM(G400:H400)+'BM 008'!I400</f>
        <v>0</v>
      </c>
      <c r="J400" s="109">
        <f t="shared" si="169"/>
        <v>609.66</v>
      </c>
      <c r="K400" s="80">
        <v>27.5</v>
      </c>
      <c r="L400" s="81">
        <f t="shared" si="168"/>
        <v>34.859003025</v>
      </c>
      <c r="M400" s="82">
        <f t="shared" si="176"/>
        <v>0</v>
      </c>
      <c r="N400" s="82">
        <f t="shared" si="177"/>
        <v>0</v>
      </c>
      <c r="O400" s="82">
        <f>N400+'BM 008'!O400</f>
        <v>0</v>
      </c>
      <c r="P400" s="80">
        <f t="shared" si="178"/>
        <v>16765.649999999998</v>
      </c>
      <c r="Q400" s="82">
        <f t="shared" si="179"/>
        <v>21252.13</v>
      </c>
      <c r="R400" s="82">
        <f t="shared" si="180"/>
        <v>21252.13</v>
      </c>
    </row>
    <row r="401" spans="2:18" s="34" customFormat="1" ht="34.799999999999997">
      <c r="B401" s="75" t="s">
        <v>791</v>
      </c>
      <c r="C401" s="76" t="s">
        <v>792</v>
      </c>
      <c r="D401" s="77" t="s">
        <v>82</v>
      </c>
      <c r="E401" s="114">
        <v>307.39999999999998</v>
      </c>
      <c r="F401" s="82"/>
      <c r="G401" s="82"/>
      <c r="H401" s="82"/>
      <c r="I401" s="82">
        <f>SUM(G401:H401)+'BM 008'!I401</f>
        <v>30</v>
      </c>
      <c r="J401" s="82">
        <f t="shared" si="169"/>
        <v>277.39999999999998</v>
      </c>
      <c r="K401" s="80">
        <v>74</v>
      </c>
      <c r="L401" s="81">
        <f t="shared" si="168"/>
        <v>93.802408140000011</v>
      </c>
      <c r="M401" s="82">
        <f t="shared" si="176"/>
        <v>0</v>
      </c>
      <c r="N401" s="82">
        <f t="shared" si="177"/>
        <v>0</v>
      </c>
      <c r="O401" s="82">
        <f>N401+'BM 008'!O401</f>
        <v>2814.07</v>
      </c>
      <c r="P401" s="80">
        <f t="shared" si="178"/>
        <v>22747.599999999999</v>
      </c>
      <c r="Q401" s="82">
        <f t="shared" si="179"/>
        <v>28834.86</v>
      </c>
      <c r="R401" s="82">
        <f t="shared" si="180"/>
        <v>26020.79</v>
      </c>
    </row>
    <row r="402" spans="2:18" s="34" customFormat="1" ht="34.799999999999997">
      <c r="B402" s="75" t="s">
        <v>793</v>
      </c>
      <c r="C402" s="76" t="s">
        <v>794</v>
      </c>
      <c r="D402" s="77" t="s">
        <v>82</v>
      </c>
      <c r="E402" s="114">
        <v>340.33</v>
      </c>
      <c r="F402" s="82"/>
      <c r="G402" s="82"/>
      <c r="H402" s="82"/>
      <c r="I402" s="82">
        <f>SUM(G402:H402)+'BM 008'!I402</f>
        <v>0</v>
      </c>
      <c r="J402" s="82">
        <f t="shared" si="169"/>
        <v>340.33</v>
      </c>
      <c r="K402" s="80">
        <v>34.57</v>
      </c>
      <c r="L402" s="81">
        <f t="shared" si="168"/>
        <v>43.820935802699999</v>
      </c>
      <c r="M402" s="82">
        <f t="shared" si="176"/>
        <v>0</v>
      </c>
      <c r="N402" s="82">
        <f t="shared" si="177"/>
        <v>0</v>
      </c>
      <c r="O402" s="82">
        <f>N402+'BM 008'!O402</f>
        <v>0</v>
      </c>
      <c r="P402" s="80">
        <f t="shared" si="178"/>
        <v>11765.2081</v>
      </c>
      <c r="Q402" s="82">
        <f t="shared" si="179"/>
        <v>14913.57</v>
      </c>
      <c r="R402" s="82">
        <f t="shared" si="180"/>
        <v>14913.57</v>
      </c>
    </row>
    <row r="403" spans="2:18" s="34" customFormat="1" ht="23.4">
      <c r="B403" s="75" t="s">
        <v>795</v>
      </c>
      <c r="C403" s="76" t="s">
        <v>796</v>
      </c>
      <c r="D403" s="77" t="s">
        <v>82</v>
      </c>
      <c r="E403" s="114">
        <v>52.07</v>
      </c>
      <c r="F403" s="82"/>
      <c r="G403" s="82"/>
      <c r="H403" s="82"/>
      <c r="I403" s="82">
        <f>SUM(G403:H403)+'BM 008'!I403</f>
        <v>0</v>
      </c>
      <c r="J403" s="82">
        <f t="shared" si="169"/>
        <v>52.07</v>
      </c>
      <c r="K403" s="80">
        <v>165</v>
      </c>
      <c r="L403" s="81">
        <f t="shared" si="168"/>
        <v>209.15401815000001</v>
      </c>
      <c r="M403" s="82">
        <f t="shared" si="176"/>
        <v>0</v>
      </c>
      <c r="N403" s="82">
        <f t="shared" si="177"/>
        <v>0</v>
      </c>
      <c r="O403" s="82">
        <f>N403+'BM 008'!O403</f>
        <v>0</v>
      </c>
      <c r="P403" s="80">
        <f t="shared" si="178"/>
        <v>8591.5499999999993</v>
      </c>
      <c r="Q403" s="82">
        <f t="shared" si="179"/>
        <v>10890.64</v>
      </c>
      <c r="R403" s="82">
        <f t="shared" si="180"/>
        <v>10890.64</v>
      </c>
    </row>
    <row r="404" spans="2:18" s="34" customFormat="1" ht="23.4">
      <c r="B404" s="75" t="s">
        <v>797</v>
      </c>
      <c r="C404" s="76" t="s">
        <v>796</v>
      </c>
      <c r="D404" s="77" t="s">
        <v>82</v>
      </c>
      <c r="E404" s="114">
        <v>3.02</v>
      </c>
      <c r="F404" s="82"/>
      <c r="G404" s="82"/>
      <c r="H404" s="82"/>
      <c r="I404" s="82">
        <f>SUM(G404:H404)+'BM 008'!I404</f>
        <v>0</v>
      </c>
      <c r="J404" s="82">
        <f t="shared" si="169"/>
        <v>3.02</v>
      </c>
      <c r="K404" s="80">
        <v>165</v>
      </c>
      <c r="L404" s="81">
        <f t="shared" si="168"/>
        <v>209.15401815000001</v>
      </c>
      <c r="M404" s="82">
        <f t="shared" si="176"/>
        <v>0</v>
      </c>
      <c r="N404" s="82">
        <f t="shared" si="177"/>
        <v>0</v>
      </c>
      <c r="O404" s="82">
        <f>N404+'BM 008'!O404</f>
        <v>0</v>
      </c>
      <c r="P404" s="80">
        <f t="shared" si="178"/>
        <v>498.3</v>
      </c>
      <c r="Q404" s="82">
        <f t="shared" si="179"/>
        <v>631.64</v>
      </c>
      <c r="R404" s="82">
        <f t="shared" si="180"/>
        <v>631.64</v>
      </c>
    </row>
    <row r="405" spans="2:18" s="34" customFormat="1" ht="23.4">
      <c r="B405" s="75" t="s">
        <v>798</v>
      </c>
      <c r="C405" s="76" t="s">
        <v>799</v>
      </c>
      <c r="D405" s="77" t="s">
        <v>82</v>
      </c>
      <c r="E405" s="114">
        <v>658.8</v>
      </c>
      <c r="F405" s="82"/>
      <c r="G405" s="82"/>
      <c r="H405" s="82"/>
      <c r="I405" s="82">
        <f>SUM(G405:H405)+'BM 008'!I405</f>
        <v>0</v>
      </c>
      <c r="J405" s="82">
        <f t="shared" si="169"/>
        <v>658.8</v>
      </c>
      <c r="K405" s="80">
        <v>65</v>
      </c>
      <c r="L405" s="81">
        <f t="shared" si="168"/>
        <v>82.394007150000007</v>
      </c>
      <c r="M405" s="82">
        <f t="shared" si="176"/>
        <v>0</v>
      </c>
      <c r="N405" s="82">
        <f t="shared" si="177"/>
        <v>0</v>
      </c>
      <c r="O405" s="82">
        <f>N405+'BM 008'!O405</f>
        <v>0</v>
      </c>
      <c r="P405" s="80">
        <f t="shared" si="178"/>
        <v>42822</v>
      </c>
      <c r="Q405" s="82">
        <f t="shared" si="179"/>
        <v>54281.17</v>
      </c>
      <c r="R405" s="82">
        <f t="shared" si="180"/>
        <v>54281.17</v>
      </c>
    </row>
    <row r="406" spans="2:18" s="34" customFormat="1" ht="36">
      <c r="B406" s="66" t="s">
        <v>800</v>
      </c>
      <c r="C406" s="115" t="s">
        <v>801</v>
      </c>
      <c r="D406" s="116"/>
      <c r="E406" s="117"/>
      <c r="F406" s="118"/>
      <c r="G406" s="118"/>
      <c r="H406" s="118"/>
      <c r="I406" s="118">
        <f>SUM(G406:H406)+'BM 008'!I406</f>
        <v>0</v>
      </c>
      <c r="J406" s="118">
        <f t="shared" si="169"/>
        <v>0</v>
      </c>
      <c r="K406" s="119"/>
      <c r="L406" s="119">
        <f t="shared" si="168"/>
        <v>0</v>
      </c>
      <c r="M406" s="73">
        <f t="shared" ref="M406:R406" si="181">SUM(M407:M473)</f>
        <v>0</v>
      </c>
      <c r="N406" s="73">
        <f t="shared" si="181"/>
        <v>0</v>
      </c>
      <c r="O406" s="73">
        <f t="shared" si="181"/>
        <v>0</v>
      </c>
      <c r="P406" s="73">
        <f t="shared" si="181"/>
        <v>84729.980000000025</v>
      </c>
      <c r="Q406" s="73">
        <f t="shared" si="181"/>
        <v>107403.37000000007</v>
      </c>
      <c r="R406" s="73">
        <f t="shared" si="181"/>
        <v>107403.37000000007</v>
      </c>
    </row>
    <row r="407" spans="2:18" s="34" customFormat="1" ht="46.2">
      <c r="B407" s="75" t="s">
        <v>802</v>
      </c>
      <c r="C407" s="76" t="s">
        <v>803</v>
      </c>
      <c r="D407" s="77" t="s">
        <v>131</v>
      </c>
      <c r="E407" s="93">
        <v>209</v>
      </c>
      <c r="F407" s="79"/>
      <c r="G407" s="79"/>
      <c r="H407" s="79"/>
      <c r="I407" s="79">
        <f>SUM(G407:H407)+'BM 008'!I407</f>
        <v>0</v>
      </c>
      <c r="J407" s="79">
        <f t="shared" si="169"/>
        <v>209</v>
      </c>
      <c r="K407" s="80">
        <v>15.61</v>
      </c>
      <c r="L407" s="81">
        <f t="shared" si="168"/>
        <v>19.787237717100002</v>
      </c>
      <c r="M407" s="82">
        <f t="shared" ref="M407:M438" si="182">TRUNC(F407*L407,2)</f>
        <v>0</v>
      </c>
      <c r="N407" s="82">
        <f t="shared" ref="N407:N438" si="183">TRUNC(G407*L407,2)</f>
        <v>0</v>
      </c>
      <c r="O407" s="82">
        <f>N407+'BM 008'!O407</f>
        <v>0</v>
      </c>
      <c r="P407" s="80">
        <f t="shared" ref="P407:P438" si="184">E407*K407</f>
        <v>3262.49</v>
      </c>
      <c r="Q407" s="82">
        <f t="shared" ref="Q407:Q438" si="185">TRUNC(E407*L407,2)</f>
        <v>4135.53</v>
      </c>
      <c r="R407" s="82">
        <f t="shared" ref="R407:R438" si="186">Q407-O407</f>
        <v>4135.53</v>
      </c>
    </row>
    <row r="408" spans="2:18" s="34" customFormat="1" ht="46.2">
      <c r="B408" s="75" t="s">
        <v>804</v>
      </c>
      <c r="C408" s="76" t="s">
        <v>805</v>
      </c>
      <c r="D408" s="77" t="s">
        <v>131</v>
      </c>
      <c r="E408" s="93">
        <v>127</v>
      </c>
      <c r="F408" s="79"/>
      <c r="G408" s="79"/>
      <c r="H408" s="79"/>
      <c r="I408" s="79">
        <f>SUM(G408:H408)+'BM 008'!I408</f>
        <v>0</v>
      </c>
      <c r="J408" s="79">
        <f t="shared" si="169"/>
        <v>127</v>
      </c>
      <c r="K408" s="80">
        <v>13.73</v>
      </c>
      <c r="L408" s="81">
        <f t="shared" si="168"/>
        <v>17.404149510300002</v>
      </c>
      <c r="M408" s="82">
        <f t="shared" si="182"/>
        <v>0</v>
      </c>
      <c r="N408" s="82">
        <f t="shared" si="183"/>
        <v>0</v>
      </c>
      <c r="O408" s="82">
        <f>N408+'BM 008'!O408</f>
        <v>0</v>
      </c>
      <c r="P408" s="80">
        <f t="shared" si="184"/>
        <v>1743.71</v>
      </c>
      <c r="Q408" s="82">
        <f t="shared" si="185"/>
        <v>2210.3200000000002</v>
      </c>
      <c r="R408" s="82">
        <f t="shared" si="186"/>
        <v>2210.3200000000002</v>
      </c>
    </row>
    <row r="409" spans="2:18" s="34" customFormat="1" ht="34.799999999999997">
      <c r="B409" s="75" t="s">
        <v>806</v>
      </c>
      <c r="C409" s="76" t="s">
        <v>807</v>
      </c>
      <c r="D409" s="77" t="s">
        <v>131</v>
      </c>
      <c r="E409" s="93">
        <v>286</v>
      </c>
      <c r="F409" s="79"/>
      <c r="G409" s="79"/>
      <c r="H409" s="79"/>
      <c r="I409" s="79">
        <f>SUM(G409:H409)+'BM 008'!I409</f>
        <v>0</v>
      </c>
      <c r="J409" s="79">
        <f t="shared" si="169"/>
        <v>286</v>
      </c>
      <c r="K409" s="80">
        <v>46.17</v>
      </c>
      <c r="L409" s="81">
        <f t="shared" si="168"/>
        <v>58.525097078700007</v>
      </c>
      <c r="M409" s="82">
        <f t="shared" si="182"/>
        <v>0</v>
      </c>
      <c r="N409" s="82">
        <f t="shared" si="183"/>
        <v>0</v>
      </c>
      <c r="O409" s="82">
        <f>N409+'BM 008'!O409</f>
        <v>0</v>
      </c>
      <c r="P409" s="80">
        <f t="shared" si="184"/>
        <v>13204.62</v>
      </c>
      <c r="Q409" s="82">
        <f t="shared" si="185"/>
        <v>16738.169999999998</v>
      </c>
      <c r="R409" s="82">
        <f t="shared" si="186"/>
        <v>16738.169999999998</v>
      </c>
    </row>
    <row r="410" spans="2:18" s="34" customFormat="1" ht="34.799999999999997">
      <c r="B410" s="75" t="s">
        <v>808</v>
      </c>
      <c r="C410" s="76" t="s">
        <v>809</v>
      </c>
      <c r="D410" s="77" t="s">
        <v>131</v>
      </c>
      <c r="E410" s="93">
        <v>2</v>
      </c>
      <c r="F410" s="79"/>
      <c r="G410" s="79"/>
      <c r="H410" s="79"/>
      <c r="I410" s="79">
        <f>SUM(G410:H410)+'BM 008'!I410</f>
        <v>0</v>
      </c>
      <c r="J410" s="79">
        <f t="shared" si="169"/>
        <v>2</v>
      </c>
      <c r="K410" s="80">
        <v>95</v>
      </c>
      <c r="L410" s="81">
        <f t="shared" si="168"/>
        <v>120.42201045</v>
      </c>
      <c r="M410" s="82">
        <f t="shared" si="182"/>
        <v>0</v>
      </c>
      <c r="N410" s="82">
        <f t="shared" si="183"/>
        <v>0</v>
      </c>
      <c r="O410" s="82">
        <f>N410+'BM 008'!O410</f>
        <v>0</v>
      </c>
      <c r="P410" s="80">
        <f t="shared" si="184"/>
        <v>190</v>
      </c>
      <c r="Q410" s="82">
        <f t="shared" si="185"/>
        <v>240.84</v>
      </c>
      <c r="R410" s="82">
        <f t="shared" si="186"/>
        <v>240.84</v>
      </c>
    </row>
    <row r="411" spans="2:18" s="34" customFormat="1" ht="34.799999999999997">
      <c r="B411" s="75" t="s">
        <v>810</v>
      </c>
      <c r="C411" s="76" t="s">
        <v>811</v>
      </c>
      <c r="D411" s="77" t="s">
        <v>131</v>
      </c>
      <c r="E411" s="93">
        <v>4</v>
      </c>
      <c r="F411" s="79"/>
      <c r="G411" s="79"/>
      <c r="H411" s="79"/>
      <c r="I411" s="79">
        <f>SUM(G411:H411)+'BM 008'!I411</f>
        <v>0</v>
      </c>
      <c r="J411" s="79">
        <f t="shared" si="169"/>
        <v>4</v>
      </c>
      <c r="K411" s="80">
        <v>240</v>
      </c>
      <c r="L411" s="81">
        <f t="shared" si="168"/>
        <v>304.22402640000001</v>
      </c>
      <c r="M411" s="82">
        <f t="shared" si="182"/>
        <v>0</v>
      </c>
      <c r="N411" s="82">
        <f t="shared" si="183"/>
        <v>0</v>
      </c>
      <c r="O411" s="82">
        <f>N411+'BM 008'!O411</f>
        <v>0</v>
      </c>
      <c r="P411" s="80">
        <f t="shared" si="184"/>
        <v>960</v>
      </c>
      <c r="Q411" s="82">
        <f t="shared" si="185"/>
        <v>1216.8900000000001</v>
      </c>
      <c r="R411" s="82">
        <f t="shared" si="186"/>
        <v>1216.8900000000001</v>
      </c>
    </row>
    <row r="412" spans="2:18" s="34" customFormat="1" ht="46.2">
      <c r="B412" s="75" t="s">
        <v>812</v>
      </c>
      <c r="C412" s="76" t="s">
        <v>813</v>
      </c>
      <c r="D412" s="77" t="s">
        <v>131</v>
      </c>
      <c r="E412" s="93">
        <v>412</v>
      </c>
      <c r="F412" s="79"/>
      <c r="G412" s="79"/>
      <c r="H412" s="79"/>
      <c r="I412" s="79">
        <f>SUM(G412:H412)+'BM 008'!I412</f>
        <v>0</v>
      </c>
      <c r="J412" s="79">
        <f t="shared" si="169"/>
        <v>412</v>
      </c>
      <c r="K412" s="80">
        <v>8.31</v>
      </c>
      <c r="L412" s="81">
        <f t="shared" si="168"/>
        <v>10.533756914100001</v>
      </c>
      <c r="M412" s="82">
        <f t="shared" si="182"/>
        <v>0</v>
      </c>
      <c r="N412" s="82">
        <f t="shared" si="183"/>
        <v>0</v>
      </c>
      <c r="O412" s="82">
        <f>N412+'BM 008'!O412</f>
        <v>0</v>
      </c>
      <c r="P412" s="80">
        <f t="shared" si="184"/>
        <v>3423.7200000000003</v>
      </c>
      <c r="Q412" s="82">
        <f t="shared" si="185"/>
        <v>4339.8999999999996</v>
      </c>
      <c r="R412" s="82">
        <f t="shared" si="186"/>
        <v>4339.8999999999996</v>
      </c>
    </row>
    <row r="413" spans="2:18" s="34" customFormat="1" ht="34.799999999999997">
      <c r="B413" s="75" t="s">
        <v>814</v>
      </c>
      <c r="C413" s="76" t="s">
        <v>815</v>
      </c>
      <c r="D413" s="77" t="s">
        <v>131</v>
      </c>
      <c r="E413" s="93">
        <v>2</v>
      </c>
      <c r="F413" s="79"/>
      <c r="G413" s="79"/>
      <c r="H413" s="79"/>
      <c r="I413" s="79">
        <f>SUM(G413:H413)+'BM 008'!I413</f>
        <v>0</v>
      </c>
      <c r="J413" s="79">
        <f t="shared" si="169"/>
        <v>2</v>
      </c>
      <c r="K413" s="80">
        <v>29</v>
      </c>
      <c r="L413" s="81">
        <f t="shared" ref="L413:L476" si="187">K413*(1+$T$26)</f>
        <v>36.760403190000005</v>
      </c>
      <c r="M413" s="82">
        <f t="shared" si="182"/>
        <v>0</v>
      </c>
      <c r="N413" s="82">
        <f t="shared" si="183"/>
        <v>0</v>
      </c>
      <c r="O413" s="82">
        <f>N413+'BM 008'!O413</f>
        <v>0</v>
      </c>
      <c r="P413" s="80">
        <f t="shared" si="184"/>
        <v>58</v>
      </c>
      <c r="Q413" s="82">
        <f t="shared" si="185"/>
        <v>73.52</v>
      </c>
      <c r="R413" s="82">
        <f t="shared" si="186"/>
        <v>73.52</v>
      </c>
    </row>
    <row r="414" spans="2:18" s="34" customFormat="1" ht="46.2">
      <c r="B414" s="75" t="s">
        <v>816</v>
      </c>
      <c r="C414" s="76" t="s">
        <v>817</v>
      </c>
      <c r="D414" s="77" t="s">
        <v>131</v>
      </c>
      <c r="E414" s="93">
        <v>115</v>
      </c>
      <c r="F414" s="79"/>
      <c r="G414" s="79"/>
      <c r="H414" s="79"/>
      <c r="I414" s="79">
        <f>SUM(G414:H414)+'BM 008'!I414</f>
        <v>0</v>
      </c>
      <c r="J414" s="79">
        <f t="shared" si="169"/>
        <v>115</v>
      </c>
      <c r="K414" s="80">
        <v>9.2899999999999991</v>
      </c>
      <c r="L414" s="81">
        <f t="shared" si="187"/>
        <v>11.7760050219</v>
      </c>
      <c r="M414" s="82">
        <f t="shared" si="182"/>
        <v>0</v>
      </c>
      <c r="N414" s="82">
        <f t="shared" si="183"/>
        <v>0</v>
      </c>
      <c r="O414" s="82">
        <f>N414+'BM 008'!O414</f>
        <v>0</v>
      </c>
      <c r="P414" s="80">
        <f t="shared" si="184"/>
        <v>1068.3499999999999</v>
      </c>
      <c r="Q414" s="82">
        <f t="shared" si="185"/>
        <v>1354.24</v>
      </c>
      <c r="R414" s="82">
        <f t="shared" si="186"/>
        <v>1354.24</v>
      </c>
    </row>
    <row r="415" spans="2:18" s="34" customFormat="1" ht="46.2">
      <c r="B415" s="75" t="s">
        <v>818</v>
      </c>
      <c r="C415" s="76" t="s">
        <v>819</v>
      </c>
      <c r="D415" s="77" t="s">
        <v>131</v>
      </c>
      <c r="E415" s="93">
        <v>158</v>
      </c>
      <c r="F415" s="79"/>
      <c r="G415" s="79"/>
      <c r="H415" s="79"/>
      <c r="I415" s="79">
        <f>SUM(G415:H415)+'BM 008'!I415</f>
        <v>0</v>
      </c>
      <c r="J415" s="79">
        <f t="shared" ref="J415:J478" si="188">E415-I415</f>
        <v>158</v>
      </c>
      <c r="K415" s="80">
        <v>14.75</v>
      </c>
      <c r="L415" s="81">
        <f t="shared" si="187"/>
        <v>18.6971016225</v>
      </c>
      <c r="M415" s="82">
        <f t="shared" si="182"/>
        <v>0</v>
      </c>
      <c r="N415" s="82">
        <f t="shared" si="183"/>
        <v>0</v>
      </c>
      <c r="O415" s="82">
        <f>N415+'BM 008'!O415</f>
        <v>0</v>
      </c>
      <c r="P415" s="80">
        <f t="shared" si="184"/>
        <v>2330.5</v>
      </c>
      <c r="Q415" s="82">
        <f t="shared" si="185"/>
        <v>2954.14</v>
      </c>
      <c r="R415" s="82">
        <f t="shared" si="186"/>
        <v>2954.14</v>
      </c>
    </row>
    <row r="416" spans="2:18" s="34" customFormat="1" ht="46.2">
      <c r="B416" s="75" t="s">
        <v>820</v>
      </c>
      <c r="C416" s="76" t="s">
        <v>821</v>
      </c>
      <c r="D416" s="77" t="s">
        <v>131</v>
      </c>
      <c r="E416" s="93">
        <v>28</v>
      </c>
      <c r="F416" s="79"/>
      <c r="G416" s="79"/>
      <c r="H416" s="79"/>
      <c r="I416" s="79">
        <f>SUM(G416:H416)+'BM 008'!I416</f>
        <v>0</v>
      </c>
      <c r="J416" s="79">
        <f t="shared" si="188"/>
        <v>28</v>
      </c>
      <c r="K416" s="80">
        <v>29.5</v>
      </c>
      <c r="L416" s="81">
        <f t="shared" si="187"/>
        <v>37.394203245</v>
      </c>
      <c r="M416" s="82">
        <f t="shared" si="182"/>
        <v>0</v>
      </c>
      <c r="N416" s="82">
        <f t="shared" si="183"/>
        <v>0</v>
      </c>
      <c r="O416" s="82">
        <f>N416+'BM 008'!O416</f>
        <v>0</v>
      </c>
      <c r="P416" s="80">
        <f t="shared" si="184"/>
        <v>826</v>
      </c>
      <c r="Q416" s="82">
        <f t="shared" si="185"/>
        <v>1047.03</v>
      </c>
      <c r="R416" s="82">
        <f t="shared" si="186"/>
        <v>1047.03</v>
      </c>
    </row>
    <row r="417" spans="2:18" s="34" customFormat="1" ht="22.5" customHeight="1">
      <c r="B417" s="75" t="s">
        <v>822</v>
      </c>
      <c r="C417" s="76" t="s">
        <v>823</v>
      </c>
      <c r="D417" s="77" t="s">
        <v>131</v>
      </c>
      <c r="E417" s="93">
        <v>37</v>
      </c>
      <c r="F417" s="79"/>
      <c r="G417" s="79"/>
      <c r="H417" s="79"/>
      <c r="I417" s="79">
        <f>SUM(G417:H417)+'BM 008'!I417</f>
        <v>0</v>
      </c>
      <c r="J417" s="79">
        <f t="shared" si="188"/>
        <v>37</v>
      </c>
      <c r="K417" s="80">
        <v>34.119999999999997</v>
      </c>
      <c r="L417" s="81">
        <f t="shared" si="187"/>
        <v>43.250515753199998</v>
      </c>
      <c r="M417" s="82">
        <f t="shared" si="182"/>
        <v>0</v>
      </c>
      <c r="N417" s="82">
        <f t="shared" si="183"/>
        <v>0</v>
      </c>
      <c r="O417" s="82">
        <f>N417+'BM 008'!O417</f>
        <v>0</v>
      </c>
      <c r="P417" s="80">
        <f t="shared" si="184"/>
        <v>1262.4399999999998</v>
      </c>
      <c r="Q417" s="82">
        <f t="shared" si="185"/>
        <v>1600.26</v>
      </c>
      <c r="R417" s="82">
        <f t="shared" si="186"/>
        <v>1600.26</v>
      </c>
    </row>
    <row r="418" spans="2:18" s="34" customFormat="1" ht="34.799999999999997">
      <c r="B418" s="75" t="s">
        <v>824</v>
      </c>
      <c r="C418" s="76" t="s">
        <v>825</v>
      </c>
      <c r="D418" s="77" t="s">
        <v>131</v>
      </c>
      <c r="E418" s="93">
        <v>77</v>
      </c>
      <c r="F418" s="79"/>
      <c r="G418" s="79"/>
      <c r="H418" s="79"/>
      <c r="I418" s="79">
        <f>SUM(G418:H418)+'BM 008'!I418</f>
        <v>0</v>
      </c>
      <c r="J418" s="79">
        <f t="shared" si="188"/>
        <v>77</v>
      </c>
      <c r="K418" s="80">
        <v>42</v>
      </c>
      <c r="L418" s="81">
        <f t="shared" si="187"/>
        <v>53.239204620000002</v>
      </c>
      <c r="M418" s="82">
        <f t="shared" si="182"/>
        <v>0</v>
      </c>
      <c r="N418" s="82">
        <f t="shared" si="183"/>
        <v>0</v>
      </c>
      <c r="O418" s="82">
        <f>N418+'BM 008'!O418</f>
        <v>0</v>
      </c>
      <c r="P418" s="80">
        <f t="shared" si="184"/>
        <v>3234</v>
      </c>
      <c r="Q418" s="82">
        <f t="shared" si="185"/>
        <v>4099.41</v>
      </c>
      <c r="R418" s="82">
        <f t="shared" si="186"/>
        <v>4099.41</v>
      </c>
    </row>
    <row r="419" spans="2:18" s="34" customFormat="1" ht="34.799999999999997">
      <c r="B419" s="75" t="s">
        <v>826</v>
      </c>
      <c r="C419" s="76" t="s">
        <v>827</v>
      </c>
      <c r="D419" s="77" t="s">
        <v>131</v>
      </c>
      <c r="E419" s="93">
        <v>1</v>
      </c>
      <c r="F419" s="79"/>
      <c r="G419" s="79"/>
      <c r="H419" s="79"/>
      <c r="I419" s="79">
        <f>SUM(G419:H419)+'BM 008'!I419</f>
        <v>0</v>
      </c>
      <c r="J419" s="79">
        <f t="shared" si="188"/>
        <v>1</v>
      </c>
      <c r="K419" s="80">
        <v>88</v>
      </c>
      <c r="L419" s="81">
        <f t="shared" si="187"/>
        <v>111.54880968000001</v>
      </c>
      <c r="M419" s="82">
        <f t="shared" si="182"/>
        <v>0</v>
      </c>
      <c r="N419" s="82">
        <f t="shared" si="183"/>
        <v>0</v>
      </c>
      <c r="O419" s="82">
        <f>N419+'BM 008'!O419</f>
        <v>0</v>
      </c>
      <c r="P419" s="80">
        <f t="shared" si="184"/>
        <v>88</v>
      </c>
      <c r="Q419" s="82">
        <f t="shared" si="185"/>
        <v>111.54</v>
      </c>
      <c r="R419" s="82">
        <f t="shared" si="186"/>
        <v>111.54</v>
      </c>
    </row>
    <row r="420" spans="2:18" s="34" customFormat="1" ht="34.799999999999997">
      <c r="B420" s="75" t="s">
        <v>828</v>
      </c>
      <c r="C420" s="76" t="s">
        <v>829</v>
      </c>
      <c r="D420" s="77" t="s">
        <v>131</v>
      </c>
      <c r="E420" s="93">
        <v>4</v>
      </c>
      <c r="F420" s="79"/>
      <c r="G420" s="79"/>
      <c r="H420" s="79"/>
      <c r="I420" s="79">
        <f>SUM(G420:H420)+'BM 008'!I420</f>
        <v>0</v>
      </c>
      <c r="J420" s="79">
        <f t="shared" si="188"/>
        <v>4</v>
      </c>
      <c r="K420" s="80">
        <v>235</v>
      </c>
      <c r="L420" s="81">
        <f t="shared" si="187"/>
        <v>297.88602585000001</v>
      </c>
      <c r="M420" s="82">
        <f t="shared" si="182"/>
        <v>0</v>
      </c>
      <c r="N420" s="82">
        <f t="shared" si="183"/>
        <v>0</v>
      </c>
      <c r="O420" s="82">
        <f>N420+'BM 008'!O420</f>
        <v>0</v>
      </c>
      <c r="P420" s="80">
        <f t="shared" si="184"/>
        <v>940</v>
      </c>
      <c r="Q420" s="82">
        <f t="shared" si="185"/>
        <v>1191.54</v>
      </c>
      <c r="R420" s="82">
        <f t="shared" si="186"/>
        <v>1191.54</v>
      </c>
    </row>
    <row r="421" spans="2:18" s="34" customFormat="1" ht="57.6">
      <c r="B421" s="75" t="s">
        <v>830</v>
      </c>
      <c r="C421" s="76" t="s">
        <v>831</v>
      </c>
      <c r="D421" s="77" t="s">
        <v>131</v>
      </c>
      <c r="E421" s="93">
        <v>326</v>
      </c>
      <c r="F421" s="79"/>
      <c r="G421" s="79"/>
      <c r="H421" s="79"/>
      <c r="I421" s="79">
        <f>SUM(G421:H421)+'BM 008'!I421</f>
        <v>0</v>
      </c>
      <c r="J421" s="79">
        <f t="shared" si="188"/>
        <v>326</v>
      </c>
      <c r="K421" s="80">
        <v>9.08</v>
      </c>
      <c r="L421" s="81">
        <f t="shared" si="187"/>
        <v>11.509808998800001</v>
      </c>
      <c r="M421" s="82">
        <f t="shared" si="182"/>
        <v>0</v>
      </c>
      <c r="N421" s="82">
        <f t="shared" si="183"/>
        <v>0</v>
      </c>
      <c r="O421" s="82">
        <f>N421+'BM 008'!O421</f>
        <v>0</v>
      </c>
      <c r="P421" s="80">
        <f t="shared" si="184"/>
        <v>2960.08</v>
      </c>
      <c r="Q421" s="82">
        <f t="shared" si="185"/>
        <v>3752.19</v>
      </c>
      <c r="R421" s="82">
        <f t="shared" si="186"/>
        <v>3752.19</v>
      </c>
    </row>
    <row r="422" spans="2:18" s="34" customFormat="1" ht="46.2">
      <c r="B422" s="75" t="s">
        <v>832</v>
      </c>
      <c r="C422" s="76" t="s">
        <v>833</v>
      </c>
      <c r="D422" s="77" t="s">
        <v>131</v>
      </c>
      <c r="E422" s="93">
        <v>166</v>
      </c>
      <c r="F422" s="79"/>
      <c r="G422" s="79"/>
      <c r="H422" s="79"/>
      <c r="I422" s="79">
        <f>SUM(G422:H422)+'BM 008'!I422</f>
        <v>0</v>
      </c>
      <c r="J422" s="79">
        <f t="shared" si="188"/>
        <v>166</v>
      </c>
      <c r="K422" s="80">
        <v>9.4600000000000009</v>
      </c>
      <c r="L422" s="81">
        <f t="shared" si="187"/>
        <v>11.991497040600002</v>
      </c>
      <c r="M422" s="82">
        <f t="shared" si="182"/>
        <v>0</v>
      </c>
      <c r="N422" s="82">
        <f t="shared" si="183"/>
        <v>0</v>
      </c>
      <c r="O422" s="82">
        <f>N422+'BM 008'!O422</f>
        <v>0</v>
      </c>
      <c r="P422" s="80">
        <f t="shared" si="184"/>
        <v>1570.3600000000001</v>
      </c>
      <c r="Q422" s="82">
        <f t="shared" si="185"/>
        <v>1990.58</v>
      </c>
      <c r="R422" s="82">
        <f t="shared" si="186"/>
        <v>1990.58</v>
      </c>
    </row>
    <row r="423" spans="2:18" s="34" customFormat="1" ht="13.2">
      <c r="B423" s="75" t="s">
        <v>834</v>
      </c>
      <c r="C423" s="76" t="s">
        <v>747</v>
      </c>
      <c r="D423" s="77" t="s">
        <v>131</v>
      </c>
      <c r="E423" s="93">
        <v>96</v>
      </c>
      <c r="F423" s="79"/>
      <c r="G423" s="79"/>
      <c r="H423" s="79"/>
      <c r="I423" s="79">
        <f>SUM(G423:H423)+'BM 008'!I423</f>
        <v>0</v>
      </c>
      <c r="J423" s="79">
        <f t="shared" si="188"/>
        <v>96</v>
      </c>
      <c r="K423" s="80">
        <v>5.14</v>
      </c>
      <c r="L423" s="81">
        <f t="shared" si="187"/>
        <v>6.5154645654000003</v>
      </c>
      <c r="M423" s="82">
        <f t="shared" si="182"/>
        <v>0</v>
      </c>
      <c r="N423" s="82">
        <f t="shared" si="183"/>
        <v>0</v>
      </c>
      <c r="O423" s="82">
        <f>N423+'BM 008'!O423</f>
        <v>0</v>
      </c>
      <c r="P423" s="80">
        <f t="shared" si="184"/>
        <v>493.43999999999994</v>
      </c>
      <c r="Q423" s="82">
        <f t="shared" si="185"/>
        <v>625.48</v>
      </c>
      <c r="R423" s="82">
        <f t="shared" si="186"/>
        <v>625.48</v>
      </c>
    </row>
    <row r="424" spans="2:18" s="34" customFormat="1" ht="46.2">
      <c r="B424" s="75" t="s">
        <v>835</v>
      </c>
      <c r="C424" s="76" t="s">
        <v>836</v>
      </c>
      <c r="D424" s="77" t="s">
        <v>131</v>
      </c>
      <c r="E424" s="93">
        <v>26</v>
      </c>
      <c r="F424" s="79"/>
      <c r="G424" s="79"/>
      <c r="H424" s="79"/>
      <c r="I424" s="79">
        <f>SUM(G424:H424)+'BM 008'!I424</f>
        <v>0</v>
      </c>
      <c r="J424" s="79">
        <f t="shared" si="188"/>
        <v>26</v>
      </c>
      <c r="K424" s="80">
        <v>21.35</v>
      </c>
      <c r="L424" s="81">
        <f t="shared" si="187"/>
        <v>27.063262348500004</v>
      </c>
      <c r="M424" s="82">
        <f t="shared" si="182"/>
        <v>0</v>
      </c>
      <c r="N424" s="82">
        <f t="shared" si="183"/>
        <v>0</v>
      </c>
      <c r="O424" s="82">
        <f>N424+'BM 008'!O424</f>
        <v>0</v>
      </c>
      <c r="P424" s="80">
        <f t="shared" si="184"/>
        <v>555.1</v>
      </c>
      <c r="Q424" s="82">
        <f t="shared" si="185"/>
        <v>703.64</v>
      </c>
      <c r="R424" s="82">
        <f t="shared" si="186"/>
        <v>703.64</v>
      </c>
    </row>
    <row r="425" spans="2:18" s="34" customFormat="1" ht="46.2">
      <c r="B425" s="75" t="s">
        <v>837</v>
      </c>
      <c r="C425" s="76" t="s">
        <v>838</v>
      </c>
      <c r="D425" s="77" t="s">
        <v>131</v>
      </c>
      <c r="E425" s="93">
        <v>86</v>
      </c>
      <c r="F425" s="79"/>
      <c r="G425" s="79"/>
      <c r="H425" s="79"/>
      <c r="I425" s="79">
        <f>SUM(G425:H425)+'BM 008'!I425</f>
        <v>0</v>
      </c>
      <c r="J425" s="79">
        <f t="shared" si="188"/>
        <v>86</v>
      </c>
      <c r="K425" s="80">
        <v>25.91</v>
      </c>
      <c r="L425" s="81">
        <f t="shared" si="187"/>
        <v>32.843518850100004</v>
      </c>
      <c r="M425" s="82">
        <f t="shared" si="182"/>
        <v>0</v>
      </c>
      <c r="N425" s="82">
        <f t="shared" si="183"/>
        <v>0</v>
      </c>
      <c r="O425" s="82">
        <f>N425+'BM 008'!O425</f>
        <v>0</v>
      </c>
      <c r="P425" s="80">
        <f t="shared" si="184"/>
        <v>2228.2600000000002</v>
      </c>
      <c r="Q425" s="82">
        <f t="shared" si="185"/>
        <v>2824.54</v>
      </c>
      <c r="R425" s="82">
        <f t="shared" si="186"/>
        <v>2824.54</v>
      </c>
    </row>
    <row r="426" spans="2:18" s="34" customFormat="1" ht="34.799999999999997">
      <c r="B426" s="75" t="s">
        <v>839</v>
      </c>
      <c r="C426" s="76" t="s">
        <v>840</v>
      </c>
      <c r="D426" s="77" t="s">
        <v>131</v>
      </c>
      <c r="E426" s="93">
        <v>19</v>
      </c>
      <c r="F426" s="79"/>
      <c r="G426" s="79"/>
      <c r="H426" s="79"/>
      <c r="I426" s="79">
        <f>SUM(G426:H426)+'BM 008'!I426</f>
        <v>0</v>
      </c>
      <c r="J426" s="79">
        <f t="shared" si="188"/>
        <v>19</v>
      </c>
      <c r="K426" s="80">
        <v>100.92</v>
      </c>
      <c r="L426" s="81">
        <f t="shared" si="187"/>
        <v>127.9262031012</v>
      </c>
      <c r="M426" s="82">
        <f t="shared" si="182"/>
        <v>0</v>
      </c>
      <c r="N426" s="82">
        <f t="shared" si="183"/>
        <v>0</v>
      </c>
      <c r="O426" s="82">
        <f>N426+'BM 008'!O426</f>
        <v>0</v>
      </c>
      <c r="P426" s="80">
        <f t="shared" si="184"/>
        <v>1917.48</v>
      </c>
      <c r="Q426" s="82">
        <f t="shared" si="185"/>
        <v>2430.59</v>
      </c>
      <c r="R426" s="82">
        <f t="shared" si="186"/>
        <v>2430.59</v>
      </c>
    </row>
    <row r="427" spans="2:18" s="34" customFormat="1" ht="34.799999999999997">
      <c r="B427" s="75" t="s">
        <v>841</v>
      </c>
      <c r="C427" s="76" t="s">
        <v>842</v>
      </c>
      <c r="D427" s="77" t="s">
        <v>131</v>
      </c>
      <c r="E427" s="93">
        <v>1</v>
      </c>
      <c r="F427" s="79"/>
      <c r="G427" s="79"/>
      <c r="H427" s="79"/>
      <c r="I427" s="79">
        <f>SUM(G427:H427)+'BM 008'!I427</f>
        <v>0</v>
      </c>
      <c r="J427" s="79">
        <f t="shared" si="188"/>
        <v>1</v>
      </c>
      <c r="K427" s="80">
        <v>135</v>
      </c>
      <c r="L427" s="81">
        <f t="shared" si="187"/>
        <v>171.12601485000002</v>
      </c>
      <c r="M427" s="82">
        <f t="shared" si="182"/>
        <v>0</v>
      </c>
      <c r="N427" s="82">
        <f t="shared" si="183"/>
        <v>0</v>
      </c>
      <c r="O427" s="82">
        <f>N427+'BM 008'!O427</f>
        <v>0</v>
      </c>
      <c r="P427" s="80">
        <f t="shared" si="184"/>
        <v>135</v>
      </c>
      <c r="Q427" s="82">
        <f t="shared" si="185"/>
        <v>171.12</v>
      </c>
      <c r="R427" s="82">
        <f t="shared" si="186"/>
        <v>171.12</v>
      </c>
    </row>
    <row r="428" spans="2:18" s="34" customFormat="1" ht="46.2">
      <c r="B428" s="75" t="s">
        <v>843</v>
      </c>
      <c r="C428" s="76" t="s">
        <v>844</v>
      </c>
      <c r="D428" s="77" t="s">
        <v>131</v>
      </c>
      <c r="E428" s="93">
        <v>38</v>
      </c>
      <c r="F428" s="79"/>
      <c r="G428" s="79"/>
      <c r="H428" s="79"/>
      <c r="I428" s="79">
        <f>SUM(G428:H428)+'BM 008'!I428</f>
        <v>0</v>
      </c>
      <c r="J428" s="79">
        <f t="shared" si="188"/>
        <v>38</v>
      </c>
      <c r="K428" s="80">
        <v>9.08</v>
      </c>
      <c r="L428" s="81">
        <f t="shared" si="187"/>
        <v>11.509808998800001</v>
      </c>
      <c r="M428" s="82">
        <f t="shared" si="182"/>
        <v>0</v>
      </c>
      <c r="N428" s="82">
        <f t="shared" si="183"/>
        <v>0</v>
      </c>
      <c r="O428" s="82">
        <f>N428+'BM 008'!O428</f>
        <v>0</v>
      </c>
      <c r="P428" s="80">
        <f t="shared" si="184"/>
        <v>345.04</v>
      </c>
      <c r="Q428" s="82">
        <f t="shared" si="185"/>
        <v>437.37</v>
      </c>
      <c r="R428" s="82">
        <f t="shared" si="186"/>
        <v>437.37</v>
      </c>
    </row>
    <row r="429" spans="2:18" s="34" customFormat="1" ht="46.2">
      <c r="B429" s="75" t="s">
        <v>845</v>
      </c>
      <c r="C429" s="76" t="s">
        <v>846</v>
      </c>
      <c r="D429" s="77" t="s">
        <v>131</v>
      </c>
      <c r="E429" s="93">
        <v>38</v>
      </c>
      <c r="F429" s="79"/>
      <c r="G429" s="79"/>
      <c r="H429" s="79"/>
      <c r="I429" s="79">
        <f>SUM(G429:H429)+'BM 008'!I429</f>
        <v>0</v>
      </c>
      <c r="J429" s="79">
        <f t="shared" si="188"/>
        <v>38</v>
      </c>
      <c r="K429" s="80">
        <v>25.03</v>
      </c>
      <c r="L429" s="81">
        <f t="shared" si="187"/>
        <v>31.728030753300004</v>
      </c>
      <c r="M429" s="82">
        <f t="shared" si="182"/>
        <v>0</v>
      </c>
      <c r="N429" s="82">
        <f t="shared" si="183"/>
        <v>0</v>
      </c>
      <c r="O429" s="82">
        <f>N429+'BM 008'!O429</f>
        <v>0</v>
      </c>
      <c r="P429" s="80">
        <f t="shared" si="184"/>
        <v>951.1400000000001</v>
      </c>
      <c r="Q429" s="82">
        <f t="shared" si="185"/>
        <v>1205.6600000000001</v>
      </c>
      <c r="R429" s="82">
        <f t="shared" si="186"/>
        <v>1205.6600000000001</v>
      </c>
    </row>
    <row r="430" spans="2:18" s="34" customFormat="1" ht="46.2">
      <c r="B430" s="75" t="s">
        <v>847</v>
      </c>
      <c r="C430" s="76" t="s">
        <v>848</v>
      </c>
      <c r="D430" s="77" t="s">
        <v>131</v>
      </c>
      <c r="E430" s="93">
        <v>9</v>
      </c>
      <c r="F430" s="79"/>
      <c r="G430" s="79"/>
      <c r="H430" s="79"/>
      <c r="I430" s="79">
        <f>SUM(G430:H430)+'BM 008'!I430</f>
        <v>0</v>
      </c>
      <c r="J430" s="79">
        <f t="shared" si="188"/>
        <v>9</v>
      </c>
      <c r="K430" s="80">
        <v>38.549999999999997</v>
      </c>
      <c r="L430" s="81">
        <f t="shared" si="187"/>
        <v>48.865984240499998</v>
      </c>
      <c r="M430" s="82">
        <f t="shared" si="182"/>
        <v>0</v>
      </c>
      <c r="N430" s="82">
        <f t="shared" si="183"/>
        <v>0</v>
      </c>
      <c r="O430" s="82">
        <f>N430+'BM 008'!O430</f>
        <v>0</v>
      </c>
      <c r="P430" s="80">
        <f t="shared" si="184"/>
        <v>346.95</v>
      </c>
      <c r="Q430" s="82">
        <f t="shared" si="185"/>
        <v>439.79</v>
      </c>
      <c r="R430" s="82">
        <f t="shared" si="186"/>
        <v>439.79</v>
      </c>
    </row>
    <row r="431" spans="2:18" s="34" customFormat="1" ht="57.6">
      <c r="B431" s="75" t="s">
        <v>849</v>
      </c>
      <c r="C431" s="76" t="s">
        <v>850</v>
      </c>
      <c r="D431" s="77" t="s">
        <v>131</v>
      </c>
      <c r="E431" s="93">
        <v>24</v>
      </c>
      <c r="F431" s="79"/>
      <c r="G431" s="79"/>
      <c r="H431" s="79"/>
      <c r="I431" s="79">
        <f>SUM(G431:H431)+'BM 008'!I431</f>
        <v>0</v>
      </c>
      <c r="J431" s="79">
        <f t="shared" si="188"/>
        <v>24</v>
      </c>
      <c r="K431" s="80">
        <v>48.29</v>
      </c>
      <c r="L431" s="81">
        <f t="shared" si="187"/>
        <v>61.212409311900004</v>
      </c>
      <c r="M431" s="82">
        <f t="shared" si="182"/>
        <v>0</v>
      </c>
      <c r="N431" s="82">
        <f t="shared" si="183"/>
        <v>0</v>
      </c>
      <c r="O431" s="82">
        <f>N431+'BM 008'!O431</f>
        <v>0</v>
      </c>
      <c r="P431" s="80">
        <f t="shared" si="184"/>
        <v>1158.96</v>
      </c>
      <c r="Q431" s="82">
        <f t="shared" si="185"/>
        <v>1469.09</v>
      </c>
      <c r="R431" s="82">
        <f t="shared" si="186"/>
        <v>1469.09</v>
      </c>
    </row>
    <row r="432" spans="2:18" s="34" customFormat="1" ht="23.4">
      <c r="B432" s="75" t="s">
        <v>851</v>
      </c>
      <c r="C432" s="76" t="s">
        <v>852</v>
      </c>
      <c r="D432" s="77" t="s">
        <v>131</v>
      </c>
      <c r="E432" s="93">
        <v>64</v>
      </c>
      <c r="F432" s="79"/>
      <c r="G432" s="79"/>
      <c r="H432" s="79"/>
      <c r="I432" s="79">
        <f>SUM(G432:H432)+'BM 008'!I432</f>
        <v>0</v>
      </c>
      <c r="J432" s="79">
        <f t="shared" si="188"/>
        <v>64</v>
      </c>
      <c r="K432" s="80">
        <v>28.98</v>
      </c>
      <c r="L432" s="81">
        <f t="shared" si="187"/>
        <v>36.735051187800003</v>
      </c>
      <c r="M432" s="82">
        <f t="shared" si="182"/>
        <v>0</v>
      </c>
      <c r="N432" s="82">
        <f t="shared" si="183"/>
        <v>0</v>
      </c>
      <c r="O432" s="82">
        <f>N432+'BM 008'!O432</f>
        <v>0</v>
      </c>
      <c r="P432" s="80">
        <f t="shared" si="184"/>
        <v>1854.72</v>
      </c>
      <c r="Q432" s="82">
        <f t="shared" si="185"/>
        <v>2351.04</v>
      </c>
      <c r="R432" s="82">
        <f t="shared" si="186"/>
        <v>2351.04</v>
      </c>
    </row>
    <row r="433" spans="2:18" s="34" customFormat="1" ht="23.4">
      <c r="B433" s="75" t="s">
        <v>853</v>
      </c>
      <c r="C433" s="76" t="s">
        <v>854</v>
      </c>
      <c r="D433" s="77" t="s">
        <v>131</v>
      </c>
      <c r="E433" s="93">
        <v>69</v>
      </c>
      <c r="F433" s="79"/>
      <c r="G433" s="79"/>
      <c r="H433" s="79"/>
      <c r="I433" s="79">
        <f>SUM(G433:H433)+'BM 008'!I433</f>
        <v>0</v>
      </c>
      <c r="J433" s="79">
        <f t="shared" si="188"/>
        <v>69</v>
      </c>
      <c r="K433" s="80">
        <v>44.64</v>
      </c>
      <c r="L433" s="81">
        <f t="shared" si="187"/>
        <v>56.585668910400003</v>
      </c>
      <c r="M433" s="82">
        <f t="shared" si="182"/>
        <v>0</v>
      </c>
      <c r="N433" s="82">
        <f t="shared" si="183"/>
        <v>0</v>
      </c>
      <c r="O433" s="82">
        <f>N433+'BM 008'!O433</f>
        <v>0</v>
      </c>
      <c r="P433" s="80">
        <f t="shared" si="184"/>
        <v>3080.16</v>
      </c>
      <c r="Q433" s="82">
        <f t="shared" si="185"/>
        <v>3904.41</v>
      </c>
      <c r="R433" s="82">
        <f t="shared" si="186"/>
        <v>3904.41</v>
      </c>
    </row>
    <row r="434" spans="2:18" s="34" customFormat="1" ht="23.4">
      <c r="B434" s="75" t="s">
        <v>855</v>
      </c>
      <c r="C434" s="76" t="s">
        <v>856</v>
      </c>
      <c r="D434" s="77" t="s">
        <v>131</v>
      </c>
      <c r="E434" s="93">
        <v>1</v>
      </c>
      <c r="F434" s="79"/>
      <c r="G434" s="79"/>
      <c r="H434" s="79"/>
      <c r="I434" s="79">
        <f>SUM(G434:H434)+'BM 008'!I434</f>
        <v>0</v>
      </c>
      <c r="J434" s="79">
        <f t="shared" si="188"/>
        <v>1</v>
      </c>
      <c r="K434" s="80">
        <v>51.15</v>
      </c>
      <c r="L434" s="81">
        <f t="shared" si="187"/>
        <v>64.837745626499995</v>
      </c>
      <c r="M434" s="82">
        <f t="shared" si="182"/>
        <v>0</v>
      </c>
      <c r="N434" s="82">
        <f t="shared" si="183"/>
        <v>0</v>
      </c>
      <c r="O434" s="82">
        <f>N434+'BM 008'!O434</f>
        <v>0</v>
      </c>
      <c r="P434" s="80">
        <f t="shared" si="184"/>
        <v>51.15</v>
      </c>
      <c r="Q434" s="82">
        <f t="shared" si="185"/>
        <v>64.83</v>
      </c>
      <c r="R434" s="82">
        <f t="shared" si="186"/>
        <v>64.83</v>
      </c>
    </row>
    <row r="435" spans="2:18" s="34" customFormat="1" ht="23.4">
      <c r="B435" s="75" t="s">
        <v>857</v>
      </c>
      <c r="C435" s="76" t="s">
        <v>858</v>
      </c>
      <c r="D435" s="77" t="s">
        <v>131</v>
      </c>
      <c r="E435" s="93">
        <v>52</v>
      </c>
      <c r="F435" s="79"/>
      <c r="G435" s="79"/>
      <c r="H435" s="79"/>
      <c r="I435" s="79">
        <f>SUM(G435:H435)+'BM 008'!I435</f>
        <v>0</v>
      </c>
      <c r="J435" s="79">
        <f t="shared" si="188"/>
        <v>52</v>
      </c>
      <c r="K435" s="80">
        <v>140</v>
      </c>
      <c r="L435" s="81">
        <f t="shared" si="187"/>
        <v>177.46401539999999</v>
      </c>
      <c r="M435" s="82">
        <f t="shared" si="182"/>
        <v>0</v>
      </c>
      <c r="N435" s="82">
        <f t="shared" si="183"/>
        <v>0</v>
      </c>
      <c r="O435" s="82">
        <f>N435+'BM 008'!O435</f>
        <v>0</v>
      </c>
      <c r="P435" s="80">
        <f t="shared" si="184"/>
        <v>7280</v>
      </c>
      <c r="Q435" s="82">
        <f t="shared" si="185"/>
        <v>9228.1200000000008</v>
      </c>
      <c r="R435" s="82">
        <f t="shared" si="186"/>
        <v>9228.1200000000008</v>
      </c>
    </row>
    <row r="436" spans="2:18" s="34" customFormat="1" ht="34.799999999999997">
      <c r="B436" s="75" t="s">
        <v>859</v>
      </c>
      <c r="C436" s="76" t="s">
        <v>860</v>
      </c>
      <c r="D436" s="77" t="s">
        <v>131</v>
      </c>
      <c r="E436" s="93">
        <v>68</v>
      </c>
      <c r="F436" s="79"/>
      <c r="G436" s="79"/>
      <c r="H436" s="79"/>
      <c r="I436" s="79">
        <f>SUM(G436:H436)+'BM 008'!I436</f>
        <v>0</v>
      </c>
      <c r="J436" s="79">
        <f t="shared" si="188"/>
        <v>68</v>
      </c>
      <c r="K436" s="80">
        <v>80</v>
      </c>
      <c r="L436" s="81">
        <f t="shared" si="187"/>
        <v>101.4080088</v>
      </c>
      <c r="M436" s="82">
        <f t="shared" si="182"/>
        <v>0</v>
      </c>
      <c r="N436" s="82">
        <f t="shared" si="183"/>
        <v>0</v>
      </c>
      <c r="O436" s="82">
        <f>N436+'BM 008'!O436</f>
        <v>0</v>
      </c>
      <c r="P436" s="80">
        <f t="shared" si="184"/>
        <v>5440</v>
      </c>
      <c r="Q436" s="82">
        <f t="shared" si="185"/>
        <v>6895.74</v>
      </c>
      <c r="R436" s="82">
        <f t="shared" si="186"/>
        <v>6895.74</v>
      </c>
    </row>
    <row r="437" spans="2:18" s="34" customFormat="1" ht="23.4">
      <c r="B437" s="75" t="s">
        <v>861</v>
      </c>
      <c r="C437" s="76" t="s">
        <v>862</v>
      </c>
      <c r="D437" s="77" t="s">
        <v>131</v>
      </c>
      <c r="E437" s="93">
        <v>10</v>
      </c>
      <c r="F437" s="79"/>
      <c r="G437" s="79"/>
      <c r="H437" s="79"/>
      <c r="I437" s="79">
        <f>SUM(G437:H437)+'BM 008'!I437</f>
        <v>0</v>
      </c>
      <c r="J437" s="79">
        <f t="shared" si="188"/>
        <v>10</v>
      </c>
      <c r="K437" s="80">
        <v>18.14</v>
      </c>
      <c r="L437" s="81">
        <f t="shared" si="187"/>
        <v>22.994265995400003</v>
      </c>
      <c r="M437" s="82">
        <f t="shared" si="182"/>
        <v>0</v>
      </c>
      <c r="N437" s="82">
        <f t="shared" si="183"/>
        <v>0</v>
      </c>
      <c r="O437" s="82">
        <f>N437+'BM 008'!O437</f>
        <v>0</v>
      </c>
      <c r="P437" s="80">
        <f t="shared" si="184"/>
        <v>181.4</v>
      </c>
      <c r="Q437" s="82">
        <f t="shared" si="185"/>
        <v>229.94</v>
      </c>
      <c r="R437" s="82">
        <f t="shared" si="186"/>
        <v>229.94</v>
      </c>
    </row>
    <row r="438" spans="2:18" s="34" customFormat="1" ht="23.4">
      <c r="B438" s="75" t="s">
        <v>863</v>
      </c>
      <c r="C438" s="76" t="s">
        <v>864</v>
      </c>
      <c r="D438" s="77" t="s">
        <v>131</v>
      </c>
      <c r="E438" s="93">
        <v>54</v>
      </c>
      <c r="F438" s="79"/>
      <c r="G438" s="79"/>
      <c r="H438" s="79"/>
      <c r="I438" s="79">
        <f>SUM(G438:H438)+'BM 008'!I438</f>
        <v>0</v>
      </c>
      <c r="J438" s="79">
        <f t="shared" si="188"/>
        <v>54</v>
      </c>
      <c r="K438" s="80">
        <v>21.55</v>
      </c>
      <c r="L438" s="81">
        <f t="shared" si="187"/>
        <v>27.316782370500004</v>
      </c>
      <c r="M438" s="82">
        <f t="shared" si="182"/>
        <v>0</v>
      </c>
      <c r="N438" s="82">
        <f t="shared" si="183"/>
        <v>0</v>
      </c>
      <c r="O438" s="82">
        <f>N438+'BM 008'!O438</f>
        <v>0</v>
      </c>
      <c r="P438" s="80">
        <f t="shared" si="184"/>
        <v>1163.7</v>
      </c>
      <c r="Q438" s="82">
        <f t="shared" si="185"/>
        <v>1475.1</v>
      </c>
      <c r="R438" s="82">
        <f t="shared" si="186"/>
        <v>1475.1</v>
      </c>
    </row>
    <row r="439" spans="2:18" s="34" customFormat="1" ht="23.4">
      <c r="B439" s="75" t="s">
        <v>865</v>
      </c>
      <c r="C439" s="76" t="s">
        <v>866</v>
      </c>
      <c r="D439" s="77" t="s">
        <v>131</v>
      </c>
      <c r="E439" s="93">
        <v>7</v>
      </c>
      <c r="F439" s="79"/>
      <c r="G439" s="79"/>
      <c r="H439" s="79"/>
      <c r="I439" s="79">
        <f>SUM(G439:H439)+'BM 008'!I439</f>
        <v>0</v>
      </c>
      <c r="J439" s="79">
        <f t="shared" si="188"/>
        <v>7</v>
      </c>
      <c r="K439" s="80">
        <v>22.95</v>
      </c>
      <c r="L439" s="81">
        <f t="shared" si="187"/>
        <v>29.0914225245</v>
      </c>
      <c r="M439" s="82">
        <f t="shared" ref="M439:M470" si="189">TRUNC(F439*L439,2)</f>
        <v>0</v>
      </c>
      <c r="N439" s="82">
        <f t="shared" ref="N439:N473" si="190">TRUNC(G439*L439,2)</f>
        <v>0</v>
      </c>
      <c r="O439" s="82">
        <f>N439+'BM 008'!O439</f>
        <v>0</v>
      </c>
      <c r="P439" s="80">
        <f t="shared" ref="P439:P464" si="191">E439*K439</f>
        <v>160.65</v>
      </c>
      <c r="Q439" s="82">
        <f t="shared" ref="Q439:Q473" si="192">TRUNC(E439*L439,2)</f>
        <v>203.63</v>
      </c>
      <c r="R439" s="82">
        <f t="shared" ref="R439:R470" si="193">Q439-O439</f>
        <v>203.63</v>
      </c>
    </row>
    <row r="440" spans="2:18" s="34" customFormat="1" ht="23.4">
      <c r="B440" s="75" t="s">
        <v>867</v>
      </c>
      <c r="C440" s="76" t="s">
        <v>868</v>
      </c>
      <c r="D440" s="77" t="s">
        <v>131</v>
      </c>
      <c r="E440" s="93">
        <v>48</v>
      </c>
      <c r="F440" s="79"/>
      <c r="G440" s="79"/>
      <c r="H440" s="79"/>
      <c r="I440" s="79">
        <f>SUM(G440:H440)+'BM 008'!I440</f>
        <v>0</v>
      </c>
      <c r="J440" s="79">
        <f t="shared" si="188"/>
        <v>48</v>
      </c>
      <c r="K440" s="80">
        <v>49</v>
      </c>
      <c r="L440" s="81">
        <f t="shared" si="187"/>
        <v>62.112405390000006</v>
      </c>
      <c r="M440" s="82">
        <f t="shared" si="189"/>
        <v>0</v>
      </c>
      <c r="N440" s="82">
        <f t="shared" si="190"/>
        <v>0</v>
      </c>
      <c r="O440" s="82">
        <f>N440+'BM 008'!O440</f>
        <v>0</v>
      </c>
      <c r="P440" s="80">
        <f t="shared" si="191"/>
        <v>2352</v>
      </c>
      <c r="Q440" s="82">
        <f t="shared" si="192"/>
        <v>2981.39</v>
      </c>
      <c r="R440" s="82">
        <f t="shared" si="193"/>
        <v>2981.39</v>
      </c>
    </row>
    <row r="441" spans="2:18" s="34" customFormat="1" ht="23.4">
      <c r="B441" s="75" t="s">
        <v>869</v>
      </c>
      <c r="C441" s="76" t="s">
        <v>870</v>
      </c>
      <c r="D441" s="77" t="s">
        <v>131</v>
      </c>
      <c r="E441" s="93">
        <v>1</v>
      </c>
      <c r="F441" s="79"/>
      <c r="G441" s="79"/>
      <c r="H441" s="79"/>
      <c r="I441" s="79">
        <f>SUM(G441:H441)+'BM 008'!I441</f>
        <v>0</v>
      </c>
      <c r="J441" s="79">
        <f t="shared" si="188"/>
        <v>1</v>
      </c>
      <c r="K441" s="80">
        <v>37.4</v>
      </c>
      <c r="L441" s="81">
        <f t="shared" si="187"/>
        <v>47.408244113999999</v>
      </c>
      <c r="M441" s="82">
        <f t="shared" si="189"/>
        <v>0</v>
      </c>
      <c r="N441" s="82">
        <f t="shared" si="190"/>
        <v>0</v>
      </c>
      <c r="O441" s="82">
        <f>N441+'BM 008'!O441</f>
        <v>0</v>
      </c>
      <c r="P441" s="80">
        <f t="shared" si="191"/>
        <v>37.4</v>
      </c>
      <c r="Q441" s="82">
        <f t="shared" si="192"/>
        <v>47.4</v>
      </c>
      <c r="R441" s="82">
        <f t="shared" si="193"/>
        <v>47.4</v>
      </c>
    </row>
    <row r="442" spans="2:18" s="34" customFormat="1" ht="23.4">
      <c r="B442" s="75" t="s">
        <v>871</v>
      </c>
      <c r="C442" s="76" t="s">
        <v>872</v>
      </c>
      <c r="D442" s="77" t="s">
        <v>131</v>
      </c>
      <c r="E442" s="93">
        <v>2</v>
      </c>
      <c r="F442" s="79"/>
      <c r="G442" s="79"/>
      <c r="H442" s="79"/>
      <c r="I442" s="79">
        <f>SUM(G442:H442)+'BM 008'!I442</f>
        <v>0</v>
      </c>
      <c r="J442" s="79">
        <f t="shared" si="188"/>
        <v>2</v>
      </c>
      <c r="K442" s="80">
        <v>78.239999999999995</v>
      </c>
      <c r="L442" s="81">
        <f t="shared" si="187"/>
        <v>99.177032606400005</v>
      </c>
      <c r="M442" s="82">
        <f t="shared" si="189"/>
        <v>0</v>
      </c>
      <c r="N442" s="82">
        <f t="shared" si="190"/>
        <v>0</v>
      </c>
      <c r="O442" s="82">
        <f>N442+'BM 008'!O442</f>
        <v>0</v>
      </c>
      <c r="P442" s="80">
        <f t="shared" si="191"/>
        <v>156.47999999999999</v>
      </c>
      <c r="Q442" s="82">
        <f t="shared" si="192"/>
        <v>198.35</v>
      </c>
      <c r="R442" s="82">
        <f t="shared" si="193"/>
        <v>198.35</v>
      </c>
    </row>
    <row r="443" spans="2:18" s="34" customFormat="1" ht="23.4">
      <c r="B443" s="75" t="s">
        <v>873</v>
      </c>
      <c r="C443" s="76" t="s">
        <v>874</v>
      </c>
      <c r="D443" s="77" t="s">
        <v>131</v>
      </c>
      <c r="E443" s="93">
        <v>1</v>
      </c>
      <c r="F443" s="79"/>
      <c r="G443" s="79"/>
      <c r="H443" s="79"/>
      <c r="I443" s="79">
        <f>SUM(G443:H443)+'BM 008'!I443</f>
        <v>0</v>
      </c>
      <c r="J443" s="79">
        <f t="shared" si="188"/>
        <v>1</v>
      </c>
      <c r="K443" s="80">
        <v>155</v>
      </c>
      <c r="L443" s="81">
        <f t="shared" si="187"/>
        <v>196.47801705000001</v>
      </c>
      <c r="M443" s="82">
        <f t="shared" si="189"/>
        <v>0</v>
      </c>
      <c r="N443" s="82">
        <f t="shared" si="190"/>
        <v>0</v>
      </c>
      <c r="O443" s="82">
        <f>N443+'BM 008'!O443</f>
        <v>0</v>
      </c>
      <c r="P443" s="80">
        <f t="shared" si="191"/>
        <v>155</v>
      </c>
      <c r="Q443" s="82">
        <f t="shared" si="192"/>
        <v>196.47</v>
      </c>
      <c r="R443" s="82">
        <f t="shared" si="193"/>
        <v>196.47</v>
      </c>
    </row>
    <row r="444" spans="2:18" s="34" customFormat="1" ht="23.4">
      <c r="B444" s="75" t="s">
        <v>875</v>
      </c>
      <c r="C444" s="76" t="s">
        <v>876</v>
      </c>
      <c r="D444" s="77" t="s">
        <v>131</v>
      </c>
      <c r="E444" s="93">
        <v>17</v>
      </c>
      <c r="F444" s="79"/>
      <c r="G444" s="79"/>
      <c r="H444" s="79"/>
      <c r="I444" s="79">
        <f>SUM(G444:H444)+'BM 008'!I444</f>
        <v>0</v>
      </c>
      <c r="J444" s="79">
        <f t="shared" si="188"/>
        <v>17</v>
      </c>
      <c r="K444" s="80">
        <v>8.85</v>
      </c>
      <c r="L444" s="81">
        <f t="shared" si="187"/>
        <v>11.2182609735</v>
      </c>
      <c r="M444" s="82">
        <f t="shared" si="189"/>
        <v>0</v>
      </c>
      <c r="N444" s="82">
        <f t="shared" si="190"/>
        <v>0</v>
      </c>
      <c r="O444" s="82">
        <f>N444+'BM 008'!O444</f>
        <v>0</v>
      </c>
      <c r="P444" s="80">
        <f t="shared" si="191"/>
        <v>150.44999999999999</v>
      </c>
      <c r="Q444" s="82">
        <f t="shared" si="192"/>
        <v>190.71</v>
      </c>
      <c r="R444" s="82">
        <f t="shared" si="193"/>
        <v>190.71</v>
      </c>
    </row>
    <row r="445" spans="2:18" s="34" customFormat="1" ht="34.799999999999997">
      <c r="B445" s="75" t="s">
        <v>877</v>
      </c>
      <c r="C445" s="76" t="s">
        <v>878</v>
      </c>
      <c r="D445" s="77" t="s">
        <v>131</v>
      </c>
      <c r="E445" s="93">
        <v>3</v>
      </c>
      <c r="F445" s="79"/>
      <c r="G445" s="79"/>
      <c r="H445" s="79"/>
      <c r="I445" s="79">
        <f>SUM(G445:H445)+'BM 008'!I445</f>
        <v>0</v>
      </c>
      <c r="J445" s="79">
        <f t="shared" si="188"/>
        <v>3</v>
      </c>
      <c r="K445" s="80">
        <v>7.63</v>
      </c>
      <c r="L445" s="81">
        <f t="shared" si="187"/>
        <v>9.6717888392999996</v>
      </c>
      <c r="M445" s="82">
        <f t="shared" si="189"/>
        <v>0</v>
      </c>
      <c r="N445" s="82">
        <f t="shared" si="190"/>
        <v>0</v>
      </c>
      <c r="O445" s="82">
        <f>N445+'BM 008'!O445</f>
        <v>0</v>
      </c>
      <c r="P445" s="80">
        <f t="shared" si="191"/>
        <v>22.89</v>
      </c>
      <c r="Q445" s="82">
        <f t="shared" si="192"/>
        <v>29.01</v>
      </c>
      <c r="R445" s="82">
        <f t="shared" si="193"/>
        <v>29.01</v>
      </c>
    </row>
    <row r="446" spans="2:18" s="34" customFormat="1" ht="23.4">
      <c r="B446" s="75" t="s">
        <v>879</v>
      </c>
      <c r="C446" s="88" t="s">
        <v>711</v>
      </c>
      <c r="D446" s="89" t="s">
        <v>131</v>
      </c>
      <c r="E446" s="90">
        <v>82</v>
      </c>
      <c r="F446" s="91"/>
      <c r="G446" s="91"/>
      <c r="H446" s="91"/>
      <c r="I446" s="91">
        <f>SUM(G446:H446)+'BM 008'!I446</f>
        <v>0</v>
      </c>
      <c r="J446" s="91">
        <f t="shared" si="188"/>
        <v>82</v>
      </c>
      <c r="K446" s="80">
        <v>14.54</v>
      </c>
      <c r="L446" s="81">
        <f t="shared" si="187"/>
        <v>18.430905599399999</v>
      </c>
      <c r="M446" s="82">
        <f t="shared" si="189"/>
        <v>0</v>
      </c>
      <c r="N446" s="82">
        <f t="shared" si="190"/>
        <v>0</v>
      </c>
      <c r="O446" s="82">
        <f>N446+'BM 008'!O446</f>
        <v>0</v>
      </c>
      <c r="P446" s="80">
        <f t="shared" si="191"/>
        <v>1192.28</v>
      </c>
      <c r="Q446" s="82">
        <f t="shared" si="192"/>
        <v>1511.33</v>
      </c>
      <c r="R446" s="82">
        <f t="shared" si="193"/>
        <v>1511.33</v>
      </c>
    </row>
    <row r="447" spans="2:18" s="34" customFormat="1" ht="23.4">
      <c r="B447" s="75" t="s">
        <v>880</v>
      </c>
      <c r="C447" s="76" t="s">
        <v>881</v>
      </c>
      <c r="D447" s="77" t="s">
        <v>131</v>
      </c>
      <c r="E447" s="93">
        <v>5</v>
      </c>
      <c r="F447" s="79"/>
      <c r="G447" s="79"/>
      <c r="H447" s="79"/>
      <c r="I447" s="79">
        <f>SUM(G447:H447)+'BM 008'!I447</f>
        <v>0</v>
      </c>
      <c r="J447" s="79">
        <f t="shared" si="188"/>
        <v>5</v>
      </c>
      <c r="K447" s="80">
        <v>19.91</v>
      </c>
      <c r="L447" s="81">
        <f t="shared" si="187"/>
        <v>25.2379181901</v>
      </c>
      <c r="M447" s="82">
        <f t="shared" si="189"/>
        <v>0</v>
      </c>
      <c r="N447" s="82">
        <f t="shared" si="190"/>
        <v>0</v>
      </c>
      <c r="O447" s="82">
        <f>N447+'BM 008'!O447</f>
        <v>0</v>
      </c>
      <c r="P447" s="80">
        <f t="shared" si="191"/>
        <v>99.55</v>
      </c>
      <c r="Q447" s="82">
        <f t="shared" si="192"/>
        <v>126.18</v>
      </c>
      <c r="R447" s="82">
        <f t="shared" si="193"/>
        <v>126.18</v>
      </c>
    </row>
    <row r="448" spans="2:18" s="34" customFormat="1" ht="23.4">
      <c r="B448" s="75" t="s">
        <v>882</v>
      </c>
      <c r="C448" s="76" t="s">
        <v>883</v>
      </c>
      <c r="D448" s="77" t="s">
        <v>131</v>
      </c>
      <c r="E448" s="93">
        <v>1</v>
      </c>
      <c r="F448" s="79"/>
      <c r="G448" s="79"/>
      <c r="H448" s="79"/>
      <c r="I448" s="79">
        <f>SUM(G448:H448)+'BM 008'!I448</f>
        <v>0</v>
      </c>
      <c r="J448" s="79">
        <f t="shared" si="188"/>
        <v>1</v>
      </c>
      <c r="K448" s="80">
        <v>25.24</v>
      </c>
      <c r="L448" s="81">
        <f t="shared" si="187"/>
        <v>31.994226776399998</v>
      </c>
      <c r="M448" s="82">
        <f t="shared" si="189"/>
        <v>0</v>
      </c>
      <c r="N448" s="82">
        <f t="shared" si="190"/>
        <v>0</v>
      </c>
      <c r="O448" s="82">
        <f>N448+'BM 008'!O448</f>
        <v>0</v>
      </c>
      <c r="P448" s="80">
        <f t="shared" si="191"/>
        <v>25.24</v>
      </c>
      <c r="Q448" s="82">
        <f t="shared" si="192"/>
        <v>31.99</v>
      </c>
      <c r="R448" s="82">
        <f t="shared" si="193"/>
        <v>31.99</v>
      </c>
    </row>
    <row r="449" spans="2:18" s="34" customFormat="1" ht="46.2">
      <c r="B449" s="75" t="s">
        <v>884</v>
      </c>
      <c r="C449" s="76" t="s">
        <v>885</v>
      </c>
      <c r="D449" s="77" t="s">
        <v>131</v>
      </c>
      <c r="E449" s="93">
        <v>79</v>
      </c>
      <c r="F449" s="79"/>
      <c r="G449" s="79"/>
      <c r="H449" s="79"/>
      <c r="I449" s="79">
        <f>SUM(G449:H449)+'BM 008'!I449</f>
        <v>0</v>
      </c>
      <c r="J449" s="79">
        <f t="shared" si="188"/>
        <v>79</v>
      </c>
      <c r="K449" s="80">
        <v>13.15</v>
      </c>
      <c r="L449" s="81">
        <f t="shared" si="187"/>
        <v>16.6689414465</v>
      </c>
      <c r="M449" s="82">
        <f t="shared" si="189"/>
        <v>0</v>
      </c>
      <c r="N449" s="82">
        <f t="shared" si="190"/>
        <v>0</v>
      </c>
      <c r="O449" s="82">
        <f>N449+'BM 008'!O449</f>
        <v>0</v>
      </c>
      <c r="P449" s="80">
        <f t="shared" si="191"/>
        <v>1038.8500000000001</v>
      </c>
      <c r="Q449" s="82">
        <f t="shared" si="192"/>
        <v>1316.84</v>
      </c>
      <c r="R449" s="82">
        <f t="shared" si="193"/>
        <v>1316.84</v>
      </c>
    </row>
    <row r="450" spans="2:18" s="34" customFormat="1" ht="23.4">
      <c r="B450" s="75" t="s">
        <v>886</v>
      </c>
      <c r="C450" s="76" t="s">
        <v>757</v>
      </c>
      <c r="D450" s="77" t="s">
        <v>131</v>
      </c>
      <c r="E450" s="93">
        <v>1</v>
      </c>
      <c r="F450" s="79"/>
      <c r="G450" s="79"/>
      <c r="H450" s="79"/>
      <c r="I450" s="79">
        <f>SUM(G450:H450)+'BM 008'!I450</f>
        <v>0</v>
      </c>
      <c r="J450" s="79">
        <f t="shared" si="188"/>
        <v>1</v>
      </c>
      <c r="K450" s="80">
        <v>12.35</v>
      </c>
      <c r="L450" s="81">
        <f t="shared" si="187"/>
        <v>15.6548613585</v>
      </c>
      <c r="M450" s="82">
        <f t="shared" si="189"/>
        <v>0</v>
      </c>
      <c r="N450" s="82">
        <f t="shared" si="190"/>
        <v>0</v>
      </c>
      <c r="O450" s="82">
        <f>N450+'BM 008'!O450</f>
        <v>0</v>
      </c>
      <c r="P450" s="80">
        <f t="shared" si="191"/>
        <v>12.35</v>
      </c>
      <c r="Q450" s="82">
        <f t="shared" si="192"/>
        <v>15.65</v>
      </c>
      <c r="R450" s="82">
        <f t="shared" si="193"/>
        <v>15.65</v>
      </c>
    </row>
    <row r="451" spans="2:18" s="34" customFormat="1" ht="23.4">
      <c r="B451" s="75" t="s">
        <v>887</v>
      </c>
      <c r="C451" s="76" t="s">
        <v>761</v>
      </c>
      <c r="D451" s="77" t="s">
        <v>131</v>
      </c>
      <c r="E451" s="93">
        <v>3</v>
      </c>
      <c r="F451" s="79"/>
      <c r="G451" s="79"/>
      <c r="H451" s="79"/>
      <c r="I451" s="79">
        <f>SUM(G451:H451)+'BM 008'!I451</f>
        <v>0</v>
      </c>
      <c r="J451" s="79">
        <f t="shared" si="188"/>
        <v>3</v>
      </c>
      <c r="K451" s="80">
        <v>18.5</v>
      </c>
      <c r="L451" s="81">
        <f t="shared" si="187"/>
        <v>23.450602035000003</v>
      </c>
      <c r="M451" s="82">
        <f t="shared" si="189"/>
        <v>0</v>
      </c>
      <c r="N451" s="82">
        <f t="shared" si="190"/>
        <v>0</v>
      </c>
      <c r="O451" s="82">
        <f>N451+'BM 008'!O451</f>
        <v>0</v>
      </c>
      <c r="P451" s="80">
        <f t="shared" si="191"/>
        <v>55.5</v>
      </c>
      <c r="Q451" s="82">
        <f t="shared" si="192"/>
        <v>70.349999999999994</v>
      </c>
      <c r="R451" s="82">
        <f t="shared" si="193"/>
        <v>70.349999999999994</v>
      </c>
    </row>
    <row r="452" spans="2:18" s="34" customFormat="1" ht="23.4">
      <c r="B452" s="75" t="s">
        <v>888</v>
      </c>
      <c r="C452" s="76" t="s">
        <v>771</v>
      </c>
      <c r="D452" s="77" t="s">
        <v>131</v>
      </c>
      <c r="E452" s="93">
        <v>77</v>
      </c>
      <c r="F452" s="79"/>
      <c r="G452" s="79"/>
      <c r="H452" s="79"/>
      <c r="I452" s="79">
        <f>SUM(G452:H452)+'BM 008'!I452</f>
        <v>0</v>
      </c>
      <c r="J452" s="79">
        <f t="shared" si="188"/>
        <v>77</v>
      </c>
      <c r="K452" s="80">
        <v>6.59</v>
      </c>
      <c r="L452" s="81">
        <f t="shared" si="187"/>
        <v>8.3534847248999995</v>
      </c>
      <c r="M452" s="82">
        <f t="shared" si="189"/>
        <v>0</v>
      </c>
      <c r="N452" s="82">
        <f t="shared" si="190"/>
        <v>0</v>
      </c>
      <c r="O452" s="82">
        <f>N452+'BM 008'!O452</f>
        <v>0</v>
      </c>
      <c r="P452" s="80">
        <f t="shared" si="191"/>
        <v>507.43</v>
      </c>
      <c r="Q452" s="82">
        <f t="shared" si="192"/>
        <v>643.21</v>
      </c>
      <c r="R452" s="82">
        <f t="shared" si="193"/>
        <v>643.21</v>
      </c>
    </row>
    <row r="453" spans="2:18" s="34" customFormat="1" ht="23.4">
      <c r="B453" s="75" t="s">
        <v>889</v>
      </c>
      <c r="C453" s="76" t="s">
        <v>773</v>
      </c>
      <c r="D453" s="77" t="s">
        <v>131</v>
      </c>
      <c r="E453" s="93">
        <v>3</v>
      </c>
      <c r="F453" s="79"/>
      <c r="G453" s="79"/>
      <c r="H453" s="79"/>
      <c r="I453" s="79">
        <f>SUM(G453:H453)+'BM 008'!I453</f>
        <v>0</v>
      </c>
      <c r="J453" s="79">
        <f t="shared" si="188"/>
        <v>3</v>
      </c>
      <c r="K453" s="80">
        <v>22.07</v>
      </c>
      <c r="L453" s="81">
        <f t="shared" si="187"/>
        <v>27.9759344277</v>
      </c>
      <c r="M453" s="82">
        <f t="shared" si="189"/>
        <v>0</v>
      </c>
      <c r="N453" s="82">
        <f t="shared" si="190"/>
        <v>0</v>
      </c>
      <c r="O453" s="82">
        <f>N453+'BM 008'!O453</f>
        <v>0</v>
      </c>
      <c r="P453" s="80">
        <f t="shared" si="191"/>
        <v>66.210000000000008</v>
      </c>
      <c r="Q453" s="82">
        <f t="shared" si="192"/>
        <v>83.92</v>
      </c>
      <c r="R453" s="82">
        <f t="shared" si="193"/>
        <v>83.92</v>
      </c>
    </row>
    <row r="454" spans="2:18" s="34" customFormat="1" ht="23.4">
      <c r="B454" s="75" t="s">
        <v>890</v>
      </c>
      <c r="C454" s="88" t="s">
        <v>711</v>
      </c>
      <c r="D454" s="89" t="s">
        <v>131</v>
      </c>
      <c r="E454" s="90">
        <v>14</v>
      </c>
      <c r="F454" s="91"/>
      <c r="G454" s="91"/>
      <c r="H454" s="91"/>
      <c r="I454" s="91">
        <f>SUM(G454:H454)+'BM 008'!I454</f>
        <v>0</v>
      </c>
      <c r="J454" s="91">
        <f t="shared" si="188"/>
        <v>14</v>
      </c>
      <c r="K454" s="80">
        <v>14.54</v>
      </c>
      <c r="L454" s="81">
        <f t="shared" si="187"/>
        <v>18.430905599399999</v>
      </c>
      <c r="M454" s="82">
        <f t="shared" si="189"/>
        <v>0</v>
      </c>
      <c r="N454" s="82">
        <f t="shared" si="190"/>
        <v>0</v>
      </c>
      <c r="O454" s="82">
        <f>N454+'BM 008'!O454</f>
        <v>0</v>
      </c>
      <c r="P454" s="80">
        <f t="shared" si="191"/>
        <v>203.56</v>
      </c>
      <c r="Q454" s="82">
        <f t="shared" si="192"/>
        <v>258.02999999999997</v>
      </c>
      <c r="R454" s="82">
        <f t="shared" si="193"/>
        <v>258.02999999999997</v>
      </c>
    </row>
    <row r="455" spans="2:18" s="34" customFormat="1" ht="46.2">
      <c r="B455" s="75" t="s">
        <v>891</v>
      </c>
      <c r="C455" s="76" t="s">
        <v>892</v>
      </c>
      <c r="D455" s="77" t="s">
        <v>131</v>
      </c>
      <c r="E455" s="93">
        <v>91</v>
      </c>
      <c r="F455" s="79"/>
      <c r="G455" s="79"/>
      <c r="H455" s="79"/>
      <c r="I455" s="79">
        <f>SUM(G455:H455)+'BM 008'!I455</f>
        <v>0</v>
      </c>
      <c r="J455" s="79">
        <f t="shared" si="188"/>
        <v>91</v>
      </c>
      <c r="K455" s="80">
        <v>22.83</v>
      </c>
      <c r="L455" s="81">
        <f t="shared" si="187"/>
        <v>28.9393105113</v>
      </c>
      <c r="M455" s="82">
        <f t="shared" si="189"/>
        <v>0</v>
      </c>
      <c r="N455" s="82">
        <f t="shared" si="190"/>
        <v>0</v>
      </c>
      <c r="O455" s="82">
        <f>N455+'BM 008'!O455</f>
        <v>0</v>
      </c>
      <c r="P455" s="80">
        <f t="shared" si="191"/>
        <v>2077.5299999999997</v>
      </c>
      <c r="Q455" s="82">
        <f t="shared" si="192"/>
        <v>2633.47</v>
      </c>
      <c r="R455" s="82">
        <f t="shared" si="193"/>
        <v>2633.47</v>
      </c>
    </row>
    <row r="456" spans="2:18" s="34" customFormat="1" ht="46.2">
      <c r="B456" s="75" t="s">
        <v>893</v>
      </c>
      <c r="C456" s="76" t="s">
        <v>894</v>
      </c>
      <c r="D456" s="77" t="s">
        <v>131</v>
      </c>
      <c r="E456" s="93">
        <v>26</v>
      </c>
      <c r="F456" s="79"/>
      <c r="G456" s="79"/>
      <c r="H456" s="79"/>
      <c r="I456" s="79">
        <f>SUM(G456:H456)+'BM 008'!I456</f>
        <v>0</v>
      </c>
      <c r="J456" s="79">
        <f t="shared" si="188"/>
        <v>26</v>
      </c>
      <c r="K456" s="80">
        <v>42.22</v>
      </c>
      <c r="L456" s="81">
        <f t="shared" si="187"/>
        <v>53.518076644200001</v>
      </c>
      <c r="M456" s="82">
        <f t="shared" si="189"/>
        <v>0</v>
      </c>
      <c r="N456" s="82">
        <f t="shared" si="190"/>
        <v>0</v>
      </c>
      <c r="O456" s="82">
        <f>N456+'BM 008'!O456</f>
        <v>0</v>
      </c>
      <c r="P456" s="80">
        <f t="shared" si="191"/>
        <v>1097.72</v>
      </c>
      <c r="Q456" s="82">
        <f t="shared" si="192"/>
        <v>1391.46</v>
      </c>
      <c r="R456" s="82">
        <f t="shared" si="193"/>
        <v>1391.46</v>
      </c>
    </row>
    <row r="457" spans="2:18" s="34" customFormat="1" ht="23.4">
      <c r="B457" s="75" t="s">
        <v>895</v>
      </c>
      <c r="C457" s="76" t="s">
        <v>896</v>
      </c>
      <c r="D457" s="77" t="s">
        <v>131</v>
      </c>
      <c r="E457" s="93">
        <v>46</v>
      </c>
      <c r="F457" s="79"/>
      <c r="G457" s="79"/>
      <c r="H457" s="79"/>
      <c r="I457" s="79">
        <f>SUM(G457:H457)+'BM 008'!I457</f>
        <v>0</v>
      </c>
      <c r="J457" s="79">
        <f t="shared" si="188"/>
        <v>46</v>
      </c>
      <c r="K457" s="80">
        <v>110</v>
      </c>
      <c r="L457" s="81">
        <f t="shared" si="187"/>
        <v>139.4360121</v>
      </c>
      <c r="M457" s="82">
        <f t="shared" si="189"/>
        <v>0</v>
      </c>
      <c r="N457" s="82">
        <f t="shared" si="190"/>
        <v>0</v>
      </c>
      <c r="O457" s="82">
        <f>N457+'BM 008'!O457</f>
        <v>0</v>
      </c>
      <c r="P457" s="80">
        <f t="shared" si="191"/>
        <v>5060</v>
      </c>
      <c r="Q457" s="82">
        <f t="shared" si="192"/>
        <v>6414.05</v>
      </c>
      <c r="R457" s="82">
        <f t="shared" si="193"/>
        <v>6414.05</v>
      </c>
    </row>
    <row r="458" spans="2:18" s="34" customFormat="1" ht="34.799999999999997">
      <c r="B458" s="75" t="s">
        <v>897</v>
      </c>
      <c r="C458" s="76" t="s">
        <v>898</v>
      </c>
      <c r="D458" s="77" t="s">
        <v>131</v>
      </c>
      <c r="E458" s="93">
        <v>11</v>
      </c>
      <c r="F458" s="79"/>
      <c r="G458" s="79"/>
      <c r="H458" s="79"/>
      <c r="I458" s="79">
        <f>SUM(G458:H458)+'BM 008'!I458</f>
        <v>0</v>
      </c>
      <c r="J458" s="79">
        <f t="shared" si="188"/>
        <v>11</v>
      </c>
      <c r="K458" s="80">
        <v>35.5</v>
      </c>
      <c r="L458" s="81">
        <f t="shared" si="187"/>
        <v>44.999803905</v>
      </c>
      <c r="M458" s="82">
        <f t="shared" si="189"/>
        <v>0</v>
      </c>
      <c r="N458" s="82">
        <f t="shared" si="190"/>
        <v>0</v>
      </c>
      <c r="O458" s="82">
        <f>N458+'BM 008'!O458</f>
        <v>0</v>
      </c>
      <c r="P458" s="80">
        <f t="shared" si="191"/>
        <v>390.5</v>
      </c>
      <c r="Q458" s="82">
        <f t="shared" si="192"/>
        <v>494.99</v>
      </c>
      <c r="R458" s="82">
        <f t="shared" si="193"/>
        <v>494.99</v>
      </c>
    </row>
    <row r="459" spans="2:18" s="34" customFormat="1" ht="46.2">
      <c r="B459" s="75" t="s">
        <v>899</v>
      </c>
      <c r="C459" s="76" t="s">
        <v>900</v>
      </c>
      <c r="D459" s="77" t="s">
        <v>131</v>
      </c>
      <c r="E459" s="93">
        <v>12</v>
      </c>
      <c r="F459" s="79"/>
      <c r="G459" s="79"/>
      <c r="H459" s="79"/>
      <c r="I459" s="79">
        <f>SUM(G459:H459)+'BM 008'!I459</f>
        <v>0</v>
      </c>
      <c r="J459" s="79">
        <f t="shared" si="188"/>
        <v>12</v>
      </c>
      <c r="K459" s="80">
        <v>37.299999999999997</v>
      </c>
      <c r="L459" s="81">
        <f t="shared" si="187"/>
        <v>47.281484102999997</v>
      </c>
      <c r="M459" s="82">
        <f t="shared" si="189"/>
        <v>0</v>
      </c>
      <c r="N459" s="82">
        <f t="shared" si="190"/>
        <v>0</v>
      </c>
      <c r="O459" s="82">
        <f>N459+'BM 008'!O459</f>
        <v>0</v>
      </c>
      <c r="P459" s="80">
        <f t="shared" si="191"/>
        <v>447.59999999999997</v>
      </c>
      <c r="Q459" s="82">
        <f t="shared" si="192"/>
        <v>567.37</v>
      </c>
      <c r="R459" s="82">
        <f t="shared" si="193"/>
        <v>567.37</v>
      </c>
    </row>
    <row r="460" spans="2:18" s="34" customFormat="1" ht="46.2">
      <c r="B460" s="75" t="s">
        <v>901</v>
      </c>
      <c r="C460" s="76" t="s">
        <v>902</v>
      </c>
      <c r="D460" s="77" t="s">
        <v>131</v>
      </c>
      <c r="E460" s="93">
        <v>2</v>
      </c>
      <c r="F460" s="79"/>
      <c r="G460" s="79"/>
      <c r="H460" s="79"/>
      <c r="I460" s="79">
        <f>SUM(G460:H460)+'BM 008'!I460</f>
        <v>0</v>
      </c>
      <c r="J460" s="79">
        <f t="shared" si="188"/>
        <v>2</v>
      </c>
      <c r="K460" s="80">
        <v>42.5</v>
      </c>
      <c r="L460" s="81">
        <f t="shared" si="187"/>
        <v>53.873004675000004</v>
      </c>
      <c r="M460" s="82">
        <f t="shared" si="189"/>
        <v>0</v>
      </c>
      <c r="N460" s="82">
        <f t="shared" si="190"/>
        <v>0</v>
      </c>
      <c r="O460" s="82">
        <f>N460+'BM 008'!O460</f>
        <v>0</v>
      </c>
      <c r="P460" s="80">
        <f t="shared" si="191"/>
        <v>85</v>
      </c>
      <c r="Q460" s="82">
        <f t="shared" si="192"/>
        <v>107.74</v>
      </c>
      <c r="R460" s="82">
        <f t="shared" si="193"/>
        <v>107.74</v>
      </c>
    </row>
    <row r="461" spans="2:18" s="34" customFormat="1" ht="23.4">
      <c r="B461" s="75" t="s">
        <v>903</v>
      </c>
      <c r="C461" s="76" t="s">
        <v>904</v>
      </c>
      <c r="D461" s="77" t="s">
        <v>131</v>
      </c>
      <c r="E461" s="93">
        <v>6</v>
      </c>
      <c r="F461" s="79"/>
      <c r="G461" s="79"/>
      <c r="H461" s="79"/>
      <c r="I461" s="79">
        <f>SUM(G461:H461)+'BM 008'!I461</f>
        <v>0</v>
      </c>
      <c r="J461" s="79">
        <f t="shared" si="188"/>
        <v>6</v>
      </c>
      <c r="K461" s="80">
        <v>68</v>
      </c>
      <c r="L461" s="81">
        <f t="shared" si="187"/>
        <v>86.196807480000004</v>
      </c>
      <c r="M461" s="82">
        <f t="shared" si="189"/>
        <v>0</v>
      </c>
      <c r="N461" s="82">
        <f t="shared" si="190"/>
        <v>0</v>
      </c>
      <c r="O461" s="82">
        <f>N461+'BM 008'!O461</f>
        <v>0</v>
      </c>
      <c r="P461" s="80">
        <f t="shared" si="191"/>
        <v>408</v>
      </c>
      <c r="Q461" s="82">
        <f t="shared" si="192"/>
        <v>517.17999999999995</v>
      </c>
      <c r="R461" s="82">
        <f t="shared" si="193"/>
        <v>517.17999999999995</v>
      </c>
    </row>
    <row r="462" spans="2:18" s="34" customFormat="1" ht="46.2">
      <c r="B462" s="75" t="s">
        <v>905</v>
      </c>
      <c r="C462" s="76" t="s">
        <v>906</v>
      </c>
      <c r="D462" s="77" t="s">
        <v>131</v>
      </c>
      <c r="E462" s="93">
        <v>3</v>
      </c>
      <c r="F462" s="79"/>
      <c r="G462" s="79"/>
      <c r="H462" s="79"/>
      <c r="I462" s="79">
        <f>SUM(G462:H462)+'BM 008'!I462</f>
        <v>0</v>
      </c>
      <c r="J462" s="79">
        <f t="shared" si="188"/>
        <v>3</v>
      </c>
      <c r="K462" s="80">
        <v>36.61</v>
      </c>
      <c r="L462" s="81">
        <f t="shared" si="187"/>
        <v>46.406840027100003</v>
      </c>
      <c r="M462" s="82">
        <f t="shared" si="189"/>
        <v>0</v>
      </c>
      <c r="N462" s="82">
        <f t="shared" si="190"/>
        <v>0</v>
      </c>
      <c r="O462" s="82">
        <f>N462+'BM 008'!O462</f>
        <v>0</v>
      </c>
      <c r="P462" s="80">
        <f t="shared" si="191"/>
        <v>109.83</v>
      </c>
      <c r="Q462" s="82">
        <f t="shared" si="192"/>
        <v>139.22</v>
      </c>
      <c r="R462" s="82">
        <f t="shared" si="193"/>
        <v>139.22</v>
      </c>
    </row>
    <row r="463" spans="2:18" s="34" customFormat="1" ht="46.2">
      <c r="B463" s="75" t="s">
        <v>907</v>
      </c>
      <c r="C463" s="76" t="s">
        <v>908</v>
      </c>
      <c r="D463" s="77" t="s">
        <v>131</v>
      </c>
      <c r="E463" s="93">
        <v>3</v>
      </c>
      <c r="F463" s="79"/>
      <c r="G463" s="79"/>
      <c r="H463" s="79"/>
      <c r="I463" s="79">
        <f>SUM(G463:H463)+'BM 008'!I463</f>
        <v>0</v>
      </c>
      <c r="J463" s="79">
        <f t="shared" si="188"/>
        <v>3</v>
      </c>
      <c r="K463" s="82">
        <v>11.81</v>
      </c>
      <c r="L463" s="81">
        <f t="shared" si="187"/>
        <v>14.970357299100002</v>
      </c>
      <c r="M463" s="82">
        <f t="shared" si="189"/>
        <v>0</v>
      </c>
      <c r="N463" s="82">
        <f t="shared" si="190"/>
        <v>0</v>
      </c>
      <c r="O463" s="82">
        <f>N463+'BM 008'!O463</f>
        <v>0</v>
      </c>
      <c r="P463" s="82">
        <f t="shared" si="191"/>
        <v>35.43</v>
      </c>
      <c r="Q463" s="82">
        <f t="shared" si="192"/>
        <v>44.91</v>
      </c>
      <c r="R463" s="82">
        <f t="shared" si="193"/>
        <v>44.91</v>
      </c>
    </row>
    <row r="464" spans="2:18" s="34" customFormat="1" ht="34.799999999999997">
      <c r="B464" s="75" t="s">
        <v>909</v>
      </c>
      <c r="C464" s="76" t="s">
        <v>910</v>
      </c>
      <c r="D464" s="77" t="s">
        <v>131</v>
      </c>
      <c r="E464" s="93">
        <v>72</v>
      </c>
      <c r="F464" s="79"/>
      <c r="G464" s="79"/>
      <c r="H464" s="79"/>
      <c r="I464" s="79">
        <f>SUM(G464:H464)+'BM 008'!I464</f>
        <v>0</v>
      </c>
      <c r="J464" s="79">
        <f t="shared" si="188"/>
        <v>72</v>
      </c>
      <c r="K464" s="82">
        <v>13</v>
      </c>
      <c r="L464" s="81">
        <f t="shared" si="187"/>
        <v>16.478801430000001</v>
      </c>
      <c r="M464" s="82">
        <f t="shared" si="189"/>
        <v>0</v>
      </c>
      <c r="N464" s="82">
        <f t="shared" si="190"/>
        <v>0</v>
      </c>
      <c r="O464" s="82">
        <f>N464+'BM 008'!O464</f>
        <v>0</v>
      </c>
      <c r="P464" s="82">
        <f t="shared" si="191"/>
        <v>936</v>
      </c>
      <c r="Q464" s="82">
        <f t="shared" si="192"/>
        <v>1186.47</v>
      </c>
      <c r="R464" s="82">
        <f t="shared" si="193"/>
        <v>1186.47</v>
      </c>
    </row>
    <row r="465" spans="2:18" s="34" customFormat="1" ht="13.2">
      <c r="B465" s="75" t="s">
        <v>911</v>
      </c>
      <c r="C465" s="76"/>
      <c r="D465" s="77"/>
      <c r="E465" s="93"/>
      <c r="F465" s="79"/>
      <c r="G465" s="79"/>
      <c r="H465" s="79"/>
      <c r="I465" s="79">
        <f>SUM(G465:H465)+'BM 008'!I465</f>
        <v>0</v>
      </c>
      <c r="J465" s="79">
        <f t="shared" si="188"/>
        <v>0</v>
      </c>
      <c r="K465" s="82"/>
      <c r="L465" s="81">
        <f t="shared" si="187"/>
        <v>0</v>
      </c>
      <c r="M465" s="82">
        <f t="shared" si="189"/>
        <v>0</v>
      </c>
      <c r="N465" s="82">
        <f t="shared" si="190"/>
        <v>0</v>
      </c>
      <c r="O465" s="82">
        <f>N465+'BM 008'!O465</f>
        <v>0</v>
      </c>
      <c r="P465" s="82"/>
      <c r="Q465" s="82">
        <f t="shared" si="192"/>
        <v>0</v>
      </c>
      <c r="R465" s="82">
        <f t="shared" si="193"/>
        <v>0</v>
      </c>
    </row>
    <row r="466" spans="2:18" s="34" customFormat="1" ht="34.799999999999997">
      <c r="B466" s="75" t="s">
        <v>912</v>
      </c>
      <c r="C466" s="76" t="s">
        <v>733</v>
      </c>
      <c r="D466" s="77" t="s">
        <v>131</v>
      </c>
      <c r="E466" s="93">
        <v>8</v>
      </c>
      <c r="F466" s="79"/>
      <c r="G466" s="79"/>
      <c r="H466" s="79"/>
      <c r="I466" s="79">
        <f>SUM(G466:H466)+'BM 008'!I466</f>
        <v>0</v>
      </c>
      <c r="J466" s="79">
        <f t="shared" si="188"/>
        <v>8</v>
      </c>
      <c r="K466" s="82">
        <v>3.95</v>
      </c>
      <c r="L466" s="81">
        <f t="shared" si="187"/>
        <v>5.0070204345000002</v>
      </c>
      <c r="M466" s="82">
        <f t="shared" si="189"/>
        <v>0</v>
      </c>
      <c r="N466" s="82">
        <f t="shared" si="190"/>
        <v>0</v>
      </c>
      <c r="O466" s="82">
        <f>N466+'BM 008'!O466</f>
        <v>0</v>
      </c>
      <c r="P466" s="82">
        <f t="shared" ref="P466:P473" si="194">E466*K466</f>
        <v>31.6</v>
      </c>
      <c r="Q466" s="82">
        <f t="shared" si="192"/>
        <v>40.049999999999997</v>
      </c>
      <c r="R466" s="82">
        <f t="shared" si="193"/>
        <v>40.049999999999997</v>
      </c>
    </row>
    <row r="467" spans="2:18" s="34" customFormat="1" ht="34.799999999999997">
      <c r="B467" s="75" t="s">
        <v>913</v>
      </c>
      <c r="C467" s="88" t="s">
        <v>735</v>
      </c>
      <c r="D467" s="89" t="s">
        <v>131</v>
      </c>
      <c r="E467" s="90">
        <v>238</v>
      </c>
      <c r="F467" s="91"/>
      <c r="G467" s="91"/>
      <c r="H467" s="91"/>
      <c r="I467" s="91">
        <f>SUM(G467:H467)+'BM 008'!I467</f>
        <v>0</v>
      </c>
      <c r="J467" s="91">
        <f t="shared" si="188"/>
        <v>238</v>
      </c>
      <c r="K467" s="80">
        <v>4.67</v>
      </c>
      <c r="L467" s="81">
        <f t="shared" si="187"/>
        <v>5.9196925137000003</v>
      </c>
      <c r="M467" s="82">
        <f t="shared" si="189"/>
        <v>0</v>
      </c>
      <c r="N467" s="82">
        <f t="shared" si="190"/>
        <v>0</v>
      </c>
      <c r="O467" s="82">
        <f>N467+'BM 008'!O467</f>
        <v>0</v>
      </c>
      <c r="P467" s="80">
        <f t="shared" si="194"/>
        <v>1111.46</v>
      </c>
      <c r="Q467" s="82">
        <f t="shared" si="192"/>
        <v>1408.88</v>
      </c>
      <c r="R467" s="82">
        <f t="shared" si="193"/>
        <v>1408.88</v>
      </c>
    </row>
    <row r="468" spans="2:18" s="34" customFormat="1" ht="34.799999999999997">
      <c r="B468" s="75" t="s">
        <v>914</v>
      </c>
      <c r="C468" s="76" t="s">
        <v>739</v>
      </c>
      <c r="D468" s="77" t="s">
        <v>131</v>
      </c>
      <c r="E468" s="93">
        <v>30</v>
      </c>
      <c r="F468" s="79"/>
      <c r="G468" s="79"/>
      <c r="H468" s="79"/>
      <c r="I468" s="79">
        <f>SUM(G468:H468)+'BM 008'!I468</f>
        <v>0</v>
      </c>
      <c r="J468" s="79">
        <f t="shared" si="188"/>
        <v>30</v>
      </c>
      <c r="K468" s="80">
        <v>11.5</v>
      </c>
      <c r="L468" s="81">
        <f t="shared" si="187"/>
        <v>14.577401265000001</v>
      </c>
      <c r="M468" s="82">
        <f t="shared" si="189"/>
        <v>0</v>
      </c>
      <c r="N468" s="82">
        <f t="shared" si="190"/>
        <v>0</v>
      </c>
      <c r="O468" s="82">
        <f>N468+'BM 008'!O468</f>
        <v>0</v>
      </c>
      <c r="P468" s="80">
        <f t="shared" si="194"/>
        <v>345</v>
      </c>
      <c r="Q468" s="82">
        <f t="shared" si="192"/>
        <v>437.32</v>
      </c>
      <c r="R468" s="82">
        <f t="shared" si="193"/>
        <v>437.32</v>
      </c>
    </row>
    <row r="469" spans="2:18" s="34" customFormat="1" ht="34.799999999999997">
      <c r="B469" s="75" t="s">
        <v>915</v>
      </c>
      <c r="C469" s="76" t="s">
        <v>916</v>
      </c>
      <c r="D469" s="77" t="s">
        <v>131</v>
      </c>
      <c r="E469" s="93">
        <v>1</v>
      </c>
      <c r="F469" s="79"/>
      <c r="G469" s="79"/>
      <c r="H469" s="79"/>
      <c r="I469" s="79">
        <f>SUM(G469:H469)+'BM 008'!I469</f>
        <v>0</v>
      </c>
      <c r="J469" s="79">
        <f t="shared" si="188"/>
        <v>1</v>
      </c>
      <c r="K469" s="80">
        <v>10.5</v>
      </c>
      <c r="L469" s="81">
        <f t="shared" si="187"/>
        <v>13.309801155000001</v>
      </c>
      <c r="M469" s="82">
        <f t="shared" si="189"/>
        <v>0</v>
      </c>
      <c r="N469" s="82">
        <f t="shared" si="190"/>
        <v>0</v>
      </c>
      <c r="O469" s="82">
        <f>N469+'BM 008'!O469</f>
        <v>0</v>
      </c>
      <c r="P469" s="80">
        <f t="shared" si="194"/>
        <v>10.5</v>
      </c>
      <c r="Q469" s="82">
        <f t="shared" si="192"/>
        <v>13.3</v>
      </c>
      <c r="R469" s="82">
        <f t="shared" si="193"/>
        <v>13.3</v>
      </c>
    </row>
    <row r="470" spans="2:18" s="34" customFormat="1" ht="34.799999999999997">
      <c r="B470" s="75" t="s">
        <v>917</v>
      </c>
      <c r="C470" s="76" t="s">
        <v>918</v>
      </c>
      <c r="D470" s="77" t="s">
        <v>131</v>
      </c>
      <c r="E470" s="93">
        <v>1</v>
      </c>
      <c r="F470" s="79"/>
      <c r="G470" s="79"/>
      <c r="H470" s="79"/>
      <c r="I470" s="79">
        <f>SUM(G470:H470)+'BM 008'!I470</f>
        <v>0</v>
      </c>
      <c r="J470" s="79">
        <f t="shared" si="188"/>
        <v>1</v>
      </c>
      <c r="K470" s="80">
        <v>10.14</v>
      </c>
      <c r="L470" s="81">
        <f t="shared" si="187"/>
        <v>12.853465115400001</v>
      </c>
      <c r="M470" s="82">
        <f t="shared" si="189"/>
        <v>0</v>
      </c>
      <c r="N470" s="82">
        <f t="shared" si="190"/>
        <v>0</v>
      </c>
      <c r="O470" s="82">
        <f>N470+'BM 008'!O470</f>
        <v>0</v>
      </c>
      <c r="P470" s="80">
        <f t="shared" si="194"/>
        <v>10.14</v>
      </c>
      <c r="Q470" s="82">
        <f t="shared" si="192"/>
        <v>12.85</v>
      </c>
      <c r="R470" s="82">
        <f t="shared" si="193"/>
        <v>12.85</v>
      </c>
    </row>
    <row r="471" spans="2:18" s="34" customFormat="1" ht="34.799999999999997">
      <c r="B471" s="75" t="s">
        <v>919</v>
      </c>
      <c r="C471" s="88" t="s">
        <v>717</v>
      </c>
      <c r="D471" s="89" t="s">
        <v>131</v>
      </c>
      <c r="E471" s="90">
        <v>238</v>
      </c>
      <c r="F471" s="91"/>
      <c r="G471" s="91"/>
      <c r="H471" s="91"/>
      <c r="I471" s="91">
        <f>SUM(G471:H471)+'BM 008'!I471</f>
        <v>0</v>
      </c>
      <c r="J471" s="91">
        <f t="shared" si="188"/>
        <v>238</v>
      </c>
      <c r="K471" s="80">
        <v>8</v>
      </c>
      <c r="L471" s="81">
        <f t="shared" si="187"/>
        <v>10.14080088</v>
      </c>
      <c r="M471" s="82">
        <f t="shared" ref="M471:M473" si="195">TRUNC(F471*L471,2)</f>
        <v>0</v>
      </c>
      <c r="N471" s="82">
        <f t="shared" si="190"/>
        <v>0</v>
      </c>
      <c r="O471" s="82">
        <f>N471+'BM 008'!O471</f>
        <v>0</v>
      </c>
      <c r="P471" s="80">
        <f t="shared" si="194"/>
        <v>1904</v>
      </c>
      <c r="Q471" s="82">
        <f t="shared" si="192"/>
        <v>2413.5100000000002</v>
      </c>
      <c r="R471" s="82">
        <f t="shared" ref="R471:R473" si="196">Q471-O471</f>
        <v>2413.5100000000002</v>
      </c>
    </row>
    <row r="472" spans="2:18" s="34" customFormat="1" ht="34.799999999999997">
      <c r="B472" s="75" t="s">
        <v>920</v>
      </c>
      <c r="C472" s="88" t="s">
        <v>921</v>
      </c>
      <c r="D472" s="89" t="s">
        <v>131</v>
      </c>
      <c r="E472" s="90">
        <v>6</v>
      </c>
      <c r="F472" s="91"/>
      <c r="G472" s="91"/>
      <c r="H472" s="91"/>
      <c r="I472" s="91">
        <f>SUM(G472:H472)+'BM 008'!I472</f>
        <v>0</v>
      </c>
      <c r="J472" s="91">
        <f t="shared" si="188"/>
        <v>6</v>
      </c>
      <c r="K472" s="80">
        <v>7.51</v>
      </c>
      <c r="L472" s="81">
        <f t="shared" si="187"/>
        <v>9.5196768260999995</v>
      </c>
      <c r="M472" s="82">
        <f t="shared" si="195"/>
        <v>0</v>
      </c>
      <c r="N472" s="82">
        <f t="shared" si="190"/>
        <v>0</v>
      </c>
      <c r="O472" s="82">
        <f>N472+'BM 008'!O472</f>
        <v>0</v>
      </c>
      <c r="P472" s="80">
        <f t="shared" si="194"/>
        <v>45.06</v>
      </c>
      <c r="Q472" s="82">
        <f t="shared" si="192"/>
        <v>57.11</v>
      </c>
      <c r="R472" s="82">
        <f t="shared" si="196"/>
        <v>57.11</v>
      </c>
    </row>
    <row r="473" spans="2:18" s="34" customFormat="1" ht="34.799999999999997">
      <c r="B473" s="87" t="s">
        <v>922</v>
      </c>
      <c r="C473" s="88" t="s">
        <v>721</v>
      </c>
      <c r="D473" s="89" t="s">
        <v>131</v>
      </c>
      <c r="E473" s="90">
        <v>8</v>
      </c>
      <c r="F473" s="91"/>
      <c r="G473" s="91"/>
      <c r="H473" s="91"/>
      <c r="I473" s="91">
        <f>SUM(G473:H473)+'BM 008'!I473</f>
        <v>0</v>
      </c>
      <c r="J473" s="91">
        <f t="shared" si="188"/>
        <v>8</v>
      </c>
      <c r="K473" s="80">
        <v>10.5</v>
      </c>
      <c r="L473" s="81">
        <f t="shared" si="187"/>
        <v>13.309801155000001</v>
      </c>
      <c r="M473" s="82">
        <f t="shared" si="195"/>
        <v>0</v>
      </c>
      <c r="N473" s="82">
        <f t="shared" si="190"/>
        <v>0</v>
      </c>
      <c r="O473" s="82">
        <f>N473+'BM 008'!O473</f>
        <v>0</v>
      </c>
      <c r="P473" s="80">
        <f t="shared" si="194"/>
        <v>84</v>
      </c>
      <c r="Q473" s="82">
        <f t="shared" si="192"/>
        <v>106.47</v>
      </c>
      <c r="R473" s="82">
        <f t="shared" si="196"/>
        <v>106.47</v>
      </c>
    </row>
    <row r="474" spans="2:18" s="34" customFormat="1" ht="24">
      <c r="B474" s="66" t="s">
        <v>923</v>
      </c>
      <c r="C474" s="67" t="s">
        <v>924</v>
      </c>
      <c r="D474" s="68"/>
      <c r="E474" s="69"/>
      <c r="F474" s="70"/>
      <c r="G474" s="70"/>
      <c r="H474" s="70"/>
      <c r="I474" s="70">
        <f>SUM(G474:H474)+'BM 008'!I474</f>
        <v>0</v>
      </c>
      <c r="J474" s="70">
        <f t="shared" si="188"/>
        <v>0</v>
      </c>
      <c r="K474" s="71"/>
      <c r="L474" s="71">
        <f t="shared" si="187"/>
        <v>0</v>
      </c>
      <c r="M474" s="73">
        <f t="shared" ref="M474:R474" si="197">SUM(M475:M480)</f>
        <v>0</v>
      </c>
      <c r="N474" s="73">
        <f t="shared" si="197"/>
        <v>0</v>
      </c>
      <c r="O474" s="73">
        <f t="shared" si="197"/>
        <v>0</v>
      </c>
      <c r="P474" s="73">
        <f t="shared" si="197"/>
        <v>177593</v>
      </c>
      <c r="Q474" s="73">
        <f t="shared" si="197"/>
        <v>225116.89</v>
      </c>
      <c r="R474" s="73">
        <f t="shared" si="197"/>
        <v>225116.89</v>
      </c>
    </row>
    <row r="475" spans="2:18" s="34" customFormat="1" ht="23.4">
      <c r="B475" s="87" t="s">
        <v>925</v>
      </c>
      <c r="C475" s="88" t="s">
        <v>926</v>
      </c>
      <c r="D475" s="89" t="s">
        <v>131</v>
      </c>
      <c r="E475" s="90">
        <v>1</v>
      </c>
      <c r="F475" s="91"/>
      <c r="G475" s="91"/>
      <c r="H475" s="91"/>
      <c r="I475" s="91">
        <f>SUM(G475:H475)+'BM 008'!I475</f>
        <v>0</v>
      </c>
      <c r="J475" s="91">
        <f t="shared" si="188"/>
        <v>1</v>
      </c>
      <c r="K475" s="80">
        <v>40</v>
      </c>
      <c r="L475" s="81">
        <f t="shared" si="187"/>
        <v>50.704004400000002</v>
      </c>
      <c r="M475" s="82">
        <f t="shared" ref="M475:M480" si="198">TRUNC(F475*L475,2)</f>
        <v>0</v>
      </c>
      <c r="N475" s="82">
        <f t="shared" ref="N475:N480" si="199">TRUNC(G475*L475,2)</f>
        <v>0</v>
      </c>
      <c r="O475" s="82">
        <f>N475+'BM 008'!O475</f>
        <v>0</v>
      </c>
      <c r="P475" s="80">
        <f t="shared" ref="P475:P480" si="200">E475*K475</f>
        <v>40</v>
      </c>
      <c r="Q475" s="82">
        <f t="shared" ref="Q475:Q480" si="201">TRUNC(E475*L475,2)</f>
        <v>50.7</v>
      </c>
      <c r="R475" s="82">
        <f t="shared" ref="R475:R480" si="202">Q475-O475</f>
        <v>50.7</v>
      </c>
    </row>
    <row r="476" spans="2:18" s="34" customFormat="1" ht="23.4">
      <c r="B476" s="87" t="s">
        <v>927</v>
      </c>
      <c r="C476" s="88" t="s">
        <v>928</v>
      </c>
      <c r="D476" s="89" t="s">
        <v>131</v>
      </c>
      <c r="E476" s="90">
        <v>69</v>
      </c>
      <c r="F476" s="91"/>
      <c r="G476" s="91"/>
      <c r="H476" s="91"/>
      <c r="I476" s="91">
        <f>SUM(G476:H476)+'BM 008'!I476</f>
        <v>0</v>
      </c>
      <c r="J476" s="91">
        <f t="shared" si="188"/>
        <v>69</v>
      </c>
      <c r="K476" s="80">
        <v>62</v>
      </c>
      <c r="L476" s="81">
        <f t="shared" si="187"/>
        <v>78.591206819999996</v>
      </c>
      <c r="M476" s="82">
        <f t="shared" si="198"/>
        <v>0</v>
      </c>
      <c r="N476" s="82">
        <f t="shared" si="199"/>
        <v>0</v>
      </c>
      <c r="O476" s="82">
        <f>N476+'BM 008'!O476</f>
        <v>0</v>
      </c>
      <c r="P476" s="80">
        <f t="shared" si="200"/>
        <v>4278</v>
      </c>
      <c r="Q476" s="82">
        <f t="shared" si="201"/>
        <v>5422.79</v>
      </c>
      <c r="R476" s="82">
        <f t="shared" si="202"/>
        <v>5422.79</v>
      </c>
    </row>
    <row r="477" spans="2:18" s="34" customFormat="1" ht="34.799999999999997">
      <c r="B477" s="87" t="s">
        <v>929</v>
      </c>
      <c r="C477" s="88" t="s">
        <v>930</v>
      </c>
      <c r="D477" s="89" t="s">
        <v>131</v>
      </c>
      <c r="E477" s="90">
        <v>3</v>
      </c>
      <c r="F477" s="91"/>
      <c r="G477" s="91"/>
      <c r="H477" s="91"/>
      <c r="I477" s="91">
        <f>SUM(G477:H477)+'BM 008'!I477</f>
        <v>0</v>
      </c>
      <c r="J477" s="91">
        <f t="shared" si="188"/>
        <v>3</v>
      </c>
      <c r="K477" s="80">
        <v>25</v>
      </c>
      <c r="L477" s="81">
        <f t="shared" ref="L477:L540" si="203">K477*(1+$T$26)</f>
        <v>31.690002750000001</v>
      </c>
      <c r="M477" s="82">
        <f t="shared" si="198"/>
        <v>0</v>
      </c>
      <c r="N477" s="82">
        <f t="shared" si="199"/>
        <v>0</v>
      </c>
      <c r="O477" s="82">
        <f>N477+'BM 008'!O477</f>
        <v>0</v>
      </c>
      <c r="P477" s="80">
        <f t="shared" si="200"/>
        <v>75</v>
      </c>
      <c r="Q477" s="82">
        <f t="shared" si="201"/>
        <v>95.07</v>
      </c>
      <c r="R477" s="82">
        <f t="shared" si="202"/>
        <v>95.07</v>
      </c>
    </row>
    <row r="478" spans="2:18" s="34" customFormat="1" ht="34.799999999999997">
      <c r="B478" s="87" t="s">
        <v>931</v>
      </c>
      <c r="C478" s="88" t="s">
        <v>932</v>
      </c>
      <c r="D478" s="89" t="s">
        <v>131</v>
      </c>
      <c r="E478" s="90">
        <v>2</v>
      </c>
      <c r="F478" s="91"/>
      <c r="G478" s="91"/>
      <c r="H478" s="91"/>
      <c r="I478" s="91">
        <f>SUM(G478:H478)+'BM 008'!I478</f>
        <v>0</v>
      </c>
      <c r="J478" s="91">
        <f t="shared" si="188"/>
        <v>2</v>
      </c>
      <c r="K478" s="80">
        <v>2100</v>
      </c>
      <c r="L478" s="81">
        <f t="shared" si="203"/>
        <v>2661.960231</v>
      </c>
      <c r="M478" s="82">
        <f t="shared" si="198"/>
        <v>0</v>
      </c>
      <c r="N478" s="82">
        <f t="shared" si="199"/>
        <v>0</v>
      </c>
      <c r="O478" s="82">
        <f>N478+'BM 008'!O478</f>
        <v>0</v>
      </c>
      <c r="P478" s="80">
        <f t="shared" si="200"/>
        <v>4200</v>
      </c>
      <c r="Q478" s="82">
        <f t="shared" si="201"/>
        <v>5323.92</v>
      </c>
      <c r="R478" s="82">
        <f t="shared" si="202"/>
        <v>5323.92</v>
      </c>
    </row>
    <row r="479" spans="2:18" s="34" customFormat="1" ht="34.799999999999997">
      <c r="B479" s="87" t="s">
        <v>933</v>
      </c>
      <c r="C479" s="88" t="s">
        <v>934</v>
      </c>
      <c r="D479" s="89" t="s">
        <v>131</v>
      </c>
      <c r="E479" s="90">
        <v>6</v>
      </c>
      <c r="F479" s="91"/>
      <c r="G479" s="91"/>
      <c r="H479" s="91"/>
      <c r="I479" s="91">
        <f>SUM(G479:H479)+'BM 008'!I479</f>
        <v>0</v>
      </c>
      <c r="J479" s="91">
        <f t="shared" ref="J479:J542" si="204">E479-I479</f>
        <v>6</v>
      </c>
      <c r="K479" s="80">
        <v>9000</v>
      </c>
      <c r="L479" s="81">
        <f t="shared" si="203"/>
        <v>11408.40099</v>
      </c>
      <c r="M479" s="82">
        <f t="shared" si="198"/>
        <v>0</v>
      </c>
      <c r="N479" s="82">
        <f t="shared" si="199"/>
        <v>0</v>
      </c>
      <c r="O479" s="82">
        <f>N479+'BM 008'!O479</f>
        <v>0</v>
      </c>
      <c r="P479" s="80">
        <f t="shared" si="200"/>
        <v>54000</v>
      </c>
      <c r="Q479" s="82">
        <f t="shared" si="201"/>
        <v>68450.399999999994</v>
      </c>
      <c r="R479" s="82">
        <f t="shared" si="202"/>
        <v>68450.399999999994</v>
      </c>
    </row>
    <row r="480" spans="2:18" s="34" customFormat="1" ht="23.4">
      <c r="B480" s="87" t="s">
        <v>935</v>
      </c>
      <c r="C480" s="88" t="s">
        <v>936</v>
      </c>
      <c r="D480" s="89" t="s">
        <v>131</v>
      </c>
      <c r="E480" s="90">
        <v>1</v>
      </c>
      <c r="F480" s="91"/>
      <c r="G480" s="91"/>
      <c r="H480" s="91"/>
      <c r="I480" s="91">
        <f>SUM(G480:H480)+'BM 008'!I480</f>
        <v>0</v>
      </c>
      <c r="J480" s="91">
        <f t="shared" si="204"/>
        <v>1</v>
      </c>
      <c r="K480" s="80">
        <v>115000</v>
      </c>
      <c r="L480" s="81">
        <f t="shared" si="203"/>
        <v>145774.01265000002</v>
      </c>
      <c r="M480" s="82">
        <f t="shared" si="198"/>
        <v>0</v>
      </c>
      <c r="N480" s="82">
        <f t="shared" si="199"/>
        <v>0</v>
      </c>
      <c r="O480" s="82">
        <f>N480+'BM 008'!O480</f>
        <v>0</v>
      </c>
      <c r="P480" s="80">
        <f t="shared" si="200"/>
        <v>115000</v>
      </c>
      <c r="Q480" s="82">
        <f t="shared" si="201"/>
        <v>145774.01</v>
      </c>
      <c r="R480" s="82">
        <f t="shared" si="202"/>
        <v>145774.01</v>
      </c>
    </row>
    <row r="481" spans="2:18" s="34" customFormat="1" ht="13.2">
      <c r="B481" s="60" t="s">
        <v>937</v>
      </c>
      <c r="C481" s="61" t="s">
        <v>938</v>
      </c>
      <c r="D481" s="60"/>
      <c r="E481" s="62"/>
      <c r="F481" s="63"/>
      <c r="G481" s="63"/>
      <c r="H481" s="63"/>
      <c r="I481" s="63">
        <f>SUM(G481:H481)+'BM 008'!I481</f>
        <v>0</v>
      </c>
      <c r="J481" s="63">
        <f t="shared" si="204"/>
        <v>0</v>
      </c>
      <c r="K481" s="63"/>
      <c r="L481" s="63">
        <f t="shared" si="203"/>
        <v>0</v>
      </c>
      <c r="M481" s="63">
        <f t="shared" ref="M481:R481" si="205">SUM(M482,M487)</f>
        <v>0</v>
      </c>
      <c r="N481" s="63">
        <f t="shared" si="205"/>
        <v>0</v>
      </c>
      <c r="O481" s="63">
        <f t="shared" si="205"/>
        <v>0</v>
      </c>
      <c r="P481" s="63">
        <f t="shared" si="205"/>
        <v>198555.35149999999</v>
      </c>
      <c r="Q481" s="63">
        <f t="shared" si="205"/>
        <v>251688.67</v>
      </c>
      <c r="R481" s="63">
        <f t="shared" si="205"/>
        <v>251688.67</v>
      </c>
    </row>
    <row r="482" spans="2:18" s="34" customFormat="1" ht="13.2">
      <c r="B482" s="66" t="s">
        <v>939</v>
      </c>
      <c r="C482" s="67" t="s">
        <v>940</v>
      </c>
      <c r="D482" s="68"/>
      <c r="E482" s="69"/>
      <c r="F482" s="70"/>
      <c r="G482" s="70"/>
      <c r="H482" s="70"/>
      <c r="I482" s="70">
        <f>SUM(G482:H482)+'BM 008'!I482</f>
        <v>0</v>
      </c>
      <c r="J482" s="70">
        <f t="shared" si="204"/>
        <v>0</v>
      </c>
      <c r="K482" s="71"/>
      <c r="L482" s="71">
        <f t="shared" si="203"/>
        <v>0</v>
      </c>
      <c r="M482" s="73">
        <f t="shared" ref="M482:R482" si="206">SUM(M483:M486)</f>
        <v>0</v>
      </c>
      <c r="N482" s="73">
        <f t="shared" si="206"/>
        <v>0</v>
      </c>
      <c r="O482" s="73">
        <f t="shared" si="206"/>
        <v>0</v>
      </c>
      <c r="P482" s="73">
        <f t="shared" si="206"/>
        <v>157288.71</v>
      </c>
      <c r="Q482" s="73">
        <f t="shared" si="206"/>
        <v>199379.17</v>
      </c>
      <c r="R482" s="73">
        <f t="shared" si="206"/>
        <v>199379.17</v>
      </c>
    </row>
    <row r="483" spans="2:18" s="34" customFormat="1" ht="46.2">
      <c r="B483" s="75" t="s">
        <v>941</v>
      </c>
      <c r="C483" s="76" t="s">
        <v>942</v>
      </c>
      <c r="D483" s="77" t="s">
        <v>82</v>
      </c>
      <c r="E483" s="93">
        <v>546.20000000000005</v>
      </c>
      <c r="F483" s="79"/>
      <c r="G483" s="79"/>
      <c r="H483" s="79"/>
      <c r="I483" s="79">
        <f>SUM(G483:H483)+'BM 008'!I483</f>
        <v>0</v>
      </c>
      <c r="J483" s="79">
        <f t="shared" si="204"/>
        <v>546.20000000000005</v>
      </c>
      <c r="K483" s="84">
        <v>71.55</v>
      </c>
      <c r="L483" s="81">
        <f t="shared" si="203"/>
        <v>90.696787870500003</v>
      </c>
      <c r="M483" s="82">
        <f>TRUNC(F483*L483,2)</f>
        <v>0</v>
      </c>
      <c r="N483" s="82">
        <f>TRUNC(G483*L483,2)</f>
        <v>0</v>
      </c>
      <c r="O483" s="82">
        <f>N483+'BM 008'!O483</f>
        <v>0</v>
      </c>
      <c r="P483" s="80">
        <f>E483*K483</f>
        <v>39080.61</v>
      </c>
      <c r="Q483" s="82">
        <f>TRUNC(E483*L483,2)</f>
        <v>49538.58</v>
      </c>
      <c r="R483" s="82">
        <f>Q483-O483</f>
        <v>49538.58</v>
      </c>
    </row>
    <row r="484" spans="2:18" s="34" customFormat="1" ht="46.2">
      <c r="B484" s="75" t="s">
        <v>943</v>
      </c>
      <c r="C484" s="76" t="s">
        <v>944</v>
      </c>
      <c r="D484" s="77" t="s">
        <v>124</v>
      </c>
      <c r="E484" s="93">
        <v>314</v>
      </c>
      <c r="F484" s="79"/>
      <c r="G484" s="79"/>
      <c r="H484" s="79"/>
      <c r="I484" s="79">
        <f>SUM(G484:H484)+'BM 008'!I484</f>
        <v>0</v>
      </c>
      <c r="J484" s="79">
        <f t="shared" si="204"/>
        <v>314</v>
      </c>
      <c r="K484" s="84">
        <v>120.15</v>
      </c>
      <c r="L484" s="81">
        <f t="shared" si="203"/>
        <v>152.30215321650002</v>
      </c>
      <c r="M484" s="82">
        <f>TRUNC(F484*L484,2)</f>
        <v>0</v>
      </c>
      <c r="N484" s="82">
        <f>TRUNC(G484*L484,2)</f>
        <v>0</v>
      </c>
      <c r="O484" s="82">
        <f>N484+'BM 008'!O484</f>
        <v>0</v>
      </c>
      <c r="P484" s="80">
        <f>E484*K484</f>
        <v>37727.1</v>
      </c>
      <c r="Q484" s="82">
        <f>TRUNC(E484*L484,2)</f>
        <v>47822.87</v>
      </c>
      <c r="R484" s="82">
        <f>Q484-O484</f>
        <v>47822.87</v>
      </c>
    </row>
    <row r="485" spans="2:18" s="34" customFormat="1" ht="46.2">
      <c r="B485" s="75" t="s">
        <v>945</v>
      </c>
      <c r="C485" s="76" t="s">
        <v>946</v>
      </c>
      <c r="D485" s="77" t="s">
        <v>82</v>
      </c>
      <c r="E485" s="78">
        <v>36.700000000000003</v>
      </c>
      <c r="F485" s="79"/>
      <c r="G485" s="79"/>
      <c r="H485" s="79"/>
      <c r="I485" s="79">
        <f>SUM(G485:H485)+'BM 008'!I485</f>
        <v>0</v>
      </c>
      <c r="J485" s="79">
        <f t="shared" si="204"/>
        <v>36.700000000000003</v>
      </c>
      <c r="K485" s="84">
        <v>149.85</v>
      </c>
      <c r="L485" s="81">
        <f t="shared" si="203"/>
        <v>189.94987648349999</v>
      </c>
      <c r="M485" s="82">
        <f>TRUNC(F485*L485,2)</f>
        <v>0</v>
      </c>
      <c r="N485" s="82">
        <f>TRUNC(G485*L485,2)</f>
        <v>0</v>
      </c>
      <c r="O485" s="82">
        <f>N485+'BM 008'!O485</f>
        <v>0</v>
      </c>
      <c r="P485" s="80">
        <f>E485*K485</f>
        <v>5499.4949999999999</v>
      </c>
      <c r="Q485" s="82">
        <f>TRUNC(E485*L485,2)</f>
        <v>6971.16</v>
      </c>
      <c r="R485" s="82">
        <f>Q485-O485</f>
        <v>6971.16</v>
      </c>
    </row>
    <row r="486" spans="2:18" s="34" customFormat="1" ht="46.2">
      <c r="B486" s="75" t="s">
        <v>947</v>
      </c>
      <c r="C486" s="76" t="s">
        <v>948</v>
      </c>
      <c r="D486" s="77" t="s">
        <v>82</v>
      </c>
      <c r="E486" s="93">
        <v>180.5</v>
      </c>
      <c r="F486" s="79"/>
      <c r="G486" s="79"/>
      <c r="H486" s="79"/>
      <c r="I486" s="79">
        <f>SUM(G486:H486)+'BM 008'!I486</f>
        <v>0</v>
      </c>
      <c r="J486" s="79">
        <f t="shared" si="204"/>
        <v>180.5</v>
      </c>
      <c r="K486" s="84">
        <v>415.41</v>
      </c>
      <c r="L486" s="81">
        <f t="shared" si="203"/>
        <v>526.57376169510007</v>
      </c>
      <c r="M486" s="82">
        <f>TRUNC(F486*L486,2)</f>
        <v>0</v>
      </c>
      <c r="N486" s="82">
        <f>TRUNC(G486*L486,2)</f>
        <v>0</v>
      </c>
      <c r="O486" s="82">
        <f>N486+'BM 008'!O486</f>
        <v>0</v>
      </c>
      <c r="P486" s="80">
        <f>E486*K486</f>
        <v>74981.505000000005</v>
      </c>
      <c r="Q486" s="82">
        <f>TRUNC(E486*L486,2)</f>
        <v>95046.56</v>
      </c>
      <c r="R486" s="82">
        <f>Q486-O486</f>
        <v>95046.56</v>
      </c>
    </row>
    <row r="487" spans="2:18" s="34" customFormat="1" ht="13.2">
      <c r="B487" s="66" t="s">
        <v>949</v>
      </c>
      <c r="C487" s="67" t="s">
        <v>950</v>
      </c>
      <c r="D487" s="68"/>
      <c r="E487" s="69"/>
      <c r="F487" s="70"/>
      <c r="G487" s="70"/>
      <c r="H487" s="70"/>
      <c r="I487" s="70">
        <f>SUM(G487:H487)+'BM 008'!I487</f>
        <v>0</v>
      </c>
      <c r="J487" s="70">
        <f t="shared" si="204"/>
        <v>0</v>
      </c>
      <c r="K487" s="71"/>
      <c r="L487" s="71">
        <f t="shared" si="203"/>
        <v>0</v>
      </c>
      <c r="M487" s="73">
        <f t="shared" ref="M487:R487" si="207">SUM(M488:M506)</f>
        <v>0</v>
      </c>
      <c r="N487" s="73">
        <f t="shared" si="207"/>
        <v>0</v>
      </c>
      <c r="O487" s="73">
        <f t="shared" si="207"/>
        <v>0</v>
      </c>
      <c r="P487" s="73">
        <f t="shared" si="207"/>
        <v>41266.641499999998</v>
      </c>
      <c r="Q487" s="73">
        <f t="shared" si="207"/>
        <v>52309.5</v>
      </c>
      <c r="R487" s="73">
        <f t="shared" si="207"/>
        <v>52309.5</v>
      </c>
    </row>
    <row r="488" spans="2:18" s="34" customFormat="1" ht="34.799999999999997">
      <c r="B488" s="75" t="s">
        <v>951</v>
      </c>
      <c r="C488" s="76" t="s">
        <v>952</v>
      </c>
      <c r="D488" s="77" t="s">
        <v>131</v>
      </c>
      <c r="E488" s="78">
        <v>362</v>
      </c>
      <c r="F488" s="79"/>
      <c r="G488" s="79"/>
      <c r="H488" s="79"/>
      <c r="I488" s="79">
        <f>SUM(G488:H488)+'BM 008'!I488</f>
        <v>0</v>
      </c>
      <c r="J488" s="79">
        <f t="shared" si="204"/>
        <v>362</v>
      </c>
      <c r="K488" s="84">
        <v>5.6295000000000002</v>
      </c>
      <c r="L488" s="81">
        <f t="shared" si="203"/>
        <v>7.1359548192450006</v>
      </c>
      <c r="M488" s="82">
        <f t="shared" ref="M488:M506" si="208">TRUNC(F488*L488,2)</f>
        <v>0</v>
      </c>
      <c r="N488" s="82">
        <f t="shared" ref="N488:N506" si="209">TRUNC(G488*L488,2)</f>
        <v>0</v>
      </c>
      <c r="O488" s="82">
        <f>N488+'BM 008'!O488</f>
        <v>0</v>
      </c>
      <c r="P488" s="80">
        <f t="shared" ref="P488:P506" si="210">E488*K488</f>
        <v>2037.8790000000001</v>
      </c>
      <c r="Q488" s="82">
        <f t="shared" ref="Q488:Q506" si="211">TRUNC(E488*L488,2)</f>
        <v>2583.21</v>
      </c>
      <c r="R488" s="82">
        <f t="shared" ref="R488:R506" si="212">Q488-O488</f>
        <v>2583.21</v>
      </c>
    </row>
    <row r="489" spans="2:18" s="34" customFormat="1" ht="34.799999999999997">
      <c r="B489" s="75" t="s">
        <v>953</v>
      </c>
      <c r="C489" s="76" t="s">
        <v>954</v>
      </c>
      <c r="D489" s="77" t="s">
        <v>131</v>
      </c>
      <c r="E489" s="78">
        <v>41</v>
      </c>
      <c r="F489" s="79"/>
      <c r="G489" s="79"/>
      <c r="H489" s="79"/>
      <c r="I489" s="79">
        <f>SUM(G489:H489)+'BM 008'!I489</f>
        <v>0</v>
      </c>
      <c r="J489" s="79">
        <f t="shared" si="204"/>
        <v>41</v>
      </c>
      <c r="K489" s="84">
        <v>12.771000000000001</v>
      </c>
      <c r="L489" s="81">
        <f t="shared" si="203"/>
        <v>16.188521004810003</v>
      </c>
      <c r="M489" s="82">
        <f t="shared" si="208"/>
        <v>0</v>
      </c>
      <c r="N489" s="82">
        <f t="shared" si="209"/>
        <v>0</v>
      </c>
      <c r="O489" s="82">
        <f>N489+'BM 008'!O489</f>
        <v>0</v>
      </c>
      <c r="P489" s="80">
        <f t="shared" si="210"/>
        <v>523.61099999999999</v>
      </c>
      <c r="Q489" s="82">
        <f t="shared" si="211"/>
        <v>663.72</v>
      </c>
      <c r="R489" s="82">
        <f t="shared" si="212"/>
        <v>663.72</v>
      </c>
    </row>
    <row r="490" spans="2:18" s="34" customFormat="1" ht="34.799999999999997">
      <c r="B490" s="75" t="s">
        <v>955</v>
      </c>
      <c r="C490" s="76" t="s">
        <v>956</v>
      </c>
      <c r="D490" s="77" t="s">
        <v>131</v>
      </c>
      <c r="E490" s="78">
        <v>4</v>
      </c>
      <c r="F490" s="79"/>
      <c r="G490" s="79"/>
      <c r="H490" s="79"/>
      <c r="I490" s="79">
        <f>SUM(G490:H490)+'BM 008'!I490</f>
        <v>0</v>
      </c>
      <c r="J490" s="79">
        <f t="shared" si="204"/>
        <v>4</v>
      </c>
      <c r="K490" s="84">
        <v>20.358000000000001</v>
      </c>
      <c r="L490" s="81">
        <f t="shared" si="203"/>
        <v>25.805803039380002</v>
      </c>
      <c r="M490" s="82">
        <f t="shared" si="208"/>
        <v>0</v>
      </c>
      <c r="N490" s="82">
        <f t="shared" si="209"/>
        <v>0</v>
      </c>
      <c r="O490" s="82">
        <f>N490+'BM 008'!O490</f>
        <v>0</v>
      </c>
      <c r="P490" s="80">
        <f t="shared" si="210"/>
        <v>81.432000000000002</v>
      </c>
      <c r="Q490" s="82">
        <f t="shared" si="211"/>
        <v>103.22</v>
      </c>
      <c r="R490" s="82">
        <f t="shared" si="212"/>
        <v>103.22</v>
      </c>
    </row>
    <row r="491" spans="2:18" s="34" customFormat="1" ht="34.799999999999997">
      <c r="B491" s="75" t="s">
        <v>957</v>
      </c>
      <c r="C491" s="76" t="s">
        <v>958</v>
      </c>
      <c r="D491" s="77" t="s">
        <v>131</v>
      </c>
      <c r="E491" s="78">
        <v>12</v>
      </c>
      <c r="F491" s="79"/>
      <c r="G491" s="79"/>
      <c r="H491" s="79"/>
      <c r="I491" s="79">
        <f>SUM(G491:H491)+'BM 008'!I491</f>
        <v>0</v>
      </c>
      <c r="J491" s="79">
        <f t="shared" si="204"/>
        <v>12</v>
      </c>
      <c r="K491" s="84">
        <v>68.418000000000006</v>
      </c>
      <c r="L491" s="81">
        <f t="shared" si="203"/>
        <v>86.726664325980011</v>
      </c>
      <c r="M491" s="82">
        <f t="shared" si="208"/>
        <v>0</v>
      </c>
      <c r="N491" s="82">
        <f t="shared" si="209"/>
        <v>0</v>
      </c>
      <c r="O491" s="82">
        <f>N491+'BM 008'!O491</f>
        <v>0</v>
      </c>
      <c r="P491" s="80">
        <f t="shared" si="210"/>
        <v>821.01600000000008</v>
      </c>
      <c r="Q491" s="82">
        <f t="shared" si="211"/>
        <v>1040.71</v>
      </c>
      <c r="R491" s="82">
        <f t="shared" si="212"/>
        <v>1040.71</v>
      </c>
    </row>
    <row r="492" spans="2:18" s="34" customFormat="1" ht="46.2">
      <c r="B492" s="75" t="s">
        <v>959</v>
      </c>
      <c r="C492" s="76" t="s">
        <v>960</v>
      </c>
      <c r="D492" s="77" t="s">
        <v>131</v>
      </c>
      <c r="E492" s="78">
        <v>106</v>
      </c>
      <c r="F492" s="79"/>
      <c r="G492" s="79"/>
      <c r="H492" s="79"/>
      <c r="I492" s="79">
        <f>SUM(G492:H492)+'BM 008'!I492</f>
        <v>0</v>
      </c>
      <c r="J492" s="79">
        <f t="shared" si="204"/>
        <v>106</v>
      </c>
      <c r="K492" s="84">
        <v>20.52</v>
      </c>
      <c r="L492" s="81">
        <f t="shared" si="203"/>
        <v>26.011154257200001</v>
      </c>
      <c r="M492" s="82">
        <f t="shared" si="208"/>
        <v>0</v>
      </c>
      <c r="N492" s="82">
        <f t="shared" si="209"/>
        <v>0</v>
      </c>
      <c r="O492" s="82">
        <f>N492+'BM 008'!O492</f>
        <v>0</v>
      </c>
      <c r="P492" s="80">
        <f t="shared" si="210"/>
        <v>2175.12</v>
      </c>
      <c r="Q492" s="82">
        <f t="shared" si="211"/>
        <v>2757.18</v>
      </c>
      <c r="R492" s="82">
        <f t="shared" si="212"/>
        <v>2757.18</v>
      </c>
    </row>
    <row r="493" spans="2:18" s="34" customFormat="1" ht="46.2">
      <c r="B493" s="75" t="s">
        <v>961</v>
      </c>
      <c r="C493" s="76" t="s">
        <v>962</v>
      </c>
      <c r="D493" s="77" t="s">
        <v>131</v>
      </c>
      <c r="E493" s="78">
        <v>14</v>
      </c>
      <c r="F493" s="79"/>
      <c r="G493" s="79"/>
      <c r="H493" s="79"/>
      <c r="I493" s="79">
        <f>SUM(G493:H493)+'BM 008'!I493</f>
        <v>0</v>
      </c>
      <c r="J493" s="79">
        <f t="shared" si="204"/>
        <v>14</v>
      </c>
      <c r="K493" s="84">
        <v>11.4885</v>
      </c>
      <c r="L493" s="81">
        <f t="shared" si="203"/>
        <v>14.562823863735002</v>
      </c>
      <c r="M493" s="82">
        <f t="shared" si="208"/>
        <v>0</v>
      </c>
      <c r="N493" s="82">
        <f t="shared" si="209"/>
        <v>0</v>
      </c>
      <c r="O493" s="82">
        <f>N493+'BM 008'!O493</f>
        <v>0</v>
      </c>
      <c r="P493" s="80">
        <f t="shared" si="210"/>
        <v>160.839</v>
      </c>
      <c r="Q493" s="82">
        <f t="shared" si="211"/>
        <v>203.87</v>
      </c>
      <c r="R493" s="82">
        <f t="shared" si="212"/>
        <v>203.87</v>
      </c>
    </row>
    <row r="494" spans="2:18" s="34" customFormat="1" ht="46.2">
      <c r="B494" s="75" t="s">
        <v>963</v>
      </c>
      <c r="C494" s="76" t="s">
        <v>964</v>
      </c>
      <c r="D494" s="77" t="s">
        <v>131</v>
      </c>
      <c r="E494" s="78">
        <v>6</v>
      </c>
      <c r="F494" s="79"/>
      <c r="G494" s="79"/>
      <c r="H494" s="79"/>
      <c r="I494" s="79">
        <f>SUM(G494:H494)+'BM 008'!I494</f>
        <v>0</v>
      </c>
      <c r="J494" s="79">
        <f t="shared" si="204"/>
        <v>6</v>
      </c>
      <c r="K494" s="84">
        <v>13.432499999999999</v>
      </c>
      <c r="L494" s="81">
        <f t="shared" si="203"/>
        <v>17.027038477575001</v>
      </c>
      <c r="M494" s="82">
        <f t="shared" si="208"/>
        <v>0</v>
      </c>
      <c r="N494" s="82">
        <f t="shared" si="209"/>
        <v>0</v>
      </c>
      <c r="O494" s="82">
        <f>N494+'BM 008'!O494</f>
        <v>0</v>
      </c>
      <c r="P494" s="80">
        <f t="shared" si="210"/>
        <v>80.594999999999999</v>
      </c>
      <c r="Q494" s="82">
        <f t="shared" si="211"/>
        <v>102.16</v>
      </c>
      <c r="R494" s="82">
        <f t="shared" si="212"/>
        <v>102.16</v>
      </c>
    </row>
    <row r="495" spans="2:18" s="34" customFormat="1" ht="23.4">
      <c r="B495" s="75" t="s">
        <v>965</v>
      </c>
      <c r="C495" s="76" t="s">
        <v>966</v>
      </c>
      <c r="D495" s="77" t="s">
        <v>131</v>
      </c>
      <c r="E495" s="78">
        <v>3</v>
      </c>
      <c r="F495" s="79"/>
      <c r="G495" s="79"/>
      <c r="H495" s="79"/>
      <c r="I495" s="79">
        <f>SUM(G495:H495)+'BM 008'!I495</f>
        <v>0</v>
      </c>
      <c r="J495" s="79">
        <f t="shared" si="204"/>
        <v>3</v>
      </c>
      <c r="K495" s="84">
        <v>42.214500000000001</v>
      </c>
      <c r="L495" s="81">
        <f t="shared" si="203"/>
        <v>53.511104843595007</v>
      </c>
      <c r="M495" s="82">
        <f t="shared" si="208"/>
        <v>0</v>
      </c>
      <c r="N495" s="82">
        <f t="shared" si="209"/>
        <v>0</v>
      </c>
      <c r="O495" s="82">
        <f>N495+'BM 008'!O495</f>
        <v>0</v>
      </c>
      <c r="P495" s="80">
        <f t="shared" si="210"/>
        <v>126.6435</v>
      </c>
      <c r="Q495" s="82">
        <f t="shared" si="211"/>
        <v>160.53</v>
      </c>
      <c r="R495" s="82">
        <f t="shared" si="212"/>
        <v>160.53</v>
      </c>
    </row>
    <row r="496" spans="2:18" s="34" customFormat="1" ht="34.799999999999997">
      <c r="B496" s="75" t="s">
        <v>967</v>
      </c>
      <c r="C496" s="76" t="s">
        <v>968</v>
      </c>
      <c r="D496" s="77" t="s">
        <v>131</v>
      </c>
      <c r="E496" s="78">
        <v>51</v>
      </c>
      <c r="F496" s="79"/>
      <c r="G496" s="79"/>
      <c r="H496" s="79"/>
      <c r="I496" s="79">
        <f>SUM(G496:H496)+'BM 008'!I496</f>
        <v>0</v>
      </c>
      <c r="J496" s="79">
        <f t="shared" si="204"/>
        <v>51</v>
      </c>
      <c r="K496" s="84">
        <v>15.1335</v>
      </c>
      <c r="L496" s="81">
        <f t="shared" si="203"/>
        <v>19.183226264685</v>
      </c>
      <c r="M496" s="82">
        <f t="shared" si="208"/>
        <v>0</v>
      </c>
      <c r="N496" s="82">
        <f t="shared" si="209"/>
        <v>0</v>
      </c>
      <c r="O496" s="82">
        <f>N496+'BM 008'!O496</f>
        <v>0</v>
      </c>
      <c r="P496" s="80">
        <f t="shared" si="210"/>
        <v>771.80849999999998</v>
      </c>
      <c r="Q496" s="82">
        <f t="shared" si="211"/>
        <v>978.34</v>
      </c>
      <c r="R496" s="82">
        <f t="shared" si="212"/>
        <v>978.34</v>
      </c>
    </row>
    <row r="497" spans="2:18" s="34" customFormat="1" ht="34.799999999999997">
      <c r="B497" s="75" t="s">
        <v>969</v>
      </c>
      <c r="C497" s="76" t="s">
        <v>970</v>
      </c>
      <c r="D497" s="77" t="s">
        <v>131</v>
      </c>
      <c r="E497" s="78">
        <v>8</v>
      </c>
      <c r="F497" s="79"/>
      <c r="G497" s="79"/>
      <c r="H497" s="79"/>
      <c r="I497" s="79">
        <f>SUM(G497:H497)+'BM 008'!I497</f>
        <v>0</v>
      </c>
      <c r="J497" s="79">
        <f t="shared" si="204"/>
        <v>8</v>
      </c>
      <c r="K497" s="84">
        <v>23.638500000000001</v>
      </c>
      <c r="L497" s="81">
        <f t="shared" si="203"/>
        <v>29.964165200235001</v>
      </c>
      <c r="M497" s="82">
        <f t="shared" si="208"/>
        <v>0</v>
      </c>
      <c r="N497" s="82">
        <f t="shared" si="209"/>
        <v>0</v>
      </c>
      <c r="O497" s="82">
        <f>N497+'BM 008'!O497</f>
        <v>0</v>
      </c>
      <c r="P497" s="80">
        <f t="shared" si="210"/>
        <v>189.108</v>
      </c>
      <c r="Q497" s="82">
        <f t="shared" si="211"/>
        <v>239.71</v>
      </c>
      <c r="R497" s="82">
        <f t="shared" si="212"/>
        <v>239.71</v>
      </c>
    </row>
    <row r="498" spans="2:18" s="34" customFormat="1" ht="34.799999999999997">
      <c r="B498" s="75" t="s">
        <v>971</v>
      </c>
      <c r="C498" s="76" t="s">
        <v>972</v>
      </c>
      <c r="D498" s="77" t="s">
        <v>131</v>
      </c>
      <c r="E498" s="78">
        <v>3</v>
      </c>
      <c r="F498" s="79"/>
      <c r="G498" s="79"/>
      <c r="H498" s="79"/>
      <c r="I498" s="79">
        <f>SUM(G498:H498)+'BM 008'!I498</f>
        <v>0</v>
      </c>
      <c r="J498" s="79">
        <f t="shared" si="204"/>
        <v>3</v>
      </c>
      <c r="K498" s="84">
        <v>32.656500000000001</v>
      </c>
      <c r="L498" s="81">
        <f t="shared" si="203"/>
        <v>41.395382992215005</v>
      </c>
      <c r="M498" s="82">
        <f t="shared" si="208"/>
        <v>0</v>
      </c>
      <c r="N498" s="82">
        <f t="shared" si="209"/>
        <v>0</v>
      </c>
      <c r="O498" s="82">
        <f>N498+'BM 008'!O498</f>
        <v>0</v>
      </c>
      <c r="P498" s="80">
        <f t="shared" si="210"/>
        <v>97.969500000000011</v>
      </c>
      <c r="Q498" s="82">
        <f t="shared" si="211"/>
        <v>124.18</v>
      </c>
      <c r="R498" s="82">
        <f t="shared" si="212"/>
        <v>124.18</v>
      </c>
    </row>
    <row r="499" spans="2:18" s="34" customFormat="1" ht="23.4">
      <c r="B499" s="75" t="s">
        <v>973</v>
      </c>
      <c r="C499" s="76" t="s">
        <v>974</v>
      </c>
      <c r="D499" s="77" t="s">
        <v>131</v>
      </c>
      <c r="E499" s="78">
        <v>14</v>
      </c>
      <c r="F499" s="79"/>
      <c r="G499" s="79"/>
      <c r="H499" s="79"/>
      <c r="I499" s="79">
        <f>SUM(G499:H499)+'BM 008'!I499</f>
        <v>0</v>
      </c>
      <c r="J499" s="79">
        <f t="shared" si="204"/>
        <v>14</v>
      </c>
      <c r="K499" s="84">
        <v>24.003</v>
      </c>
      <c r="L499" s="81">
        <f t="shared" si="203"/>
        <v>30.426205440330001</v>
      </c>
      <c r="M499" s="82">
        <f t="shared" si="208"/>
        <v>0</v>
      </c>
      <c r="N499" s="82">
        <f t="shared" si="209"/>
        <v>0</v>
      </c>
      <c r="O499" s="82">
        <f>N499+'BM 008'!O499</f>
        <v>0</v>
      </c>
      <c r="P499" s="80">
        <f t="shared" si="210"/>
        <v>336.04200000000003</v>
      </c>
      <c r="Q499" s="82">
        <f t="shared" si="211"/>
        <v>425.96</v>
      </c>
      <c r="R499" s="82">
        <f t="shared" si="212"/>
        <v>425.96</v>
      </c>
    </row>
    <row r="500" spans="2:18" s="34" customFormat="1" ht="23.4">
      <c r="B500" s="75" t="s">
        <v>975</v>
      </c>
      <c r="C500" s="76" t="s">
        <v>976</v>
      </c>
      <c r="D500" s="77" t="s">
        <v>131</v>
      </c>
      <c r="E500" s="78">
        <v>47</v>
      </c>
      <c r="F500" s="79"/>
      <c r="G500" s="79"/>
      <c r="H500" s="79"/>
      <c r="I500" s="79">
        <f>SUM(G500:H500)+'BM 008'!I500</f>
        <v>0</v>
      </c>
      <c r="J500" s="79">
        <f t="shared" si="204"/>
        <v>47</v>
      </c>
      <c r="K500" s="84">
        <v>54.7425</v>
      </c>
      <c r="L500" s="81">
        <f t="shared" si="203"/>
        <v>69.391599021675006</v>
      </c>
      <c r="M500" s="82">
        <f t="shared" si="208"/>
        <v>0</v>
      </c>
      <c r="N500" s="82">
        <f t="shared" si="209"/>
        <v>0</v>
      </c>
      <c r="O500" s="82">
        <f>N500+'BM 008'!O500</f>
        <v>0</v>
      </c>
      <c r="P500" s="80">
        <f t="shared" si="210"/>
        <v>2572.8975</v>
      </c>
      <c r="Q500" s="82">
        <f t="shared" si="211"/>
        <v>3261.4</v>
      </c>
      <c r="R500" s="82">
        <f t="shared" si="212"/>
        <v>3261.4</v>
      </c>
    </row>
    <row r="501" spans="2:18" s="34" customFormat="1" ht="23.4">
      <c r="B501" s="75" t="s">
        <v>977</v>
      </c>
      <c r="C501" s="76" t="s">
        <v>978</v>
      </c>
      <c r="D501" s="77" t="s">
        <v>131</v>
      </c>
      <c r="E501" s="78">
        <v>3</v>
      </c>
      <c r="F501" s="79"/>
      <c r="G501" s="79"/>
      <c r="H501" s="79"/>
      <c r="I501" s="79">
        <f>SUM(G501:H501)+'BM 008'!I501</f>
        <v>0</v>
      </c>
      <c r="J501" s="79">
        <f t="shared" si="204"/>
        <v>3</v>
      </c>
      <c r="K501" s="84">
        <v>79.393500000000003</v>
      </c>
      <c r="L501" s="81">
        <f t="shared" si="203"/>
        <v>100.63920933328501</v>
      </c>
      <c r="M501" s="82">
        <f t="shared" si="208"/>
        <v>0</v>
      </c>
      <c r="N501" s="82">
        <f t="shared" si="209"/>
        <v>0</v>
      </c>
      <c r="O501" s="82">
        <f>N501+'BM 008'!O501</f>
        <v>0</v>
      </c>
      <c r="P501" s="80">
        <f t="shared" si="210"/>
        <v>238.18049999999999</v>
      </c>
      <c r="Q501" s="82">
        <f t="shared" si="211"/>
        <v>301.91000000000003</v>
      </c>
      <c r="R501" s="82">
        <f t="shared" si="212"/>
        <v>301.91000000000003</v>
      </c>
    </row>
    <row r="502" spans="2:18" s="34" customFormat="1" ht="34.799999999999997">
      <c r="B502" s="75" t="s">
        <v>979</v>
      </c>
      <c r="C502" s="76" t="s">
        <v>980</v>
      </c>
      <c r="D502" s="77" t="s">
        <v>131</v>
      </c>
      <c r="E502" s="78">
        <v>3</v>
      </c>
      <c r="F502" s="79"/>
      <c r="G502" s="79"/>
      <c r="H502" s="79"/>
      <c r="I502" s="79">
        <f>SUM(G502:H502)+'BM 008'!I502</f>
        <v>0</v>
      </c>
      <c r="J502" s="79">
        <f t="shared" si="204"/>
        <v>3</v>
      </c>
      <c r="K502" s="84">
        <v>634.5</v>
      </c>
      <c r="L502" s="81">
        <f t="shared" si="203"/>
        <v>804.29226979500004</v>
      </c>
      <c r="M502" s="82">
        <f t="shared" si="208"/>
        <v>0</v>
      </c>
      <c r="N502" s="82">
        <f t="shared" si="209"/>
        <v>0</v>
      </c>
      <c r="O502" s="82">
        <f>N502+'BM 008'!O502</f>
        <v>0</v>
      </c>
      <c r="P502" s="80">
        <f t="shared" si="210"/>
        <v>1903.5</v>
      </c>
      <c r="Q502" s="82">
        <f t="shared" si="211"/>
        <v>2412.87</v>
      </c>
      <c r="R502" s="82">
        <f t="shared" si="212"/>
        <v>2412.87</v>
      </c>
    </row>
    <row r="503" spans="2:18" s="34" customFormat="1" ht="23.4">
      <c r="B503" s="75" t="s">
        <v>981</v>
      </c>
      <c r="C503" s="76" t="s">
        <v>982</v>
      </c>
      <c r="D503" s="77" t="s">
        <v>131</v>
      </c>
      <c r="E503" s="78">
        <v>6</v>
      </c>
      <c r="F503" s="79"/>
      <c r="G503" s="79"/>
      <c r="H503" s="79"/>
      <c r="I503" s="79">
        <f>SUM(G503:H503)+'BM 008'!I503</f>
        <v>0</v>
      </c>
      <c r="J503" s="79">
        <f t="shared" si="204"/>
        <v>6</v>
      </c>
      <c r="K503" s="84">
        <v>985</v>
      </c>
      <c r="L503" s="81">
        <f t="shared" si="203"/>
        <v>1248.5861083500001</v>
      </c>
      <c r="M503" s="82">
        <f t="shared" si="208"/>
        <v>0</v>
      </c>
      <c r="N503" s="82">
        <f t="shared" si="209"/>
        <v>0</v>
      </c>
      <c r="O503" s="82">
        <f>N503+'BM 008'!O503</f>
        <v>0</v>
      </c>
      <c r="P503" s="80">
        <f t="shared" si="210"/>
        <v>5910</v>
      </c>
      <c r="Q503" s="82">
        <f t="shared" si="211"/>
        <v>7491.51</v>
      </c>
      <c r="R503" s="82">
        <f t="shared" si="212"/>
        <v>7491.51</v>
      </c>
    </row>
    <row r="504" spans="2:18" s="34" customFormat="1" ht="23.4">
      <c r="B504" s="75" t="s">
        <v>983</v>
      </c>
      <c r="C504" s="76" t="s">
        <v>984</v>
      </c>
      <c r="D504" s="77" t="s">
        <v>131</v>
      </c>
      <c r="E504" s="78">
        <v>6</v>
      </c>
      <c r="F504" s="79"/>
      <c r="G504" s="79"/>
      <c r="H504" s="79"/>
      <c r="I504" s="79">
        <f>SUM(G504:H504)+'BM 008'!I504</f>
        <v>0</v>
      </c>
      <c r="J504" s="79">
        <f t="shared" si="204"/>
        <v>6</v>
      </c>
      <c r="K504" s="84">
        <v>895</v>
      </c>
      <c r="L504" s="81">
        <f t="shared" si="203"/>
        <v>1134.5020984499999</v>
      </c>
      <c r="M504" s="82">
        <f t="shared" si="208"/>
        <v>0</v>
      </c>
      <c r="N504" s="82">
        <f t="shared" si="209"/>
        <v>0</v>
      </c>
      <c r="O504" s="82">
        <f>N504+'BM 008'!O504</f>
        <v>0</v>
      </c>
      <c r="P504" s="80">
        <f t="shared" si="210"/>
        <v>5370</v>
      </c>
      <c r="Q504" s="82">
        <f t="shared" si="211"/>
        <v>6807.01</v>
      </c>
      <c r="R504" s="82">
        <f t="shared" si="212"/>
        <v>6807.01</v>
      </c>
    </row>
    <row r="505" spans="2:18" s="34" customFormat="1" ht="23.4">
      <c r="B505" s="75" t="s">
        <v>985</v>
      </c>
      <c r="C505" s="76" t="s">
        <v>986</v>
      </c>
      <c r="D505" s="77" t="s">
        <v>131</v>
      </c>
      <c r="E505" s="78">
        <v>6</v>
      </c>
      <c r="F505" s="79"/>
      <c r="G505" s="79"/>
      <c r="H505" s="79"/>
      <c r="I505" s="79">
        <f>SUM(G505:H505)+'BM 008'!I505</f>
        <v>0</v>
      </c>
      <c r="J505" s="79">
        <f t="shared" si="204"/>
        <v>6</v>
      </c>
      <c r="K505" s="84">
        <v>895</v>
      </c>
      <c r="L505" s="81">
        <f t="shared" si="203"/>
        <v>1134.5020984499999</v>
      </c>
      <c r="M505" s="82">
        <f t="shared" si="208"/>
        <v>0</v>
      </c>
      <c r="N505" s="82">
        <f t="shared" si="209"/>
        <v>0</v>
      </c>
      <c r="O505" s="82">
        <f>N505+'BM 008'!O505</f>
        <v>0</v>
      </c>
      <c r="P505" s="80">
        <f t="shared" si="210"/>
        <v>5370</v>
      </c>
      <c r="Q505" s="82">
        <f t="shared" si="211"/>
        <v>6807.01</v>
      </c>
      <c r="R505" s="82">
        <f t="shared" si="212"/>
        <v>6807.01</v>
      </c>
    </row>
    <row r="506" spans="2:18" s="34" customFormat="1" ht="34.799999999999997">
      <c r="B506" s="75" t="s">
        <v>987</v>
      </c>
      <c r="C506" s="76" t="s">
        <v>988</v>
      </c>
      <c r="D506" s="77" t="s">
        <v>131</v>
      </c>
      <c r="E506" s="78">
        <v>20</v>
      </c>
      <c r="F506" s="79"/>
      <c r="G506" s="79"/>
      <c r="H506" s="79"/>
      <c r="I506" s="79">
        <f>SUM(G506:H506)+'BM 008'!I506</f>
        <v>0</v>
      </c>
      <c r="J506" s="79">
        <f t="shared" si="204"/>
        <v>20</v>
      </c>
      <c r="K506" s="84">
        <v>625</v>
      </c>
      <c r="L506" s="81">
        <f t="shared" si="203"/>
        <v>792.25006875000008</v>
      </c>
      <c r="M506" s="82">
        <f t="shared" si="208"/>
        <v>0</v>
      </c>
      <c r="N506" s="82">
        <f t="shared" si="209"/>
        <v>0</v>
      </c>
      <c r="O506" s="82">
        <f>N506+'BM 008'!O506</f>
        <v>0</v>
      </c>
      <c r="P506" s="80">
        <f t="shared" si="210"/>
        <v>12500</v>
      </c>
      <c r="Q506" s="82">
        <f t="shared" si="211"/>
        <v>15845</v>
      </c>
      <c r="R506" s="82">
        <f t="shared" si="212"/>
        <v>15845</v>
      </c>
    </row>
    <row r="507" spans="2:18" s="34" customFormat="1" ht="13.2">
      <c r="B507" s="60" t="s">
        <v>989</v>
      </c>
      <c r="C507" s="61" t="s">
        <v>990</v>
      </c>
      <c r="D507" s="60"/>
      <c r="E507" s="62"/>
      <c r="F507" s="63"/>
      <c r="G507" s="63"/>
      <c r="H507" s="63"/>
      <c r="I507" s="63">
        <f>SUM(G507:H507)+'BM 008'!I507</f>
        <v>0</v>
      </c>
      <c r="J507" s="63">
        <f t="shared" si="204"/>
        <v>0</v>
      </c>
      <c r="K507" s="63"/>
      <c r="L507" s="63">
        <f t="shared" si="203"/>
        <v>0</v>
      </c>
      <c r="M507" s="63">
        <f t="shared" ref="M507:R507" si="213">SUM(M508,M520,M552,M554)</f>
        <v>0</v>
      </c>
      <c r="N507" s="63">
        <f t="shared" si="213"/>
        <v>0</v>
      </c>
      <c r="O507" s="63">
        <f t="shared" si="213"/>
        <v>1262.51</v>
      </c>
      <c r="P507" s="63">
        <f t="shared" si="213"/>
        <v>248226.55</v>
      </c>
      <c r="Q507" s="63">
        <f t="shared" si="213"/>
        <v>314651.83</v>
      </c>
      <c r="R507" s="63">
        <f t="shared" si="213"/>
        <v>313389.32</v>
      </c>
    </row>
    <row r="508" spans="2:18" s="34" customFormat="1" ht="13.2">
      <c r="B508" s="66" t="s">
        <v>991</v>
      </c>
      <c r="C508" s="67" t="s">
        <v>992</v>
      </c>
      <c r="D508" s="68"/>
      <c r="E508" s="69"/>
      <c r="F508" s="70"/>
      <c r="G508" s="70"/>
      <c r="H508" s="70"/>
      <c r="I508" s="70">
        <f>SUM(G508:H508)+'BM 008'!I508</f>
        <v>0</v>
      </c>
      <c r="J508" s="70">
        <f t="shared" si="204"/>
        <v>0</v>
      </c>
      <c r="K508" s="71"/>
      <c r="L508" s="71">
        <f t="shared" si="203"/>
        <v>0</v>
      </c>
      <c r="M508" s="73">
        <f t="shared" ref="M508:R508" si="214">SUM(M509:M519)</f>
        <v>0</v>
      </c>
      <c r="N508" s="73">
        <f t="shared" si="214"/>
        <v>0</v>
      </c>
      <c r="O508" s="73">
        <f t="shared" si="214"/>
        <v>836.61</v>
      </c>
      <c r="P508" s="73">
        <f t="shared" si="214"/>
        <v>96780</v>
      </c>
      <c r="Q508" s="73">
        <f t="shared" si="214"/>
        <v>122678.3</v>
      </c>
      <c r="R508" s="73">
        <f t="shared" si="214"/>
        <v>121841.69</v>
      </c>
    </row>
    <row r="509" spans="2:18" s="34" customFormat="1" ht="23.4">
      <c r="B509" s="75" t="s">
        <v>993</v>
      </c>
      <c r="C509" s="76" t="s">
        <v>994</v>
      </c>
      <c r="D509" s="77" t="s">
        <v>124</v>
      </c>
      <c r="E509" s="93">
        <v>300</v>
      </c>
      <c r="F509" s="79"/>
      <c r="G509" s="79"/>
      <c r="H509" s="79"/>
      <c r="I509" s="79">
        <f>SUM(G509:H509)+'BM 008'!I509</f>
        <v>0</v>
      </c>
      <c r="J509" s="79">
        <f t="shared" si="204"/>
        <v>300</v>
      </c>
      <c r="K509" s="84">
        <v>18</v>
      </c>
      <c r="L509" s="81">
        <f t="shared" si="203"/>
        <v>22.816801980000001</v>
      </c>
      <c r="M509" s="82">
        <f t="shared" ref="M509:M519" si="215">TRUNC(F509*L509,2)</f>
        <v>0</v>
      </c>
      <c r="N509" s="82">
        <f t="shared" ref="N509:N519" si="216">TRUNC(G509*L509,2)</f>
        <v>0</v>
      </c>
      <c r="O509" s="82">
        <f>N509+'BM 008'!O509</f>
        <v>0</v>
      </c>
      <c r="P509" s="80">
        <f t="shared" ref="P509:P519" si="217">E509*K509</f>
        <v>5400</v>
      </c>
      <c r="Q509" s="82">
        <f t="shared" ref="Q509:Q519" si="218">TRUNC(E509*L509,2)</f>
        <v>6845.04</v>
      </c>
      <c r="R509" s="82">
        <f t="shared" ref="R509:R519" si="219">Q509-O509</f>
        <v>6845.04</v>
      </c>
    </row>
    <row r="510" spans="2:18" s="34" customFormat="1" ht="34.799999999999997">
      <c r="B510" s="75" t="s">
        <v>995</v>
      </c>
      <c r="C510" s="76" t="s">
        <v>996</v>
      </c>
      <c r="D510" s="77" t="s">
        <v>390</v>
      </c>
      <c r="E510" s="93">
        <v>60</v>
      </c>
      <c r="F510" s="79"/>
      <c r="G510" s="79"/>
      <c r="H510" s="79"/>
      <c r="I510" s="79">
        <f>SUM(G510:H510)+'BM 008'!I510</f>
        <v>0</v>
      </c>
      <c r="J510" s="79">
        <f t="shared" si="204"/>
        <v>60</v>
      </c>
      <c r="K510" s="84">
        <v>39</v>
      </c>
      <c r="L510" s="81">
        <f t="shared" si="203"/>
        <v>49.436404289999999</v>
      </c>
      <c r="M510" s="82">
        <f t="shared" si="215"/>
        <v>0</v>
      </c>
      <c r="N510" s="82">
        <f t="shared" si="216"/>
        <v>0</v>
      </c>
      <c r="O510" s="82">
        <f>N510+'BM 008'!O510</f>
        <v>0</v>
      </c>
      <c r="P510" s="80">
        <f t="shared" si="217"/>
        <v>2340</v>
      </c>
      <c r="Q510" s="82">
        <f t="shared" si="218"/>
        <v>2966.18</v>
      </c>
      <c r="R510" s="82">
        <f t="shared" si="219"/>
        <v>2966.18</v>
      </c>
    </row>
    <row r="511" spans="2:18" s="34" customFormat="1" ht="13.2">
      <c r="B511" s="75" t="s">
        <v>997</v>
      </c>
      <c r="C511" s="76" t="s">
        <v>998</v>
      </c>
      <c r="D511" s="77" t="s">
        <v>390</v>
      </c>
      <c r="E511" s="93">
        <v>60</v>
      </c>
      <c r="F511" s="79"/>
      <c r="G511" s="79"/>
      <c r="H511" s="79"/>
      <c r="I511" s="79">
        <f>SUM(G511:H511)+'BM 008'!I511</f>
        <v>0</v>
      </c>
      <c r="J511" s="79">
        <f t="shared" si="204"/>
        <v>60</v>
      </c>
      <c r="K511" s="84">
        <v>18</v>
      </c>
      <c r="L511" s="81">
        <f t="shared" si="203"/>
        <v>22.816801980000001</v>
      </c>
      <c r="M511" s="82">
        <f t="shared" si="215"/>
        <v>0</v>
      </c>
      <c r="N511" s="82">
        <f t="shared" si="216"/>
        <v>0</v>
      </c>
      <c r="O511" s="82">
        <f>N511+'BM 008'!O511</f>
        <v>0</v>
      </c>
      <c r="P511" s="80">
        <f t="shared" si="217"/>
        <v>1080</v>
      </c>
      <c r="Q511" s="82">
        <f t="shared" si="218"/>
        <v>1369</v>
      </c>
      <c r="R511" s="82">
        <f t="shared" si="219"/>
        <v>1369</v>
      </c>
    </row>
    <row r="512" spans="2:18" s="34" customFormat="1" ht="46.2">
      <c r="B512" s="75" t="s">
        <v>999</v>
      </c>
      <c r="C512" s="76" t="s">
        <v>1000</v>
      </c>
      <c r="D512" s="77" t="s">
        <v>124</v>
      </c>
      <c r="E512" s="93">
        <v>210</v>
      </c>
      <c r="F512" s="79"/>
      <c r="G512" s="79"/>
      <c r="H512" s="79"/>
      <c r="I512" s="79">
        <f>SUM(G512:H512)+'BM 008'!I512</f>
        <v>0</v>
      </c>
      <c r="J512" s="79">
        <f t="shared" si="204"/>
        <v>210</v>
      </c>
      <c r="K512" s="84">
        <v>40</v>
      </c>
      <c r="L512" s="81">
        <f t="shared" si="203"/>
        <v>50.704004400000002</v>
      </c>
      <c r="M512" s="82">
        <f t="shared" si="215"/>
        <v>0</v>
      </c>
      <c r="N512" s="82">
        <f t="shared" si="216"/>
        <v>0</v>
      </c>
      <c r="O512" s="82">
        <f>N512+'BM 008'!O512</f>
        <v>0</v>
      </c>
      <c r="P512" s="80">
        <f t="shared" si="217"/>
        <v>8400</v>
      </c>
      <c r="Q512" s="82">
        <f t="shared" si="218"/>
        <v>10647.84</v>
      </c>
      <c r="R512" s="82">
        <f t="shared" si="219"/>
        <v>10647.84</v>
      </c>
    </row>
    <row r="513" spans="2:18" s="34" customFormat="1" ht="46.2">
      <c r="B513" s="75" t="s">
        <v>1001</v>
      </c>
      <c r="C513" s="76" t="s">
        <v>1002</v>
      </c>
      <c r="D513" s="77" t="s">
        <v>124</v>
      </c>
      <c r="E513" s="93">
        <v>120</v>
      </c>
      <c r="F513" s="79"/>
      <c r="G513" s="79"/>
      <c r="H513" s="79"/>
      <c r="I513" s="79">
        <f>SUM(G513:H513)+'BM 008'!I513</f>
        <v>0</v>
      </c>
      <c r="J513" s="79">
        <f t="shared" si="204"/>
        <v>120</v>
      </c>
      <c r="K513" s="84">
        <v>75</v>
      </c>
      <c r="L513" s="81">
        <f t="shared" si="203"/>
        <v>95.070008250000001</v>
      </c>
      <c r="M513" s="82">
        <f t="shared" si="215"/>
        <v>0</v>
      </c>
      <c r="N513" s="82">
        <f t="shared" si="216"/>
        <v>0</v>
      </c>
      <c r="O513" s="82">
        <f>N513+'BM 008'!O513</f>
        <v>0</v>
      </c>
      <c r="P513" s="80">
        <f t="shared" si="217"/>
        <v>9000</v>
      </c>
      <c r="Q513" s="82">
        <f t="shared" si="218"/>
        <v>11408.4</v>
      </c>
      <c r="R513" s="82">
        <f t="shared" si="219"/>
        <v>11408.4</v>
      </c>
    </row>
    <row r="514" spans="2:18" s="34" customFormat="1" ht="46.2">
      <c r="B514" s="75" t="s">
        <v>1003</v>
      </c>
      <c r="C514" s="76" t="s">
        <v>1004</v>
      </c>
      <c r="D514" s="77" t="s">
        <v>124</v>
      </c>
      <c r="E514" s="93">
        <v>36</v>
      </c>
      <c r="F514" s="79"/>
      <c r="G514" s="79"/>
      <c r="H514" s="79"/>
      <c r="I514" s="79">
        <f>SUM(G514:H514)+'BM 008'!I514</f>
        <v>0</v>
      </c>
      <c r="J514" s="79">
        <f t="shared" si="204"/>
        <v>36</v>
      </c>
      <c r="K514" s="84">
        <v>130</v>
      </c>
      <c r="L514" s="81">
        <f t="shared" si="203"/>
        <v>164.78801430000001</v>
      </c>
      <c r="M514" s="82">
        <f t="shared" si="215"/>
        <v>0</v>
      </c>
      <c r="N514" s="82">
        <f t="shared" si="216"/>
        <v>0</v>
      </c>
      <c r="O514" s="82">
        <f>N514+'BM 008'!O514</f>
        <v>0</v>
      </c>
      <c r="P514" s="80">
        <f t="shared" si="217"/>
        <v>4680</v>
      </c>
      <c r="Q514" s="82">
        <f t="shared" si="218"/>
        <v>5932.36</v>
      </c>
      <c r="R514" s="82">
        <f t="shared" si="219"/>
        <v>5932.36</v>
      </c>
    </row>
    <row r="515" spans="2:18" s="34" customFormat="1" ht="46.2">
      <c r="B515" s="75" t="s">
        <v>1005</v>
      </c>
      <c r="C515" s="76" t="s">
        <v>1006</v>
      </c>
      <c r="D515" s="77" t="s">
        <v>124</v>
      </c>
      <c r="E515" s="93">
        <v>36</v>
      </c>
      <c r="F515" s="79"/>
      <c r="G515" s="79"/>
      <c r="H515" s="79"/>
      <c r="I515" s="79">
        <f>SUM(G515:H515)+'BM 008'!I515</f>
        <v>0</v>
      </c>
      <c r="J515" s="79">
        <f t="shared" si="204"/>
        <v>36</v>
      </c>
      <c r="K515" s="84">
        <v>180</v>
      </c>
      <c r="L515" s="81">
        <f t="shared" si="203"/>
        <v>228.16801980000002</v>
      </c>
      <c r="M515" s="82">
        <f t="shared" si="215"/>
        <v>0</v>
      </c>
      <c r="N515" s="82">
        <f t="shared" si="216"/>
        <v>0</v>
      </c>
      <c r="O515" s="82">
        <f>N515+'BM 008'!O515</f>
        <v>0</v>
      </c>
      <c r="P515" s="80">
        <f t="shared" si="217"/>
        <v>6480</v>
      </c>
      <c r="Q515" s="82">
        <f t="shared" si="218"/>
        <v>8214.0400000000009</v>
      </c>
      <c r="R515" s="82">
        <f t="shared" si="219"/>
        <v>8214.0400000000009</v>
      </c>
    </row>
    <row r="516" spans="2:18" s="34" customFormat="1" ht="46.2">
      <c r="B516" s="75" t="s">
        <v>1007</v>
      </c>
      <c r="C516" s="76" t="s">
        <v>1008</v>
      </c>
      <c r="D516" s="77" t="s">
        <v>124</v>
      </c>
      <c r="E516" s="93">
        <v>120</v>
      </c>
      <c r="F516" s="79"/>
      <c r="G516" s="79"/>
      <c r="H516" s="79"/>
      <c r="I516" s="79">
        <f>SUM(G516:H516)+'BM 008'!I516</f>
        <v>6</v>
      </c>
      <c r="J516" s="79">
        <f t="shared" si="204"/>
        <v>114</v>
      </c>
      <c r="K516" s="84">
        <v>110</v>
      </c>
      <c r="L516" s="81">
        <f t="shared" si="203"/>
        <v>139.4360121</v>
      </c>
      <c r="M516" s="82">
        <f t="shared" si="215"/>
        <v>0</v>
      </c>
      <c r="N516" s="82">
        <f t="shared" si="216"/>
        <v>0</v>
      </c>
      <c r="O516" s="82">
        <f>N516+'BM 008'!O516</f>
        <v>836.61</v>
      </c>
      <c r="P516" s="80">
        <f t="shared" si="217"/>
        <v>13200</v>
      </c>
      <c r="Q516" s="82">
        <f t="shared" si="218"/>
        <v>16732.32</v>
      </c>
      <c r="R516" s="82">
        <f t="shared" si="219"/>
        <v>15895.71</v>
      </c>
    </row>
    <row r="517" spans="2:18" s="34" customFormat="1" ht="46.2">
      <c r="B517" s="75" t="s">
        <v>1009</v>
      </c>
      <c r="C517" s="76" t="s">
        <v>1010</v>
      </c>
      <c r="D517" s="77" t="s">
        <v>124</v>
      </c>
      <c r="E517" s="93">
        <v>120</v>
      </c>
      <c r="F517" s="79"/>
      <c r="G517" s="79"/>
      <c r="H517" s="79"/>
      <c r="I517" s="79">
        <f>SUM(G517:H517)+'BM 008'!I517</f>
        <v>0</v>
      </c>
      <c r="J517" s="79">
        <f t="shared" si="204"/>
        <v>120</v>
      </c>
      <c r="K517" s="84">
        <v>50</v>
      </c>
      <c r="L517" s="81">
        <f t="shared" si="203"/>
        <v>63.380005500000003</v>
      </c>
      <c r="M517" s="82">
        <f t="shared" si="215"/>
        <v>0</v>
      </c>
      <c r="N517" s="82">
        <f t="shared" si="216"/>
        <v>0</v>
      </c>
      <c r="O517" s="82">
        <f>N517+'BM 008'!O517</f>
        <v>0</v>
      </c>
      <c r="P517" s="80">
        <f t="shared" si="217"/>
        <v>6000</v>
      </c>
      <c r="Q517" s="82">
        <f t="shared" si="218"/>
        <v>7605.6</v>
      </c>
      <c r="R517" s="82">
        <f t="shared" si="219"/>
        <v>7605.6</v>
      </c>
    </row>
    <row r="518" spans="2:18" s="34" customFormat="1" ht="46.2">
      <c r="B518" s="75" t="s">
        <v>1011</v>
      </c>
      <c r="C518" s="76" t="s">
        <v>1012</v>
      </c>
      <c r="D518" s="77" t="s">
        <v>124</v>
      </c>
      <c r="E518" s="93">
        <v>120</v>
      </c>
      <c r="F518" s="79"/>
      <c r="G518" s="79"/>
      <c r="H518" s="79"/>
      <c r="I518" s="79">
        <f>SUM(G518:H518)+'BM 008'!I518</f>
        <v>0</v>
      </c>
      <c r="J518" s="79">
        <f t="shared" si="204"/>
        <v>120</v>
      </c>
      <c r="K518" s="84">
        <v>60</v>
      </c>
      <c r="L518" s="81">
        <f t="shared" si="203"/>
        <v>76.056006600000003</v>
      </c>
      <c r="M518" s="82">
        <f t="shared" si="215"/>
        <v>0</v>
      </c>
      <c r="N518" s="82">
        <f t="shared" si="216"/>
        <v>0</v>
      </c>
      <c r="O518" s="82">
        <f>N518+'BM 008'!O518</f>
        <v>0</v>
      </c>
      <c r="P518" s="80">
        <f t="shared" si="217"/>
        <v>7200</v>
      </c>
      <c r="Q518" s="82">
        <f t="shared" si="218"/>
        <v>9126.7199999999993</v>
      </c>
      <c r="R518" s="82">
        <f t="shared" si="219"/>
        <v>9126.7199999999993</v>
      </c>
    </row>
    <row r="519" spans="2:18" s="34" customFormat="1" ht="57.6">
      <c r="B519" s="75" t="s">
        <v>1013</v>
      </c>
      <c r="C519" s="76" t="s">
        <v>1014</v>
      </c>
      <c r="D519" s="77" t="s">
        <v>124</v>
      </c>
      <c r="E519" s="78">
        <v>300</v>
      </c>
      <c r="F519" s="79"/>
      <c r="G519" s="79"/>
      <c r="H519" s="79"/>
      <c r="I519" s="79">
        <f>SUM(G519:H519)+'BM 008'!I519</f>
        <v>0</v>
      </c>
      <c r="J519" s="79">
        <f t="shared" si="204"/>
        <v>300</v>
      </c>
      <c r="K519" s="84">
        <v>110</v>
      </c>
      <c r="L519" s="81">
        <f t="shared" si="203"/>
        <v>139.4360121</v>
      </c>
      <c r="M519" s="82">
        <f t="shared" si="215"/>
        <v>0</v>
      </c>
      <c r="N519" s="82">
        <f t="shared" si="216"/>
        <v>0</v>
      </c>
      <c r="O519" s="82">
        <f>N519+'BM 008'!O519</f>
        <v>0</v>
      </c>
      <c r="P519" s="80">
        <f t="shared" si="217"/>
        <v>33000</v>
      </c>
      <c r="Q519" s="82">
        <f t="shared" si="218"/>
        <v>41830.800000000003</v>
      </c>
      <c r="R519" s="82">
        <f t="shared" si="219"/>
        <v>41830.800000000003</v>
      </c>
    </row>
    <row r="520" spans="2:18" s="34" customFormat="1" ht="24">
      <c r="B520" s="66" t="s">
        <v>1015</v>
      </c>
      <c r="C520" s="67" t="s">
        <v>1016</v>
      </c>
      <c r="D520" s="68"/>
      <c r="E520" s="69"/>
      <c r="F520" s="70"/>
      <c r="G520" s="70"/>
      <c r="H520" s="70"/>
      <c r="I520" s="70">
        <f>SUM(G520:H520)+'BM 008'!I520</f>
        <v>0</v>
      </c>
      <c r="J520" s="70">
        <f t="shared" si="204"/>
        <v>0</v>
      </c>
      <c r="K520" s="71"/>
      <c r="L520" s="71">
        <f t="shared" si="203"/>
        <v>0</v>
      </c>
      <c r="M520" s="73">
        <f t="shared" ref="M520:R520" si="220">SUM(M521:M551)</f>
        <v>0</v>
      </c>
      <c r="N520" s="73">
        <f t="shared" si="220"/>
        <v>0</v>
      </c>
      <c r="O520" s="73">
        <f t="shared" si="220"/>
        <v>425.9</v>
      </c>
      <c r="P520" s="73">
        <f t="shared" si="220"/>
        <v>88676.55</v>
      </c>
      <c r="Q520" s="73">
        <f t="shared" si="220"/>
        <v>112406.29000000001</v>
      </c>
      <c r="R520" s="73">
        <f t="shared" si="220"/>
        <v>111980.38999999998</v>
      </c>
    </row>
    <row r="521" spans="2:18" s="34" customFormat="1" ht="46.2">
      <c r="B521" s="75" t="s">
        <v>1017</v>
      </c>
      <c r="C521" s="76" t="s">
        <v>1018</v>
      </c>
      <c r="D521" s="77" t="s">
        <v>39</v>
      </c>
      <c r="E521" s="78">
        <v>10</v>
      </c>
      <c r="F521" s="79"/>
      <c r="G521" s="79"/>
      <c r="H521" s="79"/>
      <c r="I521" s="79">
        <f>SUM(G521:H521)+'BM 008'!I521</f>
        <v>1</v>
      </c>
      <c r="J521" s="79">
        <f t="shared" si="204"/>
        <v>9</v>
      </c>
      <c r="K521" s="84">
        <v>198</v>
      </c>
      <c r="L521" s="81">
        <f t="shared" si="203"/>
        <v>250.98482178</v>
      </c>
      <c r="M521" s="82">
        <f t="shared" ref="M521:M551" si="221">TRUNC(F521*L521,2)</f>
        <v>0</v>
      </c>
      <c r="N521" s="82">
        <f t="shared" ref="N521:N551" si="222">TRUNC(G521*L521,2)</f>
        <v>0</v>
      </c>
      <c r="O521" s="82">
        <f>N521+'BM 008'!O521</f>
        <v>250.98</v>
      </c>
      <c r="P521" s="80">
        <f t="shared" ref="P521:P551" si="223">E521*K521</f>
        <v>1980</v>
      </c>
      <c r="Q521" s="82">
        <f t="shared" ref="Q521:Q551" si="224">TRUNC(E521*L521,2)</f>
        <v>2509.84</v>
      </c>
      <c r="R521" s="82">
        <f t="shared" ref="R521:R551" si="225">Q521-O521</f>
        <v>2258.86</v>
      </c>
    </row>
    <row r="522" spans="2:18" s="34" customFormat="1" ht="46.2">
      <c r="B522" s="75" t="s">
        <v>1019</v>
      </c>
      <c r="C522" s="76" t="s">
        <v>1020</v>
      </c>
      <c r="D522" s="77" t="s">
        <v>39</v>
      </c>
      <c r="E522" s="78">
        <v>173</v>
      </c>
      <c r="F522" s="79"/>
      <c r="G522" s="79"/>
      <c r="H522" s="79"/>
      <c r="I522" s="79">
        <f>SUM(G522:H522)+'BM 008'!I522</f>
        <v>0</v>
      </c>
      <c r="J522" s="79">
        <f t="shared" si="204"/>
        <v>173</v>
      </c>
      <c r="K522" s="84">
        <v>18</v>
      </c>
      <c r="L522" s="81">
        <f t="shared" si="203"/>
        <v>22.816801980000001</v>
      </c>
      <c r="M522" s="82">
        <f t="shared" si="221"/>
        <v>0</v>
      </c>
      <c r="N522" s="82">
        <f t="shared" si="222"/>
        <v>0</v>
      </c>
      <c r="O522" s="82">
        <f>N522+'BM 008'!O522</f>
        <v>0</v>
      </c>
      <c r="P522" s="80">
        <f t="shared" si="223"/>
        <v>3114</v>
      </c>
      <c r="Q522" s="82">
        <f t="shared" si="224"/>
        <v>3947.3</v>
      </c>
      <c r="R522" s="82">
        <f t="shared" si="225"/>
        <v>3947.3</v>
      </c>
    </row>
    <row r="523" spans="2:18" s="34" customFormat="1" ht="46.2">
      <c r="B523" s="75" t="s">
        <v>1021</v>
      </c>
      <c r="C523" s="76" t="s">
        <v>1022</v>
      </c>
      <c r="D523" s="77" t="s">
        <v>39</v>
      </c>
      <c r="E523" s="78">
        <v>7</v>
      </c>
      <c r="F523" s="79"/>
      <c r="G523" s="79"/>
      <c r="H523" s="79"/>
      <c r="I523" s="79">
        <f>SUM(G523:H523)+'BM 008'!I523</f>
        <v>0</v>
      </c>
      <c r="J523" s="79">
        <f t="shared" si="204"/>
        <v>7</v>
      </c>
      <c r="K523" s="84">
        <v>69</v>
      </c>
      <c r="L523" s="81">
        <f t="shared" si="203"/>
        <v>87.464407590000008</v>
      </c>
      <c r="M523" s="82">
        <f t="shared" si="221"/>
        <v>0</v>
      </c>
      <c r="N523" s="82">
        <f t="shared" si="222"/>
        <v>0</v>
      </c>
      <c r="O523" s="82">
        <f>N523+'BM 008'!O523</f>
        <v>0</v>
      </c>
      <c r="P523" s="80">
        <f t="shared" si="223"/>
        <v>483</v>
      </c>
      <c r="Q523" s="82">
        <f t="shared" si="224"/>
        <v>612.25</v>
      </c>
      <c r="R523" s="82">
        <f t="shared" si="225"/>
        <v>612.25</v>
      </c>
    </row>
    <row r="524" spans="2:18" s="34" customFormat="1" ht="46.2">
      <c r="B524" s="75" t="s">
        <v>1023</v>
      </c>
      <c r="C524" s="76" t="s">
        <v>1024</v>
      </c>
      <c r="D524" s="77" t="s">
        <v>39</v>
      </c>
      <c r="E524" s="78">
        <v>30</v>
      </c>
      <c r="F524" s="79"/>
      <c r="G524" s="79"/>
      <c r="H524" s="79"/>
      <c r="I524" s="79">
        <f>SUM(G524:H524)+'BM 008'!I524</f>
        <v>0</v>
      </c>
      <c r="J524" s="79">
        <f t="shared" si="204"/>
        <v>30</v>
      </c>
      <c r="K524" s="84">
        <v>94.65</v>
      </c>
      <c r="L524" s="81">
        <f t="shared" si="203"/>
        <v>119.97835041150002</v>
      </c>
      <c r="M524" s="82">
        <f t="shared" si="221"/>
        <v>0</v>
      </c>
      <c r="N524" s="82">
        <f t="shared" si="222"/>
        <v>0</v>
      </c>
      <c r="O524" s="82">
        <f>N524+'BM 008'!O524</f>
        <v>0</v>
      </c>
      <c r="P524" s="80">
        <f t="shared" si="223"/>
        <v>2839.5</v>
      </c>
      <c r="Q524" s="82">
        <f t="shared" si="224"/>
        <v>3599.35</v>
      </c>
      <c r="R524" s="82">
        <f t="shared" si="225"/>
        <v>3599.35</v>
      </c>
    </row>
    <row r="525" spans="2:18" s="34" customFormat="1" ht="46.2">
      <c r="B525" s="75" t="s">
        <v>1025</v>
      </c>
      <c r="C525" s="76" t="s">
        <v>1026</v>
      </c>
      <c r="D525" s="77" t="s">
        <v>39</v>
      </c>
      <c r="E525" s="78">
        <v>40</v>
      </c>
      <c r="F525" s="79"/>
      <c r="G525" s="79"/>
      <c r="H525" s="79"/>
      <c r="I525" s="79">
        <f>SUM(G525:H525)+'BM 008'!I525</f>
        <v>0</v>
      </c>
      <c r="J525" s="79">
        <f t="shared" si="204"/>
        <v>40</v>
      </c>
      <c r="K525" s="84">
        <v>60.11</v>
      </c>
      <c r="L525" s="81">
        <f t="shared" si="203"/>
        <v>76.19544261210001</v>
      </c>
      <c r="M525" s="82">
        <f t="shared" si="221"/>
        <v>0</v>
      </c>
      <c r="N525" s="82">
        <f t="shared" si="222"/>
        <v>0</v>
      </c>
      <c r="O525" s="82">
        <f>N525+'BM 008'!O525</f>
        <v>0</v>
      </c>
      <c r="P525" s="80">
        <f t="shared" si="223"/>
        <v>2404.4</v>
      </c>
      <c r="Q525" s="82">
        <f t="shared" si="224"/>
        <v>3047.81</v>
      </c>
      <c r="R525" s="82">
        <f t="shared" si="225"/>
        <v>3047.81</v>
      </c>
    </row>
    <row r="526" spans="2:18" s="34" customFormat="1" ht="46.2">
      <c r="B526" s="75" t="s">
        <v>1027</v>
      </c>
      <c r="C526" s="76" t="s">
        <v>1028</v>
      </c>
      <c r="D526" s="77" t="s">
        <v>39</v>
      </c>
      <c r="E526" s="78">
        <v>50</v>
      </c>
      <c r="F526" s="79"/>
      <c r="G526" s="79"/>
      <c r="H526" s="79"/>
      <c r="I526" s="79">
        <f>SUM(G526:H526)+'BM 008'!I526</f>
        <v>0</v>
      </c>
      <c r="J526" s="79">
        <f t="shared" si="204"/>
        <v>50</v>
      </c>
      <c r="K526" s="84">
        <v>36.9</v>
      </c>
      <c r="L526" s="81">
        <f t="shared" si="203"/>
        <v>46.774444058999997</v>
      </c>
      <c r="M526" s="82">
        <f t="shared" si="221"/>
        <v>0</v>
      </c>
      <c r="N526" s="82">
        <f t="shared" si="222"/>
        <v>0</v>
      </c>
      <c r="O526" s="82">
        <f>N526+'BM 008'!O526</f>
        <v>0</v>
      </c>
      <c r="P526" s="80">
        <f t="shared" si="223"/>
        <v>1845</v>
      </c>
      <c r="Q526" s="82">
        <f t="shared" si="224"/>
        <v>2338.7199999999998</v>
      </c>
      <c r="R526" s="82">
        <f t="shared" si="225"/>
        <v>2338.7199999999998</v>
      </c>
    </row>
    <row r="527" spans="2:18" s="34" customFormat="1" ht="46.2">
      <c r="B527" s="75" t="s">
        <v>1029</v>
      </c>
      <c r="C527" s="76" t="s">
        <v>1030</v>
      </c>
      <c r="D527" s="77" t="s">
        <v>39</v>
      </c>
      <c r="E527" s="78">
        <v>50</v>
      </c>
      <c r="F527" s="79"/>
      <c r="G527" s="79"/>
      <c r="H527" s="79"/>
      <c r="I527" s="79">
        <f>SUM(G527:H527)+'BM 008'!I527</f>
        <v>0</v>
      </c>
      <c r="J527" s="79">
        <f t="shared" si="204"/>
        <v>50</v>
      </c>
      <c r="K527" s="84">
        <v>42.56</v>
      </c>
      <c r="L527" s="81">
        <f t="shared" si="203"/>
        <v>53.949060681600002</v>
      </c>
      <c r="M527" s="82">
        <f t="shared" si="221"/>
        <v>0</v>
      </c>
      <c r="N527" s="82">
        <f t="shared" si="222"/>
        <v>0</v>
      </c>
      <c r="O527" s="82">
        <f>N527+'BM 008'!O527</f>
        <v>0</v>
      </c>
      <c r="P527" s="80">
        <f t="shared" si="223"/>
        <v>2128</v>
      </c>
      <c r="Q527" s="82">
        <f t="shared" si="224"/>
        <v>2697.45</v>
      </c>
      <c r="R527" s="82">
        <f t="shared" si="225"/>
        <v>2697.45</v>
      </c>
    </row>
    <row r="528" spans="2:18" s="34" customFormat="1" ht="34.799999999999997">
      <c r="B528" s="75" t="s">
        <v>1031</v>
      </c>
      <c r="C528" s="76" t="s">
        <v>1032</v>
      </c>
      <c r="D528" s="77" t="s">
        <v>39</v>
      </c>
      <c r="E528" s="78">
        <v>20</v>
      </c>
      <c r="F528" s="79"/>
      <c r="G528" s="79"/>
      <c r="H528" s="79"/>
      <c r="I528" s="79">
        <f>SUM(G528:H528)+'BM 008'!I528</f>
        <v>0</v>
      </c>
      <c r="J528" s="79">
        <f t="shared" si="204"/>
        <v>20</v>
      </c>
      <c r="K528" s="84">
        <v>78.33</v>
      </c>
      <c r="L528" s="81">
        <f t="shared" si="203"/>
        <v>99.291116616300002</v>
      </c>
      <c r="M528" s="82">
        <f t="shared" si="221"/>
        <v>0</v>
      </c>
      <c r="N528" s="82">
        <f t="shared" si="222"/>
        <v>0</v>
      </c>
      <c r="O528" s="82">
        <f>N528+'BM 008'!O528</f>
        <v>0</v>
      </c>
      <c r="P528" s="80">
        <f t="shared" si="223"/>
        <v>1566.6</v>
      </c>
      <c r="Q528" s="82">
        <f t="shared" si="224"/>
        <v>1985.82</v>
      </c>
      <c r="R528" s="82">
        <f t="shared" si="225"/>
        <v>1985.82</v>
      </c>
    </row>
    <row r="529" spans="2:18" s="34" customFormat="1" ht="34.799999999999997">
      <c r="B529" s="75" t="s">
        <v>1033</v>
      </c>
      <c r="C529" s="76" t="s">
        <v>1034</v>
      </c>
      <c r="D529" s="77" t="s">
        <v>39</v>
      </c>
      <c r="E529" s="78">
        <v>10</v>
      </c>
      <c r="F529" s="79"/>
      <c r="G529" s="79"/>
      <c r="H529" s="79"/>
      <c r="I529" s="79">
        <f>SUM(G529:H529)+'BM 008'!I529</f>
        <v>0</v>
      </c>
      <c r="J529" s="79">
        <f t="shared" si="204"/>
        <v>10</v>
      </c>
      <c r="K529" s="84">
        <v>95</v>
      </c>
      <c r="L529" s="81">
        <f t="shared" si="203"/>
        <v>120.42201045</v>
      </c>
      <c r="M529" s="82">
        <f t="shared" si="221"/>
        <v>0</v>
      </c>
      <c r="N529" s="82">
        <f t="shared" si="222"/>
        <v>0</v>
      </c>
      <c r="O529" s="82">
        <f>N529+'BM 008'!O529</f>
        <v>0</v>
      </c>
      <c r="P529" s="80">
        <f t="shared" si="223"/>
        <v>950</v>
      </c>
      <c r="Q529" s="82">
        <f t="shared" si="224"/>
        <v>1204.22</v>
      </c>
      <c r="R529" s="82">
        <f t="shared" si="225"/>
        <v>1204.22</v>
      </c>
    </row>
    <row r="530" spans="2:18" s="34" customFormat="1" ht="34.799999999999997">
      <c r="B530" s="75" t="s">
        <v>1035</v>
      </c>
      <c r="C530" s="76" t="s">
        <v>1036</v>
      </c>
      <c r="D530" s="77" t="s">
        <v>39</v>
      </c>
      <c r="E530" s="78">
        <v>10</v>
      </c>
      <c r="F530" s="79"/>
      <c r="G530" s="79"/>
      <c r="H530" s="79"/>
      <c r="I530" s="79">
        <f>SUM(G530:H530)+'BM 008'!I530</f>
        <v>0</v>
      </c>
      <c r="J530" s="79">
        <f t="shared" si="204"/>
        <v>10</v>
      </c>
      <c r="K530" s="84">
        <v>128</v>
      </c>
      <c r="L530" s="81">
        <f t="shared" si="203"/>
        <v>162.25281408000001</v>
      </c>
      <c r="M530" s="82">
        <f t="shared" si="221"/>
        <v>0</v>
      </c>
      <c r="N530" s="82">
        <f t="shared" si="222"/>
        <v>0</v>
      </c>
      <c r="O530" s="82">
        <f>N530+'BM 008'!O530</f>
        <v>0</v>
      </c>
      <c r="P530" s="80">
        <f t="shared" si="223"/>
        <v>1280</v>
      </c>
      <c r="Q530" s="82">
        <f t="shared" si="224"/>
        <v>1622.52</v>
      </c>
      <c r="R530" s="82">
        <f t="shared" si="225"/>
        <v>1622.52</v>
      </c>
    </row>
    <row r="531" spans="2:18" s="34" customFormat="1" ht="23.4">
      <c r="B531" s="75" t="s">
        <v>1037</v>
      </c>
      <c r="C531" s="76" t="s">
        <v>1038</v>
      </c>
      <c r="D531" s="77" t="s">
        <v>39</v>
      </c>
      <c r="E531" s="78">
        <v>173</v>
      </c>
      <c r="F531" s="79"/>
      <c r="G531" s="79"/>
      <c r="H531" s="79"/>
      <c r="I531" s="79">
        <f>SUM(G531:H531)+'BM 008'!I531</f>
        <v>0</v>
      </c>
      <c r="J531" s="79">
        <f t="shared" si="204"/>
        <v>173</v>
      </c>
      <c r="K531" s="84">
        <v>60</v>
      </c>
      <c r="L531" s="81">
        <f t="shared" si="203"/>
        <v>76.056006600000003</v>
      </c>
      <c r="M531" s="82">
        <f t="shared" si="221"/>
        <v>0</v>
      </c>
      <c r="N531" s="82">
        <f t="shared" si="222"/>
        <v>0</v>
      </c>
      <c r="O531" s="82">
        <f>N531+'BM 008'!O531</f>
        <v>0</v>
      </c>
      <c r="P531" s="80">
        <f t="shared" si="223"/>
        <v>10380</v>
      </c>
      <c r="Q531" s="82">
        <f t="shared" si="224"/>
        <v>13157.68</v>
      </c>
      <c r="R531" s="82">
        <f t="shared" si="225"/>
        <v>13157.68</v>
      </c>
    </row>
    <row r="532" spans="2:18" s="34" customFormat="1" ht="46.2">
      <c r="B532" s="75" t="s">
        <v>1039</v>
      </c>
      <c r="C532" s="76" t="s">
        <v>1040</v>
      </c>
      <c r="D532" s="77" t="s">
        <v>39</v>
      </c>
      <c r="E532" s="78">
        <v>20</v>
      </c>
      <c r="F532" s="79"/>
      <c r="G532" s="79"/>
      <c r="H532" s="79"/>
      <c r="I532" s="79">
        <f>SUM(G532:H532)+'BM 008'!I532</f>
        <v>0</v>
      </c>
      <c r="J532" s="79">
        <f t="shared" si="204"/>
        <v>20</v>
      </c>
      <c r="K532" s="84">
        <v>85</v>
      </c>
      <c r="L532" s="81">
        <f t="shared" si="203"/>
        <v>107.74600935000001</v>
      </c>
      <c r="M532" s="82">
        <f t="shared" si="221"/>
        <v>0</v>
      </c>
      <c r="N532" s="82">
        <f t="shared" si="222"/>
        <v>0</v>
      </c>
      <c r="O532" s="82">
        <f>N532+'BM 008'!O532</f>
        <v>0</v>
      </c>
      <c r="P532" s="80">
        <f t="shared" si="223"/>
        <v>1700</v>
      </c>
      <c r="Q532" s="82">
        <f t="shared" si="224"/>
        <v>2154.92</v>
      </c>
      <c r="R532" s="82">
        <f t="shared" si="225"/>
        <v>2154.92</v>
      </c>
    </row>
    <row r="533" spans="2:18" s="34" customFormat="1" ht="46.2">
      <c r="B533" s="75" t="s">
        <v>1041</v>
      </c>
      <c r="C533" s="76" t="s">
        <v>1042</v>
      </c>
      <c r="D533" s="77" t="s">
        <v>39</v>
      </c>
      <c r="E533" s="78">
        <v>6</v>
      </c>
      <c r="F533" s="79"/>
      <c r="G533" s="79"/>
      <c r="H533" s="79"/>
      <c r="I533" s="79">
        <f>SUM(G533:H533)+'BM 008'!I533</f>
        <v>0</v>
      </c>
      <c r="J533" s="79">
        <f t="shared" si="204"/>
        <v>6</v>
      </c>
      <c r="K533" s="84">
        <v>285</v>
      </c>
      <c r="L533" s="81">
        <f t="shared" si="203"/>
        <v>361.26603134999999</v>
      </c>
      <c r="M533" s="82">
        <f t="shared" si="221"/>
        <v>0</v>
      </c>
      <c r="N533" s="82">
        <f t="shared" si="222"/>
        <v>0</v>
      </c>
      <c r="O533" s="82">
        <f>N533+'BM 008'!O533</f>
        <v>0</v>
      </c>
      <c r="P533" s="80">
        <f t="shared" si="223"/>
        <v>1710</v>
      </c>
      <c r="Q533" s="82">
        <f t="shared" si="224"/>
        <v>2167.59</v>
      </c>
      <c r="R533" s="82">
        <f t="shared" si="225"/>
        <v>2167.59</v>
      </c>
    </row>
    <row r="534" spans="2:18" s="34" customFormat="1" ht="34.799999999999997">
      <c r="B534" s="75" t="s">
        <v>1043</v>
      </c>
      <c r="C534" s="76" t="s">
        <v>1044</v>
      </c>
      <c r="D534" s="77" t="s">
        <v>39</v>
      </c>
      <c r="E534" s="78">
        <v>20</v>
      </c>
      <c r="F534" s="79"/>
      <c r="G534" s="79"/>
      <c r="H534" s="79"/>
      <c r="I534" s="79">
        <f>SUM(G534:H534)+'BM 008'!I534</f>
        <v>0</v>
      </c>
      <c r="J534" s="79">
        <f t="shared" si="204"/>
        <v>20</v>
      </c>
      <c r="K534" s="84">
        <v>38</v>
      </c>
      <c r="L534" s="81">
        <f t="shared" si="203"/>
        <v>48.168804180000002</v>
      </c>
      <c r="M534" s="82">
        <f t="shared" si="221"/>
        <v>0</v>
      </c>
      <c r="N534" s="82">
        <f t="shared" si="222"/>
        <v>0</v>
      </c>
      <c r="O534" s="82">
        <f>N534+'BM 008'!O534</f>
        <v>0</v>
      </c>
      <c r="P534" s="80">
        <f t="shared" si="223"/>
        <v>760</v>
      </c>
      <c r="Q534" s="82">
        <f t="shared" si="224"/>
        <v>963.37</v>
      </c>
      <c r="R534" s="82">
        <f t="shared" si="225"/>
        <v>963.37</v>
      </c>
    </row>
    <row r="535" spans="2:18" s="34" customFormat="1" ht="34.799999999999997">
      <c r="B535" s="75" t="s">
        <v>1045</v>
      </c>
      <c r="C535" s="76" t="s">
        <v>1046</v>
      </c>
      <c r="D535" s="77" t="s">
        <v>39</v>
      </c>
      <c r="E535" s="78">
        <v>10</v>
      </c>
      <c r="F535" s="79"/>
      <c r="G535" s="79"/>
      <c r="H535" s="79"/>
      <c r="I535" s="79">
        <f>SUM(G535:H535)+'BM 008'!I535</f>
        <v>0</v>
      </c>
      <c r="J535" s="79">
        <f t="shared" si="204"/>
        <v>10</v>
      </c>
      <c r="K535" s="84">
        <v>118</v>
      </c>
      <c r="L535" s="81">
        <f t="shared" si="203"/>
        <v>149.57681298</v>
      </c>
      <c r="M535" s="82">
        <f t="shared" si="221"/>
        <v>0</v>
      </c>
      <c r="N535" s="82">
        <f t="shared" si="222"/>
        <v>0</v>
      </c>
      <c r="O535" s="82">
        <f>N535+'BM 008'!O535</f>
        <v>0</v>
      </c>
      <c r="P535" s="80">
        <f t="shared" si="223"/>
        <v>1180</v>
      </c>
      <c r="Q535" s="82">
        <f t="shared" si="224"/>
        <v>1495.76</v>
      </c>
      <c r="R535" s="82">
        <f t="shared" si="225"/>
        <v>1495.76</v>
      </c>
    </row>
    <row r="536" spans="2:18" s="34" customFormat="1" ht="23.4">
      <c r="B536" s="75" t="s">
        <v>1047</v>
      </c>
      <c r="C536" s="76" t="s">
        <v>1048</v>
      </c>
      <c r="D536" s="77" t="s">
        <v>39</v>
      </c>
      <c r="E536" s="78">
        <v>10</v>
      </c>
      <c r="F536" s="79"/>
      <c r="G536" s="79"/>
      <c r="H536" s="79"/>
      <c r="I536" s="79">
        <f>SUM(G536:H536)+'BM 008'!I536</f>
        <v>0</v>
      </c>
      <c r="J536" s="79">
        <f t="shared" si="204"/>
        <v>10</v>
      </c>
      <c r="K536" s="84">
        <v>88.39</v>
      </c>
      <c r="L536" s="81">
        <f t="shared" si="203"/>
        <v>112.04317372290001</v>
      </c>
      <c r="M536" s="82">
        <f t="shared" si="221"/>
        <v>0</v>
      </c>
      <c r="N536" s="82">
        <f t="shared" si="222"/>
        <v>0</v>
      </c>
      <c r="O536" s="82">
        <f>N536+'BM 008'!O536</f>
        <v>0</v>
      </c>
      <c r="P536" s="80">
        <f t="shared" si="223"/>
        <v>883.9</v>
      </c>
      <c r="Q536" s="82">
        <f t="shared" si="224"/>
        <v>1120.43</v>
      </c>
      <c r="R536" s="82">
        <f t="shared" si="225"/>
        <v>1120.43</v>
      </c>
    </row>
    <row r="537" spans="2:18" s="34" customFormat="1" ht="23.4">
      <c r="B537" s="75" t="s">
        <v>1049</v>
      </c>
      <c r="C537" s="76" t="s">
        <v>1050</v>
      </c>
      <c r="D537" s="77" t="s">
        <v>39</v>
      </c>
      <c r="E537" s="78">
        <v>20</v>
      </c>
      <c r="F537" s="79"/>
      <c r="G537" s="79"/>
      <c r="H537" s="79"/>
      <c r="I537" s="79">
        <f>SUM(G537:H537)+'BM 008'!I537</f>
        <v>0</v>
      </c>
      <c r="J537" s="79">
        <f t="shared" si="204"/>
        <v>20</v>
      </c>
      <c r="K537" s="84">
        <v>45.21</v>
      </c>
      <c r="L537" s="81">
        <f t="shared" si="203"/>
        <v>57.308200973100007</v>
      </c>
      <c r="M537" s="82">
        <f t="shared" si="221"/>
        <v>0</v>
      </c>
      <c r="N537" s="82">
        <f t="shared" si="222"/>
        <v>0</v>
      </c>
      <c r="O537" s="82">
        <f>N537+'BM 008'!O537</f>
        <v>0</v>
      </c>
      <c r="P537" s="80">
        <f t="shared" si="223"/>
        <v>904.2</v>
      </c>
      <c r="Q537" s="82">
        <f t="shared" si="224"/>
        <v>1146.1600000000001</v>
      </c>
      <c r="R537" s="82">
        <f t="shared" si="225"/>
        <v>1146.1600000000001</v>
      </c>
    </row>
    <row r="538" spans="2:18" s="34" customFormat="1" ht="23.4">
      <c r="B538" s="75" t="s">
        <v>1051</v>
      </c>
      <c r="C538" s="76" t="s">
        <v>1052</v>
      </c>
      <c r="D538" s="77" t="s">
        <v>39</v>
      </c>
      <c r="E538" s="78">
        <v>10</v>
      </c>
      <c r="F538" s="79"/>
      <c r="G538" s="79"/>
      <c r="H538" s="79"/>
      <c r="I538" s="79">
        <f>SUM(G538:H538)+'BM 008'!I538</f>
        <v>0</v>
      </c>
      <c r="J538" s="79">
        <f t="shared" si="204"/>
        <v>10</v>
      </c>
      <c r="K538" s="84">
        <v>65.290000000000006</v>
      </c>
      <c r="L538" s="81">
        <f t="shared" si="203"/>
        <v>82.761611181900008</v>
      </c>
      <c r="M538" s="82">
        <f t="shared" si="221"/>
        <v>0</v>
      </c>
      <c r="N538" s="82">
        <f t="shared" si="222"/>
        <v>0</v>
      </c>
      <c r="O538" s="82">
        <f>N538+'BM 008'!O538</f>
        <v>0</v>
      </c>
      <c r="P538" s="80">
        <f t="shared" si="223"/>
        <v>652.90000000000009</v>
      </c>
      <c r="Q538" s="82">
        <f t="shared" si="224"/>
        <v>827.61</v>
      </c>
      <c r="R538" s="82">
        <f t="shared" si="225"/>
        <v>827.61</v>
      </c>
    </row>
    <row r="539" spans="2:18" s="34" customFormat="1" ht="46.2">
      <c r="B539" s="75" t="s">
        <v>1053</v>
      </c>
      <c r="C539" s="76" t="s">
        <v>1054</v>
      </c>
      <c r="D539" s="77" t="s">
        <v>39</v>
      </c>
      <c r="E539" s="78">
        <v>30</v>
      </c>
      <c r="F539" s="79"/>
      <c r="G539" s="79"/>
      <c r="H539" s="79"/>
      <c r="I539" s="79">
        <f>SUM(G539:H539)+'BM 008'!I539</f>
        <v>0</v>
      </c>
      <c r="J539" s="79">
        <f t="shared" si="204"/>
        <v>30</v>
      </c>
      <c r="K539" s="84">
        <v>80</v>
      </c>
      <c r="L539" s="81">
        <f t="shared" si="203"/>
        <v>101.4080088</v>
      </c>
      <c r="M539" s="82">
        <f t="shared" si="221"/>
        <v>0</v>
      </c>
      <c r="N539" s="82">
        <f t="shared" si="222"/>
        <v>0</v>
      </c>
      <c r="O539" s="82">
        <f>N539+'BM 008'!O539</f>
        <v>0</v>
      </c>
      <c r="P539" s="80">
        <f t="shared" si="223"/>
        <v>2400</v>
      </c>
      <c r="Q539" s="82">
        <f t="shared" si="224"/>
        <v>3042.24</v>
      </c>
      <c r="R539" s="82">
        <f t="shared" si="225"/>
        <v>3042.24</v>
      </c>
    </row>
    <row r="540" spans="2:18" s="34" customFormat="1" ht="34.799999999999997">
      <c r="B540" s="75" t="s">
        <v>1055</v>
      </c>
      <c r="C540" s="76" t="s">
        <v>1056</v>
      </c>
      <c r="D540" s="77" t="s">
        <v>39</v>
      </c>
      <c r="E540" s="78">
        <v>50</v>
      </c>
      <c r="F540" s="79"/>
      <c r="G540" s="79"/>
      <c r="H540" s="79"/>
      <c r="I540" s="79">
        <f>SUM(G540:H540)+'BM 008'!I540</f>
        <v>0</v>
      </c>
      <c r="J540" s="79">
        <f t="shared" si="204"/>
        <v>50</v>
      </c>
      <c r="K540" s="84">
        <v>120</v>
      </c>
      <c r="L540" s="81">
        <f t="shared" si="203"/>
        <v>152.11201320000001</v>
      </c>
      <c r="M540" s="82">
        <f t="shared" si="221"/>
        <v>0</v>
      </c>
      <c r="N540" s="82">
        <f t="shared" si="222"/>
        <v>0</v>
      </c>
      <c r="O540" s="82">
        <f>N540+'BM 008'!O540</f>
        <v>0</v>
      </c>
      <c r="P540" s="80">
        <f t="shared" si="223"/>
        <v>6000</v>
      </c>
      <c r="Q540" s="82">
        <f t="shared" si="224"/>
        <v>7605.6</v>
      </c>
      <c r="R540" s="82">
        <f t="shared" si="225"/>
        <v>7605.6</v>
      </c>
    </row>
    <row r="541" spans="2:18" s="34" customFormat="1" ht="34.799999999999997">
      <c r="B541" s="75" t="s">
        <v>1057</v>
      </c>
      <c r="C541" s="76" t="s">
        <v>1058</v>
      </c>
      <c r="D541" s="77" t="s">
        <v>39</v>
      </c>
      <c r="E541" s="78">
        <v>10</v>
      </c>
      <c r="F541" s="79"/>
      <c r="G541" s="79"/>
      <c r="H541" s="79"/>
      <c r="I541" s="79">
        <f>SUM(G541:H541)+'BM 008'!I541</f>
        <v>0</v>
      </c>
      <c r="J541" s="79">
        <f t="shared" si="204"/>
        <v>10</v>
      </c>
      <c r="K541" s="84">
        <v>137.9</v>
      </c>
      <c r="L541" s="81">
        <f t="shared" ref="L541:L590" si="226">K541*(1+$T$26)</f>
        <v>174.80205516900003</v>
      </c>
      <c r="M541" s="82">
        <f t="shared" si="221"/>
        <v>0</v>
      </c>
      <c r="N541" s="82">
        <f t="shared" si="222"/>
        <v>0</v>
      </c>
      <c r="O541" s="82">
        <f>N541+'BM 008'!O541</f>
        <v>0</v>
      </c>
      <c r="P541" s="80">
        <f t="shared" si="223"/>
        <v>1379</v>
      </c>
      <c r="Q541" s="82">
        <f t="shared" si="224"/>
        <v>1748.02</v>
      </c>
      <c r="R541" s="82">
        <f t="shared" si="225"/>
        <v>1748.02</v>
      </c>
    </row>
    <row r="542" spans="2:18" s="34" customFormat="1" ht="23.4">
      <c r="B542" s="75" t="s">
        <v>1059</v>
      </c>
      <c r="C542" s="76" t="s">
        <v>1060</v>
      </c>
      <c r="D542" s="77" t="s">
        <v>39</v>
      </c>
      <c r="E542" s="78">
        <v>20</v>
      </c>
      <c r="F542" s="79"/>
      <c r="G542" s="79"/>
      <c r="H542" s="79"/>
      <c r="I542" s="79">
        <f>SUM(G542:H542)+'BM 008'!I542</f>
        <v>2</v>
      </c>
      <c r="J542" s="79">
        <f t="shared" si="204"/>
        <v>18</v>
      </c>
      <c r="K542" s="84">
        <v>69</v>
      </c>
      <c r="L542" s="81">
        <f t="shared" si="226"/>
        <v>87.464407590000008</v>
      </c>
      <c r="M542" s="82">
        <f t="shared" si="221"/>
        <v>0</v>
      </c>
      <c r="N542" s="82">
        <f t="shared" si="222"/>
        <v>0</v>
      </c>
      <c r="O542" s="82">
        <f>N542+'BM 008'!O542</f>
        <v>174.92</v>
      </c>
      <c r="P542" s="80">
        <f t="shared" si="223"/>
        <v>1380</v>
      </c>
      <c r="Q542" s="82">
        <f t="shared" si="224"/>
        <v>1749.28</v>
      </c>
      <c r="R542" s="82">
        <f t="shared" si="225"/>
        <v>1574.36</v>
      </c>
    </row>
    <row r="543" spans="2:18" s="34" customFormat="1" ht="46.2">
      <c r="B543" s="75" t="s">
        <v>1061</v>
      </c>
      <c r="C543" s="76" t="s">
        <v>1062</v>
      </c>
      <c r="D543" s="77" t="s">
        <v>39</v>
      </c>
      <c r="E543" s="78">
        <v>10</v>
      </c>
      <c r="F543" s="79"/>
      <c r="G543" s="79"/>
      <c r="H543" s="79"/>
      <c r="I543" s="79">
        <f>SUM(G543:H543)+'BM 008'!I543</f>
        <v>0</v>
      </c>
      <c r="J543" s="79">
        <f t="shared" ref="J543:J590" si="227">E543-I543</f>
        <v>10</v>
      </c>
      <c r="K543" s="84">
        <v>180</v>
      </c>
      <c r="L543" s="81">
        <f t="shared" si="226"/>
        <v>228.16801980000002</v>
      </c>
      <c r="M543" s="82">
        <f t="shared" si="221"/>
        <v>0</v>
      </c>
      <c r="N543" s="82">
        <f t="shared" si="222"/>
        <v>0</v>
      </c>
      <c r="O543" s="82">
        <f>N543+'BM 008'!O543</f>
        <v>0</v>
      </c>
      <c r="P543" s="80">
        <f t="shared" si="223"/>
        <v>1800</v>
      </c>
      <c r="Q543" s="82">
        <f t="shared" si="224"/>
        <v>2281.6799999999998</v>
      </c>
      <c r="R543" s="82">
        <f t="shared" si="225"/>
        <v>2281.6799999999998</v>
      </c>
    </row>
    <row r="544" spans="2:18" s="34" customFormat="1" ht="69">
      <c r="B544" s="75" t="s">
        <v>1063</v>
      </c>
      <c r="C544" s="76" t="s">
        <v>1064</v>
      </c>
      <c r="D544" s="77" t="s">
        <v>39</v>
      </c>
      <c r="E544" s="78">
        <v>1</v>
      </c>
      <c r="F544" s="79"/>
      <c r="G544" s="79"/>
      <c r="H544" s="79"/>
      <c r="I544" s="79">
        <f>SUM(G544:H544)+'BM 008'!I544</f>
        <v>0</v>
      </c>
      <c r="J544" s="79">
        <f t="shared" si="227"/>
        <v>1</v>
      </c>
      <c r="K544" s="84">
        <v>320</v>
      </c>
      <c r="L544" s="81">
        <f t="shared" si="226"/>
        <v>405.63203520000002</v>
      </c>
      <c r="M544" s="82">
        <f t="shared" si="221"/>
        <v>0</v>
      </c>
      <c r="N544" s="82">
        <f t="shared" si="222"/>
        <v>0</v>
      </c>
      <c r="O544" s="82">
        <f>N544+'BM 008'!O544</f>
        <v>0</v>
      </c>
      <c r="P544" s="80">
        <f t="shared" si="223"/>
        <v>320</v>
      </c>
      <c r="Q544" s="82">
        <f t="shared" si="224"/>
        <v>405.63</v>
      </c>
      <c r="R544" s="82">
        <f t="shared" si="225"/>
        <v>405.63</v>
      </c>
    </row>
    <row r="545" spans="2:18" s="34" customFormat="1" ht="57.6">
      <c r="B545" s="75" t="s">
        <v>1065</v>
      </c>
      <c r="C545" s="76" t="s">
        <v>1066</v>
      </c>
      <c r="D545" s="77" t="s">
        <v>39</v>
      </c>
      <c r="E545" s="78">
        <v>1</v>
      </c>
      <c r="F545" s="79"/>
      <c r="G545" s="79"/>
      <c r="H545" s="79"/>
      <c r="I545" s="79">
        <f>SUM(G545:H545)+'BM 008'!I545</f>
        <v>0</v>
      </c>
      <c r="J545" s="79">
        <f t="shared" si="227"/>
        <v>1</v>
      </c>
      <c r="K545" s="84">
        <v>800</v>
      </c>
      <c r="L545" s="81">
        <f t="shared" si="226"/>
        <v>1014.080088</v>
      </c>
      <c r="M545" s="82">
        <f t="shared" si="221"/>
        <v>0</v>
      </c>
      <c r="N545" s="82">
        <f t="shared" si="222"/>
        <v>0</v>
      </c>
      <c r="O545" s="82">
        <f>N545+'BM 008'!O545</f>
        <v>0</v>
      </c>
      <c r="P545" s="80">
        <f t="shared" si="223"/>
        <v>800</v>
      </c>
      <c r="Q545" s="82">
        <f t="shared" si="224"/>
        <v>1014.08</v>
      </c>
      <c r="R545" s="82">
        <f t="shared" si="225"/>
        <v>1014.08</v>
      </c>
    </row>
    <row r="546" spans="2:18" s="34" customFormat="1" ht="23.4">
      <c r="B546" s="75" t="s">
        <v>1067</v>
      </c>
      <c r="C546" s="76" t="s">
        <v>1068</v>
      </c>
      <c r="D546" s="77" t="s">
        <v>39</v>
      </c>
      <c r="E546" s="78">
        <v>2</v>
      </c>
      <c r="F546" s="79"/>
      <c r="G546" s="79"/>
      <c r="H546" s="79"/>
      <c r="I546" s="79">
        <f>SUM(G546:H546)+'BM 008'!I546</f>
        <v>0</v>
      </c>
      <c r="J546" s="79">
        <f t="shared" si="227"/>
        <v>2</v>
      </c>
      <c r="K546" s="84">
        <v>605.34</v>
      </c>
      <c r="L546" s="81">
        <f t="shared" si="226"/>
        <v>767.32905058740005</v>
      </c>
      <c r="M546" s="82">
        <f t="shared" si="221"/>
        <v>0</v>
      </c>
      <c r="N546" s="82">
        <f t="shared" si="222"/>
        <v>0</v>
      </c>
      <c r="O546" s="82">
        <f>N546+'BM 008'!O546</f>
        <v>0</v>
      </c>
      <c r="P546" s="80">
        <f t="shared" si="223"/>
        <v>1210.68</v>
      </c>
      <c r="Q546" s="82">
        <f t="shared" si="224"/>
        <v>1534.65</v>
      </c>
      <c r="R546" s="82">
        <f t="shared" si="225"/>
        <v>1534.65</v>
      </c>
    </row>
    <row r="547" spans="2:18" s="34" customFormat="1" ht="23.4">
      <c r="B547" s="75" t="s">
        <v>1069</v>
      </c>
      <c r="C547" s="76" t="s">
        <v>1070</v>
      </c>
      <c r="D547" s="77" t="s">
        <v>39</v>
      </c>
      <c r="E547" s="78">
        <v>3</v>
      </c>
      <c r="F547" s="79"/>
      <c r="G547" s="79"/>
      <c r="H547" s="79"/>
      <c r="I547" s="79">
        <f>SUM(G547:H547)+'BM 008'!I547</f>
        <v>0</v>
      </c>
      <c r="J547" s="79">
        <f t="shared" si="227"/>
        <v>3</v>
      </c>
      <c r="K547" s="84">
        <v>311.79000000000002</v>
      </c>
      <c r="L547" s="81">
        <f t="shared" si="226"/>
        <v>395.22503829690004</v>
      </c>
      <c r="M547" s="82">
        <f t="shared" si="221"/>
        <v>0</v>
      </c>
      <c r="N547" s="82">
        <f t="shared" si="222"/>
        <v>0</v>
      </c>
      <c r="O547" s="82">
        <f>N547+'BM 008'!O547</f>
        <v>0</v>
      </c>
      <c r="P547" s="80">
        <f t="shared" si="223"/>
        <v>935.37000000000012</v>
      </c>
      <c r="Q547" s="82">
        <f t="shared" si="224"/>
        <v>1185.67</v>
      </c>
      <c r="R547" s="82">
        <f t="shared" si="225"/>
        <v>1185.67</v>
      </c>
    </row>
    <row r="548" spans="2:18" s="34" customFormat="1" ht="23.4">
      <c r="B548" s="75" t="s">
        <v>1071</v>
      </c>
      <c r="C548" s="76" t="s">
        <v>1072</v>
      </c>
      <c r="D548" s="77" t="s">
        <v>39</v>
      </c>
      <c r="E548" s="78">
        <v>2</v>
      </c>
      <c r="F548" s="79"/>
      <c r="G548" s="79"/>
      <c r="H548" s="79"/>
      <c r="I548" s="79">
        <f>SUM(G548:H548)+'BM 008'!I548</f>
        <v>0</v>
      </c>
      <c r="J548" s="79">
        <f t="shared" si="227"/>
        <v>2</v>
      </c>
      <c r="K548" s="84">
        <v>195</v>
      </c>
      <c r="L548" s="81">
        <f t="shared" si="226"/>
        <v>247.18202145000001</v>
      </c>
      <c r="M548" s="82">
        <f t="shared" si="221"/>
        <v>0</v>
      </c>
      <c r="N548" s="82">
        <f t="shared" si="222"/>
        <v>0</v>
      </c>
      <c r="O548" s="82">
        <f>N548+'BM 008'!O548</f>
        <v>0</v>
      </c>
      <c r="P548" s="80">
        <f t="shared" si="223"/>
        <v>390</v>
      </c>
      <c r="Q548" s="82">
        <f t="shared" si="224"/>
        <v>494.36</v>
      </c>
      <c r="R548" s="82">
        <f t="shared" si="225"/>
        <v>494.36</v>
      </c>
    </row>
    <row r="549" spans="2:18" s="34" customFormat="1" ht="46.2">
      <c r="B549" s="75" t="s">
        <v>1073</v>
      </c>
      <c r="C549" s="76" t="s">
        <v>1074</v>
      </c>
      <c r="D549" s="77" t="s">
        <v>39</v>
      </c>
      <c r="E549" s="78">
        <v>1</v>
      </c>
      <c r="F549" s="79"/>
      <c r="G549" s="79"/>
      <c r="H549" s="79"/>
      <c r="I549" s="79">
        <f>SUM(G549:H549)+'BM 008'!I549</f>
        <v>0</v>
      </c>
      <c r="J549" s="79">
        <f t="shared" si="227"/>
        <v>1</v>
      </c>
      <c r="K549" s="84">
        <v>1400</v>
      </c>
      <c r="L549" s="81">
        <f t="shared" si="226"/>
        <v>1774.6401540000002</v>
      </c>
      <c r="M549" s="82">
        <f t="shared" si="221"/>
        <v>0</v>
      </c>
      <c r="N549" s="82">
        <f t="shared" si="222"/>
        <v>0</v>
      </c>
      <c r="O549" s="82">
        <f>N549+'BM 008'!O549</f>
        <v>0</v>
      </c>
      <c r="P549" s="80">
        <f t="shared" si="223"/>
        <v>1400</v>
      </c>
      <c r="Q549" s="82">
        <f t="shared" si="224"/>
        <v>1774.64</v>
      </c>
      <c r="R549" s="82">
        <f t="shared" si="225"/>
        <v>1774.64</v>
      </c>
    </row>
    <row r="550" spans="2:18" s="34" customFormat="1" ht="46.2">
      <c r="B550" s="75" t="s">
        <v>1075</v>
      </c>
      <c r="C550" s="76" t="s">
        <v>1076</v>
      </c>
      <c r="D550" s="77" t="s">
        <v>39</v>
      </c>
      <c r="E550" s="78">
        <v>16</v>
      </c>
      <c r="F550" s="79"/>
      <c r="G550" s="79"/>
      <c r="H550" s="79"/>
      <c r="I550" s="79">
        <f>SUM(G550:H550)+'BM 008'!I550</f>
        <v>0</v>
      </c>
      <c r="J550" s="79">
        <f t="shared" si="227"/>
        <v>16</v>
      </c>
      <c r="K550" s="84">
        <v>1900</v>
      </c>
      <c r="L550" s="81">
        <f t="shared" si="226"/>
        <v>2408.4402090000003</v>
      </c>
      <c r="M550" s="82">
        <f t="shared" si="221"/>
        <v>0</v>
      </c>
      <c r="N550" s="82">
        <f t="shared" si="222"/>
        <v>0</v>
      </c>
      <c r="O550" s="82">
        <f>N550+'BM 008'!O550</f>
        <v>0</v>
      </c>
      <c r="P550" s="80">
        <f t="shared" si="223"/>
        <v>30400</v>
      </c>
      <c r="Q550" s="82">
        <f t="shared" si="224"/>
        <v>38535.040000000001</v>
      </c>
      <c r="R550" s="82">
        <f t="shared" si="225"/>
        <v>38535.040000000001</v>
      </c>
    </row>
    <row r="551" spans="2:18" s="34" customFormat="1" ht="34.799999999999997">
      <c r="B551" s="75" t="s">
        <v>1077</v>
      </c>
      <c r="C551" s="76" t="s">
        <v>1078</v>
      </c>
      <c r="D551" s="77" t="s">
        <v>39</v>
      </c>
      <c r="E551" s="78">
        <v>140</v>
      </c>
      <c r="F551" s="79"/>
      <c r="G551" s="79"/>
      <c r="H551" s="79"/>
      <c r="I551" s="79">
        <f>SUM(G551:H551)+'BM 008'!I551</f>
        <v>0</v>
      </c>
      <c r="J551" s="79">
        <f t="shared" si="227"/>
        <v>140</v>
      </c>
      <c r="K551" s="84">
        <v>25</v>
      </c>
      <c r="L551" s="81">
        <f t="shared" si="226"/>
        <v>31.690002750000001</v>
      </c>
      <c r="M551" s="82">
        <f t="shared" si="221"/>
        <v>0</v>
      </c>
      <c r="N551" s="82">
        <f t="shared" si="222"/>
        <v>0</v>
      </c>
      <c r="O551" s="82">
        <f>N551+'BM 008'!O551</f>
        <v>0</v>
      </c>
      <c r="P551" s="80">
        <f t="shared" si="223"/>
        <v>3500</v>
      </c>
      <c r="Q551" s="82">
        <f t="shared" si="224"/>
        <v>4436.6000000000004</v>
      </c>
      <c r="R551" s="82">
        <f t="shared" si="225"/>
        <v>4436.6000000000004</v>
      </c>
    </row>
    <row r="552" spans="2:18" s="34" customFormat="1" ht="13.2">
      <c r="B552" s="66" t="s">
        <v>1079</v>
      </c>
      <c r="C552" s="67" t="s">
        <v>1080</v>
      </c>
      <c r="D552" s="68"/>
      <c r="E552" s="69"/>
      <c r="F552" s="70"/>
      <c r="G552" s="70"/>
      <c r="H552" s="70"/>
      <c r="I552" s="70">
        <f>SUM(G552:H552)+'BM 008'!I552</f>
        <v>0</v>
      </c>
      <c r="J552" s="70">
        <f t="shared" si="227"/>
        <v>0</v>
      </c>
      <c r="K552" s="71"/>
      <c r="L552" s="71">
        <f t="shared" si="226"/>
        <v>0</v>
      </c>
      <c r="M552" s="73">
        <f t="shared" ref="M552:R552" si="228">SUM(M553:M553)</f>
        <v>0</v>
      </c>
      <c r="N552" s="73">
        <f t="shared" si="228"/>
        <v>0</v>
      </c>
      <c r="O552" s="73">
        <f t="shared" si="228"/>
        <v>0</v>
      </c>
      <c r="P552" s="73">
        <f t="shared" si="228"/>
        <v>7310</v>
      </c>
      <c r="Q552" s="73">
        <f t="shared" si="228"/>
        <v>9266.15</v>
      </c>
      <c r="R552" s="73">
        <f t="shared" si="228"/>
        <v>9266.15</v>
      </c>
    </row>
    <row r="553" spans="2:18" s="34" customFormat="1" ht="34.799999999999997">
      <c r="B553" s="75" t="s">
        <v>1081</v>
      </c>
      <c r="C553" s="76" t="s">
        <v>1082</v>
      </c>
      <c r="D553" s="77" t="s">
        <v>63</v>
      </c>
      <c r="E553" s="78">
        <v>43</v>
      </c>
      <c r="F553" s="79"/>
      <c r="G553" s="79"/>
      <c r="H553" s="79"/>
      <c r="I553" s="79">
        <f>SUM(G553:H553)+'BM 008'!I553</f>
        <v>0</v>
      </c>
      <c r="J553" s="79">
        <f t="shared" si="227"/>
        <v>43</v>
      </c>
      <c r="K553" s="84">
        <v>170</v>
      </c>
      <c r="L553" s="81">
        <f t="shared" si="226"/>
        <v>215.49201870000002</v>
      </c>
      <c r="M553" s="82">
        <f>TRUNC(F553*L553,2)</f>
        <v>0</v>
      </c>
      <c r="N553" s="82">
        <f>TRUNC(G553*L553,2)</f>
        <v>0</v>
      </c>
      <c r="O553" s="82">
        <f>N553+'BM 008'!O553</f>
        <v>0</v>
      </c>
      <c r="P553" s="80">
        <f>E553*K553</f>
        <v>7310</v>
      </c>
      <c r="Q553" s="82">
        <f>TRUNC(E553*L553,2)</f>
        <v>9266.15</v>
      </c>
      <c r="R553" s="82">
        <f>Q553-O553</f>
        <v>9266.15</v>
      </c>
    </row>
    <row r="554" spans="2:18" s="34" customFormat="1" ht="13.2">
      <c r="B554" s="66" t="s">
        <v>1083</v>
      </c>
      <c r="C554" s="67" t="s">
        <v>1084</v>
      </c>
      <c r="D554" s="68"/>
      <c r="E554" s="69"/>
      <c r="F554" s="70"/>
      <c r="G554" s="70"/>
      <c r="H554" s="70"/>
      <c r="I554" s="70">
        <f>SUM(G554:H554)+'BM 008'!I554</f>
        <v>0</v>
      </c>
      <c r="J554" s="70">
        <f t="shared" si="227"/>
        <v>0</v>
      </c>
      <c r="K554" s="71"/>
      <c r="L554" s="120">
        <f t="shared" si="226"/>
        <v>0</v>
      </c>
      <c r="M554" s="73">
        <f t="shared" ref="M554:R554" si="229">SUM(M555:M565)</f>
        <v>0</v>
      </c>
      <c r="N554" s="73">
        <f t="shared" si="229"/>
        <v>0</v>
      </c>
      <c r="O554" s="73">
        <f t="shared" si="229"/>
        <v>0</v>
      </c>
      <c r="P554" s="73">
        <f t="shared" si="229"/>
        <v>55460</v>
      </c>
      <c r="Q554" s="73">
        <f t="shared" si="229"/>
        <v>70301.090000000011</v>
      </c>
      <c r="R554" s="73">
        <f t="shared" si="229"/>
        <v>70301.090000000011</v>
      </c>
    </row>
    <row r="555" spans="2:18" s="34" customFormat="1" ht="23.4">
      <c r="B555" s="75" t="s">
        <v>1085</v>
      </c>
      <c r="C555" s="76" t="s">
        <v>1086</v>
      </c>
      <c r="D555" s="77" t="s">
        <v>131</v>
      </c>
      <c r="E555" s="78">
        <v>1</v>
      </c>
      <c r="F555" s="79"/>
      <c r="G555" s="79"/>
      <c r="H555" s="79"/>
      <c r="I555" s="79">
        <f>SUM(G555:H555)+'BM 008'!I555</f>
        <v>0</v>
      </c>
      <c r="J555" s="79">
        <f t="shared" si="227"/>
        <v>1</v>
      </c>
      <c r="K555" s="84">
        <v>5800</v>
      </c>
      <c r="L555" s="81">
        <f t="shared" si="226"/>
        <v>7352.0806380000004</v>
      </c>
      <c r="M555" s="82">
        <f t="shared" ref="M555:M565" si="230">TRUNC(F555*L555,2)</f>
        <v>0</v>
      </c>
      <c r="N555" s="82">
        <f t="shared" ref="N555:N565" si="231">TRUNC(G555*L555,2)</f>
        <v>0</v>
      </c>
      <c r="O555" s="82">
        <f>N555+'BM 008'!O555</f>
        <v>0</v>
      </c>
      <c r="P555" s="80">
        <f t="shared" ref="P555:P565" si="232">E555*K555</f>
        <v>5800</v>
      </c>
      <c r="Q555" s="82">
        <f t="shared" ref="Q555:Q565" si="233">TRUNC(E555*L555,2)</f>
        <v>7352.08</v>
      </c>
      <c r="R555" s="82">
        <f t="shared" ref="R555:R565" si="234">Q555-O555</f>
        <v>7352.08</v>
      </c>
    </row>
    <row r="556" spans="2:18" s="34" customFormat="1" ht="57.6">
      <c r="B556" s="75" t="s">
        <v>1087</v>
      </c>
      <c r="C556" s="76" t="s">
        <v>1088</v>
      </c>
      <c r="D556" s="77" t="s">
        <v>131</v>
      </c>
      <c r="E556" s="78">
        <v>1</v>
      </c>
      <c r="F556" s="79"/>
      <c r="G556" s="79"/>
      <c r="H556" s="79"/>
      <c r="I556" s="79">
        <f>SUM(G556:H556)+'BM 008'!I556</f>
        <v>0</v>
      </c>
      <c r="J556" s="79">
        <f t="shared" si="227"/>
        <v>1</v>
      </c>
      <c r="K556" s="84">
        <v>2950</v>
      </c>
      <c r="L556" s="81">
        <f t="shared" si="226"/>
        <v>3739.4203245000003</v>
      </c>
      <c r="M556" s="82">
        <f t="shared" si="230"/>
        <v>0</v>
      </c>
      <c r="N556" s="82">
        <f t="shared" si="231"/>
        <v>0</v>
      </c>
      <c r="O556" s="82">
        <f>N556+'BM 008'!O556</f>
        <v>0</v>
      </c>
      <c r="P556" s="80">
        <f t="shared" si="232"/>
        <v>2950</v>
      </c>
      <c r="Q556" s="82">
        <f t="shared" si="233"/>
        <v>3739.42</v>
      </c>
      <c r="R556" s="82">
        <f t="shared" si="234"/>
        <v>3739.42</v>
      </c>
    </row>
    <row r="557" spans="2:18" s="34" customFormat="1" ht="34.799999999999997">
      <c r="B557" s="75" t="s">
        <v>1089</v>
      </c>
      <c r="C557" s="76" t="s">
        <v>1090</v>
      </c>
      <c r="D557" s="77" t="s">
        <v>131</v>
      </c>
      <c r="E557" s="78">
        <v>1</v>
      </c>
      <c r="F557" s="79"/>
      <c r="G557" s="79"/>
      <c r="H557" s="79"/>
      <c r="I557" s="79">
        <f>SUM(G557:H557)+'BM 008'!I557</f>
        <v>0</v>
      </c>
      <c r="J557" s="79">
        <f t="shared" si="227"/>
        <v>1</v>
      </c>
      <c r="K557" s="84">
        <v>5100</v>
      </c>
      <c r="L557" s="81">
        <f t="shared" si="226"/>
        <v>6464.7605610000001</v>
      </c>
      <c r="M557" s="82">
        <f t="shared" si="230"/>
        <v>0</v>
      </c>
      <c r="N557" s="82">
        <f t="shared" si="231"/>
        <v>0</v>
      </c>
      <c r="O557" s="82">
        <f>N557+'BM 008'!O557</f>
        <v>0</v>
      </c>
      <c r="P557" s="80">
        <f t="shared" si="232"/>
        <v>5100</v>
      </c>
      <c r="Q557" s="82">
        <f t="shared" si="233"/>
        <v>6464.76</v>
      </c>
      <c r="R557" s="82">
        <f t="shared" si="234"/>
        <v>6464.76</v>
      </c>
    </row>
    <row r="558" spans="2:18" s="34" customFormat="1" ht="34.799999999999997">
      <c r="B558" s="75" t="s">
        <v>1091</v>
      </c>
      <c r="C558" s="76" t="s">
        <v>1092</v>
      </c>
      <c r="D558" s="77" t="s">
        <v>131</v>
      </c>
      <c r="E558" s="78">
        <v>1</v>
      </c>
      <c r="F558" s="79"/>
      <c r="G558" s="79"/>
      <c r="H558" s="79"/>
      <c r="I558" s="79">
        <f>SUM(G558:H558)+'BM 008'!I558</f>
        <v>0</v>
      </c>
      <c r="J558" s="79">
        <f t="shared" si="227"/>
        <v>1</v>
      </c>
      <c r="K558" s="84">
        <v>6200</v>
      </c>
      <c r="L558" s="81">
        <f t="shared" si="226"/>
        <v>7859.1206820000007</v>
      </c>
      <c r="M558" s="82">
        <f t="shared" si="230"/>
        <v>0</v>
      </c>
      <c r="N558" s="82">
        <f t="shared" si="231"/>
        <v>0</v>
      </c>
      <c r="O558" s="82">
        <f>N558+'BM 008'!O558</f>
        <v>0</v>
      </c>
      <c r="P558" s="80">
        <f t="shared" si="232"/>
        <v>6200</v>
      </c>
      <c r="Q558" s="82">
        <f t="shared" si="233"/>
        <v>7859.12</v>
      </c>
      <c r="R558" s="82">
        <f t="shared" si="234"/>
        <v>7859.12</v>
      </c>
    </row>
    <row r="559" spans="2:18" s="34" customFormat="1" ht="23.4">
      <c r="B559" s="75" t="s">
        <v>1093</v>
      </c>
      <c r="C559" s="76" t="s">
        <v>1094</v>
      </c>
      <c r="D559" s="77" t="s">
        <v>131</v>
      </c>
      <c r="E559" s="78">
        <v>15</v>
      </c>
      <c r="F559" s="79"/>
      <c r="G559" s="79"/>
      <c r="H559" s="79"/>
      <c r="I559" s="79">
        <f>SUM(G559:H559)+'BM 008'!I559</f>
        <v>0</v>
      </c>
      <c r="J559" s="79">
        <f t="shared" si="227"/>
        <v>15</v>
      </c>
      <c r="K559" s="84">
        <v>250</v>
      </c>
      <c r="L559" s="81">
        <f t="shared" si="226"/>
        <v>316.90002750000002</v>
      </c>
      <c r="M559" s="82">
        <f t="shared" si="230"/>
        <v>0</v>
      </c>
      <c r="N559" s="82">
        <f t="shared" si="231"/>
        <v>0</v>
      </c>
      <c r="O559" s="82">
        <f>N559+'BM 008'!O559</f>
        <v>0</v>
      </c>
      <c r="P559" s="80">
        <f t="shared" si="232"/>
        <v>3750</v>
      </c>
      <c r="Q559" s="82">
        <f t="shared" si="233"/>
        <v>4753.5</v>
      </c>
      <c r="R559" s="82">
        <f t="shared" si="234"/>
        <v>4753.5</v>
      </c>
    </row>
    <row r="560" spans="2:18" s="34" customFormat="1" ht="23.4">
      <c r="B560" s="75" t="s">
        <v>1095</v>
      </c>
      <c r="C560" s="76" t="s">
        <v>1096</v>
      </c>
      <c r="D560" s="77" t="s">
        <v>131</v>
      </c>
      <c r="E560" s="78">
        <v>1</v>
      </c>
      <c r="F560" s="79"/>
      <c r="G560" s="79"/>
      <c r="H560" s="79"/>
      <c r="I560" s="79">
        <f>SUM(G560:H560)+'BM 008'!I560</f>
        <v>0</v>
      </c>
      <c r="J560" s="79">
        <f t="shared" si="227"/>
        <v>1</v>
      </c>
      <c r="K560" s="84">
        <v>350</v>
      </c>
      <c r="L560" s="81">
        <f t="shared" si="226"/>
        <v>443.66003850000004</v>
      </c>
      <c r="M560" s="82">
        <f t="shared" si="230"/>
        <v>0</v>
      </c>
      <c r="N560" s="82">
        <f t="shared" si="231"/>
        <v>0</v>
      </c>
      <c r="O560" s="82">
        <f>N560+'BM 008'!O560</f>
        <v>0</v>
      </c>
      <c r="P560" s="80">
        <f t="shared" si="232"/>
        <v>350</v>
      </c>
      <c r="Q560" s="82">
        <f t="shared" si="233"/>
        <v>443.66</v>
      </c>
      <c r="R560" s="82">
        <f t="shared" si="234"/>
        <v>443.66</v>
      </c>
    </row>
    <row r="561" spans="2:18" s="34" customFormat="1" ht="23.4">
      <c r="B561" s="75" t="s">
        <v>1097</v>
      </c>
      <c r="C561" s="76" t="s">
        <v>1098</v>
      </c>
      <c r="D561" s="77" t="s">
        <v>131</v>
      </c>
      <c r="E561" s="78">
        <v>15</v>
      </c>
      <c r="F561" s="79"/>
      <c r="G561" s="79"/>
      <c r="H561" s="79"/>
      <c r="I561" s="79">
        <f>SUM(G561:H561)+'BM 008'!I561</f>
        <v>0</v>
      </c>
      <c r="J561" s="79">
        <f t="shared" si="227"/>
        <v>15</v>
      </c>
      <c r="K561" s="84">
        <v>260</v>
      </c>
      <c r="L561" s="81">
        <f t="shared" si="226"/>
        <v>329.57602860000003</v>
      </c>
      <c r="M561" s="82">
        <f t="shared" si="230"/>
        <v>0</v>
      </c>
      <c r="N561" s="82">
        <f t="shared" si="231"/>
        <v>0</v>
      </c>
      <c r="O561" s="82">
        <f>N561+'BM 008'!O561</f>
        <v>0</v>
      </c>
      <c r="P561" s="80">
        <f t="shared" si="232"/>
        <v>3900</v>
      </c>
      <c r="Q561" s="82">
        <f t="shared" si="233"/>
        <v>4943.6400000000003</v>
      </c>
      <c r="R561" s="82">
        <f t="shared" si="234"/>
        <v>4943.6400000000003</v>
      </c>
    </row>
    <row r="562" spans="2:18" s="34" customFormat="1" ht="23.4">
      <c r="B562" s="75" t="s">
        <v>1099</v>
      </c>
      <c r="C562" s="76" t="s">
        <v>1100</v>
      </c>
      <c r="D562" s="77" t="s">
        <v>131</v>
      </c>
      <c r="E562" s="78">
        <v>1</v>
      </c>
      <c r="F562" s="79"/>
      <c r="G562" s="79"/>
      <c r="H562" s="79"/>
      <c r="I562" s="79">
        <f>SUM(G562:H562)+'BM 008'!I562</f>
        <v>0</v>
      </c>
      <c r="J562" s="79">
        <f t="shared" si="227"/>
        <v>1</v>
      </c>
      <c r="K562" s="84">
        <v>360</v>
      </c>
      <c r="L562" s="81">
        <f t="shared" si="226"/>
        <v>456.33603960000005</v>
      </c>
      <c r="M562" s="82">
        <f t="shared" si="230"/>
        <v>0</v>
      </c>
      <c r="N562" s="82">
        <f t="shared" si="231"/>
        <v>0</v>
      </c>
      <c r="O562" s="82">
        <f>N562+'BM 008'!O562</f>
        <v>0</v>
      </c>
      <c r="P562" s="80">
        <f t="shared" si="232"/>
        <v>360</v>
      </c>
      <c r="Q562" s="82">
        <f t="shared" si="233"/>
        <v>456.33</v>
      </c>
      <c r="R562" s="82">
        <f t="shared" si="234"/>
        <v>456.33</v>
      </c>
    </row>
    <row r="563" spans="2:18" s="34" customFormat="1" ht="13.2">
      <c r="B563" s="75" t="s">
        <v>1101</v>
      </c>
      <c r="C563" s="76" t="s">
        <v>1102</v>
      </c>
      <c r="D563" s="77" t="s">
        <v>131</v>
      </c>
      <c r="E563" s="78">
        <v>2</v>
      </c>
      <c r="F563" s="79"/>
      <c r="G563" s="79"/>
      <c r="H563" s="79"/>
      <c r="I563" s="79">
        <f>SUM(G563:H563)+'BM 008'!I563</f>
        <v>0</v>
      </c>
      <c r="J563" s="79">
        <f t="shared" si="227"/>
        <v>2</v>
      </c>
      <c r="K563" s="84">
        <v>3650</v>
      </c>
      <c r="L563" s="81">
        <f t="shared" si="226"/>
        <v>4626.7404015000002</v>
      </c>
      <c r="M563" s="82">
        <f t="shared" si="230"/>
        <v>0</v>
      </c>
      <c r="N563" s="82">
        <f t="shared" si="231"/>
        <v>0</v>
      </c>
      <c r="O563" s="82">
        <f>N563+'BM 008'!O563</f>
        <v>0</v>
      </c>
      <c r="P563" s="80">
        <f t="shared" si="232"/>
        <v>7300</v>
      </c>
      <c r="Q563" s="82">
        <f t="shared" si="233"/>
        <v>9253.48</v>
      </c>
      <c r="R563" s="82">
        <f t="shared" si="234"/>
        <v>9253.48</v>
      </c>
    </row>
    <row r="564" spans="2:18" s="34" customFormat="1" ht="23.4">
      <c r="B564" s="75" t="s">
        <v>1103</v>
      </c>
      <c r="C564" s="76" t="s">
        <v>1104</v>
      </c>
      <c r="D564" s="77" t="s">
        <v>131</v>
      </c>
      <c r="E564" s="78">
        <v>60</v>
      </c>
      <c r="F564" s="79"/>
      <c r="G564" s="79"/>
      <c r="H564" s="79"/>
      <c r="I564" s="79">
        <f>SUM(G564:H564)+'BM 008'!I564</f>
        <v>0</v>
      </c>
      <c r="J564" s="79">
        <f t="shared" si="227"/>
        <v>60</v>
      </c>
      <c r="K564" s="84">
        <v>280</v>
      </c>
      <c r="L564" s="81">
        <f t="shared" si="226"/>
        <v>354.92803079999999</v>
      </c>
      <c r="M564" s="82">
        <f t="shared" si="230"/>
        <v>0</v>
      </c>
      <c r="N564" s="82">
        <f t="shared" si="231"/>
        <v>0</v>
      </c>
      <c r="O564" s="82">
        <f>N564+'BM 008'!O564</f>
        <v>0</v>
      </c>
      <c r="P564" s="80">
        <f t="shared" si="232"/>
        <v>16800</v>
      </c>
      <c r="Q564" s="82">
        <f t="shared" si="233"/>
        <v>21295.68</v>
      </c>
      <c r="R564" s="82">
        <f t="shared" si="234"/>
        <v>21295.68</v>
      </c>
    </row>
    <row r="565" spans="2:18" s="34" customFormat="1" ht="34.799999999999997">
      <c r="B565" s="75" t="s">
        <v>1105</v>
      </c>
      <c r="C565" s="76" t="s">
        <v>1106</v>
      </c>
      <c r="D565" s="77" t="s">
        <v>131</v>
      </c>
      <c r="E565" s="78">
        <v>10</v>
      </c>
      <c r="F565" s="79"/>
      <c r="G565" s="79"/>
      <c r="H565" s="79"/>
      <c r="I565" s="79">
        <f>SUM(G565:H565)+'BM 008'!I565</f>
        <v>0</v>
      </c>
      <c r="J565" s="79">
        <f t="shared" si="227"/>
        <v>10</v>
      </c>
      <c r="K565" s="84">
        <v>295</v>
      </c>
      <c r="L565" s="81">
        <f t="shared" si="226"/>
        <v>373.94203245</v>
      </c>
      <c r="M565" s="82">
        <f t="shared" si="230"/>
        <v>0</v>
      </c>
      <c r="N565" s="82">
        <f t="shared" si="231"/>
        <v>0</v>
      </c>
      <c r="O565" s="82">
        <f>N565+'BM 008'!O565</f>
        <v>0</v>
      </c>
      <c r="P565" s="80">
        <f t="shared" si="232"/>
        <v>2950</v>
      </c>
      <c r="Q565" s="82">
        <f t="shared" si="233"/>
        <v>3739.42</v>
      </c>
      <c r="R565" s="82">
        <f t="shared" si="234"/>
        <v>3739.42</v>
      </c>
    </row>
    <row r="566" spans="2:18" s="34" customFormat="1" ht="13.2">
      <c r="B566" s="60" t="s">
        <v>1107</v>
      </c>
      <c r="C566" s="61" t="s">
        <v>1108</v>
      </c>
      <c r="D566" s="60"/>
      <c r="E566" s="62"/>
      <c r="F566" s="63"/>
      <c r="G566" s="63"/>
      <c r="H566" s="63"/>
      <c r="I566" s="63">
        <f>SUM(G566:H566)+'BM 008'!I566</f>
        <v>0</v>
      </c>
      <c r="J566" s="63">
        <f t="shared" si="227"/>
        <v>0</v>
      </c>
      <c r="K566" s="63"/>
      <c r="L566" s="63">
        <f t="shared" si="226"/>
        <v>0</v>
      </c>
      <c r="M566" s="63">
        <f t="shared" ref="M566:R566" si="235">SUM(M567:M587)</f>
        <v>0</v>
      </c>
      <c r="N566" s="63">
        <f t="shared" si="235"/>
        <v>0</v>
      </c>
      <c r="O566" s="63">
        <f t="shared" si="235"/>
        <v>0</v>
      </c>
      <c r="P566" s="63">
        <f t="shared" si="235"/>
        <v>397499.3</v>
      </c>
      <c r="Q566" s="63">
        <f t="shared" si="235"/>
        <v>503870.0799999999</v>
      </c>
      <c r="R566" s="63">
        <f t="shared" si="235"/>
        <v>503870.0799999999</v>
      </c>
    </row>
    <row r="567" spans="2:18" s="34" customFormat="1" ht="57.6">
      <c r="B567" s="87" t="s">
        <v>1109</v>
      </c>
      <c r="C567" s="88" t="s">
        <v>1110</v>
      </c>
      <c r="D567" s="89" t="s">
        <v>63</v>
      </c>
      <c r="E567" s="92">
        <v>33</v>
      </c>
      <c r="F567" s="91"/>
      <c r="G567" s="91"/>
      <c r="H567" s="91"/>
      <c r="I567" s="91">
        <f>SUM(G567:H567)+'BM 008'!I567</f>
        <v>0</v>
      </c>
      <c r="J567" s="91">
        <f t="shared" si="227"/>
        <v>33</v>
      </c>
      <c r="K567" s="84">
        <v>540</v>
      </c>
      <c r="L567" s="81">
        <f t="shared" si="226"/>
        <v>684.50405940000007</v>
      </c>
      <c r="M567" s="82">
        <f t="shared" ref="M567:M587" si="236">TRUNC(F567*L567,2)</f>
        <v>0</v>
      </c>
      <c r="N567" s="82">
        <f t="shared" ref="N567:N587" si="237">TRUNC(G567*L567,2)</f>
        <v>0</v>
      </c>
      <c r="O567" s="82">
        <f>N567+'BM 008'!O567</f>
        <v>0</v>
      </c>
      <c r="P567" s="80">
        <f t="shared" ref="P567:P587" si="238">E567*K567</f>
        <v>17820</v>
      </c>
      <c r="Q567" s="82">
        <f t="shared" ref="Q567:Q587" si="239">TRUNC(E567*L567,2)</f>
        <v>22588.63</v>
      </c>
      <c r="R567" s="82">
        <f t="shared" ref="R567:R587" si="240">Q567-O567</f>
        <v>22588.63</v>
      </c>
    </row>
    <row r="568" spans="2:18" s="34" customFormat="1" ht="57.6">
      <c r="B568" s="87" t="s">
        <v>1111</v>
      </c>
      <c r="C568" s="88" t="s">
        <v>1112</v>
      </c>
      <c r="D568" s="89" t="s">
        <v>63</v>
      </c>
      <c r="E568" s="90">
        <f>56-E567</f>
        <v>23</v>
      </c>
      <c r="F568" s="91"/>
      <c r="G568" s="91"/>
      <c r="H568" s="91"/>
      <c r="I568" s="91">
        <f>SUM(G568:H568)+'BM 008'!I568</f>
        <v>0</v>
      </c>
      <c r="J568" s="91">
        <f t="shared" si="227"/>
        <v>23</v>
      </c>
      <c r="K568" s="80">
        <v>685</v>
      </c>
      <c r="L568" s="81">
        <f t="shared" si="226"/>
        <v>868.30607535000001</v>
      </c>
      <c r="M568" s="82">
        <f t="shared" si="236"/>
        <v>0</v>
      </c>
      <c r="N568" s="82">
        <f t="shared" si="237"/>
        <v>0</v>
      </c>
      <c r="O568" s="82">
        <f>N568+'BM 008'!O568</f>
        <v>0</v>
      </c>
      <c r="P568" s="80">
        <f t="shared" si="238"/>
        <v>15755</v>
      </c>
      <c r="Q568" s="82">
        <f t="shared" si="239"/>
        <v>19971.03</v>
      </c>
      <c r="R568" s="82">
        <f t="shared" si="240"/>
        <v>19971.03</v>
      </c>
    </row>
    <row r="569" spans="2:18" s="34" customFormat="1" ht="34.799999999999997">
      <c r="B569" s="87" t="s">
        <v>1113</v>
      </c>
      <c r="C569" s="88" t="s">
        <v>1114</v>
      </c>
      <c r="D569" s="89" t="s">
        <v>131</v>
      </c>
      <c r="E569" s="92">
        <v>17</v>
      </c>
      <c r="F569" s="91"/>
      <c r="G569" s="91"/>
      <c r="H569" s="91"/>
      <c r="I569" s="91">
        <f>SUM(G569:H569)+'BM 008'!I569</f>
        <v>0</v>
      </c>
      <c r="J569" s="91">
        <f t="shared" si="227"/>
        <v>17</v>
      </c>
      <c r="K569" s="84">
        <v>725</v>
      </c>
      <c r="L569" s="81">
        <f t="shared" si="226"/>
        <v>919.01007975000005</v>
      </c>
      <c r="M569" s="82">
        <f t="shared" si="236"/>
        <v>0</v>
      </c>
      <c r="N569" s="82">
        <f t="shared" si="237"/>
        <v>0</v>
      </c>
      <c r="O569" s="82">
        <f>N569+'BM 008'!O569</f>
        <v>0</v>
      </c>
      <c r="P569" s="80">
        <f t="shared" si="238"/>
        <v>12325</v>
      </c>
      <c r="Q569" s="82">
        <f t="shared" si="239"/>
        <v>15623.17</v>
      </c>
      <c r="R569" s="82">
        <f t="shared" si="240"/>
        <v>15623.17</v>
      </c>
    </row>
    <row r="570" spans="2:18" s="34" customFormat="1" ht="23.4">
      <c r="B570" s="87" t="s">
        <v>1115</v>
      </c>
      <c r="C570" s="88" t="s">
        <v>1116</v>
      </c>
      <c r="D570" s="89" t="s">
        <v>63</v>
      </c>
      <c r="E570" s="92">
        <v>56</v>
      </c>
      <c r="F570" s="91"/>
      <c r="G570" s="91"/>
      <c r="H570" s="91"/>
      <c r="I570" s="91">
        <f>SUM(G570:H570)+'BM 008'!I570</f>
        <v>0</v>
      </c>
      <c r="J570" s="91">
        <f t="shared" si="227"/>
        <v>56</v>
      </c>
      <c r="K570" s="84">
        <v>175</v>
      </c>
      <c r="L570" s="81">
        <f t="shared" si="226"/>
        <v>221.83001925000002</v>
      </c>
      <c r="M570" s="82">
        <f t="shared" si="236"/>
        <v>0</v>
      </c>
      <c r="N570" s="82">
        <f t="shared" si="237"/>
        <v>0</v>
      </c>
      <c r="O570" s="82">
        <f>N570+'BM 008'!O570</f>
        <v>0</v>
      </c>
      <c r="P570" s="80">
        <f t="shared" si="238"/>
        <v>9800</v>
      </c>
      <c r="Q570" s="82">
        <f t="shared" si="239"/>
        <v>12422.48</v>
      </c>
      <c r="R570" s="82">
        <f t="shared" si="240"/>
        <v>12422.48</v>
      </c>
    </row>
    <row r="571" spans="2:18" s="34" customFormat="1" ht="23.4">
      <c r="B571" s="87" t="s">
        <v>1117</v>
      </c>
      <c r="C571" s="88" t="s">
        <v>1118</v>
      </c>
      <c r="D571" s="89" t="s">
        <v>63</v>
      </c>
      <c r="E571" s="92">
        <v>11</v>
      </c>
      <c r="F571" s="91"/>
      <c r="G571" s="91"/>
      <c r="H571" s="91"/>
      <c r="I571" s="91">
        <f>SUM(G571:H571)+'BM 008'!I571</f>
        <v>0</v>
      </c>
      <c r="J571" s="91">
        <f t="shared" si="227"/>
        <v>11</v>
      </c>
      <c r="K571" s="84">
        <v>120</v>
      </c>
      <c r="L571" s="81">
        <f t="shared" si="226"/>
        <v>152.11201320000001</v>
      </c>
      <c r="M571" s="82">
        <f t="shared" si="236"/>
        <v>0</v>
      </c>
      <c r="N571" s="82">
        <f t="shared" si="237"/>
        <v>0</v>
      </c>
      <c r="O571" s="82">
        <f>N571+'BM 008'!O571</f>
        <v>0</v>
      </c>
      <c r="P571" s="80">
        <f t="shared" si="238"/>
        <v>1320</v>
      </c>
      <c r="Q571" s="82">
        <f t="shared" si="239"/>
        <v>1673.23</v>
      </c>
      <c r="R571" s="82">
        <f t="shared" si="240"/>
        <v>1673.23</v>
      </c>
    </row>
    <row r="572" spans="2:18" s="34" customFormat="1" ht="46.2">
      <c r="B572" s="87" t="s">
        <v>1119</v>
      </c>
      <c r="C572" s="88" t="s">
        <v>1120</v>
      </c>
      <c r="D572" s="89" t="s">
        <v>63</v>
      </c>
      <c r="E572" s="92">
        <v>20</v>
      </c>
      <c r="F572" s="91"/>
      <c r="G572" s="91"/>
      <c r="H572" s="91"/>
      <c r="I572" s="91">
        <f>SUM(G572:H572)+'BM 008'!I572</f>
        <v>0</v>
      </c>
      <c r="J572" s="91">
        <f t="shared" si="227"/>
        <v>20</v>
      </c>
      <c r="K572" s="84">
        <v>205</v>
      </c>
      <c r="L572" s="81">
        <f t="shared" si="226"/>
        <v>259.85802254999999</v>
      </c>
      <c r="M572" s="82">
        <f t="shared" si="236"/>
        <v>0</v>
      </c>
      <c r="N572" s="82">
        <f t="shared" si="237"/>
        <v>0</v>
      </c>
      <c r="O572" s="82">
        <f>N572+'BM 008'!O572</f>
        <v>0</v>
      </c>
      <c r="P572" s="80">
        <f t="shared" si="238"/>
        <v>4100</v>
      </c>
      <c r="Q572" s="82">
        <f t="shared" si="239"/>
        <v>5197.16</v>
      </c>
      <c r="R572" s="82">
        <f t="shared" si="240"/>
        <v>5197.16</v>
      </c>
    </row>
    <row r="573" spans="2:18" s="34" customFormat="1" ht="23.4">
      <c r="B573" s="87" t="s">
        <v>1121</v>
      </c>
      <c r="C573" s="88" t="s">
        <v>1122</v>
      </c>
      <c r="D573" s="89" t="s">
        <v>63</v>
      </c>
      <c r="E573" s="92">
        <v>39</v>
      </c>
      <c r="F573" s="91"/>
      <c r="G573" s="91"/>
      <c r="H573" s="91"/>
      <c r="I573" s="91">
        <f>SUM(G573:H573)+'BM 008'!I573</f>
        <v>0</v>
      </c>
      <c r="J573" s="91">
        <f t="shared" si="227"/>
        <v>39</v>
      </c>
      <c r="K573" s="84">
        <v>730</v>
      </c>
      <c r="L573" s="81">
        <f t="shared" si="226"/>
        <v>925.34808029999999</v>
      </c>
      <c r="M573" s="82">
        <f t="shared" si="236"/>
        <v>0</v>
      </c>
      <c r="N573" s="82">
        <f t="shared" si="237"/>
        <v>0</v>
      </c>
      <c r="O573" s="82">
        <f>N573+'BM 008'!O573</f>
        <v>0</v>
      </c>
      <c r="P573" s="80">
        <f t="shared" si="238"/>
        <v>28470</v>
      </c>
      <c r="Q573" s="82">
        <f t="shared" si="239"/>
        <v>36088.57</v>
      </c>
      <c r="R573" s="82">
        <f t="shared" si="240"/>
        <v>36088.57</v>
      </c>
    </row>
    <row r="574" spans="2:18" s="34" customFormat="1" ht="23.4">
      <c r="B574" s="87" t="s">
        <v>1123</v>
      </c>
      <c r="C574" s="88" t="s">
        <v>1124</v>
      </c>
      <c r="D574" s="89" t="s">
        <v>63</v>
      </c>
      <c r="E574" s="92">
        <v>6</v>
      </c>
      <c r="F574" s="91"/>
      <c r="G574" s="91"/>
      <c r="H574" s="91"/>
      <c r="I574" s="91">
        <f>SUM(G574:H574)+'BM 008'!I574</f>
        <v>0</v>
      </c>
      <c r="J574" s="91">
        <f t="shared" si="227"/>
        <v>6</v>
      </c>
      <c r="K574" s="84">
        <v>4500</v>
      </c>
      <c r="L574" s="81">
        <f t="shared" si="226"/>
        <v>5704.200495</v>
      </c>
      <c r="M574" s="82">
        <f t="shared" si="236"/>
        <v>0</v>
      </c>
      <c r="N574" s="82">
        <f t="shared" si="237"/>
        <v>0</v>
      </c>
      <c r="O574" s="82">
        <f>N574+'BM 008'!O574</f>
        <v>0</v>
      </c>
      <c r="P574" s="80">
        <f t="shared" si="238"/>
        <v>27000</v>
      </c>
      <c r="Q574" s="82">
        <f t="shared" si="239"/>
        <v>34225.199999999997</v>
      </c>
      <c r="R574" s="82">
        <f t="shared" si="240"/>
        <v>34225.199999999997</v>
      </c>
    </row>
    <row r="575" spans="2:18" s="34" customFormat="1" ht="46.2">
      <c r="B575" s="87" t="s">
        <v>1125</v>
      </c>
      <c r="C575" s="88" t="s">
        <v>1126</v>
      </c>
      <c r="D575" s="89" t="s">
        <v>63</v>
      </c>
      <c r="E575" s="92">
        <v>59</v>
      </c>
      <c r="F575" s="91"/>
      <c r="G575" s="91"/>
      <c r="H575" s="91"/>
      <c r="I575" s="91">
        <f>SUM(G575:H575)+'BM 008'!I575</f>
        <v>0</v>
      </c>
      <c r="J575" s="91">
        <f t="shared" si="227"/>
        <v>59</v>
      </c>
      <c r="K575" s="84">
        <v>745</v>
      </c>
      <c r="L575" s="81">
        <f t="shared" si="226"/>
        <v>944.36208195000006</v>
      </c>
      <c r="M575" s="82">
        <f t="shared" si="236"/>
        <v>0</v>
      </c>
      <c r="N575" s="82">
        <f t="shared" si="237"/>
        <v>0</v>
      </c>
      <c r="O575" s="82">
        <f>N575+'BM 008'!O575</f>
        <v>0</v>
      </c>
      <c r="P575" s="80">
        <f t="shared" si="238"/>
        <v>43955</v>
      </c>
      <c r="Q575" s="82">
        <f t="shared" si="239"/>
        <v>55717.36</v>
      </c>
      <c r="R575" s="82">
        <f t="shared" si="240"/>
        <v>55717.36</v>
      </c>
    </row>
    <row r="576" spans="2:18" s="34" customFormat="1" ht="23.4">
      <c r="B576" s="87" t="s">
        <v>1127</v>
      </c>
      <c r="C576" s="88" t="s">
        <v>1128</v>
      </c>
      <c r="D576" s="89" t="s">
        <v>63</v>
      </c>
      <c r="E576" s="92">
        <v>74</v>
      </c>
      <c r="F576" s="91"/>
      <c r="G576" s="91"/>
      <c r="H576" s="91"/>
      <c r="I576" s="91">
        <f>SUM(G576:H576)+'BM 008'!I576</f>
        <v>0</v>
      </c>
      <c r="J576" s="91">
        <f t="shared" si="227"/>
        <v>74</v>
      </c>
      <c r="K576" s="84">
        <v>250</v>
      </c>
      <c r="L576" s="81">
        <f t="shared" si="226"/>
        <v>316.90002750000002</v>
      </c>
      <c r="M576" s="82">
        <f t="shared" si="236"/>
        <v>0</v>
      </c>
      <c r="N576" s="82">
        <f t="shared" si="237"/>
        <v>0</v>
      </c>
      <c r="O576" s="82">
        <f>N576+'BM 008'!O576</f>
        <v>0</v>
      </c>
      <c r="P576" s="80">
        <f t="shared" si="238"/>
        <v>18500</v>
      </c>
      <c r="Q576" s="82">
        <f t="shared" si="239"/>
        <v>23450.6</v>
      </c>
      <c r="R576" s="82">
        <f t="shared" si="240"/>
        <v>23450.6</v>
      </c>
    </row>
    <row r="577" spans="1:23" s="34" customFormat="1" ht="23.4">
      <c r="B577" s="87" t="s">
        <v>1129</v>
      </c>
      <c r="C577" s="88" t="s">
        <v>1130</v>
      </c>
      <c r="D577" s="89" t="s">
        <v>63</v>
      </c>
      <c r="E577" s="92">
        <v>49</v>
      </c>
      <c r="F577" s="91"/>
      <c r="G577" s="91"/>
      <c r="H577" s="91"/>
      <c r="I577" s="91">
        <f>SUM(G577:H577)+'BM 008'!I577</f>
        <v>0</v>
      </c>
      <c r="J577" s="91">
        <f t="shared" si="227"/>
        <v>49</v>
      </c>
      <c r="K577" s="84">
        <v>250</v>
      </c>
      <c r="L577" s="81">
        <f t="shared" si="226"/>
        <v>316.90002750000002</v>
      </c>
      <c r="M577" s="82">
        <f t="shared" si="236"/>
        <v>0</v>
      </c>
      <c r="N577" s="82">
        <f t="shared" si="237"/>
        <v>0</v>
      </c>
      <c r="O577" s="82">
        <f>N577+'BM 008'!O577</f>
        <v>0</v>
      </c>
      <c r="P577" s="80">
        <f t="shared" si="238"/>
        <v>12250</v>
      </c>
      <c r="Q577" s="82">
        <f t="shared" si="239"/>
        <v>15528.1</v>
      </c>
      <c r="R577" s="82">
        <f t="shared" si="240"/>
        <v>15528.1</v>
      </c>
    </row>
    <row r="578" spans="1:23" s="34" customFormat="1" ht="23.4">
      <c r="B578" s="87" t="s">
        <v>1131</v>
      </c>
      <c r="C578" s="88" t="s">
        <v>1132</v>
      </c>
      <c r="D578" s="89" t="s">
        <v>63</v>
      </c>
      <c r="E578" s="92">
        <v>102</v>
      </c>
      <c r="F578" s="91"/>
      <c r="G578" s="91"/>
      <c r="H578" s="91"/>
      <c r="I578" s="91">
        <f>SUM(G578:H578)+'BM 008'!I578</f>
        <v>0</v>
      </c>
      <c r="J578" s="91">
        <f t="shared" si="227"/>
        <v>102</v>
      </c>
      <c r="K578" s="84">
        <v>200</v>
      </c>
      <c r="L578" s="81">
        <f t="shared" si="226"/>
        <v>253.52002200000001</v>
      </c>
      <c r="M578" s="82">
        <f t="shared" si="236"/>
        <v>0</v>
      </c>
      <c r="N578" s="82">
        <f t="shared" si="237"/>
        <v>0</v>
      </c>
      <c r="O578" s="82">
        <f>N578+'BM 008'!O578</f>
        <v>0</v>
      </c>
      <c r="P578" s="80">
        <f t="shared" si="238"/>
        <v>20400</v>
      </c>
      <c r="Q578" s="82">
        <f t="shared" si="239"/>
        <v>25859.040000000001</v>
      </c>
      <c r="R578" s="82">
        <f t="shared" si="240"/>
        <v>25859.040000000001</v>
      </c>
    </row>
    <row r="579" spans="1:23" s="34" customFormat="1" ht="13.2">
      <c r="B579" s="87" t="s">
        <v>1133</v>
      </c>
      <c r="C579" s="88" t="s">
        <v>1134</v>
      </c>
      <c r="D579" s="89" t="s">
        <v>63</v>
      </c>
      <c r="E579" s="92">
        <v>135</v>
      </c>
      <c r="F579" s="91"/>
      <c r="G579" s="91"/>
      <c r="H579" s="91"/>
      <c r="I579" s="91">
        <f>SUM(G579:H579)+'BM 008'!I579</f>
        <v>0</v>
      </c>
      <c r="J579" s="91">
        <f t="shared" si="227"/>
        <v>135</v>
      </c>
      <c r="K579" s="84">
        <v>85</v>
      </c>
      <c r="L579" s="81">
        <f t="shared" si="226"/>
        <v>107.74600935000001</v>
      </c>
      <c r="M579" s="82">
        <f t="shared" si="236"/>
        <v>0</v>
      </c>
      <c r="N579" s="82">
        <f t="shared" si="237"/>
        <v>0</v>
      </c>
      <c r="O579" s="82">
        <f>N579+'BM 008'!O579</f>
        <v>0</v>
      </c>
      <c r="P579" s="80">
        <f t="shared" si="238"/>
        <v>11475</v>
      </c>
      <c r="Q579" s="82">
        <f t="shared" si="239"/>
        <v>14545.71</v>
      </c>
      <c r="R579" s="82">
        <f t="shared" si="240"/>
        <v>14545.71</v>
      </c>
    </row>
    <row r="580" spans="1:23" s="34" customFormat="1" ht="34.799999999999997">
      <c r="B580" s="87" t="s">
        <v>1135</v>
      </c>
      <c r="C580" s="88" t="s">
        <v>1136</v>
      </c>
      <c r="D580" s="89" t="s">
        <v>79</v>
      </c>
      <c r="E580" s="92">
        <v>43.42</v>
      </c>
      <c r="F580" s="91"/>
      <c r="G580" s="91"/>
      <c r="H580" s="91"/>
      <c r="I580" s="91">
        <f>SUM(G580:H580)+'BM 008'!I580</f>
        <v>0</v>
      </c>
      <c r="J580" s="91">
        <f t="shared" si="227"/>
        <v>43.42</v>
      </c>
      <c r="K580" s="84">
        <v>2590</v>
      </c>
      <c r="L580" s="81">
        <f t="shared" si="226"/>
        <v>3283.0842849000001</v>
      </c>
      <c r="M580" s="82">
        <f t="shared" si="236"/>
        <v>0</v>
      </c>
      <c r="N580" s="82">
        <f t="shared" si="237"/>
        <v>0</v>
      </c>
      <c r="O580" s="82">
        <f>N580+'BM 008'!O580</f>
        <v>0</v>
      </c>
      <c r="P580" s="80">
        <f t="shared" si="238"/>
        <v>112457.8</v>
      </c>
      <c r="Q580" s="82">
        <f t="shared" si="239"/>
        <v>142551.51</v>
      </c>
      <c r="R580" s="82">
        <f t="shared" si="240"/>
        <v>142551.51</v>
      </c>
    </row>
    <row r="581" spans="1:23" s="34" customFormat="1" ht="34.799999999999997">
      <c r="B581" s="87" t="s">
        <v>1137</v>
      </c>
      <c r="C581" s="88" t="s">
        <v>1138</v>
      </c>
      <c r="D581" s="89" t="s">
        <v>79</v>
      </c>
      <c r="E581" s="92">
        <v>8.93</v>
      </c>
      <c r="F581" s="91"/>
      <c r="G581" s="91"/>
      <c r="H581" s="91"/>
      <c r="I581" s="91">
        <f>SUM(G581:H581)+'BM 008'!I581</f>
        <v>0</v>
      </c>
      <c r="J581" s="91">
        <f t="shared" si="227"/>
        <v>8.93</v>
      </c>
      <c r="K581" s="84">
        <v>950</v>
      </c>
      <c r="L581" s="81">
        <f t="shared" si="226"/>
        <v>1204.2201045000002</v>
      </c>
      <c r="M581" s="82">
        <f t="shared" si="236"/>
        <v>0</v>
      </c>
      <c r="N581" s="82">
        <f t="shared" si="237"/>
        <v>0</v>
      </c>
      <c r="O581" s="82">
        <f>N581+'BM 008'!O581</f>
        <v>0</v>
      </c>
      <c r="P581" s="80">
        <f t="shared" si="238"/>
        <v>8483.5</v>
      </c>
      <c r="Q581" s="82">
        <f t="shared" si="239"/>
        <v>10753.68</v>
      </c>
      <c r="R581" s="82">
        <f t="shared" si="240"/>
        <v>10753.68</v>
      </c>
    </row>
    <row r="582" spans="1:23" s="34" customFormat="1" ht="23.4">
      <c r="B582" s="87" t="s">
        <v>1139</v>
      </c>
      <c r="C582" s="88" t="s">
        <v>1140</v>
      </c>
      <c r="D582" s="89" t="s">
        <v>63</v>
      </c>
      <c r="E582" s="92">
        <v>1</v>
      </c>
      <c r="F582" s="91"/>
      <c r="G582" s="91"/>
      <c r="H582" s="91"/>
      <c r="I582" s="91">
        <f>SUM(G582:H582)+'BM 008'!I582</f>
        <v>0</v>
      </c>
      <c r="J582" s="91">
        <f t="shared" si="227"/>
        <v>1</v>
      </c>
      <c r="K582" s="84">
        <v>210</v>
      </c>
      <c r="L582" s="81">
        <f t="shared" si="226"/>
        <v>266.19602309999999</v>
      </c>
      <c r="M582" s="82">
        <f t="shared" si="236"/>
        <v>0</v>
      </c>
      <c r="N582" s="82">
        <f t="shared" si="237"/>
        <v>0</v>
      </c>
      <c r="O582" s="82">
        <f>N582+'BM 008'!O582</f>
        <v>0</v>
      </c>
      <c r="P582" s="80">
        <f t="shared" si="238"/>
        <v>210</v>
      </c>
      <c r="Q582" s="82">
        <f t="shared" si="239"/>
        <v>266.19</v>
      </c>
      <c r="R582" s="82">
        <f t="shared" si="240"/>
        <v>266.19</v>
      </c>
    </row>
    <row r="583" spans="1:23" ht="35.4">
      <c r="A583" s="34"/>
      <c r="B583" s="87" t="s">
        <v>1141</v>
      </c>
      <c r="C583" s="88" t="s">
        <v>1142</v>
      </c>
      <c r="D583" s="89" t="s">
        <v>63</v>
      </c>
      <c r="E583" s="92">
        <v>22</v>
      </c>
      <c r="F583" s="91"/>
      <c r="G583" s="91"/>
      <c r="H583" s="91"/>
      <c r="I583" s="91">
        <f>SUM(G583:H583)+'BM 008'!I583</f>
        <v>0</v>
      </c>
      <c r="J583" s="91">
        <f t="shared" si="227"/>
        <v>22</v>
      </c>
      <c r="K583" s="84">
        <v>490</v>
      </c>
      <c r="L583" s="81">
        <f t="shared" si="226"/>
        <v>621.12405390000004</v>
      </c>
      <c r="M583" s="82">
        <f t="shared" si="236"/>
        <v>0</v>
      </c>
      <c r="N583" s="82">
        <f t="shared" si="237"/>
        <v>0</v>
      </c>
      <c r="O583" s="82">
        <f>N583+'BM 008'!O583</f>
        <v>0</v>
      </c>
      <c r="P583" s="80">
        <f t="shared" si="238"/>
        <v>10780</v>
      </c>
      <c r="Q583" s="82">
        <f t="shared" si="239"/>
        <v>13664.72</v>
      </c>
      <c r="R583" s="82">
        <f t="shared" si="240"/>
        <v>13664.72</v>
      </c>
      <c r="S583" s="34"/>
      <c r="T583" s="34"/>
      <c r="U583" s="34"/>
      <c r="V583" s="34"/>
      <c r="W583" s="34"/>
    </row>
    <row r="584" spans="1:23" ht="58.2">
      <c r="A584" s="34"/>
      <c r="B584" s="87" t="s">
        <v>1143</v>
      </c>
      <c r="C584" s="88" t="s">
        <v>1144</v>
      </c>
      <c r="D584" s="89" t="s">
        <v>63</v>
      </c>
      <c r="E584" s="92">
        <v>3</v>
      </c>
      <c r="F584" s="91"/>
      <c r="G584" s="91"/>
      <c r="H584" s="91"/>
      <c r="I584" s="91">
        <f>SUM(G584:H584)+'BM 008'!I584</f>
        <v>0</v>
      </c>
      <c r="J584" s="91">
        <f t="shared" si="227"/>
        <v>3</v>
      </c>
      <c r="K584" s="84">
        <v>2480</v>
      </c>
      <c r="L584" s="81">
        <f t="shared" si="226"/>
        <v>3143.6482728000001</v>
      </c>
      <c r="M584" s="82">
        <f t="shared" si="236"/>
        <v>0</v>
      </c>
      <c r="N584" s="82">
        <f t="shared" si="237"/>
        <v>0</v>
      </c>
      <c r="O584" s="82">
        <f>N584+'BM 008'!O584</f>
        <v>0</v>
      </c>
      <c r="P584" s="80">
        <f t="shared" si="238"/>
        <v>7440</v>
      </c>
      <c r="Q584" s="82">
        <f t="shared" si="239"/>
        <v>9430.94</v>
      </c>
      <c r="R584" s="82">
        <f t="shared" si="240"/>
        <v>9430.94</v>
      </c>
      <c r="S584" s="34"/>
      <c r="T584" s="34"/>
      <c r="U584" s="34"/>
      <c r="V584" s="34"/>
      <c r="W584" s="34"/>
    </row>
    <row r="585" spans="1:23" ht="24">
      <c r="A585" s="34"/>
      <c r="B585" s="87" t="s">
        <v>1145</v>
      </c>
      <c r="C585" s="88" t="s">
        <v>1146</v>
      </c>
      <c r="D585" s="89" t="s">
        <v>63</v>
      </c>
      <c r="E585" s="92">
        <v>7</v>
      </c>
      <c r="F585" s="91"/>
      <c r="G585" s="91"/>
      <c r="H585" s="91"/>
      <c r="I585" s="91">
        <f>SUM(G585:H585)+'BM 008'!I585</f>
        <v>0</v>
      </c>
      <c r="J585" s="91">
        <f t="shared" si="227"/>
        <v>7</v>
      </c>
      <c r="K585" s="84">
        <v>950</v>
      </c>
      <c r="L585" s="81">
        <f t="shared" si="226"/>
        <v>1204.2201045000002</v>
      </c>
      <c r="M585" s="82">
        <f t="shared" si="236"/>
        <v>0</v>
      </c>
      <c r="N585" s="82">
        <f t="shared" si="237"/>
        <v>0</v>
      </c>
      <c r="O585" s="82">
        <f>N585+'BM 008'!O585</f>
        <v>0</v>
      </c>
      <c r="P585" s="80">
        <f t="shared" si="238"/>
        <v>6650</v>
      </c>
      <c r="Q585" s="82">
        <f t="shared" si="239"/>
        <v>8429.5400000000009</v>
      </c>
      <c r="R585" s="82">
        <f t="shared" si="240"/>
        <v>8429.5400000000009</v>
      </c>
      <c r="S585" s="34"/>
      <c r="T585" s="34"/>
      <c r="U585" s="34"/>
      <c r="V585" s="34"/>
      <c r="W585" s="34"/>
    </row>
    <row r="586" spans="1:23" ht="35.4">
      <c r="A586" s="34"/>
      <c r="B586" s="87" t="s">
        <v>1147</v>
      </c>
      <c r="C586" s="88" t="s">
        <v>1148</v>
      </c>
      <c r="D586" s="89" t="s">
        <v>63</v>
      </c>
      <c r="E586" s="92">
        <v>43</v>
      </c>
      <c r="F586" s="91"/>
      <c r="G586" s="91"/>
      <c r="H586" s="91"/>
      <c r="I586" s="91">
        <f>SUM(G586:H586)+'BM 008'!I586</f>
        <v>0</v>
      </c>
      <c r="J586" s="91">
        <f t="shared" si="227"/>
        <v>43</v>
      </c>
      <c r="K586" s="84">
        <v>300</v>
      </c>
      <c r="L586" s="81">
        <f t="shared" si="226"/>
        <v>380.280033</v>
      </c>
      <c r="M586" s="82">
        <f t="shared" si="236"/>
        <v>0</v>
      </c>
      <c r="N586" s="82">
        <f t="shared" si="237"/>
        <v>0</v>
      </c>
      <c r="O586" s="82">
        <f>N586+'BM 008'!O586</f>
        <v>0</v>
      </c>
      <c r="P586" s="80">
        <f t="shared" si="238"/>
        <v>12900</v>
      </c>
      <c r="Q586" s="82">
        <f t="shared" si="239"/>
        <v>16352.04</v>
      </c>
      <c r="R586" s="82">
        <f t="shared" si="240"/>
        <v>16352.04</v>
      </c>
      <c r="S586" s="34"/>
      <c r="T586" s="34"/>
      <c r="U586" s="34"/>
      <c r="V586" s="34"/>
      <c r="W586" s="34"/>
    </row>
    <row r="587" spans="1:23" ht="35.4">
      <c r="A587" s="34"/>
      <c r="B587" s="87" t="s">
        <v>1149</v>
      </c>
      <c r="C587" s="88" t="s">
        <v>1150</v>
      </c>
      <c r="D587" s="89" t="s">
        <v>63</v>
      </c>
      <c r="E587" s="92">
        <v>4</v>
      </c>
      <c r="F587" s="91"/>
      <c r="G587" s="91"/>
      <c r="H587" s="91"/>
      <c r="I587" s="91">
        <f>SUM(G587:H587)+'BM 008'!I587</f>
        <v>0</v>
      </c>
      <c r="J587" s="91">
        <f t="shared" si="227"/>
        <v>4</v>
      </c>
      <c r="K587" s="84">
        <v>3852</v>
      </c>
      <c r="L587" s="81">
        <f t="shared" si="226"/>
        <v>4882.7956237200005</v>
      </c>
      <c r="M587" s="82">
        <f t="shared" si="236"/>
        <v>0</v>
      </c>
      <c r="N587" s="82">
        <f t="shared" si="237"/>
        <v>0</v>
      </c>
      <c r="O587" s="82">
        <f>N587+'BM 008'!O587</f>
        <v>0</v>
      </c>
      <c r="P587" s="80">
        <f t="shared" si="238"/>
        <v>15408</v>
      </c>
      <c r="Q587" s="82">
        <f t="shared" si="239"/>
        <v>19531.18</v>
      </c>
      <c r="R587" s="82">
        <f t="shared" si="240"/>
        <v>19531.18</v>
      </c>
      <c r="S587" s="34"/>
      <c r="T587" s="34"/>
      <c r="U587" s="34"/>
      <c r="V587" s="34"/>
      <c r="W587" s="34"/>
    </row>
    <row r="588" spans="1:23">
      <c r="A588" s="34"/>
      <c r="B588" s="60" t="s">
        <v>1151</v>
      </c>
      <c r="C588" s="61" t="s">
        <v>1152</v>
      </c>
      <c r="D588" s="60"/>
      <c r="E588" s="62"/>
      <c r="F588" s="63"/>
      <c r="G588" s="63"/>
      <c r="H588" s="63"/>
      <c r="I588" s="63">
        <f>SUM(G588:H588)+'BM 008'!I588</f>
        <v>0</v>
      </c>
      <c r="J588" s="63">
        <f t="shared" si="227"/>
        <v>0</v>
      </c>
      <c r="K588" s="63"/>
      <c r="L588" s="63">
        <f t="shared" si="226"/>
        <v>0</v>
      </c>
      <c r="M588" s="63">
        <f t="shared" ref="M588:R588" si="241">SUM(M589:M590)</f>
        <v>0</v>
      </c>
      <c r="N588" s="63">
        <f t="shared" si="241"/>
        <v>0</v>
      </c>
      <c r="O588" s="63">
        <f t="shared" si="241"/>
        <v>0</v>
      </c>
      <c r="P588" s="63">
        <f t="shared" si="241"/>
        <v>30555.67</v>
      </c>
      <c r="Q588" s="63">
        <f t="shared" si="241"/>
        <v>38732.36</v>
      </c>
      <c r="R588" s="63">
        <f t="shared" si="241"/>
        <v>38732.36</v>
      </c>
      <c r="S588" s="34"/>
      <c r="T588" s="34"/>
      <c r="U588" s="34"/>
      <c r="V588" s="34"/>
      <c r="W588" s="34"/>
    </row>
    <row r="589" spans="1:23" ht="24">
      <c r="A589" s="34"/>
      <c r="B589" s="75" t="s">
        <v>1153</v>
      </c>
      <c r="C589" s="76" t="s">
        <v>1154</v>
      </c>
      <c r="D589" s="121" t="s">
        <v>63</v>
      </c>
      <c r="E589" s="78">
        <v>1</v>
      </c>
      <c r="F589" s="79"/>
      <c r="G589" s="79"/>
      <c r="H589" s="79"/>
      <c r="I589" s="79">
        <f>SUM(G589:H589)+'BM 008'!I589</f>
        <v>0</v>
      </c>
      <c r="J589" s="79">
        <f t="shared" si="227"/>
        <v>1</v>
      </c>
      <c r="K589" s="84">
        <v>5076.55</v>
      </c>
      <c r="L589" s="81">
        <f t="shared" si="226"/>
        <v>6435.0353384205009</v>
      </c>
      <c r="M589" s="82">
        <f>TRUNC(F589*L589,2)</f>
        <v>0</v>
      </c>
      <c r="N589" s="82">
        <f>TRUNC(G589*L589,2)</f>
        <v>0</v>
      </c>
      <c r="O589" s="82">
        <f>N589+'BM 008'!O589</f>
        <v>0</v>
      </c>
      <c r="P589" s="80">
        <f>E589*K589</f>
        <v>5076.55</v>
      </c>
      <c r="Q589" s="82">
        <f>TRUNC(E589*L589,2)</f>
        <v>6435.03</v>
      </c>
      <c r="R589" s="82">
        <f>Q589-O589</f>
        <v>6435.03</v>
      </c>
      <c r="S589" s="34"/>
      <c r="T589" s="34"/>
      <c r="U589" s="34"/>
      <c r="V589" s="34"/>
      <c r="W589" s="34"/>
    </row>
    <row r="590" spans="1:23" s="122" customFormat="1" ht="13.8">
      <c r="A590" s="34"/>
      <c r="B590" s="75" t="s">
        <v>1155</v>
      </c>
      <c r="C590" s="76" t="s">
        <v>1156</v>
      </c>
      <c r="D590" s="77" t="s">
        <v>79</v>
      </c>
      <c r="E590" s="93">
        <v>6369.78</v>
      </c>
      <c r="F590" s="79"/>
      <c r="G590" s="79"/>
      <c r="H590" s="79"/>
      <c r="I590" s="79">
        <f>SUM(G590:H590)+'BM 008'!I590</f>
        <v>0</v>
      </c>
      <c r="J590" s="79">
        <f t="shared" si="227"/>
        <v>6369.78</v>
      </c>
      <c r="K590" s="123">
        <v>4</v>
      </c>
      <c r="L590" s="81">
        <f t="shared" si="226"/>
        <v>5.0704004400000002</v>
      </c>
      <c r="M590" s="82">
        <f>TRUNC(F590*L590,2)</f>
        <v>0</v>
      </c>
      <c r="N590" s="82">
        <f>TRUNC(G590*L590,2)</f>
        <v>0</v>
      </c>
      <c r="O590" s="82">
        <f>N590+'BM 008'!O590</f>
        <v>0</v>
      </c>
      <c r="P590" s="124">
        <f>E590*K590</f>
        <v>25479.119999999999</v>
      </c>
      <c r="Q590" s="82">
        <f>TRUNC(E590*L590,2)</f>
        <v>32297.33</v>
      </c>
      <c r="R590" s="82">
        <f>Q590-O590</f>
        <v>32297.33</v>
      </c>
      <c r="S590" s="34"/>
      <c r="T590" s="34"/>
      <c r="U590" s="34"/>
      <c r="V590" s="34"/>
      <c r="W590" s="34"/>
    </row>
    <row r="591" spans="1:23" s="122" customFormat="1" ht="31.5" customHeight="1">
      <c r="A591" s="2"/>
      <c r="B591" s="533" t="s">
        <v>1157</v>
      </c>
      <c r="C591" s="533"/>
      <c r="D591" s="533"/>
      <c r="E591" s="533"/>
      <c r="F591" s="533"/>
      <c r="G591" s="533"/>
      <c r="H591" s="533"/>
      <c r="I591" s="533"/>
      <c r="J591" s="533"/>
      <c r="K591" s="533"/>
      <c r="L591" s="533"/>
      <c r="M591" s="131">
        <f>M27+M46+M58+M88+M126+M134+M148+M162+M167+M171+M216+M225+M234+M319+M432+M447+M463+M491</f>
        <v>68243.33</v>
      </c>
      <c r="N591" s="132">
        <f>SUM(N27,N52,N62,N94,N131,N139,N155,N170,N175,N178,N215,N222,N225,N317,N328,N481,N507,N566,N588)</f>
        <v>557090.72</v>
      </c>
      <c r="O591" s="132">
        <f>SUM(O27,O52,O62,O94,O131,O139,O155,O170,O175,O178,O215,O222,O225,O317,O328,O481,O507,O566,O588)</f>
        <v>6775480.71</v>
      </c>
      <c r="P591" s="132">
        <f>SUM(P27,P52,P62,P94,P131,P139,P155,P170,P175,P178,P215,P222,P225,P317,P328,P481,P507,P566,P588)</f>
        <v>20732092.142300002</v>
      </c>
      <c r="Q591" s="132">
        <f>SUM(Q27,Q52,Q62,Q94,Q131,Q139,Q155,Q170,Q175,Q178,Q215,Q222,Q225,Q317,Q328,Q481,Q507,Q566,Q588)</f>
        <v>26279999.999999993</v>
      </c>
      <c r="R591" s="132">
        <f>SUM(R27,R52,R62,R94,R131,R139,R155,R170,R175,R178,R215,R222,R225,R317,R328,R481,R507,R566,R588)</f>
        <v>19504519.289999999</v>
      </c>
      <c r="S591" s="2"/>
      <c r="T591" s="2"/>
      <c r="U591" s="2"/>
      <c r="V591" s="2"/>
      <c r="W591" s="2"/>
    </row>
    <row r="592" spans="1:23" s="122" customFormat="1" ht="31.5" customHeight="1">
      <c r="A592" s="2"/>
      <c r="B592" s="533" t="s">
        <v>1196</v>
      </c>
      <c r="C592" s="533"/>
      <c r="D592" s="533"/>
      <c r="E592" s="533"/>
      <c r="F592" s="533"/>
      <c r="G592" s="533"/>
      <c r="H592" s="533"/>
      <c r="I592" s="533"/>
      <c r="J592" s="533"/>
      <c r="K592" s="533"/>
      <c r="L592" s="533"/>
      <c r="M592" s="131"/>
      <c r="N592" s="133"/>
      <c r="O592" s="131"/>
      <c r="P592" s="132"/>
      <c r="Q592" s="132"/>
      <c r="R592" s="134"/>
      <c r="S592" s="2"/>
      <c r="T592" s="2"/>
      <c r="U592" s="2"/>
      <c r="V592" s="2"/>
      <c r="W592" s="2"/>
    </row>
    <row r="593" spans="1:23" s="122" customFormat="1" ht="31.5" customHeight="1">
      <c r="A593" s="2"/>
      <c r="B593" s="533" t="s">
        <v>1430</v>
      </c>
      <c r="C593" s="533"/>
      <c r="D593" s="533"/>
      <c r="E593" s="533"/>
      <c r="F593" s="533"/>
      <c r="G593" s="533"/>
      <c r="H593" s="533"/>
      <c r="I593" s="533"/>
      <c r="J593" s="533"/>
      <c r="K593" s="533"/>
      <c r="L593" s="533"/>
      <c r="M593" s="131"/>
      <c r="N593" s="133">
        <v>65000</v>
      </c>
      <c r="O593" s="131"/>
      <c r="P593" s="132"/>
      <c r="Q593" s="132"/>
      <c r="R593" s="134"/>
      <c r="S593" s="2"/>
      <c r="T593" s="2"/>
      <c r="U593" s="2"/>
      <c r="V593" s="2"/>
      <c r="W593" s="2"/>
    </row>
    <row r="594" spans="1:23" s="122" customFormat="1" ht="31.5" customHeight="1">
      <c r="A594" s="2"/>
      <c r="B594" s="533" t="s">
        <v>1320</v>
      </c>
      <c r="C594" s="533"/>
      <c r="D594" s="533"/>
      <c r="E594" s="533"/>
      <c r="F594" s="533"/>
      <c r="G594" s="533"/>
      <c r="H594" s="533"/>
      <c r="I594" s="533"/>
      <c r="J594" s="533"/>
      <c r="K594" s="533"/>
      <c r="L594" s="533"/>
      <c r="M594" s="131"/>
      <c r="N594" s="133"/>
      <c r="O594" s="131"/>
      <c r="P594" s="132"/>
      <c r="Q594" s="132"/>
      <c r="R594" s="134"/>
      <c r="S594" s="2"/>
      <c r="T594" s="2"/>
      <c r="U594" s="2"/>
      <c r="V594" s="2"/>
      <c r="W594" s="2"/>
    </row>
    <row r="595" spans="1:23" s="122" customFormat="1" ht="31.5" customHeight="1">
      <c r="A595" s="2"/>
      <c r="B595" s="533" t="s">
        <v>1591</v>
      </c>
      <c r="C595" s="533"/>
      <c r="D595" s="533"/>
      <c r="E595" s="533"/>
      <c r="F595" s="533"/>
      <c r="G595" s="533"/>
      <c r="H595" s="533"/>
      <c r="I595" s="533"/>
      <c r="J595" s="533"/>
      <c r="K595" s="533"/>
      <c r="L595" s="533"/>
      <c r="M595" s="131"/>
      <c r="N595" s="133">
        <v>52604.61</v>
      </c>
      <c r="O595" s="131"/>
      <c r="P595" s="132"/>
      <c r="Q595" s="132"/>
      <c r="R595" s="134"/>
      <c r="S595" s="2"/>
      <c r="T595" s="2"/>
      <c r="U595" s="2"/>
      <c r="V595" s="2"/>
      <c r="W595" s="2"/>
    </row>
    <row r="596" spans="1:23" s="122" customFormat="1" ht="31.5" hidden="1" customHeight="1">
      <c r="A596" s="2"/>
      <c r="B596" s="272"/>
      <c r="C596" s="273"/>
      <c r="D596" s="273"/>
      <c r="E596" s="273"/>
      <c r="F596" s="273"/>
      <c r="G596" s="273"/>
      <c r="H596" s="273"/>
      <c r="I596" s="273"/>
      <c r="J596" s="273"/>
      <c r="K596" s="273"/>
      <c r="L596" s="274"/>
      <c r="M596" s="131"/>
      <c r="N596" s="133"/>
      <c r="O596" s="131"/>
      <c r="P596" s="132"/>
      <c r="Q596" s="132"/>
      <c r="R596" s="134"/>
      <c r="S596" s="2"/>
      <c r="T596" s="2"/>
      <c r="U596" s="2"/>
      <c r="V596" s="2"/>
      <c r="W596" s="2"/>
    </row>
    <row r="597" spans="1:23" s="122" customFormat="1" ht="31.5" customHeight="1">
      <c r="A597" s="2"/>
      <c r="B597" s="533" t="s">
        <v>1161</v>
      </c>
      <c r="C597" s="533"/>
      <c r="D597" s="533"/>
      <c r="E597" s="533"/>
      <c r="F597" s="533"/>
      <c r="G597" s="533"/>
      <c r="H597" s="533"/>
      <c r="I597" s="533"/>
      <c r="J597" s="533"/>
      <c r="K597" s="533"/>
      <c r="L597" s="533"/>
      <c r="M597" s="131">
        <f>M28+M47+M59+M89+M127+M135+M149+M163+M168+M172+M217+M226+M235+M320+M433+M448+M464+M492</f>
        <v>14612.26</v>
      </c>
      <c r="N597" s="131">
        <f>N591-SUM(N592:N596)</f>
        <v>439486.11</v>
      </c>
      <c r="O597" s="131" t="s">
        <v>1162</v>
      </c>
      <c r="P597" s="132">
        <f>P28+P47+P59+P89+P127+P135+P149+P163+P168+P172+P217+P226+P235+P320+P433+P448+P464+P492</f>
        <v>1855118.2200000002</v>
      </c>
      <c r="Q597" s="132" t="s">
        <v>1162</v>
      </c>
      <c r="R597" s="134" t="s">
        <v>1162</v>
      </c>
      <c r="S597" s="2"/>
      <c r="T597" s="2"/>
      <c r="U597" s="2"/>
      <c r="V597" s="2"/>
      <c r="W597" s="2"/>
    </row>
    <row r="598" spans="1:23" s="122" customFormat="1" ht="8.25" customHeight="1">
      <c r="D598" s="135"/>
      <c r="E598" s="136"/>
      <c r="F598" s="136"/>
      <c r="G598" s="136"/>
      <c r="H598" s="136"/>
      <c r="I598" s="136"/>
      <c r="J598" s="137"/>
      <c r="K598" s="137"/>
      <c r="L598" s="137"/>
      <c r="M598" s="137"/>
      <c r="N598" s="137"/>
      <c r="O598" s="138"/>
      <c r="P598" s="139"/>
      <c r="Q598" s="139"/>
      <c r="R598" s="137"/>
    </row>
    <row r="599" spans="1:23" s="122" customFormat="1" ht="15.75" customHeight="1">
      <c r="B599" s="140" t="s">
        <v>1163</v>
      </c>
      <c r="C599" s="141" t="s">
        <v>1164</v>
      </c>
      <c r="D599" s="534" t="s">
        <v>1165</v>
      </c>
      <c r="E599" s="534"/>
      <c r="F599" s="142" t="s">
        <v>1163</v>
      </c>
      <c r="G599" s="143" t="s">
        <v>1164</v>
      </c>
      <c r="H599" s="144"/>
      <c r="I599" s="534" t="s">
        <v>1165</v>
      </c>
      <c r="J599" s="534"/>
      <c r="K599" s="145"/>
      <c r="L599" s="142" t="s">
        <v>1166</v>
      </c>
      <c r="M599" s="142"/>
      <c r="N599" s="146"/>
      <c r="O599" s="535" t="s">
        <v>1167</v>
      </c>
      <c r="P599" s="535"/>
      <c r="Q599" s="535"/>
      <c r="R599" s="137"/>
    </row>
    <row r="600" spans="1:23" s="122" customFormat="1" ht="19.5" customHeight="1">
      <c r="B600" s="147" t="s">
        <v>1168</v>
      </c>
      <c r="C600" s="148" t="s">
        <v>1169</v>
      </c>
      <c r="D600" s="536">
        <f>TRUNC(35%*11%*N597,2)</f>
        <v>16920.21</v>
      </c>
      <c r="E600" s="536"/>
      <c r="F600" s="149" t="s">
        <v>1170</v>
      </c>
      <c r="G600" s="150"/>
      <c r="H600" s="151"/>
      <c r="I600" s="537"/>
      <c r="J600" s="537"/>
      <c r="K600" s="152"/>
      <c r="L600" s="149" t="s">
        <v>1171</v>
      </c>
      <c r="M600" s="150" t="e">
        <f>#REF!</f>
        <v>#REF!</v>
      </c>
      <c r="N600" s="150"/>
      <c r="O600" s="535"/>
      <c r="P600" s="535"/>
      <c r="Q600" s="535"/>
      <c r="R600" s="137"/>
    </row>
    <row r="601" spans="1:23" s="122" customFormat="1" ht="19.5" customHeight="1">
      <c r="B601" s="147" t="s">
        <v>1172</v>
      </c>
      <c r="C601" s="148" t="s">
        <v>1198</v>
      </c>
      <c r="D601" s="536">
        <f>E609</f>
        <v>15382.01</v>
      </c>
      <c r="E601" s="536"/>
      <c r="F601" s="149" t="s">
        <v>1174</v>
      </c>
      <c r="G601" s="150"/>
      <c r="H601" s="151"/>
      <c r="I601" s="537"/>
      <c r="J601" s="537"/>
      <c r="K601" s="152"/>
      <c r="L601" s="149" t="s">
        <v>1175</v>
      </c>
      <c r="M601" s="150" t="e">
        <f>#REF!</f>
        <v>#REF!</v>
      </c>
      <c r="N601" s="150"/>
      <c r="O601" s="538">
        <f>N597-D600-D601-D602-I600-I601-I602-N600-N601-N602</f>
        <v>407183.88999999996</v>
      </c>
      <c r="P601" s="538"/>
      <c r="Q601" s="538"/>
      <c r="R601" s="137"/>
    </row>
    <row r="602" spans="1:23" ht="19.5" customHeight="1">
      <c r="A602" s="122"/>
      <c r="B602" s="153" t="s">
        <v>1176</v>
      </c>
      <c r="C602" s="154">
        <v>0</v>
      </c>
      <c r="D602" s="539"/>
      <c r="E602" s="539"/>
      <c r="F602" s="155" t="s">
        <v>1177</v>
      </c>
      <c r="G602" s="156"/>
      <c r="H602" s="157"/>
      <c r="I602" s="540"/>
      <c r="J602" s="540"/>
      <c r="K602" s="159"/>
      <c r="L602" s="155" t="s">
        <v>1178</v>
      </c>
      <c r="M602" s="158"/>
      <c r="N602" s="158"/>
      <c r="O602" s="538"/>
      <c r="P602" s="538"/>
      <c r="Q602" s="538"/>
      <c r="R602" s="137"/>
      <c r="S602" s="122"/>
      <c r="T602" s="122"/>
      <c r="U602" s="122"/>
      <c r="V602" s="122"/>
      <c r="W602" s="122"/>
    </row>
    <row r="603" spans="1:23">
      <c r="A603" s="122"/>
      <c r="B603" s="122"/>
      <c r="C603" s="122"/>
      <c r="D603" s="135"/>
      <c r="E603" s="136"/>
      <c r="F603" s="136"/>
      <c r="G603" s="136"/>
      <c r="H603" s="136"/>
      <c r="I603" s="136"/>
      <c r="J603" s="137"/>
      <c r="K603" s="137"/>
      <c r="L603" s="137"/>
      <c r="M603" s="137"/>
      <c r="N603" s="137"/>
      <c r="O603" s="137"/>
      <c r="P603" s="139"/>
      <c r="Q603" s="139"/>
      <c r="R603" s="137"/>
      <c r="S603" s="122"/>
      <c r="T603" s="122"/>
      <c r="U603" s="122"/>
      <c r="V603" s="122"/>
      <c r="W603" s="122"/>
    </row>
    <row r="604" spans="1:23">
      <c r="A604" s="122"/>
      <c r="B604" s="122"/>
      <c r="C604" s="122"/>
      <c r="D604" s="135"/>
      <c r="E604" s="136"/>
      <c r="F604" s="136"/>
      <c r="G604" s="136"/>
      <c r="H604" s="136"/>
      <c r="I604" s="136"/>
      <c r="J604" s="137"/>
      <c r="K604" s="137"/>
      <c r="L604" s="137"/>
      <c r="M604" s="137"/>
      <c r="N604" s="137"/>
      <c r="O604" s="137"/>
      <c r="P604" s="139"/>
      <c r="Q604" s="139"/>
      <c r="R604" s="137"/>
      <c r="S604" s="122"/>
      <c r="T604" s="122"/>
      <c r="U604" s="122"/>
      <c r="V604" s="122"/>
      <c r="W604" s="122"/>
    </row>
    <row r="605" spans="1:23" ht="27.75" customHeight="1">
      <c r="A605" s="122"/>
      <c r="B605" s="122"/>
      <c r="C605" s="541" t="s">
        <v>1179</v>
      </c>
      <c r="D605" s="541"/>
      <c r="E605" s="541"/>
      <c r="F605" s="136"/>
      <c r="G605" s="136"/>
      <c r="H605" s="136"/>
      <c r="I605" s="136"/>
      <c r="J605" s="137"/>
      <c r="K605" s="137"/>
      <c r="L605" s="137"/>
      <c r="M605" s="137"/>
      <c r="N605" s="137"/>
      <c r="O605" s="137"/>
      <c r="P605" s="139"/>
      <c r="Q605" s="139"/>
      <c r="R605" s="137"/>
      <c r="S605" s="122"/>
      <c r="T605" s="122"/>
      <c r="U605" s="122"/>
      <c r="V605" s="122"/>
      <c r="W605" s="122"/>
    </row>
    <row r="606" spans="1:23" ht="24.75" customHeight="1">
      <c r="A606" s="122"/>
      <c r="B606" s="122"/>
      <c r="C606" s="542" t="s">
        <v>1180</v>
      </c>
      <c r="D606" s="542"/>
      <c r="E606" s="160">
        <f>N597</f>
        <v>439486.11</v>
      </c>
      <c r="F606" s="136"/>
      <c r="G606" s="136"/>
      <c r="H606" s="136"/>
      <c r="I606" s="136"/>
      <c r="J606" s="137"/>
      <c r="K606" s="137"/>
      <c r="L606" s="137"/>
      <c r="M606" s="137"/>
      <c r="N606" s="137"/>
      <c r="O606" s="137"/>
      <c r="P606" s="139"/>
      <c r="Q606" s="139"/>
      <c r="R606" s="137"/>
      <c r="S606" s="122"/>
      <c r="T606" s="122"/>
      <c r="U606" s="122"/>
      <c r="V606" s="122"/>
      <c r="W606" s="122"/>
    </row>
    <row r="607" spans="1:23" ht="24.75" customHeight="1">
      <c r="A607" s="122"/>
      <c r="B607" s="122"/>
      <c r="C607" s="543" t="s">
        <v>1183</v>
      </c>
      <c r="D607" s="543"/>
      <c r="E607" s="162">
        <f>0.7*E606</f>
        <v>307640.27699999994</v>
      </c>
      <c r="F607" s="136"/>
      <c r="G607" s="136"/>
      <c r="H607" s="136"/>
      <c r="I607" s="136"/>
      <c r="J607" s="137"/>
      <c r="K607" s="137"/>
      <c r="L607" s="137"/>
      <c r="M607" s="137"/>
      <c r="N607" s="137"/>
      <c r="O607" s="137"/>
      <c r="P607" s="139"/>
      <c r="Q607" s="139"/>
      <c r="R607" s="137"/>
      <c r="S607" s="122"/>
      <c r="T607" s="122"/>
      <c r="U607" s="122"/>
      <c r="V607" s="122"/>
      <c r="W607" s="122"/>
    </row>
    <row r="608" spans="1:23" ht="24.75" customHeight="1">
      <c r="A608" s="122"/>
      <c r="B608" s="122"/>
      <c r="C608" s="543" t="s">
        <v>1184</v>
      </c>
      <c r="D608" s="543"/>
      <c r="E608" s="163">
        <f>E607/E606</f>
        <v>0.69999999999999984</v>
      </c>
      <c r="F608" s="136"/>
      <c r="G608" s="136"/>
      <c r="H608" s="136"/>
      <c r="I608" s="136"/>
      <c r="J608" s="137"/>
      <c r="K608" s="137"/>
      <c r="L608" s="137"/>
      <c r="M608" s="137"/>
      <c r="N608" s="137"/>
      <c r="O608" s="137"/>
      <c r="P608" s="139"/>
      <c r="Q608" s="139"/>
      <c r="R608" s="137"/>
      <c r="S608" s="122"/>
      <c r="T608" s="122"/>
      <c r="U608" s="122"/>
      <c r="V608" s="122"/>
      <c r="W608" s="122"/>
    </row>
    <row r="609" spans="1:23" ht="24.75" customHeight="1">
      <c r="A609" s="122"/>
      <c r="B609" s="122"/>
      <c r="C609" s="545" t="s">
        <v>1185</v>
      </c>
      <c r="D609" s="545"/>
      <c r="E609" s="164">
        <f>TRUNC(E607*5%,2)</f>
        <v>15382.01</v>
      </c>
      <c r="F609" s="136"/>
      <c r="G609" s="136"/>
      <c r="H609" s="136"/>
      <c r="I609" s="136"/>
      <c r="J609" s="137"/>
      <c r="K609" s="137"/>
      <c r="L609" s="137"/>
      <c r="M609" s="137"/>
      <c r="N609" s="137"/>
      <c r="O609" s="137"/>
      <c r="P609" s="139"/>
      <c r="Q609" s="139"/>
      <c r="R609" s="137"/>
      <c r="S609" s="122"/>
      <c r="T609" s="122"/>
      <c r="U609" s="122"/>
      <c r="V609" s="122"/>
      <c r="W609" s="122"/>
    </row>
    <row r="611" spans="1:23" ht="19.5" customHeight="1">
      <c r="C611" s="546" t="s">
        <v>1186</v>
      </c>
      <c r="D611" s="546"/>
      <c r="E611" s="546"/>
      <c r="F611" s="546"/>
      <c r="G611" s="546"/>
      <c r="J611" s="4"/>
      <c r="N611" s="546" t="s">
        <v>1187</v>
      </c>
      <c r="O611" s="546"/>
      <c r="P611" s="546"/>
      <c r="Q611" s="546"/>
      <c r="R611" s="546"/>
      <c r="S611" s="5"/>
    </row>
    <row r="612" spans="1:23" ht="19.5" customHeight="1">
      <c r="C612" s="548" t="s">
        <v>1188</v>
      </c>
      <c r="D612" s="548"/>
      <c r="E612" s="168">
        <v>45390</v>
      </c>
      <c r="F612" s="166" t="s">
        <v>1189</v>
      </c>
      <c r="G612" s="167">
        <v>157132.10999999999</v>
      </c>
      <c r="J612" s="4"/>
      <c r="K612" s="4"/>
      <c r="N612" s="548" t="s">
        <v>1190</v>
      </c>
      <c r="O612" s="548"/>
      <c r="P612" s="168">
        <v>44973</v>
      </c>
      <c r="Q612" s="169" t="s">
        <v>1162</v>
      </c>
      <c r="R612" s="225"/>
      <c r="S612" s="6"/>
      <c r="T612" s="5"/>
    </row>
    <row r="613" spans="1:23" ht="19.5" customHeight="1">
      <c r="C613" s="549" t="s">
        <v>1191</v>
      </c>
      <c r="D613" s="549"/>
      <c r="E613" s="173">
        <v>45390</v>
      </c>
      <c r="F613" s="171" t="s">
        <v>1189</v>
      </c>
      <c r="G613" s="172">
        <v>12663.81</v>
      </c>
      <c r="J613" s="4"/>
      <c r="K613" s="4"/>
      <c r="N613" s="549" t="s">
        <v>1199</v>
      </c>
      <c r="O613" s="549"/>
      <c r="P613" s="173">
        <v>44973</v>
      </c>
      <c r="Q613" s="171" t="s">
        <v>1162</v>
      </c>
      <c r="R613" s="172">
        <v>354202.96</v>
      </c>
      <c r="S613" s="6"/>
      <c r="T613" s="5"/>
    </row>
    <row r="614" spans="1:23" ht="19.5" customHeight="1">
      <c r="C614" s="549" t="s">
        <v>1200</v>
      </c>
      <c r="D614" s="549"/>
      <c r="E614" s="173">
        <v>45421</v>
      </c>
      <c r="F614" s="171" t="s">
        <v>1189</v>
      </c>
      <c r="G614" s="172">
        <v>60499.5</v>
      </c>
      <c r="J614" s="4"/>
      <c r="K614" s="4"/>
      <c r="N614" s="549" t="s">
        <v>1201</v>
      </c>
      <c r="O614" s="549"/>
      <c r="P614" s="173"/>
      <c r="Q614" s="171"/>
      <c r="R614" s="172">
        <v>119528.5</v>
      </c>
      <c r="S614" s="6"/>
      <c r="T614" s="5"/>
    </row>
    <row r="615" spans="1:23" ht="19.5" customHeight="1">
      <c r="C615" s="549" t="s">
        <v>1202</v>
      </c>
      <c r="D615" s="549"/>
      <c r="E615" s="173">
        <v>45446</v>
      </c>
      <c r="F615" s="171" t="s">
        <v>1203</v>
      </c>
      <c r="G615" s="172">
        <v>60640</v>
      </c>
      <c r="J615" s="4"/>
      <c r="K615" s="4"/>
      <c r="N615" s="549" t="s">
        <v>1250</v>
      </c>
      <c r="O615" s="549"/>
      <c r="P615" s="173"/>
      <c r="Q615" s="171"/>
      <c r="R615" s="172">
        <v>155349.44</v>
      </c>
      <c r="S615" s="6"/>
      <c r="T615" s="5"/>
    </row>
    <row r="616" spans="1:23" ht="19.5" customHeight="1">
      <c r="C616" s="549" t="s">
        <v>1204</v>
      </c>
      <c r="D616" s="549"/>
      <c r="E616" s="173">
        <v>45446</v>
      </c>
      <c r="F616" s="171" t="s">
        <v>1203</v>
      </c>
      <c r="G616" s="172">
        <v>15160</v>
      </c>
      <c r="J616" s="4"/>
      <c r="K616" s="4"/>
      <c r="N616" s="549" t="s">
        <v>1431</v>
      </c>
      <c r="O616" s="549"/>
      <c r="P616" s="173"/>
      <c r="Q616" s="171"/>
      <c r="R616" s="172">
        <v>118394.27</v>
      </c>
      <c r="S616" s="6"/>
      <c r="T616" s="5"/>
    </row>
    <row r="617" spans="1:23" ht="19.5" customHeight="1">
      <c r="C617" s="549" t="s">
        <v>1205</v>
      </c>
      <c r="D617" s="549"/>
      <c r="E617" s="173">
        <v>45447</v>
      </c>
      <c r="F617" s="171" t="s">
        <v>1203</v>
      </c>
      <c r="G617" s="172">
        <v>193505</v>
      </c>
      <c r="J617" s="4"/>
      <c r="K617" s="4"/>
      <c r="N617" s="549" t="s">
        <v>1435</v>
      </c>
      <c r="O617" s="549"/>
      <c r="P617" s="173"/>
      <c r="Q617" s="171"/>
      <c r="R617" s="172">
        <v>146586.07999999999</v>
      </c>
      <c r="S617" s="6"/>
      <c r="T617" s="5"/>
    </row>
    <row r="618" spans="1:23" ht="19.5" customHeight="1">
      <c r="C618" s="549" t="s">
        <v>1206</v>
      </c>
      <c r="D618" s="549"/>
      <c r="E618" s="173">
        <v>45457</v>
      </c>
      <c r="F618" s="171" t="s">
        <v>1189</v>
      </c>
      <c r="G618" s="172">
        <v>101107.04</v>
      </c>
      <c r="J618" s="4"/>
      <c r="K618" s="4"/>
      <c r="N618" s="549" t="s">
        <v>1579</v>
      </c>
      <c r="O618" s="549"/>
      <c r="P618" s="173"/>
      <c r="Q618" s="171"/>
      <c r="R618" s="172">
        <v>136462.16</v>
      </c>
      <c r="S618" s="6"/>
      <c r="T618" s="5"/>
    </row>
    <row r="619" spans="1:23" ht="19.5" customHeight="1">
      <c r="C619" s="549" t="s">
        <v>1251</v>
      </c>
      <c r="D619" s="549"/>
      <c r="E619" s="173">
        <v>45462</v>
      </c>
      <c r="F619" s="171" t="s">
        <v>1203</v>
      </c>
      <c r="G619" s="172">
        <v>37190</v>
      </c>
      <c r="J619" s="4"/>
      <c r="K619" s="4"/>
      <c r="N619" s="549" t="s">
        <v>1592</v>
      </c>
      <c r="O619" s="549"/>
      <c r="P619" s="173"/>
      <c r="Q619" s="171"/>
      <c r="R619" s="172">
        <v>263138.58</v>
      </c>
      <c r="S619" s="6"/>
      <c r="T619" s="5"/>
    </row>
    <row r="620" spans="1:23" ht="19.5" customHeight="1">
      <c r="C620" s="549" t="s">
        <v>1252</v>
      </c>
      <c r="D620" s="549"/>
      <c r="E620" s="173">
        <v>45463</v>
      </c>
      <c r="F620" s="171" t="s">
        <v>1189</v>
      </c>
      <c r="G620" s="172">
        <v>21981.17</v>
      </c>
      <c r="J620" s="4"/>
      <c r="K620" s="4"/>
      <c r="N620" s="549" t="s">
        <v>1596</v>
      </c>
      <c r="O620" s="549"/>
      <c r="P620" s="173"/>
      <c r="Q620" s="171"/>
      <c r="R620" s="172">
        <f>SUM(N592:N595)</f>
        <v>117604.61</v>
      </c>
      <c r="S620" s="6"/>
      <c r="T620" s="5"/>
    </row>
    <row r="621" spans="1:23" ht="19.5" customHeight="1">
      <c r="C621" s="549" t="s">
        <v>1253</v>
      </c>
      <c r="D621" s="549"/>
      <c r="E621" s="173">
        <v>45463</v>
      </c>
      <c r="F621" s="171" t="s">
        <v>1203</v>
      </c>
      <c r="G621" s="172">
        <v>65870.5</v>
      </c>
      <c r="J621" s="4"/>
      <c r="K621" s="4"/>
      <c r="N621" s="549"/>
      <c r="O621" s="549"/>
      <c r="P621" s="271"/>
      <c r="Q621" s="269"/>
      <c r="R621" s="270"/>
      <c r="S621" s="6"/>
      <c r="T621" s="5"/>
    </row>
    <row r="622" spans="1:23" ht="19.5" customHeight="1">
      <c r="C622" s="549" t="s">
        <v>1254</v>
      </c>
      <c r="D622" s="549"/>
      <c r="E622" s="173">
        <v>45463</v>
      </c>
      <c r="F622" s="171" t="s">
        <v>1203</v>
      </c>
      <c r="G622" s="172">
        <v>16468</v>
      </c>
      <c r="J622" s="4"/>
      <c r="K622" s="4"/>
      <c r="N622" s="549"/>
      <c r="O622" s="549"/>
      <c r="P622" s="271"/>
      <c r="Q622" s="269"/>
      <c r="R622" s="270"/>
      <c r="S622" s="6"/>
      <c r="T622" s="5"/>
    </row>
    <row r="623" spans="1:23" ht="19.5" customHeight="1">
      <c r="C623" s="549" t="s">
        <v>1321</v>
      </c>
      <c r="D623" s="549"/>
      <c r="E623" s="173">
        <v>45502</v>
      </c>
      <c r="F623" s="171" t="s">
        <v>1189</v>
      </c>
      <c r="G623" s="172">
        <v>75035.899999999994</v>
      </c>
      <c r="J623" s="4"/>
      <c r="K623" s="4"/>
      <c r="N623" s="550"/>
      <c r="O623" s="550"/>
      <c r="P623" s="175"/>
      <c r="Q623" s="176"/>
      <c r="R623" s="177"/>
      <c r="S623" s="6"/>
      <c r="T623" s="5"/>
    </row>
    <row r="624" spans="1:23" ht="19.5" customHeight="1">
      <c r="C624" s="549" t="s">
        <v>1322</v>
      </c>
      <c r="D624" s="549"/>
      <c r="E624" s="173">
        <v>45503</v>
      </c>
      <c r="F624" s="171" t="s">
        <v>1189</v>
      </c>
      <c r="G624" s="172">
        <v>3201.96</v>
      </c>
      <c r="J624" s="4"/>
      <c r="K624" s="4"/>
      <c r="N624" s="179"/>
      <c r="O624" s="180"/>
      <c r="P624" s="180"/>
      <c r="Q624" s="180"/>
      <c r="R624" s="181">
        <f>SUM(R612:R623)</f>
        <v>1411266.6</v>
      </c>
      <c r="S624" s="6"/>
      <c r="T624" s="5"/>
    </row>
    <row r="625" spans="3:20" ht="19.5" customHeight="1">
      <c r="C625" s="549" t="s">
        <v>1323</v>
      </c>
      <c r="D625" s="549"/>
      <c r="E625" s="173">
        <v>45506</v>
      </c>
      <c r="F625" s="171" t="s">
        <v>1324</v>
      </c>
      <c r="G625" s="172">
        <v>43780</v>
      </c>
      <c r="J625" s="4"/>
      <c r="K625" s="4"/>
      <c r="S625" s="6"/>
      <c r="T625" s="5"/>
    </row>
    <row r="626" spans="3:20" ht="19.5" customHeight="1">
      <c r="C626" s="549" t="s">
        <v>1325</v>
      </c>
      <c r="D626" s="549"/>
      <c r="E626" s="173">
        <v>45510</v>
      </c>
      <c r="F626" s="171" t="s">
        <v>1189</v>
      </c>
      <c r="G626" s="172">
        <v>13904.88</v>
      </c>
      <c r="J626" s="4"/>
      <c r="K626" s="4"/>
      <c r="R626" s="183"/>
      <c r="S626" s="6"/>
      <c r="T626" s="5"/>
    </row>
    <row r="627" spans="3:20" ht="19.5" customHeight="1">
      <c r="C627" s="549" t="s">
        <v>1326</v>
      </c>
      <c r="D627" s="549"/>
      <c r="E627" s="173">
        <v>45516</v>
      </c>
      <c r="F627" s="171" t="s">
        <v>1189</v>
      </c>
      <c r="G627" s="172">
        <v>171.67</v>
      </c>
      <c r="J627" s="4"/>
      <c r="K627" s="4"/>
      <c r="S627" s="6"/>
      <c r="T627" s="5"/>
    </row>
    <row r="628" spans="3:20" ht="19.5" customHeight="1">
      <c r="C628" s="549" t="s">
        <v>1327</v>
      </c>
      <c r="D628" s="549"/>
      <c r="E628" s="173">
        <v>45516</v>
      </c>
      <c r="F628" s="171" t="s">
        <v>1189</v>
      </c>
      <c r="G628" s="172">
        <v>29223.439999999999</v>
      </c>
      <c r="J628" s="4"/>
      <c r="K628" s="4"/>
      <c r="S628" s="6"/>
      <c r="T628" s="5"/>
    </row>
    <row r="629" spans="3:20" ht="19.5" customHeight="1">
      <c r="C629" s="549" t="s">
        <v>1328</v>
      </c>
      <c r="D629" s="549"/>
      <c r="E629" s="173">
        <v>45518</v>
      </c>
      <c r="F629" s="171" t="s">
        <v>1189</v>
      </c>
      <c r="G629" s="172">
        <v>7038.13</v>
      </c>
      <c r="J629" s="4"/>
      <c r="K629" s="4"/>
      <c r="S629" s="6"/>
      <c r="T629" s="5"/>
    </row>
    <row r="630" spans="3:20" ht="19.5" customHeight="1">
      <c r="C630" s="549" t="s">
        <v>1436</v>
      </c>
      <c r="D630" s="549"/>
      <c r="E630" s="173">
        <v>45545</v>
      </c>
      <c r="F630" s="171" t="s">
        <v>1189</v>
      </c>
      <c r="G630" s="172">
        <v>38536.79</v>
      </c>
      <c r="J630" s="4"/>
      <c r="K630" s="4"/>
      <c r="S630" s="6"/>
      <c r="T630" s="5"/>
    </row>
    <row r="631" spans="3:20" ht="19.5" customHeight="1">
      <c r="C631" s="549" t="s">
        <v>1437</v>
      </c>
      <c r="D631" s="549"/>
      <c r="E631" s="173">
        <v>45541</v>
      </c>
      <c r="F631" s="171" t="s">
        <v>1324</v>
      </c>
      <c r="G631" s="172">
        <v>68671.320000000007</v>
      </c>
      <c r="J631" s="4"/>
      <c r="K631" s="4"/>
      <c r="S631" s="6"/>
      <c r="T631" s="5"/>
    </row>
    <row r="632" spans="3:20" ht="19.5" customHeight="1">
      <c r="C632" s="549" t="s">
        <v>1438</v>
      </c>
      <c r="D632" s="549"/>
      <c r="E632" s="173">
        <v>45566</v>
      </c>
      <c r="F632" s="171" t="s">
        <v>1324</v>
      </c>
      <c r="G632" s="172">
        <v>17795</v>
      </c>
      <c r="J632" s="4"/>
      <c r="K632" s="4"/>
      <c r="S632" s="6"/>
      <c r="T632" s="5"/>
    </row>
    <row r="633" spans="3:20" ht="19.5" customHeight="1">
      <c r="C633" s="549" t="s">
        <v>1439</v>
      </c>
      <c r="D633" s="549"/>
      <c r="E633" s="173">
        <v>45581</v>
      </c>
      <c r="F633" s="171" t="s">
        <v>1189</v>
      </c>
      <c r="G633" s="172">
        <v>86512.68</v>
      </c>
      <c r="J633" s="4"/>
      <c r="K633" s="4"/>
      <c r="S633" s="6"/>
      <c r="T633" s="5"/>
    </row>
    <row r="634" spans="3:20" ht="19.5" customHeight="1">
      <c r="C634" s="549" t="s">
        <v>1580</v>
      </c>
      <c r="D634" s="549"/>
      <c r="E634" s="173">
        <v>45572</v>
      </c>
      <c r="F634" s="171" t="s">
        <v>1324</v>
      </c>
      <c r="G634" s="172">
        <v>55880</v>
      </c>
      <c r="J634" s="4"/>
      <c r="K634" s="4"/>
      <c r="S634" s="6"/>
      <c r="T634" s="5"/>
    </row>
    <row r="635" spans="3:20" ht="19.5" customHeight="1">
      <c r="C635" s="549" t="s">
        <v>1581</v>
      </c>
      <c r="D635" s="549"/>
      <c r="E635" s="173">
        <v>45602</v>
      </c>
      <c r="F635" s="171" t="s">
        <v>1189</v>
      </c>
      <c r="G635" s="172">
        <v>38402.1</v>
      </c>
      <c r="J635" s="4"/>
      <c r="K635" s="4"/>
      <c r="S635" s="6"/>
      <c r="T635" s="5"/>
    </row>
    <row r="636" spans="3:20" ht="19.5" customHeight="1">
      <c r="C636" s="549" t="s">
        <v>1582</v>
      </c>
      <c r="D636" s="549"/>
      <c r="E636" s="173">
        <v>45609</v>
      </c>
      <c r="F636" s="171" t="s">
        <v>1189</v>
      </c>
      <c r="G636" s="172">
        <v>82512.91</v>
      </c>
      <c r="J636" s="4"/>
      <c r="K636" s="4"/>
      <c r="S636" s="6"/>
      <c r="T636" s="5"/>
    </row>
    <row r="637" spans="3:20" ht="19.5" customHeight="1">
      <c r="C637" s="549" t="s">
        <v>1583</v>
      </c>
      <c r="D637" s="549"/>
      <c r="E637" s="173">
        <v>45567</v>
      </c>
      <c r="F637" s="171" t="s">
        <v>1584</v>
      </c>
      <c r="G637" s="172">
        <v>17981.580000000002</v>
      </c>
      <c r="J637" s="4"/>
      <c r="K637" s="4"/>
      <c r="S637" s="6"/>
      <c r="T637" s="5"/>
    </row>
    <row r="638" spans="3:20" ht="19.5" customHeight="1">
      <c r="C638" s="549" t="s">
        <v>1585</v>
      </c>
      <c r="D638" s="549"/>
      <c r="E638" s="173">
        <v>45610</v>
      </c>
      <c r="F638" s="269" t="s">
        <v>1584</v>
      </c>
      <c r="G638" s="270">
        <v>27039.39</v>
      </c>
      <c r="J638" s="4"/>
      <c r="K638" s="4"/>
      <c r="S638" s="6"/>
      <c r="T638" s="5"/>
    </row>
    <row r="639" spans="3:20" ht="19.5" customHeight="1">
      <c r="C639" s="549" t="s">
        <v>1583</v>
      </c>
      <c r="D639" s="549"/>
      <c r="E639" s="173">
        <v>45610</v>
      </c>
      <c r="F639" s="269" t="s">
        <v>1584</v>
      </c>
      <c r="G639" s="270">
        <v>42442.61</v>
      </c>
      <c r="J639" s="4"/>
      <c r="K639" s="4"/>
      <c r="S639" s="6"/>
      <c r="T639" s="5"/>
    </row>
    <row r="640" spans="3:20" ht="19.5" customHeight="1">
      <c r="C640" s="549" t="s">
        <v>1586</v>
      </c>
      <c r="D640" s="549"/>
      <c r="E640" s="271">
        <v>45624</v>
      </c>
      <c r="F640" s="269" t="s">
        <v>1189</v>
      </c>
      <c r="G640" s="270">
        <v>128994.73</v>
      </c>
      <c r="J640" s="4"/>
      <c r="K640" s="4"/>
      <c r="S640" s="6"/>
      <c r="T640" s="5"/>
    </row>
    <row r="641" spans="3:20" ht="19.5" customHeight="1">
      <c r="C641" s="549" t="s">
        <v>1597</v>
      </c>
      <c r="D641" s="549"/>
      <c r="E641" s="173">
        <v>45656</v>
      </c>
      <c r="F641" s="269" t="s">
        <v>1584</v>
      </c>
      <c r="G641" s="270">
        <v>52604.61</v>
      </c>
      <c r="J641" s="4"/>
      <c r="K641" s="4"/>
      <c r="S641" s="6"/>
      <c r="T641" s="5"/>
    </row>
    <row r="642" spans="3:20" ht="19.5" customHeight="1">
      <c r="C642" s="549" t="s">
        <v>1598</v>
      </c>
      <c r="D642" s="549"/>
      <c r="E642" s="271">
        <v>45656</v>
      </c>
      <c r="F642" s="269" t="s">
        <v>1189</v>
      </c>
      <c r="G642" s="270">
        <v>3247.6</v>
      </c>
      <c r="J642" s="4"/>
      <c r="K642" s="4"/>
      <c r="S642" s="6"/>
      <c r="T642" s="5"/>
    </row>
    <row r="643" spans="3:20" ht="19.5" customHeight="1">
      <c r="C643" s="549" t="s">
        <v>1599</v>
      </c>
      <c r="D643" s="549"/>
      <c r="E643" s="271">
        <v>45656</v>
      </c>
      <c r="F643" s="269" t="s">
        <v>1189</v>
      </c>
      <c r="G643" s="270">
        <v>20177.939999999999</v>
      </c>
      <c r="J643" s="4"/>
      <c r="K643" s="4"/>
      <c r="S643" s="6"/>
      <c r="T643" s="5"/>
    </row>
    <row r="644" spans="3:20" ht="19.5" customHeight="1">
      <c r="C644" s="549" t="s">
        <v>1600</v>
      </c>
      <c r="D644" s="549"/>
      <c r="E644" s="271">
        <v>45656</v>
      </c>
      <c r="F644" s="269" t="s">
        <v>1189</v>
      </c>
      <c r="G644" s="270">
        <v>97982.98</v>
      </c>
      <c r="J644" s="4"/>
      <c r="K644" s="4"/>
      <c r="S644" s="6"/>
      <c r="T644" s="5"/>
    </row>
    <row r="645" spans="3:20" ht="19.5" customHeight="1">
      <c r="C645" s="549" t="s">
        <v>1601</v>
      </c>
      <c r="D645" s="549"/>
      <c r="E645" s="271">
        <v>45656</v>
      </c>
      <c r="F645" s="269" t="s">
        <v>1189</v>
      </c>
      <c r="G645" s="270">
        <v>10778.64</v>
      </c>
      <c r="J645" s="4"/>
      <c r="K645" s="4"/>
      <c r="S645" s="6"/>
      <c r="T645" s="5"/>
    </row>
    <row r="646" spans="3:20" ht="19.5" customHeight="1">
      <c r="C646" s="549"/>
      <c r="D646" s="549"/>
      <c r="E646" s="271"/>
      <c r="F646" s="269"/>
      <c r="G646" s="270"/>
      <c r="J646" s="4"/>
      <c r="K646" s="4"/>
      <c r="S646" s="6"/>
      <c r="T646" s="5"/>
    </row>
    <row r="647" spans="3:20" ht="19.5" customHeight="1">
      <c r="C647" s="549"/>
      <c r="D647" s="549"/>
      <c r="E647" s="271"/>
      <c r="F647" s="269"/>
      <c r="G647" s="270"/>
      <c r="J647" s="4"/>
      <c r="K647" s="4"/>
      <c r="S647" s="6"/>
      <c r="T647" s="5"/>
    </row>
    <row r="648" spans="3:20" ht="19.5" customHeight="1">
      <c r="C648" s="549"/>
      <c r="D648" s="549"/>
      <c r="E648" s="271"/>
      <c r="F648" s="269"/>
      <c r="G648" s="270"/>
      <c r="J648" s="4"/>
      <c r="K648" s="4"/>
      <c r="S648" s="6"/>
      <c r="T648" s="5"/>
    </row>
    <row r="649" spans="3:20" ht="19.5" customHeight="1">
      <c r="C649" s="550"/>
      <c r="D649" s="550"/>
      <c r="E649" s="175"/>
      <c r="F649" s="176"/>
      <c r="G649" s="177"/>
      <c r="J649" s="4"/>
      <c r="K649" s="4"/>
      <c r="S649" s="6"/>
      <c r="T649" s="5"/>
    </row>
    <row r="650" spans="3:20" ht="19.5" customHeight="1">
      <c r="C650" s="179"/>
      <c r="D650" s="180"/>
      <c r="E650" s="180"/>
      <c r="F650" s="180"/>
      <c r="G650" s="181">
        <f>SUM(G612:G649)</f>
        <v>1704133.99</v>
      </c>
      <c r="J650" s="4"/>
      <c r="K650" s="4"/>
      <c r="S650" s="6"/>
      <c r="T650" s="5"/>
    </row>
    <row r="651" spans="3:20">
      <c r="S651" s="6"/>
      <c r="T651" s="5"/>
    </row>
    <row r="652" spans="3:20">
      <c r="S652" s="6"/>
      <c r="T652" s="5"/>
    </row>
    <row r="653" spans="3:20" ht="28.8">
      <c r="C653" s="226" t="s">
        <v>1255</v>
      </c>
      <c r="D653" s="560" t="s">
        <v>1256</v>
      </c>
      <c r="E653" s="560"/>
      <c r="F653" s="560"/>
      <c r="G653" s="227" t="s">
        <v>1257</v>
      </c>
      <c r="H653" s="5"/>
      <c r="I653" s="228" t="s">
        <v>1258</v>
      </c>
      <c r="J653" s="229" t="s">
        <v>1259</v>
      </c>
    </row>
    <row r="654" spans="3:20">
      <c r="C654" s="230" t="s">
        <v>1260</v>
      </c>
      <c r="D654" s="564">
        <f>'BM 008'!D646+'BM 009'!N592</f>
        <v>388833.5</v>
      </c>
      <c r="E654" s="564"/>
      <c r="F654" s="564"/>
      <c r="G654" s="232" t="s">
        <v>1261</v>
      </c>
      <c r="H654" s="2"/>
      <c r="I654" s="233">
        <f>SUMIF($F$612:$F$649,G654,$G$612:$G$649)</f>
        <v>388833.5</v>
      </c>
      <c r="J654" s="233">
        <f t="shared" ref="J654:J664" si="242">I654-D654</f>
        <v>0</v>
      </c>
    </row>
    <row r="655" spans="3:20">
      <c r="C655" s="234" t="s">
        <v>1329</v>
      </c>
      <c r="D655" s="561">
        <f>'BM 008'!D647+'BM 009'!N593</f>
        <v>696238.59</v>
      </c>
      <c r="E655" s="561"/>
      <c r="F655" s="561"/>
      <c r="G655" s="235" t="s">
        <v>1263</v>
      </c>
      <c r="H655" s="2"/>
      <c r="I655" s="236">
        <f>SUMIF($F$612:$F$649,G655,$G$612:$G$649)</f>
        <v>989105.97999999975</v>
      </c>
      <c r="J655" s="236">
        <f t="shared" si="242"/>
        <v>292867.38999999978</v>
      </c>
    </row>
    <row r="656" spans="3:20">
      <c r="C656" s="234" t="s">
        <v>1330</v>
      </c>
      <c r="D656" s="561">
        <f>'BM 008'!D648+'BM 009'!N594</f>
        <v>186126.32</v>
      </c>
      <c r="E656" s="561"/>
      <c r="F656" s="561"/>
      <c r="G656" s="235" t="s">
        <v>1331</v>
      </c>
      <c r="H656" s="2"/>
      <c r="I656" s="236">
        <f>SUMIF($F$612:$F$649,G656,$G$612:$G$649)</f>
        <v>186126.32</v>
      </c>
      <c r="J656" s="236">
        <f t="shared" si="242"/>
        <v>0</v>
      </c>
    </row>
    <row r="657" spans="1:23" s="5" customFormat="1">
      <c r="A657" s="2"/>
      <c r="B657" s="2"/>
      <c r="C657" s="234" t="s">
        <v>1587</v>
      </c>
      <c r="D657" s="561">
        <f>'BM 008'!D649+'BM 009'!N595</f>
        <v>140068.19</v>
      </c>
      <c r="E657" s="561"/>
      <c r="F657" s="561"/>
      <c r="G657" s="235" t="s">
        <v>1584</v>
      </c>
      <c r="H657" s="2"/>
      <c r="I657" s="236">
        <f>SUMIF($F$612:$F$649,G657,$G$612:$G$649)</f>
        <v>140068.19</v>
      </c>
      <c r="J657" s="236">
        <f t="shared" si="242"/>
        <v>0</v>
      </c>
      <c r="P657" s="6"/>
      <c r="Q657" s="6"/>
      <c r="S657" s="2"/>
      <c r="T657" s="2"/>
      <c r="U657" s="2"/>
      <c r="V657" s="2"/>
      <c r="W657" s="2"/>
    </row>
    <row r="658" spans="1:23">
      <c r="C658" s="234"/>
      <c r="D658" s="561"/>
      <c r="E658" s="561"/>
      <c r="F658" s="561"/>
      <c r="G658" s="235" t="s">
        <v>1265</v>
      </c>
      <c r="H658" s="2"/>
      <c r="I658" s="238">
        <f t="shared" ref="I658:I664" si="243">SUMIF($G$679:$G$717,G658,$H$679:$I$717)</f>
        <v>0</v>
      </c>
      <c r="J658" s="236">
        <f t="shared" si="242"/>
        <v>0</v>
      </c>
    </row>
    <row r="659" spans="1:23">
      <c r="C659" s="234"/>
      <c r="D659" s="561"/>
      <c r="E659" s="561"/>
      <c r="F659" s="561"/>
      <c r="G659" s="237" t="s">
        <v>1266</v>
      </c>
      <c r="H659" s="2"/>
      <c r="I659" s="238">
        <f t="shared" si="243"/>
        <v>0</v>
      </c>
      <c r="J659" s="236">
        <f t="shared" si="242"/>
        <v>0</v>
      </c>
    </row>
    <row r="660" spans="1:23">
      <c r="C660" s="234"/>
      <c r="D660" s="561"/>
      <c r="E660" s="561"/>
      <c r="F660" s="561"/>
      <c r="G660" s="237" t="s">
        <v>1267</v>
      </c>
      <c r="H660" s="2"/>
      <c r="I660" s="238">
        <f t="shared" si="243"/>
        <v>0</v>
      </c>
      <c r="J660" s="236">
        <f t="shared" si="242"/>
        <v>0</v>
      </c>
    </row>
    <row r="661" spans="1:23">
      <c r="C661" s="234"/>
      <c r="D661" s="561"/>
      <c r="E661" s="561"/>
      <c r="F661" s="561"/>
      <c r="G661" s="237" t="s">
        <v>1268</v>
      </c>
      <c r="H661" s="2"/>
      <c r="I661" s="238">
        <f t="shared" si="243"/>
        <v>0</v>
      </c>
      <c r="J661" s="236">
        <f t="shared" si="242"/>
        <v>0</v>
      </c>
    </row>
    <row r="662" spans="1:23">
      <c r="C662" s="234"/>
      <c r="D662" s="561"/>
      <c r="E662" s="561"/>
      <c r="F662" s="561"/>
      <c r="G662" s="237" t="s">
        <v>1269</v>
      </c>
      <c r="H662" s="2"/>
      <c r="I662" s="238">
        <f t="shared" si="243"/>
        <v>0</v>
      </c>
      <c r="J662" s="236">
        <f t="shared" si="242"/>
        <v>0</v>
      </c>
    </row>
    <row r="663" spans="1:23">
      <c r="C663" s="234"/>
      <c r="D663" s="561"/>
      <c r="E663" s="561"/>
      <c r="F663" s="561"/>
      <c r="G663" s="237"/>
      <c r="H663" s="2"/>
      <c r="I663" s="238">
        <f t="shared" si="243"/>
        <v>0</v>
      </c>
      <c r="J663" s="236">
        <f t="shared" si="242"/>
        <v>0</v>
      </c>
    </row>
    <row r="664" spans="1:23">
      <c r="C664" s="239"/>
      <c r="D664" s="562"/>
      <c r="E664" s="562"/>
      <c r="F664" s="562"/>
      <c r="G664" s="240"/>
      <c r="H664" s="2"/>
      <c r="I664" s="241">
        <f t="shared" si="243"/>
        <v>0</v>
      </c>
      <c r="J664" s="241">
        <f t="shared" si="242"/>
        <v>0</v>
      </c>
    </row>
    <row r="665" spans="1:23">
      <c r="D665" s="563">
        <f>SUM(D654:F664)</f>
        <v>1411266.5999999999</v>
      </c>
      <c r="E665" s="563"/>
      <c r="F665" s="563"/>
      <c r="H665" s="2"/>
      <c r="I665" s="242">
        <f>SUM(I654:I664)</f>
        <v>1704133.9899999998</v>
      </c>
      <c r="J665" s="242">
        <f>SUM(J654:J664)</f>
        <v>292867.38999999978</v>
      </c>
    </row>
  </sheetData>
  <mergeCells count="150">
    <mergeCell ref="D664:F664"/>
    <mergeCell ref="D665:F665"/>
    <mergeCell ref="D655:F655"/>
    <mergeCell ref="D656:F656"/>
    <mergeCell ref="D657:F657"/>
    <mergeCell ref="D658:F658"/>
    <mergeCell ref="D659:F659"/>
    <mergeCell ref="D660:F660"/>
    <mergeCell ref="D661:F661"/>
    <mergeCell ref="D662:F662"/>
    <mergeCell ref="D663:F663"/>
    <mergeCell ref="C643:D643"/>
    <mergeCell ref="C644:D644"/>
    <mergeCell ref="C645:D645"/>
    <mergeCell ref="C646:D646"/>
    <mergeCell ref="C647:D647"/>
    <mergeCell ref="C648:D648"/>
    <mergeCell ref="C649:D649"/>
    <mergeCell ref="D653:F653"/>
    <mergeCell ref="D654:F654"/>
    <mergeCell ref="C634:D634"/>
    <mergeCell ref="C635:D635"/>
    <mergeCell ref="C636:D636"/>
    <mergeCell ref="C637:D637"/>
    <mergeCell ref="C638:D638"/>
    <mergeCell ref="C639:D639"/>
    <mergeCell ref="C640:D640"/>
    <mergeCell ref="C641:D641"/>
    <mergeCell ref="C642:D642"/>
    <mergeCell ref="C625:D625"/>
    <mergeCell ref="C626:D626"/>
    <mergeCell ref="C627:D627"/>
    <mergeCell ref="C628:D628"/>
    <mergeCell ref="C629:D629"/>
    <mergeCell ref="C630:D630"/>
    <mergeCell ref="C631:D631"/>
    <mergeCell ref="C632:D632"/>
    <mergeCell ref="C633:D633"/>
    <mergeCell ref="C620:D620"/>
    <mergeCell ref="N620:O620"/>
    <mergeCell ref="C621:D621"/>
    <mergeCell ref="N621:O621"/>
    <mergeCell ref="C622:D622"/>
    <mergeCell ref="N622:O622"/>
    <mergeCell ref="C623:D623"/>
    <mergeCell ref="N623:O623"/>
    <mergeCell ref="C624:D624"/>
    <mergeCell ref="C615:D615"/>
    <mergeCell ref="N615:O615"/>
    <mergeCell ref="C616:D616"/>
    <mergeCell ref="N616:O616"/>
    <mergeCell ref="C617:D617"/>
    <mergeCell ref="N617:O617"/>
    <mergeCell ref="C618:D618"/>
    <mergeCell ref="N618:O618"/>
    <mergeCell ref="C619:D619"/>
    <mergeCell ref="N619:O619"/>
    <mergeCell ref="C609:D609"/>
    <mergeCell ref="C611:G611"/>
    <mergeCell ref="N611:R611"/>
    <mergeCell ref="C612:D612"/>
    <mergeCell ref="N612:O612"/>
    <mergeCell ref="C613:D613"/>
    <mergeCell ref="N613:O613"/>
    <mergeCell ref="C614:D614"/>
    <mergeCell ref="N614:O614"/>
    <mergeCell ref="D601:E601"/>
    <mergeCell ref="I601:J601"/>
    <mergeCell ref="O601:Q602"/>
    <mergeCell ref="D602:E602"/>
    <mergeCell ref="I602:J602"/>
    <mergeCell ref="C605:E605"/>
    <mergeCell ref="C606:D606"/>
    <mergeCell ref="C607:D607"/>
    <mergeCell ref="C608:D608"/>
    <mergeCell ref="B591:L591"/>
    <mergeCell ref="B592:L592"/>
    <mergeCell ref="B593:L593"/>
    <mergeCell ref="B594:L594"/>
    <mergeCell ref="B595:L595"/>
    <mergeCell ref="B597:L597"/>
    <mergeCell ref="D599:E599"/>
    <mergeCell ref="I599:J599"/>
    <mergeCell ref="O599:Q600"/>
    <mergeCell ref="D600:E600"/>
    <mergeCell ref="I600:J600"/>
    <mergeCell ref="B22:C22"/>
    <mergeCell ref="D22:J22"/>
    <mergeCell ref="L22:O22"/>
    <mergeCell ref="P22:R22"/>
    <mergeCell ref="B23:R23"/>
    <mergeCell ref="B25:B26"/>
    <mergeCell ref="C25:C26"/>
    <mergeCell ref="D25:D26"/>
    <mergeCell ref="E25:J25"/>
    <mergeCell ref="N25:R25"/>
    <mergeCell ref="B19:C19"/>
    <mergeCell ref="D19:J19"/>
    <mergeCell ref="L19:O19"/>
    <mergeCell ref="P19:R19"/>
    <mergeCell ref="B20:C20"/>
    <mergeCell ref="D20:J20"/>
    <mergeCell ref="L20:O20"/>
    <mergeCell ref="P20:R20"/>
    <mergeCell ref="B21:C21"/>
    <mergeCell ref="D21:J21"/>
    <mergeCell ref="L21:O21"/>
    <mergeCell ref="P21:R21"/>
    <mergeCell ref="B15:C15"/>
    <mergeCell ref="D15:G15"/>
    <mergeCell ref="I15:J15"/>
    <mergeCell ref="L15:N15"/>
    <mergeCell ref="P15:R15"/>
    <mergeCell ref="B16:R16"/>
    <mergeCell ref="B17:R17"/>
    <mergeCell ref="B18:C18"/>
    <mergeCell ref="D18:J18"/>
    <mergeCell ref="L18:O18"/>
    <mergeCell ref="P18:R18"/>
    <mergeCell ref="B13:C13"/>
    <mergeCell ref="D13:J13"/>
    <mergeCell ref="L13:O13"/>
    <mergeCell ref="P13:R13"/>
    <mergeCell ref="B14:C14"/>
    <mergeCell ref="D14:G14"/>
    <mergeCell ref="I14:J14"/>
    <mergeCell ref="L14:N14"/>
    <mergeCell ref="P14:R14"/>
    <mergeCell ref="B10:C10"/>
    <mergeCell ref="D10:J10"/>
    <mergeCell ref="L10:O10"/>
    <mergeCell ref="P10:R10"/>
    <mergeCell ref="B11:C11"/>
    <mergeCell ref="D11:J11"/>
    <mergeCell ref="L11:O11"/>
    <mergeCell ref="P11:R11"/>
    <mergeCell ref="B12:C12"/>
    <mergeCell ref="D12:G12"/>
    <mergeCell ref="I12:J12"/>
    <mergeCell ref="L12:N12"/>
    <mergeCell ref="P12:R12"/>
    <mergeCell ref="B2:R2"/>
    <mergeCell ref="B3:R3"/>
    <mergeCell ref="B4:R4"/>
    <mergeCell ref="B5:R5"/>
    <mergeCell ref="B6:R6"/>
    <mergeCell ref="B7:R7"/>
    <mergeCell ref="B8:R8"/>
    <mergeCell ref="B9:C9"/>
    <mergeCell ref="D9:R9"/>
  </mergeCells>
  <conditionalFormatting sqref="R27:R590">
    <cfRule type="cellIs" dxfId="5" priority="2" operator="lessThan">
      <formula>0</formula>
    </cfRule>
  </conditionalFormatting>
  <printOptions horizontalCentered="1"/>
  <pageMargins left="0.51180555555555596" right="0.51180555555555596" top="0.78749999999999998" bottom="1.1812499999999999" header="0.511811023622047" footer="0.511811023622047"/>
  <pageSetup paperSize="9" scale="38" fitToHeight="26" orientation="portrait" horizontalDpi="300" verticalDpi="300" r:id="rId1"/>
  <colBreaks count="1" manualBreakCount="1">
    <brk id="1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667"/>
  <sheetViews>
    <sheetView view="pageBreakPreview" topLeftCell="B96" zoomScale="75" zoomScaleNormal="70" zoomScalePageLayoutView="75" workbookViewId="0">
      <selection activeCell="I103" sqref="I103"/>
    </sheetView>
  </sheetViews>
  <sheetFormatPr defaultColWidth="9.109375" defaultRowHeight="14.4"/>
  <cols>
    <col min="1" max="1" width="3.6640625" style="2" hidden="1" customWidth="1"/>
    <col min="2" max="2" width="11.33203125" style="2" customWidth="1"/>
    <col min="3" max="3" width="40.33203125" style="2" customWidth="1"/>
    <col min="4" max="4" width="5.88671875" style="3" customWidth="1"/>
    <col min="5" max="5" width="15.33203125" style="4" customWidth="1"/>
    <col min="6" max="7" width="14.77734375" style="4" customWidth="1"/>
    <col min="8" max="8" width="4.44140625" style="4" hidden="1" customWidth="1"/>
    <col min="9" max="9" width="15" style="4" customWidth="1"/>
    <col min="10" max="10" width="14.33203125" style="5" customWidth="1"/>
    <col min="11" max="11" width="17" style="5" hidden="1" customWidth="1"/>
    <col min="12" max="12" width="15.88671875" style="5" customWidth="1"/>
    <col min="13" max="13" width="25.33203125" style="5" hidden="1" customWidth="1"/>
    <col min="14" max="15" width="23.5546875" style="5" customWidth="1"/>
    <col min="16" max="16" width="23.5546875" style="6" hidden="1" customWidth="1"/>
    <col min="17" max="17" width="23.5546875" style="6" customWidth="1"/>
    <col min="18" max="18" width="23.5546875" style="5" customWidth="1"/>
    <col min="19" max="19" width="3" style="2" customWidth="1"/>
    <col min="20" max="20" width="23.33203125" style="2" customWidth="1"/>
    <col min="21" max="21" width="22.6640625" style="2" customWidth="1"/>
    <col min="22" max="22" width="21.44140625" style="2" customWidth="1"/>
    <col min="23" max="23" width="17.109375" style="2" customWidth="1"/>
    <col min="24" max="16384" width="9.109375" style="2"/>
  </cols>
  <sheetData>
    <row r="1" spans="2:23" ht="6" customHeight="1"/>
    <row r="2" spans="2:23" ht="29.25" customHeight="1">
      <c r="B2" s="491"/>
      <c r="C2" s="491"/>
      <c r="D2" s="491"/>
      <c r="E2" s="491"/>
      <c r="F2" s="491"/>
      <c r="G2" s="491"/>
      <c r="H2" s="491"/>
      <c r="I2" s="491"/>
      <c r="J2" s="491"/>
      <c r="K2" s="491"/>
      <c r="L2" s="491"/>
      <c r="M2" s="491"/>
      <c r="N2" s="491"/>
      <c r="O2" s="491"/>
      <c r="P2" s="491"/>
      <c r="Q2" s="491"/>
      <c r="R2" s="491"/>
      <c r="S2" s="7"/>
    </row>
    <row r="3" spans="2:23" ht="29.25" customHeight="1">
      <c r="B3" s="492" t="s">
        <v>0</v>
      </c>
      <c r="C3" s="492"/>
      <c r="D3" s="492"/>
      <c r="E3" s="492"/>
      <c r="F3" s="492"/>
      <c r="G3" s="492"/>
      <c r="H3" s="492"/>
      <c r="I3" s="492"/>
      <c r="J3" s="492"/>
      <c r="K3" s="492"/>
      <c r="L3" s="492"/>
      <c r="M3" s="492"/>
      <c r="N3" s="492"/>
      <c r="O3" s="492"/>
      <c r="P3" s="492"/>
      <c r="Q3" s="492"/>
      <c r="R3" s="492"/>
      <c r="S3" s="7"/>
      <c r="W3" s="8"/>
    </row>
    <row r="4" spans="2:23" ht="29.25" customHeight="1">
      <c r="B4" s="493"/>
      <c r="C4" s="493"/>
      <c r="D4" s="493"/>
      <c r="E4" s="493"/>
      <c r="F4" s="493"/>
      <c r="G4" s="493"/>
      <c r="H4" s="493"/>
      <c r="I4" s="493"/>
      <c r="J4" s="493"/>
      <c r="K4" s="493"/>
      <c r="L4" s="493"/>
      <c r="M4" s="493"/>
      <c r="N4" s="493"/>
      <c r="O4" s="493"/>
      <c r="P4" s="493"/>
      <c r="Q4" s="493"/>
      <c r="R4" s="493"/>
      <c r="S4" s="9"/>
      <c r="T4" s="2">
        <v>12630000</v>
      </c>
    </row>
    <row r="5" spans="2:23" ht="8.25" customHeight="1">
      <c r="B5" s="494"/>
      <c r="C5" s="494"/>
      <c r="D5" s="494"/>
      <c r="E5" s="494"/>
      <c r="F5" s="494"/>
      <c r="G5" s="494"/>
      <c r="H5" s="494"/>
      <c r="I5" s="494"/>
      <c r="J5" s="494"/>
      <c r="K5" s="494"/>
      <c r="L5" s="494"/>
      <c r="M5" s="494"/>
      <c r="N5" s="494"/>
      <c r="O5" s="494"/>
      <c r="P5" s="494"/>
      <c r="Q5" s="494"/>
      <c r="R5" s="494"/>
      <c r="S5" s="9"/>
    </row>
    <row r="6" spans="2:23" ht="38.25" customHeight="1">
      <c r="B6" s="495" t="s">
        <v>1602</v>
      </c>
      <c r="C6" s="495"/>
      <c r="D6" s="495"/>
      <c r="E6" s="495"/>
      <c r="F6" s="495"/>
      <c r="G6" s="495"/>
      <c r="H6" s="495"/>
      <c r="I6" s="495"/>
      <c r="J6" s="495"/>
      <c r="K6" s="495"/>
      <c r="L6" s="495"/>
      <c r="M6" s="495"/>
      <c r="N6" s="495"/>
      <c r="O6" s="495"/>
      <c r="P6" s="495"/>
      <c r="Q6" s="495"/>
      <c r="R6" s="495"/>
      <c r="S6" s="7"/>
    </row>
    <row r="7" spans="2:23" ht="8.25" customHeight="1">
      <c r="B7" s="496"/>
      <c r="C7" s="496"/>
      <c r="D7" s="496"/>
      <c r="E7" s="496"/>
      <c r="F7" s="496"/>
      <c r="G7" s="496"/>
      <c r="H7" s="496"/>
      <c r="I7" s="496"/>
      <c r="J7" s="496"/>
      <c r="K7" s="496"/>
      <c r="L7" s="496"/>
      <c r="M7" s="496"/>
      <c r="N7" s="496"/>
      <c r="O7" s="496"/>
      <c r="P7" s="496"/>
      <c r="Q7" s="496"/>
      <c r="R7" s="496"/>
      <c r="S7" s="7"/>
    </row>
    <row r="8" spans="2:23" ht="25.5" customHeight="1">
      <c r="B8" s="497" t="s">
        <v>2</v>
      </c>
      <c r="C8" s="497"/>
      <c r="D8" s="497"/>
      <c r="E8" s="497"/>
      <c r="F8" s="497"/>
      <c r="G8" s="497"/>
      <c r="H8" s="497"/>
      <c r="I8" s="497"/>
      <c r="J8" s="497"/>
      <c r="K8" s="497"/>
      <c r="L8" s="497"/>
      <c r="M8" s="497"/>
      <c r="N8" s="497"/>
      <c r="O8" s="497"/>
      <c r="P8" s="497"/>
      <c r="Q8" s="497"/>
      <c r="R8" s="497"/>
      <c r="S8" s="7"/>
      <c r="T8" s="2">
        <f>480/30</f>
        <v>16</v>
      </c>
    </row>
    <row r="9" spans="2:23" s="10" customFormat="1" ht="31.5" customHeight="1">
      <c r="B9" s="498" t="s">
        <v>3</v>
      </c>
      <c r="C9" s="498"/>
      <c r="D9" s="499" t="s">
        <v>4</v>
      </c>
      <c r="E9" s="499"/>
      <c r="F9" s="499"/>
      <c r="G9" s="499"/>
      <c r="H9" s="499"/>
      <c r="I9" s="499"/>
      <c r="J9" s="499"/>
      <c r="K9" s="499"/>
      <c r="L9" s="499"/>
      <c r="M9" s="499"/>
      <c r="N9" s="499"/>
      <c r="O9" s="499"/>
      <c r="P9" s="499"/>
      <c r="Q9" s="499"/>
      <c r="R9" s="499"/>
      <c r="S9" s="11"/>
    </row>
    <row r="10" spans="2:23" s="10" customFormat="1" ht="31.5" customHeight="1">
      <c r="B10" s="498" t="s">
        <v>5</v>
      </c>
      <c r="C10" s="498"/>
      <c r="D10" s="500" t="s">
        <v>6</v>
      </c>
      <c r="E10" s="500"/>
      <c r="F10" s="500"/>
      <c r="G10" s="500"/>
      <c r="H10" s="500"/>
      <c r="I10" s="500"/>
      <c r="J10" s="500"/>
      <c r="K10" s="12"/>
      <c r="L10" s="501" t="s">
        <v>7</v>
      </c>
      <c r="M10" s="501"/>
      <c r="N10" s="501"/>
      <c r="O10" s="501"/>
      <c r="P10" s="502">
        <v>45383</v>
      </c>
      <c r="Q10" s="502"/>
      <c r="R10" s="502"/>
      <c r="S10" s="11"/>
    </row>
    <row r="11" spans="2:23" s="10" customFormat="1" ht="31.5" customHeight="1">
      <c r="B11" s="498" t="s">
        <v>8</v>
      </c>
      <c r="C11" s="498"/>
      <c r="D11" s="503" t="s">
        <v>9</v>
      </c>
      <c r="E11" s="503"/>
      <c r="F11" s="503"/>
      <c r="G11" s="503"/>
      <c r="H11" s="503"/>
      <c r="I11" s="503"/>
      <c r="J11" s="503"/>
      <c r="K11" s="12"/>
      <c r="L11" s="501" t="s">
        <v>10</v>
      </c>
      <c r="M11" s="501"/>
      <c r="N11" s="501"/>
      <c r="O11" s="501"/>
      <c r="P11" s="502">
        <f>P10+600</f>
        <v>45983</v>
      </c>
      <c r="Q11" s="502"/>
      <c r="R11" s="502"/>
      <c r="S11" s="11"/>
    </row>
    <row r="12" spans="2:23" s="10" customFormat="1" ht="36.75" customHeight="1">
      <c r="B12" s="504" t="s">
        <v>11</v>
      </c>
      <c r="C12" s="504"/>
      <c r="D12" s="505" t="s">
        <v>12</v>
      </c>
      <c r="E12" s="505"/>
      <c r="F12" s="505"/>
      <c r="G12" s="505"/>
      <c r="H12" s="13"/>
      <c r="I12" s="506"/>
      <c r="J12" s="506"/>
      <c r="K12" s="14"/>
      <c r="L12" s="507"/>
      <c r="M12" s="507"/>
      <c r="N12" s="507"/>
      <c r="O12" s="1" t="s">
        <v>13</v>
      </c>
      <c r="P12" s="502">
        <v>45383</v>
      </c>
      <c r="Q12" s="502"/>
      <c r="R12" s="502"/>
      <c r="S12" s="11"/>
      <c r="T12" s="15"/>
    </row>
    <row r="13" spans="2:23" s="10" customFormat="1" ht="31.5" customHeight="1">
      <c r="B13" s="508" t="s">
        <v>14</v>
      </c>
      <c r="C13" s="508"/>
      <c r="D13" s="509">
        <f>Q591</f>
        <v>26279999.999999993</v>
      </c>
      <c r="E13" s="509"/>
      <c r="F13" s="509"/>
      <c r="G13" s="509"/>
      <c r="H13" s="509"/>
      <c r="I13" s="509"/>
      <c r="J13" s="509"/>
      <c r="K13" s="16"/>
      <c r="L13" s="510" t="s">
        <v>15</v>
      </c>
      <c r="M13" s="510"/>
      <c r="N13" s="510"/>
      <c r="O13" s="510"/>
      <c r="P13" s="511" t="s">
        <v>16</v>
      </c>
      <c r="Q13" s="511"/>
      <c r="R13" s="511"/>
      <c r="S13" s="11"/>
    </row>
    <row r="14" spans="2:23" s="10" customFormat="1" ht="31.5" customHeight="1">
      <c r="B14" s="512" t="s">
        <v>17</v>
      </c>
      <c r="C14" s="512"/>
      <c r="D14" s="513"/>
      <c r="E14" s="513"/>
      <c r="F14" s="513"/>
      <c r="G14" s="513"/>
      <c r="H14" s="18"/>
      <c r="I14" s="514" t="s">
        <v>18</v>
      </c>
      <c r="J14" s="514"/>
      <c r="K14" s="17"/>
      <c r="L14" s="515"/>
      <c r="M14" s="515"/>
      <c r="N14" s="515"/>
      <c r="O14" s="19" t="s">
        <v>19</v>
      </c>
      <c r="P14" s="516"/>
      <c r="Q14" s="516"/>
      <c r="R14" s="516"/>
      <c r="S14" s="11"/>
      <c r="T14" s="15"/>
    </row>
    <row r="15" spans="2:23" s="10" customFormat="1" ht="31.5" customHeight="1">
      <c r="B15" s="517" t="s">
        <v>20</v>
      </c>
      <c r="C15" s="517"/>
      <c r="D15" s="518" t="s">
        <v>21</v>
      </c>
      <c r="E15" s="518"/>
      <c r="F15" s="518"/>
      <c r="G15" s="518"/>
      <c r="H15" s="20"/>
      <c r="I15" s="518" t="s">
        <v>18</v>
      </c>
      <c r="J15" s="518"/>
      <c r="K15" s="21"/>
      <c r="L15" s="519" t="s">
        <v>22</v>
      </c>
      <c r="M15" s="519"/>
      <c r="N15" s="519"/>
      <c r="O15" s="22" t="s">
        <v>19</v>
      </c>
      <c r="P15" s="520" t="s">
        <v>23</v>
      </c>
      <c r="Q15" s="520"/>
      <c r="R15" s="520"/>
      <c r="S15" s="11"/>
      <c r="T15" s="23">
        <f>D13</f>
        <v>26279999.999999993</v>
      </c>
      <c r="U15" s="24"/>
    </row>
    <row r="16" spans="2:23" s="10" customFormat="1" ht="6" customHeight="1">
      <c r="B16" s="521"/>
      <c r="C16" s="521"/>
      <c r="D16" s="521"/>
      <c r="E16" s="521"/>
      <c r="F16" s="521"/>
      <c r="G16" s="521"/>
      <c r="H16" s="521"/>
      <c r="I16" s="521"/>
      <c r="J16" s="521"/>
      <c r="K16" s="521"/>
      <c r="L16" s="521"/>
      <c r="M16" s="521"/>
      <c r="N16" s="521"/>
      <c r="O16" s="521"/>
      <c r="P16" s="521"/>
      <c r="Q16" s="521"/>
      <c r="R16" s="521"/>
      <c r="S16" s="11"/>
      <c r="T16" s="23"/>
      <c r="U16" s="25"/>
    </row>
    <row r="17" spans="1:23" s="10" customFormat="1" ht="27.75" customHeight="1">
      <c r="B17" s="497" t="s">
        <v>24</v>
      </c>
      <c r="C17" s="497"/>
      <c r="D17" s="497"/>
      <c r="E17" s="497"/>
      <c r="F17" s="497"/>
      <c r="G17" s="497"/>
      <c r="H17" s="497"/>
      <c r="I17" s="497"/>
      <c r="J17" s="497"/>
      <c r="K17" s="497"/>
      <c r="L17" s="497"/>
      <c r="M17" s="497"/>
      <c r="N17" s="497"/>
      <c r="O17" s="497"/>
      <c r="P17" s="497"/>
      <c r="Q17" s="497"/>
      <c r="R17" s="497"/>
      <c r="S17" s="11"/>
      <c r="T17" s="26"/>
      <c r="U17" s="27"/>
      <c r="W17" s="28"/>
    </row>
    <row r="18" spans="1:23" ht="43.5" customHeight="1">
      <c r="A18" s="10"/>
      <c r="B18" s="522" t="s">
        <v>25</v>
      </c>
      <c r="C18" s="522"/>
      <c r="D18" s="523" t="s">
        <v>4</v>
      </c>
      <c r="E18" s="523"/>
      <c r="F18" s="523"/>
      <c r="G18" s="523"/>
      <c r="H18" s="523"/>
      <c r="I18" s="523"/>
      <c r="J18" s="523"/>
      <c r="K18" s="29"/>
      <c r="L18" s="501" t="s">
        <v>26</v>
      </c>
      <c r="M18" s="501"/>
      <c r="N18" s="501"/>
      <c r="O18" s="501"/>
      <c r="P18" s="524">
        <f>N591</f>
        <v>600435.28999999992</v>
      </c>
      <c r="Q18" s="524"/>
      <c r="R18" s="524"/>
      <c r="S18" s="30"/>
      <c r="T18" s="23">
        <f>T15-Q33-Q32</f>
        <v>23966799.799999993</v>
      </c>
      <c r="U18" s="31"/>
      <c r="V18" s="10"/>
      <c r="W18" s="28"/>
    </row>
    <row r="19" spans="1:23" ht="31.5" customHeight="1">
      <c r="A19" s="10"/>
      <c r="B19" s="522" t="s">
        <v>27</v>
      </c>
      <c r="C19" s="522"/>
      <c r="D19" s="525" t="s">
        <v>1603</v>
      </c>
      <c r="E19" s="525"/>
      <c r="F19" s="525"/>
      <c r="G19" s="525"/>
      <c r="H19" s="525"/>
      <c r="I19" s="525"/>
      <c r="J19" s="525"/>
      <c r="K19" s="29"/>
      <c r="L19" s="501" t="s">
        <v>29</v>
      </c>
      <c r="M19" s="501"/>
      <c r="N19" s="501"/>
      <c r="O19" s="501"/>
      <c r="P19" s="524">
        <f>P18-P20</f>
        <v>0</v>
      </c>
      <c r="Q19" s="524"/>
      <c r="R19" s="524"/>
      <c r="S19" s="30"/>
      <c r="T19" s="23">
        <f>P21-O33-O32</f>
        <v>6726600.7999999989</v>
      </c>
      <c r="U19" s="10"/>
      <c r="V19" s="10"/>
      <c r="W19" s="10"/>
    </row>
    <row r="20" spans="1:23" s="34" customFormat="1" ht="31.5" customHeight="1">
      <c r="A20" s="10"/>
      <c r="B20" s="526" t="s">
        <v>30</v>
      </c>
      <c r="C20" s="526"/>
      <c r="D20" s="523" t="s">
        <v>1604</v>
      </c>
      <c r="E20" s="523"/>
      <c r="F20" s="523"/>
      <c r="G20" s="523"/>
      <c r="H20" s="523"/>
      <c r="I20" s="523"/>
      <c r="J20" s="523"/>
      <c r="K20" s="29"/>
      <c r="L20" s="501" t="s">
        <v>32</v>
      </c>
      <c r="M20" s="501"/>
      <c r="N20" s="501"/>
      <c r="O20" s="501"/>
      <c r="P20" s="524">
        <f>N591</f>
        <v>600435.28999999992</v>
      </c>
      <c r="Q20" s="524"/>
      <c r="R20" s="524"/>
      <c r="S20" s="30"/>
      <c r="T20" s="32">
        <f>T19/T18</f>
        <v>0.28066328655192424</v>
      </c>
      <c r="U20" s="24">
        <v>739429.5</v>
      </c>
      <c r="V20" s="10"/>
      <c r="W20" s="33"/>
    </row>
    <row r="21" spans="1:23" s="34" customFormat="1" ht="31.5" customHeight="1">
      <c r="A21" s="10"/>
      <c r="B21" s="526" t="s">
        <v>33</v>
      </c>
      <c r="C21" s="526"/>
      <c r="D21" s="527">
        <v>45688</v>
      </c>
      <c r="E21" s="527"/>
      <c r="F21" s="527"/>
      <c r="G21" s="527"/>
      <c r="H21" s="527"/>
      <c r="I21" s="527"/>
      <c r="J21" s="527"/>
      <c r="K21" s="35"/>
      <c r="L21" s="501" t="s">
        <v>34</v>
      </c>
      <c r="M21" s="501"/>
      <c r="N21" s="501"/>
      <c r="O21" s="501"/>
      <c r="P21" s="524">
        <f>P20+'BM 009'!P21</f>
        <v>7375915.9999999991</v>
      </c>
      <c r="Q21" s="524"/>
      <c r="R21" s="524"/>
      <c r="S21" s="36"/>
      <c r="T21" s="32">
        <f>T20-I33</f>
        <v>-3.6713448075820221E-5</v>
      </c>
      <c r="U21" s="32"/>
      <c r="V21" s="10"/>
      <c r="W21" s="10"/>
    </row>
    <row r="22" spans="1:23" s="34" customFormat="1" ht="31.5" customHeight="1">
      <c r="A22" s="10"/>
      <c r="B22" s="526" t="s">
        <v>35</v>
      </c>
      <c r="C22" s="526"/>
      <c r="D22" s="527">
        <v>45691</v>
      </c>
      <c r="E22" s="527"/>
      <c r="F22" s="527"/>
      <c r="G22" s="527"/>
      <c r="H22" s="527"/>
      <c r="I22" s="527"/>
      <c r="J22" s="527"/>
      <c r="K22" s="35"/>
      <c r="L22" s="501" t="s">
        <v>36</v>
      </c>
      <c r="M22" s="501"/>
      <c r="N22" s="501"/>
      <c r="O22" s="501"/>
      <c r="P22" s="524">
        <f>R591</f>
        <v>18904083.999999996</v>
      </c>
      <c r="Q22" s="524"/>
      <c r="R22" s="524"/>
      <c r="S22" s="36"/>
      <c r="T22" s="31"/>
      <c r="U22" s="37"/>
      <c r="V22" s="10"/>
      <c r="W22" s="10"/>
    </row>
    <row r="23" spans="1:23" s="34" customFormat="1" ht="5.25" customHeight="1">
      <c r="A23" s="10"/>
      <c r="B23" s="528"/>
      <c r="C23" s="528"/>
      <c r="D23" s="528"/>
      <c r="E23" s="528"/>
      <c r="F23" s="528"/>
      <c r="G23" s="528"/>
      <c r="H23" s="528"/>
      <c r="I23" s="528"/>
      <c r="J23" s="528"/>
      <c r="K23" s="528"/>
      <c r="L23" s="528"/>
      <c r="M23" s="528"/>
      <c r="N23" s="528"/>
      <c r="O23" s="528"/>
      <c r="P23" s="528"/>
      <c r="Q23" s="528"/>
      <c r="R23" s="528"/>
      <c r="S23" s="10"/>
      <c r="T23" s="10"/>
      <c r="U23" s="10"/>
      <c r="V23" s="10"/>
      <c r="W23" s="10"/>
    </row>
    <row r="24" spans="1:23" s="34" customFormat="1" ht="2.25" customHeight="1">
      <c r="A24" s="2"/>
      <c r="B24" s="38"/>
      <c r="C24" s="39"/>
      <c r="D24" s="40"/>
      <c r="E24" s="41"/>
      <c r="F24" s="42"/>
      <c r="G24" s="43"/>
      <c r="H24" s="43"/>
      <c r="I24" s="43"/>
      <c r="J24" s="39"/>
      <c r="K24" s="39"/>
      <c r="L24" s="39"/>
      <c r="M24" s="39"/>
      <c r="N24" s="39"/>
      <c r="O24" s="39"/>
      <c r="P24" s="44"/>
      <c r="Q24" s="44"/>
      <c r="R24" s="45"/>
      <c r="S24" s="2"/>
      <c r="T24" s="2"/>
      <c r="U24" s="2"/>
      <c r="V24" s="2"/>
      <c r="W24" s="2"/>
    </row>
    <row r="25" spans="1:23" s="34" customFormat="1" ht="18" customHeight="1">
      <c r="A25" s="2"/>
      <c r="B25" s="529" t="s">
        <v>37</v>
      </c>
      <c r="C25" s="530" t="s">
        <v>38</v>
      </c>
      <c r="D25" s="530" t="s">
        <v>39</v>
      </c>
      <c r="E25" s="531" t="s">
        <v>40</v>
      </c>
      <c r="F25" s="531"/>
      <c r="G25" s="531"/>
      <c r="H25" s="531"/>
      <c r="I25" s="531"/>
      <c r="J25" s="531"/>
      <c r="K25" s="48" t="s">
        <v>41</v>
      </c>
      <c r="L25" s="48" t="s">
        <v>42</v>
      </c>
      <c r="M25" s="48"/>
      <c r="N25" s="532" t="s">
        <v>43</v>
      </c>
      <c r="O25" s="532"/>
      <c r="P25" s="532"/>
      <c r="Q25" s="532"/>
      <c r="R25" s="532"/>
      <c r="S25" s="2"/>
      <c r="T25" s="49" t="s">
        <v>44</v>
      </c>
      <c r="U25" s="50">
        <v>20732092.140000001</v>
      </c>
      <c r="V25" s="51">
        <v>0.26760000016091001</v>
      </c>
      <c r="W25" s="2"/>
    </row>
    <row r="26" spans="1:23" s="34" customFormat="1" ht="43.5" customHeight="1">
      <c r="A26" s="2"/>
      <c r="B26" s="529"/>
      <c r="C26" s="530"/>
      <c r="D26" s="530"/>
      <c r="E26" s="52" t="s">
        <v>45</v>
      </c>
      <c r="F26" s="53" t="s">
        <v>46</v>
      </c>
      <c r="G26" s="53" t="s">
        <v>47</v>
      </c>
      <c r="H26" s="54"/>
      <c r="I26" s="55" t="s">
        <v>48</v>
      </c>
      <c r="J26" s="55" t="s">
        <v>49</v>
      </c>
      <c r="K26" s="56" t="s">
        <v>50</v>
      </c>
      <c r="L26" s="47" t="s">
        <v>50</v>
      </c>
      <c r="M26" s="48" t="s">
        <v>51</v>
      </c>
      <c r="N26" s="57" t="s">
        <v>52</v>
      </c>
      <c r="O26" s="57" t="s">
        <v>53</v>
      </c>
      <c r="P26" s="57" t="s">
        <v>54</v>
      </c>
      <c r="Q26" s="57" t="s">
        <v>55</v>
      </c>
      <c r="R26" s="58" t="s">
        <v>56</v>
      </c>
      <c r="S26" s="2"/>
      <c r="T26" s="59">
        <v>0.26760011</v>
      </c>
      <c r="U26" s="50">
        <v>5547907.8600000003</v>
      </c>
      <c r="V26" s="50">
        <v>26280000</v>
      </c>
      <c r="W26" s="2"/>
    </row>
    <row r="27" spans="1:23" s="34" customFormat="1" ht="13.2">
      <c r="B27" s="60" t="s">
        <v>57</v>
      </c>
      <c r="C27" s="61" t="s">
        <v>58</v>
      </c>
      <c r="D27" s="60"/>
      <c r="E27" s="62"/>
      <c r="F27" s="63"/>
      <c r="G27" s="63"/>
      <c r="H27" s="63"/>
      <c r="I27" s="63"/>
      <c r="J27" s="63"/>
      <c r="K27" s="63"/>
      <c r="L27" s="64"/>
      <c r="M27" s="63">
        <f t="shared" ref="M27:R27" si="0">M28+M30+M35+M43</f>
        <v>52972.270000000004</v>
      </c>
      <c r="N27" s="63">
        <f t="shared" si="0"/>
        <v>52972.270000000004</v>
      </c>
      <c r="O27" s="63">
        <f t="shared" si="0"/>
        <v>1193656.51</v>
      </c>
      <c r="P27" s="63">
        <f t="shared" si="0"/>
        <v>2403883</v>
      </c>
      <c r="Q27" s="63">
        <f t="shared" si="0"/>
        <v>3047162.2499999991</v>
      </c>
      <c r="R27" s="63">
        <f t="shared" si="0"/>
        <v>1853505.7399999998</v>
      </c>
      <c r="U27" s="65"/>
    </row>
    <row r="28" spans="1:23" s="34" customFormat="1" ht="13.2">
      <c r="B28" s="66" t="s">
        <v>59</v>
      </c>
      <c r="C28" s="67" t="s">
        <v>60</v>
      </c>
      <c r="D28" s="68"/>
      <c r="E28" s="69"/>
      <c r="F28" s="70"/>
      <c r="G28" s="70"/>
      <c r="H28" s="70"/>
      <c r="I28" s="70"/>
      <c r="J28" s="70"/>
      <c r="K28" s="71"/>
      <c r="L28" s="72"/>
      <c r="M28" s="73">
        <f t="shared" ref="M28:R28" si="1">SUM(M29)</f>
        <v>0</v>
      </c>
      <c r="N28" s="73">
        <f t="shared" si="1"/>
        <v>0</v>
      </c>
      <c r="O28" s="73">
        <f t="shared" si="1"/>
        <v>41273.050000000003</v>
      </c>
      <c r="P28" s="73">
        <f t="shared" si="1"/>
        <v>32560</v>
      </c>
      <c r="Q28" s="73">
        <f t="shared" si="1"/>
        <v>41273.050000000003</v>
      </c>
      <c r="R28" s="73">
        <f t="shared" si="1"/>
        <v>0</v>
      </c>
      <c r="T28" s="74"/>
    </row>
    <row r="29" spans="1:23" s="34" customFormat="1" ht="13.2">
      <c r="B29" s="75" t="s">
        <v>61</v>
      </c>
      <c r="C29" s="76" t="s">
        <v>62</v>
      </c>
      <c r="D29" s="77" t="s">
        <v>63</v>
      </c>
      <c r="E29" s="78">
        <v>1</v>
      </c>
      <c r="F29" s="79"/>
      <c r="G29" s="79"/>
      <c r="H29" s="79"/>
      <c r="I29" s="79" t="e">
        <f ca="1">SUM(G29:H29)+'BM 010'!I29</f>
        <v>#VALUE!</v>
      </c>
      <c r="J29" s="79" t="e">
        <f ca="1">E29-I29</f>
        <v>#VALUE!</v>
      </c>
      <c r="K29" s="80">
        <v>32560</v>
      </c>
      <c r="L29" s="81">
        <f t="shared" ref="L29:L92" si="2">K29*(1+$T$26)</f>
        <v>41273.059581599999</v>
      </c>
      <c r="M29" s="82">
        <f>TRUNC(F29*L29,2)</f>
        <v>0</v>
      </c>
      <c r="N29" s="82">
        <f>TRUNC(G29*L29,2)</f>
        <v>0</v>
      </c>
      <c r="O29" s="82">
        <f>N29+'BM 009'!O29</f>
        <v>41273.050000000003</v>
      </c>
      <c r="P29" s="82">
        <f>E29*K29</f>
        <v>32560</v>
      </c>
      <c r="Q29" s="82">
        <f>TRUNC(E29*L29,2)</f>
        <v>41273.050000000003</v>
      </c>
      <c r="R29" s="82">
        <f>Q29-O29</f>
        <v>0</v>
      </c>
      <c r="T29" s="74"/>
    </row>
    <row r="30" spans="1:23" s="34" customFormat="1" ht="13.2">
      <c r="B30" s="66" t="s">
        <v>64</v>
      </c>
      <c r="C30" s="67" t="s">
        <v>65</v>
      </c>
      <c r="D30" s="68"/>
      <c r="E30" s="69"/>
      <c r="F30" s="70"/>
      <c r="G30" s="70"/>
      <c r="H30" s="70"/>
      <c r="I30" s="70">
        <f>SUM(G30:H30)+'BM 009'!I30</f>
        <v>0</v>
      </c>
      <c r="J30" s="70"/>
      <c r="K30" s="71"/>
      <c r="L30" s="71">
        <f t="shared" si="2"/>
        <v>0</v>
      </c>
      <c r="M30" s="73">
        <f t="shared" ref="M30:R30" si="3">SUM(M31:M34)</f>
        <v>52972.270000000004</v>
      </c>
      <c r="N30" s="73">
        <f t="shared" si="3"/>
        <v>52972.270000000004</v>
      </c>
      <c r="O30" s="73">
        <f t="shared" si="3"/>
        <v>649315.19999999995</v>
      </c>
      <c r="P30" s="73">
        <f t="shared" si="3"/>
        <v>1872865.9</v>
      </c>
      <c r="Q30" s="73">
        <f t="shared" si="3"/>
        <v>2374044.9999999995</v>
      </c>
      <c r="R30" s="73">
        <f t="shared" si="3"/>
        <v>1724729.7999999998</v>
      </c>
      <c r="T30" s="83"/>
    </row>
    <row r="31" spans="1:23" s="34" customFormat="1" ht="23.4">
      <c r="B31" s="75" t="s">
        <v>66</v>
      </c>
      <c r="C31" s="76" t="s">
        <v>67</v>
      </c>
      <c r="D31" s="77" t="s">
        <v>68</v>
      </c>
      <c r="E31" s="78">
        <v>20</v>
      </c>
      <c r="F31" s="79"/>
      <c r="G31" s="79"/>
      <c r="H31" s="79"/>
      <c r="I31" s="79">
        <f>SUM(G31:H31)+'BM 009'!I31</f>
        <v>0</v>
      </c>
      <c r="J31" s="79">
        <f t="shared" ref="J31:J94" si="4">E31-I31</f>
        <v>20</v>
      </c>
      <c r="K31" s="84">
        <v>1200</v>
      </c>
      <c r="L31" s="81">
        <f t="shared" si="2"/>
        <v>1521.120132</v>
      </c>
      <c r="M31" s="82">
        <f>TRUNC(F31*L31,2)</f>
        <v>0</v>
      </c>
      <c r="N31" s="82">
        <f>TRUNC(G31*L31,2)</f>
        <v>0</v>
      </c>
      <c r="O31" s="82">
        <f>N31+'BM 009'!O31</f>
        <v>0</v>
      </c>
      <c r="P31" s="82">
        <f>E31*K31</f>
        <v>24000</v>
      </c>
      <c r="Q31" s="82">
        <f>TRUNC(E31*L31,2)</f>
        <v>30422.400000000001</v>
      </c>
      <c r="R31" s="82">
        <f>Q31-O31</f>
        <v>30422.400000000001</v>
      </c>
    </row>
    <row r="32" spans="1:23" s="34" customFormat="1" ht="13.2">
      <c r="B32" s="75" t="s">
        <v>69</v>
      </c>
      <c r="C32" s="85" t="s">
        <v>70</v>
      </c>
      <c r="D32" s="77" t="s">
        <v>68</v>
      </c>
      <c r="E32" s="78">
        <v>20</v>
      </c>
      <c r="F32" s="86">
        <f>'M.C. MED. 10'!K24</f>
        <v>0.45800000000000018</v>
      </c>
      <c r="G32" s="86">
        <f>F32</f>
        <v>0.45800000000000018</v>
      </c>
      <c r="H32" s="79"/>
      <c r="I32" s="86">
        <f>SUM(G32:H32)+'BM 009'!I32</f>
        <v>5.613999999999999</v>
      </c>
      <c r="J32" s="79">
        <f t="shared" si="4"/>
        <v>14.386000000000001</v>
      </c>
      <c r="K32" s="84">
        <v>51500.32</v>
      </c>
      <c r="L32" s="81">
        <f t="shared" si="2"/>
        <v>65281.811297035201</v>
      </c>
      <c r="M32" s="82">
        <f>TRUNC(F32*L32,2)</f>
        <v>29899.06</v>
      </c>
      <c r="N32" s="82">
        <f>TRUNC(G32*L32,2)</f>
        <v>29899.06</v>
      </c>
      <c r="O32" s="82">
        <f>N32+'BM 009'!O32</f>
        <v>366492.02999999997</v>
      </c>
      <c r="P32" s="82">
        <f>E32*K32</f>
        <v>1030006.4</v>
      </c>
      <c r="Q32" s="82">
        <f>TRUNC(E32*L32,2)</f>
        <v>1305636.22</v>
      </c>
      <c r="R32" s="82">
        <f>Q32-O32</f>
        <v>939144.19</v>
      </c>
      <c r="T32" s="83"/>
    </row>
    <row r="33" spans="1:21" s="34" customFormat="1" ht="194.4">
      <c r="B33" s="75" t="s">
        <v>71</v>
      </c>
      <c r="C33" s="85" t="s">
        <v>72</v>
      </c>
      <c r="D33" s="77" t="s">
        <v>39</v>
      </c>
      <c r="E33" s="78">
        <v>1</v>
      </c>
      <c r="F33" s="86">
        <f>'M.C. MED. 10'!K43</f>
        <v>2.2900000000000031E-2</v>
      </c>
      <c r="G33" s="86">
        <f>F33</f>
        <v>2.2900000000000031E-2</v>
      </c>
      <c r="H33" s="79"/>
      <c r="I33" s="86">
        <f>SUM(G33:H33)+'BM 009'!I33</f>
        <v>0.28070000000000006</v>
      </c>
      <c r="J33" s="79">
        <f t="shared" si="4"/>
        <v>0.71929999999999994</v>
      </c>
      <c r="K33" s="84">
        <v>794859.5</v>
      </c>
      <c r="L33" s="81">
        <f t="shared" si="2"/>
        <v>1007563.9896345451</v>
      </c>
      <c r="M33" s="82">
        <f>TRUNC(F33*L33,2)</f>
        <v>23073.21</v>
      </c>
      <c r="N33" s="82">
        <f>TRUNC(G33*L33,2)</f>
        <v>23073.21</v>
      </c>
      <c r="O33" s="82">
        <f>N33+'BM 009'!O33</f>
        <v>282823.17000000004</v>
      </c>
      <c r="P33" s="82">
        <f>E33*K33</f>
        <v>794859.5</v>
      </c>
      <c r="Q33" s="82">
        <f>TRUNC(E33*L33,2)</f>
        <v>1007563.98</v>
      </c>
      <c r="R33" s="82">
        <f>Q33-O33</f>
        <v>724740.80999999994</v>
      </c>
      <c r="T33" s="83"/>
    </row>
    <row r="34" spans="1:21" s="34" customFormat="1" ht="23.4">
      <c r="B34" s="75" t="s">
        <v>73</v>
      </c>
      <c r="C34" s="76" t="s">
        <v>74</v>
      </c>
      <c r="D34" s="77" t="s">
        <v>68</v>
      </c>
      <c r="E34" s="78">
        <v>20</v>
      </c>
      <c r="F34" s="79"/>
      <c r="G34" s="79"/>
      <c r="H34" s="79"/>
      <c r="I34" s="79">
        <f>SUM(G34:H34)+'BM 009'!I34</f>
        <v>0</v>
      </c>
      <c r="J34" s="79">
        <f t="shared" si="4"/>
        <v>20</v>
      </c>
      <c r="K34" s="84">
        <v>1200</v>
      </c>
      <c r="L34" s="81">
        <f t="shared" si="2"/>
        <v>1521.120132</v>
      </c>
      <c r="M34" s="82">
        <f>TRUNC(F34*L34,2)</f>
        <v>0</v>
      </c>
      <c r="N34" s="82">
        <f>TRUNC(G34*L34,2)</f>
        <v>0</v>
      </c>
      <c r="O34" s="82">
        <f>N34+'BM 009'!O34</f>
        <v>0</v>
      </c>
      <c r="P34" s="82">
        <f>E34*K34</f>
        <v>24000</v>
      </c>
      <c r="Q34" s="82">
        <f>TRUNC(E34*L34,2)</f>
        <v>30422.400000000001</v>
      </c>
      <c r="R34" s="82">
        <f>Q34-O34</f>
        <v>30422.400000000001</v>
      </c>
    </row>
    <row r="35" spans="1:21" s="34" customFormat="1" ht="13.2">
      <c r="B35" s="66" t="s">
        <v>75</v>
      </c>
      <c r="C35" s="67" t="s">
        <v>76</v>
      </c>
      <c r="D35" s="68"/>
      <c r="E35" s="69"/>
      <c r="F35" s="70"/>
      <c r="G35" s="70"/>
      <c r="H35" s="70"/>
      <c r="I35" s="70">
        <f>SUM(G35:H35)+'BM 009'!I35</f>
        <v>0</v>
      </c>
      <c r="J35" s="70">
        <f t="shared" si="4"/>
        <v>0</v>
      </c>
      <c r="K35" s="71"/>
      <c r="L35" s="71">
        <f t="shared" si="2"/>
        <v>0</v>
      </c>
      <c r="M35" s="73">
        <f t="shared" ref="M35:R35" si="5">SUM(M36:M42)</f>
        <v>0</v>
      </c>
      <c r="N35" s="73">
        <f t="shared" si="5"/>
        <v>0</v>
      </c>
      <c r="O35" s="73">
        <f t="shared" si="5"/>
        <v>352925.19</v>
      </c>
      <c r="P35" s="73">
        <f t="shared" si="5"/>
        <v>278420</v>
      </c>
      <c r="Q35" s="73">
        <f t="shared" si="5"/>
        <v>352925.19</v>
      </c>
      <c r="R35" s="73">
        <f t="shared" si="5"/>
        <v>0</v>
      </c>
    </row>
    <row r="36" spans="1:21" s="34" customFormat="1" ht="13.2">
      <c r="B36" s="87" t="s">
        <v>77</v>
      </c>
      <c r="C36" s="88" t="s">
        <v>78</v>
      </c>
      <c r="D36" s="89" t="s">
        <v>79</v>
      </c>
      <c r="E36" s="90">
        <v>128</v>
      </c>
      <c r="F36" s="91"/>
      <c r="G36" s="91"/>
      <c r="H36" s="91"/>
      <c r="I36" s="79">
        <f>SUM(G36:H36)+'BM 009'!I36</f>
        <v>128</v>
      </c>
      <c r="J36" s="91">
        <f t="shared" si="4"/>
        <v>0</v>
      </c>
      <c r="K36" s="80">
        <v>125</v>
      </c>
      <c r="L36" s="81">
        <f t="shared" si="2"/>
        <v>158.45001375000001</v>
      </c>
      <c r="M36" s="82">
        <f t="shared" ref="M36:M42" si="6">TRUNC(F36*L36,2)</f>
        <v>0</v>
      </c>
      <c r="N36" s="82">
        <f t="shared" ref="N36:N42" si="7">TRUNC(G36*L36,2)</f>
        <v>0</v>
      </c>
      <c r="O36" s="82">
        <f>N36+'BM 009'!O36</f>
        <v>20281.599999999999</v>
      </c>
      <c r="P36" s="82">
        <f t="shared" ref="P36:P42" si="8">E36*K36</f>
        <v>16000</v>
      </c>
      <c r="Q36" s="82">
        <f t="shared" ref="Q36:Q42" si="9">TRUNC(E36*L36,2)</f>
        <v>20281.599999999999</v>
      </c>
      <c r="R36" s="82">
        <f t="shared" ref="R36:R42" si="10">Q36-O36</f>
        <v>0</v>
      </c>
    </row>
    <row r="37" spans="1:21" s="34" customFormat="1" ht="46.2">
      <c r="B37" s="87" t="s">
        <v>80</v>
      </c>
      <c r="C37" s="76" t="s">
        <v>81</v>
      </c>
      <c r="D37" s="77" t="s">
        <v>82</v>
      </c>
      <c r="E37" s="78">
        <v>156</v>
      </c>
      <c r="F37" s="91"/>
      <c r="G37" s="91"/>
      <c r="H37" s="91"/>
      <c r="I37" s="79">
        <f>SUM(G37:H37)+'BM 009'!I37</f>
        <v>156.0001</v>
      </c>
      <c r="J37" s="91">
        <f t="shared" si="4"/>
        <v>-1.0000000000331966E-4</v>
      </c>
      <c r="K37" s="80">
        <v>70</v>
      </c>
      <c r="L37" s="81">
        <f t="shared" si="2"/>
        <v>88.732007699999997</v>
      </c>
      <c r="M37" s="82">
        <f t="shared" si="6"/>
        <v>0</v>
      </c>
      <c r="N37" s="82">
        <f t="shared" si="7"/>
        <v>0</v>
      </c>
      <c r="O37" s="82">
        <f>N37+'BM 009'!O37</f>
        <v>13842.19</v>
      </c>
      <c r="P37" s="82">
        <f t="shared" si="8"/>
        <v>10920</v>
      </c>
      <c r="Q37" s="82">
        <f t="shared" si="9"/>
        <v>13842.19</v>
      </c>
      <c r="R37" s="82">
        <f t="shared" si="10"/>
        <v>0</v>
      </c>
    </row>
    <row r="38" spans="1:21" s="34" customFormat="1" ht="34.799999999999997">
      <c r="B38" s="87" t="s">
        <v>83</v>
      </c>
      <c r="C38" s="88" t="s">
        <v>84</v>
      </c>
      <c r="D38" s="89" t="s">
        <v>79</v>
      </c>
      <c r="E38" s="92">
        <v>40</v>
      </c>
      <c r="F38" s="91"/>
      <c r="G38" s="91"/>
      <c r="H38" s="91"/>
      <c r="I38" s="79">
        <f>SUM(G38:H38)+'BM 009'!I38</f>
        <v>40</v>
      </c>
      <c r="J38" s="91">
        <f t="shared" si="4"/>
        <v>0</v>
      </c>
      <c r="K38" s="80">
        <v>1150</v>
      </c>
      <c r="L38" s="81">
        <f t="shared" si="2"/>
        <v>1457.7401265000001</v>
      </c>
      <c r="M38" s="82">
        <f t="shared" si="6"/>
        <v>0</v>
      </c>
      <c r="N38" s="82">
        <f t="shared" si="7"/>
        <v>0</v>
      </c>
      <c r="O38" s="82">
        <f>N38+'BM 009'!O38</f>
        <v>58309.599999999999</v>
      </c>
      <c r="P38" s="82">
        <f t="shared" si="8"/>
        <v>46000</v>
      </c>
      <c r="Q38" s="82">
        <f t="shared" si="9"/>
        <v>58309.599999999999</v>
      </c>
      <c r="R38" s="82">
        <f t="shared" si="10"/>
        <v>0</v>
      </c>
    </row>
    <row r="39" spans="1:21" s="34" customFormat="1" ht="23.4">
      <c r="B39" s="87" t="s">
        <v>85</v>
      </c>
      <c r="C39" s="88" t="s">
        <v>86</v>
      </c>
      <c r="D39" s="89" t="s">
        <v>79</v>
      </c>
      <c r="E39" s="92">
        <v>68</v>
      </c>
      <c r="F39" s="91"/>
      <c r="G39" s="91"/>
      <c r="H39" s="91"/>
      <c r="I39" s="79">
        <f>SUM(G39:H39)+'BM 009'!I39</f>
        <v>68</v>
      </c>
      <c r="J39" s="91">
        <f t="shared" si="4"/>
        <v>0</v>
      </c>
      <c r="K39" s="80">
        <v>1000</v>
      </c>
      <c r="L39" s="81">
        <f t="shared" si="2"/>
        <v>1267.6001100000001</v>
      </c>
      <c r="M39" s="82">
        <f t="shared" si="6"/>
        <v>0</v>
      </c>
      <c r="N39" s="82">
        <f t="shared" si="7"/>
        <v>0</v>
      </c>
      <c r="O39" s="82">
        <f>N39+'BM 009'!O39</f>
        <v>86196.800000000003</v>
      </c>
      <c r="P39" s="82">
        <f t="shared" si="8"/>
        <v>68000</v>
      </c>
      <c r="Q39" s="82">
        <f t="shared" si="9"/>
        <v>86196.800000000003</v>
      </c>
      <c r="R39" s="82">
        <f t="shared" si="10"/>
        <v>0</v>
      </c>
    </row>
    <row r="40" spans="1:21" s="34" customFormat="1" ht="34.799999999999997">
      <c r="B40" s="87" t="s">
        <v>87</v>
      </c>
      <c r="C40" s="88" t="s">
        <v>88</v>
      </c>
      <c r="D40" s="89" t="s">
        <v>79</v>
      </c>
      <c r="E40" s="92">
        <v>60</v>
      </c>
      <c r="F40" s="91"/>
      <c r="G40" s="91"/>
      <c r="H40" s="91"/>
      <c r="I40" s="79">
        <f>SUM(G40:H40)+'BM 009'!I40</f>
        <v>60</v>
      </c>
      <c r="J40" s="91">
        <f t="shared" si="4"/>
        <v>0</v>
      </c>
      <c r="K40" s="80">
        <v>600</v>
      </c>
      <c r="L40" s="81">
        <f t="shared" si="2"/>
        <v>760.56006600000001</v>
      </c>
      <c r="M40" s="82">
        <f t="shared" si="6"/>
        <v>0</v>
      </c>
      <c r="N40" s="82">
        <f t="shared" si="7"/>
        <v>0</v>
      </c>
      <c r="O40" s="82">
        <f>N40+'BM 009'!O40</f>
        <v>45633.599999999999</v>
      </c>
      <c r="P40" s="82">
        <f t="shared" si="8"/>
        <v>36000</v>
      </c>
      <c r="Q40" s="82">
        <f t="shared" si="9"/>
        <v>45633.599999999999</v>
      </c>
      <c r="R40" s="82">
        <f t="shared" si="10"/>
        <v>0</v>
      </c>
      <c r="T40" s="83"/>
      <c r="U40" s="83"/>
    </row>
    <row r="41" spans="1:21" s="34" customFormat="1" ht="34.799999999999997">
      <c r="B41" s="87" t="s">
        <v>89</v>
      </c>
      <c r="C41" s="76" t="s">
        <v>90</v>
      </c>
      <c r="D41" s="77" t="s">
        <v>79</v>
      </c>
      <c r="E41" s="78">
        <v>60</v>
      </c>
      <c r="F41" s="79"/>
      <c r="G41" s="91"/>
      <c r="H41" s="79"/>
      <c r="I41" s="79">
        <f>SUM(G41:H41)+'BM 009'!I41</f>
        <v>60</v>
      </c>
      <c r="J41" s="79">
        <f t="shared" si="4"/>
        <v>0</v>
      </c>
      <c r="K41" s="80">
        <v>1150</v>
      </c>
      <c r="L41" s="81">
        <f t="shared" si="2"/>
        <v>1457.7401265000001</v>
      </c>
      <c r="M41" s="82">
        <f t="shared" si="6"/>
        <v>0</v>
      </c>
      <c r="N41" s="82">
        <f t="shared" si="7"/>
        <v>0</v>
      </c>
      <c r="O41" s="82">
        <f>N41+'BM 009'!O41</f>
        <v>87464.4</v>
      </c>
      <c r="P41" s="82">
        <f t="shared" si="8"/>
        <v>69000</v>
      </c>
      <c r="Q41" s="82">
        <f t="shared" si="9"/>
        <v>87464.4</v>
      </c>
      <c r="R41" s="82">
        <f t="shared" si="10"/>
        <v>0</v>
      </c>
    </row>
    <row r="42" spans="1:21" s="34" customFormat="1" ht="34.200000000000003">
      <c r="B42" s="87" t="s">
        <v>91</v>
      </c>
      <c r="C42" s="184" t="s">
        <v>1195</v>
      </c>
      <c r="D42" s="77" t="s">
        <v>79</v>
      </c>
      <c r="E42" s="78">
        <v>50</v>
      </c>
      <c r="F42" s="79"/>
      <c r="G42" s="91"/>
      <c r="H42" s="79"/>
      <c r="I42" s="79">
        <f>SUM(G42:H42)+'BM 009'!I42</f>
        <v>50</v>
      </c>
      <c r="J42" s="79">
        <f t="shared" si="4"/>
        <v>0</v>
      </c>
      <c r="K42" s="80">
        <v>650</v>
      </c>
      <c r="L42" s="81">
        <f t="shared" si="2"/>
        <v>823.94007150000004</v>
      </c>
      <c r="M42" s="82">
        <f t="shared" si="6"/>
        <v>0</v>
      </c>
      <c r="N42" s="82">
        <f t="shared" si="7"/>
        <v>0</v>
      </c>
      <c r="O42" s="82">
        <f>N42+'BM 009'!O42</f>
        <v>41197</v>
      </c>
      <c r="P42" s="82">
        <f t="shared" si="8"/>
        <v>32500</v>
      </c>
      <c r="Q42" s="82">
        <f t="shared" si="9"/>
        <v>41197</v>
      </c>
      <c r="R42" s="82">
        <f t="shared" si="10"/>
        <v>0</v>
      </c>
    </row>
    <row r="43" spans="1:21" s="34" customFormat="1" ht="13.2">
      <c r="B43" s="66" t="s">
        <v>93</v>
      </c>
      <c r="C43" s="67" t="s">
        <v>94</v>
      </c>
      <c r="D43" s="68"/>
      <c r="E43" s="69"/>
      <c r="F43" s="70"/>
      <c r="G43" s="70"/>
      <c r="H43" s="70"/>
      <c r="I43" s="70">
        <f>SUM(G43:H43)+'BM 009'!I43</f>
        <v>0</v>
      </c>
      <c r="J43" s="70">
        <f t="shared" si="4"/>
        <v>0</v>
      </c>
      <c r="K43" s="71"/>
      <c r="L43" s="71">
        <f t="shared" si="2"/>
        <v>0</v>
      </c>
      <c r="M43" s="73">
        <f t="shared" ref="M43:R43" si="11">SUM(M44:M51)</f>
        <v>0</v>
      </c>
      <c r="N43" s="73">
        <f t="shared" si="11"/>
        <v>0</v>
      </c>
      <c r="O43" s="73">
        <f t="shared" si="11"/>
        <v>150143.07</v>
      </c>
      <c r="P43" s="73">
        <f t="shared" si="11"/>
        <v>220037.1</v>
      </c>
      <c r="Q43" s="73">
        <f t="shared" si="11"/>
        <v>278919.01</v>
      </c>
      <c r="R43" s="73">
        <f t="shared" si="11"/>
        <v>128775.94</v>
      </c>
    </row>
    <row r="44" spans="1:21" s="34" customFormat="1" ht="34.799999999999997">
      <c r="A44" s="83"/>
      <c r="B44" s="87" t="s">
        <v>95</v>
      </c>
      <c r="C44" s="76" t="s">
        <v>96</v>
      </c>
      <c r="D44" s="77" t="s">
        <v>79</v>
      </c>
      <c r="E44" s="93">
        <v>2573.3000000000002</v>
      </c>
      <c r="F44" s="79"/>
      <c r="G44" s="79"/>
      <c r="H44" s="79"/>
      <c r="I44" s="79">
        <f>SUM(G44:H44)+'BM 009'!I44</f>
        <v>2573.3000000000002</v>
      </c>
      <c r="J44" s="79">
        <f t="shared" si="4"/>
        <v>0</v>
      </c>
      <c r="K44" s="80">
        <v>2</v>
      </c>
      <c r="L44" s="81">
        <f t="shared" si="2"/>
        <v>2.5352002200000001</v>
      </c>
      <c r="M44" s="82">
        <f t="shared" ref="M44:M51" si="12">TRUNC(F44*L44,2)</f>
        <v>0</v>
      </c>
      <c r="N44" s="82">
        <f t="shared" ref="N44:N51" si="13">TRUNC(G44*L44,2)</f>
        <v>0</v>
      </c>
      <c r="O44" s="82">
        <f>N44+'BM 009'!O44</f>
        <v>6523.83</v>
      </c>
      <c r="P44" s="82">
        <f t="shared" ref="P44:P51" si="14">E44*K44</f>
        <v>5146.6000000000004</v>
      </c>
      <c r="Q44" s="82">
        <f t="shared" ref="Q44:Q51" si="15">TRUNC(E44*L44,2)</f>
        <v>6523.83</v>
      </c>
      <c r="R44" s="82">
        <f t="shared" ref="R44:R51" si="16">Q44-O44</f>
        <v>0</v>
      </c>
    </row>
    <row r="45" spans="1:21" s="34" customFormat="1" ht="23.4">
      <c r="B45" s="87" t="s">
        <v>97</v>
      </c>
      <c r="C45" s="88" t="s">
        <v>98</v>
      </c>
      <c r="D45" s="89" t="s">
        <v>99</v>
      </c>
      <c r="E45" s="90">
        <v>5.9</v>
      </c>
      <c r="F45" s="91"/>
      <c r="G45" s="91"/>
      <c r="H45" s="91"/>
      <c r="I45" s="79">
        <f>SUM(G45:H45)+'BM 009'!I45</f>
        <v>5.9</v>
      </c>
      <c r="J45" s="91">
        <f t="shared" si="4"/>
        <v>0</v>
      </c>
      <c r="K45" s="80">
        <v>55</v>
      </c>
      <c r="L45" s="81">
        <f t="shared" si="2"/>
        <v>69.71800605</v>
      </c>
      <c r="M45" s="82">
        <f t="shared" si="12"/>
        <v>0</v>
      </c>
      <c r="N45" s="82">
        <f t="shared" si="13"/>
        <v>0</v>
      </c>
      <c r="O45" s="82">
        <f>N45+'BM 009'!O45</f>
        <v>411.33</v>
      </c>
      <c r="P45" s="82">
        <f t="shared" si="14"/>
        <v>324.5</v>
      </c>
      <c r="Q45" s="82">
        <f t="shared" si="15"/>
        <v>411.33</v>
      </c>
      <c r="R45" s="82">
        <f t="shared" si="16"/>
        <v>0</v>
      </c>
    </row>
    <row r="46" spans="1:21" s="34" customFormat="1" ht="13.2">
      <c r="B46" s="87" t="s">
        <v>100</v>
      </c>
      <c r="C46" s="88" t="s">
        <v>101</v>
      </c>
      <c r="D46" s="89" t="s">
        <v>79</v>
      </c>
      <c r="E46" s="90">
        <v>88</v>
      </c>
      <c r="F46" s="91"/>
      <c r="G46" s="91"/>
      <c r="H46" s="91"/>
      <c r="I46" s="79">
        <f>SUM(G46:H46)+'BM 009'!I46</f>
        <v>88</v>
      </c>
      <c r="J46" s="91">
        <f t="shared" si="4"/>
        <v>0</v>
      </c>
      <c r="K46" s="80">
        <v>10</v>
      </c>
      <c r="L46" s="81">
        <f t="shared" si="2"/>
        <v>12.676001100000001</v>
      </c>
      <c r="M46" s="82">
        <f t="shared" si="12"/>
        <v>0</v>
      </c>
      <c r="N46" s="82">
        <f t="shared" si="13"/>
        <v>0</v>
      </c>
      <c r="O46" s="82">
        <f>N46+'BM 009'!O46</f>
        <v>1115.48</v>
      </c>
      <c r="P46" s="82">
        <f t="shared" si="14"/>
        <v>880</v>
      </c>
      <c r="Q46" s="82">
        <f t="shared" si="15"/>
        <v>1115.48</v>
      </c>
      <c r="R46" s="82">
        <f t="shared" si="16"/>
        <v>0</v>
      </c>
    </row>
    <row r="47" spans="1:21" s="34" customFormat="1" ht="34.799999999999997">
      <c r="B47" s="87" t="s">
        <v>102</v>
      </c>
      <c r="C47" s="88" t="s">
        <v>103</v>
      </c>
      <c r="D47" s="89" t="s">
        <v>99</v>
      </c>
      <c r="E47" s="90">
        <v>6.8</v>
      </c>
      <c r="F47" s="91"/>
      <c r="G47" s="91"/>
      <c r="H47" s="91"/>
      <c r="I47" s="79">
        <f>SUM(G47:H47)+'BM 009'!I47</f>
        <v>6.8</v>
      </c>
      <c r="J47" s="91">
        <f t="shared" si="4"/>
        <v>0</v>
      </c>
      <c r="K47" s="80">
        <v>220</v>
      </c>
      <c r="L47" s="81">
        <f t="shared" si="2"/>
        <v>278.8720242</v>
      </c>
      <c r="M47" s="82">
        <f t="shared" si="12"/>
        <v>0</v>
      </c>
      <c r="N47" s="82">
        <f t="shared" si="13"/>
        <v>0</v>
      </c>
      <c r="O47" s="82">
        <f>N47+'BM 009'!O47</f>
        <v>1896.32</v>
      </c>
      <c r="P47" s="82">
        <f t="shared" si="14"/>
        <v>1496</v>
      </c>
      <c r="Q47" s="82">
        <f t="shared" si="15"/>
        <v>1896.32</v>
      </c>
      <c r="R47" s="82">
        <f t="shared" si="16"/>
        <v>0</v>
      </c>
    </row>
    <row r="48" spans="1:21" s="34" customFormat="1" ht="23.4">
      <c r="B48" s="87" t="s">
        <v>104</v>
      </c>
      <c r="C48" s="88" t="s">
        <v>105</v>
      </c>
      <c r="D48" s="89" t="s">
        <v>79</v>
      </c>
      <c r="E48" s="90">
        <v>88</v>
      </c>
      <c r="F48" s="91"/>
      <c r="G48" s="91"/>
      <c r="H48" s="91"/>
      <c r="I48" s="79">
        <f>SUM(G48:H48)+'BM 009'!I48</f>
        <v>88</v>
      </c>
      <c r="J48" s="91">
        <f t="shared" si="4"/>
        <v>0</v>
      </c>
      <c r="K48" s="80">
        <v>15</v>
      </c>
      <c r="L48" s="81">
        <f t="shared" si="2"/>
        <v>19.014001650000001</v>
      </c>
      <c r="M48" s="82">
        <f t="shared" si="12"/>
        <v>0</v>
      </c>
      <c r="N48" s="82">
        <f t="shared" si="13"/>
        <v>0</v>
      </c>
      <c r="O48" s="82">
        <f>N48+'BM 009'!O48</f>
        <v>1673.23</v>
      </c>
      <c r="P48" s="80">
        <f t="shared" si="14"/>
        <v>1320</v>
      </c>
      <c r="Q48" s="82">
        <f t="shared" si="15"/>
        <v>1673.23</v>
      </c>
      <c r="R48" s="82">
        <f t="shared" si="16"/>
        <v>0</v>
      </c>
    </row>
    <row r="49" spans="2:20" s="34" customFormat="1" ht="23.4">
      <c r="B49" s="87" t="s">
        <v>106</v>
      </c>
      <c r="C49" s="76" t="s">
        <v>107</v>
      </c>
      <c r="D49" s="89" t="s">
        <v>99</v>
      </c>
      <c r="E49" s="90">
        <v>4350</v>
      </c>
      <c r="F49" s="91"/>
      <c r="G49" s="91"/>
      <c r="H49" s="91"/>
      <c r="I49" s="79">
        <f>SUM(G49:H49)+'BM 009'!I49</f>
        <v>1616.87</v>
      </c>
      <c r="J49" s="91">
        <f t="shared" si="4"/>
        <v>2733.13</v>
      </c>
      <c r="K49" s="80">
        <v>10</v>
      </c>
      <c r="L49" s="81">
        <f t="shared" si="2"/>
        <v>12.676001100000001</v>
      </c>
      <c r="M49" s="82">
        <f t="shared" si="12"/>
        <v>0</v>
      </c>
      <c r="N49" s="82">
        <f t="shared" si="13"/>
        <v>0</v>
      </c>
      <c r="O49" s="82">
        <f>N49+'BM 009'!O49</f>
        <v>20495.439999999999</v>
      </c>
      <c r="P49" s="80">
        <f t="shared" si="14"/>
        <v>43500</v>
      </c>
      <c r="Q49" s="82">
        <f t="shared" si="15"/>
        <v>55140.6</v>
      </c>
      <c r="R49" s="82">
        <f t="shared" si="16"/>
        <v>34645.160000000003</v>
      </c>
      <c r="T49" s="185">
        <v>20000</v>
      </c>
    </row>
    <row r="50" spans="2:20" s="34" customFormat="1" ht="57.6">
      <c r="B50" s="87" t="s">
        <v>108</v>
      </c>
      <c r="C50" s="76" t="s">
        <v>109</v>
      </c>
      <c r="D50" s="89" t="s">
        <v>110</v>
      </c>
      <c r="E50" s="90">
        <v>3985</v>
      </c>
      <c r="F50" s="91"/>
      <c r="G50" s="91"/>
      <c r="H50" s="91"/>
      <c r="I50" s="79">
        <f>SUM(G50:H50)+'BM 009'!I50</f>
        <v>2887.87</v>
      </c>
      <c r="J50" s="91">
        <f t="shared" si="4"/>
        <v>1097.1300000000001</v>
      </c>
      <c r="K50" s="80">
        <v>12</v>
      </c>
      <c r="L50" s="81">
        <f t="shared" si="2"/>
        <v>15.211201320000001</v>
      </c>
      <c r="M50" s="82">
        <f t="shared" si="12"/>
        <v>0</v>
      </c>
      <c r="N50" s="82">
        <f t="shared" si="13"/>
        <v>0</v>
      </c>
      <c r="O50" s="82">
        <f>N50+'BM 009'!O50</f>
        <v>43927.96</v>
      </c>
      <c r="P50" s="80">
        <f t="shared" si="14"/>
        <v>47820</v>
      </c>
      <c r="Q50" s="82">
        <f t="shared" si="15"/>
        <v>60616.63</v>
      </c>
      <c r="R50" s="82">
        <f t="shared" si="16"/>
        <v>16688.669999999998</v>
      </c>
      <c r="T50" s="83"/>
    </row>
    <row r="51" spans="2:20" s="34" customFormat="1" ht="34.799999999999997">
      <c r="B51" s="87" t="s">
        <v>111</v>
      </c>
      <c r="C51" s="76" t="s">
        <v>112</v>
      </c>
      <c r="D51" s="89" t="s">
        <v>113</v>
      </c>
      <c r="E51" s="90">
        <f>E50*30</f>
        <v>119550</v>
      </c>
      <c r="F51" s="91"/>
      <c r="G51" s="91"/>
      <c r="H51" s="91"/>
      <c r="I51" s="79">
        <f>SUM(G51:H51)+'BM 009'!I51</f>
        <v>58456.525000000001</v>
      </c>
      <c r="J51" s="91">
        <f t="shared" si="4"/>
        <v>61093.474999999999</v>
      </c>
      <c r="K51" s="80">
        <v>1</v>
      </c>
      <c r="L51" s="81">
        <f t="shared" si="2"/>
        <v>1.2676001100000001</v>
      </c>
      <c r="M51" s="82">
        <f t="shared" si="12"/>
        <v>0</v>
      </c>
      <c r="N51" s="82">
        <f t="shared" si="13"/>
        <v>0</v>
      </c>
      <c r="O51" s="82">
        <f>N51+'BM 009'!O51</f>
        <v>74099.48</v>
      </c>
      <c r="P51" s="80">
        <f t="shared" si="14"/>
        <v>119550</v>
      </c>
      <c r="Q51" s="82">
        <f t="shared" si="15"/>
        <v>151541.59</v>
      </c>
      <c r="R51" s="82">
        <f t="shared" si="16"/>
        <v>77442.11</v>
      </c>
    </row>
    <row r="52" spans="2:20" s="34" customFormat="1" ht="13.2">
      <c r="B52" s="60" t="s">
        <v>114</v>
      </c>
      <c r="C52" s="61" t="s">
        <v>115</v>
      </c>
      <c r="D52" s="60"/>
      <c r="E52" s="62"/>
      <c r="F52" s="63"/>
      <c r="G52" s="63"/>
      <c r="H52" s="63"/>
      <c r="I52" s="63">
        <f>SUM(G52:H52)+'BM 009'!I52</f>
        <v>0</v>
      </c>
      <c r="J52" s="63">
        <f t="shared" si="4"/>
        <v>0</v>
      </c>
      <c r="K52" s="63"/>
      <c r="L52" s="63">
        <f t="shared" si="2"/>
        <v>0</v>
      </c>
      <c r="M52" s="63">
        <f t="shared" ref="M52:R52" si="17">M53</f>
        <v>0</v>
      </c>
      <c r="N52" s="63">
        <f t="shared" si="17"/>
        <v>0</v>
      </c>
      <c r="O52" s="63">
        <f t="shared" si="17"/>
        <v>1043334.3999999999</v>
      </c>
      <c r="P52" s="63">
        <f t="shared" si="17"/>
        <v>823958.14</v>
      </c>
      <c r="Q52" s="63">
        <f t="shared" si="17"/>
        <v>1044449.3999999999</v>
      </c>
      <c r="R52" s="63">
        <f t="shared" si="17"/>
        <v>1115</v>
      </c>
    </row>
    <row r="53" spans="2:20" s="34" customFormat="1" ht="13.2">
      <c r="B53" s="66" t="s">
        <v>116</v>
      </c>
      <c r="C53" s="67" t="s">
        <v>117</v>
      </c>
      <c r="D53" s="68"/>
      <c r="E53" s="69"/>
      <c r="F53" s="70"/>
      <c r="G53" s="70"/>
      <c r="H53" s="70"/>
      <c r="I53" s="70">
        <f>SUM(G53:H53)+'BM 009'!I53</f>
        <v>0</v>
      </c>
      <c r="J53" s="70">
        <f t="shared" si="4"/>
        <v>0</v>
      </c>
      <c r="K53" s="71"/>
      <c r="L53" s="71">
        <f t="shared" si="2"/>
        <v>0</v>
      </c>
      <c r="M53" s="73">
        <f t="shared" ref="M53:R53" si="18">SUM(M54:M61)</f>
        <v>0</v>
      </c>
      <c r="N53" s="73">
        <f t="shared" si="18"/>
        <v>0</v>
      </c>
      <c r="O53" s="73">
        <f t="shared" si="18"/>
        <v>1043334.3999999999</v>
      </c>
      <c r="P53" s="73">
        <f t="shared" si="18"/>
        <v>823958.14</v>
      </c>
      <c r="Q53" s="73">
        <f t="shared" si="18"/>
        <v>1044449.3999999999</v>
      </c>
      <c r="R53" s="73">
        <f t="shared" si="18"/>
        <v>1115</v>
      </c>
    </row>
    <row r="54" spans="2:20" s="34" customFormat="1" ht="34.799999999999997">
      <c r="B54" s="87" t="s">
        <v>118</v>
      </c>
      <c r="C54" s="88" t="s">
        <v>119</v>
      </c>
      <c r="D54" s="89" t="s">
        <v>82</v>
      </c>
      <c r="E54" s="92">
        <v>196.9</v>
      </c>
      <c r="F54" s="91"/>
      <c r="G54" s="91"/>
      <c r="H54" s="91"/>
      <c r="I54" s="79">
        <f>SUM(G54:H54)+'BM 009'!I54</f>
        <v>196.9</v>
      </c>
      <c r="J54" s="91">
        <f t="shared" si="4"/>
        <v>0</v>
      </c>
      <c r="K54" s="80">
        <v>75</v>
      </c>
      <c r="L54" s="81">
        <f t="shared" si="2"/>
        <v>95.070008250000001</v>
      </c>
      <c r="M54" s="82">
        <f t="shared" ref="M54:M61" si="19">TRUNC(F54*L54,2)</f>
        <v>0</v>
      </c>
      <c r="N54" s="82">
        <f t="shared" ref="N54:N61" si="20">TRUNC(G54*L54,2)</f>
        <v>0</v>
      </c>
      <c r="O54" s="82">
        <f>N54+'BM 009'!O54</f>
        <v>18719.28</v>
      </c>
      <c r="P54" s="80">
        <f t="shared" ref="P54:P61" si="21">E54*K54</f>
        <v>14767.5</v>
      </c>
      <c r="Q54" s="82">
        <f t="shared" ref="Q54:Q61" si="22">TRUNC(E54*L54,2)</f>
        <v>18719.28</v>
      </c>
      <c r="R54" s="82">
        <f t="shared" ref="R54:R61" si="23">Q54-O54</f>
        <v>0</v>
      </c>
    </row>
    <row r="55" spans="2:20" s="34" customFormat="1" ht="34.799999999999997">
      <c r="B55" s="87" t="s">
        <v>120</v>
      </c>
      <c r="C55" s="88" t="s">
        <v>121</v>
      </c>
      <c r="D55" s="89" t="s">
        <v>63</v>
      </c>
      <c r="E55" s="92">
        <v>1</v>
      </c>
      <c r="F55" s="91"/>
      <c r="G55" s="91"/>
      <c r="H55" s="91"/>
      <c r="I55" s="79">
        <f>SUM(G55:H55)+'BM 009'!I55</f>
        <v>1</v>
      </c>
      <c r="J55" s="91">
        <f t="shared" si="4"/>
        <v>0</v>
      </c>
      <c r="K55" s="80">
        <v>11000</v>
      </c>
      <c r="L55" s="81">
        <f t="shared" si="2"/>
        <v>13943.601210000001</v>
      </c>
      <c r="M55" s="82">
        <f t="shared" si="19"/>
        <v>0</v>
      </c>
      <c r="N55" s="82">
        <f t="shared" si="20"/>
        <v>0</v>
      </c>
      <c r="O55" s="82">
        <f>N55+'BM 009'!O55</f>
        <v>13943.6</v>
      </c>
      <c r="P55" s="80">
        <f t="shared" si="21"/>
        <v>11000</v>
      </c>
      <c r="Q55" s="82">
        <f t="shared" si="22"/>
        <v>13943.6</v>
      </c>
      <c r="R55" s="82">
        <f t="shared" si="23"/>
        <v>0</v>
      </c>
    </row>
    <row r="56" spans="2:20" s="34" customFormat="1" ht="46.2">
      <c r="B56" s="87" t="s">
        <v>122</v>
      </c>
      <c r="C56" s="88" t="s">
        <v>123</v>
      </c>
      <c r="D56" s="89" t="s">
        <v>124</v>
      </c>
      <c r="E56" s="90">
        <v>1837</v>
      </c>
      <c r="F56" s="91"/>
      <c r="G56" s="91"/>
      <c r="H56" s="91"/>
      <c r="I56" s="79">
        <f>SUM(G56:H56)+'BM 009'!I56</f>
        <v>1837</v>
      </c>
      <c r="J56" s="91">
        <f t="shared" si="4"/>
        <v>0</v>
      </c>
      <c r="K56" s="80">
        <v>405</v>
      </c>
      <c r="L56" s="81">
        <f t="shared" si="2"/>
        <v>513.37804455000003</v>
      </c>
      <c r="M56" s="82">
        <f t="shared" si="19"/>
        <v>0</v>
      </c>
      <c r="N56" s="82">
        <f t="shared" si="20"/>
        <v>0</v>
      </c>
      <c r="O56" s="82">
        <f>N56+'BM 009'!O56</f>
        <v>943075.46</v>
      </c>
      <c r="P56" s="80">
        <f t="shared" si="21"/>
        <v>743985</v>
      </c>
      <c r="Q56" s="82">
        <f t="shared" si="22"/>
        <v>943075.46</v>
      </c>
      <c r="R56" s="82">
        <f t="shared" si="23"/>
        <v>0</v>
      </c>
    </row>
    <row r="57" spans="2:20" s="34" customFormat="1" ht="46.2">
      <c r="B57" s="87" t="s">
        <v>125</v>
      </c>
      <c r="C57" s="88" t="s">
        <v>126</v>
      </c>
      <c r="D57" s="89" t="s">
        <v>110</v>
      </c>
      <c r="E57" s="90">
        <v>293.92</v>
      </c>
      <c r="F57" s="91"/>
      <c r="G57" s="91"/>
      <c r="H57" s="91"/>
      <c r="I57" s="79">
        <f>SUM(G57:H57)+'BM 009'!I57</f>
        <v>293.92</v>
      </c>
      <c r="J57" s="91">
        <f t="shared" si="4"/>
        <v>0</v>
      </c>
      <c r="K57" s="80">
        <v>12</v>
      </c>
      <c r="L57" s="81">
        <f t="shared" si="2"/>
        <v>15.211201320000001</v>
      </c>
      <c r="M57" s="82">
        <f t="shared" si="19"/>
        <v>0</v>
      </c>
      <c r="N57" s="82">
        <f t="shared" si="20"/>
        <v>0</v>
      </c>
      <c r="O57" s="82">
        <f>N57+'BM 009'!O57</f>
        <v>4470.87</v>
      </c>
      <c r="P57" s="80">
        <f t="shared" si="21"/>
        <v>3527.04</v>
      </c>
      <c r="Q57" s="82">
        <f t="shared" si="22"/>
        <v>4470.87</v>
      </c>
      <c r="R57" s="82">
        <f t="shared" si="23"/>
        <v>0</v>
      </c>
    </row>
    <row r="58" spans="2:20" s="34" customFormat="1" ht="34.799999999999997">
      <c r="B58" s="87" t="s">
        <v>127</v>
      </c>
      <c r="C58" s="88" t="s">
        <v>128</v>
      </c>
      <c r="D58" s="89" t="s">
        <v>113</v>
      </c>
      <c r="E58" s="90">
        <f>E57*30</f>
        <v>8817.6</v>
      </c>
      <c r="F58" s="91"/>
      <c r="G58" s="91"/>
      <c r="H58" s="91"/>
      <c r="I58" s="79">
        <f>SUM(G58:H58)+'BM 009'!I58</f>
        <v>7938.0000000000009</v>
      </c>
      <c r="J58" s="91">
        <f t="shared" si="4"/>
        <v>879.59999999999945</v>
      </c>
      <c r="K58" s="80">
        <v>1</v>
      </c>
      <c r="L58" s="81">
        <f t="shared" si="2"/>
        <v>1.2676001100000001</v>
      </c>
      <c r="M58" s="82">
        <f t="shared" si="19"/>
        <v>0</v>
      </c>
      <c r="N58" s="82">
        <f t="shared" si="20"/>
        <v>0</v>
      </c>
      <c r="O58" s="82">
        <f>N58+'BM 009'!O58</f>
        <v>10062.200000000001</v>
      </c>
      <c r="P58" s="80">
        <f t="shared" si="21"/>
        <v>8817.6</v>
      </c>
      <c r="Q58" s="82">
        <f t="shared" si="22"/>
        <v>11177.19</v>
      </c>
      <c r="R58" s="82">
        <f t="shared" si="23"/>
        <v>1114.9899999999998</v>
      </c>
    </row>
    <row r="59" spans="2:20" s="34" customFormat="1" ht="23.4">
      <c r="B59" s="87" t="s">
        <v>129</v>
      </c>
      <c r="C59" s="88" t="s">
        <v>130</v>
      </c>
      <c r="D59" s="89" t="s">
        <v>131</v>
      </c>
      <c r="E59" s="92">
        <v>167</v>
      </c>
      <c r="F59" s="91"/>
      <c r="G59" s="91"/>
      <c r="H59" s="91"/>
      <c r="I59" s="79">
        <f>SUM(G59:H59)+'BM 009'!I59</f>
        <v>167</v>
      </c>
      <c r="J59" s="91">
        <f t="shared" si="4"/>
        <v>0</v>
      </c>
      <c r="K59" s="80">
        <v>23</v>
      </c>
      <c r="L59" s="81">
        <f t="shared" si="2"/>
        <v>29.154802530000001</v>
      </c>
      <c r="M59" s="82">
        <f t="shared" si="19"/>
        <v>0</v>
      </c>
      <c r="N59" s="82">
        <f t="shared" si="20"/>
        <v>0</v>
      </c>
      <c r="O59" s="82">
        <f>N59+'BM 009'!O59</f>
        <v>4868.84</v>
      </c>
      <c r="P59" s="80">
        <f t="shared" si="21"/>
        <v>3841</v>
      </c>
      <c r="Q59" s="82">
        <f t="shared" si="22"/>
        <v>4868.8500000000004</v>
      </c>
      <c r="R59" s="82">
        <f t="shared" si="23"/>
        <v>1.0000000000218279E-2</v>
      </c>
    </row>
    <row r="60" spans="2:20" s="34" customFormat="1" ht="13.2">
      <c r="B60" s="87" t="s">
        <v>132</v>
      </c>
      <c r="C60" s="88" t="s">
        <v>133</v>
      </c>
      <c r="D60" s="89" t="s">
        <v>63</v>
      </c>
      <c r="E60" s="92">
        <v>2</v>
      </c>
      <c r="F60" s="91"/>
      <c r="G60" s="91"/>
      <c r="H60" s="91"/>
      <c r="I60" s="79">
        <f>SUM(G60:H60)+'BM 009'!I60</f>
        <v>2</v>
      </c>
      <c r="J60" s="91">
        <f t="shared" si="4"/>
        <v>0</v>
      </c>
      <c r="K60" s="80">
        <v>14000</v>
      </c>
      <c r="L60" s="81">
        <f t="shared" si="2"/>
        <v>17746.401540000003</v>
      </c>
      <c r="M60" s="82">
        <f t="shared" si="19"/>
        <v>0</v>
      </c>
      <c r="N60" s="82">
        <f t="shared" si="20"/>
        <v>0</v>
      </c>
      <c r="O60" s="82">
        <f>N60+'BM 009'!O60</f>
        <v>35492.800000000003</v>
      </c>
      <c r="P60" s="80">
        <f t="shared" si="21"/>
        <v>28000</v>
      </c>
      <c r="Q60" s="82">
        <f t="shared" si="22"/>
        <v>35492.800000000003</v>
      </c>
      <c r="R60" s="82">
        <f t="shared" si="23"/>
        <v>0</v>
      </c>
    </row>
    <row r="61" spans="2:20" s="34" customFormat="1" ht="13.2">
      <c r="B61" s="87" t="s">
        <v>134</v>
      </c>
      <c r="C61" s="88" t="s">
        <v>135</v>
      </c>
      <c r="D61" s="89" t="s">
        <v>63</v>
      </c>
      <c r="E61" s="92">
        <v>167</v>
      </c>
      <c r="F61" s="91"/>
      <c r="G61" s="91"/>
      <c r="H61" s="91"/>
      <c r="I61" s="79">
        <f>SUM(G61:H61)+'BM 009'!I61</f>
        <v>167</v>
      </c>
      <c r="J61" s="91">
        <f t="shared" si="4"/>
        <v>0</v>
      </c>
      <c r="K61" s="80">
        <v>60</v>
      </c>
      <c r="L61" s="81">
        <f t="shared" si="2"/>
        <v>76.056006600000003</v>
      </c>
      <c r="M61" s="82">
        <f t="shared" si="19"/>
        <v>0</v>
      </c>
      <c r="N61" s="82">
        <f t="shared" si="20"/>
        <v>0</v>
      </c>
      <c r="O61" s="82">
        <f>N61+'BM 009'!O61</f>
        <v>12701.35</v>
      </c>
      <c r="P61" s="80">
        <f t="shared" si="21"/>
        <v>10020</v>
      </c>
      <c r="Q61" s="82">
        <f t="shared" si="22"/>
        <v>12701.35</v>
      </c>
      <c r="R61" s="82">
        <f t="shared" si="23"/>
        <v>0</v>
      </c>
    </row>
    <row r="62" spans="2:20" s="34" customFormat="1" ht="15.75" customHeight="1">
      <c r="B62" s="60" t="s">
        <v>136</v>
      </c>
      <c r="C62" s="61" t="s">
        <v>137</v>
      </c>
      <c r="D62" s="60"/>
      <c r="E62" s="62"/>
      <c r="F62" s="63"/>
      <c r="G62" s="63"/>
      <c r="H62" s="63"/>
      <c r="I62" s="63">
        <f>SUM(G62:H62)+'BM 009'!I62</f>
        <v>0</v>
      </c>
      <c r="J62" s="63">
        <f t="shared" si="4"/>
        <v>0</v>
      </c>
      <c r="K62" s="63"/>
      <c r="L62" s="63">
        <f t="shared" si="2"/>
        <v>0</v>
      </c>
      <c r="M62" s="63">
        <f t="shared" ref="M62:R62" si="24">SUM(M63,M79)</f>
        <v>0</v>
      </c>
      <c r="N62" s="63">
        <f t="shared" si="24"/>
        <v>0</v>
      </c>
      <c r="O62" s="63">
        <f t="shared" si="24"/>
        <v>788372.97</v>
      </c>
      <c r="P62" s="63">
        <f t="shared" si="24"/>
        <v>621941.5</v>
      </c>
      <c r="Q62" s="63">
        <f t="shared" si="24"/>
        <v>788372.97</v>
      </c>
      <c r="R62" s="63">
        <f t="shared" si="24"/>
        <v>0</v>
      </c>
    </row>
    <row r="63" spans="2:20" s="34" customFormat="1" ht="13.2">
      <c r="B63" s="66" t="s">
        <v>138</v>
      </c>
      <c r="C63" s="67" t="s">
        <v>139</v>
      </c>
      <c r="D63" s="68"/>
      <c r="E63" s="69"/>
      <c r="F63" s="70"/>
      <c r="G63" s="70"/>
      <c r="H63" s="70"/>
      <c r="I63" s="70">
        <f>SUM(G63:H63)+'BM 009'!I63</f>
        <v>0</v>
      </c>
      <c r="J63" s="70">
        <f t="shared" si="4"/>
        <v>0</v>
      </c>
      <c r="K63" s="71"/>
      <c r="L63" s="71">
        <f t="shared" si="2"/>
        <v>0</v>
      </c>
      <c r="M63" s="73">
        <f t="shared" ref="M63:R63" si="25">SUM(M64:M78)</f>
        <v>0</v>
      </c>
      <c r="N63" s="73">
        <f t="shared" si="25"/>
        <v>0</v>
      </c>
      <c r="O63" s="73">
        <f t="shared" si="25"/>
        <v>597801.35</v>
      </c>
      <c r="P63" s="73">
        <f t="shared" si="25"/>
        <v>471600.95</v>
      </c>
      <c r="Q63" s="73">
        <f t="shared" si="25"/>
        <v>597801.35</v>
      </c>
      <c r="R63" s="73">
        <f t="shared" si="25"/>
        <v>0</v>
      </c>
    </row>
    <row r="64" spans="2:20" s="34" customFormat="1" ht="23.4">
      <c r="B64" s="87" t="s">
        <v>140</v>
      </c>
      <c r="C64" s="88" t="s">
        <v>141</v>
      </c>
      <c r="D64" s="89" t="s">
        <v>110</v>
      </c>
      <c r="E64" s="90">
        <v>259.39</v>
      </c>
      <c r="F64" s="91"/>
      <c r="G64" s="91"/>
      <c r="H64" s="91"/>
      <c r="I64" s="79">
        <f>SUM(G64:H64)+'BM 009'!I64</f>
        <v>259.39</v>
      </c>
      <c r="J64" s="91">
        <f t="shared" si="4"/>
        <v>0</v>
      </c>
      <c r="K64" s="80">
        <v>80</v>
      </c>
      <c r="L64" s="81">
        <f t="shared" si="2"/>
        <v>101.4080088</v>
      </c>
      <c r="M64" s="82">
        <f t="shared" ref="M64:M78" si="26">TRUNC(F64*L64,2)</f>
        <v>0</v>
      </c>
      <c r="N64" s="82">
        <f t="shared" ref="N64:N78" si="27">TRUNC(G64*L64,2)</f>
        <v>0</v>
      </c>
      <c r="O64" s="82">
        <f>N64+'BM 009'!O64</f>
        <v>26304.22</v>
      </c>
      <c r="P64" s="80">
        <f t="shared" ref="P64:P78" si="28">E64*K64</f>
        <v>20751.199999999997</v>
      </c>
      <c r="Q64" s="82">
        <f t="shared" ref="Q64:Q78" si="29">TRUNC(E64*L64,2)</f>
        <v>26304.22</v>
      </c>
      <c r="R64" s="82">
        <f t="shared" ref="R64:R78" si="30">Q64-O64</f>
        <v>0</v>
      </c>
    </row>
    <row r="65" spans="2:20" s="34" customFormat="1" ht="23.4">
      <c r="B65" s="87" t="s">
        <v>142</v>
      </c>
      <c r="C65" s="88" t="s">
        <v>143</v>
      </c>
      <c r="D65" s="89" t="s">
        <v>79</v>
      </c>
      <c r="E65" s="92">
        <v>72.260000000000005</v>
      </c>
      <c r="F65" s="91"/>
      <c r="G65" s="91"/>
      <c r="H65" s="91"/>
      <c r="I65" s="79">
        <f>SUM(G65:H65)+'BM 009'!I65</f>
        <v>72.260000000000005</v>
      </c>
      <c r="J65" s="91">
        <f t="shared" si="4"/>
        <v>0</v>
      </c>
      <c r="K65" s="80">
        <v>30</v>
      </c>
      <c r="L65" s="81">
        <f t="shared" si="2"/>
        <v>38.028003300000002</v>
      </c>
      <c r="M65" s="82">
        <f t="shared" si="26"/>
        <v>0</v>
      </c>
      <c r="N65" s="82">
        <f t="shared" si="27"/>
        <v>0</v>
      </c>
      <c r="O65" s="82">
        <f>N65+'BM 009'!O65</f>
        <v>2747.9</v>
      </c>
      <c r="P65" s="80">
        <f t="shared" si="28"/>
        <v>2167.8000000000002</v>
      </c>
      <c r="Q65" s="82">
        <f t="shared" si="29"/>
        <v>2747.9</v>
      </c>
      <c r="R65" s="82">
        <f t="shared" si="30"/>
        <v>0</v>
      </c>
    </row>
    <row r="66" spans="2:20" s="34" customFormat="1" ht="23.4">
      <c r="B66" s="87" t="s">
        <v>144</v>
      </c>
      <c r="C66" s="88" t="s">
        <v>145</v>
      </c>
      <c r="D66" s="89" t="s">
        <v>110</v>
      </c>
      <c r="E66" s="92">
        <v>217.8</v>
      </c>
      <c r="F66" s="91"/>
      <c r="G66" s="91"/>
      <c r="H66" s="91"/>
      <c r="I66" s="79">
        <f>SUM(G66:H66)+'BM 009'!I66</f>
        <v>217.8</v>
      </c>
      <c r="J66" s="91">
        <f t="shared" si="4"/>
        <v>0</v>
      </c>
      <c r="K66" s="80">
        <v>25</v>
      </c>
      <c r="L66" s="81">
        <f t="shared" si="2"/>
        <v>31.690002750000001</v>
      </c>
      <c r="M66" s="82">
        <f t="shared" si="26"/>
        <v>0</v>
      </c>
      <c r="N66" s="82">
        <f t="shared" si="27"/>
        <v>0</v>
      </c>
      <c r="O66" s="82">
        <f>N66+'BM 009'!O66</f>
        <v>6902.08</v>
      </c>
      <c r="P66" s="80">
        <f t="shared" si="28"/>
        <v>5445</v>
      </c>
      <c r="Q66" s="82">
        <f t="shared" si="29"/>
        <v>6902.08</v>
      </c>
      <c r="R66" s="82">
        <f t="shared" si="30"/>
        <v>0</v>
      </c>
    </row>
    <row r="67" spans="2:20" s="34" customFormat="1" ht="46.2">
      <c r="B67" s="87" t="s">
        <v>146</v>
      </c>
      <c r="C67" s="88" t="s">
        <v>126</v>
      </c>
      <c r="D67" s="89" t="s">
        <v>110</v>
      </c>
      <c r="E67" s="90">
        <v>140.80000000000001</v>
      </c>
      <c r="F67" s="91"/>
      <c r="G67" s="91"/>
      <c r="H67" s="91"/>
      <c r="I67" s="79">
        <f>SUM(G67:H67)+'BM 009'!I67</f>
        <v>140.80000000000001</v>
      </c>
      <c r="J67" s="91">
        <f t="shared" si="4"/>
        <v>0</v>
      </c>
      <c r="K67" s="80">
        <v>12</v>
      </c>
      <c r="L67" s="81">
        <f t="shared" si="2"/>
        <v>15.211201320000001</v>
      </c>
      <c r="M67" s="82">
        <f t="shared" si="26"/>
        <v>0</v>
      </c>
      <c r="N67" s="82">
        <f t="shared" si="27"/>
        <v>0</v>
      </c>
      <c r="O67" s="82">
        <f>N67+'BM 009'!O67</f>
        <v>2141.73</v>
      </c>
      <c r="P67" s="80">
        <f t="shared" si="28"/>
        <v>1689.6000000000001</v>
      </c>
      <c r="Q67" s="82">
        <f t="shared" si="29"/>
        <v>2141.73</v>
      </c>
      <c r="R67" s="82">
        <f t="shared" si="30"/>
        <v>0</v>
      </c>
    </row>
    <row r="68" spans="2:20" s="34" customFormat="1" ht="34.799999999999997">
      <c r="B68" s="87" t="s">
        <v>147</v>
      </c>
      <c r="C68" s="88" t="s">
        <v>128</v>
      </c>
      <c r="D68" s="89" t="s">
        <v>113</v>
      </c>
      <c r="E68" s="90">
        <f>E64*30</f>
        <v>7781.7</v>
      </c>
      <c r="F68" s="91"/>
      <c r="G68" s="91"/>
      <c r="H68" s="91"/>
      <c r="I68" s="79">
        <f>SUM(G68:H68)+'BM 009'!I68</f>
        <v>7781.7</v>
      </c>
      <c r="J68" s="91">
        <f t="shared" si="4"/>
        <v>0</v>
      </c>
      <c r="K68" s="80">
        <v>1</v>
      </c>
      <c r="L68" s="81">
        <f t="shared" si="2"/>
        <v>1.2676001100000001</v>
      </c>
      <c r="M68" s="82">
        <f t="shared" si="26"/>
        <v>0</v>
      </c>
      <c r="N68" s="82">
        <f t="shared" si="27"/>
        <v>0</v>
      </c>
      <c r="O68" s="82">
        <f>N68+'BM 009'!O68</f>
        <v>9864.08</v>
      </c>
      <c r="P68" s="80">
        <f t="shared" si="28"/>
        <v>7781.7</v>
      </c>
      <c r="Q68" s="82">
        <f t="shared" si="29"/>
        <v>9864.08</v>
      </c>
      <c r="R68" s="82">
        <f t="shared" si="30"/>
        <v>0</v>
      </c>
      <c r="T68" s="83"/>
    </row>
    <row r="69" spans="2:20" s="34" customFormat="1" ht="23.4">
      <c r="B69" s="87" t="s">
        <v>148</v>
      </c>
      <c r="C69" s="88" t="s">
        <v>149</v>
      </c>
      <c r="D69" s="89" t="s">
        <v>79</v>
      </c>
      <c r="E69" s="90">
        <v>233.48</v>
      </c>
      <c r="F69" s="91"/>
      <c r="G69" s="91"/>
      <c r="H69" s="91"/>
      <c r="I69" s="79">
        <f>SUM(G69:H69)+'BM 009'!I69</f>
        <v>233.4802253775074</v>
      </c>
      <c r="J69" s="91">
        <f t="shared" si="4"/>
        <v>-2.2537750740525553E-4</v>
      </c>
      <c r="K69" s="80">
        <v>35</v>
      </c>
      <c r="L69" s="81">
        <f t="shared" si="2"/>
        <v>44.366003849999998</v>
      </c>
      <c r="M69" s="82">
        <f t="shared" si="26"/>
        <v>0</v>
      </c>
      <c r="N69" s="82">
        <f t="shared" si="27"/>
        <v>0</v>
      </c>
      <c r="O69" s="82">
        <f>N69+'BM 009'!O69</f>
        <v>10358.57</v>
      </c>
      <c r="P69" s="80">
        <f t="shared" si="28"/>
        <v>8171.7999999999993</v>
      </c>
      <c r="Q69" s="82">
        <f t="shared" si="29"/>
        <v>10358.57</v>
      </c>
      <c r="R69" s="82">
        <f t="shared" si="30"/>
        <v>0</v>
      </c>
    </row>
    <row r="70" spans="2:20" s="34" customFormat="1" ht="23.4">
      <c r="B70" s="87" t="s">
        <v>150</v>
      </c>
      <c r="C70" s="88" t="s">
        <v>151</v>
      </c>
      <c r="D70" s="89" t="s">
        <v>152</v>
      </c>
      <c r="E70" s="90">
        <v>190.3</v>
      </c>
      <c r="F70" s="91"/>
      <c r="G70" s="91"/>
      <c r="H70" s="91"/>
      <c r="I70" s="79">
        <f>SUM(G70:H70)+'BM 009'!I70</f>
        <v>190.3</v>
      </c>
      <c r="J70" s="91">
        <f t="shared" si="4"/>
        <v>0</v>
      </c>
      <c r="K70" s="80">
        <v>20</v>
      </c>
      <c r="L70" s="81">
        <f t="shared" si="2"/>
        <v>25.352002200000001</v>
      </c>
      <c r="M70" s="82">
        <f t="shared" si="26"/>
        <v>0</v>
      </c>
      <c r="N70" s="82">
        <f t="shared" si="27"/>
        <v>0</v>
      </c>
      <c r="O70" s="82">
        <f>N70+'BM 009'!O70</f>
        <v>4824.4799999999996</v>
      </c>
      <c r="P70" s="80">
        <f t="shared" si="28"/>
        <v>3806</v>
      </c>
      <c r="Q70" s="82">
        <f t="shared" si="29"/>
        <v>4824.4799999999996</v>
      </c>
      <c r="R70" s="82">
        <f t="shared" si="30"/>
        <v>0</v>
      </c>
    </row>
    <row r="71" spans="2:20" s="34" customFormat="1" ht="34.799999999999997">
      <c r="B71" s="87" t="s">
        <v>153</v>
      </c>
      <c r="C71" s="88" t="s">
        <v>154</v>
      </c>
      <c r="D71" s="89" t="s">
        <v>152</v>
      </c>
      <c r="E71" s="90">
        <v>77</v>
      </c>
      <c r="F71" s="91"/>
      <c r="G71" s="91"/>
      <c r="H71" s="91"/>
      <c r="I71" s="79">
        <f>SUM(G71:H71)+'BM 009'!I71</f>
        <v>77</v>
      </c>
      <c r="J71" s="91">
        <f t="shared" si="4"/>
        <v>0</v>
      </c>
      <c r="K71" s="80">
        <v>19</v>
      </c>
      <c r="L71" s="81">
        <f t="shared" si="2"/>
        <v>24.084402090000001</v>
      </c>
      <c r="M71" s="82">
        <f t="shared" si="26"/>
        <v>0</v>
      </c>
      <c r="N71" s="82">
        <f t="shared" si="27"/>
        <v>0</v>
      </c>
      <c r="O71" s="82">
        <f>N71+'BM 009'!O71</f>
        <v>1854.49</v>
      </c>
      <c r="P71" s="80">
        <f t="shared" si="28"/>
        <v>1463</v>
      </c>
      <c r="Q71" s="82">
        <f t="shared" si="29"/>
        <v>1854.49</v>
      </c>
      <c r="R71" s="82">
        <f t="shared" si="30"/>
        <v>0</v>
      </c>
    </row>
    <row r="72" spans="2:20" s="34" customFormat="1" ht="23.4">
      <c r="B72" s="87" t="s">
        <v>155</v>
      </c>
      <c r="C72" s="88" t="s">
        <v>156</v>
      </c>
      <c r="D72" s="89" t="s">
        <v>152</v>
      </c>
      <c r="E72" s="90">
        <v>566.5</v>
      </c>
      <c r="F72" s="91"/>
      <c r="G72" s="91"/>
      <c r="H72" s="91"/>
      <c r="I72" s="79">
        <f>SUM(G72:H72)+'BM 009'!I72</f>
        <v>566.50014977685623</v>
      </c>
      <c r="J72" s="91">
        <f t="shared" si="4"/>
        <v>-1.497768562330748E-4</v>
      </c>
      <c r="K72" s="80">
        <v>17.5</v>
      </c>
      <c r="L72" s="81">
        <f t="shared" si="2"/>
        <v>22.183001924999999</v>
      </c>
      <c r="M72" s="82">
        <f t="shared" si="26"/>
        <v>0</v>
      </c>
      <c r="N72" s="82">
        <f t="shared" si="27"/>
        <v>0</v>
      </c>
      <c r="O72" s="82">
        <f>N72+'BM 009'!O72</f>
        <v>12566.669999999998</v>
      </c>
      <c r="P72" s="80">
        <f t="shared" si="28"/>
        <v>9913.75</v>
      </c>
      <c r="Q72" s="82">
        <f t="shared" si="29"/>
        <v>12566.67</v>
      </c>
      <c r="R72" s="82">
        <f t="shared" si="30"/>
        <v>0</v>
      </c>
      <c r="T72" s="83"/>
    </row>
    <row r="73" spans="2:20" s="34" customFormat="1" ht="23.4">
      <c r="B73" s="87" t="s">
        <v>157</v>
      </c>
      <c r="C73" s="88" t="s">
        <v>158</v>
      </c>
      <c r="D73" s="89" t="s">
        <v>152</v>
      </c>
      <c r="E73" s="90">
        <v>1663.2</v>
      </c>
      <c r="F73" s="91"/>
      <c r="G73" s="91"/>
      <c r="H73" s="91"/>
      <c r="I73" s="79">
        <f>SUM(G73:H73)+'BM 009'!I73</f>
        <v>1663.2003</v>
      </c>
      <c r="J73" s="91">
        <f t="shared" si="4"/>
        <v>-2.9999999992469384E-4</v>
      </c>
      <c r="K73" s="80">
        <v>16</v>
      </c>
      <c r="L73" s="81">
        <f t="shared" si="2"/>
        <v>20.281601760000001</v>
      </c>
      <c r="M73" s="82">
        <f t="shared" si="26"/>
        <v>0</v>
      </c>
      <c r="N73" s="82">
        <f t="shared" si="27"/>
        <v>0</v>
      </c>
      <c r="O73" s="82">
        <f>N73+'BM 009'!O73</f>
        <v>33732.36</v>
      </c>
      <c r="P73" s="80">
        <f t="shared" si="28"/>
        <v>26611.200000000001</v>
      </c>
      <c r="Q73" s="82">
        <f t="shared" si="29"/>
        <v>33732.36</v>
      </c>
      <c r="R73" s="82">
        <f t="shared" si="30"/>
        <v>0</v>
      </c>
    </row>
    <row r="74" spans="2:20" s="34" customFormat="1" ht="23.4">
      <c r="B74" s="87" t="s">
        <v>159</v>
      </c>
      <c r="C74" s="88" t="s">
        <v>160</v>
      </c>
      <c r="D74" s="89" t="s">
        <v>152</v>
      </c>
      <c r="E74" s="90">
        <v>4944.5</v>
      </c>
      <c r="F74" s="91"/>
      <c r="G74" s="91"/>
      <c r="H74" s="91"/>
      <c r="I74" s="79">
        <f>SUM(G74:H74)+'BM 009'!I74</f>
        <v>4944.5003000000006</v>
      </c>
      <c r="J74" s="91">
        <f t="shared" si="4"/>
        <v>-3.0000000060681487E-4</v>
      </c>
      <c r="K74" s="80">
        <v>14.5</v>
      </c>
      <c r="L74" s="81">
        <f t="shared" si="2"/>
        <v>18.380201595000003</v>
      </c>
      <c r="M74" s="82">
        <f t="shared" si="26"/>
        <v>0</v>
      </c>
      <c r="N74" s="82">
        <f t="shared" si="27"/>
        <v>0</v>
      </c>
      <c r="O74" s="82">
        <f>N74+'BM 009'!O74</f>
        <v>90880.9</v>
      </c>
      <c r="P74" s="80">
        <f t="shared" si="28"/>
        <v>71695.25</v>
      </c>
      <c r="Q74" s="82">
        <f t="shared" si="29"/>
        <v>90880.9</v>
      </c>
      <c r="R74" s="82">
        <f t="shared" si="30"/>
        <v>0</v>
      </c>
    </row>
    <row r="75" spans="2:20" s="34" customFormat="1" ht="23.4">
      <c r="B75" s="87" t="s">
        <v>161</v>
      </c>
      <c r="C75" s="88" t="s">
        <v>162</v>
      </c>
      <c r="D75" s="89" t="s">
        <v>152</v>
      </c>
      <c r="E75" s="90">
        <v>115.5</v>
      </c>
      <c r="F75" s="91"/>
      <c r="G75" s="91"/>
      <c r="H75" s="91"/>
      <c r="I75" s="79">
        <f>SUM(G75:H75)+'BM 009'!I75</f>
        <v>115.5</v>
      </c>
      <c r="J75" s="91">
        <f t="shared" si="4"/>
        <v>0</v>
      </c>
      <c r="K75" s="94">
        <v>14.5</v>
      </c>
      <c r="L75" s="81">
        <f t="shared" si="2"/>
        <v>18.380201595000003</v>
      </c>
      <c r="M75" s="82">
        <f t="shared" si="26"/>
        <v>0</v>
      </c>
      <c r="N75" s="82">
        <f t="shared" si="27"/>
        <v>0</v>
      </c>
      <c r="O75" s="82">
        <f>N75+'BM 009'!O75</f>
        <v>2122.91</v>
      </c>
      <c r="P75" s="94">
        <f t="shared" si="28"/>
        <v>1674.75</v>
      </c>
      <c r="Q75" s="82">
        <f t="shared" si="29"/>
        <v>2122.91</v>
      </c>
      <c r="R75" s="82">
        <f t="shared" si="30"/>
        <v>0</v>
      </c>
    </row>
    <row r="76" spans="2:20" s="34" customFormat="1" ht="23.4">
      <c r="B76" s="87" t="s">
        <v>163</v>
      </c>
      <c r="C76" s="88" t="s">
        <v>164</v>
      </c>
      <c r="D76" s="89" t="s">
        <v>152</v>
      </c>
      <c r="E76" s="90">
        <v>7195.1</v>
      </c>
      <c r="F76" s="91"/>
      <c r="G76" s="91"/>
      <c r="H76" s="91"/>
      <c r="I76" s="79">
        <f>SUM(G76:H76)+'BM 009'!I76</f>
        <v>7195.1005000000005</v>
      </c>
      <c r="J76" s="91">
        <f t="shared" si="4"/>
        <v>-5.0000000010186341E-4</v>
      </c>
      <c r="K76" s="80">
        <v>14</v>
      </c>
      <c r="L76" s="81">
        <f t="shared" si="2"/>
        <v>17.746401540000001</v>
      </c>
      <c r="M76" s="82">
        <f t="shared" si="26"/>
        <v>0</v>
      </c>
      <c r="N76" s="82">
        <f t="shared" si="27"/>
        <v>0</v>
      </c>
      <c r="O76" s="82">
        <f>N76+'BM 009'!O76</f>
        <v>127687.13</v>
      </c>
      <c r="P76" s="80">
        <f t="shared" si="28"/>
        <v>100731.40000000001</v>
      </c>
      <c r="Q76" s="82">
        <f t="shared" si="29"/>
        <v>127687.13</v>
      </c>
      <c r="R76" s="82">
        <f t="shared" si="30"/>
        <v>0</v>
      </c>
    </row>
    <row r="77" spans="2:20" s="34" customFormat="1" ht="34.799999999999997">
      <c r="B77" s="87" t="s">
        <v>165</v>
      </c>
      <c r="C77" s="88" t="s">
        <v>166</v>
      </c>
      <c r="D77" s="89" t="s">
        <v>79</v>
      </c>
      <c r="E77" s="90">
        <v>415.8</v>
      </c>
      <c r="F77" s="91"/>
      <c r="G77" s="91"/>
      <c r="H77" s="91"/>
      <c r="I77" s="79">
        <f>SUM(G77:H77)+'BM 009'!I77</f>
        <v>415.80005</v>
      </c>
      <c r="J77" s="91">
        <f t="shared" si="4"/>
        <v>-4.9999999987448973E-5</v>
      </c>
      <c r="K77" s="80">
        <v>120</v>
      </c>
      <c r="L77" s="81">
        <f t="shared" si="2"/>
        <v>152.11201320000001</v>
      </c>
      <c r="M77" s="82">
        <f t="shared" si="26"/>
        <v>0</v>
      </c>
      <c r="N77" s="82">
        <f t="shared" si="27"/>
        <v>0</v>
      </c>
      <c r="O77" s="82">
        <f>N77+'BM 009'!O77</f>
        <v>63248.17</v>
      </c>
      <c r="P77" s="80">
        <f t="shared" si="28"/>
        <v>49896</v>
      </c>
      <c r="Q77" s="82">
        <f t="shared" si="29"/>
        <v>63248.17</v>
      </c>
      <c r="R77" s="82">
        <f t="shared" si="30"/>
        <v>0</v>
      </c>
    </row>
    <row r="78" spans="2:20" s="34" customFormat="1" ht="34.799999999999997">
      <c r="B78" s="87" t="s">
        <v>167</v>
      </c>
      <c r="C78" s="88" t="s">
        <v>168</v>
      </c>
      <c r="D78" s="89" t="s">
        <v>169</v>
      </c>
      <c r="E78" s="92">
        <v>213.07</v>
      </c>
      <c r="F78" s="91"/>
      <c r="G78" s="91"/>
      <c r="H78" s="91"/>
      <c r="I78" s="79">
        <f>SUM(G78:H78)+'BM 009'!I78</f>
        <v>213.07001051856443</v>
      </c>
      <c r="J78" s="91">
        <f t="shared" si="4"/>
        <v>-1.051856443723409E-5</v>
      </c>
      <c r="K78" s="95">
        <v>750</v>
      </c>
      <c r="L78" s="81">
        <f t="shared" si="2"/>
        <v>950.70008250000001</v>
      </c>
      <c r="M78" s="82">
        <f t="shared" si="26"/>
        <v>0</v>
      </c>
      <c r="N78" s="82">
        <f t="shared" si="27"/>
        <v>0</v>
      </c>
      <c r="O78" s="82">
        <f>N78+'BM 009'!O78</f>
        <v>202565.66</v>
      </c>
      <c r="P78" s="95">
        <f t="shared" si="28"/>
        <v>159802.5</v>
      </c>
      <c r="Q78" s="82">
        <f t="shared" si="29"/>
        <v>202565.66</v>
      </c>
      <c r="R78" s="82">
        <f t="shared" si="30"/>
        <v>0</v>
      </c>
    </row>
    <row r="79" spans="2:20" s="34" customFormat="1" ht="13.2">
      <c r="B79" s="66" t="s">
        <v>170</v>
      </c>
      <c r="C79" s="67" t="s">
        <v>171</v>
      </c>
      <c r="D79" s="68"/>
      <c r="E79" s="69"/>
      <c r="F79" s="70"/>
      <c r="G79" s="70"/>
      <c r="H79" s="70"/>
      <c r="I79" s="70">
        <f>SUM(G79:H79)+'BM 009'!I79</f>
        <v>0</v>
      </c>
      <c r="J79" s="70">
        <f t="shared" si="4"/>
        <v>0</v>
      </c>
      <c r="K79" s="71"/>
      <c r="L79" s="71">
        <f t="shared" si="2"/>
        <v>0</v>
      </c>
      <c r="M79" s="73">
        <f t="shared" ref="M79:R79" si="31">SUM(M80:M93)</f>
        <v>0</v>
      </c>
      <c r="N79" s="73">
        <f t="shared" si="31"/>
        <v>0</v>
      </c>
      <c r="O79" s="73">
        <f t="shared" si="31"/>
        <v>190571.62</v>
      </c>
      <c r="P79" s="73">
        <f t="shared" si="31"/>
        <v>150340.54999999999</v>
      </c>
      <c r="Q79" s="73">
        <f t="shared" si="31"/>
        <v>190571.62</v>
      </c>
      <c r="R79" s="73">
        <f t="shared" si="31"/>
        <v>0</v>
      </c>
    </row>
    <row r="80" spans="2:20" s="34" customFormat="1" ht="23.4">
      <c r="B80" s="87" t="s">
        <v>172</v>
      </c>
      <c r="C80" s="88" t="s">
        <v>141</v>
      </c>
      <c r="D80" s="89" t="s">
        <v>110</v>
      </c>
      <c r="E80" s="90">
        <v>268.39999999999998</v>
      </c>
      <c r="F80" s="91"/>
      <c r="G80" s="91"/>
      <c r="H80" s="91"/>
      <c r="I80" s="79">
        <f>SUM(G80:H80)+'BM 009'!I80</f>
        <v>268.39999999999998</v>
      </c>
      <c r="J80" s="91">
        <f t="shared" si="4"/>
        <v>0</v>
      </c>
      <c r="K80" s="80">
        <v>80</v>
      </c>
      <c r="L80" s="81">
        <f t="shared" si="2"/>
        <v>101.4080088</v>
      </c>
      <c r="M80" s="82">
        <f t="shared" ref="M80:M93" si="32">TRUNC(F80*L80,2)</f>
        <v>0</v>
      </c>
      <c r="N80" s="82">
        <f t="shared" ref="N80:N93" si="33">TRUNC(G80*L80,2)</f>
        <v>0</v>
      </c>
      <c r="O80" s="82">
        <f>N80+'BM 009'!O80</f>
        <v>27217.9</v>
      </c>
      <c r="P80" s="80">
        <f t="shared" ref="P80:P93" si="34">E80*K80</f>
        <v>21472</v>
      </c>
      <c r="Q80" s="82">
        <f t="shared" ref="Q80:Q93" si="35">TRUNC(E80*L80,2)</f>
        <v>27217.9</v>
      </c>
      <c r="R80" s="82">
        <f t="shared" ref="R80:R93" si="36">Q80-O80</f>
        <v>0</v>
      </c>
    </row>
    <row r="81" spans="2:21" s="34" customFormat="1" ht="23.4">
      <c r="B81" s="87" t="s">
        <v>173</v>
      </c>
      <c r="C81" s="88" t="s">
        <v>145</v>
      </c>
      <c r="D81" s="89" t="s">
        <v>110</v>
      </c>
      <c r="E81" s="92">
        <v>111.1</v>
      </c>
      <c r="F81" s="91"/>
      <c r="G81" s="91"/>
      <c r="H81" s="91"/>
      <c r="I81" s="79">
        <f>SUM(G81:H81)+'BM 009'!I81</f>
        <v>111.10031555693061</v>
      </c>
      <c r="J81" s="91">
        <f t="shared" si="4"/>
        <v>-3.1555693061591228E-4</v>
      </c>
      <c r="K81" s="80">
        <v>25</v>
      </c>
      <c r="L81" s="81">
        <f t="shared" si="2"/>
        <v>31.690002750000001</v>
      </c>
      <c r="M81" s="82">
        <f t="shared" si="32"/>
        <v>0</v>
      </c>
      <c r="N81" s="82">
        <f t="shared" si="33"/>
        <v>0</v>
      </c>
      <c r="O81" s="82">
        <f>N81+'BM 009'!O81</f>
        <v>3520.75</v>
      </c>
      <c r="P81" s="80">
        <f t="shared" si="34"/>
        <v>2777.5</v>
      </c>
      <c r="Q81" s="82">
        <f t="shared" si="35"/>
        <v>3520.75</v>
      </c>
      <c r="R81" s="82">
        <f t="shared" si="36"/>
        <v>0</v>
      </c>
      <c r="T81" s="83"/>
    </row>
    <row r="82" spans="2:21" s="34" customFormat="1" ht="46.2">
      <c r="B82" s="87" t="s">
        <v>174</v>
      </c>
      <c r="C82" s="88" t="s">
        <v>126</v>
      </c>
      <c r="D82" s="89" t="s">
        <v>110</v>
      </c>
      <c r="E82" s="92">
        <v>268.39999999999998</v>
      </c>
      <c r="F82" s="91"/>
      <c r="G82" s="91"/>
      <c r="H82" s="91"/>
      <c r="I82" s="79">
        <f>SUM(G82:H82)+'BM 009'!I82</f>
        <v>268.39999999999998</v>
      </c>
      <c r="J82" s="91">
        <f t="shared" si="4"/>
        <v>0</v>
      </c>
      <c r="K82" s="80">
        <v>10</v>
      </c>
      <c r="L82" s="81">
        <f t="shared" si="2"/>
        <v>12.676001100000001</v>
      </c>
      <c r="M82" s="82">
        <f t="shared" si="32"/>
        <v>0</v>
      </c>
      <c r="N82" s="82">
        <f t="shared" si="33"/>
        <v>0</v>
      </c>
      <c r="O82" s="82">
        <f>N82+'BM 009'!O82</f>
        <v>3402.2299999999996</v>
      </c>
      <c r="P82" s="80">
        <f t="shared" si="34"/>
        <v>2684</v>
      </c>
      <c r="Q82" s="82">
        <f t="shared" si="35"/>
        <v>3402.23</v>
      </c>
      <c r="R82" s="82">
        <f t="shared" si="36"/>
        <v>0</v>
      </c>
    </row>
    <row r="83" spans="2:21" s="34" customFormat="1" ht="34.799999999999997">
      <c r="B83" s="87" t="s">
        <v>175</v>
      </c>
      <c r="C83" s="88" t="s">
        <v>128</v>
      </c>
      <c r="D83" s="89" t="s">
        <v>113</v>
      </c>
      <c r="E83" s="90">
        <f>E82*30</f>
        <v>8051.9999999999991</v>
      </c>
      <c r="F83" s="91"/>
      <c r="G83" s="91"/>
      <c r="H83" s="91"/>
      <c r="I83" s="79">
        <f>SUM(G83:H83)+'BM 009'!I83</f>
        <v>8052.0026296410897</v>
      </c>
      <c r="J83" s="91">
        <f t="shared" si="4"/>
        <v>-2.6296410906070378E-3</v>
      </c>
      <c r="K83" s="80">
        <v>3</v>
      </c>
      <c r="L83" s="81">
        <f t="shared" si="2"/>
        <v>3.8028003300000002</v>
      </c>
      <c r="M83" s="82">
        <f t="shared" si="32"/>
        <v>0</v>
      </c>
      <c r="N83" s="82">
        <f t="shared" si="33"/>
        <v>0</v>
      </c>
      <c r="O83" s="82">
        <f>N83+'BM 009'!O83</f>
        <v>30620.140000000003</v>
      </c>
      <c r="P83" s="80">
        <f t="shared" si="34"/>
        <v>24155.999999999996</v>
      </c>
      <c r="Q83" s="82">
        <f t="shared" si="35"/>
        <v>30620.14</v>
      </c>
      <c r="R83" s="82">
        <f t="shared" si="36"/>
        <v>0</v>
      </c>
      <c r="T83" s="83"/>
    </row>
    <row r="84" spans="2:21" s="34" customFormat="1" ht="34.799999999999997">
      <c r="B84" s="87" t="s">
        <v>176</v>
      </c>
      <c r="C84" s="88" t="s">
        <v>177</v>
      </c>
      <c r="D84" s="89" t="s">
        <v>79</v>
      </c>
      <c r="E84" s="90">
        <v>243.1</v>
      </c>
      <c r="F84" s="91"/>
      <c r="G84" s="91"/>
      <c r="H84" s="91"/>
      <c r="I84" s="79">
        <f>SUM(G84:H84)+'BM 009'!I84</f>
        <v>243.10022539780761</v>
      </c>
      <c r="J84" s="91">
        <f t="shared" si="4"/>
        <v>-2.2539780761121619E-4</v>
      </c>
      <c r="K84" s="80">
        <v>35</v>
      </c>
      <c r="L84" s="81">
        <f t="shared" si="2"/>
        <v>44.366003849999998</v>
      </c>
      <c r="M84" s="82">
        <f t="shared" si="32"/>
        <v>0</v>
      </c>
      <c r="N84" s="82">
        <f t="shared" si="33"/>
        <v>0</v>
      </c>
      <c r="O84" s="82">
        <f>N84+'BM 009'!O84</f>
        <v>10785.369999999999</v>
      </c>
      <c r="P84" s="80">
        <f t="shared" si="34"/>
        <v>8508.5</v>
      </c>
      <c r="Q84" s="82">
        <f t="shared" si="35"/>
        <v>10785.37</v>
      </c>
      <c r="R84" s="82">
        <f t="shared" si="36"/>
        <v>0</v>
      </c>
      <c r="T84" s="83"/>
    </row>
    <row r="85" spans="2:21" s="34" customFormat="1" ht="23.4">
      <c r="B85" s="87" t="s">
        <v>178</v>
      </c>
      <c r="C85" s="88" t="s">
        <v>151</v>
      </c>
      <c r="D85" s="89" t="s">
        <v>152</v>
      </c>
      <c r="E85" s="90">
        <v>185.9</v>
      </c>
      <c r="F85" s="91"/>
      <c r="G85" s="91"/>
      <c r="H85" s="91"/>
      <c r="I85" s="79">
        <f>SUM(G85:H85)+'BM 009'!I85</f>
        <v>185.9</v>
      </c>
      <c r="J85" s="91">
        <f t="shared" si="4"/>
        <v>0</v>
      </c>
      <c r="K85" s="80">
        <v>20</v>
      </c>
      <c r="L85" s="81">
        <f t="shared" si="2"/>
        <v>25.352002200000001</v>
      </c>
      <c r="M85" s="82">
        <f t="shared" si="32"/>
        <v>0</v>
      </c>
      <c r="N85" s="82">
        <f t="shared" si="33"/>
        <v>0</v>
      </c>
      <c r="O85" s="82">
        <f>N85+'BM 009'!O85</f>
        <v>4712.93</v>
      </c>
      <c r="P85" s="80">
        <f t="shared" si="34"/>
        <v>3718</v>
      </c>
      <c r="Q85" s="82">
        <f t="shared" si="35"/>
        <v>4712.93</v>
      </c>
      <c r="R85" s="82">
        <f t="shared" si="36"/>
        <v>0</v>
      </c>
    </row>
    <row r="86" spans="2:21" s="34" customFormat="1" ht="23.4">
      <c r="B86" s="87" t="s">
        <v>179</v>
      </c>
      <c r="C86" s="88" t="s">
        <v>180</v>
      </c>
      <c r="D86" s="89" t="s">
        <v>152</v>
      </c>
      <c r="E86" s="90">
        <v>199.1</v>
      </c>
      <c r="F86" s="91"/>
      <c r="G86" s="91"/>
      <c r="H86" s="91"/>
      <c r="I86" s="79">
        <f>SUM(G86:H86)+'BM 009'!I86</f>
        <v>199.1</v>
      </c>
      <c r="J86" s="91">
        <f t="shared" si="4"/>
        <v>0</v>
      </c>
      <c r="K86" s="80">
        <v>19</v>
      </c>
      <c r="L86" s="81">
        <f t="shared" si="2"/>
        <v>24.084402090000001</v>
      </c>
      <c r="M86" s="82">
        <f t="shared" si="32"/>
        <v>0</v>
      </c>
      <c r="N86" s="82">
        <f t="shared" si="33"/>
        <v>0</v>
      </c>
      <c r="O86" s="82">
        <f>N86+'BM 009'!O86</f>
        <v>4795.2</v>
      </c>
      <c r="P86" s="80">
        <f t="shared" si="34"/>
        <v>3782.9</v>
      </c>
      <c r="Q86" s="82">
        <f t="shared" si="35"/>
        <v>4795.2</v>
      </c>
      <c r="R86" s="82">
        <f t="shared" si="36"/>
        <v>0</v>
      </c>
    </row>
    <row r="87" spans="2:21" s="34" customFormat="1" ht="23.4">
      <c r="B87" s="87" t="s">
        <v>181</v>
      </c>
      <c r="C87" s="88" t="s">
        <v>156</v>
      </c>
      <c r="D87" s="89" t="s">
        <v>152</v>
      </c>
      <c r="E87" s="90">
        <v>378.4</v>
      </c>
      <c r="F87" s="91"/>
      <c r="G87" s="91"/>
      <c r="H87" s="91"/>
      <c r="I87" s="79">
        <f>SUM(G87:H87)+'BM 009'!I87</f>
        <v>378.4</v>
      </c>
      <c r="J87" s="91">
        <f t="shared" si="4"/>
        <v>0</v>
      </c>
      <c r="K87" s="80">
        <v>17.5</v>
      </c>
      <c r="L87" s="81">
        <f t="shared" si="2"/>
        <v>22.183001924999999</v>
      </c>
      <c r="M87" s="82">
        <f t="shared" si="32"/>
        <v>0</v>
      </c>
      <c r="N87" s="82">
        <f t="shared" si="33"/>
        <v>0</v>
      </c>
      <c r="O87" s="82">
        <f>N87+'BM 009'!O87</f>
        <v>8394.0400000000009</v>
      </c>
      <c r="P87" s="80">
        <f t="shared" si="34"/>
        <v>6622</v>
      </c>
      <c r="Q87" s="82">
        <f t="shared" si="35"/>
        <v>8394.0400000000009</v>
      </c>
      <c r="R87" s="82">
        <f t="shared" si="36"/>
        <v>0</v>
      </c>
    </row>
    <row r="88" spans="2:21" s="34" customFormat="1" ht="23.4">
      <c r="B88" s="87" t="s">
        <v>182</v>
      </c>
      <c r="C88" s="88" t="s">
        <v>158</v>
      </c>
      <c r="D88" s="89" t="s">
        <v>152</v>
      </c>
      <c r="E88" s="90">
        <v>445.5</v>
      </c>
      <c r="F88" s="91"/>
      <c r="G88" s="91"/>
      <c r="H88" s="91"/>
      <c r="I88" s="79">
        <f>SUM(G88:H88)+'BM 009'!I88</f>
        <v>445.50009999999997</v>
      </c>
      <c r="J88" s="91">
        <f t="shared" si="4"/>
        <v>-9.9999999974897946E-5</v>
      </c>
      <c r="K88" s="80">
        <v>16</v>
      </c>
      <c r="L88" s="81">
        <f t="shared" si="2"/>
        <v>20.281601760000001</v>
      </c>
      <c r="M88" s="82">
        <f t="shared" si="32"/>
        <v>0</v>
      </c>
      <c r="N88" s="82">
        <f t="shared" si="33"/>
        <v>0</v>
      </c>
      <c r="O88" s="82">
        <f>N88+'BM 009'!O88</f>
        <v>9035.4500000000007</v>
      </c>
      <c r="P88" s="80">
        <f t="shared" si="34"/>
        <v>7128</v>
      </c>
      <c r="Q88" s="82">
        <f t="shared" si="35"/>
        <v>9035.4500000000007</v>
      </c>
      <c r="R88" s="82">
        <f t="shared" si="36"/>
        <v>0</v>
      </c>
    </row>
    <row r="89" spans="2:21" s="34" customFormat="1" ht="23.4">
      <c r="B89" s="87" t="s">
        <v>183</v>
      </c>
      <c r="C89" s="88" t="s">
        <v>160</v>
      </c>
      <c r="D89" s="89" t="s">
        <v>152</v>
      </c>
      <c r="E89" s="90">
        <v>177.1</v>
      </c>
      <c r="F89" s="91"/>
      <c r="G89" s="91"/>
      <c r="H89" s="91"/>
      <c r="I89" s="79">
        <f>SUM(G89:H89)+'BM 009'!I89</f>
        <v>177.1</v>
      </c>
      <c r="J89" s="91">
        <f t="shared" si="4"/>
        <v>0</v>
      </c>
      <c r="K89" s="80">
        <v>14.5</v>
      </c>
      <c r="L89" s="81">
        <f t="shared" si="2"/>
        <v>18.380201595000003</v>
      </c>
      <c r="M89" s="82">
        <f t="shared" si="32"/>
        <v>0</v>
      </c>
      <c r="N89" s="82">
        <f t="shared" si="33"/>
        <v>0</v>
      </c>
      <c r="O89" s="82">
        <f>N89+'BM 009'!O89</f>
        <v>3255.13</v>
      </c>
      <c r="P89" s="80">
        <f t="shared" si="34"/>
        <v>2567.9499999999998</v>
      </c>
      <c r="Q89" s="82">
        <f t="shared" si="35"/>
        <v>3255.13</v>
      </c>
      <c r="R89" s="82">
        <f t="shared" si="36"/>
        <v>0</v>
      </c>
    </row>
    <row r="90" spans="2:21" s="34" customFormat="1" ht="23.4">
      <c r="B90" s="87" t="s">
        <v>184</v>
      </c>
      <c r="C90" s="88" t="s">
        <v>162</v>
      </c>
      <c r="D90" s="89" t="s">
        <v>152</v>
      </c>
      <c r="E90" s="90">
        <v>61.6</v>
      </c>
      <c r="F90" s="91"/>
      <c r="G90" s="91"/>
      <c r="H90" s="91"/>
      <c r="I90" s="79">
        <f>SUM(G90:H90)+'BM 009'!I90</f>
        <v>61.6</v>
      </c>
      <c r="J90" s="91">
        <f t="shared" si="4"/>
        <v>0</v>
      </c>
      <c r="K90" s="94">
        <v>14.5</v>
      </c>
      <c r="L90" s="81">
        <f t="shared" si="2"/>
        <v>18.380201595000003</v>
      </c>
      <c r="M90" s="82">
        <f t="shared" si="32"/>
        <v>0</v>
      </c>
      <c r="N90" s="82">
        <f t="shared" si="33"/>
        <v>0</v>
      </c>
      <c r="O90" s="82">
        <f>N90+'BM 009'!O90</f>
        <v>1132.22</v>
      </c>
      <c r="P90" s="80">
        <f t="shared" si="34"/>
        <v>893.2</v>
      </c>
      <c r="Q90" s="82">
        <f t="shared" si="35"/>
        <v>1132.22</v>
      </c>
      <c r="R90" s="82">
        <f t="shared" si="36"/>
        <v>0</v>
      </c>
    </row>
    <row r="91" spans="2:21" s="34" customFormat="1" ht="34.799999999999997">
      <c r="B91" s="87" t="s">
        <v>185</v>
      </c>
      <c r="C91" s="88" t="s">
        <v>186</v>
      </c>
      <c r="D91" s="89" t="s">
        <v>79</v>
      </c>
      <c r="E91" s="90">
        <v>299.2</v>
      </c>
      <c r="F91" s="91"/>
      <c r="G91" s="91"/>
      <c r="H91" s="91"/>
      <c r="I91" s="79">
        <f>SUM(G91:H91)+'BM 009'!I91</f>
        <v>299.20005634945187</v>
      </c>
      <c r="J91" s="91">
        <f t="shared" si="4"/>
        <v>-5.6349451881487767E-5</v>
      </c>
      <c r="K91" s="80">
        <v>140</v>
      </c>
      <c r="L91" s="81">
        <f t="shared" si="2"/>
        <v>177.46401539999999</v>
      </c>
      <c r="M91" s="82">
        <f t="shared" si="32"/>
        <v>0</v>
      </c>
      <c r="N91" s="82">
        <f t="shared" si="33"/>
        <v>0</v>
      </c>
      <c r="O91" s="82">
        <f>N91+'BM 009'!O91</f>
        <v>53097.229999999996</v>
      </c>
      <c r="P91" s="80">
        <f t="shared" si="34"/>
        <v>41888</v>
      </c>
      <c r="Q91" s="82">
        <f t="shared" si="35"/>
        <v>53097.23</v>
      </c>
      <c r="R91" s="82">
        <f t="shared" si="36"/>
        <v>0</v>
      </c>
      <c r="T91" s="83"/>
      <c r="U91" s="83"/>
    </row>
    <row r="92" spans="2:21" s="34" customFormat="1" ht="23.4">
      <c r="B92" s="87" t="s">
        <v>187</v>
      </c>
      <c r="C92" s="88" t="s">
        <v>188</v>
      </c>
      <c r="D92" s="89" t="s">
        <v>169</v>
      </c>
      <c r="E92" s="92">
        <v>22.99</v>
      </c>
      <c r="F92" s="91"/>
      <c r="G92" s="91"/>
      <c r="H92" s="91"/>
      <c r="I92" s="79">
        <f>SUM(G92:H92)+'BM 009'!I92</f>
        <v>22.990010518564347</v>
      </c>
      <c r="J92" s="91">
        <f t="shared" si="4"/>
        <v>-1.0518564348416248E-5</v>
      </c>
      <c r="K92" s="95">
        <v>750</v>
      </c>
      <c r="L92" s="81">
        <f t="shared" si="2"/>
        <v>950.70008250000001</v>
      </c>
      <c r="M92" s="82">
        <f t="shared" si="32"/>
        <v>0</v>
      </c>
      <c r="N92" s="82">
        <f t="shared" si="33"/>
        <v>0</v>
      </c>
      <c r="O92" s="82">
        <f>N92+'BM 009'!O92</f>
        <v>21856.59</v>
      </c>
      <c r="P92" s="80">
        <f t="shared" si="34"/>
        <v>17242.5</v>
      </c>
      <c r="Q92" s="82">
        <f t="shared" si="35"/>
        <v>21856.59</v>
      </c>
      <c r="R92" s="82">
        <f t="shared" si="36"/>
        <v>0</v>
      </c>
      <c r="T92" s="83"/>
      <c r="U92" s="83"/>
    </row>
    <row r="93" spans="2:21" s="34" customFormat="1" ht="23.4">
      <c r="B93" s="87" t="s">
        <v>189</v>
      </c>
      <c r="C93" s="88" t="s">
        <v>190</v>
      </c>
      <c r="D93" s="89" t="s">
        <v>63</v>
      </c>
      <c r="E93" s="92">
        <v>230</v>
      </c>
      <c r="F93" s="91"/>
      <c r="G93" s="91"/>
      <c r="H93" s="91"/>
      <c r="I93" s="79">
        <f>SUM(G93:H93)+'BM 009'!I93</f>
        <v>230.00026296410891</v>
      </c>
      <c r="J93" s="91">
        <f t="shared" si="4"/>
        <v>-2.6296410891291089E-4</v>
      </c>
      <c r="K93" s="80">
        <v>30</v>
      </c>
      <c r="L93" s="81">
        <f t="shared" ref="L93:L156" si="37">K93*(1+$T$26)</f>
        <v>38.028003300000002</v>
      </c>
      <c r="M93" s="82">
        <f t="shared" si="32"/>
        <v>0</v>
      </c>
      <c r="N93" s="82">
        <f t="shared" si="33"/>
        <v>0</v>
      </c>
      <c r="O93" s="82">
        <f>N93+'BM 009'!O93</f>
        <v>8746.44</v>
      </c>
      <c r="P93" s="80">
        <f t="shared" si="34"/>
        <v>6900</v>
      </c>
      <c r="Q93" s="82">
        <f t="shared" si="35"/>
        <v>8746.44</v>
      </c>
      <c r="R93" s="82">
        <f t="shared" si="36"/>
        <v>0</v>
      </c>
      <c r="T93" s="83"/>
      <c r="U93" s="83"/>
    </row>
    <row r="94" spans="2:21" s="34" customFormat="1" ht="13.2">
      <c r="B94" s="60" t="s">
        <v>191</v>
      </c>
      <c r="C94" s="61" t="s">
        <v>192</v>
      </c>
      <c r="D94" s="60"/>
      <c r="E94" s="62"/>
      <c r="F94" s="63"/>
      <c r="G94" s="63"/>
      <c r="H94" s="63"/>
      <c r="I94" s="63">
        <f>SUM(G94:H94)+'BM 009'!I94</f>
        <v>0</v>
      </c>
      <c r="J94" s="63">
        <f t="shared" si="4"/>
        <v>0</v>
      </c>
      <c r="K94" s="63"/>
      <c r="L94" s="63">
        <f t="shared" si="37"/>
        <v>0</v>
      </c>
      <c r="M94" s="63">
        <f t="shared" ref="M94:R94" si="38">SUM(M95,M107,M120)</f>
        <v>475286.52999999997</v>
      </c>
      <c r="N94" s="63">
        <f t="shared" si="38"/>
        <v>475286.52999999997</v>
      </c>
      <c r="O94" s="63">
        <f t="shared" si="38"/>
        <v>4232481.33</v>
      </c>
      <c r="P94" s="63">
        <f t="shared" si="38"/>
        <v>4541959.5</v>
      </c>
      <c r="Q94" s="63">
        <f t="shared" si="38"/>
        <v>5757388.21</v>
      </c>
      <c r="R94" s="63">
        <f t="shared" si="38"/>
        <v>1524906.88</v>
      </c>
    </row>
    <row r="95" spans="2:21" s="34" customFormat="1" ht="13.2">
      <c r="B95" s="66" t="s">
        <v>193</v>
      </c>
      <c r="C95" s="67" t="s">
        <v>194</v>
      </c>
      <c r="D95" s="68"/>
      <c r="E95" s="69"/>
      <c r="F95" s="70"/>
      <c r="G95" s="70"/>
      <c r="H95" s="70"/>
      <c r="I95" s="70">
        <f>SUM(G95:H95)+'BM 009'!I95</f>
        <v>0</v>
      </c>
      <c r="J95" s="70">
        <f t="shared" ref="J95:J158" si="39">E95-I95</f>
        <v>0</v>
      </c>
      <c r="K95" s="71"/>
      <c r="L95" s="71">
        <f t="shared" si="37"/>
        <v>0</v>
      </c>
      <c r="M95" s="73">
        <f t="shared" ref="M95:R95" si="40">SUM(M96:M106)</f>
        <v>143578.44999999998</v>
      </c>
      <c r="N95" s="73">
        <f t="shared" si="40"/>
        <v>143578.44999999998</v>
      </c>
      <c r="O95" s="73">
        <f t="shared" si="40"/>
        <v>1147142.94</v>
      </c>
      <c r="P95" s="73">
        <f t="shared" si="40"/>
        <v>1372038.75</v>
      </c>
      <c r="Q95" s="73">
        <f t="shared" si="40"/>
        <v>1739196.42</v>
      </c>
      <c r="R95" s="73">
        <f t="shared" si="40"/>
        <v>592053.48000000021</v>
      </c>
      <c r="T95" s="83"/>
    </row>
    <row r="96" spans="2:21" s="34" customFormat="1" ht="34.799999999999997">
      <c r="B96" s="87" t="s">
        <v>195</v>
      </c>
      <c r="C96" s="88" t="s">
        <v>196</v>
      </c>
      <c r="D96" s="89" t="s">
        <v>79</v>
      </c>
      <c r="E96" s="92">
        <v>3575</v>
      </c>
      <c r="F96" s="91">
        <f>0.63*E96-1966.25</f>
        <v>286</v>
      </c>
      <c r="G96" s="91">
        <f t="shared" ref="G96:G106" si="41">F96</f>
        <v>286</v>
      </c>
      <c r="H96" s="91"/>
      <c r="I96" s="79">
        <f>SUM(G96:H96)+'BM 009'!I96</f>
        <v>2252.25</v>
      </c>
      <c r="J96" s="91">
        <f t="shared" si="39"/>
        <v>1322.75</v>
      </c>
      <c r="K96" s="80">
        <v>130</v>
      </c>
      <c r="L96" s="81">
        <f t="shared" si="37"/>
        <v>164.78801430000001</v>
      </c>
      <c r="M96" s="82">
        <f t="shared" ref="M96:M106" si="42">TRUNC(F96*L96,2)</f>
        <v>47129.37</v>
      </c>
      <c r="N96" s="82">
        <f t="shared" ref="N96:N106" si="43">TRUNC(G96*L96,2)</f>
        <v>47129.37</v>
      </c>
      <c r="O96" s="82">
        <f>N96+'BM 009'!O96</f>
        <v>371143.77999999997</v>
      </c>
      <c r="P96" s="80">
        <f t="shared" ref="P96:P106" si="44">E96*K96</f>
        <v>464750</v>
      </c>
      <c r="Q96" s="82">
        <f t="shared" ref="Q96:Q106" si="45">TRUNC(E96*L96,2)</f>
        <v>589117.15</v>
      </c>
      <c r="R96" s="82">
        <f t="shared" ref="R96:R106" si="46">Q96-O96</f>
        <v>217973.37000000005</v>
      </c>
      <c r="T96" s="83"/>
    </row>
    <row r="97" spans="2:20" s="34" customFormat="1" ht="46.2">
      <c r="B97" s="87" t="s">
        <v>197</v>
      </c>
      <c r="C97" s="88" t="s">
        <v>198</v>
      </c>
      <c r="D97" s="89" t="s">
        <v>152</v>
      </c>
      <c r="E97" s="90">
        <v>2130.6999999999998</v>
      </c>
      <c r="F97" s="91">
        <f>'M.C. MED. 10'!K524</f>
        <v>201.58</v>
      </c>
      <c r="G97" s="91">
        <f t="shared" si="41"/>
        <v>201.58</v>
      </c>
      <c r="H97" s="91"/>
      <c r="I97" s="79">
        <f>SUM(G97:H97)+'BM 009'!I97</f>
        <v>1178.99</v>
      </c>
      <c r="J97" s="91">
        <f t="shared" si="39"/>
        <v>951.70999999999981</v>
      </c>
      <c r="K97" s="80">
        <v>20</v>
      </c>
      <c r="L97" s="81">
        <f t="shared" si="37"/>
        <v>25.352002200000001</v>
      </c>
      <c r="M97" s="82">
        <f t="shared" si="42"/>
        <v>5110.45</v>
      </c>
      <c r="N97" s="82">
        <f t="shared" si="43"/>
        <v>5110.45</v>
      </c>
      <c r="O97" s="82">
        <f>N97+'BM 009'!O97</f>
        <v>29889.72</v>
      </c>
      <c r="P97" s="80">
        <f t="shared" si="44"/>
        <v>42614</v>
      </c>
      <c r="Q97" s="82">
        <f t="shared" si="45"/>
        <v>54017.51</v>
      </c>
      <c r="R97" s="82">
        <f t="shared" si="46"/>
        <v>24127.79</v>
      </c>
    </row>
    <row r="98" spans="2:20" s="34" customFormat="1" ht="46.2">
      <c r="B98" s="87" t="s">
        <v>199</v>
      </c>
      <c r="C98" s="88" t="s">
        <v>200</v>
      </c>
      <c r="D98" s="89" t="s">
        <v>152</v>
      </c>
      <c r="E98" s="90">
        <v>3031.6</v>
      </c>
      <c r="F98" s="91">
        <f>'M.C. MED. 10'!K546</f>
        <v>271.92</v>
      </c>
      <c r="G98" s="91">
        <f t="shared" si="41"/>
        <v>271.92</v>
      </c>
      <c r="H98" s="91"/>
      <c r="I98" s="79">
        <f>SUM(G98:H98)+'BM 009'!I98</f>
        <v>2142.2199999999998</v>
      </c>
      <c r="J98" s="91">
        <f t="shared" si="39"/>
        <v>889.38000000000011</v>
      </c>
      <c r="K98" s="80">
        <v>19</v>
      </c>
      <c r="L98" s="81">
        <f t="shared" si="37"/>
        <v>24.084402090000001</v>
      </c>
      <c r="M98" s="82">
        <f t="shared" si="42"/>
        <v>6549.03</v>
      </c>
      <c r="N98" s="82">
        <f t="shared" si="43"/>
        <v>6549.03</v>
      </c>
      <c r="O98" s="82">
        <f>N98+'BM 009'!O98</f>
        <v>51594.06</v>
      </c>
      <c r="P98" s="80">
        <f t="shared" si="44"/>
        <v>57600.4</v>
      </c>
      <c r="Q98" s="82">
        <f t="shared" si="45"/>
        <v>73014.27</v>
      </c>
      <c r="R98" s="82">
        <f t="shared" si="46"/>
        <v>21420.210000000006</v>
      </c>
    </row>
    <row r="99" spans="2:20" s="34" customFormat="1" ht="46.2">
      <c r="B99" s="87" t="s">
        <v>201</v>
      </c>
      <c r="C99" s="88" t="s">
        <v>202</v>
      </c>
      <c r="D99" s="89" t="s">
        <v>152</v>
      </c>
      <c r="E99" s="90">
        <v>5608.9</v>
      </c>
      <c r="F99" s="91">
        <f>'M.C. MED. 10'!K569</f>
        <v>617.85</v>
      </c>
      <c r="G99" s="91">
        <f t="shared" si="41"/>
        <v>617.85</v>
      </c>
      <c r="H99" s="91"/>
      <c r="I99" s="79">
        <f>SUM(G99:H99)+'BM 009'!I99</f>
        <v>3639.81</v>
      </c>
      <c r="J99" s="91">
        <f t="shared" si="39"/>
        <v>1969.0899999999997</v>
      </c>
      <c r="K99" s="80">
        <v>17.5</v>
      </c>
      <c r="L99" s="81">
        <f t="shared" si="37"/>
        <v>22.183001924999999</v>
      </c>
      <c r="M99" s="82">
        <f t="shared" si="42"/>
        <v>13705.76</v>
      </c>
      <c r="N99" s="82">
        <f t="shared" si="43"/>
        <v>13705.76</v>
      </c>
      <c r="O99" s="82">
        <f>N99+'BM 009'!O99</f>
        <v>80741.889999999985</v>
      </c>
      <c r="P99" s="80">
        <f t="shared" si="44"/>
        <v>98155.75</v>
      </c>
      <c r="Q99" s="82">
        <f t="shared" si="45"/>
        <v>124422.23</v>
      </c>
      <c r="R99" s="82">
        <f t="shared" si="46"/>
        <v>43680.340000000011</v>
      </c>
    </row>
    <row r="100" spans="2:20" s="34" customFormat="1" ht="46.2">
      <c r="B100" s="87" t="s">
        <v>203</v>
      </c>
      <c r="C100" s="88" t="s">
        <v>204</v>
      </c>
      <c r="D100" s="89" t="s">
        <v>152</v>
      </c>
      <c r="E100" s="90">
        <v>4215.2</v>
      </c>
      <c r="F100" s="91">
        <f>'M.C. MED. 10'!K591</f>
        <v>399.75</v>
      </c>
      <c r="G100" s="91">
        <f t="shared" si="41"/>
        <v>399.75</v>
      </c>
      <c r="H100" s="91"/>
      <c r="I100" s="79">
        <f>SUM(G100:H100)+'BM 009'!I100</f>
        <v>2388.3100000000004</v>
      </c>
      <c r="J100" s="91">
        <f t="shared" si="39"/>
        <v>1826.8899999999994</v>
      </c>
      <c r="K100" s="80">
        <v>16</v>
      </c>
      <c r="L100" s="81">
        <f t="shared" si="37"/>
        <v>20.281601760000001</v>
      </c>
      <c r="M100" s="82">
        <f t="shared" si="42"/>
        <v>8107.57</v>
      </c>
      <c r="N100" s="82">
        <f t="shared" si="43"/>
        <v>8107.57</v>
      </c>
      <c r="O100" s="82">
        <f>N100+'BM 009'!O100</f>
        <v>48438.73</v>
      </c>
      <c r="P100" s="80">
        <f t="shared" si="44"/>
        <v>67443.199999999997</v>
      </c>
      <c r="Q100" s="82">
        <f t="shared" si="45"/>
        <v>85491</v>
      </c>
      <c r="R100" s="82">
        <f t="shared" si="46"/>
        <v>37052.269999999997</v>
      </c>
    </row>
    <row r="101" spans="2:20" s="34" customFormat="1" ht="46.2">
      <c r="B101" s="87" t="s">
        <v>205</v>
      </c>
      <c r="C101" s="88" t="s">
        <v>206</v>
      </c>
      <c r="D101" s="89" t="s">
        <v>152</v>
      </c>
      <c r="E101" s="90">
        <v>3267</v>
      </c>
      <c r="F101" s="91">
        <f>'M.C. MED. 10'!K615</f>
        <v>225.63</v>
      </c>
      <c r="G101" s="91">
        <f t="shared" si="41"/>
        <v>225.63</v>
      </c>
      <c r="H101" s="91"/>
      <c r="I101" s="79">
        <f>SUM(G101:H101)+'BM 009'!I101</f>
        <v>3266.9700000000003</v>
      </c>
      <c r="J101" s="91">
        <f t="shared" si="39"/>
        <v>2.9999999999745341E-2</v>
      </c>
      <c r="K101" s="80">
        <v>14.5</v>
      </c>
      <c r="L101" s="81">
        <f t="shared" si="37"/>
        <v>18.380201595000003</v>
      </c>
      <c r="M101" s="82">
        <f t="shared" si="42"/>
        <v>4147.12</v>
      </c>
      <c r="N101" s="82">
        <f t="shared" si="43"/>
        <v>4147.12</v>
      </c>
      <c r="O101" s="82">
        <f>N101+'BM 009'!O101</f>
        <v>60047.530000000006</v>
      </c>
      <c r="P101" s="80">
        <f t="shared" si="44"/>
        <v>47371.5</v>
      </c>
      <c r="Q101" s="82">
        <f t="shared" si="45"/>
        <v>60048.11</v>
      </c>
      <c r="R101" s="82">
        <f t="shared" si="46"/>
        <v>0.57999999999447027</v>
      </c>
      <c r="T101" s="96"/>
    </row>
    <row r="102" spans="2:20" s="34" customFormat="1" ht="46.2">
      <c r="B102" s="87" t="s">
        <v>207</v>
      </c>
      <c r="C102" s="88" t="s">
        <v>208</v>
      </c>
      <c r="D102" s="89" t="s">
        <v>152</v>
      </c>
      <c r="E102" s="90">
        <v>8421.6</v>
      </c>
      <c r="F102" s="91">
        <f>'M.C. MED. 10'!K637</f>
        <v>854.01</v>
      </c>
      <c r="G102" s="91">
        <f t="shared" si="41"/>
        <v>854.01</v>
      </c>
      <c r="H102" s="91"/>
      <c r="I102" s="79">
        <f>SUM(G102:H102)+'BM 009'!I102</f>
        <v>5148.3599999999997</v>
      </c>
      <c r="J102" s="91">
        <f t="shared" si="39"/>
        <v>3273.2400000000007</v>
      </c>
      <c r="K102" s="94">
        <v>14.5</v>
      </c>
      <c r="L102" s="81">
        <f t="shared" si="37"/>
        <v>18.380201595000003</v>
      </c>
      <c r="M102" s="82">
        <f t="shared" si="42"/>
        <v>15696.87</v>
      </c>
      <c r="N102" s="82">
        <f t="shared" si="43"/>
        <v>15696.87</v>
      </c>
      <c r="O102" s="82">
        <f>N102+'BM 009'!O102</f>
        <v>94627.86</v>
      </c>
      <c r="P102" s="80">
        <f t="shared" si="44"/>
        <v>122113.20000000001</v>
      </c>
      <c r="Q102" s="82">
        <f t="shared" si="45"/>
        <v>154790.70000000001</v>
      </c>
      <c r="R102" s="82">
        <f t="shared" si="46"/>
        <v>60162.840000000011</v>
      </c>
      <c r="T102" s="96"/>
    </row>
    <row r="103" spans="2:20" s="34" customFormat="1" ht="46.2">
      <c r="B103" s="87" t="s">
        <v>209</v>
      </c>
      <c r="C103" s="88" t="s">
        <v>210</v>
      </c>
      <c r="D103" s="89" t="s">
        <v>152</v>
      </c>
      <c r="E103" s="92">
        <v>7144.5</v>
      </c>
      <c r="F103" s="91">
        <f>'M.C. MED. 10'!K660</f>
        <v>577.78</v>
      </c>
      <c r="G103" s="91">
        <f t="shared" si="41"/>
        <v>577.78</v>
      </c>
      <c r="H103" s="91"/>
      <c r="I103" s="79">
        <f>SUM(G103:H103)+'BM 009'!I103</f>
        <v>5183.75</v>
      </c>
      <c r="J103" s="91">
        <f t="shared" si="39"/>
        <v>1960.75</v>
      </c>
      <c r="K103" s="80">
        <v>14</v>
      </c>
      <c r="L103" s="81">
        <f t="shared" si="37"/>
        <v>17.746401540000001</v>
      </c>
      <c r="M103" s="82">
        <f t="shared" si="42"/>
        <v>10253.51</v>
      </c>
      <c r="N103" s="82">
        <f t="shared" si="43"/>
        <v>10253.51</v>
      </c>
      <c r="O103" s="82">
        <f>N103+'BM 009'!O103</f>
        <v>91992.87</v>
      </c>
      <c r="P103" s="80">
        <f t="shared" si="44"/>
        <v>100023</v>
      </c>
      <c r="Q103" s="82">
        <f t="shared" si="45"/>
        <v>126789.16</v>
      </c>
      <c r="R103" s="82">
        <f t="shared" si="46"/>
        <v>34796.290000000008</v>
      </c>
      <c r="T103" s="96"/>
    </row>
    <row r="104" spans="2:20" s="34" customFormat="1" ht="46.2">
      <c r="B104" s="87" t="s">
        <v>211</v>
      </c>
      <c r="C104" s="88" t="s">
        <v>212</v>
      </c>
      <c r="D104" s="89" t="s">
        <v>152</v>
      </c>
      <c r="E104" s="92">
        <v>6531.8</v>
      </c>
      <c r="F104" s="91">
        <f>'M.C. MED. 10'!K683</f>
        <v>402.63</v>
      </c>
      <c r="G104" s="91">
        <f t="shared" si="41"/>
        <v>402.63</v>
      </c>
      <c r="H104" s="91"/>
      <c r="I104" s="79">
        <f>SUM(G104:H104)+'BM 009'!I104</f>
        <v>5391.08</v>
      </c>
      <c r="J104" s="91">
        <f t="shared" si="39"/>
        <v>1140.7200000000003</v>
      </c>
      <c r="K104" s="95">
        <v>14</v>
      </c>
      <c r="L104" s="81">
        <f t="shared" si="37"/>
        <v>17.746401540000001</v>
      </c>
      <c r="M104" s="82">
        <f t="shared" si="42"/>
        <v>7145.23</v>
      </c>
      <c r="N104" s="82">
        <f t="shared" si="43"/>
        <v>7145.23</v>
      </c>
      <c r="O104" s="82">
        <f>N104+'BM 009'!O104</f>
        <v>95672.24</v>
      </c>
      <c r="P104" s="80">
        <f t="shared" si="44"/>
        <v>91445.2</v>
      </c>
      <c r="Q104" s="82">
        <f t="shared" si="45"/>
        <v>115915.94</v>
      </c>
      <c r="R104" s="82">
        <f t="shared" si="46"/>
        <v>20243.699999999997</v>
      </c>
      <c r="T104" s="96"/>
    </row>
    <row r="105" spans="2:20" s="34" customFormat="1" ht="23.4">
      <c r="B105" s="87" t="s">
        <v>213</v>
      </c>
      <c r="C105" s="88" t="s">
        <v>190</v>
      </c>
      <c r="D105" s="89" t="s">
        <v>63</v>
      </c>
      <c r="E105" s="92">
        <v>240</v>
      </c>
      <c r="F105" s="91">
        <f>0.63*E105-132</f>
        <v>19.199999999999989</v>
      </c>
      <c r="G105" s="91">
        <f t="shared" si="41"/>
        <v>19.199999999999989</v>
      </c>
      <c r="H105" s="91"/>
      <c r="I105" s="79">
        <f>SUM(G105:H105)+'BM 009'!I105</f>
        <v>151.19999999999999</v>
      </c>
      <c r="J105" s="91">
        <f t="shared" si="39"/>
        <v>88.800000000000011</v>
      </c>
      <c r="K105" s="80">
        <v>30</v>
      </c>
      <c r="L105" s="81">
        <f t="shared" si="37"/>
        <v>38.028003300000002</v>
      </c>
      <c r="M105" s="82">
        <f t="shared" si="42"/>
        <v>730.13</v>
      </c>
      <c r="N105" s="82">
        <f t="shared" si="43"/>
        <v>730.13</v>
      </c>
      <c r="O105" s="82">
        <f>N105+'BM 009'!O105</f>
        <v>5749.81</v>
      </c>
      <c r="P105" s="80">
        <f t="shared" si="44"/>
        <v>7200</v>
      </c>
      <c r="Q105" s="82">
        <f t="shared" si="45"/>
        <v>9126.7199999999993</v>
      </c>
      <c r="R105" s="82">
        <f t="shared" si="46"/>
        <v>3376.9099999999989</v>
      </c>
      <c r="T105" s="96"/>
    </row>
    <row r="106" spans="2:20" s="34" customFormat="1" ht="23.4">
      <c r="B106" s="87" t="s">
        <v>214</v>
      </c>
      <c r="C106" s="88" t="s">
        <v>215</v>
      </c>
      <c r="D106" s="89" t="s">
        <v>169</v>
      </c>
      <c r="E106" s="92">
        <v>364.43</v>
      </c>
      <c r="F106" s="91">
        <f>'M.C. MED. 10'!K853</f>
        <v>26.3</v>
      </c>
      <c r="G106" s="91">
        <f t="shared" si="41"/>
        <v>26.3</v>
      </c>
      <c r="H106" s="91"/>
      <c r="I106" s="79">
        <f>SUM(G106:H106)+'BM 009'!I106</f>
        <v>228.51000000000005</v>
      </c>
      <c r="J106" s="91">
        <f t="shared" si="39"/>
        <v>135.91999999999996</v>
      </c>
      <c r="K106" s="95">
        <v>750</v>
      </c>
      <c r="L106" s="81">
        <f t="shared" si="37"/>
        <v>950.70008250000001</v>
      </c>
      <c r="M106" s="82">
        <f t="shared" si="42"/>
        <v>25003.41</v>
      </c>
      <c r="N106" s="82">
        <f t="shared" si="43"/>
        <v>25003.41</v>
      </c>
      <c r="O106" s="82">
        <f>N106+'BM 009'!O106</f>
        <v>217244.44999999998</v>
      </c>
      <c r="P106" s="80">
        <f t="shared" si="44"/>
        <v>273322.5</v>
      </c>
      <c r="Q106" s="82">
        <f t="shared" si="45"/>
        <v>346463.63</v>
      </c>
      <c r="R106" s="82">
        <f t="shared" si="46"/>
        <v>129219.18000000002</v>
      </c>
      <c r="T106" s="96"/>
    </row>
    <row r="107" spans="2:20" s="34" customFormat="1" ht="13.2">
      <c r="B107" s="66" t="s">
        <v>216</v>
      </c>
      <c r="C107" s="67" t="s">
        <v>217</v>
      </c>
      <c r="D107" s="68"/>
      <c r="E107" s="69"/>
      <c r="F107" s="70"/>
      <c r="G107" s="70"/>
      <c r="H107" s="70"/>
      <c r="I107" s="70">
        <f>SUM(G107:H107)+'BM 009'!I107</f>
        <v>0</v>
      </c>
      <c r="J107" s="70">
        <f t="shared" si="39"/>
        <v>0</v>
      </c>
      <c r="K107" s="71"/>
      <c r="L107" s="71">
        <f t="shared" si="37"/>
        <v>0</v>
      </c>
      <c r="M107" s="73">
        <f t="shared" ref="M107:R107" si="47">SUM(M108:M119)</f>
        <v>121232.48000000001</v>
      </c>
      <c r="N107" s="73">
        <f t="shared" si="47"/>
        <v>121232.48000000001</v>
      </c>
      <c r="O107" s="73">
        <f t="shared" si="47"/>
        <v>922661.50000000012</v>
      </c>
      <c r="P107" s="73">
        <f t="shared" si="47"/>
        <v>951249.7</v>
      </c>
      <c r="Q107" s="73">
        <f t="shared" si="47"/>
        <v>1205804.17</v>
      </c>
      <c r="R107" s="73">
        <f t="shared" si="47"/>
        <v>283142.67</v>
      </c>
      <c r="T107" s="96"/>
    </row>
    <row r="108" spans="2:20" s="34" customFormat="1" ht="46.2">
      <c r="B108" s="87" t="s">
        <v>218</v>
      </c>
      <c r="C108" s="88" t="s">
        <v>219</v>
      </c>
      <c r="D108" s="89" t="s">
        <v>79</v>
      </c>
      <c r="E108" s="92">
        <v>2299</v>
      </c>
      <c r="F108" s="91">
        <f>TRUNC(0.84*E108)-1722.82</f>
        <v>208.18000000000006</v>
      </c>
      <c r="G108" s="91">
        <f t="shared" ref="G108:G119" si="48">F108</f>
        <v>208.18000000000006</v>
      </c>
      <c r="H108" s="91"/>
      <c r="I108" s="79">
        <f>SUM(G108:H108)+'BM 009'!I108</f>
        <v>1931</v>
      </c>
      <c r="J108" s="91">
        <f t="shared" si="39"/>
        <v>368</v>
      </c>
      <c r="K108" s="80">
        <v>60</v>
      </c>
      <c r="L108" s="81">
        <f t="shared" si="37"/>
        <v>76.056006600000003</v>
      </c>
      <c r="M108" s="82">
        <f t="shared" ref="M108:M119" si="49">TRUNC(F108*L108,2)</f>
        <v>15833.33</v>
      </c>
      <c r="N108" s="82">
        <f t="shared" ref="N108:N119" si="50">TRUNC(G108*L108,2)</f>
        <v>15833.33</v>
      </c>
      <c r="O108" s="82">
        <f>N108+'BM 009'!O108</f>
        <v>146864.1</v>
      </c>
      <c r="P108" s="80">
        <f t="shared" ref="P108:P119" si="51">E108*K108</f>
        <v>137940</v>
      </c>
      <c r="Q108" s="82">
        <f t="shared" ref="Q108:Q119" si="52">TRUNC(E108*L108,2)</f>
        <v>174852.75</v>
      </c>
      <c r="R108" s="82">
        <f t="shared" ref="R108:R119" si="53">Q108-O108</f>
        <v>27988.649999999994</v>
      </c>
      <c r="T108" s="96"/>
    </row>
    <row r="109" spans="2:20" s="34" customFormat="1" ht="46.2">
      <c r="B109" s="87" t="s">
        <v>220</v>
      </c>
      <c r="C109" s="88" t="s">
        <v>198</v>
      </c>
      <c r="D109" s="89" t="s">
        <v>152</v>
      </c>
      <c r="E109" s="90">
        <v>347.6</v>
      </c>
      <c r="F109" s="91">
        <f>'M.C. MED. 10'!K870</f>
        <v>61.64</v>
      </c>
      <c r="G109" s="91">
        <f t="shared" si="48"/>
        <v>61.64</v>
      </c>
      <c r="H109" s="91"/>
      <c r="I109" s="79">
        <f>SUM(G109:H109)+'BM 009'!I109</f>
        <v>274.54000000000002</v>
      </c>
      <c r="J109" s="91">
        <f t="shared" si="39"/>
        <v>73.06</v>
      </c>
      <c r="K109" s="80">
        <v>20</v>
      </c>
      <c r="L109" s="81">
        <f t="shared" si="37"/>
        <v>25.352002200000001</v>
      </c>
      <c r="M109" s="82">
        <f t="shared" si="49"/>
        <v>1562.69</v>
      </c>
      <c r="N109" s="82">
        <f t="shared" si="50"/>
        <v>1562.69</v>
      </c>
      <c r="O109" s="82">
        <f>N109+'BM 009'!O109</f>
        <v>6960.1</v>
      </c>
      <c r="P109" s="80">
        <f t="shared" si="51"/>
        <v>6952</v>
      </c>
      <c r="Q109" s="82">
        <f t="shared" si="52"/>
        <v>8812.35</v>
      </c>
      <c r="R109" s="82">
        <f t="shared" si="53"/>
        <v>1852.25</v>
      </c>
      <c r="T109" s="96"/>
    </row>
    <row r="110" spans="2:20" s="34" customFormat="1" ht="46.2">
      <c r="B110" s="87" t="s">
        <v>221</v>
      </c>
      <c r="C110" s="88" t="s">
        <v>222</v>
      </c>
      <c r="D110" s="89" t="s">
        <v>152</v>
      </c>
      <c r="E110" s="90">
        <v>3626.7</v>
      </c>
      <c r="F110" s="91">
        <f>'M.C. MED. 10'!K887</f>
        <v>161.26</v>
      </c>
      <c r="G110" s="91">
        <f t="shared" si="48"/>
        <v>161.26</v>
      </c>
      <c r="H110" s="91"/>
      <c r="I110" s="79">
        <f>SUM(G110:H110)+'BM 009'!I110</f>
        <v>2185.5700000000002</v>
      </c>
      <c r="J110" s="91">
        <f t="shared" si="39"/>
        <v>1441.1299999999997</v>
      </c>
      <c r="K110" s="80">
        <v>19</v>
      </c>
      <c r="L110" s="81">
        <f t="shared" si="37"/>
        <v>24.084402090000001</v>
      </c>
      <c r="M110" s="82">
        <f t="shared" si="49"/>
        <v>3883.85</v>
      </c>
      <c r="N110" s="82">
        <f t="shared" si="50"/>
        <v>3883.85</v>
      </c>
      <c r="O110" s="82">
        <f>N110+'BM 009'!O110</f>
        <v>52638.110000000008</v>
      </c>
      <c r="P110" s="80">
        <f t="shared" si="51"/>
        <v>68907.3</v>
      </c>
      <c r="Q110" s="82">
        <f t="shared" si="52"/>
        <v>87346.9</v>
      </c>
      <c r="R110" s="82">
        <f t="shared" si="53"/>
        <v>34708.789999999986</v>
      </c>
      <c r="T110" s="96"/>
    </row>
    <row r="111" spans="2:20" s="34" customFormat="1" ht="46.2">
      <c r="B111" s="87" t="s">
        <v>223</v>
      </c>
      <c r="C111" s="88" t="s">
        <v>202</v>
      </c>
      <c r="D111" s="89" t="s">
        <v>152</v>
      </c>
      <c r="E111" s="90">
        <v>1762.2</v>
      </c>
      <c r="F111" s="79">
        <f>'M.C. MED. 10'!K905</f>
        <v>139.9</v>
      </c>
      <c r="G111" s="91">
        <f t="shared" si="48"/>
        <v>139.9</v>
      </c>
      <c r="H111" s="91"/>
      <c r="I111" s="79">
        <f>SUM(G111:H111)+'BM 009'!I111</f>
        <v>1003.18</v>
      </c>
      <c r="J111" s="91">
        <f t="shared" si="39"/>
        <v>759.0200000000001</v>
      </c>
      <c r="K111" s="80">
        <v>17.5</v>
      </c>
      <c r="L111" s="81">
        <f t="shared" si="37"/>
        <v>22.183001924999999</v>
      </c>
      <c r="M111" s="82">
        <f t="shared" si="49"/>
        <v>3103.4</v>
      </c>
      <c r="N111" s="82">
        <f t="shared" si="50"/>
        <v>3103.4</v>
      </c>
      <c r="O111" s="82">
        <f>N111+'BM 009'!O111</f>
        <v>22253.53</v>
      </c>
      <c r="P111" s="80">
        <f t="shared" si="51"/>
        <v>30838.5</v>
      </c>
      <c r="Q111" s="82">
        <f t="shared" si="52"/>
        <v>39090.879999999997</v>
      </c>
      <c r="R111" s="82">
        <f t="shared" si="53"/>
        <v>16837.349999999999</v>
      </c>
    </row>
    <row r="112" spans="2:20" s="34" customFormat="1" ht="46.2">
      <c r="B112" s="87" t="s">
        <v>224</v>
      </c>
      <c r="C112" s="88" t="s">
        <v>204</v>
      </c>
      <c r="D112" s="89" t="s">
        <v>152</v>
      </c>
      <c r="E112" s="90">
        <v>542.29999999999995</v>
      </c>
      <c r="F112" s="79">
        <f>'M.C. MED. 10'!K922</f>
        <v>75.400000000000006</v>
      </c>
      <c r="G112" s="91">
        <f t="shared" si="48"/>
        <v>75.400000000000006</v>
      </c>
      <c r="H112" s="91"/>
      <c r="I112" s="79">
        <f>SUM(G112:H112)+'BM 009'!I112</f>
        <v>394.15999999999997</v>
      </c>
      <c r="J112" s="91">
        <f t="shared" si="39"/>
        <v>148.13999999999999</v>
      </c>
      <c r="K112" s="80">
        <v>16</v>
      </c>
      <c r="L112" s="81">
        <f t="shared" si="37"/>
        <v>20.281601760000001</v>
      </c>
      <c r="M112" s="82">
        <f t="shared" si="49"/>
        <v>1529.23</v>
      </c>
      <c r="N112" s="82">
        <f t="shared" si="50"/>
        <v>1529.23</v>
      </c>
      <c r="O112" s="82">
        <f>N112+'BM 009'!O112</f>
        <v>7994.16</v>
      </c>
      <c r="P112" s="80">
        <f t="shared" si="51"/>
        <v>8676.7999999999993</v>
      </c>
      <c r="Q112" s="82">
        <f t="shared" si="52"/>
        <v>10998.71</v>
      </c>
      <c r="R112" s="82">
        <f t="shared" si="53"/>
        <v>3004.5499999999993</v>
      </c>
      <c r="T112" s="83"/>
    </row>
    <row r="113" spans="2:20" s="34" customFormat="1" ht="46.2">
      <c r="B113" s="87" t="s">
        <v>225</v>
      </c>
      <c r="C113" s="88" t="s">
        <v>206</v>
      </c>
      <c r="D113" s="89" t="s">
        <v>152</v>
      </c>
      <c r="E113" s="90">
        <v>3532.1</v>
      </c>
      <c r="F113" s="79">
        <f>'M.C. MED. 10'!K941</f>
        <v>500.46</v>
      </c>
      <c r="G113" s="91">
        <f t="shared" si="48"/>
        <v>500.46</v>
      </c>
      <c r="H113" s="91"/>
      <c r="I113" s="79">
        <f>SUM(G113:H113)+'BM 009'!I113</f>
        <v>2275.23</v>
      </c>
      <c r="J113" s="91">
        <f t="shared" si="39"/>
        <v>1256.8699999999999</v>
      </c>
      <c r="K113" s="80">
        <v>14.5</v>
      </c>
      <c r="L113" s="81">
        <f t="shared" si="37"/>
        <v>18.380201595000003</v>
      </c>
      <c r="M113" s="82">
        <f t="shared" si="49"/>
        <v>9198.5499999999993</v>
      </c>
      <c r="N113" s="82">
        <f t="shared" si="50"/>
        <v>9198.5499999999993</v>
      </c>
      <c r="O113" s="82">
        <f>N113+'BM 009'!O113</f>
        <v>41819.14</v>
      </c>
      <c r="P113" s="80">
        <f t="shared" si="51"/>
        <v>51215.45</v>
      </c>
      <c r="Q113" s="82">
        <f t="shared" si="52"/>
        <v>64920.71</v>
      </c>
      <c r="R113" s="82">
        <f t="shared" si="53"/>
        <v>23101.57</v>
      </c>
      <c r="T113" s="83"/>
    </row>
    <row r="114" spans="2:20" s="34" customFormat="1" ht="46.2">
      <c r="B114" s="87" t="s">
        <v>226</v>
      </c>
      <c r="C114" s="88" t="s">
        <v>208</v>
      </c>
      <c r="D114" s="89" t="s">
        <v>152</v>
      </c>
      <c r="E114" s="90">
        <v>7313.9</v>
      </c>
      <c r="F114" s="79">
        <f>'M.C. MED. 10'!K961</f>
        <v>923.01</v>
      </c>
      <c r="G114" s="91">
        <f t="shared" si="48"/>
        <v>923.01</v>
      </c>
      <c r="H114" s="91"/>
      <c r="I114" s="79">
        <f>SUM(G114:H114)+'BM 009'!I114</f>
        <v>5289.47</v>
      </c>
      <c r="J114" s="91">
        <f t="shared" si="39"/>
        <v>2024.4299999999994</v>
      </c>
      <c r="K114" s="94">
        <v>14.5</v>
      </c>
      <c r="L114" s="81">
        <f t="shared" si="37"/>
        <v>18.380201595000003</v>
      </c>
      <c r="M114" s="82">
        <f t="shared" si="49"/>
        <v>16965.099999999999</v>
      </c>
      <c r="N114" s="82">
        <f t="shared" si="50"/>
        <v>16965.099999999999</v>
      </c>
      <c r="O114" s="82">
        <f>N114+'BM 009'!O114</f>
        <v>97221.5</v>
      </c>
      <c r="P114" s="80">
        <f t="shared" si="51"/>
        <v>106051.54999999999</v>
      </c>
      <c r="Q114" s="82">
        <f t="shared" si="52"/>
        <v>134430.95000000001</v>
      </c>
      <c r="R114" s="82">
        <f t="shared" si="53"/>
        <v>37209.450000000012</v>
      </c>
      <c r="T114" s="83"/>
    </row>
    <row r="115" spans="2:20" s="34" customFormat="1" ht="46.2">
      <c r="B115" s="87" t="s">
        <v>227</v>
      </c>
      <c r="C115" s="88" t="s">
        <v>210</v>
      </c>
      <c r="D115" s="89" t="s">
        <v>152</v>
      </c>
      <c r="E115" s="92">
        <v>4513.3</v>
      </c>
      <c r="F115" s="79">
        <f>'M.C. MED. 10'!K980</f>
        <v>749.08</v>
      </c>
      <c r="G115" s="91">
        <f t="shared" si="48"/>
        <v>749.08</v>
      </c>
      <c r="H115" s="91"/>
      <c r="I115" s="79">
        <f>SUM(G115:H115)+'BM 009'!I115</f>
        <v>3306.5</v>
      </c>
      <c r="J115" s="91">
        <f t="shared" si="39"/>
        <v>1206.8000000000002</v>
      </c>
      <c r="K115" s="80">
        <v>14</v>
      </c>
      <c r="L115" s="81">
        <f t="shared" si="37"/>
        <v>17.746401540000001</v>
      </c>
      <c r="M115" s="82">
        <f t="shared" si="49"/>
        <v>13293.47</v>
      </c>
      <c r="N115" s="82">
        <f t="shared" si="50"/>
        <v>13293.47</v>
      </c>
      <c r="O115" s="82">
        <f>N115+'BM 009'!O115</f>
        <v>58678.45</v>
      </c>
      <c r="P115" s="80">
        <f t="shared" si="51"/>
        <v>63186.200000000004</v>
      </c>
      <c r="Q115" s="82">
        <f t="shared" si="52"/>
        <v>80094.83</v>
      </c>
      <c r="R115" s="82">
        <f t="shared" si="53"/>
        <v>21416.380000000005</v>
      </c>
      <c r="T115" s="83"/>
    </row>
    <row r="116" spans="2:20" s="34" customFormat="1" ht="46.2">
      <c r="B116" s="87" t="s">
        <v>228</v>
      </c>
      <c r="C116" s="88" t="s">
        <v>212</v>
      </c>
      <c r="D116" s="89" t="s">
        <v>152</v>
      </c>
      <c r="E116" s="92">
        <v>14626.7</v>
      </c>
      <c r="F116" s="79">
        <f>'M.C. MED. 10'!K1000</f>
        <v>1502.9</v>
      </c>
      <c r="G116" s="91">
        <f t="shared" si="48"/>
        <v>1502.9</v>
      </c>
      <c r="H116" s="91"/>
      <c r="I116" s="79">
        <f>SUM(G116:H116)+'BM 009'!I116</f>
        <v>11209.85</v>
      </c>
      <c r="J116" s="91">
        <f t="shared" si="39"/>
        <v>3416.8500000000004</v>
      </c>
      <c r="K116" s="95">
        <v>14</v>
      </c>
      <c r="L116" s="81">
        <f t="shared" si="37"/>
        <v>17.746401540000001</v>
      </c>
      <c r="M116" s="82">
        <f t="shared" si="49"/>
        <v>26671.06</v>
      </c>
      <c r="N116" s="82">
        <f t="shared" si="50"/>
        <v>26671.06</v>
      </c>
      <c r="O116" s="82">
        <f>N116+'BM 009'!O116</f>
        <v>198934.46999999997</v>
      </c>
      <c r="P116" s="80">
        <f t="shared" si="51"/>
        <v>204773.80000000002</v>
      </c>
      <c r="Q116" s="82">
        <f t="shared" si="52"/>
        <v>259571.29</v>
      </c>
      <c r="R116" s="82">
        <f t="shared" si="53"/>
        <v>60636.820000000036</v>
      </c>
      <c r="T116" s="83"/>
    </row>
    <row r="117" spans="2:20" s="34" customFormat="1" ht="22.8">
      <c r="B117" s="87" t="s">
        <v>229</v>
      </c>
      <c r="C117" s="88" t="s">
        <v>230</v>
      </c>
      <c r="D117" s="89" t="s">
        <v>231</v>
      </c>
      <c r="E117" s="92">
        <v>3177.02</v>
      </c>
      <c r="F117" s="91">
        <f>TRUNC(0.84*E117)-2380.86</f>
        <v>287.13999999999987</v>
      </c>
      <c r="G117" s="91">
        <f t="shared" si="48"/>
        <v>287.13999999999987</v>
      </c>
      <c r="H117" s="91"/>
      <c r="I117" s="79">
        <f>SUM(G117:H117)+'BM 009'!I117</f>
        <v>2668</v>
      </c>
      <c r="J117" s="91">
        <f t="shared" si="39"/>
        <v>509.02</v>
      </c>
      <c r="K117" s="80">
        <v>30</v>
      </c>
      <c r="L117" s="81">
        <f t="shared" si="37"/>
        <v>38.028003300000002</v>
      </c>
      <c r="M117" s="82">
        <f t="shared" si="49"/>
        <v>10919.36</v>
      </c>
      <c r="N117" s="82">
        <f t="shared" si="50"/>
        <v>10919.36</v>
      </c>
      <c r="O117" s="82">
        <f>N117+'BM 009'!O117</f>
        <v>101458.68000000001</v>
      </c>
      <c r="P117" s="80">
        <f t="shared" si="51"/>
        <v>95310.6</v>
      </c>
      <c r="Q117" s="82">
        <f t="shared" si="52"/>
        <v>120815.72</v>
      </c>
      <c r="R117" s="82">
        <f t="shared" si="53"/>
        <v>19357.039999999994</v>
      </c>
      <c r="T117" s="83"/>
    </row>
    <row r="118" spans="2:20" s="34" customFormat="1" ht="23.4">
      <c r="B118" s="87" t="s">
        <v>232</v>
      </c>
      <c r="C118" s="88" t="s">
        <v>190</v>
      </c>
      <c r="D118" s="89" t="s">
        <v>63</v>
      </c>
      <c r="E118" s="92">
        <v>240</v>
      </c>
      <c r="F118" s="91">
        <f>TRUNC(0.84*E118)-179</f>
        <v>22</v>
      </c>
      <c r="G118" s="91">
        <f t="shared" si="48"/>
        <v>22</v>
      </c>
      <c r="H118" s="91"/>
      <c r="I118" s="79">
        <f>SUM(G118:H118)+'BM 009'!I118</f>
        <v>201</v>
      </c>
      <c r="J118" s="91">
        <f t="shared" si="39"/>
        <v>39</v>
      </c>
      <c r="K118" s="80">
        <v>30</v>
      </c>
      <c r="L118" s="81">
        <f t="shared" si="37"/>
        <v>38.028003300000002</v>
      </c>
      <c r="M118" s="82">
        <f t="shared" si="49"/>
        <v>836.61</v>
      </c>
      <c r="N118" s="82">
        <f t="shared" si="50"/>
        <v>836.61</v>
      </c>
      <c r="O118" s="82">
        <f>N118+'BM 009'!O118</f>
        <v>7643.5999999999985</v>
      </c>
      <c r="P118" s="80">
        <f t="shared" si="51"/>
        <v>7200</v>
      </c>
      <c r="Q118" s="82">
        <f t="shared" si="52"/>
        <v>9126.7199999999993</v>
      </c>
      <c r="R118" s="82">
        <f t="shared" si="53"/>
        <v>1483.1200000000008</v>
      </c>
      <c r="T118" s="83"/>
    </row>
    <row r="119" spans="2:20" s="34" customFormat="1" ht="23.4">
      <c r="B119" s="87" t="s">
        <v>233</v>
      </c>
      <c r="C119" s="88" t="s">
        <v>215</v>
      </c>
      <c r="D119" s="89" t="s">
        <v>169</v>
      </c>
      <c r="E119" s="92">
        <v>226.93</v>
      </c>
      <c r="F119" s="91">
        <f>'M.C. MED. 10'!K1248</f>
        <v>18.34</v>
      </c>
      <c r="G119" s="91">
        <f t="shared" si="48"/>
        <v>18.34</v>
      </c>
      <c r="H119" s="91"/>
      <c r="I119" s="79">
        <f>SUM(G119:H119)+'BM 009'!I119</f>
        <v>189.54</v>
      </c>
      <c r="J119" s="91">
        <f t="shared" si="39"/>
        <v>37.390000000000015</v>
      </c>
      <c r="K119" s="95">
        <v>750</v>
      </c>
      <c r="L119" s="81">
        <f t="shared" si="37"/>
        <v>950.70008250000001</v>
      </c>
      <c r="M119" s="82">
        <f t="shared" si="49"/>
        <v>17435.830000000002</v>
      </c>
      <c r="N119" s="82">
        <f t="shared" si="50"/>
        <v>17435.830000000002</v>
      </c>
      <c r="O119" s="82">
        <f>N119+'BM 009'!O119</f>
        <v>180195.66000000003</v>
      </c>
      <c r="P119" s="80">
        <f t="shared" si="51"/>
        <v>170197.5</v>
      </c>
      <c r="Q119" s="82">
        <f t="shared" si="52"/>
        <v>215742.36</v>
      </c>
      <c r="R119" s="82">
        <f t="shared" si="53"/>
        <v>35546.699999999953</v>
      </c>
      <c r="T119" s="83"/>
    </row>
    <row r="120" spans="2:20" s="34" customFormat="1" ht="13.2">
      <c r="B120" s="66" t="s">
        <v>234</v>
      </c>
      <c r="C120" s="67" t="s">
        <v>235</v>
      </c>
      <c r="D120" s="68"/>
      <c r="E120" s="69"/>
      <c r="F120" s="70"/>
      <c r="G120" s="70"/>
      <c r="H120" s="70"/>
      <c r="I120" s="70">
        <f>SUM(G120:H120)+'BM 009'!I120</f>
        <v>0</v>
      </c>
      <c r="J120" s="70">
        <f t="shared" si="39"/>
        <v>0</v>
      </c>
      <c r="K120" s="71"/>
      <c r="L120" s="71">
        <f t="shared" si="37"/>
        <v>0</v>
      </c>
      <c r="M120" s="73">
        <f t="shared" ref="M120:R120" si="54">SUM(M121:M130)</f>
        <v>210475.59999999998</v>
      </c>
      <c r="N120" s="73">
        <f t="shared" si="54"/>
        <v>210475.59999999998</v>
      </c>
      <c r="O120" s="73">
        <f t="shared" si="54"/>
        <v>2162676.89</v>
      </c>
      <c r="P120" s="73">
        <f t="shared" si="54"/>
        <v>2218671.0499999998</v>
      </c>
      <c r="Q120" s="73">
        <f t="shared" si="54"/>
        <v>2812387.62</v>
      </c>
      <c r="R120" s="73">
        <f t="shared" si="54"/>
        <v>649710.72999999986</v>
      </c>
      <c r="T120" s="83">
        <f>Q120/11</f>
        <v>255671.60181818184</v>
      </c>
    </row>
    <row r="121" spans="2:20" s="34" customFormat="1" ht="57.6">
      <c r="B121" s="87" t="s">
        <v>236</v>
      </c>
      <c r="C121" s="88" t="s">
        <v>237</v>
      </c>
      <c r="D121" s="89" t="s">
        <v>79</v>
      </c>
      <c r="E121" s="92">
        <v>770.47</v>
      </c>
      <c r="F121" s="91">
        <f>0.71*E121-477.69</f>
        <v>69.343699999999956</v>
      </c>
      <c r="G121" s="91">
        <f t="shared" ref="G121:G130" si="55">F121</f>
        <v>69.343699999999956</v>
      </c>
      <c r="H121" s="91"/>
      <c r="I121" s="79">
        <f>SUM(G121:H121)+'BM 009'!I121</f>
        <v>547.03369999999995</v>
      </c>
      <c r="J121" s="91">
        <f t="shared" si="39"/>
        <v>223.43630000000007</v>
      </c>
      <c r="K121" s="80">
        <v>130</v>
      </c>
      <c r="L121" s="81">
        <f t="shared" si="37"/>
        <v>164.78801430000001</v>
      </c>
      <c r="M121" s="82">
        <f t="shared" ref="M121:M130" si="56">TRUNC(F121*L121,2)</f>
        <v>11427.01</v>
      </c>
      <c r="N121" s="82">
        <f t="shared" ref="N121:N130" si="57">TRUNC(G121*L121,2)</f>
        <v>11427.01</v>
      </c>
      <c r="O121" s="82">
        <f>N121+'BM 009'!O121</f>
        <v>90144.58</v>
      </c>
      <c r="P121" s="80">
        <f t="shared" ref="P121:P130" si="58">E121*K121</f>
        <v>100161.1</v>
      </c>
      <c r="Q121" s="82">
        <f t="shared" ref="Q121:Q130" si="59">TRUNC(E121*L121,2)</f>
        <v>126964.22</v>
      </c>
      <c r="R121" s="82">
        <f t="shared" ref="R121:R130" si="60">Q121-O121</f>
        <v>36819.64</v>
      </c>
      <c r="T121" s="83"/>
    </row>
    <row r="122" spans="2:20" s="34" customFormat="1" ht="69">
      <c r="B122" s="87" t="s">
        <v>238</v>
      </c>
      <c r="C122" s="88" t="s">
        <v>239</v>
      </c>
      <c r="D122" s="89" t="s">
        <v>79</v>
      </c>
      <c r="E122" s="92">
        <v>7163.62</v>
      </c>
      <c r="F122" s="91">
        <f>0.71*E122-4441.44</f>
        <v>644.73019999999997</v>
      </c>
      <c r="G122" s="91">
        <f t="shared" si="55"/>
        <v>644.73019999999997</v>
      </c>
      <c r="H122" s="91"/>
      <c r="I122" s="79">
        <f>SUM(G122:H122)+'BM 009'!I122</f>
        <v>5086.1701999999996</v>
      </c>
      <c r="J122" s="91">
        <f t="shared" si="39"/>
        <v>2077.4498000000003</v>
      </c>
      <c r="K122" s="80">
        <v>130</v>
      </c>
      <c r="L122" s="81">
        <f t="shared" si="37"/>
        <v>164.78801430000001</v>
      </c>
      <c r="M122" s="82">
        <f t="shared" si="56"/>
        <v>106243.8</v>
      </c>
      <c r="N122" s="82">
        <f t="shared" si="57"/>
        <v>106243.8</v>
      </c>
      <c r="O122" s="82">
        <f>N122+'BM 009'!O122</f>
        <v>838139.8600000001</v>
      </c>
      <c r="P122" s="80">
        <f t="shared" si="58"/>
        <v>931270.6</v>
      </c>
      <c r="Q122" s="82">
        <f t="shared" si="59"/>
        <v>1180478.71</v>
      </c>
      <c r="R122" s="82">
        <f t="shared" si="60"/>
        <v>342338.84999999986</v>
      </c>
      <c r="T122" s="83"/>
    </row>
    <row r="123" spans="2:20" s="34" customFormat="1" ht="46.2">
      <c r="B123" s="87" t="s">
        <v>240</v>
      </c>
      <c r="C123" s="88" t="s">
        <v>241</v>
      </c>
      <c r="D123" s="89" t="s">
        <v>152</v>
      </c>
      <c r="E123" s="92">
        <v>2362.8000000000002</v>
      </c>
      <c r="F123" s="91"/>
      <c r="G123" s="91">
        <f t="shared" si="55"/>
        <v>0</v>
      </c>
      <c r="H123" s="91"/>
      <c r="I123" s="79">
        <f>SUM(G123:H123)+'BM 009'!I123</f>
        <v>2362.8004152064877</v>
      </c>
      <c r="J123" s="91">
        <f t="shared" si="39"/>
        <v>-4.1520648755977163E-4</v>
      </c>
      <c r="K123" s="80">
        <v>19</v>
      </c>
      <c r="L123" s="81">
        <f t="shared" si="37"/>
        <v>24.084402090000001</v>
      </c>
      <c r="M123" s="82">
        <f t="shared" si="56"/>
        <v>0</v>
      </c>
      <c r="N123" s="82">
        <f t="shared" si="57"/>
        <v>0</v>
      </c>
      <c r="O123" s="82">
        <f>N123+'BM 009'!O123</f>
        <v>56906.619999999995</v>
      </c>
      <c r="P123" s="80">
        <f t="shared" si="58"/>
        <v>44893.200000000004</v>
      </c>
      <c r="Q123" s="82">
        <f t="shared" si="59"/>
        <v>56906.62</v>
      </c>
      <c r="R123" s="82">
        <f t="shared" si="60"/>
        <v>0</v>
      </c>
      <c r="T123" s="83"/>
    </row>
    <row r="124" spans="2:20" s="34" customFormat="1" ht="46.2">
      <c r="B124" s="87" t="s">
        <v>242</v>
      </c>
      <c r="C124" s="88" t="s">
        <v>243</v>
      </c>
      <c r="D124" s="89" t="s">
        <v>152</v>
      </c>
      <c r="E124" s="90">
        <v>602.79999999999995</v>
      </c>
      <c r="F124" s="91"/>
      <c r="G124" s="91">
        <f t="shared" si="55"/>
        <v>0</v>
      </c>
      <c r="H124" s="91"/>
      <c r="I124" s="79">
        <f>SUM(G124:H124)+'BM 009'!I124</f>
        <v>602.79999999999995</v>
      </c>
      <c r="J124" s="91">
        <f t="shared" si="39"/>
        <v>0</v>
      </c>
      <c r="K124" s="80">
        <v>17.5</v>
      </c>
      <c r="L124" s="81">
        <f t="shared" si="37"/>
        <v>22.183001924999999</v>
      </c>
      <c r="M124" s="82">
        <f t="shared" si="56"/>
        <v>0</v>
      </c>
      <c r="N124" s="82">
        <f t="shared" si="57"/>
        <v>0</v>
      </c>
      <c r="O124" s="82">
        <f>N124+'BM 009'!O124</f>
        <v>13371.91</v>
      </c>
      <c r="P124" s="80">
        <f t="shared" si="58"/>
        <v>10549</v>
      </c>
      <c r="Q124" s="82">
        <f t="shared" si="59"/>
        <v>13371.91</v>
      </c>
      <c r="R124" s="82">
        <f t="shared" si="60"/>
        <v>0</v>
      </c>
      <c r="T124" s="83"/>
    </row>
    <row r="125" spans="2:20" s="34" customFormat="1" ht="46.2">
      <c r="B125" s="87" t="s">
        <v>244</v>
      </c>
      <c r="C125" s="88" t="s">
        <v>245</v>
      </c>
      <c r="D125" s="89" t="s">
        <v>152</v>
      </c>
      <c r="E125" s="90">
        <v>3562.9</v>
      </c>
      <c r="F125" s="91">
        <f>'M.C. MED. 10'!K1314</f>
        <v>145.68</v>
      </c>
      <c r="G125" s="91">
        <f t="shared" si="55"/>
        <v>145.68</v>
      </c>
      <c r="H125" s="91"/>
      <c r="I125" s="79">
        <f>SUM(G125:H125)+'BM 009'!I125</f>
        <v>3422.1099999999997</v>
      </c>
      <c r="J125" s="91">
        <f t="shared" si="39"/>
        <v>140.79000000000042</v>
      </c>
      <c r="K125" s="80">
        <v>16</v>
      </c>
      <c r="L125" s="81">
        <f t="shared" si="37"/>
        <v>20.281601760000001</v>
      </c>
      <c r="M125" s="82">
        <f t="shared" si="56"/>
        <v>2954.62</v>
      </c>
      <c r="N125" s="82">
        <f t="shared" si="57"/>
        <v>2954.62</v>
      </c>
      <c r="O125" s="82">
        <f>N125+'BM 009'!O125</f>
        <v>69405.849999999991</v>
      </c>
      <c r="P125" s="80">
        <f t="shared" si="58"/>
        <v>57006.400000000001</v>
      </c>
      <c r="Q125" s="82">
        <f t="shared" si="59"/>
        <v>72261.31</v>
      </c>
      <c r="R125" s="82">
        <f t="shared" si="60"/>
        <v>2855.4600000000064</v>
      </c>
    </row>
    <row r="126" spans="2:20" s="34" customFormat="1" ht="46.2">
      <c r="B126" s="87" t="s">
        <v>246</v>
      </c>
      <c r="C126" s="88" t="s">
        <v>247</v>
      </c>
      <c r="D126" s="89" t="s">
        <v>152</v>
      </c>
      <c r="E126" s="90">
        <v>8278.6</v>
      </c>
      <c r="F126" s="91">
        <f>'M.C. MED. 10'!K1336</f>
        <v>653</v>
      </c>
      <c r="G126" s="91">
        <f t="shared" si="55"/>
        <v>653</v>
      </c>
      <c r="H126" s="91"/>
      <c r="I126" s="79">
        <f>SUM(G126:H126)+'BM 009'!I126</f>
        <v>7003.53</v>
      </c>
      <c r="J126" s="91">
        <f t="shared" si="39"/>
        <v>1275.0700000000006</v>
      </c>
      <c r="K126" s="80">
        <v>14.5</v>
      </c>
      <c r="L126" s="81">
        <f t="shared" si="37"/>
        <v>18.380201595000003</v>
      </c>
      <c r="M126" s="82">
        <f t="shared" si="56"/>
        <v>12002.27</v>
      </c>
      <c r="N126" s="82">
        <f t="shared" si="57"/>
        <v>12002.27</v>
      </c>
      <c r="O126" s="82">
        <f>N126+'BM 009'!O126</f>
        <v>128726.27</v>
      </c>
      <c r="P126" s="80">
        <f t="shared" si="58"/>
        <v>120039.70000000001</v>
      </c>
      <c r="Q126" s="82">
        <f t="shared" si="59"/>
        <v>152162.32999999999</v>
      </c>
      <c r="R126" s="82">
        <f t="shared" si="60"/>
        <v>23436.059999999983</v>
      </c>
    </row>
    <row r="127" spans="2:20" s="34" customFormat="1" ht="46.2">
      <c r="B127" s="87" t="s">
        <v>248</v>
      </c>
      <c r="C127" s="88" t="s">
        <v>249</v>
      </c>
      <c r="D127" s="89" t="s">
        <v>152</v>
      </c>
      <c r="E127" s="90">
        <v>8114.7</v>
      </c>
      <c r="F127" s="91"/>
      <c r="G127" s="91">
        <f t="shared" si="55"/>
        <v>0</v>
      </c>
      <c r="H127" s="91"/>
      <c r="I127" s="79">
        <f>SUM(G127:H127)+'BM 009'!I127</f>
        <v>8114.7</v>
      </c>
      <c r="J127" s="91">
        <f t="shared" si="39"/>
        <v>0</v>
      </c>
      <c r="K127" s="94">
        <v>14.5</v>
      </c>
      <c r="L127" s="81">
        <f t="shared" si="37"/>
        <v>18.380201595000003</v>
      </c>
      <c r="M127" s="82">
        <f t="shared" si="56"/>
        <v>0</v>
      </c>
      <c r="N127" s="82">
        <f t="shared" si="57"/>
        <v>0</v>
      </c>
      <c r="O127" s="82">
        <f>N127+'BM 009'!O127</f>
        <v>149149.81</v>
      </c>
      <c r="P127" s="80">
        <f t="shared" si="58"/>
        <v>117663.15</v>
      </c>
      <c r="Q127" s="82">
        <f t="shared" si="59"/>
        <v>149149.82</v>
      </c>
      <c r="R127" s="82">
        <f t="shared" si="60"/>
        <v>1.0000000009313226E-2</v>
      </c>
    </row>
    <row r="128" spans="2:20" s="34" customFormat="1" ht="46.2">
      <c r="B128" s="87" t="s">
        <v>250</v>
      </c>
      <c r="C128" s="88" t="s">
        <v>251</v>
      </c>
      <c r="D128" s="89" t="s">
        <v>152</v>
      </c>
      <c r="E128" s="90">
        <v>11554.4</v>
      </c>
      <c r="F128" s="91">
        <f>'M.C. MED. 10'!K1379</f>
        <v>218.09</v>
      </c>
      <c r="G128" s="91">
        <f t="shared" si="55"/>
        <v>218.09</v>
      </c>
      <c r="H128" s="91"/>
      <c r="I128" s="79">
        <f>SUM(G128:H128)+'BM 009'!I128</f>
        <v>11117.94</v>
      </c>
      <c r="J128" s="91">
        <f t="shared" si="39"/>
        <v>436.45999999999913</v>
      </c>
      <c r="K128" s="80">
        <v>14</v>
      </c>
      <c r="L128" s="81">
        <f t="shared" si="37"/>
        <v>17.746401540000001</v>
      </c>
      <c r="M128" s="82">
        <f t="shared" si="56"/>
        <v>3870.31</v>
      </c>
      <c r="N128" s="82">
        <f t="shared" si="57"/>
        <v>3870.31</v>
      </c>
      <c r="O128" s="82">
        <f>N128+'BM 009'!O128</f>
        <v>197303.4</v>
      </c>
      <c r="P128" s="80">
        <f t="shared" si="58"/>
        <v>161761.60000000001</v>
      </c>
      <c r="Q128" s="82">
        <f t="shared" si="59"/>
        <v>205049.02</v>
      </c>
      <c r="R128" s="82">
        <f t="shared" si="60"/>
        <v>7745.6199999999953</v>
      </c>
    </row>
    <row r="129" spans="2:21" s="34" customFormat="1" ht="57.6">
      <c r="B129" s="87" t="s">
        <v>252</v>
      </c>
      <c r="C129" s="88" t="s">
        <v>253</v>
      </c>
      <c r="D129" s="89" t="s">
        <v>152</v>
      </c>
      <c r="E129" s="90">
        <v>5166.7</v>
      </c>
      <c r="F129" s="91">
        <f>'M.C. MED. 10'!K1402</f>
        <v>450.74</v>
      </c>
      <c r="G129" s="91">
        <f t="shared" si="55"/>
        <v>450.74</v>
      </c>
      <c r="H129" s="91"/>
      <c r="I129" s="79">
        <f>SUM(G129:H129)+'BM 009'!I129</f>
        <v>4403.8500000000004</v>
      </c>
      <c r="J129" s="91">
        <f t="shared" si="39"/>
        <v>762.84999999999945</v>
      </c>
      <c r="K129" s="80">
        <v>14</v>
      </c>
      <c r="L129" s="81">
        <f t="shared" si="37"/>
        <v>17.746401540000001</v>
      </c>
      <c r="M129" s="82">
        <f t="shared" si="56"/>
        <v>7999.01</v>
      </c>
      <c r="N129" s="82">
        <f t="shared" si="57"/>
        <v>7999.01</v>
      </c>
      <c r="O129" s="82">
        <f>N129+'BM 009'!O129</f>
        <v>78152.459999999992</v>
      </c>
      <c r="P129" s="80">
        <f t="shared" si="58"/>
        <v>72333.8</v>
      </c>
      <c r="Q129" s="82">
        <f t="shared" si="59"/>
        <v>91690.33</v>
      </c>
      <c r="R129" s="82">
        <f t="shared" si="60"/>
        <v>13537.87000000001</v>
      </c>
    </row>
    <row r="130" spans="2:21" s="34" customFormat="1" ht="23.4">
      <c r="B130" s="87" t="s">
        <v>254</v>
      </c>
      <c r="C130" s="88" t="s">
        <v>215</v>
      </c>
      <c r="D130" s="89" t="s">
        <v>169</v>
      </c>
      <c r="E130" s="92">
        <v>803.99</v>
      </c>
      <c r="F130" s="91">
        <f>'M.C. MED. 10'!K1488</f>
        <v>69.400000000000006</v>
      </c>
      <c r="G130" s="91">
        <f t="shared" si="55"/>
        <v>69.400000000000006</v>
      </c>
      <c r="H130" s="91"/>
      <c r="I130" s="79">
        <f>SUM(G130:H130)+'BM 009'!I130</f>
        <v>569.44999999999993</v>
      </c>
      <c r="J130" s="91">
        <f t="shared" si="39"/>
        <v>234.54000000000008</v>
      </c>
      <c r="K130" s="95">
        <v>750</v>
      </c>
      <c r="L130" s="81">
        <f t="shared" si="37"/>
        <v>950.70008250000001</v>
      </c>
      <c r="M130" s="82">
        <f t="shared" si="56"/>
        <v>65978.58</v>
      </c>
      <c r="N130" s="82">
        <f t="shared" si="57"/>
        <v>65978.58</v>
      </c>
      <c r="O130" s="82">
        <f>N130+'BM 009'!O130</f>
        <v>541376.13</v>
      </c>
      <c r="P130" s="80">
        <f t="shared" si="58"/>
        <v>602992.5</v>
      </c>
      <c r="Q130" s="82">
        <f t="shared" si="59"/>
        <v>764353.35</v>
      </c>
      <c r="R130" s="82">
        <f t="shared" si="60"/>
        <v>222977.21999999997</v>
      </c>
      <c r="T130" s="83"/>
      <c r="U130" s="83"/>
    </row>
    <row r="131" spans="2:21" s="34" customFormat="1" ht="17.399999999999999">
      <c r="B131" s="60" t="s">
        <v>255</v>
      </c>
      <c r="C131" s="61" t="s">
        <v>256</v>
      </c>
      <c r="D131" s="60"/>
      <c r="E131" s="62"/>
      <c r="F131" s="63"/>
      <c r="G131" s="63"/>
      <c r="H131" s="63"/>
      <c r="I131" s="63">
        <f>SUM(G131:H131)+'BM 009'!I131</f>
        <v>0</v>
      </c>
      <c r="J131" s="63">
        <f t="shared" si="39"/>
        <v>0</v>
      </c>
      <c r="K131" s="63"/>
      <c r="L131" s="63">
        <f t="shared" si="37"/>
        <v>0</v>
      </c>
      <c r="M131" s="63">
        <f t="shared" ref="M131:R131" si="61">SUM(M132:M138)</f>
        <v>62593.439999999995</v>
      </c>
      <c r="N131" s="63">
        <f t="shared" si="61"/>
        <v>62593.439999999995</v>
      </c>
      <c r="O131" s="63">
        <f t="shared" si="61"/>
        <v>97681.85</v>
      </c>
      <c r="P131" s="63">
        <f t="shared" si="61"/>
        <v>1701680.9500000002</v>
      </c>
      <c r="Q131" s="63">
        <f t="shared" si="61"/>
        <v>2157050.9299999997</v>
      </c>
      <c r="R131" s="63">
        <f t="shared" si="61"/>
        <v>2059369.08</v>
      </c>
      <c r="T131" s="97"/>
    </row>
    <row r="132" spans="2:21" s="34" customFormat="1" ht="23.4">
      <c r="B132" s="87" t="s">
        <v>257</v>
      </c>
      <c r="C132" s="98" t="s">
        <v>258</v>
      </c>
      <c r="D132" s="99" t="s">
        <v>169</v>
      </c>
      <c r="E132" s="100">
        <v>261.60000000000002</v>
      </c>
      <c r="F132" s="101"/>
      <c r="G132" s="101"/>
      <c r="H132" s="101"/>
      <c r="I132" s="79">
        <f>SUM(G132:H132)+'BM 009'!I132</f>
        <v>0</v>
      </c>
      <c r="J132" s="101">
        <f t="shared" si="39"/>
        <v>261.60000000000002</v>
      </c>
      <c r="K132" s="102">
        <v>620</v>
      </c>
      <c r="L132" s="81">
        <f t="shared" si="37"/>
        <v>785.91206820000002</v>
      </c>
      <c r="M132" s="82">
        <f t="shared" ref="M132:M138" si="62">TRUNC(F132*L132,2)</f>
        <v>0</v>
      </c>
      <c r="N132" s="82">
        <f t="shared" ref="N132:N138" si="63">TRUNC(G132*L132,2)</f>
        <v>0</v>
      </c>
      <c r="O132" s="82">
        <f>N132+'BM 009'!O132</f>
        <v>0</v>
      </c>
      <c r="P132" s="80">
        <f t="shared" ref="P132:P138" si="64">E132*K132</f>
        <v>162192</v>
      </c>
      <c r="Q132" s="82">
        <f t="shared" ref="Q132:Q138" si="65">TRUNC(E132*L132,2)</f>
        <v>205594.59</v>
      </c>
      <c r="R132" s="82">
        <f t="shared" ref="R132:R138" si="66">Q132-O132</f>
        <v>205594.59</v>
      </c>
    </row>
    <row r="133" spans="2:21" s="34" customFormat="1" ht="34.799999999999997">
      <c r="B133" s="87" t="s">
        <v>259</v>
      </c>
      <c r="C133" s="88" t="s">
        <v>260</v>
      </c>
      <c r="D133" s="89" t="s">
        <v>82</v>
      </c>
      <c r="E133" s="90">
        <v>3852</v>
      </c>
      <c r="F133" s="91"/>
      <c r="G133" s="91"/>
      <c r="H133" s="91"/>
      <c r="I133" s="79">
        <f>SUM(G133:H133)+'BM 009'!I133</f>
        <v>0</v>
      </c>
      <c r="J133" s="91">
        <f t="shared" si="39"/>
        <v>3852</v>
      </c>
      <c r="K133" s="84">
        <v>20</v>
      </c>
      <c r="L133" s="81">
        <f t="shared" si="37"/>
        <v>25.352002200000001</v>
      </c>
      <c r="M133" s="82">
        <f t="shared" si="62"/>
        <v>0</v>
      </c>
      <c r="N133" s="82">
        <f t="shared" si="63"/>
        <v>0</v>
      </c>
      <c r="O133" s="82">
        <f>N133+'BM 009'!O133</f>
        <v>0</v>
      </c>
      <c r="P133" s="80">
        <f t="shared" si="64"/>
        <v>77040</v>
      </c>
      <c r="Q133" s="82">
        <f t="shared" si="65"/>
        <v>97655.91</v>
      </c>
      <c r="R133" s="82">
        <f t="shared" si="66"/>
        <v>97655.91</v>
      </c>
    </row>
    <row r="134" spans="2:21" s="34" customFormat="1" ht="46.2">
      <c r="B134" s="87" t="s">
        <v>261</v>
      </c>
      <c r="C134" s="88" t="s">
        <v>262</v>
      </c>
      <c r="D134" s="89" t="s">
        <v>110</v>
      </c>
      <c r="E134" s="92">
        <v>112</v>
      </c>
      <c r="F134" s="91">
        <f>'M.C. MED. 10'!K1501</f>
        <v>3.53</v>
      </c>
      <c r="G134" s="91">
        <f>F134</f>
        <v>3.53</v>
      </c>
      <c r="H134" s="91"/>
      <c r="I134" s="79">
        <f>SUM(G134:H134)+'BM 009'!I134</f>
        <v>6.1899999999999995</v>
      </c>
      <c r="J134" s="91">
        <f t="shared" si="39"/>
        <v>105.81</v>
      </c>
      <c r="K134" s="84">
        <v>650</v>
      </c>
      <c r="L134" s="81">
        <f t="shared" si="37"/>
        <v>823.94007150000004</v>
      </c>
      <c r="M134" s="82">
        <f t="shared" si="62"/>
        <v>2908.5</v>
      </c>
      <c r="N134" s="82">
        <f t="shared" si="63"/>
        <v>2908.5</v>
      </c>
      <c r="O134" s="82">
        <f>N134+'BM 009'!O134</f>
        <v>5100.18</v>
      </c>
      <c r="P134" s="80">
        <f t="shared" si="64"/>
        <v>72800</v>
      </c>
      <c r="Q134" s="82">
        <f t="shared" si="65"/>
        <v>92281.279999999999</v>
      </c>
      <c r="R134" s="82">
        <f t="shared" si="66"/>
        <v>87181.1</v>
      </c>
      <c r="T134" s="83">
        <f>I134/(0.19)</f>
        <v>32.578947368421048</v>
      </c>
      <c r="U134" s="83">
        <f>T134*50</f>
        <v>1628.9473684210525</v>
      </c>
    </row>
    <row r="135" spans="2:21" s="34" customFormat="1" ht="69">
      <c r="B135" s="87" t="s">
        <v>263</v>
      </c>
      <c r="C135" s="88" t="s">
        <v>264</v>
      </c>
      <c r="D135" s="89" t="s">
        <v>79</v>
      </c>
      <c r="E135" s="90">
        <v>15102.2</v>
      </c>
      <c r="F135" s="91">
        <f>'M.C. MED. 10'!K1527</f>
        <v>550</v>
      </c>
      <c r="G135" s="91">
        <f>F135</f>
        <v>550</v>
      </c>
      <c r="H135" s="91"/>
      <c r="I135" s="79">
        <f>SUM(G135:H135)+'BM 009'!I135</f>
        <v>876.44</v>
      </c>
      <c r="J135" s="91">
        <f t="shared" si="39"/>
        <v>14225.76</v>
      </c>
      <c r="K135" s="84">
        <v>79.5</v>
      </c>
      <c r="L135" s="81">
        <f t="shared" si="37"/>
        <v>100.77420874500001</v>
      </c>
      <c r="M135" s="82">
        <f t="shared" si="62"/>
        <v>55425.81</v>
      </c>
      <c r="N135" s="82">
        <f t="shared" si="63"/>
        <v>55425.81</v>
      </c>
      <c r="O135" s="82">
        <f>N135+'BM 009'!O135</f>
        <v>88322.540000000008</v>
      </c>
      <c r="P135" s="80">
        <f t="shared" si="64"/>
        <v>1200624.9000000001</v>
      </c>
      <c r="Q135" s="82">
        <f t="shared" si="65"/>
        <v>1521912.25</v>
      </c>
      <c r="R135" s="82">
        <f t="shared" si="66"/>
        <v>1433589.71</v>
      </c>
      <c r="T135" s="34">
        <f>22000*0.2*0.2</f>
        <v>880</v>
      </c>
    </row>
    <row r="136" spans="2:21" s="34" customFormat="1" ht="57.6">
      <c r="B136" s="87" t="s">
        <v>265</v>
      </c>
      <c r="C136" s="88" t="s">
        <v>266</v>
      </c>
      <c r="D136" s="89" t="s">
        <v>79</v>
      </c>
      <c r="E136" s="90">
        <v>772</v>
      </c>
      <c r="F136" s="91"/>
      <c r="G136" s="91"/>
      <c r="H136" s="91"/>
      <c r="I136" s="79">
        <f>SUM(G136:H136)+'BM 009'!I136</f>
        <v>0</v>
      </c>
      <c r="J136" s="91">
        <f t="shared" si="39"/>
        <v>772</v>
      </c>
      <c r="K136" s="84">
        <v>150</v>
      </c>
      <c r="L136" s="81">
        <f t="shared" si="37"/>
        <v>190.1400165</v>
      </c>
      <c r="M136" s="82">
        <f t="shared" si="62"/>
        <v>0</v>
      </c>
      <c r="N136" s="82">
        <f t="shared" si="63"/>
        <v>0</v>
      </c>
      <c r="O136" s="82">
        <f>N136+'BM 009'!O136</f>
        <v>0</v>
      </c>
      <c r="P136" s="80">
        <f t="shared" si="64"/>
        <v>115800</v>
      </c>
      <c r="Q136" s="82">
        <f t="shared" si="65"/>
        <v>146788.09</v>
      </c>
      <c r="R136" s="82">
        <f t="shared" si="66"/>
        <v>146788.09</v>
      </c>
    </row>
    <row r="137" spans="2:21" s="34" customFormat="1" ht="46.2">
      <c r="B137" s="87" t="s">
        <v>267</v>
      </c>
      <c r="C137" s="88" t="s">
        <v>268</v>
      </c>
      <c r="D137" s="89" t="s">
        <v>79</v>
      </c>
      <c r="E137" s="90">
        <v>210.05</v>
      </c>
      <c r="F137" s="91"/>
      <c r="G137" s="91"/>
      <c r="H137" s="91"/>
      <c r="I137" s="79">
        <f>SUM(G137:H137)+'BM 009'!I137</f>
        <v>0</v>
      </c>
      <c r="J137" s="91">
        <f t="shared" si="39"/>
        <v>210.05</v>
      </c>
      <c r="K137" s="84">
        <v>165</v>
      </c>
      <c r="L137" s="81">
        <f t="shared" si="37"/>
        <v>209.15401815000001</v>
      </c>
      <c r="M137" s="82">
        <f t="shared" si="62"/>
        <v>0</v>
      </c>
      <c r="N137" s="82">
        <f t="shared" si="63"/>
        <v>0</v>
      </c>
      <c r="O137" s="82">
        <f>N137+'BM 009'!O137</f>
        <v>0</v>
      </c>
      <c r="P137" s="80">
        <f t="shared" si="64"/>
        <v>34658.25</v>
      </c>
      <c r="Q137" s="82">
        <f t="shared" si="65"/>
        <v>43932.800000000003</v>
      </c>
      <c r="R137" s="82">
        <f t="shared" si="66"/>
        <v>43932.800000000003</v>
      </c>
    </row>
    <row r="138" spans="2:21" s="34" customFormat="1" ht="23.4">
      <c r="B138" s="87" t="s">
        <v>269</v>
      </c>
      <c r="C138" s="88" t="s">
        <v>270</v>
      </c>
      <c r="D138" s="89" t="s">
        <v>124</v>
      </c>
      <c r="E138" s="90">
        <v>550.94000000000005</v>
      </c>
      <c r="F138" s="91">
        <f>1.5*32</f>
        <v>48</v>
      </c>
      <c r="G138" s="91">
        <f>F138</f>
        <v>48</v>
      </c>
      <c r="H138" s="91"/>
      <c r="I138" s="79">
        <f>SUM(G138:H138)+'BM 009'!I138</f>
        <v>48</v>
      </c>
      <c r="J138" s="91">
        <f t="shared" si="39"/>
        <v>502.94000000000005</v>
      </c>
      <c r="K138" s="84">
        <v>70</v>
      </c>
      <c r="L138" s="81">
        <f t="shared" si="37"/>
        <v>88.732007699999997</v>
      </c>
      <c r="M138" s="82">
        <f t="shared" si="62"/>
        <v>4259.13</v>
      </c>
      <c r="N138" s="82">
        <f t="shared" si="63"/>
        <v>4259.13</v>
      </c>
      <c r="O138" s="82">
        <f>N138+'BM 009'!O138</f>
        <v>4259.13</v>
      </c>
      <c r="P138" s="80">
        <f t="shared" si="64"/>
        <v>38565.800000000003</v>
      </c>
      <c r="Q138" s="82">
        <f t="shared" si="65"/>
        <v>48886.01</v>
      </c>
      <c r="R138" s="82">
        <f t="shared" si="66"/>
        <v>44626.880000000005</v>
      </c>
    </row>
    <row r="139" spans="2:21" s="34" customFormat="1" ht="13.2">
      <c r="B139" s="60" t="s">
        <v>271</v>
      </c>
      <c r="C139" s="61" t="s">
        <v>272</v>
      </c>
      <c r="D139" s="60"/>
      <c r="E139" s="62"/>
      <c r="F139" s="63"/>
      <c r="G139" s="63"/>
      <c r="H139" s="63"/>
      <c r="I139" s="63">
        <f>SUM(G139:H139)+'BM 009'!I139</f>
        <v>0</v>
      </c>
      <c r="J139" s="63">
        <f t="shared" si="39"/>
        <v>0</v>
      </c>
      <c r="K139" s="63"/>
      <c r="L139" s="63">
        <f t="shared" si="37"/>
        <v>0</v>
      </c>
      <c r="M139" s="63">
        <f t="shared" ref="M139:R139" si="67">SUM(M140,M148)</f>
        <v>0</v>
      </c>
      <c r="N139" s="63">
        <f t="shared" si="67"/>
        <v>0</v>
      </c>
      <c r="O139" s="63">
        <f t="shared" si="67"/>
        <v>0</v>
      </c>
      <c r="P139" s="63">
        <f t="shared" si="67"/>
        <v>2433803.8377</v>
      </c>
      <c r="Q139" s="63">
        <f t="shared" si="67"/>
        <v>3085089.94</v>
      </c>
      <c r="R139" s="63">
        <f t="shared" si="67"/>
        <v>3085089.94</v>
      </c>
    </row>
    <row r="140" spans="2:21" s="34" customFormat="1" ht="13.2">
      <c r="B140" s="66" t="s">
        <v>273</v>
      </c>
      <c r="C140" s="67" t="s">
        <v>274</v>
      </c>
      <c r="D140" s="68"/>
      <c r="E140" s="69"/>
      <c r="F140" s="70"/>
      <c r="G140" s="70"/>
      <c r="H140" s="70"/>
      <c r="I140" s="70">
        <f>SUM(G140:H140)+'BM 009'!I140</f>
        <v>0</v>
      </c>
      <c r="J140" s="70">
        <f t="shared" si="39"/>
        <v>0</v>
      </c>
      <c r="K140" s="71"/>
      <c r="L140" s="71">
        <f t="shared" si="37"/>
        <v>0</v>
      </c>
      <c r="M140" s="73">
        <f t="shared" ref="M140:R140" si="68">SUM(M141:M147)</f>
        <v>0</v>
      </c>
      <c r="N140" s="73">
        <f t="shared" si="68"/>
        <v>0</v>
      </c>
      <c r="O140" s="73">
        <f t="shared" si="68"/>
        <v>0</v>
      </c>
      <c r="P140" s="73">
        <f t="shared" si="68"/>
        <v>1345103.6276999998</v>
      </c>
      <c r="Q140" s="73">
        <f t="shared" si="68"/>
        <v>1705053.47</v>
      </c>
      <c r="R140" s="73">
        <f t="shared" si="68"/>
        <v>1705053.47</v>
      </c>
    </row>
    <row r="141" spans="2:21" s="34" customFormat="1" ht="46.2">
      <c r="B141" s="87" t="s">
        <v>275</v>
      </c>
      <c r="C141" s="88" t="s">
        <v>276</v>
      </c>
      <c r="D141" s="89" t="s">
        <v>79</v>
      </c>
      <c r="E141" s="90">
        <f>E135*2-E149</f>
        <v>26012.79</v>
      </c>
      <c r="F141" s="91"/>
      <c r="G141" s="91"/>
      <c r="H141" s="91"/>
      <c r="I141" s="79">
        <f>SUM(G141:H141)+'BM 009'!I141</f>
        <v>0</v>
      </c>
      <c r="J141" s="91">
        <f t="shared" si="39"/>
        <v>26012.79</v>
      </c>
      <c r="K141" s="84">
        <v>4.5</v>
      </c>
      <c r="L141" s="81">
        <f t="shared" si="37"/>
        <v>5.7042004950000003</v>
      </c>
      <c r="M141" s="82">
        <f t="shared" ref="M141:M147" si="69">TRUNC(F141*L141,2)</f>
        <v>0</v>
      </c>
      <c r="N141" s="82">
        <f t="shared" ref="N141:N147" si="70">TRUNC(G141*L141,2)</f>
        <v>0</v>
      </c>
      <c r="O141" s="82">
        <f>N141+'BM 009'!O141</f>
        <v>0</v>
      </c>
      <c r="P141" s="80">
        <f t="shared" ref="P141:P147" si="71">E141*K141</f>
        <v>117057.55500000001</v>
      </c>
      <c r="Q141" s="82">
        <f t="shared" ref="Q141:Q147" si="72">TRUNC(E141*L141,2)</f>
        <v>148382.16</v>
      </c>
      <c r="R141" s="82">
        <f t="shared" ref="R141:R147" si="73">Q141-O141</f>
        <v>148382.16</v>
      </c>
    </row>
    <row r="142" spans="2:21" s="34" customFormat="1" ht="69">
      <c r="B142" s="87" t="s">
        <v>277</v>
      </c>
      <c r="C142" s="88" t="s">
        <v>278</v>
      </c>
      <c r="D142" s="89" t="s">
        <v>79</v>
      </c>
      <c r="E142" s="90">
        <f>E145+E146</f>
        <v>462.83</v>
      </c>
      <c r="F142" s="91"/>
      <c r="G142" s="91"/>
      <c r="H142" s="91"/>
      <c r="I142" s="79">
        <f>SUM(G142:H142)+'BM 009'!I142</f>
        <v>0</v>
      </c>
      <c r="J142" s="91">
        <f t="shared" si="39"/>
        <v>462.83</v>
      </c>
      <c r="K142" s="84">
        <v>30</v>
      </c>
      <c r="L142" s="81">
        <f t="shared" si="37"/>
        <v>38.028003300000002</v>
      </c>
      <c r="M142" s="82">
        <f t="shared" si="69"/>
        <v>0</v>
      </c>
      <c r="N142" s="82">
        <f t="shared" si="70"/>
        <v>0</v>
      </c>
      <c r="O142" s="82">
        <f>N142+'BM 009'!O142</f>
        <v>0</v>
      </c>
      <c r="P142" s="80">
        <f t="shared" si="71"/>
        <v>13884.9</v>
      </c>
      <c r="Q142" s="82">
        <f t="shared" si="72"/>
        <v>17600.5</v>
      </c>
      <c r="R142" s="82">
        <f t="shared" si="73"/>
        <v>17600.5</v>
      </c>
    </row>
    <row r="143" spans="2:21" s="34" customFormat="1" ht="69">
      <c r="B143" s="87" t="s">
        <v>279</v>
      </c>
      <c r="C143" s="88" t="s">
        <v>280</v>
      </c>
      <c r="D143" s="89" t="s">
        <v>79</v>
      </c>
      <c r="E143" s="90">
        <f>E141-E142-E147</f>
        <v>25418.329999999998</v>
      </c>
      <c r="F143" s="91"/>
      <c r="G143" s="91"/>
      <c r="H143" s="91"/>
      <c r="I143" s="79">
        <f>SUM(G143:H143)+'BM 009'!I143</f>
        <v>0</v>
      </c>
      <c r="J143" s="91">
        <f t="shared" si="39"/>
        <v>25418.329999999998</v>
      </c>
      <c r="K143" s="84">
        <v>33.65</v>
      </c>
      <c r="L143" s="81">
        <f t="shared" si="37"/>
        <v>42.654743701500003</v>
      </c>
      <c r="M143" s="82">
        <f t="shared" si="69"/>
        <v>0</v>
      </c>
      <c r="N143" s="82">
        <f t="shared" si="70"/>
        <v>0</v>
      </c>
      <c r="O143" s="82">
        <f>N143+'BM 009'!O143</f>
        <v>0</v>
      </c>
      <c r="P143" s="80">
        <f t="shared" si="71"/>
        <v>855326.80449999985</v>
      </c>
      <c r="Q143" s="82">
        <f t="shared" si="72"/>
        <v>1084212.3500000001</v>
      </c>
      <c r="R143" s="82">
        <f t="shared" si="73"/>
        <v>1084212.3500000001</v>
      </c>
    </row>
    <row r="144" spans="2:21" s="34" customFormat="1" ht="23.4">
      <c r="B144" s="87" t="s">
        <v>281</v>
      </c>
      <c r="C144" s="88" t="s">
        <v>282</v>
      </c>
      <c r="D144" s="89" t="s">
        <v>79</v>
      </c>
      <c r="E144" s="90">
        <v>1328.83</v>
      </c>
      <c r="F144" s="91"/>
      <c r="G144" s="91"/>
      <c r="H144" s="91"/>
      <c r="I144" s="79">
        <f>SUM(G144:H144)+'BM 009'!I144</f>
        <v>0</v>
      </c>
      <c r="J144" s="91">
        <f t="shared" si="39"/>
        <v>1328.83</v>
      </c>
      <c r="K144" s="84">
        <v>162.54</v>
      </c>
      <c r="L144" s="81">
        <f t="shared" si="37"/>
        <v>206.0357218794</v>
      </c>
      <c r="M144" s="82">
        <f t="shared" si="69"/>
        <v>0</v>
      </c>
      <c r="N144" s="82">
        <f t="shared" si="70"/>
        <v>0</v>
      </c>
      <c r="O144" s="82">
        <f>N144+'BM 009'!O144</f>
        <v>0</v>
      </c>
      <c r="P144" s="80">
        <f t="shared" si="71"/>
        <v>215988.02819999997</v>
      </c>
      <c r="Q144" s="82">
        <f t="shared" si="72"/>
        <v>273786.44</v>
      </c>
      <c r="R144" s="82">
        <f t="shared" si="73"/>
        <v>273786.44</v>
      </c>
    </row>
    <row r="145" spans="2:18" s="34" customFormat="1" ht="46.2">
      <c r="B145" s="87" t="s">
        <v>283</v>
      </c>
      <c r="C145" s="88" t="s">
        <v>284</v>
      </c>
      <c r="D145" s="89" t="s">
        <v>79</v>
      </c>
      <c r="E145" s="92">
        <v>392.83</v>
      </c>
      <c r="F145" s="91"/>
      <c r="G145" s="91"/>
      <c r="H145" s="91"/>
      <c r="I145" s="79">
        <f>SUM(G145:H145)+'BM 009'!I145</f>
        <v>0</v>
      </c>
      <c r="J145" s="91">
        <f t="shared" si="39"/>
        <v>392.83</v>
      </c>
      <c r="K145" s="84">
        <v>148</v>
      </c>
      <c r="L145" s="81">
        <f t="shared" si="37"/>
        <v>187.60481628000002</v>
      </c>
      <c r="M145" s="82">
        <f t="shared" si="69"/>
        <v>0</v>
      </c>
      <c r="N145" s="82">
        <f t="shared" si="70"/>
        <v>0</v>
      </c>
      <c r="O145" s="82">
        <f>N145+'BM 009'!O145</f>
        <v>0</v>
      </c>
      <c r="P145" s="80">
        <f t="shared" si="71"/>
        <v>58138.84</v>
      </c>
      <c r="Q145" s="82">
        <f t="shared" si="72"/>
        <v>73696.789999999994</v>
      </c>
      <c r="R145" s="82">
        <f t="shared" si="73"/>
        <v>73696.789999999994</v>
      </c>
    </row>
    <row r="146" spans="2:18" s="34" customFormat="1" ht="13.2">
      <c r="B146" s="87" t="s">
        <v>285</v>
      </c>
      <c r="C146" s="88" t="s">
        <v>286</v>
      </c>
      <c r="D146" s="89" t="s">
        <v>79</v>
      </c>
      <c r="E146" s="92">
        <v>70</v>
      </c>
      <c r="F146" s="91"/>
      <c r="G146" s="91"/>
      <c r="H146" s="91"/>
      <c r="I146" s="79">
        <f>SUM(G146:H146)+'BM 009'!I146</f>
        <v>0</v>
      </c>
      <c r="J146" s="91">
        <f t="shared" si="39"/>
        <v>70</v>
      </c>
      <c r="K146" s="84">
        <v>740</v>
      </c>
      <c r="L146" s="81">
        <f t="shared" si="37"/>
        <v>938.0240814</v>
      </c>
      <c r="M146" s="82">
        <f t="shared" si="69"/>
        <v>0</v>
      </c>
      <c r="N146" s="82">
        <f t="shared" si="70"/>
        <v>0</v>
      </c>
      <c r="O146" s="82">
        <f>N146+'BM 009'!O146</f>
        <v>0</v>
      </c>
      <c r="P146" s="80">
        <f t="shared" si="71"/>
        <v>51800</v>
      </c>
      <c r="Q146" s="82">
        <f t="shared" si="72"/>
        <v>65661.679999999993</v>
      </c>
      <c r="R146" s="82">
        <f t="shared" si="73"/>
        <v>65661.679999999993</v>
      </c>
    </row>
    <row r="147" spans="2:18" s="34" customFormat="1" ht="13.2">
      <c r="B147" s="87" t="s">
        <v>287</v>
      </c>
      <c r="C147" s="88" t="s">
        <v>288</v>
      </c>
      <c r="D147" s="89" t="s">
        <v>79</v>
      </c>
      <c r="E147" s="90">
        <v>131.63</v>
      </c>
      <c r="F147" s="91"/>
      <c r="G147" s="91"/>
      <c r="H147" s="91"/>
      <c r="I147" s="79">
        <f>SUM(G147:H147)+'BM 009'!I147</f>
        <v>0</v>
      </c>
      <c r="J147" s="91">
        <f t="shared" si="39"/>
        <v>131.63</v>
      </c>
      <c r="K147" s="80">
        <v>250</v>
      </c>
      <c r="L147" s="81">
        <f t="shared" si="37"/>
        <v>316.90002750000002</v>
      </c>
      <c r="M147" s="82">
        <f t="shared" si="69"/>
        <v>0</v>
      </c>
      <c r="N147" s="82">
        <f t="shared" si="70"/>
        <v>0</v>
      </c>
      <c r="O147" s="82">
        <f>N147+'BM 009'!O147</f>
        <v>0</v>
      </c>
      <c r="P147" s="80">
        <f t="shared" si="71"/>
        <v>32907.5</v>
      </c>
      <c r="Q147" s="82">
        <f t="shared" si="72"/>
        <v>41713.550000000003</v>
      </c>
      <c r="R147" s="82">
        <f t="shared" si="73"/>
        <v>41713.550000000003</v>
      </c>
    </row>
    <row r="148" spans="2:18" s="34" customFormat="1" ht="13.2">
      <c r="B148" s="66" t="s">
        <v>289</v>
      </c>
      <c r="C148" s="67" t="s">
        <v>290</v>
      </c>
      <c r="D148" s="68"/>
      <c r="E148" s="69"/>
      <c r="F148" s="70"/>
      <c r="G148" s="70"/>
      <c r="H148" s="70"/>
      <c r="I148" s="70">
        <f>SUM(G148:H148)+'BM 009'!I148</f>
        <v>0</v>
      </c>
      <c r="J148" s="70">
        <f t="shared" si="39"/>
        <v>0</v>
      </c>
      <c r="K148" s="71"/>
      <c r="L148" s="71">
        <f t="shared" si="37"/>
        <v>0</v>
      </c>
      <c r="M148" s="73">
        <f t="shared" ref="M148:R148" si="74">SUM(M149:M154)</f>
        <v>0</v>
      </c>
      <c r="N148" s="73">
        <f t="shared" si="74"/>
        <v>0</v>
      </c>
      <c r="O148" s="73">
        <f t="shared" si="74"/>
        <v>0</v>
      </c>
      <c r="P148" s="73">
        <f t="shared" si="74"/>
        <v>1088700.21</v>
      </c>
      <c r="Q148" s="73">
        <f t="shared" si="74"/>
        <v>1380036.47</v>
      </c>
      <c r="R148" s="73">
        <f t="shared" si="74"/>
        <v>1380036.47</v>
      </c>
    </row>
    <row r="149" spans="2:18" s="34" customFormat="1" ht="57.6">
      <c r="B149" s="87" t="s">
        <v>291</v>
      </c>
      <c r="C149" s="88" t="s">
        <v>292</v>
      </c>
      <c r="D149" s="89" t="s">
        <v>79</v>
      </c>
      <c r="E149" s="90">
        <f>E151+E152+E153+E154</f>
        <v>4191.6100000000006</v>
      </c>
      <c r="F149" s="91"/>
      <c r="G149" s="91"/>
      <c r="H149" s="91"/>
      <c r="I149" s="79">
        <f>SUM(G149:H149)+'BM 009'!I149</f>
        <v>0</v>
      </c>
      <c r="J149" s="91">
        <f t="shared" si="39"/>
        <v>4191.6100000000006</v>
      </c>
      <c r="K149" s="84">
        <v>12</v>
      </c>
      <c r="L149" s="81">
        <f t="shared" si="37"/>
        <v>15.211201320000001</v>
      </c>
      <c r="M149" s="82">
        <f t="shared" ref="M149:M154" si="75">TRUNC(F149*L149,2)</f>
        <v>0</v>
      </c>
      <c r="N149" s="82">
        <f t="shared" ref="N149:N154" si="76">TRUNC(G149*L149,2)</f>
        <v>0</v>
      </c>
      <c r="O149" s="82">
        <f>N149+'BM 009'!O149</f>
        <v>0</v>
      </c>
      <c r="P149" s="80">
        <f t="shared" ref="P149:P154" si="77">E149*K149</f>
        <v>50299.320000000007</v>
      </c>
      <c r="Q149" s="82">
        <f t="shared" ref="Q149:Q154" si="78">TRUNC(E149*L149,2)</f>
        <v>63759.42</v>
      </c>
      <c r="R149" s="82">
        <f t="shared" ref="R149:R154" si="79">Q149-O149</f>
        <v>63759.42</v>
      </c>
    </row>
    <row r="150" spans="2:18" s="34" customFormat="1" ht="69">
      <c r="B150" s="87" t="s">
        <v>293</v>
      </c>
      <c r="C150" s="88" t="s">
        <v>294</v>
      </c>
      <c r="D150" s="89" t="s">
        <v>79</v>
      </c>
      <c r="E150" s="90">
        <f>E149</f>
        <v>4191.6100000000006</v>
      </c>
      <c r="F150" s="91"/>
      <c r="G150" s="91"/>
      <c r="H150" s="91"/>
      <c r="I150" s="79">
        <f>SUM(G150:H150)+'BM 009'!I150</f>
        <v>0</v>
      </c>
      <c r="J150" s="91">
        <f t="shared" si="39"/>
        <v>4191.6100000000006</v>
      </c>
      <c r="K150" s="84">
        <v>62</v>
      </c>
      <c r="L150" s="81">
        <f t="shared" si="37"/>
        <v>78.591206819999996</v>
      </c>
      <c r="M150" s="82">
        <f t="shared" si="75"/>
        <v>0</v>
      </c>
      <c r="N150" s="82">
        <f t="shared" si="76"/>
        <v>0</v>
      </c>
      <c r="O150" s="82">
        <f>N150+'BM 009'!O150</f>
        <v>0</v>
      </c>
      <c r="P150" s="80">
        <f t="shared" si="77"/>
        <v>259879.82000000004</v>
      </c>
      <c r="Q150" s="82">
        <f t="shared" si="78"/>
        <v>329423.68</v>
      </c>
      <c r="R150" s="82">
        <f t="shared" si="79"/>
        <v>329423.68</v>
      </c>
    </row>
    <row r="151" spans="2:18" s="34" customFormat="1" ht="23.4">
      <c r="B151" s="87" t="s">
        <v>295</v>
      </c>
      <c r="C151" s="88" t="s">
        <v>296</v>
      </c>
      <c r="D151" s="89" t="s">
        <v>79</v>
      </c>
      <c r="E151" s="90">
        <v>120.2</v>
      </c>
      <c r="F151" s="91"/>
      <c r="G151" s="91"/>
      <c r="H151" s="91"/>
      <c r="I151" s="79">
        <f>SUM(G151:H151)+'BM 009'!I151</f>
        <v>0</v>
      </c>
      <c r="J151" s="91">
        <f t="shared" si="39"/>
        <v>120.2</v>
      </c>
      <c r="K151" s="84">
        <v>178</v>
      </c>
      <c r="L151" s="81">
        <f t="shared" si="37"/>
        <v>225.63281958000002</v>
      </c>
      <c r="M151" s="82">
        <f t="shared" si="75"/>
        <v>0</v>
      </c>
      <c r="N151" s="82">
        <f t="shared" si="76"/>
        <v>0</v>
      </c>
      <c r="O151" s="82">
        <f>N151+'BM 009'!O151</f>
        <v>0</v>
      </c>
      <c r="P151" s="80">
        <f t="shared" si="77"/>
        <v>21395.600000000002</v>
      </c>
      <c r="Q151" s="82">
        <f t="shared" si="78"/>
        <v>27121.06</v>
      </c>
      <c r="R151" s="82">
        <f t="shared" si="79"/>
        <v>27121.06</v>
      </c>
    </row>
    <row r="152" spans="2:18" s="34" customFormat="1" ht="23.4">
      <c r="B152" s="87" t="s">
        <v>297</v>
      </c>
      <c r="C152" s="88" t="s">
        <v>298</v>
      </c>
      <c r="D152" s="89" t="s">
        <v>79</v>
      </c>
      <c r="E152" s="90">
        <v>52.6</v>
      </c>
      <c r="F152" s="91"/>
      <c r="G152" s="91"/>
      <c r="H152" s="91"/>
      <c r="I152" s="79">
        <f>SUM(G152:H152)+'BM 009'!I152</f>
        <v>0</v>
      </c>
      <c r="J152" s="91">
        <f t="shared" si="39"/>
        <v>52.6</v>
      </c>
      <c r="K152" s="84">
        <v>182</v>
      </c>
      <c r="L152" s="81">
        <f t="shared" si="37"/>
        <v>230.70322002</v>
      </c>
      <c r="M152" s="82">
        <f t="shared" si="75"/>
        <v>0</v>
      </c>
      <c r="N152" s="82">
        <f t="shared" si="76"/>
        <v>0</v>
      </c>
      <c r="O152" s="82">
        <f>N152+'BM 009'!O152</f>
        <v>0</v>
      </c>
      <c r="P152" s="80">
        <f t="shared" si="77"/>
        <v>9573.2000000000007</v>
      </c>
      <c r="Q152" s="82">
        <f t="shared" si="78"/>
        <v>12134.98</v>
      </c>
      <c r="R152" s="82">
        <f t="shared" si="79"/>
        <v>12134.98</v>
      </c>
    </row>
    <row r="153" spans="2:18" s="34" customFormat="1" ht="23.4">
      <c r="B153" s="87" t="s">
        <v>299</v>
      </c>
      <c r="C153" s="88" t="s">
        <v>300</v>
      </c>
      <c r="D153" s="89" t="s">
        <v>79</v>
      </c>
      <c r="E153" s="90">
        <v>2811.38</v>
      </c>
      <c r="F153" s="91"/>
      <c r="G153" s="91"/>
      <c r="H153" s="91"/>
      <c r="I153" s="79">
        <f>SUM(G153:H153)+'BM 009'!I153</f>
        <v>0</v>
      </c>
      <c r="J153" s="91">
        <f t="shared" si="39"/>
        <v>2811.38</v>
      </c>
      <c r="K153" s="84">
        <v>177</v>
      </c>
      <c r="L153" s="81">
        <f t="shared" si="37"/>
        <v>224.36521947</v>
      </c>
      <c r="M153" s="82">
        <f t="shared" si="75"/>
        <v>0</v>
      </c>
      <c r="N153" s="82">
        <f t="shared" si="76"/>
        <v>0</v>
      </c>
      <c r="O153" s="82">
        <f>N153+'BM 009'!O153</f>
        <v>0</v>
      </c>
      <c r="P153" s="80">
        <f t="shared" si="77"/>
        <v>497614.26</v>
      </c>
      <c r="Q153" s="82">
        <f t="shared" si="78"/>
        <v>630775.89</v>
      </c>
      <c r="R153" s="82">
        <f t="shared" si="79"/>
        <v>630775.89</v>
      </c>
    </row>
    <row r="154" spans="2:18" s="34" customFormat="1" ht="23.4">
      <c r="B154" s="87" t="s">
        <v>301</v>
      </c>
      <c r="C154" s="88" t="s">
        <v>302</v>
      </c>
      <c r="D154" s="89" t="s">
        <v>79</v>
      </c>
      <c r="E154" s="90">
        <v>1207.43</v>
      </c>
      <c r="F154" s="91"/>
      <c r="G154" s="91"/>
      <c r="H154" s="91"/>
      <c r="I154" s="79">
        <f>SUM(G154:H154)+'BM 009'!I154</f>
        <v>0</v>
      </c>
      <c r="J154" s="91">
        <f t="shared" si="39"/>
        <v>1207.43</v>
      </c>
      <c r="K154" s="84">
        <v>207</v>
      </c>
      <c r="L154" s="81">
        <f t="shared" si="37"/>
        <v>262.39322277000002</v>
      </c>
      <c r="M154" s="82">
        <f t="shared" si="75"/>
        <v>0</v>
      </c>
      <c r="N154" s="82">
        <f t="shared" si="76"/>
        <v>0</v>
      </c>
      <c r="O154" s="82">
        <f>N154+'BM 009'!O154</f>
        <v>0</v>
      </c>
      <c r="P154" s="80">
        <f t="shared" si="77"/>
        <v>249938.01</v>
      </c>
      <c r="Q154" s="82">
        <f t="shared" si="78"/>
        <v>316821.44</v>
      </c>
      <c r="R154" s="82">
        <f t="shared" si="79"/>
        <v>316821.44</v>
      </c>
    </row>
    <row r="155" spans="2:18" s="34" customFormat="1" ht="13.2">
      <c r="B155" s="60" t="s">
        <v>303</v>
      </c>
      <c r="C155" s="61" t="s">
        <v>304</v>
      </c>
      <c r="D155" s="60"/>
      <c r="E155" s="62"/>
      <c r="F155" s="63"/>
      <c r="G155" s="63"/>
      <c r="H155" s="63"/>
      <c r="I155" s="63">
        <f>SUM(G155:H155)+'BM 009'!I155</f>
        <v>0</v>
      </c>
      <c r="J155" s="63">
        <f t="shared" si="39"/>
        <v>0</v>
      </c>
      <c r="K155" s="63"/>
      <c r="L155" s="63">
        <f t="shared" si="37"/>
        <v>0</v>
      </c>
      <c r="M155" s="63">
        <f t="shared" ref="M155:R155" si="80">SUM(M156,M165)</f>
        <v>0</v>
      </c>
      <c r="N155" s="63">
        <f t="shared" si="80"/>
        <v>0</v>
      </c>
      <c r="O155" s="63">
        <f t="shared" si="80"/>
        <v>0</v>
      </c>
      <c r="P155" s="63">
        <f t="shared" si="80"/>
        <v>800757.83000000007</v>
      </c>
      <c r="Q155" s="63">
        <f t="shared" si="80"/>
        <v>1015040.66</v>
      </c>
      <c r="R155" s="63">
        <f t="shared" si="80"/>
        <v>1015040.66</v>
      </c>
    </row>
    <row r="156" spans="2:18" s="34" customFormat="1" ht="13.2">
      <c r="B156" s="66" t="s">
        <v>305</v>
      </c>
      <c r="C156" s="67" t="s">
        <v>306</v>
      </c>
      <c r="D156" s="68"/>
      <c r="E156" s="69"/>
      <c r="F156" s="70"/>
      <c r="G156" s="70"/>
      <c r="H156" s="70"/>
      <c r="I156" s="70">
        <f>SUM(G156:H156)+'BM 009'!I156</f>
        <v>0</v>
      </c>
      <c r="J156" s="70">
        <f t="shared" si="39"/>
        <v>0</v>
      </c>
      <c r="K156" s="71"/>
      <c r="L156" s="71">
        <f t="shared" si="37"/>
        <v>0</v>
      </c>
      <c r="M156" s="73">
        <f t="shared" ref="M156:R156" si="81">SUM(M157:M164)</f>
        <v>0</v>
      </c>
      <c r="N156" s="73">
        <f t="shared" si="81"/>
        <v>0</v>
      </c>
      <c r="O156" s="73">
        <f t="shared" si="81"/>
        <v>0</v>
      </c>
      <c r="P156" s="73">
        <f t="shared" si="81"/>
        <v>737633.33000000007</v>
      </c>
      <c r="Q156" s="73">
        <f t="shared" si="81"/>
        <v>935024.05</v>
      </c>
      <c r="R156" s="73">
        <f t="shared" si="81"/>
        <v>935024.05</v>
      </c>
    </row>
    <row r="157" spans="2:18" s="34" customFormat="1" ht="57.6">
      <c r="B157" s="87" t="s">
        <v>307</v>
      </c>
      <c r="C157" s="88" t="s">
        <v>308</v>
      </c>
      <c r="D157" s="89" t="s">
        <v>79</v>
      </c>
      <c r="E157" s="103">
        <v>7166.75</v>
      </c>
      <c r="F157" s="84"/>
      <c r="G157" s="84"/>
      <c r="H157" s="84"/>
      <c r="I157" s="79">
        <f>SUM(G157:H157)+'BM 009'!I157</f>
        <v>0</v>
      </c>
      <c r="J157" s="84">
        <f t="shared" si="39"/>
        <v>7166.75</v>
      </c>
      <c r="K157" s="84">
        <v>42.2</v>
      </c>
      <c r="L157" s="81">
        <f t="shared" ref="L157:L220" si="82">K157*(1+$T$26)</f>
        <v>53.492724642000006</v>
      </c>
      <c r="M157" s="82">
        <f t="shared" ref="M157:M164" si="83">TRUNC(F157*L157,2)</f>
        <v>0</v>
      </c>
      <c r="N157" s="82">
        <f t="shared" ref="N157:N164" si="84">TRUNC(G157*L157,2)</f>
        <v>0</v>
      </c>
      <c r="O157" s="82">
        <f>N157+'BM 009'!O157</f>
        <v>0</v>
      </c>
      <c r="P157" s="80">
        <f t="shared" ref="P157:P164" si="85">E157*K157</f>
        <v>302436.85000000003</v>
      </c>
      <c r="Q157" s="82">
        <f t="shared" ref="Q157:Q164" si="86">TRUNC(E157*L157,2)</f>
        <v>383368.98</v>
      </c>
      <c r="R157" s="82">
        <f t="shared" ref="R157:R164" si="87">Q157-O157</f>
        <v>383368.98</v>
      </c>
    </row>
    <row r="158" spans="2:18" s="34" customFormat="1" ht="46.2">
      <c r="B158" s="87" t="s">
        <v>309</v>
      </c>
      <c r="C158" s="88" t="s">
        <v>310</v>
      </c>
      <c r="D158" s="89" t="s">
        <v>79</v>
      </c>
      <c r="E158" s="104">
        <v>520.1</v>
      </c>
      <c r="F158" s="80"/>
      <c r="G158" s="80"/>
      <c r="H158" s="80"/>
      <c r="I158" s="79">
        <f>SUM(G158:H158)+'BM 009'!I158</f>
        <v>0</v>
      </c>
      <c r="J158" s="80">
        <f t="shared" si="39"/>
        <v>520.1</v>
      </c>
      <c r="K158" s="105">
        <v>35.200000000000003</v>
      </c>
      <c r="L158" s="81">
        <f t="shared" si="82"/>
        <v>44.619523872000009</v>
      </c>
      <c r="M158" s="82">
        <f t="shared" si="83"/>
        <v>0</v>
      </c>
      <c r="N158" s="82">
        <f t="shared" si="84"/>
        <v>0</v>
      </c>
      <c r="O158" s="82">
        <f>N158+'BM 009'!O158</f>
        <v>0</v>
      </c>
      <c r="P158" s="80">
        <f t="shared" si="85"/>
        <v>18307.520000000004</v>
      </c>
      <c r="Q158" s="82">
        <f t="shared" si="86"/>
        <v>23206.61</v>
      </c>
      <c r="R158" s="82">
        <f t="shared" si="87"/>
        <v>23206.61</v>
      </c>
    </row>
    <row r="159" spans="2:18" s="34" customFormat="1" ht="34.799999999999997">
      <c r="B159" s="87" t="s">
        <v>311</v>
      </c>
      <c r="C159" s="88" t="s">
        <v>312</v>
      </c>
      <c r="D159" s="89" t="s">
        <v>79</v>
      </c>
      <c r="E159" s="103">
        <v>1225.0999999999999</v>
      </c>
      <c r="F159" s="84"/>
      <c r="G159" s="84"/>
      <c r="H159" s="84"/>
      <c r="I159" s="79">
        <f>SUM(G159:H159)+'BM 009'!I159</f>
        <v>0</v>
      </c>
      <c r="J159" s="84">
        <f t="shared" ref="J159:J222" si="88">E159-I159</f>
        <v>1225.0999999999999</v>
      </c>
      <c r="K159" s="105">
        <v>60</v>
      </c>
      <c r="L159" s="81">
        <f t="shared" si="82"/>
        <v>76.056006600000003</v>
      </c>
      <c r="M159" s="82">
        <f t="shared" si="83"/>
        <v>0</v>
      </c>
      <c r="N159" s="82">
        <f t="shared" si="84"/>
        <v>0</v>
      </c>
      <c r="O159" s="82">
        <f>N159+'BM 009'!O159</f>
        <v>0</v>
      </c>
      <c r="P159" s="80">
        <f t="shared" si="85"/>
        <v>73506</v>
      </c>
      <c r="Q159" s="82">
        <f t="shared" si="86"/>
        <v>93176.21</v>
      </c>
      <c r="R159" s="82">
        <f t="shared" si="87"/>
        <v>93176.21</v>
      </c>
    </row>
    <row r="160" spans="2:18" s="34" customFormat="1" ht="46.2">
      <c r="B160" s="87" t="s">
        <v>313</v>
      </c>
      <c r="C160" s="88" t="s">
        <v>284</v>
      </c>
      <c r="D160" s="89" t="s">
        <v>79</v>
      </c>
      <c r="E160" s="106">
        <v>937</v>
      </c>
      <c r="F160" s="84"/>
      <c r="G160" s="84"/>
      <c r="H160" s="84"/>
      <c r="I160" s="79">
        <f>SUM(G160:H160)+'BM 009'!I160</f>
        <v>0</v>
      </c>
      <c r="J160" s="84">
        <f t="shared" si="88"/>
        <v>937</v>
      </c>
      <c r="K160" s="105">
        <v>158</v>
      </c>
      <c r="L160" s="81">
        <f t="shared" si="82"/>
        <v>200.28081738</v>
      </c>
      <c r="M160" s="82">
        <f t="shared" si="83"/>
        <v>0</v>
      </c>
      <c r="N160" s="82">
        <f t="shared" si="84"/>
        <v>0</v>
      </c>
      <c r="O160" s="82">
        <f>N160+'BM 009'!O160</f>
        <v>0</v>
      </c>
      <c r="P160" s="80">
        <f t="shared" si="85"/>
        <v>148046</v>
      </c>
      <c r="Q160" s="82">
        <f t="shared" si="86"/>
        <v>187663.12</v>
      </c>
      <c r="R160" s="82">
        <f t="shared" si="87"/>
        <v>187663.12</v>
      </c>
    </row>
    <row r="161" spans="2:18" s="34" customFormat="1" ht="46.2">
      <c r="B161" s="87" t="s">
        <v>314</v>
      </c>
      <c r="C161" s="88" t="s">
        <v>315</v>
      </c>
      <c r="D161" s="89" t="s">
        <v>79</v>
      </c>
      <c r="E161" s="106">
        <v>720.69</v>
      </c>
      <c r="F161" s="84"/>
      <c r="G161" s="84"/>
      <c r="H161" s="84"/>
      <c r="I161" s="79">
        <f>SUM(G161:H161)+'BM 009'!I161</f>
        <v>0</v>
      </c>
      <c r="J161" s="84">
        <f t="shared" si="88"/>
        <v>720.69</v>
      </c>
      <c r="K161" s="84">
        <v>185</v>
      </c>
      <c r="L161" s="81">
        <f t="shared" si="82"/>
        <v>234.50602035</v>
      </c>
      <c r="M161" s="82">
        <f t="shared" si="83"/>
        <v>0</v>
      </c>
      <c r="N161" s="82">
        <f t="shared" si="84"/>
        <v>0</v>
      </c>
      <c r="O161" s="82">
        <f>N161+'BM 009'!O161</f>
        <v>0</v>
      </c>
      <c r="P161" s="80">
        <f t="shared" si="85"/>
        <v>133327.65000000002</v>
      </c>
      <c r="Q161" s="82">
        <f t="shared" si="86"/>
        <v>169006.14</v>
      </c>
      <c r="R161" s="82">
        <f t="shared" si="87"/>
        <v>169006.14</v>
      </c>
    </row>
    <row r="162" spans="2:18" s="34" customFormat="1" ht="23.4">
      <c r="B162" s="87" t="s">
        <v>316</v>
      </c>
      <c r="C162" s="88" t="s">
        <v>317</v>
      </c>
      <c r="D162" s="89" t="s">
        <v>79</v>
      </c>
      <c r="E162" s="103">
        <v>50.69</v>
      </c>
      <c r="F162" s="84"/>
      <c r="G162" s="84"/>
      <c r="H162" s="84"/>
      <c r="I162" s="79">
        <f>SUM(G162:H162)+'BM 009'!I162</f>
        <v>0</v>
      </c>
      <c r="J162" s="84">
        <f t="shared" si="88"/>
        <v>50.69</v>
      </c>
      <c r="K162" s="84">
        <v>765</v>
      </c>
      <c r="L162" s="81">
        <f t="shared" si="82"/>
        <v>969.71408415000008</v>
      </c>
      <c r="M162" s="82">
        <f t="shared" si="83"/>
        <v>0</v>
      </c>
      <c r="N162" s="82">
        <f t="shared" si="84"/>
        <v>0</v>
      </c>
      <c r="O162" s="82">
        <f>N162+'BM 009'!O162</f>
        <v>0</v>
      </c>
      <c r="P162" s="80">
        <f t="shared" si="85"/>
        <v>38777.85</v>
      </c>
      <c r="Q162" s="82">
        <f t="shared" si="86"/>
        <v>49154.8</v>
      </c>
      <c r="R162" s="82">
        <f t="shared" si="87"/>
        <v>49154.8</v>
      </c>
    </row>
    <row r="163" spans="2:18" s="34" customFormat="1" ht="23.4">
      <c r="B163" s="87" t="s">
        <v>318</v>
      </c>
      <c r="C163" s="88" t="s">
        <v>319</v>
      </c>
      <c r="D163" s="89" t="s">
        <v>124</v>
      </c>
      <c r="E163" s="106">
        <v>36</v>
      </c>
      <c r="F163" s="84"/>
      <c r="G163" s="84"/>
      <c r="H163" s="84"/>
      <c r="I163" s="79">
        <f>SUM(G163:H163)+'BM 009'!I163</f>
        <v>0</v>
      </c>
      <c r="J163" s="84">
        <f t="shared" si="88"/>
        <v>36</v>
      </c>
      <c r="K163" s="84">
        <v>134</v>
      </c>
      <c r="L163" s="81">
        <f t="shared" si="82"/>
        <v>169.85841474</v>
      </c>
      <c r="M163" s="82">
        <f t="shared" si="83"/>
        <v>0</v>
      </c>
      <c r="N163" s="82">
        <f t="shared" si="84"/>
        <v>0</v>
      </c>
      <c r="O163" s="82">
        <f>N163+'BM 009'!O163</f>
        <v>0</v>
      </c>
      <c r="P163" s="80">
        <f t="shared" si="85"/>
        <v>4824</v>
      </c>
      <c r="Q163" s="82">
        <f t="shared" si="86"/>
        <v>6114.9</v>
      </c>
      <c r="R163" s="82">
        <f t="shared" si="87"/>
        <v>6114.9</v>
      </c>
    </row>
    <row r="164" spans="2:18" s="34" customFormat="1" ht="13.2">
      <c r="B164" s="87" t="s">
        <v>320</v>
      </c>
      <c r="C164" s="88" t="s">
        <v>321</v>
      </c>
      <c r="D164" s="89" t="s">
        <v>124</v>
      </c>
      <c r="E164" s="106">
        <v>123.54</v>
      </c>
      <c r="F164" s="84"/>
      <c r="G164" s="84"/>
      <c r="H164" s="84"/>
      <c r="I164" s="79">
        <f>SUM(G164:H164)+'BM 009'!I164</f>
        <v>0</v>
      </c>
      <c r="J164" s="84">
        <f t="shared" si="88"/>
        <v>123.54</v>
      </c>
      <c r="K164" s="84">
        <v>149</v>
      </c>
      <c r="L164" s="81">
        <f t="shared" si="82"/>
        <v>188.87241639000001</v>
      </c>
      <c r="M164" s="82">
        <f t="shared" si="83"/>
        <v>0</v>
      </c>
      <c r="N164" s="82">
        <f t="shared" si="84"/>
        <v>0</v>
      </c>
      <c r="O164" s="82">
        <f>N164+'BM 009'!O164</f>
        <v>0</v>
      </c>
      <c r="P164" s="80">
        <f t="shared" si="85"/>
        <v>18407.46</v>
      </c>
      <c r="Q164" s="82">
        <f t="shared" si="86"/>
        <v>23333.29</v>
      </c>
      <c r="R164" s="82">
        <f t="shared" si="87"/>
        <v>23333.29</v>
      </c>
    </row>
    <row r="165" spans="2:18" s="34" customFormat="1" ht="13.2">
      <c r="B165" s="66" t="s">
        <v>322</v>
      </c>
      <c r="C165" s="67" t="s">
        <v>323</v>
      </c>
      <c r="D165" s="68"/>
      <c r="E165" s="69"/>
      <c r="F165" s="70"/>
      <c r="G165" s="70"/>
      <c r="H165" s="70"/>
      <c r="I165" s="70">
        <f>SUM(G165:H165)+'BM 009'!I165</f>
        <v>0</v>
      </c>
      <c r="J165" s="70">
        <f t="shared" si="88"/>
        <v>0</v>
      </c>
      <c r="K165" s="71"/>
      <c r="L165" s="71">
        <f t="shared" si="82"/>
        <v>0</v>
      </c>
      <c r="M165" s="73">
        <f t="shared" ref="M165:R165" si="89">SUM(M166:M169)</f>
        <v>0</v>
      </c>
      <c r="N165" s="73">
        <f t="shared" si="89"/>
        <v>0</v>
      </c>
      <c r="O165" s="73">
        <f t="shared" si="89"/>
        <v>0</v>
      </c>
      <c r="P165" s="73">
        <f t="shared" si="89"/>
        <v>63124.5</v>
      </c>
      <c r="Q165" s="73">
        <f t="shared" si="89"/>
        <v>80016.61</v>
      </c>
      <c r="R165" s="73">
        <f t="shared" si="89"/>
        <v>80016.61</v>
      </c>
    </row>
    <row r="166" spans="2:18" s="34" customFormat="1" ht="34.799999999999997">
      <c r="B166" s="87" t="s">
        <v>324</v>
      </c>
      <c r="C166" s="88" t="s">
        <v>325</v>
      </c>
      <c r="D166" s="89" t="s">
        <v>79</v>
      </c>
      <c r="E166" s="90">
        <v>290.89999999999998</v>
      </c>
      <c r="F166" s="91"/>
      <c r="G166" s="91"/>
      <c r="H166" s="91"/>
      <c r="I166" s="79">
        <f>SUM(G166:H166)+'BM 009'!I166</f>
        <v>0</v>
      </c>
      <c r="J166" s="91">
        <f t="shared" si="88"/>
        <v>290.89999999999998</v>
      </c>
      <c r="K166" s="84">
        <v>105</v>
      </c>
      <c r="L166" s="81">
        <f t="shared" si="82"/>
        <v>133.09801155</v>
      </c>
      <c r="M166" s="82">
        <f>TRUNC(F166*L166,2)</f>
        <v>0</v>
      </c>
      <c r="N166" s="82">
        <f>TRUNC(G166*L166,2)</f>
        <v>0</v>
      </c>
      <c r="O166" s="82">
        <f>N166+'BM 009'!O166</f>
        <v>0</v>
      </c>
      <c r="P166" s="80">
        <f>E166*K166</f>
        <v>30544.499999999996</v>
      </c>
      <c r="Q166" s="82">
        <f>TRUNC(E166*L166,2)</f>
        <v>38718.21</v>
      </c>
      <c r="R166" s="82">
        <f>Q166-O166</f>
        <v>38718.21</v>
      </c>
    </row>
    <row r="167" spans="2:18" s="34" customFormat="1" ht="34.799999999999997">
      <c r="B167" s="87" t="s">
        <v>326</v>
      </c>
      <c r="C167" s="88" t="s">
        <v>327</v>
      </c>
      <c r="D167" s="89" t="s">
        <v>79</v>
      </c>
      <c r="E167" s="90">
        <v>230</v>
      </c>
      <c r="F167" s="91"/>
      <c r="G167" s="91"/>
      <c r="H167" s="91"/>
      <c r="I167" s="79">
        <f>SUM(G167:H167)+'BM 009'!I167</f>
        <v>0</v>
      </c>
      <c r="J167" s="91">
        <f t="shared" si="88"/>
        <v>230</v>
      </c>
      <c r="K167" s="84">
        <v>90</v>
      </c>
      <c r="L167" s="81">
        <f t="shared" si="82"/>
        <v>114.08400990000001</v>
      </c>
      <c r="M167" s="82">
        <f>TRUNC(F167*L167,2)</f>
        <v>0</v>
      </c>
      <c r="N167" s="82">
        <f>TRUNC(G167*L167,2)</f>
        <v>0</v>
      </c>
      <c r="O167" s="82">
        <f>N167+'BM 009'!O167</f>
        <v>0</v>
      </c>
      <c r="P167" s="80">
        <f>E167*K167</f>
        <v>20700</v>
      </c>
      <c r="Q167" s="82">
        <f>TRUNC(E167*L167,2)</f>
        <v>26239.32</v>
      </c>
      <c r="R167" s="82">
        <f>Q167-O167</f>
        <v>26239.32</v>
      </c>
    </row>
    <row r="168" spans="2:18" s="34" customFormat="1" ht="23.4">
      <c r="B168" s="87" t="s">
        <v>328</v>
      </c>
      <c r="C168" s="88" t="s">
        <v>329</v>
      </c>
      <c r="D168" s="89" t="s">
        <v>82</v>
      </c>
      <c r="E168" s="90">
        <v>72</v>
      </c>
      <c r="F168" s="91"/>
      <c r="G168" s="91"/>
      <c r="H168" s="91"/>
      <c r="I168" s="79">
        <f>SUM(G168:H168)+'BM 009'!I168</f>
        <v>0</v>
      </c>
      <c r="J168" s="91">
        <f t="shared" si="88"/>
        <v>72</v>
      </c>
      <c r="K168" s="84">
        <v>120</v>
      </c>
      <c r="L168" s="81">
        <f t="shared" si="82"/>
        <v>152.11201320000001</v>
      </c>
      <c r="M168" s="82">
        <f>TRUNC(F168*L168,2)</f>
        <v>0</v>
      </c>
      <c r="N168" s="82">
        <f>TRUNC(G168*L168,2)</f>
        <v>0</v>
      </c>
      <c r="O168" s="82">
        <f>N168+'BM 009'!O168</f>
        <v>0</v>
      </c>
      <c r="P168" s="80">
        <f>E168*K168</f>
        <v>8640</v>
      </c>
      <c r="Q168" s="82">
        <f>TRUNC(E168*L168,2)</f>
        <v>10952.06</v>
      </c>
      <c r="R168" s="82">
        <f>Q168-O168</f>
        <v>10952.06</v>
      </c>
    </row>
    <row r="169" spans="2:18" s="34" customFormat="1" ht="34.799999999999997">
      <c r="B169" s="87" t="s">
        <v>330</v>
      </c>
      <c r="C169" s="88" t="s">
        <v>331</v>
      </c>
      <c r="D169" s="89" t="s">
        <v>82</v>
      </c>
      <c r="E169" s="90">
        <v>72</v>
      </c>
      <c r="F169" s="91"/>
      <c r="G169" s="91"/>
      <c r="H169" s="91"/>
      <c r="I169" s="79">
        <f>SUM(G169:H169)+'BM 009'!I169</f>
        <v>0</v>
      </c>
      <c r="J169" s="91">
        <f t="shared" si="88"/>
        <v>72</v>
      </c>
      <c r="K169" s="84">
        <v>45</v>
      </c>
      <c r="L169" s="81">
        <f t="shared" si="82"/>
        <v>57.042004950000006</v>
      </c>
      <c r="M169" s="82">
        <f>TRUNC(F169*L169,2)</f>
        <v>0</v>
      </c>
      <c r="N169" s="82">
        <f>TRUNC(G169*L169,2)</f>
        <v>0</v>
      </c>
      <c r="O169" s="82">
        <f>N169+'BM 009'!O169</f>
        <v>0</v>
      </c>
      <c r="P169" s="80">
        <f>E169*K169</f>
        <v>3240</v>
      </c>
      <c r="Q169" s="82">
        <f>TRUNC(E169*L169,2)</f>
        <v>4107.0200000000004</v>
      </c>
      <c r="R169" s="82">
        <f>Q169-O169</f>
        <v>4107.0200000000004</v>
      </c>
    </row>
    <row r="170" spans="2:18" s="34" customFormat="1" ht="13.2">
      <c r="B170" s="60" t="s">
        <v>332</v>
      </c>
      <c r="C170" s="61" t="s">
        <v>333</v>
      </c>
      <c r="D170" s="60"/>
      <c r="E170" s="62"/>
      <c r="F170" s="63"/>
      <c r="G170" s="63"/>
      <c r="H170" s="63"/>
      <c r="I170" s="63">
        <f>SUM(G170:H170)+'BM 009'!I170</f>
        <v>0</v>
      </c>
      <c r="J170" s="63">
        <f t="shared" si="88"/>
        <v>0</v>
      </c>
      <c r="K170" s="63"/>
      <c r="L170" s="63">
        <f t="shared" si="82"/>
        <v>0</v>
      </c>
      <c r="M170" s="63">
        <f t="shared" ref="M170:R170" si="90">SUM(M171:M174)</f>
        <v>0</v>
      </c>
      <c r="N170" s="63">
        <f t="shared" si="90"/>
        <v>0</v>
      </c>
      <c r="O170" s="63">
        <f t="shared" si="90"/>
        <v>0</v>
      </c>
      <c r="P170" s="63">
        <f t="shared" si="90"/>
        <v>584904.20000000007</v>
      </c>
      <c r="Q170" s="63">
        <f t="shared" si="90"/>
        <v>741424.62000000011</v>
      </c>
      <c r="R170" s="63">
        <f t="shared" si="90"/>
        <v>741424.62000000011</v>
      </c>
    </row>
    <row r="171" spans="2:18" s="34" customFormat="1" ht="46.2">
      <c r="B171" s="87" t="s">
        <v>334</v>
      </c>
      <c r="C171" s="88" t="s">
        <v>335</v>
      </c>
      <c r="D171" s="89" t="s">
        <v>79</v>
      </c>
      <c r="E171" s="90">
        <v>3789.02</v>
      </c>
      <c r="F171" s="91"/>
      <c r="G171" s="91"/>
      <c r="H171" s="91"/>
      <c r="I171" s="79">
        <f>SUM(G171:H171)+'BM 009'!I171</f>
        <v>0</v>
      </c>
      <c r="J171" s="91">
        <f t="shared" si="88"/>
        <v>3789.02</v>
      </c>
      <c r="K171" s="84">
        <v>70</v>
      </c>
      <c r="L171" s="81">
        <f t="shared" si="82"/>
        <v>88.732007699999997</v>
      </c>
      <c r="M171" s="82">
        <f>TRUNC(F171*L171,2)</f>
        <v>0</v>
      </c>
      <c r="N171" s="82">
        <f>TRUNC(G171*L171,2)</f>
        <v>0</v>
      </c>
      <c r="O171" s="82">
        <f>N171+'BM 009'!O171</f>
        <v>0</v>
      </c>
      <c r="P171" s="80">
        <f>E171*K171</f>
        <v>265231.40000000002</v>
      </c>
      <c r="Q171" s="82">
        <f>TRUNC(E171*L171,2)</f>
        <v>336207.35</v>
      </c>
      <c r="R171" s="82">
        <f>Q171-O171</f>
        <v>336207.35</v>
      </c>
    </row>
    <row r="172" spans="2:18" s="34" customFormat="1" ht="23.4">
      <c r="B172" s="87" t="s">
        <v>336</v>
      </c>
      <c r="C172" s="88" t="s">
        <v>337</v>
      </c>
      <c r="D172" s="89" t="s">
        <v>79</v>
      </c>
      <c r="E172" s="90">
        <v>184.68</v>
      </c>
      <c r="F172" s="91"/>
      <c r="G172" s="91"/>
      <c r="H172" s="91"/>
      <c r="I172" s="79">
        <f>SUM(G172:H172)+'BM 009'!I172</f>
        <v>0</v>
      </c>
      <c r="J172" s="91">
        <f t="shared" si="88"/>
        <v>184.68</v>
      </c>
      <c r="K172" s="84">
        <v>735</v>
      </c>
      <c r="L172" s="81">
        <f t="shared" si="82"/>
        <v>931.68608085000005</v>
      </c>
      <c r="M172" s="82">
        <f>TRUNC(F172*L172,2)</f>
        <v>0</v>
      </c>
      <c r="N172" s="82">
        <f>TRUNC(G172*L172,2)</f>
        <v>0</v>
      </c>
      <c r="O172" s="82">
        <f>N172+'BM 009'!O172</f>
        <v>0</v>
      </c>
      <c r="P172" s="80">
        <f>E172*K172</f>
        <v>135739.80000000002</v>
      </c>
      <c r="Q172" s="82">
        <f>TRUNC(E172*L172,2)</f>
        <v>172063.78</v>
      </c>
      <c r="R172" s="82">
        <f>Q172-O172</f>
        <v>172063.78</v>
      </c>
    </row>
    <row r="173" spans="2:18" s="34" customFormat="1" ht="46.2">
      <c r="B173" s="87" t="s">
        <v>338</v>
      </c>
      <c r="C173" s="88" t="s">
        <v>339</v>
      </c>
      <c r="D173" s="89" t="s">
        <v>79</v>
      </c>
      <c r="E173" s="90">
        <v>798.6</v>
      </c>
      <c r="F173" s="91"/>
      <c r="G173" s="91"/>
      <c r="H173" s="91"/>
      <c r="I173" s="79">
        <f>SUM(G173:H173)+'BM 009'!I173</f>
        <v>0</v>
      </c>
      <c r="J173" s="91">
        <f t="shared" si="88"/>
        <v>798.6</v>
      </c>
      <c r="K173" s="84">
        <v>125</v>
      </c>
      <c r="L173" s="81">
        <f t="shared" si="82"/>
        <v>158.45001375000001</v>
      </c>
      <c r="M173" s="82">
        <f>TRUNC(F173*L173,2)</f>
        <v>0</v>
      </c>
      <c r="N173" s="82">
        <f>TRUNC(G173*L173,2)</f>
        <v>0</v>
      </c>
      <c r="O173" s="82">
        <f>N173+'BM 009'!O173</f>
        <v>0</v>
      </c>
      <c r="P173" s="80">
        <f>E173*K173</f>
        <v>99825</v>
      </c>
      <c r="Q173" s="82">
        <f>TRUNC(E173*L173,2)</f>
        <v>126538.18</v>
      </c>
      <c r="R173" s="82">
        <f>Q173-O173</f>
        <v>126538.18</v>
      </c>
    </row>
    <row r="174" spans="2:18" s="34" customFormat="1" ht="57.6">
      <c r="B174" s="87" t="s">
        <v>340</v>
      </c>
      <c r="C174" s="88" t="s">
        <v>341</v>
      </c>
      <c r="D174" s="89" t="s">
        <v>79</v>
      </c>
      <c r="E174" s="90">
        <v>489</v>
      </c>
      <c r="F174" s="91"/>
      <c r="G174" s="91"/>
      <c r="H174" s="91"/>
      <c r="I174" s="79">
        <f>SUM(G174:H174)+'BM 009'!I174</f>
        <v>0</v>
      </c>
      <c r="J174" s="91">
        <f t="shared" si="88"/>
        <v>489</v>
      </c>
      <c r="K174" s="84">
        <v>172</v>
      </c>
      <c r="L174" s="81">
        <f t="shared" si="82"/>
        <v>218.02721892</v>
      </c>
      <c r="M174" s="82">
        <f>TRUNC(F174*L174,2)</f>
        <v>0</v>
      </c>
      <c r="N174" s="82">
        <f>TRUNC(G174*L174,2)</f>
        <v>0</v>
      </c>
      <c r="O174" s="82">
        <f>N174+'BM 009'!O174</f>
        <v>0</v>
      </c>
      <c r="P174" s="80">
        <f>E174*K174</f>
        <v>84108</v>
      </c>
      <c r="Q174" s="82">
        <f>TRUNC(E174*L174,2)</f>
        <v>106615.31</v>
      </c>
      <c r="R174" s="82">
        <f>Q174-O174</f>
        <v>106615.31</v>
      </c>
    </row>
    <row r="175" spans="2:18" s="34" customFormat="1" ht="13.2">
      <c r="B175" s="60" t="s">
        <v>342</v>
      </c>
      <c r="C175" s="61" t="s">
        <v>343</v>
      </c>
      <c r="D175" s="60"/>
      <c r="E175" s="62"/>
      <c r="F175" s="63"/>
      <c r="G175" s="63"/>
      <c r="H175" s="63"/>
      <c r="I175" s="63">
        <f>SUM(G175:H175)+'BM 009'!I175</f>
        <v>0</v>
      </c>
      <c r="J175" s="63">
        <f t="shared" si="88"/>
        <v>0</v>
      </c>
      <c r="K175" s="63"/>
      <c r="L175" s="63">
        <f t="shared" si="82"/>
        <v>0</v>
      </c>
      <c r="M175" s="63">
        <f t="shared" ref="M175:R175" si="91">SUM(M176:M177)</f>
        <v>9583.0499999999993</v>
      </c>
      <c r="N175" s="63">
        <f t="shared" si="91"/>
        <v>9583.0499999999993</v>
      </c>
      <c r="O175" s="63">
        <f t="shared" si="91"/>
        <v>12649.619999999999</v>
      </c>
      <c r="P175" s="63">
        <f t="shared" si="91"/>
        <v>260085</v>
      </c>
      <c r="Q175" s="63">
        <f t="shared" si="91"/>
        <v>329683.77</v>
      </c>
      <c r="R175" s="63">
        <f t="shared" si="91"/>
        <v>317034.15000000002</v>
      </c>
    </row>
    <row r="176" spans="2:18" s="34" customFormat="1" ht="34.799999999999997">
      <c r="B176" s="87" t="s">
        <v>344</v>
      </c>
      <c r="C176" s="88" t="s">
        <v>345</v>
      </c>
      <c r="D176" s="89" t="s">
        <v>79</v>
      </c>
      <c r="E176" s="90">
        <v>1785</v>
      </c>
      <c r="F176" s="91"/>
      <c r="G176" s="91"/>
      <c r="H176" s="91"/>
      <c r="I176" s="79">
        <f>SUM(G176:H176)+'BM 009'!I176</f>
        <v>0</v>
      </c>
      <c r="J176" s="91">
        <f t="shared" si="88"/>
        <v>1785</v>
      </c>
      <c r="K176" s="84">
        <v>125</v>
      </c>
      <c r="L176" s="81">
        <f t="shared" si="82"/>
        <v>158.45001375000001</v>
      </c>
      <c r="M176" s="82">
        <f>TRUNC(F176*L176,2)</f>
        <v>0</v>
      </c>
      <c r="N176" s="82">
        <f>TRUNC(G176*L176,2)</f>
        <v>0</v>
      </c>
      <c r="O176" s="82">
        <f>N176+'BM 009'!O176</f>
        <v>0</v>
      </c>
      <c r="P176" s="80">
        <f>E176*K176</f>
        <v>223125</v>
      </c>
      <c r="Q176" s="82">
        <f>TRUNC(E176*L176,2)</f>
        <v>282833.27</v>
      </c>
      <c r="R176" s="82">
        <f>Q176-O176</f>
        <v>282833.27</v>
      </c>
    </row>
    <row r="177" spans="2:18" s="34" customFormat="1" ht="34.799999999999997">
      <c r="B177" s="75" t="s">
        <v>346</v>
      </c>
      <c r="C177" s="76" t="s">
        <v>347</v>
      </c>
      <c r="D177" s="77" t="s">
        <v>79</v>
      </c>
      <c r="E177" s="93">
        <v>880</v>
      </c>
      <c r="F177" s="79">
        <f>'M.C. MED. 10'!K1540</f>
        <v>180</v>
      </c>
      <c r="G177" s="79">
        <f>F177</f>
        <v>180</v>
      </c>
      <c r="H177" s="79"/>
      <c r="I177" s="79">
        <f>SUM(G177:H177)+'BM 009'!I177</f>
        <v>237.6</v>
      </c>
      <c r="J177" s="79">
        <f t="shared" si="88"/>
        <v>642.4</v>
      </c>
      <c r="K177" s="84">
        <v>42</v>
      </c>
      <c r="L177" s="81">
        <f t="shared" si="82"/>
        <v>53.239204620000002</v>
      </c>
      <c r="M177" s="82">
        <f>TRUNC(F177*L177,2)</f>
        <v>9583.0499999999993</v>
      </c>
      <c r="N177" s="82">
        <f>TRUNC(G177*L177,2)</f>
        <v>9583.0499999999993</v>
      </c>
      <c r="O177" s="82">
        <f>N177+'BM 009'!O177</f>
        <v>12649.619999999999</v>
      </c>
      <c r="P177" s="80">
        <f>E177*K177</f>
        <v>36960</v>
      </c>
      <c r="Q177" s="82">
        <f>TRUNC(E177*L177,2)</f>
        <v>46850.5</v>
      </c>
      <c r="R177" s="82">
        <f>Q177-O177</f>
        <v>34200.880000000005</v>
      </c>
    </row>
    <row r="178" spans="2:18" s="34" customFormat="1" ht="13.2">
      <c r="B178" s="60" t="s">
        <v>348</v>
      </c>
      <c r="C178" s="61" t="s">
        <v>349</v>
      </c>
      <c r="D178" s="60"/>
      <c r="E178" s="62"/>
      <c r="F178" s="63"/>
      <c r="G178" s="63"/>
      <c r="H178" s="63"/>
      <c r="I178" s="63">
        <f>SUM(G178:H178)+'BM 009'!I178</f>
        <v>0</v>
      </c>
      <c r="J178" s="63">
        <f t="shared" si="88"/>
        <v>0</v>
      </c>
      <c r="K178" s="63"/>
      <c r="L178" s="63">
        <f t="shared" si="82"/>
        <v>0</v>
      </c>
      <c r="M178" s="63">
        <f t="shared" ref="M178:R178" si="92">SUM(M179,M205)</f>
        <v>0</v>
      </c>
      <c r="N178" s="63">
        <f t="shared" si="92"/>
        <v>0</v>
      </c>
      <c r="O178" s="63">
        <f t="shared" si="92"/>
        <v>0</v>
      </c>
      <c r="P178" s="63">
        <f t="shared" si="92"/>
        <v>3144051.95</v>
      </c>
      <c r="Q178" s="63">
        <f t="shared" si="92"/>
        <v>3985400.4499999997</v>
      </c>
      <c r="R178" s="63">
        <f t="shared" si="92"/>
        <v>3985400.4499999997</v>
      </c>
    </row>
    <row r="179" spans="2:18" s="34" customFormat="1" ht="13.2">
      <c r="B179" s="66" t="s">
        <v>350</v>
      </c>
      <c r="C179" s="67" t="s">
        <v>351</v>
      </c>
      <c r="D179" s="68"/>
      <c r="E179" s="69"/>
      <c r="F179" s="70"/>
      <c r="G179" s="70"/>
      <c r="H179" s="70"/>
      <c r="I179" s="70">
        <f>SUM(G179:H179)+'BM 009'!I179</f>
        <v>0</v>
      </c>
      <c r="J179" s="70">
        <f t="shared" si="88"/>
        <v>0</v>
      </c>
      <c r="K179" s="71"/>
      <c r="L179" s="71">
        <f t="shared" si="82"/>
        <v>0</v>
      </c>
      <c r="M179" s="73">
        <f t="shared" ref="M179:R179" si="93">SUM(M180:M204)</f>
        <v>0</v>
      </c>
      <c r="N179" s="73">
        <f t="shared" si="93"/>
        <v>0</v>
      </c>
      <c r="O179" s="73">
        <f t="shared" si="93"/>
        <v>0</v>
      </c>
      <c r="P179" s="73">
        <f t="shared" si="93"/>
        <v>2156515.4</v>
      </c>
      <c r="Q179" s="73">
        <f t="shared" si="93"/>
        <v>2733599.05</v>
      </c>
      <c r="R179" s="73">
        <f t="shared" si="93"/>
        <v>2733599.05</v>
      </c>
    </row>
    <row r="180" spans="2:18" s="34" customFormat="1" ht="114.6">
      <c r="B180" s="75" t="s">
        <v>352</v>
      </c>
      <c r="C180" s="88" t="s">
        <v>353</v>
      </c>
      <c r="D180" s="89" t="s">
        <v>63</v>
      </c>
      <c r="E180" s="92">
        <v>56</v>
      </c>
      <c r="F180" s="91"/>
      <c r="G180" s="91"/>
      <c r="H180" s="91"/>
      <c r="I180" s="79">
        <f>SUM(G180:H180)+'BM 009'!I180</f>
        <v>0</v>
      </c>
      <c r="J180" s="91">
        <f t="shared" si="88"/>
        <v>56</v>
      </c>
      <c r="K180" s="84">
        <v>3125</v>
      </c>
      <c r="L180" s="81">
        <f t="shared" si="82"/>
        <v>3961.25034375</v>
      </c>
      <c r="M180" s="82">
        <f t="shared" ref="M180:M204" si="94">TRUNC(F180*L180,2)</f>
        <v>0</v>
      </c>
      <c r="N180" s="82">
        <f t="shared" ref="N180:N204" si="95">TRUNC(G180*L180,2)</f>
        <v>0</v>
      </c>
      <c r="O180" s="82">
        <f>N180+'BM 009'!O180</f>
        <v>0</v>
      </c>
      <c r="P180" s="80">
        <f t="shared" ref="P180:P204" si="96">E180*K180</f>
        <v>175000</v>
      </c>
      <c r="Q180" s="82">
        <f t="shared" ref="Q180:Q204" si="97">TRUNC(E180*L180,2)</f>
        <v>221830.01</v>
      </c>
      <c r="R180" s="82">
        <f t="shared" ref="R180:R204" si="98">Q180-O180</f>
        <v>221830.01</v>
      </c>
    </row>
    <row r="181" spans="2:18" s="34" customFormat="1" ht="103.2">
      <c r="B181" s="75" t="s">
        <v>354</v>
      </c>
      <c r="C181" s="88" t="s">
        <v>355</v>
      </c>
      <c r="D181" s="89" t="s">
        <v>63</v>
      </c>
      <c r="E181" s="92">
        <v>51</v>
      </c>
      <c r="F181" s="91"/>
      <c r="G181" s="91"/>
      <c r="H181" s="91"/>
      <c r="I181" s="79">
        <f>SUM(G181:H181)+'BM 009'!I181</f>
        <v>0</v>
      </c>
      <c r="J181" s="91">
        <f t="shared" si="88"/>
        <v>51</v>
      </c>
      <c r="K181" s="84">
        <v>3580</v>
      </c>
      <c r="L181" s="81">
        <f t="shared" si="82"/>
        <v>4538.0083937999998</v>
      </c>
      <c r="M181" s="82">
        <f t="shared" si="94"/>
        <v>0</v>
      </c>
      <c r="N181" s="82">
        <f t="shared" si="95"/>
        <v>0</v>
      </c>
      <c r="O181" s="82">
        <f>N181+'BM 009'!O181</f>
        <v>0</v>
      </c>
      <c r="P181" s="80">
        <f t="shared" si="96"/>
        <v>182580</v>
      </c>
      <c r="Q181" s="82">
        <f t="shared" si="97"/>
        <v>231438.42</v>
      </c>
      <c r="R181" s="82">
        <f t="shared" si="98"/>
        <v>231438.42</v>
      </c>
    </row>
    <row r="182" spans="2:18" s="34" customFormat="1" ht="114.6">
      <c r="B182" s="75" t="s">
        <v>356</v>
      </c>
      <c r="C182" s="88" t="s">
        <v>357</v>
      </c>
      <c r="D182" s="89" t="s">
        <v>63</v>
      </c>
      <c r="E182" s="92">
        <v>11</v>
      </c>
      <c r="F182" s="91"/>
      <c r="G182" s="91"/>
      <c r="H182" s="91"/>
      <c r="I182" s="79">
        <f>SUM(G182:H182)+'BM 009'!I182</f>
        <v>0</v>
      </c>
      <c r="J182" s="91">
        <f t="shared" si="88"/>
        <v>11</v>
      </c>
      <c r="K182" s="84">
        <v>3995</v>
      </c>
      <c r="L182" s="81">
        <f t="shared" si="82"/>
        <v>5064.0624394500001</v>
      </c>
      <c r="M182" s="82">
        <f t="shared" si="94"/>
        <v>0</v>
      </c>
      <c r="N182" s="82">
        <f t="shared" si="95"/>
        <v>0</v>
      </c>
      <c r="O182" s="82">
        <f>N182+'BM 009'!O182</f>
        <v>0</v>
      </c>
      <c r="P182" s="80">
        <f t="shared" si="96"/>
        <v>43945</v>
      </c>
      <c r="Q182" s="82">
        <f t="shared" si="97"/>
        <v>55704.68</v>
      </c>
      <c r="R182" s="82">
        <f t="shared" si="98"/>
        <v>55704.68</v>
      </c>
    </row>
    <row r="183" spans="2:18" s="34" customFormat="1" ht="80.400000000000006">
      <c r="B183" s="75" t="s">
        <v>358</v>
      </c>
      <c r="C183" s="88" t="s">
        <v>359</v>
      </c>
      <c r="D183" s="89" t="s">
        <v>63</v>
      </c>
      <c r="E183" s="92">
        <v>2</v>
      </c>
      <c r="F183" s="91"/>
      <c r="G183" s="91"/>
      <c r="H183" s="91"/>
      <c r="I183" s="79">
        <f>SUM(G183:H183)+'BM 009'!I183</f>
        <v>0</v>
      </c>
      <c r="J183" s="91">
        <f t="shared" si="88"/>
        <v>2</v>
      </c>
      <c r="K183" s="84">
        <v>4100</v>
      </c>
      <c r="L183" s="81">
        <f t="shared" si="82"/>
        <v>5197.1604510000006</v>
      </c>
      <c r="M183" s="82">
        <f t="shared" si="94"/>
        <v>0</v>
      </c>
      <c r="N183" s="82">
        <f t="shared" si="95"/>
        <v>0</v>
      </c>
      <c r="O183" s="82">
        <f>N183+'BM 009'!O183</f>
        <v>0</v>
      </c>
      <c r="P183" s="80">
        <f t="shared" si="96"/>
        <v>8200</v>
      </c>
      <c r="Q183" s="82">
        <f t="shared" si="97"/>
        <v>10394.32</v>
      </c>
      <c r="R183" s="82">
        <f t="shared" si="98"/>
        <v>10394.32</v>
      </c>
    </row>
    <row r="184" spans="2:18" s="34" customFormat="1" ht="126">
      <c r="B184" s="75" t="s">
        <v>360</v>
      </c>
      <c r="C184" s="88" t="s">
        <v>361</v>
      </c>
      <c r="D184" s="89" t="s">
        <v>63</v>
      </c>
      <c r="E184" s="92">
        <v>24</v>
      </c>
      <c r="F184" s="91"/>
      <c r="G184" s="91"/>
      <c r="H184" s="91"/>
      <c r="I184" s="79">
        <f>SUM(G184:H184)+'BM 009'!I184</f>
        <v>0</v>
      </c>
      <c r="J184" s="91">
        <f t="shared" si="88"/>
        <v>24</v>
      </c>
      <c r="K184" s="84">
        <v>4425</v>
      </c>
      <c r="L184" s="81">
        <f t="shared" si="82"/>
        <v>5609.1304867500003</v>
      </c>
      <c r="M184" s="82">
        <f t="shared" si="94"/>
        <v>0</v>
      </c>
      <c r="N184" s="82">
        <f t="shared" si="95"/>
        <v>0</v>
      </c>
      <c r="O184" s="82">
        <f>N184+'BM 009'!O184</f>
        <v>0</v>
      </c>
      <c r="P184" s="80">
        <f t="shared" si="96"/>
        <v>106200</v>
      </c>
      <c r="Q184" s="82">
        <f t="shared" si="97"/>
        <v>134619.13</v>
      </c>
      <c r="R184" s="82">
        <f t="shared" si="98"/>
        <v>134619.13</v>
      </c>
    </row>
    <row r="185" spans="2:18" s="34" customFormat="1" ht="126">
      <c r="B185" s="75" t="s">
        <v>362</v>
      </c>
      <c r="C185" s="88" t="s">
        <v>363</v>
      </c>
      <c r="D185" s="89" t="s">
        <v>63</v>
      </c>
      <c r="E185" s="92">
        <v>8</v>
      </c>
      <c r="F185" s="91"/>
      <c r="G185" s="91"/>
      <c r="H185" s="91"/>
      <c r="I185" s="79">
        <f>SUM(G185:H185)+'BM 009'!I185</f>
        <v>0</v>
      </c>
      <c r="J185" s="91">
        <f t="shared" si="88"/>
        <v>8</v>
      </c>
      <c r="K185" s="84">
        <v>4495</v>
      </c>
      <c r="L185" s="81">
        <f t="shared" si="82"/>
        <v>5697.8624944500007</v>
      </c>
      <c r="M185" s="82">
        <f t="shared" si="94"/>
        <v>0</v>
      </c>
      <c r="N185" s="82">
        <f t="shared" si="95"/>
        <v>0</v>
      </c>
      <c r="O185" s="82">
        <f>N185+'BM 009'!O185</f>
        <v>0</v>
      </c>
      <c r="P185" s="80">
        <f t="shared" si="96"/>
        <v>35960</v>
      </c>
      <c r="Q185" s="82">
        <f t="shared" si="97"/>
        <v>45582.89</v>
      </c>
      <c r="R185" s="82">
        <f t="shared" si="98"/>
        <v>45582.89</v>
      </c>
    </row>
    <row r="186" spans="2:18" s="34" customFormat="1" ht="57.6">
      <c r="B186" s="75" t="s">
        <v>364</v>
      </c>
      <c r="C186" s="88" t="s">
        <v>365</v>
      </c>
      <c r="D186" s="89" t="s">
        <v>63</v>
      </c>
      <c r="E186" s="92">
        <v>3</v>
      </c>
      <c r="F186" s="91"/>
      <c r="G186" s="91"/>
      <c r="H186" s="91"/>
      <c r="I186" s="79">
        <f>SUM(G186:H186)+'BM 009'!I186</f>
        <v>0</v>
      </c>
      <c r="J186" s="91">
        <f t="shared" si="88"/>
        <v>3</v>
      </c>
      <c r="K186" s="84">
        <v>8550</v>
      </c>
      <c r="L186" s="81">
        <f t="shared" si="82"/>
        <v>10837.9809405</v>
      </c>
      <c r="M186" s="82">
        <f t="shared" si="94"/>
        <v>0</v>
      </c>
      <c r="N186" s="82">
        <f t="shared" si="95"/>
        <v>0</v>
      </c>
      <c r="O186" s="82">
        <f>N186+'BM 009'!O186</f>
        <v>0</v>
      </c>
      <c r="P186" s="80">
        <f t="shared" si="96"/>
        <v>25650</v>
      </c>
      <c r="Q186" s="82">
        <f t="shared" si="97"/>
        <v>32513.94</v>
      </c>
      <c r="R186" s="82">
        <f t="shared" si="98"/>
        <v>32513.94</v>
      </c>
    </row>
    <row r="187" spans="2:18" s="34" customFormat="1" ht="137.4">
      <c r="B187" s="75" t="s">
        <v>366</v>
      </c>
      <c r="C187" s="88" t="s">
        <v>367</v>
      </c>
      <c r="D187" s="89" t="s">
        <v>63</v>
      </c>
      <c r="E187" s="92">
        <v>2</v>
      </c>
      <c r="F187" s="91"/>
      <c r="G187" s="91"/>
      <c r="H187" s="91"/>
      <c r="I187" s="79">
        <f>SUM(G187:H187)+'BM 009'!I187</f>
        <v>0</v>
      </c>
      <c r="J187" s="91">
        <f t="shared" si="88"/>
        <v>2</v>
      </c>
      <c r="K187" s="84">
        <v>6750</v>
      </c>
      <c r="L187" s="81">
        <f t="shared" si="82"/>
        <v>8556.3007424999996</v>
      </c>
      <c r="M187" s="82">
        <f t="shared" si="94"/>
        <v>0</v>
      </c>
      <c r="N187" s="82">
        <f t="shared" si="95"/>
        <v>0</v>
      </c>
      <c r="O187" s="82">
        <f>N187+'BM 009'!O187</f>
        <v>0</v>
      </c>
      <c r="P187" s="80">
        <f t="shared" si="96"/>
        <v>13500</v>
      </c>
      <c r="Q187" s="82">
        <f t="shared" si="97"/>
        <v>17112.599999999999</v>
      </c>
      <c r="R187" s="82">
        <f t="shared" si="98"/>
        <v>17112.599999999999</v>
      </c>
    </row>
    <row r="188" spans="2:18" s="34" customFormat="1" ht="46.2">
      <c r="B188" s="75" t="s">
        <v>368</v>
      </c>
      <c r="C188" s="88" t="s">
        <v>369</v>
      </c>
      <c r="D188" s="89" t="s">
        <v>63</v>
      </c>
      <c r="E188" s="92">
        <v>18</v>
      </c>
      <c r="F188" s="91"/>
      <c r="G188" s="91"/>
      <c r="H188" s="91"/>
      <c r="I188" s="79">
        <f>SUM(G188:H188)+'BM 009'!I188</f>
        <v>0</v>
      </c>
      <c r="J188" s="91">
        <f t="shared" si="88"/>
        <v>18</v>
      </c>
      <c r="K188" s="84">
        <v>2490</v>
      </c>
      <c r="L188" s="81">
        <f t="shared" si="82"/>
        <v>3156.3242739000002</v>
      </c>
      <c r="M188" s="82">
        <f t="shared" si="94"/>
        <v>0</v>
      </c>
      <c r="N188" s="82">
        <f t="shared" si="95"/>
        <v>0</v>
      </c>
      <c r="O188" s="82">
        <f>N188+'BM 009'!O188</f>
        <v>0</v>
      </c>
      <c r="P188" s="80">
        <f t="shared" si="96"/>
        <v>44820</v>
      </c>
      <c r="Q188" s="82">
        <f t="shared" si="97"/>
        <v>56813.83</v>
      </c>
      <c r="R188" s="82">
        <f t="shared" si="98"/>
        <v>56813.83</v>
      </c>
    </row>
    <row r="189" spans="2:18" s="34" customFormat="1" ht="57.6">
      <c r="B189" s="75" t="s">
        <v>370</v>
      </c>
      <c r="C189" s="88" t="s">
        <v>371</v>
      </c>
      <c r="D189" s="89" t="s">
        <v>63</v>
      </c>
      <c r="E189" s="92">
        <v>1</v>
      </c>
      <c r="F189" s="91"/>
      <c r="G189" s="91"/>
      <c r="H189" s="91"/>
      <c r="I189" s="79">
        <f>SUM(G189:H189)+'BM 009'!I189</f>
        <v>0</v>
      </c>
      <c r="J189" s="91">
        <f t="shared" si="88"/>
        <v>1</v>
      </c>
      <c r="K189" s="84">
        <v>5950</v>
      </c>
      <c r="L189" s="81">
        <f t="shared" si="82"/>
        <v>7542.2206544999999</v>
      </c>
      <c r="M189" s="82">
        <f t="shared" si="94"/>
        <v>0</v>
      </c>
      <c r="N189" s="82">
        <f t="shared" si="95"/>
        <v>0</v>
      </c>
      <c r="O189" s="82">
        <f>N189+'BM 009'!O189</f>
        <v>0</v>
      </c>
      <c r="P189" s="80">
        <f t="shared" si="96"/>
        <v>5950</v>
      </c>
      <c r="Q189" s="82">
        <f t="shared" si="97"/>
        <v>7542.22</v>
      </c>
      <c r="R189" s="82">
        <f t="shared" si="98"/>
        <v>7542.22</v>
      </c>
    </row>
    <row r="190" spans="2:18" s="34" customFormat="1" ht="57.6">
      <c r="B190" s="75" t="s">
        <v>372</v>
      </c>
      <c r="C190" s="88" t="s">
        <v>373</v>
      </c>
      <c r="D190" s="89" t="s">
        <v>63</v>
      </c>
      <c r="E190" s="92">
        <v>1</v>
      </c>
      <c r="F190" s="91"/>
      <c r="G190" s="91"/>
      <c r="H190" s="91"/>
      <c r="I190" s="79">
        <f>SUM(G190:H190)+'BM 009'!I190</f>
        <v>0</v>
      </c>
      <c r="J190" s="91">
        <f t="shared" si="88"/>
        <v>1</v>
      </c>
      <c r="K190" s="84">
        <v>5950</v>
      </c>
      <c r="L190" s="81">
        <f t="shared" si="82"/>
        <v>7542.2206544999999</v>
      </c>
      <c r="M190" s="82">
        <f t="shared" si="94"/>
        <v>0</v>
      </c>
      <c r="N190" s="82">
        <f t="shared" si="95"/>
        <v>0</v>
      </c>
      <c r="O190" s="82">
        <f>N190+'BM 009'!O190</f>
        <v>0</v>
      </c>
      <c r="P190" s="80">
        <f t="shared" si="96"/>
        <v>5950</v>
      </c>
      <c r="Q190" s="82">
        <f t="shared" si="97"/>
        <v>7542.22</v>
      </c>
      <c r="R190" s="82">
        <f t="shared" si="98"/>
        <v>7542.22</v>
      </c>
    </row>
    <row r="191" spans="2:18" s="34" customFormat="1" ht="57.6">
      <c r="B191" s="75" t="s">
        <v>374</v>
      </c>
      <c r="C191" s="88" t="s">
        <v>375</v>
      </c>
      <c r="D191" s="89" t="s">
        <v>79</v>
      </c>
      <c r="E191" s="92">
        <v>184.04</v>
      </c>
      <c r="F191" s="91"/>
      <c r="G191" s="91"/>
      <c r="H191" s="91"/>
      <c r="I191" s="79">
        <f>SUM(G191:H191)+'BM 009'!I191</f>
        <v>0</v>
      </c>
      <c r="J191" s="91">
        <f t="shared" si="88"/>
        <v>184.04</v>
      </c>
      <c r="K191" s="84">
        <v>1265</v>
      </c>
      <c r="L191" s="81">
        <f t="shared" si="82"/>
        <v>1603.5141391500001</v>
      </c>
      <c r="M191" s="82">
        <f t="shared" si="94"/>
        <v>0</v>
      </c>
      <c r="N191" s="82">
        <f t="shared" si="95"/>
        <v>0</v>
      </c>
      <c r="O191" s="82">
        <f>N191+'BM 009'!O191</f>
        <v>0</v>
      </c>
      <c r="P191" s="80">
        <f t="shared" si="96"/>
        <v>232810.59999999998</v>
      </c>
      <c r="Q191" s="82">
        <f t="shared" si="97"/>
        <v>295110.74</v>
      </c>
      <c r="R191" s="82">
        <f t="shared" si="98"/>
        <v>295110.74</v>
      </c>
    </row>
    <row r="192" spans="2:18" s="34" customFormat="1" ht="46.2">
      <c r="B192" s="75" t="s">
        <v>376</v>
      </c>
      <c r="C192" s="88" t="s">
        <v>377</v>
      </c>
      <c r="D192" s="89" t="s">
        <v>79</v>
      </c>
      <c r="E192" s="92">
        <v>53.96</v>
      </c>
      <c r="F192" s="91"/>
      <c r="G192" s="91"/>
      <c r="H192" s="91"/>
      <c r="I192" s="79">
        <f>SUM(G192:H192)+'BM 009'!I192</f>
        <v>0</v>
      </c>
      <c r="J192" s="91">
        <f t="shared" si="88"/>
        <v>53.96</v>
      </c>
      <c r="K192" s="84">
        <v>1080</v>
      </c>
      <c r="L192" s="81">
        <f t="shared" si="82"/>
        <v>1369.0081188000001</v>
      </c>
      <c r="M192" s="82">
        <f t="shared" si="94"/>
        <v>0</v>
      </c>
      <c r="N192" s="82">
        <f t="shared" si="95"/>
        <v>0</v>
      </c>
      <c r="O192" s="82">
        <f>N192+'BM 009'!O192</f>
        <v>0</v>
      </c>
      <c r="P192" s="80">
        <f t="shared" si="96"/>
        <v>58276.800000000003</v>
      </c>
      <c r="Q192" s="82">
        <f t="shared" si="97"/>
        <v>73871.67</v>
      </c>
      <c r="R192" s="82">
        <f t="shared" si="98"/>
        <v>73871.67</v>
      </c>
    </row>
    <row r="193" spans="2:18" s="34" customFormat="1" ht="57.6">
      <c r="B193" s="75" t="s">
        <v>378</v>
      </c>
      <c r="C193" s="88" t="s">
        <v>379</v>
      </c>
      <c r="D193" s="89" t="s">
        <v>79</v>
      </c>
      <c r="E193" s="92">
        <v>130.29</v>
      </c>
      <c r="F193" s="91"/>
      <c r="G193" s="91"/>
      <c r="H193" s="91"/>
      <c r="I193" s="79">
        <f>SUM(G193:H193)+'BM 009'!I193</f>
        <v>0</v>
      </c>
      <c r="J193" s="91">
        <f t="shared" si="88"/>
        <v>130.29</v>
      </c>
      <c r="K193" s="84">
        <v>1220</v>
      </c>
      <c r="L193" s="81">
        <f t="shared" si="82"/>
        <v>1546.4721342</v>
      </c>
      <c r="M193" s="82">
        <f t="shared" si="94"/>
        <v>0</v>
      </c>
      <c r="N193" s="82">
        <f t="shared" si="95"/>
        <v>0</v>
      </c>
      <c r="O193" s="82">
        <f>N193+'BM 009'!O193</f>
        <v>0</v>
      </c>
      <c r="P193" s="80">
        <f t="shared" si="96"/>
        <v>158953.79999999999</v>
      </c>
      <c r="Q193" s="82">
        <f t="shared" si="97"/>
        <v>201489.85</v>
      </c>
      <c r="R193" s="82">
        <f t="shared" si="98"/>
        <v>201489.85</v>
      </c>
    </row>
    <row r="194" spans="2:18" s="34" customFormat="1" ht="57.6">
      <c r="B194" s="75" t="s">
        <v>380</v>
      </c>
      <c r="C194" s="88" t="s">
        <v>381</v>
      </c>
      <c r="D194" s="89" t="s">
        <v>79</v>
      </c>
      <c r="E194" s="92">
        <v>27.88</v>
      </c>
      <c r="F194" s="91"/>
      <c r="G194" s="91"/>
      <c r="H194" s="91"/>
      <c r="I194" s="79">
        <f>SUM(G194:H194)+'BM 009'!I194</f>
        <v>0</v>
      </c>
      <c r="J194" s="91">
        <f t="shared" si="88"/>
        <v>27.88</v>
      </c>
      <c r="K194" s="84">
        <v>2180</v>
      </c>
      <c r="L194" s="81">
        <f t="shared" si="82"/>
        <v>2763.3682398000001</v>
      </c>
      <c r="M194" s="82">
        <f t="shared" si="94"/>
        <v>0</v>
      </c>
      <c r="N194" s="82">
        <f t="shared" si="95"/>
        <v>0</v>
      </c>
      <c r="O194" s="82">
        <f>N194+'BM 009'!O194</f>
        <v>0</v>
      </c>
      <c r="P194" s="80">
        <f t="shared" si="96"/>
        <v>60778.400000000001</v>
      </c>
      <c r="Q194" s="82">
        <f t="shared" si="97"/>
        <v>77042.7</v>
      </c>
      <c r="R194" s="82">
        <f t="shared" si="98"/>
        <v>77042.7</v>
      </c>
    </row>
    <row r="195" spans="2:18" s="34" customFormat="1" ht="46.2">
      <c r="B195" s="75" t="s">
        <v>382</v>
      </c>
      <c r="C195" s="88" t="s">
        <v>383</v>
      </c>
      <c r="D195" s="89" t="s">
        <v>79</v>
      </c>
      <c r="E195" s="92">
        <v>24.23</v>
      </c>
      <c r="F195" s="91"/>
      <c r="G195" s="91"/>
      <c r="H195" s="91"/>
      <c r="I195" s="79">
        <f>SUM(G195:H195)+'BM 009'!I195</f>
        <v>0</v>
      </c>
      <c r="J195" s="91">
        <f t="shared" si="88"/>
        <v>24.23</v>
      </c>
      <c r="K195" s="84">
        <v>1170</v>
      </c>
      <c r="L195" s="81">
        <f t="shared" si="82"/>
        <v>1483.0921287000001</v>
      </c>
      <c r="M195" s="82">
        <f t="shared" si="94"/>
        <v>0</v>
      </c>
      <c r="N195" s="82">
        <f t="shared" si="95"/>
        <v>0</v>
      </c>
      <c r="O195" s="82">
        <f>N195+'BM 009'!O195</f>
        <v>0</v>
      </c>
      <c r="P195" s="80">
        <f t="shared" si="96"/>
        <v>28349.100000000002</v>
      </c>
      <c r="Q195" s="82">
        <f t="shared" si="97"/>
        <v>35935.32</v>
      </c>
      <c r="R195" s="82">
        <f t="shared" si="98"/>
        <v>35935.32</v>
      </c>
    </row>
    <row r="196" spans="2:18" s="34" customFormat="1" ht="57.6">
      <c r="B196" s="75" t="s">
        <v>384</v>
      </c>
      <c r="C196" s="88" t="s">
        <v>385</v>
      </c>
      <c r="D196" s="89" t="s">
        <v>79</v>
      </c>
      <c r="E196" s="92">
        <v>93.13</v>
      </c>
      <c r="F196" s="91"/>
      <c r="G196" s="91"/>
      <c r="H196" s="91"/>
      <c r="I196" s="79">
        <f>SUM(G196:H196)+'BM 009'!I196</f>
        <v>0</v>
      </c>
      <c r="J196" s="91">
        <f t="shared" si="88"/>
        <v>93.13</v>
      </c>
      <c r="K196" s="84">
        <v>1190</v>
      </c>
      <c r="L196" s="81">
        <f t="shared" si="82"/>
        <v>1508.4441309000001</v>
      </c>
      <c r="M196" s="82">
        <f t="shared" si="94"/>
        <v>0</v>
      </c>
      <c r="N196" s="82">
        <f t="shared" si="95"/>
        <v>0</v>
      </c>
      <c r="O196" s="82">
        <f>N196+'BM 009'!O196</f>
        <v>0</v>
      </c>
      <c r="P196" s="80">
        <f t="shared" si="96"/>
        <v>110824.7</v>
      </c>
      <c r="Q196" s="82">
        <f t="shared" si="97"/>
        <v>140481.4</v>
      </c>
      <c r="R196" s="82">
        <f t="shared" si="98"/>
        <v>140481.4</v>
      </c>
    </row>
    <row r="197" spans="2:18" s="34" customFormat="1" ht="91.8">
      <c r="B197" s="75" t="s">
        <v>386</v>
      </c>
      <c r="C197" s="88" t="s">
        <v>387</v>
      </c>
      <c r="D197" s="89" t="s">
        <v>79</v>
      </c>
      <c r="E197" s="92">
        <v>570.20000000000005</v>
      </c>
      <c r="F197" s="91"/>
      <c r="G197" s="91"/>
      <c r="H197" s="91"/>
      <c r="I197" s="79">
        <f>SUM(G197:H197)+'BM 009'!I197</f>
        <v>0</v>
      </c>
      <c r="J197" s="91">
        <f t="shared" si="88"/>
        <v>570.20000000000005</v>
      </c>
      <c r="K197" s="84">
        <v>1190</v>
      </c>
      <c r="L197" s="81">
        <f t="shared" si="82"/>
        <v>1508.4441309000001</v>
      </c>
      <c r="M197" s="82">
        <f t="shared" si="94"/>
        <v>0</v>
      </c>
      <c r="N197" s="82">
        <f t="shared" si="95"/>
        <v>0</v>
      </c>
      <c r="O197" s="82">
        <f>N197+'BM 009'!O197</f>
        <v>0</v>
      </c>
      <c r="P197" s="80">
        <f t="shared" si="96"/>
        <v>678538</v>
      </c>
      <c r="Q197" s="82">
        <f t="shared" si="97"/>
        <v>860114.84</v>
      </c>
      <c r="R197" s="82">
        <f t="shared" si="98"/>
        <v>860114.84</v>
      </c>
    </row>
    <row r="198" spans="2:18" s="34" customFormat="1" ht="23.4">
      <c r="B198" s="75" t="s">
        <v>388</v>
      </c>
      <c r="C198" s="88" t="s">
        <v>389</v>
      </c>
      <c r="D198" s="89" t="s">
        <v>390</v>
      </c>
      <c r="E198" s="92">
        <v>4</v>
      </c>
      <c r="F198" s="91"/>
      <c r="G198" s="91"/>
      <c r="H198" s="91"/>
      <c r="I198" s="79">
        <f>SUM(G198:H198)+'BM 009'!I198</f>
        <v>0</v>
      </c>
      <c r="J198" s="91">
        <f t="shared" si="88"/>
        <v>4</v>
      </c>
      <c r="K198" s="84">
        <v>1780</v>
      </c>
      <c r="L198" s="81">
        <f t="shared" si="82"/>
        <v>2256.3281958000002</v>
      </c>
      <c r="M198" s="82">
        <f t="shared" si="94"/>
        <v>0</v>
      </c>
      <c r="N198" s="82">
        <f t="shared" si="95"/>
        <v>0</v>
      </c>
      <c r="O198" s="82">
        <f>N198+'BM 009'!O198</f>
        <v>0</v>
      </c>
      <c r="P198" s="80">
        <f t="shared" si="96"/>
        <v>7120</v>
      </c>
      <c r="Q198" s="82">
        <f t="shared" si="97"/>
        <v>9025.31</v>
      </c>
      <c r="R198" s="82">
        <f t="shared" si="98"/>
        <v>9025.31</v>
      </c>
    </row>
    <row r="199" spans="2:18" s="34" customFormat="1" ht="23.4">
      <c r="B199" s="75" t="s">
        <v>391</v>
      </c>
      <c r="C199" s="88" t="s">
        <v>392</v>
      </c>
      <c r="D199" s="89" t="s">
        <v>390</v>
      </c>
      <c r="E199" s="92">
        <v>1</v>
      </c>
      <c r="F199" s="91"/>
      <c r="G199" s="91"/>
      <c r="H199" s="91"/>
      <c r="I199" s="79">
        <f>SUM(G199:H199)+'BM 009'!I199</f>
        <v>0</v>
      </c>
      <c r="J199" s="91">
        <f t="shared" si="88"/>
        <v>1</v>
      </c>
      <c r="K199" s="84">
        <v>840</v>
      </c>
      <c r="L199" s="81">
        <f t="shared" si="82"/>
        <v>1064.7840924</v>
      </c>
      <c r="M199" s="82">
        <f t="shared" si="94"/>
        <v>0</v>
      </c>
      <c r="N199" s="82">
        <f t="shared" si="95"/>
        <v>0</v>
      </c>
      <c r="O199" s="82">
        <f>N199+'BM 009'!O199</f>
        <v>0</v>
      </c>
      <c r="P199" s="80">
        <f t="shared" si="96"/>
        <v>840</v>
      </c>
      <c r="Q199" s="82">
        <f t="shared" si="97"/>
        <v>1064.78</v>
      </c>
      <c r="R199" s="82">
        <f t="shared" si="98"/>
        <v>1064.78</v>
      </c>
    </row>
    <row r="200" spans="2:18" s="34" customFormat="1" ht="23.4">
      <c r="B200" s="75" t="s">
        <v>393</v>
      </c>
      <c r="C200" s="88" t="s">
        <v>394</v>
      </c>
      <c r="D200" s="89" t="s">
        <v>390</v>
      </c>
      <c r="E200" s="92">
        <v>6</v>
      </c>
      <c r="F200" s="91"/>
      <c r="G200" s="91"/>
      <c r="H200" s="91"/>
      <c r="I200" s="79">
        <f>SUM(G200:H200)+'BM 009'!I200</f>
        <v>0</v>
      </c>
      <c r="J200" s="91">
        <f t="shared" si="88"/>
        <v>6</v>
      </c>
      <c r="K200" s="84">
        <v>2190</v>
      </c>
      <c r="L200" s="81">
        <f t="shared" si="82"/>
        <v>2776.0442409000002</v>
      </c>
      <c r="M200" s="82">
        <f t="shared" si="94"/>
        <v>0</v>
      </c>
      <c r="N200" s="82">
        <f t="shared" si="95"/>
        <v>0</v>
      </c>
      <c r="O200" s="82">
        <f>N200+'BM 009'!O200</f>
        <v>0</v>
      </c>
      <c r="P200" s="80">
        <f t="shared" si="96"/>
        <v>13140</v>
      </c>
      <c r="Q200" s="82">
        <f t="shared" si="97"/>
        <v>16656.259999999998</v>
      </c>
      <c r="R200" s="82">
        <f t="shared" si="98"/>
        <v>16656.259999999998</v>
      </c>
    </row>
    <row r="201" spans="2:18" s="34" customFormat="1" ht="46.2">
      <c r="B201" s="75" t="s">
        <v>395</v>
      </c>
      <c r="C201" s="88" t="s">
        <v>396</v>
      </c>
      <c r="D201" s="89" t="s">
        <v>390</v>
      </c>
      <c r="E201" s="92">
        <v>24</v>
      </c>
      <c r="F201" s="91"/>
      <c r="G201" s="91"/>
      <c r="H201" s="91"/>
      <c r="I201" s="79">
        <f>SUM(G201:H201)+'BM 009'!I201</f>
        <v>0</v>
      </c>
      <c r="J201" s="91">
        <f t="shared" si="88"/>
        <v>24</v>
      </c>
      <c r="K201" s="84">
        <v>1950</v>
      </c>
      <c r="L201" s="81">
        <f t="shared" si="82"/>
        <v>2471.8202145</v>
      </c>
      <c r="M201" s="82">
        <f t="shared" si="94"/>
        <v>0</v>
      </c>
      <c r="N201" s="82">
        <f t="shared" si="95"/>
        <v>0</v>
      </c>
      <c r="O201" s="82">
        <f>N201+'BM 009'!O201</f>
        <v>0</v>
      </c>
      <c r="P201" s="80">
        <f t="shared" si="96"/>
        <v>46800</v>
      </c>
      <c r="Q201" s="82">
        <f t="shared" si="97"/>
        <v>59323.68</v>
      </c>
      <c r="R201" s="82">
        <f t="shared" si="98"/>
        <v>59323.68</v>
      </c>
    </row>
    <row r="202" spans="2:18" s="34" customFormat="1" ht="34.799999999999997">
      <c r="B202" s="75" t="s">
        <v>397</v>
      </c>
      <c r="C202" s="88" t="s">
        <v>398</v>
      </c>
      <c r="D202" s="89" t="s">
        <v>79</v>
      </c>
      <c r="E202" s="92">
        <v>17.82</v>
      </c>
      <c r="F202" s="91"/>
      <c r="G202" s="91"/>
      <c r="H202" s="91"/>
      <c r="I202" s="79">
        <f>SUM(G202:H202)+'BM 009'!I202</f>
        <v>0</v>
      </c>
      <c r="J202" s="91">
        <f t="shared" si="88"/>
        <v>17.82</v>
      </c>
      <c r="K202" s="84">
        <v>950</v>
      </c>
      <c r="L202" s="81">
        <f t="shared" si="82"/>
        <v>1204.2201045000002</v>
      </c>
      <c r="M202" s="82">
        <f t="shared" si="94"/>
        <v>0</v>
      </c>
      <c r="N202" s="82">
        <f t="shared" si="95"/>
        <v>0</v>
      </c>
      <c r="O202" s="82">
        <f>N202+'BM 009'!O202</f>
        <v>0</v>
      </c>
      <c r="P202" s="80">
        <f t="shared" si="96"/>
        <v>16929</v>
      </c>
      <c r="Q202" s="82">
        <f t="shared" si="97"/>
        <v>21459.200000000001</v>
      </c>
      <c r="R202" s="82">
        <f t="shared" si="98"/>
        <v>21459.200000000001</v>
      </c>
    </row>
    <row r="203" spans="2:18" s="34" customFormat="1" ht="46.2">
      <c r="B203" s="75" t="s">
        <v>399</v>
      </c>
      <c r="C203" s="88" t="s">
        <v>400</v>
      </c>
      <c r="D203" s="89" t="s">
        <v>63</v>
      </c>
      <c r="E203" s="92">
        <v>18</v>
      </c>
      <c r="F203" s="91"/>
      <c r="G203" s="91"/>
      <c r="H203" s="91"/>
      <c r="I203" s="79">
        <f>SUM(G203:H203)+'BM 009'!I203</f>
        <v>0</v>
      </c>
      <c r="J203" s="91">
        <f t="shared" si="88"/>
        <v>18</v>
      </c>
      <c r="K203" s="84">
        <v>2480</v>
      </c>
      <c r="L203" s="81">
        <f t="shared" si="82"/>
        <v>3143.6482728000001</v>
      </c>
      <c r="M203" s="82">
        <f t="shared" si="94"/>
        <v>0</v>
      </c>
      <c r="N203" s="82">
        <f t="shared" si="95"/>
        <v>0</v>
      </c>
      <c r="O203" s="82">
        <f>N203+'BM 009'!O203</f>
        <v>0</v>
      </c>
      <c r="P203" s="80">
        <f t="shared" si="96"/>
        <v>44640</v>
      </c>
      <c r="Q203" s="82">
        <f t="shared" si="97"/>
        <v>56585.66</v>
      </c>
      <c r="R203" s="82">
        <f t="shared" si="98"/>
        <v>56585.66</v>
      </c>
    </row>
    <row r="204" spans="2:18" s="34" customFormat="1" ht="46.2">
      <c r="B204" s="75" t="s">
        <v>401</v>
      </c>
      <c r="C204" s="88" t="s">
        <v>402</v>
      </c>
      <c r="D204" s="89" t="s">
        <v>63</v>
      </c>
      <c r="E204" s="92">
        <v>47</v>
      </c>
      <c r="F204" s="91"/>
      <c r="G204" s="91"/>
      <c r="H204" s="91"/>
      <c r="I204" s="79">
        <f>SUM(G204:H204)+'BM 009'!I204</f>
        <v>0</v>
      </c>
      <c r="J204" s="91">
        <f t="shared" si="88"/>
        <v>47</v>
      </c>
      <c r="K204" s="84">
        <v>1080</v>
      </c>
      <c r="L204" s="81">
        <f t="shared" si="82"/>
        <v>1369.0081188000001</v>
      </c>
      <c r="M204" s="82">
        <f t="shared" si="94"/>
        <v>0</v>
      </c>
      <c r="N204" s="82">
        <f t="shared" si="95"/>
        <v>0</v>
      </c>
      <c r="O204" s="82">
        <f>N204+'BM 009'!O204</f>
        <v>0</v>
      </c>
      <c r="P204" s="80">
        <f t="shared" si="96"/>
        <v>50760</v>
      </c>
      <c r="Q204" s="82">
        <f t="shared" si="97"/>
        <v>64343.38</v>
      </c>
      <c r="R204" s="82">
        <f t="shared" si="98"/>
        <v>64343.38</v>
      </c>
    </row>
    <row r="205" spans="2:18" s="34" customFormat="1" ht="13.2">
      <c r="B205" s="66" t="s">
        <v>403</v>
      </c>
      <c r="C205" s="67" t="s">
        <v>404</v>
      </c>
      <c r="D205" s="68"/>
      <c r="E205" s="69"/>
      <c r="F205" s="70"/>
      <c r="G205" s="70"/>
      <c r="H205" s="70"/>
      <c r="I205" s="70">
        <f>SUM(G205:H205)+'BM 009'!I205</f>
        <v>0</v>
      </c>
      <c r="J205" s="70">
        <f t="shared" si="88"/>
        <v>0</v>
      </c>
      <c r="K205" s="71"/>
      <c r="L205" s="71">
        <f t="shared" si="82"/>
        <v>0</v>
      </c>
      <c r="M205" s="73">
        <f t="shared" ref="M205:R205" si="99">SUM(M206:M214)</f>
        <v>0</v>
      </c>
      <c r="N205" s="73">
        <f t="shared" si="99"/>
        <v>0</v>
      </c>
      <c r="O205" s="73">
        <f t="shared" si="99"/>
        <v>0</v>
      </c>
      <c r="P205" s="73">
        <f t="shared" si="99"/>
        <v>987536.55</v>
      </c>
      <c r="Q205" s="73">
        <f t="shared" si="99"/>
        <v>1251801.3999999999</v>
      </c>
      <c r="R205" s="73">
        <f t="shared" si="99"/>
        <v>1251801.3999999999</v>
      </c>
    </row>
    <row r="206" spans="2:18" s="34" customFormat="1" ht="46.2">
      <c r="B206" s="87" t="s">
        <v>405</v>
      </c>
      <c r="C206" s="88" t="s">
        <v>406</v>
      </c>
      <c r="D206" s="89" t="s">
        <v>124</v>
      </c>
      <c r="E206" s="92">
        <v>158.59</v>
      </c>
      <c r="F206" s="91"/>
      <c r="G206" s="91"/>
      <c r="H206" s="91"/>
      <c r="I206" s="79">
        <f>SUM(G206:H206)+'BM 009'!I206</f>
        <v>0</v>
      </c>
      <c r="J206" s="91">
        <f t="shared" si="88"/>
        <v>158.59</v>
      </c>
      <c r="K206" s="84">
        <v>415</v>
      </c>
      <c r="L206" s="81">
        <f t="shared" si="82"/>
        <v>526.05404565000003</v>
      </c>
      <c r="M206" s="82">
        <f t="shared" ref="M206:M214" si="100">TRUNC(F206*L206,2)</f>
        <v>0</v>
      </c>
      <c r="N206" s="82">
        <f t="shared" ref="N206:N214" si="101">TRUNC(G206*L206,2)</f>
        <v>0</v>
      </c>
      <c r="O206" s="82">
        <f>N206+'BM 009'!O206</f>
        <v>0</v>
      </c>
      <c r="P206" s="80">
        <f t="shared" ref="P206:P214" si="102">E206*K206</f>
        <v>65814.850000000006</v>
      </c>
      <c r="Q206" s="82">
        <f t="shared" ref="Q206:Q214" si="103">TRUNC(E206*L206,2)</f>
        <v>83426.91</v>
      </c>
      <c r="R206" s="82">
        <f t="shared" ref="R206:R214" si="104">Q206-O206</f>
        <v>83426.91</v>
      </c>
    </row>
    <row r="207" spans="2:18" s="34" customFormat="1" ht="13.2">
      <c r="B207" s="87" t="s">
        <v>407</v>
      </c>
      <c r="C207" s="88" t="s">
        <v>408</v>
      </c>
      <c r="D207" s="89" t="s">
        <v>124</v>
      </c>
      <c r="E207" s="92">
        <v>198.52</v>
      </c>
      <c r="F207" s="91"/>
      <c r="G207" s="91"/>
      <c r="H207" s="91"/>
      <c r="I207" s="79">
        <f>SUM(G207:H207)+'BM 009'!I207</f>
        <v>0</v>
      </c>
      <c r="J207" s="91">
        <f t="shared" si="88"/>
        <v>198.52</v>
      </c>
      <c r="K207" s="84">
        <v>455</v>
      </c>
      <c r="L207" s="81">
        <f t="shared" si="82"/>
        <v>576.75805005000007</v>
      </c>
      <c r="M207" s="82">
        <f t="shared" si="100"/>
        <v>0</v>
      </c>
      <c r="N207" s="82">
        <f t="shared" si="101"/>
        <v>0</v>
      </c>
      <c r="O207" s="82">
        <f>N207+'BM 009'!O207</f>
        <v>0</v>
      </c>
      <c r="P207" s="80">
        <f t="shared" si="102"/>
        <v>90326.6</v>
      </c>
      <c r="Q207" s="82">
        <f t="shared" si="103"/>
        <v>114498</v>
      </c>
      <c r="R207" s="82">
        <f t="shared" si="104"/>
        <v>114498</v>
      </c>
    </row>
    <row r="208" spans="2:18" s="34" customFormat="1" ht="23.4">
      <c r="B208" s="87" t="s">
        <v>409</v>
      </c>
      <c r="C208" s="88" t="s">
        <v>410</v>
      </c>
      <c r="D208" s="89" t="s">
        <v>124</v>
      </c>
      <c r="E208" s="92">
        <v>129.65</v>
      </c>
      <c r="F208" s="91"/>
      <c r="G208" s="91"/>
      <c r="H208" s="91"/>
      <c r="I208" s="79">
        <f>SUM(G208:H208)+'BM 009'!I208</f>
        <v>0</v>
      </c>
      <c r="J208" s="91">
        <f t="shared" si="88"/>
        <v>129.65</v>
      </c>
      <c r="K208" s="84">
        <v>745</v>
      </c>
      <c r="L208" s="81">
        <f t="shared" si="82"/>
        <v>944.36208195000006</v>
      </c>
      <c r="M208" s="82">
        <f t="shared" si="100"/>
        <v>0</v>
      </c>
      <c r="N208" s="82">
        <f t="shared" si="101"/>
        <v>0</v>
      </c>
      <c r="O208" s="82">
        <f>N208+'BM 009'!O208</f>
        <v>0</v>
      </c>
      <c r="P208" s="80">
        <f t="shared" si="102"/>
        <v>96589.25</v>
      </c>
      <c r="Q208" s="82">
        <f t="shared" si="103"/>
        <v>122436.54</v>
      </c>
      <c r="R208" s="82">
        <f t="shared" si="104"/>
        <v>122436.54</v>
      </c>
    </row>
    <row r="209" spans="1:23" s="34" customFormat="1" ht="23.4">
      <c r="B209" s="87" t="s">
        <v>411</v>
      </c>
      <c r="C209" s="88" t="s">
        <v>412</v>
      </c>
      <c r="D209" s="89" t="s">
        <v>124</v>
      </c>
      <c r="E209" s="92">
        <v>98.74</v>
      </c>
      <c r="F209" s="91"/>
      <c r="G209" s="91"/>
      <c r="H209" s="91"/>
      <c r="I209" s="79">
        <f>SUM(G209:H209)+'BM 009'!I209</f>
        <v>0</v>
      </c>
      <c r="J209" s="91">
        <f t="shared" si="88"/>
        <v>98.74</v>
      </c>
      <c r="K209" s="84">
        <v>855</v>
      </c>
      <c r="L209" s="81">
        <f t="shared" si="82"/>
        <v>1083.7980940500001</v>
      </c>
      <c r="M209" s="82">
        <f t="shared" si="100"/>
        <v>0</v>
      </c>
      <c r="N209" s="82">
        <f t="shared" si="101"/>
        <v>0</v>
      </c>
      <c r="O209" s="82">
        <f>N209+'BM 009'!O209</f>
        <v>0</v>
      </c>
      <c r="P209" s="80">
        <f t="shared" si="102"/>
        <v>84422.7</v>
      </c>
      <c r="Q209" s="82">
        <f t="shared" si="103"/>
        <v>107014.22</v>
      </c>
      <c r="R209" s="82">
        <f t="shared" si="104"/>
        <v>107014.22</v>
      </c>
    </row>
    <row r="210" spans="1:23" s="34" customFormat="1" ht="69">
      <c r="B210" s="87" t="s">
        <v>413</v>
      </c>
      <c r="C210" s="88" t="s">
        <v>414</v>
      </c>
      <c r="D210" s="89" t="s">
        <v>82</v>
      </c>
      <c r="E210" s="92">
        <v>12</v>
      </c>
      <c r="F210" s="91"/>
      <c r="G210" s="91"/>
      <c r="H210" s="91"/>
      <c r="I210" s="79">
        <f>SUM(G210:H210)+'BM 009'!I210</f>
        <v>0</v>
      </c>
      <c r="J210" s="91">
        <f t="shared" si="88"/>
        <v>12</v>
      </c>
      <c r="K210" s="84">
        <v>1650</v>
      </c>
      <c r="L210" s="81">
        <f t="shared" si="82"/>
        <v>2091.5401815</v>
      </c>
      <c r="M210" s="82">
        <f t="shared" si="100"/>
        <v>0</v>
      </c>
      <c r="N210" s="82">
        <f t="shared" si="101"/>
        <v>0</v>
      </c>
      <c r="O210" s="82">
        <f>N210+'BM 009'!O210</f>
        <v>0</v>
      </c>
      <c r="P210" s="80">
        <f t="shared" si="102"/>
        <v>19800</v>
      </c>
      <c r="Q210" s="82">
        <f t="shared" si="103"/>
        <v>25098.48</v>
      </c>
      <c r="R210" s="82">
        <f t="shared" si="104"/>
        <v>25098.48</v>
      </c>
    </row>
    <row r="211" spans="1:23" s="34" customFormat="1" ht="13.2">
      <c r="B211" s="87" t="s">
        <v>415</v>
      </c>
      <c r="C211" s="88" t="s">
        <v>416</v>
      </c>
      <c r="D211" s="89" t="s">
        <v>79</v>
      </c>
      <c r="E211" s="92">
        <v>72.650000000000006</v>
      </c>
      <c r="F211" s="91"/>
      <c r="G211" s="91"/>
      <c r="H211" s="91"/>
      <c r="I211" s="79">
        <f>SUM(G211:H211)+'BM 009'!I211</f>
        <v>0</v>
      </c>
      <c r="J211" s="91">
        <f t="shared" si="88"/>
        <v>72.650000000000006</v>
      </c>
      <c r="K211" s="84">
        <v>485</v>
      </c>
      <c r="L211" s="81">
        <f t="shared" si="82"/>
        <v>614.78605334999997</v>
      </c>
      <c r="M211" s="82">
        <f t="shared" si="100"/>
        <v>0</v>
      </c>
      <c r="N211" s="82">
        <f t="shared" si="101"/>
        <v>0</v>
      </c>
      <c r="O211" s="82">
        <f>N211+'BM 009'!O211</f>
        <v>0</v>
      </c>
      <c r="P211" s="80">
        <f t="shared" si="102"/>
        <v>35235.25</v>
      </c>
      <c r="Q211" s="82">
        <f t="shared" si="103"/>
        <v>44664.2</v>
      </c>
      <c r="R211" s="82">
        <f t="shared" si="104"/>
        <v>44664.2</v>
      </c>
    </row>
    <row r="212" spans="1:23" s="34" customFormat="1" ht="23.4">
      <c r="B212" s="87" t="s">
        <v>417</v>
      </c>
      <c r="C212" s="88" t="s">
        <v>418</v>
      </c>
      <c r="D212" s="89" t="s">
        <v>79</v>
      </c>
      <c r="E212" s="92">
        <v>51.22</v>
      </c>
      <c r="F212" s="91"/>
      <c r="G212" s="91"/>
      <c r="H212" s="91"/>
      <c r="I212" s="79">
        <f>SUM(G212:H212)+'BM 009'!I212</f>
        <v>0</v>
      </c>
      <c r="J212" s="91">
        <f t="shared" si="88"/>
        <v>51.22</v>
      </c>
      <c r="K212" s="84">
        <v>1350</v>
      </c>
      <c r="L212" s="81">
        <f t="shared" si="82"/>
        <v>1711.2601485</v>
      </c>
      <c r="M212" s="82">
        <f t="shared" si="100"/>
        <v>0</v>
      </c>
      <c r="N212" s="82">
        <f t="shared" si="101"/>
        <v>0</v>
      </c>
      <c r="O212" s="82">
        <f>N212+'BM 009'!O212</f>
        <v>0</v>
      </c>
      <c r="P212" s="80">
        <f t="shared" si="102"/>
        <v>69147</v>
      </c>
      <c r="Q212" s="82">
        <f t="shared" si="103"/>
        <v>87650.74</v>
      </c>
      <c r="R212" s="82">
        <f t="shared" si="104"/>
        <v>87650.74</v>
      </c>
    </row>
    <row r="213" spans="1:23" s="34" customFormat="1" ht="46.2">
      <c r="B213" s="87" t="s">
        <v>419</v>
      </c>
      <c r="C213" s="88" t="s">
        <v>420</v>
      </c>
      <c r="D213" s="89" t="s">
        <v>79</v>
      </c>
      <c r="E213" s="92">
        <v>98</v>
      </c>
      <c r="F213" s="91"/>
      <c r="G213" s="91"/>
      <c r="H213" s="91"/>
      <c r="I213" s="79">
        <f>SUM(G213:H213)+'BM 009'!I213</f>
        <v>0</v>
      </c>
      <c r="J213" s="91">
        <f t="shared" si="88"/>
        <v>98</v>
      </c>
      <c r="K213" s="84">
        <v>498</v>
      </c>
      <c r="L213" s="81">
        <f t="shared" si="82"/>
        <v>631.26485478000006</v>
      </c>
      <c r="M213" s="82">
        <f t="shared" si="100"/>
        <v>0</v>
      </c>
      <c r="N213" s="82">
        <f t="shared" si="101"/>
        <v>0</v>
      </c>
      <c r="O213" s="82">
        <f>N213+'BM 009'!O213</f>
        <v>0</v>
      </c>
      <c r="P213" s="80">
        <f t="shared" si="102"/>
        <v>48804</v>
      </c>
      <c r="Q213" s="82">
        <f t="shared" si="103"/>
        <v>61863.95</v>
      </c>
      <c r="R213" s="82">
        <f t="shared" si="104"/>
        <v>61863.95</v>
      </c>
    </row>
    <row r="214" spans="1:23" s="107" customFormat="1" ht="34.799999999999997">
      <c r="A214" s="34"/>
      <c r="B214" s="87" t="s">
        <v>421</v>
      </c>
      <c r="C214" s="88" t="s">
        <v>422</v>
      </c>
      <c r="D214" s="89" t="s">
        <v>79</v>
      </c>
      <c r="E214" s="92">
        <v>342.22</v>
      </c>
      <c r="F214" s="91"/>
      <c r="G214" s="91"/>
      <c r="H214" s="91"/>
      <c r="I214" s="79">
        <f>SUM(G214:H214)+'BM 009'!I214</f>
        <v>0</v>
      </c>
      <c r="J214" s="91">
        <f t="shared" si="88"/>
        <v>342.22</v>
      </c>
      <c r="K214" s="84">
        <v>1395</v>
      </c>
      <c r="L214" s="81">
        <f t="shared" si="82"/>
        <v>1768.3021534500001</v>
      </c>
      <c r="M214" s="82">
        <f t="shared" si="100"/>
        <v>0</v>
      </c>
      <c r="N214" s="82">
        <f t="shared" si="101"/>
        <v>0</v>
      </c>
      <c r="O214" s="82">
        <f>N214+'BM 009'!O214</f>
        <v>0</v>
      </c>
      <c r="P214" s="80">
        <f t="shared" si="102"/>
        <v>477396.9</v>
      </c>
      <c r="Q214" s="82">
        <f t="shared" si="103"/>
        <v>605148.36</v>
      </c>
      <c r="R214" s="82">
        <f t="shared" si="104"/>
        <v>605148.36</v>
      </c>
      <c r="S214" s="34"/>
      <c r="T214" s="34"/>
      <c r="U214" s="34"/>
      <c r="V214" s="34"/>
      <c r="W214" s="34"/>
    </row>
    <row r="215" spans="1:23" s="34" customFormat="1" ht="13.2">
      <c r="B215" s="60" t="s">
        <v>423</v>
      </c>
      <c r="C215" s="61" t="s">
        <v>424</v>
      </c>
      <c r="D215" s="60"/>
      <c r="E215" s="62"/>
      <c r="F215" s="63"/>
      <c r="G215" s="63"/>
      <c r="H215" s="63"/>
      <c r="I215" s="63">
        <f>SUM(G215:H215)+'BM 009'!I215</f>
        <v>0</v>
      </c>
      <c r="J215" s="63">
        <f t="shared" si="88"/>
        <v>0</v>
      </c>
      <c r="K215" s="63"/>
      <c r="L215" s="63">
        <f t="shared" si="82"/>
        <v>0</v>
      </c>
      <c r="M215" s="63">
        <f t="shared" ref="M215:R215" si="105">SUM(M216:M221)</f>
        <v>0</v>
      </c>
      <c r="N215" s="63">
        <f t="shared" si="105"/>
        <v>0</v>
      </c>
      <c r="O215" s="63">
        <f t="shared" si="105"/>
        <v>0</v>
      </c>
      <c r="P215" s="63">
        <f t="shared" si="105"/>
        <v>1326910.8099999998</v>
      </c>
      <c r="Q215" s="63">
        <f t="shared" si="105"/>
        <v>1681992.2700000003</v>
      </c>
      <c r="R215" s="63">
        <f t="shared" si="105"/>
        <v>1681992.2700000003</v>
      </c>
    </row>
    <row r="216" spans="1:23" s="34" customFormat="1" ht="23.4">
      <c r="B216" s="87" t="s">
        <v>425</v>
      </c>
      <c r="C216" s="88" t="s">
        <v>426</v>
      </c>
      <c r="D216" s="89" t="s">
        <v>79</v>
      </c>
      <c r="E216" s="90">
        <f>E143+E147</f>
        <v>25549.96</v>
      </c>
      <c r="F216" s="91"/>
      <c r="G216" s="91"/>
      <c r="H216" s="91"/>
      <c r="I216" s="79">
        <f>SUM(G216:H216)+'BM 009'!I216</f>
        <v>0</v>
      </c>
      <c r="J216" s="91">
        <f t="shared" si="88"/>
        <v>25549.96</v>
      </c>
      <c r="K216" s="84">
        <v>16</v>
      </c>
      <c r="L216" s="81">
        <f t="shared" si="82"/>
        <v>20.281601760000001</v>
      </c>
      <c r="M216" s="82">
        <f t="shared" ref="M216:M221" si="106">TRUNC(F216*L216,2)</f>
        <v>0</v>
      </c>
      <c r="N216" s="82">
        <f t="shared" ref="N216:N221" si="107">TRUNC(G216*L216,2)</f>
        <v>0</v>
      </c>
      <c r="O216" s="82">
        <f>N216+'BM 009'!O216</f>
        <v>0</v>
      </c>
      <c r="P216" s="80">
        <f t="shared" ref="P216:P221" si="108">E216*K216</f>
        <v>408799.36</v>
      </c>
      <c r="Q216" s="82">
        <f t="shared" ref="Q216:Q221" si="109">TRUNC(E216*L216,2)</f>
        <v>518194.11</v>
      </c>
      <c r="R216" s="82">
        <f t="shared" ref="R216:R221" si="110">Q216-O216</f>
        <v>518194.11</v>
      </c>
    </row>
    <row r="217" spans="1:23" s="34" customFormat="1" ht="23.4">
      <c r="B217" s="87" t="s">
        <v>427</v>
      </c>
      <c r="C217" s="88" t="s">
        <v>428</v>
      </c>
      <c r="D217" s="89" t="s">
        <v>79</v>
      </c>
      <c r="E217" s="90">
        <f>E171</f>
        <v>3789.02</v>
      </c>
      <c r="F217" s="91"/>
      <c r="G217" s="91"/>
      <c r="H217" s="91"/>
      <c r="I217" s="79">
        <f>SUM(G217:H217)+'BM 009'!I217</f>
        <v>0</v>
      </c>
      <c r="J217" s="91">
        <f t="shared" si="88"/>
        <v>3789.02</v>
      </c>
      <c r="K217" s="84">
        <v>25</v>
      </c>
      <c r="L217" s="81">
        <f t="shared" si="82"/>
        <v>31.690002750000001</v>
      </c>
      <c r="M217" s="82">
        <f t="shared" si="106"/>
        <v>0</v>
      </c>
      <c r="N217" s="82">
        <f t="shared" si="107"/>
        <v>0</v>
      </c>
      <c r="O217" s="82">
        <f>N217+'BM 009'!O217</f>
        <v>0</v>
      </c>
      <c r="P217" s="80">
        <f t="shared" si="108"/>
        <v>94725.5</v>
      </c>
      <c r="Q217" s="82">
        <f t="shared" si="109"/>
        <v>120074.05</v>
      </c>
      <c r="R217" s="82">
        <f t="shared" si="110"/>
        <v>120074.05</v>
      </c>
    </row>
    <row r="218" spans="1:23" s="34" customFormat="1" ht="23.4">
      <c r="B218" s="87" t="s">
        <v>429</v>
      </c>
      <c r="C218" s="88" t="s">
        <v>430</v>
      </c>
      <c r="D218" s="89" t="s">
        <v>79</v>
      </c>
      <c r="E218" s="90">
        <f>E216</f>
        <v>25549.96</v>
      </c>
      <c r="F218" s="91"/>
      <c r="G218" s="91"/>
      <c r="H218" s="91"/>
      <c r="I218" s="79">
        <f>SUM(G218:H218)+'BM 009'!I218</f>
        <v>0</v>
      </c>
      <c r="J218" s="91">
        <f t="shared" si="88"/>
        <v>25549.96</v>
      </c>
      <c r="K218" s="84">
        <v>4.5</v>
      </c>
      <c r="L218" s="81">
        <f t="shared" si="82"/>
        <v>5.7042004950000003</v>
      </c>
      <c r="M218" s="82">
        <f t="shared" si="106"/>
        <v>0</v>
      </c>
      <c r="N218" s="82">
        <f t="shared" si="107"/>
        <v>0</v>
      </c>
      <c r="O218" s="82">
        <f>N218+'BM 009'!O218</f>
        <v>0</v>
      </c>
      <c r="P218" s="80">
        <f t="shared" si="108"/>
        <v>114974.81999999999</v>
      </c>
      <c r="Q218" s="82">
        <f t="shared" si="109"/>
        <v>145742.09</v>
      </c>
      <c r="R218" s="82">
        <f t="shared" si="110"/>
        <v>145742.09</v>
      </c>
    </row>
    <row r="219" spans="1:23" s="34" customFormat="1" ht="23.4">
      <c r="B219" s="87" t="s">
        <v>431</v>
      </c>
      <c r="C219" s="88" t="s">
        <v>432</v>
      </c>
      <c r="D219" s="89" t="s">
        <v>79</v>
      </c>
      <c r="E219" s="90">
        <f>E217</f>
        <v>3789.02</v>
      </c>
      <c r="F219" s="91"/>
      <c r="G219" s="91"/>
      <c r="H219" s="91"/>
      <c r="I219" s="79">
        <f>SUM(G219:H219)+'BM 009'!I219</f>
        <v>0</v>
      </c>
      <c r="J219" s="91">
        <f t="shared" si="88"/>
        <v>3789.02</v>
      </c>
      <c r="K219" s="84">
        <v>5</v>
      </c>
      <c r="L219" s="81">
        <f t="shared" si="82"/>
        <v>6.3380005500000003</v>
      </c>
      <c r="M219" s="82">
        <f t="shared" si="106"/>
        <v>0</v>
      </c>
      <c r="N219" s="82">
        <f t="shared" si="107"/>
        <v>0</v>
      </c>
      <c r="O219" s="82">
        <f>N219+'BM 009'!O219</f>
        <v>0</v>
      </c>
      <c r="P219" s="80">
        <f t="shared" si="108"/>
        <v>18945.099999999999</v>
      </c>
      <c r="Q219" s="82">
        <f t="shared" si="109"/>
        <v>24014.81</v>
      </c>
      <c r="R219" s="82">
        <f t="shared" si="110"/>
        <v>24014.81</v>
      </c>
    </row>
    <row r="220" spans="1:23" s="34" customFormat="1" ht="23.4">
      <c r="B220" s="87" t="s">
        <v>433</v>
      </c>
      <c r="C220" s="88" t="s">
        <v>434</v>
      </c>
      <c r="D220" s="89" t="s">
        <v>79</v>
      </c>
      <c r="E220" s="90">
        <f>E216</f>
        <v>25549.96</v>
      </c>
      <c r="F220" s="91"/>
      <c r="G220" s="91"/>
      <c r="H220" s="91"/>
      <c r="I220" s="79">
        <f>SUM(G220:H220)+'BM 009'!I220</f>
        <v>0</v>
      </c>
      <c r="J220" s="91">
        <f t="shared" si="88"/>
        <v>25549.96</v>
      </c>
      <c r="K220" s="84">
        <v>23.5</v>
      </c>
      <c r="L220" s="81">
        <f t="shared" si="82"/>
        <v>29.788602585</v>
      </c>
      <c r="M220" s="82">
        <f t="shared" si="106"/>
        <v>0</v>
      </c>
      <c r="N220" s="82">
        <f t="shared" si="107"/>
        <v>0</v>
      </c>
      <c r="O220" s="82">
        <f>N220+'BM 009'!O220</f>
        <v>0</v>
      </c>
      <c r="P220" s="80">
        <f t="shared" si="108"/>
        <v>600424.05999999994</v>
      </c>
      <c r="Q220" s="82">
        <f t="shared" si="109"/>
        <v>761097.6</v>
      </c>
      <c r="R220" s="82">
        <f t="shared" si="110"/>
        <v>761097.6</v>
      </c>
    </row>
    <row r="221" spans="1:23" s="34" customFormat="1" ht="23.4">
      <c r="B221" s="87" t="s">
        <v>435</v>
      </c>
      <c r="C221" s="88" t="s">
        <v>436</v>
      </c>
      <c r="D221" s="89" t="s">
        <v>79</v>
      </c>
      <c r="E221" s="90">
        <f>E219</f>
        <v>3789.02</v>
      </c>
      <c r="F221" s="91"/>
      <c r="G221" s="91"/>
      <c r="H221" s="91"/>
      <c r="I221" s="79">
        <f>SUM(G221:H221)+'BM 009'!I221</f>
        <v>0</v>
      </c>
      <c r="J221" s="91">
        <f t="shared" si="88"/>
        <v>3789.02</v>
      </c>
      <c r="K221" s="84">
        <v>23.5</v>
      </c>
      <c r="L221" s="81">
        <f t="shared" ref="L221:L284" si="111">K221*(1+$T$26)</f>
        <v>29.788602585</v>
      </c>
      <c r="M221" s="82">
        <f t="shared" si="106"/>
        <v>0</v>
      </c>
      <c r="N221" s="82">
        <f t="shared" si="107"/>
        <v>0</v>
      </c>
      <c r="O221" s="82">
        <f>N221+'BM 009'!O221</f>
        <v>0</v>
      </c>
      <c r="P221" s="80">
        <f t="shared" si="108"/>
        <v>89041.97</v>
      </c>
      <c r="Q221" s="82">
        <f t="shared" si="109"/>
        <v>112869.61</v>
      </c>
      <c r="R221" s="82">
        <f t="shared" si="110"/>
        <v>112869.61</v>
      </c>
    </row>
    <row r="222" spans="1:23" s="34" customFormat="1" ht="13.2">
      <c r="A222" s="107"/>
      <c r="B222" s="60" t="s">
        <v>437</v>
      </c>
      <c r="C222" s="61" t="s">
        <v>438</v>
      </c>
      <c r="D222" s="60"/>
      <c r="E222" s="62"/>
      <c r="F222" s="63"/>
      <c r="G222" s="63"/>
      <c r="H222" s="63"/>
      <c r="I222" s="63">
        <f>SUM(G222:H222)+'BM 009'!I222</f>
        <v>0</v>
      </c>
      <c r="J222" s="63">
        <f t="shared" si="88"/>
        <v>0</v>
      </c>
      <c r="K222" s="63"/>
      <c r="L222" s="63">
        <f t="shared" si="111"/>
        <v>0</v>
      </c>
      <c r="M222" s="63">
        <f t="shared" ref="M222:R222" si="112">SUM(M223:M224)</f>
        <v>0</v>
      </c>
      <c r="N222" s="63">
        <f t="shared" si="112"/>
        <v>0</v>
      </c>
      <c r="O222" s="63">
        <f t="shared" si="112"/>
        <v>0</v>
      </c>
      <c r="P222" s="63">
        <f t="shared" si="112"/>
        <v>13739.5</v>
      </c>
      <c r="Q222" s="63">
        <f t="shared" si="112"/>
        <v>17416.18</v>
      </c>
      <c r="R222" s="63">
        <f t="shared" si="112"/>
        <v>17416.18</v>
      </c>
      <c r="S222" s="107"/>
      <c r="T222" s="107"/>
      <c r="U222" s="107"/>
      <c r="V222" s="107"/>
      <c r="W222" s="107"/>
    </row>
    <row r="223" spans="1:23" s="34" customFormat="1" ht="13.2">
      <c r="B223" s="87" t="s">
        <v>439</v>
      </c>
      <c r="C223" s="88" t="s">
        <v>440</v>
      </c>
      <c r="D223" s="89" t="s">
        <v>124</v>
      </c>
      <c r="E223" s="90">
        <v>199.3</v>
      </c>
      <c r="F223" s="91"/>
      <c r="G223" s="91"/>
      <c r="H223" s="91"/>
      <c r="I223" s="79">
        <f>SUM(G223:H223)+'BM 009'!I223</f>
        <v>0</v>
      </c>
      <c r="J223" s="91">
        <f t="shared" ref="J223:J286" si="113">E223-I223</f>
        <v>199.3</v>
      </c>
      <c r="K223" s="84">
        <v>25</v>
      </c>
      <c r="L223" s="81">
        <f t="shared" si="111"/>
        <v>31.690002750000001</v>
      </c>
      <c r="M223" s="82">
        <f>TRUNC(F223*L223,2)</f>
        <v>0</v>
      </c>
      <c r="N223" s="82">
        <f>TRUNC(G223*L223,2)</f>
        <v>0</v>
      </c>
      <c r="O223" s="82">
        <f>N223+'BM 009'!O223</f>
        <v>0</v>
      </c>
      <c r="P223" s="80">
        <f>E223*K223</f>
        <v>4982.5</v>
      </c>
      <c r="Q223" s="82">
        <f>TRUNC(E223*L223,2)</f>
        <v>6315.81</v>
      </c>
      <c r="R223" s="82">
        <f>Q223-O223</f>
        <v>6315.81</v>
      </c>
    </row>
    <row r="224" spans="1:23" s="34" customFormat="1" ht="23.4">
      <c r="B224" s="87" t="s">
        <v>441</v>
      </c>
      <c r="C224" s="88" t="s">
        <v>442</v>
      </c>
      <c r="D224" s="89" t="s">
        <v>124</v>
      </c>
      <c r="E224" s="92">
        <v>250.2</v>
      </c>
      <c r="F224" s="91"/>
      <c r="G224" s="91"/>
      <c r="H224" s="91"/>
      <c r="I224" s="79">
        <f>SUM(G224:H224)+'BM 009'!I224</f>
        <v>0</v>
      </c>
      <c r="J224" s="91">
        <f t="shared" si="113"/>
        <v>250.2</v>
      </c>
      <c r="K224" s="84">
        <v>35</v>
      </c>
      <c r="L224" s="81">
        <f t="shared" si="111"/>
        <v>44.366003849999998</v>
      </c>
      <c r="M224" s="82">
        <f>TRUNC(F224*L224,2)</f>
        <v>0</v>
      </c>
      <c r="N224" s="82">
        <f>TRUNC(G224*L224,2)</f>
        <v>0</v>
      </c>
      <c r="O224" s="82">
        <f>N224+'BM 009'!O224</f>
        <v>0</v>
      </c>
      <c r="P224" s="80">
        <f>E224*K224</f>
        <v>8757</v>
      </c>
      <c r="Q224" s="82">
        <f>TRUNC(E224*L224,2)</f>
        <v>11100.37</v>
      </c>
      <c r="R224" s="82">
        <f>Q224-O224</f>
        <v>11100.37</v>
      </c>
    </row>
    <row r="225" spans="2:20" s="34" customFormat="1" ht="13.2">
      <c r="B225" s="60" t="s">
        <v>443</v>
      </c>
      <c r="C225" s="61" t="s">
        <v>444</v>
      </c>
      <c r="D225" s="60"/>
      <c r="E225" s="62"/>
      <c r="F225" s="63"/>
      <c r="G225" s="63"/>
      <c r="H225" s="63"/>
      <c r="I225" s="63">
        <f>SUM(G225:H225)+'BM 009'!I225</f>
        <v>0</v>
      </c>
      <c r="J225" s="63">
        <f t="shared" si="113"/>
        <v>0</v>
      </c>
      <c r="K225" s="63"/>
      <c r="L225" s="63">
        <f t="shared" si="111"/>
        <v>0</v>
      </c>
      <c r="M225" s="63">
        <f t="shared" ref="M225:R225" si="114">SUM(M226,M240,M255,M291,M296,M307,M315)</f>
        <v>0</v>
      </c>
      <c r="N225" s="63">
        <f t="shared" si="114"/>
        <v>0</v>
      </c>
      <c r="O225" s="63">
        <f t="shared" si="114"/>
        <v>0</v>
      </c>
      <c r="P225" s="63">
        <f t="shared" si="114"/>
        <v>679789.94300000009</v>
      </c>
      <c r="Q225" s="63">
        <f t="shared" si="114"/>
        <v>861701.45999999985</v>
      </c>
      <c r="R225" s="63">
        <f t="shared" si="114"/>
        <v>861701.45999999985</v>
      </c>
    </row>
    <row r="226" spans="2:20" s="34" customFormat="1" ht="24">
      <c r="B226" s="66" t="s">
        <v>445</v>
      </c>
      <c r="C226" s="67" t="s">
        <v>446</v>
      </c>
      <c r="D226" s="68"/>
      <c r="E226" s="69"/>
      <c r="F226" s="70"/>
      <c r="G226" s="70"/>
      <c r="H226" s="70"/>
      <c r="I226" s="70">
        <f>SUM(G226:H226)+'BM 009'!I226</f>
        <v>0</v>
      </c>
      <c r="J226" s="70">
        <f t="shared" si="113"/>
        <v>0</v>
      </c>
      <c r="K226" s="71"/>
      <c r="L226" s="71">
        <f t="shared" si="111"/>
        <v>0</v>
      </c>
      <c r="M226" s="73">
        <f t="shared" ref="M226:R226" si="115">SUM(M227:M239)</f>
        <v>0</v>
      </c>
      <c r="N226" s="73">
        <f t="shared" si="115"/>
        <v>0</v>
      </c>
      <c r="O226" s="73">
        <f t="shared" si="115"/>
        <v>0</v>
      </c>
      <c r="P226" s="73">
        <f t="shared" si="115"/>
        <v>135121.34</v>
      </c>
      <c r="Q226" s="73">
        <f t="shared" si="115"/>
        <v>171279.75999999998</v>
      </c>
      <c r="R226" s="73">
        <f t="shared" si="115"/>
        <v>171279.75999999998</v>
      </c>
    </row>
    <row r="227" spans="2:20" s="34" customFormat="1" ht="23.4">
      <c r="B227" s="87" t="s">
        <v>447</v>
      </c>
      <c r="C227" s="88" t="s">
        <v>448</v>
      </c>
      <c r="D227" s="89" t="s">
        <v>82</v>
      </c>
      <c r="E227" s="90">
        <v>787.32</v>
      </c>
      <c r="F227" s="91"/>
      <c r="G227" s="91"/>
      <c r="H227" s="91"/>
      <c r="I227" s="91">
        <f>SUM(G227:H227)+'BM 009'!I227</f>
        <v>0</v>
      </c>
      <c r="J227" s="91">
        <f t="shared" si="113"/>
        <v>787.32</v>
      </c>
      <c r="K227" s="80">
        <v>70</v>
      </c>
      <c r="L227" s="81">
        <f t="shared" si="111"/>
        <v>88.732007699999997</v>
      </c>
      <c r="M227" s="82">
        <f t="shared" ref="M227:M239" si="116">TRUNC(F227*L227,2)</f>
        <v>0</v>
      </c>
      <c r="N227" s="82">
        <f t="shared" ref="N227:N239" si="117">TRUNC(G227*L227,2)</f>
        <v>0</v>
      </c>
      <c r="O227" s="82">
        <f>N227+'BM 009'!O227</f>
        <v>0</v>
      </c>
      <c r="P227" s="80">
        <f t="shared" ref="P227:P239" si="118">E227*K227</f>
        <v>55112.4</v>
      </c>
      <c r="Q227" s="82">
        <f t="shared" ref="Q227:Q239" si="119">TRUNC(E227*L227,2)</f>
        <v>69860.479999999996</v>
      </c>
      <c r="R227" s="82">
        <f t="shared" ref="R227:R239" si="120">Q227-O227</f>
        <v>69860.479999999996</v>
      </c>
    </row>
    <row r="228" spans="2:20" s="34" customFormat="1" ht="23.4">
      <c r="B228" s="87" t="s">
        <v>449</v>
      </c>
      <c r="C228" s="88" t="s">
        <v>450</v>
      </c>
      <c r="D228" s="89" t="s">
        <v>39</v>
      </c>
      <c r="E228" s="90">
        <v>30</v>
      </c>
      <c r="F228" s="91"/>
      <c r="G228" s="91"/>
      <c r="H228" s="91"/>
      <c r="I228" s="91">
        <f>SUM(G228:H228)+'BM 009'!I228</f>
        <v>0</v>
      </c>
      <c r="J228" s="91">
        <f t="shared" si="113"/>
        <v>30</v>
      </c>
      <c r="K228" s="80">
        <v>49.5</v>
      </c>
      <c r="L228" s="81">
        <f t="shared" si="111"/>
        <v>62.746205445000001</v>
      </c>
      <c r="M228" s="82">
        <f t="shared" si="116"/>
        <v>0</v>
      </c>
      <c r="N228" s="82">
        <f t="shared" si="117"/>
        <v>0</v>
      </c>
      <c r="O228" s="82">
        <f>N228+'BM 009'!O228</f>
        <v>0</v>
      </c>
      <c r="P228" s="80">
        <f t="shared" si="118"/>
        <v>1485</v>
      </c>
      <c r="Q228" s="82">
        <f t="shared" si="119"/>
        <v>1882.38</v>
      </c>
      <c r="R228" s="82">
        <f t="shared" si="120"/>
        <v>1882.38</v>
      </c>
    </row>
    <row r="229" spans="2:20" s="34" customFormat="1" ht="23.4">
      <c r="B229" s="87" t="s">
        <v>451</v>
      </c>
      <c r="C229" s="88" t="s">
        <v>452</v>
      </c>
      <c r="D229" s="89" t="s">
        <v>39</v>
      </c>
      <c r="E229" s="90">
        <v>38</v>
      </c>
      <c r="F229" s="91"/>
      <c r="G229" s="91"/>
      <c r="H229" s="91"/>
      <c r="I229" s="91">
        <f>SUM(G229:H229)+'BM 009'!I229</f>
        <v>0</v>
      </c>
      <c r="J229" s="91">
        <f t="shared" si="113"/>
        <v>38</v>
      </c>
      <c r="K229" s="80">
        <v>43.8</v>
      </c>
      <c r="L229" s="81">
        <f t="shared" si="111"/>
        <v>55.520884817999999</v>
      </c>
      <c r="M229" s="82">
        <f t="shared" si="116"/>
        <v>0</v>
      </c>
      <c r="N229" s="82">
        <f t="shared" si="117"/>
        <v>0</v>
      </c>
      <c r="O229" s="82">
        <f>N229+'BM 009'!O229</f>
        <v>0</v>
      </c>
      <c r="P229" s="80">
        <f t="shared" si="118"/>
        <v>1664.3999999999999</v>
      </c>
      <c r="Q229" s="82">
        <f t="shared" si="119"/>
        <v>2109.79</v>
      </c>
      <c r="R229" s="82">
        <f t="shared" si="120"/>
        <v>2109.79</v>
      </c>
    </row>
    <row r="230" spans="2:20" s="34" customFormat="1" ht="23.4">
      <c r="B230" s="87" t="s">
        <v>453</v>
      </c>
      <c r="C230" s="88" t="s">
        <v>454</v>
      </c>
      <c r="D230" s="89" t="s">
        <v>39</v>
      </c>
      <c r="E230" s="90">
        <v>24</v>
      </c>
      <c r="F230" s="91"/>
      <c r="G230" s="91"/>
      <c r="H230" s="91"/>
      <c r="I230" s="91">
        <f>SUM(G230:H230)+'BM 009'!I230</f>
        <v>0</v>
      </c>
      <c r="J230" s="91">
        <f t="shared" si="113"/>
        <v>24</v>
      </c>
      <c r="K230" s="80">
        <v>40</v>
      </c>
      <c r="L230" s="81">
        <f t="shared" si="111"/>
        <v>50.704004400000002</v>
      </c>
      <c r="M230" s="82">
        <f t="shared" si="116"/>
        <v>0</v>
      </c>
      <c r="N230" s="82">
        <f t="shared" si="117"/>
        <v>0</v>
      </c>
      <c r="O230" s="82">
        <f>N230+'BM 009'!O230</f>
        <v>0</v>
      </c>
      <c r="P230" s="80">
        <f t="shared" si="118"/>
        <v>960</v>
      </c>
      <c r="Q230" s="82">
        <f t="shared" si="119"/>
        <v>1216.8900000000001</v>
      </c>
      <c r="R230" s="82">
        <f t="shared" si="120"/>
        <v>1216.8900000000001</v>
      </c>
    </row>
    <row r="231" spans="2:20" s="34" customFormat="1" ht="23.4">
      <c r="B231" s="87" t="s">
        <v>455</v>
      </c>
      <c r="C231" s="88" t="s">
        <v>456</v>
      </c>
      <c r="D231" s="89" t="s">
        <v>39</v>
      </c>
      <c r="E231" s="90">
        <v>30</v>
      </c>
      <c r="F231" s="91"/>
      <c r="G231" s="91"/>
      <c r="H231" s="91"/>
      <c r="I231" s="91">
        <f>SUM(G231:H231)+'BM 009'!I231</f>
        <v>0</v>
      </c>
      <c r="J231" s="91">
        <f t="shared" si="113"/>
        <v>30</v>
      </c>
      <c r="K231" s="80">
        <v>50</v>
      </c>
      <c r="L231" s="81">
        <f t="shared" si="111"/>
        <v>63.380005500000003</v>
      </c>
      <c r="M231" s="82">
        <f t="shared" si="116"/>
        <v>0</v>
      </c>
      <c r="N231" s="82">
        <f t="shared" si="117"/>
        <v>0</v>
      </c>
      <c r="O231" s="82">
        <f>N231+'BM 009'!O231</f>
        <v>0</v>
      </c>
      <c r="P231" s="80">
        <f t="shared" si="118"/>
        <v>1500</v>
      </c>
      <c r="Q231" s="82">
        <f t="shared" si="119"/>
        <v>1901.4</v>
      </c>
      <c r="R231" s="82">
        <f t="shared" si="120"/>
        <v>1901.4</v>
      </c>
    </row>
    <row r="232" spans="2:20" s="34" customFormat="1" ht="23.4">
      <c r="B232" s="87" t="s">
        <v>457</v>
      </c>
      <c r="C232" s="88" t="s">
        <v>458</v>
      </c>
      <c r="D232" s="89" t="s">
        <v>39</v>
      </c>
      <c r="E232" s="90">
        <v>400</v>
      </c>
      <c r="F232" s="91"/>
      <c r="G232" s="91"/>
      <c r="H232" s="91"/>
      <c r="I232" s="91">
        <f>SUM(G232:H232)+'BM 009'!I232</f>
        <v>0</v>
      </c>
      <c r="J232" s="91">
        <f t="shared" si="113"/>
        <v>400</v>
      </c>
      <c r="K232" s="80">
        <v>9.7100000000000009</v>
      </c>
      <c r="L232" s="81">
        <f t="shared" si="111"/>
        <v>12.308397068100001</v>
      </c>
      <c r="M232" s="82">
        <f t="shared" si="116"/>
        <v>0</v>
      </c>
      <c r="N232" s="82">
        <f t="shared" si="117"/>
        <v>0</v>
      </c>
      <c r="O232" s="82">
        <f>N232+'BM 009'!O232</f>
        <v>0</v>
      </c>
      <c r="P232" s="80">
        <f t="shared" si="118"/>
        <v>3884.0000000000005</v>
      </c>
      <c r="Q232" s="82">
        <f t="shared" si="119"/>
        <v>4923.3500000000004</v>
      </c>
      <c r="R232" s="82">
        <f t="shared" si="120"/>
        <v>4923.3500000000004</v>
      </c>
    </row>
    <row r="233" spans="2:20" s="34" customFormat="1" ht="34.799999999999997">
      <c r="B233" s="87" t="s">
        <v>459</v>
      </c>
      <c r="C233" s="88" t="s">
        <v>460</v>
      </c>
      <c r="D233" s="89" t="s">
        <v>82</v>
      </c>
      <c r="E233" s="90">
        <v>53.61</v>
      </c>
      <c r="F233" s="91"/>
      <c r="G233" s="91"/>
      <c r="H233" s="91"/>
      <c r="I233" s="91">
        <f>SUM(G233:H233)+'BM 009'!I233</f>
        <v>0</v>
      </c>
      <c r="J233" s="91">
        <f t="shared" si="113"/>
        <v>53.61</v>
      </c>
      <c r="K233" s="80">
        <v>95</v>
      </c>
      <c r="L233" s="81">
        <f t="shared" si="111"/>
        <v>120.42201045</v>
      </c>
      <c r="M233" s="82">
        <f t="shared" si="116"/>
        <v>0</v>
      </c>
      <c r="N233" s="82">
        <f t="shared" si="117"/>
        <v>0</v>
      </c>
      <c r="O233" s="82">
        <f>N233+'BM 009'!O233</f>
        <v>0</v>
      </c>
      <c r="P233" s="80">
        <f t="shared" si="118"/>
        <v>5092.95</v>
      </c>
      <c r="Q233" s="82">
        <f t="shared" si="119"/>
        <v>6455.82</v>
      </c>
      <c r="R233" s="82">
        <f t="shared" si="120"/>
        <v>6455.82</v>
      </c>
    </row>
    <row r="234" spans="2:20" s="34" customFormat="1" ht="46.2">
      <c r="B234" s="87" t="s">
        <v>461</v>
      </c>
      <c r="C234" s="88" t="s">
        <v>462</v>
      </c>
      <c r="D234" s="89" t="s">
        <v>82</v>
      </c>
      <c r="E234" s="90">
        <v>91.42</v>
      </c>
      <c r="F234" s="91"/>
      <c r="G234" s="91"/>
      <c r="H234" s="91"/>
      <c r="I234" s="91">
        <f>SUM(G234:H234)+'BM 009'!I234</f>
        <v>0</v>
      </c>
      <c r="J234" s="91">
        <f t="shared" si="113"/>
        <v>91.42</v>
      </c>
      <c r="K234" s="80">
        <v>15</v>
      </c>
      <c r="L234" s="81">
        <f t="shared" si="111"/>
        <v>19.014001650000001</v>
      </c>
      <c r="M234" s="82">
        <f t="shared" si="116"/>
        <v>0</v>
      </c>
      <c r="N234" s="82">
        <f t="shared" si="117"/>
        <v>0</v>
      </c>
      <c r="O234" s="82">
        <f>N234+'BM 009'!O234</f>
        <v>0</v>
      </c>
      <c r="P234" s="80">
        <f t="shared" si="118"/>
        <v>1371.3</v>
      </c>
      <c r="Q234" s="82">
        <f t="shared" si="119"/>
        <v>1738.26</v>
      </c>
      <c r="R234" s="82">
        <f t="shared" si="120"/>
        <v>1738.26</v>
      </c>
    </row>
    <row r="235" spans="2:20" s="34" customFormat="1" ht="46.2">
      <c r="B235" s="87" t="s">
        <v>463</v>
      </c>
      <c r="C235" s="88" t="s">
        <v>464</v>
      </c>
      <c r="D235" s="89" t="s">
        <v>82</v>
      </c>
      <c r="E235" s="90">
        <v>8549.7900000000009</v>
      </c>
      <c r="F235" s="91"/>
      <c r="G235" s="91"/>
      <c r="H235" s="91"/>
      <c r="I235" s="91">
        <f>SUM(G235:H235)+'BM 009'!I235</f>
        <v>0</v>
      </c>
      <c r="J235" s="91">
        <f t="shared" si="113"/>
        <v>8549.7900000000009</v>
      </c>
      <c r="K235" s="80">
        <v>6</v>
      </c>
      <c r="L235" s="81">
        <f t="shared" si="111"/>
        <v>7.6056006600000003</v>
      </c>
      <c r="M235" s="82">
        <f t="shared" si="116"/>
        <v>0</v>
      </c>
      <c r="N235" s="82">
        <f t="shared" si="117"/>
        <v>0</v>
      </c>
      <c r="O235" s="82">
        <f>N235+'BM 009'!O235</f>
        <v>0</v>
      </c>
      <c r="P235" s="80">
        <f t="shared" si="118"/>
        <v>51298.740000000005</v>
      </c>
      <c r="Q235" s="82">
        <f t="shared" si="119"/>
        <v>65026.28</v>
      </c>
      <c r="R235" s="82">
        <f t="shared" si="120"/>
        <v>65026.28</v>
      </c>
    </row>
    <row r="236" spans="2:20" s="34" customFormat="1" ht="46.2">
      <c r="B236" s="87" t="s">
        <v>465</v>
      </c>
      <c r="C236" s="88" t="s">
        <v>466</v>
      </c>
      <c r="D236" s="89" t="s">
        <v>82</v>
      </c>
      <c r="E236" s="90">
        <v>98.51</v>
      </c>
      <c r="F236" s="91"/>
      <c r="G236" s="91"/>
      <c r="H236" s="91"/>
      <c r="I236" s="91">
        <f>SUM(G236:H236)+'BM 009'!I236</f>
        <v>0</v>
      </c>
      <c r="J236" s="91">
        <f t="shared" si="113"/>
        <v>98.51</v>
      </c>
      <c r="K236" s="80">
        <v>20</v>
      </c>
      <c r="L236" s="81">
        <f t="shared" si="111"/>
        <v>25.352002200000001</v>
      </c>
      <c r="M236" s="82">
        <f t="shared" si="116"/>
        <v>0</v>
      </c>
      <c r="N236" s="82">
        <f t="shared" si="117"/>
        <v>0</v>
      </c>
      <c r="O236" s="82">
        <f>N236+'BM 009'!O236</f>
        <v>0</v>
      </c>
      <c r="P236" s="80">
        <f t="shared" si="118"/>
        <v>1970.2</v>
      </c>
      <c r="Q236" s="82">
        <f t="shared" si="119"/>
        <v>2497.42</v>
      </c>
      <c r="R236" s="82">
        <f t="shared" si="120"/>
        <v>2497.42</v>
      </c>
      <c r="T236" s="83"/>
    </row>
    <row r="237" spans="2:20" s="34" customFormat="1" ht="23.4">
      <c r="B237" s="87" t="s">
        <v>467</v>
      </c>
      <c r="C237" s="88" t="s">
        <v>468</v>
      </c>
      <c r="D237" s="89" t="s">
        <v>39</v>
      </c>
      <c r="E237" s="90">
        <v>836</v>
      </c>
      <c r="F237" s="91"/>
      <c r="G237" s="91"/>
      <c r="H237" s="91"/>
      <c r="I237" s="91">
        <f>SUM(G237:H237)+'BM 009'!I237</f>
        <v>0</v>
      </c>
      <c r="J237" s="91">
        <f t="shared" si="113"/>
        <v>836</v>
      </c>
      <c r="K237" s="80">
        <v>8</v>
      </c>
      <c r="L237" s="81">
        <f t="shared" si="111"/>
        <v>10.14080088</v>
      </c>
      <c r="M237" s="82">
        <f t="shared" si="116"/>
        <v>0</v>
      </c>
      <c r="N237" s="82">
        <f t="shared" si="117"/>
        <v>0</v>
      </c>
      <c r="O237" s="82">
        <f>N237+'BM 009'!O237</f>
        <v>0</v>
      </c>
      <c r="P237" s="80">
        <f t="shared" si="118"/>
        <v>6688</v>
      </c>
      <c r="Q237" s="82">
        <f t="shared" si="119"/>
        <v>8477.7000000000007</v>
      </c>
      <c r="R237" s="82">
        <f t="shared" si="120"/>
        <v>8477.7000000000007</v>
      </c>
      <c r="T237" s="83"/>
    </row>
    <row r="238" spans="2:20" s="34" customFormat="1" ht="34.799999999999997">
      <c r="B238" s="87" t="s">
        <v>469</v>
      </c>
      <c r="C238" s="88" t="s">
        <v>470</v>
      </c>
      <c r="D238" s="89" t="s">
        <v>39</v>
      </c>
      <c r="E238" s="90">
        <v>1359</v>
      </c>
      <c r="F238" s="91"/>
      <c r="G238" s="91"/>
      <c r="H238" s="91"/>
      <c r="I238" s="91">
        <f>SUM(G238:H238)+'BM 009'!I238</f>
        <v>0</v>
      </c>
      <c r="J238" s="91">
        <f t="shared" si="113"/>
        <v>1359</v>
      </c>
      <c r="K238" s="80">
        <v>3</v>
      </c>
      <c r="L238" s="81">
        <f t="shared" si="111"/>
        <v>3.8028003300000002</v>
      </c>
      <c r="M238" s="82">
        <f t="shared" si="116"/>
        <v>0</v>
      </c>
      <c r="N238" s="82">
        <f t="shared" si="117"/>
        <v>0</v>
      </c>
      <c r="O238" s="82">
        <f>N238+'BM 009'!O238</f>
        <v>0</v>
      </c>
      <c r="P238" s="80">
        <f t="shared" si="118"/>
        <v>4077</v>
      </c>
      <c r="Q238" s="82">
        <f t="shared" si="119"/>
        <v>5168</v>
      </c>
      <c r="R238" s="82">
        <f t="shared" si="120"/>
        <v>5168</v>
      </c>
      <c r="T238" s="83"/>
    </row>
    <row r="239" spans="2:20" s="34" customFormat="1" ht="34.799999999999997">
      <c r="B239" s="87" t="s">
        <v>471</v>
      </c>
      <c r="C239" s="88" t="s">
        <v>472</v>
      </c>
      <c r="D239" s="89" t="s">
        <v>39</v>
      </c>
      <c r="E239" s="90">
        <v>5</v>
      </c>
      <c r="F239" s="91"/>
      <c r="G239" s="91"/>
      <c r="H239" s="91"/>
      <c r="I239" s="91">
        <f>SUM(G239:H239)+'BM 009'!I239</f>
        <v>0</v>
      </c>
      <c r="J239" s="91">
        <f t="shared" si="113"/>
        <v>5</v>
      </c>
      <c r="K239" s="80">
        <v>3.47</v>
      </c>
      <c r="L239" s="81">
        <f t="shared" si="111"/>
        <v>4.3985723817000002</v>
      </c>
      <c r="M239" s="82">
        <f t="shared" si="116"/>
        <v>0</v>
      </c>
      <c r="N239" s="82">
        <f t="shared" si="117"/>
        <v>0</v>
      </c>
      <c r="O239" s="82">
        <f>N239+'BM 009'!O239</f>
        <v>0</v>
      </c>
      <c r="P239" s="80">
        <f t="shared" si="118"/>
        <v>17.350000000000001</v>
      </c>
      <c r="Q239" s="82">
        <f t="shared" si="119"/>
        <v>21.99</v>
      </c>
      <c r="R239" s="82">
        <f t="shared" si="120"/>
        <v>21.99</v>
      </c>
      <c r="T239" s="83"/>
    </row>
    <row r="240" spans="2:20" s="34" customFormat="1" ht="13.2">
      <c r="B240" s="66" t="s">
        <v>473</v>
      </c>
      <c r="C240" s="67" t="s">
        <v>474</v>
      </c>
      <c r="D240" s="68"/>
      <c r="E240" s="69"/>
      <c r="F240" s="70"/>
      <c r="G240" s="70"/>
      <c r="H240" s="70"/>
      <c r="I240" s="70">
        <f>SUM(G240:H240)+'BM 009'!I240</f>
        <v>0</v>
      </c>
      <c r="J240" s="70">
        <f t="shared" si="113"/>
        <v>0</v>
      </c>
      <c r="K240" s="71"/>
      <c r="L240" s="71">
        <f t="shared" si="111"/>
        <v>0</v>
      </c>
      <c r="M240" s="73">
        <f t="shared" ref="M240:R240" si="121">SUM(M241:M254)</f>
        <v>0</v>
      </c>
      <c r="N240" s="73">
        <f t="shared" si="121"/>
        <v>0</v>
      </c>
      <c r="O240" s="73">
        <f t="shared" si="121"/>
        <v>0</v>
      </c>
      <c r="P240" s="73">
        <f t="shared" si="121"/>
        <v>310727.75299999997</v>
      </c>
      <c r="Q240" s="73">
        <f t="shared" si="121"/>
        <v>393878.46999999991</v>
      </c>
      <c r="R240" s="73">
        <f t="shared" si="121"/>
        <v>393878.46999999991</v>
      </c>
      <c r="T240" s="83"/>
    </row>
    <row r="241" spans="2:20" s="34" customFormat="1" ht="23.4">
      <c r="B241" s="87" t="s">
        <v>475</v>
      </c>
      <c r="C241" s="88" t="s">
        <v>476</v>
      </c>
      <c r="D241" s="89" t="s">
        <v>82</v>
      </c>
      <c r="E241" s="90">
        <v>1000</v>
      </c>
      <c r="F241" s="91"/>
      <c r="G241" s="91"/>
      <c r="H241" s="91"/>
      <c r="I241" s="91">
        <f>SUM(G241:H241)+'BM 009'!I241</f>
        <v>0</v>
      </c>
      <c r="J241" s="91">
        <f t="shared" si="113"/>
        <v>1000</v>
      </c>
      <c r="K241" s="80">
        <v>15</v>
      </c>
      <c r="L241" s="81">
        <f t="shared" si="111"/>
        <v>19.014001650000001</v>
      </c>
      <c r="M241" s="82">
        <f t="shared" ref="M241:M254" si="122">TRUNC(F241*L241,2)</f>
        <v>0</v>
      </c>
      <c r="N241" s="82">
        <f t="shared" ref="N241:N254" si="123">TRUNC(G241*L241,2)</f>
        <v>0</v>
      </c>
      <c r="O241" s="82">
        <f>N241+'BM 009'!O241</f>
        <v>0</v>
      </c>
      <c r="P241" s="80">
        <f t="shared" ref="P241:P254" si="124">E241*K241</f>
        <v>15000</v>
      </c>
      <c r="Q241" s="82">
        <f t="shared" ref="Q241:Q254" si="125">TRUNC(E241*L241,2)</f>
        <v>19014</v>
      </c>
      <c r="R241" s="82">
        <f t="shared" ref="R241:R254" si="126">Q241-O241</f>
        <v>19014</v>
      </c>
      <c r="T241" s="83"/>
    </row>
    <row r="242" spans="2:20" s="34" customFormat="1" ht="46.2">
      <c r="B242" s="87" t="s">
        <v>477</v>
      </c>
      <c r="C242" s="88" t="s">
        <v>478</v>
      </c>
      <c r="D242" s="89" t="s">
        <v>124</v>
      </c>
      <c r="E242" s="90">
        <v>9216.66</v>
      </c>
      <c r="F242" s="91"/>
      <c r="G242" s="91"/>
      <c r="H242" s="91"/>
      <c r="I242" s="91">
        <f>SUM(G242:H242)+'BM 009'!I242</f>
        <v>0</v>
      </c>
      <c r="J242" s="91">
        <f t="shared" si="113"/>
        <v>9216.66</v>
      </c>
      <c r="K242" s="80">
        <v>3.5</v>
      </c>
      <c r="L242" s="81">
        <f t="shared" si="111"/>
        <v>4.4366003850000002</v>
      </c>
      <c r="M242" s="82">
        <f t="shared" si="122"/>
        <v>0</v>
      </c>
      <c r="N242" s="82">
        <f t="shared" si="123"/>
        <v>0</v>
      </c>
      <c r="O242" s="82">
        <f>N242+'BM 009'!O242</f>
        <v>0</v>
      </c>
      <c r="P242" s="80">
        <f t="shared" si="124"/>
        <v>32258.309999999998</v>
      </c>
      <c r="Q242" s="82">
        <f t="shared" si="125"/>
        <v>40890.629999999997</v>
      </c>
      <c r="R242" s="82">
        <f t="shared" si="126"/>
        <v>40890.629999999997</v>
      </c>
    </row>
    <row r="243" spans="2:20" s="34" customFormat="1" ht="57.6">
      <c r="B243" s="87" t="s">
        <v>479</v>
      </c>
      <c r="C243" s="88" t="s">
        <v>480</v>
      </c>
      <c r="D243" s="89" t="s">
        <v>82</v>
      </c>
      <c r="E243" s="90">
        <v>16088.53</v>
      </c>
      <c r="F243" s="91"/>
      <c r="G243" s="91"/>
      <c r="H243" s="91"/>
      <c r="I243" s="91">
        <f>SUM(G243:H243)+'BM 009'!I243</f>
        <v>0</v>
      </c>
      <c r="J243" s="91">
        <f t="shared" si="113"/>
        <v>16088.53</v>
      </c>
      <c r="K243" s="80">
        <v>4.5</v>
      </c>
      <c r="L243" s="81">
        <f t="shared" si="111"/>
        <v>5.7042004950000003</v>
      </c>
      <c r="M243" s="82">
        <f t="shared" si="122"/>
        <v>0</v>
      </c>
      <c r="N243" s="82">
        <f t="shared" si="123"/>
        <v>0</v>
      </c>
      <c r="O243" s="82">
        <f>N243+'BM 009'!O243</f>
        <v>0</v>
      </c>
      <c r="P243" s="80">
        <f t="shared" si="124"/>
        <v>72398.385000000009</v>
      </c>
      <c r="Q243" s="82">
        <f t="shared" si="125"/>
        <v>91772.2</v>
      </c>
      <c r="R243" s="82">
        <f t="shared" si="126"/>
        <v>91772.2</v>
      </c>
    </row>
    <row r="244" spans="2:20" s="34" customFormat="1" ht="34.799999999999997">
      <c r="B244" s="87" t="s">
        <v>481</v>
      </c>
      <c r="C244" s="88" t="s">
        <v>482</v>
      </c>
      <c r="D244" s="89" t="s">
        <v>82</v>
      </c>
      <c r="E244" s="90">
        <v>1366.87</v>
      </c>
      <c r="F244" s="91"/>
      <c r="G244" s="91"/>
      <c r="H244" s="91"/>
      <c r="I244" s="91">
        <f>SUM(G244:H244)+'BM 009'!I244</f>
        <v>0</v>
      </c>
      <c r="J244" s="91">
        <f t="shared" si="113"/>
        <v>1366.87</v>
      </c>
      <c r="K244" s="80">
        <v>7</v>
      </c>
      <c r="L244" s="81">
        <f t="shared" si="111"/>
        <v>8.8732007700000004</v>
      </c>
      <c r="M244" s="82">
        <f t="shared" si="122"/>
        <v>0</v>
      </c>
      <c r="N244" s="82">
        <f t="shared" si="123"/>
        <v>0</v>
      </c>
      <c r="O244" s="82">
        <f>N244+'BM 009'!O244</f>
        <v>0</v>
      </c>
      <c r="P244" s="80">
        <f t="shared" si="124"/>
        <v>9568.09</v>
      </c>
      <c r="Q244" s="82">
        <f t="shared" si="125"/>
        <v>12128.51</v>
      </c>
      <c r="R244" s="82">
        <f t="shared" si="126"/>
        <v>12128.51</v>
      </c>
    </row>
    <row r="245" spans="2:20" s="34" customFormat="1" ht="57.6">
      <c r="B245" s="87" t="s">
        <v>483</v>
      </c>
      <c r="C245" s="88" t="s">
        <v>484</v>
      </c>
      <c r="D245" s="89" t="s">
        <v>82</v>
      </c>
      <c r="E245" s="90">
        <v>337.73</v>
      </c>
      <c r="F245" s="91"/>
      <c r="G245" s="91"/>
      <c r="H245" s="91"/>
      <c r="I245" s="91">
        <f>SUM(G245:H245)+'BM 009'!I245</f>
        <v>0</v>
      </c>
      <c r="J245" s="91">
        <f t="shared" si="113"/>
        <v>337.73</v>
      </c>
      <c r="K245" s="80">
        <v>10</v>
      </c>
      <c r="L245" s="81">
        <f t="shared" si="111"/>
        <v>12.676001100000001</v>
      </c>
      <c r="M245" s="82">
        <f t="shared" si="122"/>
        <v>0</v>
      </c>
      <c r="N245" s="82">
        <f t="shared" si="123"/>
        <v>0</v>
      </c>
      <c r="O245" s="82">
        <f>N245+'BM 009'!O245</f>
        <v>0</v>
      </c>
      <c r="P245" s="80">
        <f t="shared" si="124"/>
        <v>3377.3</v>
      </c>
      <c r="Q245" s="82">
        <f t="shared" si="125"/>
        <v>4281.0600000000004</v>
      </c>
      <c r="R245" s="82">
        <f t="shared" si="126"/>
        <v>4281.0600000000004</v>
      </c>
    </row>
    <row r="246" spans="2:20" s="34" customFormat="1" ht="34.799999999999997">
      <c r="B246" s="87" t="s">
        <v>485</v>
      </c>
      <c r="C246" s="88" t="s">
        <v>486</v>
      </c>
      <c r="D246" s="89" t="s">
        <v>82</v>
      </c>
      <c r="E246" s="90">
        <v>584.41</v>
      </c>
      <c r="F246" s="91"/>
      <c r="G246" s="91"/>
      <c r="H246" s="91"/>
      <c r="I246" s="91">
        <f>SUM(G246:H246)+'BM 009'!I246</f>
        <v>0</v>
      </c>
      <c r="J246" s="91">
        <f t="shared" si="113"/>
        <v>584.41</v>
      </c>
      <c r="K246" s="80">
        <v>11</v>
      </c>
      <c r="L246" s="81">
        <f t="shared" si="111"/>
        <v>13.943601210000001</v>
      </c>
      <c r="M246" s="82">
        <f t="shared" si="122"/>
        <v>0</v>
      </c>
      <c r="N246" s="82">
        <f t="shared" si="123"/>
        <v>0</v>
      </c>
      <c r="O246" s="82">
        <f>N246+'BM 009'!O246</f>
        <v>0</v>
      </c>
      <c r="P246" s="80">
        <f t="shared" si="124"/>
        <v>6428.5099999999993</v>
      </c>
      <c r="Q246" s="82">
        <f t="shared" si="125"/>
        <v>8148.77</v>
      </c>
      <c r="R246" s="82">
        <f t="shared" si="126"/>
        <v>8148.77</v>
      </c>
    </row>
    <row r="247" spans="2:20" s="34" customFormat="1" ht="34.799999999999997">
      <c r="B247" s="87" t="s">
        <v>487</v>
      </c>
      <c r="C247" s="88" t="s">
        <v>488</v>
      </c>
      <c r="D247" s="89" t="s">
        <v>82</v>
      </c>
      <c r="E247" s="90">
        <v>746.42</v>
      </c>
      <c r="F247" s="91"/>
      <c r="G247" s="91"/>
      <c r="H247" s="91"/>
      <c r="I247" s="91">
        <f>SUM(G247:H247)+'BM 009'!I247</f>
        <v>0</v>
      </c>
      <c r="J247" s="91">
        <f t="shared" si="113"/>
        <v>746.42</v>
      </c>
      <c r="K247" s="80">
        <v>18</v>
      </c>
      <c r="L247" s="81">
        <f t="shared" si="111"/>
        <v>22.816801980000001</v>
      </c>
      <c r="M247" s="82">
        <f t="shared" si="122"/>
        <v>0</v>
      </c>
      <c r="N247" s="82">
        <f t="shared" si="123"/>
        <v>0</v>
      </c>
      <c r="O247" s="82">
        <f>N247+'BM 009'!O247</f>
        <v>0</v>
      </c>
      <c r="P247" s="80">
        <f t="shared" si="124"/>
        <v>13435.56</v>
      </c>
      <c r="Q247" s="82">
        <f t="shared" si="125"/>
        <v>17030.91</v>
      </c>
      <c r="R247" s="82">
        <f t="shared" si="126"/>
        <v>17030.91</v>
      </c>
    </row>
    <row r="248" spans="2:20" s="34" customFormat="1" ht="34.799999999999997">
      <c r="B248" s="87" t="s">
        <v>489</v>
      </c>
      <c r="C248" s="88" t="s">
        <v>490</v>
      </c>
      <c r="D248" s="89" t="s">
        <v>82</v>
      </c>
      <c r="E248" s="90">
        <v>396.45</v>
      </c>
      <c r="F248" s="91"/>
      <c r="G248" s="91"/>
      <c r="H248" s="91"/>
      <c r="I248" s="91">
        <f>SUM(G248:H248)+'BM 009'!I248</f>
        <v>0</v>
      </c>
      <c r="J248" s="91">
        <f t="shared" si="113"/>
        <v>396.45</v>
      </c>
      <c r="K248" s="80">
        <v>25</v>
      </c>
      <c r="L248" s="81">
        <f t="shared" si="111"/>
        <v>31.690002750000001</v>
      </c>
      <c r="M248" s="82">
        <f t="shared" si="122"/>
        <v>0</v>
      </c>
      <c r="N248" s="82">
        <f t="shared" si="123"/>
        <v>0</v>
      </c>
      <c r="O248" s="82">
        <f>N248+'BM 009'!O248</f>
        <v>0</v>
      </c>
      <c r="P248" s="80">
        <f t="shared" si="124"/>
        <v>9911.25</v>
      </c>
      <c r="Q248" s="82">
        <f t="shared" si="125"/>
        <v>12563.5</v>
      </c>
      <c r="R248" s="82">
        <f t="shared" si="126"/>
        <v>12563.5</v>
      </c>
    </row>
    <row r="249" spans="2:20" s="34" customFormat="1" ht="57.6">
      <c r="B249" s="87" t="s">
        <v>491</v>
      </c>
      <c r="C249" s="88" t="s">
        <v>492</v>
      </c>
      <c r="D249" s="89" t="s">
        <v>82</v>
      </c>
      <c r="E249" s="90">
        <v>326.43</v>
      </c>
      <c r="F249" s="91"/>
      <c r="G249" s="91"/>
      <c r="H249" s="91"/>
      <c r="I249" s="91">
        <f>SUM(G249:H249)+'BM 009'!I249</f>
        <v>0</v>
      </c>
      <c r="J249" s="91">
        <f t="shared" si="113"/>
        <v>326.43</v>
      </c>
      <c r="K249" s="80">
        <v>40</v>
      </c>
      <c r="L249" s="81">
        <f t="shared" si="111"/>
        <v>50.704004400000002</v>
      </c>
      <c r="M249" s="82">
        <f t="shared" si="122"/>
        <v>0</v>
      </c>
      <c r="N249" s="82">
        <f t="shared" si="123"/>
        <v>0</v>
      </c>
      <c r="O249" s="82">
        <f>N249+'BM 009'!O249</f>
        <v>0</v>
      </c>
      <c r="P249" s="80">
        <f t="shared" si="124"/>
        <v>13057.2</v>
      </c>
      <c r="Q249" s="82">
        <f t="shared" si="125"/>
        <v>16551.3</v>
      </c>
      <c r="R249" s="82">
        <f t="shared" si="126"/>
        <v>16551.3</v>
      </c>
    </row>
    <row r="250" spans="2:20" s="34" customFormat="1" ht="46.2">
      <c r="B250" s="87" t="s">
        <v>493</v>
      </c>
      <c r="C250" s="88" t="s">
        <v>494</v>
      </c>
      <c r="D250" s="89" t="s">
        <v>82</v>
      </c>
      <c r="E250" s="90">
        <v>49.87</v>
      </c>
      <c r="F250" s="91"/>
      <c r="G250" s="91"/>
      <c r="H250" s="91"/>
      <c r="I250" s="91">
        <f>SUM(G250:H250)+'BM 009'!I250</f>
        <v>0</v>
      </c>
      <c r="J250" s="91">
        <f t="shared" si="113"/>
        <v>49.87</v>
      </c>
      <c r="K250" s="80">
        <v>125</v>
      </c>
      <c r="L250" s="81">
        <f t="shared" si="111"/>
        <v>158.45001375000001</v>
      </c>
      <c r="M250" s="82">
        <f t="shared" si="122"/>
        <v>0</v>
      </c>
      <c r="N250" s="82">
        <f t="shared" si="123"/>
        <v>0</v>
      </c>
      <c r="O250" s="82">
        <f>N250+'BM 009'!O250</f>
        <v>0</v>
      </c>
      <c r="P250" s="80">
        <f t="shared" si="124"/>
        <v>6233.75</v>
      </c>
      <c r="Q250" s="82">
        <f t="shared" si="125"/>
        <v>7901.9</v>
      </c>
      <c r="R250" s="82">
        <f t="shared" si="126"/>
        <v>7901.9</v>
      </c>
    </row>
    <row r="251" spans="2:20" s="34" customFormat="1" ht="46.2">
      <c r="B251" s="87" t="s">
        <v>495</v>
      </c>
      <c r="C251" s="88" t="s">
        <v>496</v>
      </c>
      <c r="D251" s="89" t="s">
        <v>82</v>
      </c>
      <c r="E251" s="90">
        <v>49.87</v>
      </c>
      <c r="F251" s="91"/>
      <c r="G251" s="91"/>
      <c r="H251" s="91"/>
      <c r="I251" s="91">
        <f>SUM(G251:H251)+'BM 009'!I251</f>
        <v>0</v>
      </c>
      <c r="J251" s="91">
        <f t="shared" si="113"/>
        <v>49.87</v>
      </c>
      <c r="K251" s="80">
        <v>170</v>
      </c>
      <c r="L251" s="81">
        <f t="shared" si="111"/>
        <v>215.49201870000002</v>
      </c>
      <c r="M251" s="82">
        <f t="shared" si="122"/>
        <v>0</v>
      </c>
      <c r="N251" s="82">
        <f t="shared" si="123"/>
        <v>0</v>
      </c>
      <c r="O251" s="82">
        <f>N251+'BM 009'!O251</f>
        <v>0</v>
      </c>
      <c r="P251" s="80">
        <f t="shared" si="124"/>
        <v>8477.9</v>
      </c>
      <c r="Q251" s="82">
        <f t="shared" si="125"/>
        <v>10746.58</v>
      </c>
      <c r="R251" s="82">
        <f t="shared" si="126"/>
        <v>10746.58</v>
      </c>
    </row>
    <row r="252" spans="2:20" s="34" customFormat="1" ht="46.2">
      <c r="B252" s="87" t="s">
        <v>497</v>
      </c>
      <c r="C252" s="88" t="s">
        <v>498</v>
      </c>
      <c r="D252" s="89" t="s">
        <v>82</v>
      </c>
      <c r="E252" s="90">
        <v>149.6</v>
      </c>
      <c r="F252" s="91"/>
      <c r="G252" s="91"/>
      <c r="H252" s="91"/>
      <c r="I252" s="91">
        <f>SUM(G252:H252)+'BM 009'!I252</f>
        <v>0</v>
      </c>
      <c r="J252" s="91">
        <f t="shared" si="113"/>
        <v>149.6</v>
      </c>
      <c r="K252" s="80">
        <v>290</v>
      </c>
      <c r="L252" s="81">
        <f t="shared" si="111"/>
        <v>367.6040319</v>
      </c>
      <c r="M252" s="82">
        <f t="shared" si="122"/>
        <v>0</v>
      </c>
      <c r="N252" s="82">
        <f t="shared" si="123"/>
        <v>0</v>
      </c>
      <c r="O252" s="82">
        <f>N252+'BM 009'!O252</f>
        <v>0</v>
      </c>
      <c r="P252" s="80">
        <f t="shared" si="124"/>
        <v>43384</v>
      </c>
      <c r="Q252" s="82">
        <f t="shared" si="125"/>
        <v>54993.56</v>
      </c>
      <c r="R252" s="82">
        <f t="shared" si="126"/>
        <v>54993.56</v>
      </c>
    </row>
    <row r="253" spans="2:20" s="34" customFormat="1" ht="23.4">
      <c r="B253" s="87" t="s">
        <v>499</v>
      </c>
      <c r="C253" s="88" t="s">
        <v>500</v>
      </c>
      <c r="D253" s="89" t="s">
        <v>82</v>
      </c>
      <c r="E253" s="90">
        <v>4482.08</v>
      </c>
      <c r="F253" s="91"/>
      <c r="G253" s="91"/>
      <c r="H253" s="91"/>
      <c r="I253" s="91">
        <f>SUM(G253:H253)+'BM 009'!I253</f>
        <v>0</v>
      </c>
      <c r="J253" s="91">
        <f t="shared" si="113"/>
        <v>4482.08</v>
      </c>
      <c r="K253" s="80">
        <v>9</v>
      </c>
      <c r="L253" s="81">
        <f t="shared" si="111"/>
        <v>11.408400990000001</v>
      </c>
      <c r="M253" s="82">
        <f t="shared" si="122"/>
        <v>0</v>
      </c>
      <c r="N253" s="82">
        <f t="shared" si="123"/>
        <v>0</v>
      </c>
      <c r="O253" s="82">
        <f>N253+'BM 009'!O253</f>
        <v>0</v>
      </c>
      <c r="P253" s="80">
        <f t="shared" si="124"/>
        <v>40338.720000000001</v>
      </c>
      <c r="Q253" s="82">
        <f t="shared" si="125"/>
        <v>51133.36</v>
      </c>
      <c r="R253" s="82">
        <f t="shared" si="126"/>
        <v>51133.36</v>
      </c>
    </row>
    <row r="254" spans="2:20" s="34" customFormat="1" ht="23.4">
      <c r="B254" s="87" t="s">
        <v>501</v>
      </c>
      <c r="C254" s="88" t="s">
        <v>502</v>
      </c>
      <c r="D254" s="89" t="s">
        <v>82</v>
      </c>
      <c r="E254" s="90">
        <v>3350.7979999999998</v>
      </c>
      <c r="F254" s="91"/>
      <c r="G254" s="91"/>
      <c r="H254" s="91"/>
      <c r="I254" s="91">
        <f>SUM(G254:H254)+'BM 009'!I254</f>
        <v>0</v>
      </c>
      <c r="J254" s="91">
        <f t="shared" si="113"/>
        <v>3350.7979999999998</v>
      </c>
      <c r="K254" s="80">
        <v>11</v>
      </c>
      <c r="L254" s="81">
        <f t="shared" si="111"/>
        <v>13.943601210000001</v>
      </c>
      <c r="M254" s="82">
        <f t="shared" si="122"/>
        <v>0</v>
      </c>
      <c r="N254" s="82">
        <f t="shared" si="123"/>
        <v>0</v>
      </c>
      <c r="O254" s="82">
        <f>N254+'BM 009'!O254</f>
        <v>0</v>
      </c>
      <c r="P254" s="80">
        <f t="shared" si="124"/>
        <v>36858.777999999998</v>
      </c>
      <c r="Q254" s="82">
        <f t="shared" si="125"/>
        <v>46722.19</v>
      </c>
      <c r="R254" s="82">
        <f t="shared" si="126"/>
        <v>46722.19</v>
      </c>
    </row>
    <row r="255" spans="2:20" s="34" customFormat="1" ht="13.2">
      <c r="B255" s="66" t="s">
        <v>503</v>
      </c>
      <c r="C255" s="67" t="s">
        <v>504</v>
      </c>
      <c r="D255" s="68"/>
      <c r="E255" s="69"/>
      <c r="F255" s="70"/>
      <c r="G255" s="70"/>
      <c r="H255" s="70"/>
      <c r="I255" s="70">
        <f>SUM(G255:H255)+'BM 009'!I255</f>
        <v>0</v>
      </c>
      <c r="J255" s="70">
        <f t="shared" si="113"/>
        <v>0</v>
      </c>
      <c r="K255" s="71"/>
      <c r="L255" s="71">
        <f t="shared" si="111"/>
        <v>0</v>
      </c>
      <c r="M255" s="73">
        <f t="shared" ref="M255:R255" si="127">SUM(M256:M290)</f>
        <v>0</v>
      </c>
      <c r="N255" s="73">
        <f t="shared" si="127"/>
        <v>0</v>
      </c>
      <c r="O255" s="73">
        <f t="shared" si="127"/>
        <v>0</v>
      </c>
      <c r="P255" s="73">
        <f t="shared" si="127"/>
        <v>65111</v>
      </c>
      <c r="Q255" s="73">
        <f t="shared" si="127"/>
        <v>82534.59</v>
      </c>
      <c r="R255" s="73">
        <f t="shared" si="127"/>
        <v>82534.59</v>
      </c>
    </row>
    <row r="256" spans="2:20" s="34" customFormat="1" ht="46.2">
      <c r="B256" s="87" t="s">
        <v>505</v>
      </c>
      <c r="C256" s="88" t="s">
        <v>506</v>
      </c>
      <c r="D256" s="89" t="s">
        <v>131</v>
      </c>
      <c r="E256" s="90">
        <v>3</v>
      </c>
      <c r="F256" s="91"/>
      <c r="G256" s="91"/>
      <c r="H256" s="91"/>
      <c r="I256" s="91">
        <f>SUM(G256:H256)+'BM 009'!I256</f>
        <v>0</v>
      </c>
      <c r="J256" s="91">
        <f t="shared" si="113"/>
        <v>3</v>
      </c>
      <c r="K256" s="80">
        <v>1080</v>
      </c>
      <c r="L256" s="81">
        <f t="shared" si="111"/>
        <v>1369.0081188000001</v>
      </c>
      <c r="M256" s="82">
        <f t="shared" ref="M256:M290" si="128">TRUNC(F256*L256,2)</f>
        <v>0</v>
      </c>
      <c r="N256" s="82">
        <f t="shared" ref="N256:N290" si="129">TRUNC(G256*L256,2)</f>
        <v>0</v>
      </c>
      <c r="O256" s="82">
        <f>N256+'BM 009'!O256</f>
        <v>0</v>
      </c>
      <c r="P256" s="80">
        <f t="shared" ref="P256:P290" si="130">E256*K256</f>
        <v>3240</v>
      </c>
      <c r="Q256" s="82">
        <f t="shared" ref="Q256:Q290" si="131">TRUNC(E256*L256,2)</f>
        <v>4107.0200000000004</v>
      </c>
      <c r="R256" s="82">
        <f t="shared" ref="R256:R290" si="132">Q256-O256</f>
        <v>4107.0200000000004</v>
      </c>
    </row>
    <row r="257" spans="2:18" s="34" customFormat="1" ht="46.2">
      <c r="B257" s="87" t="s">
        <v>507</v>
      </c>
      <c r="C257" s="88" t="s">
        <v>508</v>
      </c>
      <c r="D257" s="89" t="s">
        <v>131</v>
      </c>
      <c r="E257" s="90">
        <v>1</v>
      </c>
      <c r="F257" s="91"/>
      <c r="G257" s="91"/>
      <c r="H257" s="91"/>
      <c r="I257" s="91">
        <f>SUM(G257:H257)+'BM 009'!I257</f>
        <v>0</v>
      </c>
      <c r="J257" s="91">
        <f t="shared" si="113"/>
        <v>1</v>
      </c>
      <c r="K257" s="80">
        <v>1200</v>
      </c>
      <c r="L257" s="81">
        <f t="shared" si="111"/>
        <v>1521.120132</v>
      </c>
      <c r="M257" s="82">
        <f t="shared" si="128"/>
        <v>0</v>
      </c>
      <c r="N257" s="82">
        <f t="shared" si="129"/>
        <v>0</v>
      </c>
      <c r="O257" s="82">
        <f>N257+'BM 009'!O257</f>
        <v>0</v>
      </c>
      <c r="P257" s="80">
        <f t="shared" si="130"/>
        <v>1200</v>
      </c>
      <c r="Q257" s="82">
        <f t="shared" si="131"/>
        <v>1521.12</v>
      </c>
      <c r="R257" s="82">
        <f t="shared" si="132"/>
        <v>1521.12</v>
      </c>
    </row>
    <row r="258" spans="2:18" s="34" customFormat="1" ht="46.2">
      <c r="B258" s="87" t="s">
        <v>509</v>
      </c>
      <c r="C258" s="88" t="s">
        <v>510</v>
      </c>
      <c r="D258" s="89" t="s">
        <v>131</v>
      </c>
      <c r="E258" s="90">
        <v>4</v>
      </c>
      <c r="F258" s="91"/>
      <c r="G258" s="91"/>
      <c r="H258" s="91"/>
      <c r="I258" s="91">
        <f>SUM(G258:H258)+'BM 009'!I258</f>
        <v>0</v>
      </c>
      <c r="J258" s="91">
        <f t="shared" si="113"/>
        <v>4</v>
      </c>
      <c r="K258" s="80">
        <v>1890</v>
      </c>
      <c r="L258" s="81">
        <f t="shared" si="111"/>
        <v>2395.7642079000002</v>
      </c>
      <c r="M258" s="82">
        <f t="shared" si="128"/>
        <v>0</v>
      </c>
      <c r="N258" s="82">
        <f t="shared" si="129"/>
        <v>0</v>
      </c>
      <c r="O258" s="82">
        <f>N258+'BM 009'!O258</f>
        <v>0</v>
      </c>
      <c r="P258" s="80">
        <f t="shared" si="130"/>
        <v>7560</v>
      </c>
      <c r="Q258" s="82">
        <f t="shared" si="131"/>
        <v>9583.0499999999993</v>
      </c>
      <c r="R258" s="82">
        <f t="shared" si="132"/>
        <v>9583.0499999999993</v>
      </c>
    </row>
    <row r="259" spans="2:18" s="34" customFormat="1" ht="34.799999999999997">
      <c r="B259" s="87" t="s">
        <v>511</v>
      </c>
      <c r="C259" s="88" t="s">
        <v>512</v>
      </c>
      <c r="D259" s="89" t="s">
        <v>131</v>
      </c>
      <c r="E259" s="90">
        <v>19</v>
      </c>
      <c r="F259" s="91"/>
      <c r="G259" s="91"/>
      <c r="H259" s="91"/>
      <c r="I259" s="91">
        <f>SUM(G259:H259)+'BM 009'!I259</f>
        <v>0</v>
      </c>
      <c r="J259" s="91">
        <f t="shared" si="113"/>
        <v>19</v>
      </c>
      <c r="K259" s="80">
        <v>1000</v>
      </c>
      <c r="L259" s="81">
        <f t="shared" si="111"/>
        <v>1267.6001100000001</v>
      </c>
      <c r="M259" s="82">
        <f t="shared" si="128"/>
        <v>0</v>
      </c>
      <c r="N259" s="82">
        <f t="shared" si="129"/>
        <v>0</v>
      </c>
      <c r="O259" s="82">
        <f>N259+'BM 009'!O259</f>
        <v>0</v>
      </c>
      <c r="P259" s="80">
        <f t="shared" si="130"/>
        <v>19000</v>
      </c>
      <c r="Q259" s="82">
        <f t="shared" si="131"/>
        <v>24084.400000000001</v>
      </c>
      <c r="R259" s="82">
        <f t="shared" si="132"/>
        <v>24084.400000000001</v>
      </c>
    </row>
    <row r="260" spans="2:18" s="34" customFormat="1" ht="34.799999999999997">
      <c r="B260" s="87" t="s">
        <v>513</v>
      </c>
      <c r="C260" s="88" t="s">
        <v>514</v>
      </c>
      <c r="D260" s="89" t="s">
        <v>131</v>
      </c>
      <c r="E260" s="90">
        <v>2</v>
      </c>
      <c r="F260" s="91"/>
      <c r="G260" s="91"/>
      <c r="H260" s="91"/>
      <c r="I260" s="91">
        <f>SUM(G260:H260)+'BM 009'!I260</f>
        <v>0</v>
      </c>
      <c r="J260" s="91">
        <f t="shared" si="113"/>
        <v>2</v>
      </c>
      <c r="K260" s="80">
        <v>1400</v>
      </c>
      <c r="L260" s="81">
        <f t="shared" si="111"/>
        <v>1774.6401540000002</v>
      </c>
      <c r="M260" s="82">
        <f t="shared" si="128"/>
        <v>0</v>
      </c>
      <c r="N260" s="82">
        <f t="shared" si="129"/>
        <v>0</v>
      </c>
      <c r="O260" s="82">
        <f>N260+'BM 009'!O260</f>
        <v>0</v>
      </c>
      <c r="P260" s="80">
        <f t="shared" si="130"/>
        <v>2800</v>
      </c>
      <c r="Q260" s="82">
        <f t="shared" si="131"/>
        <v>3549.28</v>
      </c>
      <c r="R260" s="82">
        <f t="shared" si="132"/>
        <v>3549.28</v>
      </c>
    </row>
    <row r="261" spans="2:18" s="34" customFormat="1" ht="23.4">
      <c r="B261" s="87" t="s">
        <v>515</v>
      </c>
      <c r="C261" s="88" t="s">
        <v>516</v>
      </c>
      <c r="D261" s="89" t="s">
        <v>131</v>
      </c>
      <c r="E261" s="90">
        <v>2</v>
      </c>
      <c r="F261" s="91"/>
      <c r="G261" s="91"/>
      <c r="H261" s="91"/>
      <c r="I261" s="91">
        <f>SUM(G261:H261)+'BM 009'!I261</f>
        <v>0</v>
      </c>
      <c r="J261" s="91">
        <f t="shared" si="113"/>
        <v>2</v>
      </c>
      <c r="K261" s="80">
        <v>800</v>
      </c>
      <c r="L261" s="81">
        <f t="shared" si="111"/>
        <v>1014.080088</v>
      </c>
      <c r="M261" s="82">
        <f t="shared" si="128"/>
        <v>0</v>
      </c>
      <c r="N261" s="82">
        <f t="shared" si="129"/>
        <v>0</v>
      </c>
      <c r="O261" s="82">
        <f>N261+'BM 009'!O261</f>
        <v>0</v>
      </c>
      <c r="P261" s="80">
        <f t="shared" si="130"/>
        <v>1600</v>
      </c>
      <c r="Q261" s="82">
        <f t="shared" si="131"/>
        <v>2028.16</v>
      </c>
      <c r="R261" s="82">
        <f t="shared" si="132"/>
        <v>2028.16</v>
      </c>
    </row>
    <row r="262" spans="2:18" s="34" customFormat="1" ht="23.4">
      <c r="B262" s="87" t="s">
        <v>517</v>
      </c>
      <c r="C262" s="88" t="s">
        <v>518</v>
      </c>
      <c r="D262" s="89" t="s">
        <v>131</v>
      </c>
      <c r="E262" s="90">
        <v>1</v>
      </c>
      <c r="F262" s="91"/>
      <c r="G262" s="91"/>
      <c r="H262" s="91"/>
      <c r="I262" s="91">
        <f>SUM(G262:H262)+'BM 009'!I262</f>
        <v>0</v>
      </c>
      <c r="J262" s="91">
        <f t="shared" si="113"/>
        <v>1</v>
      </c>
      <c r="K262" s="80">
        <v>1200</v>
      </c>
      <c r="L262" s="81">
        <f t="shared" si="111"/>
        <v>1521.120132</v>
      </c>
      <c r="M262" s="82">
        <f t="shared" si="128"/>
        <v>0</v>
      </c>
      <c r="N262" s="82">
        <f t="shared" si="129"/>
        <v>0</v>
      </c>
      <c r="O262" s="82">
        <f>N262+'BM 009'!O262</f>
        <v>0</v>
      </c>
      <c r="P262" s="80">
        <f t="shared" si="130"/>
        <v>1200</v>
      </c>
      <c r="Q262" s="82">
        <f t="shared" si="131"/>
        <v>1521.12</v>
      </c>
      <c r="R262" s="82">
        <f t="shared" si="132"/>
        <v>1521.12</v>
      </c>
    </row>
    <row r="263" spans="2:18" s="34" customFormat="1" ht="23.4">
      <c r="B263" s="87" t="s">
        <v>519</v>
      </c>
      <c r="C263" s="88" t="s">
        <v>520</v>
      </c>
      <c r="D263" s="89" t="s">
        <v>131</v>
      </c>
      <c r="E263" s="90">
        <v>2</v>
      </c>
      <c r="F263" s="91"/>
      <c r="G263" s="91"/>
      <c r="H263" s="91"/>
      <c r="I263" s="91">
        <f>SUM(G263:H263)+'BM 009'!I263</f>
        <v>0</v>
      </c>
      <c r="J263" s="91">
        <f t="shared" si="113"/>
        <v>2</v>
      </c>
      <c r="K263" s="80">
        <v>2100</v>
      </c>
      <c r="L263" s="81">
        <f t="shared" si="111"/>
        <v>2661.960231</v>
      </c>
      <c r="M263" s="82">
        <f t="shared" si="128"/>
        <v>0</v>
      </c>
      <c r="N263" s="82">
        <f t="shared" si="129"/>
        <v>0</v>
      </c>
      <c r="O263" s="82">
        <f>N263+'BM 009'!O263</f>
        <v>0</v>
      </c>
      <c r="P263" s="80">
        <f t="shared" si="130"/>
        <v>4200</v>
      </c>
      <c r="Q263" s="82">
        <f t="shared" si="131"/>
        <v>5323.92</v>
      </c>
      <c r="R263" s="82">
        <f t="shared" si="132"/>
        <v>5323.92</v>
      </c>
    </row>
    <row r="264" spans="2:18" s="34" customFormat="1" ht="34.799999999999997">
      <c r="B264" s="87" t="s">
        <v>521</v>
      </c>
      <c r="C264" s="88" t="s">
        <v>522</v>
      </c>
      <c r="D264" s="89" t="s">
        <v>131</v>
      </c>
      <c r="E264" s="90">
        <v>16</v>
      </c>
      <c r="F264" s="91"/>
      <c r="G264" s="91"/>
      <c r="H264" s="91"/>
      <c r="I264" s="91">
        <f>SUM(G264:H264)+'BM 009'!I264</f>
        <v>0</v>
      </c>
      <c r="J264" s="91">
        <f t="shared" si="113"/>
        <v>16</v>
      </c>
      <c r="K264" s="80">
        <v>180</v>
      </c>
      <c r="L264" s="81">
        <f t="shared" si="111"/>
        <v>228.16801980000002</v>
      </c>
      <c r="M264" s="82">
        <f t="shared" si="128"/>
        <v>0</v>
      </c>
      <c r="N264" s="82">
        <f t="shared" si="129"/>
        <v>0</v>
      </c>
      <c r="O264" s="82">
        <f>N264+'BM 009'!O264</f>
        <v>0</v>
      </c>
      <c r="P264" s="80">
        <f t="shared" si="130"/>
        <v>2880</v>
      </c>
      <c r="Q264" s="82">
        <f t="shared" si="131"/>
        <v>3650.68</v>
      </c>
      <c r="R264" s="82">
        <f t="shared" si="132"/>
        <v>3650.68</v>
      </c>
    </row>
    <row r="265" spans="2:18" s="34" customFormat="1" ht="34.799999999999997">
      <c r="B265" s="87" t="s">
        <v>523</v>
      </c>
      <c r="C265" s="88" t="s">
        <v>524</v>
      </c>
      <c r="D265" s="89" t="s">
        <v>131</v>
      </c>
      <c r="E265" s="90">
        <v>8</v>
      </c>
      <c r="F265" s="91"/>
      <c r="G265" s="91"/>
      <c r="H265" s="91"/>
      <c r="I265" s="91">
        <f>SUM(G265:H265)+'BM 009'!I265</f>
        <v>0</v>
      </c>
      <c r="J265" s="91">
        <f t="shared" si="113"/>
        <v>8</v>
      </c>
      <c r="K265" s="80">
        <v>260</v>
      </c>
      <c r="L265" s="81">
        <f t="shared" si="111"/>
        <v>329.57602860000003</v>
      </c>
      <c r="M265" s="82">
        <f t="shared" si="128"/>
        <v>0</v>
      </c>
      <c r="N265" s="82">
        <f t="shared" si="129"/>
        <v>0</v>
      </c>
      <c r="O265" s="82">
        <f>N265+'BM 009'!O265</f>
        <v>0</v>
      </c>
      <c r="P265" s="80">
        <f t="shared" si="130"/>
        <v>2080</v>
      </c>
      <c r="Q265" s="82">
        <f t="shared" si="131"/>
        <v>2636.6</v>
      </c>
      <c r="R265" s="82">
        <f t="shared" si="132"/>
        <v>2636.6</v>
      </c>
    </row>
    <row r="266" spans="2:18" s="34" customFormat="1" ht="23.4">
      <c r="B266" s="87" t="s">
        <v>525</v>
      </c>
      <c r="C266" s="88" t="s">
        <v>526</v>
      </c>
      <c r="D266" s="89" t="s">
        <v>131</v>
      </c>
      <c r="E266" s="90">
        <v>1</v>
      </c>
      <c r="F266" s="91"/>
      <c r="G266" s="91"/>
      <c r="H266" s="91"/>
      <c r="I266" s="91">
        <f>SUM(G266:H266)+'BM 009'!I266</f>
        <v>0</v>
      </c>
      <c r="J266" s="91">
        <f t="shared" si="113"/>
        <v>1</v>
      </c>
      <c r="K266" s="80">
        <v>180</v>
      </c>
      <c r="L266" s="81">
        <f t="shared" si="111"/>
        <v>228.16801980000002</v>
      </c>
      <c r="M266" s="82">
        <f t="shared" si="128"/>
        <v>0</v>
      </c>
      <c r="N266" s="82">
        <f t="shared" si="129"/>
        <v>0</v>
      </c>
      <c r="O266" s="82">
        <f>N266+'BM 009'!O266</f>
        <v>0</v>
      </c>
      <c r="P266" s="80">
        <f t="shared" si="130"/>
        <v>180</v>
      </c>
      <c r="Q266" s="82">
        <f t="shared" si="131"/>
        <v>228.16</v>
      </c>
      <c r="R266" s="82">
        <f t="shared" si="132"/>
        <v>228.16</v>
      </c>
    </row>
    <row r="267" spans="2:18" s="34" customFormat="1" ht="23.4">
      <c r="B267" s="87" t="s">
        <v>527</v>
      </c>
      <c r="C267" s="88" t="s">
        <v>528</v>
      </c>
      <c r="D267" s="89" t="s">
        <v>131</v>
      </c>
      <c r="E267" s="90">
        <v>4</v>
      </c>
      <c r="F267" s="91"/>
      <c r="G267" s="91"/>
      <c r="H267" s="91"/>
      <c r="I267" s="91">
        <f>SUM(G267:H267)+'BM 009'!I267</f>
        <v>0</v>
      </c>
      <c r="J267" s="91">
        <f t="shared" si="113"/>
        <v>4</v>
      </c>
      <c r="K267" s="80">
        <v>180</v>
      </c>
      <c r="L267" s="81">
        <f t="shared" si="111"/>
        <v>228.16801980000002</v>
      </c>
      <c r="M267" s="82">
        <f t="shared" si="128"/>
        <v>0</v>
      </c>
      <c r="N267" s="82">
        <f t="shared" si="129"/>
        <v>0</v>
      </c>
      <c r="O267" s="82">
        <f>N267+'BM 009'!O267</f>
        <v>0</v>
      </c>
      <c r="P267" s="80">
        <f t="shared" si="130"/>
        <v>720</v>
      </c>
      <c r="Q267" s="82">
        <f t="shared" si="131"/>
        <v>912.67</v>
      </c>
      <c r="R267" s="82">
        <f t="shared" si="132"/>
        <v>912.67</v>
      </c>
    </row>
    <row r="268" spans="2:18" s="34" customFormat="1" ht="23.4">
      <c r="B268" s="87" t="s">
        <v>529</v>
      </c>
      <c r="C268" s="88" t="s">
        <v>530</v>
      </c>
      <c r="D268" s="89" t="s">
        <v>131</v>
      </c>
      <c r="E268" s="90">
        <v>11</v>
      </c>
      <c r="F268" s="91"/>
      <c r="G268" s="91"/>
      <c r="H268" s="91"/>
      <c r="I268" s="91">
        <f>SUM(G268:H268)+'BM 009'!I268</f>
        <v>0</v>
      </c>
      <c r="J268" s="91">
        <f t="shared" si="113"/>
        <v>11</v>
      </c>
      <c r="K268" s="80">
        <v>280</v>
      </c>
      <c r="L268" s="81">
        <f t="shared" si="111"/>
        <v>354.92803079999999</v>
      </c>
      <c r="M268" s="82">
        <f t="shared" si="128"/>
        <v>0</v>
      </c>
      <c r="N268" s="82">
        <f t="shared" si="129"/>
        <v>0</v>
      </c>
      <c r="O268" s="82">
        <f>N268+'BM 009'!O268</f>
        <v>0</v>
      </c>
      <c r="P268" s="80">
        <f t="shared" si="130"/>
        <v>3080</v>
      </c>
      <c r="Q268" s="82">
        <f t="shared" si="131"/>
        <v>3904.2</v>
      </c>
      <c r="R268" s="82">
        <f t="shared" si="132"/>
        <v>3904.2</v>
      </c>
    </row>
    <row r="269" spans="2:18" s="34" customFormat="1" ht="23.4">
      <c r="B269" s="87" t="s">
        <v>531</v>
      </c>
      <c r="C269" s="88" t="s">
        <v>532</v>
      </c>
      <c r="D269" s="89" t="s">
        <v>131</v>
      </c>
      <c r="E269" s="90">
        <v>4</v>
      </c>
      <c r="F269" s="91"/>
      <c r="G269" s="91"/>
      <c r="H269" s="91"/>
      <c r="I269" s="91">
        <f>SUM(G269:H269)+'BM 009'!I269</f>
        <v>0</v>
      </c>
      <c r="J269" s="91">
        <f t="shared" si="113"/>
        <v>4</v>
      </c>
      <c r="K269" s="80">
        <v>380</v>
      </c>
      <c r="L269" s="81">
        <f t="shared" si="111"/>
        <v>481.68804180000001</v>
      </c>
      <c r="M269" s="82">
        <f t="shared" si="128"/>
        <v>0</v>
      </c>
      <c r="N269" s="82">
        <f t="shared" si="129"/>
        <v>0</v>
      </c>
      <c r="O269" s="82">
        <f>N269+'BM 009'!O269</f>
        <v>0</v>
      </c>
      <c r="P269" s="80">
        <f t="shared" si="130"/>
        <v>1520</v>
      </c>
      <c r="Q269" s="82">
        <f t="shared" si="131"/>
        <v>1926.75</v>
      </c>
      <c r="R269" s="82">
        <f t="shared" si="132"/>
        <v>1926.75</v>
      </c>
    </row>
    <row r="270" spans="2:18" s="34" customFormat="1" ht="23.4">
      <c r="B270" s="87" t="s">
        <v>533</v>
      </c>
      <c r="C270" s="88" t="s">
        <v>534</v>
      </c>
      <c r="D270" s="89" t="s">
        <v>131</v>
      </c>
      <c r="E270" s="90">
        <v>1</v>
      </c>
      <c r="F270" s="91"/>
      <c r="G270" s="91"/>
      <c r="H270" s="91"/>
      <c r="I270" s="91">
        <f>SUM(G270:H270)+'BM 009'!I270</f>
        <v>0</v>
      </c>
      <c r="J270" s="91">
        <f t="shared" si="113"/>
        <v>1</v>
      </c>
      <c r="K270" s="80">
        <v>600</v>
      </c>
      <c r="L270" s="81">
        <f t="shared" si="111"/>
        <v>760.56006600000001</v>
      </c>
      <c r="M270" s="82">
        <f t="shared" si="128"/>
        <v>0</v>
      </c>
      <c r="N270" s="82">
        <f t="shared" si="129"/>
        <v>0</v>
      </c>
      <c r="O270" s="82">
        <f>N270+'BM 009'!O270</f>
        <v>0</v>
      </c>
      <c r="P270" s="80">
        <f t="shared" si="130"/>
        <v>600</v>
      </c>
      <c r="Q270" s="82">
        <f t="shared" si="131"/>
        <v>760.56</v>
      </c>
      <c r="R270" s="82">
        <f t="shared" si="132"/>
        <v>760.56</v>
      </c>
    </row>
    <row r="271" spans="2:18" s="34" customFormat="1" ht="13.2">
      <c r="B271" s="87" t="s">
        <v>535</v>
      </c>
      <c r="C271" s="88" t="s">
        <v>536</v>
      </c>
      <c r="D271" s="89" t="s">
        <v>131</v>
      </c>
      <c r="E271" s="90">
        <v>1</v>
      </c>
      <c r="F271" s="91"/>
      <c r="G271" s="91"/>
      <c r="H271" s="91"/>
      <c r="I271" s="91">
        <f>SUM(G271:H271)+'BM 009'!I271</f>
        <v>0</v>
      </c>
      <c r="J271" s="91">
        <f t="shared" si="113"/>
        <v>1</v>
      </c>
      <c r="K271" s="80">
        <v>350</v>
      </c>
      <c r="L271" s="81">
        <f t="shared" si="111"/>
        <v>443.66003850000004</v>
      </c>
      <c r="M271" s="82">
        <f t="shared" si="128"/>
        <v>0</v>
      </c>
      <c r="N271" s="82">
        <f t="shared" si="129"/>
        <v>0</v>
      </c>
      <c r="O271" s="82">
        <f>N271+'BM 009'!O271</f>
        <v>0</v>
      </c>
      <c r="P271" s="80">
        <f t="shared" si="130"/>
        <v>350</v>
      </c>
      <c r="Q271" s="82">
        <f t="shared" si="131"/>
        <v>443.66</v>
      </c>
      <c r="R271" s="82">
        <f t="shared" si="132"/>
        <v>443.66</v>
      </c>
    </row>
    <row r="272" spans="2:18" s="34" customFormat="1" ht="13.2">
      <c r="B272" s="87" t="s">
        <v>537</v>
      </c>
      <c r="C272" s="88" t="s">
        <v>538</v>
      </c>
      <c r="D272" s="89" t="s">
        <v>131</v>
      </c>
      <c r="E272" s="90">
        <v>6</v>
      </c>
      <c r="F272" s="91"/>
      <c r="G272" s="91"/>
      <c r="H272" s="91"/>
      <c r="I272" s="91">
        <f>SUM(G272:H272)+'BM 009'!I272</f>
        <v>0</v>
      </c>
      <c r="J272" s="91">
        <f t="shared" si="113"/>
        <v>6</v>
      </c>
      <c r="K272" s="80">
        <v>450</v>
      </c>
      <c r="L272" s="81">
        <f t="shared" si="111"/>
        <v>570.4200495</v>
      </c>
      <c r="M272" s="82">
        <f t="shared" si="128"/>
        <v>0</v>
      </c>
      <c r="N272" s="82">
        <f t="shared" si="129"/>
        <v>0</v>
      </c>
      <c r="O272" s="82">
        <f>N272+'BM 009'!O272</f>
        <v>0</v>
      </c>
      <c r="P272" s="80">
        <f t="shared" si="130"/>
        <v>2700</v>
      </c>
      <c r="Q272" s="82">
        <f t="shared" si="131"/>
        <v>3422.52</v>
      </c>
      <c r="R272" s="82">
        <f t="shared" si="132"/>
        <v>3422.52</v>
      </c>
    </row>
    <row r="273" spans="2:18" s="34" customFormat="1" ht="23.4">
      <c r="B273" s="87" t="s">
        <v>539</v>
      </c>
      <c r="C273" s="88" t="s">
        <v>540</v>
      </c>
      <c r="D273" s="89" t="s">
        <v>131</v>
      </c>
      <c r="E273" s="90">
        <v>1</v>
      </c>
      <c r="F273" s="91"/>
      <c r="G273" s="91"/>
      <c r="H273" s="91"/>
      <c r="I273" s="91">
        <f>SUM(G273:H273)+'BM 009'!I273</f>
        <v>0</v>
      </c>
      <c r="J273" s="91">
        <f t="shared" si="113"/>
        <v>1</v>
      </c>
      <c r="K273" s="80">
        <v>750</v>
      </c>
      <c r="L273" s="81">
        <f t="shared" si="111"/>
        <v>950.70008250000001</v>
      </c>
      <c r="M273" s="82">
        <f t="shared" si="128"/>
        <v>0</v>
      </c>
      <c r="N273" s="82">
        <f t="shared" si="129"/>
        <v>0</v>
      </c>
      <c r="O273" s="82">
        <f>N273+'BM 009'!O273</f>
        <v>0</v>
      </c>
      <c r="P273" s="80">
        <f t="shared" si="130"/>
        <v>750</v>
      </c>
      <c r="Q273" s="82">
        <f t="shared" si="131"/>
        <v>950.7</v>
      </c>
      <c r="R273" s="82">
        <f t="shared" si="132"/>
        <v>950.7</v>
      </c>
    </row>
    <row r="274" spans="2:18" s="34" customFormat="1" ht="34.799999999999997">
      <c r="B274" s="87" t="s">
        <v>541</v>
      </c>
      <c r="C274" s="88" t="s">
        <v>542</v>
      </c>
      <c r="D274" s="89" t="s">
        <v>131</v>
      </c>
      <c r="E274" s="90">
        <v>7</v>
      </c>
      <c r="F274" s="91"/>
      <c r="G274" s="91"/>
      <c r="H274" s="91"/>
      <c r="I274" s="91">
        <f>SUM(G274:H274)+'BM 009'!I274</f>
        <v>0</v>
      </c>
      <c r="J274" s="91">
        <f t="shared" si="113"/>
        <v>7</v>
      </c>
      <c r="K274" s="80">
        <v>20</v>
      </c>
      <c r="L274" s="81">
        <f t="shared" si="111"/>
        <v>25.352002200000001</v>
      </c>
      <c r="M274" s="82">
        <f t="shared" si="128"/>
        <v>0</v>
      </c>
      <c r="N274" s="82">
        <f t="shared" si="129"/>
        <v>0</v>
      </c>
      <c r="O274" s="82">
        <f>N274+'BM 009'!O274</f>
        <v>0</v>
      </c>
      <c r="P274" s="80">
        <f t="shared" si="130"/>
        <v>140</v>
      </c>
      <c r="Q274" s="82">
        <f t="shared" si="131"/>
        <v>177.46</v>
      </c>
      <c r="R274" s="82">
        <f t="shared" si="132"/>
        <v>177.46</v>
      </c>
    </row>
    <row r="275" spans="2:18" s="34" customFormat="1" ht="34.799999999999997">
      <c r="B275" s="87" t="s">
        <v>543</v>
      </c>
      <c r="C275" s="88" t="s">
        <v>544</v>
      </c>
      <c r="D275" s="89" t="s">
        <v>131</v>
      </c>
      <c r="E275" s="90">
        <v>17</v>
      </c>
      <c r="F275" s="91"/>
      <c r="G275" s="91"/>
      <c r="H275" s="91"/>
      <c r="I275" s="91">
        <f>SUM(G275:H275)+'BM 009'!I275</f>
        <v>0</v>
      </c>
      <c r="J275" s="91">
        <f t="shared" si="113"/>
        <v>17</v>
      </c>
      <c r="K275" s="80">
        <v>20</v>
      </c>
      <c r="L275" s="81">
        <f t="shared" si="111"/>
        <v>25.352002200000001</v>
      </c>
      <c r="M275" s="82">
        <f t="shared" si="128"/>
        <v>0</v>
      </c>
      <c r="N275" s="82">
        <f t="shared" si="129"/>
        <v>0</v>
      </c>
      <c r="O275" s="82">
        <f>N275+'BM 009'!O275</f>
        <v>0</v>
      </c>
      <c r="P275" s="80">
        <f t="shared" si="130"/>
        <v>340</v>
      </c>
      <c r="Q275" s="82">
        <f t="shared" si="131"/>
        <v>430.98</v>
      </c>
      <c r="R275" s="82">
        <f t="shared" si="132"/>
        <v>430.98</v>
      </c>
    </row>
    <row r="276" spans="2:18" s="34" customFormat="1" ht="34.799999999999997">
      <c r="B276" s="87" t="s">
        <v>545</v>
      </c>
      <c r="C276" s="88" t="s">
        <v>546</v>
      </c>
      <c r="D276" s="89" t="s">
        <v>131</v>
      </c>
      <c r="E276" s="90">
        <v>71</v>
      </c>
      <c r="F276" s="91"/>
      <c r="G276" s="91"/>
      <c r="H276" s="91"/>
      <c r="I276" s="91">
        <f>SUM(G276:H276)+'BM 009'!I276</f>
        <v>0</v>
      </c>
      <c r="J276" s="91">
        <f t="shared" si="113"/>
        <v>71</v>
      </c>
      <c r="K276" s="80">
        <v>20</v>
      </c>
      <c r="L276" s="81">
        <f t="shared" si="111"/>
        <v>25.352002200000001</v>
      </c>
      <c r="M276" s="82">
        <f t="shared" si="128"/>
        <v>0</v>
      </c>
      <c r="N276" s="82">
        <f t="shared" si="129"/>
        <v>0</v>
      </c>
      <c r="O276" s="82">
        <f>N276+'BM 009'!O276</f>
        <v>0</v>
      </c>
      <c r="P276" s="80">
        <f t="shared" si="130"/>
        <v>1420</v>
      </c>
      <c r="Q276" s="82">
        <f t="shared" si="131"/>
        <v>1799.99</v>
      </c>
      <c r="R276" s="82">
        <f t="shared" si="132"/>
        <v>1799.99</v>
      </c>
    </row>
    <row r="277" spans="2:18" s="34" customFormat="1" ht="34.799999999999997">
      <c r="B277" s="87" t="s">
        <v>547</v>
      </c>
      <c r="C277" s="88" t="s">
        <v>548</v>
      </c>
      <c r="D277" s="89" t="s">
        <v>131</v>
      </c>
      <c r="E277" s="90">
        <v>179</v>
      </c>
      <c r="F277" s="91"/>
      <c r="G277" s="91"/>
      <c r="H277" s="91"/>
      <c r="I277" s="91">
        <f>SUM(G277:H277)+'BM 009'!I277</f>
        <v>0</v>
      </c>
      <c r="J277" s="91">
        <f t="shared" si="113"/>
        <v>179</v>
      </c>
      <c r="K277" s="80">
        <v>20</v>
      </c>
      <c r="L277" s="81">
        <f t="shared" si="111"/>
        <v>25.352002200000001</v>
      </c>
      <c r="M277" s="82">
        <f t="shared" si="128"/>
        <v>0</v>
      </c>
      <c r="N277" s="82">
        <f t="shared" si="129"/>
        <v>0</v>
      </c>
      <c r="O277" s="82">
        <f>N277+'BM 009'!O277</f>
        <v>0</v>
      </c>
      <c r="P277" s="80">
        <f t="shared" si="130"/>
        <v>3580</v>
      </c>
      <c r="Q277" s="82">
        <f t="shared" si="131"/>
        <v>4538</v>
      </c>
      <c r="R277" s="82">
        <f t="shared" si="132"/>
        <v>4538</v>
      </c>
    </row>
    <row r="278" spans="2:18" s="34" customFormat="1" ht="34.799999999999997">
      <c r="B278" s="87" t="s">
        <v>549</v>
      </c>
      <c r="C278" s="88" t="s">
        <v>550</v>
      </c>
      <c r="D278" s="89" t="s">
        <v>131</v>
      </c>
      <c r="E278" s="90">
        <v>1</v>
      </c>
      <c r="F278" s="91"/>
      <c r="G278" s="91"/>
      <c r="H278" s="91"/>
      <c r="I278" s="91">
        <f>SUM(G278:H278)+'BM 009'!I278</f>
        <v>0</v>
      </c>
      <c r="J278" s="91">
        <f t="shared" si="113"/>
        <v>1</v>
      </c>
      <c r="K278" s="80">
        <v>25</v>
      </c>
      <c r="L278" s="81">
        <f t="shared" si="111"/>
        <v>31.690002750000001</v>
      </c>
      <c r="M278" s="82">
        <f t="shared" si="128"/>
        <v>0</v>
      </c>
      <c r="N278" s="82">
        <f t="shared" si="129"/>
        <v>0</v>
      </c>
      <c r="O278" s="82">
        <f>N278+'BM 009'!O278</f>
        <v>0</v>
      </c>
      <c r="P278" s="80">
        <f t="shared" si="130"/>
        <v>25</v>
      </c>
      <c r="Q278" s="82">
        <f t="shared" si="131"/>
        <v>31.69</v>
      </c>
      <c r="R278" s="82">
        <f t="shared" si="132"/>
        <v>31.69</v>
      </c>
    </row>
    <row r="279" spans="2:18" s="34" customFormat="1" ht="34.799999999999997">
      <c r="B279" s="87" t="s">
        <v>551</v>
      </c>
      <c r="C279" s="88" t="s">
        <v>552</v>
      </c>
      <c r="D279" s="89" t="s">
        <v>131</v>
      </c>
      <c r="E279" s="90">
        <v>8</v>
      </c>
      <c r="F279" s="91"/>
      <c r="G279" s="91"/>
      <c r="H279" s="91"/>
      <c r="I279" s="91">
        <f>SUM(G279:H279)+'BM 009'!I279</f>
        <v>0</v>
      </c>
      <c r="J279" s="91">
        <f t="shared" si="113"/>
        <v>8</v>
      </c>
      <c r="K279" s="80">
        <v>25</v>
      </c>
      <c r="L279" s="81">
        <f t="shared" si="111"/>
        <v>31.690002750000001</v>
      </c>
      <c r="M279" s="82">
        <f t="shared" si="128"/>
        <v>0</v>
      </c>
      <c r="N279" s="82">
        <f t="shared" si="129"/>
        <v>0</v>
      </c>
      <c r="O279" s="82">
        <f>N279+'BM 009'!O279</f>
        <v>0</v>
      </c>
      <c r="P279" s="80">
        <f t="shared" si="130"/>
        <v>200</v>
      </c>
      <c r="Q279" s="82">
        <f t="shared" si="131"/>
        <v>253.52</v>
      </c>
      <c r="R279" s="82">
        <f t="shared" si="132"/>
        <v>253.52</v>
      </c>
    </row>
    <row r="280" spans="2:18" s="34" customFormat="1" ht="34.799999999999997">
      <c r="B280" s="87" t="s">
        <v>553</v>
      </c>
      <c r="C280" s="88" t="s">
        <v>554</v>
      </c>
      <c r="D280" s="89" t="s">
        <v>131</v>
      </c>
      <c r="E280" s="90">
        <v>14</v>
      </c>
      <c r="F280" s="91"/>
      <c r="G280" s="91"/>
      <c r="H280" s="91"/>
      <c r="I280" s="91">
        <f>SUM(G280:H280)+'BM 009'!I280</f>
        <v>0</v>
      </c>
      <c r="J280" s="91">
        <f t="shared" si="113"/>
        <v>14</v>
      </c>
      <c r="K280" s="80">
        <v>25</v>
      </c>
      <c r="L280" s="81">
        <f t="shared" si="111"/>
        <v>31.690002750000001</v>
      </c>
      <c r="M280" s="82">
        <f t="shared" si="128"/>
        <v>0</v>
      </c>
      <c r="N280" s="82">
        <f t="shared" si="129"/>
        <v>0</v>
      </c>
      <c r="O280" s="82">
        <f>N280+'BM 009'!O280</f>
        <v>0</v>
      </c>
      <c r="P280" s="80">
        <f t="shared" si="130"/>
        <v>350</v>
      </c>
      <c r="Q280" s="82">
        <f t="shared" si="131"/>
        <v>443.66</v>
      </c>
      <c r="R280" s="82">
        <f t="shared" si="132"/>
        <v>443.66</v>
      </c>
    </row>
    <row r="281" spans="2:18" s="34" customFormat="1" ht="34.799999999999997">
      <c r="B281" s="87" t="s">
        <v>555</v>
      </c>
      <c r="C281" s="88" t="s">
        <v>556</v>
      </c>
      <c r="D281" s="89" t="s">
        <v>131</v>
      </c>
      <c r="E281" s="90">
        <v>5</v>
      </c>
      <c r="F281" s="91"/>
      <c r="G281" s="91"/>
      <c r="H281" s="91"/>
      <c r="I281" s="91">
        <f>SUM(G281:H281)+'BM 009'!I281</f>
        <v>0</v>
      </c>
      <c r="J281" s="91">
        <f t="shared" si="113"/>
        <v>5</v>
      </c>
      <c r="K281" s="80">
        <v>30</v>
      </c>
      <c r="L281" s="81">
        <f t="shared" si="111"/>
        <v>38.028003300000002</v>
      </c>
      <c r="M281" s="82">
        <f t="shared" si="128"/>
        <v>0</v>
      </c>
      <c r="N281" s="82">
        <f t="shared" si="129"/>
        <v>0</v>
      </c>
      <c r="O281" s="82">
        <f>N281+'BM 009'!O281</f>
        <v>0</v>
      </c>
      <c r="P281" s="80">
        <f t="shared" si="130"/>
        <v>150</v>
      </c>
      <c r="Q281" s="82">
        <f t="shared" si="131"/>
        <v>190.14</v>
      </c>
      <c r="R281" s="82">
        <f t="shared" si="132"/>
        <v>190.14</v>
      </c>
    </row>
    <row r="282" spans="2:18" s="34" customFormat="1" ht="34.799999999999997">
      <c r="B282" s="87" t="s">
        <v>557</v>
      </c>
      <c r="C282" s="88" t="s">
        <v>558</v>
      </c>
      <c r="D282" s="89" t="s">
        <v>131</v>
      </c>
      <c r="E282" s="90">
        <v>4</v>
      </c>
      <c r="F282" s="91"/>
      <c r="G282" s="91"/>
      <c r="H282" s="91"/>
      <c r="I282" s="91">
        <f>SUM(G282:H282)+'BM 009'!I282</f>
        <v>0</v>
      </c>
      <c r="J282" s="91">
        <f t="shared" si="113"/>
        <v>4</v>
      </c>
      <c r="K282" s="80">
        <v>40</v>
      </c>
      <c r="L282" s="81">
        <f t="shared" si="111"/>
        <v>50.704004400000002</v>
      </c>
      <c r="M282" s="82">
        <f t="shared" si="128"/>
        <v>0</v>
      </c>
      <c r="N282" s="82">
        <f t="shared" si="129"/>
        <v>0</v>
      </c>
      <c r="O282" s="82">
        <f>N282+'BM 009'!O282</f>
        <v>0</v>
      </c>
      <c r="P282" s="80">
        <f t="shared" si="130"/>
        <v>160</v>
      </c>
      <c r="Q282" s="82">
        <f t="shared" si="131"/>
        <v>202.81</v>
      </c>
      <c r="R282" s="82">
        <f t="shared" si="132"/>
        <v>202.81</v>
      </c>
    </row>
    <row r="283" spans="2:18" s="34" customFormat="1" ht="34.799999999999997">
      <c r="B283" s="87" t="s">
        <v>559</v>
      </c>
      <c r="C283" s="88" t="s">
        <v>560</v>
      </c>
      <c r="D283" s="89" t="s">
        <v>131</v>
      </c>
      <c r="E283" s="90">
        <v>4</v>
      </c>
      <c r="F283" s="91"/>
      <c r="G283" s="91"/>
      <c r="H283" s="91"/>
      <c r="I283" s="91">
        <f>SUM(G283:H283)+'BM 009'!I283</f>
        <v>0</v>
      </c>
      <c r="J283" s="91">
        <f t="shared" si="113"/>
        <v>4</v>
      </c>
      <c r="K283" s="80">
        <v>50</v>
      </c>
      <c r="L283" s="81">
        <f t="shared" si="111"/>
        <v>63.380005500000003</v>
      </c>
      <c r="M283" s="82">
        <f t="shared" si="128"/>
        <v>0</v>
      </c>
      <c r="N283" s="82">
        <f t="shared" si="129"/>
        <v>0</v>
      </c>
      <c r="O283" s="82">
        <f>N283+'BM 009'!O283</f>
        <v>0</v>
      </c>
      <c r="P283" s="80">
        <f t="shared" si="130"/>
        <v>200</v>
      </c>
      <c r="Q283" s="82">
        <f t="shared" si="131"/>
        <v>253.52</v>
      </c>
      <c r="R283" s="82">
        <f t="shared" si="132"/>
        <v>253.52</v>
      </c>
    </row>
    <row r="284" spans="2:18" s="34" customFormat="1" ht="34.799999999999997">
      <c r="B284" s="87" t="s">
        <v>561</v>
      </c>
      <c r="C284" s="88" t="s">
        <v>562</v>
      </c>
      <c r="D284" s="89" t="s">
        <v>131</v>
      </c>
      <c r="E284" s="90">
        <v>1</v>
      </c>
      <c r="F284" s="91"/>
      <c r="G284" s="91"/>
      <c r="H284" s="91"/>
      <c r="I284" s="91">
        <f>SUM(G284:H284)+'BM 009'!I284</f>
        <v>0</v>
      </c>
      <c r="J284" s="91">
        <f t="shared" si="113"/>
        <v>1</v>
      </c>
      <c r="K284" s="80">
        <v>80</v>
      </c>
      <c r="L284" s="81">
        <f t="shared" si="111"/>
        <v>101.4080088</v>
      </c>
      <c r="M284" s="82">
        <f t="shared" si="128"/>
        <v>0</v>
      </c>
      <c r="N284" s="82">
        <f t="shared" si="129"/>
        <v>0</v>
      </c>
      <c r="O284" s="82">
        <f>N284+'BM 009'!O284</f>
        <v>0</v>
      </c>
      <c r="P284" s="80">
        <f t="shared" si="130"/>
        <v>80</v>
      </c>
      <c r="Q284" s="82">
        <f t="shared" si="131"/>
        <v>101.4</v>
      </c>
      <c r="R284" s="82">
        <f t="shared" si="132"/>
        <v>101.4</v>
      </c>
    </row>
    <row r="285" spans="2:18" s="34" customFormat="1" ht="34.799999999999997">
      <c r="B285" s="87" t="s">
        <v>563</v>
      </c>
      <c r="C285" s="88" t="s">
        <v>564</v>
      </c>
      <c r="D285" s="89" t="s">
        <v>131</v>
      </c>
      <c r="E285" s="90">
        <v>9</v>
      </c>
      <c r="F285" s="91"/>
      <c r="G285" s="91"/>
      <c r="H285" s="91"/>
      <c r="I285" s="91">
        <f>SUM(G285:H285)+'BM 009'!I285</f>
        <v>0</v>
      </c>
      <c r="J285" s="91">
        <f t="shared" si="113"/>
        <v>9</v>
      </c>
      <c r="K285" s="80">
        <v>89</v>
      </c>
      <c r="L285" s="81">
        <f t="shared" ref="L285:L348" si="133">K285*(1+$T$26)</f>
        <v>112.81640979000001</v>
      </c>
      <c r="M285" s="82">
        <f t="shared" si="128"/>
        <v>0</v>
      </c>
      <c r="N285" s="82">
        <f t="shared" si="129"/>
        <v>0</v>
      </c>
      <c r="O285" s="82">
        <f>N285+'BM 009'!O285</f>
        <v>0</v>
      </c>
      <c r="P285" s="80">
        <f t="shared" si="130"/>
        <v>801</v>
      </c>
      <c r="Q285" s="82">
        <f t="shared" si="131"/>
        <v>1015.34</v>
      </c>
      <c r="R285" s="82">
        <f t="shared" si="132"/>
        <v>1015.34</v>
      </c>
    </row>
    <row r="286" spans="2:18" s="34" customFormat="1" ht="34.799999999999997">
      <c r="B286" s="87" t="s">
        <v>565</v>
      </c>
      <c r="C286" s="88" t="s">
        <v>566</v>
      </c>
      <c r="D286" s="89" t="s">
        <v>131</v>
      </c>
      <c r="E286" s="90">
        <v>4</v>
      </c>
      <c r="F286" s="91"/>
      <c r="G286" s="91"/>
      <c r="H286" s="91"/>
      <c r="I286" s="91">
        <f>SUM(G286:H286)+'BM 009'!I286</f>
        <v>0</v>
      </c>
      <c r="J286" s="91">
        <f t="shared" si="113"/>
        <v>4</v>
      </c>
      <c r="K286" s="80">
        <v>89</v>
      </c>
      <c r="L286" s="81">
        <f t="shared" si="133"/>
        <v>112.81640979000001</v>
      </c>
      <c r="M286" s="82">
        <f t="shared" si="128"/>
        <v>0</v>
      </c>
      <c r="N286" s="82">
        <f t="shared" si="129"/>
        <v>0</v>
      </c>
      <c r="O286" s="82">
        <f>N286+'BM 009'!O286</f>
        <v>0</v>
      </c>
      <c r="P286" s="80">
        <f t="shared" si="130"/>
        <v>356</v>
      </c>
      <c r="Q286" s="82">
        <f t="shared" si="131"/>
        <v>451.26</v>
      </c>
      <c r="R286" s="82">
        <f t="shared" si="132"/>
        <v>451.26</v>
      </c>
    </row>
    <row r="287" spans="2:18" s="34" customFormat="1" ht="34.799999999999997">
      <c r="B287" s="87" t="s">
        <v>567</v>
      </c>
      <c r="C287" s="88" t="s">
        <v>568</v>
      </c>
      <c r="D287" s="89" t="s">
        <v>131</v>
      </c>
      <c r="E287" s="90">
        <v>12</v>
      </c>
      <c r="F287" s="91"/>
      <c r="G287" s="91"/>
      <c r="H287" s="91"/>
      <c r="I287" s="91">
        <f>SUM(G287:H287)+'BM 009'!I287</f>
        <v>0</v>
      </c>
      <c r="J287" s="91">
        <f t="shared" ref="J287:J350" si="134">E287-I287</f>
        <v>12</v>
      </c>
      <c r="K287" s="80">
        <v>89</v>
      </c>
      <c r="L287" s="81">
        <f t="shared" si="133"/>
        <v>112.81640979000001</v>
      </c>
      <c r="M287" s="82">
        <f t="shared" si="128"/>
        <v>0</v>
      </c>
      <c r="N287" s="82">
        <f t="shared" si="129"/>
        <v>0</v>
      </c>
      <c r="O287" s="82">
        <f>N287+'BM 009'!O287</f>
        <v>0</v>
      </c>
      <c r="P287" s="80">
        <f t="shared" si="130"/>
        <v>1068</v>
      </c>
      <c r="Q287" s="82">
        <f t="shared" si="131"/>
        <v>1353.79</v>
      </c>
      <c r="R287" s="82">
        <f t="shared" si="132"/>
        <v>1353.79</v>
      </c>
    </row>
    <row r="288" spans="2:18" s="34" customFormat="1" ht="34.799999999999997">
      <c r="B288" s="87" t="s">
        <v>569</v>
      </c>
      <c r="C288" s="88" t="s">
        <v>570</v>
      </c>
      <c r="D288" s="89" t="s">
        <v>131</v>
      </c>
      <c r="E288" s="90">
        <v>4</v>
      </c>
      <c r="F288" s="91"/>
      <c r="G288" s="91"/>
      <c r="H288" s="91"/>
      <c r="I288" s="91">
        <f>SUM(G288:H288)+'BM 009'!I288</f>
        <v>0</v>
      </c>
      <c r="J288" s="91">
        <f t="shared" si="134"/>
        <v>4</v>
      </c>
      <c r="K288" s="80">
        <v>89</v>
      </c>
      <c r="L288" s="81">
        <f t="shared" si="133"/>
        <v>112.81640979000001</v>
      </c>
      <c r="M288" s="82">
        <f t="shared" si="128"/>
        <v>0</v>
      </c>
      <c r="N288" s="82">
        <f t="shared" si="129"/>
        <v>0</v>
      </c>
      <c r="O288" s="82">
        <f>N288+'BM 009'!O288</f>
        <v>0</v>
      </c>
      <c r="P288" s="80">
        <f t="shared" si="130"/>
        <v>356</v>
      </c>
      <c r="Q288" s="82">
        <f t="shared" si="131"/>
        <v>451.26</v>
      </c>
      <c r="R288" s="82">
        <f t="shared" si="132"/>
        <v>451.26</v>
      </c>
    </row>
    <row r="289" spans="2:18" s="34" customFormat="1" ht="34.799999999999997">
      <c r="B289" s="87" t="s">
        <v>571</v>
      </c>
      <c r="C289" s="88" t="s">
        <v>572</v>
      </c>
      <c r="D289" s="89" t="s">
        <v>131</v>
      </c>
      <c r="E289" s="90">
        <v>1</v>
      </c>
      <c r="F289" s="91"/>
      <c r="G289" s="91"/>
      <c r="H289" s="91"/>
      <c r="I289" s="91">
        <f>SUM(G289:H289)+'BM 009'!I289</f>
        <v>0</v>
      </c>
      <c r="J289" s="91">
        <f t="shared" si="134"/>
        <v>1</v>
      </c>
      <c r="K289" s="80">
        <v>110</v>
      </c>
      <c r="L289" s="81">
        <f t="shared" si="133"/>
        <v>139.4360121</v>
      </c>
      <c r="M289" s="82">
        <f t="shared" si="128"/>
        <v>0</v>
      </c>
      <c r="N289" s="82">
        <f t="shared" si="129"/>
        <v>0</v>
      </c>
      <c r="O289" s="82">
        <f>N289+'BM 009'!O289</f>
        <v>0</v>
      </c>
      <c r="P289" s="80">
        <f t="shared" si="130"/>
        <v>110</v>
      </c>
      <c r="Q289" s="82">
        <f t="shared" si="131"/>
        <v>139.43</v>
      </c>
      <c r="R289" s="82">
        <f t="shared" si="132"/>
        <v>139.43</v>
      </c>
    </row>
    <row r="290" spans="2:18" s="34" customFormat="1" ht="34.799999999999997">
      <c r="B290" s="87" t="s">
        <v>573</v>
      </c>
      <c r="C290" s="88" t="s">
        <v>574</v>
      </c>
      <c r="D290" s="89" t="s">
        <v>131</v>
      </c>
      <c r="E290" s="90">
        <v>1</v>
      </c>
      <c r="F290" s="91"/>
      <c r="G290" s="91"/>
      <c r="H290" s="91"/>
      <c r="I290" s="91">
        <f>SUM(G290:H290)+'BM 009'!I290</f>
        <v>0</v>
      </c>
      <c r="J290" s="91">
        <f t="shared" si="134"/>
        <v>1</v>
      </c>
      <c r="K290" s="80">
        <v>115</v>
      </c>
      <c r="L290" s="81">
        <f t="shared" si="133"/>
        <v>145.77401265</v>
      </c>
      <c r="M290" s="82">
        <f t="shared" si="128"/>
        <v>0</v>
      </c>
      <c r="N290" s="82">
        <f t="shared" si="129"/>
        <v>0</v>
      </c>
      <c r="O290" s="82">
        <f>N290+'BM 009'!O290</f>
        <v>0</v>
      </c>
      <c r="P290" s="80">
        <f t="shared" si="130"/>
        <v>115</v>
      </c>
      <c r="Q290" s="82">
        <f t="shared" si="131"/>
        <v>145.77000000000001</v>
      </c>
      <c r="R290" s="82">
        <f t="shared" si="132"/>
        <v>145.77000000000001</v>
      </c>
    </row>
    <row r="291" spans="2:18" s="34" customFormat="1" ht="13.2">
      <c r="B291" s="66" t="s">
        <v>575</v>
      </c>
      <c r="C291" s="67" t="s">
        <v>576</v>
      </c>
      <c r="D291" s="68"/>
      <c r="E291" s="69"/>
      <c r="F291" s="70"/>
      <c r="G291" s="70"/>
      <c r="H291" s="70"/>
      <c r="I291" s="70">
        <f>SUM(G291:H291)+'BM 009'!I291</f>
        <v>0</v>
      </c>
      <c r="J291" s="70">
        <f t="shared" si="134"/>
        <v>0</v>
      </c>
      <c r="K291" s="71"/>
      <c r="L291" s="71">
        <f t="shared" si="133"/>
        <v>0</v>
      </c>
      <c r="M291" s="73">
        <f t="shared" ref="M291:R291" si="135">SUM(M292:M295)</f>
        <v>0</v>
      </c>
      <c r="N291" s="73">
        <f t="shared" si="135"/>
        <v>0</v>
      </c>
      <c r="O291" s="73">
        <f t="shared" si="135"/>
        <v>0</v>
      </c>
      <c r="P291" s="73">
        <f t="shared" si="135"/>
        <v>100820.55</v>
      </c>
      <c r="Q291" s="73">
        <f t="shared" si="135"/>
        <v>127800.12</v>
      </c>
      <c r="R291" s="73">
        <f t="shared" si="135"/>
        <v>127800.12</v>
      </c>
    </row>
    <row r="292" spans="2:18" s="34" customFormat="1" ht="34.799999999999997">
      <c r="B292" s="87" t="s">
        <v>577</v>
      </c>
      <c r="C292" s="88" t="s">
        <v>578</v>
      </c>
      <c r="D292" s="89" t="s">
        <v>131</v>
      </c>
      <c r="E292" s="90">
        <v>55</v>
      </c>
      <c r="F292" s="91"/>
      <c r="G292" s="91"/>
      <c r="H292" s="91"/>
      <c r="I292" s="91">
        <f>SUM(G292:H292)+'BM 009'!I292</f>
        <v>0</v>
      </c>
      <c r="J292" s="91">
        <f t="shared" si="134"/>
        <v>55</v>
      </c>
      <c r="K292" s="80">
        <v>164.81</v>
      </c>
      <c r="L292" s="81">
        <f t="shared" si="133"/>
        <v>208.91317412910001</v>
      </c>
      <c r="M292" s="82">
        <f>TRUNC(F292*L292,2)</f>
        <v>0</v>
      </c>
      <c r="N292" s="82">
        <f>TRUNC(G292*L292,2)</f>
        <v>0</v>
      </c>
      <c r="O292" s="82">
        <f>N292+'BM 009'!O292</f>
        <v>0</v>
      </c>
      <c r="P292" s="80">
        <f>E292*K292</f>
        <v>9064.5499999999993</v>
      </c>
      <c r="Q292" s="82">
        <f>TRUNC(E292*L292,2)</f>
        <v>11490.22</v>
      </c>
      <c r="R292" s="82">
        <f>Q292-O292</f>
        <v>11490.22</v>
      </c>
    </row>
    <row r="293" spans="2:18" s="34" customFormat="1" ht="23.4">
      <c r="B293" s="87" t="s">
        <v>579</v>
      </c>
      <c r="C293" s="88" t="s">
        <v>580</v>
      </c>
      <c r="D293" s="89" t="s">
        <v>131</v>
      </c>
      <c r="E293" s="90">
        <v>887</v>
      </c>
      <c r="F293" s="91"/>
      <c r="G293" s="91"/>
      <c r="H293" s="91"/>
      <c r="I293" s="91">
        <f>SUM(G293:H293)+'BM 009'!I293</f>
        <v>0</v>
      </c>
      <c r="J293" s="91">
        <f t="shared" si="134"/>
        <v>887</v>
      </c>
      <c r="K293" s="80">
        <v>98</v>
      </c>
      <c r="L293" s="81">
        <f t="shared" si="133"/>
        <v>124.22481078000001</v>
      </c>
      <c r="M293" s="82">
        <f>TRUNC(F293*L293,2)</f>
        <v>0</v>
      </c>
      <c r="N293" s="82">
        <f>TRUNC(G293*L293,2)</f>
        <v>0</v>
      </c>
      <c r="O293" s="82">
        <f>N293+'BM 009'!O293</f>
        <v>0</v>
      </c>
      <c r="P293" s="80">
        <f>E293*K293</f>
        <v>86926</v>
      </c>
      <c r="Q293" s="82">
        <f>TRUNC(E293*L293,2)</f>
        <v>110187.4</v>
      </c>
      <c r="R293" s="82">
        <f>Q293-O293</f>
        <v>110187.4</v>
      </c>
    </row>
    <row r="294" spans="2:18" s="34" customFormat="1" ht="23.4">
      <c r="B294" s="87" t="s">
        <v>581</v>
      </c>
      <c r="C294" s="88" t="s">
        <v>582</v>
      </c>
      <c r="D294" s="89" t="s">
        <v>131</v>
      </c>
      <c r="E294" s="90">
        <v>15</v>
      </c>
      <c r="F294" s="91"/>
      <c r="G294" s="91"/>
      <c r="H294" s="91"/>
      <c r="I294" s="91">
        <f>SUM(G294:H294)+'BM 009'!I294</f>
        <v>0</v>
      </c>
      <c r="J294" s="91">
        <f t="shared" si="134"/>
        <v>15</v>
      </c>
      <c r="K294" s="80">
        <v>130</v>
      </c>
      <c r="L294" s="81">
        <f t="shared" si="133"/>
        <v>164.78801430000001</v>
      </c>
      <c r="M294" s="82">
        <f>TRUNC(F294*L294,2)</f>
        <v>0</v>
      </c>
      <c r="N294" s="82">
        <f>TRUNC(G294*L294,2)</f>
        <v>0</v>
      </c>
      <c r="O294" s="82">
        <f>N294+'BM 009'!O294</f>
        <v>0</v>
      </c>
      <c r="P294" s="80">
        <f>E294*K294</f>
        <v>1950</v>
      </c>
      <c r="Q294" s="82">
        <f>TRUNC(E294*L294,2)</f>
        <v>2471.8200000000002</v>
      </c>
      <c r="R294" s="82">
        <f>Q294-O294</f>
        <v>2471.8200000000002</v>
      </c>
    </row>
    <row r="295" spans="2:18" s="34" customFormat="1" ht="23.4">
      <c r="B295" s="87" t="s">
        <v>583</v>
      </c>
      <c r="C295" s="88" t="s">
        <v>584</v>
      </c>
      <c r="D295" s="89" t="s">
        <v>131</v>
      </c>
      <c r="E295" s="90">
        <v>32</v>
      </c>
      <c r="F295" s="91"/>
      <c r="G295" s="91"/>
      <c r="H295" s="91"/>
      <c r="I295" s="91">
        <f>SUM(G295:H295)+'BM 009'!I295</f>
        <v>0</v>
      </c>
      <c r="J295" s="91">
        <f t="shared" si="134"/>
        <v>32</v>
      </c>
      <c r="K295" s="80">
        <v>90</v>
      </c>
      <c r="L295" s="81">
        <f t="shared" si="133"/>
        <v>114.08400990000001</v>
      </c>
      <c r="M295" s="82">
        <f>TRUNC(F295*L295,2)</f>
        <v>0</v>
      </c>
      <c r="N295" s="82">
        <f>TRUNC(G295*L295,2)</f>
        <v>0</v>
      </c>
      <c r="O295" s="82">
        <f>N295+'BM 009'!O295</f>
        <v>0</v>
      </c>
      <c r="P295" s="80">
        <f>E295*K295</f>
        <v>2880</v>
      </c>
      <c r="Q295" s="82">
        <f>TRUNC(E295*L295,2)</f>
        <v>3650.68</v>
      </c>
      <c r="R295" s="82">
        <f>Q295-O295</f>
        <v>3650.68</v>
      </c>
    </row>
    <row r="296" spans="2:18" s="34" customFormat="1" ht="13.2">
      <c r="B296" s="66" t="s">
        <v>585</v>
      </c>
      <c r="C296" s="67" t="s">
        <v>586</v>
      </c>
      <c r="D296" s="68"/>
      <c r="E296" s="69"/>
      <c r="F296" s="70"/>
      <c r="G296" s="70"/>
      <c r="H296" s="70"/>
      <c r="I296" s="70">
        <f>SUM(G296:H296)+'BM 009'!I296</f>
        <v>0</v>
      </c>
      <c r="J296" s="70">
        <f t="shared" si="134"/>
        <v>0</v>
      </c>
      <c r="K296" s="71"/>
      <c r="L296" s="71">
        <f t="shared" si="133"/>
        <v>0</v>
      </c>
      <c r="M296" s="73">
        <f t="shared" ref="M296:R296" si="136">SUM(M297:M306)</f>
        <v>0</v>
      </c>
      <c r="N296" s="73">
        <f t="shared" si="136"/>
        <v>0</v>
      </c>
      <c r="O296" s="73">
        <f t="shared" si="136"/>
        <v>0</v>
      </c>
      <c r="P296" s="73">
        <f t="shared" si="136"/>
        <v>16787.3</v>
      </c>
      <c r="Q296" s="73">
        <f t="shared" si="136"/>
        <v>21279.56</v>
      </c>
      <c r="R296" s="73">
        <f t="shared" si="136"/>
        <v>21279.56</v>
      </c>
    </row>
    <row r="297" spans="2:18" s="34" customFormat="1" ht="46.2">
      <c r="B297" s="87" t="s">
        <v>587</v>
      </c>
      <c r="C297" s="88" t="s">
        <v>588</v>
      </c>
      <c r="D297" s="89" t="s">
        <v>131</v>
      </c>
      <c r="E297" s="90">
        <v>79</v>
      </c>
      <c r="F297" s="91"/>
      <c r="G297" s="91"/>
      <c r="H297" s="91"/>
      <c r="I297" s="91">
        <f>SUM(G297:H297)+'BM 009'!I297</f>
        <v>0</v>
      </c>
      <c r="J297" s="91">
        <f t="shared" si="134"/>
        <v>79</v>
      </c>
      <c r="K297" s="80">
        <v>32</v>
      </c>
      <c r="L297" s="81">
        <f t="shared" si="133"/>
        <v>40.563203520000002</v>
      </c>
      <c r="M297" s="82">
        <f t="shared" ref="M297:M306" si="137">TRUNC(F297*L297,2)</f>
        <v>0</v>
      </c>
      <c r="N297" s="82">
        <f t="shared" ref="N297:N306" si="138">TRUNC(G297*L297,2)</f>
        <v>0</v>
      </c>
      <c r="O297" s="82">
        <f>N297+'BM 009'!O297</f>
        <v>0</v>
      </c>
      <c r="P297" s="80">
        <f t="shared" ref="P297:P306" si="139">E297*K297</f>
        <v>2528</v>
      </c>
      <c r="Q297" s="82">
        <f t="shared" ref="Q297:Q306" si="140">TRUNC(E297*L297,2)</f>
        <v>3204.49</v>
      </c>
      <c r="R297" s="82">
        <f t="shared" ref="R297:R306" si="141">Q297-O297</f>
        <v>3204.49</v>
      </c>
    </row>
    <row r="298" spans="2:18" s="34" customFormat="1" ht="46.2">
      <c r="B298" s="87" t="s">
        <v>589</v>
      </c>
      <c r="C298" s="88" t="s">
        <v>590</v>
      </c>
      <c r="D298" s="89" t="s">
        <v>131</v>
      </c>
      <c r="E298" s="90">
        <v>73</v>
      </c>
      <c r="F298" s="91"/>
      <c r="G298" s="91"/>
      <c r="H298" s="91"/>
      <c r="I298" s="91">
        <f>SUM(G298:H298)+'BM 009'!I298</f>
        <v>0</v>
      </c>
      <c r="J298" s="91">
        <f t="shared" si="134"/>
        <v>73</v>
      </c>
      <c r="K298" s="80">
        <v>38</v>
      </c>
      <c r="L298" s="81">
        <f t="shared" si="133"/>
        <v>48.168804180000002</v>
      </c>
      <c r="M298" s="82">
        <f t="shared" si="137"/>
        <v>0</v>
      </c>
      <c r="N298" s="82">
        <f t="shared" si="138"/>
        <v>0</v>
      </c>
      <c r="O298" s="82">
        <f>N298+'BM 009'!O298</f>
        <v>0</v>
      </c>
      <c r="P298" s="80">
        <f t="shared" si="139"/>
        <v>2774</v>
      </c>
      <c r="Q298" s="82">
        <f t="shared" si="140"/>
        <v>3516.32</v>
      </c>
      <c r="R298" s="82">
        <f t="shared" si="141"/>
        <v>3516.32</v>
      </c>
    </row>
    <row r="299" spans="2:18" s="34" customFormat="1" ht="46.2">
      <c r="B299" s="87" t="s">
        <v>591</v>
      </c>
      <c r="C299" s="88" t="s">
        <v>592</v>
      </c>
      <c r="D299" s="89" t="s">
        <v>131</v>
      </c>
      <c r="E299" s="90">
        <v>34</v>
      </c>
      <c r="F299" s="91"/>
      <c r="G299" s="91"/>
      <c r="H299" s="91"/>
      <c r="I299" s="91">
        <f>SUM(G299:H299)+'BM 009'!I299</f>
        <v>0</v>
      </c>
      <c r="J299" s="91">
        <f t="shared" si="134"/>
        <v>34</v>
      </c>
      <c r="K299" s="80">
        <v>58.95</v>
      </c>
      <c r="L299" s="81">
        <f t="shared" si="133"/>
        <v>74.725026484500006</v>
      </c>
      <c r="M299" s="82">
        <f t="shared" si="137"/>
        <v>0</v>
      </c>
      <c r="N299" s="82">
        <f t="shared" si="138"/>
        <v>0</v>
      </c>
      <c r="O299" s="82">
        <f>N299+'BM 009'!O299</f>
        <v>0</v>
      </c>
      <c r="P299" s="80">
        <f t="shared" si="139"/>
        <v>2004.3000000000002</v>
      </c>
      <c r="Q299" s="82">
        <f t="shared" si="140"/>
        <v>2540.65</v>
      </c>
      <c r="R299" s="82">
        <f t="shared" si="141"/>
        <v>2540.65</v>
      </c>
    </row>
    <row r="300" spans="2:18" s="34" customFormat="1" ht="46.2">
      <c r="B300" s="87" t="s">
        <v>593</v>
      </c>
      <c r="C300" s="88" t="s">
        <v>594</v>
      </c>
      <c r="D300" s="89" t="s">
        <v>131</v>
      </c>
      <c r="E300" s="90">
        <v>55</v>
      </c>
      <c r="F300" s="91"/>
      <c r="G300" s="91"/>
      <c r="H300" s="91"/>
      <c r="I300" s="91">
        <f>SUM(G300:H300)+'BM 009'!I300</f>
        <v>0</v>
      </c>
      <c r="J300" s="91">
        <f t="shared" si="134"/>
        <v>55</v>
      </c>
      <c r="K300" s="80">
        <v>50</v>
      </c>
      <c r="L300" s="81">
        <f t="shared" si="133"/>
        <v>63.380005500000003</v>
      </c>
      <c r="M300" s="82">
        <f t="shared" si="137"/>
        <v>0</v>
      </c>
      <c r="N300" s="82">
        <f t="shared" si="138"/>
        <v>0</v>
      </c>
      <c r="O300" s="82">
        <f>N300+'BM 009'!O300</f>
        <v>0</v>
      </c>
      <c r="P300" s="80">
        <f t="shared" si="139"/>
        <v>2750</v>
      </c>
      <c r="Q300" s="82">
        <f t="shared" si="140"/>
        <v>3485.9</v>
      </c>
      <c r="R300" s="82">
        <f t="shared" si="141"/>
        <v>3485.9</v>
      </c>
    </row>
    <row r="301" spans="2:18" s="34" customFormat="1" ht="46.2">
      <c r="B301" s="87" t="s">
        <v>595</v>
      </c>
      <c r="C301" s="88" t="s">
        <v>596</v>
      </c>
      <c r="D301" s="89" t="s">
        <v>131</v>
      </c>
      <c r="E301" s="90">
        <v>41</v>
      </c>
      <c r="F301" s="91"/>
      <c r="G301" s="91"/>
      <c r="H301" s="91"/>
      <c r="I301" s="91">
        <f>SUM(G301:H301)+'BM 009'!I301</f>
        <v>0</v>
      </c>
      <c r="J301" s="91">
        <f t="shared" si="134"/>
        <v>41</v>
      </c>
      <c r="K301" s="80">
        <v>52</v>
      </c>
      <c r="L301" s="81">
        <f t="shared" si="133"/>
        <v>65.915205720000003</v>
      </c>
      <c r="M301" s="82">
        <f t="shared" si="137"/>
        <v>0</v>
      </c>
      <c r="N301" s="82">
        <f t="shared" si="138"/>
        <v>0</v>
      </c>
      <c r="O301" s="82">
        <f>N301+'BM 009'!O301</f>
        <v>0</v>
      </c>
      <c r="P301" s="80">
        <f t="shared" si="139"/>
        <v>2132</v>
      </c>
      <c r="Q301" s="82">
        <f t="shared" si="140"/>
        <v>2702.52</v>
      </c>
      <c r="R301" s="82">
        <f t="shared" si="141"/>
        <v>2702.52</v>
      </c>
    </row>
    <row r="302" spans="2:18" s="34" customFormat="1" ht="34.799999999999997">
      <c r="B302" s="87" t="s">
        <v>597</v>
      </c>
      <c r="C302" s="88" t="s">
        <v>598</v>
      </c>
      <c r="D302" s="89" t="s">
        <v>131</v>
      </c>
      <c r="E302" s="90">
        <v>3</v>
      </c>
      <c r="F302" s="91"/>
      <c r="G302" s="91"/>
      <c r="H302" s="91"/>
      <c r="I302" s="91">
        <f>SUM(G302:H302)+'BM 009'!I302</f>
        <v>0</v>
      </c>
      <c r="J302" s="91">
        <f t="shared" si="134"/>
        <v>3</v>
      </c>
      <c r="K302" s="80">
        <v>51</v>
      </c>
      <c r="L302" s="81">
        <f t="shared" si="133"/>
        <v>64.647605609999999</v>
      </c>
      <c r="M302" s="82">
        <f t="shared" si="137"/>
        <v>0</v>
      </c>
      <c r="N302" s="82">
        <f t="shared" si="138"/>
        <v>0</v>
      </c>
      <c r="O302" s="82">
        <f>N302+'BM 009'!O302</f>
        <v>0</v>
      </c>
      <c r="P302" s="80">
        <f t="shared" si="139"/>
        <v>153</v>
      </c>
      <c r="Q302" s="82">
        <f t="shared" si="140"/>
        <v>193.94</v>
      </c>
      <c r="R302" s="82">
        <f t="shared" si="141"/>
        <v>193.94</v>
      </c>
    </row>
    <row r="303" spans="2:18" s="34" customFormat="1" ht="34.799999999999997">
      <c r="B303" s="87" t="s">
        <v>599</v>
      </c>
      <c r="C303" s="88" t="s">
        <v>600</v>
      </c>
      <c r="D303" s="89" t="s">
        <v>131</v>
      </c>
      <c r="E303" s="90">
        <v>1</v>
      </c>
      <c r="F303" s="91"/>
      <c r="G303" s="91"/>
      <c r="H303" s="91"/>
      <c r="I303" s="91">
        <f>SUM(G303:H303)+'BM 009'!I303</f>
        <v>0</v>
      </c>
      <c r="J303" s="91">
        <f t="shared" si="134"/>
        <v>1</v>
      </c>
      <c r="K303" s="80">
        <v>60</v>
      </c>
      <c r="L303" s="81">
        <f t="shared" si="133"/>
        <v>76.056006600000003</v>
      </c>
      <c r="M303" s="82">
        <f t="shared" si="137"/>
        <v>0</v>
      </c>
      <c r="N303" s="82">
        <f t="shared" si="138"/>
        <v>0</v>
      </c>
      <c r="O303" s="82">
        <f>N303+'BM 009'!O303</f>
        <v>0</v>
      </c>
      <c r="P303" s="80">
        <f t="shared" si="139"/>
        <v>60</v>
      </c>
      <c r="Q303" s="82">
        <f t="shared" si="140"/>
        <v>76.05</v>
      </c>
      <c r="R303" s="82">
        <f t="shared" si="141"/>
        <v>76.05</v>
      </c>
    </row>
    <row r="304" spans="2:18" s="34" customFormat="1" ht="34.799999999999997">
      <c r="B304" s="87" t="s">
        <v>601</v>
      </c>
      <c r="C304" s="88" t="s">
        <v>602</v>
      </c>
      <c r="D304" s="89" t="s">
        <v>131</v>
      </c>
      <c r="E304" s="90">
        <v>15</v>
      </c>
      <c r="F304" s="91"/>
      <c r="G304" s="91"/>
      <c r="H304" s="91"/>
      <c r="I304" s="91">
        <f>SUM(G304:H304)+'BM 009'!I304</f>
        <v>0</v>
      </c>
      <c r="J304" s="91">
        <f t="shared" si="134"/>
        <v>15</v>
      </c>
      <c r="K304" s="80">
        <v>230</v>
      </c>
      <c r="L304" s="81">
        <f t="shared" si="133"/>
        <v>291.54802530000001</v>
      </c>
      <c r="M304" s="82">
        <f t="shared" si="137"/>
        <v>0</v>
      </c>
      <c r="N304" s="82">
        <f t="shared" si="138"/>
        <v>0</v>
      </c>
      <c r="O304" s="82">
        <f>N304+'BM 009'!O304</f>
        <v>0</v>
      </c>
      <c r="P304" s="80">
        <f t="shared" si="139"/>
        <v>3450</v>
      </c>
      <c r="Q304" s="82">
        <f t="shared" si="140"/>
        <v>4373.22</v>
      </c>
      <c r="R304" s="82">
        <f t="shared" si="141"/>
        <v>4373.22</v>
      </c>
    </row>
    <row r="305" spans="2:18" s="34" customFormat="1" ht="34.799999999999997">
      <c r="B305" s="87" t="s">
        <v>603</v>
      </c>
      <c r="C305" s="88" t="s">
        <v>604</v>
      </c>
      <c r="D305" s="89" t="s">
        <v>131</v>
      </c>
      <c r="E305" s="90">
        <v>5</v>
      </c>
      <c r="F305" s="91"/>
      <c r="G305" s="91"/>
      <c r="H305" s="91"/>
      <c r="I305" s="91">
        <f>SUM(G305:H305)+'BM 009'!I305</f>
        <v>0</v>
      </c>
      <c r="J305" s="91">
        <f t="shared" si="134"/>
        <v>5</v>
      </c>
      <c r="K305" s="80">
        <v>140</v>
      </c>
      <c r="L305" s="81">
        <f t="shared" si="133"/>
        <v>177.46401539999999</v>
      </c>
      <c r="M305" s="82">
        <f t="shared" si="137"/>
        <v>0</v>
      </c>
      <c r="N305" s="82">
        <f t="shared" si="138"/>
        <v>0</v>
      </c>
      <c r="O305" s="82">
        <f>N305+'BM 009'!O305</f>
        <v>0</v>
      </c>
      <c r="P305" s="80">
        <f t="shared" si="139"/>
        <v>700</v>
      </c>
      <c r="Q305" s="82">
        <f t="shared" si="140"/>
        <v>887.32</v>
      </c>
      <c r="R305" s="82">
        <f t="shared" si="141"/>
        <v>887.32</v>
      </c>
    </row>
    <row r="306" spans="2:18" s="34" customFormat="1" ht="46.2">
      <c r="B306" s="87" t="s">
        <v>605</v>
      </c>
      <c r="C306" s="88" t="s">
        <v>606</v>
      </c>
      <c r="D306" s="89" t="s">
        <v>131</v>
      </c>
      <c r="E306" s="90">
        <v>4</v>
      </c>
      <c r="F306" s="91"/>
      <c r="G306" s="91"/>
      <c r="H306" s="91"/>
      <c r="I306" s="91">
        <f>SUM(G306:H306)+'BM 009'!I306</f>
        <v>0</v>
      </c>
      <c r="J306" s="91">
        <f t="shared" si="134"/>
        <v>4</v>
      </c>
      <c r="K306" s="80">
        <v>59</v>
      </c>
      <c r="L306" s="81">
        <f t="shared" si="133"/>
        <v>74.78840649</v>
      </c>
      <c r="M306" s="82">
        <f t="shared" si="137"/>
        <v>0</v>
      </c>
      <c r="N306" s="82">
        <f t="shared" si="138"/>
        <v>0</v>
      </c>
      <c r="O306" s="82">
        <f>N306+'BM 009'!O306</f>
        <v>0</v>
      </c>
      <c r="P306" s="80">
        <f t="shared" si="139"/>
        <v>236</v>
      </c>
      <c r="Q306" s="82">
        <f t="shared" si="140"/>
        <v>299.14999999999998</v>
      </c>
      <c r="R306" s="82">
        <f t="shared" si="141"/>
        <v>299.14999999999998</v>
      </c>
    </row>
    <row r="307" spans="2:18" s="34" customFormat="1" ht="13.2">
      <c r="B307" s="66" t="s">
        <v>607</v>
      </c>
      <c r="C307" s="67" t="s">
        <v>608</v>
      </c>
      <c r="D307" s="68"/>
      <c r="E307" s="69"/>
      <c r="F307" s="70"/>
      <c r="G307" s="70"/>
      <c r="H307" s="70"/>
      <c r="I307" s="70">
        <f>SUM(G307:H307)+'BM 009'!I307</f>
        <v>0</v>
      </c>
      <c r="J307" s="70">
        <f t="shared" si="134"/>
        <v>0</v>
      </c>
      <c r="K307" s="71"/>
      <c r="L307" s="71">
        <f t="shared" si="133"/>
        <v>0</v>
      </c>
      <c r="M307" s="73">
        <f t="shared" ref="M307:R307" si="142">SUM(M308:M314)</f>
        <v>0</v>
      </c>
      <c r="N307" s="73">
        <f t="shared" si="142"/>
        <v>0</v>
      </c>
      <c r="O307" s="73">
        <f t="shared" si="142"/>
        <v>0</v>
      </c>
      <c r="P307" s="73">
        <f t="shared" si="142"/>
        <v>50562</v>
      </c>
      <c r="Q307" s="73">
        <f t="shared" si="142"/>
        <v>64092.350000000006</v>
      </c>
      <c r="R307" s="73">
        <f t="shared" si="142"/>
        <v>64092.350000000006</v>
      </c>
    </row>
    <row r="308" spans="2:18" s="34" customFormat="1" ht="46.2">
      <c r="B308" s="87" t="s">
        <v>609</v>
      </c>
      <c r="C308" s="88" t="s">
        <v>610</v>
      </c>
      <c r="D308" s="89" t="s">
        <v>131</v>
      </c>
      <c r="E308" s="90">
        <v>202</v>
      </c>
      <c r="F308" s="91"/>
      <c r="G308" s="91"/>
      <c r="H308" s="91"/>
      <c r="I308" s="91">
        <f>SUM(G308:H308)+'BM 009'!I308</f>
        <v>0</v>
      </c>
      <c r="J308" s="91">
        <f t="shared" si="134"/>
        <v>202</v>
      </c>
      <c r="K308" s="80">
        <v>38</v>
      </c>
      <c r="L308" s="81">
        <f t="shared" si="133"/>
        <v>48.168804180000002</v>
      </c>
      <c r="M308" s="82">
        <f t="shared" ref="M308:M314" si="143">TRUNC(F308*L308,2)</f>
        <v>0</v>
      </c>
      <c r="N308" s="82">
        <f t="shared" ref="N308:N314" si="144">TRUNC(G308*L308,2)</f>
        <v>0</v>
      </c>
      <c r="O308" s="82">
        <f>N308+'BM 009'!O308</f>
        <v>0</v>
      </c>
      <c r="P308" s="80">
        <f t="shared" ref="P308:P314" si="145">E308*K308</f>
        <v>7676</v>
      </c>
      <c r="Q308" s="82">
        <f t="shared" ref="Q308:Q314" si="146">TRUNC(E308*L308,2)</f>
        <v>9730.09</v>
      </c>
      <c r="R308" s="82">
        <f t="shared" ref="R308:R314" si="147">Q308-O308</f>
        <v>9730.09</v>
      </c>
    </row>
    <row r="309" spans="2:18" s="34" customFormat="1" ht="46.2">
      <c r="B309" s="87" t="s">
        <v>611</v>
      </c>
      <c r="C309" s="88" t="s">
        <v>612</v>
      </c>
      <c r="D309" s="89" t="s">
        <v>131</v>
      </c>
      <c r="E309" s="90">
        <v>508</v>
      </c>
      <c r="F309" s="91"/>
      <c r="G309" s="91"/>
      <c r="H309" s="91"/>
      <c r="I309" s="91">
        <f>SUM(G309:H309)+'BM 009'!I309</f>
        <v>0</v>
      </c>
      <c r="J309" s="91">
        <f t="shared" si="134"/>
        <v>508</v>
      </c>
      <c r="K309" s="80">
        <v>40</v>
      </c>
      <c r="L309" s="81">
        <f t="shared" si="133"/>
        <v>50.704004400000002</v>
      </c>
      <c r="M309" s="82">
        <f t="shared" si="143"/>
        <v>0</v>
      </c>
      <c r="N309" s="82">
        <f t="shared" si="144"/>
        <v>0</v>
      </c>
      <c r="O309" s="82">
        <f>N309+'BM 009'!O309</f>
        <v>0</v>
      </c>
      <c r="P309" s="80">
        <f t="shared" si="145"/>
        <v>20320</v>
      </c>
      <c r="Q309" s="82">
        <f t="shared" si="146"/>
        <v>25757.63</v>
      </c>
      <c r="R309" s="82">
        <f t="shared" si="147"/>
        <v>25757.63</v>
      </c>
    </row>
    <row r="310" spans="2:18" s="34" customFormat="1" ht="34.799999999999997">
      <c r="B310" s="87" t="s">
        <v>613</v>
      </c>
      <c r="C310" s="88" t="s">
        <v>614</v>
      </c>
      <c r="D310" s="89" t="s">
        <v>131</v>
      </c>
      <c r="E310" s="90">
        <v>52</v>
      </c>
      <c r="F310" s="91"/>
      <c r="G310" s="91"/>
      <c r="H310" s="91"/>
      <c r="I310" s="91">
        <f>SUM(G310:H310)+'BM 009'!I310</f>
        <v>0</v>
      </c>
      <c r="J310" s="91">
        <f t="shared" si="134"/>
        <v>52</v>
      </c>
      <c r="K310" s="80">
        <v>65</v>
      </c>
      <c r="L310" s="81">
        <f t="shared" si="133"/>
        <v>82.394007150000007</v>
      </c>
      <c r="M310" s="82">
        <f t="shared" si="143"/>
        <v>0</v>
      </c>
      <c r="N310" s="82">
        <f t="shared" si="144"/>
        <v>0</v>
      </c>
      <c r="O310" s="82">
        <f>N310+'BM 009'!O310</f>
        <v>0</v>
      </c>
      <c r="P310" s="80">
        <f t="shared" si="145"/>
        <v>3380</v>
      </c>
      <c r="Q310" s="82">
        <f t="shared" si="146"/>
        <v>4284.4799999999996</v>
      </c>
      <c r="R310" s="82">
        <f t="shared" si="147"/>
        <v>4284.4799999999996</v>
      </c>
    </row>
    <row r="311" spans="2:18" s="34" customFormat="1" ht="46.2">
      <c r="B311" s="87" t="s">
        <v>615</v>
      </c>
      <c r="C311" s="88" t="s">
        <v>610</v>
      </c>
      <c r="D311" s="89" t="s">
        <v>131</v>
      </c>
      <c r="E311" s="90">
        <v>2</v>
      </c>
      <c r="F311" s="91"/>
      <c r="G311" s="91"/>
      <c r="H311" s="91"/>
      <c r="I311" s="91">
        <f>SUM(G311:H311)+'BM 009'!I311</f>
        <v>0</v>
      </c>
      <c r="J311" s="91">
        <f t="shared" si="134"/>
        <v>2</v>
      </c>
      <c r="K311" s="80">
        <v>38</v>
      </c>
      <c r="L311" s="81">
        <f t="shared" si="133"/>
        <v>48.168804180000002</v>
      </c>
      <c r="M311" s="82">
        <f t="shared" si="143"/>
        <v>0</v>
      </c>
      <c r="N311" s="82">
        <f t="shared" si="144"/>
        <v>0</v>
      </c>
      <c r="O311" s="82">
        <f>N311+'BM 009'!O311</f>
        <v>0</v>
      </c>
      <c r="P311" s="80">
        <f t="shared" si="145"/>
        <v>76</v>
      </c>
      <c r="Q311" s="82">
        <f t="shared" si="146"/>
        <v>96.33</v>
      </c>
      <c r="R311" s="82">
        <f t="shared" si="147"/>
        <v>96.33</v>
      </c>
    </row>
    <row r="312" spans="2:18" s="34" customFormat="1" ht="23.4">
      <c r="B312" s="87" t="s">
        <v>616</v>
      </c>
      <c r="C312" s="88" t="s">
        <v>617</v>
      </c>
      <c r="D312" s="89" t="s">
        <v>131</v>
      </c>
      <c r="E312" s="90">
        <v>201</v>
      </c>
      <c r="F312" s="91"/>
      <c r="G312" s="91"/>
      <c r="H312" s="91"/>
      <c r="I312" s="91">
        <f>SUM(G312:H312)+'BM 009'!I312</f>
        <v>0</v>
      </c>
      <c r="J312" s="91">
        <f t="shared" si="134"/>
        <v>201</v>
      </c>
      <c r="K312" s="80">
        <v>30</v>
      </c>
      <c r="L312" s="81">
        <f t="shared" si="133"/>
        <v>38.028003300000002</v>
      </c>
      <c r="M312" s="82">
        <f t="shared" si="143"/>
        <v>0</v>
      </c>
      <c r="N312" s="82">
        <f t="shared" si="144"/>
        <v>0</v>
      </c>
      <c r="O312" s="82">
        <f>N312+'BM 009'!O312</f>
        <v>0</v>
      </c>
      <c r="P312" s="80">
        <f t="shared" si="145"/>
        <v>6030</v>
      </c>
      <c r="Q312" s="82">
        <f t="shared" si="146"/>
        <v>7643.62</v>
      </c>
      <c r="R312" s="82">
        <f t="shared" si="147"/>
        <v>7643.62</v>
      </c>
    </row>
    <row r="313" spans="2:18" s="34" customFormat="1" ht="23.4">
      <c r="B313" s="87" t="s">
        <v>618</v>
      </c>
      <c r="C313" s="88" t="s">
        <v>619</v>
      </c>
      <c r="D313" s="89" t="s">
        <v>131</v>
      </c>
      <c r="E313" s="90">
        <v>12</v>
      </c>
      <c r="F313" s="91"/>
      <c r="G313" s="91"/>
      <c r="H313" s="91"/>
      <c r="I313" s="91">
        <f>SUM(G313:H313)+'BM 009'!I313</f>
        <v>0</v>
      </c>
      <c r="J313" s="91">
        <f t="shared" si="134"/>
        <v>12</v>
      </c>
      <c r="K313" s="80">
        <v>40</v>
      </c>
      <c r="L313" s="81">
        <f t="shared" si="133"/>
        <v>50.704004400000002</v>
      </c>
      <c r="M313" s="82">
        <f t="shared" si="143"/>
        <v>0</v>
      </c>
      <c r="N313" s="82">
        <f t="shared" si="144"/>
        <v>0</v>
      </c>
      <c r="O313" s="82">
        <f>N313+'BM 009'!O313</f>
        <v>0</v>
      </c>
      <c r="P313" s="80">
        <f t="shared" si="145"/>
        <v>480</v>
      </c>
      <c r="Q313" s="82">
        <f t="shared" si="146"/>
        <v>608.44000000000005</v>
      </c>
      <c r="R313" s="82">
        <f t="shared" si="147"/>
        <v>608.44000000000005</v>
      </c>
    </row>
    <row r="314" spans="2:18" s="34" customFormat="1" ht="23.4">
      <c r="B314" s="87" t="s">
        <v>620</v>
      </c>
      <c r="C314" s="88" t="s">
        <v>621</v>
      </c>
      <c r="D314" s="89" t="s">
        <v>131</v>
      </c>
      <c r="E314" s="90">
        <v>180</v>
      </c>
      <c r="F314" s="91"/>
      <c r="G314" s="91"/>
      <c r="H314" s="91"/>
      <c r="I314" s="91">
        <f>SUM(G314:H314)+'BM 009'!I314</f>
        <v>0</v>
      </c>
      <c r="J314" s="91">
        <f t="shared" si="134"/>
        <v>180</v>
      </c>
      <c r="K314" s="80">
        <v>70</v>
      </c>
      <c r="L314" s="81">
        <f t="shared" si="133"/>
        <v>88.732007699999997</v>
      </c>
      <c r="M314" s="82">
        <f t="shared" si="143"/>
        <v>0</v>
      </c>
      <c r="N314" s="82">
        <f t="shared" si="144"/>
        <v>0</v>
      </c>
      <c r="O314" s="82">
        <f>N314+'BM 009'!O314</f>
        <v>0</v>
      </c>
      <c r="P314" s="80">
        <f t="shared" si="145"/>
        <v>12600</v>
      </c>
      <c r="Q314" s="82">
        <f t="shared" si="146"/>
        <v>15971.76</v>
      </c>
      <c r="R314" s="82">
        <f t="shared" si="147"/>
        <v>15971.76</v>
      </c>
    </row>
    <row r="315" spans="2:18" s="34" customFormat="1" ht="26.25" customHeight="1">
      <c r="B315" s="66" t="s">
        <v>622</v>
      </c>
      <c r="C315" s="67" t="s">
        <v>623</v>
      </c>
      <c r="D315" s="68"/>
      <c r="E315" s="69"/>
      <c r="F315" s="70"/>
      <c r="G315" s="70"/>
      <c r="H315" s="70"/>
      <c r="I315" s="70">
        <f>SUM(G315:H315)+'BM 009'!I315</f>
        <v>0</v>
      </c>
      <c r="J315" s="70">
        <f t="shared" si="134"/>
        <v>0</v>
      </c>
      <c r="K315" s="71"/>
      <c r="L315" s="71">
        <f t="shared" si="133"/>
        <v>0</v>
      </c>
      <c r="M315" s="73">
        <f t="shared" ref="M315:R315" si="148">SUM(M316)</f>
        <v>0</v>
      </c>
      <c r="N315" s="73">
        <f t="shared" si="148"/>
        <v>0</v>
      </c>
      <c r="O315" s="73">
        <f t="shared" si="148"/>
        <v>0</v>
      </c>
      <c r="P315" s="73">
        <f t="shared" si="148"/>
        <v>660</v>
      </c>
      <c r="Q315" s="73">
        <f t="shared" si="148"/>
        <v>836.61</v>
      </c>
      <c r="R315" s="73">
        <f t="shared" si="148"/>
        <v>836.61</v>
      </c>
    </row>
    <row r="316" spans="2:18" s="34" customFormat="1" ht="13.2">
      <c r="B316" s="75" t="s">
        <v>624</v>
      </c>
      <c r="C316" s="76" t="s">
        <v>625</v>
      </c>
      <c r="D316" s="77" t="s">
        <v>131</v>
      </c>
      <c r="E316" s="78">
        <v>3</v>
      </c>
      <c r="F316" s="79"/>
      <c r="G316" s="79"/>
      <c r="H316" s="79"/>
      <c r="I316" s="79">
        <f>SUM(G316:H316)+'BM 009'!I316</f>
        <v>0</v>
      </c>
      <c r="J316" s="79">
        <f t="shared" si="134"/>
        <v>3</v>
      </c>
      <c r="K316" s="84">
        <v>220</v>
      </c>
      <c r="L316" s="81">
        <f t="shared" si="133"/>
        <v>278.8720242</v>
      </c>
      <c r="M316" s="82">
        <f>TRUNC(F316*L316,2)</f>
        <v>0</v>
      </c>
      <c r="N316" s="82">
        <f>TRUNC(G316*L316,2)</f>
        <v>0</v>
      </c>
      <c r="O316" s="82">
        <f>N316+'BM 009'!O316</f>
        <v>0</v>
      </c>
      <c r="P316" s="80">
        <f>E316*K316</f>
        <v>660</v>
      </c>
      <c r="Q316" s="82">
        <f>TRUNC(E316*L316,2)</f>
        <v>836.61</v>
      </c>
      <c r="R316" s="82">
        <f>Q316-O316</f>
        <v>836.61</v>
      </c>
    </row>
    <row r="317" spans="2:18" s="34" customFormat="1" ht="13.2">
      <c r="B317" s="60" t="s">
        <v>626</v>
      </c>
      <c r="C317" s="61" t="s">
        <v>627</v>
      </c>
      <c r="D317" s="60"/>
      <c r="E317" s="62"/>
      <c r="F317" s="63"/>
      <c r="G317" s="63"/>
      <c r="H317" s="63"/>
      <c r="I317" s="63">
        <f>SUM(G317:H317)+'BM 009'!I317</f>
        <v>0</v>
      </c>
      <c r="J317" s="63">
        <f t="shared" si="134"/>
        <v>0</v>
      </c>
      <c r="K317" s="63"/>
      <c r="L317" s="63">
        <f t="shared" si="133"/>
        <v>0</v>
      </c>
      <c r="M317" s="63">
        <f t="shared" ref="M317:R317" si="149">SUM(M318:M327)</f>
        <v>0</v>
      </c>
      <c r="N317" s="63">
        <f t="shared" si="149"/>
        <v>0</v>
      </c>
      <c r="O317" s="63">
        <f t="shared" si="149"/>
        <v>0</v>
      </c>
      <c r="P317" s="63">
        <f t="shared" si="149"/>
        <v>37271.68</v>
      </c>
      <c r="Q317" s="63">
        <f t="shared" si="149"/>
        <v>47245.569999999992</v>
      </c>
      <c r="R317" s="63">
        <f t="shared" si="149"/>
        <v>47245.569999999992</v>
      </c>
    </row>
    <row r="318" spans="2:18" s="34" customFormat="1" ht="23.4">
      <c r="B318" s="75" t="s">
        <v>628</v>
      </c>
      <c r="C318" s="76" t="s">
        <v>629</v>
      </c>
      <c r="D318" s="77" t="s">
        <v>82</v>
      </c>
      <c r="E318" s="93">
        <v>170</v>
      </c>
      <c r="F318" s="79"/>
      <c r="G318" s="79"/>
      <c r="H318" s="79"/>
      <c r="I318" s="79">
        <f>SUM(G318:H318)+'BM 009'!I318</f>
        <v>0</v>
      </c>
      <c r="J318" s="79">
        <f t="shared" si="134"/>
        <v>170</v>
      </c>
      <c r="K318" s="80">
        <v>100</v>
      </c>
      <c r="L318" s="81">
        <f t="shared" si="133"/>
        <v>126.76001100000001</v>
      </c>
      <c r="M318" s="82">
        <f t="shared" ref="M318:M327" si="150">TRUNC(F318*L318,2)</f>
        <v>0</v>
      </c>
      <c r="N318" s="82">
        <f t="shared" ref="N318:N327" si="151">TRUNC(G318*L318,2)</f>
        <v>0</v>
      </c>
      <c r="O318" s="82">
        <f>N318+'BM 009'!O318</f>
        <v>0</v>
      </c>
      <c r="P318" s="80">
        <f t="shared" ref="P318:P327" si="152">E318*K318</f>
        <v>17000</v>
      </c>
      <c r="Q318" s="82">
        <f t="shared" ref="Q318:Q327" si="153">TRUNC(E318*L318,2)</f>
        <v>21549.200000000001</v>
      </c>
      <c r="R318" s="82">
        <f t="shared" ref="R318:R327" si="154">Q318-O318</f>
        <v>21549.200000000001</v>
      </c>
    </row>
    <row r="319" spans="2:18" s="34" customFormat="1" ht="23.4">
      <c r="B319" s="75" t="s">
        <v>630</v>
      </c>
      <c r="C319" s="76" t="s">
        <v>631</v>
      </c>
      <c r="D319" s="77" t="s">
        <v>131</v>
      </c>
      <c r="E319" s="93">
        <v>1</v>
      </c>
      <c r="F319" s="79"/>
      <c r="G319" s="79"/>
      <c r="H319" s="79"/>
      <c r="I319" s="79">
        <f>SUM(G319:H319)+'BM 009'!I319</f>
        <v>0</v>
      </c>
      <c r="J319" s="79">
        <f t="shared" si="134"/>
        <v>1</v>
      </c>
      <c r="K319" s="80">
        <v>1300</v>
      </c>
      <c r="L319" s="81">
        <f t="shared" si="133"/>
        <v>1647.8801430000001</v>
      </c>
      <c r="M319" s="82">
        <f t="shared" si="150"/>
        <v>0</v>
      </c>
      <c r="N319" s="82">
        <f t="shared" si="151"/>
        <v>0</v>
      </c>
      <c r="O319" s="82">
        <f>N319+'BM 009'!O319</f>
        <v>0</v>
      </c>
      <c r="P319" s="80">
        <f t="shared" si="152"/>
        <v>1300</v>
      </c>
      <c r="Q319" s="82">
        <f t="shared" si="153"/>
        <v>1647.88</v>
      </c>
      <c r="R319" s="82">
        <f t="shared" si="154"/>
        <v>1647.88</v>
      </c>
    </row>
    <row r="320" spans="2:18" s="34" customFormat="1" ht="23.4">
      <c r="B320" s="75" t="s">
        <v>632</v>
      </c>
      <c r="C320" s="76" t="s">
        <v>633</v>
      </c>
      <c r="D320" s="77" t="s">
        <v>82</v>
      </c>
      <c r="E320" s="93">
        <v>250</v>
      </c>
      <c r="F320" s="79"/>
      <c r="G320" s="79"/>
      <c r="H320" s="79"/>
      <c r="I320" s="79">
        <f>SUM(G320:H320)+'BM 009'!I320</f>
        <v>0</v>
      </c>
      <c r="J320" s="79">
        <f t="shared" si="134"/>
        <v>250</v>
      </c>
      <c r="K320" s="80">
        <v>38</v>
      </c>
      <c r="L320" s="81">
        <f t="shared" si="133"/>
        <v>48.168804180000002</v>
      </c>
      <c r="M320" s="82">
        <f t="shared" si="150"/>
        <v>0</v>
      </c>
      <c r="N320" s="82">
        <f t="shared" si="151"/>
        <v>0</v>
      </c>
      <c r="O320" s="82">
        <f>N320+'BM 009'!O320</f>
        <v>0</v>
      </c>
      <c r="P320" s="80">
        <f t="shared" si="152"/>
        <v>9500</v>
      </c>
      <c r="Q320" s="82">
        <f t="shared" si="153"/>
        <v>12042.2</v>
      </c>
      <c r="R320" s="82">
        <f t="shared" si="154"/>
        <v>12042.2</v>
      </c>
    </row>
    <row r="321" spans="2:18" s="34" customFormat="1" ht="13.2">
      <c r="B321" s="75" t="s">
        <v>634</v>
      </c>
      <c r="C321" s="76" t="s">
        <v>635</v>
      </c>
      <c r="D321" s="77" t="s">
        <v>39</v>
      </c>
      <c r="E321" s="78">
        <v>20</v>
      </c>
      <c r="F321" s="79"/>
      <c r="G321" s="79"/>
      <c r="H321" s="79"/>
      <c r="I321" s="79">
        <f>SUM(G321:H321)+'BM 009'!I321</f>
        <v>0</v>
      </c>
      <c r="J321" s="79">
        <f t="shared" si="134"/>
        <v>20</v>
      </c>
      <c r="K321" s="84">
        <v>42</v>
      </c>
      <c r="L321" s="81">
        <f t="shared" si="133"/>
        <v>53.239204620000002</v>
      </c>
      <c r="M321" s="82">
        <f t="shared" si="150"/>
        <v>0</v>
      </c>
      <c r="N321" s="82">
        <f t="shared" si="151"/>
        <v>0</v>
      </c>
      <c r="O321" s="82">
        <f>N321+'BM 009'!O321</f>
        <v>0</v>
      </c>
      <c r="P321" s="80">
        <f t="shared" si="152"/>
        <v>840</v>
      </c>
      <c r="Q321" s="82">
        <f t="shared" si="153"/>
        <v>1064.78</v>
      </c>
      <c r="R321" s="82">
        <f t="shared" si="154"/>
        <v>1064.78</v>
      </c>
    </row>
    <row r="322" spans="2:18" s="34" customFormat="1" ht="23.4">
      <c r="B322" s="75" t="s">
        <v>636</v>
      </c>
      <c r="C322" s="76" t="s">
        <v>637</v>
      </c>
      <c r="D322" s="77" t="s">
        <v>39</v>
      </c>
      <c r="E322" s="78">
        <v>30</v>
      </c>
      <c r="F322" s="79"/>
      <c r="G322" s="79"/>
      <c r="H322" s="79"/>
      <c r="I322" s="79">
        <f>SUM(G322:H322)+'BM 009'!I322</f>
        <v>0</v>
      </c>
      <c r="J322" s="79">
        <f t="shared" si="134"/>
        <v>30</v>
      </c>
      <c r="K322" s="84">
        <v>25</v>
      </c>
      <c r="L322" s="81">
        <f t="shared" si="133"/>
        <v>31.690002750000001</v>
      </c>
      <c r="M322" s="82">
        <f t="shared" si="150"/>
        <v>0</v>
      </c>
      <c r="N322" s="82">
        <f t="shared" si="151"/>
        <v>0</v>
      </c>
      <c r="O322" s="82">
        <f>N322+'BM 009'!O322</f>
        <v>0</v>
      </c>
      <c r="P322" s="80">
        <f t="shared" si="152"/>
        <v>750</v>
      </c>
      <c r="Q322" s="82">
        <f t="shared" si="153"/>
        <v>950.7</v>
      </c>
      <c r="R322" s="82">
        <f t="shared" si="154"/>
        <v>950.7</v>
      </c>
    </row>
    <row r="323" spans="2:18" s="34" customFormat="1" ht="46.2">
      <c r="B323" s="75" t="s">
        <v>638</v>
      </c>
      <c r="C323" s="76" t="s">
        <v>639</v>
      </c>
      <c r="D323" s="77" t="s">
        <v>39</v>
      </c>
      <c r="E323" s="78">
        <v>2</v>
      </c>
      <c r="F323" s="79"/>
      <c r="G323" s="79"/>
      <c r="H323" s="79"/>
      <c r="I323" s="79">
        <f>SUM(G323:H323)+'BM 009'!I323</f>
        <v>0</v>
      </c>
      <c r="J323" s="79">
        <f t="shared" si="134"/>
        <v>2</v>
      </c>
      <c r="K323" s="84">
        <v>1800</v>
      </c>
      <c r="L323" s="81">
        <f t="shared" si="133"/>
        <v>2281.680198</v>
      </c>
      <c r="M323" s="82">
        <f t="shared" si="150"/>
        <v>0</v>
      </c>
      <c r="N323" s="82">
        <f t="shared" si="151"/>
        <v>0</v>
      </c>
      <c r="O323" s="82">
        <f>N323+'BM 009'!O323</f>
        <v>0</v>
      </c>
      <c r="P323" s="80">
        <f t="shared" si="152"/>
        <v>3600</v>
      </c>
      <c r="Q323" s="82">
        <f t="shared" si="153"/>
        <v>4563.3599999999997</v>
      </c>
      <c r="R323" s="82">
        <f t="shared" si="154"/>
        <v>4563.3599999999997</v>
      </c>
    </row>
    <row r="324" spans="2:18" s="34" customFormat="1" ht="23.4">
      <c r="B324" s="75" t="s">
        <v>640</v>
      </c>
      <c r="C324" s="76" t="s">
        <v>641</v>
      </c>
      <c r="D324" s="77" t="s">
        <v>39</v>
      </c>
      <c r="E324" s="78">
        <v>17</v>
      </c>
      <c r="F324" s="79"/>
      <c r="G324" s="79"/>
      <c r="H324" s="79"/>
      <c r="I324" s="79">
        <f>SUM(G324:H324)+'BM 009'!I324</f>
        <v>0</v>
      </c>
      <c r="J324" s="79">
        <f t="shared" si="134"/>
        <v>17</v>
      </c>
      <c r="K324" s="84">
        <v>160</v>
      </c>
      <c r="L324" s="81">
        <f t="shared" si="133"/>
        <v>202.81601760000001</v>
      </c>
      <c r="M324" s="82">
        <f t="shared" si="150"/>
        <v>0</v>
      </c>
      <c r="N324" s="82">
        <f t="shared" si="151"/>
        <v>0</v>
      </c>
      <c r="O324" s="82">
        <f>N324+'BM 009'!O324</f>
        <v>0</v>
      </c>
      <c r="P324" s="80">
        <f t="shared" si="152"/>
        <v>2720</v>
      </c>
      <c r="Q324" s="82">
        <f t="shared" si="153"/>
        <v>3447.87</v>
      </c>
      <c r="R324" s="82">
        <f t="shared" si="154"/>
        <v>3447.87</v>
      </c>
    </row>
    <row r="325" spans="2:18" s="34" customFormat="1" ht="13.2">
      <c r="B325" s="75" t="s">
        <v>642</v>
      </c>
      <c r="C325" s="76" t="s">
        <v>643</v>
      </c>
      <c r="D325" s="77" t="s">
        <v>39</v>
      </c>
      <c r="E325" s="78">
        <v>100</v>
      </c>
      <c r="F325" s="79"/>
      <c r="G325" s="79"/>
      <c r="H325" s="79"/>
      <c r="I325" s="79">
        <f>SUM(G325:H325)+'BM 009'!I325</f>
        <v>0</v>
      </c>
      <c r="J325" s="79">
        <f t="shared" si="134"/>
        <v>100</v>
      </c>
      <c r="K325" s="84">
        <v>5.27</v>
      </c>
      <c r="L325" s="81">
        <f t="shared" si="133"/>
        <v>6.6802525796999994</v>
      </c>
      <c r="M325" s="82">
        <f t="shared" si="150"/>
        <v>0</v>
      </c>
      <c r="N325" s="82">
        <f t="shared" si="151"/>
        <v>0</v>
      </c>
      <c r="O325" s="82">
        <f>N325+'BM 009'!O325</f>
        <v>0</v>
      </c>
      <c r="P325" s="80">
        <f t="shared" si="152"/>
        <v>527</v>
      </c>
      <c r="Q325" s="82">
        <f t="shared" si="153"/>
        <v>668.02</v>
      </c>
      <c r="R325" s="82">
        <f t="shared" si="154"/>
        <v>668.02</v>
      </c>
    </row>
    <row r="326" spans="2:18" s="34" customFormat="1" ht="23.25" customHeight="1">
      <c r="B326" s="75" t="s">
        <v>644</v>
      </c>
      <c r="C326" s="76" t="s">
        <v>645</v>
      </c>
      <c r="D326" s="77" t="s">
        <v>124</v>
      </c>
      <c r="E326" s="78">
        <v>12</v>
      </c>
      <c r="F326" s="79"/>
      <c r="G326" s="79"/>
      <c r="H326" s="79"/>
      <c r="I326" s="79">
        <f>SUM(G326:H326)+'BM 009'!I326</f>
        <v>0</v>
      </c>
      <c r="J326" s="79">
        <f t="shared" si="134"/>
        <v>12</v>
      </c>
      <c r="K326" s="84">
        <v>15.39</v>
      </c>
      <c r="L326" s="81">
        <f t="shared" si="133"/>
        <v>19.5083656929</v>
      </c>
      <c r="M326" s="82">
        <f t="shared" si="150"/>
        <v>0</v>
      </c>
      <c r="N326" s="82">
        <f t="shared" si="151"/>
        <v>0</v>
      </c>
      <c r="O326" s="82">
        <f>N326+'BM 009'!O326</f>
        <v>0</v>
      </c>
      <c r="P326" s="80">
        <f t="shared" si="152"/>
        <v>184.68</v>
      </c>
      <c r="Q326" s="82">
        <f t="shared" si="153"/>
        <v>234.1</v>
      </c>
      <c r="R326" s="82">
        <f t="shared" si="154"/>
        <v>234.1</v>
      </c>
    </row>
    <row r="327" spans="2:18" s="34" customFormat="1" ht="23.4">
      <c r="B327" s="75" t="s">
        <v>646</v>
      </c>
      <c r="C327" s="76" t="s">
        <v>647</v>
      </c>
      <c r="D327" s="77" t="s">
        <v>39</v>
      </c>
      <c r="E327" s="78">
        <v>17</v>
      </c>
      <c r="F327" s="79"/>
      <c r="G327" s="79"/>
      <c r="H327" s="79"/>
      <c r="I327" s="79">
        <f>SUM(G327:H327)+'BM 009'!I327</f>
        <v>0</v>
      </c>
      <c r="J327" s="79">
        <f t="shared" si="134"/>
        <v>17</v>
      </c>
      <c r="K327" s="84">
        <v>50</v>
      </c>
      <c r="L327" s="81">
        <f t="shared" si="133"/>
        <v>63.380005500000003</v>
      </c>
      <c r="M327" s="82">
        <f t="shared" si="150"/>
        <v>0</v>
      </c>
      <c r="N327" s="82">
        <f t="shared" si="151"/>
        <v>0</v>
      </c>
      <c r="O327" s="82">
        <f>N327+'BM 009'!O327</f>
        <v>0</v>
      </c>
      <c r="P327" s="80">
        <f t="shared" si="152"/>
        <v>850</v>
      </c>
      <c r="Q327" s="82">
        <f t="shared" si="153"/>
        <v>1077.46</v>
      </c>
      <c r="R327" s="82">
        <f t="shared" si="154"/>
        <v>1077.46</v>
      </c>
    </row>
    <row r="328" spans="2:18" s="34" customFormat="1" ht="13.2">
      <c r="B328" s="60" t="s">
        <v>648</v>
      </c>
      <c r="C328" s="61" t="s">
        <v>649</v>
      </c>
      <c r="D328" s="60"/>
      <c r="E328" s="62"/>
      <c r="F328" s="63"/>
      <c r="G328" s="63"/>
      <c r="H328" s="63"/>
      <c r="I328" s="63">
        <f>SUM(G328:H328)+'BM 009'!I328</f>
        <v>0</v>
      </c>
      <c r="J328" s="63">
        <f t="shared" si="134"/>
        <v>0</v>
      </c>
      <c r="K328" s="63"/>
      <c r="L328" s="63">
        <f t="shared" si="133"/>
        <v>0</v>
      </c>
      <c r="M328" s="63">
        <f t="shared" ref="M328:R328" si="155">SUM(M329,M337,M395,M406,M474)</f>
        <v>0</v>
      </c>
      <c r="N328" s="63">
        <f t="shared" si="155"/>
        <v>0</v>
      </c>
      <c r="O328" s="63">
        <f t="shared" si="155"/>
        <v>6476.81</v>
      </c>
      <c r="P328" s="63">
        <f t="shared" si="155"/>
        <v>482517.43010000006</v>
      </c>
      <c r="Q328" s="63">
        <f t="shared" si="155"/>
        <v>611638.38000000012</v>
      </c>
      <c r="R328" s="63">
        <f t="shared" si="155"/>
        <v>605161.57000000007</v>
      </c>
    </row>
    <row r="329" spans="2:18" s="34" customFormat="1" ht="13.2">
      <c r="B329" s="66" t="s">
        <v>650</v>
      </c>
      <c r="C329" s="67" t="s">
        <v>651</v>
      </c>
      <c r="D329" s="68"/>
      <c r="E329" s="69"/>
      <c r="F329" s="70"/>
      <c r="G329" s="70"/>
      <c r="H329" s="70"/>
      <c r="I329" s="70">
        <f>SUM(G329:H329)+'BM 009'!I329</f>
        <v>0</v>
      </c>
      <c r="J329" s="70">
        <f t="shared" si="134"/>
        <v>0</v>
      </c>
      <c r="K329" s="71"/>
      <c r="L329" s="71">
        <f t="shared" si="133"/>
        <v>0</v>
      </c>
      <c r="M329" s="73">
        <f t="shared" ref="M329:R329" si="156">SUM(M330:M336)</f>
        <v>0</v>
      </c>
      <c r="N329" s="73">
        <f t="shared" si="156"/>
        <v>0</v>
      </c>
      <c r="O329" s="73">
        <f t="shared" si="156"/>
        <v>2814.07</v>
      </c>
      <c r="P329" s="73">
        <f t="shared" si="156"/>
        <v>39545.715000000004</v>
      </c>
      <c r="Q329" s="73">
        <f t="shared" si="156"/>
        <v>50128.12</v>
      </c>
      <c r="R329" s="73">
        <f t="shared" si="156"/>
        <v>47314.05</v>
      </c>
    </row>
    <row r="330" spans="2:18" s="34" customFormat="1" ht="23.4">
      <c r="B330" s="75" t="s">
        <v>652</v>
      </c>
      <c r="C330" s="76" t="s">
        <v>653</v>
      </c>
      <c r="D330" s="77" t="s">
        <v>82</v>
      </c>
      <c r="E330" s="90">
        <v>9.3800000000000008</v>
      </c>
      <c r="F330" s="91"/>
      <c r="G330" s="91"/>
      <c r="H330" s="91"/>
      <c r="I330" s="91">
        <f>SUM(G330:H330)+'BM 009'!I330</f>
        <v>0</v>
      </c>
      <c r="J330" s="91">
        <f t="shared" si="134"/>
        <v>9.3800000000000008</v>
      </c>
      <c r="K330" s="80">
        <v>6.5</v>
      </c>
      <c r="L330" s="81">
        <f t="shared" si="133"/>
        <v>8.2394007150000004</v>
      </c>
      <c r="M330" s="82">
        <f t="shared" ref="M330:M336" si="157">TRUNC(F330*L330,2)</f>
        <v>0</v>
      </c>
      <c r="N330" s="82">
        <f t="shared" ref="N330:N336" si="158">TRUNC(G330*L330,2)</f>
        <v>0</v>
      </c>
      <c r="O330" s="82">
        <f>N330+'BM 009'!O330</f>
        <v>0</v>
      </c>
      <c r="P330" s="80">
        <f t="shared" ref="P330:P336" si="159">E330*K330</f>
        <v>60.970000000000006</v>
      </c>
      <c r="Q330" s="82">
        <f t="shared" ref="Q330:Q336" si="160">TRUNC(E330*L330,2)</f>
        <v>77.28</v>
      </c>
      <c r="R330" s="82">
        <f t="shared" ref="R330:R336" si="161">Q330-O330</f>
        <v>77.28</v>
      </c>
    </row>
    <row r="331" spans="2:18" s="34" customFormat="1" ht="23.4">
      <c r="B331" s="75" t="s">
        <v>654</v>
      </c>
      <c r="C331" s="76" t="s">
        <v>655</v>
      </c>
      <c r="D331" s="77" t="s">
        <v>82</v>
      </c>
      <c r="E331" s="90">
        <v>1074.94</v>
      </c>
      <c r="F331" s="91"/>
      <c r="G331" s="91"/>
      <c r="H331" s="91"/>
      <c r="I331" s="91">
        <f>SUM(G331:H331)+'BM 009'!I331</f>
        <v>0</v>
      </c>
      <c r="J331" s="91">
        <f t="shared" si="134"/>
        <v>1074.94</v>
      </c>
      <c r="K331" s="80">
        <v>8</v>
      </c>
      <c r="L331" s="81">
        <f t="shared" si="133"/>
        <v>10.14080088</v>
      </c>
      <c r="M331" s="82">
        <f t="shared" si="157"/>
        <v>0</v>
      </c>
      <c r="N331" s="82">
        <f t="shared" si="158"/>
        <v>0</v>
      </c>
      <c r="O331" s="82">
        <f>N331+'BM 009'!O331</f>
        <v>0</v>
      </c>
      <c r="P331" s="80">
        <f t="shared" si="159"/>
        <v>8599.52</v>
      </c>
      <c r="Q331" s="82">
        <f t="shared" si="160"/>
        <v>10900.75</v>
      </c>
      <c r="R331" s="82">
        <f t="shared" si="161"/>
        <v>10900.75</v>
      </c>
    </row>
    <row r="332" spans="2:18" s="34" customFormat="1" ht="23.4">
      <c r="B332" s="75" t="s">
        <v>656</v>
      </c>
      <c r="C332" s="76" t="s">
        <v>657</v>
      </c>
      <c r="D332" s="77" t="s">
        <v>82</v>
      </c>
      <c r="E332" s="93">
        <v>17.41</v>
      </c>
      <c r="F332" s="79"/>
      <c r="G332" s="79"/>
      <c r="H332" s="79"/>
      <c r="I332" s="79">
        <f>SUM(G332:H332)+'BM 009'!I332</f>
        <v>0</v>
      </c>
      <c r="J332" s="79">
        <f t="shared" si="134"/>
        <v>17.41</v>
      </c>
      <c r="K332" s="80">
        <v>17.5</v>
      </c>
      <c r="L332" s="81">
        <f t="shared" si="133"/>
        <v>22.183001924999999</v>
      </c>
      <c r="M332" s="82">
        <f t="shared" si="157"/>
        <v>0</v>
      </c>
      <c r="N332" s="82">
        <f t="shared" si="158"/>
        <v>0</v>
      </c>
      <c r="O332" s="82">
        <f>N332+'BM 009'!O332</f>
        <v>0</v>
      </c>
      <c r="P332" s="80">
        <f t="shared" si="159"/>
        <v>304.67500000000001</v>
      </c>
      <c r="Q332" s="82">
        <f t="shared" si="160"/>
        <v>386.2</v>
      </c>
      <c r="R332" s="82">
        <f t="shared" si="161"/>
        <v>386.2</v>
      </c>
    </row>
    <row r="333" spans="2:18" s="34" customFormat="1" ht="23.4">
      <c r="B333" s="75" t="s">
        <v>658</v>
      </c>
      <c r="C333" s="76" t="s">
        <v>659</v>
      </c>
      <c r="D333" s="77" t="s">
        <v>82</v>
      </c>
      <c r="E333" s="93">
        <v>471.41</v>
      </c>
      <c r="F333" s="79"/>
      <c r="G333" s="79"/>
      <c r="H333" s="79"/>
      <c r="I333" s="79">
        <f>SUM(G333:H333)+'BM 009'!I333</f>
        <v>0</v>
      </c>
      <c r="J333" s="79">
        <f t="shared" si="134"/>
        <v>471.41</v>
      </c>
      <c r="K333" s="80">
        <v>23.5</v>
      </c>
      <c r="L333" s="81">
        <f t="shared" si="133"/>
        <v>29.788602585</v>
      </c>
      <c r="M333" s="82">
        <f t="shared" si="157"/>
        <v>0</v>
      </c>
      <c r="N333" s="82">
        <f t="shared" si="158"/>
        <v>0</v>
      </c>
      <c r="O333" s="82">
        <f>N333+'BM 009'!O333</f>
        <v>0</v>
      </c>
      <c r="P333" s="80">
        <f t="shared" si="159"/>
        <v>11078.135</v>
      </c>
      <c r="Q333" s="82">
        <f t="shared" si="160"/>
        <v>14042.64</v>
      </c>
      <c r="R333" s="82">
        <f t="shared" si="161"/>
        <v>14042.64</v>
      </c>
    </row>
    <row r="334" spans="2:18" s="34" customFormat="1" ht="23.4">
      <c r="B334" s="75" t="s">
        <v>660</v>
      </c>
      <c r="C334" s="76" t="s">
        <v>661</v>
      </c>
      <c r="D334" s="77" t="s">
        <v>82</v>
      </c>
      <c r="E334" s="93">
        <v>25.81</v>
      </c>
      <c r="F334" s="79"/>
      <c r="G334" s="79"/>
      <c r="H334" s="79"/>
      <c r="I334" s="79">
        <f>SUM(G334:H334)+'BM 009'!I334</f>
        <v>0</v>
      </c>
      <c r="J334" s="79">
        <f t="shared" si="134"/>
        <v>25.81</v>
      </c>
      <c r="K334" s="80">
        <v>27.5</v>
      </c>
      <c r="L334" s="81">
        <f t="shared" si="133"/>
        <v>34.859003025</v>
      </c>
      <c r="M334" s="82">
        <f t="shared" si="157"/>
        <v>0</v>
      </c>
      <c r="N334" s="82">
        <f t="shared" si="158"/>
        <v>0</v>
      </c>
      <c r="O334" s="82">
        <f>N334+'BM 009'!O334</f>
        <v>0</v>
      </c>
      <c r="P334" s="80">
        <f t="shared" si="159"/>
        <v>709.77499999999998</v>
      </c>
      <c r="Q334" s="82">
        <f t="shared" si="160"/>
        <v>899.71</v>
      </c>
      <c r="R334" s="82">
        <f t="shared" si="161"/>
        <v>899.71</v>
      </c>
    </row>
    <row r="335" spans="2:18" s="34" customFormat="1" ht="23.4">
      <c r="B335" s="75" t="s">
        <v>662</v>
      </c>
      <c r="C335" s="76" t="s">
        <v>663</v>
      </c>
      <c r="D335" s="77" t="s">
        <v>124</v>
      </c>
      <c r="E335" s="93">
        <v>165.66</v>
      </c>
      <c r="F335" s="79"/>
      <c r="G335" s="79"/>
      <c r="H335" s="79"/>
      <c r="I335" s="79">
        <f>SUM(G335:H335)+'BM 009'!I335</f>
        <v>0</v>
      </c>
      <c r="J335" s="79">
        <f t="shared" si="134"/>
        <v>165.66</v>
      </c>
      <c r="K335" s="80">
        <v>41</v>
      </c>
      <c r="L335" s="81">
        <f t="shared" si="133"/>
        <v>51.971604510000006</v>
      </c>
      <c r="M335" s="82">
        <f t="shared" si="157"/>
        <v>0</v>
      </c>
      <c r="N335" s="82">
        <f t="shared" si="158"/>
        <v>0</v>
      </c>
      <c r="O335" s="82">
        <f>N335+'BM 009'!O335</f>
        <v>0</v>
      </c>
      <c r="P335" s="80">
        <f t="shared" si="159"/>
        <v>6792.0599999999995</v>
      </c>
      <c r="Q335" s="82">
        <f t="shared" si="160"/>
        <v>8609.61</v>
      </c>
      <c r="R335" s="82">
        <f t="shared" si="161"/>
        <v>8609.61</v>
      </c>
    </row>
    <row r="336" spans="2:18" s="34" customFormat="1" ht="23.4">
      <c r="B336" s="75" t="s">
        <v>664</v>
      </c>
      <c r="C336" s="76" t="s">
        <v>665</v>
      </c>
      <c r="D336" s="77" t="s">
        <v>124</v>
      </c>
      <c r="E336" s="93">
        <v>162.16999999999999</v>
      </c>
      <c r="F336" s="79"/>
      <c r="G336" s="79"/>
      <c r="H336" s="79"/>
      <c r="I336" s="79">
        <f>SUM(G336:H336)+'BM 009'!I336</f>
        <v>30</v>
      </c>
      <c r="J336" s="79">
        <f t="shared" si="134"/>
        <v>132.16999999999999</v>
      </c>
      <c r="K336" s="80">
        <v>74</v>
      </c>
      <c r="L336" s="81">
        <f t="shared" si="133"/>
        <v>93.802408140000011</v>
      </c>
      <c r="M336" s="82">
        <f t="shared" si="157"/>
        <v>0</v>
      </c>
      <c r="N336" s="82">
        <f t="shared" si="158"/>
        <v>0</v>
      </c>
      <c r="O336" s="82">
        <f>N336+'BM 009'!O336</f>
        <v>2814.07</v>
      </c>
      <c r="P336" s="80">
        <f t="shared" si="159"/>
        <v>12000.58</v>
      </c>
      <c r="Q336" s="82">
        <f t="shared" si="160"/>
        <v>15211.93</v>
      </c>
      <c r="R336" s="82">
        <f t="shared" si="161"/>
        <v>12397.86</v>
      </c>
    </row>
    <row r="337" spans="2:18" s="34" customFormat="1" ht="24">
      <c r="B337" s="66" t="s">
        <v>666</v>
      </c>
      <c r="C337" s="67" t="s">
        <v>667</v>
      </c>
      <c r="D337" s="68"/>
      <c r="E337" s="69"/>
      <c r="F337" s="70"/>
      <c r="G337" s="70"/>
      <c r="H337" s="70"/>
      <c r="I337" s="70">
        <f>SUM(G337:H337)+'BM 009'!I337</f>
        <v>0</v>
      </c>
      <c r="J337" s="70">
        <f t="shared" si="134"/>
        <v>0</v>
      </c>
      <c r="K337" s="71"/>
      <c r="L337" s="71">
        <f t="shared" si="133"/>
        <v>0</v>
      </c>
      <c r="M337" s="73">
        <f t="shared" ref="M337:R337" si="162">SUM(M338:M394)</f>
        <v>0</v>
      </c>
      <c r="N337" s="73">
        <f t="shared" si="162"/>
        <v>0</v>
      </c>
      <c r="O337" s="73">
        <f t="shared" si="162"/>
        <v>848.67</v>
      </c>
      <c r="P337" s="73">
        <f t="shared" si="162"/>
        <v>49585.86</v>
      </c>
      <c r="Q337" s="73">
        <f t="shared" si="162"/>
        <v>62854.749999999985</v>
      </c>
      <c r="R337" s="73">
        <f t="shared" si="162"/>
        <v>62006.079999999987</v>
      </c>
    </row>
    <row r="338" spans="2:18" s="34" customFormat="1" ht="46.2">
      <c r="B338" s="75" t="s">
        <v>668</v>
      </c>
      <c r="C338" s="76" t="s">
        <v>669</v>
      </c>
      <c r="D338" s="77" t="s">
        <v>131</v>
      </c>
      <c r="E338" s="93">
        <v>2</v>
      </c>
      <c r="F338" s="79"/>
      <c r="G338" s="79"/>
      <c r="H338" s="79"/>
      <c r="I338" s="79">
        <f>SUM(G338:H338)+'BM 009'!I338</f>
        <v>0</v>
      </c>
      <c r="J338" s="79">
        <f t="shared" si="134"/>
        <v>2</v>
      </c>
      <c r="K338" s="80">
        <v>119</v>
      </c>
      <c r="L338" s="81">
        <f t="shared" si="133"/>
        <v>150.84441309000002</v>
      </c>
      <c r="M338" s="82">
        <f t="shared" ref="M338:M369" si="163">TRUNC(F338*L338,2)</f>
        <v>0</v>
      </c>
      <c r="N338" s="82">
        <f t="shared" ref="N338:N369" si="164">TRUNC(G338*L338,2)</f>
        <v>0</v>
      </c>
      <c r="O338" s="82">
        <f>N338+'BM 009'!O338</f>
        <v>0</v>
      </c>
      <c r="P338" s="80">
        <f t="shared" ref="P338:P369" si="165">E338*K338</f>
        <v>238</v>
      </c>
      <c r="Q338" s="82">
        <f t="shared" ref="Q338:Q369" si="166">TRUNC(E338*L338,2)</f>
        <v>301.68</v>
      </c>
      <c r="R338" s="82">
        <f t="shared" ref="R338:R369" si="167">Q338-O338</f>
        <v>301.68</v>
      </c>
    </row>
    <row r="339" spans="2:18" s="34" customFormat="1" ht="46.2">
      <c r="B339" s="75" t="s">
        <v>670</v>
      </c>
      <c r="C339" s="76" t="s">
        <v>671</v>
      </c>
      <c r="D339" s="77" t="s">
        <v>131</v>
      </c>
      <c r="E339" s="93">
        <v>12</v>
      </c>
      <c r="F339" s="79"/>
      <c r="G339" s="79"/>
      <c r="H339" s="79"/>
      <c r="I339" s="79">
        <f>SUM(G339:H339)+'BM 009'!I339</f>
        <v>0</v>
      </c>
      <c r="J339" s="79">
        <f t="shared" si="134"/>
        <v>12</v>
      </c>
      <c r="K339" s="80">
        <v>215</v>
      </c>
      <c r="L339" s="81">
        <f t="shared" si="133"/>
        <v>272.53402364999999</v>
      </c>
      <c r="M339" s="82">
        <f t="shared" si="163"/>
        <v>0</v>
      </c>
      <c r="N339" s="82">
        <f t="shared" si="164"/>
        <v>0</v>
      </c>
      <c r="O339" s="82">
        <f>N339+'BM 009'!O339</f>
        <v>0</v>
      </c>
      <c r="P339" s="80">
        <f t="shared" si="165"/>
        <v>2580</v>
      </c>
      <c r="Q339" s="82">
        <f t="shared" si="166"/>
        <v>3270.4</v>
      </c>
      <c r="R339" s="82">
        <f t="shared" si="167"/>
        <v>3270.4</v>
      </c>
    </row>
    <row r="340" spans="2:18" s="34" customFormat="1" ht="23.4">
      <c r="B340" s="75" t="s">
        <v>672</v>
      </c>
      <c r="C340" s="76" t="s">
        <v>673</v>
      </c>
      <c r="D340" s="77" t="s">
        <v>131</v>
      </c>
      <c r="E340" s="93">
        <v>15</v>
      </c>
      <c r="F340" s="79"/>
      <c r="G340" s="79"/>
      <c r="H340" s="79"/>
      <c r="I340" s="79">
        <f>SUM(G340:H340)+'BM 009'!I340</f>
        <v>0</v>
      </c>
      <c r="J340" s="79">
        <f t="shared" si="134"/>
        <v>15</v>
      </c>
      <c r="K340" s="80">
        <v>98</v>
      </c>
      <c r="L340" s="81">
        <f t="shared" si="133"/>
        <v>124.22481078000001</v>
      </c>
      <c r="M340" s="82">
        <f t="shared" si="163"/>
        <v>0</v>
      </c>
      <c r="N340" s="82">
        <f t="shared" si="164"/>
        <v>0</v>
      </c>
      <c r="O340" s="82">
        <f>N340+'BM 009'!O340</f>
        <v>0</v>
      </c>
      <c r="P340" s="80">
        <f t="shared" si="165"/>
        <v>1470</v>
      </c>
      <c r="Q340" s="82">
        <f t="shared" si="166"/>
        <v>1863.37</v>
      </c>
      <c r="R340" s="82">
        <f t="shared" si="167"/>
        <v>1863.37</v>
      </c>
    </row>
    <row r="341" spans="2:18" s="34" customFormat="1" ht="34.799999999999997">
      <c r="B341" s="75" t="s">
        <v>674</v>
      </c>
      <c r="C341" s="76" t="s">
        <v>675</v>
      </c>
      <c r="D341" s="77" t="s">
        <v>131</v>
      </c>
      <c r="E341" s="93">
        <v>5</v>
      </c>
      <c r="F341" s="79"/>
      <c r="G341" s="79"/>
      <c r="H341" s="79"/>
      <c r="I341" s="79">
        <f>SUM(G341:H341)+'BM 009'!I341</f>
        <v>0</v>
      </c>
      <c r="J341" s="79">
        <f t="shared" si="134"/>
        <v>5</v>
      </c>
      <c r="K341" s="80">
        <v>52</v>
      </c>
      <c r="L341" s="81">
        <f t="shared" si="133"/>
        <v>65.915205720000003</v>
      </c>
      <c r="M341" s="82">
        <f t="shared" si="163"/>
        <v>0</v>
      </c>
      <c r="N341" s="82">
        <f t="shared" si="164"/>
        <v>0</v>
      </c>
      <c r="O341" s="82">
        <f>N341+'BM 009'!O341</f>
        <v>0</v>
      </c>
      <c r="P341" s="80">
        <f t="shared" si="165"/>
        <v>260</v>
      </c>
      <c r="Q341" s="82">
        <f t="shared" si="166"/>
        <v>329.57</v>
      </c>
      <c r="R341" s="82">
        <f t="shared" si="167"/>
        <v>329.57</v>
      </c>
    </row>
    <row r="342" spans="2:18" s="34" customFormat="1" ht="34.799999999999997">
      <c r="B342" s="75" t="s">
        <v>676</v>
      </c>
      <c r="C342" s="76" t="s">
        <v>677</v>
      </c>
      <c r="D342" s="77" t="s">
        <v>131</v>
      </c>
      <c r="E342" s="93">
        <v>160</v>
      </c>
      <c r="F342" s="79"/>
      <c r="G342" s="79"/>
      <c r="H342" s="79"/>
      <c r="I342" s="79">
        <f>SUM(G342:H342)+'BM 009'!I342</f>
        <v>0</v>
      </c>
      <c r="J342" s="79">
        <f t="shared" si="134"/>
        <v>160</v>
      </c>
      <c r="K342" s="80">
        <v>105.95</v>
      </c>
      <c r="L342" s="81">
        <f t="shared" si="133"/>
        <v>134.30223165450002</v>
      </c>
      <c r="M342" s="82">
        <f t="shared" si="163"/>
        <v>0</v>
      </c>
      <c r="N342" s="82">
        <f t="shared" si="164"/>
        <v>0</v>
      </c>
      <c r="O342" s="82">
        <f>N342+'BM 009'!O342</f>
        <v>0</v>
      </c>
      <c r="P342" s="80">
        <f t="shared" si="165"/>
        <v>16952</v>
      </c>
      <c r="Q342" s="82">
        <f t="shared" si="166"/>
        <v>21488.35</v>
      </c>
      <c r="R342" s="82">
        <f t="shared" si="167"/>
        <v>21488.35</v>
      </c>
    </row>
    <row r="343" spans="2:18" s="34" customFormat="1" ht="23.4">
      <c r="B343" s="75" t="s">
        <v>678</v>
      </c>
      <c r="C343" s="76" t="s">
        <v>679</v>
      </c>
      <c r="D343" s="77" t="s">
        <v>131</v>
      </c>
      <c r="E343" s="93">
        <v>11</v>
      </c>
      <c r="F343" s="79"/>
      <c r="G343" s="79"/>
      <c r="H343" s="79"/>
      <c r="I343" s="79">
        <f>SUM(G343:H343)+'BM 009'!I343</f>
        <v>0</v>
      </c>
      <c r="J343" s="79">
        <f t="shared" si="134"/>
        <v>11</v>
      </c>
      <c r="K343" s="80">
        <v>485</v>
      </c>
      <c r="L343" s="81">
        <f t="shared" si="133"/>
        <v>614.78605334999997</v>
      </c>
      <c r="M343" s="82">
        <f t="shared" si="163"/>
        <v>0</v>
      </c>
      <c r="N343" s="82">
        <f t="shared" si="164"/>
        <v>0</v>
      </c>
      <c r="O343" s="82">
        <f>N343+'BM 009'!O343</f>
        <v>0</v>
      </c>
      <c r="P343" s="80">
        <f t="shared" si="165"/>
        <v>5335</v>
      </c>
      <c r="Q343" s="82">
        <f t="shared" si="166"/>
        <v>6762.64</v>
      </c>
      <c r="R343" s="82">
        <f t="shared" si="167"/>
        <v>6762.64</v>
      </c>
    </row>
    <row r="344" spans="2:18" s="34" customFormat="1" ht="34.799999999999997">
      <c r="B344" s="75" t="s">
        <v>680</v>
      </c>
      <c r="C344" s="88" t="s">
        <v>681</v>
      </c>
      <c r="D344" s="89" t="s">
        <v>131</v>
      </c>
      <c r="E344" s="90">
        <v>3</v>
      </c>
      <c r="F344" s="91"/>
      <c r="G344" s="91"/>
      <c r="H344" s="91"/>
      <c r="I344" s="91">
        <f>SUM(G344:H344)+'BM 009'!I344</f>
        <v>0</v>
      </c>
      <c r="J344" s="91">
        <f t="shared" si="134"/>
        <v>3</v>
      </c>
      <c r="K344" s="80">
        <v>165</v>
      </c>
      <c r="L344" s="81">
        <f t="shared" si="133"/>
        <v>209.15401815000001</v>
      </c>
      <c r="M344" s="82">
        <f t="shared" si="163"/>
        <v>0</v>
      </c>
      <c r="N344" s="82">
        <f t="shared" si="164"/>
        <v>0</v>
      </c>
      <c r="O344" s="82">
        <f>N344+'BM 009'!O344</f>
        <v>0</v>
      </c>
      <c r="P344" s="80">
        <f t="shared" si="165"/>
        <v>495</v>
      </c>
      <c r="Q344" s="82">
        <f t="shared" si="166"/>
        <v>627.46</v>
      </c>
      <c r="R344" s="82">
        <f t="shared" si="167"/>
        <v>627.46</v>
      </c>
    </row>
    <row r="345" spans="2:18" s="34" customFormat="1" ht="23.4">
      <c r="B345" s="75" t="s">
        <v>682</v>
      </c>
      <c r="C345" s="88" t="s">
        <v>683</v>
      </c>
      <c r="D345" s="89" t="s">
        <v>131</v>
      </c>
      <c r="E345" s="90">
        <v>1</v>
      </c>
      <c r="F345" s="91"/>
      <c r="G345" s="91"/>
      <c r="H345" s="91"/>
      <c r="I345" s="91">
        <f>SUM(G345:H345)+'BM 009'!I345</f>
        <v>0</v>
      </c>
      <c r="J345" s="91">
        <f t="shared" si="134"/>
        <v>1</v>
      </c>
      <c r="K345" s="80">
        <v>169</v>
      </c>
      <c r="L345" s="81">
        <f t="shared" si="133"/>
        <v>214.22441859</v>
      </c>
      <c r="M345" s="82">
        <f t="shared" si="163"/>
        <v>0</v>
      </c>
      <c r="N345" s="82">
        <f t="shared" si="164"/>
        <v>0</v>
      </c>
      <c r="O345" s="82">
        <f>N345+'BM 009'!O345</f>
        <v>0</v>
      </c>
      <c r="P345" s="80">
        <f t="shared" si="165"/>
        <v>169</v>
      </c>
      <c r="Q345" s="82">
        <f t="shared" si="166"/>
        <v>214.22</v>
      </c>
      <c r="R345" s="82">
        <f t="shared" si="167"/>
        <v>214.22</v>
      </c>
    </row>
    <row r="346" spans="2:18" s="34" customFormat="1" ht="23.4">
      <c r="B346" s="75" t="s">
        <v>684</v>
      </c>
      <c r="C346" s="88" t="s">
        <v>685</v>
      </c>
      <c r="D346" s="89" t="s">
        <v>131</v>
      </c>
      <c r="E346" s="90">
        <v>1</v>
      </c>
      <c r="F346" s="91"/>
      <c r="G346" s="91"/>
      <c r="H346" s="91"/>
      <c r="I346" s="91">
        <f>SUM(G346:H346)+'BM 009'!I346</f>
        <v>0</v>
      </c>
      <c r="J346" s="91">
        <f t="shared" si="134"/>
        <v>1</v>
      </c>
      <c r="K346" s="80">
        <v>99</v>
      </c>
      <c r="L346" s="81">
        <f t="shared" si="133"/>
        <v>125.49241089</v>
      </c>
      <c r="M346" s="82">
        <f t="shared" si="163"/>
        <v>0</v>
      </c>
      <c r="N346" s="82">
        <f t="shared" si="164"/>
        <v>0</v>
      </c>
      <c r="O346" s="82">
        <f>N346+'BM 009'!O346</f>
        <v>0</v>
      </c>
      <c r="P346" s="80">
        <f t="shared" si="165"/>
        <v>99</v>
      </c>
      <c r="Q346" s="82">
        <f t="shared" si="166"/>
        <v>125.49</v>
      </c>
      <c r="R346" s="82">
        <f t="shared" si="167"/>
        <v>125.49</v>
      </c>
    </row>
    <row r="347" spans="2:18" s="34" customFormat="1" ht="23.4">
      <c r="B347" s="75" t="s">
        <v>686</v>
      </c>
      <c r="C347" s="88" t="s">
        <v>687</v>
      </c>
      <c r="D347" s="89" t="s">
        <v>131</v>
      </c>
      <c r="E347" s="90">
        <v>1</v>
      </c>
      <c r="F347" s="91"/>
      <c r="G347" s="91"/>
      <c r="H347" s="91"/>
      <c r="I347" s="91">
        <f>SUM(G347:H347)+'BM 009'!I347</f>
        <v>0</v>
      </c>
      <c r="J347" s="91">
        <f t="shared" si="134"/>
        <v>1</v>
      </c>
      <c r="K347" s="80">
        <v>265</v>
      </c>
      <c r="L347" s="81">
        <f t="shared" si="133"/>
        <v>335.91402915000003</v>
      </c>
      <c r="M347" s="82">
        <f t="shared" si="163"/>
        <v>0</v>
      </c>
      <c r="N347" s="82">
        <f t="shared" si="164"/>
        <v>0</v>
      </c>
      <c r="O347" s="82">
        <f>N347+'BM 009'!O347</f>
        <v>0</v>
      </c>
      <c r="P347" s="80">
        <f t="shared" si="165"/>
        <v>265</v>
      </c>
      <c r="Q347" s="82">
        <f t="shared" si="166"/>
        <v>335.91</v>
      </c>
      <c r="R347" s="82">
        <f t="shared" si="167"/>
        <v>335.91</v>
      </c>
    </row>
    <row r="348" spans="2:18" s="34" customFormat="1" ht="57.6">
      <c r="B348" s="75" t="s">
        <v>688</v>
      </c>
      <c r="C348" s="88" t="s">
        <v>689</v>
      </c>
      <c r="D348" s="89" t="s">
        <v>131</v>
      </c>
      <c r="E348" s="90">
        <v>16</v>
      </c>
      <c r="F348" s="91"/>
      <c r="G348" s="91"/>
      <c r="H348" s="91"/>
      <c r="I348" s="91">
        <f>SUM(G348:H348)+'BM 009'!I348</f>
        <v>0</v>
      </c>
      <c r="J348" s="91">
        <f t="shared" si="134"/>
        <v>16</v>
      </c>
      <c r="K348" s="80">
        <v>9.8000000000000007</v>
      </c>
      <c r="L348" s="81">
        <f t="shared" si="133"/>
        <v>12.422481078000002</v>
      </c>
      <c r="M348" s="82">
        <f t="shared" si="163"/>
        <v>0</v>
      </c>
      <c r="N348" s="82">
        <f t="shared" si="164"/>
        <v>0</v>
      </c>
      <c r="O348" s="82">
        <f>N348+'BM 009'!O348</f>
        <v>0</v>
      </c>
      <c r="P348" s="80">
        <f t="shared" si="165"/>
        <v>156.80000000000001</v>
      </c>
      <c r="Q348" s="82">
        <f t="shared" si="166"/>
        <v>198.75</v>
      </c>
      <c r="R348" s="82">
        <f t="shared" si="167"/>
        <v>198.75</v>
      </c>
    </row>
    <row r="349" spans="2:18" s="34" customFormat="1" ht="57.6">
      <c r="B349" s="75" t="s">
        <v>690</v>
      </c>
      <c r="C349" s="88" t="s">
        <v>691</v>
      </c>
      <c r="D349" s="89" t="s">
        <v>131</v>
      </c>
      <c r="E349" s="90">
        <v>4</v>
      </c>
      <c r="F349" s="91"/>
      <c r="G349" s="91"/>
      <c r="H349" s="91"/>
      <c r="I349" s="91">
        <f>SUM(G349:H349)+'BM 009'!I349</f>
        <v>0</v>
      </c>
      <c r="J349" s="91">
        <f t="shared" si="134"/>
        <v>4</v>
      </c>
      <c r="K349" s="80">
        <v>12.5</v>
      </c>
      <c r="L349" s="81">
        <f t="shared" ref="L349:L412" si="168">K349*(1+$T$26)</f>
        <v>15.845001375000001</v>
      </c>
      <c r="M349" s="82">
        <f t="shared" si="163"/>
        <v>0</v>
      </c>
      <c r="N349" s="82">
        <f t="shared" si="164"/>
        <v>0</v>
      </c>
      <c r="O349" s="82">
        <f>N349+'BM 009'!O349</f>
        <v>0</v>
      </c>
      <c r="P349" s="80">
        <f t="shared" si="165"/>
        <v>50</v>
      </c>
      <c r="Q349" s="82">
        <f t="shared" si="166"/>
        <v>63.38</v>
      </c>
      <c r="R349" s="82">
        <f t="shared" si="167"/>
        <v>63.38</v>
      </c>
    </row>
    <row r="350" spans="2:18" s="34" customFormat="1" ht="57.6">
      <c r="B350" s="75" t="s">
        <v>692</v>
      </c>
      <c r="C350" s="88" t="s">
        <v>693</v>
      </c>
      <c r="D350" s="89" t="s">
        <v>131</v>
      </c>
      <c r="E350" s="90">
        <v>2</v>
      </c>
      <c r="F350" s="91"/>
      <c r="G350" s="91"/>
      <c r="H350" s="91"/>
      <c r="I350" s="91">
        <f>SUM(G350:H350)+'BM 009'!I350</f>
        <v>0</v>
      </c>
      <c r="J350" s="91">
        <f t="shared" si="134"/>
        <v>2</v>
      </c>
      <c r="K350" s="80">
        <v>28</v>
      </c>
      <c r="L350" s="81">
        <f t="shared" si="168"/>
        <v>35.492803080000002</v>
      </c>
      <c r="M350" s="82">
        <f t="shared" si="163"/>
        <v>0</v>
      </c>
      <c r="N350" s="82">
        <f t="shared" si="164"/>
        <v>0</v>
      </c>
      <c r="O350" s="82">
        <f>N350+'BM 009'!O350</f>
        <v>0</v>
      </c>
      <c r="P350" s="80">
        <f t="shared" si="165"/>
        <v>56</v>
      </c>
      <c r="Q350" s="82">
        <f t="shared" si="166"/>
        <v>70.98</v>
      </c>
      <c r="R350" s="82">
        <f t="shared" si="167"/>
        <v>70.98</v>
      </c>
    </row>
    <row r="351" spans="2:18" s="34" customFormat="1" ht="57.6">
      <c r="B351" s="75" t="s">
        <v>694</v>
      </c>
      <c r="C351" s="88" t="s">
        <v>695</v>
      </c>
      <c r="D351" s="89" t="s">
        <v>131</v>
      </c>
      <c r="E351" s="90">
        <v>30</v>
      </c>
      <c r="F351" s="91"/>
      <c r="G351" s="91"/>
      <c r="H351" s="91"/>
      <c r="I351" s="91">
        <f>SUM(G351:H351)+'BM 009'!I351</f>
        <v>0</v>
      </c>
      <c r="J351" s="91">
        <f t="shared" ref="J351:J414" si="169">E351-I351</f>
        <v>30</v>
      </c>
      <c r="K351" s="80">
        <v>38</v>
      </c>
      <c r="L351" s="81">
        <f t="shared" si="168"/>
        <v>48.168804180000002</v>
      </c>
      <c r="M351" s="82">
        <f t="shared" si="163"/>
        <v>0</v>
      </c>
      <c r="N351" s="82">
        <f t="shared" si="164"/>
        <v>0</v>
      </c>
      <c r="O351" s="82">
        <f>N351+'BM 009'!O351</f>
        <v>0</v>
      </c>
      <c r="P351" s="80">
        <f t="shared" si="165"/>
        <v>1140</v>
      </c>
      <c r="Q351" s="82">
        <f t="shared" si="166"/>
        <v>1445.06</v>
      </c>
      <c r="R351" s="82">
        <f t="shared" si="167"/>
        <v>1445.06</v>
      </c>
    </row>
    <row r="352" spans="2:18" s="34" customFormat="1" ht="46.2">
      <c r="B352" s="75" t="s">
        <v>696</v>
      </c>
      <c r="C352" s="88" t="s">
        <v>697</v>
      </c>
      <c r="D352" s="89" t="s">
        <v>131</v>
      </c>
      <c r="E352" s="90">
        <v>320</v>
      </c>
      <c r="F352" s="91"/>
      <c r="G352" s="91"/>
      <c r="H352" s="91"/>
      <c r="I352" s="91">
        <f>SUM(G352:H352)+'BM 009'!I352</f>
        <v>0</v>
      </c>
      <c r="J352" s="91">
        <f t="shared" si="169"/>
        <v>320</v>
      </c>
      <c r="K352" s="80">
        <v>5.33</v>
      </c>
      <c r="L352" s="81">
        <f t="shared" si="168"/>
        <v>6.7563085863000003</v>
      </c>
      <c r="M352" s="82">
        <f t="shared" si="163"/>
        <v>0</v>
      </c>
      <c r="N352" s="82">
        <f t="shared" si="164"/>
        <v>0</v>
      </c>
      <c r="O352" s="82">
        <f>N352+'BM 009'!O352</f>
        <v>0</v>
      </c>
      <c r="P352" s="80">
        <f t="shared" si="165"/>
        <v>1705.6</v>
      </c>
      <c r="Q352" s="82">
        <f t="shared" si="166"/>
        <v>2162.0100000000002</v>
      </c>
      <c r="R352" s="82">
        <f t="shared" si="167"/>
        <v>2162.0100000000002</v>
      </c>
    </row>
    <row r="353" spans="2:18" s="34" customFormat="1" ht="23.4">
      <c r="B353" s="75" t="s">
        <v>698</v>
      </c>
      <c r="C353" s="88" t="s">
        <v>699</v>
      </c>
      <c r="D353" s="89" t="s">
        <v>131</v>
      </c>
      <c r="E353" s="90">
        <v>12</v>
      </c>
      <c r="F353" s="91"/>
      <c r="G353" s="91"/>
      <c r="H353" s="91"/>
      <c r="I353" s="91">
        <f>SUM(G353:H353)+'BM 009'!I353</f>
        <v>0</v>
      </c>
      <c r="J353" s="91">
        <f t="shared" si="169"/>
        <v>12</v>
      </c>
      <c r="K353" s="80">
        <v>4.92</v>
      </c>
      <c r="L353" s="81">
        <f t="shared" si="168"/>
        <v>6.2365925412000003</v>
      </c>
      <c r="M353" s="82">
        <f t="shared" si="163"/>
        <v>0</v>
      </c>
      <c r="N353" s="82">
        <f t="shared" si="164"/>
        <v>0</v>
      </c>
      <c r="O353" s="82">
        <f>N353+'BM 009'!O353</f>
        <v>0</v>
      </c>
      <c r="P353" s="80">
        <f t="shared" si="165"/>
        <v>59.04</v>
      </c>
      <c r="Q353" s="82">
        <f t="shared" si="166"/>
        <v>74.83</v>
      </c>
      <c r="R353" s="82">
        <f t="shared" si="167"/>
        <v>74.83</v>
      </c>
    </row>
    <row r="354" spans="2:18" s="34" customFormat="1" ht="23.4">
      <c r="B354" s="75" t="s">
        <v>700</v>
      </c>
      <c r="C354" s="88" t="s">
        <v>701</v>
      </c>
      <c r="D354" s="89" t="s">
        <v>131</v>
      </c>
      <c r="E354" s="90">
        <v>1</v>
      </c>
      <c r="F354" s="91"/>
      <c r="G354" s="91"/>
      <c r="H354" s="91"/>
      <c r="I354" s="91">
        <f>SUM(G354:H354)+'BM 009'!I354</f>
        <v>0</v>
      </c>
      <c r="J354" s="91">
        <f t="shared" si="169"/>
        <v>1</v>
      </c>
      <c r="K354" s="80">
        <v>5.49</v>
      </c>
      <c r="L354" s="81">
        <f t="shared" si="168"/>
        <v>6.9591246039000003</v>
      </c>
      <c r="M354" s="82">
        <f t="shared" si="163"/>
        <v>0</v>
      </c>
      <c r="N354" s="82">
        <f t="shared" si="164"/>
        <v>0</v>
      </c>
      <c r="O354" s="82">
        <f>N354+'BM 009'!O354</f>
        <v>0</v>
      </c>
      <c r="P354" s="80">
        <f t="shared" si="165"/>
        <v>5.49</v>
      </c>
      <c r="Q354" s="82">
        <f t="shared" si="166"/>
        <v>6.95</v>
      </c>
      <c r="R354" s="82">
        <f t="shared" si="167"/>
        <v>6.95</v>
      </c>
    </row>
    <row r="355" spans="2:18" s="34" customFormat="1" ht="23.4">
      <c r="B355" s="75" t="s">
        <v>702</v>
      </c>
      <c r="C355" s="88" t="s">
        <v>703</v>
      </c>
      <c r="D355" s="89" t="s">
        <v>131</v>
      </c>
      <c r="E355" s="90">
        <v>1</v>
      </c>
      <c r="F355" s="91"/>
      <c r="G355" s="91"/>
      <c r="H355" s="91"/>
      <c r="I355" s="91">
        <f>SUM(G355:H355)+'BM 009'!I355</f>
        <v>0</v>
      </c>
      <c r="J355" s="91">
        <f t="shared" si="169"/>
        <v>1</v>
      </c>
      <c r="K355" s="80">
        <v>8.5</v>
      </c>
      <c r="L355" s="81">
        <f t="shared" si="168"/>
        <v>10.774600935</v>
      </c>
      <c r="M355" s="82">
        <f t="shared" si="163"/>
        <v>0</v>
      </c>
      <c r="N355" s="82">
        <f t="shared" si="164"/>
        <v>0</v>
      </c>
      <c r="O355" s="82">
        <f>N355+'BM 009'!O355</f>
        <v>0</v>
      </c>
      <c r="P355" s="80">
        <f t="shared" si="165"/>
        <v>8.5</v>
      </c>
      <c r="Q355" s="82">
        <f t="shared" si="166"/>
        <v>10.77</v>
      </c>
      <c r="R355" s="82">
        <f t="shared" si="167"/>
        <v>10.77</v>
      </c>
    </row>
    <row r="356" spans="2:18" s="34" customFormat="1" ht="23.4">
      <c r="B356" s="75" t="s">
        <v>704</v>
      </c>
      <c r="C356" s="88" t="s">
        <v>705</v>
      </c>
      <c r="D356" s="89" t="s">
        <v>131</v>
      </c>
      <c r="E356" s="90">
        <v>1</v>
      </c>
      <c r="F356" s="91"/>
      <c r="G356" s="91"/>
      <c r="H356" s="91"/>
      <c r="I356" s="91">
        <f>SUM(G356:H356)+'BM 009'!I356</f>
        <v>0</v>
      </c>
      <c r="J356" s="91">
        <f t="shared" si="169"/>
        <v>1</v>
      </c>
      <c r="K356" s="80">
        <v>14.47</v>
      </c>
      <c r="L356" s="81">
        <f t="shared" si="168"/>
        <v>18.3421735917</v>
      </c>
      <c r="M356" s="82">
        <f t="shared" si="163"/>
        <v>0</v>
      </c>
      <c r="N356" s="82">
        <f t="shared" si="164"/>
        <v>0</v>
      </c>
      <c r="O356" s="82">
        <f>N356+'BM 009'!O356</f>
        <v>0</v>
      </c>
      <c r="P356" s="80">
        <f t="shared" si="165"/>
        <v>14.47</v>
      </c>
      <c r="Q356" s="82">
        <f t="shared" si="166"/>
        <v>18.34</v>
      </c>
      <c r="R356" s="82">
        <f t="shared" si="167"/>
        <v>18.34</v>
      </c>
    </row>
    <row r="357" spans="2:18" s="34" customFormat="1" ht="23.4">
      <c r="B357" s="75" t="s">
        <v>706</v>
      </c>
      <c r="C357" s="88" t="s">
        <v>707</v>
      </c>
      <c r="D357" s="89" t="s">
        <v>131</v>
      </c>
      <c r="E357" s="90">
        <v>4</v>
      </c>
      <c r="F357" s="91"/>
      <c r="G357" s="91"/>
      <c r="H357" s="91"/>
      <c r="I357" s="91">
        <f>SUM(G357:H357)+'BM 009'!I357</f>
        <v>0</v>
      </c>
      <c r="J357" s="91">
        <f t="shared" si="169"/>
        <v>4</v>
      </c>
      <c r="K357" s="80">
        <v>31.9</v>
      </c>
      <c r="L357" s="81">
        <f t="shared" si="168"/>
        <v>40.436443509</v>
      </c>
      <c r="M357" s="82">
        <f t="shared" si="163"/>
        <v>0</v>
      </c>
      <c r="N357" s="82">
        <f t="shared" si="164"/>
        <v>0</v>
      </c>
      <c r="O357" s="82">
        <f>N357+'BM 009'!O357</f>
        <v>0</v>
      </c>
      <c r="P357" s="80">
        <f t="shared" si="165"/>
        <v>127.6</v>
      </c>
      <c r="Q357" s="82">
        <f t="shared" si="166"/>
        <v>161.74</v>
      </c>
      <c r="R357" s="82">
        <f t="shared" si="167"/>
        <v>161.74</v>
      </c>
    </row>
    <row r="358" spans="2:18" s="34" customFormat="1" ht="23.4">
      <c r="B358" s="75" t="s">
        <v>708</v>
      </c>
      <c r="C358" s="88" t="s">
        <v>709</v>
      </c>
      <c r="D358" s="89" t="s">
        <v>131</v>
      </c>
      <c r="E358" s="90">
        <v>1</v>
      </c>
      <c r="F358" s="91"/>
      <c r="G358" s="91"/>
      <c r="H358" s="91"/>
      <c r="I358" s="91">
        <f>SUM(G358:H358)+'BM 009'!I358</f>
        <v>0</v>
      </c>
      <c r="J358" s="91">
        <f t="shared" si="169"/>
        <v>1</v>
      </c>
      <c r="K358" s="80">
        <v>11.22</v>
      </c>
      <c r="L358" s="81">
        <f t="shared" si="168"/>
        <v>14.222473234200001</v>
      </c>
      <c r="M358" s="82">
        <f t="shared" si="163"/>
        <v>0</v>
      </c>
      <c r="N358" s="82">
        <f t="shared" si="164"/>
        <v>0</v>
      </c>
      <c r="O358" s="82">
        <f>N358+'BM 009'!O358</f>
        <v>0</v>
      </c>
      <c r="P358" s="80">
        <f t="shared" si="165"/>
        <v>11.22</v>
      </c>
      <c r="Q358" s="82">
        <f t="shared" si="166"/>
        <v>14.22</v>
      </c>
      <c r="R358" s="82">
        <f t="shared" si="167"/>
        <v>14.22</v>
      </c>
    </row>
    <row r="359" spans="2:18" s="34" customFormat="1" ht="23.4">
      <c r="B359" s="75" t="s">
        <v>710</v>
      </c>
      <c r="C359" s="88" t="s">
        <v>711</v>
      </c>
      <c r="D359" s="89" t="s">
        <v>131</v>
      </c>
      <c r="E359" s="90">
        <v>57</v>
      </c>
      <c r="F359" s="91"/>
      <c r="G359" s="91"/>
      <c r="H359" s="91"/>
      <c r="I359" s="91">
        <f>SUM(G359:H359)+'BM 009'!I359</f>
        <v>0</v>
      </c>
      <c r="J359" s="91">
        <f t="shared" si="169"/>
        <v>57</v>
      </c>
      <c r="K359" s="80">
        <v>14.54</v>
      </c>
      <c r="L359" s="81">
        <f t="shared" si="168"/>
        <v>18.430905599399999</v>
      </c>
      <c r="M359" s="82">
        <f t="shared" si="163"/>
        <v>0</v>
      </c>
      <c r="N359" s="82">
        <f t="shared" si="164"/>
        <v>0</v>
      </c>
      <c r="O359" s="82">
        <f>N359+'BM 009'!O359</f>
        <v>0</v>
      </c>
      <c r="P359" s="80">
        <f t="shared" si="165"/>
        <v>828.78</v>
      </c>
      <c r="Q359" s="82">
        <f t="shared" si="166"/>
        <v>1050.56</v>
      </c>
      <c r="R359" s="82">
        <f t="shared" si="167"/>
        <v>1050.56</v>
      </c>
    </row>
    <row r="360" spans="2:18" s="34" customFormat="1" ht="23.4">
      <c r="B360" s="75" t="s">
        <v>712</v>
      </c>
      <c r="C360" s="88" t="s">
        <v>713</v>
      </c>
      <c r="D360" s="89" t="s">
        <v>131</v>
      </c>
      <c r="E360" s="90">
        <v>1</v>
      </c>
      <c r="F360" s="91"/>
      <c r="G360" s="91"/>
      <c r="H360" s="91"/>
      <c r="I360" s="91">
        <f>SUM(G360:H360)+'BM 009'!I360</f>
        <v>0</v>
      </c>
      <c r="J360" s="91">
        <f t="shared" si="169"/>
        <v>1</v>
      </c>
      <c r="K360" s="80">
        <v>16.8</v>
      </c>
      <c r="L360" s="81">
        <f t="shared" si="168"/>
        <v>21.295681848000001</v>
      </c>
      <c r="M360" s="82">
        <f t="shared" si="163"/>
        <v>0</v>
      </c>
      <c r="N360" s="82">
        <f t="shared" si="164"/>
        <v>0</v>
      </c>
      <c r="O360" s="82">
        <f>N360+'BM 009'!O360</f>
        <v>0</v>
      </c>
      <c r="P360" s="80">
        <f t="shared" si="165"/>
        <v>16.8</v>
      </c>
      <c r="Q360" s="82">
        <f t="shared" si="166"/>
        <v>21.29</v>
      </c>
      <c r="R360" s="82">
        <f t="shared" si="167"/>
        <v>21.29</v>
      </c>
    </row>
    <row r="361" spans="2:18" s="34" customFormat="1" ht="46.2">
      <c r="B361" s="75" t="s">
        <v>714</v>
      </c>
      <c r="C361" s="88" t="s">
        <v>715</v>
      </c>
      <c r="D361" s="89" t="s">
        <v>131</v>
      </c>
      <c r="E361" s="90">
        <v>1</v>
      </c>
      <c r="F361" s="91"/>
      <c r="G361" s="91"/>
      <c r="H361" s="91"/>
      <c r="I361" s="91">
        <f>SUM(G361:H361)+'BM 009'!I361</f>
        <v>0</v>
      </c>
      <c r="J361" s="91">
        <f t="shared" si="169"/>
        <v>1</v>
      </c>
      <c r="K361" s="80">
        <v>25</v>
      </c>
      <c r="L361" s="81">
        <f t="shared" si="168"/>
        <v>31.690002750000001</v>
      </c>
      <c r="M361" s="82">
        <f t="shared" si="163"/>
        <v>0</v>
      </c>
      <c r="N361" s="82">
        <f t="shared" si="164"/>
        <v>0</v>
      </c>
      <c r="O361" s="82">
        <f>N361+'BM 009'!O361</f>
        <v>0</v>
      </c>
      <c r="P361" s="80">
        <f t="shared" si="165"/>
        <v>25</v>
      </c>
      <c r="Q361" s="82">
        <f t="shared" si="166"/>
        <v>31.69</v>
      </c>
      <c r="R361" s="82">
        <f t="shared" si="167"/>
        <v>31.69</v>
      </c>
    </row>
    <row r="362" spans="2:18" s="34" customFormat="1" ht="34.799999999999997">
      <c r="B362" s="75" t="s">
        <v>716</v>
      </c>
      <c r="C362" s="88" t="s">
        <v>717</v>
      </c>
      <c r="D362" s="89" t="s">
        <v>131</v>
      </c>
      <c r="E362" s="90">
        <v>24</v>
      </c>
      <c r="F362" s="91"/>
      <c r="G362" s="91"/>
      <c r="H362" s="91"/>
      <c r="I362" s="91">
        <f>SUM(G362:H362)+'BM 009'!I362</f>
        <v>0</v>
      </c>
      <c r="J362" s="91">
        <f t="shared" si="169"/>
        <v>24</v>
      </c>
      <c r="K362" s="80">
        <v>5.37</v>
      </c>
      <c r="L362" s="81">
        <f t="shared" si="168"/>
        <v>6.8070125907000003</v>
      </c>
      <c r="M362" s="82">
        <f t="shared" si="163"/>
        <v>0</v>
      </c>
      <c r="N362" s="82">
        <f t="shared" si="164"/>
        <v>0</v>
      </c>
      <c r="O362" s="82">
        <f>N362+'BM 009'!O362</f>
        <v>0</v>
      </c>
      <c r="P362" s="80">
        <f t="shared" si="165"/>
        <v>128.88</v>
      </c>
      <c r="Q362" s="82">
        <f t="shared" si="166"/>
        <v>163.36000000000001</v>
      </c>
      <c r="R362" s="82">
        <f t="shared" si="167"/>
        <v>163.36000000000001</v>
      </c>
    </row>
    <row r="363" spans="2:18" s="34" customFormat="1" ht="34.799999999999997">
      <c r="B363" s="75" t="s">
        <v>718</v>
      </c>
      <c r="C363" s="88" t="s">
        <v>719</v>
      </c>
      <c r="D363" s="89" t="s">
        <v>131</v>
      </c>
      <c r="E363" s="90">
        <v>2</v>
      </c>
      <c r="F363" s="91"/>
      <c r="G363" s="91"/>
      <c r="H363" s="91"/>
      <c r="I363" s="91">
        <f>SUM(G363:H363)+'BM 009'!I363</f>
        <v>0</v>
      </c>
      <c r="J363" s="91">
        <f t="shared" si="169"/>
        <v>2</v>
      </c>
      <c r="K363" s="80">
        <v>8.76</v>
      </c>
      <c r="L363" s="81">
        <f t="shared" si="168"/>
        <v>11.104176963600001</v>
      </c>
      <c r="M363" s="82">
        <f t="shared" si="163"/>
        <v>0</v>
      </c>
      <c r="N363" s="82">
        <f t="shared" si="164"/>
        <v>0</v>
      </c>
      <c r="O363" s="82">
        <f>N363+'BM 009'!O363</f>
        <v>0</v>
      </c>
      <c r="P363" s="80">
        <f t="shared" si="165"/>
        <v>17.52</v>
      </c>
      <c r="Q363" s="82">
        <f t="shared" si="166"/>
        <v>22.2</v>
      </c>
      <c r="R363" s="82">
        <f t="shared" si="167"/>
        <v>22.2</v>
      </c>
    </row>
    <row r="364" spans="2:18" s="34" customFormat="1" ht="34.799999999999997">
      <c r="B364" s="75" t="s">
        <v>720</v>
      </c>
      <c r="C364" s="88" t="s">
        <v>721</v>
      </c>
      <c r="D364" s="89" t="s">
        <v>131</v>
      </c>
      <c r="E364" s="90">
        <v>4</v>
      </c>
      <c r="F364" s="91"/>
      <c r="G364" s="91"/>
      <c r="H364" s="91"/>
      <c r="I364" s="91">
        <f>SUM(G364:H364)+'BM 009'!I364</f>
        <v>0</v>
      </c>
      <c r="J364" s="91">
        <f t="shared" si="169"/>
        <v>4</v>
      </c>
      <c r="K364" s="80">
        <v>11.55</v>
      </c>
      <c r="L364" s="81">
        <f t="shared" si="168"/>
        <v>14.640781270500002</v>
      </c>
      <c r="M364" s="82">
        <f t="shared" si="163"/>
        <v>0</v>
      </c>
      <c r="N364" s="82">
        <f t="shared" si="164"/>
        <v>0</v>
      </c>
      <c r="O364" s="82">
        <f>N364+'BM 009'!O364</f>
        <v>0</v>
      </c>
      <c r="P364" s="80">
        <f t="shared" si="165"/>
        <v>46.2</v>
      </c>
      <c r="Q364" s="82">
        <f t="shared" si="166"/>
        <v>58.56</v>
      </c>
      <c r="R364" s="82">
        <f t="shared" si="167"/>
        <v>58.56</v>
      </c>
    </row>
    <row r="365" spans="2:18" s="34" customFormat="1" ht="34.799999999999997">
      <c r="B365" s="75" t="s">
        <v>722</v>
      </c>
      <c r="C365" s="88" t="s">
        <v>723</v>
      </c>
      <c r="D365" s="89" t="s">
        <v>131</v>
      </c>
      <c r="E365" s="90">
        <v>2</v>
      </c>
      <c r="F365" s="91"/>
      <c r="G365" s="91"/>
      <c r="H365" s="91"/>
      <c r="I365" s="91">
        <f>SUM(G365:H365)+'BM 009'!I365</f>
        <v>0</v>
      </c>
      <c r="J365" s="91">
        <f t="shared" si="169"/>
        <v>2</v>
      </c>
      <c r="K365" s="80">
        <v>34.32</v>
      </c>
      <c r="L365" s="81">
        <f t="shared" si="168"/>
        <v>43.504035775200002</v>
      </c>
      <c r="M365" s="82">
        <f t="shared" si="163"/>
        <v>0</v>
      </c>
      <c r="N365" s="82">
        <f t="shared" si="164"/>
        <v>0</v>
      </c>
      <c r="O365" s="82">
        <f>N365+'BM 009'!O365</f>
        <v>0</v>
      </c>
      <c r="P365" s="80">
        <f t="shared" si="165"/>
        <v>68.64</v>
      </c>
      <c r="Q365" s="82">
        <f t="shared" si="166"/>
        <v>87</v>
      </c>
      <c r="R365" s="82">
        <f t="shared" si="167"/>
        <v>87</v>
      </c>
    </row>
    <row r="366" spans="2:18" s="34" customFormat="1" ht="34.799999999999997">
      <c r="B366" s="75" t="s">
        <v>724</v>
      </c>
      <c r="C366" s="88" t="s">
        <v>725</v>
      </c>
      <c r="D366" s="89" t="s">
        <v>131</v>
      </c>
      <c r="E366" s="90">
        <v>3</v>
      </c>
      <c r="F366" s="91"/>
      <c r="G366" s="91"/>
      <c r="H366" s="91"/>
      <c r="I366" s="91">
        <f>SUM(G366:H366)+'BM 009'!I366</f>
        <v>0</v>
      </c>
      <c r="J366" s="91">
        <f t="shared" si="169"/>
        <v>3</v>
      </c>
      <c r="K366" s="80">
        <v>71.75</v>
      </c>
      <c r="L366" s="81">
        <f t="shared" si="168"/>
        <v>90.950307892500007</v>
      </c>
      <c r="M366" s="82">
        <f t="shared" si="163"/>
        <v>0</v>
      </c>
      <c r="N366" s="82">
        <f t="shared" si="164"/>
        <v>0</v>
      </c>
      <c r="O366" s="82">
        <f>N366+'BM 009'!O366</f>
        <v>0</v>
      </c>
      <c r="P366" s="80">
        <f t="shared" si="165"/>
        <v>215.25</v>
      </c>
      <c r="Q366" s="82">
        <f t="shared" si="166"/>
        <v>272.85000000000002</v>
      </c>
      <c r="R366" s="82">
        <f t="shared" si="167"/>
        <v>272.85000000000002</v>
      </c>
    </row>
    <row r="367" spans="2:18" s="34" customFormat="1" ht="46.2">
      <c r="B367" s="75" t="s">
        <v>726</v>
      </c>
      <c r="C367" s="88" t="s">
        <v>727</v>
      </c>
      <c r="D367" s="89" t="s">
        <v>131</v>
      </c>
      <c r="E367" s="90">
        <v>1</v>
      </c>
      <c r="F367" s="91"/>
      <c r="G367" s="91"/>
      <c r="H367" s="91"/>
      <c r="I367" s="91">
        <f>SUM(G367:H367)+'BM 009'!I367</f>
        <v>0</v>
      </c>
      <c r="J367" s="91">
        <f t="shared" si="169"/>
        <v>1</v>
      </c>
      <c r="K367" s="80">
        <v>14.38</v>
      </c>
      <c r="L367" s="81">
        <f t="shared" si="168"/>
        <v>18.228089581800003</v>
      </c>
      <c r="M367" s="82">
        <f t="shared" si="163"/>
        <v>0</v>
      </c>
      <c r="N367" s="82">
        <f t="shared" si="164"/>
        <v>0</v>
      </c>
      <c r="O367" s="82">
        <f>N367+'BM 009'!O367</f>
        <v>0</v>
      </c>
      <c r="P367" s="80">
        <f t="shared" si="165"/>
        <v>14.38</v>
      </c>
      <c r="Q367" s="82">
        <f t="shared" si="166"/>
        <v>18.22</v>
      </c>
      <c r="R367" s="82">
        <f t="shared" si="167"/>
        <v>18.22</v>
      </c>
    </row>
    <row r="368" spans="2:18" s="34" customFormat="1" ht="23.4">
      <c r="B368" s="75" t="s">
        <v>728</v>
      </c>
      <c r="C368" s="88" t="s">
        <v>729</v>
      </c>
      <c r="D368" s="89" t="s">
        <v>131</v>
      </c>
      <c r="E368" s="90">
        <v>22</v>
      </c>
      <c r="F368" s="91"/>
      <c r="G368" s="91"/>
      <c r="H368" s="91"/>
      <c r="I368" s="91">
        <f>SUM(G368:H368)+'BM 009'!I368</f>
        <v>0</v>
      </c>
      <c r="J368" s="91">
        <f t="shared" si="169"/>
        <v>22</v>
      </c>
      <c r="K368" s="80">
        <v>14.99</v>
      </c>
      <c r="L368" s="81">
        <f t="shared" si="168"/>
        <v>19.0013256489</v>
      </c>
      <c r="M368" s="82">
        <f t="shared" si="163"/>
        <v>0</v>
      </c>
      <c r="N368" s="82">
        <f t="shared" si="164"/>
        <v>0</v>
      </c>
      <c r="O368" s="82">
        <f>N368+'BM 009'!O368</f>
        <v>0</v>
      </c>
      <c r="P368" s="80">
        <f t="shared" si="165"/>
        <v>329.78000000000003</v>
      </c>
      <c r="Q368" s="82">
        <f t="shared" si="166"/>
        <v>418.02</v>
      </c>
      <c r="R368" s="82">
        <f t="shared" si="167"/>
        <v>418.02</v>
      </c>
    </row>
    <row r="369" spans="2:18" s="34" customFormat="1" ht="23.4">
      <c r="B369" s="75" t="s">
        <v>730</v>
      </c>
      <c r="C369" s="88" t="s">
        <v>731</v>
      </c>
      <c r="D369" s="89" t="s">
        <v>131</v>
      </c>
      <c r="E369" s="90">
        <v>289</v>
      </c>
      <c r="F369" s="91"/>
      <c r="G369" s="91"/>
      <c r="H369" s="91"/>
      <c r="I369" s="91">
        <f>SUM(G369:H369)+'BM 009'!I369</f>
        <v>0</v>
      </c>
      <c r="J369" s="91">
        <f t="shared" si="169"/>
        <v>289</v>
      </c>
      <c r="K369" s="80">
        <v>13.04</v>
      </c>
      <c r="L369" s="81">
        <f t="shared" si="168"/>
        <v>16.529505434400001</v>
      </c>
      <c r="M369" s="82">
        <f t="shared" si="163"/>
        <v>0</v>
      </c>
      <c r="N369" s="82">
        <f t="shared" si="164"/>
        <v>0</v>
      </c>
      <c r="O369" s="82">
        <f>N369+'BM 009'!O369</f>
        <v>0</v>
      </c>
      <c r="P369" s="80">
        <f t="shared" si="165"/>
        <v>3768.56</v>
      </c>
      <c r="Q369" s="82">
        <f t="shared" si="166"/>
        <v>4777.0200000000004</v>
      </c>
      <c r="R369" s="82">
        <f t="shared" si="167"/>
        <v>4777.0200000000004</v>
      </c>
    </row>
    <row r="370" spans="2:18" s="34" customFormat="1" ht="34.799999999999997">
      <c r="B370" s="75" t="s">
        <v>732</v>
      </c>
      <c r="C370" s="88" t="s">
        <v>733</v>
      </c>
      <c r="D370" s="89" t="s">
        <v>131</v>
      </c>
      <c r="E370" s="90">
        <v>7</v>
      </c>
      <c r="F370" s="91"/>
      <c r="G370" s="91"/>
      <c r="H370" s="91"/>
      <c r="I370" s="91">
        <f>SUM(G370:H370)+'BM 009'!I370</f>
        <v>0</v>
      </c>
      <c r="J370" s="91">
        <f t="shared" si="169"/>
        <v>7</v>
      </c>
      <c r="K370" s="80">
        <v>3.95</v>
      </c>
      <c r="L370" s="81">
        <f t="shared" si="168"/>
        <v>5.0070204345000002</v>
      </c>
      <c r="M370" s="82">
        <f t="shared" ref="M370:M394" si="170">TRUNC(F370*L370,2)</f>
        <v>0</v>
      </c>
      <c r="N370" s="82">
        <f t="shared" ref="N370:N394" si="171">TRUNC(G370*L370,2)</f>
        <v>0</v>
      </c>
      <c r="O370" s="82">
        <f>N370+'BM 009'!O370</f>
        <v>0</v>
      </c>
      <c r="P370" s="80">
        <f t="shared" ref="P370:P394" si="172">E370*K370</f>
        <v>27.650000000000002</v>
      </c>
      <c r="Q370" s="82">
        <f t="shared" ref="Q370:Q394" si="173">TRUNC(E370*L370,2)</f>
        <v>35.04</v>
      </c>
      <c r="R370" s="82">
        <f t="shared" ref="R370:R394" si="174">Q370-O370</f>
        <v>35.04</v>
      </c>
    </row>
    <row r="371" spans="2:18" s="34" customFormat="1" ht="34.799999999999997">
      <c r="B371" s="75" t="s">
        <v>734</v>
      </c>
      <c r="C371" s="88" t="s">
        <v>735</v>
      </c>
      <c r="D371" s="89" t="s">
        <v>131</v>
      </c>
      <c r="E371" s="90">
        <v>270</v>
      </c>
      <c r="F371" s="91"/>
      <c r="G371" s="91"/>
      <c r="H371" s="91"/>
      <c r="I371" s="91">
        <f>SUM(G371:H371)+'BM 009'!I371</f>
        <v>0</v>
      </c>
      <c r="J371" s="91">
        <f t="shared" si="169"/>
        <v>270</v>
      </c>
      <c r="K371" s="80">
        <v>4.67</v>
      </c>
      <c r="L371" s="81">
        <f t="shared" si="168"/>
        <v>5.9196925137000003</v>
      </c>
      <c r="M371" s="82">
        <f t="shared" si="170"/>
        <v>0</v>
      </c>
      <c r="N371" s="82">
        <f t="shared" si="171"/>
        <v>0</v>
      </c>
      <c r="O371" s="82">
        <f>N371+'BM 009'!O371</f>
        <v>0</v>
      </c>
      <c r="P371" s="80">
        <f t="shared" si="172"/>
        <v>1260.9000000000001</v>
      </c>
      <c r="Q371" s="82">
        <f t="shared" si="173"/>
        <v>1598.31</v>
      </c>
      <c r="R371" s="82">
        <f t="shared" si="174"/>
        <v>1598.31</v>
      </c>
    </row>
    <row r="372" spans="2:18" s="34" customFormat="1" ht="34.799999999999997">
      <c r="B372" s="75" t="s">
        <v>736</v>
      </c>
      <c r="C372" s="88" t="s">
        <v>737</v>
      </c>
      <c r="D372" s="89" t="s">
        <v>131</v>
      </c>
      <c r="E372" s="90">
        <v>3</v>
      </c>
      <c r="F372" s="91"/>
      <c r="G372" s="91"/>
      <c r="H372" s="91"/>
      <c r="I372" s="91">
        <f>SUM(G372:H372)+'BM 009'!I372</f>
        <v>0</v>
      </c>
      <c r="J372" s="91">
        <f t="shared" si="169"/>
        <v>3</v>
      </c>
      <c r="K372" s="80">
        <v>7.2</v>
      </c>
      <c r="L372" s="81">
        <f t="shared" si="168"/>
        <v>9.1267207920000004</v>
      </c>
      <c r="M372" s="82">
        <f t="shared" si="170"/>
        <v>0</v>
      </c>
      <c r="N372" s="82">
        <f t="shared" si="171"/>
        <v>0</v>
      </c>
      <c r="O372" s="82">
        <f>N372+'BM 009'!O372</f>
        <v>0</v>
      </c>
      <c r="P372" s="80">
        <f t="shared" si="172"/>
        <v>21.6</v>
      </c>
      <c r="Q372" s="82">
        <f t="shared" si="173"/>
        <v>27.38</v>
      </c>
      <c r="R372" s="82">
        <f t="shared" si="174"/>
        <v>27.38</v>
      </c>
    </row>
    <row r="373" spans="2:18" s="34" customFormat="1" ht="34.799999999999997">
      <c r="B373" s="75" t="s">
        <v>738</v>
      </c>
      <c r="C373" s="76" t="s">
        <v>739</v>
      </c>
      <c r="D373" s="77" t="s">
        <v>131</v>
      </c>
      <c r="E373" s="93">
        <v>128</v>
      </c>
      <c r="F373" s="79"/>
      <c r="G373" s="79"/>
      <c r="H373" s="79"/>
      <c r="I373" s="79">
        <f>SUM(G373:H373)+'BM 009'!I373</f>
        <v>0</v>
      </c>
      <c r="J373" s="79">
        <f t="shared" si="169"/>
        <v>128</v>
      </c>
      <c r="K373" s="80">
        <v>11.5</v>
      </c>
      <c r="L373" s="81">
        <f t="shared" si="168"/>
        <v>14.577401265000001</v>
      </c>
      <c r="M373" s="82">
        <f t="shared" si="170"/>
        <v>0</v>
      </c>
      <c r="N373" s="82">
        <f t="shared" si="171"/>
        <v>0</v>
      </c>
      <c r="O373" s="82">
        <f>N373+'BM 009'!O373</f>
        <v>0</v>
      </c>
      <c r="P373" s="80">
        <f t="shared" si="172"/>
        <v>1472</v>
      </c>
      <c r="Q373" s="82">
        <f t="shared" si="173"/>
        <v>1865.9</v>
      </c>
      <c r="R373" s="82">
        <f t="shared" si="174"/>
        <v>1865.9</v>
      </c>
    </row>
    <row r="374" spans="2:18" s="34" customFormat="1" ht="34.799999999999997">
      <c r="B374" s="75" t="s">
        <v>740</v>
      </c>
      <c r="C374" s="76" t="s">
        <v>741</v>
      </c>
      <c r="D374" s="77" t="s">
        <v>131</v>
      </c>
      <c r="E374" s="93">
        <v>4</v>
      </c>
      <c r="F374" s="79"/>
      <c r="G374" s="79"/>
      <c r="H374" s="79"/>
      <c r="I374" s="79">
        <f>SUM(G374:H374)+'BM 009'!I374</f>
        <v>0</v>
      </c>
      <c r="J374" s="79">
        <f t="shared" si="169"/>
        <v>4</v>
      </c>
      <c r="K374" s="80">
        <v>12.42</v>
      </c>
      <c r="L374" s="81">
        <f t="shared" si="168"/>
        <v>15.743593366200001</v>
      </c>
      <c r="M374" s="82">
        <f t="shared" si="170"/>
        <v>0</v>
      </c>
      <c r="N374" s="82">
        <f t="shared" si="171"/>
        <v>0</v>
      </c>
      <c r="O374" s="82">
        <f>N374+'BM 009'!O374</f>
        <v>0</v>
      </c>
      <c r="P374" s="80">
        <f t="shared" si="172"/>
        <v>49.68</v>
      </c>
      <c r="Q374" s="82">
        <f t="shared" si="173"/>
        <v>62.97</v>
      </c>
      <c r="R374" s="82">
        <f t="shared" si="174"/>
        <v>62.97</v>
      </c>
    </row>
    <row r="375" spans="2:18" s="34" customFormat="1" ht="34.799999999999997">
      <c r="B375" s="75" t="s">
        <v>742</v>
      </c>
      <c r="C375" s="76" t="s">
        <v>743</v>
      </c>
      <c r="D375" s="77" t="s">
        <v>131</v>
      </c>
      <c r="E375" s="93">
        <v>31</v>
      </c>
      <c r="F375" s="79"/>
      <c r="G375" s="79"/>
      <c r="H375" s="79"/>
      <c r="I375" s="79">
        <f>SUM(G375:H375)+'BM 009'!I375</f>
        <v>0</v>
      </c>
      <c r="J375" s="79">
        <f t="shared" si="169"/>
        <v>31</v>
      </c>
      <c r="K375" s="80">
        <v>35.909999999999997</v>
      </c>
      <c r="L375" s="81">
        <f t="shared" si="168"/>
        <v>45.519519950099998</v>
      </c>
      <c r="M375" s="82">
        <f t="shared" si="170"/>
        <v>0</v>
      </c>
      <c r="N375" s="82">
        <f t="shared" si="171"/>
        <v>0</v>
      </c>
      <c r="O375" s="82">
        <f>N375+'BM 009'!O375</f>
        <v>0</v>
      </c>
      <c r="P375" s="80">
        <f t="shared" si="172"/>
        <v>1113.2099999999998</v>
      </c>
      <c r="Q375" s="82">
        <f t="shared" si="173"/>
        <v>1411.1</v>
      </c>
      <c r="R375" s="82">
        <f t="shared" si="174"/>
        <v>1411.1</v>
      </c>
    </row>
    <row r="376" spans="2:18" s="34" customFormat="1" ht="46.2">
      <c r="B376" s="75" t="s">
        <v>744</v>
      </c>
      <c r="C376" s="76" t="s">
        <v>745</v>
      </c>
      <c r="D376" s="77" t="s">
        <v>131</v>
      </c>
      <c r="E376" s="93">
        <v>20</v>
      </c>
      <c r="F376" s="79"/>
      <c r="G376" s="79"/>
      <c r="H376" s="79"/>
      <c r="I376" s="79">
        <f>SUM(G376:H376)+'BM 009'!I376</f>
        <v>6</v>
      </c>
      <c r="J376" s="79">
        <f t="shared" si="169"/>
        <v>14</v>
      </c>
      <c r="K376" s="80">
        <v>90</v>
      </c>
      <c r="L376" s="81">
        <f t="shared" si="168"/>
        <v>114.08400990000001</v>
      </c>
      <c r="M376" s="82">
        <f t="shared" si="170"/>
        <v>0</v>
      </c>
      <c r="N376" s="82">
        <f t="shared" si="171"/>
        <v>0</v>
      </c>
      <c r="O376" s="82">
        <f>N376+'BM 009'!O376</f>
        <v>684.5</v>
      </c>
      <c r="P376" s="80">
        <f t="shared" si="172"/>
        <v>1800</v>
      </c>
      <c r="Q376" s="82">
        <f t="shared" si="173"/>
        <v>2281.6799999999998</v>
      </c>
      <c r="R376" s="82">
        <f t="shared" si="174"/>
        <v>1597.1799999999998</v>
      </c>
    </row>
    <row r="377" spans="2:18" s="34" customFormat="1" ht="13.2">
      <c r="B377" s="75" t="s">
        <v>746</v>
      </c>
      <c r="C377" s="76" t="s">
        <v>747</v>
      </c>
      <c r="D377" s="77" t="s">
        <v>131</v>
      </c>
      <c r="E377" s="93">
        <v>20</v>
      </c>
      <c r="F377" s="79"/>
      <c r="G377" s="79"/>
      <c r="H377" s="79"/>
      <c r="I377" s="79">
        <f>SUM(G377:H377)+'BM 009'!I377</f>
        <v>0</v>
      </c>
      <c r="J377" s="79">
        <f t="shared" si="169"/>
        <v>20</v>
      </c>
      <c r="K377" s="80">
        <v>5.14</v>
      </c>
      <c r="L377" s="81">
        <f t="shared" si="168"/>
        <v>6.5154645654000003</v>
      </c>
      <c r="M377" s="82">
        <f t="shared" si="170"/>
        <v>0</v>
      </c>
      <c r="N377" s="82">
        <f t="shared" si="171"/>
        <v>0</v>
      </c>
      <c r="O377" s="82">
        <f>N377+'BM 009'!O377</f>
        <v>0</v>
      </c>
      <c r="P377" s="80">
        <f t="shared" si="172"/>
        <v>102.8</v>
      </c>
      <c r="Q377" s="82">
        <f t="shared" si="173"/>
        <v>130.30000000000001</v>
      </c>
      <c r="R377" s="82">
        <f t="shared" si="174"/>
        <v>130.30000000000001</v>
      </c>
    </row>
    <row r="378" spans="2:18" s="34" customFormat="1" ht="13.2">
      <c r="B378" s="75" t="s">
        <v>748</v>
      </c>
      <c r="C378" s="76" t="s">
        <v>749</v>
      </c>
      <c r="D378" s="77" t="s">
        <v>131</v>
      </c>
      <c r="E378" s="93">
        <v>17</v>
      </c>
      <c r="F378" s="79"/>
      <c r="G378" s="79"/>
      <c r="H378" s="79"/>
      <c r="I378" s="79">
        <f>SUM(G378:H378)+'BM 009'!I378</f>
        <v>0</v>
      </c>
      <c r="J378" s="79">
        <f t="shared" si="169"/>
        <v>17</v>
      </c>
      <c r="K378" s="80">
        <v>11.25</v>
      </c>
      <c r="L378" s="81">
        <f t="shared" si="168"/>
        <v>14.260501237500002</v>
      </c>
      <c r="M378" s="82">
        <f t="shared" si="170"/>
        <v>0</v>
      </c>
      <c r="N378" s="82">
        <f t="shared" si="171"/>
        <v>0</v>
      </c>
      <c r="O378" s="82">
        <f>N378+'BM 009'!O378</f>
        <v>0</v>
      </c>
      <c r="P378" s="80">
        <f t="shared" si="172"/>
        <v>191.25</v>
      </c>
      <c r="Q378" s="82">
        <f t="shared" si="173"/>
        <v>242.42</v>
      </c>
      <c r="R378" s="82">
        <f t="shared" si="174"/>
        <v>242.42</v>
      </c>
    </row>
    <row r="379" spans="2:18" s="34" customFormat="1" ht="13.2">
      <c r="B379" s="75" t="s">
        <v>750</v>
      </c>
      <c r="C379" s="76" t="s">
        <v>751</v>
      </c>
      <c r="D379" s="77" t="s">
        <v>131</v>
      </c>
      <c r="E379" s="93">
        <v>1</v>
      </c>
      <c r="F379" s="79"/>
      <c r="G379" s="79"/>
      <c r="H379" s="79"/>
      <c r="I379" s="79">
        <f>SUM(G379:H379)+'BM 009'!I379</f>
        <v>0</v>
      </c>
      <c r="J379" s="79">
        <f t="shared" si="169"/>
        <v>1</v>
      </c>
      <c r="K379" s="80">
        <v>12.27</v>
      </c>
      <c r="L379" s="81">
        <f t="shared" si="168"/>
        <v>15.5534533497</v>
      </c>
      <c r="M379" s="82">
        <f t="shared" si="170"/>
        <v>0</v>
      </c>
      <c r="N379" s="82">
        <f t="shared" si="171"/>
        <v>0</v>
      </c>
      <c r="O379" s="82">
        <f>N379+'BM 009'!O379</f>
        <v>0</v>
      </c>
      <c r="P379" s="80">
        <f t="shared" si="172"/>
        <v>12.27</v>
      </c>
      <c r="Q379" s="82">
        <f t="shared" si="173"/>
        <v>15.55</v>
      </c>
      <c r="R379" s="82">
        <f t="shared" si="174"/>
        <v>15.55</v>
      </c>
    </row>
    <row r="380" spans="2:18" s="34" customFormat="1" ht="13.2">
      <c r="B380" s="75" t="s">
        <v>752</v>
      </c>
      <c r="C380" s="76" t="s">
        <v>753</v>
      </c>
      <c r="D380" s="77" t="s">
        <v>131</v>
      </c>
      <c r="E380" s="93">
        <v>12</v>
      </c>
      <c r="F380" s="79"/>
      <c r="G380" s="79"/>
      <c r="H380" s="79"/>
      <c r="I380" s="79">
        <f>SUM(G380:H380)+'BM 009'!I380</f>
        <v>0</v>
      </c>
      <c r="J380" s="79">
        <f t="shared" si="169"/>
        <v>12</v>
      </c>
      <c r="K380" s="80">
        <v>22.03</v>
      </c>
      <c r="L380" s="81">
        <f t="shared" si="168"/>
        <v>27.925230423300004</v>
      </c>
      <c r="M380" s="82">
        <f t="shared" si="170"/>
        <v>0</v>
      </c>
      <c r="N380" s="82">
        <f t="shared" si="171"/>
        <v>0</v>
      </c>
      <c r="O380" s="82">
        <f>N380+'BM 009'!O380</f>
        <v>0</v>
      </c>
      <c r="P380" s="80">
        <f t="shared" si="172"/>
        <v>264.36</v>
      </c>
      <c r="Q380" s="82">
        <f t="shared" si="173"/>
        <v>335.1</v>
      </c>
      <c r="R380" s="82">
        <f t="shared" si="174"/>
        <v>335.1</v>
      </c>
    </row>
    <row r="381" spans="2:18" s="34" customFormat="1" ht="13.2">
      <c r="B381" s="75" t="s">
        <v>754</v>
      </c>
      <c r="C381" s="76" t="s">
        <v>755</v>
      </c>
      <c r="D381" s="77" t="s">
        <v>131</v>
      </c>
      <c r="E381" s="93">
        <v>16</v>
      </c>
      <c r="F381" s="79"/>
      <c r="G381" s="79"/>
      <c r="H381" s="79"/>
      <c r="I381" s="79">
        <f>SUM(G381:H381)+'BM 009'!I381</f>
        <v>4</v>
      </c>
      <c r="J381" s="79">
        <f t="shared" si="169"/>
        <v>12</v>
      </c>
      <c r="K381" s="80">
        <v>32.380000000000003</v>
      </c>
      <c r="L381" s="81">
        <f t="shared" si="168"/>
        <v>41.044891561800007</v>
      </c>
      <c r="M381" s="82">
        <f t="shared" si="170"/>
        <v>0</v>
      </c>
      <c r="N381" s="82">
        <f t="shared" si="171"/>
        <v>0</v>
      </c>
      <c r="O381" s="82">
        <f>N381+'BM 009'!O381</f>
        <v>164.17</v>
      </c>
      <c r="P381" s="80">
        <f t="shared" si="172"/>
        <v>518.08000000000004</v>
      </c>
      <c r="Q381" s="82">
        <f t="shared" si="173"/>
        <v>656.71</v>
      </c>
      <c r="R381" s="82">
        <f t="shared" si="174"/>
        <v>492.54000000000008</v>
      </c>
    </row>
    <row r="382" spans="2:18" s="34" customFormat="1" ht="23.4">
      <c r="B382" s="75" t="s">
        <v>756</v>
      </c>
      <c r="C382" s="76" t="s">
        <v>757</v>
      </c>
      <c r="D382" s="77" t="s">
        <v>131</v>
      </c>
      <c r="E382" s="93">
        <v>16</v>
      </c>
      <c r="F382" s="79"/>
      <c r="G382" s="79"/>
      <c r="H382" s="79"/>
      <c r="I382" s="79">
        <f>SUM(G382:H382)+'BM 009'!I382</f>
        <v>0</v>
      </c>
      <c r="J382" s="79">
        <f t="shared" si="169"/>
        <v>16</v>
      </c>
      <c r="K382" s="80">
        <v>12.35</v>
      </c>
      <c r="L382" s="81">
        <f t="shared" si="168"/>
        <v>15.6548613585</v>
      </c>
      <c r="M382" s="82">
        <f t="shared" si="170"/>
        <v>0</v>
      </c>
      <c r="N382" s="82">
        <f t="shared" si="171"/>
        <v>0</v>
      </c>
      <c r="O382" s="82">
        <f>N382+'BM 009'!O382</f>
        <v>0</v>
      </c>
      <c r="P382" s="80">
        <f t="shared" si="172"/>
        <v>197.6</v>
      </c>
      <c r="Q382" s="82">
        <f t="shared" si="173"/>
        <v>250.47</v>
      </c>
      <c r="R382" s="82">
        <f t="shared" si="174"/>
        <v>250.47</v>
      </c>
    </row>
    <row r="383" spans="2:18" s="34" customFormat="1" ht="34.799999999999997">
      <c r="B383" s="75" t="s">
        <v>758</v>
      </c>
      <c r="C383" s="76" t="s">
        <v>759</v>
      </c>
      <c r="D383" s="77" t="s">
        <v>131</v>
      </c>
      <c r="E383" s="93">
        <v>3</v>
      </c>
      <c r="F383" s="79"/>
      <c r="G383" s="79"/>
      <c r="H383" s="79"/>
      <c r="I383" s="79">
        <f>SUM(G383:H383)+'BM 009'!I383</f>
        <v>0</v>
      </c>
      <c r="J383" s="79">
        <f t="shared" si="169"/>
        <v>3</v>
      </c>
      <c r="K383" s="80">
        <v>12.27</v>
      </c>
      <c r="L383" s="81">
        <f t="shared" si="168"/>
        <v>15.5534533497</v>
      </c>
      <c r="M383" s="82">
        <f t="shared" si="170"/>
        <v>0</v>
      </c>
      <c r="N383" s="82">
        <f t="shared" si="171"/>
        <v>0</v>
      </c>
      <c r="O383" s="82">
        <f>N383+'BM 009'!O383</f>
        <v>0</v>
      </c>
      <c r="P383" s="80">
        <f t="shared" si="172"/>
        <v>36.81</v>
      </c>
      <c r="Q383" s="82">
        <f t="shared" si="173"/>
        <v>46.66</v>
      </c>
      <c r="R383" s="82">
        <f t="shared" si="174"/>
        <v>46.66</v>
      </c>
    </row>
    <row r="384" spans="2:18" s="34" customFormat="1" ht="23.4">
      <c r="B384" s="75" t="s">
        <v>760</v>
      </c>
      <c r="C384" s="76" t="s">
        <v>761</v>
      </c>
      <c r="D384" s="77" t="s">
        <v>131</v>
      </c>
      <c r="E384" s="93">
        <v>34</v>
      </c>
      <c r="F384" s="79"/>
      <c r="G384" s="79"/>
      <c r="H384" s="79"/>
      <c r="I384" s="79">
        <f>SUM(G384:H384)+'BM 009'!I384</f>
        <v>0</v>
      </c>
      <c r="J384" s="79">
        <f t="shared" si="169"/>
        <v>34</v>
      </c>
      <c r="K384" s="80">
        <v>18.5</v>
      </c>
      <c r="L384" s="81">
        <f t="shared" si="168"/>
        <v>23.450602035000003</v>
      </c>
      <c r="M384" s="82">
        <f t="shared" si="170"/>
        <v>0</v>
      </c>
      <c r="N384" s="82">
        <f t="shared" si="171"/>
        <v>0</v>
      </c>
      <c r="O384" s="82">
        <f>N384+'BM 009'!O384</f>
        <v>0</v>
      </c>
      <c r="P384" s="80">
        <f t="shared" si="172"/>
        <v>629</v>
      </c>
      <c r="Q384" s="82">
        <f t="shared" si="173"/>
        <v>797.32</v>
      </c>
      <c r="R384" s="82">
        <f t="shared" si="174"/>
        <v>797.32</v>
      </c>
    </row>
    <row r="385" spans="2:18" s="34" customFormat="1" ht="23.4">
      <c r="B385" s="75" t="s">
        <v>762</v>
      </c>
      <c r="C385" s="76" t="s">
        <v>763</v>
      </c>
      <c r="D385" s="77" t="s">
        <v>131</v>
      </c>
      <c r="E385" s="93">
        <v>2</v>
      </c>
      <c r="F385" s="79"/>
      <c r="G385" s="79"/>
      <c r="H385" s="79"/>
      <c r="I385" s="79">
        <f>SUM(G385:H385)+'BM 009'!I385</f>
        <v>0</v>
      </c>
      <c r="J385" s="79">
        <f t="shared" si="169"/>
        <v>2</v>
      </c>
      <c r="K385" s="80">
        <v>24.61</v>
      </c>
      <c r="L385" s="81">
        <f t="shared" si="168"/>
        <v>31.195638707100002</v>
      </c>
      <c r="M385" s="82">
        <f t="shared" si="170"/>
        <v>0</v>
      </c>
      <c r="N385" s="82">
        <f t="shared" si="171"/>
        <v>0</v>
      </c>
      <c r="O385" s="82">
        <f>N385+'BM 009'!O385</f>
        <v>0</v>
      </c>
      <c r="P385" s="80">
        <f t="shared" si="172"/>
        <v>49.22</v>
      </c>
      <c r="Q385" s="82">
        <f t="shared" si="173"/>
        <v>62.39</v>
      </c>
      <c r="R385" s="82">
        <f t="shared" si="174"/>
        <v>62.39</v>
      </c>
    </row>
    <row r="386" spans="2:18" s="34" customFormat="1" ht="34.799999999999997">
      <c r="B386" s="75" t="s">
        <v>764</v>
      </c>
      <c r="C386" s="76" t="s">
        <v>765</v>
      </c>
      <c r="D386" s="77" t="s">
        <v>131</v>
      </c>
      <c r="E386" s="93">
        <v>9</v>
      </c>
      <c r="F386" s="79"/>
      <c r="G386" s="79"/>
      <c r="H386" s="79"/>
      <c r="I386" s="79">
        <f>SUM(G386:H386)+'BM 009'!I386</f>
        <v>0</v>
      </c>
      <c r="J386" s="79">
        <f t="shared" si="169"/>
        <v>9</v>
      </c>
      <c r="K386" s="80">
        <v>26.08</v>
      </c>
      <c r="L386" s="81">
        <f t="shared" si="168"/>
        <v>33.059010868800002</v>
      </c>
      <c r="M386" s="82">
        <f t="shared" si="170"/>
        <v>0</v>
      </c>
      <c r="N386" s="82">
        <f t="shared" si="171"/>
        <v>0</v>
      </c>
      <c r="O386" s="82">
        <f>N386+'BM 009'!O386</f>
        <v>0</v>
      </c>
      <c r="P386" s="80">
        <f t="shared" si="172"/>
        <v>234.71999999999997</v>
      </c>
      <c r="Q386" s="82">
        <f t="shared" si="173"/>
        <v>297.52999999999997</v>
      </c>
      <c r="R386" s="82">
        <f t="shared" si="174"/>
        <v>297.52999999999997</v>
      </c>
    </row>
    <row r="387" spans="2:18" s="34" customFormat="1" ht="23.4">
      <c r="B387" s="75" t="s">
        <v>766</v>
      </c>
      <c r="C387" s="88" t="s">
        <v>767</v>
      </c>
      <c r="D387" s="89" t="s">
        <v>131</v>
      </c>
      <c r="E387" s="90">
        <v>1</v>
      </c>
      <c r="F387" s="91"/>
      <c r="G387" s="91"/>
      <c r="H387" s="91"/>
      <c r="I387" s="91">
        <f>SUM(G387:H387)+'BM 009'!I387</f>
        <v>0</v>
      </c>
      <c r="J387" s="91">
        <f t="shared" si="169"/>
        <v>1</v>
      </c>
      <c r="K387" s="80">
        <v>40</v>
      </c>
      <c r="L387" s="81">
        <f t="shared" si="168"/>
        <v>50.704004400000002</v>
      </c>
      <c r="M387" s="82">
        <f t="shared" si="170"/>
        <v>0</v>
      </c>
      <c r="N387" s="82">
        <f t="shared" si="171"/>
        <v>0</v>
      </c>
      <c r="O387" s="82">
        <f>N387+'BM 009'!O387</f>
        <v>0</v>
      </c>
      <c r="P387" s="80">
        <f t="shared" si="172"/>
        <v>40</v>
      </c>
      <c r="Q387" s="82">
        <f t="shared" si="173"/>
        <v>50.7</v>
      </c>
      <c r="R387" s="82">
        <f t="shared" si="174"/>
        <v>50.7</v>
      </c>
    </row>
    <row r="388" spans="2:18" s="34" customFormat="1" ht="46.2">
      <c r="B388" s="75" t="s">
        <v>768</v>
      </c>
      <c r="C388" s="88" t="s">
        <v>769</v>
      </c>
      <c r="D388" s="89" t="s">
        <v>131</v>
      </c>
      <c r="E388" s="90">
        <v>29</v>
      </c>
      <c r="F388" s="91"/>
      <c r="G388" s="91"/>
      <c r="H388" s="91"/>
      <c r="I388" s="91">
        <f>SUM(G388:H388)+'BM 009'!I388</f>
        <v>0</v>
      </c>
      <c r="J388" s="91">
        <f t="shared" si="169"/>
        <v>29</v>
      </c>
      <c r="K388" s="80">
        <v>17.22</v>
      </c>
      <c r="L388" s="81">
        <f t="shared" si="168"/>
        <v>21.828073894199999</v>
      </c>
      <c r="M388" s="82">
        <f t="shared" si="170"/>
        <v>0</v>
      </c>
      <c r="N388" s="82">
        <f t="shared" si="171"/>
        <v>0</v>
      </c>
      <c r="O388" s="82">
        <f>N388+'BM 009'!O388</f>
        <v>0</v>
      </c>
      <c r="P388" s="80">
        <f t="shared" si="172"/>
        <v>499.38</v>
      </c>
      <c r="Q388" s="82">
        <f t="shared" si="173"/>
        <v>633.01</v>
      </c>
      <c r="R388" s="82">
        <f t="shared" si="174"/>
        <v>633.01</v>
      </c>
    </row>
    <row r="389" spans="2:18" s="34" customFormat="1" ht="23.4">
      <c r="B389" s="75" t="s">
        <v>770</v>
      </c>
      <c r="C389" s="76" t="s">
        <v>771</v>
      </c>
      <c r="D389" s="77" t="s">
        <v>131</v>
      </c>
      <c r="E389" s="93">
        <v>207</v>
      </c>
      <c r="F389" s="79"/>
      <c r="G389" s="79"/>
      <c r="H389" s="79"/>
      <c r="I389" s="79">
        <f>SUM(G389:H389)+'BM 009'!I389</f>
        <v>0</v>
      </c>
      <c r="J389" s="79">
        <f t="shared" si="169"/>
        <v>207</v>
      </c>
      <c r="K389" s="80">
        <v>6.59</v>
      </c>
      <c r="L389" s="81">
        <f t="shared" si="168"/>
        <v>8.3534847248999995</v>
      </c>
      <c r="M389" s="82">
        <f t="shared" si="170"/>
        <v>0</v>
      </c>
      <c r="N389" s="82">
        <f t="shared" si="171"/>
        <v>0</v>
      </c>
      <c r="O389" s="82">
        <f>N389+'BM 009'!O389</f>
        <v>0</v>
      </c>
      <c r="P389" s="80">
        <f t="shared" si="172"/>
        <v>1364.1299999999999</v>
      </c>
      <c r="Q389" s="82">
        <f t="shared" si="173"/>
        <v>1729.17</v>
      </c>
      <c r="R389" s="82">
        <f t="shared" si="174"/>
        <v>1729.17</v>
      </c>
    </row>
    <row r="390" spans="2:18" s="34" customFormat="1" ht="23.4">
      <c r="B390" s="75" t="s">
        <v>772</v>
      </c>
      <c r="C390" s="76" t="s">
        <v>773</v>
      </c>
      <c r="D390" s="77" t="s">
        <v>131</v>
      </c>
      <c r="E390" s="93">
        <v>50</v>
      </c>
      <c r="F390" s="79"/>
      <c r="G390" s="79"/>
      <c r="H390" s="79"/>
      <c r="I390" s="79">
        <f>SUM(G390:H390)+'BM 009'!I390</f>
        <v>0</v>
      </c>
      <c r="J390" s="79">
        <f t="shared" si="169"/>
        <v>50</v>
      </c>
      <c r="K390" s="80">
        <v>22.07</v>
      </c>
      <c r="L390" s="81">
        <f t="shared" si="168"/>
        <v>27.9759344277</v>
      </c>
      <c r="M390" s="82">
        <f t="shared" si="170"/>
        <v>0</v>
      </c>
      <c r="N390" s="82">
        <f t="shared" si="171"/>
        <v>0</v>
      </c>
      <c r="O390" s="82">
        <f>N390+'BM 009'!O390</f>
        <v>0</v>
      </c>
      <c r="P390" s="80">
        <f t="shared" si="172"/>
        <v>1103.5</v>
      </c>
      <c r="Q390" s="82">
        <f t="shared" si="173"/>
        <v>1398.79</v>
      </c>
      <c r="R390" s="82">
        <f t="shared" si="174"/>
        <v>1398.79</v>
      </c>
    </row>
    <row r="391" spans="2:18" s="34" customFormat="1" ht="23.4">
      <c r="B391" s="75" t="s">
        <v>774</v>
      </c>
      <c r="C391" s="76" t="s">
        <v>775</v>
      </c>
      <c r="D391" s="77" t="s">
        <v>131</v>
      </c>
      <c r="E391" s="93">
        <v>1</v>
      </c>
      <c r="F391" s="79"/>
      <c r="G391" s="79"/>
      <c r="H391" s="79"/>
      <c r="I391" s="79">
        <f>SUM(G391:H391)+'BM 009'!I391</f>
        <v>0</v>
      </c>
      <c r="J391" s="79">
        <f t="shared" si="169"/>
        <v>1</v>
      </c>
      <c r="K391" s="80">
        <v>19.649999999999999</v>
      </c>
      <c r="L391" s="81">
        <f t="shared" si="168"/>
        <v>24.908342161499998</v>
      </c>
      <c r="M391" s="82">
        <f t="shared" si="170"/>
        <v>0</v>
      </c>
      <c r="N391" s="82">
        <f t="shared" si="171"/>
        <v>0</v>
      </c>
      <c r="O391" s="82">
        <f>N391+'BM 009'!O391</f>
        <v>0</v>
      </c>
      <c r="P391" s="80">
        <f t="shared" si="172"/>
        <v>19.649999999999999</v>
      </c>
      <c r="Q391" s="82">
        <f t="shared" si="173"/>
        <v>24.9</v>
      </c>
      <c r="R391" s="82">
        <f t="shared" si="174"/>
        <v>24.9</v>
      </c>
    </row>
    <row r="392" spans="2:18" s="34" customFormat="1" ht="23.4">
      <c r="B392" s="75" t="s">
        <v>776</v>
      </c>
      <c r="C392" s="76" t="s">
        <v>777</v>
      </c>
      <c r="D392" s="77" t="s">
        <v>131</v>
      </c>
      <c r="E392" s="93">
        <v>19</v>
      </c>
      <c r="F392" s="79"/>
      <c r="G392" s="79"/>
      <c r="H392" s="79"/>
      <c r="I392" s="79">
        <f>SUM(G392:H392)+'BM 009'!I392</f>
        <v>0</v>
      </c>
      <c r="J392" s="79">
        <f t="shared" si="169"/>
        <v>19</v>
      </c>
      <c r="K392" s="80">
        <v>41.43</v>
      </c>
      <c r="L392" s="81">
        <f t="shared" si="168"/>
        <v>52.516672557300005</v>
      </c>
      <c r="M392" s="82">
        <f t="shared" si="170"/>
        <v>0</v>
      </c>
      <c r="N392" s="82">
        <f t="shared" si="171"/>
        <v>0</v>
      </c>
      <c r="O392" s="82">
        <f>N392+'BM 009'!O392</f>
        <v>0</v>
      </c>
      <c r="P392" s="80">
        <f t="shared" si="172"/>
        <v>787.17</v>
      </c>
      <c r="Q392" s="82">
        <f t="shared" si="173"/>
        <v>997.81</v>
      </c>
      <c r="R392" s="82">
        <f t="shared" si="174"/>
        <v>997.81</v>
      </c>
    </row>
    <row r="393" spans="2:18" s="34" customFormat="1" ht="46.2">
      <c r="B393" s="75" t="s">
        <v>778</v>
      </c>
      <c r="C393" s="76" t="s">
        <v>779</v>
      </c>
      <c r="D393" s="77" t="s">
        <v>131</v>
      </c>
      <c r="E393" s="93">
        <v>12</v>
      </c>
      <c r="F393" s="79"/>
      <c r="G393" s="79"/>
      <c r="H393" s="79"/>
      <c r="I393" s="79">
        <f>SUM(G393:H393)+'BM 009'!I393</f>
        <v>0</v>
      </c>
      <c r="J393" s="79">
        <f t="shared" si="169"/>
        <v>12</v>
      </c>
      <c r="K393" s="80">
        <v>76.31</v>
      </c>
      <c r="L393" s="81">
        <f t="shared" si="168"/>
        <v>96.730564394100014</v>
      </c>
      <c r="M393" s="82">
        <f t="shared" si="170"/>
        <v>0</v>
      </c>
      <c r="N393" s="82">
        <f t="shared" si="171"/>
        <v>0</v>
      </c>
      <c r="O393" s="82">
        <f>N393+'BM 009'!O393</f>
        <v>0</v>
      </c>
      <c r="P393" s="80">
        <f t="shared" si="172"/>
        <v>915.72</v>
      </c>
      <c r="Q393" s="82">
        <f t="shared" si="173"/>
        <v>1160.76</v>
      </c>
      <c r="R393" s="82">
        <f t="shared" si="174"/>
        <v>1160.76</v>
      </c>
    </row>
    <row r="394" spans="2:18" s="34" customFormat="1" ht="34.799999999999997">
      <c r="B394" s="75" t="s">
        <v>780</v>
      </c>
      <c r="C394" s="76" t="s">
        <v>781</v>
      </c>
      <c r="D394" s="77" t="s">
        <v>131</v>
      </c>
      <c r="E394" s="93">
        <v>3</v>
      </c>
      <c r="F394" s="79"/>
      <c r="G394" s="79"/>
      <c r="H394" s="79"/>
      <c r="I394" s="79">
        <f>SUM(G394:H394)+'BM 009'!I394</f>
        <v>0</v>
      </c>
      <c r="J394" s="79">
        <f t="shared" si="169"/>
        <v>3</v>
      </c>
      <c r="K394" s="80">
        <v>72.55</v>
      </c>
      <c r="L394" s="81">
        <f t="shared" si="168"/>
        <v>91.964387980500007</v>
      </c>
      <c r="M394" s="82">
        <f t="shared" si="170"/>
        <v>0</v>
      </c>
      <c r="N394" s="82">
        <f t="shared" si="171"/>
        <v>0</v>
      </c>
      <c r="O394" s="82">
        <f>N394+'BM 009'!O394</f>
        <v>0</v>
      </c>
      <c r="P394" s="80">
        <f t="shared" si="172"/>
        <v>217.64999999999998</v>
      </c>
      <c r="Q394" s="82">
        <f t="shared" si="173"/>
        <v>275.89</v>
      </c>
      <c r="R394" s="82">
        <f t="shared" si="174"/>
        <v>275.89</v>
      </c>
    </row>
    <row r="395" spans="2:18" s="34" customFormat="1" ht="24">
      <c r="B395" s="66" t="s">
        <v>782</v>
      </c>
      <c r="C395" s="67" t="s">
        <v>783</v>
      </c>
      <c r="D395" s="68"/>
      <c r="E395" s="69"/>
      <c r="F395" s="70"/>
      <c r="G395" s="70"/>
      <c r="H395" s="70"/>
      <c r="I395" s="70">
        <f>SUM(G395:H395)+'BM 009'!I395</f>
        <v>0</v>
      </c>
      <c r="J395" s="70">
        <f t="shared" si="169"/>
        <v>0</v>
      </c>
      <c r="K395" s="71"/>
      <c r="L395" s="71">
        <f t="shared" si="168"/>
        <v>0</v>
      </c>
      <c r="M395" s="73">
        <f t="shared" ref="M395:R395" si="175">SUM(M396:M405)</f>
        <v>0</v>
      </c>
      <c r="N395" s="73">
        <f t="shared" si="175"/>
        <v>0</v>
      </c>
      <c r="O395" s="73">
        <f t="shared" si="175"/>
        <v>2814.07</v>
      </c>
      <c r="P395" s="73">
        <f t="shared" si="175"/>
        <v>131062.87509999999</v>
      </c>
      <c r="Q395" s="73">
        <f t="shared" si="175"/>
        <v>166135.25</v>
      </c>
      <c r="R395" s="73">
        <f t="shared" si="175"/>
        <v>163321.18</v>
      </c>
    </row>
    <row r="396" spans="2:18" s="34" customFormat="1" ht="34.799999999999997">
      <c r="B396" s="75" t="s">
        <v>784</v>
      </c>
      <c r="C396" s="76" t="s">
        <v>785</v>
      </c>
      <c r="D396" s="77" t="s">
        <v>82</v>
      </c>
      <c r="E396" s="108">
        <v>867.48</v>
      </c>
      <c r="F396" s="109"/>
      <c r="G396" s="109"/>
      <c r="H396" s="109"/>
      <c r="I396" s="109">
        <f>SUM(G396:H396)+'BM 009'!I396</f>
        <v>0</v>
      </c>
      <c r="J396" s="109">
        <f t="shared" si="169"/>
        <v>867.48</v>
      </c>
      <c r="K396" s="80">
        <v>24.65</v>
      </c>
      <c r="L396" s="81">
        <f t="shared" si="168"/>
        <v>31.246342711499999</v>
      </c>
      <c r="M396" s="82">
        <f t="shared" ref="M396:M405" si="176">TRUNC(F396*L396,2)</f>
        <v>0</v>
      </c>
      <c r="N396" s="82">
        <f t="shared" ref="N396:N405" si="177">TRUNC(G396*L396,2)</f>
        <v>0</v>
      </c>
      <c r="O396" s="82">
        <f>N396+'BM 009'!O396</f>
        <v>0</v>
      </c>
      <c r="P396" s="80">
        <f t="shared" ref="P396:P405" si="178">E396*K396</f>
        <v>21383.381999999998</v>
      </c>
      <c r="Q396" s="82">
        <f t="shared" ref="Q396:Q405" si="179">TRUNC(E396*L396,2)</f>
        <v>27105.57</v>
      </c>
      <c r="R396" s="82">
        <f t="shared" ref="R396:R405" si="180">Q396-O396</f>
        <v>27105.57</v>
      </c>
    </row>
    <row r="397" spans="2:18" s="34" customFormat="1" ht="23.4">
      <c r="B397" s="75" t="s">
        <v>786</v>
      </c>
      <c r="C397" s="76" t="s">
        <v>653</v>
      </c>
      <c r="D397" s="77" t="s">
        <v>82</v>
      </c>
      <c r="E397" s="110">
        <v>18.04</v>
      </c>
      <c r="F397" s="111"/>
      <c r="G397" s="111"/>
      <c r="H397" s="111"/>
      <c r="I397" s="111">
        <f>SUM(G397:H397)+'BM 009'!I397</f>
        <v>0</v>
      </c>
      <c r="J397" s="111">
        <f t="shared" si="169"/>
        <v>18.04</v>
      </c>
      <c r="K397" s="80">
        <v>6.5</v>
      </c>
      <c r="L397" s="81">
        <f t="shared" si="168"/>
        <v>8.2394007150000004</v>
      </c>
      <c r="M397" s="82">
        <f t="shared" si="176"/>
        <v>0</v>
      </c>
      <c r="N397" s="82">
        <f t="shared" si="177"/>
        <v>0</v>
      </c>
      <c r="O397" s="82">
        <f>N397+'BM 009'!O397</f>
        <v>0</v>
      </c>
      <c r="P397" s="80">
        <f t="shared" si="178"/>
        <v>117.25999999999999</v>
      </c>
      <c r="Q397" s="82">
        <f t="shared" si="179"/>
        <v>148.63</v>
      </c>
      <c r="R397" s="82">
        <f t="shared" si="180"/>
        <v>148.63</v>
      </c>
    </row>
    <row r="398" spans="2:18" s="34" customFormat="1" ht="23.4">
      <c r="B398" s="75" t="s">
        <v>787</v>
      </c>
      <c r="C398" s="76" t="s">
        <v>655</v>
      </c>
      <c r="D398" s="77" t="s">
        <v>82</v>
      </c>
      <c r="E398" s="110">
        <v>739.18</v>
      </c>
      <c r="F398" s="111"/>
      <c r="G398" s="111"/>
      <c r="H398" s="111"/>
      <c r="I398" s="111">
        <f>SUM(G398:H398)+'BM 009'!I398</f>
        <v>0</v>
      </c>
      <c r="J398" s="111">
        <f t="shared" si="169"/>
        <v>739.18</v>
      </c>
      <c r="K398" s="80">
        <v>8</v>
      </c>
      <c r="L398" s="81">
        <f t="shared" si="168"/>
        <v>10.14080088</v>
      </c>
      <c r="M398" s="82">
        <f t="shared" si="176"/>
        <v>0</v>
      </c>
      <c r="N398" s="82">
        <f t="shared" si="177"/>
        <v>0</v>
      </c>
      <c r="O398" s="82">
        <f>N398+'BM 009'!O398</f>
        <v>0</v>
      </c>
      <c r="P398" s="80">
        <f t="shared" si="178"/>
        <v>5913.44</v>
      </c>
      <c r="Q398" s="82">
        <f t="shared" si="179"/>
        <v>7495.87</v>
      </c>
      <c r="R398" s="82">
        <f t="shared" si="180"/>
        <v>7495.87</v>
      </c>
    </row>
    <row r="399" spans="2:18" s="34" customFormat="1" ht="23.4">
      <c r="B399" s="75" t="s">
        <v>788</v>
      </c>
      <c r="C399" s="76" t="s">
        <v>659</v>
      </c>
      <c r="D399" s="77" t="s">
        <v>82</v>
      </c>
      <c r="E399" s="112">
        <v>19.510000000000002</v>
      </c>
      <c r="F399" s="113"/>
      <c r="G399" s="113"/>
      <c r="H399" s="113"/>
      <c r="I399" s="113">
        <f>SUM(G399:H399)+'BM 009'!I399</f>
        <v>0</v>
      </c>
      <c r="J399" s="113">
        <f t="shared" si="169"/>
        <v>19.510000000000002</v>
      </c>
      <c r="K399" s="80">
        <v>23.5</v>
      </c>
      <c r="L399" s="81">
        <f t="shared" si="168"/>
        <v>29.788602585</v>
      </c>
      <c r="M399" s="82">
        <f t="shared" si="176"/>
        <v>0</v>
      </c>
      <c r="N399" s="82">
        <f t="shared" si="177"/>
        <v>0</v>
      </c>
      <c r="O399" s="82">
        <f>N399+'BM 009'!O399</f>
        <v>0</v>
      </c>
      <c r="P399" s="80">
        <f t="shared" si="178"/>
        <v>458.48500000000001</v>
      </c>
      <c r="Q399" s="82">
        <f t="shared" si="179"/>
        <v>581.16999999999996</v>
      </c>
      <c r="R399" s="82">
        <f t="shared" si="180"/>
        <v>581.16999999999996</v>
      </c>
    </row>
    <row r="400" spans="2:18" s="34" customFormat="1" ht="34.799999999999997">
      <c r="B400" s="75" t="s">
        <v>789</v>
      </c>
      <c r="C400" s="76" t="s">
        <v>790</v>
      </c>
      <c r="D400" s="77" t="s">
        <v>82</v>
      </c>
      <c r="E400" s="108">
        <v>609.66</v>
      </c>
      <c r="F400" s="109"/>
      <c r="G400" s="109"/>
      <c r="H400" s="109"/>
      <c r="I400" s="109">
        <f>SUM(G400:H400)+'BM 009'!I400</f>
        <v>0</v>
      </c>
      <c r="J400" s="109">
        <f t="shared" si="169"/>
        <v>609.66</v>
      </c>
      <c r="K400" s="80">
        <v>27.5</v>
      </c>
      <c r="L400" s="81">
        <f t="shared" si="168"/>
        <v>34.859003025</v>
      </c>
      <c r="M400" s="82">
        <f t="shared" si="176"/>
        <v>0</v>
      </c>
      <c r="N400" s="82">
        <f t="shared" si="177"/>
        <v>0</v>
      </c>
      <c r="O400" s="82">
        <f>N400+'BM 009'!O400</f>
        <v>0</v>
      </c>
      <c r="P400" s="80">
        <f t="shared" si="178"/>
        <v>16765.649999999998</v>
      </c>
      <c r="Q400" s="82">
        <f t="shared" si="179"/>
        <v>21252.13</v>
      </c>
      <c r="R400" s="82">
        <f t="shared" si="180"/>
        <v>21252.13</v>
      </c>
    </row>
    <row r="401" spans="2:18" s="34" customFormat="1" ht="34.799999999999997">
      <c r="B401" s="75" t="s">
        <v>791</v>
      </c>
      <c r="C401" s="76" t="s">
        <v>792</v>
      </c>
      <c r="D401" s="77" t="s">
        <v>82</v>
      </c>
      <c r="E401" s="114">
        <v>307.39999999999998</v>
      </c>
      <c r="F401" s="82"/>
      <c r="G401" s="82"/>
      <c r="H401" s="82"/>
      <c r="I401" s="82">
        <f>SUM(G401:H401)+'BM 009'!I401</f>
        <v>30</v>
      </c>
      <c r="J401" s="82">
        <f t="shared" si="169"/>
        <v>277.39999999999998</v>
      </c>
      <c r="K401" s="80">
        <v>74</v>
      </c>
      <c r="L401" s="81">
        <f t="shared" si="168"/>
        <v>93.802408140000011</v>
      </c>
      <c r="M401" s="82">
        <f t="shared" si="176"/>
        <v>0</v>
      </c>
      <c r="N401" s="82">
        <f t="shared" si="177"/>
        <v>0</v>
      </c>
      <c r="O401" s="82">
        <f>N401+'BM 009'!O401</f>
        <v>2814.07</v>
      </c>
      <c r="P401" s="80">
        <f t="shared" si="178"/>
        <v>22747.599999999999</v>
      </c>
      <c r="Q401" s="82">
        <f t="shared" si="179"/>
        <v>28834.86</v>
      </c>
      <c r="R401" s="82">
        <f t="shared" si="180"/>
        <v>26020.79</v>
      </c>
    </row>
    <row r="402" spans="2:18" s="34" customFormat="1" ht="34.799999999999997">
      <c r="B402" s="75" t="s">
        <v>793</v>
      </c>
      <c r="C402" s="76" t="s">
        <v>794</v>
      </c>
      <c r="D402" s="77" t="s">
        <v>82</v>
      </c>
      <c r="E402" s="114">
        <v>340.33</v>
      </c>
      <c r="F402" s="82"/>
      <c r="G402" s="82"/>
      <c r="H402" s="82"/>
      <c r="I402" s="82">
        <f>SUM(G402:H402)+'BM 009'!I402</f>
        <v>0</v>
      </c>
      <c r="J402" s="82">
        <f t="shared" si="169"/>
        <v>340.33</v>
      </c>
      <c r="K402" s="80">
        <v>34.57</v>
      </c>
      <c r="L402" s="81">
        <f t="shared" si="168"/>
        <v>43.820935802699999</v>
      </c>
      <c r="M402" s="82">
        <f t="shared" si="176"/>
        <v>0</v>
      </c>
      <c r="N402" s="82">
        <f t="shared" si="177"/>
        <v>0</v>
      </c>
      <c r="O402" s="82">
        <f>N402+'BM 009'!O402</f>
        <v>0</v>
      </c>
      <c r="P402" s="80">
        <f t="shared" si="178"/>
        <v>11765.2081</v>
      </c>
      <c r="Q402" s="82">
        <f t="shared" si="179"/>
        <v>14913.57</v>
      </c>
      <c r="R402" s="82">
        <f t="shared" si="180"/>
        <v>14913.57</v>
      </c>
    </row>
    <row r="403" spans="2:18" s="34" customFormat="1" ht="23.4">
      <c r="B403" s="75" t="s">
        <v>795</v>
      </c>
      <c r="C403" s="76" t="s">
        <v>796</v>
      </c>
      <c r="D403" s="77" t="s">
        <v>82</v>
      </c>
      <c r="E403" s="114">
        <v>52.07</v>
      </c>
      <c r="F403" s="82"/>
      <c r="G403" s="82"/>
      <c r="H403" s="82"/>
      <c r="I403" s="82">
        <f>SUM(G403:H403)+'BM 009'!I403</f>
        <v>0</v>
      </c>
      <c r="J403" s="82">
        <f t="shared" si="169"/>
        <v>52.07</v>
      </c>
      <c r="K403" s="80">
        <v>165</v>
      </c>
      <c r="L403" s="81">
        <f t="shared" si="168"/>
        <v>209.15401815000001</v>
      </c>
      <c r="M403" s="82">
        <f t="shared" si="176"/>
        <v>0</v>
      </c>
      <c r="N403" s="82">
        <f t="shared" si="177"/>
        <v>0</v>
      </c>
      <c r="O403" s="82">
        <f>N403+'BM 009'!O403</f>
        <v>0</v>
      </c>
      <c r="P403" s="80">
        <f t="shared" si="178"/>
        <v>8591.5499999999993</v>
      </c>
      <c r="Q403" s="82">
        <f t="shared" si="179"/>
        <v>10890.64</v>
      </c>
      <c r="R403" s="82">
        <f t="shared" si="180"/>
        <v>10890.64</v>
      </c>
    </row>
    <row r="404" spans="2:18" s="34" customFormat="1" ht="23.4">
      <c r="B404" s="75" t="s">
        <v>797</v>
      </c>
      <c r="C404" s="76" t="s">
        <v>796</v>
      </c>
      <c r="D404" s="77" t="s">
        <v>82</v>
      </c>
      <c r="E404" s="114">
        <v>3.02</v>
      </c>
      <c r="F404" s="82"/>
      <c r="G404" s="82"/>
      <c r="H404" s="82"/>
      <c r="I404" s="82">
        <f>SUM(G404:H404)+'BM 009'!I404</f>
        <v>0</v>
      </c>
      <c r="J404" s="82">
        <f t="shared" si="169"/>
        <v>3.02</v>
      </c>
      <c r="K404" s="80">
        <v>165</v>
      </c>
      <c r="L404" s="81">
        <f t="shared" si="168"/>
        <v>209.15401815000001</v>
      </c>
      <c r="M404" s="82">
        <f t="shared" si="176"/>
        <v>0</v>
      </c>
      <c r="N404" s="82">
        <f t="shared" si="177"/>
        <v>0</v>
      </c>
      <c r="O404" s="82">
        <f>N404+'BM 009'!O404</f>
        <v>0</v>
      </c>
      <c r="P404" s="80">
        <f t="shared" si="178"/>
        <v>498.3</v>
      </c>
      <c r="Q404" s="82">
        <f t="shared" si="179"/>
        <v>631.64</v>
      </c>
      <c r="R404" s="82">
        <f t="shared" si="180"/>
        <v>631.64</v>
      </c>
    </row>
    <row r="405" spans="2:18" s="34" customFormat="1" ht="23.4">
      <c r="B405" s="75" t="s">
        <v>798</v>
      </c>
      <c r="C405" s="76" t="s">
        <v>799</v>
      </c>
      <c r="D405" s="77" t="s">
        <v>82</v>
      </c>
      <c r="E405" s="114">
        <v>658.8</v>
      </c>
      <c r="F405" s="82"/>
      <c r="G405" s="82"/>
      <c r="H405" s="82"/>
      <c r="I405" s="82">
        <f>SUM(G405:H405)+'BM 009'!I405</f>
        <v>0</v>
      </c>
      <c r="J405" s="82">
        <f t="shared" si="169"/>
        <v>658.8</v>
      </c>
      <c r="K405" s="80">
        <v>65</v>
      </c>
      <c r="L405" s="81">
        <f t="shared" si="168"/>
        <v>82.394007150000007</v>
      </c>
      <c r="M405" s="82">
        <f t="shared" si="176"/>
        <v>0</v>
      </c>
      <c r="N405" s="82">
        <f t="shared" si="177"/>
        <v>0</v>
      </c>
      <c r="O405" s="82">
        <f>N405+'BM 009'!O405</f>
        <v>0</v>
      </c>
      <c r="P405" s="80">
        <f t="shared" si="178"/>
        <v>42822</v>
      </c>
      <c r="Q405" s="82">
        <f t="shared" si="179"/>
        <v>54281.17</v>
      </c>
      <c r="R405" s="82">
        <f t="shared" si="180"/>
        <v>54281.17</v>
      </c>
    </row>
    <row r="406" spans="2:18" s="34" customFormat="1" ht="36">
      <c r="B406" s="66" t="s">
        <v>800</v>
      </c>
      <c r="C406" s="115" t="s">
        <v>801</v>
      </c>
      <c r="D406" s="116"/>
      <c r="E406" s="117"/>
      <c r="F406" s="118"/>
      <c r="G406" s="118"/>
      <c r="H406" s="118"/>
      <c r="I406" s="118">
        <f>SUM(G406:H406)+'BM 009'!I406</f>
        <v>0</v>
      </c>
      <c r="J406" s="118">
        <f t="shared" si="169"/>
        <v>0</v>
      </c>
      <c r="K406" s="119"/>
      <c r="L406" s="119">
        <f t="shared" si="168"/>
        <v>0</v>
      </c>
      <c r="M406" s="73">
        <f t="shared" ref="M406:R406" si="181">SUM(M407:M473)</f>
        <v>0</v>
      </c>
      <c r="N406" s="73">
        <f t="shared" si="181"/>
        <v>0</v>
      </c>
      <c r="O406" s="73">
        <f t="shared" si="181"/>
        <v>0</v>
      </c>
      <c r="P406" s="73">
        <f t="shared" si="181"/>
        <v>84729.980000000025</v>
      </c>
      <c r="Q406" s="73">
        <f t="shared" si="181"/>
        <v>107403.37000000007</v>
      </c>
      <c r="R406" s="73">
        <f t="shared" si="181"/>
        <v>107403.37000000007</v>
      </c>
    </row>
    <row r="407" spans="2:18" s="34" customFormat="1" ht="46.2">
      <c r="B407" s="75" t="s">
        <v>802</v>
      </c>
      <c r="C407" s="76" t="s">
        <v>803</v>
      </c>
      <c r="D407" s="77" t="s">
        <v>131</v>
      </c>
      <c r="E407" s="93">
        <v>209</v>
      </c>
      <c r="F407" s="79"/>
      <c r="G407" s="79"/>
      <c r="H407" s="79"/>
      <c r="I407" s="79">
        <f>SUM(G407:H407)+'BM 009'!I407</f>
        <v>0</v>
      </c>
      <c r="J407" s="79">
        <f t="shared" si="169"/>
        <v>209</v>
      </c>
      <c r="K407" s="80">
        <v>15.61</v>
      </c>
      <c r="L407" s="81">
        <f t="shared" si="168"/>
        <v>19.787237717100002</v>
      </c>
      <c r="M407" s="82">
        <f t="shared" ref="M407:M438" si="182">TRUNC(F407*L407,2)</f>
        <v>0</v>
      </c>
      <c r="N407" s="82">
        <f t="shared" ref="N407:N438" si="183">TRUNC(G407*L407,2)</f>
        <v>0</v>
      </c>
      <c r="O407" s="82">
        <f>N407+'BM 009'!O407</f>
        <v>0</v>
      </c>
      <c r="P407" s="80">
        <f t="shared" ref="P407:P438" si="184">E407*K407</f>
        <v>3262.49</v>
      </c>
      <c r="Q407" s="82">
        <f t="shared" ref="Q407:Q438" si="185">TRUNC(E407*L407,2)</f>
        <v>4135.53</v>
      </c>
      <c r="R407" s="82">
        <f t="shared" ref="R407:R438" si="186">Q407-O407</f>
        <v>4135.53</v>
      </c>
    </row>
    <row r="408" spans="2:18" s="34" customFormat="1" ht="46.2">
      <c r="B408" s="75" t="s">
        <v>804</v>
      </c>
      <c r="C408" s="76" t="s">
        <v>805</v>
      </c>
      <c r="D408" s="77" t="s">
        <v>131</v>
      </c>
      <c r="E408" s="93">
        <v>127</v>
      </c>
      <c r="F408" s="79"/>
      <c r="G408" s="79"/>
      <c r="H408" s="79"/>
      <c r="I408" s="79">
        <f>SUM(G408:H408)+'BM 009'!I408</f>
        <v>0</v>
      </c>
      <c r="J408" s="79">
        <f t="shared" si="169"/>
        <v>127</v>
      </c>
      <c r="K408" s="80">
        <v>13.73</v>
      </c>
      <c r="L408" s="81">
        <f t="shared" si="168"/>
        <v>17.404149510300002</v>
      </c>
      <c r="M408" s="82">
        <f t="shared" si="182"/>
        <v>0</v>
      </c>
      <c r="N408" s="82">
        <f t="shared" si="183"/>
        <v>0</v>
      </c>
      <c r="O408" s="82">
        <f>N408+'BM 009'!O408</f>
        <v>0</v>
      </c>
      <c r="P408" s="80">
        <f t="shared" si="184"/>
        <v>1743.71</v>
      </c>
      <c r="Q408" s="82">
        <f t="shared" si="185"/>
        <v>2210.3200000000002</v>
      </c>
      <c r="R408" s="82">
        <f t="shared" si="186"/>
        <v>2210.3200000000002</v>
      </c>
    </row>
    <row r="409" spans="2:18" s="34" customFormat="1" ht="34.799999999999997">
      <c r="B409" s="75" t="s">
        <v>806</v>
      </c>
      <c r="C409" s="76" t="s">
        <v>807</v>
      </c>
      <c r="D409" s="77" t="s">
        <v>131</v>
      </c>
      <c r="E409" s="93">
        <v>286</v>
      </c>
      <c r="F409" s="79"/>
      <c r="G409" s="79"/>
      <c r="H409" s="79"/>
      <c r="I409" s="79">
        <f>SUM(G409:H409)+'BM 009'!I409</f>
        <v>0</v>
      </c>
      <c r="J409" s="79">
        <f t="shared" si="169"/>
        <v>286</v>
      </c>
      <c r="K409" s="80">
        <v>46.17</v>
      </c>
      <c r="L409" s="81">
        <f t="shared" si="168"/>
        <v>58.525097078700007</v>
      </c>
      <c r="M409" s="82">
        <f t="shared" si="182"/>
        <v>0</v>
      </c>
      <c r="N409" s="82">
        <f t="shared" si="183"/>
        <v>0</v>
      </c>
      <c r="O409" s="82">
        <f>N409+'BM 009'!O409</f>
        <v>0</v>
      </c>
      <c r="P409" s="80">
        <f t="shared" si="184"/>
        <v>13204.62</v>
      </c>
      <c r="Q409" s="82">
        <f t="shared" si="185"/>
        <v>16738.169999999998</v>
      </c>
      <c r="R409" s="82">
        <f t="shared" si="186"/>
        <v>16738.169999999998</v>
      </c>
    </row>
    <row r="410" spans="2:18" s="34" customFormat="1" ht="34.799999999999997">
      <c r="B410" s="75" t="s">
        <v>808</v>
      </c>
      <c r="C410" s="76" t="s">
        <v>809</v>
      </c>
      <c r="D410" s="77" t="s">
        <v>131</v>
      </c>
      <c r="E410" s="93">
        <v>2</v>
      </c>
      <c r="F410" s="79"/>
      <c r="G410" s="79"/>
      <c r="H410" s="79"/>
      <c r="I410" s="79">
        <f>SUM(G410:H410)+'BM 009'!I410</f>
        <v>0</v>
      </c>
      <c r="J410" s="79">
        <f t="shared" si="169"/>
        <v>2</v>
      </c>
      <c r="K410" s="80">
        <v>95</v>
      </c>
      <c r="L410" s="81">
        <f t="shared" si="168"/>
        <v>120.42201045</v>
      </c>
      <c r="M410" s="82">
        <f t="shared" si="182"/>
        <v>0</v>
      </c>
      <c r="N410" s="82">
        <f t="shared" si="183"/>
        <v>0</v>
      </c>
      <c r="O410" s="82">
        <f>N410+'BM 009'!O410</f>
        <v>0</v>
      </c>
      <c r="P410" s="80">
        <f t="shared" si="184"/>
        <v>190</v>
      </c>
      <c r="Q410" s="82">
        <f t="shared" si="185"/>
        <v>240.84</v>
      </c>
      <c r="R410" s="82">
        <f t="shared" si="186"/>
        <v>240.84</v>
      </c>
    </row>
    <row r="411" spans="2:18" s="34" customFormat="1" ht="34.799999999999997">
      <c r="B411" s="75" t="s">
        <v>810</v>
      </c>
      <c r="C411" s="76" t="s">
        <v>811</v>
      </c>
      <c r="D411" s="77" t="s">
        <v>131</v>
      </c>
      <c r="E411" s="93">
        <v>4</v>
      </c>
      <c r="F411" s="79"/>
      <c r="G411" s="79"/>
      <c r="H411" s="79"/>
      <c r="I411" s="79">
        <f>SUM(G411:H411)+'BM 009'!I411</f>
        <v>0</v>
      </c>
      <c r="J411" s="79">
        <f t="shared" si="169"/>
        <v>4</v>
      </c>
      <c r="K411" s="80">
        <v>240</v>
      </c>
      <c r="L411" s="81">
        <f t="shared" si="168"/>
        <v>304.22402640000001</v>
      </c>
      <c r="M411" s="82">
        <f t="shared" si="182"/>
        <v>0</v>
      </c>
      <c r="N411" s="82">
        <f t="shared" si="183"/>
        <v>0</v>
      </c>
      <c r="O411" s="82">
        <f>N411+'BM 009'!O411</f>
        <v>0</v>
      </c>
      <c r="P411" s="80">
        <f t="shared" si="184"/>
        <v>960</v>
      </c>
      <c r="Q411" s="82">
        <f t="shared" si="185"/>
        <v>1216.8900000000001</v>
      </c>
      <c r="R411" s="82">
        <f t="shared" si="186"/>
        <v>1216.8900000000001</v>
      </c>
    </row>
    <row r="412" spans="2:18" s="34" customFormat="1" ht="46.2">
      <c r="B412" s="75" t="s">
        <v>812</v>
      </c>
      <c r="C412" s="76" t="s">
        <v>813</v>
      </c>
      <c r="D412" s="77" t="s">
        <v>131</v>
      </c>
      <c r="E412" s="93">
        <v>412</v>
      </c>
      <c r="F412" s="79"/>
      <c r="G412" s="79"/>
      <c r="H412" s="79"/>
      <c r="I412" s="79">
        <f>SUM(G412:H412)+'BM 009'!I412</f>
        <v>0</v>
      </c>
      <c r="J412" s="79">
        <f t="shared" si="169"/>
        <v>412</v>
      </c>
      <c r="K412" s="80">
        <v>8.31</v>
      </c>
      <c r="L412" s="81">
        <f t="shared" si="168"/>
        <v>10.533756914100001</v>
      </c>
      <c r="M412" s="82">
        <f t="shared" si="182"/>
        <v>0</v>
      </c>
      <c r="N412" s="82">
        <f t="shared" si="183"/>
        <v>0</v>
      </c>
      <c r="O412" s="82">
        <f>N412+'BM 009'!O412</f>
        <v>0</v>
      </c>
      <c r="P412" s="80">
        <f t="shared" si="184"/>
        <v>3423.7200000000003</v>
      </c>
      <c r="Q412" s="82">
        <f t="shared" si="185"/>
        <v>4339.8999999999996</v>
      </c>
      <c r="R412" s="82">
        <f t="shared" si="186"/>
        <v>4339.8999999999996</v>
      </c>
    </row>
    <row r="413" spans="2:18" s="34" customFormat="1" ht="34.799999999999997">
      <c r="B413" s="75" t="s">
        <v>814</v>
      </c>
      <c r="C413" s="76" t="s">
        <v>815</v>
      </c>
      <c r="D413" s="77" t="s">
        <v>131</v>
      </c>
      <c r="E413" s="93">
        <v>2</v>
      </c>
      <c r="F413" s="79"/>
      <c r="G413" s="79"/>
      <c r="H413" s="79"/>
      <c r="I413" s="79">
        <f>SUM(G413:H413)+'BM 009'!I413</f>
        <v>0</v>
      </c>
      <c r="J413" s="79">
        <f t="shared" si="169"/>
        <v>2</v>
      </c>
      <c r="K413" s="80">
        <v>29</v>
      </c>
      <c r="L413" s="81">
        <f t="shared" ref="L413:L476" si="187">K413*(1+$T$26)</f>
        <v>36.760403190000005</v>
      </c>
      <c r="M413" s="82">
        <f t="shared" si="182"/>
        <v>0</v>
      </c>
      <c r="N413" s="82">
        <f t="shared" si="183"/>
        <v>0</v>
      </c>
      <c r="O413" s="82">
        <f>N413+'BM 009'!O413</f>
        <v>0</v>
      </c>
      <c r="P413" s="80">
        <f t="shared" si="184"/>
        <v>58</v>
      </c>
      <c r="Q413" s="82">
        <f t="shared" si="185"/>
        <v>73.52</v>
      </c>
      <c r="R413" s="82">
        <f t="shared" si="186"/>
        <v>73.52</v>
      </c>
    </row>
    <row r="414" spans="2:18" s="34" customFormat="1" ht="46.2">
      <c r="B414" s="75" t="s">
        <v>816</v>
      </c>
      <c r="C414" s="76" t="s">
        <v>817</v>
      </c>
      <c r="D414" s="77" t="s">
        <v>131</v>
      </c>
      <c r="E414" s="93">
        <v>115</v>
      </c>
      <c r="F414" s="79"/>
      <c r="G414" s="79"/>
      <c r="H414" s="79"/>
      <c r="I414" s="79">
        <f>SUM(G414:H414)+'BM 009'!I414</f>
        <v>0</v>
      </c>
      <c r="J414" s="79">
        <f t="shared" si="169"/>
        <v>115</v>
      </c>
      <c r="K414" s="80">
        <v>9.2899999999999991</v>
      </c>
      <c r="L414" s="81">
        <f t="shared" si="187"/>
        <v>11.7760050219</v>
      </c>
      <c r="M414" s="82">
        <f t="shared" si="182"/>
        <v>0</v>
      </c>
      <c r="N414" s="82">
        <f t="shared" si="183"/>
        <v>0</v>
      </c>
      <c r="O414" s="82">
        <f>N414+'BM 009'!O414</f>
        <v>0</v>
      </c>
      <c r="P414" s="80">
        <f t="shared" si="184"/>
        <v>1068.3499999999999</v>
      </c>
      <c r="Q414" s="82">
        <f t="shared" si="185"/>
        <v>1354.24</v>
      </c>
      <c r="R414" s="82">
        <f t="shared" si="186"/>
        <v>1354.24</v>
      </c>
    </row>
    <row r="415" spans="2:18" s="34" customFormat="1" ht="46.2">
      <c r="B415" s="75" t="s">
        <v>818</v>
      </c>
      <c r="C415" s="76" t="s">
        <v>819</v>
      </c>
      <c r="D415" s="77" t="s">
        <v>131</v>
      </c>
      <c r="E415" s="93">
        <v>158</v>
      </c>
      <c r="F415" s="79"/>
      <c r="G415" s="79"/>
      <c r="H415" s="79"/>
      <c r="I415" s="79">
        <f>SUM(G415:H415)+'BM 009'!I415</f>
        <v>0</v>
      </c>
      <c r="J415" s="79">
        <f t="shared" ref="J415:J478" si="188">E415-I415</f>
        <v>158</v>
      </c>
      <c r="K415" s="80">
        <v>14.75</v>
      </c>
      <c r="L415" s="81">
        <f t="shared" si="187"/>
        <v>18.6971016225</v>
      </c>
      <c r="M415" s="82">
        <f t="shared" si="182"/>
        <v>0</v>
      </c>
      <c r="N415" s="82">
        <f t="shared" si="183"/>
        <v>0</v>
      </c>
      <c r="O415" s="82">
        <f>N415+'BM 009'!O415</f>
        <v>0</v>
      </c>
      <c r="P415" s="80">
        <f t="shared" si="184"/>
        <v>2330.5</v>
      </c>
      <c r="Q415" s="82">
        <f t="shared" si="185"/>
        <v>2954.14</v>
      </c>
      <c r="R415" s="82">
        <f t="shared" si="186"/>
        <v>2954.14</v>
      </c>
    </row>
    <row r="416" spans="2:18" s="34" customFormat="1" ht="46.2">
      <c r="B416" s="75" t="s">
        <v>820</v>
      </c>
      <c r="C416" s="76" t="s">
        <v>821</v>
      </c>
      <c r="D416" s="77" t="s">
        <v>131</v>
      </c>
      <c r="E416" s="93">
        <v>28</v>
      </c>
      <c r="F416" s="79"/>
      <c r="G416" s="79"/>
      <c r="H416" s="79"/>
      <c r="I416" s="79">
        <f>SUM(G416:H416)+'BM 009'!I416</f>
        <v>0</v>
      </c>
      <c r="J416" s="79">
        <f t="shared" si="188"/>
        <v>28</v>
      </c>
      <c r="K416" s="80">
        <v>29.5</v>
      </c>
      <c r="L416" s="81">
        <f t="shared" si="187"/>
        <v>37.394203245</v>
      </c>
      <c r="M416" s="82">
        <f t="shared" si="182"/>
        <v>0</v>
      </c>
      <c r="N416" s="82">
        <f t="shared" si="183"/>
        <v>0</v>
      </c>
      <c r="O416" s="82">
        <f>N416+'BM 009'!O416</f>
        <v>0</v>
      </c>
      <c r="P416" s="80">
        <f t="shared" si="184"/>
        <v>826</v>
      </c>
      <c r="Q416" s="82">
        <f t="shared" si="185"/>
        <v>1047.03</v>
      </c>
      <c r="R416" s="82">
        <f t="shared" si="186"/>
        <v>1047.03</v>
      </c>
    </row>
    <row r="417" spans="2:18" s="34" customFormat="1" ht="22.5" customHeight="1">
      <c r="B417" s="75" t="s">
        <v>822</v>
      </c>
      <c r="C417" s="76" t="s">
        <v>823</v>
      </c>
      <c r="D417" s="77" t="s">
        <v>131</v>
      </c>
      <c r="E417" s="93">
        <v>37</v>
      </c>
      <c r="F417" s="79"/>
      <c r="G417" s="79"/>
      <c r="H417" s="79"/>
      <c r="I417" s="79">
        <f>SUM(G417:H417)+'BM 009'!I417</f>
        <v>0</v>
      </c>
      <c r="J417" s="79">
        <f t="shared" si="188"/>
        <v>37</v>
      </c>
      <c r="K417" s="80">
        <v>34.119999999999997</v>
      </c>
      <c r="L417" s="81">
        <f t="shared" si="187"/>
        <v>43.250515753199998</v>
      </c>
      <c r="M417" s="82">
        <f t="shared" si="182"/>
        <v>0</v>
      </c>
      <c r="N417" s="82">
        <f t="shared" si="183"/>
        <v>0</v>
      </c>
      <c r="O417" s="82">
        <f>N417+'BM 009'!O417</f>
        <v>0</v>
      </c>
      <c r="P417" s="80">
        <f t="shared" si="184"/>
        <v>1262.4399999999998</v>
      </c>
      <c r="Q417" s="82">
        <f t="shared" si="185"/>
        <v>1600.26</v>
      </c>
      <c r="R417" s="82">
        <f t="shared" si="186"/>
        <v>1600.26</v>
      </c>
    </row>
    <row r="418" spans="2:18" s="34" customFormat="1" ht="34.799999999999997">
      <c r="B418" s="75" t="s">
        <v>824</v>
      </c>
      <c r="C418" s="76" t="s">
        <v>825</v>
      </c>
      <c r="D418" s="77" t="s">
        <v>131</v>
      </c>
      <c r="E418" s="93">
        <v>77</v>
      </c>
      <c r="F418" s="79"/>
      <c r="G418" s="79"/>
      <c r="H418" s="79"/>
      <c r="I418" s="79">
        <f>SUM(G418:H418)+'BM 009'!I418</f>
        <v>0</v>
      </c>
      <c r="J418" s="79">
        <f t="shared" si="188"/>
        <v>77</v>
      </c>
      <c r="K418" s="80">
        <v>42</v>
      </c>
      <c r="L418" s="81">
        <f t="shared" si="187"/>
        <v>53.239204620000002</v>
      </c>
      <c r="M418" s="82">
        <f t="shared" si="182"/>
        <v>0</v>
      </c>
      <c r="N418" s="82">
        <f t="shared" si="183"/>
        <v>0</v>
      </c>
      <c r="O418" s="82">
        <f>N418+'BM 009'!O418</f>
        <v>0</v>
      </c>
      <c r="P418" s="80">
        <f t="shared" si="184"/>
        <v>3234</v>
      </c>
      <c r="Q418" s="82">
        <f t="shared" si="185"/>
        <v>4099.41</v>
      </c>
      <c r="R418" s="82">
        <f t="shared" si="186"/>
        <v>4099.41</v>
      </c>
    </row>
    <row r="419" spans="2:18" s="34" customFormat="1" ht="34.799999999999997">
      <c r="B419" s="75" t="s">
        <v>826</v>
      </c>
      <c r="C419" s="76" t="s">
        <v>827</v>
      </c>
      <c r="D419" s="77" t="s">
        <v>131</v>
      </c>
      <c r="E419" s="93">
        <v>1</v>
      </c>
      <c r="F419" s="79"/>
      <c r="G419" s="79"/>
      <c r="H419" s="79"/>
      <c r="I419" s="79">
        <f>SUM(G419:H419)+'BM 009'!I419</f>
        <v>0</v>
      </c>
      <c r="J419" s="79">
        <f t="shared" si="188"/>
        <v>1</v>
      </c>
      <c r="K419" s="80">
        <v>88</v>
      </c>
      <c r="L419" s="81">
        <f t="shared" si="187"/>
        <v>111.54880968000001</v>
      </c>
      <c r="M419" s="82">
        <f t="shared" si="182"/>
        <v>0</v>
      </c>
      <c r="N419" s="82">
        <f t="shared" si="183"/>
        <v>0</v>
      </c>
      <c r="O419" s="82">
        <f>N419+'BM 009'!O419</f>
        <v>0</v>
      </c>
      <c r="P419" s="80">
        <f t="shared" si="184"/>
        <v>88</v>
      </c>
      <c r="Q419" s="82">
        <f t="shared" si="185"/>
        <v>111.54</v>
      </c>
      <c r="R419" s="82">
        <f t="shared" si="186"/>
        <v>111.54</v>
      </c>
    </row>
    <row r="420" spans="2:18" s="34" customFormat="1" ht="34.799999999999997">
      <c r="B420" s="75" t="s">
        <v>828</v>
      </c>
      <c r="C420" s="76" t="s">
        <v>829</v>
      </c>
      <c r="D420" s="77" t="s">
        <v>131</v>
      </c>
      <c r="E420" s="93">
        <v>4</v>
      </c>
      <c r="F420" s="79"/>
      <c r="G420" s="79"/>
      <c r="H420" s="79"/>
      <c r="I420" s="79">
        <f>SUM(G420:H420)+'BM 009'!I420</f>
        <v>0</v>
      </c>
      <c r="J420" s="79">
        <f t="shared" si="188"/>
        <v>4</v>
      </c>
      <c r="K420" s="80">
        <v>235</v>
      </c>
      <c r="L420" s="81">
        <f t="shared" si="187"/>
        <v>297.88602585000001</v>
      </c>
      <c r="M420" s="82">
        <f t="shared" si="182"/>
        <v>0</v>
      </c>
      <c r="N420" s="82">
        <f t="shared" si="183"/>
        <v>0</v>
      </c>
      <c r="O420" s="82">
        <f>N420+'BM 009'!O420</f>
        <v>0</v>
      </c>
      <c r="P420" s="80">
        <f t="shared" si="184"/>
        <v>940</v>
      </c>
      <c r="Q420" s="82">
        <f t="shared" si="185"/>
        <v>1191.54</v>
      </c>
      <c r="R420" s="82">
        <f t="shared" si="186"/>
        <v>1191.54</v>
      </c>
    </row>
    <row r="421" spans="2:18" s="34" customFormat="1" ht="57.6">
      <c r="B421" s="75" t="s">
        <v>830</v>
      </c>
      <c r="C421" s="76" t="s">
        <v>831</v>
      </c>
      <c r="D421" s="77" t="s">
        <v>131</v>
      </c>
      <c r="E421" s="93">
        <v>326</v>
      </c>
      <c r="F421" s="79"/>
      <c r="G421" s="79"/>
      <c r="H421" s="79"/>
      <c r="I421" s="79">
        <f>SUM(G421:H421)+'BM 009'!I421</f>
        <v>0</v>
      </c>
      <c r="J421" s="79">
        <f t="shared" si="188"/>
        <v>326</v>
      </c>
      <c r="K421" s="80">
        <v>9.08</v>
      </c>
      <c r="L421" s="81">
        <f t="shared" si="187"/>
        <v>11.509808998800001</v>
      </c>
      <c r="M421" s="82">
        <f t="shared" si="182"/>
        <v>0</v>
      </c>
      <c r="N421" s="82">
        <f t="shared" si="183"/>
        <v>0</v>
      </c>
      <c r="O421" s="82">
        <f>N421+'BM 009'!O421</f>
        <v>0</v>
      </c>
      <c r="P421" s="80">
        <f t="shared" si="184"/>
        <v>2960.08</v>
      </c>
      <c r="Q421" s="82">
        <f t="shared" si="185"/>
        <v>3752.19</v>
      </c>
      <c r="R421" s="82">
        <f t="shared" si="186"/>
        <v>3752.19</v>
      </c>
    </row>
    <row r="422" spans="2:18" s="34" customFormat="1" ht="46.2">
      <c r="B422" s="75" t="s">
        <v>832</v>
      </c>
      <c r="C422" s="76" t="s">
        <v>833</v>
      </c>
      <c r="D422" s="77" t="s">
        <v>131</v>
      </c>
      <c r="E422" s="93">
        <v>166</v>
      </c>
      <c r="F422" s="79"/>
      <c r="G422" s="79"/>
      <c r="H422" s="79"/>
      <c r="I422" s="79">
        <f>SUM(G422:H422)+'BM 009'!I422</f>
        <v>0</v>
      </c>
      <c r="J422" s="79">
        <f t="shared" si="188"/>
        <v>166</v>
      </c>
      <c r="K422" s="80">
        <v>9.4600000000000009</v>
      </c>
      <c r="L422" s="81">
        <f t="shared" si="187"/>
        <v>11.991497040600002</v>
      </c>
      <c r="M422" s="82">
        <f t="shared" si="182"/>
        <v>0</v>
      </c>
      <c r="N422" s="82">
        <f t="shared" si="183"/>
        <v>0</v>
      </c>
      <c r="O422" s="82">
        <f>N422+'BM 009'!O422</f>
        <v>0</v>
      </c>
      <c r="P422" s="80">
        <f t="shared" si="184"/>
        <v>1570.3600000000001</v>
      </c>
      <c r="Q422" s="82">
        <f t="shared" si="185"/>
        <v>1990.58</v>
      </c>
      <c r="R422" s="82">
        <f t="shared" si="186"/>
        <v>1990.58</v>
      </c>
    </row>
    <row r="423" spans="2:18" s="34" customFormat="1" ht="13.2">
      <c r="B423" s="75" t="s">
        <v>834</v>
      </c>
      <c r="C423" s="76" t="s">
        <v>747</v>
      </c>
      <c r="D423" s="77" t="s">
        <v>131</v>
      </c>
      <c r="E423" s="93">
        <v>96</v>
      </c>
      <c r="F423" s="79"/>
      <c r="G423" s="79"/>
      <c r="H423" s="79"/>
      <c r="I423" s="79">
        <f>SUM(G423:H423)+'BM 009'!I423</f>
        <v>0</v>
      </c>
      <c r="J423" s="79">
        <f t="shared" si="188"/>
        <v>96</v>
      </c>
      <c r="K423" s="80">
        <v>5.14</v>
      </c>
      <c r="L423" s="81">
        <f t="shared" si="187"/>
        <v>6.5154645654000003</v>
      </c>
      <c r="M423" s="82">
        <f t="shared" si="182"/>
        <v>0</v>
      </c>
      <c r="N423" s="82">
        <f t="shared" si="183"/>
        <v>0</v>
      </c>
      <c r="O423" s="82">
        <f>N423+'BM 009'!O423</f>
        <v>0</v>
      </c>
      <c r="P423" s="80">
        <f t="shared" si="184"/>
        <v>493.43999999999994</v>
      </c>
      <c r="Q423" s="82">
        <f t="shared" si="185"/>
        <v>625.48</v>
      </c>
      <c r="R423" s="82">
        <f t="shared" si="186"/>
        <v>625.48</v>
      </c>
    </row>
    <row r="424" spans="2:18" s="34" customFormat="1" ht="46.2">
      <c r="B424" s="75" t="s">
        <v>835</v>
      </c>
      <c r="C424" s="76" t="s">
        <v>836</v>
      </c>
      <c r="D424" s="77" t="s">
        <v>131</v>
      </c>
      <c r="E424" s="93">
        <v>26</v>
      </c>
      <c r="F424" s="79"/>
      <c r="G424" s="79"/>
      <c r="H424" s="79"/>
      <c r="I424" s="79">
        <f>SUM(G424:H424)+'BM 009'!I424</f>
        <v>0</v>
      </c>
      <c r="J424" s="79">
        <f t="shared" si="188"/>
        <v>26</v>
      </c>
      <c r="K424" s="80">
        <v>21.35</v>
      </c>
      <c r="L424" s="81">
        <f t="shared" si="187"/>
        <v>27.063262348500004</v>
      </c>
      <c r="M424" s="82">
        <f t="shared" si="182"/>
        <v>0</v>
      </c>
      <c r="N424" s="82">
        <f t="shared" si="183"/>
        <v>0</v>
      </c>
      <c r="O424" s="82">
        <f>N424+'BM 009'!O424</f>
        <v>0</v>
      </c>
      <c r="P424" s="80">
        <f t="shared" si="184"/>
        <v>555.1</v>
      </c>
      <c r="Q424" s="82">
        <f t="shared" si="185"/>
        <v>703.64</v>
      </c>
      <c r="R424" s="82">
        <f t="shared" si="186"/>
        <v>703.64</v>
      </c>
    </row>
    <row r="425" spans="2:18" s="34" customFormat="1" ht="46.2">
      <c r="B425" s="75" t="s">
        <v>837</v>
      </c>
      <c r="C425" s="76" t="s">
        <v>838</v>
      </c>
      <c r="D425" s="77" t="s">
        <v>131</v>
      </c>
      <c r="E425" s="93">
        <v>86</v>
      </c>
      <c r="F425" s="79"/>
      <c r="G425" s="79"/>
      <c r="H425" s="79"/>
      <c r="I425" s="79">
        <f>SUM(G425:H425)+'BM 009'!I425</f>
        <v>0</v>
      </c>
      <c r="J425" s="79">
        <f t="shared" si="188"/>
        <v>86</v>
      </c>
      <c r="K425" s="80">
        <v>25.91</v>
      </c>
      <c r="L425" s="81">
        <f t="shared" si="187"/>
        <v>32.843518850100004</v>
      </c>
      <c r="M425" s="82">
        <f t="shared" si="182"/>
        <v>0</v>
      </c>
      <c r="N425" s="82">
        <f t="shared" si="183"/>
        <v>0</v>
      </c>
      <c r="O425" s="82">
        <f>N425+'BM 009'!O425</f>
        <v>0</v>
      </c>
      <c r="P425" s="80">
        <f t="shared" si="184"/>
        <v>2228.2600000000002</v>
      </c>
      <c r="Q425" s="82">
        <f t="shared" si="185"/>
        <v>2824.54</v>
      </c>
      <c r="R425" s="82">
        <f t="shared" si="186"/>
        <v>2824.54</v>
      </c>
    </row>
    <row r="426" spans="2:18" s="34" customFormat="1" ht="34.799999999999997">
      <c r="B426" s="75" t="s">
        <v>839</v>
      </c>
      <c r="C426" s="76" t="s">
        <v>840</v>
      </c>
      <c r="D426" s="77" t="s">
        <v>131</v>
      </c>
      <c r="E426" s="93">
        <v>19</v>
      </c>
      <c r="F426" s="79"/>
      <c r="G426" s="79"/>
      <c r="H426" s="79"/>
      <c r="I426" s="79">
        <f>SUM(G426:H426)+'BM 009'!I426</f>
        <v>0</v>
      </c>
      <c r="J426" s="79">
        <f t="shared" si="188"/>
        <v>19</v>
      </c>
      <c r="K426" s="80">
        <v>100.92</v>
      </c>
      <c r="L426" s="81">
        <f t="shared" si="187"/>
        <v>127.9262031012</v>
      </c>
      <c r="M426" s="82">
        <f t="shared" si="182"/>
        <v>0</v>
      </c>
      <c r="N426" s="82">
        <f t="shared" si="183"/>
        <v>0</v>
      </c>
      <c r="O426" s="82">
        <f>N426+'BM 009'!O426</f>
        <v>0</v>
      </c>
      <c r="P426" s="80">
        <f t="shared" si="184"/>
        <v>1917.48</v>
      </c>
      <c r="Q426" s="82">
        <f t="shared" si="185"/>
        <v>2430.59</v>
      </c>
      <c r="R426" s="82">
        <f t="shared" si="186"/>
        <v>2430.59</v>
      </c>
    </row>
    <row r="427" spans="2:18" s="34" customFormat="1" ht="34.799999999999997">
      <c r="B427" s="75" t="s">
        <v>841</v>
      </c>
      <c r="C427" s="76" t="s">
        <v>842</v>
      </c>
      <c r="D427" s="77" t="s">
        <v>131</v>
      </c>
      <c r="E427" s="93">
        <v>1</v>
      </c>
      <c r="F427" s="79"/>
      <c r="G427" s="79"/>
      <c r="H427" s="79"/>
      <c r="I427" s="79">
        <f>SUM(G427:H427)+'BM 009'!I427</f>
        <v>0</v>
      </c>
      <c r="J427" s="79">
        <f t="shared" si="188"/>
        <v>1</v>
      </c>
      <c r="K427" s="80">
        <v>135</v>
      </c>
      <c r="L427" s="81">
        <f t="shared" si="187"/>
        <v>171.12601485000002</v>
      </c>
      <c r="M427" s="82">
        <f t="shared" si="182"/>
        <v>0</v>
      </c>
      <c r="N427" s="82">
        <f t="shared" si="183"/>
        <v>0</v>
      </c>
      <c r="O427" s="82">
        <f>N427+'BM 009'!O427</f>
        <v>0</v>
      </c>
      <c r="P427" s="80">
        <f t="shared" si="184"/>
        <v>135</v>
      </c>
      <c r="Q427" s="82">
        <f t="shared" si="185"/>
        <v>171.12</v>
      </c>
      <c r="R427" s="82">
        <f t="shared" si="186"/>
        <v>171.12</v>
      </c>
    </row>
    <row r="428" spans="2:18" s="34" customFormat="1" ht="46.2">
      <c r="B428" s="75" t="s">
        <v>843</v>
      </c>
      <c r="C428" s="76" t="s">
        <v>844</v>
      </c>
      <c r="D428" s="77" t="s">
        <v>131</v>
      </c>
      <c r="E428" s="93">
        <v>38</v>
      </c>
      <c r="F428" s="79"/>
      <c r="G428" s="79"/>
      <c r="H428" s="79"/>
      <c r="I428" s="79">
        <f>SUM(G428:H428)+'BM 009'!I428</f>
        <v>0</v>
      </c>
      <c r="J428" s="79">
        <f t="shared" si="188"/>
        <v>38</v>
      </c>
      <c r="K428" s="80">
        <v>9.08</v>
      </c>
      <c r="L428" s="81">
        <f t="shared" si="187"/>
        <v>11.509808998800001</v>
      </c>
      <c r="M428" s="82">
        <f t="shared" si="182"/>
        <v>0</v>
      </c>
      <c r="N428" s="82">
        <f t="shared" si="183"/>
        <v>0</v>
      </c>
      <c r="O428" s="82">
        <f>N428+'BM 009'!O428</f>
        <v>0</v>
      </c>
      <c r="P428" s="80">
        <f t="shared" si="184"/>
        <v>345.04</v>
      </c>
      <c r="Q428" s="82">
        <f t="shared" si="185"/>
        <v>437.37</v>
      </c>
      <c r="R428" s="82">
        <f t="shared" si="186"/>
        <v>437.37</v>
      </c>
    </row>
    <row r="429" spans="2:18" s="34" customFormat="1" ht="46.2">
      <c r="B429" s="75" t="s">
        <v>845</v>
      </c>
      <c r="C429" s="76" t="s">
        <v>846</v>
      </c>
      <c r="D429" s="77" t="s">
        <v>131</v>
      </c>
      <c r="E429" s="93">
        <v>38</v>
      </c>
      <c r="F429" s="79"/>
      <c r="G429" s="79"/>
      <c r="H429" s="79"/>
      <c r="I429" s="79">
        <f>SUM(G429:H429)+'BM 009'!I429</f>
        <v>0</v>
      </c>
      <c r="J429" s="79">
        <f t="shared" si="188"/>
        <v>38</v>
      </c>
      <c r="K429" s="80">
        <v>25.03</v>
      </c>
      <c r="L429" s="81">
        <f t="shared" si="187"/>
        <v>31.728030753300004</v>
      </c>
      <c r="M429" s="82">
        <f t="shared" si="182"/>
        <v>0</v>
      </c>
      <c r="N429" s="82">
        <f t="shared" si="183"/>
        <v>0</v>
      </c>
      <c r="O429" s="82">
        <f>N429+'BM 009'!O429</f>
        <v>0</v>
      </c>
      <c r="P429" s="80">
        <f t="shared" si="184"/>
        <v>951.1400000000001</v>
      </c>
      <c r="Q429" s="82">
        <f t="shared" si="185"/>
        <v>1205.6600000000001</v>
      </c>
      <c r="R429" s="82">
        <f t="shared" si="186"/>
        <v>1205.6600000000001</v>
      </c>
    </row>
    <row r="430" spans="2:18" s="34" customFormat="1" ht="46.2">
      <c r="B430" s="75" t="s">
        <v>847</v>
      </c>
      <c r="C430" s="76" t="s">
        <v>848</v>
      </c>
      <c r="D430" s="77" t="s">
        <v>131</v>
      </c>
      <c r="E430" s="93">
        <v>9</v>
      </c>
      <c r="F430" s="79"/>
      <c r="G430" s="79"/>
      <c r="H430" s="79"/>
      <c r="I430" s="79">
        <f>SUM(G430:H430)+'BM 009'!I430</f>
        <v>0</v>
      </c>
      <c r="J430" s="79">
        <f t="shared" si="188"/>
        <v>9</v>
      </c>
      <c r="K430" s="80">
        <v>38.549999999999997</v>
      </c>
      <c r="L430" s="81">
        <f t="shared" si="187"/>
        <v>48.865984240499998</v>
      </c>
      <c r="M430" s="82">
        <f t="shared" si="182"/>
        <v>0</v>
      </c>
      <c r="N430" s="82">
        <f t="shared" si="183"/>
        <v>0</v>
      </c>
      <c r="O430" s="82">
        <f>N430+'BM 009'!O430</f>
        <v>0</v>
      </c>
      <c r="P430" s="80">
        <f t="shared" si="184"/>
        <v>346.95</v>
      </c>
      <c r="Q430" s="82">
        <f t="shared" si="185"/>
        <v>439.79</v>
      </c>
      <c r="R430" s="82">
        <f t="shared" si="186"/>
        <v>439.79</v>
      </c>
    </row>
    <row r="431" spans="2:18" s="34" customFormat="1" ht="57.6">
      <c r="B431" s="75" t="s">
        <v>849</v>
      </c>
      <c r="C431" s="76" t="s">
        <v>850</v>
      </c>
      <c r="D431" s="77" t="s">
        <v>131</v>
      </c>
      <c r="E431" s="93">
        <v>24</v>
      </c>
      <c r="F431" s="79"/>
      <c r="G431" s="79"/>
      <c r="H431" s="79"/>
      <c r="I431" s="79">
        <f>SUM(G431:H431)+'BM 009'!I431</f>
        <v>0</v>
      </c>
      <c r="J431" s="79">
        <f t="shared" si="188"/>
        <v>24</v>
      </c>
      <c r="K431" s="80">
        <v>48.29</v>
      </c>
      <c r="L431" s="81">
        <f t="shared" si="187"/>
        <v>61.212409311900004</v>
      </c>
      <c r="M431" s="82">
        <f t="shared" si="182"/>
        <v>0</v>
      </c>
      <c r="N431" s="82">
        <f t="shared" si="183"/>
        <v>0</v>
      </c>
      <c r="O431" s="82">
        <f>N431+'BM 009'!O431</f>
        <v>0</v>
      </c>
      <c r="P431" s="80">
        <f t="shared" si="184"/>
        <v>1158.96</v>
      </c>
      <c r="Q431" s="82">
        <f t="shared" si="185"/>
        <v>1469.09</v>
      </c>
      <c r="R431" s="82">
        <f t="shared" si="186"/>
        <v>1469.09</v>
      </c>
    </row>
    <row r="432" spans="2:18" s="34" customFormat="1" ht="23.4">
      <c r="B432" s="75" t="s">
        <v>851</v>
      </c>
      <c r="C432" s="76" t="s">
        <v>852</v>
      </c>
      <c r="D432" s="77" t="s">
        <v>131</v>
      </c>
      <c r="E432" s="93">
        <v>64</v>
      </c>
      <c r="F432" s="79"/>
      <c r="G432" s="79"/>
      <c r="H432" s="79"/>
      <c r="I432" s="79">
        <f>SUM(G432:H432)+'BM 009'!I432</f>
        <v>0</v>
      </c>
      <c r="J432" s="79">
        <f t="shared" si="188"/>
        <v>64</v>
      </c>
      <c r="K432" s="80">
        <v>28.98</v>
      </c>
      <c r="L432" s="81">
        <f t="shared" si="187"/>
        <v>36.735051187800003</v>
      </c>
      <c r="M432" s="82">
        <f t="shared" si="182"/>
        <v>0</v>
      </c>
      <c r="N432" s="82">
        <f t="shared" si="183"/>
        <v>0</v>
      </c>
      <c r="O432" s="82">
        <f>N432+'BM 009'!O432</f>
        <v>0</v>
      </c>
      <c r="P432" s="80">
        <f t="shared" si="184"/>
        <v>1854.72</v>
      </c>
      <c r="Q432" s="82">
        <f t="shared" si="185"/>
        <v>2351.04</v>
      </c>
      <c r="R432" s="82">
        <f t="shared" si="186"/>
        <v>2351.04</v>
      </c>
    </row>
    <row r="433" spans="2:18" s="34" customFormat="1" ht="23.4">
      <c r="B433" s="75" t="s">
        <v>853</v>
      </c>
      <c r="C433" s="76" t="s">
        <v>854</v>
      </c>
      <c r="D433" s="77" t="s">
        <v>131</v>
      </c>
      <c r="E433" s="93">
        <v>69</v>
      </c>
      <c r="F433" s="79"/>
      <c r="G433" s="79"/>
      <c r="H433" s="79"/>
      <c r="I433" s="79">
        <f>SUM(G433:H433)+'BM 009'!I433</f>
        <v>0</v>
      </c>
      <c r="J433" s="79">
        <f t="shared" si="188"/>
        <v>69</v>
      </c>
      <c r="K433" s="80">
        <v>44.64</v>
      </c>
      <c r="L433" s="81">
        <f t="shared" si="187"/>
        <v>56.585668910400003</v>
      </c>
      <c r="M433" s="82">
        <f t="shared" si="182"/>
        <v>0</v>
      </c>
      <c r="N433" s="82">
        <f t="shared" si="183"/>
        <v>0</v>
      </c>
      <c r="O433" s="82">
        <f>N433+'BM 009'!O433</f>
        <v>0</v>
      </c>
      <c r="P433" s="80">
        <f t="shared" si="184"/>
        <v>3080.16</v>
      </c>
      <c r="Q433" s="82">
        <f t="shared" si="185"/>
        <v>3904.41</v>
      </c>
      <c r="R433" s="82">
        <f t="shared" si="186"/>
        <v>3904.41</v>
      </c>
    </row>
    <row r="434" spans="2:18" s="34" customFormat="1" ht="23.4">
      <c r="B434" s="75" t="s">
        <v>855</v>
      </c>
      <c r="C434" s="76" t="s">
        <v>856</v>
      </c>
      <c r="D434" s="77" t="s">
        <v>131</v>
      </c>
      <c r="E434" s="93">
        <v>1</v>
      </c>
      <c r="F434" s="79"/>
      <c r="G434" s="79"/>
      <c r="H434" s="79"/>
      <c r="I434" s="79">
        <f>SUM(G434:H434)+'BM 009'!I434</f>
        <v>0</v>
      </c>
      <c r="J434" s="79">
        <f t="shared" si="188"/>
        <v>1</v>
      </c>
      <c r="K434" s="80">
        <v>51.15</v>
      </c>
      <c r="L434" s="81">
        <f t="shared" si="187"/>
        <v>64.837745626499995</v>
      </c>
      <c r="M434" s="82">
        <f t="shared" si="182"/>
        <v>0</v>
      </c>
      <c r="N434" s="82">
        <f t="shared" si="183"/>
        <v>0</v>
      </c>
      <c r="O434" s="82">
        <f>N434+'BM 009'!O434</f>
        <v>0</v>
      </c>
      <c r="P434" s="80">
        <f t="shared" si="184"/>
        <v>51.15</v>
      </c>
      <c r="Q434" s="82">
        <f t="shared" si="185"/>
        <v>64.83</v>
      </c>
      <c r="R434" s="82">
        <f t="shared" si="186"/>
        <v>64.83</v>
      </c>
    </row>
    <row r="435" spans="2:18" s="34" customFormat="1" ht="23.4">
      <c r="B435" s="75" t="s">
        <v>857</v>
      </c>
      <c r="C435" s="76" t="s">
        <v>858</v>
      </c>
      <c r="D435" s="77" t="s">
        <v>131</v>
      </c>
      <c r="E435" s="93">
        <v>52</v>
      </c>
      <c r="F435" s="79"/>
      <c r="G435" s="79"/>
      <c r="H435" s="79"/>
      <c r="I435" s="79">
        <f>SUM(G435:H435)+'BM 009'!I435</f>
        <v>0</v>
      </c>
      <c r="J435" s="79">
        <f t="shared" si="188"/>
        <v>52</v>
      </c>
      <c r="K435" s="80">
        <v>140</v>
      </c>
      <c r="L435" s="81">
        <f t="shared" si="187"/>
        <v>177.46401539999999</v>
      </c>
      <c r="M435" s="82">
        <f t="shared" si="182"/>
        <v>0</v>
      </c>
      <c r="N435" s="82">
        <f t="shared" si="183"/>
        <v>0</v>
      </c>
      <c r="O435" s="82">
        <f>N435+'BM 009'!O435</f>
        <v>0</v>
      </c>
      <c r="P435" s="80">
        <f t="shared" si="184"/>
        <v>7280</v>
      </c>
      <c r="Q435" s="82">
        <f t="shared" si="185"/>
        <v>9228.1200000000008</v>
      </c>
      <c r="R435" s="82">
        <f t="shared" si="186"/>
        <v>9228.1200000000008</v>
      </c>
    </row>
    <row r="436" spans="2:18" s="34" customFormat="1" ht="34.799999999999997">
      <c r="B436" s="75" t="s">
        <v>859</v>
      </c>
      <c r="C436" s="76" t="s">
        <v>860</v>
      </c>
      <c r="D436" s="77" t="s">
        <v>131</v>
      </c>
      <c r="E436" s="93">
        <v>68</v>
      </c>
      <c r="F436" s="79"/>
      <c r="G436" s="79"/>
      <c r="H436" s="79"/>
      <c r="I436" s="79">
        <f>SUM(G436:H436)+'BM 009'!I436</f>
        <v>0</v>
      </c>
      <c r="J436" s="79">
        <f t="shared" si="188"/>
        <v>68</v>
      </c>
      <c r="K436" s="80">
        <v>80</v>
      </c>
      <c r="L436" s="81">
        <f t="shared" si="187"/>
        <v>101.4080088</v>
      </c>
      <c r="M436" s="82">
        <f t="shared" si="182"/>
        <v>0</v>
      </c>
      <c r="N436" s="82">
        <f t="shared" si="183"/>
        <v>0</v>
      </c>
      <c r="O436" s="82">
        <f>N436+'BM 009'!O436</f>
        <v>0</v>
      </c>
      <c r="P436" s="80">
        <f t="shared" si="184"/>
        <v>5440</v>
      </c>
      <c r="Q436" s="82">
        <f t="shared" si="185"/>
        <v>6895.74</v>
      </c>
      <c r="R436" s="82">
        <f t="shared" si="186"/>
        <v>6895.74</v>
      </c>
    </row>
    <row r="437" spans="2:18" s="34" customFormat="1" ht="23.4">
      <c r="B437" s="75" t="s">
        <v>861</v>
      </c>
      <c r="C437" s="76" t="s">
        <v>862</v>
      </c>
      <c r="D437" s="77" t="s">
        <v>131</v>
      </c>
      <c r="E437" s="93">
        <v>10</v>
      </c>
      <c r="F437" s="79"/>
      <c r="G437" s="79"/>
      <c r="H437" s="79"/>
      <c r="I437" s="79">
        <f>SUM(G437:H437)+'BM 009'!I437</f>
        <v>0</v>
      </c>
      <c r="J437" s="79">
        <f t="shared" si="188"/>
        <v>10</v>
      </c>
      <c r="K437" s="80">
        <v>18.14</v>
      </c>
      <c r="L437" s="81">
        <f t="shared" si="187"/>
        <v>22.994265995400003</v>
      </c>
      <c r="M437" s="82">
        <f t="shared" si="182"/>
        <v>0</v>
      </c>
      <c r="N437" s="82">
        <f t="shared" si="183"/>
        <v>0</v>
      </c>
      <c r="O437" s="82">
        <f>N437+'BM 009'!O437</f>
        <v>0</v>
      </c>
      <c r="P437" s="80">
        <f t="shared" si="184"/>
        <v>181.4</v>
      </c>
      <c r="Q437" s="82">
        <f t="shared" si="185"/>
        <v>229.94</v>
      </c>
      <c r="R437" s="82">
        <f t="shared" si="186"/>
        <v>229.94</v>
      </c>
    </row>
    <row r="438" spans="2:18" s="34" customFormat="1" ht="23.4">
      <c r="B438" s="75" t="s">
        <v>863</v>
      </c>
      <c r="C438" s="76" t="s">
        <v>864</v>
      </c>
      <c r="D438" s="77" t="s">
        <v>131</v>
      </c>
      <c r="E438" s="93">
        <v>54</v>
      </c>
      <c r="F438" s="79"/>
      <c r="G438" s="79"/>
      <c r="H438" s="79"/>
      <c r="I438" s="79">
        <f>SUM(G438:H438)+'BM 009'!I438</f>
        <v>0</v>
      </c>
      <c r="J438" s="79">
        <f t="shared" si="188"/>
        <v>54</v>
      </c>
      <c r="K438" s="80">
        <v>21.55</v>
      </c>
      <c r="L438" s="81">
        <f t="shared" si="187"/>
        <v>27.316782370500004</v>
      </c>
      <c r="M438" s="82">
        <f t="shared" si="182"/>
        <v>0</v>
      </c>
      <c r="N438" s="82">
        <f t="shared" si="183"/>
        <v>0</v>
      </c>
      <c r="O438" s="82">
        <f>N438+'BM 009'!O438</f>
        <v>0</v>
      </c>
      <c r="P438" s="80">
        <f t="shared" si="184"/>
        <v>1163.7</v>
      </c>
      <c r="Q438" s="82">
        <f t="shared" si="185"/>
        <v>1475.1</v>
      </c>
      <c r="R438" s="82">
        <f t="shared" si="186"/>
        <v>1475.1</v>
      </c>
    </row>
    <row r="439" spans="2:18" s="34" customFormat="1" ht="23.4">
      <c r="B439" s="75" t="s">
        <v>865</v>
      </c>
      <c r="C439" s="76" t="s">
        <v>866</v>
      </c>
      <c r="D439" s="77" t="s">
        <v>131</v>
      </c>
      <c r="E439" s="93">
        <v>7</v>
      </c>
      <c r="F439" s="79"/>
      <c r="G439" s="79"/>
      <c r="H439" s="79"/>
      <c r="I439" s="79">
        <f>SUM(G439:H439)+'BM 009'!I439</f>
        <v>0</v>
      </c>
      <c r="J439" s="79">
        <f t="shared" si="188"/>
        <v>7</v>
      </c>
      <c r="K439" s="80">
        <v>22.95</v>
      </c>
      <c r="L439" s="81">
        <f t="shared" si="187"/>
        <v>29.0914225245</v>
      </c>
      <c r="M439" s="82">
        <f t="shared" ref="M439:M470" si="189">TRUNC(F439*L439,2)</f>
        <v>0</v>
      </c>
      <c r="N439" s="82">
        <f t="shared" ref="N439:N473" si="190">TRUNC(G439*L439,2)</f>
        <v>0</v>
      </c>
      <c r="O439" s="82">
        <f>N439+'BM 009'!O439</f>
        <v>0</v>
      </c>
      <c r="P439" s="80">
        <f t="shared" ref="P439:P464" si="191">E439*K439</f>
        <v>160.65</v>
      </c>
      <c r="Q439" s="82">
        <f t="shared" ref="Q439:Q473" si="192">TRUNC(E439*L439,2)</f>
        <v>203.63</v>
      </c>
      <c r="R439" s="82">
        <f t="shared" ref="R439:R470" si="193">Q439-O439</f>
        <v>203.63</v>
      </c>
    </row>
    <row r="440" spans="2:18" s="34" customFormat="1" ht="23.4">
      <c r="B440" s="75" t="s">
        <v>867</v>
      </c>
      <c r="C440" s="76" t="s">
        <v>868</v>
      </c>
      <c r="D440" s="77" t="s">
        <v>131</v>
      </c>
      <c r="E440" s="93">
        <v>48</v>
      </c>
      <c r="F440" s="79"/>
      <c r="G440" s="79"/>
      <c r="H440" s="79"/>
      <c r="I440" s="79">
        <f>SUM(G440:H440)+'BM 009'!I440</f>
        <v>0</v>
      </c>
      <c r="J440" s="79">
        <f t="shared" si="188"/>
        <v>48</v>
      </c>
      <c r="K440" s="80">
        <v>49</v>
      </c>
      <c r="L440" s="81">
        <f t="shared" si="187"/>
        <v>62.112405390000006</v>
      </c>
      <c r="M440" s="82">
        <f t="shared" si="189"/>
        <v>0</v>
      </c>
      <c r="N440" s="82">
        <f t="shared" si="190"/>
        <v>0</v>
      </c>
      <c r="O440" s="82">
        <f>N440+'BM 009'!O440</f>
        <v>0</v>
      </c>
      <c r="P440" s="80">
        <f t="shared" si="191"/>
        <v>2352</v>
      </c>
      <c r="Q440" s="82">
        <f t="shared" si="192"/>
        <v>2981.39</v>
      </c>
      <c r="R440" s="82">
        <f t="shared" si="193"/>
        <v>2981.39</v>
      </c>
    </row>
    <row r="441" spans="2:18" s="34" customFormat="1" ht="23.4">
      <c r="B441" s="75" t="s">
        <v>869</v>
      </c>
      <c r="C441" s="76" t="s">
        <v>870</v>
      </c>
      <c r="D441" s="77" t="s">
        <v>131</v>
      </c>
      <c r="E441" s="93">
        <v>1</v>
      </c>
      <c r="F441" s="79"/>
      <c r="G441" s="79"/>
      <c r="H441" s="79"/>
      <c r="I441" s="79">
        <f>SUM(G441:H441)+'BM 009'!I441</f>
        <v>0</v>
      </c>
      <c r="J441" s="79">
        <f t="shared" si="188"/>
        <v>1</v>
      </c>
      <c r="K441" s="80">
        <v>37.4</v>
      </c>
      <c r="L441" s="81">
        <f t="shared" si="187"/>
        <v>47.408244113999999</v>
      </c>
      <c r="M441" s="82">
        <f t="shared" si="189"/>
        <v>0</v>
      </c>
      <c r="N441" s="82">
        <f t="shared" si="190"/>
        <v>0</v>
      </c>
      <c r="O441" s="82">
        <f>N441+'BM 009'!O441</f>
        <v>0</v>
      </c>
      <c r="P441" s="80">
        <f t="shared" si="191"/>
        <v>37.4</v>
      </c>
      <c r="Q441" s="82">
        <f t="shared" si="192"/>
        <v>47.4</v>
      </c>
      <c r="R441" s="82">
        <f t="shared" si="193"/>
        <v>47.4</v>
      </c>
    </row>
    <row r="442" spans="2:18" s="34" customFormat="1" ht="23.4">
      <c r="B442" s="75" t="s">
        <v>871</v>
      </c>
      <c r="C442" s="76" t="s">
        <v>872</v>
      </c>
      <c r="D442" s="77" t="s">
        <v>131</v>
      </c>
      <c r="E442" s="93">
        <v>2</v>
      </c>
      <c r="F442" s="79"/>
      <c r="G442" s="79"/>
      <c r="H442" s="79"/>
      <c r="I442" s="79">
        <f>SUM(G442:H442)+'BM 009'!I442</f>
        <v>0</v>
      </c>
      <c r="J442" s="79">
        <f t="shared" si="188"/>
        <v>2</v>
      </c>
      <c r="K442" s="80">
        <v>78.239999999999995</v>
      </c>
      <c r="L442" s="81">
        <f t="shared" si="187"/>
        <v>99.177032606400005</v>
      </c>
      <c r="M442" s="82">
        <f t="shared" si="189"/>
        <v>0</v>
      </c>
      <c r="N442" s="82">
        <f t="shared" si="190"/>
        <v>0</v>
      </c>
      <c r="O442" s="82">
        <f>N442+'BM 009'!O442</f>
        <v>0</v>
      </c>
      <c r="P442" s="80">
        <f t="shared" si="191"/>
        <v>156.47999999999999</v>
      </c>
      <c r="Q442" s="82">
        <f t="shared" si="192"/>
        <v>198.35</v>
      </c>
      <c r="R442" s="82">
        <f t="shared" si="193"/>
        <v>198.35</v>
      </c>
    </row>
    <row r="443" spans="2:18" s="34" customFormat="1" ht="23.4">
      <c r="B443" s="75" t="s">
        <v>873</v>
      </c>
      <c r="C443" s="76" t="s">
        <v>874</v>
      </c>
      <c r="D443" s="77" t="s">
        <v>131</v>
      </c>
      <c r="E443" s="93">
        <v>1</v>
      </c>
      <c r="F443" s="79"/>
      <c r="G443" s="79"/>
      <c r="H443" s="79"/>
      <c r="I443" s="79">
        <f>SUM(G443:H443)+'BM 009'!I443</f>
        <v>0</v>
      </c>
      <c r="J443" s="79">
        <f t="shared" si="188"/>
        <v>1</v>
      </c>
      <c r="K443" s="80">
        <v>155</v>
      </c>
      <c r="L443" s="81">
        <f t="shared" si="187"/>
        <v>196.47801705000001</v>
      </c>
      <c r="M443" s="82">
        <f t="shared" si="189"/>
        <v>0</v>
      </c>
      <c r="N443" s="82">
        <f t="shared" si="190"/>
        <v>0</v>
      </c>
      <c r="O443" s="82">
        <f>N443+'BM 009'!O443</f>
        <v>0</v>
      </c>
      <c r="P443" s="80">
        <f t="shared" si="191"/>
        <v>155</v>
      </c>
      <c r="Q443" s="82">
        <f t="shared" si="192"/>
        <v>196.47</v>
      </c>
      <c r="R443" s="82">
        <f t="shared" si="193"/>
        <v>196.47</v>
      </c>
    </row>
    <row r="444" spans="2:18" s="34" customFormat="1" ht="23.4">
      <c r="B444" s="75" t="s">
        <v>875</v>
      </c>
      <c r="C444" s="76" t="s">
        <v>876</v>
      </c>
      <c r="D444" s="77" t="s">
        <v>131</v>
      </c>
      <c r="E444" s="93">
        <v>17</v>
      </c>
      <c r="F444" s="79"/>
      <c r="G444" s="79"/>
      <c r="H444" s="79"/>
      <c r="I444" s="79">
        <f>SUM(G444:H444)+'BM 009'!I444</f>
        <v>0</v>
      </c>
      <c r="J444" s="79">
        <f t="shared" si="188"/>
        <v>17</v>
      </c>
      <c r="K444" s="80">
        <v>8.85</v>
      </c>
      <c r="L444" s="81">
        <f t="shared" si="187"/>
        <v>11.2182609735</v>
      </c>
      <c r="M444" s="82">
        <f t="shared" si="189"/>
        <v>0</v>
      </c>
      <c r="N444" s="82">
        <f t="shared" si="190"/>
        <v>0</v>
      </c>
      <c r="O444" s="82">
        <f>N444+'BM 009'!O444</f>
        <v>0</v>
      </c>
      <c r="P444" s="80">
        <f t="shared" si="191"/>
        <v>150.44999999999999</v>
      </c>
      <c r="Q444" s="82">
        <f t="shared" si="192"/>
        <v>190.71</v>
      </c>
      <c r="R444" s="82">
        <f t="shared" si="193"/>
        <v>190.71</v>
      </c>
    </row>
    <row r="445" spans="2:18" s="34" customFormat="1" ht="34.799999999999997">
      <c r="B445" s="75" t="s">
        <v>877</v>
      </c>
      <c r="C445" s="76" t="s">
        <v>878</v>
      </c>
      <c r="D445" s="77" t="s">
        <v>131</v>
      </c>
      <c r="E445" s="93">
        <v>3</v>
      </c>
      <c r="F445" s="79"/>
      <c r="G445" s="79"/>
      <c r="H445" s="79"/>
      <c r="I445" s="79">
        <f>SUM(G445:H445)+'BM 009'!I445</f>
        <v>0</v>
      </c>
      <c r="J445" s="79">
        <f t="shared" si="188"/>
        <v>3</v>
      </c>
      <c r="K445" s="80">
        <v>7.63</v>
      </c>
      <c r="L445" s="81">
        <f t="shared" si="187"/>
        <v>9.6717888392999996</v>
      </c>
      <c r="M445" s="82">
        <f t="shared" si="189"/>
        <v>0</v>
      </c>
      <c r="N445" s="82">
        <f t="shared" si="190"/>
        <v>0</v>
      </c>
      <c r="O445" s="82">
        <f>N445+'BM 009'!O445</f>
        <v>0</v>
      </c>
      <c r="P445" s="80">
        <f t="shared" si="191"/>
        <v>22.89</v>
      </c>
      <c r="Q445" s="82">
        <f t="shared" si="192"/>
        <v>29.01</v>
      </c>
      <c r="R445" s="82">
        <f t="shared" si="193"/>
        <v>29.01</v>
      </c>
    </row>
    <row r="446" spans="2:18" s="34" customFormat="1" ht="23.4">
      <c r="B446" s="75" t="s">
        <v>879</v>
      </c>
      <c r="C446" s="88" t="s">
        <v>711</v>
      </c>
      <c r="D446" s="89" t="s">
        <v>131</v>
      </c>
      <c r="E446" s="90">
        <v>82</v>
      </c>
      <c r="F446" s="91"/>
      <c r="G446" s="91"/>
      <c r="H446" s="91"/>
      <c r="I446" s="91">
        <f>SUM(G446:H446)+'BM 009'!I446</f>
        <v>0</v>
      </c>
      <c r="J446" s="91">
        <f t="shared" si="188"/>
        <v>82</v>
      </c>
      <c r="K446" s="80">
        <v>14.54</v>
      </c>
      <c r="L446" s="81">
        <f t="shared" si="187"/>
        <v>18.430905599399999</v>
      </c>
      <c r="M446" s="82">
        <f t="shared" si="189"/>
        <v>0</v>
      </c>
      <c r="N446" s="82">
        <f t="shared" si="190"/>
        <v>0</v>
      </c>
      <c r="O446" s="82">
        <f>N446+'BM 009'!O446</f>
        <v>0</v>
      </c>
      <c r="P446" s="80">
        <f t="shared" si="191"/>
        <v>1192.28</v>
      </c>
      <c r="Q446" s="82">
        <f t="shared" si="192"/>
        <v>1511.33</v>
      </c>
      <c r="R446" s="82">
        <f t="shared" si="193"/>
        <v>1511.33</v>
      </c>
    </row>
    <row r="447" spans="2:18" s="34" customFormat="1" ht="23.4">
      <c r="B447" s="75" t="s">
        <v>880</v>
      </c>
      <c r="C447" s="76" t="s">
        <v>881</v>
      </c>
      <c r="D447" s="77" t="s">
        <v>131</v>
      </c>
      <c r="E447" s="93">
        <v>5</v>
      </c>
      <c r="F447" s="79"/>
      <c r="G447" s="79"/>
      <c r="H447" s="79"/>
      <c r="I447" s="79">
        <f>SUM(G447:H447)+'BM 009'!I447</f>
        <v>0</v>
      </c>
      <c r="J447" s="79">
        <f t="shared" si="188"/>
        <v>5</v>
      </c>
      <c r="K447" s="80">
        <v>19.91</v>
      </c>
      <c r="L447" s="81">
        <f t="shared" si="187"/>
        <v>25.2379181901</v>
      </c>
      <c r="M447" s="82">
        <f t="shared" si="189"/>
        <v>0</v>
      </c>
      <c r="N447" s="82">
        <f t="shared" si="190"/>
        <v>0</v>
      </c>
      <c r="O447" s="82">
        <f>N447+'BM 009'!O447</f>
        <v>0</v>
      </c>
      <c r="P447" s="80">
        <f t="shared" si="191"/>
        <v>99.55</v>
      </c>
      <c r="Q447" s="82">
        <f t="shared" si="192"/>
        <v>126.18</v>
      </c>
      <c r="R447" s="82">
        <f t="shared" si="193"/>
        <v>126.18</v>
      </c>
    </row>
    <row r="448" spans="2:18" s="34" customFormat="1" ht="23.4">
      <c r="B448" s="75" t="s">
        <v>882</v>
      </c>
      <c r="C448" s="76" t="s">
        <v>883</v>
      </c>
      <c r="D448" s="77" t="s">
        <v>131</v>
      </c>
      <c r="E448" s="93">
        <v>1</v>
      </c>
      <c r="F448" s="79"/>
      <c r="G448" s="79"/>
      <c r="H448" s="79"/>
      <c r="I448" s="79">
        <f>SUM(G448:H448)+'BM 009'!I448</f>
        <v>0</v>
      </c>
      <c r="J448" s="79">
        <f t="shared" si="188"/>
        <v>1</v>
      </c>
      <c r="K448" s="80">
        <v>25.24</v>
      </c>
      <c r="L448" s="81">
        <f t="shared" si="187"/>
        <v>31.994226776399998</v>
      </c>
      <c r="M448" s="82">
        <f t="shared" si="189"/>
        <v>0</v>
      </c>
      <c r="N448" s="82">
        <f t="shared" si="190"/>
        <v>0</v>
      </c>
      <c r="O448" s="82">
        <f>N448+'BM 009'!O448</f>
        <v>0</v>
      </c>
      <c r="P448" s="80">
        <f t="shared" si="191"/>
        <v>25.24</v>
      </c>
      <c r="Q448" s="82">
        <f t="shared" si="192"/>
        <v>31.99</v>
      </c>
      <c r="R448" s="82">
        <f t="shared" si="193"/>
        <v>31.99</v>
      </c>
    </row>
    <row r="449" spans="2:18" s="34" customFormat="1" ht="46.2">
      <c r="B449" s="75" t="s">
        <v>884</v>
      </c>
      <c r="C449" s="76" t="s">
        <v>885</v>
      </c>
      <c r="D449" s="77" t="s">
        <v>131</v>
      </c>
      <c r="E449" s="93">
        <v>79</v>
      </c>
      <c r="F449" s="79"/>
      <c r="G449" s="79"/>
      <c r="H449" s="79"/>
      <c r="I449" s="79">
        <f>SUM(G449:H449)+'BM 009'!I449</f>
        <v>0</v>
      </c>
      <c r="J449" s="79">
        <f t="shared" si="188"/>
        <v>79</v>
      </c>
      <c r="K449" s="80">
        <v>13.15</v>
      </c>
      <c r="L449" s="81">
        <f t="shared" si="187"/>
        <v>16.6689414465</v>
      </c>
      <c r="M449" s="82">
        <f t="shared" si="189"/>
        <v>0</v>
      </c>
      <c r="N449" s="82">
        <f t="shared" si="190"/>
        <v>0</v>
      </c>
      <c r="O449" s="82">
        <f>N449+'BM 009'!O449</f>
        <v>0</v>
      </c>
      <c r="P449" s="80">
        <f t="shared" si="191"/>
        <v>1038.8500000000001</v>
      </c>
      <c r="Q449" s="82">
        <f t="shared" si="192"/>
        <v>1316.84</v>
      </c>
      <c r="R449" s="82">
        <f t="shared" si="193"/>
        <v>1316.84</v>
      </c>
    </row>
    <row r="450" spans="2:18" s="34" customFormat="1" ht="23.4">
      <c r="B450" s="75" t="s">
        <v>886</v>
      </c>
      <c r="C450" s="76" t="s">
        <v>757</v>
      </c>
      <c r="D450" s="77" t="s">
        <v>131</v>
      </c>
      <c r="E450" s="93">
        <v>1</v>
      </c>
      <c r="F450" s="79"/>
      <c r="G450" s="79"/>
      <c r="H450" s="79"/>
      <c r="I450" s="79">
        <f>SUM(G450:H450)+'BM 009'!I450</f>
        <v>0</v>
      </c>
      <c r="J450" s="79">
        <f t="shared" si="188"/>
        <v>1</v>
      </c>
      <c r="K450" s="80">
        <v>12.35</v>
      </c>
      <c r="L450" s="81">
        <f t="shared" si="187"/>
        <v>15.6548613585</v>
      </c>
      <c r="M450" s="82">
        <f t="shared" si="189"/>
        <v>0</v>
      </c>
      <c r="N450" s="82">
        <f t="shared" si="190"/>
        <v>0</v>
      </c>
      <c r="O450" s="82">
        <f>N450+'BM 009'!O450</f>
        <v>0</v>
      </c>
      <c r="P450" s="80">
        <f t="shared" si="191"/>
        <v>12.35</v>
      </c>
      <c r="Q450" s="82">
        <f t="shared" si="192"/>
        <v>15.65</v>
      </c>
      <c r="R450" s="82">
        <f t="shared" si="193"/>
        <v>15.65</v>
      </c>
    </row>
    <row r="451" spans="2:18" s="34" customFormat="1" ht="23.4">
      <c r="B451" s="75" t="s">
        <v>887</v>
      </c>
      <c r="C451" s="76" t="s">
        <v>761</v>
      </c>
      <c r="D451" s="77" t="s">
        <v>131</v>
      </c>
      <c r="E451" s="93">
        <v>3</v>
      </c>
      <c r="F451" s="79"/>
      <c r="G451" s="79"/>
      <c r="H451" s="79"/>
      <c r="I451" s="79">
        <f>SUM(G451:H451)+'BM 009'!I451</f>
        <v>0</v>
      </c>
      <c r="J451" s="79">
        <f t="shared" si="188"/>
        <v>3</v>
      </c>
      <c r="K451" s="80">
        <v>18.5</v>
      </c>
      <c r="L451" s="81">
        <f t="shared" si="187"/>
        <v>23.450602035000003</v>
      </c>
      <c r="M451" s="82">
        <f t="shared" si="189"/>
        <v>0</v>
      </c>
      <c r="N451" s="82">
        <f t="shared" si="190"/>
        <v>0</v>
      </c>
      <c r="O451" s="82">
        <f>N451+'BM 009'!O451</f>
        <v>0</v>
      </c>
      <c r="P451" s="80">
        <f t="shared" si="191"/>
        <v>55.5</v>
      </c>
      <c r="Q451" s="82">
        <f t="shared" si="192"/>
        <v>70.349999999999994</v>
      </c>
      <c r="R451" s="82">
        <f t="shared" si="193"/>
        <v>70.349999999999994</v>
      </c>
    </row>
    <row r="452" spans="2:18" s="34" customFormat="1" ht="23.4">
      <c r="B452" s="75" t="s">
        <v>888</v>
      </c>
      <c r="C452" s="76" t="s">
        <v>771</v>
      </c>
      <c r="D452" s="77" t="s">
        <v>131</v>
      </c>
      <c r="E452" s="93">
        <v>77</v>
      </c>
      <c r="F452" s="79"/>
      <c r="G452" s="79"/>
      <c r="H452" s="79"/>
      <c r="I452" s="79">
        <f>SUM(G452:H452)+'BM 009'!I452</f>
        <v>0</v>
      </c>
      <c r="J452" s="79">
        <f t="shared" si="188"/>
        <v>77</v>
      </c>
      <c r="K452" s="80">
        <v>6.59</v>
      </c>
      <c r="L452" s="81">
        <f t="shared" si="187"/>
        <v>8.3534847248999995</v>
      </c>
      <c r="M452" s="82">
        <f t="shared" si="189"/>
        <v>0</v>
      </c>
      <c r="N452" s="82">
        <f t="shared" si="190"/>
        <v>0</v>
      </c>
      <c r="O452" s="82">
        <f>N452+'BM 009'!O452</f>
        <v>0</v>
      </c>
      <c r="P452" s="80">
        <f t="shared" si="191"/>
        <v>507.43</v>
      </c>
      <c r="Q452" s="82">
        <f t="shared" si="192"/>
        <v>643.21</v>
      </c>
      <c r="R452" s="82">
        <f t="shared" si="193"/>
        <v>643.21</v>
      </c>
    </row>
    <row r="453" spans="2:18" s="34" customFormat="1" ht="23.4">
      <c r="B453" s="75" t="s">
        <v>889</v>
      </c>
      <c r="C453" s="76" t="s">
        <v>773</v>
      </c>
      <c r="D453" s="77" t="s">
        <v>131</v>
      </c>
      <c r="E453" s="93">
        <v>3</v>
      </c>
      <c r="F453" s="79"/>
      <c r="G453" s="79"/>
      <c r="H453" s="79"/>
      <c r="I453" s="79">
        <f>SUM(G453:H453)+'BM 009'!I453</f>
        <v>0</v>
      </c>
      <c r="J453" s="79">
        <f t="shared" si="188"/>
        <v>3</v>
      </c>
      <c r="K453" s="80">
        <v>22.07</v>
      </c>
      <c r="L453" s="81">
        <f t="shared" si="187"/>
        <v>27.9759344277</v>
      </c>
      <c r="M453" s="82">
        <f t="shared" si="189"/>
        <v>0</v>
      </c>
      <c r="N453" s="82">
        <f t="shared" si="190"/>
        <v>0</v>
      </c>
      <c r="O453" s="82">
        <f>N453+'BM 009'!O453</f>
        <v>0</v>
      </c>
      <c r="P453" s="80">
        <f t="shared" si="191"/>
        <v>66.210000000000008</v>
      </c>
      <c r="Q453" s="82">
        <f t="shared" si="192"/>
        <v>83.92</v>
      </c>
      <c r="R453" s="82">
        <f t="shared" si="193"/>
        <v>83.92</v>
      </c>
    </row>
    <row r="454" spans="2:18" s="34" customFormat="1" ht="23.4">
      <c r="B454" s="75" t="s">
        <v>890</v>
      </c>
      <c r="C454" s="88" t="s">
        <v>711</v>
      </c>
      <c r="D454" s="89" t="s">
        <v>131</v>
      </c>
      <c r="E454" s="90">
        <v>14</v>
      </c>
      <c r="F454" s="91"/>
      <c r="G454" s="91"/>
      <c r="H454" s="91"/>
      <c r="I454" s="91">
        <f>SUM(G454:H454)+'BM 009'!I454</f>
        <v>0</v>
      </c>
      <c r="J454" s="91">
        <f t="shared" si="188"/>
        <v>14</v>
      </c>
      <c r="K454" s="80">
        <v>14.54</v>
      </c>
      <c r="L454" s="81">
        <f t="shared" si="187"/>
        <v>18.430905599399999</v>
      </c>
      <c r="M454" s="82">
        <f t="shared" si="189"/>
        <v>0</v>
      </c>
      <c r="N454" s="82">
        <f t="shared" si="190"/>
        <v>0</v>
      </c>
      <c r="O454" s="82">
        <f>N454+'BM 009'!O454</f>
        <v>0</v>
      </c>
      <c r="P454" s="80">
        <f t="shared" si="191"/>
        <v>203.56</v>
      </c>
      <c r="Q454" s="82">
        <f t="shared" si="192"/>
        <v>258.02999999999997</v>
      </c>
      <c r="R454" s="82">
        <f t="shared" si="193"/>
        <v>258.02999999999997</v>
      </c>
    </row>
    <row r="455" spans="2:18" s="34" customFormat="1" ht="46.2">
      <c r="B455" s="75" t="s">
        <v>891</v>
      </c>
      <c r="C455" s="76" t="s">
        <v>892</v>
      </c>
      <c r="D455" s="77" t="s">
        <v>131</v>
      </c>
      <c r="E455" s="93">
        <v>91</v>
      </c>
      <c r="F455" s="79"/>
      <c r="G455" s="79"/>
      <c r="H455" s="79"/>
      <c r="I455" s="79">
        <f>SUM(G455:H455)+'BM 009'!I455</f>
        <v>0</v>
      </c>
      <c r="J455" s="79">
        <f t="shared" si="188"/>
        <v>91</v>
      </c>
      <c r="K455" s="80">
        <v>22.83</v>
      </c>
      <c r="L455" s="81">
        <f t="shared" si="187"/>
        <v>28.9393105113</v>
      </c>
      <c r="M455" s="82">
        <f t="shared" si="189"/>
        <v>0</v>
      </c>
      <c r="N455" s="82">
        <f t="shared" si="190"/>
        <v>0</v>
      </c>
      <c r="O455" s="82">
        <f>N455+'BM 009'!O455</f>
        <v>0</v>
      </c>
      <c r="P455" s="80">
        <f t="shared" si="191"/>
        <v>2077.5299999999997</v>
      </c>
      <c r="Q455" s="82">
        <f t="shared" si="192"/>
        <v>2633.47</v>
      </c>
      <c r="R455" s="82">
        <f t="shared" si="193"/>
        <v>2633.47</v>
      </c>
    </row>
    <row r="456" spans="2:18" s="34" customFormat="1" ht="46.2">
      <c r="B456" s="75" t="s">
        <v>893</v>
      </c>
      <c r="C456" s="76" t="s">
        <v>894</v>
      </c>
      <c r="D456" s="77" t="s">
        <v>131</v>
      </c>
      <c r="E456" s="93">
        <v>26</v>
      </c>
      <c r="F456" s="79"/>
      <c r="G456" s="79"/>
      <c r="H456" s="79"/>
      <c r="I456" s="79">
        <f>SUM(G456:H456)+'BM 009'!I456</f>
        <v>0</v>
      </c>
      <c r="J456" s="79">
        <f t="shared" si="188"/>
        <v>26</v>
      </c>
      <c r="K456" s="80">
        <v>42.22</v>
      </c>
      <c r="L456" s="81">
        <f t="shared" si="187"/>
        <v>53.518076644200001</v>
      </c>
      <c r="M456" s="82">
        <f t="shared" si="189"/>
        <v>0</v>
      </c>
      <c r="N456" s="82">
        <f t="shared" si="190"/>
        <v>0</v>
      </c>
      <c r="O456" s="82">
        <f>N456+'BM 009'!O456</f>
        <v>0</v>
      </c>
      <c r="P456" s="80">
        <f t="shared" si="191"/>
        <v>1097.72</v>
      </c>
      <c r="Q456" s="82">
        <f t="shared" si="192"/>
        <v>1391.46</v>
      </c>
      <c r="R456" s="82">
        <f t="shared" si="193"/>
        <v>1391.46</v>
      </c>
    </row>
    <row r="457" spans="2:18" s="34" customFormat="1" ht="23.4">
      <c r="B457" s="75" t="s">
        <v>895</v>
      </c>
      <c r="C457" s="76" t="s">
        <v>896</v>
      </c>
      <c r="D457" s="77" t="s">
        <v>131</v>
      </c>
      <c r="E457" s="93">
        <v>46</v>
      </c>
      <c r="F457" s="79"/>
      <c r="G457" s="79"/>
      <c r="H457" s="79"/>
      <c r="I457" s="79">
        <f>SUM(G457:H457)+'BM 009'!I457</f>
        <v>0</v>
      </c>
      <c r="J457" s="79">
        <f t="shared" si="188"/>
        <v>46</v>
      </c>
      <c r="K457" s="80">
        <v>110</v>
      </c>
      <c r="L457" s="81">
        <f t="shared" si="187"/>
        <v>139.4360121</v>
      </c>
      <c r="M457" s="82">
        <f t="shared" si="189"/>
        <v>0</v>
      </c>
      <c r="N457" s="82">
        <f t="shared" si="190"/>
        <v>0</v>
      </c>
      <c r="O457" s="82">
        <f>N457+'BM 009'!O457</f>
        <v>0</v>
      </c>
      <c r="P457" s="80">
        <f t="shared" si="191"/>
        <v>5060</v>
      </c>
      <c r="Q457" s="82">
        <f t="shared" si="192"/>
        <v>6414.05</v>
      </c>
      <c r="R457" s="82">
        <f t="shared" si="193"/>
        <v>6414.05</v>
      </c>
    </row>
    <row r="458" spans="2:18" s="34" customFormat="1" ht="34.799999999999997">
      <c r="B458" s="75" t="s">
        <v>897</v>
      </c>
      <c r="C458" s="76" t="s">
        <v>898</v>
      </c>
      <c r="D458" s="77" t="s">
        <v>131</v>
      </c>
      <c r="E458" s="93">
        <v>11</v>
      </c>
      <c r="F458" s="79"/>
      <c r="G458" s="79"/>
      <c r="H458" s="79"/>
      <c r="I458" s="79">
        <f>SUM(G458:H458)+'BM 009'!I458</f>
        <v>0</v>
      </c>
      <c r="J458" s="79">
        <f t="shared" si="188"/>
        <v>11</v>
      </c>
      <c r="K458" s="80">
        <v>35.5</v>
      </c>
      <c r="L458" s="81">
        <f t="shared" si="187"/>
        <v>44.999803905</v>
      </c>
      <c r="M458" s="82">
        <f t="shared" si="189"/>
        <v>0</v>
      </c>
      <c r="N458" s="82">
        <f t="shared" si="190"/>
        <v>0</v>
      </c>
      <c r="O458" s="82">
        <f>N458+'BM 009'!O458</f>
        <v>0</v>
      </c>
      <c r="P458" s="80">
        <f t="shared" si="191"/>
        <v>390.5</v>
      </c>
      <c r="Q458" s="82">
        <f t="shared" si="192"/>
        <v>494.99</v>
      </c>
      <c r="R458" s="82">
        <f t="shared" si="193"/>
        <v>494.99</v>
      </c>
    </row>
    <row r="459" spans="2:18" s="34" customFormat="1" ht="46.2">
      <c r="B459" s="75" t="s">
        <v>899</v>
      </c>
      <c r="C459" s="76" t="s">
        <v>900</v>
      </c>
      <c r="D459" s="77" t="s">
        <v>131</v>
      </c>
      <c r="E459" s="93">
        <v>12</v>
      </c>
      <c r="F459" s="79"/>
      <c r="G459" s="79"/>
      <c r="H459" s="79"/>
      <c r="I459" s="79">
        <f>SUM(G459:H459)+'BM 009'!I459</f>
        <v>0</v>
      </c>
      <c r="J459" s="79">
        <f t="shared" si="188"/>
        <v>12</v>
      </c>
      <c r="K459" s="80">
        <v>37.299999999999997</v>
      </c>
      <c r="L459" s="81">
        <f t="shared" si="187"/>
        <v>47.281484102999997</v>
      </c>
      <c r="M459" s="82">
        <f t="shared" si="189"/>
        <v>0</v>
      </c>
      <c r="N459" s="82">
        <f t="shared" si="190"/>
        <v>0</v>
      </c>
      <c r="O459" s="82">
        <f>N459+'BM 009'!O459</f>
        <v>0</v>
      </c>
      <c r="P459" s="80">
        <f t="shared" si="191"/>
        <v>447.59999999999997</v>
      </c>
      <c r="Q459" s="82">
        <f t="shared" si="192"/>
        <v>567.37</v>
      </c>
      <c r="R459" s="82">
        <f t="shared" si="193"/>
        <v>567.37</v>
      </c>
    </row>
    <row r="460" spans="2:18" s="34" customFormat="1" ht="46.2">
      <c r="B460" s="75" t="s">
        <v>901</v>
      </c>
      <c r="C460" s="76" t="s">
        <v>902</v>
      </c>
      <c r="D460" s="77" t="s">
        <v>131</v>
      </c>
      <c r="E460" s="93">
        <v>2</v>
      </c>
      <c r="F460" s="79"/>
      <c r="G460" s="79"/>
      <c r="H460" s="79"/>
      <c r="I460" s="79">
        <f>SUM(G460:H460)+'BM 009'!I460</f>
        <v>0</v>
      </c>
      <c r="J460" s="79">
        <f t="shared" si="188"/>
        <v>2</v>
      </c>
      <c r="K460" s="80">
        <v>42.5</v>
      </c>
      <c r="L460" s="81">
        <f t="shared" si="187"/>
        <v>53.873004675000004</v>
      </c>
      <c r="M460" s="82">
        <f t="shared" si="189"/>
        <v>0</v>
      </c>
      <c r="N460" s="82">
        <f t="shared" si="190"/>
        <v>0</v>
      </c>
      <c r="O460" s="82">
        <f>N460+'BM 009'!O460</f>
        <v>0</v>
      </c>
      <c r="P460" s="80">
        <f t="shared" si="191"/>
        <v>85</v>
      </c>
      <c r="Q460" s="82">
        <f t="shared" si="192"/>
        <v>107.74</v>
      </c>
      <c r="R460" s="82">
        <f t="shared" si="193"/>
        <v>107.74</v>
      </c>
    </row>
    <row r="461" spans="2:18" s="34" customFormat="1" ht="23.4">
      <c r="B461" s="75" t="s">
        <v>903</v>
      </c>
      <c r="C461" s="76" t="s">
        <v>904</v>
      </c>
      <c r="D461" s="77" t="s">
        <v>131</v>
      </c>
      <c r="E461" s="93">
        <v>6</v>
      </c>
      <c r="F461" s="79"/>
      <c r="G461" s="79"/>
      <c r="H461" s="79"/>
      <c r="I461" s="79">
        <f>SUM(G461:H461)+'BM 009'!I461</f>
        <v>0</v>
      </c>
      <c r="J461" s="79">
        <f t="shared" si="188"/>
        <v>6</v>
      </c>
      <c r="K461" s="80">
        <v>68</v>
      </c>
      <c r="L461" s="81">
        <f t="shared" si="187"/>
        <v>86.196807480000004</v>
      </c>
      <c r="M461" s="82">
        <f t="shared" si="189"/>
        <v>0</v>
      </c>
      <c r="N461" s="82">
        <f t="shared" si="190"/>
        <v>0</v>
      </c>
      <c r="O461" s="82">
        <f>N461+'BM 009'!O461</f>
        <v>0</v>
      </c>
      <c r="P461" s="80">
        <f t="shared" si="191"/>
        <v>408</v>
      </c>
      <c r="Q461" s="82">
        <f t="shared" si="192"/>
        <v>517.17999999999995</v>
      </c>
      <c r="R461" s="82">
        <f t="shared" si="193"/>
        <v>517.17999999999995</v>
      </c>
    </row>
    <row r="462" spans="2:18" s="34" customFormat="1" ht="46.2">
      <c r="B462" s="75" t="s">
        <v>905</v>
      </c>
      <c r="C462" s="76" t="s">
        <v>906</v>
      </c>
      <c r="D462" s="77" t="s">
        <v>131</v>
      </c>
      <c r="E462" s="93">
        <v>3</v>
      </c>
      <c r="F462" s="79"/>
      <c r="G462" s="79"/>
      <c r="H462" s="79"/>
      <c r="I462" s="79">
        <f>SUM(G462:H462)+'BM 009'!I462</f>
        <v>0</v>
      </c>
      <c r="J462" s="79">
        <f t="shared" si="188"/>
        <v>3</v>
      </c>
      <c r="K462" s="80">
        <v>36.61</v>
      </c>
      <c r="L462" s="81">
        <f t="shared" si="187"/>
        <v>46.406840027100003</v>
      </c>
      <c r="M462" s="82">
        <f t="shared" si="189"/>
        <v>0</v>
      </c>
      <c r="N462" s="82">
        <f t="shared" si="190"/>
        <v>0</v>
      </c>
      <c r="O462" s="82">
        <f>N462+'BM 009'!O462</f>
        <v>0</v>
      </c>
      <c r="P462" s="80">
        <f t="shared" si="191"/>
        <v>109.83</v>
      </c>
      <c r="Q462" s="82">
        <f t="shared" si="192"/>
        <v>139.22</v>
      </c>
      <c r="R462" s="82">
        <f t="shared" si="193"/>
        <v>139.22</v>
      </c>
    </row>
    <row r="463" spans="2:18" s="34" customFormat="1" ht="46.2">
      <c r="B463" s="75" t="s">
        <v>907</v>
      </c>
      <c r="C463" s="76" t="s">
        <v>908</v>
      </c>
      <c r="D463" s="77" t="s">
        <v>131</v>
      </c>
      <c r="E463" s="93">
        <v>3</v>
      </c>
      <c r="F463" s="79"/>
      <c r="G463" s="79"/>
      <c r="H463" s="79"/>
      <c r="I463" s="79">
        <f>SUM(G463:H463)+'BM 009'!I463</f>
        <v>0</v>
      </c>
      <c r="J463" s="79">
        <f t="shared" si="188"/>
        <v>3</v>
      </c>
      <c r="K463" s="82">
        <v>11.81</v>
      </c>
      <c r="L463" s="81">
        <f t="shared" si="187"/>
        <v>14.970357299100002</v>
      </c>
      <c r="M463" s="82">
        <f t="shared" si="189"/>
        <v>0</v>
      </c>
      <c r="N463" s="82">
        <f t="shared" si="190"/>
        <v>0</v>
      </c>
      <c r="O463" s="82">
        <f>N463+'BM 009'!O463</f>
        <v>0</v>
      </c>
      <c r="P463" s="82">
        <f t="shared" si="191"/>
        <v>35.43</v>
      </c>
      <c r="Q463" s="82">
        <f t="shared" si="192"/>
        <v>44.91</v>
      </c>
      <c r="R463" s="82">
        <f t="shared" si="193"/>
        <v>44.91</v>
      </c>
    </row>
    <row r="464" spans="2:18" s="34" customFormat="1" ht="34.799999999999997">
      <c r="B464" s="75" t="s">
        <v>909</v>
      </c>
      <c r="C464" s="76" t="s">
        <v>910</v>
      </c>
      <c r="D464" s="77" t="s">
        <v>131</v>
      </c>
      <c r="E464" s="93">
        <v>72</v>
      </c>
      <c r="F464" s="79"/>
      <c r="G464" s="79"/>
      <c r="H464" s="79"/>
      <c r="I464" s="79">
        <f>SUM(G464:H464)+'BM 009'!I464</f>
        <v>0</v>
      </c>
      <c r="J464" s="79">
        <f t="shared" si="188"/>
        <v>72</v>
      </c>
      <c r="K464" s="82">
        <v>13</v>
      </c>
      <c r="L464" s="81">
        <f t="shared" si="187"/>
        <v>16.478801430000001</v>
      </c>
      <c r="M464" s="82">
        <f t="shared" si="189"/>
        <v>0</v>
      </c>
      <c r="N464" s="82">
        <f t="shared" si="190"/>
        <v>0</v>
      </c>
      <c r="O464" s="82">
        <f>N464+'BM 009'!O464</f>
        <v>0</v>
      </c>
      <c r="P464" s="82">
        <f t="shared" si="191"/>
        <v>936</v>
      </c>
      <c r="Q464" s="82">
        <f t="shared" si="192"/>
        <v>1186.47</v>
      </c>
      <c r="R464" s="82">
        <f t="shared" si="193"/>
        <v>1186.47</v>
      </c>
    </row>
    <row r="465" spans="2:18" s="34" customFormat="1" ht="13.2">
      <c r="B465" s="75" t="s">
        <v>911</v>
      </c>
      <c r="C465" s="76"/>
      <c r="D465" s="77"/>
      <c r="E465" s="93"/>
      <c r="F465" s="79"/>
      <c r="G465" s="79"/>
      <c r="H465" s="79"/>
      <c r="I465" s="79">
        <f>SUM(G465:H465)+'BM 009'!I465</f>
        <v>0</v>
      </c>
      <c r="J465" s="79">
        <f t="shared" si="188"/>
        <v>0</v>
      </c>
      <c r="K465" s="82"/>
      <c r="L465" s="81">
        <f t="shared" si="187"/>
        <v>0</v>
      </c>
      <c r="M465" s="82">
        <f t="shared" si="189"/>
        <v>0</v>
      </c>
      <c r="N465" s="82">
        <f t="shared" si="190"/>
        <v>0</v>
      </c>
      <c r="O465" s="82">
        <f>N465+'BM 009'!O465</f>
        <v>0</v>
      </c>
      <c r="P465" s="82"/>
      <c r="Q465" s="82">
        <f t="shared" si="192"/>
        <v>0</v>
      </c>
      <c r="R465" s="82">
        <f t="shared" si="193"/>
        <v>0</v>
      </c>
    </row>
    <row r="466" spans="2:18" s="34" customFormat="1" ht="34.799999999999997">
      <c r="B466" s="75" t="s">
        <v>912</v>
      </c>
      <c r="C466" s="76" t="s">
        <v>733</v>
      </c>
      <c r="D466" s="77" t="s">
        <v>131</v>
      </c>
      <c r="E466" s="93">
        <v>8</v>
      </c>
      <c r="F466" s="79"/>
      <c r="G466" s="79"/>
      <c r="H466" s="79"/>
      <c r="I466" s="79">
        <f>SUM(G466:H466)+'BM 009'!I466</f>
        <v>0</v>
      </c>
      <c r="J466" s="79">
        <f t="shared" si="188"/>
        <v>8</v>
      </c>
      <c r="K466" s="82">
        <v>3.95</v>
      </c>
      <c r="L466" s="81">
        <f t="shared" si="187"/>
        <v>5.0070204345000002</v>
      </c>
      <c r="M466" s="82">
        <f t="shared" si="189"/>
        <v>0</v>
      </c>
      <c r="N466" s="82">
        <f t="shared" si="190"/>
        <v>0</v>
      </c>
      <c r="O466" s="82">
        <f>N466+'BM 009'!O466</f>
        <v>0</v>
      </c>
      <c r="P466" s="82">
        <f t="shared" ref="P466:P473" si="194">E466*K466</f>
        <v>31.6</v>
      </c>
      <c r="Q466" s="82">
        <f t="shared" si="192"/>
        <v>40.049999999999997</v>
      </c>
      <c r="R466" s="82">
        <f t="shared" si="193"/>
        <v>40.049999999999997</v>
      </c>
    </row>
    <row r="467" spans="2:18" s="34" customFormat="1" ht="34.799999999999997">
      <c r="B467" s="75" t="s">
        <v>913</v>
      </c>
      <c r="C467" s="88" t="s">
        <v>735</v>
      </c>
      <c r="D467" s="89" t="s">
        <v>131</v>
      </c>
      <c r="E467" s="90">
        <v>238</v>
      </c>
      <c r="F467" s="91"/>
      <c r="G467" s="91"/>
      <c r="H467" s="91"/>
      <c r="I467" s="91">
        <f>SUM(G467:H467)+'BM 009'!I467</f>
        <v>0</v>
      </c>
      <c r="J467" s="91">
        <f t="shared" si="188"/>
        <v>238</v>
      </c>
      <c r="K467" s="80">
        <v>4.67</v>
      </c>
      <c r="L467" s="81">
        <f t="shared" si="187"/>
        <v>5.9196925137000003</v>
      </c>
      <c r="M467" s="82">
        <f t="shared" si="189"/>
        <v>0</v>
      </c>
      <c r="N467" s="82">
        <f t="shared" si="190"/>
        <v>0</v>
      </c>
      <c r="O467" s="82">
        <f>N467+'BM 009'!O467</f>
        <v>0</v>
      </c>
      <c r="P467" s="80">
        <f t="shared" si="194"/>
        <v>1111.46</v>
      </c>
      <c r="Q467" s="82">
        <f t="shared" si="192"/>
        <v>1408.88</v>
      </c>
      <c r="R467" s="82">
        <f t="shared" si="193"/>
        <v>1408.88</v>
      </c>
    </row>
    <row r="468" spans="2:18" s="34" customFormat="1" ht="34.799999999999997">
      <c r="B468" s="75" t="s">
        <v>914</v>
      </c>
      <c r="C468" s="76" t="s">
        <v>739</v>
      </c>
      <c r="D468" s="77" t="s">
        <v>131</v>
      </c>
      <c r="E468" s="93">
        <v>30</v>
      </c>
      <c r="F468" s="79"/>
      <c r="G468" s="79"/>
      <c r="H468" s="79"/>
      <c r="I468" s="79">
        <f>SUM(G468:H468)+'BM 009'!I468</f>
        <v>0</v>
      </c>
      <c r="J468" s="79">
        <f t="shared" si="188"/>
        <v>30</v>
      </c>
      <c r="K468" s="80">
        <v>11.5</v>
      </c>
      <c r="L468" s="81">
        <f t="shared" si="187"/>
        <v>14.577401265000001</v>
      </c>
      <c r="M468" s="82">
        <f t="shared" si="189"/>
        <v>0</v>
      </c>
      <c r="N468" s="82">
        <f t="shared" si="190"/>
        <v>0</v>
      </c>
      <c r="O468" s="82">
        <f>N468+'BM 009'!O468</f>
        <v>0</v>
      </c>
      <c r="P468" s="80">
        <f t="shared" si="194"/>
        <v>345</v>
      </c>
      <c r="Q468" s="82">
        <f t="shared" si="192"/>
        <v>437.32</v>
      </c>
      <c r="R468" s="82">
        <f t="shared" si="193"/>
        <v>437.32</v>
      </c>
    </row>
    <row r="469" spans="2:18" s="34" customFormat="1" ht="34.799999999999997">
      <c r="B469" s="75" t="s">
        <v>915</v>
      </c>
      <c r="C469" s="76" t="s">
        <v>916</v>
      </c>
      <c r="D469" s="77" t="s">
        <v>131</v>
      </c>
      <c r="E469" s="93">
        <v>1</v>
      </c>
      <c r="F469" s="79"/>
      <c r="G469" s="79"/>
      <c r="H469" s="79"/>
      <c r="I469" s="79">
        <f>SUM(G469:H469)+'BM 009'!I469</f>
        <v>0</v>
      </c>
      <c r="J469" s="79">
        <f t="shared" si="188"/>
        <v>1</v>
      </c>
      <c r="K469" s="80">
        <v>10.5</v>
      </c>
      <c r="L469" s="81">
        <f t="shared" si="187"/>
        <v>13.309801155000001</v>
      </c>
      <c r="M469" s="82">
        <f t="shared" si="189"/>
        <v>0</v>
      </c>
      <c r="N469" s="82">
        <f t="shared" si="190"/>
        <v>0</v>
      </c>
      <c r="O469" s="82">
        <f>N469+'BM 009'!O469</f>
        <v>0</v>
      </c>
      <c r="P469" s="80">
        <f t="shared" si="194"/>
        <v>10.5</v>
      </c>
      <c r="Q469" s="82">
        <f t="shared" si="192"/>
        <v>13.3</v>
      </c>
      <c r="R469" s="82">
        <f t="shared" si="193"/>
        <v>13.3</v>
      </c>
    </row>
    <row r="470" spans="2:18" s="34" customFormat="1" ht="34.799999999999997">
      <c r="B470" s="75" t="s">
        <v>917</v>
      </c>
      <c r="C470" s="76" t="s">
        <v>918</v>
      </c>
      <c r="D470" s="77" t="s">
        <v>131</v>
      </c>
      <c r="E470" s="93">
        <v>1</v>
      </c>
      <c r="F470" s="79"/>
      <c r="G470" s="79"/>
      <c r="H470" s="79"/>
      <c r="I470" s="79">
        <f>SUM(G470:H470)+'BM 009'!I470</f>
        <v>0</v>
      </c>
      <c r="J470" s="79">
        <f t="shared" si="188"/>
        <v>1</v>
      </c>
      <c r="K470" s="80">
        <v>10.14</v>
      </c>
      <c r="L470" s="81">
        <f t="shared" si="187"/>
        <v>12.853465115400001</v>
      </c>
      <c r="M470" s="82">
        <f t="shared" si="189"/>
        <v>0</v>
      </c>
      <c r="N470" s="82">
        <f t="shared" si="190"/>
        <v>0</v>
      </c>
      <c r="O470" s="82">
        <f>N470+'BM 009'!O470</f>
        <v>0</v>
      </c>
      <c r="P470" s="80">
        <f t="shared" si="194"/>
        <v>10.14</v>
      </c>
      <c r="Q470" s="82">
        <f t="shared" si="192"/>
        <v>12.85</v>
      </c>
      <c r="R470" s="82">
        <f t="shared" si="193"/>
        <v>12.85</v>
      </c>
    </row>
    <row r="471" spans="2:18" s="34" customFormat="1" ht="34.799999999999997">
      <c r="B471" s="75" t="s">
        <v>919</v>
      </c>
      <c r="C471" s="88" t="s">
        <v>717</v>
      </c>
      <c r="D471" s="89" t="s">
        <v>131</v>
      </c>
      <c r="E471" s="90">
        <v>238</v>
      </c>
      <c r="F471" s="91"/>
      <c r="G471" s="91"/>
      <c r="H471" s="91"/>
      <c r="I471" s="91">
        <f>SUM(G471:H471)+'BM 009'!I471</f>
        <v>0</v>
      </c>
      <c r="J471" s="91">
        <f t="shared" si="188"/>
        <v>238</v>
      </c>
      <c r="K471" s="80">
        <v>8</v>
      </c>
      <c r="L471" s="81">
        <f t="shared" si="187"/>
        <v>10.14080088</v>
      </c>
      <c r="M471" s="82">
        <f t="shared" ref="M471:M473" si="195">TRUNC(F471*L471,2)</f>
        <v>0</v>
      </c>
      <c r="N471" s="82">
        <f t="shared" si="190"/>
        <v>0</v>
      </c>
      <c r="O471" s="82">
        <f>N471+'BM 009'!O471</f>
        <v>0</v>
      </c>
      <c r="P471" s="80">
        <f t="shared" si="194"/>
        <v>1904</v>
      </c>
      <c r="Q471" s="82">
        <f t="shared" si="192"/>
        <v>2413.5100000000002</v>
      </c>
      <c r="R471" s="82">
        <f t="shared" ref="R471:R473" si="196">Q471-O471</f>
        <v>2413.5100000000002</v>
      </c>
    </row>
    <row r="472" spans="2:18" s="34" customFormat="1" ht="34.799999999999997">
      <c r="B472" s="75" t="s">
        <v>920</v>
      </c>
      <c r="C472" s="88" t="s">
        <v>921</v>
      </c>
      <c r="D472" s="89" t="s">
        <v>131</v>
      </c>
      <c r="E472" s="90">
        <v>6</v>
      </c>
      <c r="F472" s="91"/>
      <c r="G472" s="91"/>
      <c r="H472" s="91"/>
      <c r="I472" s="91">
        <f>SUM(G472:H472)+'BM 009'!I472</f>
        <v>0</v>
      </c>
      <c r="J472" s="91">
        <f t="shared" si="188"/>
        <v>6</v>
      </c>
      <c r="K472" s="80">
        <v>7.51</v>
      </c>
      <c r="L472" s="81">
        <f t="shared" si="187"/>
        <v>9.5196768260999995</v>
      </c>
      <c r="M472" s="82">
        <f t="shared" si="195"/>
        <v>0</v>
      </c>
      <c r="N472" s="82">
        <f t="shared" si="190"/>
        <v>0</v>
      </c>
      <c r="O472" s="82">
        <f>N472+'BM 009'!O472</f>
        <v>0</v>
      </c>
      <c r="P472" s="80">
        <f t="shared" si="194"/>
        <v>45.06</v>
      </c>
      <c r="Q472" s="82">
        <f t="shared" si="192"/>
        <v>57.11</v>
      </c>
      <c r="R472" s="82">
        <f t="shared" si="196"/>
        <v>57.11</v>
      </c>
    </row>
    <row r="473" spans="2:18" s="34" customFormat="1" ht="34.799999999999997">
      <c r="B473" s="87" t="s">
        <v>922</v>
      </c>
      <c r="C473" s="88" t="s">
        <v>721</v>
      </c>
      <c r="D473" s="89" t="s">
        <v>131</v>
      </c>
      <c r="E473" s="90">
        <v>8</v>
      </c>
      <c r="F473" s="91"/>
      <c r="G473" s="91"/>
      <c r="H473" s="91"/>
      <c r="I473" s="91">
        <f>SUM(G473:H473)+'BM 009'!I473</f>
        <v>0</v>
      </c>
      <c r="J473" s="91">
        <f t="shared" si="188"/>
        <v>8</v>
      </c>
      <c r="K473" s="80">
        <v>10.5</v>
      </c>
      <c r="L473" s="81">
        <f t="shared" si="187"/>
        <v>13.309801155000001</v>
      </c>
      <c r="M473" s="82">
        <f t="shared" si="195"/>
        <v>0</v>
      </c>
      <c r="N473" s="82">
        <f t="shared" si="190"/>
        <v>0</v>
      </c>
      <c r="O473" s="82">
        <f>N473+'BM 009'!O473</f>
        <v>0</v>
      </c>
      <c r="P473" s="80">
        <f t="shared" si="194"/>
        <v>84</v>
      </c>
      <c r="Q473" s="82">
        <f t="shared" si="192"/>
        <v>106.47</v>
      </c>
      <c r="R473" s="82">
        <f t="shared" si="196"/>
        <v>106.47</v>
      </c>
    </row>
    <row r="474" spans="2:18" s="34" customFormat="1" ht="24">
      <c r="B474" s="66" t="s">
        <v>923</v>
      </c>
      <c r="C474" s="67" t="s">
        <v>924</v>
      </c>
      <c r="D474" s="68"/>
      <c r="E474" s="69"/>
      <c r="F474" s="70"/>
      <c r="G474" s="70"/>
      <c r="H474" s="70"/>
      <c r="I474" s="70">
        <f>SUM(G474:H474)+'BM 009'!I474</f>
        <v>0</v>
      </c>
      <c r="J474" s="70">
        <f t="shared" si="188"/>
        <v>0</v>
      </c>
      <c r="K474" s="71"/>
      <c r="L474" s="71">
        <f t="shared" si="187"/>
        <v>0</v>
      </c>
      <c r="M474" s="73">
        <f t="shared" ref="M474:R474" si="197">SUM(M475:M480)</f>
        <v>0</v>
      </c>
      <c r="N474" s="73">
        <f t="shared" si="197"/>
        <v>0</v>
      </c>
      <c r="O474" s="73">
        <f t="shared" si="197"/>
        <v>0</v>
      </c>
      <c r="P474" s="73">
        <f t="shared" si="197"/>
        <v>177593</v>
      </c>
      <c r="Q474" s="73">
        <f t="shared" si="197"/>
        <v>225116.89</v>
      </c>
      <c r="R474" s="73">
        <f t="shared" si="197"/>
        <v>225116.89</v>
      </c>
    </row>
    <row r="475" spans="2:18" s="34" customFormat="1" ht="23.4">
      <c r="B475" s="87" t="s">
        <v>925</v>
      </c>
      <c r="C475" s="88" t="s">
        <v>926</v>
      </c>
      <c r="D475" s="89" t="s">
        <v>131</v>
      </c>
      <c r="E475" s="90">
        <v>1</v>
      </c>
      <c r="F475" s="91"/>
      <c r="G475" s="91"/>
      <c r="H475" s="91"/>
      <c r="I475" s="91">
        <f>SUM(G475:H475)+'BM 009'!I475</f>
        <v>0</v>
      </c>
      <c r="J475" s="91">
        <f t="shared" si="188"/>
        <v>1</v>
      </c>
      <c r="K475" s="80">
        <v>40</v>
      </c>
      <c r="L475" s="81">
        <f t="shared" si="187"/>
        <v>50.704004400000002</v>
      </c>
      <c r="M475" s="82">
        <f t="shared" ref="M475:M480" si="198">TRUNC(F475*L475,2)</f>
        <v>0</v>
      </c>
      <c r="N475" s="82">
        <f t="shared" ref="N475:N480" si="199">TRUNC(G475*L475,2)</f>
        <v>0</v>
      </c>
      <c r="O475" s="82">
        <f>N475+'BM 009'!O475</f>
        <v>0</v>
      </c>
      <c r="P475" s="80">
        <f t="shared" ref="P475:P480" si="200">E475*K475</f>
        <v>40</v>
      </c>
      <c r="Q475" s="82">
        <f t="shared" ref="Q475:Q480" si="201">TRUNC(E475*L475,2)</f>
        <v>50.7</v>
      </c>
      <c r="R475" s="82">
        <f t="shared" ref="R475:R480" si="202">Q475-O475</f>
        <v>50.7</v>
      </c>
    </row>
    <row r="476" spans="2:18" s="34" customFormat="1" ht="23.4">
      <c r="B476" s="87" t="s">
        <v>927</v>
      </c>
      <c r="C476" s="88" t="s">
        <v>928</v>
      </c>
      <c r="D476" s="89" t="s">
        <v>131</v>
      </c>
      <c r="E476" s="90">
        <v>69</v>
      </c>
      <c r="F476" s="91"/>
      <c r="G476" s="91"/>
      <c r="H476" s="91"/>
      <c r="I476" s="91">
        <f>SUM(G476:H476)+'BM 009'!I476</f>
        <v>0</v>
      </c>
      <c r="J476" s="91">
        <f t="shared" si="188"/>
        <v>69</v>
      </c>
      <c r="K476" s="80">
        <v>62</v>
      </c>
      <c r="L476" s="81">
        <f t="shared" si="187"/>
        <v>78.591206819999996</v>
      </c>
      <c r="M476" s="82">
        <f t="shared" si="198"/>
        <v>0</v>
      </c>
      <c r="N476" s="82">
        <f t="shared" si="199"/>
        <v>0</v>
      </c>
      <c r="O476" s="82">
        <f>N476+'BM 009'!O476</f>
        <v>0</v>
      </c>
      <c r="P476" s="80">
        <f t="shared" si="200"/>
        <v>4278</v>
      </c>
      <c r="Q476" s="82">
        <f t="shared" si="201"/>
        <v>5422.79</v>
      </c>
      <c r="R476" s="82">
        <f t="shared" si="202"/>
        <v>5422.79</v>
      </c>
    </row>
    <row r="477" spans="2:18" s="34" customFormat="1" ht="34.799999999999997">
      <c r="B477" s="87" t="s">
        <v>929</v>
      </c>
      <c r="C477" s="88" t="s">
        <v>930</v>
      </c>
      <c r="D477" s="89" t="s">
        <v>131</v>
      </c>
      <c r="E477" s="90">
        <v>3</v>
      </c>
      <c r="F477" s="91"/>
      <c r="G477" s="91"/>
      <c r="H477" s="91"/>
      <c r="I477" s="91">
        <f>SUM(G477:H477)+'BM 009'!I477</f>
        <v>0</v>
      </c>
      <c r="J477" s="91">
        <f t="shared" si="188"/>
        <v>3</v>
      </c>
      <c r="K477" s="80">
        <v>25</v>
      </c>
      <c r="L477" s="81">
        <f t="shared" ref="L477:L540" si="203">K477*(1+$T$26)</f>
        <v>31.690002750000001</v>
      </c>
      <c r="M477" s="82">
        <f t="shared" si="198"/>
        <v>0</v>
      </c>
      <c r="N477" s="82">
        <f t="shared" si="199"/>
        <v>0</v>
      </c>
      <c r="O477" s="82">
        <f>N477+'BM 009'!O477</f>
        <v>0</v>
      </c>
      <c r="P477" s="80">
        <f t="shared" si="200"/>
        <v>75</v>
      </c>
      <c r="Q477" s="82">
        <f t="shared" si="201"/>
        <v>95.07</v>
      </c>
      <c r="R477" s="82">
        <f t="shared" si="202"/>
        <v>95.07</v>
      </c>
    </row>
    <row r="478" spans="2:18" s="34" customFormat="1" ht="34.799999999999997">
      <c r="B478" s="87" t="s">
        <v>931</v>
      </c>
      <c r="C478" s="88" t="s">
        <v>932</v>
      </c>
      <c r="D478" s="89" t="s">
        <v>131</v>
      </c>
      <c r="E478" s="90">
        <v>2</v>
      </c>
      <c r="F478" s="91"/>
      <c r="G478" s="91"/>
      <c r="H478" s="91"/>
      <c r="I478" s="91">
        <f>SUM(G478:H478)+'BM 009'!I478</f>
        <v>0</v>
      </c>
      <c r="J478" s="91">
        <f t="shared" si="188"/>
        <v>2</v>
      </c>
      <c r="K478" s="80">
        <v>2100</v>
      </c>
      <c r="L478" s="81">
        <f t="shared" si="203"/>
        <v>2661.960231</v>
      </c>
      <c r="M478" s="82">
        <f t="shared" si="198"/>
        <v>0</v>
      </c>
      <c r="N478" s="82">
        <f t="shared" si="199"/>
        <v>0</v>
      </c>
      <c r="O478" s="82">
        <f>N478+'BM 009'!O478</f>
        <v>0</v>
      </c>
      <c r="P478" s="80">
        <f t="shared" si="200"/>
        <v>4200</v>
      </c>
      <c r="Q478" s="82">
        <f t="shared" si="201"/>
        <v>5323.92</v>
      </c>
      <c r="R478" s="82">
        <f t="shared" si="202"/>
        <v>5323.92</v>
      </c>
    </row>
    <row r="479" spans="2:18" s="34" customFormat="1" ht="34.799999999999997">
      <c r="B479" s="87" t="s">
        <v>933</v>
      </c>
      <c r="C479" s="88" t="s">
        <v>934</v>
      </c>
      <c r="D479" s="89" t="s">
        <v>131</v>
      </c>
      <c r="E479" s="90">
        <v>6</v>
      </c>
      <c r="F479" s="91"/>
      <c r="G479" s="91"/>
      <c r="H479" s="91"/>
      <c r="I479" s="91">
        <f>SUM(G479:H479)+'BM 009'!I479</f>
        <v>0</v>
      </c>
      <c r="J479" s="91">
        <f t="shared" ref="J479:J542" si="204">E479-I479</f>
        <v>6</v>
      </c>
      <c r="K479" s="80">
        <v>9000</v>
      </c>
      <c r="L479" s="81">
        <f t="shared" si="203"/>
        <v>11408.40099</v>
      </c>
      <c r="M479" s="82">
        <f t="shared" si="198"/>
        <v>0</v>
      </c>
      <c r="N479" s="82">
        <f t="shared" si="199"/>
        <v>0</v>
      </c>
      <c r="O479" s="82">
        <f>N479+'BM 009'!O479</f>
        <v>0</v>
      </c>
      <c r="P479" s="80">
        <f t="shared" si="200"/>
        <v>54000</v>
      </c>
      <c r="Q479" s="82">
        <f t="shared" si="201"/>
        <v>68450.399999999994</v>
      </c>
      <c r="R479" s="82">
        <f t="shared" si="202"/>
        <v>68450.399999999994</v>
      </c>
    </row>
    <row r="480" spans="2:18" s="34" customFormat="1" ht="23.4">
      <c r="B480" s="87" t="s">
        <v>935</v>
      </c>
      <c r="C480" s="88" t="s">
        <v>936</v>
      </c>
      <c r="D480" s="89" t="s">
        <v>131</v>
      </c>
      <c r="E480" s="90">
        <v>1</v>
      </c>
      <c r="F480" s="91"/>
      <c r="G480" s="91"/>
      <c r="H480" s="91"/>
      <c r="I480" s="91">
        <f>SUM(G480:H480)+'BM 009'!I480</f>
        <v>0</v>
      </c>
      <c r="J480" s="91">
        <f t="shared" si="204"/>
        <v>1</v>
      </c>
      <c r="K480" s="80">
        <v>115000</v>
      </c>
      <c r="L480" s="81">
        <f t="shared" si="203"/>
        <v>145774.01265000002</v>
      </c>
      <c r="M480" s="82">
        <f t="shared" si="198"/>
        <v>0</v>
      </c>
      <c r="N480" s="82">
        <f t="shared" si="199"/>
        <v>0</v>
      </c>
      <c r="O480" s="82">
        <f>N480+'BM 009'!O480</f>
        <v>0</v>
      </c>
      <c r="P480" s="80">
        <f t="shared" si="200"/>
        <v>115000</v>
      </c>
      <c r="Q480" s="82">
        <f t="shared" si="201"/>
        <v>145774.01</v>
      </c>
      <c r="R480" s="82">
        <f t="shared" si="202"/>
        <v>145774.01</v>
      </c>
    </row>
    <row r="481" spans="2:18" s="34" customFormat="1" ht="13.2">
      <c r="B481" s="60" t="s">
        <v>937</v>
      </c>
      <c r="C481" s="61" t="s">
        <v>938</v>
      </c>
      <c r="D481" s="60"/>
      <c r="E481" s="62"/>
      <c r="F481" s="63"/>
      <c r="G481" s="63"/>
      <c r="H481" s="63"/>
      <c r="I481" s="63">
        <f>SUM(G481:H481)+'BM 009'!I481</f>
        <v>0</v>
      </c>
      <c r="J481" s="63">
        <f t="shared" si="204"/>
        <v>0</v>
      </c>
      <c r="K481" s="63"/>
      <c r="L481" s="63">
        <f t="shared" si="203"/>
        <v>0</v>
      </c>
      <c r="M481" s="63">
        <f t="shared" ref="M481:R481" si="205">SUM(M482,M487)</f>
        <v>0</v>
      </c>
      <c r="N481" s="63">
        <f t="shared" si="205"/>
        <v>0</v>
      </c>
      <c r="O481" s="63">
        <f t="shared" si="205"/>
        <v>0</v>
      </c>
      <c r="P481" s="63">
        <f t="shared" si="205"/>
        <v>198555.35149999999</v>
      </c>
      <c r="Q481" s="63">
        <f t="shared" si="205"/>
        <v>251688.67</v>
      </c>
      <c r="R481" s="63">
        <f t="shared" si="205"/>
        <v>251688.67</v>
      </c>
    </row>
    <row r="482" spans="2:18" s="34" customFormat="1" ht="13.2">
      <c r="B482" s="66" t="s">
        <v>939</v>
      </c>
      <c r="C482" s="67" t="s">
        <v>940</v>
      </c>
      <c r="D482" s="68"/>
      <c r="E482" s="69"/>
      <c r="F482" s="70"/>
      <c r="G482" s="70"/>
      <c r="H482" s="70"/>
      <c r="I482" s="70">
        <f>SUM(G482:H482)+'BM 009'!I482</f>
        <v>0</v>
      </c>
      <c r="J482" s="70">
        <f t="shared" si="204"/>
        <v>0</v>
      </c>
      <c r="K482" s="71"/>
      <c r="L482" s="71">
        <f t="shared" si="203"/>
        <v>0</v>
      </c>
      <c r="M482" s="73">
        <f t="shared" ref="M482:R482" si="206">SUM(M483:M486)</f>
        <v>0</v>
      </c>
      <c r="N482" s="73">
        <f t="shared" si="206"/>
        <v>0</v>
      </c>
      <c r="O482" s="73">
        <f t="shared" si="206"/>
        <v>0</v>
      </c>
      <c r="P482" s="73">
        <f t="shared" si="206"/>
        <v>157288.71</v>
      </c>
      <c r="Q482" s="73">
        <f t="shared" si="206"/>
        <v>199379.17</v>
      </c>
      <c r="R482" s="73">
        <f t="shared" si="206"/>
        <v>199379.17</v>
      </c>
    </row>
    <row r="483" spans="2:18" s="34" customFormat="1" ht="46.2">
      <c r="B483" s="75" t="s">
        <v>941</v>
      </c>
      <c r="C483" s="76" t="s">
        <v>942</v>
      </c>
      <c r="D483" s="77" t="s">
        <v>82</v>
      </c>
      <c r="E483" s="93">
        <v>546.20000000000005</v>
      </c>
      <c r="F483" s="79"/>
      <c r="G483" s="79"/>
      <c r="H483" s="79"/>
      <c r="I483" s="79">
        <f>SUM(G483:H483)+'BM 009'!I483</f>
        <v>0</v>
      </c>
      <c r="J483" s="79">
        <f t="shared" si="204"/>
        <v>546.20000000000005</v>
      </c>
      <c r="K483" s="84">
        <v>71.55</v>
      </c>
      <c r="L483" s="81">
        <f t="shared" si="203"/>
        <v>90.696787870500003</v>
      </c>
      <c r="M483" s="82">
        <f>TRUNC(F483*L483,2)</f>
        <v>0</v>
      </c>
      <c r="N483" s="82">
        <f>TRUNC(G483*L483,2)</f>
        <v>0</v>
      </c>
      <c r="O483" s="82">
        <f>N483+'BM 009'!O483</f>
        <v>0</v>
      </c>
      <c r="P483" s="80">
        <f>E483*K483</f>
        <v>39080.61</v>
      </c>
      <c r="Q483" s="82">
        <f>TRUNC(E483*L483,2)</f>
        <v>49538.58</v>
      </c>
      <c r="R483" s="82">
        <f>Q483-O483</f>
        <v>49538.58</v>
      </c>
    </row>
    <row r="484" spans="2:18" s="34" customFormat="1" ht="46.2">
      <c r="B484" s="75" t="s">
        <v>943</v>
      </c>
      <c r="C484" s="76" t="s">
        <v>944</v>
      </c>
      <c r="D484" s="77" t="s">
        <v>124</v>
      </c>
      <c r="E484" s="93">
        <v>314</v>
      </c>
      <c r="F484" s="79"/>
      <c r="G484" s="79"/>
      <c r="H484" s="79"/>
      <c r="I484" s="79">
        <f>SUM(G484:H484)+'BM 009'!I484</f>
        <v>0</v>
      </c>
      <c r="J484" s="79">
        <f t="shared" si="204"/>
        <v>314</v>
      </c>
      <c r="K484" s="84">
        <v>120.15</v>
      </c>
      <c r="L484" s="81">
        <f t="shared" si="203"/>
        <v>152.30215321650002</v>
      </c>
      <c r="M484" s="82">
        <f>TRUNC(F484*L484,2)</f>
        <v>0</v>
      </c>
      <c r="N484" s="82">
        <f>TRUNC(G484*L484,2)</f>
        <v>0</v>
      </c>
      <c r="O484" s="82">
        <f>N484+'BM 009'!O484</f>
        <v>0</v>
      </c>
      <c r="P484" s="80">
        <f>E484*K484</f>
        <v>37727.1</v>
      </c>
      <c r="Q484" s="82">
        <f>TRUNC(E484*L484,2)</f>
        <v>47822.87</v>
      </c>
      <c r="R484" s="82">
        <f>Q484-O484</f>
        <v>47822.87</v>
      </c>
    </row>
    <row r="485" spans="2:18" s="34" customFormat="1" ht="46.2">
      <c r="B485" s="75" t="s">
        <v>945</v>
      </c>
      <c r="C485" s="76" t="s">
        <v>946</v>
      </c>
      <c r="D485" s="77" t="s">
        <v>82</v>
      </c>
      <c r="E485" s="78">
        <v>36.700000000000003</v>
      </c>
      <c r="F485" s="79"/>
      <c r="G485" s="79"/>
      <c r="H485" s="79"/>
      <c r="I485" s="79">
        <f>SUM(G485:H485)+'BM 009'!I485</f>
        <v>0</v>
      </c>
      <c r="J485" s="79">
        <f t="shared" si="204"/>
        <v>36.700000000000003</v>
      </c>
      <c r="K485" s="84">
        <v>149.85</v>
      </c>
      <c r="L485" s="81">
        <f t="shared" si="203"/>
        <v>189.94987648349999</v>
      </c>
      <c r="M485" s="82">
        <f>TRUNC(F485*L485,2)</f>
        <v>0</v>
      </c>
      <c r="N485" s="82">
        <f>TRUNC(G485*L485,2)</f>
        <v>0</v>
      </c>
      <c r="O485" s="82">
        <f>N485+'BM 009'!O485</f>
        <v>0</v>
      </c>
      <c r="P485" s="80">
        <f>E485*K485</f>
        <v>5499.4949999999999</v>
      </c>
      <c r="Q485" s="82">
        <f>TRUNC(E485*L485,2)</f>
        <v>6971.16</v>
      </c>
      <c r="R485" s="82">
        <f>Q485-O485</f>
        <v>6971.16</v>
      </c>
    </row>
    <row r="486" spans="2:18" s="34" customFormat="1" ht="46.2">
      <c r="B486" s="75" t="s">
        <v>947</v>
      </c>
      <c r="C486" s="76" t="s">
        <v>948</v>
      </c>
      <c r="D486" s="77" t="s">
        <v>82</v>
      </c>
      <c r="E486" s="93">
        <v>180.5</v>
      </c>
      <c r="F486" s="79"/>
      <c r="G486" s="79"/>
      <c r="H486" s="79"/>
      <c r="I486" s="79">
        <f>SUM(G486:H486)+'BM 009'!I486</f>
        <v>0</v>
      </c>
      <c r="J486" s="79">
        <f t="shared" si="204"/>
        <v>180.5</v>
      </c>
      <c r="K486" s="84">
        <v>415.41</v>
      </c>
      <c r="L486" s="81">
        <f t="shared" si="203"/>
        <v>526.57376169510007</v>
      </c>
      <c r="M486" s="82">
        <f>TRUNC(F486*L486,2)</f>
        <v>0</v>
      </c>
      <c r="N486" s="82">
        <f>TRUNC(G486*L486,2)</f>
        <v>0</v>
      </c>
      <c r="O486" s="82">
        <f>N486+'BM 009'!O486</f>
        <v>0</v>
      </c>
      <c r="P486" s="80">
        <f>E486*K486</f>
        <v>74981.505000000005</v>
      </c>
      <c r="Q486" s="82">
        <f>TRUNC(E486*L486,2)</f>
        <v>95046.56</v>
      </c>
      <c r="R486" s="82">
        <f>Q486-O486</f>
        <v>95046.56</v>
      </c>
    </row>
    <row r="487" spans="2:18" s="34" customFormat="1" ht="13.2">
      <c r="B487" s="66" t="s">
        <v>949</v>
      </c>
      <c r="C487" s="67" t="s">
        <v>950</v>
      </c>
      <c r="D487" s="68"/>
      <c r="E487" s="69"/>
      <c r="F487" s="70"/>
      <c r="G487" s="70"/>
      <c r="H487" s="70"/>
      <c r="I487" s="70">
        <f>SUM(G487:H487)+'BM 009'!I487</f>
        <v>0</v>
      </c>
      <c r="J487" s="70">
        <f t="shared" si="204"/>
        <v>0</v>
      </c>
      <c r="K487" s="71"/>
      <c r="L487" s="71">
        <f t="shared" si="203"/>
        <v>0</v>
      </c>
      <c r="M487" s="73">
        <f t="shared" ref="M487:R487" si="207">SUM(M488:M506)</f>
        <v>0</v>
      </c>
      <c r="N487" s="73">
        <f t="shared" si="207"/>
        <v>0</v>
      </c>
      <c r="O487" s="73">
        <f t="shared" si="207"/>
        <v>0</v>
      </c>
      <c r="P487" s="73">
        <f t="shared" si="207"/>
        <v>41266.641499999998</v>
      </c>
      <c r="Q487" s="73">
        <f t="shared" si="207"/>
        <v>52309.5</v>
      </c>
      <c r="R487" s="73">
        <f t="shared" si="207"/>
        <v>52309.5</v>
      </c>
    </row>
    <row r="488" spans="2:18" s="34" customFormat="1" ht="34.799999999999997">
      <c r="B488" s="75" t="s">
        <v>951</v>
      </c>
      <c r="C488" s="76" t="s">
        <v>952</v>
      </c>
      <c r="D488" s="77" t="s">
        <v>131</v>
      </c>
      <c r="E488" s="78">
        <v>362</v>
      </c>
      <c r="F488" s="79"/>
      <c r="G488" s="79"/>
      <c r="H488" s="79"/>
      <c r="I488" s="79">
        <f>SUM(G488:H488)+'BM 009'!I488</f>
        <v>0</v>
      </c>
      <c r="J488" s="79">
        <f t="shared" si="204"/>
        <v>362</v>
      </c>
      <c r="K488" s="84">
        <v>5.6295000000000002</v>
      </c>
      <c r="L488" s="81">
        <f t="shared" si="203"/>
        <v>7.1359548192450006</v>
      </c>
      <c r="M488" s="82">
        <f t="shared" ref="M488:M506" si="208">TRUNC(F488*L488,2)</f>
        <v>0</v>
      </c>
      <c r="N488" s="82">
        <f t="shared" ref="N488:N506" si="209">TRUNC(G488*L488,2)</f>
        <v>0</v>
      </c>
      <c r="O488" s="82">
        <f>N488+'BM 009'!O488</f>
        <v>0</v>
      </c>
      <c r="P488" s="80">
        <f t="shared" ref="P488:P506" si="210">E488*K488</f>
        <v>2037.8790000000001</v>
      </c>
      <c r="Q488" s="82">
        <f t="shared" ref="Q488:Q506" si="211">TRUNC(E488*L488,2)</f>
        <v>2583.21</v>
      </c>
      <c r="R488" s="82">
        <f t="shared" ref="R488:R506" si="212">Q488-O488</f>
        <v>2583.21</v>
      </c>
    </row>
    <row r="489" spans="2:18" s="34" customFormat="1" ht="34.799999999999997">
      <c r="B489" s="75" t="s">
        <v>953</v>
      </c>
      <c r="C489" s="76" t="s">
        <v>954</v>
      </c>
      <c r="D489" s="77" t="s">
        <v>131</v>
      </c>
      <c r="E489" s="78">
        <v>41</v>
      </c>
      <c r="F489" s="79"/>
      <c r="G489" s="79"/>
      <c r="H489" s="79"/>
      <c r="I489" s="79">
        <f>SUM(G489:H489)+'BM 009'!I489</f>
        <v>0</v>
      </c>
      <c r="J489" s="79">
        <f t="shared" si="204"/>
        <v>41</v>
      </c>
      <c r="K489" s="84">
        <v>12.771000000000001</v>
      </c>
      <c r="L489" s="81">
        <f t="shared" si="203"/>
        <v>16.188521004810003</v>
      </c>
      <c r="M489" s="82">
        <f t="shared" si="208"/>
        <v>0</v>
      </c>
      <c r="N489" s="82">
        <f t="shared" si="209"/>
        <v>0</v>
      </c>
      <c r="O489" s="82">
        <f>N489+'BM 009'!O489</f>
        <v>0</v>
      </c>
      <c r="P489" s="80">
        <f t="shared" si="210"/>
        <v>523.61099999999999</v>
      </c>
      <c r="Q489" s="82">
        <f t="shared" si="211"/>
        <v>663.72</v>
      </c>
      <c r="R489" s="82">
        <f t="shared" si="212"/>
        <v>663.72</v>
      </c>
    </row>
    <row r="490" spans="2:18" s="34" customFormat="1" ht="34.799999999999997">
      <c r="B490" s="75" t="s">
        <v>955</v>
      </c>
      <c r="C490" s="76" t="s">
        <v>956</v>
      </c>
      <c r="D490" s="77" t="s">
        <v>131</v>
      </c>
      <c r="E490" s="78">
        <v>4</v>
      </c>
      <c r="F490" s="79"/>
      <c r="G490" s="79"/>
      <c r="H490" s="79"/>
      <c r="I490" s="79">
        <f>SUM(G490:H490)+'BM 009'!I490</f>
        <v>0</v>
      </c>
      <c r="J490" s="79">
        <f t="shared" si="204"/>
        <v>4</v>
      </c>
      <c r="K490" s="84">
        <v>20.358000000000001</v>
      </c>
      <c r="L490" s="81">
        <f t="shared" si="203"/>
        <v>25.805803039380002</v>
      </c>
      <c r="M490" s="82">
        <f t="shared" si="208"/>
        <v>0</v>
      </c>
      <c r="N490" s="82">
        <f t="shared" si="209"/>
        <v>0</v>
      </c>
      <c r="O490" s="82">
        <f>N490+'BM 009'!O490</f>
        <v>0</v>
      </c>
      <c r="P490" s="80">
        <f t="shared" si="210"/>
        <v>81.432000000000002</v>
      </c>
      <c r="Q490" s="82">
        <f t="shared" si="211"/>
        <v>103.22</v>
      </c>
      <c r="R490" s="82">
        <f t="shared" si="212"/>
        <v>103.22</v>
      </c>
    </row>
    <row r="491" spans="2:18" s="34" customFormat="1" ht="34.799999999999997">
      <c r="B491" s="75" t="s">
        <v>957</v>
      </c>
      <c r="C491" s="76" t="s">
        <v>958</v>
      </c>
      <c r="D491" s="77" t="s">
        <v>131</v>
      </c>
      <c r="E491" s="78">
        <v>12</v>
      </c>
      <c r="F491" s="79"/>
      <c r="G491" s="79"/>
      <c r="H491" s="79"/>
      <c r="I491" s="79">
        <f>SUM(G491:H491)+'BM 009'!I491</f>
        <v>0</v>
      </c>
      <c r="J491" s="79">
        <f t="shared" si="204"/>
        <v>12</v>
      </c>
      <c r="K491" s="84">
        <v>68.418000000000006</v>
      </c>
      <c r="L491" s="81">
        <f t="shared" si="203"/>
        <v>86.726664325980011</v>
      </c>
      <c r="M491" s="82">
        <f t="shared" si="208"/>
        <v>0</v>
      </c>
      <c r="N491" s="82">
        <f t="shared" si="209"/>
        <v>0</v>
      </c>
      <c r="O491" s="82">
        <f>N491+'BM 009'!O491</f>
        <v>0</v>
      </c>
      <c r="P491" s="80">
        <f t="shared" si="210"/>
        <v>821.01600000000008</v>
      </c>
      <c r="Q491" s="82">
        <f t="shared" si="211"/>
        <v>1040.71</v>
      </c>
      <c r="R491" s="82">
        <f t="shared" si="212"/>
        <v>1040.71</v>
      </c>
    </row>
    <row r="492" spans="2:18" s="34" customFormat="1" ht="46.2">
      <c r="B492" s="75" t="s">
        <v>959</v>
      </c>
      <c r="C492" s="76" t="s">
        <v>960</v>
      </c>
      <c r="D492" s="77" t="s">
        <v>131</v>
      </c>
      <c r="E492" s="78">
        <v>106</v>
      </c>
      <c r="F492" s="79"/>
      <c r="G492" s="79"/>
      <c r="H492" s="79"/>
      <c r="I492" s="79">
        <f>SUM(G492:H492)+'BM 009'!I492</f>
        <v>0</v>
      </c>
      <c r="J492" s="79">
        <f t="shared" si="204"/>
        <v>106</v>
      </c>
      <c r="K492" s="84">
        <v>20.52</v>
      </c>
      <c r="L492" s="81">
        <f t="shared" si="203"/>
        <v>26.011154257200001</v>
      </c>
      <c r="M492" s="82">
        <f t="shared" si="208"/>
        <v>0</v>
      </c>
      <c r="N492" s="82">
        <f t="shared" si="209"/>
        <v>0</v>
      </c>
      <c r="O492" s="82">
        <f>N492+'BM 009'!O492</f>
        <v>0</v>
      </c>
      <c r="P492" s="80">
        <f t="shared" si="210"/>
        <v>2175.12</v>
      </c>
      <c r="Q492" s="82">
        <f t="shared" si="211"/>
        <v>2757.18</v>
      </c>
      <c r="R492" s="82">
        <f t="shared" si="212"/>
        <v>2757.18</v>
      </c>
    </row>
    <row r="493" spans="2:18" s="34" customFormat="1" ht="46.2">
      <c r="B493" s="75" t="s">
        <v>961</v>
      </c>
      <c r="C493" s="76" t="s">
        <v>962</v>
      </c>
      <c r="D493" s="77" t="s">
        <v>131</v>
      </c>
      <c r="E493" s="78">
        <v>14</v>
      </c>
      <c r="F493" s="79"/>
      <c r="G493" s="79"/>
      <c r="H493" s="79"/>
      <c r="I493" s="79">
        <f>SUM(G493:H493)+'BM 009'!I493</f>
        <v>0</v>
      </c>
      <c r="J493" s="79">
        <f t="shared" si="204"/>
        <v>14</v>
      </c>
      <c r="K493" s="84">
        <v>11.4885</v>
      </c>
      <c r="L493" s="81">
        <f t="shared" si="203"/>
        <v>14.562823863735002</v>
      </c>
      <c r="M493" s="82">
        <f t="shared" si="208"/>
        <v>0</v>
      </c>
      <c r="N493" s="82">
        <f t="shared" si="209"/>
        <v>0</v>
      </c>
      <c r="O493" s="82">
        <f>N493+'BM 009'!O493</f>
        <v>0</v>
      </c>
      <c r="P493" s="80">
        <f t="shared" si="210"/>
        <v>160.839</v>
      </c>
      <c r="Q493" s="82">
        <f t="shared" si="211"/>
        <v>203.87</v>
      </c>
      <c r="R493" s="82">
        <f t="shared" si="212"/>
        <v>203.87</v>
      </c>
    </row>
    <row r="494" spans="2:18" s="34" customFormat="1" ht="46.2">
      <c r="B494" s="75" t="s">
        <v>963</v>
      </c>
      <c r="C494" s="76" t="s">
        <v>964</v>
      </c>
      <c r="D494" s="77" t="s">
        <v>131</v>
      </c>
      <c r="E494" s="78">
        <v>6</v>
      </c>
      <c r="F494" s="79"/>
      <c r="G494" s="79"/>
      <c r="H494" s="79"/>
      <c r="I494" s="79">
        <f>SUM(G494:H494)+'BM 009'!I494</f>
        <v>0</v>
      </c>
      <c r="J494" s="79">
        <f t="shared" si="204"/>
        <v>6</v>
      </c>
      <c r="K494" s="84">
        <v>13.432499999999999</v>
      </c>
      <c r="L494" s="81">
        <f t="shared" si="203"/>
        <v>17.027038477575001</v>
      </c>
      <c r="M494" s="82">
        <f t="shared" si="208"/>
        <v>0</v>
      </c>
      <c r="N494" s="82">
        <f t="shared" si="209"/>
        <v>0</v>
      </c>
      <c r="O494" s="82">
        <f>N494+'BM 009'!O494</f>
        <v>0</v>
      </c>
      <c r="P494" s="80">
        <f t="shared" si="210"/>
        <v>80.594999999999999</v>
      </c>
      <c r="Q494" s="82">
        <f t="shared" si="211"/>
        <v>102.16</v>
      </c>
      <c r="R494" s="82">
        <f t="shared" si="212"/>
        <v>102.16</v>
      </c>
    </row>
    <row r="495" spans="2:18" s="34" customFormat="1" ht="23.4">
      <c r="B495" s="75" t="s">
        <v>965</v>
      </c>
      <c r="C495" s="76" t="s">
        <v>966</v>
      </c>
      <c r="D495" s="77" t="s">
        <v>131</v>
      </c>
      <c r="E495" s="78">
        <v>3</v>
      </c>
      <c r="F495" s="79"/>
      <c r="G495" s="79"/>
      <c r="H495" s="79"/>
      <c r="I495" s="79">
        <f>SUM(G495:H495)+'BM 009'!I495</f>
        <v>0</v>
      </c>
      <c r="J495" s="79">
        <f t="shared" si="204"/>
        <v>3</v>
      </c>
      <c r="K495" s="84">
        <v>42.214500000000001</v>
      </c>
      <c r="L495" s="81">
        <f t="shared" si="203"/>
        <v>53.511104843595007</v>
      </c>
      <c r="M495" s="82">
        <f t="shared" si="208"/>
        <v>0</v>
      </c>
      <c r="N495" s="82">
        <f t="shared" si="209"/>
        <v>0</v>
      </c>
      <c r="O495" s="82">
        <f>N495+'BM 009'!O495</f>
        <v>0</v>
      </c>
      <c r="P495" s="80">
        <f t="shared" si="210"/>
        <v>126.6435</v>
      </c>
      <c r="Q495" s="82">
        <f t="shared" si="211"/>
        <v>160.53</v>
      </c>
      <c r="R495" s="82">
        <f t="shared" si="212"/>
        <v>160.53</v>
      </c>
    </row>
    <row r="496" spans="2:18" s="34" customFormat="1" ht="34.799999999999997">
      <c r="B496" s="75" t="s">
        <v>967</v>
      </c>
      <c r="C496" s="76" t="s">
        <v>968</v>
      </c>
      <c r="D496" s="77" t="s">
        <v>131</v>
      </c>
      <c r="E496" s="78">
        <v>51</v>
      </c>
      <c r="F496" s="79"/>
      <c r="G496" s="79"/>
      <c r="H496" s="79"/>
      <c r="I496" s="79">
        <f>SUM(G496:H496)+'BM 009'!I496</f>
        <v>0</v>
      </c>
      <c r="J496" s="79">
        <f t="shared" si="204"/>
        <v>51</v>
      </c>
      <c r="K496" s="84">
        <v>15.1335</v>
      </c>
      <c r="L496" s="81">
        <f t="shared" si="203"/>
        <v>19.183226264685</v>
      </c>
      <c r="M496" s="82">
        <f t="shared" si="208"/>
        <v>0</v>
      </c>
      <c r="N496" s="82">
        <f t="shared" si="209"/>
        <v>0</v>
      </c>
      <c r="O496" s="82">
        <f>N496+'BM 009'!O496</f>
        <v>0</v>
      </c>
      <c r="P496" s="80">
        <f t="shared" si="210"/>
        <v>771.80849999999998</v>
      </c>
      <c r="Q496" s="82">
        <f t="shared" si="211"/>
        <v>978.34</v>
      </c>
      <c r="R496" s="82">
        <f t="shared" si="212"/>
        <v>978.34</v>
      </c>
    </row>
    <row r="497" spans="2:18" s="34" customFormat="1" ht="34.799999999999997">
      <c r="B497" s="75" t="s">
        <v>969</v>
      </c>
      <c r="C497" s="76" t="s">
        <v>970</v>
      </c>
      <c r="D497" s="77" t="s">
        <v>131</v>
      </c>
      <c r="E497" s="78">
        <v>8</v>
      </c>
      <c r="F497" s="79"/>
      <c r="G497" s="79"/>
      <c r="H497" s="79"/>
      <c r="I497" s="79">
        <f>SUM(G497:H497)+'BM 009'!I497</f>
        <v>0</v>
      </c>
      <c r="J497" s="79">
        <f t="shared" si="204"/>
        <v>8</v>
      </c>
      <c r="K497" s="84">
        <v>23.638500000000001</v>
      </c>
      <c r="L497" s="81">
        <f t="shared" si="203"/>
        <v>29.964165200235001</v>
      </c>
      <c r="M497" s="82">
        <f t="shared" si="208"/>
        <v>0</v>
      </c>
      <c r="N497" s="82">
        <f t="shared" si="209"/>
        <v>0</v>
      </c>
      <c r="O497" s="82">
        <f>N497+'BM 009'!O497</f>
        <v>0</v>
      </c>
      <c r="P497" s="80">
        <f t="shared" si="210"/>
        <v>189.108</v>
      </c>
      <c r="Q497" s="82">
        <f t="shared" si="211"/>
        <v>239.71</v>
      </c>
      <c r="R497" s="82">
        <f t="shared" si="212"/>
        <v>239.71</v>
      </c>
    </row>
    <row r="498" spans="2:18" s="34" customFormat="1" ht="34.799999999999997">
      <c r="B498" s="75" t="s">
        <v>971</v>
      </c>
      <c r="C498" s="76" t="s">
        <v>972</v>
      </c>
      <c r="D498" s="77" t="s">
        <v>131</v>
      </c>
      <c r="E498" s="78">
        <v>3</v>
      </c>
      <c r="F498" s="79"/>
      <c r="G498" s="79"/>
      <c r="H498" s="79"/>
      <c r="I498" s="79">
        <f>SUM(G498:H498)+'BM 009'!I498</f>
        <v>0</v>
      </c>
      <c r="J498" s="79">
        <f t="shared" si="204"/>
        <v>3</v>
      </c>
      <c r="K498" s="84">
        <v>32.656500000000001</v>
      </c>
      <c r="L498" s="81">
        <f t="shared" si="203"/>
        <v>41.395382992215005</v>
      </c>
      <c r="M498" s="82">
        <f t="shared" si="208"/>
        <v>0</v>
      </c>
      <c r="N498" s="82">
        <f t="shared" si="209"/>
        <v>0</v>
      </c>
      <c r="O498" s="82">
        <f>N498+'BM 009'!O498</f>
        <v>0</v>
      </c>
      <c r="P498" s="80">
        <f t="shared" si="210"/>
        <v>97.969500000000011</v>
      </c>
      <c r="Q498" s="82">
        <f t="shared" si="211"/>
        <v>124.18</v>
      </c>
      <c r="R498" s="82">
        <f t="shared" si="212"/>
        <v>124.18</v>
      </c>
    </row>
    <row r="499" spans="2:18" s="34" customFormat="1" ht="23.4">
      <c r="B499" s="75" t="s">
        <v>973</v>
      </c>
      <c r="C499" s="76" t="s">
        <v>974</v>
      </c>
      <c r="D499" s="77" t="s">
        <v>131</v>
      </c>
      <c r="E499" s="78">
        <v>14</v>
      </c>
      <c r="F499" s="79"/>
      <c r="G499" s="79"/>
      <c r="H499" s="79"/>
      <c r="I499" s="79">
        <f>SUM(G499:H499)+'BM 009'!I499</f>
        <v>0</v>
      </c>
      <c r="J499" s="79">
        <f t="shared" si="204"/>
        <v>14</v>
      </c>
      <c r="K499" s="84">
        <v>24.003</v>
      </c>
      <c r="L499" s="81">
        <f t="shared" si="203"/>
        <v>30.426205440330001</v>
      </c>
      <c r="M499" s="82">
        <f t="shared" si="208"/>
        <v>0</v>
      </c>
      <c r="N499" s="82">
        <f t="shared" si="209"/>
        <v>0</v>
      </c>
      <c r="O499" s="82">
        <f>N499+'BM 009'!O499</f>
        <v>0</v>
      </c>
      <c r="P499" s="80">
        <f t="shared" si="210"/>
        <v>336.04200000000003</v>
      </c>
      <c r="Q499" s="82">
        <f t="shared" si="211"/>
        <v>425.96</v>
      </c>
      <c r="R499" s="82">
        <f t="shared" si="212"/>
        <v>425.96</v>
      </c>
    </row>
    <row r="500" spans="2:18" s="34" customFormat="1" ht="23.4">
      <c r="B500" s="75" t="s">
        <v>975</v>
      </c>
      <c r="C500" s="76" t="s">
        <v>976</v>
      </c>
      <c r="D500" s="77" t="s">
        <v>131</v>
      </c>
      <c r="E500" s="78">
        <v>47</v>
      </c>
      <c r="F500" s="79"/>
      <c r="G500" s="79"/>
      <c r="H500" s="79"/>
      <c r="I500" s="79">
        <f>SUM(G500:H500)+'BM 009'!I500</f>
        <v>0</v>
      </c>
      <c r="J500" s="79">
        <f t="shared" si="204"/>
        <v>47</v>
      </c>
      <c r="K500" s="84">
        <v>54.7425</v>
      </c>
      <c r="L500" s="81">
        <f t="shared" si="203"/>
        <v>69.391599021675006</v>
      </c>
      <c r="M500" s="82">
        <f t="shared" si="208"/>
        <v>0</v>
      </c>
      <c r="N500" s="82">
        <f t="shared" si="209"/>
        <v>0</v>
      </c>
      <c r="O500" s="82">
        <f>N500+'BM 009'!O500</f>
        <v>0</v>
      </c>
      <c r="P500" s="80">
        <f t="shared" si="210"/>
        <v>2572.8975</v>
      </c>
      <c r="Q500" s="82">
        <f t="shared" si="211"/>
        <v>3261.4</v>
      </c>
      <c r="R500" s="82">
        <f t="shared" si="212"/>
        <v>3261.4</v>
      </c>
    </row>
    <row r="501" spans="2:18" s="34" customFormat="1" ht="23.4">
      <c r="B501" s="75" t="s">
        <v>977</v>
      </c>
      <c r="C501" s="76" t="s">
        <v>978</v>
      </c>
      <c r="D501" s="77" t="s">
        <v>131</v>
      </c>
      <c r="E501" s="78">
        <v>3</v>
      </c>
      <c r="F501" s="79"/>
      <c r="G501" s="79"/>
      <c r="H501" s="79"/>
      <c r="I501" s="79">
        <f>SUM(G501:H501)+'BM 009'!I501</f>
        <v>0</v>
      </c>
      <c r="J501" s="79">
        <f t="shared" si="204"/>
        <v>3</v>
      </c>
      <c r="K501" s="84">
        <v>79.393500000000003</v>
      </c>
      <c r="L501" s="81">
        <f t="shared" si="203"/>
        <v>100.63920933328501</v>
      </c>
      <c r="M501" s="82">
        <f t="shared" si="208"/>
        <v>0</v>
      </c>
      <c r="N501" s="82">
        <f t="shared" si="209"/>
        <v>0</v>
      </c>
      <c r="O501" s="82">
        <f>N501+'BM 009'!O501</f>
        <v>0</v>
      </c>
      <c r="P501" s="80">
        <f t="shared" si="210"/>
        <v>238.18049999999999</v>
      </c>
      <c r="Q501" s="82">
        <f t="shared" si="211"/>
        <v>301.91000000000003</v>
      </c>
      <c r="R501" s="82">
        <f t="shared" si="212"/>
        <v>301.91000000000003</v>
      </c>
    </row>
    <row r="502" spans="2:18" s="34" customFormat="1" ht="34.799999999999997">
      <c r="B502" s="75" t="s">
        <v>979</v>
      </c>
      <c r="C502" s="76" t="s">
        <v>980</v>
      </c>
      <c r="D502" s="77" t="s">
        <v>131</v>
      </c>
      <c r="E502" s="78">
        <v>3</v>
      </c>
      <c r="F502" s="79"/>
      <c r="G502" s="79"/>
      <c r="H502" s="79"/>
      <c r="I502" s="79">
        <f>SUM(G502:H502)+'BM 009'!I502</f>
        <v>0</v>
      </c>
      <c r="J502" s="79">
        <f t="shared" si="204"/>
        <v>3</v>
      </c>
      <c r="K502" s="84">
        <v>634.5</v>
      </c>
      <c r="L502" s="81">
        <f t="shared" si="203"/>
        <v>804.29226979500004</v>
      </c>
      <c r="M502" s="82">
        <f t="shared" si="208"/>
        <v>0</v>
      </c>
      <c r="N502" s="82">
        <f t="shared" si="209"/>
        <v>0</v>
      </c>
      <c r="O502" s="82">
        <f>N502+'BM 009'!O502</f>
        <v>0</v>
      </c>
      <c r="P502" s="80">
        <f t="shared" si="210"/>
        <v>1903.5</v>
      </c>
      <c r="Q502" s="82">
        <f t="shared" si="211"/>
        <v>2412.87</v>
      </c>
      <c r="R502" s="82">
        <f t="shared" si="212"/>
        <v>2412.87</v>
      </c>
    </row>
    <row r="503" spans="2:18" s="34" customFormat="1" ht="23.4">
      <c r="B503" s="75" t="s">
        <v>981</v>
      </c>
      <c r="C503" s="76" t="s">
        <v>982</v>
      </c>
      <c r="D503" s="77" t="s">
        <v>131</v>
      </c>
      <c r="E503" s="78">
        <v>6</v>
      </c>
      <c r="F503" s="79"/>
      <c r="G503" s="79"/>
      <c r="H503" s="79"/>
      <c r="I503" s="79">
        <f>SUM(G503:H503)+'BM 009'!I503</f>
        <v>0</v>
      </c>
      <c r="J503" s="79">
        <f t="shared" si="204"/>
        <v>6</v>
      </c>
      <c r="K503" s="84">
        <v>985</v>
      </c>
      <c r="L503" s="81">
        <f t="shared" si="203"/>
        <v>1248.5861083500001</v>
      </c>
      <c r="M503" s="82">
        <f t="shared" si="208"/>
        <v>0</v>
      </c>
      <c r="N503" s="82">
        <f t="shared" si="209"/>
        <v>0</v>
      </c>
      <c r="O503" s="82">
        <f>N503+'BM 009'!O503</f>
        <v>0</v>
      </c>
      <c r="P503" s="80">
        <f t="shared" si="210"/>
        <v>5910</v>
      </c>
      <c r="Q503" s="82">
        <f t="shared" si="211"/>
        <v>7491.51</v>
      </c>
      <c r="R503" s="82">
        <f t="shared" si="212"/>
        <v>7491.51</v>
      </c>
    </row>
    <row r="504" spans="2:18" s="34" customFormat="1" ht="23.4">
      <c r="B504" s="75" t="s">
        <v>983</v>
      </c>
      <c r="C504" s="76" t="s">
        <v>984</v>
      </c>
      <c r="D504" s="77" t="s">
        <v>131</v>
      </c>
      <c r="E504" s="78">
        <v>6</v>
      </c>
      <c r="F504" s="79"/>
      <c r="G504" s="79"/>
      <c r="H504" s="79"/>
      <c r="I504" s="79">
        <f>SUM(G504:H504)+'BM 009'!I504</f>
        <v>0</v>
      </c>
      <c r="J504" s="79">
        <f t="shared" si="204"/>
        <v>6</v>
      </c>
      <c r="K504" s="84">
        <v>895</v>
      </c>
      <c r="L504" s="81">
        <f t="shared" si="203"/>
        <v>1134.5020984499999</v>
      </c>
      <c r="M504" s="82">
        <f t="shared" si="208"/>
        <v>0</v>
      </c>
      <c r="N504" s="82">
        <f t="shared" si="209"/>
        <v>0</v>
      </c>
      <c r="O504" s="82">
        <f>N504+'BM 009'!O504</f>
        <v>0</v>
      </c>
      <c r="P504" s="80">
        <f t="shared" si="210"/>
        <v>5370</v>
      </c>
      <c r="Q504" s="82">
        <f t="shared" si="211"/>
        <v>6807.01</v>
      </c>
      <c r="R504" s="82">
        <f t="shared" si="212"/>
        <v>6807.01</v>
      </c>
    </row>
    <row r="505" spans="2:18" s="34" customFormat="1" ht="23.4">
      <c r="B505" s="75" t="s">
        <v>985</v>
      </c>
      <c r="C505" s="76" t="s">
        <v>986</v>
      </c>
      <c r="D505" s="77" t="s">
        <v>131</v>
      </c>
      <c r="E505" s="78">
        <v>6</v>
      </c>
      <c r="F505" s="79"/>
      <c r="G505" s="79"/>
      <c r="H505" s="79"/>
      <c r="I505" s="79">
        <f>SUM(G505:H505)+'BM 009'!I505</f>
        <v>0</v>
      </c>
      <c r="J505" s="79">
        <f t="shared" si="204"/>
        <v>6</v>
      </c>
      <c r="K505" s="84">
        <v>895</v>
      </c>
      <c r="L505" s="81">
        <f t="shared" si="203"/>
        <v>1134.5020984499999</v>
      </c>
      <c r="M505" s="82">
        <f t="shared" si="208"/>
        <v>0</v>
      </c>
      <c r="N505" s="82">
        <f t="shared" si="209"/>
        <v>0</v>
      </c>
      <c r="O505" s="82">
        <f>N505+'BM 009'!O505</f>
        <v>0</v>
      </c>
      <c r="P505" s="80">
        <f t="shared" si="210"/>
        <v>5370</v>
      </c>
      <c r="Q505" s="82">
        <f t="shared" si="211"/>
        <v>6807.01</v>
      </c>
      <c r="R505" s="82">
        <f t="shared" si="212"/>
        <v>6807.01</v>
      </c>
    </row>
    <row r="506" spans="2:18" s="34" customFormat="1" ht="34.799999999999997">
      <c r="B506" s="75" t="s">
        <v>987</v>
      </c>
      <c r="C506" s="76" t="s">
        <v>988</v>
      </c>
      <c r="D506" s="77" t="s">
        <v>131</v>
      </c>
      <c r="E506" s="78">
        <v>20</v>
      </c>
      <c r="F506" s="79"/>
      <c r="G506" s="79"/>
      <c r="H506" s="79"/>
      <c r="I506" s="79">
        <f>SUM(G506:H506)+'BM 009'!I506</f>
        <v>0</v>
      </c>
      <c r="J506" s="79">
        <f t="shared" si="204"/>
        <v>20</v>
      </c>
      <c r="K506" s="84">
        <v>625</v>
      </c>
      <c r="L506" s="81">
        <f t="shared" si="203"/>
        <v>792.25006875000008</v>
      </c>
      <c r="M506" s="82">
        <f t="shared" si="208"/>
        <v>0</v>
      </c>
      <c r="N506" s="82">
        <f t="shared" si="209"/>
        <v>0</v>
      </c>
      <c r="O506" s="82">
        <f>N506+'BM 009'!O506</f>
        <v>0</v>
      </c>
      <c r="P506" s="80">
        <f t="shared" si="210"/>
        <v>12500</v>
      </c>
      <c r="Q506" s="82">
        <f t="shared" si="211"/>
        <v>15845</v>
      </c>
      <c r="R506" s="82">
        <f t="shared" si="212"/>
        <v>15845</v>
      </c>
    </row>
    <row r="507" spans="2:18" s="34" customFormat="1" ht="13.2">
      <c r="B507" s="60" t="s">
        <v>989</v>
      </c>
      <c r="C507" s="61" t="s">
        <v>990</v>
      </c>
      <c r="D507" s="60"/>
      <c r="E507" s="62"/>
      <c r="F507" s="63"/>
      <c r="G507" s="63"/>
      <c r="H507" s="63"/>
      <c r="I507" s="63">
        <f>SUM(G507:H507)+'BM 009'!I507</f>
        <v>0</v>
      </c>
      <c r="J507" s="63">
        <f t="shared" si="204"/>
        <v>0</v>
      </c>
      <c r="K507" s="63"/>
      <c r="L507" s="63">
        <f t="shared" si="203"/>
        <v>0</v>
      </c>
      <c r="M507" s="63">
        <f t="shared" ref="M507:R507" si="213">SUM(M508,M520,M552,M554)</f>
        <v>0</v>
      </c>
      <c r="N507" s="63">
        <f t="shared" si="213"/>
        <v>0</v>
      </c>
      <c r="O507" s="63">
        <f t="shared" si="213"/>
        <v>1262.51</v>
      </c>
      <c r="P507" s="63">
        <f t="shared" si="213"/>
        <v>248226.55</v>
      </c>
      <c r="Q507" s="63">
        <f t="shared" si="213"/>
        <v>314651.83</v>
      </c>
      <c r="R507" s="63">
        <f t="shared" si="213"/>
        <v>313389.32</v>
      </c>
    </row>
    <row r="508" spans="2:18" s="34" customFormat="1" ht="13.2">
      <c r="B508" s="66" t="s">
        <v>991</v>
      </c>
      <c r="C508" s="67" t="s">
        <v>992</v>
      </c>
      <c r="D508" s="68"/>
      <c r="E508" s="69"/>
      <c r="F508" s="70"/>
      <c r="G508" s="70"/>
      <c r="H508" s="70"/>
      <c r="I508" s="70">
        <f>SUM(G508:H508)+'BM 009'!I508</f>
        <v>0</v>
      </c>
      <c r="J508" s="70">
        <f t="shared" si="204"/>
        <v>0</v>
      </c>
      <c r="K508" s="71"/>
      <c r="L508" s="71">
        <f t="shared" si="203"/>
        <v>0</v>
      </c>
      <c r="M508" s="73">
        <f t="shared" ref="M508:R508" si="214">SUM(M509:M519)</f>
        <v>0</v>
      </c>
      <c r="N508" s="73">
        <f t="shared" si="214"/>
        <v>0</v>
      </c>
      <c r="O508" s="73">
        <f t="shared" si="214"/>
        <v>836.61</v>
      </c>
      <c r="P508" s="73">
        <f t="shared" si="214"/>
        <v>96780</v>
      </c>
      <c r="Q508" s="73">
        <f t="shared" si="214"/>
        <v>122678.3</v>
      </c>
      <c r="R508" s="73">
        <f t="shared" si="214"/>
        <v>121841.69</v>
      </c>
    </row>
    <row r="509" spans="2:18" s="34" customFormat="1" ht="23.4">
      <c r="B509" s="75" t="s">
        <v>993</v>
      </c>
      <c r="C509" s="76" t="s">
        <v>994</v>
      </c>
      <c r="D509" s="77" t="s">
        <v>124</v>
      </c>
      <c r="E509" s="93">
        <v>300</v>
      </c>
      <c r="F509" s="79"/>
      <c r="G509" s="79"/>
      <c r="H509" s="79"/>
      <c r="I509" s="79">
        <f>SUM(G509:H509)+'BM 009'!I509</f>
        <v>0</v>
      </c>
      <c r="J509" s="79">
        <f t="shared" si="204"/>
        <v>300</v>
      </c>
      <c r="K509" s="84">
        <v>18</v>
      </c>
      <c r="L509" s="81">
        <f t="shared" si="203"/>
        <v>22.816801980000001</v>
      </c>
      <c r="M509" s="82">
        <f t="shared" ref="M509:M519" si="215">TRUNC(F509*L509,2)</f>
        <v>0</v>
      </c>
      <c r="N509" s="82">
        <f t="shared" ref="N509:N519" si="216">TRUNC(G509*L509,2)</f>
        <v>0</v>
      </c>
      <c r="O509" s="82">
        <f>N509+'BM 009'!O509</f>
        <v>0</v>
      </c>
      <c r="P509" s="80">
        <f t="shared" ref="P509:P519" si="217">E509*K509</f>
        <v>5400</v>
      </c>
      <c r="Q509" s="82">
        <f t="shared" ref="Q509:Q519" si="218">TRUNC(E509*L509,2)</f>
        <v>6845.04</v>
      </c>
      <c r="R509" s="82">
        <f t="shared" ref="R509:R519" si="219">Q509-O509</f>
        <v>6845.04</v>
      </c>
    </row>
    <row r="510" spans="2:18" s="34" customFormat="1" ht="34.799999999999997">
      <c r="B510" s="75" t="s">
        <v>995</v>
      </c>
      <c r="C510" s="76" t="s">
        <v>996</v>
      </c>
      <c r="D510" s="77" t="s">
        <v>390</v>
      </c>
      <c r="E510" s="93">
        <v>60</v>
      </c>
      <c r="F510" s="79"/>
      <c r="G510" s="79"/>
      <c r="H510" s="79"/>
      <c r="I510" s="79">
        <f>SUM(G510:H510)+'BM 009'!I510</f>
        <v>0</v>
      </c>
      <c r="J510" s="79">
        <f t="shared" si="204"/>
        <v>60</v>
      </c>
      <c r="K510" s="84">
        <v>39</v>
      </c>
      <c r="L510" s="81">
        <f t="shared" si="203"/>
        <v>49.436404289999999</v>
      </c>
      <c r="M510" s="82">
        <f t="shared" si="215"/>
        <v>0</v>
      </c>
      <c r="N510" s="82">
        <f t="shared" si="216"/>
        <v>0</v>
      </c>
      <c r="O510" s="82">
        <f>N510+'BM 009'!O510</f>
        <v>0</v>
      </c>
      <c r="P510" s="80">
        <f t="shared" si="217"/>
        <v>2340</v>
      </c>
      <c r="Q510" s="82">
        <f t="shared" si="218"/>
        <v>2966.18</v>
      </c>
      <c r="R510" s="82">
        <f t="shared" si="219"/>
        <v>2966.18</v>
      </c>
    </row>
    <row r="511" spans="2:18" s="34" customFormat="1" ht="13.2">
      <c r="B511" s="75" t="s">
        <v>997</v>
      </c>
      <c r="C511" s="76" t="s">
        <v>998</v>
      </c>
      <c r="D511" s="77" t="s">
        <v>390</v>
      </c>
      <c r="E511" s="93">
        <v>60</v>
      </c>
      <c r="F511" s="79"/>
      <c r="G511" s="79"/>
      <c r="H511" s="79"/>
      <c r="I511" s="79">
        <f>SUM(G511:H511)+'BM 009'!I511</f>
        <v>0</v>
      </c>
      <c r="J511" s="79">
        <f t="shared" si="204"/>
        <v>60</v>
      </c>
      <c r="K511" s="84">
        <v>18</v>
      </c>
      <c r="L511" s="81">
        <f t="shared" si="203"/>
        <v>22.816801980000001</v>
      </c>
      <c r="M511" s="82">
        <f t="shared" si="215"/>
        <v>0</v>
      </c>
      <c r="N511" s="82">
        <f t="shared" si="216"/>
        <v>0</v>
      </c>
      <c r="O511" s="82">
        <f>N511+'BM 009'!O511</f>
        <v>0</v>
      </c>
      <c r="P511" s="80">
        <f t="shared" si="217"/>
        <v>1080</v>
      </c>
      <c r="Q511" s="82">
        <f t="shared" si="218"/>
        <v>1369</v>
      </c>
      <c r="R511" s="82">
        <f t="shared" si="219"/>
        <v>1369</v>
      </c>
    </row>
    <row r="512" spans="2:18" s="34" customFormat="1" ht="46.2">
      <c r="B512" s="75" t="s">
        <v>999</v>
      </c>
      <c r="C512" s="76" t="s">
        <v>1000</v>
      </c>
      <c r="D512" s="77" t="s">
        <v>124</v>
      </c>
      <c r="E512" s="93">
        <v>210</v>
      </c>
      <c r="F512" s="79"/>
      <c r="G512" s="79"/>
      <c r="H512" s="79"/>
      <c r="I512" s="79">
        <f>SUM(G512:H512)+'BM 009'!I512</f>
        <v>0</v>
      </c>
      <c r="J512" s="79">
        <f t="shared" si="204"/>
        <v>210</v>
      </c>
      <c r="K512" s="84">
        <v>40</v>
      </c>
      <c r="L512" s="81">
        <f t="shared" si="203"/>
        <v>50.704004400000002</v>
      </c>
      <c r="M512" s="82">
        <f t="shared" si="215"/>
        <v>0</v>
      </c>
      <c r="N512" s="82">
        <f t="shared" si="216"/>
        <v>0</v>
      </c>
      <c r="O512" s="82">
        <f>N512+'BM 009'!O512</f>
        <v>0</v>
      </c>
      <c r="P512" s="80">
        <f t="shared" si="217"/>
        <v>8400</v>
      </c>
      <c r="Q512" s="82">
        <f t="shared" si="218"/>
        <v>10647.84</v>
      </c>
      <c r="R512" s="82">
        <f t="shared" si="219"/>
        <v>10647.84</v>
      </c>
    </row>
    <row r="513" spans="2:18" s="34" customFormat="1" ht="46.2">
      <c r="B513" s="75" t="s">
        <v>1001</v>
      </c>
      <c r="C513" s="76" t="s">
        <v>1002</v>
      </c>
      <c r="D513" s="77" t="s">
        <v>124</v>
      </c>
      <c r="E513" s="93">
        <v>120</v>
      </c>
      <c r="F513" s="79"/>
      <c r="G513" s="79"/>
      <c r="H513" s="79"/>
      <c r="I513" s="79">
        <f>SUM(G513:H513)+'BM 009'!I513</f>
        <v>0</v>
      </c>
      <c r="J513" s="79">
        <f t="shared" si="204"/>
        <v>120</v>
      </c>
      <c r="K513" s="84">
        <v>75</v>
      </c>
      <c r="L513" s="81">
        <f t="shared" si="203"/>
        <v>95.070008250000001</v>
      </c>
      <c r="M513" s="82">
        <f t="shared" si="215"/>
        <v>0</v>
      </c>
      <c r="N513" s="82">
        <f t="shared" si="216"/>
        <v>0</v>
      </c>
      <c r="O513" s="82">
        <f>N513+'BM 009'!O513</f>
        <v>0</v>
      </c>
      <c r="P513" s="80">
        <f t="shared" si="217"/>
        <v>9000</v>
      </c>
      <c r="Q513" s="82">
        <f t="shared" si="218"/>
        <v>11408.4</v>
      </c>
      <c r="R513" s="82">
        <f t="shared" si="219"/>
        <v>11408.4</v>
      </c>
    </row>
    <row r="514" spans="2:18" s="34" customFormat="1" ht="46.2">
      <c r="B514" s="75" t="s">
        <v>1003</v>
      </c>
      <c r="C514" s="76" t="s">
        <v>1004</v>
      </c>
      <c r="D514" s="77" t="s">
        <v>124</v>
      </c>
      <c r="E514" s="93">
        <v>36</v>
      </c>
      <c r="F514" s="79"/>
      <c r="G514" s="79"/>
      <c r="H514" s="79"/>
      <c r="I514" s="79">
        <f>SUM(G514:H514)+'BM 009'!I514</f>
        <v>0</v>
      </c>
      <c r="J514" s="79">
        <f t="shared" si="204"/>
        <v>36</v>
      </c>
      <c r="K514" s="84">
        <v>130</v>
      </c>
      <c r="L514" s="81">
        <f t="shared" si="203"/>
        <v>164.78801430000001</v>
      </c>
      <c r="M514" s="82">
        <f t="shared" si="215"/>
        <v>0</v>
      </c>
      <c r="N514" s="82">
        <f t="shared" si="216"/>
        <v>0</v>
      </c>
      <c r="O514" s="82">
        <f>N514+'BM 009'!O514</f>
        <v>0</v>
      </c>
      <c r="P514" s="80">
        <f t="shared" si="217"/>
        <v>4680</v>
      </c>
      <c r="Q514" s="82">
        <f t="shared" si="218"/>
        <v>5932.36</v>
      </c>
      <c r="R514" s="82">
        <f t="shared" si="219"/>
        <v>5932.36</v>
      </c>
    </row>
    <row r="515" spans="2:18" s="34" customFormat="1" ht="46.2">
      <c r="B515" s="75" t="s">
        <v>1005</v>
      </c>
      <c r="C515" s="76" t="s">
        <v>1006</v>
      </c>
      <c r="D515" s="77" t="s">
        <v>124</v>
      </c>
      <c r="E515" s="93">
        <v>36</v>
      </c>
      <c r="F515" s="79"/>
      <c r="G515" s="79"/>
      <c r="H515" s="79"/>
      <c r="I515" s="79">
        <f>SUM(G515:H515)+'BM 009'!I515</f>
        <v>0</v>
      </c>
      <c r="J515" s="79">
        <f t="shared" si="204"/>
        <v>36</v>
      </c>
      <c r="K515" s="84">
        <v>180</v>
      </c>
      <c r="L515" s="81">
        <f t="shared" si="203"/>
        <v>228.16801980000002</v>
      </c>
      <c r="M515" s="82">
        <f t="shared" si="215"/>
        <v>0</v>
      </c>
      <c r="N515" s="82">
        <f t="shared" si="216"/>
        <v>0</v>
      </c>
      <c r="O515" s="82">
        <f>N515+'BM 009'!O515</f>
        <v>0</v>
      </c>
      <c r="P515" s="80">
        <f t="shared" si="217"/>
        <v>6480</v>
      </c>
      <c r="Q515" s="82">
        <f t="shared" si="218"/>
        <v>8214.0400000000009</v>
      </c>
      <c r="R515" s="82">
        <f t="shared" si="219"/>
        <v>8214.0400000000009</v>
      </c>
    </row>
    <row r="516" spans="2:18" s="34" customFormat="1" ht="46.2">
      <c r="B516" s="75" t="s">
        <v>1007</v>
      </c>
      <c r="C516" s="76" t="s">
        <v>1008</v>
      </c>
      <c r="D516" s="77" t="s">
        <v>124</v>
      </c>
      <c r="E516" s="93">
        <v>120</v>
      </c>
      <c r="F516" s="79"/>
      <c r="G516" s="79"/>
      <c r="H516" s="79"/>
      <c r="I516" s="79">
        <f>SUM(G516:H516)+'BM 009'!I516</f>
        <v>6</v>
      </c>
      <c r="J516" s="79">
        <f t="shared" si="204"/>
        <v>114</v>
      </c>
      <c r="K516" s="84">
        <v>110</v>
      </c>
      <c r="L516" s="81">
        <f t="shared" si="203"/>
        <v>139.4360121</v>
      </c>
      <c r="M516" s="82">
        <f t="shared" si="215"/>
        <v>0</v>
      </c>
      <c r="N516" s="82">
        <f t="shared" si="216"/>
        <v>0</v>
      </c>
      <c r="O516" s="82">
        <f>N516+'BM 009'!O516</f>
        <v>836.61</v>
      </c>
      <c r="P516" s="80">
        <f t="shared" si="217"/>
        <v>13200</v>
      </c>
      <c r="Q516" s="82">
        <f t="shared" si="218"/>
        <v>16732.32</v>
      </c>
      <c r="R516" s="82">
        <f t="shared" si="219"/>
        <v>15895.71</v>
      </c>
    </row>
    <row r="517" spans="2:18" s="34" customFormat="1" ht="46.2">
      <c r="B517" s="75" t="s">
        <v>1009</v>
      </c>
      <c r="C517" s="76" t="s">
        <v>1010</v>
      </c>
      <c r="D517" s="77" t="s">
        <v>124</v>
      </c>
      <c r="E517" s="93">
        <v>120</v>
      </c>
      <c r="F517" s="79"/>
      <c r="G517" s="79"/>
      <c r="H517" s="79"/>
      <c r="I517" s="79">
        <f>SUM(G517:H517)+'BM 009'!I517</f>
        <v>0</v>
      </c>
      <c r="J517" s="79">
        <f t="shared" si="204"/>
        <v>120</v>
      </c>
      <c r="K517" s="84">
        <v>50</v>
      </c>
      <c r="L517" s="81">
        <f t="shared" si="203"/>
        <v>63.380005500000003</v>
      </c>
      <c r="M517" s="82">
        <f t="shared" si="215"/>
        <v>0</v>
      </c>
      <c r="N517" s="82">
        <f t="shared" si="216"/>
        <v>0</v>
      </c>
      <c r="O517" s="82">
        <f>N517+'BM 009'!O517</f>
        <v>0</v>
      </c>
      <c r="P517" s="80">
        <f t="shared" si="217"/>
        <v>6000</v>
      </c>
      <c r="Q517" s="82">
        <f t="shared" si="218"/>
        <v>7605.6</v>
      </c>
      <c r="R517" s="82">
        <f t="shared" si="219"/>
        <v>7605.6</v>
      </c>
    </row>
    <row r="518" spans="2:18" s="34" customFormat="1" ht="46.2">
      <c r="B518" s="75" t="s">
        <v>1011</v>
      </c>
      <c r="C518" s="76" t="s">
        <v>1012</v>
      </c>
      <c r="D518" s="77" t="s">
        <v>124</v>
      </c>
      <c r="E518" s="93">
        <v>120</v>
      </c>
      <c r="F518" s="79"/>
      <c r="G518" s="79"/>
      <c r="H518" s="79"/>
      <c r="I518" s="79">
        <f>SUM(G518:H518)+'BM 009'!I518</f>
        <v>0</v>
      </c>
      <c r="J518" s="79">
        <f t="shared" si="204"/>
        <v>120</v>
      </c>
      <c r="K518" s="84">
        <v>60</v>
      </c>
      <c r="L518" s="81">
        <f t="shared" si="203"/>
        <v>76.056006600000003</v>
      </c>
      <c r="M518" s="82">
        <f t="shared" si="215"/>
        <v>0</v>
      </c>
      <c r="N518" s="82">
        <f t="shared" si="216"/>
        <v>0</v>
      </c>
      <c r="O518" s="82">
        <f>N518+'BM 009'!O518</f>
        <v>0</v>
      </c>
      <c r="P518" s="80">
        <f t="shared" si="217"/>
        <v>7200</v>
      </c>
      <c r="Q518" s="82">
        <f t="shared" si="218"/>
        <v>9126.7199999999993</v>
      </c>
      <c r="R518" s="82">
        <f t="shared" si="219"/>
        <v>9126.7199999999993</v>
      </c>
    </row>
    <row r="519" spans="2:18" s="34" customFormat="1" ht="57.6">
      <c r="B519" s="75" t="s">
        <v>1013</v>
      </c>
      <c r="C519" s="76" t="s">
        <v>1014</v>
      </c>
      <c r="D519" s="77" t="s">
        <v>124</v>
      </c>
      <c r="E519" s="78">
        <v>300</v>
      </c>
      <c r="F519" s="79"/>
      <c r="G519" s="79"/>
      <c r="H519" s="79"/>
      <c r="I519" s="79">
        <f>SUM(G519:H519)+'BM 009'!I519</f>
        <v>0</v>
      </c>
      <c r="J519" s="79">
        <f t="shared" si="204"/>
        <v>300</v>
      </c>
      <c r="K519" s="84">
        <v>110</v>
      </c>
      <c r="L519" s="81">
        <f t="shared" si="203"/>
        <v>139.4360121</v>
      </c>
      <c r="M519" s="82">
        <f t="shared" si="215"/>
        <v>0</v>
      </c>
      <c r="N519" s="82">
        <f t="shared" si="216"/>
        <v>0</v>
      </c>
      <c r="O519" s="82">
        <f>N519+'BM 009'!O519</f>
        <v>0</v>
      </c>
      <c r="P519" s="80">
        <f t="shared" si="217"/>
        <v>33000</v>
      </c>
      <c r="Q519" s="82">
        <f t="shared" si="218"/>
        <v>41830.800000000003</v>
      </c>
      <c r="R519" s="82">
        <f t="shared" si="219"/>
        <v>41830.800000000003</v>
      </c>
    </row>
    <row r="520" spans="2:18" s="34" customFormat="1" ht="24">
      <c r="B520" s="66" t="s">
        <v>1015</v>
      </c>
      <c r="C520" s="67" t="s">
        <v>1016</v>
      </c>
      <c r="D520" s="68"/>
      <c r="E520" s="69"/>
      <c r="F520" s="70"/>
      <c r="G520" s="70"/>
      <c r="H520" s="70"/>
      <c r="I520" s="70">
        <f>SUM(G520:H520)+'BM 009'!I520</f>
        <v>0</v>
      </c>
      <c r="J520" s="70">
        <f t="shared" si="204"/>
        <v>0</v>
      </c>
      <c r="K520" s="71"/>
      <c r="L520" s="71">
        <f t="shared" si="203"/>
        <v>0</v>
      </c>
      <c r="M520" s="73">
        <f t="shared" ref="M520:R520" si="220">SUM(M521:M551)</f>
        <v>0</v>
      </c>
      <c r="N520" s="73">
        <f t="shared" si="220"/>
        <v>0</v>
      </c>
      <c r="O520" s="73">
        <f t="shared" si="220"/>
        <v>425.9</v>
      </c>
      <c r="P520" s="73">
        <f t="shared" si="220"/>
        <v>88676.55</v>
      </c>
      <c r="Q520" s="73">
        <f t="shared" si="220"/>
        <v>112406.29000000001</v>
      </c>
      <c r="R520" s="73">
        <f t="shared" si="220"/>
        <v>111980.38999999998</v>
      </c>
    </row>
    <row r="521" spans="2:18" s="34" customFormat="1" ht="46.2">
      <c r="B521" s="75" t="s">
        <v>1017</v>
      </c>
      <c r="C521" s="76" t="s">
        <v>1018</v>
      </c>
      <c r="D521" s="77" t="s">
        <v>39</v>
      </c>
      <c r="E521" s="78">
        <v>10</v>
      </c>
      <c r="F521" s="79"/>
      <c r="G521" s="79"/>
      <c r="H521" s="79"/>
      <c r="I521" s="79">
        <f>SUM(G521:H521)+'BM 009'!I521</f>
        <v>1</v>
      </c>
      <c r="J521" s="79">
        <f t="shared" si="204"/>
        <v>9</v>
      </c>
      <c r="K521" s="84">
        <v>198</v>
      </c>
      <c r="L521" s="81">
        <f t="shared" si="203"/>
        <v>250.98482178</v>
      </c>
      <c r="M521" s="82">
        <f t="shared" ref="M521:M551" si="221">TRUNC(F521*L521,2)</f>
        <v>0</v>
      </c>
      <c r="N521" s="82">
        <f t="shared" ref="N521:N551" si="222">TRUNC(G521*L521,2)</f>
        <v>0</v>
      </c>
      <c r="O521" s="82">
        <f>N521+'BM 009'!O521</f>
        <v>250.98</v>
      </c>
      <c r="P521" s="80">
        <f t="shared" ref="P521:P551" si="223">E521*K521</f>
        <v>1980</v>
      </c>
      <c r="Q521" s="82">
        <f t="shared" ref="Q521:Q551" si="224">TRUNC(E521*L521,2)</f>
        <v>2509.84</v>
      </c>
      <c r="R521" s="82">
        <f t="shared" ref="R521:R551" si="225">Q521-O521</f>
        <v>2258.86</v>
      </c>
    </row>
    <row r="522" spans="2:18" s="34" customFormat="1" ht="46.2">
      <c r="B522" s="75" t="s">
        <v>1019</v>
      </c>
      <c r="C522" s="76" t="s">
        <v>1020</v>
      </c>
      <c r="D522" s="77" t="s">
        <v>39</v>
      </c>
      <c r="E522" s="78">
        <v>173</v>
      </c>
      <c r="F522" s="79"/>
      <c r="G522" s="79"/>
      <c r="H522" s="79"/>
      <c r="I522" s="79">
        <f>SUM(G522:H522)+'BM 009'!I522</f>
        <v>0</v>
      </c>
      <c r="J522" s="79">
        <f t="shared" si="204"/>
        <v>173</v>
      </c>
      <c r="K522" s="84">
        <v>18</v>
      </c>
      <c r="L522" s="81">
        <f t="shared" si="203"/>
        <v>22.816801980000001</v>
      </c>
      <c r="M522" s="82">
        <f t="shared" si="221"/>
        <v>0</v>
      </c>
      <c r="N522" s="82">
        <f t="shared" si="222"/>
        <v>0</v>
      </c>
      <c r="O522" s="82">
        <f>N522+'BM 009'!O522</f>
        <v>0</v>
      </c>
      <c r="P522" s="80">
        <f t="shared" si="223"/>
        <v>3114</v>
      </c>
      <c r="Q522" s="82">
        <f t="shared" si="224"/>
        <v>3947.3</v>
      </c>
      <c r="R522" s="82">
        <f t="shared" si="225"/>
        <v>3947.3</v>
      </c>
    </row>
    <row r="523" spans="2:18" s="34" customFormat="1" ht="46.2">
      <c r="B523" s="75" t="s">
        <v>1021</v>
      </c>
      <c r="C523" s="76" t="s">
        <v>1022</v>
      </c>
      <c r="D523" s="77" t="s">
        <v>39</v>
      </c>
      <c r="E523" s="78">
        <v>7</v>
      </c>
      <c r="F523" s="79"/>
      <c r="G523" s="79"/>
      <c r="H523" s="79"/>
      <c r="I523" s="79">
        <f>SUM(G523:H523)+'BM 009'!I523</f>
        <v>0</v>
      </c>
      <c r="J523" s="79">
        <f t="shared" si="204"/>
        <v>7</v>
      </c>
      <c r="K523" s="84">
        <v>69</v>
      </c>
      <c r="L523" s="81">
        <f t="shared" si="203"/>
        <v>87.464407590000008</v>
      </c>
      <c r="M523" s="82">
        <f t="shared" si="221"/>
        <v>0</v>
      </c>
      <c r="N523" s="82">
        <f t="shared" si="222"/>
        <v>0</v>
      </c>
      <c r="O523" s="82">
        <f>N523+'BM 009'!O523</f>
        <v>0</v>
      </c>
      <c r="P523" s="80">
        <f t="shared" si="223"/>
        <v>483</v>
      </c>
      <c r="Q523" s="82">
        <f t="shared" si="224"/>
        <v>612.25</v>
      </c>
      <c r="R523" s="82">
        <f t="shared" si="225"/>
        <v>612.25</v>
      </c>
    </row>
    <row r="524" spans="2:18" s="34" customFormat="1" ht="46.2">
      <c r="B524" s="75" t="s">
        <v>1023</v>
      </c>
      <c r="C524" s="76" t="s">
        <v>1024</v>
      </c>
      <c r="D524" s="77" t="s">
        <v>39</v>
      </c>
      <c r="E524" s="78">
        <v>30</v>
      </c>
      <c r="F524" s="79"/>
      <c r="G524" s="79"/>
      <c r="H524" s="79"/>
      <c r="I524" s="79">
        <f>SUM(G524:H524)+'BM 009'!I524</f>
        <v>0</v>
      </c>
      <c r="J524" s="79">
        <f t="shared" si="204"/>
        <v>30</v>
      </c>
      <c r="K524" s="84">
        <v>94.65</v>
      </c>
      <c r="L524" s="81">
        <f t="shared" si="203"/>
        <v>119.97835041150002</v>
      </c>
      <c r="M524" s="82">
        <f t="shared" si="221"/>
        <v>0</v>
      </c>
      <c r="N524" s="82">
        <f t="shared" si="222"/>
        <v>0</v>
      </c>
      <c r="O524" s="82">
        <f>N524+'BM 009'!O524</f>
        <v>0</v>
      </c>
      <c r="P524" s="80">
        <f t="shared" si="223"/>
        <v>2839.5</v>
      </c>
      <c r="Q524" s="82">
        <f t="shared" si="224"/>
        <v>3599.35</v>
      </c>
      <c r="R524" s="82">
        <f t="shared" si="225"/>
        <v>3599.35</v>
      </c>
    </row>
    <row r="525" spans="2:18" s="34" customFormat="1" ht="46.2">
      <c r="B525" s="75" t="s">
        <v>1025</v>
      </c>
      <c r="C525" s="76" t="s">
        <v>1026</v>
      </c>
      <c r="D525" s="77" t="s">
        <v>39</v>
      </c>
      <c r="E525" s="78">
        <v>40</v>
      </c>
      <c r="F525" s="79"/>
      <c r="G525" s="79"/>
      <c r="H525" s="79"/>
      <c r="I525" s="79">
        <f>SUM(G525:H525)+'BM 009'!I525</f>
        <v>0</v>
      </c>
      <c r="J525" s="79">
        <f t="shared" si="204"/>
        <v>40</v>
      </c>
      <c r="K525" s="84">
        <v>60.11</v>
      </c>
      <c r="L525" s="81">
        <f t="shared" si="203"/>
        <v>76.19544261210001</v>
      </c>
      <c r="M525" s="82">
        <f t="shared" si="221"/>
        <v>0</v>
      </c>
      <c r="N525" s="82">
        <f t="shared" si="222"/>
        <v>0</v>
      </c>
      <c r="O525" s="82">
        <f>N525+'BM 009'!O525</f>
        <v>0</v>
      </c>
      <c r="P525" s="80">
        <f t="shared" si="223"/>
        <v>2404.4</v>
      </c>
      <c r="Q525" s="82">
        <f t="shared" si="224"/>
        <v>3047.81</v>
      </c>
      <c r="R525" s="82">
        <f t="shared" si="225"/>
        <v>3047.81</v>
      </c>
    </row>
    <row r="526" spans="2:18" s="34" customFormat="1" ht="46.2">
      <c r="B526" s="75" t="s">
        <v>1027</v>
      </c>
      <c r="C526" s="76" t="s">
        <v>1028</v>
      </c>
      <c r="D526" s="77" t="s">
        <v>39</v>
      </c>
      <c r="E526" s="78">
        <v>50</v>
      </c>
      <c r="F526" s="79"/>
      <c r="G526" s="79"/>
      <c r="H526" s="79"/>
      <c r="I526" s="79">
        <f>SUM(G526:H526)+'BM 009'!I526</f>
        <v>0</v>
      </c>
      <c r="J526" s="79">
        <f t="shared" si="204"/>
        <v>50</v>
      </c>
      <c r="K526" s="84">
        <v>36.9</v>
      </c>
      <c r="L526" s="81">
        <f t="shared" si="203"/>
        <v>46.774444058999997</v>
      </c>
      <c r="M526" s="82">
        <f t="shared" si="221"/>
        <v>0</v>
      </c>
      <c r="N526" s="82">
        <f t="shared" si="222"/>
        <v>0</v>
      </c>
      <c r="O526" s="82">
        <f>N526+'BM 009'!O526</f>
        <v>0</v>
      </c>
      <c r="P526" s="80">
        <f t="shared" si="223"/>
        <v>1845</v>
      </c>
      <c r="Q526" s="82">
        <f t="shared" si="224"/>
        <v>2338.7199999999998</v>
      </c>
      <c r="R526" s="82">
        <f t="shared" si="225"/>
        <v>2338.7199999999998</v>
      </c>
    </row>
    <row r="527" spans="2:18" s="34" customFormat="1" ht="46.2">
      <c r="B527" s="75" t="s">
        <v>1029</v>
      </c>
      <c r="C527" s="76" t="s">
        <v>1030</v>
      </c>
      <c r="D527" s="77" t="s">
        <v>39</v>
      </c>
      <c r="E527" s="78">
        <v>50</v>
      </c>
      <c r="F527" s="79"/>
      <c r="G527" s="79"/>
      <c r="H527" s="79"/>
      <c r="I527" s="79">
        <f>SUM(G527:H527)+'BM 009'!I527</f>
        <v>0</v>
      </c>
      <c r="J527" s="79">
        <f t="shared" si="204"/>
        <v>50</v>
      </c>
      <c r="K527" s="84">
        <v>42.56</v>
      </c>
      <c r="L527" s="81">
        <f t="shared" si="203"/>
        <v>53.949060681600002</v>
      </c>
      <c r="M527" s="82">
        <f t="shared" si="221"/>
        <v>0</v>
      </c>
      <c r="N527" s="82">
        <f t="shared" si="222"/>
        <v>0</v>
      </c>
      <c r="O527" s="82">
        <f>N527+'BM 009'!O527</f>
        <v>0</v>
      </c>
      <c r="P527" s="80">
        <f t="shared" si="223"/>
        <v>2128</v>
      </c>
      <c r="Q527" s="82">
        <f t="shared" si="224"/>
        <v>2697.45</v>
      </c>
      <c r="R527" s="82">
        <f t="shared" si="225"/>
        <v>2697.45</v>
      </c>
    </row>
    <row r="528" spans="2:18" s="34" customFormat="1" ht="34.799999999999997">
      <c r="B528" s="75" t="s">
        <v>1031</v>
      </c>
      <c r="C528" s="76" t="s">
        <v>1032</v>
      </c>
      <c r="D528" s="77" t="s">
        <v>39</v>
      </c>
      <c r="E528" s="78">
        <v>20</v>
      </c>
      <c r="F528" s="79"/>
      <c r="G528" s="79"/>
      <c r="H528" s="79"/>
      <c r="I528" s="79">
        <f>SUM(G528:H528)+'BM 009'!I528</f>
        <v>0</v>
      </c>
      <c r="J528" s="79">
        <f t="shared" si="204"/>
        <v>20</v>
      </c>
      <c r="K528" s="84">
        <v>78.33</v>
      </c>
      <c r="L528" s="81">
        <f t="shared" si="203"/>
        <v>99.291116616300002</v>
      </c>
      <c r="M528" s="82">
        <f t="shared" si="221"/>
        <v>0</v>
      </c>
      <c r="N528" s="82">
        <f t="shared" si="222"/>
        <v>0</v>
      </c>
      <c r="O528" s="82">
        <f>N528+'BM 009'!O528</f>
        <v>0</v>
      </c>
      <c r="P528" s="80">
        <f t="shared" si="223"/>
        <v>1566.6</v>
      </c>
      <c r="Q528" s="82">
        <f t="shared" si="224"/>
        <v>1985.82</v>
      </c>
      <c r="R528" s="82">
        <f t="shared" si="225"/>
        <v>1985.82</v>
      </c>
    </row>
    <row r="529" spans="2:18" s="34" customFormat="1" ht="34.799999999999997">
      <c r="B529" s="75" t="s">
        <v>1033</v>
      </c>
      <c r="C529" s="76" t="s">
        <v>1034</v>
      </c>
      <c r="D529" s="77" t="s">
        <v>39</v>
      </c>
      <c r="E529" s="78">
        <v>10</v>
      </c>
      <c r="F529" s="79"/>
      <c r="G529" s="79"/>
      <c r="H529" s="79"/>
      <c r="I529" s="79">
        <f>SUM(G529:H529)+'BM 009'!I529</f>
        <v>0</v>
      </c>
      <c r="J529" s="79">
        <f t="shared" si="204"/>
        <v>10</v>
      </c>
      <c r="K529" s="84">
        <v>95</v>
      </c>
      <c r="L529" s="81">
        <f t="shared" si="203"/>
        <v>120.42201045</v>
      </c>
      <c r="M529" s="82">
        <f t="shared" si="221"/>
        <v>0</v>
      </c>
      <c r="N529" s="82">
        <f t="shared" si="222"/>
        <v>0</v>
      </c>
      <c r="O529" s="82">
        <f>N529+'BM 009'!O529</f>
        <v>0</v>
      </c>
      <c r="P529" s="80">
        <f t="shared" si="223"/>
        <v>950</v>
      </c>
      <c r="Q529" s="82">
        <f t="shared" si="224"/>
        <v>1204.22</v>
      </c>
      <c r="R529" s="82">
        <f t="shared" si="225"/>
        <v>1204.22</v>
      </c>
    </row>
    <row r="530" spans="2:18" s="34" customFormat="1" ht="34.799999999999997">
      <c r="B530" s="75" t="s">
        <v>1035</v>
      </c>
      <c r="C530" s="76" t="s">
        <v>1036</v>
      </c>
      <c r="D530" s="77" t="s">
        <v>39</v>
      </c>
      <c r="E530" s="78">
        <v>10</v>
      </c>
      <c r="F530" s="79"/>
      <c r="G530" s="79"/>
      <c r="H530" s="79"/>
      <c r="I530" s="79">
        <f>SUM(G530:H530)+'BM 009'!I530</f>
        <v>0</v>
      </c>
      <c r="J530" s="79">
        <f t="shared" si="204"/>
        <v>10</v>
      </c>
      <c r="K530" s="84">
        <v>128</v>
      </c>
      <c r="L530" s="81">
        <f t="shared" si="203"/>
        <v>162.25281408000001</v>
      </c>
      <c r="M530" s="82">
        <f t="shared" si="221"/>
        <v>0</v>
      </c>
      <c r="N530" s="82">
        <f t="shared" si="222"/>
        <v>0</v>
      </c>
      <c r="O530" s="82">
        <f>N530+'BM 009'!O530</f>
        <v>0</v>
      </c>
      <c r="P530" s="80">
        <f t="shared" si="223"/>
        <v>1280</v>
      </c>
      <c r="Q530" s="82">
        <f t="shared" si="224"/>
        <v>1622.52</v>
      </c>
      <c r="R530" s="82">
        <f t="shared" si="225"/>
        <v>1622.52</v>
      </c>
    </row>
    <row r="531" spans="2:18" s="34" customFormat="1" ht="23.4">
      <c r="B531" s="75" t="s">
        <v>1037</v>
      </c>
      <c r="C531" s="76" t="s">
        <v>1038</v>
      </c>
      <c r="D531" s="77" t="s">
        <v>39</v>
      </c>
      <c r="E531" s="78">
        <v>173</v>
      </c>
      <c r="F531" s="79"/>
      <c r="G531" s="79"/>
      <c r="H531" s="79"/>
      <c r="I531" s="79">
        <f>SUM(G531:H531)+'BM 009'!I531</f>
        <v>0</v>
      </c>
      <c r="J531" s="79">
        <f t="shared" si="204"/>
        <v>173</v>
      </c>
      <c r="K531" s="84">
        <v>60</v>
      </c>
      <c r="L531" s="81">
        <f t="shared" si="203"/>
        <v>76.056006600000003</v>
      </c>
      <c r="M531" s="82">
        <f t="shared" si="221"/>
        <v>0</v>
      </c>
      <c r="N531" s="82">
        <f t="shared" si="222"/>
        <v>0</v>
      </c>
      <c r="O531" s="82">
        <f>N531+'BM 009'!O531</f>
        <v>0</v>
      </c>
      <c r="P531" s="80">
        <f t="shared" si="223"/>
        <v>10380</v>
      </c>
      <c r="Q531" s="82">
        <f t="shared" si="224"/>
        <v>13157.68</v>
      </c>
      <c r="R531" s="82">
        <f t="shared" si="225"/>
        <v>13157.68</v>
      </c>
    </row>
    <row r="532" spans="2:18" s="34" customFormat="1" ht="46.2">
      <c r="B532" s="75" t="s">
        <v>1039</v>
      </c>
      <c r="C532" s="76" t="s">
        <v>1040</v>
      </c>
      <c r="D532" s="77" t="s">
        <v>39</v>
      </c>
      <c r="E532" s="78">
        <v>20</v>
      </c>
      <c r="F532" s="79"/>
      <c r="G532" s="79"/>
      <c r="H532" s="79"/>
      <c r="I532" s="79">
        <f>SUM(G532:H532)+'BM 009'!I532</f>
        <v>0</v>
      </c>
      <c r="J532" s="79">
        <f t="shared" si="204"/>
        <v>20</v>
      </c>
      <c r="K532" s="84">
        <v>85</v>
      </c>
      <c r="L532" s="81">
        <f t="shared" si="203"/>
        <v>107.74600935000001</v>
      </c>
      <c r="M532" s="82">
        <f t="shared" si="221"/>
        <v>0</v>
      </c>
      <c r="N532" s="82">
        <f t="shared" si="222"/>
        <v>0</v>
      </c>
      <c r="O532" s="82">
        <f>N532+'BM 009'!O532</f>
        <v>0</v>
      </c>
      <c r="P532" s="80">
        <f t="shared" si="223"/>
        <v>1700</v>
      </c>
      <c r="Q532" s="82">
        <f t="shared" si="224"/>
        <v>2154.92</v>
      </c>
      <c r="R532" s="82">
        <f t="shared" si="225"/>
        <v>2154.92</v>
      </c>
    </row>
    <row r="533" spans="2:18" s="34" customFormat="1" ht="46.2">
      <c r="B533" s="75" t="s">
        <v>1041</v>
      </c>
      <c r="C533" s="76" t="s">
        <v>1042</v>
      </c>
      <c r="D533" s="77" t="s">
        <v>39</v>
      </c>
      <c r="E533" s="78">
        <v>6</v>
      </c>
      <c r="F533" s="79"/>
      <c r="G533" s="79"/>
      <c r="H533" s="79"/>
      <c r="I533" s="79">
        <f>SUM(G533:H533)+'BM 009'!I533</f>
        <v>0</v>
      </c>
      <c r="J533" s="79">
        <f t="shared" si="204"/>
        <v>6</v>
      </c>
      <c r="K533" s="84">
        <v>285</v>
      </c>
      <c r="L533" s="81">
        <f t="shared" si="203"/>
        <v>361.26603134999999</v>
      </c>
      <c r="M533" s="82">
        <f t="shared" si="221"/>
        <v>0</v>
      </c>
      <c r="N533" s="82">
        <f t="shared" si="222"/>
        <v>0</v>
      </c>
      <c r="O533" s="82">
        <f>N533+'BM 009'!O533</f>
        <v>0</v>
      </c>
      <c r="P533" s="80">
        <f t="shared" si="223"/>
        <v>1710</v>
      </c>
      <c r="Q533" s="82">
        <f t="shared" si="224"/>
        <v>2167.59</v>
      </c>
      <c r="R533" s="82">
        <f t="shared" si="225"/>
        <v>2167.59</v>
      </c>
    </row>
    <row r="534" spans="2:18" s="34" customFormat="1" ht="34.799999999999997">
      <c r="B534" s="75" t="s">
        <v>1043</v>
      </c>
      <c r="C534" s="76" t="s">
        <v>1044</v>
      </c>
      <c r="D534" s="77" t="s">
        <v>39</v>
      </c>
      <c r="E534" s="78">
        <v>20</v>
      </c>
      <c r="F534" s="79"/>
      <c r="G534" s="79"/>
      <c r="H534" s="79"/>
      <c r="I534" s="79">
        <f>SUM(G534:H534)+'BM 009'!I534</f>
        <v>0</v>
      </c>
      <c r="J534" s="79">
        <f t="shared" si="204"/>
        <v>20</v>
      </c>
      <c r="K534" s="84">
        <v>38</v>
      </c>
      <c r="L534" s="81">
        <f t="shared" si="203"/>
        <v>48.168804180000002</v>
      </c>
      <c r="M534" s="82">
        <f t="shared" si="221"/>
        <v>0</v>
      </c>
      <c r="N534" s="82">
        <f t="shared" si="222"/>
        <v>0</v>
      </c>
      <c r="O534" s="82">
        <f>N534+'BM 009'!O534</f>
        <v>0</v>
      </c>
      <c r="P534" s="80">
        <f t="shared" si="223"/>
        <v>760</v>
      </c>
      <c r="Q534" s="82">
        <f t="shared" si="224"/>
        <v>963.37</v>
      </c>
      <c r="R534" s="82">
        <f t="shared" si="225"/>
        <v>963.37</v>
      </c>
    </row>
    <row r="535" spans="2:18" s="34" customFormat="1" ht="34.799999999999997">
      <c r="B535" s="75" t="s">
        <v>1045</v>
      </c>
      <c r="C535" s="76" t="s">
        <v>1046</v>
      </c>
      <c r="D535" s="77" t="s">
        <v>39</v>
      </c>
      <c r="E535" s="78">
        <v>10</v>
      </c>
      <c r="F535" s="79"/>
      <c r="G535" s="79"/>
      <c r="H535" s="79"/>
      <c r="I535" s="79">
        <f>SUM(G535:H535)+'BM 009'!I535</f>
        <v>0</v>
      </c>
      <c r="J535" s="79">
        <f t="shared" si="204"/>
        <v>10</v>
      </c>
      <c r="K535" s="84">
        <v>118</v>
      </c>
      <c r="L535" s="81">
        <f t="shared" si="203"/>
        <v>149.57681298</v>
      </c>
      <c r="M535" s="82">
        <f t="shared" si="221"/>
        <v>0</v>
      </c>
      <c r="N535" s="82">
        <f t="shared" si="222"/>
        <v>0</v>
      </c>
      <c r="O535" s="82">
        <f>N535+'BM 009'!O535</f>
        <v>0</v>
      </c>
      <c r="P535" s="80">
        <f t="shared" si="223"/>
        <v>1180</v>
      </c>
      <c r="Q535" s="82">
        <f t="shared" si="224"/>
        <v>1495.76</v>
      </c>
      <c r="R535" s="82">
        <f t="shared" si="225"/>
        <v>1495.76</v>
      </c>
    </row>
    <row r="536" spans="2:18" s="34" customFormat="1" ht="23.4">
      <c r="B536" s="75" t="s">
        <v>1047</v>
      </c>
      <c r="C536" s="76" t="s">
        <v>1048</v>
      </c>
      <c r="D536" s="77" t="s">
        <v>39</v>
      </c>
      <c r="E536" s="78">
        <v>10</v>
      </c>
      <c r="F536" s="79"/>
      <c r="G536" s="79"/>
      <c r="H536" s="79"/>
      <c r="I536" s="79">
        <f>SUM(G536:H536)+'BM 009'!I536</f>
        <v>0</v>
      </c>
      <c r="J536" s="79">
        <f t="shared" si="204"/>
        <v>10</v>
      </c>
      <c r="K536" s="84">
        <v>88.39</v>
      </c>
      <c r="L536" s="81">
        <f t="shared" si="203"/>
        <v>112.04317372290001</v>
      </c>
      <c r="M536" s="82">
        <f t="shared" si="221"/>
        <v>0</v>
      </c>
      <c r="N536" s="82">
        <f t="shared" si="222"/>
        <v>0</v>
      </c>
      <c r="O536" s="82">
        <f>N536+'BM 009'!O536</f>
        <v>0</v>
      </c>
      <c r="P536" s="80">
        <f t="shared" si="223"/>
        <v>883.9</v>
      </c>
      <c r="Q536" s="82">
        <f t="shared" si="224"/>
        <v>1120.43</v>
      </c>
      <c r="R536" s="82">
        <f t="shared" si="225"/>
        <v>1120.43</v>
      </c>
    </row>
    <row r="537" spans="2:18" s="34" customFormat="1" ht="23.4">
      <c r="B537" s="75" t="s">
        <v>1049</v>
      </c>
      <c r="C537" s="76" t="s">
        <v>1050</v>
      </c>
      <c r="D537" s="77" t="s">
        <v>39</v>
      </c>
      <c r="E537" s="78">
        <v>20</v>
      </c>
      <c r="F537" s="79"/>
      <c r="G537" s="79"/>
      <c r="H537" s="79"/>
      <c r="I537" s="79">
        <f>SUM(G537:H537)+'BM 009'!I537</f>
        <v>0</v>
      </c>
      <c r="J537" s="79">
        <f t="shared" si="204"/>
        <v>20</v>
      </c>
      <c r="K537" s="84">
        <v>45.21</v>
      </c>
      <c r="L537" s="81">
        <f t="shared" si="203"/>
        <v>57.308200973100007</v>
      </c>
      <c r="M537" s="82">
        <f t="shared" si="221"/>
        <v>0</v>
      </c>
      <c r="N537" s="82">
        <f t="shared" si="222"/>
        <v>0</v>
      </c>
      <c r="O537" s="82">
        <f>N537+'BM 009'!O537</f>
        <v>0</v>
      </c>
      <c r="P537" s="80">
        <f t="shared" si="223"/>
        <v>904.2</v>
      </c>
      <c r="Q537" s="82">
        <f t="shared" si="224"/>
        <v>1146.1600000000001</v>
      </c>
      <c r="R537" s="82">
        <f t="shared" si="225"/>
        <v>1146.1600000000001</v>
      </c>
    </row>
    <row r="538" spans="2:18" s="34" customFormat="1" ht="23.4">
      <c r="B538" s="75" t="s">
        <v>1051</v>
      </c>
      <c r="C538" s="76" t="s">
        <v>1052</v>
      </c>
      <c r="D538" s="77" t="s">
        <v>39</v>
      </c>
      <c r="E538" s="78">
        <v>10</v>
      </c>
      <c r="F538" s="79"/>
      <c r="G538" s="79"/>
      <c r="H538" s="79"/>
      <c r="I538" s="79">
        <f>SUM(G538:H538)+'BM 009'!I538</f>
        <v>0</v>
      </c>
      <c r="J538" s="79">
        <f t="shared" si="204"/>
        <v>10</v>
      </c>
      <c r="K538" s="84">
        <v>65.290000000000006</v>
      </c>
      <c r="L538" s="81">
        <f t="shared" si="203"/>
        <v>82.761611181900008</v>
      </c>
      <c r="M538" s="82">
        <f t="shared" si="221"/>
        <v>0</v>
      </c>
      <c r="N538" s="82">
        <f t="shared" si="222"/>
        <v>0</v>
      </c>
      <c r="O538" s="82">
        <f>N538+'BM 009'!O538</f>
        <v>0</v>
      </c>
      <c r="P538" s="80">
        <f t="shared" si="223"/>
        <v>652.90000000000009</v>
      </c>
      <c r="Q538" s="82">
        <f t="shared" si="224"/>
        <v>827.61</v>
      </c>
      <c r="R538" s="82">
        <f t="shared" si="225"/>
        <v>827.61</v>
      </c>
    </row>
    <row r="539" spans="2:18" s="34" customFormat="1" ht="46.2">
      <c r="B539" s="75" t="s">
        <v>1053</v>
      </c>
      <c r="C539" s="76" t="s">
        <v>1054</v>
      </c>
      <c r="D539" s="77" t="s">
        <v>39</v>
      </c>
      <c r="E539" s="78">
        <v>30</v>
      </c>
      <c r="F539" s="79"/>
      <c r="G539" s="79"/>
      <c r="H539" s="79"/>
      <c r="I539" s="79">
        <f>SUM(G539:H539)+'BM 009'!I539</f>
        <v>0</v>
      </c>
      <c r="J539" s="79">
        <f t="shared" si="204"/>
        <v>30</v>
      </c>
      <c r="K539" s="84">
        <v>80</v>
      </c>
      <c r="L539" s="81">
        <f t="shared" si="203"/>
        <v>101.4080088</v>
      </c>
      <c r="M539" s="82">
        <f t="shared" si="221"/>
        <v>0</v>
      </c>
      <c r="N539" s="82">
        <f t="shared" si="222"/>
        <v>0</v>
      </c>
      <c r="O539" s="82">
        <f>N539+'BM 009'!O539</f>
        <v>0</v>
      </c>
      <c r="P539" s="80">
        <f t="shared" si="223"/>
        <v>2400</v>
      </c>
      <c r="Q539" s="82">
        <f t="shared" si="224"/>
        <v>3042.24</v>
      </c>
      <c r="R539" s="82">
        <f t="shared" si="225"/>
        <v>3042.24</v>
      </c>
    </row>
    <row r="540" spans="2:18" s="34" customFormat="1" ht="34.799999999999997">
      <c r="B540" s="75" t="s">
        <v>1055</v>
      </c>
      <c r="C540" s="76" t="s">
        <v>1056</v>
      </c>
      <c r="D540" s="77" t="s">
        <v>39</v>
      </c>
      <c r="E540" s="78">
        <v>50</v>
      </c>
      <c r="F540" s="79"/>
      <c r="G540" s="79"/>
      <c r="H540" s="79"/>
      <c r="I540" s="79">
        <f>SUM(G540:H540)+'BM 009'!I540</f>
        <v>0</v>
      </c>
      <c r="J540" s="79">
        <f t="shared" si="204"/>
        <v>50</v>
      </c>
      <c r="K540" s="84">
        <v>120</v>
      </c>
      <c r="L540" s="81">
        <f t="shared" si="203"/>
        <v>152.11201320000001</v>
      </c>
      <c r="M540" s="82">
        <f t="shared" si="221"/>
        <v>0</v>
      </c>
      <c r="N540" s="82">
        <f t="shared" si="222"/>
        <v>0</v>
      </c>
      <c r="O540" s="82">
        <f>N540+'BM 009'!O540</f>
        <v>0</v>
      </c>
      <c r="P540" s="80">
        <f t="shared" si="223"/>
        <v>6000</v>
      </c>
      <c r="Q540" s="82">
        <f t="shared" si="224"/>
        <v>7605.6</v>
      </c>
      <c r="R540" s="82">
        <f t="shared" si="225"/>
        <v>7605.6</v>
      </c>
    </row>
    <row r="541" spans="2:18" s="34" customFormat="1" ht="34.799999999999997">
      <c r="B541" s="75" t="s">
        <v>1057</v>
      </c>
      <c r="C541" s="76" t="s">
        <v>1058</v>
      </c>
      <c r="D541" s="77" t="s">
        <v>39</v>
      </c>
      <c r="E541" s="78">
        <v>10</v>
      </c>
      <c r="F541" s="79"/>
      <c r="G541" s="79"/>
      <c r="H541" s="79"/>
      <c r="I541" s="79">
        <f>SUM(G541:H541)+'BM 009'!I541</f>
        <v>0</v>
      </c>
      <c r="J541" s="79">
        <f t="shared" si="204"/>
        <v>10</v>
      </c>
      <c r="K541" s="84">
        <v>137.9</v>
      </c>
      <c r="L541" s="81">
        <f t="shared" ref="L541:L590" si="226">K541*(1+$T$26)</f>
        <v>174.80205516900003</v>
      </c>
      <c r="M541" s="82">
        <f t="shared" si="221"/>
        <v>0</v>
      </c>
      <c r="N541" s="82">
        <f t="shared" si="222"/>
        <v>0</v>
      </c>
      <c r="O541" s="82">
        <f>N541+'BM 009'!O541</f>
        <v>0</v>
      </c>
      <c r="P541" s="80">
        <f t="shared" si="223"/>
        <v>1379</v>
      </c>
      <c r="Q541" s="82">
        <f t="shared" si="224"/>
        <v>1748.02</v>
      </c>
      <c r="R541" s="82">
        <f t="shared" si="225"/>
        <v>1748.02</v>
      </c>
    </row>
    <row r="542" spans="2:18" s="34" customFormat="1" ht="23.4">
      <c r="B542" s="75" t="s">
        <v>1059</v>
      </c>
      <c r="C542" s="76" t="s">
        <v>1060</v>
      </c>
      <c r="D542" s="77" t="s">
        <v>39</v>
      </c>
      <c r="E542" s="78">
        <v>20</v>
      </c>
      <c r="F542" s="79"/>
      <c r="G542" s="79"/>
      <c r="H542" s="79"/>
      <c r="I542" s="79">
        <f>SUM(G542:H542)+'BM 009'!I542</f>
        <v>2</v>
      </c>
      <c r="J542" s="79">
        <f t="shared" si="204"/>
        <v>18</v>
      </c>
      <c r="K542" s="84">
        <v>69</v>
      </c>
      <c r="L542" s="81">
        <f t="shared" si="226"/>
        <v>87.464407590000008</v>
      </c>
      <c r="M542" s="82">
        <f t="shared" si="221"/>
        <v>0</v>
      </c>
      <c r="N542" s="82">
        <f t="shared" si="222"/>
        <v>0</v>
      </c>
      <c r="O542" s="82">
        <f>N542+'BM 009'!O542</f>
        <v>174.92</v>
      </c>
      <c r="P542" s="80">
        <f t="shared" si="223"/>
        <v>1380</v>
      </c>
      <c r="Q542" s="82">
        <f t="shared" si="224"/>
        <v>1749.28</v>
      </c>
      <c r="R542" s="82">
        <f t="shared" si="225"/>
        <v>1574.36</v>
      </c>
    </row>
    <row r="543" spans="2:18" s="34" customFormat="1" ht="46.2">
      <c r="B543" s="75" t="s">
        <v>1061</v>
      </c>
      <c r="C543" s="76" t="s">
        <v>1062</v>
      </c>
      <c r="D543" s="77" t="s">
        <v>39</v>
      </c>
      <c r="E543" s="78">
        <v>10</v>
      </c>
      <c r="F543" s="79"/>
      <c r="G543" s="79"/>
      <c r="H543" s="79"/>
      <c r="I543" s="79">
        <f>SUM(G543:H543)+'BM 009'!I543</f>
        <v>0</v>
      </c>
      <c r="J543" s="79">
        <f t="shared" ref="J543:J590" si="227">E543-I543</f>
        <v>10</v>
      </c>
      <c r="K543" s="84">
        <v>180</v>
      </c>
      <c r="L543" s="81">
        <f t="shared" si="226"/>
        <v>228.16801980000002</v>
      </c>
      <c r="M543" s="82">
        <f t="shared" si="221"/>
        <v>0</v>
      </c>
      <c r="N543" s="82">
        <f t="shared" si="222"/>
        <v>0</v>
      </c>
      <c r="O543" s="82">
        <f>N543+'BM 009'!O543</f>
        <v>0</v>
      </c>
      <c r="P543" s="80">
        <f t="shared" si="223"/>
        <v>1800</v>
      </c>
      <c r="Q543" s="82">
        <f t="shared" si="224"/>
        <v>2281.6799999999998</v>
      </c>
      <c r="R543" s="82">
        <f t="shared" si="225"/>
        <v>2281.6799999999998</v>
      </c>
    </row>
    <row r="544" spans="2:18" s="34" customFormat="1" ht="69">
      <c r="B544" s="75" t="s">
        <v>1063</v>
      </c>
      <c r="C544" s="76" t="s">
        <v>1064</v>
      </c>
      <c r="D544" s="77" t="s">
        <v>39</v>
      </c>
      <c r="E544" s="78">
        <v>1</v>
      </c>
      <c r="F544" s="79"/>
      <c r="G544" s="79"/>
      <c r="H544" s="79"/>
      <c r="I544" s="79">
        <f>SUM(G544:H544)+'BM 009'!I544</f>
        <v>0</v>
      </c>
      <c r="J544" s="79">
        <f t="shared" si="227"/>
        <v>1</v>
      </c>
      <c r="K544" s="84">
        <v>320</v>
      </c>
      <c r="L544" s="81">
        <f t="shared" si="226"/>
        <v>405.63203520000002</v>
      </c>
      <c r="M544" s="82">
        <f t="shared" si="221"/>
        <v>0</v>
      </c>
      <c r="N544" s="82">
        <f t="shared" si="222"/>
        <v>0</v>
      </c>
      <c r="O544" s="82">
        <f>N544+'BM 009'!O544</f>
        <v>0</v>
      </c>
      <c r="P544" s="80">
        <f t="shared" si="223"/>
        <v>320</v>
      </c>
      <c r="Q544" s="82">
        <f t="shared" si="224"/>
        <v>405.63</v>
      </c>
      <c r="R544" s="82">
        <f t="shared" si="225"/>
        <v>405.63</v>
      </c>
    </row>
    <row r="545" spans="2:18" s="34" customFormat="1" ht="57.6">
      <c r="B545" s="75" t="s">
        <v>1065</v>
      </c>
      <c r="C545" s="76" t="s">
        <v>1066</v>
      </c>
      <c r="D545" s="77" t="s">
        <v>39</v>
      </c>
      <c r="E545" s="78">
        <v>1</v>
      </c>
      <c r="F545" s="79"/>
      <c r="G545" s="79"/>
      <c r="H545" s="79"/>
      <c r="I545" s="79">
        <f>SUM(G545:H545)+'BM 009'!I545</f>
        <v>0</v>
      </c>
      <c r="J545" s="79">
        <f t="shared" si="227"/>
        <v>1</v>
      </c>
      <c r="K545" s="84">
        <v>800</v>
      </c>
      <c r="L545" s="81">
        <f t="shared" si="226"/>
        <v>1014.080088</v>
      </c>
      <c r="M545" s="82">
        <f t="shared" si="221"/>
        <v>0</v>
      </c>
      <c r="N545" s="82">
        <f t="shared" si="222"/>
        <v>0</v>
      </c>
      <c r="O545" s="82">
        <f>N545+'BM 009'!O545</f>
        <v>0</v>
      </c>
      <c r="P545" s="80">
        <f t="shared" si="223"/>
        <v>800</v>
      </c>
      <c r="Q545" s="82">
        <f t="shared" si="224"/>
        <v>1014.08</v>
      </c>
      <c r="R545" s="82">
        <f t="shared" si="225"/>
        <v>1014.08</v>
      </c>
    </row>
    <row r="546" spans="2:18" s="34" customFormat="1" ht="23.4">
      <c r="B546" s="75" t="s">
        <v>1067</v>
      </c>
      <c r="C546" s="76" t="s">
        <v>1068</v>
      </c>
      <c r="D546" s="77" t="s">
        <v>39</v>
      </c>
      <c r="E546" s="78">
        <v>2</v>
      </c>
      <c r="F546" s="79"/>
      <c r="G546" s="79"/>
      <c r="H546" s="79"/>
      <c r="I546" s="79">
        <f>SUM(G546:H546)+'BM 009'!I546</f>
        <v>0</v>
      </c>
      <c r="J546" s="79">
        <f t="shared" si="227"/>
        <v>2</v>
      </c>
      <c r="K546" s="84">
        <v>605.34</v>
      </c>
      <c r="L546" s="81">
        <f t="shared" si="226"/>
        <v>767.32905058740005</v>
      </c>
      <c r="M546" s="82">
        <f t="shared" si="221"/>
        <v>0</v>
      </c>
      <c r="N546" s="82">
        <f t="shared" si="222"/>
        <v>0</v>
      </c>
      <c r="O546" s="82">
        <f>N546+'BM 009'!O546</f>
        <v>0</v>
      </c>
      <c r="P546" s="80">
        <f t="shared" si="223"/>
        <v>1210.68</v>
      </c>
      <c r="Q546" s="82">
        <f t="shared" si="224"/>
        <v>1534.65</v>
      </c>
      <c r="R546" s="82">
        <f t="shared" si="225"/>
        <v>1534.65</v>
      </c>
    </row>
    <row r="547" spans="2:18" s="34" customFormat="1" ht="23.4">
      <c r="B547" s="75" t="s">
        <v>1069</v>
      </c>
      <c r="C547" s="76" t="s">
        <v>1070</v>
      </c>
      <c r="D547" s="77" t="s">
        <v>39</v>
      </c>
      <c r="E547" s="78">
        <v>3</v>
      </c>
      <c r="F547" s="79"/>
      <c r="G547" s="79"/>
      <c r="H547" s="79"/>
      <c r="I547" s="79">
        <f>SUM(G547:H547)+'BM 009'!I547</f>
        <v>0</v>
      </c>
      <c r="J547" s="79">
        <f t="shared" si="227"/>
        <v>3</v>
      </c>
      <c r="K547" s="84">
        <v>311.79000000000002</v>
      </c>
      <c r="L547" s="81">
        <f t="shared" si="226"/>
        <v>395.22503829690004</v>
      </c>
      <c r="M547" s="82">
        <f t="shared" si="221"/>
        <v>0</v>
      </c>
      <c r="N547" s="82">
        <f t="shared" si="222"/>
        <v>0</v>
      </c>
      <c r="O547" s="82">
        <f>N547+'BM 009'!O547</f>
        <v>0</v>
      </c>
      <c r="P547" s="80">
        <f t="shared" si="223"/>
        <v>935.37000000000012</v>
      </c>
      <c r="Q547" s="82">
        <f t="shared" si="224"/>
        <v>1185.67</v>
      </c>
      <c r="R547" s="82">
        <f t="shared" si="225"/>
        <v>1185.67</v>
      </c>
    </row>
    <row r="548" spans="2:18" s="34" customFormat="1" ht="23.4">
      <c r="B548" s="75" t="s">
        <v>1071</v>
      </c>
      <c r="C548" s="76" t="s">
        <v>1072</v>
      </c>
      <c r="D548" s="77" t="s">
        <v>39</v>
      </c>
      <c r="E548" s="78">
        <v>2</v>
      </c>
      <c r="F548" s="79"/>
      <c r="G548" s="79"/>
      <c r="H548" s="79"/>
      <c r="I548" s="79">
        <f>SUM(G548:H548)+'BM 009'!I548</f>
        <v>0</v>
      </c>
      <c r="J548" s="79">
        <f t="shared" si="227"/>
        <v>2</v>
      </c>
      <c r="K548" s="84">
        <v>195</v>
      </c>
      <c r="L548" s="81">
        <f t="shared" si="226"/>
        <v>247.18202145000001</v>
      </c>
      <c r="M548" s="82">
        <f t="shared" si="221"/>
        <v>0</v>
      </c>
      <c r="N548" s="82">
        <f t="shared" si="222"/>
        <v>0</v>
      </c>
      <c r="O548" s="82">
        <f>N548+'BM 009'!O548</f>
        <v>0</v>
      </c>
      <c r="P548" s="80">
        <f t="shared" si="223"/>
        <v>390</v>
      </c>
      <c r="Q548" s="82">
        <f t="shared" si="224"/>
        <v>494.36</v>
      </c>
      <c r="R548" s="82">
        <f t="shared" si="225"/>
        <v>494.36</v>
      </c>
    </row>
    <row r="549" spans="2:18" s="34" customFormat="1" ht="46.2">
      <c r="B549" s="75" t="s">
        <v>1073</v>
      </c>
      <c r="C549" s="76" t="s">
        <v>1074</v>
      </c>
      <c r="D549" s="77" t="s">
        <v>39</v>
      </c>
      <c r="E549" s="78">
        <v>1</v>
      </c>
      <c r="F549" s="79"/>
      <c r="G549" s="79"/>
      <c r="H549" s="79"/>
      <c r="I549" s="79">
        <f>SUM(G549:H549)+'BM 009'!I549</f>
        <v>0</v>
      </c>
      <c r="J549" s="79">
        <f t="shared" si="227"/>
        <v>1</v>
      </c>
      <c r="K549" s="84">
        <v>1400</v>
      </c>
      <c r="L549" s="81">
        <f t="shared" si="226"/>
        <v>1774.6401540000002</v>
      </c>
      <c r="M549" s="82">
        <f t="shared" si="221"/>
        <v>0</v>
      </c>
      <c r="N549" s="82">
        <f t="shared" si="222"/>
        <v>0</v>
      </c>
      <c r="O549" s="82">
        <f>N549+'BM 009'!O549</f>
        <v>0</v>
      </c>
      <c r="P549" s="80">
        <f t="shared" si="223"/>
        <v>1400</v>
      </c>
      <c r="Q549" s="82">
        <f t="shared" si="224"/>
        <v>1774.64</v>
      </c>
      <c r="R549" s="82">
        <f t="shared" si="225"/>
        <v>1774.64</v>
      </c>
    </row>
    <row r="550" spans="2:18" s="34" customFormat="1" ht="46.2">
      <c r="B550" s="75" t="s">
        <v>1075</v>
      </c>
      <c r="C550" s="76" t="s">
        <v>1076</v>
      </c>
      <c r="D550" s="77" t="s">
        <v>39</v>
      </c>
      <c r="E550" s="78">
        <v>16</v>
      </c>
      <c r="F550" s="79"/>
      <c r="G550" s="79"/>
      <c r="H550" s="79"/>
      <c r="I550" s="79">
        <f>SUM(G550:H550)+'BM 009'!I550</f>
        <v>0</v>
      </c>
      <c r="J550" s="79">
        <f t="shared" si="227"/>
        <v>16</v>
      </c>
      <c r="K550" s="84">
        <v>1900</v>
      </c>
      <c r="L550" s="81">
        <f t="shared" si="226"/>
        <v>2408.4402090000003</v>
      </c>
      <c r="M550" s="82">
        <f t="shared" si="221"/>
        <v>0</v>
      </c>
      <c r="N550" s="82">
        <f t="shared" si="222"/>
        <v>0</v>
      </c>
      <c r="O550" s="82">
        <f>N550+'BM 009'!O550</f>
        <v>0</v>
      </c>
      <c r="P550" s="80">
        <f t="shared" si="223"/>
        <v>30400</v>
      </c>
      <c r="Q550" s="82">
        <f t="shared" si="224"/>
        <v>38535.040000000001</v>
      </c>
      <c r="R550" s="82">
        <f t="shared" si="225"/>
        <v>38535.040000000001</v>
      </c>
    </row>
    <row r="551" spans="2:18" s="34" customFormat="1" ht="34.799999999999997">
      <c r="B551" s="75" t="s">
        <v>1077</v>
      </c>
      <c r="C551" s="76" t="s">
        <v>1078</v>
      </c>
      <c r="D551" s="77" t="s">
        <v>39</v>
      </c>
      <c r="E551" s="78">
        <v>140</v>
      </c>
      <c r="F551" s="79"/>
      <c r="G551" s="79"/>
      <c r="H551" s="79"/>
      <c r="I551" s="79">
        <f>SUM(G551:H551)+'BM 009'!I551</f>
        <v>0</v>
      </c>
      <c r="J551" s="79">
        <f t="shared" si="227"/>
        <v>140</v>
      </c>
      <c r="K551" s="84">
        <v>25</v>
      </c>
      <c r="L551" s="81">
        <f t="shared" si="226"/>
        <v>31.690002750000001</v>
      </c>
      <c r="M551" s="82">
        <f t="shared" si="221"/>
        <v>0</v>
      </c>
      <c r="N551" s="82">
        <f t="shared" si="222"/>
        <v>0</v>
      </c>
      <c r="O551" s="82">
        <f>N551+'BM 009'!O551</f>
        <v>0</v>
      </c>
      <c r="P551" s="80">
        <f t="shared" si="223"/>
        <v>3500</v>
      </c>
      <c r="Q551" s="82">
        <f t="shared" si="224"/>
        <v>4436.6000000000004</v>
      </c>
      <c r="R551" s="82">
        <f t="shared" si="225"/>
        <v>4436.6000000000004</v>
      </c>
    </row>
    <row r="552" spans="2:18" s="34" customFormat="1" ht="13.2">
      <c r="B552" s="66" t="s">
        <v>1079</v>
      </c>
      <c r="C552" s="67" t="s">
        <v>1080</v>
      </c>
      <c r="D552" s="68"/>
      <c r="E552" s="69"/>
      <c r="F552" s="70"/>
      <c r="G552" s="70"/>
      <c r="H552" s="70"/>
      <c r="I552" s="70">
        <f>SUM(G552:H552)+'BM 009'!I552</f>
        <v>0</v>
      </c>
      <c r="J552" s="70">
        <f t="shared" si="227"/>
        <v>0</v>
      </c>
      <c r="K552" s="71"/>
      <c r="L552" s="71">
        <f t="shared" si="226"/>
        <v>0</v>
      </c>
      <c r="M552" s="73">
        <f t="shared" ref="M552:R552" si="228">SUM(M553:M553)</f>
        <v>0</v>
      </c>
      <c r="N552" s="73">
        <f t="shared" si="228"/>
        <v>0</v>
      </c>
      <c r="O552" s="73">
        <f t="shared" si="228"/>
        <v>0</v>
      </c>
      <c r="P552" s="73">
        <f t="shared" si="228"/>
        <v>7310</v>
      </c>
      <c r="Q552" s="73">
        <f t="shared" si="228"/>
        <v>9266.15</v>
      </c>
      <c r="R552" s="73">
        <f t="shared" si="228"/>
        <v>9266.15</v>
      </c>
    </row>
    <row r="553" spans="2:18" s="34" customFormat="1" ht="34.799999999999997">
      <c r="B553" s="75" t="s">
        <v>1081</v>
      </c>
      <c r="C553" s="76" t="s">
        <v>1082</v>
      </c>
      <c r="D553" s="77" t="s">
        <v>63</v>
      </c>
      <c r="E553" s="78">
        <v>43</v>
      </c>
      <c r="F553" s="79"/>
      <c r="G553" s="79"/>
      <c r="H553" s="79"/>
      <c r="I553" s="79">
        <f>SUM(G553:H553)+'BM 009'!I553</f>
        <v>0</v>
      </c>
      <c r="J553" s="79">
        <f t="shared" si="227"/>
        <v>43</v>
      </c>
      <c r="K553" s="84">
        <v>170</v>
      </c>
      <c r="L553" s="81">
        <f t="shared" si="226"/>
        <v>215.49201870000002</v>
      </c>
      <c r="M553" s="82">
        <f>TRUNC(F553*L553,2)</f>
        <v>0</v>
      </c>
      <c r="N553" s="82">
        <f>TRUNC(G553*L553,2)</f>
        <v>0</v>
      </c>
      <c r="O553" s="82">
        <f>N553+'BM 009'!O553</f>
        <v>0</v>
      </c>
      <c r="P553" s="80">
        <f>E553*K553</f>
        <v>7310</v>
      </c>
      <c r="Q553" s="82">
        <f>TRUNC(E553*L553,2)</f>
        <v>9266.15</v>
      </c>
      <c r="R553" s="82">
        <f>Q553-O553</f>
        <v>9266.15</v>
      </c>
    </row>
    <row r="554" spans="2:18" s="34" customFormat="1" ht="13.2">
      <c r="B554" s="66" t="s">
        <v>1083</v>
      </c>
      <c r="C554" s="67" t="s">
        <v>1084</v>
      </c>
      <c r="D554" s="68"/>
      <c r="E554" s="69"/>
      <c r="F554" s="70"/>
      <c r="G554" s="70"/>
      <c r="H554" s="70"/>
      <c r="I554" s="70">
        <f>SUM(G554:H554)+'BM 009'!I554</f>
        <v>0</v>
      </c>
      <c r="J554" s="70">
        <f t="shared" si="227"/>
        <v>0</v>
      </c>
      <c r="K554" s="71"/>
      <c r="L554" s="120">
        <f t="shared" si="226"/>
        <v>0</v>
      </c>
      <c r="M554" s="73">
        <f t="shared" ref="M554:R554" si="229">SUM(M555:M565)</f>
        <v>0</v>
      </c>
      <c r="N554" s="73">
        <f t="shared" si="229"/>
        <v>0</v>
      </c>
      <c r="O554" s="73">
        <f t="shared" si="229"/>
        <v>0</v>
      </c>
      <c r="P554" s="73">
        <f t="shared" si="229"/>
        <v>55460</v>
      </c>
      <c r="Q554" s="73">
        <f t="shared" si="229"/>
        <v>70301.090000000011</v>
      </c>
      <c r="R554" s="73">
        <f t="shared" si="229"/>
        <v>70301.090000000011</v>
      </c>
    </row>
    <row r="555" spans="2:18" s="34" customFormat="1" ht="23.4">
      <c r="B555" s="75" t="s">
        <v>1085</v>
      </c>
      <c r="C555" s="76" t="s">
        <v>1086</v>
      </c>
      <c r="D555" s="77" t="s">
        <v>131</v>
      </c>
      <c r="E555" s="78">
        <v>1</v>
      </c>
      <c r="F555" s="79"/>
      <c r="G555" s="79"/>
      <c r="H555" s="79"/>
      <c r="I555" s="79">
        <f>SUM(G555:H555)+'BM 009'!I555</f>
        <v>0</v>
      </c>
      <c r="J555" s="79">
        <f t="shared" si="227"/>
        <v>1</v>
      </c>
      <c r="K555" s="84">
        <v>5800</v>
      </c>
      <c r="L555" s="81">
        <f t="shared" si="226"/>
        <v>7352.0806380000004</v>
      </c>
      <c r="M555" s="82">
        <f t="shared" ref="M555:M565" si="230">TRUNC(F555*L555,2)</f>
        <v>0</v>
      </c>
      <c r="N555" s="82">
        <f t="shared" ref="N555:N565" si="231">TRUNC(G555*L555,2)</f>
        <v>0</v>
      </c>
      <c r="O555" s="82">
        <f>N555+'BM 009'!O555</f>
        <v>0</v>
      </c>
      <c r="P555" s="80">
        <f t="shared" ref="P555:P565" si="232">E555*K555</f>
        <v>5800</v>
      </c>
      <c r="Q555" s="82">
        <f t="shared" ref="Q555:Q565" si="233">TRUNC(E555*L555,2)</f>
        <v>7352.08</v>
      </c>
      <c r="R555" s="82">
        <f t="shared" ref="R555:R565" si="234">Q555-O555</f>
        <v>7352.08</v>
      </c>
    </row>
    <row r="556" spans="2:18" s="34" customFormat="1" ht="57.6">
      <c r="B556" s="75" t="s">
        <v>1087</v>
      </c>
      <c r="C556" s="76" t="s">
        <v>1088</v>
      </c>
      <c r="D556" s="77" t="s">
        <v>131</v>
      </c>
      <c r="E556" s="78">
        <v>1</v>
      </c>
      <c r="F556" s="79"/>
      <c r="G556" s="79"/>
      <c r="H556" s="79"/>
      <c r="I556" s="79">
        <f>SUM(G556:H556)+'BM 009'!I556</f>
        <v>0</v>
      </c>
      <c r="J556" s="79">
        <f t="shared" si="227"/>
        <v>1</v>
      </c>
      <c r="K556" s="84">
        <v>2950</v>
      </c>
      <c r="L556" s="81">
        <f t="shared" si="226"/>
        <v>3739.4203245000003</v>
      </c>
      <c r="M556" s="82">
        <f t="shared" si="230"/>
        <v>0</v>
      </c>
      <c r="N556" s="82">
        <f t="shared" si="231"/>
        <v>0</v>
      </c>
      <c r="O556" s="82">
        <f>N556+'BM 009'!O556</f>
        <v>0</v>
      </c>
      <c r="P556" s="80">
        <f t="shared" si="232"/>
        <v>2950</v>
      </c>
      <c r="Q556" s="82">
        <f t="shared" si="233"/>
        <v>3739.42</v>
      </c>
      <c r="R556" s="82">
        <f t="shared" si="234"/>
        <v>3739.42</v>
      </c>
    </row>
    <row r="557" spans="2:18" s="34" customFormat="1" ht="34.799999999999997">
      <c r="B557" s="75" t="s">
        <v>1089</v>
      </c>
      <c r="C557" s="76" t="s">
        <v>1090</v>
      </c>
      <c r="D557" s="77" t="s">
        <v>131</v>
      </c>
      <c r="E557" s="78">
        <v>1</v>
      </c>
      <c r="F557" s="79"/>
      <c r="G557" s="79"/>
      <c r="H557" s="79"/>
      <c r="I557" s="79">
        <f>SUM(G557:H557)+'BM 009'!I557</f>
        <v>0</v>
      </c>
      <c r="J557" s="79">
        <f t="shared" si="227"/>
        <v>1</v>
      </c>
      <c r="K557" s="84">
        <v>5100</v>
      </c>
      <c r="L557" s="81">
        <f t="shared" si="226"/>
        <v>6464.7605610000001</v>
      </c>
      <c r="M557" s="82">
        <f t="shared" si="230"/>
        <v>0</v>
      </c>
      <c r="N557" s="82">
        <f t="shared" si="231"/>
        <v>0</v>
      </c>
      <c r="O557" s="82">
        <f>N557+'BM 009'!O557</f>
        <v>0</v>
      </c>
      <c r="P557" s="80">
        <f t="shared" si="232"/>
        <v>5100</v>
      </c>
      <c r="Q557" s="82">
        <f t="shared" si="233"/>
        <v>6464.76</v>
      </c>
      <c r="R557" s="82">
        <f t="shared" si="234"/>
        <v>6464.76</v>
      </c>
    </row>
    <row r="558" spans="2:18" s="34" customFormat="1" ht="34.799999999999997">
      <c r="B558" s="75" t="s">
        <v>1091</v>
      </c>
      <c r="C558" s="76" t="s">
        <v>1092</v>
      </c>
      <c r="D558" s="77" t="s">
        <v>131</v>
      </c>
      <c r="E558" s="78">
        <v>1</v>
      </c>
      <c r="F558" s="79"/>
      <c r="G558" s="79"/>
      <c r="H558" s="79"/>
      <c r="I558" s="79">
        <f>SUM(G558:H558)+'BM 009'!I558</f>
        <v>0</v>
      </c>
      <c r="J558" s="79">
        <f t="shared" si="227"/>
        <v>1</v>
      </c>
      <c r="K558" s="84">
        <v>6200</v>
      </c>
      <c r="L558" s="81">
        <f t="shared" si="226"/>
        <v>7859.1206820000007</v>
      </c>
      <c r="M558" s="82">
        <f t="shared" si="230"/>
        <v>0</v>
      </c>
      <c r="N558" s="82">
        <f t="shared" si="231"/>
        <v>0</v>
      </c>
      <c r="O558" s="82">
        <f>N558+'BM 009'!O558</f>
        <v>0</v>
      </c>
      <c r="P558" s="80">
        <f t="shared" si="232"/>
        <v>6200</v>
      </c>
      <c r="Q558" s="82">
        <f t="shared" si="233"/>
        <v>7859.12</v>
      </c>
      <c r="R558" s="82">
        <f t="shared" si="234"/>
        <v>7859.12</v>
      </c>
    </row>
    <row r="559" spans="2:18" s="34" customFormat="1" ht="23.4">
      <c r="B559" s="75" t="s">
        <v>1093</v>
      </c>
      <c r="C559" s="76" t="s">
        <v>1094</v>
      </c>
      <c r="D559" s="77" t="s">
        <v>131</v>
      </c>
      <c r="E559" s="78">
        <v>15</v>
      </c>
      <c r="F559" s="79"/>
      <c r="G559" s="79"/>
      <c r="H559" s="79"/>
      <c r="I559" s="79">
        <f>SUM(G559:H559)+'BM 009'!I559</f>
        <v>0</v>
      </c>
      <c r="J559" s="79">
        <f t="shared" si="227"/>
        <v>15</v>
      </c>
      <c r="K559" s="84">
        <v>250</v>
      </c>
      <c r="L559" s="81">
        <f t="shared" si="226"/>
        <v>316.90002750000002</v>
      </c>
      <c r="M559" s="82">
        <f t="shared" si="230"/>
        <v>0</v>
      </c>
      <c r="N559" s="82">
        <f t="shared" si="231"/>
        <v>0</v>
      </c>
      <c r="O559" s="82">
        <f>N559+'BM 009'!O559</f>
        <v>0</v>
      </c>
      <c r="P559" s="80">
        <f t="shared" si="232"/>
        <v>3750</v>
      </c>
      <c r="Q559" s="82">
        <f t="shared" si="233"/>
        <v>4753.5</v>
      </c>
      <c r="R559" s="82">
        <f t="shared" si="234"/>
        <v>4753.5</v>
      </c>
    </row>
    <row r="560" spans="2:18" s="34" customFormat="1" ht="23.4">
      <c r="B560" s="75" t="s">
        <v>1095</v>
      </c>
      <c r="C560" s="76" t="s">
        <v>1096</v>
      </c>
      <c r="D560" s="77" t="s">
        <v>131</v>
      </c>
      <c r="E560" s="78">
        <v>1</v>
      </c>
      <c r="F560" s="79"/>
      <c r="G560" s="79"/>
      <c r="H560" s="79"/>
      <c r="I560" s="79">
        <f>SUM(G560:H560)+'BM 009'!I560</f>
        <v>0</v>
      </c>
      <c r="J560" s="79">
        <f t="shared" si="227"/>
        <v>1</v>
      </c>
      <c r="K560" s="84">
        <v>350</v>
      </c>
      <c r="L560" s="81">
        <f t="shared" si="226"/>
        <v>443.66003850000004</v>
      </c>
      <c r="M560" s="82">
        <f t="shared" si="230"/>
        <v>0</v>
      </c>
      <c r="N560" s="82">
        <f t="shared" si="231"/>
        <v>0</v>
      </c>
      <c r="O560" s="82">
        <f>N560+'BM 009'!O560</f>
        <v>0</v>
      </c>
      <c r="P560" s="80">
        <f t="shared" si="232"/>
        <v>350</v>
      </c>
      <c r="Q560" s="82">
        <f t="shared" si="233"/>
        <v>443.66</v>
      </c>
      <c r="R560" s="82">
        <f t="shared" si="234"/>
        <v>443.66</v>
      </c>
    </row>
    <row r="561" spans="2:18" s="34" customFormat="1" ht="23.4">
      <c r="B561" s="75" t="s">
        <v>1097</v>
      </c>
      <c r="C561" s="76" t="s">
        <v>1098</v>
      </c>
      <c r="D561" s="77" t="s">
        <v>131</v>
      </c>
      <c r="E561" s="78">
        <v>15</v>
      </c>
      <c r="F561" s="79"/>
      <c r="G561" s="79"/>
      <c r="H561" s="79"/>
      <c r="I561" s="79">
        <f>SUM(G561:H561)+'BM 009'!I561</f>
        <v>0</v>
      </c>
      <c r="J561" s="79">
        <f t="shared" si="227"/>
        <v>15</v>
      </c>
      <c r="K561" s="84">
        <v>260</v>
      </c>
      <c r="L561" s="81">
        <f t="shared" si="226"/>
        <v>329.57602860000003</v>
      </c>
      <c r="M561" s="82">
        <f t="shared" si="230"/>
        <v>0</v>
      </c>
      <c r="N561" s="82">
        <f t="shared" si="231"/>
        <v>0</v>
      </c>
      <c r="O561" s="82">
        <f>N561+'BM 009'!O561</f>
        <v>0</v>
      </c>
      <c r="P561" s="80">
        <f t="shared" si="232"/>
        <v>3900</v>
      </c>
      <c r="Q561" s="82">
        <f t="shared" si="233"/>
        <v>4943.6400000000003</v>
      </c>
      <c r="R561" s="82">
        <f t="shared" si="234"/>
        <v>4943.6400000000003</v>
      </c>
    </row>
    <row r="562" spans="2:18" s="34" customFormat="1" ht="23.4">
      <c r="B562" s="75" t="s">
        <v>1099</v>
      </c>
      <c r="C562" s="76" t="s">
        <v>1100</v>
      </c>
      <c r="D562" s="77" t="s">
        <v>131</v>
      </c>
      <c r="E562" s="78">
        <v>1</v>
      </c>
      <c r="F562" s="79"/>
      <c r="G562" s="79"/>
      <c r="H562" s="79"/>
      <c r="I562" s="79">
        <f>SUM(G562:H562)+'BM 009'!I562</f>
        <v>0</v>
      </c>
      <c r="J562" s="79">
        <f t="shared" si="227"/>
        <v>1</v>
      </c>
      <c r="K562" s="84">
        <v>360</v>
      </c>
      <c r="L562" s="81">
        <f t="shared" si="226"/>
        <v>456.33603960000005</v>
      </c>
      <c r="M562" s="82">
        <f t="shared" si="230"/>
        <v>0</v>
      </c>
      <c r="N562" s="82">
        <f t="shared" si="231"/>
        <v>0</v>
      </c>
      <c r="O562" s="82">
        <f>N562+'BM 009'!O562</f>
        <v>0</v>
      </c>
      <c r="P562" s="80">
        <f t="shared" si="232"/>
        <v>360</v>
      </c>
      <c r="Q562" s="82">
        <f t="shared" si="233"/>
        <v>456.33</v>
      </c>
      <c r="R562" s="82">
        <f t="shared" si="234"/>
        <v>456.33</v>
      </c>
    </row>
    <row r="563" spans="2:18" s="34" customFormat="1" ht="13.2">
      <c r="B563" s="75" t="s">
        <v>1101</v>
      </c>
      <c r="C563" s="76" t="s">
        <v>1102</v>
      </c>
      <c r="D563" s="77" t="s">
        <v>131</v>
      </c>
      <c r="E563" s="78">
        <v>2</v>
      </c>
      <c r="F563" s="79"/>
      <c r="G563" s="79"/>
      <c r="H563" s="79"/>
      <c r="I563" s="79">
        <f>SUM(G563:H563)+'BM 009'!I563</f>
        <v>0</v>
      </c>
      <c r="J563" s="79">
        <f t="shared" si="227"/>
        <v>2</v>
      </c>
      <c r="K563" s="84">
        <v>3650</v>
      </c>
      <c r="L563" s="81">
        <f t="shared" si="226"/>
        <v>4626.7404015000002</v>
      </c>
      <c r="M563" s="82">
        <f t="shared" si="230"/>
        <v>0</v>
      </c>
      <c r="N563" s="82">
        <f t="shared" si="231"/>
        <v>0</v>
      </c>
      <c r="O563" s="82">
        <f>N563+'BM 009'!O563</f>
        <v>0</v>
      </c>
      <c r="P563" s="80">
        <f t="shared" si="232"/>
        <v>7300</v>
      </c>
      <c r="Q563" s="82">
        <f t="shared" si="233"/>
        <v>9253.48</v>
      </c>
      <c r="R563" s="82">
        <f t="shared" si="234"/>
        <v>9253.48</v>
      </c>
    </row>
    <row r="564" spans="2:18" s="34" customFormat="1" ht="23.4">
      <c r="B564" s="75" t="s">
        <v>1103</v>
      </c>
      <c r="C564" s="76" t="s">
        <v>1104</v>
      </c>
      <c r="D564" s="77" t="s">
        <v>131</v>
      </c>
      <c r="E564" s="78">
        <v>60</v>
      </c>
      <c r="F564" s="79"/>
      <c r="G564" s="79"/>
      <c r="H564" s="79"/>
      <c r="I564" s="79">
        <f>SUM(G564:H564)+'BM 009'!I564</f>
        <v>0</v>
      </c>
      <c r="J564" s="79">
        <f t="shared" si="227"/>
        <v>60</v>
      </c>
      <c r="K564" s="84">
        <v>280</v>
      </c>
      <c r="L564" s="81">
        <f t="shared" si="226"/>
        <v>354.92803079999999</v>
      </c>
      <c r="M564" s="82">
        <f t="shared" si="230"/>
        <v>0</v>
      </c>
      <c r="N564" s="82">
        <f t="shared" si="231"/>
        <v>0</v>
      </c>
      <c r="O564" s="82">
        <f>N564+'BM 009'!O564</f>
        <v>0</v>
      </c>
      <c r="P564" s="80">
        <f t="shared" si="232"/>
        <v>16800</v>
      </c>
      <c r="Q564" s="82">
        <f t="shared" si="233"/>
        <v>21295.68</v>
      </c>
      <c r="R564" s="82">
        <f t="shared" si="234"/>
        <v>21295.68</v>
      </c>
    </row>
    <row r="565" spans="2:18" s="34" customFormat="1" ht="34.799999999999997">
      <c r="B565" s="75" t="s">
        <v>1105</v>
      </c>
      <c r="C565" s="76" t="s">
        <v>1106</v>
      </c>
      <c r="D565" s="77" t="s">
        <v>131</v>
      </c>
      <c r="E565" s="78">
        <v>10</v>
      </c>
      <c r="F565" s="79"/>
      <c r="G565" s="79"/>
      <c r="H565" s="79"/>
      <c r="I565" s="79">
        <f>SUM(G565:H565)+'BM 009'!I565</f>
        <v>0</v>
      </c>
      <c r="J565" s="79">
        <f t="shared" si="227"/>
        <v>10</v>
      </c>
      <c r="K565" s="84">
        <v>295</v>
      </c>
      <c r="L565" s="81">
        <f t="shared" si="226"/>
        <v>373.94203245</v>
      </c>
      <c r="M565" s="82">
        <f t="shared" si="230"/>
        <v>0</v>
      </c>
      <c r="N565" s="82">
        <f t="shared" si="231"/>
        <v>0</v>
      </c>
      <c r="O565" s="82">
        <f>N565+'BM 009'!O565</f>
        <v>0</v>
      </c>
      <c r="P565" s="80">
        <f t="shared" si="232"/>
        <v>2950</v>
      </c>
      <c r="Q565" s="82">
        <f t="shared" si="233"/>
        <v>3739.42</v>
      </c>
      <c r="R565" s="82">
        <f t="shared" si="234"/>
        <v>3739.42</v>
      </c>
    </row>
    <row r="566" spans="2:18" s="34" customFormat="1" ht="13.2">
      <c r="B566" s="60" t="s">
        <v>1107</v>
      </c>
      <c r="C566" s="61" t="s">
        <v>1108</v>
      </c>
      <c r="D566" s="60"/>
      <c r="E566" s="62"/>
      <c r="F566" s="63"/>
      <c r="G566" s="63"/>
      <c r="H566" s="63"/>
      <c r="I566" s="63">
        <f>SUM(G566:H566)+'BM 009'!I566</f>
        <v>0</v>
      </c>
      <c r="J566" s="63">
        <f t="shared" si="227"/>
        <v>0</v>
      </c>
      <c r="K566" s="63"/>
      <c r="L566" s="63">
        <f t="shared" si="226"/>
        <v>0</v>
      </c>
      <c r="M566" s="63">
        <f t="shared" ref="M566:R566" si="235">SUM(M567:M587)</f>
        <v>0</v>
      </c>
      <c r="N566" s="63">
        <f t="shared" si="235"/>
        <v>0</v>
      </c>
      <c r="O566" s="63">
        <f t="shared" si="235"/>
        <v>0</v>
      </c>
      <c r="P566" s="63">
        <f t="shared" si="235"/>
        <v>397499.3</v>
      </c>
      <c r="Q566" s="63">
        <f t="shared" si="235"/>
        <v>503870.0799999999</v>
      </c>
      <c r="R566" s="63">
        <f t="shared" si="235"/>
        <v>503870.0799999999</v>
      </c>
    </row>
    <row r="567" spans="2:18" s="34" customFormat="1" ht="57.6">
      <c r="B567" s="87" t="s">
        <v>1109</v>
      </c>
      <c r="C567" s="88" t="s">
        <v>1110</v>
      </c>
      <c r="D567" s="89" t="s">
        <v>63</v>
      </c>
      <c r="E567" s="92">
        <v>33</v>
      </c>
      <c r="F567" s="91"/>
      <c r="G567" s="91"/>
      <c r="H567" s="91"/>
      <c r="I567" s="91">
        <f>SUM(G567:H567)+'BM 009'!I567</f>
        <v>0</v>
      </c>
      <c r="J567" s="91">
        <f t="shared" si="227"/>
        <v>33</v>
      </c>
      <c r="K567" s="84">
        <v>540</v>
      </c>
      <c r="L567" s="81">
        <f t="shared" si="226"/>
        <v>684.50405940000007</v>
      </c>
      <c r="M567" s="82">
        <f t="shared" ref="M567:M587" si="236">TRUNC(F567*L567,2)</f>
        <v>0</v>
      </c>
      <c r="N567" s="82">
        <f t="shared" ref="N567:N587" si="237">TRUNC(G567*L567,2)</f>
        <v>0</v>
      </c>
      <c r="O567" s="82">
        <f>N567+'BM 009'!O567</f>
        <v>0</v>
      </c>
      <c r="P567" s="80">
        <f t="shared" ref="P567:P587" si="238">E567*K567</f>
        <v>17820</v>
      </c>
      <c r="Q567" s="82">
        <f t="shared" ref="Q567:Q587" si="239">TRUNC(E567*L567,2)</f>
        <v>22588.63</v>
      </c>
      <c r="R567" s="82">
        <f t="shared" ref="R567:R587" si="240">Q567-O567</f>
        <v>22588.63</v>
      </c>
    </row>
    <row r="568" spans="2:18" s="34" customFormat="1" ht="57.6">
      <c r="B568" s="87" t="s">
        <v>1111</v>
      </c>
      <c r="C568" s="88" t="s">
        <v>1112</v>
      </c>
      <c r="D568" s="89" t="s">
        <v>63</v>
      </c>
      <c r="E568" s="90">
        <f>56-E567</f>
        <v>23</v>
      </c>
      <c r="F568" s="91"/>
      <c r="G568" s="91"/>
      <c r="H568" s="91"/>
      <c r="I568" s="91">
        <f>SUM(G568:H568)+'BM 009'!I568</f>
        <v>0</v>
      </c>
      <c r="J568" s="91">
        <f t="shared" si="227"/>
        <v>23</v>
      </c>
      <c r="K568" s="80">
        <v>685</v>
      </c>
      <c r="L568" s="81">
        <f t="shared" si="226"/>
        <v>868.30607535000001</v>
      </c>
      <c r="M568" s="82">
        <f t="shared" si="236"/>
        <v>0</v>
      </c>
      <c r="N568" s="82">
        <f t="shared" si="237"/>
        <v>0</v>
      </c>
      <c r="O568" s="82">
        <f>N568+'BM 009'!O568</f>
        <v>0</v>
      </c>
      <c r="P568" s="80">
        <f t="shared" si="238"/>
        <v>15755</v>
      </c>
      <c r="Q568" s="82">
        <f t="shared" si="239"/>
        <v>19971.03</v>
      </c>
      <c r="R568" s="82">
        <f t="shared" si="240"/>
        <v>19971.03</v>
      </c>
    </row>
    <row r="569" spans="2:18" s="34" customFormat="1" ht="34.799999999999997">
      <c r="B569" s="87" t="s">
        <v>1113</v>
      </c>
      <c r="C569" s="88" t="s">
        <v>1114</v>
      </c>
      <c r="D569" s="89" t="s">
        <v>131</v>
      </c>
      <c r="E569" s="92">
        <v>17</v>
      </c>
      <c r="F569" s="91"/>
      <c r="G569" s="91"/>
      <c r="H569" s="91"/>
      <c r="I569" s="91">
        <f>SUM(G569:H569)+'BM 009'!I569</f>
        <v>0</v>
      </c>
      <c r="J569" s="91">
        <f t="shared" si="227"/>
        <v>17</v>
      </c>
      <c r="K569" s="84">
        <v>725</v>
      </c>
      <c r="L569" s="81">
        <f t="shared" si="226"/>
        <v>919.01007975000005</v>
      </c>
      <c r="M569" s="82">
        <f t="shared" si="236"/>
        <v>0</v>
      </c>
      <c r="N569" s="82">
        <f t="shared" si="237"/>
        <v>0</v>
      </c>
      <c r="O569" s="82">
        <f>N569+'BM 009'!O569</f>
        <v>0</v>
      </c>
      <c r="P569" s="80">
        <f t="shared" si="238"/>
        <v>12325</v>
      </c>
      <c r="Q569" s="82">
        <f t="shared" si="239"/>
        <v>15623.17</v>
      </c>
      <c r="R569" s="82">
        <f t="shared" si="240"/>
        <v>15623.17</v>
      </c>
    </row>
    <row r="570" spans="2:18" s="34" customFormat="1" ht="23.4">
      <c r="B570" s="87" t="s">
        <v>1115</v>
      </c>
      <c r="C570" s="88" t="s">
        <v>1116</v>
      </c>
      <c r="D570" s="89" t="s">
        <v>63</v>
      </c>
      <c r="E570" s="92">
        <v>56</v>
      </c>
      <c r="F570" s="91"/>
      <c r="G570" s="91"/>
      <c r="H570" s="91"/>
      <c r="I570" s="91">
        <f>SUM(G570:H570)+'BM 009'!I570</f>
        <v>0</v>
      </c>
      <c r="J570" s="91">
        <f t="shared" si="227"/>
        <v>56</v>
      </c>
      <c r="K570" s="84">
        <v>175</v>
      </c>
      <c r="L570" s="81">
        <f t="shared" si="226"/>
        <v>221.83001925000002</v>
      </c>
      <c r="M570" s="82">
        <f t="shared" si="236"/>
        <v>0</v>
      </c>
      <c r="N570" s="82">
        <f t="shared" si="237"/>
        <v>0</v>
      </c>
      <c r="O570" s="82">
        <f>N570+'BM 009'!O570</f>
        <v>0</v>
      </c>
      <c r="P570" s="80">
        <f t="shared" si="238"/>
        <v>9800</v>
      </c>
      <c r="Q570" s="82">
        <f t="shared" si="239"/>
        <v>12422.48</v>
      </c>
      <c r="R570" s="82">
        <f t="shared" si="240"/>
        <v>12422.48</v>
      </c>
    </row>
    <row r="571" spans="2:18" s="34" customFormat="1" ht="23.4">
      <c r="B571" s="87" t="s">
        <v>1117</v>
      </c>
      <c r="C571" s="88" t="s">
        <v>1118</v>
      </c>
      <c r="D571" s="89" t="s">
        <v>63</v>
      </c>
      <c r="E571" s="92">
        <v>11</v>
      </c>
      <c r="F571" s="91"/>
      <c r="G571" s="91"/>
      <c r="H571" s="91"/>
      <c r="I571" s="91">
        <f>SUM(G571:H571)+'BM 009'!I571</f>
        <v>0</v>
      </c>
      <c r="J571" s="91">
        <f t="shared" si="227"/>
        <v>11</v>
      </c>
      <c r="K571" s="84">
        <v>120</v>
      </c>
      <c r="L571" s="81">
        <f t="shared" si="226"/>
        <v>152.11201320000001</v>
      </c>
      <c r="M571" s="82">
        <f t="shared" si="236"/>
        <v>0</v>
      </c>
      <c r="N571" s="82">
        <f t="shared" si="237"/>
        <v>0</v>
      </c>
      <c r="O571" s="82">
        <f>N571+'BM 009'!O571</f>
        <v>0</v>
      </c>
      <c r="P571" s="80">
        <f t="shared" si="238"/>
        <v>1320</v>
      </c>
      <c r="Q571" s="82">
        <f t="shared" si="239"/>
        <v>1673.23</v>
      </c>
      <c r="R571" s="82">
        <f t="shared" si="240"/>
        <v>1673.23</v>
      </c>
    </row>
    <row r="572" spans="2:18" s="34" customFormat="1" ht="46.2">
      <c r="B572" s="87" t="s">
        <v>1119</v>
      </c>
      <c r="C572" s="88" t="s">
        <v>1120</v>
      </c>
      <c r="D572" s="89" t="s">
        <v>63</v>
      </c>
      <c r="E572" s="92">
        <v>20</v>
      </c>
      <c r="F572" s="91"/>
      <c r="G572" s="91"/>
      <c r="H572" s="91"/>
      <c r="I572" s="91">
        <f>SUM(G572:H572)+'BM 009'!I572</f>
        <v>0</v>
      </c>
      <c r="J572" s="91">
        <f t="shared" si="227"/>
        <v>20</v>
      </c>
      <c r="K572" s="84">
        <v>205</v>
      </c>
      <c r="L572" s="81">
        <f t="shared" si="226"/>
        <v>259.85802254999999</v>
      </c>
      <c r="M572" s="82">
        <f t="shared" si="236"/>
        <v>0</v>
      </c>
      <c r="N572" s="82">
        <f t="shared" si="237"/>
        <v>0</v>
      </c>
      <c r="O572" s="82">
        <f>N572+'BM 009'!O572</f>
        <v>0</v>
      </c>
      <c r="P572" s="80">
        <f t="shared" si="238"/>
        <v>4100</v>
      </c>
      <c r="Q572" s="82">
        <f t="shared" si="239"/>
        <v>5197.16</v>
      </c>
      <c r="R572" s="82">
        <f t="shared" si="240"/>
        <v>5197.16</v>
      </c>
    </row>
    <row r="573" spans="2:18" s="34" customFormat="1" ht="23.4">
      <c r="B573" s="87" t="s">
        <v>1121</v>
      </c>
      <c r="C573" s="88" t="s">
        <v>1122</v>
      </c>
      <c r="D573" s="89" t="s">
        <v>63</v>
      </c>
      <c r="E573" s="92">
        <v>39</v>
      </c>
      <c r="F573" s="91"/>
      <c r="G573" s="91"/>
      <c r="H573" s="91"/>
      <c r="I573" s="91">
        <f>SUM(G573:H573)+'BM 009'!I573</f>
        <v>0</v>
      </c>
      <c r="J573" s="91">
        <f t="shared" si="227"/>
        <v>39</v>
      </c>
      <c r="K573" s="84">
        <v>730</v>
      </c>
      <c r="L573" s="81">
        <f t="shared" si="226"/>
        <v>925.34808029999999</v>
      </c>
      <c r="M573" s="82">
        <f t="shared" si="236"/>
        <v>0</v>
      </c>
      <c r="N573" s="82">
        <f t="shared" si="237"/>
        <v>0</v>
      </c>
      <c r="O573" s="82">
        <f>N573+'BM 009'!O573</f>
        <v>0</v>
      </c>
      <c r="P573" s="80">
        <f t="shared" si="238"/>
        <v>28470</v>
      </c>
      <c r="Q573" s="82">
        <f t="shared" si="239"/>
        <v>36088.57</v>
      </c>
      <c r="R573" s="82">
        <f t="shared" si="240"/>
        <v>36088.57</v>
      </c>
    </row>
    <row r="574" spans="2:18" s="34" customFormat="1" ht="23.4">
      <c r="B574" s="87" t="s">
        <v>1123</v>
      </c>
      <c r="C574" s="88" t="s">
        <v>1124</v>
      </c>
      <c r="D574" s="89" t="s">
        <v>63</v>
      </c>
      <c r="E574" s="92">
        <v>6</v>
      </c>
      <c r="F574" s="91"/>
      <c r="G574" s="91"/>
      <c r="H574" s="91"/>
      <c r="I574" s="91">
        <f>SUM(G574:H574)+'BM 009'!I574</f>
        <v>0</v>
      </c>
      <c r="J574" s="91">
        <f t="shared" si="227"/>
        <v>6</v>
      </c>
      <c r="K574" s="84">
        <v>4500</v>
      </c>
      <c r="L574" s="81">
        <f t="shared" si="226"/>
        <v>5704.200495</v>
      </c>
      <c r="M574" s="82">
        <f t="shared" si="236"/>
        <v>0</v>
      </c>
      <c r="N574" s="82">
        <f t="shared" si="237"/>
        <v>0</v>
      </c>
      <c r="O574" s="82">
        <f>N574+'BM 009'!O574</f>
        <v>0</v>
      </c>
      <c r="P574" s="80">
        <f t="shared" si="238"/>
        <v>27000</v>
      </c>
      <c r="Q574" s="82">
        <f t="shared" si="239"/>
        <v>34225.199999999997</v>
      </c>
      <c r="R574" s="82">
        <f t="shared" si="240"/>
        <v>34225.199999999997</v>
      </c>
    </row>
    <row r="575" spans="2:18" s="34" customFormat="1" ht="46.2">
      <c r="B575" s="87" t="s">
        <v>1125</v>
      </c>
      <c r="C575" s="88" t="s">
        <v>1126</v>
      </c>
      <c r="D575" s="89" t="s">
        <v>63</v>
      </c>
      <c r="E575" s="92">
        <v>59</v>
      </c>
      <c r="F575" s="91"/>
      <c r="G575" s="91"/>
      <c r="H575" s="91"/>
      <c r="I575" s="91">
        <f>SUM(G575:H575)+'BM 009'!I575</f>
        <v>0</v>
      </c>
      <c r="J575" s="91">
        <f t="shared" si="227"/>
        <v>59</v>
      </c>
      <c r="K575" s="84">
        <v>745</v>
      </c>
      <c r="L575" s="81">
        <f t="shared" si="226"/>
        <v>944.36208195000006</v>
      </c>
      <c r="M575" s="82">
        <f t="shared" si="236"/>
        <v>0</v>
      </c>
      <c r="N575" s="82">
        <f t="shared" si="237"/>
        <v>0</v>
      </c>
      <c r="O575" s="82">
        <f>N575+'BM 009'!O575</f>
        <v>0</v>
      </c>
      <c r="P575" s="80">
        <f t="shared" si="238"/>
        <v>43955</v>
      </c>
      <c r="Q575" s="82">
        <f t="shared" si="239"/>
        <v>55717.36</v>
      </c>
      <c r="R575" s="82">
        <f t="shared" si="240"/>
        <v>55717.36</v>
      </c>
    </row>
    <row r="576" spans="2:18" s="34" customFormat="1" ht="23.4">
      <c r="B576" s="87" t="s">
        <v>1127</v>
      </c>
      <c r="C576" s="88" t="s">
        <v>1128</v>
      </c>
      <c r="D576" s="89" t="s">
        <v>63</v>
      </c>
      <c r="E576" s="92">
        <v>74</v>
      </c>
      <c r="F576" s="91"/>
      <c r="G576" s="91"/>
      <c r="H576" s="91"/>
      <c r="I576" s="91">
        <f>SUM(G576:H576)+'BM 009'!I576</f>
        <v>0</v>
      </c>
      <c r="J576" s="91">
        <f t="shared" si="227"/>
        <v>74</v>
      </c>
      <c r="K576" s="84">
        <v>250</v>
      </c>
      <c r="L576" s="81">
        <f t="shared" si="226"/>
        <v>316.90002750000002</v>
      </c>
      <c r="M576" s="82">
        <f t="shared" si="236"/>
        <v>0</v>
      </c>
      <c r="N576" s="82">
        <f t="shared" si="237"/>
        <v>0</v>
      </c>
      <c r="O576" s="82">
        <f>N576+'BM 009'!O576</f>
        <v>0</v>
      </c>
      <c r="P576" s="80">
        <f t="shared" si="238"/>
        <v>18500</v>
      </c>
      <c r="Q576" s="82">
        <f t="shared" si="239"/>
        <v>23450.6</v>
      </c>
      <c r="R576" s="82">
        <f t="shared" si="240"/>
        <v>23450.6</v>
      </c>
    </row>
    <row r="577" spans="1:23" s="34" customFormat="1" ht="23.4">
      <c r="B577" s="87" t="s">
        <v>1129</v>
      </c>
      <c r="C577" s="88" t="s">
        <v>1130</v>
      </c>
      <c r="D577" s="89" t="s">
        <v>63</v>
      </c>
      <c r="E577" s="92">
        <v>49</v>
      </c>
      <c r="F577" s="91"/>
      <c r="G577" s="91"/>
      <c r="H577" s="91"/>
      <c r="I577" s="91">
        <f>SUM(G577:H577)+'BM 009'!I577</f>
        <v>0</v>
      </c>
      <c r="J577" s="91">
        <f t="shared" si="227"/>
        <v>49</v>
      </c>
      <c r="K577" s="84">
        <v>250</v>
      </c>
      <c r="L577" s="81">
        <f t="shared" si="226"/>
        <v>316.90002750000002</v>
      </c>
      <c r="M577" s="82">
        <f t="shared" si="236"/>
        <v>0</v>
      </c>
      <c r="N577" s="82">
        <f t="shared" si="237"/>
        <v>0</v>
      </c>
      <c r="O577" s="82">
        <f>N577+'BM 009'!O577</f>
        <v>0</v>
      </c>
      <c r="P577" s="80">
        <f t="shared" si="238"/>
        <v>12250</v>
      </c>
      <c r="Q577" s="82">
        <f t="shared" si="239"/>
        <v>15528.1</v>
      </c>
      <c r="R577" s="82">
        <f t="shared" si="240"/>
        <v>15528.1</v>
      </c>
    </row>
    <row r="578" spans="1:23" s="34" customFormat="1" ht="23.4">
      <c r="B578" s="87" t="s">
        <v>1131</v>
      </c>
      <c r="C578" s="88" t="s">
        <v>1132</v>
      </c>
      <c r="D578" s="89" t="s">
        <v>63</v>
      </c>
      <c r="E578" s="92">
        <v>102</v>
      </c>
      <c r="F578" s="91"/>
      <c r="G578" s="91"/>
      <c r="H578" s="91"/>
      <c r="I578" s="91">
        <f>SUM(G578:H578)+'BM 009'!I578</f>
        <v>0</v>
      </c>
      <c r="J578" s="91">
        <f t="shared" si="227"/>
        <v>102</v>
      </c>
      <c r="K578" s="84">
        <v>200</v>
      </c>
      <c r="L578" s="81">
        <f t="shared" si="226"/>
        <v>253.52002200000001</v>
      </c>
      <c r="M578" s="82">
        <f t="shared" si="236"/>
        <v>0</v>
      </c>
      <c r="N578" s="82">
        <f t="shared" si="237"/>
        <v>0</v>
      </c>
      <c r="O578" s="82">
        <f>N578+'BM 009'!O578</f>
        <v>0</v>
      </c>
      <c r="P578" s="80">
        <f t="shared" si="238"/>
        <v>20400</v>
      </c>
      <c r="Q578" s="82">
        <f t="shared" si="239"/>
        <v>25859.040000000001</v>
      </c>
      <c r="R578" s="82">
        <f t="shared" si="240"/>
        <v>25859.040000000001</v>
      </c>
    </row>
    <row r="579" spans="1:23" s="34" customFormat="1" ht="13.2">
      <c r="B579" s="87" t="s">
        <v>1133</v>
      </c>
      <c r="C579" s="88" t="s">
        <v>1134</v>
      </c>
      <c r="D579" s="89" t="s">
        <v>63</v>
      </c>
      <c r="E579" s="92">
        <v>135</v>
      </c>
      <c r="F579" s="91"/>
      <c r="G579" s="91"/>
      <c r="H579" s="91"/>
      <c r="I579" s="91">
        <f>SUM(G579:H579)+'BM 009'!I579</f>
        <v>0</v>
      </c>
      <c r="J579" s="91">
        <f t="shared" si="227"/>
        <v>135</v>
      </c>
      <c r="K579" s="84">
        <v>85</v>
      </c>
      <c r="L579" s="81">
        <f t="shared" si="226"/>
        <v>107.74600935000001</v>
      </c>
      <c r="M579" s="82">
        <f t="shared" si="236"/>
        <v>0</v>
      </c>
      <c r="N579" s="82">
        <f t="shared" si="237"/>
        <v>0</v>
      </c>
      <c r="O579" s="82">
        <f>N579+'BM 009'!O579</f>
        <v>0</v>
      </c>
      <c r="P579" s="80">
        <f t="shared" si="238"/>
        <v>11475</v>
      </c>
      <c r="Q579" s="82">
        <f t="shared" si="239"/>
        <v>14545.71</v>
      </c>
      <c r="R579" s="82">
        <f t="shared" si="240"/>
        <v>14545.71</v>
      </c>
    </row>
    <row r="580" spans="1:23" s="34" customFormat="1" ht="34.799999999999997">
      <c r="B580" s="87" t="s">
        <v>1135</v>
      </c>
      <c r="C580" s="88" t="s">
        <v>1136</v>
      </c>
      <c r="D580" s="89" t="s">
        <v>79</v>
      </c>
      <c r="E580" s="92">
        <v>43.42</v>
      </c>
      <c r="F580" s="91"/>
      <c r="G580" s="91"/>
      <c r="H580" s="91"/>
      <c r="I580" s="91">
        <f>SUM(G580:H580)+'BM 009'!I580</f>
        <v>0</v>
      </c>
      <c r="J580" s="91">
        <f t="shared" si="227"/>
        <v>43.42</v>
      </c>
      <c r="K580" s="84">
        <v>2590</v>
      </c>
      <c r="L580" s="81">
        <f t="shared" si="226"/>
        <v>3283.0842849000001</v>
      </c>
      <c r="M580" s="82">
        <f t="shared" si="236"/>
        <v>0</v>
      </c>
      <c r="N580" s="82">
        <f t="shared" si="237"/>
        <v>0</v>
      </c>
      <c r="O580" s="82">
        <f>N580+'BM 009'!O580</f>
        <v>0</v>
      </c>
      <c r="P580" s="80">
        <f t="shared" si="238"/>
        <v>112457.8</v>
      </c>
      <c r="Q580" s="82">
        <f t="shared" si="239"/>
        <v>142551.51</v>
      </c>
      <c r="R580" s="82">
        <f t="shared" si="240"/>
        <v>142551.51</v>
      </c>
    </row>
    <row r="581" spans="1:23" s="34" customFormat="1" ht="34.799999999999997">
      <c r="B581" s="87" t="s">
        <v>1137</v>
      </c>
      <c r="C581" s="88" t="s">
        <v>1138</v>
      </c>
      <c r="D581" s="89" t="s">
        <v>79</v>
      </c>
      <c r="E581" s="92">
        <v>8.93</v>
      </c>
      <c r="F581" s="91"/>
      <c r="G581" s="91"/>
      <c r="H581" s="91"/>
      <c r="I581" s="91">
        <f>SUM(G581:H581)+'BM 009'!I581</f>
        <v>0</v>
      </c>
      <c r="J581" s="91">
        <f t="shared" si="227"/>
        <v>8.93</v>
      </c>
      <c r="K581" s="84">
        <v>950</v>
      </c>
      <c r="L581" s="81">
        <f t="shared" si="226"/>
        <v>1204.2201045000002</v>
      </c>
      <c r="M581" s="82">
        <f t="shared" si="236"/>
        <v>0</v>
      </c>
      <c r="N581" s="82">
        <f t="shared" si="237"/>
        <v>0</v>
      </c>
      <c r="O581" s="82">
        <f>N581+'BM 009'!O581</f>
        <v>0</v>
      </c>
      <c r="P581" s="80">
        <f t="shared" si="238"/>
        <v>8483.5</v>
      </c>
      <c r="Q581" s="82">
        <f t="shared" si="239"/>
        <v>10753.68</v>
      </c>
      <c r="R581" s="82">
        <f t="shared" si="240"/>
        <v>10753.68</v>
      </c>
    </row>
    <row r="582" spans="1:23" s="34" customFormat="1" ht="23.4">
      <c r="B582" s="87" t="s">
        <v>1139</v>
      </c>
      <c r="C582" s="88" t="s">
        <v>1140</v>
      </c>
      <c r="D582" s="89" t="s">
        <v>63</v>
      </c>
      <c r="E582" s="92">
        <v>1</v>
      </c>
      <c r="F582" s="91"/>
      <c r="G582" s="91"/>
      <c r="H582" s="91"/>
      <c r="I582" s="91">
        <f>SUM(G582:H582)+'BM 009'!I582</f>
        <v>0</v>
      </c>
      <c r="J582" s="91">
        <f t="shared" si="227"/>
        <v>1</v>
      </c>
      <c r="K582" s="84">
        <v>210</v>
      </c>
      <c r="L582" s="81">
        <f t="shared" si="226"/>
        <v>266.19602309999999</v>
      </c>
      <c r="M582" s="82">
        <f t="shared" si="236"/>
        <v>0</v>
      </c>
      <c r="N582" s="82">
        <f t="shared" si="237"/>
        <v>0</v>
      </c>
      <c r="O582" s="82">
        <f>N582+'BM 009'!O582</f>
        <v>0</v>
      </c>
      <c r="P582" s="80">
        <f t="shared" si="238"/>
        <v>210</v>
      </c>
      <c r="Q582" s="82">
        <f t="shared" si="239"/>
        <v>266.19</v>
      </c>
      <c r="R582" s="82">
        <f t="shared" si="240"/>
        <v>266.19</v>
      </c>
    </row>
    <row r="583" spans="1:23" ht="35.4">
      <c r="A583" s="34"/>
      <c r="B583" s="87" t="s">
        <v>1141</v>
      </c>
      <c r="C583" s="88" t="s">
        <v>1142</v>
      </c>
      <c r="D583" s="89" t="s">
        <v>63</v>
      </c>
      <c r="E583" s="92">
        <v>22</v>
      </c>
      <c r="F583" s="91"/>
      <c r="G583" s="91"/>
      <c r="H583" s="91"/>
      <c r="I583" s="91">
        <f>SUM(G583:H583)+'BM 009'!I583</f>
        <v>0</v>
      </c>
      <c r="J583" s="91">
        <f t="shared" si="227"/>
        <v>22</v>
      </c>
      <c r="K583" s="84">
        <v>490</v>
      </c>
      <c r="L583" s="81">
        <f t="shared" si="226"/>
        <v>621.12405390000004</v>
      </c>
      <c r="M583" s="82">
        <f t="shared" si="236"/>
        <v>0</v>
      </c>
      <c r="N583" s="82">
        <f t="shared" si="237"/>
        <v>0</v>
      </c>
      <c r="O583" s="82">
        <f>N583+'BM 009'!O583</f>
        <v>0</v>
      </c>
      <c r="P583" s="80">
        <f t="shared" si="238"/>
        <v>10780</v>
      </c>
      <c r="Q583" s="82">
        <f t="shared" si="239"/>
        <v>13664.72</v>
      </c>
      <c r="R583" s="82">
        <f t="shared" si="240"/>
        <v>13664.72</v>
      </c>
      <c r="S583" s="34"/>
      <c r="T583" s="34"/>
      <c r="U583" s="34"/>
      <c r="V583" s="34"/>
      <c r="W583" s="34"/>
    </row>
    <row r="584" spans="1:23" ht="58.2">
      <c r="A584" s="34"/>
      <c r="B584" s="87" t="s">
        <v>1143</v>
      </c>
      <c r="C584" s="88" t="s">
        <v>1144</v>
      </c>
      <c r="D584" s="89" t="s">
        <v>63</v>
      </c>
      <c r="E584" s="92">
        <v>3</v>
      </c>
      <c r="F584" s="91"/>
      <c r="G584" s="91"/>
      <c r="H584" s="91"/>
      <c r="I584" s="91">
        <f>SUM(G584:H584)+'BM 009'!I584</f>
        <v>0</v>
      </c>
      <c r="J584" s="91">
        <f t="shared" si="227"/>
        <v>3</v>
      </c>
      <c r="K584" s="84">
        <v>2480</v>
      </c>
      <c r="L584" s="81">
        <f t="shared" si="226"/>
        <v>3143.6482728000001</v>
      </c>
      <c r="M584" s="82">
        <f t="shared" si="236"/>
        <v>0</v>
      </c>
      <c r="N584" s="82">
        <f t="shared" si="237"/>
        <v>0</v>
      </c>
      <c r="O584" s="82">
        <f>N584+'BM 009'!O584</f>
        <v>0</v>
      </c>
      <c r="P584" s="80">
        <f t="shared" si="238"/>
        <v>7440</v>
      </c>
      <c r="Q584" s="82">
        <f t="shared" si="239"/>
        <v>9430.94</v>
      </c>
      <c r="R584" s="82">
        <f t="shared" si="240"/>
        <v>9430.94</v>
      </c>
      <c r="S584" s="34"/>
      <c r="T584" s="34"/>
      <c r="U584" s="34"/>
      <c r="V584" s="34"/>
      <c r="W584" s="34"/>
    </row>
    <row r="585" spans="1:23" ht="24">
      <c r="A585" s="34"/>
      <c r="B585" s="87" t="s">
        <v>1145</v>
      </c>
      <c r="C585" s="88" t="s">
        <v>1146</v>
      </c>
      <c r="D585" s="89" t="s">
        <v>63</v>
      </c>
      <c r="E585" s="92">
        <v>7</v>
      </c>
      <c r="F585" s="91"/>
      <c r="G585" s="91"/>
      <c r="H585" s="91"/>
      <c r="I585" s="91">
        <f>SUM(G585:H585)+'BM 009'!I585</f>
        <v>0</v>
      </c>
      <c r="J585" s="91">
        <f t="shared" si="227"/>
        <v>7</v>
      </c>
      <c r="K585" s="84">
        <v>950</v>
      </c>
      <c r="L585" s="81">
        <f t="shared" si="226"/>
        <v>1204.2201045000002</v>
      </c>
      <c r="M585" s="82">
        <f t="shared" si="236"/>
        <v>0</v>
      </c>
      <c r="N585" s="82">
        <f t="shared" si="237"/>
        <v>0</v>
      </c>
      <c r="O585" s="82">
        <f>N585+'BM 009'!O585</f>
        <v>0</v>
      </c>
      <c r="P585" s="80">
        <f t="shared" si="238"/>
        <v>6650</v>
      </c>
      <c r="Q585" s="82">
        <f t="shared" si="239"/>
        <v>8429.5400000000009</v>
      </c>
      <c r="R585" s="82">
        <f t="shared" si="240"/>
        <v>8429.5400000000009</v>
      </c>
      <c r="S585" s="34"/>
      <c r="T585" s="34"/>
      <c r="U585" s="34"/>
      <c r="V585" s="34"/>
      <c r="W585" s="34"/>
    </row>
    <row r="586" spans="1:23" ht="35.4">
      <c r="A586" s="34"/>
      <c r="B586" s="87" t="s">
        <v>1147</v>
      </c>
      <c r="C586" s="88" t="s">
        <v>1148</v>
      </c>
      <c r="D586" s="89" t="s">
        <v>63</v>
      </c>
      <c r="E586" s="92">
        <v>43</v>
      </c>
      <c r="F586" s="91"/>
      <c r="G586" s="91"/>
      <c r="H586" s="91"/>
      <c r="I586" s="91">
        <f>SUM(G586:H586)+'BM 009'!I586</f>
        <v>0</v>
      </c>
      <c r="J586" s="91">
        <f t="shared" si="227"/>
        <v>43</v>
      </c>
      <c r="K586" s="84">
        <v>300</v>
      </c>
      <c r="L586" s="81">
        <f t="shared" si="226"/>
        <v>380.280033</v>
      </c>
      <c r="M586" s="82">
        <f t="shared" si="236"/>
        <v>0</v>
      </c>
      <c r="N586" s="82">
        <f t="shared" si="237"/>
        <v>0</v>
      </c>
      <c r="O586" s="82">
        <f>N586+'BM 009'!O586</f>
        <v>0</v>
      </c>
      <c r="P586" s="80">
        <f t="shared" si="238"/>
        <v>12900</v>
      </c>
      <c r="Q586" s="82">
        <f t="shared" si="239"/>
        <v>16352.04</v>
      </c>
      <c r="R586" s="82">
        <f t="shared" si="240"/>
        <v>16352.04</v>
      </c>
      <c r="S586" s="34"/>
      <c r="T586" s="34"/>
      <c r="U586" s="34"/>
      <c r="V586" s="34"/>
      <c r="W586" s="34"/>
    </row>
    <row r="587" spans="1:23" ht="35.4">
      <c r="A587" s="34"/>
      <c r="B587" s="87" t="s">
        <v>1149</v>
      </c>
      <c r="C587" s="88" t="s">
        <v>1150</v>
      </c>
      <c r="D587" s="89" t="s">
        <v>63</v>
      </c>
      <c r="E587" s="92">
        <v>4</v>
      </c>
      <c r="F587" s="91"/>
      <c r="G587" s="91"/>
      <c r="H587" s="91"/>
      <c r="I587" s="91">
        <f>SUM(G587:H587)+'BM 009'!I587</f>
        <v>0</v>
      </c>
      <c r="J587" s="91">
        <f t="shared" si="227"/>
        <v>4</v>
      </c>
      <c r="K587" s="84">
        <v>3852</v>
      </c>
      <c r="L587" s="81">
        <f t="shared" si="226"/>
        <v>4882.7956237200005</v>
      </c>
      <c r="M587" s="82">
        <f t="shared" si="236"/>
        <v>0</v>
      </c>
      <c r="N587" s="82">
        <f t="shared" si="237"/>
        <v>0</v>
      </c>
      <c r="O587" s="82">
        <f>N587+'BM 009'!O587</f>
        <v>0</v>
      </c>
      <c r="P587" s="80">
        <f t="shared" si="238"/>
        <v>15408</v>
      </c>
      <c r="Q587" s="82">
        <f t="shared" si="239"/>
        <v>19531.18</v>
      </c>
      <c r="R587" s="82">
        <f t="shared" si="240"/>
        <v>19531.18</v>
      </c>
      <c r="S587" s="34"/>
      <c r="T587" s="34"/>
      <c r="U587" s="34"/>
      <c r="V587" s="34"/>
      <c r="W587" s="34"/>
    </row>
    <row r="588" spans="1:23">
      <c r="A588" s="34"/>
      <c r="B588" s="60" t="s">
        <v>1151</v>
      </c>
      <c r="C588" s="61" t="s">
        <v>1152</v>
      </c>
      <c r="D588" s="60"/>
      <c r="E588" s="62"/>
      <c r="F588" s="63"/>
      <c r="G588" s="63"/>
      <c r="H588" s="63"/>
      <c r="I588" s="63">
        <f>SUM(G588:H588)+'BM 009'!I588</f>
        <v>0</v>
      </c>
      <c r="J588" s="63">
        <f t="shared" si="227"/>
        <v>0</v>
      </c>
      <c r="K588" s="63"/>
      <c r="L588" s="63">
        <f t="shared" si="226"/>
        <v>0</v>
      </c>
      <c r="M588" s="63">
        <f t="shared" ref="M588:R588" si="241">SUM(M589:M590)</f>
        <v>0</v>
      </c>
      <c r="N588" s="63">
        <f t="shared" si="241"/>
        <v>0</v>
      </c>
      <c r="O588" s="63">
        <f t="shared" si="241"/>
        <v>0</v>
      </c>
      <c r="P588" s="63">
        <f t="shared" si="241"/>
        <v>30555.67</v>
      </c>
      <c r="Q588" s="63">
        <f t="shared" si="241"/>
        <v>38732.36</v>
      </c>
      <c r="R588" s="63">
        <f t="shared" si="241"/>
        <v>38732.36</v>
      </c>
      <c r="S588" s="34"/>
      <c r="T588" s="34"/>
      <c r="U588" s="34"/>
      <c r="V588" s="34"/>
      <c r="W588" s="34"/>
    </row>
    <row r="589" spans="1:23" ht="24">
      <c r="A589" s="34"/>
      <c r="B589" s="75" t="s">
        <v>1153</v>
      </c>
      <c r="C589" s="76" t="s">
        <v>1154</v>
      </c>
      <c r="D589" s="121" t="s">
        <v>63</v>
      </c>
      <c r="E589" s="78">
        <v>1</v>
      </c>
      <c r="F589" s="79"/>
      <c r="G589" s="79"/>
      <c r="H589" s="79"/>
      <c r="I589" s="79">
        <f>SUM(G589:H589)+'BM 009'!I589</f>
        <v>0</v>
      </c>
      <c r="J589" s="79">
        <f t="shared" si="227"/>
        <v>1</v>
      </c>
      <c r="K589" s="84">
        <v>5076.55</v>
      </c>
      <c r="L589" s="81">
        <f t="shared" si="226"/>
        <v>6435.0353384205009</v>
      </c>
      <c r="M589" s="82">
        <f>TRUNC(F589*L589,2)</f>
        <v>0</v>
      </c>
      <c r="N589" s="82">
        <f>TRUNC(G589*L589,2)</f>
        <v>0</v>
      </c>
      <c r="O589" s="82">
        <f>N589+'BM 009'!O589</f>
        <v>0</v>
      </c>
      <c r="P589" s="80">
        <f>E589*K589</f>
        <v>5076.55</v>
      </c>
      <c r="Q589" s="82">
        <f>TRUNC(E589*L589,2)</f>
        <v>6435.03</v>
      </c>
      <c r="R589" s="82">
        <f>Q589-O589</f>
        <v>6435.03</v>
      </c>
      <c r="S589" s="34"/>
      <c r="T589" s="34"/>
      <c r="U589" s="34"/>
      <c r="V589" s="34"/>
      <c r="W589" s="34"/>
    </row>
    <row r="590" spans="1:23" s="122" customFormat="1" ht="13.8">
      <c r="A590" s="34"/>
      <c r="B590" s="75" t="s">
        <v>1155</v>
      </c>
      <c r="C590" s="76" t="s">
        <v>1156</v>
      </c>
      <c r="D590" s="77" t="s">
        <v>79</v>
      </c>
      <c r="E590" s="93">
        <v>6369.78</v>
      </c>
      <c r="F590" s="79"/>
      <c r="G590" s="79"/>
      <c r="H590" s="79"/>
      <c r="I590" s="79">
        <f>SUM(G590:H590)+'BM 009'!I590</f>
        <v>0</v>
      </c>
      <c r="J590" s="79">
        <f t="shared" si="227"/>
        <v>6369.78</v>
      </c>
      <c r="K590" s="123">
        <v>4</v>
      </c>
      <c r="L590" s="81">
        <f t="shared" si="226"/>
        <v>5.0704004400000002</v>
      </c>
      <c r="M590" s="82">
        <f>TRUNC(F590*L590,2)</f>
        <v>0</v>
      </c>
      <c r="N590" s="82">
        <f>TRUNC(G590*L590,2)</f>
        <v>0</v>
      </c>
      <c r="O590" s="82">
        <f>N590+'BM 009'!O590</f>
        <v>0</v>
      </c>
      <c r="P590" s="124">
        <f>E590*K590</f>
        <v>25479.119999999999</v>
      </c>
      <c r="Q590" s="82">
        <f>TRUNC(E590*L590,2)</f>
        <v>32297.33</v>
      </c>
      <c r="R590" s="82">
        <f>Q590-O590</f>
        <v>32297.33</v>
      </c>
      <c r="S590" s="34"/>
      <c r="T590" s="34"/>
      <c r="U590" s="34"/>
      <c r="V590" s="34"/>
      <c r="W590" s="34"/>
    </row>
    <row r="591" spans="1:23" s="122" customFormat="1" ht="31.5" customHeight="1">
      <c r="A591" s="2"/>
      <c r="B591" s="533" t="s">
        <v>1157</v>
      </c>
      <c r="C591" s="533"/>
      <c r="D591" s="533"/>
      <c r="E591" s="533"/>
      <c r="F591" s="533"/>
      <c r="G591" s="533"/>
      <c r="H591" s="533"/>
      <c r="I591" s="533"/>
      <c r="J591" s="533"/>
      <c r="K591" s="533"/>
      <c r="L591" s="533"/>
      <c r="M591" s="131">
        <f>M27+M46+M58+M88+M126+M134+M148+M162+M167+M171+M216+M225+M234+M319+M432+M447+M463+M491</f>
        <v>67883.040000000008</v>
      </c>
      <c r="N591" s="132">
        <f>SUM(N27,N52,N62,N94,N131,N139,N155,N170,N175,N178,N215,N222,N225,N317,N328,N481,N507,N566,N588)</f>
        <v>600435.28999999992</v>
      </c>
      <c r="O591" s="132">
        <f>SUM(O27,O52,O62,O94,O131,O139,O155,O170,O175,O178,O215,O222,O225,O317,O328,O481,O507,O566,O588)</f>
        <v>7375915.9999999991</v>
      </c>
      <c r="P591" s="132">
        <f>SUM(P27,P52,P62,P94,P131,P139,P155,P170,P175,P178,P215,P222,P225,P317,P328,P481,P507,P566,P588)</f>
        <v>20732092.142300002</v>
      </c>
      <c r="Q591" s="132">
        <f>SUM(Q27,Q52,Q62,Q94,Q131,Q139,Q155,Q170,Q175,Q178,Q215,Q222,Q225,Q317,Q328,Q481,Q507,Q566,Q588)</f>
        <v>26279999.999999993</v>
      </c>
      <c r="R591" s="132">
        <f>SUM(R27,R52,R62,R94,R131,R139,R155,R170,R175,R178,R215,R222,R225,R317,R328,R481,R507,R566,R588)</f>
        <v>18904083.999999996</v>
      </c>
      <c r="S591" s="2"/>
      <c r="T591" s="2"/>
      <c r="U591" s="2"/>
      <c r="V591" s="2"/>
      <c r="W591" s="2"/>
    </row>
    <row r="592" spans="1:23" s="122" customFormat="1" ht="31.5" customHeight="1">
      <c r="A592" s="2"/>
      <c r="B592" s="533" t="s">
        <v>1196</v>
      </c>
      <c r="C592" s="533"/>
      <c r="D592" s="533"/>
      <c r="E592" s="533"/>
      <c r="F592" s="533"/>
      <c r="G592" s="533"/>
      <c r="H592" s="533"/>
      <c r="I592" s="533"/>
      <c r="J592" s="533"/>
      <c r="K592" s="533"/>
      <c r="L592" s="533"/>
      <c r="M592" s="131"/>
      <c r="N592" s="133"/>
      <c r="O592" s="131"/>
      <c r="P592" s="132"/>
      <c r="Q592" s="132"/>
      <c r="R592" s="134"/>
      <c r="S592" s="2"/>
      <c r="T592" s="2"/>
      <c r="U592" s="2"/>
      <c r="V592" s="2"/>
      <c r="W592" s="2"/>
    </row>
    <row r="593" spans="1:23" s="122" customFormat="1" ht="31.5" customHeight="1">
      <c r="A593" s="2"/>
      <c r="B593" s="533" t="s">
        <v>1430</v>
      </c>
      <c r="C593" s="533"/>
      <c r="D593" s="533"/>
      <c r="E593" s="533"/>
      <c r="F593" s="533"/>
      <c r="G593" s="533"/>
      <c r="H593" s="533"/>
      <c r="I593" s="533"/>
      <c r="J593" s="533"/>
      <c r="K593" s="533"/>
      <c r="L593" s="533"/>
      <c r="M593" s="131"/>
      <c r="N593" s="133">
        <v>40000</v>
      </c>
      <c r="O593" s="131"/>
      <c r="P593" s="132"/>
      <c r="Q593" s="132"/>
      <c r="R593" s="134"/>
      <c r="S593" s="2"/>
      <c r="T593" s="2"/>
      <c r="U593" s="2"/>
      <c r="V593" s="2"/>
      <c r="W593" s="2"/>
    </row>
    <row r="594" spans="1:23" s="122" customFormat="1" ht="31.5" customHeight="1">
      <c r="A594" s="2"/>
      <c r="B594" s="533" t="s">
        <v>1320</v>
      </c>
      <c r="C594" s="533"/>
      <c r="D594" s="533"/>
      <c r="E594" s="533"/>
      <c r="F594" s="533"/>
      <c r="G594" s="533"/>
      <c r="H594" s="533"/>
      <c r="I594" s="533"/>
      <c r="J594" s="533"/>
      <c r="K594" s="533"/>
      <c r="L594" s="533"/>
      <c r="M594" s="131"/>
      <c r="N594" s="133">
        <v>75342</v>
      </c>
      <c r="O594" s="131"/>
      <c r="P594" s="132"/>
      <c r="Q594" s="132"/>
      <c r="R594" s="134"/>
      <c r="S594" s="2"/>
      <c r="T594" s="2"/>
      <c r="U594" s="2"/>
      <c r="V594" s="2"/>
      <c r="W594" s="2"/>
    </row>
    <row r="595" spans="1:23" s="122" customFormat="1" ht="31.5" customHeight="1">
      <c r="A595" s="2"/>
      <c r="B595" s="533" t="s">
        <v>1591</v>
      </c>
      <c r="C595" s="533"/>
      <c r="D595" s="533"/>
      <c r="E595" s="533"/>
      <c r="F595" s="533"/>
      <c r="G595" s="533"/>
      <c r="H595" s="533"/>
      <c r="I595" s="533"/>
      <c r="J595" s="533"/>
      <c r="K595" s="533"/>
      <c r="L595" s="533"/>
      <c r="M595" s="131"/>
      <c r="N595" s="133">
        <v>52604.61</v>
      </c>
      <c r="O595" s="131"/>
      <c r="P595" s="132"/>
      <c r="Q595" s="132"/>
      <c r="R595" s="134"/>
      <c r="S595" s="2"/>
      <c r="T595" s="2"/>
      <c r="U595" s="2"/>
      <c r="V595" s="2"/>
      <c r="W595" s="2"/>
    </row>
    <row r="596" spans="1:23" s="122" customFormat="1" ht="31.5" hidden="1" customHeight="1">
      <c r="A596" s="2"/>
      <c r="B596" s="272"/>
      <c r="C596" s="273"/>
      <c r="D596" s="273"/>
      <c r="E596" s="273"/>
      <c r="F596" s="273"/>
      <c r="G596" s="273"/>
      <c r="H596" s="273"/>
      <c r="I596" s="273"/>
      <c r="J596" s="273"/>
      <c r="K596" s="273"/>
      <c r="L596" s="274"/>
      <c r="M596" s="131"/>
      <c r="N596" s="133"/>
      <c r="O596" s="131"/>
      <c r="P596" s="132"/>
      <c r="Q596" s="132"/>
      <c r="R596" s="134"/>
      <c r="S596" s="2"/>
      <c r="T596" s="2"/>
      <c r="U596" s="2"/>
      <c r="V596" s="2"/>
      <c r="W596" s="2"/>
    </row>
    <row r="597" spans="1:23" s="122" customFormat="1" ht="31.5" customHeight="1">
      <c r="A597" s="2"/>
      <c r="B597" s="533" t="s">
        <v>1161</v>
      </c>
      <c r="C597" s="533"/>
      <c r="D597" s="533"/>
      <c r="E597" s="533"/>
      <c r="F597" s="533"/>
      <c r="G597" s="533"/>
      <c r="H597" s="533"/>
      <c r="I597" s="533"/>
      <c r="J597" s="533"/>
      <c r="K597" s="533"/>
      <c r="L597" s="533"/>
      <c r="M597" s="131">
        <f>M28+M47+M59+M89+M127+M135+M149+M163+M168+M172+M217+M226+M235+M320+M433+M448+M464+M492</f>
        <v>55425.81</v>
      </c>
      <c r="N597" s="131">
        <f>N591-SUM(N592:N596)</f>
        <v>432488.67999999993</v>
      </c>
      <c r="O597" s="131" t="s">
        <v>1162</v>
      </c>
      <c r="P597" s="132">
        <f>P28+P47+P59+P89+P127+P135+P149+P163+P168+P172+P217+P226+P235+P320+P433+P448+P464+P492</f>
        <v>1855118.2200000002</v>
      </c>
      <c r="Q597" s="132" t="s">
        <v>1162</v>
      </c>
      <c r="R597" s="134" t="s">
        <v>1162</v>
      </c>
      <c r="S597" s="2"/>
      <c r="T597" s="2"/>
      <c r="U597" s="2"/>
      <c r="V597" s="2"/>
      <c r="W597" s="2"/>
    </row>
    <row r="598" spans="1:23" s="122" customFormat="1" ht="8.25" customHeight="1">
      <c r="D598" s="135"/>
      <c r="E598" s="136"/>
      <c r="F598" s="136"/>
      <c r="G598" s="136"/>
      <c r="H598" s="136"/>
      <c r="I598" s="136"/>
      <c r="J598" s="137"/>
      <c r="K598" s="137"/>
      <c r="L598" s="137"/>
      <c r="M598" s="137"/>
      <c r="N598" s="137"/>
      <c r="O598" s="138"/>
      <c r="P598" s="139"/>
      <c r="Q598" s="139"/>
      <c r="R598" s="137"/>
    </row>
    <row r="599" spans="1:23" s="122" customFormat="1" ht="15.75" customHeight="1">
      <c r="B599" s="140" t="s">
        <v>1163</v>
      </c>
      <c r="C599" s="141" t="s">
        <v>1164</v>
      </c>
      <c r="D599" s="534" t="s">
        <v>1165</v>
      </c>
      <c r="E599" s="534"/>
      <c r="F599" s="142" t="s">
        <v>1163</v>
      </c>
      <c r="G599" s="143" t="s">
        <v>1164</v>
      </c>
      <c r="H599" s="144"/>
      <c r="I599" s="534" t="s">
        <v>1165</v>
      </c>
      <c r="J599" s="534"/>
      <c r="K599" s="145"/>
      <c r="L599" s="142" t="s">
        <v>1166</v>
      </c>
      <c r="M599" s="142"/>
      <c r="N599" s="146"/>
      <c r="O599" s="535" t="s">
        <v>1167</v>
      </c>
      <c r="P599" s="535"/>
      <c r="Q599" s="535"/>
      <c r="R599" s="137"/>
    </row>
    <row r="600" spans="1:23" s="122" customFormat="1" ht="19.5" customHeight="1">
      <c r="B600" s="147" t="s">
        <v>1168</v>
      </c>
      <c r="C600" s="148" t="s">
        <v>1169</v>
      </c>
      <c r="D600" s="536">
        <f>TRUNC(35%*11%*N597,2)</f>
        <v>16650.810000000001</v>
      </c>
      <c r="E600" s="536"/>
      <c r="F600" s="149" t="s">
        <v>1170</v>
      </c>
      <c r="G600" s="150"/>
      <c r="H600" s="151"/>
      <c r="I600" s="537"/>
      <c r="J600" s="537"/>
      <c r="K600" s="152"/>
      <c r="L600" s="149" t="s">
        <v>1171</v>
      </c>
      <c r="M600" s="150" t="e">
        <f>#REF!</f>
        <v>#REF!</v>
      </c>
      <c r="N600" s="150"/>
      <c r="O600" s="535"/>
      <c r="P600" s="535"/>
      <c r="Q600" s="535"/>
      <c r="R600" s="137"/>
    </row>
    <row r="601" spans="1:23" s="122" customFormat="1" ht="19.5" customHeight="1">
      <c r="B601" s="147" t="s">
        <v>1172</v>
      </c>
      <c r="C601" s="148" t="s">
        <v>1198</v>
      </c>
      <c r="D601" s="536">
        <f>E609</f>
        <v>15137.1</v>
      </c>
      <c r="E601" s="536"/>
      <c r="F601" s="149" t="s">
        <v>1174</v>
      </c>
      <c r="G601" s="150"/>
      <c r="H601" s="151"/>
      <c r="I601" s="537"/>
      <c r="J601" s="537"/>
      <c r="K601" s="152"/>
      <c r="L601" s="149" t="s">
        <v>1175</v>
      </c>
      <c r="M601" s="150" t="e">
        <f>#REF!</f>
        <v>#REF!</v>
      </c>
      <c r="N601" s="150"/>
      <c r="O601" s="538">
        <f>N597-D600-D601-D602-I600-I601-I602-N600-N601-N602</f>
        <v>400700.76999999996</v>
      </c>
      <c r="P601" s="538"/>
      <c r="Q601" s="538"/>
      <c r="R601" s="137"/>
    </row>
    <row r="602" spans="1:23" ht="19.5" customHeight="1">
      <c r="A602" s="122"/>
      <c r="B602" s="153" t="s">
        <v>1176</v>
      </c>
      <c r="C602" s="154">
        <v>0</v>
      </c>
      <c r="D602" s="539"/>
      <c r="E602" s="539"/>
      <c r="F602" s="155" t="s">
        <v>1177</v>
      </c>
      <c r="G602" s="156"/>
      <c r="H602" s="157"/>
      <c r="I602" s="540"/>
      <c r="J602" s="540"/>
      <c r="K602" s="159"/>
      <c r="L602" s="155" t="s">
        <v>1178</v>
      </c>
      <c r="M602" s="158"/>
      <c r="N602" s="158"/>
      <c r="O602" s="538"/>
      <c r="P602" s="538"/>
      <c r="Q602" s="538"/>
      <c r="R602" s="137"/>
      <c r="S602" s="122"/>
      <c r="T602" s="122"/>
      <c r="U602" s="122"/>
      <c r="V602" s="122"/>
      <c r="W602" s="122"/>
    </row>
    <row r="603" spans="1:23">
      <c r="A603" s="122"/>
      <c r="B603" s="122"/>
      <c r="C603" s="122"/>
      <c r="D603" s="135"/>
      <c r="E603" s="136"/>
      <c r="F603" s="136"/>
      <c r="G603" s="136"/>
      <c r="H603" s="136"/>
      <c r="I603" s="136"/>
      <c r="J603" s="137"/>
      <c r="K603" s="137"/>
      <c r="L603" s="137"/>
      <c r="M603" s="137"/>
      <c r="N603" s="137"/>
      <c r="O603" s="137"/>
      <c r="P603" s="139"/>
      <c r="Q603" s="139"/>
      <c r="R603" s="137"/>
      <c r="S603" s="122"/>
      <c r="T603" s="122"/>
      <c r="U603" s="122"/>
      <c r="V603" s="122"/>
      <c r="W603" s="122"/>
    </row>
    <row r="604" spans="1:23">
      <c r="A604" s="122"/>
      <c r="B604" s="122"/>
      <c r="C604" s="122"/>
      <c r="D604" s="135"/>
      <c r="E604" s="136"/>
      <c r="F604" s="136"/>
      <c r="G604" s="136"/>
      <c r="H604" s="136"/>
      <c r="I604" s="136"/>
      <c r="J604" s="137"/>
      <c r="K604" s="137"/>
      <c r="L604" s="137"/>
      <c r="M604" s="137"/>
      <c r="N604" s="137"/>
      <c r="O604" s="137"/>
      <c r="P604" s="139"/>
      <c r="Q604" s="139"/>
      <c r="R604" s="137"/>
      <c r="S604" s="122"/>
      <c r="T604" s="122"/>
      <c r="U604" s="122"/>
      <c r="V604" s="122"/>
      <c r="W604" s="122"/>
    </row>
    <row r="605" spans="1:23" ht="27.75" customHeight="1">
      <c r="A605" s="122"/>
      <c r="B605" s="122"/>
      <c r="C605" s="541" t="s">
        <v>1179</v>
      </c>
      <c r="D605" s="541"/>
      <c r="E605" s="541"/>
      <c r="F605" s="136"/>
      <c r="G605" s="136"/>
      <c r="H605" s="136"/>
      <c r="I605" s="136"/>
      <c r="J605" s="137"/>
      <c r="K605" s="137"/>
      <c r="L605" s="137"/>
      <c r="M605" s="137"/>
      <c r="N605" s="137"/>
      <c r="O605" s="137"/>
      <c r="P605" s="139"/>
      <c r="Q605" s="139"/>
      <c r="R605" s="137"/>
      <c r="S605" s="122"/>
      <c r="T605" s="122"/>
      <c r="U605" s="122"/>
      <c r="V605" s="122"/>
      <c r="W605" s="122"/>
    </row>
    <row r="606" spans="1:23" ht="24.75" customHeight="1">
      <c r="A606" s="122"/>
      <c r="B606" s="122"/>
      <c r="C606" s="542" t="s">
        <v>1180</v>
      </c>
      <c r="D606" s="542"/>
      <c r="E606" s="160">
        <f>N597</f>
        <v>432488.67999999993</v>
      </c>
      <c r="F606" s="136"/>
      <c r="G606" s="136"/>
      <c r="H606" s="136"/>
      <c r="I606" s="136"/>
      <c r="J606" s="137"/>
      <c r="K606" s="137"/>
      <c r="L606" s="137"/>
      <c r="M606" s="137"/>
      <c r="N606" s="137"/>
      <c r="O606" s="137"/>
      <c r="P606" s="139"/>
      <c r="Q606" s="139"/>
      <c r="R606" s="137"/>
      <c r="S606" s="122"/>
      <c r="T606" s="122"/>
      <c r="U606" s="122"/>
      <c r="V606" s="122"/>
      <c r="W606" s="122"/>
    </row>
    <row r="607" spans="1:23" ht="24.75" customHeight="1">
      <c r="A607" s="122"/>
      <c r="B607" s="122"/>
      <c r="C607" s="543" t="s">
        <v>1183</v>
      </c>
      <c r="D607" s="543"/>
      <c r="E607" s="162">
        <f>0.7*E606</f>
        <v>302742.07599999994</v>
      </c>
      <c r="F607" s="136"/>
      <c r="G607" s="136"/>
      <c r="H607" s="136"/>
      <c r="I607" s="136"/>
      <c r="J607" s="137"/>
      <c r="K607" s="137"/>
      <c r="L607" s="137"/>
      <c r="M607" s="137"/>
      <c r="N607" s="137"/>
      <c r="O607" s="137"/>
      <c r="P607" s="139"/>
      <c r="Q607" s="139"/>
      <c r="R607" s="137"/>
      <c r="S607" s="122"/>
      <c r="T607" s="122"/>
      <c r="U607" s="122"/>
      <c r="V607" s="122"/>
      <c r="W607" s="122"/>
    </row>
    <row r="608" spans="1:23" ht="24.75" customHeight="1">
      <c r="A608" s="122"/>
      <c r="B608" s="122"/>
      <c r="C608" s="543" t="s">
        <v>1184</v>
      </c>
      <c r="D608" s="543"/>
      <c r="E608" s="163">
        <f>E607/E606</f>
        <v>0.7</v>
      </c>
      <c r="F608" s="136"/>
      <c r="G608" s="136"/>
      <c r="H608" s="136"/>
      <c r="I608" s="136"/>
      <c r="J608" s="137"/>
      <c r="K608" s="137"/>
      <c r="L608" s="137"/>
      <c r="M608" s="137"/>
      <c r="N608" s="137"/>
      <c r="O608" s="137"/>
      <c r="P608" s="139"/>
      <c r="Q608" s="139"/>
      <c r="R608" s="137"/>
      <c r="S608" s="122"/>
      <c r="T608" s="122"/>
      <c r="U608" s="122"/>
      <c r="V608" s="122"/>
      <c r="W608" s="122"/>
    </row>
    <row r="609" spans="1:23" ht="24.75" customHeight="1">
      <c r="A609" s="122"/>
      <c r="B609" s="122"/>
      <c r="C609" s="545" t="s">
        <v>1185</v>
      </c>
      <c r="D609" s="545"/>
      <c r="E609" s="164">
        <f>TRUNC(E607*5%,2)</f>
        <v>15137.1</v>
      </c>
      <c r="F609" s="136"/>
      <c r="G609" s="136"/>
      <c r="H609" s="136"/>
      <c r="I609" s="136"/>
      <c r="J609" s="137"/>
      <c r="K609" s="137"/>
      <c r="L609" s="137"/>
      <c r="M609" s="137"/>
      <c r="N609" s="137"/>
      <c r="O609" s="137"/>
      <c r="P609" s="139"/>
      <c r="Q609" s="139"/>
      <c r="R609" s="137"/>
      <c r="S609" s="122"/>
      <c r="T609" s="122"/>
      <c r="U609" s="122"/>
      <c r="V609" s="122"/>
      <c r="W609" s="122"/>
    </row>
    <row r="611" spans="1:23" ht="19.5" customHeight="1">
      <c r="C611" s="546" t="s">
        <v>1186</v>
      </c>
      <c r="D611" s="546"/>
      <c r="E611" s="546"/>
      <c r="F611" s="546"/>
      <c r="G611" s="546"/>
      <c r="J611" s="4"/>
      <c r="N611" s="546" t="s">
        <v>1187</v>
      </c>
      <c r="O611" s="546"/>
      <c r="P611" s="546"/>
      <c r="Q611" s="546"/>
      <c r="R611" s="546"/>
      <c r="S611" s="5"/>
    </row>
    <row r="612" spans="1:23" ht="19.5" customHeight="1">
      <c r="C612" s="548" t="s">
        <v>1188</v>
      </c>
      <c r="D612" s="548"/>
      <c r="E612" s="168">
        <v>45390</v>
      </c>
      <c r="F612" s="166" t="s">
        <v>1189</v>
      </c>
      <c r="G612" s="167">
        <v>157132.10999999999</v>
      </c>
      <c r="J612" s="4"/>
      <c r="K612" s="4"/>
      <c r="N612" s="548" t="s">
        <v>1190</v>
      </c>
      <c r="O612" s="548"/>
      <c r="P612" s="168">
        <v>44973</v>
      </c>
      <c r="Q612" s="169" t="s">
        <v>1162</v>
      </c>
      <c r="R612" s="225"/>
      <c r="S612" s="6"/>
      <c r="T612" s="5"/>
    </row>
    <row r="613" spans="1:23" ht="19.5" customHeight="1">
      <c r="C613" s="549" t="s">
        <v>1191</v>
      </c>
      <c r="D613" s="549"/>
      <c r="E613" s="173">
        <v>45390</v>
      </c>
      <c r="F613" s="171" t="s">
        <v>1189</v>
      </c>
      <c r="G613" s="172">
        <v>12663.81</v>
      </c>
      <c r="J613" s="4"/>
      <c r="K613" s="4"/>
      <c r="N613" s="549" t="s">
        <v>1199</v>
      </c>
      <c r="O613" s="549"/>
      <c r="P613" s="173">
        <v>44973</v>
      </c>
      <c r="Q613" s="171" t="s">
        <v>1162</v>
      </c>
      <c r="R613" s="172">
        <v>354202.96</v>
      </c>
      <c r="S613" s="6"/>
      <c r="T613" s="5"/>
    </row>
    <row r="614" spans="1:23" ht="19.5" customHeight="1">
      <c r="C614" s="549" t="s">
        <v>1200</v>
      </c>
      <c r="D614" s="549"/>
      <c r="E614" s="173">
        <v>45421</v>
      </c>
      <c r="F614" s="171" t="s">
        <v>1189</v>
      </c>
      <c r="G614" s="172">
        <v>60499.5</v>
      </c>
      <c r="J614" s="4"/>
      <c r="K614" s="4"/>
      <c r="N614" s="549" t="s">
        <v>1201</v>
      </c>
      <c r="O614" s="549"/>
      <c r="P614" s="173"/>
      <c r="Q614" s="171"/>
      <c r="R614" s="172">
        <v>119528.5</v>
      </c>
      <c r="S614" s="6"/>
      <c r="T614" s="5"/>
    </row>
    <row r="615" spans="1:23" ht="19.5" customHeight="1">
      <c r="C615" s="549" t="s">
        <v>1202</v>
      </c>
      <c r="D615" s="549"/>
      <c r="E615" s="173">
        <v>45446</v>
      </c>
      <c r="F615" s="171" t="s">
        <v>1203</v>
      </c>
      <c r="G615" s="172">
        <v>60640</v>
      </c>
      <c r="J615" s="4"/>
      <c r="K615" s="4"/>
      <c r="N615" s="549" t="s">
        <v>1250</v>
      </c>
      <c r="O615" s="549"/>
      <c r="P615" s="173"/>
      <c r="Q615" s="171"/>
      <c r="R615" s="172">
        <v>155349.44</v>
      </c>
      <c r="S615" s="6"/>
      <c r="T615" s="5"/>
    </row>
    <row r="616" spans="1:23" ht="19.5" customHeight="1">
      <c r="C616" s="549" t="s">
        <v>1204</v>
      </c>
      <c r="D616" s="549"/>
      <c r="E616" s="173">
        <v>45446</v>
      </c>
      <c r="F616" s="171" t="s">
        <v>1203</v>
      </c>
      <c r="G616" s="172">
        <v>15160</v>
      </c>
      <c r="J616" s="4"/>
      <c r="K616" s="4"/>
      <c r="N616" s="549" t="s">
        <v>1431</v>
      </c>
      <c r="O616" s="549"/>
      <c r="P616" s="173"/>
      <c r="Q616" s="171"/>
      <c r="R616" s="172">
        <v>118394.27</v>
      </c>
      <c r="S616" s="6"/>
      <c r="T616" s="5"/>
    </row>
    <row r="617" spans="1:23" ht="19.5" customHeight="1">
      <c r="C617" s="549" t="s">
        <v>1205</v>
      </c>
      <c r="D617" s="549"/>
      <c r="E617" s="173">
        <v>45447</v>
      </c>
      <c r="F617" s="171" t="s">
        <v>1203</v>
      </c>
      <c r="G617" s="172">
        <v>193505</v>
      </c>
      <c r="J617" s="4"/>
      <c r="K617" s="4"/>
      <c r="N617" s="549" t="s">
        <v>1435</v>
      </c>
      <c r="O617" s="549"/>
      <c r="P617" s="173"/>
      <c r="Q617" s="171"/>
      <c r="R617" s="172">
        <v>146586.07999999999</v>
      </c>
      <c r="S617" s="6"/>
      <c r="T617" s="5"/>
    </row>
    <row r="618" spans="1:23" ht="19.5" customHeight="1">
      <c r="C618" s="549" t="s">
        <v>1206</v>
      </c>
      <c r="D618" s="549"/>
      <c r="E618" s="173">
        <v>45457</v>
      </c>
      <c r="F618" s="171" t="s">
        <v>1189</v>
      </c>
      <c r="G618" s="172">
        <v>101107.04</v>
      </c>
      <c r="J618" s="4"/>
      <c r="K618" s="4"/>
      <c r="N618" s="549" t="s">
        <v>1579</v>
      </c>
      <c r="O618" s="549"/>
      <c r="P618" s="173"/>
      <c r="Q618" s="171"/>
      <c r="R618" s="172">
        <v>136462.16</v>
      </c>
      <c r="S618" s="6"/>
      <c r="T618" s="5"/>
    </row>
    <row r="619" spans="1:23" ht="19.5" customHeight="1">
      <c r="C619" s="549" t="s">
        <v>1251</v>
      </c>
      <c r="D619" s="549"/>
      <c r="E619" s="173">
        <v>45462</v>
      </c>
      <c r="F619" s="171" t="s">
        <v>1203</v>
      </c>
      <c r="G619" s="172">
        <v>37190</v>
      </c>
      <c r="J619" s="4"/>
      <c r="K619" s="4"/>
      <c r="N619" s="549" t="s">
        <v>1592</v>
      </c>
      <c r="O619" s="549"/>
      <c r="P619" s="173"/>
      <c r="Q619" s="171"/>
      <c r="R619" s="172">
        <v>263138.58</v>
      </c>
      <c r="S619" s="6"/>
      <c r="T619" s="5"/>
    </row>
    <row r="620" spans="1:23" ht="19.5" customHeight="1">
      <c r="C620" s="549" t="s">
        <v>1252</v>
      </c>
      <c r="D620" s="549"/>
      <c r="E620" s="173">
        <v>45463</v>
      </c>
      <c r="F620" s="171" t="s">
        <v>1189</v>
      </c>
      <c r="G620" s="172">
        <v>21981.17</v>
      </c>
      <c r="J620" s="4"/>
      <c r="K620" s="4"/>
      <c r="N620" s="549" t="s">
        <v>1596</v>
      </c>
      <c r="O620" s="549"/>
      <c r="P620" s="173"/>
      <c r="Q620" s="171"/>
      <c r="R620" s="172">
        <v>117604.61</v>
      </c>
      <c r="S620" s="6"/>
      <c r="T620" s="5"/>
    </row>
    <row r="621" spans="1:23" ht="19.5" customHeight="1">
      <c r="C621" s="549" t="s">
        <v>1253</v>
      </c>
      <c r="D621" s="549"/>
      <c r="E621" s="173">
        <v>45463</v>
      </c>
      <c r="F621" s="171" t="s">
        <v>1203</v>
      </c>
      <c r="G621" s="172">
        <v>65870.5</v>
      </c>
      <c r="J621" s="4"/>
      <c r="K621" s="4"/>
      <c r="N621" s="549" t="s">
        <v>1605</v>
      </c>
      <c r="O621" s="549"/>
      <c r="P621" s="271"/>
      <c r="Q621" s="269"/>
      <c r="R621" s="270">
        <f>SUM(N592:N596)</f>
        <v>167946.61</v>
      </c>
      <c r="S621" s="6"/>
      <c r="T621" s="5"/>
    </row>
    <row r="622" spans="1:23" ht="19.5" customHeight="1">
      <c r="C622" s="549" t="s">
        <v>1254</v>
      </c>
      <c r="D622" s="549"/>
      <c r="E622" s="173">
        <v>45463</v>
      </c>
      <c r="F622" s="171" t="s">
        <v>1203</v>
      </c>
      <c r="G622" s="172">
        <v>16468</v>
      </c>
      <c r="J622" s="4"/>
      <c r="K622" s="4"/>
      <c r="N622" s="549"/>
      <c r="O622" s="549"/>
      <c r="P622" s="271"/>
      <c r="Q622" s="269"/>
      <c r="R622" s="270"/>
      <c r="S622" s="6"/>
      <c r="T622" s="5"/>
    </row>
    <row r="623" spans="1:23" ht="19.5" customHeight="1">
      <c r="C623" s="549" t="s">
        <v>1321</v>
      </c>
      <c r="D623" s="549"/>
      <c r="E623" s="173">
        <v>45502</v>
      </c>
      <c r="F623" s="171" t="s">
        <v>1189</v>
      </c>
      <c r="G623" s="172">
        <v>75035.899999999994</v>
      </c>
      <c r="J623" s="4"/>
      <c r="K623" s="4"/>
      <c r="N623" s="550"/>
      <c r="O623" s="550"/>
      <c r="P623" s="175"/>
      <c r="Q623" s="176"/>
      <c r="R623" s="177"/>
      <c r="S623" s="6"/>
      <c r="T623" s="5"/>
    </row>
    <row r="624" spans="1:23" ht="19.5" customHeight="1">
      <c r="C624" s="549" t="s">
        <v>1322</v>
      </c>
      <c r="D624" s="549"/>
      <c r="E624" s="173">
        <v>45503</v>
      </c>
      <c r="F624" s="171" t="s">
        <v>1189</v>
      </c>
      <c r="G624" s="172">
        <v>3201.96</v>
      </c>
      <c r="J624" s="4"/>
      <c r="K624" s="4"/>
      <c r="N624" s="179"/>
      <c r="O624" s="180"/>
      <c r="P624" s="180"/>
      <c r="Q624" s="180"/>
      <c r="R624" s="181">
        <f>SUM(R612:R623)</f>
        <v>1579213.21</v>
      </c>
      <c r="S624" s="6"/>
      <c r="T624" s="5"/>
    </row>
    <row r="625" spans="3:20" ht="19.5" customHeight="1">
      <c r="C625" s="549" t="s">
        <v>1323</v>
      </c>
      <c r="D625" s="549"/>
      <c r="E625" s="173">
        <v>45506</v>
      </c>
      <c r="F625" s="171" t="s">
        <v>1324</v>
      </c>
      <c r="G625" s="172">
        <v>43780</v>
      </c>
      <c r="J625" s="4"/>
      <c r="K625" s="4"/>
      <c r="S625" s="6"/>
      <c r="T625" s="5"/>
    </row>
    <row r="626" spans="3:20" ht="19.5" customHeight="1">
      <c r="C626" s="549" t="s">
        <v>1325</v>
      </c>
      <c r="D626" s="549"/>
      <c r="E626" s="173">
        <v>45510</v>
      </c>
      <c r="F626" s="171" t="s">
        <v>1189</v>
      </c>
      <c r="G626" s="172">
        <v>13904.88</v>
      </c>
      <c r="J626" s="4"/>
      <c r="K626" s="4"/>
      <c r="R626" s="183"/>
      <c r="S626" s="6"/>
      <c r="T626" s="5"/>
    </row>
    <row r="627" spans="3:20" ht="19.5" customHeight="1">
      <c r="C627" s="549" t="s">
        <v>1326</v>
      </c>
      <c r="D627" s="549"/>
      <c r="E627" s="173">
        <v>45516</v>
      </c>
      <c r="F627" s="171" t="s">
        <v>1189</v>
      </c>
      <c r="G627" s="172">
        <v>171.67</v>
      </c>
      <c r="J627" s="4"/>
      <c r="K627" s="4"/>
      <c r="S627" s="6"/>
      <c r="T627" s="5"/>
    </row>
    <row r="628" spans="3:20" ht="19.5" customHeight="1">
      <c r="C628" s="549" t="s">
        <v>1327</v>
      </c>
      <c r="D628" s="549"/>
      <c r="E628" s="173">
        <v>45516</v>
      </c>
      <c r="F628" s="171" t="s">
        <v>1189</v>
      </c>
      <c r="G628" s="172">
        <v>29223.439999999999</v>
      </c>
      <c r="J628" s="4"/>
      <c r="K628" s="4"/>
      <c r="S628" s="6"/>
      <c r="T628" s="5"/>
    </row>
    <row r="629" spans="3:20" ht="19.5" customHeight="1">
      <c r="C629" s="549" t="s">
        <v>1328</v>
      </c>
      <c r="D629" s="549"/>
      <c r="E629" s="173">
        <v>45518</v>
      </c>
      <c r="F629" s="171" t="s">
        <v>1189</v>
      </c>
      <c r="G629" s="172">
        <v>7038.13</v>
      </c>
      <c r="J629" s="4"/>
      <c r="K629" s="4"/>
      <c r="S629" s="6"/>
      <c r="T629" s="5"/>
    </row>
    <row r="630" spans="3:20" ht="19.5" customHeight="1">
      <c r="C630" s="549" t="s">
        <v>1436</v>
      </c>
      <c r="D630" s="549"/>
      <c r="E630" s="173">
        <v>45545</v>
      </c>
      <c r="F630" s="171" t="s">
        <v>1189</v>
      </c>
      <c r="G630" s="172">
        <v>38536.79</v>
      </c>
      <c r="J630" s="4"/>
      <c r="K630" s="4"/>
      <c r="S630" s="6"/>
      <c r="T630" s="5"/>
    </row>
    <row r="631" spans="3:20" ht="19.5" customHeight="1">
      <c r="C631" s="549" t="s">
        <v>1437</v>
      </c>
      <c r="D631" s="549"/>
      <c r="E631" s="173">
        <v>45541</v>
      </c>
      <c r="F631" s="171" t="s">
        <v>1324</v>
      </c>
      <c r="G631" s="172">
        <v>68671.320000000007</v>
      </c>
      <c r="J631" s="4"/>
      <c r="K631" s="4"/>
      <c r="S631" s="6"/>
      <c r="T631" s="5"/>
    </row>
    <row r="632" spans="3:20" ht="19.5" customHeight="1">
      <c r="C632" s="549" t="s">
        <v>1438</v>
      </c>
      <c r="D632" s="549"/>
      <c r="E632" s="173">
        <v>45566</v>
      </c>
      <c r="F632" s="171" t="s">
        <v>1324</v>
      </c>
      <c r="G632" s="172">
        <v>17795</v>
      </c>
      <c r="J632" s="4"/>
      <c r="K632" s="4"/>
      <c r="S632" s="6"/>
      <c r="T632" s="5"/>
    </row>
    <row r="633" spans="3:20" ht="19.5" customHeight="1">
      <c r="C633" s="549" t="s">
        <v>1439</v>
      </c>
      <c r="D633" s="549"/>
      <c r="E633" s="173">
        <v>45581</v>
      </c>
      <c r="F633" s="171" t="s">
        <v>1189</v>
      </c>
      <c r="G633" s="172">
        <v>86512.68</v>
      </c>
      <c r="J633" s="4"/>
      <c r="K633" s="4"/>
      <c r="S633" s="6"/>
      <c r="T633" s="5"/>
    </row>
    <row r="634" spans="3:20" ht="19.5" customHeight="1">
      <c r="C634" s="549" t="s">
        <v>1580</v>
      </c>
      <c r="D634" s="549"/>
      <c r="E634" s="173">
        <v>45572</v>
      </c>
      <c r="F634" s="171" t="s">
        <v>1324</v>
      </c>
      <c r="G634" s="172">
        <v>55880</v>
      </c>
      <c r="J634" s="4"/>
      <c r="K634" s="4"/>
      <c r="S634" s="6"/>
      <c r="T634" s="5"/>
    </row>
    <row r="635" spans="3:20" ht="19.5" customHeight="1">
      <c r="C635" s="549" t="s">
        <v>1581</v>
      </c>
      <c r="D635" s="549"/>
      <c r="E635" s="173">
        <v>45602</v>
      </c>
      <c r="F635" s="171" t="s">
        <v>1189</v>
      </c>
      <c r="G635" s="172">
        <v>38402.1</v>
      </c>
      <c r="J635" s="4"/>
      <c r="K635" s="4"/>
      <c r="S635" s="6"/>
      <c r="T635" s="5"/>
    </row>
    <row r="636" spans="3:20" ht="19.5" customHeight="1">
      <c r="C636" s="549" t="s">
        <v>1582</v>
      </c>
      <c r="D636" s="549"/>
      <c r="E636" s="173">
        <v>45609</v>
      </c>
      <c r="F636" s="171" t="s">
        <v>1189</v>
      </c>
      <c r="G636" s="172">
        <v>82512.91</v>
      </c>
      <c r="J636" s="4"/>
      <c r="K636" s="4"/>
      <c r="S636" s="6"/>
      <c r="T636" s="5"/>
    </row>
    <row r="637" spans="3:20" ht="19.5" customHeight="1">
      <c r="C637" s="549" t="s">
        <v>1583</v>
      </c>
      <c r="D637" s="549"/>
      <c r="E637" s="173">
        <v>45567</v>
      </c>
      <c r="F637" s="171" t="s">
        <v>1584</v>
      </c>
      <c r="G637" s="172">
        <v>17981.580000000002</v>
      </c>
      <c r="J637" s="4"/>
      <c r="K637" s="4"/>
      <c r="S637" s="6"/>
      <c r="T637" s="5"/>
    </row>
    <row r="638" spans="3:20" ht="19.5" customHeight="1">
      <c r="C638" s="549" t="s">
        <v>1585</v>
      </c>
      <c r="D638" s="549"/>
      <c r="E638" s="173">
        <v>45610</v>
      </c>
      <c r="F638" s="269" t="s">
        <v>1584</v>
      </c>
      <c r="G638" s="270">
        <v>27039.39</v>
      </c>
      <c r="J638" s="4"/>
      <c r="K638" s="4"/>
      <c r="S638" s="6"/>
      <c r="T638" s="5"/>
    </row>
    <row r="639" spans="3:20" ht="19.5" customHeight="1">
      <c r="C639" s="549" t="s">
        <v>1583</v>
      </c>
      <c r="D639" s="549"/>
      <c r="E639" s="173">
        <v>45610</v>
      </c>
      <c r="F639" s="269" t="s">
        <v>1584</v>
      </c>
      <c r="G639" s="270">
        <v>42442.61</v>
      </c>
      <c r="J639" s="4"/>
      <c r="K639" s="4"/>
      <c r="S639" s="6"/>
      <c r="T639" s="5"/>
    </row>
    <row r="640" spans="3:20" ht="19.5" customHeight="1">
      <c r="C640" s="549" t="s">
        <v>1586</v>
      </c>
      <c r="D640" s="549"/>
      <c r="E640" s="271">
        <v>45624</v>
      </c>
      <c r="F640" s="269" t="s">
        <v>1189</v>
      </c>
      <c r="G640" s="270">
        <v>128994.73</v>
      </c>
      <c r="J640" s="4"/>
      <c r="K640" s="4"/>
      <c r="S640" s="6"/>
      <c r="T640" s="5"/>
    </row>
    <row r="641" spans="3:20" ht="19.5" customHeight="1">
      <c r="C641" s="549" t="s">
        <v>1597</v>
      </c>
      <c r="D641" s="549"/>
      <c r="E641" s="173">
        <v>45656</v>
      </c>
      <c r="F641" s="269" t="s">
        <v>1584</v>
      </c>
      <c r="G641" s="270">
        <v>52604.61</v>
      </c>
      <c r="J641" s="4"/>
      <c r="K641" s="4"/>
      <c r="S641" s="6"/>
      <c r="T641" s="5"/>
    </row>
    <row r="642" spans="3:20" ht="19.5" customHeight="1">
      <c r="C642" s="549" t="s">
        <v>1598</v>
      </c>
      <c r="D642" s="549"/>
      <c r="E642" s="271">
        <v>45656</v>
      </c>
      <c r="F642" s="269" t="s">
        <v>1189</v>
      </c>
      <c r="G642" s="270">
        <v>3247.6</v>
      </c>
      <c r="J642" s="4"/>
      <c r="K642" s="4"/>
      <c r="S642" s="6"/>
      <c r="T642" s="5"/>
    </row>
    <row r="643" spans="3:20" ht="19.5" customHeight="1">
      <c r="C643" s="549" t="s">
        <v>1599</v>
      </c>
      <c r="D643" s="549"/>
      <c r="E643" s="271">
        <v>45656</v>
      </c>
      <c r="F643" s="269" t="s">
        <v>1189</v>
      </c>
      <c r="G643" s="270">
        <v>20177.939999999999</v>
      </c>
      <c r="J643" s="4"/>
      <c r="K643" s="4"/>
      <c r="S643" s="6"/>
      <c r="T643" s="5"/>
    </row>
    <row r="644" spans="3:20" ht="19.5" customHeight="1">
      <c r="C644" s="549" t="s">
        <v>1600</v>
      </c>
      <c r="D644" s="549"/>
      <c r="E644" s="271">
        <v>45656</v>
      </c>
      <c r="F644" s="269" t="s">
        <v>1189</v>
      </c>
      <c r="G644" s="270">
        <v>97982.98</v>
      </c>
      <c r="J644" s="4"/>
      <c r="K644" s="4"/>
      <c r="S644" s="6"/>
      <c r="T644" s="5"/>
    </row>
    <row r="645" spans="3:20" ht="19.5" customHeight="1">
      <c r="C645" s="549" t="s">
        <v>1601</v>
      </c>
      <c r="D645" s="549"/>
      <c r="E645" s="271">
        <v>45656</v>
      </c>
      <c r="F645" s="269" t="s">
        <v>1189</v>
      </c>
      <c r="G645" s="270">
        <v>10778.64</v>
      </c>
      <c r="J645" s="4"/>
      <c r="K645" s="4"/>
      <c r="S645" s="6"/>
      <c r="T645" s="5"/>
    </row>
    <row r="646" spans="3:20" ht="19.5" customHeight="1">
      <c r="C646" s="549" t="s">
        <v>1606</v>
      </c>
      <c r="D646" s="549"/>
      <c r="E646" s="271">
        <v>45687</v>
      </c>
      <c r="F646" s="269" t="s">
        <v>1189</v>
      </c>
      <c r="G646" s="270">
        <v>33875.29</v>
      </c>
      <c r="J646" s="4"/>
      <c r="K646" s="4"/>
      <c r="S646" s="6"/>
      <c r="T646" s="5"/>
    </row>
    <row r="647" spans="3:20" ht="19.5" customHeight="1">
      <c r="C647" s="549" t="s">
        <v>1607</v>
      </c>
      <c r="D647" s="549"/>
      <c r="E647" s="271">
        <v>45667</v>
      </c>
      <c r="F647" s="269" t="s">
        <v>1324</v>
      </c>
      <c r="G647" s="270">
        <v>226542.1</v>
      </c>
      <c r="J647" s="4"/>
      <c r="K647" s="4"/>
      <c r="S647" s="6"/>
      <c r="T647" s="5"/>
    </row>
    <row r="648" spans="3:20" ht="19.5" customHeight="1">
      <c r="C648" s="549" t="s">
        <v>1608</v>
      </c>
      <c r="D648" s="549"/>
      <c r="E648" s="271">
        <v>45705</v>
      </c>
      <c r="F648" s="269" t="s">
        <v>1189</v>
      </c>
      <c r="G648" s="270">
        <v>18826.669999999998</v>
      </c>
      <c r="J648" s="4"/>
      <c r="K648" s="4"/>
      <c r="S648" s="6"/>
      <c r="T648" s="5"/>
    </row>
    <row r="649" spans="3:20" ht="19.5" customHeight="1">
      <c r="C649" s="549" t="s">
        <v>1609</v>
      </c>
      <c r="D649" s="549"/>
      <c r="E649" s="271">
        <v>45702</v>
      </c>
      <c r="F649" s="269" t="s">
        <v>1189</v>
      </c>
      <c r="G649" s="270">
        <v>22727.1</v>
      </c>
      <c r="J649" s="4"/>
      <c r="K649" s="4"/>
      <c r="S649" s="6"/>
      <c r="T649" s="5"/>
    </row>
    <row r="650" spans="3:20" ht="19.5" customHeight="1">
      <c r="C650" s="549"/>
      <c r="D650" s="549"/>
      <c r="E650" s="271"/>
      <c r="F650" s="269"/>
      <c r="G650" s="270"/>
      <c r="J650" s="4"/>
      <c r="K650" s="4"/>
      <c r="S650" s="6"/>
      <c r="T650" s="5"/>
    </row>
    <row r="651" spans="3:20" ht="19.5" customHeight="1">
      <c r="C651" s="550"/>
      <c r="D651" s="550"/>
      <c r="E651" s="175"/>
      <c r="F651" s="176"/>
      <c r="G651" s="177"/>
      <c r="J651" s="4"/>
      <c r="K651" s="4"/>
      <c r="S651" s="6"/>
      <c r="T651" s="5"/>
    </row>
    <row r="652" spans="3:20" ht="19.5" customHeight="1">
      <c r="C652" s="179"/>
      <c r="D652" s="180"/>
      <c r="E652" s="180"/>
      <c r="F652" s="180"/>
      <c r="G652" s="181">
        <f>SUM(G612:G651)</f>
        <v>2006105.1500000001</v>
      </c>
      <c r="J652" s="4"/>
      <c r="K652" s="4"/>
      <c r="S652" s="6"/>
      <c r="T652" s="5"/>
    </row>
    <row r="653" spans="3:20">
      <c r="S653" s="6"/>
      <c r="T653" s="5"/>
    </row>
    <row r="654" spans="3:20">
      <c r="S654" s="6"/>
      <c r="T654" s="5"/>
    </row>
    <row r="655" spans="3:20" ht="28.8">
      <c r="C655" s="226" t="s">
        <v>1255</v>
      </c>
      <c r="D655" s="560" t="s">
        <v>1256</v>
      </c>
      <c r="E655" s="560"/>
      <c r="F655" s="560"/>
      <c r="G655" s="227" t="s">
        <v>1257</v>
      </c>
      <c r="H655" s="5"/>
      <c r="I655" s="228" t="s">
        <v>1258</v>
      </c>
      <c r="J655" s="229" t="s">
        <v>1259</v>
      </c>
    </row>
    <row r="656" spans="3:20">
      <c r="C656" s="230" t="s">
        <v>1260</v>
      </c>
      <c r="D656" s="564">
        <f>'BM 009'!D654+'BM 010'!N592</f>
        <v>388833.5</v>
      </c>
      <c r="E656" s="564"/>
      <c r="F656" s="564"/>
      <c r="G656" s="232" t="s">
        <v>1261</v>
      </c>
      <c r="H656" s="2"/>
      <c r="I656" s="233">
        <f>SUMIF($F$612:$F$651,G656,$G$612:$G$651)</f>
        <v>388833.5</v>
      </c>
      <c r="J656" s="233">
        <f t="shared" ref="J656:J666" si="242">I656-D656</f>
        <v>0</v>
      </c>
    </row>
    <row r="657" spans="1:23">
      <c r="C657" s="234" t="s">
        <v>1329</v>
      </c>
      <c r="D657" s="564">
        <f>'BM 009'!D655+'BM 010'!N593</f>
        <v>736238.59</v>
      </c>
      <c r="E657" s="564"/>
      <c r="F657" s="564"/>
      <c r="G657" s="235" t="s">
        <v>1263</v>
      </c>
      <c r="H657" s="2"/>
      <c r="I657" s="236">
        <f>SUMIF($F$612:$F$651,G657,$G$612:$G$651)</f>
        <v>1064535.0399999998</v>
      </c>
      <c r="J657" s="236">
        <f t="shared" si="242"/>
        <v>328296.44999999984</v>
      </c>
    </row>
    <row r="658" spans="1:23">
      <c r="C658" s="234" t="s">
        <v>1330</v>
      </c>
      <c r="D658" s="564">
        <f>'BM 009'!D656+'BM 010'!N594</f>
        <v>261468.32</v>
      </c>
      <c r="E658" s="564"/>
      <c r="F658" s="564"/>
      <c r="G658" s="235" t="s">
        <v>1331</v>
      </c>
      <c r="H658" s="2"/>
      <c r="I658" s="236">
        <f>SUMIF($F$612:$F$651,G658,$G$612:$G$651)</f>
        <v>412668.42000000004</v>
      </c>
      <c r="J658" s="236">
        <f t="shared" si="242"/>
        <v>151200.10000000003</v>
      </c>
    </row>
    <row r="659" spans="1:23" s="5" customFormat="1">
      <c r="A659" s="2"/>
      <c r="B659" s="2"/>
      <c r="C659" s="234" t="s">
        <v>1587</v>
      </c>
      <c r="D659" s="564">
        <f>'BM 009'!D657+'BM 010'!N595</f>
        <v>192672.8</v>
      </c>
      <c r="E659" s="564"/>
      <c r="F659" s="564"/>
      <c r="G659" s="235" t="s">
        <v>1584</v>
      </c>
      <c r="H659" s="2"/>
      <c r="I659" s="236">
        <f>SUMIF($F$612:$F$651,G659,$G$612:$G$651)</f>
        <v>140068.19</v>
      </c>
      <c r="J659" s="236">
        <f t="shared" si="242"/>
        <v>-52604.609999999986</v>
      </c>
      <c r="P659" s="6"/>
      <c r="Q659" s="6"/>
      <c r="S659" s="2"/>
      <c r="T659" s="2"/>
      <c r="U659" s="2"/>
      <c r="V659" s="2"/>
      <c r="W659" s="2"/>
    </row>
    <row r="660" spans="1:23">
      <c r="C660" s="234"/>
      <c r="D660" s="561"/>
      <c r="E660" s="561"/>
      <c r="F660" s="561"/>
      <c r="G660" s="235" t="s">
        <v>1265</v>
      </c>
      <c r="H660" s="2"/>
      <c r="I660" s="238">
        <f t="shared" ref="I660:I666" si="243">SUMIF($G$681:$G$719,G660,$H$681:$I$719)</f>
        <v>0</v>
      </c>
      <c r="J660" s="236">
        <f t="shared" si="242"/>
        <v>0</v>
      </c>
    </row>
    <row r="661" spans="1:23">
      <c r="C661" s="234"/>
      <c r="D661" s="561"/>
      <c r="E661" s="561"/>
      <c r="F661" s="561"/>
      <c r="G661" s="237" t="s">
        <v>1266</v>
      </c>
      <c r="H661" s="2"/>
      <c r="I661" s="238">
        <f t="shared" si="243"/>
        <v>0</v>
      </c>
      <c r="J661" s="236">
        <f t="shared" si="242"/>
        <v>0</v>
      </c>
    </row>
    <row r="662" spans="1:23">
      <c r="C662" s="234"/>
      <c r="D662" s="561"/>
      <c r="E662" s="561"/>
      <c r="F662" s="561"/>
      <c r="G662" s="237" t="s">
        <v>1267</v>
      </c>
      <c r="H662" s="2"/>
      <c r="I662" s="238">
        <f t="shared" si="243"/>
        <v>0</v>
      </c>
      <c r="J662" s="236">
        <f t="shared" si="242"/>
        <v>0</v>
      </c>
    </row>
    <row r="663" spans="1:23">
      <c r="C663" s="234"/>
      <c r="D663" s="561"/>
      <c r="E663" s="561"/>
      <c r="F663" s="561"/>
      <c r="G663" s="237" t="s">
        <v>1268</v>
      </c>
      <c r="H663" s="2"/>
      <c r="I663" s="238">
        <f t="shared" si="243"/>
        <v>0</v>
      </c>
      <c r="J663" s="236">
        <f t="shared" si="242"/>
        <v>0</v>
      </c>
    </row>
    <row r="664" spans="1:23">
      <c r="C664" s="234"/>
      <c r="D664" s="561"/>
      <c r="E664" s="561"/>
      <c r="F664" s="561"/>
      <c r="G664" s="237" t="s">
        <v>1269</v>
      </c>
      <c r="H664" s="2"/>
      <c r="I664" s="238">
        <f t="shared" si="243"/>
        <v>0</v>
      </c>
      <c r="J664" s="236">
        <f t="shared" si="242"/>
        <v>0</v>
      </c>
    </row>
    <row r="665" spans="1:23">
      <c r="C665" s="234"/>
      <c r="D665" s="561"/>
      <c r="E665" s="561"/>
      <c r="F665" s="561"/>
      <c r="G665" s="237"/>
      <c r="H665" s="2"/>
      <c r="I665" s="238">
        <f t="shared" si="243"/>
        <v>0</v>
      </c>
      <c r="J665" s="236">
        <f t="shared" si="242"/>
        <v>0</v>
      </c>
    </row>
    <row r="666" spans="1:23">
      <c r="C666" s="239"/>
      <c r="D666" s="562"/>
      <c r="E666" s="562"/>
      <c r="F666" s="562"/>
      <c r="G666" s="240"/>
      <c r="H666" s="2"/>
      <c r="I666" s="241">
        <f t="shared" si="243"/>
        <v>0</v>
      </c>
      <c r="J666" s="241">
        <f t="shared" si="242"/>
        <v>0</v>
      </c>
    </row>
    <row r="667" spans="1:23">
      <c r="D667" s="563">
        <f>SUM(D656:F666)</f>
        <v>1579213.21</v>
      </c>
      <c r="E667" s="563"/>
      <c r="F667" s="563"/>
      <c r="H667" s="2"/>
      <c r="I667" s="242">
        <f>SUM(I656:I666)</f>
        <v>2006105.15</v>
      </c>
      <c r="J667" s="242">
        <f>SUM(J656:J666)</f>
        <v>426891.93999999989</v>
      </c>
    </row>
  </sheetData>
  <mergeCells count="152">
    <mergeCell ref="D664:F664"/>
    <mergeCell ref="D665:F665"/>
    <mergeCell ref="D666:F666"/>
    <mergeCell ref="D667:F667"/>
    <mergeCell ref="D655:F655"/>
    <mergeCell ref="D656:F656"/>
    <mergeCell ref="D657:F657"/>
    <mergeCell ref="D658:F658"/>
    <mergeCell ref="D659:F659"/>
    <mergeCell ref="D660:F660"/>
    <mergeCell ref="D661:F661"/>
    <mergeCell ref="D662:F662"/>
    <mergeCell ref="D663:F663"/>
    <mergeCell ref="C643:D643"/>
    <mergeCell ref="C644:D644"/>
    <mergeCell ref="C645:D645"/>
    <mergeCell ref="C646:D646"/>
    <mergeCell ref="C647:D647"/>
    <mergeCell ref="C648:D648"/>
    <mergeCell ref="C649:D649"/>
    <mergeCell ref="C650:D650"/>
    <mergeCell ref="C651:D651"/>
    <mergeCell ref="C634:D634"/>
    <mergeCell ref="C635:D635"/>
    <mergeCell ref="C636:D636"/>
    <mergeCell ref="C637:D637"/>
    <mergeCell ref="C638:D638"/>
    <mergeCell ref="C639:D639"/>
    <mergeCell ref="C640:D640"/>
    <mergeCell ref="C641:D641"/>
    <mergeCell ref="C642:D642"/>
    <mergeCell ref="C625:D625"/>
    <mergeCell ref="C626:D626"/>
    <mergeCell ref="C627:D627"/>
    <mergeCell ref="C628:D628"/>
    <mergeCell ref="C629:D629"/>
    <mergeCell ref="C630:D630"/>
    <mergeCell ref="C631:D631"/>
    <mergeCell ref="C632:D632"/>
    <mergeCell ref="C633:D633"/>
    <mergeCell ref="C620:D620"/>
    <mergeCell ref="N620:O620"/>
    <mergeCell ref="C621:D621"/>
    <mergeCell ref="N621:O621"/>
    <mergeCell ref="C622:D622"/>
    <mergeCell ref="N622:O622"/>
    <mergeCell ref="C623:D623"/>
    <mergeCell ref="N623:O623"/>
    <mergeCell ref="C624:D624"/>
    <mergeCell ref="C615:D615"/>
    <mergeCell ref="N615:O615"/>
    <mergeCell ref="C616:D616"/>
    <mergeCell ref="N616:O616"/>
    <mergeCell ref="C617:D617"/>
    <mergeCell ref="N617:O617"/>
    <mergeCell ref="C618:D618"/>
    <mergeCell ref="N618:O618"/>
    <mergeCell ref="C619:D619"/>
    <mergeCell ref="N619:O619"/>
    <mergeCell ref="C609:D609"/>
    <mergeCell ref="C611:G611"/>
    <mergeCell ref="N611:R611"/>
    <mergeCell ref="C612:D612"/>
    <mergeCell ref="N612:O612"/>
    <mergeCell ref="C613:D613"/>
    <mergeCell ref="N613:O613"/>
    <mergeCell ref="C614:D614"/>
    <mergeCell ref="N614:O614"/>
    <mergeCell ref="D601:E601"/>
    <mergeCell ref="I601:J601"/>
    <mergeCell ref="O601:Q602"/>
    <mergeCell ref="D602:E602"/>
    <mergeCell ref="I602:J602"/>
    <mergeCell ref="C605:E605"/>
    <mergeCell ref="C606:D606"/>
    <mergeCell ref="C607:D607"/>
    <mergeCell ref="C608:D608"/>
    <mergeCell ref="B591:L591"/>
    <mergeCell ref="B592:L592"/>
    <mergeCell ref="B593:L593"/>
    <mergeCell ref="B594:L594"/>
    <mergeCell ref="B595:L595"/>
    <mergeCell ref="B597:L597"/>
    <mergeCell ref="D599:E599"/>
    <mergeCell ref="I599:J599"/>
    <mergeCell ref="O599:Q600"/>
    <mergeCell ref="D600:E600"/>
    <mergeCell ref="I600:J600"/>
    <mergeCell ref="B22:C22"/>
    <mergeCell ref="D22:J22"/>
    <mergeCell ref="L22:O22"/>
    <mergeCell ref="P22:R22"/>
    <mergeCell ref="B23:R23"/>
    <mergeCell ref="B25:B26"/>
    <mergeCell ref="C25:C26"/>
    <mergeCell ref="D25:D26"/>
    <mergeCell ref="E25:J25"/>
    <mergeCell ref="N25:R25"/>
    <mergeCell ref="B19:C19"/>
    <mergeCell ref="D19:J19"/>
    <mergeCell ref="L19:O19"/>
    <mergeCell ref="P19:R19"/>
    <mergeCell ref="B20:C20"/>
    <mergeCell ref="D20:J20"/>
    <mergeCell ref="L20:O20"/>
    <mergeCell ref="P20:R20"/>
    <mergeCell ref="B21:C21"/>
    <mergeCell ref="D21:J21"/>
    <mergeCell ref="L21:O21"/>
    <mergeCell ref="P21:R21"/>
    <mergeCell ref="B15:C15"/>
    <mergeCell ref="D15:G15"/>
    <mergeCell ref="I15:J15"/>
    <mergeCell ref="L15:N15"/>
    <mergeCell ref="P15:R15"/>
    <mergeCell ref="B16:R16"/>
    <mergeCell ref="B17:R17"/>
    <mergeCell ref="B18:C18"/>
    <mergeCell ref="D18:J18"/>
    <mergeCell ref="L18:O18"/>
    <mergeCell ref="P18:R18"/>
    <mergeCell ref="B13:C13"/>
    <mergeCell ref="D13:J13"/>
    <mergeCell ref="L13:O13"/>
    <mergeCell ref="P13:R13"/>
    <mergeCell ref="B14:C14"/>
    <mergeCell ref="D14:G14"/>
    <mergeCell ref="I14:J14"/>
    <mergeCell ref="L14:N14"/>
    <mergeCell ref="P14:R14"/>
    <mergeCell ref="B10:C10"/>
    <mergeCell ref="D10:J10"/>
    <mergeCell ref="L10:O10"/>
    <mergeCell ref="P10:R10"/>
    <mergeCell ref="B11:C11"/>
    <mergeCell ref="D11:J11"/>
    <mergeCell ref="L11:O11"/>
    <mergeCell ref="P11:R11"/>
    <mergeCell ref="B12:C12"/>
    <mergeCell ref="D12:G12"/>
    <mergeCell ref="I12:J12"/>
    <mergeCell ref="L12:N12"/>
    <mergeCell ref="P12:R12"/>
    <mergeCell ref="B2:R2"/>
    <mergeCell ref="B3:R3"/>
    <mergeCell ref="B4:R4"/>
    <mergeCell ref="B5:R5"/>
    <mergeCell ref="B6:R6"/>
    <mergeCell ref="B7:R7"/>
    <mergeCell ref="B8:R8"/>
    <mergeCell ref="B9:C9"/>
    <mergeCell ref="D9:R9"/>
  </mergeCells>
  <conditionalFormatting sqref="R27:R590">
    <cfRule type="cellIs" dxfId="4" priority="2" operator="lessThan">
      <formula>0</formula>
    </cfRule>
  </conditionalFormatting>
  <printOptions horizontalCentered="1"/>
  <pageMargins left="0.51180555555555596" right="0.51180555555555596" top="0.78749999999999998" bottom="1.1812499999999999" header="0.511811023622047" footer="0.511811023622047"/>
  <pageSetup paperSize="9" scale="38" fitToHeight="26" orientation="portrait" horizontalDpi="300" verticalDpi="300" r:id="rId1"/>
  <colBreaks count="1" manualBreakCount="1">
    <brk id="1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L1547"/>
  <sheetViews>
    <sheetView view="pageBreakPreview" zoomScale="75" zoomScaleNormal="80" zoomScalePageLayoutView="75" workbookViewId="0">
      <selection activeCell="I37" sqref="I37"/>
    </sheetView>
  </sheetViews>
  <sheetFormatPr defaultColWidth="8.88671875" defaultRowHeight="14.4"/>
  <cols>
    <col min="1" max="1" width="2.44140625" customWidth="1"/>
    <col min="2" max="2" width="32.88671875" customWidth="1"/>
    <col min="3" max="3" width="13.5546875" customWidth="1"/>
    <col min="4" max="4" width="9.44140625" customWidth="1"/>
    <col min="5" max="5" width="10.109375" customWidth="1"/>
    <col min="6" max="6" width="10.6640625" customWidth="1"/>
    <col min="7" max="8" width="9.44140625" customWidth="1"/>
    <col min="9" max="9" width="14.5546875" customWidth="1"/>
    <col min="10" max="10" width="10.88671875" customWidth="1"/>
    <col min="11" max="11" width="16.88671875" customWidth="1"/>
    <col min="12" max="12" width="25" customWidth="1"/>
    <col min="13" max="13" width="2.5546875" customWidth="1"/>
    <col min="15" max="15" width="10.109375" customWidth="1"/>
  </cols>
  <sheetData>
    <row r="1" spans="2:12" ht="6" customHeight="1"/>
    <row r="2" spans="2:12" ht="29.25" customHeight="1">
      <c r="B2" s="551"/>
      <c r="C2" s="551"/>
      <c r="D2" s="551"/>
      <c r="E2" s="551"/>
      <c r="F2" s="551"/>
      <c r="G2" s="551"/>
      <c r="H2" s="551"/>
      <c r="I2" s="551"/>
      <c r="J2" s="551"/>
      <c r="K2" s="551"/>
      <c r="L2" s="551"/>
    </row>
    <row r="3" spans="2:12" ht="29.25" customHeight="1">
      <c r="B3" s="552" t="s">
        <v>4</v>
      </c>
      <c r="C3" s="552"/>
      <c r="D3" s="552"/>
      <c r="E3" s="552"/>
      <c r="F3" s="552"/>
      <c r="G3" s="552"/>
      <c r="H3" s="552"/>
      <c r="I3" s="552"/>
      <c r="J3" s="552"/>
      <c r="K3" s="552"/>
      <c r="L3" s="552"/>
    </row>
    <row r="4" spans="2:12" ht="29.25" customHeight="1">
      <c r="B4" s="553"/>
      <c r="C4" s="553"/>
      <c r="D4" s="553"/>
      <c r="E4" s="553"/>
      <c r="F4" s="553"/>
      <c r="G4" s="553"/>
      <c r="H4" s="553"/>
      <c r="I4" s="553"/>
      <c r="J4" s="553"/>
      <c r="K4" s="553"/>
      <c r="L4" s="553"/>
    </row>
    <row r="5" spans="2:12" ht="6" customHeight="1">
      <c r="B5" s="186"/>
      <c r="C5" s="186"/>
      <c r="D5" s="186"/>
      <c r="E5" s="186"/>
      <c r="F5" s="186"/>
      <c r="G5" s="186"/>
      <c r="H5" s="186"/>
      <c r="I5" s="186"/>
      <c r="J5" s="186"/>
      <c r="K5" s="186"/>
      <c r="L5" s="186"/>
    </row>
    <row r="6" spans="2:12" ht="22.8">
      <c r="B6" s="554" t="s">
        <v>1610</v>
      </c>
      <c r="C6" s="554"/>
      <c r="D6" s="554"/>
      <c r="E6" s="554"/>
      <c r="F6" s="554"/>
      <c r="G6" s="554"/>
      <c r="H6" s="554"/>
      <c r="I6" s="554"/>
      <c r="J6" s="554"/>
      <c r="K6" s="554"/>
      <c r="L6" s="554"/>
    </row>
    <row r="8" spans="2:12" ht="14.25" customHeight="1">
      <c r="B8" s="555" t="s">
        <v>1208</v>
      </c>
      <c r="C8" s="555"/>
      <c r="D8" s="555"/>
      <c r="E8" s="555"/>
      <c r="F8" s="555"/>
      <c r="G8" s="555"/>
      <c r="H8" s="555"/>
      <c r="I8" s="555"/>
      <c r="J8" s="555"/>
      <c r="K8" s="555"/>
      <c r="L8" s="555"/>
    </row>
    <row r="9" spans="2:12">
      <c r="B9" s="187" t="s">
        <v>1209</v>
      </c>
      <c r="C9" s="187"/>
      <c r="D9" s="187" t="s">
        <v>39</v>
      </c>
      <c r="E9" s="187" t="s">
        <v>1210</v>
      </c>
      <c r="F9" s="187" t="s">
        <v>1211</v>
      </c>
      <c r="G9" s="187" t="s">
        <v>1212</v>
      </c>
      <c r="H9" s="187" t="s">
        <v>1213</v>
      </c>
      <c r="I9" s="187" t="s">
        <v>1214</v>
      </c>
      <c r="J9" s="187" t="s">
        <v>1215</v>
      </c>
      <c r="K9" s="187" t="s">
        <v>1216</v>
      </c>
      <c r="L9" s="187" t="s">
        <v>1217</v>
      </c>
    </row>
    <row r="10" spans="2:12">
      <c r="B10" s="188" t="s">
        <v>1218</v>
      </c>
      <c r="C10" s="189" t="s">
        <v>1219</v>
      </c>
      <c r="D10" s="190" t="s">
        <v>1220</v>
      </c>
      <c r="E10" s="191"/>
      <c r="F10" s="192"/>
      <c r="G10" s="192"/>
      <c r="H10" s="191"/>
      <c r="I10" s="193">
        <v>0.41199999999999998</v>
      </c>
      <c r="J10" s="194"/>
      <c r="K10" s="195">
        <f t="shared" ref="K10:K19" si="0">IF(E10*F10*G10&lt;&gt;0,E10*F10*G10,IF(E10*F10&lt;&gt;0,E10*F10,IF(F10*G10&lt;&gt;0,F10*G10,IF(E10*G10&lt;&gt;0,E10*G10,IF(E10&lt;&gt;0,E10,IF(F10&lt;&gt;0,F10,IF(G10&lt;&gt;0,G10,0)))))))*(IF(H10&lt;&gt;0,H10,1))+I10-J10</f>
        <v>0.41199999999999998</v>
      </c>
      <c r="L10" s="196"/>
    </row>
    <row r="11" spans="2:12">
      <c r="B11" s="197" t="s">
        <v>1218</v>
      </c>
      <c r="C11" s="189" t="s">
        <v>1240</v>
      </c>
      <c r="D11" s="190" t="s">
        <v>1226</v>
      </c>
      <c r="E11" s="199"/>
      <c r="F11" s="199"/>
      <c r="G11" s="199"/>
      <c r="H11" s="199"/>
      <c r="I11" s="193">
        <v>0.71599999999999997</v>
      </c>
      <c r="J11" s="201"/>
      <c r="K11" s="195">
        <f t="shared" si="0"/>
        <v>0.71599999999999997</v>
      </c>
      <c r="L11" s="196"/>
    </row>
    <row r="12" spans="2:12">
      <c r="B12" s="197" t="s">
        <v>1218</v>
      </c>
      <c r="C12" s="189" t="s">
        <v>1271</v>
      </c>
      <c r="D12" s="190" t="s">
        <v>1226</v>
      </c>
      <c r="E12" s="199"/>
      <c r="F12" s="199"/>
      <c r="G12" s="199"/>
      <c r="H12" s="199"/>
      <c r="I12" s="193">
        <v>0.432</v>
      </c>
      <c r="J12" s="201"/>
      <c r="K12" s="195">
        <f t="shared" si="0"/>
        <v>0.432</v>
      </c>
      <c r="L12" s="196"/>
    </row>
    <row r="13" spans="2:12">
      <c r="B13" s="197" t="s">
        <v>1218</v>
      </c>
      <c r="C13" s="189" t="s">
        <v>1333</v>
      </c>
      <c r="D13" s="190" t="s">
        <v>1226</v>
      </c>
      <c r="E13" s="199"/>
      <c r="F13" s="199"/>
      <c r="G13" s="199"/>
      <c r="H13" s="199"/>
      <c r="I13" s="193">
        <v>0.53600000000000003</v>
      </c>
      <c r="J13" s="201"/>
      <c r="K13" s="195">
        <f t="shared" si="0"/>
        <v>0.53600000000000003</v>
      </c>
      <c r="L13" s="196"/>
    </row>
    <row r="14" spans="2:12">
      <c r="B14" s="197" t="s">
        <v>1218</v>
      </c>
      <c r="C14" s="189" t="s">
        <v>1441</v>
      </c>
      <c r="D14" s="190" t="s">
        <v>1226</v>
      </c>
      <c r="E14" s="199"/>
      <c r="F14" s="199"/>
      <c r="G14" s="199"/>
      <c r="H14" s="199"/>
      <c r="I14" s="193">
        <v>0.66600000000000004</v>
      </c>
      <c r="J14" s="201"/>
      <c r="K14" s="195">
        <f t="shared" si="0"/>
        <v>0.66600000000000004</v>
      </c>
      <c r="L14" s="196"/>
    </row>
    <row r="15" spans="2:12">
      <c r="B15" s="197" t="s">
        <v>1218</v>
      </c>
      <c r="C15" s="189" t="s">
        <v>1521</v>
      </c>
      <c r="D15" s="190" t="s">
        <v>1226</v>
      </c>
      <c r="E15" s="199"/>
      <c r="F15" s="199"/>
      <c r="G15" s="199"/>
      <c r="H15" s="199"/>
      <c r="I15" s="193">
        <v>0.59399999999999997</v>
      </c>
      <c r="J15" s="201"/>
      <c r="K15" s="195">
        <f t="shared" si="0"/>
        <v>0.59399999999999997</v>
      </c>
      <c r="L15" s="196"/>
    </row>
    <row r="16" spans="2:12">
      <c r="B16" s="197" t="s">
        <v>1218</v>
      </c>
      <c r="C16" s="189" t="s">
        <v>1611</v>
      </c>
      <c r="D16" s="190" t="s">
        <v>1226</v>
      </c>
      <c r="E16" s="199"/>
      <c r="F16" s="199"/>
      <c r="G16" s="199"/>
      <c r="H16" s="199"/>
      <c r="I16" s="193">
        <v>0.59799999999999998</v>
      </c>
      <c r="J16" s="201"/>
      <c r="K16" s="195">
        <f t="shared" si="0"/>
        <v>0.59799999999999998</v>
      </c>
      <c r="L16" s="196"/>
    </row>
    <row r="17" spans="2:12">
      <c r="B17" s="197" t="s">
        <v>1218</v>
      </c>
      <c r="C17" s="189" t="s">
        <v>1612</v>
      </c>
      <c r="D17" s="190" t="s">
        <v>1226</v>
      </c>
      <c r="E17" s="199"/>
      <c r="F17" s="199"/>
      <c r="G17" s="199"/>
      <c r="H17" s="199"/>
      <c r="I17" s="193">
        <f>I35*20</f>
        <v>0.77799999999999991</v>
      </c>
      <c r="J17" s="201"/>
      <c r="K17" s="195">
        <f t="shared" si="0"/>
        <v>0.77799999999999991</v>
      </c>
      <c r="L17" s="196"/>
    </row>
    <row r="18" spans="2:12">
      <c r="B18" s="197" t="s">
        <v>1218</v>
      </c>
      <c r="C18" s="189" t="s">
        <v>1613</v>
      </c>
      <c r="D18" s="190" t="s">
        <v>1226</v>
      </c>
      <c r="E18" s="199"/>
      <c r="F18" s="199"/>
      <c r="G18" s="199"/>
      <c r="H18" s="199"/>
      <c r="I18" s="193">
        <f>I36*20</f>
        <v>0.42399999999999999</v>
      </c>
      <c r="J18" s="201"/>
      <c r="K18" s="195">
        <f t="shared" si="0"/>
        <v>0.42399999999999999</v>
      </c>
      <c r="L18" s="196"/>
    </row>
    <row r="19" spans="2:12">
      <c r="B19" s="197"/>
      <c r="C19" s="189"/>
      <c r="D19" s="190"/>
      <c r="E19" s="199"/>
      <c r="F19" s="199"/>
      <c r="G19" s="199"/>
      <c r="H19" s="199"/>
      <c r="I19" s="193"/>
      <c r="J19" s="201"/>
      <c r="K19" s="195">
        <f t="shared" si="0"/>
        <v>0</v>
      </c>
      <c r="L19" s="196"/>
    </row>
    <row r="20" spans="2:12">
      <c r="B20" s="202"/>
      <c r="C20" s="203"/>
      <c r="D20" s="203"/>
      <c r="E20" s="203"/>
      <c r="F20" s="203"/>
      <c r="G20" s="203"/>
      <c r="H20" s="204"/>
      <c r="I20" s="556" t="s">
        <v>1221</v>
      </c>
      <c r="J20" s="556"/>
      <c r="K20" s="206">
        <f>SUM(K10:K19)</f>
        <v>5.1559999999999997</v>
      </c>
      <c r="L20" s="207"/>
    </row>
    <row r="21" spans="2:12">
      <c r="B21" s="208"/>
      <c r="C21" s="204"/>
      <c r="D21" s="204"/>
      <c r="E21" s="204"/>
      <c r="F21" s="204"/>
      <c r="G21" s="204"/>
      <c r="H21" s="209"/>
      <c r="I21" s="557" t="s">
        <v>1222</v>
      </c>
      <c r="J21" s="557"/>
      <c r="K21" s="211">
        <v>20</v>
      </c>
      <c r="L21" s="207"/>
    </row>
    <row r="22" spans="2:12">
      <c r="B22" s="208"/>
      <c r="C22" s="204"/>
      <c r="D22" s="204"/>
      <c r="E22" s="204"/>
      <c r="F22" s="204"/>
      <c r="G22" s="204"/>
      <c r="H22" s="558" t="s">
        <v>1223</v>
      </c>
      <c r="I22" s="558"/>
      <c r="J22" s="558"/>
      <c r="K22" s="212">
        <v>4.7320000000000002</v>
      </c>
      <c r="L22" s="207"/>
    </row>
    <row r="23" spans="2:12">
      <c r="B23" s="208"/>
      <c r="C23" s="204"/>
      <c r="D23" s="204"/>
      <c r="E23" s="204"/>
      <c r="F23" s="204"/>
      <c r="G23" s="204"/>
      <c r="H23" s="558" t="s">
        <v>1596</v>
      </c>
      <c r="I23" s="558"/>
      <c r="J23" s="558"/>
      <c r="K23" s="212">
        <f>IF(K20&gt;K21,K21,K20)-K22</f>
        <v>0.42399999999999949</v>
      </c>
      <c r="L23" s="207"/>
    </row>
    <row r="24" spans="2:12">
      <c r="B24" s="213"/>
      <c r="C24" s="214"/>
      <c r="D24" s="214"/>
      <c r="E24" s="214"/>
      <c r="F24" s="214"/>
      <c r="G24" s="214"/>
      <c r="H24" s="559" t="s">
        <v>1224</v>
      </c>
      <c r="I24" s="559"/>
      <c r="J24" s="559"/>
      <c r="K24" s="215">
        <f>IF(K20&gt;K21,K20-K21,0)</f>
        <v>0</v>
      </c>
      <c r="L24" s="209"/>
    </row>
    <row r="26" spans="2:12" ht="58.35" customHeight="1">
      <c r="B26" s="555" t="s">
        <v>1225</v>
      </c>
      <c r="C26" s="555"/>
      <c r="D26" s="555"/>
      <c r="E26" s="555"/>
      <c r="F26" s="555"/>
      <c r="G26" s="555"/>
      <c r="H26" s="555"/>
      <c r="I26" s="555"/>
      <c r="J26" s="555"/>
      <c r="K26" s="555"/>
      <c r="L26" s="555"/>
    </row>
    <row r="27" spans="2:12">
      <c r="B27" s="187" t="s">
        <v>1209</v>
      </c>
      <c r="C27" s="187"/>
      <c r="D27" s="187" t="s">
        <v>39</v>
      </c>
      <c r="E27" s="187" t="s">
        <v>1210</v>
      </c>
      <c r="F27" s="187" t="s">
        <v>1211</v>
      </c>
      <c r="G27" s="187" t="s">
        <v>1212</v>
      </c>
      <c r="H27" s="187" t="s">
        <v>1213</v>
      </c>
      <c r="I27" s="187" t="s">
        <v>1214</v>
      </c>
      <c r="J27" s="187" t="s">
        <v>1215</v>
      </c>
      <c r="K27" s="187" t="s">
        <v>1216</v>
      </c>
      <c r="L27" s="187" t="s">
        <v>1217</v>
      </c>
    </row>
    <row r="28" spans="2:12">
      <c r="B28" s="188" t="s">
        <v>1218</v>
      </c>
      <c r="C28" s="189" t="s">
        <v>1219</v>
      </c>
      <c r="D28" s="190" t="s">
        <v>1226</v>
      </c>
      <c r="E28" s="191"/>
      <c r="F28" s="192"/>
      <c r="G28" s="192"/>
      <c r="H28" s="191"/>
      <c r="I28" s="193">
        <v>2.06E-2</v>
      </c>
      <c r="J28" s="194"/>
      <c r="K28" s="195">
        <f t="shared" ref="K28:K36" si="1">IF(E28*F28*G28&lt;&gt;0,E28*F28*G28,IF(E28*F28&lt;&gt;0,E28*F28,IF(F28*G28&lt;&gt;0,F28*G28,IF(E28*G28&lt;&gt;0,E28*G28,IF(E28&lt;&gt;0,E28,IF(F28&lt;&gt;0,F28,IF(G28&lt;&gt;0,G28,0)))))))*(IF(H28&lt;&gt;0,H28,1))+I28-J28</f>
        <v>2.06E-2</v>
      </c>
      <c r="L28" s="196"/>
    </row>
    <row r="29" spans="2:12">
      <c r="B29" s="197" t="s">
        <v>1218</v>
      </c>
      <c r="C29" s="189" t="s">
        <v>1240</v>
      </c>
      <c r="D29" s="190" t="s">
        <v>1226</v>
      </c>
      <c r="E29" s="199"/>
      <c r="F29" s="199"/>
      <c r="G29" s="199"/>
      <c r="H29" s="199"/>
      <c r="I29" s="193">
        <v>3.5799999999999998E-2</v>
      </c>
      <c r="J29" s="201"/>
      <c r="K29" s="195">
        <f t="shared" si="1"/>
        <v>3.5799999999999998E-2</v>
      </c>
      <c r="L29" s="196"/>
    </row>
    <row r="30" spans="2:12">
      <c r="B30" s="197" t="s">
        <v>1218</v>
      </c>
      <c r="C30" s="189" t="s">
        <v>1271</v>
      </c>
      <c r="D30" s="190" t="s">
        <v>1226</v>
      </c>
      <c r="E30" s="199"/>
      <c r="F30" s="199"/>
      <c r="G30" s="199"/>
      <c r="H30" s="199"/>
      <c r="I30" s="193">
        <v>2.1600000000000001E-2</v>
      </c>
      <c r="J30" s="201"/>
      <c r="K30" s="195">
        <f t="shared" si="1"/>
        <v>2.1600000000000001E-2</v>
      </c>
      <c r="L30" s="196"/>
    </row>
    <row r="31" spans="2:12">
      <c r="B31" s="197" t="s">
        <v>1218</v>
      </c>
      <c r="C31" s="189" t="s">
        <v>1333</v>
      </c>
      <c r="D31" s="190" t="s">
        <v>1226</v>
      </c>
      <c r="E31" s="199"/>
      <c r="F31" s="199"/>
      <c r="G31" s="199"/>
      <c r="H31" s="199"/>
      <c r="I31" s="193">
        <v>2.6800000000000001E-2</v>
      </c>
      <c r="J31" s="201"/>
      <c r="K31" s="195">
        <f t="shared" si="1"/>
        <v>2.6800000000000001E-2</v>
      </c>
      <c r="L31" s="196"/>
    </row>
    <row r="32" spans="2:12">
      <c r="B32" s="197" t="s">
        <v>1218</v>
      </c>
      <c r="C32" s="189" t="s">
        <v>1441</v>
      </c>
      <c r="D32" s="190" t="s">
        <v>1226</v>
      </c>
      <c r="E32" s="199"/>
      <c r="F32" s="199"/>
      <c r="G32" s="199"/>
      <c r="H32" s="199"/>
      <c r="I32" s="193">
        <v>3.3300000000000003E-2</v>
      </c>
      <c r="J32" s="201"/>
      <c r="K32" s="195">
        <f t="shared" si="1"/>
        <v>3.3300000000000003E-2</v>
      </c>
      <c r="L32" s="196"/>
    </row>
    <row r="33" spans="2:12">
      <c r="B33" s="197" t="s">
        <v>1218</v>
      </c>
      <c r="C33" s="189" t="s">
        <v>1521</v>
      </c>
      <c r="D33" s="190" t="s">
        <v>1226</v>
      </c>
      <c r="E33" s="199"/>
      <c r="F33" s="199"/>
      <c r="G33" s="199"/>
      <c r="H33" s="199"/>
      <c r="I33" s="193">
        <v>2.9700000000000001E-2</v>
      </c>
      <c r="J33" s="201"/>
      <c r="K33" s="195">
        <f t="shared" si="1"/>
        <v>2.9700000000000001E-2</v>
      </c>
      <c r="L33" s="196"/>
    </row>
    <row r="34" spans="2:12">
      <c r="B34" s="197" t="s">
        <v>1218</v>
      </c>
      <c r="C34" s="189" t="s">
        <v>1611</v>
      </c>
      <c r="D34" s="190" t="s">
        <v>1226</v>
      </c>
      <c r="E34" s="199"/>
      <c r="F34" s="199"/>
      <c r="G34" s="199"/>
      <c r="H34" s="199"/>
      <c r="I34" s="193">
        <v>2.9899999999999999E-2</v>
      </c>
      <c r="J34" s="201"/>
      <c r="K34" s="195">
        <f t="shared" si="1"/>
        <v>2.9899999999999999E-2</v>
      </c>
      <c r="L34" s="196"/>
    </row>
    <row r="35" spans="2:12">
      <c r="B35" s="197" t="s">
        <v>1218</v>
      </c>
      <c r="C35" s="189" t="s">
        <v>1612</v>
      </c>
      <c r="D35" s="190" t="s">
        <v>1226</v>
      </c>
      <c r="E35" s="199"/>
      <c r="F35" s="199"/>
      <c r="G35" s="199"/>
      <c r="H35" s="199"/>
      <c r="I35" s="193">
        <v>3.8899999999999997E-2</v>
      </c>
      <c r="J35" s="201"/>
      <c r="K35" s="195">
        <f t="shared" si="1"/>
        <v>3.8899999999999997E-2</v>
      </c>
      <c r="L35" s="196"/>
    </row>
    <row r="36" spans="2:12">
      <c r="B36" s="197" t="s">
        <v>1218</v>
      </c>
      <c r="C36" s="189" t="s">
        <v>1613</v>
      </c>
      <c r="D36" s="190" t="s">
        <v>1226</v>
      </c>
      <c r="E36" s="199"/>
      <c r="F36" s="199"/>
      <c r="G36" s="199"/>
      <c r="H36" s="199"/>
      <c r="I36" s="193">
        <v>2.12E-2</v>
      </c>
      <c r="J36" s="201"/>
      <c r="K36" s="195">
        <f t="shared" si="1"/>
        <v>2.12E-2</v>
      </c>
      <c r="L36" s="196"/>
    </row>
    <row r="37" spans="2:12">
      <c r="B37" s="197"/>
      <c r="C37" s="189"/>
      <c r="D37" s="190"/>
      <c r="E37" s="199"/>
      <c r="F37" s="199"/>
      <c r="G37" s="199"/>
      <c r="H37" s="199"/>
      <c r="I37" s="193"/>
      <c r="J37" s="201"/>
      <c r="K37" s="195"/>
      <c r="L37" s="196"/>
    </row>
    <row r="38" spans="2:12">
      <c r="B38" s="202"/>
      <c r="C38" s="203"/>
      <c r="D38" s="203"/>
      <c r="E38" s="203"/>
      <c r="F38" s="203"/>
      <c r="G38" s="203"/>
      <c r="H38" s="204"/>
      <c r="I38" s="556" t="s">
        <v>1221</v>
      </c>
      <c r="J38" s="556"/>
      <c r="K38" s="206">
        <f>SUM(K28:K37)</f>
        <v>0.25780000000000003</v>
      </c>
      <c r="L38" s="207"/>
    </row>
    <row r="39" spans="2:12">
      <c r="B39" s="208"/>
      <c r="C39" s="204"/>
      <c r="D39" s="204"/>
      <c r="E39" s="204"/>
      <c r="F39" s="204"/>
      <c r="G39" s="204"/>
      <c r="H39" s="209"/>
      <c r="I39" s="557" t="s">
        <v>1222</v>
      </c>
      <c r="J39" s="557"/>
      <c r="K39" s="211">
        <v>1</v>
      </c>
      <c r="L39" s="207"/>
    </row>
    <row r="40" spans="2:12">
      <c r="B40" s="208"/>
      <c r="C40" s="204"/>
      <c r="D40" s="204"/>
      <c r="E40" s="204"/>
      <c r="F40" s="204"/>
      <c r="G40" s="204"/>
      <c r="H40" s="558" t="s">
        <v>1223</v>
      </c>
      <c r="I40" s="558"/>
      <c r="J40" s="558"/>
      <c r="K40" s="212">
        <v>0.2366</v>
      </c>
      <c r="L40" s="207"/>
    </row>
    <row r="41" spans="2:12">
      <c r="B41" s="208"/>
      <c r="C41" s="204"/>
      <c r="D41" s="204"/>
      <c r="E41" s="204"/>
      <c r="F41" s="204"/>
      <c r="G41" s="204"/>
      <c r="H41" s="558" t="s">
        <v>1596</v>
      </c>
      <c r="I41" s="558"/>
      <c r="J41" s="558"/>
      <c r="K41" s="212">
        <f>IF(K38&gt;K39,K39,K38)-K40</f>
        <v>2.1200000000000024E-2</v>
      </c>
      <c r="L41" s="207"/>
    </row>
    <row r="42" spans="2:12">
      <c r="B42" s="213"/>
      <c r="C42" s="214"/>
      <c r="D42" s="214"/>
      <c r="E42" s="214"/>
      <c r="F42" s="214"/>
      <c r="G42" s="214"/>
      <c r="H42" s="559" t="s">
        <v>1224</v>
      </c>
      <c r="I42" s="559"/>
      <c r="J42" s="559"/>
      <c r="K42" s="215">
        <f>IF(K38&gt;K39,K38-K39,0)</f>
        <v>0</v>
      </c>
      <c r="L42" s="209"/>
    </row>
    <row r="44" spans="2:12" ht="14.25" customHeight="1">
      <c r="B44" s="555" t="s">
        <v>1227</v>
      </c>
      <c r="C44" s="555"/>
      <c r="D44" s="555"/>
      <c r="E44" s="555"/>
      <c r="F44" s="555"/>
      <c r="G44" s="555"/>
      <c r="H44" s="555"/>
      <c r="I44" s="555"/>
      <c r="J44" s="555"/>
      <c r="K44" s="555"/>
      <c r="L44" s="555"/>
    </row>
    <row r="45" spans="2:12">
      <c r="B45" s="187" t="s">
        <v>1209</v>
      </c>
      <c r="C45" s="187"/>
      <c r="D45" s="187" t="s">
        <v>39</v>
      </c>
      <c r="E45" s="187" t="s">
        <v>1210</v>
      </c>
      <c r="F45" s="187" t="s">
        <v>1211</v>
      </c>
      <c r="G45" s="187" t="s">
        <v>1212</v>
      </c>
      <c r="H45" s="187" t="s">
        <v>1213</v>
      </c>
      <c r="I45" s="187" t="s">
        <v>1214</v>
      </c>
      <c r="J45" s="187" t="s">
        <v>1215</v>
      </c>
      <c r="K45" s="187" t="s">
        <v>1216</v>
      </c>
      <c r="L45" s="187" t="s">
        <v>1217</v>
      </c>
    </row>
    <row r="46" spans="2:12">
      <c r="B46" s="188" t="s">
        <v>1228</v>
      </c>
      <c r="C46" s="189" t="s">
        <v>1219</v>
      </c>
      <c r="D46" s="190" t="s">
        <v>39</v>
      </c>
      <c r="E46" s="191">
        <v>64</v>
      </c>
      <c r="F46" s="192"/>
      <c r="G46" s="192">
        <v>2</v>
      </c>
      <c r="H46" s="191"/>
      <c r="I46" s="191"/>
      <c r="J46" s="216"/>
      <c r="K46" s="217">
        <f>IF(E46*F46*G46&lt;&gt;0,E46*F46*G46,IF(E46*F46&lt;&gt;0,E46*F46,IF(F46*G46&lt;&gt;0,F46*G46,IF(E46*G46&lt;&gt;0,E46*G46,IF(E46&lt;&gt;0,E46,IF(F46&lt;&gt;0,F46,IF(G46&lt;&gt;0,G46,0)))))))*(IF(H46&lt;&gt;0,H46,1))+I46-J46</f>
        <v>128</v>
      </c>
      <c r="L46" s="218"/>
    </row>
    <row r="47" spans="2:12">
      <c r="B47" s="197"/>
      <c r="C47" s="189"/>
      <c r="D47" s="198"/>
      <c r="E47" s="199"/>
      <c r="F47" s="199"/>
      <c r="G47" s="199"/>
      <c r="H47" s="199"/>
      <c r="I47" s="199"/>
      <c r="J47" s="219"/>
      <c r="K47" s="217">
        <f>IF(E47*F47*G47&lt;&gt;0,E47*F47*G47,IF(E47*F47&lt;&gt;0,E47*F47,IF(F47*G47&lt;&gt;0,F47*G47,IF(E47*G47&lt;&gt;0,E47*G47,IF(E47&lt;&gt;0,E47,IF(F47&lt;&gt;0,F47,IF(G47&lt;&gt;0,G47,0)))))))*(IF(H47&lt;&gt;0,H47,1))+I47-J47</f>
        <v>0</v>
      </c>
      <c r="L47" s="218"/>
    </row>
    <row r="48" spans="2:12">
      <c r="B48" s="202"/>
      <c r="C48" s="203"/>
      <c r="D48" s="203"/>
      <c r="E48" s="203"/>
      <c r="F48" s="203"/>
      <c r="G48" s="203"/>
      <c r="H48" s="204"/>
      <c r="I48" s="556" t="s">
        <v>1221</v>
      </c>
      <c r="J48" s="556"/>
      <c r="K48" s="220">
        <f>SUM(K46:K47)</f>
        <v>128</v>
      </c>
      <c r="L48" s="207"/>
    </row>
    <row r="49" spans="2:12">
      <c r="B49" s="208"/>
      <c r="C49" s="204"/>
      <c r="D49" s="204"/>
      <c r="E49" s="204"/>
      <c r="F49" s="204"/>
      <c r="G49" s="204"/>
      <c r="H49" s="209"/>
      <c r="I49" s="557" t="s">
        <v>1222</v>
      </c>
      <c r="J49" s="557"/>
      <c r="K49" s="221">
        <v>128</v>
      </c>
      <c r="L49" s="207"/>
    </row>
    <row r="50" spans="2:12">
      <c r="B50" s="208"/>
      <c r="C50" s="204"/>
      <c r="D50" s="204"/>
      <c r="E50" s="204"/>
      <c r="F50" s="204"/>
      <c r="G50" s="204"/>
      <c r="H50" s="558" t="s">
        <v>1223</v>
      </c>
      <c r="I50" s="558"/>
      <c r="J50" s="558"/>
      <c r="K50" s="222"/>
      <c r="L50" s="207"/>
    </row>
    <row r="51" spans="2:12">
      <c r="B51" s="208"/>
      <c r="C51" s="204"/>
      <c r="D51" s="204"/>
      <c r="E51" s="204"/>
      <c r="F51" s="204"/>
      <c r="G51" s="204"/>
      <c r="H51" s="558" t="s">
        <v>1190</v>
      </c>
      <c r="I51" s="558"/>
      <c r="J51" s="558"/>
      <c r="K51" s="222">
        <f>IF(K48&gt;K49,K49,K48)-K50</f>
        <v>128</v>
      </c>
      <c r="L51" s="207"/>
    </row>
    <row r="52" spans="2:12">
      <c r="B52" s="213"/>
      <c r="C52" s="214"/>
      <c r="D52" s="214"/>
      <c r="E52" s="214"/>
      <c r="F52" s="214"/>
      <c r="G52" s="214"/>
      <c r="H52" s="559" t="s">
        <v>1224</v>
      </c>
      <c r="I52" s="559"/>
      <c r="J52" s="559"/>
      <c r="K52" s="223">
        <f>IF(K48&gt;K49,K48-K49,0)</f>
        <v>0</v>
      </c>
      <c r="L52" s="209"/>
    </row>
    <row r="54" spans="2:12" ht="14.25" customHeight="1">
      <c r="B54" s="555" t="s">
        <v>1229</v>
      </c>
      <c r="C54" s="555"/>
      <c r="D54" s="555"/>
      <c r="E54" s="555"/>
      <c r="F54" s="555"/>
      <c r="G54" s="555"/>
      <c r="H54" s="555"/>
      <c r="I54" s="555"/>
      <c r="J54" s="555"/>
      <c r="K54" s="555"/>
      <c r="L54" s="555"/>
    </row>
    <row r="55" spans="2:12">
      <c r="B55" s="187" t="s">
        <v>1209</v>
      </c>
      <c r="C55" s="187"/>
      <c r="D55" s="187" t="s">
        <v>39</v>
      </c>
      <c r="E55" s="187" t="s">
        <v>1210</v>
      </c>
      <c r="F55" s="187" t="s">
        <v>1211</v>
      </c>
      <c r="G55" s="187" t="s">
        <v>1212</v>
      </c>
      <c r="H55" s="187" t="s">
        <v>1213</v>
      </c>
      <c r="I55" s="187" t="s">
        <v>1214</v>
      </c>
      <c r="J55" s="187" t="s">
        <v>1215</v>
      </c>
      <c r="K55" s="187" t="s">
        <v>1216</v>
      </c>
      <c r="L55" s="187" t="s">
        <v>1217</v>
      </c>
    </row>
    <row r="56" spans="2:12">
      <c r="B56" s="188" t="s">
        <v>1228</v>
      </c>
      <c r="C56" s="189" t="s">
        <v>1219</v>
      </c>
      <c r="D56" s="190" t="s">
        <v>79</v>
      </c>
      <c r="E56" s="191">
        <f>30/4</f>
        <v>7.5</v>
      </c>
      <c r="F56" s="192">
        <v>4</v>
      </c>
      <c r="G56" s="192"/>
      <c r="H56" s="191"/>
      <c r="I56" s="191"/>
      <c r="J56" s="216"/>
      <c r="K56" s="217">
        <f>IF(E56*F56*G56&lt;&gt;0,E56*F56*G56,IF(E56*F56&lt;&gt;0,E56*F56,IF(F56*G56&lt;&gt;0,F56*G56,IF(E56*G56&lt;&gt;0,E56*G56,IF(E56&lt;&gt;0,E56,IF(F56&lt;&gt;0,F56,IF(G56&lt;&gt;0,G56,0)))))))*(IF(H56&lt;&gt;0,H56,1))+I56-J56</f>
        <v>30</v>
      </c>
      <c r="L56" s="218"/>
    </row>
    <row r="57" spans="2:12">
      <c r="B57" s="188" t="s">
        <v>1228</v>
      </c>
      <c r="C57" s="189" t="s">
        <v>1240</v>
      </c>
      <c r="D57" s="190" t="s">
        <v>79</v>
      </c>
      <c r="E57" s="191">
        <v>2.5</v>
      </c>
      <c r="F57" s="192">
        <v>4</v>
      </c>
      <c r="G57" s="192"/>
      <c r="H57" s="191"/>
      <c r="I57" s="191"/>
      <c r="J57" s="216"/>
      <c r="K57" s="217">
        <f>IF(E57*F57*G57&lt;&gt;0,E57*F57*G57,IF(E57*F57&lt;&gt;0,E57*F57,IF(F57*G57&lt;&gt;0,F57*G57,IF(E57*G57&lt;&gt;0,E57*G57,IF(E57&lt;&gt;0,E57,IF(F57&lt;&gt;0,F57,IF(G57&lt;&gt;0,G57,0)))))))*(IF(H57&lt;&gt;0,H57,1))+I57-J57</f>
        <v>10</v>
      </c>
      <c r="L57" s="218"/>
    </row>
    <row r="58" spans="2:12">
      <c r="B58" s="202"/>
      <c r="C58" s="203"/>
      <c r="D58" s="203"/>
      <c r="E58" s="203"/>
      <c r="F58" s="203"/>
      <c r="G58" s="203"/>
      <c r="H58" s="204"/>
      <c r="I58" s="556" t="s">
        <v>1221</v>
      </c>
      <c r="J58" s="556"/>
      <c r="K58" s="220">
        <f>SUM(K56:K57)</f>
        <v>40</v>
      </c>
      <c r="L58" s="207"/>
    </row>
    <row r="59" spans="2:12">
      <c r="B59" s="208"/>
      <c r="C59" s="204"/>
      <c r="D59" s="204"/>
      <c r="E59" s="204"/>
      <c r="F59" s="204"/>
      <c r="G59" s="204"/>
      <c r="H59" s="209"/>
      <c r="I59" s="557" t="s">
        <v>1222</v>
      </c>
      <c r="J59" s="557"/>
      <c r="K59" s="221">
        <v>40</v>
      </c>
      <c r="L59" s="207"/>
    </row>
    <row r="60" spans="2:12">
      <c r="B60" s="208"/>
      <c r="C60" s="204"/>
      <c r="D60" s="204"/>
      <c r="E60" s="204"/>
      <c r="F60" s="204"/>
      <c r="G60" s="204"/>
      <c r="H60" s="558" t="s">
        <v>1223</v>
      </c>
      <c r="I60" s="558"/>
      <c r="J60" s="558"/>
      <c r="K60" s="222">
        <v>30</v>
      </c>
      <c r="L60" s="207"/>
    </row>
    <row r="61" spans="2:12">
      <c r="B61" s="208"/>
      <c r="C61" s="204"/>
      <c r="D61" s="204"/>
      <c r="E61" s="204"/>
      <c r="F61" s="204"/>
      <c r="G61" s="204"/>
      <c r="H61" s="558" t="s">
        <v>1199</v>
      </c>
      <c r="I61" s="558"/>
      <c r="J61" s="558"/>
      <c r="K61" s="222">
        <f>IF(K58&gt;K59,K59,K58)-K60</f>
        <v>10</v>
      </c>
      <c r="L61" s="207"/>
    </row>
    <row r="62" spans="2:12">
      <c r="B62" s="213"/>
      <c r="C62" s="214"/>
      <c r="D62" s="214"/>
      <c r="E62" s="214"/>
      <c r="F62" s="214"/>
      <c r="G62" s="214"/>
      <c r="H62" s="559" t="s">
        <v>1224</v>
      </c>
      <c r="I62" s="559"/>
      <c r="J62" s="559"/>
      <c r="K62" s="223">
        <f>IF(K58&gt;K59,K58-K59,0)</f>
        <v>0</v>
      </c>
      <c r="L62" s="209"/>
    </row>
    <row r="64" spans="2:12" ht="14.25" customHeight="1">
      <c r="B64" s="555" t="s">
        <v>1230</v>
      </c>
      <c r="C64" s="555"/>
      <c r="D64" s="555"/>
      <c r="E64" s="555"/>
      <c r="F64" s="555"/>
      <c r="G64" s="555"/>
      <c r="H64" s="555"/>
      <c r="I64" s="555"/>
      <c r="J64" s="555"/>
      <c r="K64" s="555"/>
      <c r="L64" s="555"/>
    </row>
    <row r="65" spans="2:12">
      <c r="B65" s="187" t="s">
        <v>1209</v>
      </c>
      <c r="C65" s="187"/>
      <c r="D65" s="187" t="s">
        <v>39</v>
      </c>
      <c r="E65" s="187" t="s">
        <v>1210</v>
      </c>
      <c r="F65" s="187" t="s">
        <v>1211</v>
      </c>
      <c r="G65" s="187" t="s">
        <v>1212</v>
      </c>
      <c r="H65" s="187" t="s">
        <v>1213</v>
      </c>
      <c r="I65" s="187" t="s">
        <v>1214</v>
      </c>
      <c r="J65" s="187" t="s">
        <v>1215</v>
      </c>
      <c r="K65" s="187" t="s">
        <v>1216</v>
      </c>
      <c r="L65" s="187" t="s">
        <v>1217</v>
      </c>
    </row>
    <row r="66" spans="2:12">
      <c r="B66" s="188" t="s">
        <v>1228</v>
      </c>
      <c r="C66" s="189" t="s">
        <v>1219</v>
      </c>
      <c r="D66" s="190" t="s">
        <v>39</v>
      </c>
      <c r="E66" s="191">
        <f>48/4</f>
        <v>12</v>
      </c>
      <c r="F66" s="192">
        <v>4</v>
      </c>
      <c r="G66" s="192"/>
      <c r="H66" s="191"/>
      <c r="I66" s="191"/>
      <c r="J66" s="216"/>
      <c r="K66" s="217">
        <f>IF(E66*F66*G66&lt;&gt;0,E66*F66*G66,IF(E66*F66&lt;&gt;0,E66*F66,IF(F66*G66&lt;&gt;0,F66*G66,IF(E66*G66&lt;&gt;0,E66*G66,IF(E66&lt;&gt;0,E66,IF(F66&lt;&gt;0,F66,IF(G66&lt;&gt;0,G66,0)))))))*(IF(H66&lt;&gt;0,H66,1))+I66-J66</f>
        <v>48</v>
      </c>
      <c r="L66" s="218"/>
    </row>
    <row r="67" spans="2:12">
      <c r="B67" s="188" t="s">
        <v>1228</v>
      </c>
      <c r="C67" s="189" t="s">
        <v>1240</v>
      </c>
      <c r="D67" s="190" t="s">
        <v>39</v>
      </c>
      <c r="E67" s="191">
        <v>5</v>
      </c>
      <c r="F67" s="192">
        <v>4</v>
      </c>
      <c r="G67" s="192"/>
      <c r="H67" s="191"/>
      <c r="I67" s="191"/>
      <c r="J67" s="219"/>
      <c r="K67" s="217">
        <f>IF(E67*F67*G67&lt;&gt;0,E67*F67*G67,IF(E67*F67&lt;&gt;0,E67*F67,IF(F67*G67&lt;&gt;0,F67*G67,IF(E67*G67&lt;&gt;0,E67*G67,IF(E67&lt;&gt;0,E67,IF(F67&lt;&gt;0,F67,IF(G67&lt;&gt;0,G67,0)))))))*(IF(H67&lt;&gt;0,H67,1))+I67-J67</f>
        <v>20</v>
      </c>
      <c r="L67" s="218"/>
    </row>
    <row r="68" spans="2:12">
      <c r="B68" s="202"/>
      <c r="C68" s="203"/>
      <c r="D68" s="203"/>
      <c r="E68" s="203"/>
      <c r="F68" s="203"/>
      <c r="G68" s="203"/>
      <c r="H68" s="204"/>
      <c r="I68" s="556" t="s">
        <v>1221</v>
      </c>
      <c r="J68" s="556"/>
      <c r="K68" s="220">
        <f>SUM(K66:K67)</f>
        <v>68</v>
      </c>
      <c r="L68" s="207"/>
    </row>
    <row r="69" spans="2:12">
      <c r="B69" s="208"/>
      <c r="C69" s="204"/>
      <c r="D69" s="204"/>
      <c r="E69" s="204"/>
      <c r="F69" s="204"/>
      <c r="G69" s="204"/>
      <c r="H69" s="209"/>
      <c r="I69" s="557" t="s">
        <v>1222</v>
      </c>
      <c r="J69" s="557"/>
      <c r="K69" s="221">
        <v>68</v>
      </c>
      <c r="L69" s="207"/>
    </row>
    <row r="70" spans="2:12">
      <c r="B70" s="208"/>
      <c r="C70" s="204"/>
      <c r="D70" s="204"/>
      <c r="E70" s="204"/>
      <c r="F70" s="204"/>
      <c r="G70" s="204"/>
      <c r="H70" s="558" t="s">
        <v>1223</v>
      </c>
      <c r="I70" s="558"/>
      <c r="J70" s="558"/>
      <c r="K70" s="222">
        <v>48</v>
      </c>
      <c r="L70" s="207"/>
    </row>
    <row r="71" spans="2:12">
      <c r="B71" s="208"/>
      <c r="C71" s="204"/>
      <c r="D71" s="204"/>
      <c r="E71" s="204"/>
      <c r="F71" s="204"/>
      <c r="G71" s="204"/>
      <c r="H71" s="558" t="s">
        <v>1199</v>
      </c>
      <c r="I71" s="558"/>
      <c r="J71" s="558"/>
      <c r="K71" s="222">
        <f>IF(K68&gt;K69,K69,K68)-K70</f>
        <v>20</v>
      </c>
      <c r="L71" s="207"/>
    </row>
    <row r="72" spans="2:12">
      <c r="B72" s="213"/>
      <c r="C72" s="214"/>
      <c r="D72" s="214"/>
      <c r="E72" s="214"/>
      <c r="F72" s="214"/>
      <c r="G72" s="214"/>
      <c r="H72" s="559" t="s">
        <v>1224</v>
      </c>
      <c r="I72" s="559"/>
      <c r="J72" s="559"/>
      <c r="K72" s="223">
        <f>IF(K68&gt;K69,K68-K69,0)</f>
        <v>0</v>
      </c>
      <c r="L72" s="209"/>
    </row>
    <row r="74" spans="2:12" ht="14.25" customHeight="1">
      <c r="B74" s="555" t="s">
        <v>1231</v>
      </c>
      <c r="C74" s="555"/>
      <c r="D74" s="555"/>
      <c r="E74" s="555"/>
      <c r="F74" s="555"/>
      <c r="G74" s="555"/>
      <c r="H74" s="555"/>
      <c r="I74" s="555"/>
      <c r="J74" s="555"/>
      <c r="K74" s="555"/>
      <c r="L74" s="555"/>
    </row>
    <row r="75" spans="2:12">
      <c r="B75" s="187" t="s">
        <v>1209</v>
      </c>
      <c r="C75" s="187"/>
      <c r="D75" s="187" t="s">
        <v>39</v>
      </c>
      <c r="E75" s="187" t="s">
        <v>1210</v>
      </c>
      <c r="F75" s="187" t="s">
        <v>1211</v>
      </c>
      <c r="G75" s="187" t="s">
        <v>1212</v>
      </c>
      <c r="H75" s="187" t="s">
        <v>1213</v>
      </c>
      <c r="I75" s="187" t="s">
        <v>1214</v>
      </c>
      <c r="J75" s="187" t="s">
        <v>1215</v>
      </c>
      <c r="K75" s="187" t="s">
        <v>1216</v>
      </c>
      <c r="L75" s="187" t="s">
        <v>1217</v>
      </c>
    </row>
    <row r="76" spans="2:12">
      <c r="B76" s="188" t="s">
        <v>1228</v>
      </c>
      <c r="C76" s="189" t="s">
        <v>1219</v>
      </c>
      <c r="D76" s="190" t="s">
        <v>39</v>
      </c>
      <c r="E76" s="191">
        <v>15</v>
      </c>
      <c r="F76" s="192">
        <v>4</v>
      </c>
      <c r="G76" s="192"/>
      <c r="H76" s="191"/>
      <c r="I76" s="191"/>
      <c r="J76" s="216"/>
      <c r="K76" s="217">
        <f>IF(E76*F76*G76&lt;&gt;0,E76*F76*G76,IF(E76*F76&lt;&gt;0,E76*F76,IF(F76*G76&lt;&gt;0,F76*G76,IF(E76*G76&lt;&gt;0,E76*G76,IF(E76&lt;&gt;0,E76,IF(F76&lt;&gt;0,F76,IF(G76&lt;&gt;0,G76,0)))))))*(IF(H76&lt;&gt;0,H76,1))+I76-J76</f>
        <v>60</v>
      </c>
      <c r="L76" s="218"/>
    </row>
    <row r="77" spans="2:12">
      <c r="B77" s="197"/>
      <c r="C77" s="189"/>
      <c r="D77" s="198"/>
      <c r="E77" s="199"/>
      <c r="F77" s="199"/>
      <c r="G77" s="199"/>
      <c r="H77" s="199"/>
      <c r="I77" s="199"/>
      <c r="J77" s="219"/>
      <c r="K77" s="217">
        <f>IF(E77*F77*G77&lt;&gt;0,E77*F77*G77,IF(E77*F77&lt;&gt;0,E77*F77,IF(F77*G77&lt;&gt;0,F77*G77,IF(E77*G77&lt;&gt;0,E77*G77,IF(E77&lt;&gt;0,E77,IF(F77&lt;&gt;0,F77,IF(G77&lt;&gt;0,G77,0)))))))*(IF(H77&lt;&gt;0,H77,1))+I77-J77</f>
        <v>0</v>
      </c>
      <c r="L77" s="218"/>
    </row>
    <row r="78" spans="2:12">
      <c r="B78" s="202"/>
      <c r="C78" s="203"/>
      <c r="D78" s="203"/>
      <c r="E78" s="203"/>
      <c r="F78" s="203"/>
      <c r="G78" s="203"/>
      <c r="H78" s="204"/>
      <c r="I78" s="556" t="s">
        <v>1221</v>
      </c>
      <c r="J78" s="556"/>
      <c r="K78" s="220">
        <f>SUM(K76:K77)</f>
        <v>60</v>
      </c>
      <c r="L78" s="207"/>
    </row>
    <row r="79" spans="2:12">
      <c r="B79" s="208"/>
      <c r="C79" s="204"/>
      <c r="D79" s="204"/>
      <c r="E79" s="204"/>
      <c r="F79" s="204"/>
      <c r="G79" s="204"/>
      <c r="H79" s="209"/>
      <c r="I79" s="557" t="s">
        <v>1222</v>
      </c>
      <c r="J79" s="557"/>
      <c r="K79" s="221">
        <v>60</v>
      </c>
      <c r="L79" s="207"/>
    </row>
    <row r="80" spans="2:12">
      <c r="B80" s="208"/>
      <c r="C80" s="204"/>
      <c r="D80" s="204"/>
      <c r="E80" s="204"/>
      <c r="F80" s="204"/>
      <c r="G80" s="204"/>
      <c r="H80" s="558" t="s">
        <v>1223</v>
      </c>
      <c r="I80" s="558"/>
      <c r="J80" s="558"/>
      <c r="K80" s="222"/>
      <c r="L80" s="207"/>
    </row>
    <row r="81" spans="2:12">
      <c r="B81" s="208"/>
      <c r="C81" s="204"/>
      <c r="D81" s="204"/>
      <c r="E81" s="204"/>
      <c r="F81" s="204"/>
      <c r="G81" s="204"/>
      <c r="H81" s="558" t="s">
        <v>1190</v>
      </c>
      <c r="I81" s="558"/>
      <c r="J81" s="558"/>
      <c r="K81" s="222">
        <f>IF(K78&gt;K79,K79,K78)-K80</f>
        <v>60</v>
      </c>
      <c r="L81" s="207"/>
    </row>
    <row r="82" spans="2:12">
      <c r="B82" s="213"/>
      <c r="C82" s="214"/>
      <c r="D82" s="214"/>
      <c r="E82" s="214"/>
      <c r="F82" s="214"/>
      <c r="G82" s="214"/>
      <c r="H82" s="559" t="s">
        <v>1224</v>
      </c>
      <c r="I82" s="559"/>
      <c r="J82" s="559"/>
      <c r="K82" s="223">
        <f>IF(K78&gt;K79,K78-K79,0)</f>
        <v>0</v>
      </c>
      <c r="L82" s="209"/>
    </row>
    <row r="84" spans="2:12" ht="14.25" customHeight="1">
      <c r="B84" s="555" t="s">
        <v>1232</v>
      </c>
      <c r="C84" s="555"/>
      <c r="D84" s="555"/>
      <c r="E84" s="555"/>
      <c r="F84" s="555"/>
      <c r="G84" s="555"/>
      <c r="H84" s="555"/>
      <c r="I84" s="555"/>
      <c r="J84" s="555"/>
      <c r="K84" s="555"/>
      <c r="L84" s="555"/>
    </row>
    <row r="85" spans="2:12">
      <c r="B85" s="187" t="s">
        <v>1209</v>
      </c>
      <c r="C85" s="187"/>
      <c r="D85" s="187" t="s">
        <v>39</v>
      </c>
      <c r="E85" s="187" t="s">
        <v>1210</v>
      </c>
      <c r="F85" s="187" t="s">
        <v>1211</v>
      </c>
      <c r="G85" s="187" t="s">
        <v>1212</v>
      </c>
      <c r="H85" s="187" t="s">
        <v>1213</v>
      </c>
      <c r="I85" s="187" t="s">
        <v>1214</v>
      </c>
      <c r="J85" s="187" t="s">
        <v>1215</v>
      </c>
      <c r="K85" s="187" t="s">
        <v>1216</v>
      </c>
      <c r="L85" s="187" t="s">
        <v>1217</v>
      </c>
    </row>
    <row r="86" spans="2:12">
      <c r="B86" s="188" t="s">
        <v>1228</v>
      </c>
      <c r="C86" s="189" t="s">
        <v>1219</v>
      </c>
      <c r="D86" s="190" t="s">
        <v>39</v>
      </c>
      <c r="E86" s="191">
        <v>5</v>
      </c>
      <c r="F86" s="192">
        <v>4</v>
      </c>
      <c r="G86" s="192"/>
      <c r="H86" s="191"/>
      <c r="I86" s="191"/>
      <c r="J86" s="216"/>
      <c r="K86" s="217">
        <f>IF(E86*F86*G86&lt;&gt;0,E86*F86*G86,IF(E86*F86&lt;&gt;0,E86*F86,IF(F86*G86&lt;&gt;0,F86*G86,IF(E86*G86&lt;&gt;0,E86*G86,IF(E86&lt;&gt;0,E86,IF(F86&lt;&gt;0,F86,IF(G86&lt;&gt;0,G86,0)))))))*(IF(H86&lt;&gt;0,H86,1))+I86-J86</f>
        <v>20</v>
      </c>
      <c r="L86" s="218"/>
    </row>
    <row r="87" spans="2:12">
      <c r="B87" s="188" t="s">
        <v>1228</v>
      </c>
      <c r="C87" s="189" t="s">
        <v>1240</v>
      </c>
      <c r="D87" s="190" t="s">
        <v>39</v>
      </c>
      <c r="E87" s="191">
        <v>10</v>
      </c>
      <c r="F87" s="192">
        <v>4</v>
      </c>
      <c r="G87" s="192"/>
      <c r="H87" s="191"/>
      <c r="I87" s="191"/>
      <c r="J87" s="219"/>
      <c r="K87" s="217">
        <f>IF(E87*F87*G87&lt;&gt;0,E87*F87*G87,IF(E87*F87&lt;&gt;0,E87*F87,IF(F87*G87&lt;&gt;0,F87*G87,IF(E87*G87&lt;&gt;0,E87*G87,IF(E87&lt;&gt;0,E87,IF(F87&lt;&gt;0,F87,IF(G87&lt;&gt;0,G87,0)))))))*(IF(H87&lt;&gt;0,H87,1))+I87-J87</f>
        <v>40</v>
      </c>
      <c r="L87" s="218"/>
    </row>
    <row r="88" spans="2:12">
      <c r="B88" s="202"/>
      <c r="C88" s="203"/>
      <c r="D88" s="203"/>
      <c r="E88" s="203"/>
      <c r="F88" s="203"/>
      <c r="G88" s="203"/>
      <c r="H88" s="204"/>
      <c r="I88" s="556" t="s">
        <v>1221</v>
      </c>
      <c r="J88" s="556"/>
      <c r="K88" s="220">
        <f>SUM(K86:K87)</f>
        <v>60</v>
      </c>
      <c r="L88" s="207"/>
    </row>
    <row r="89" spans="2:12">
      <c r="B89" s="208"/>
      <c r="C89" s="204"/>
      <c r="D89" s="204"/>
      <c r="E89" s="204"/>
      <c r="F89" s="204"/>
      <c r="G89" s="204"/>
      <c r="H89" s="209"/>
      <c r="I89" s="557" t="s">
        <v>1222</v>
      </c>
      <c r="J89" s="557"/>
      <c r="K89" s="221">
        <v>60</v>
      </c>
      <c r="L89" s="207"/>
    </row>
    <row r="90" spans="2:12">
      <c r="B90" s="208"/>
      <c r="C90" s="204"/>
      <c r="D90" s="204"/>
      <c r="E90" s="204"/>
      <c r="F90" s="204"/>
      <c r="G90" s="204"/>
      <c r="H90" s="558" t="s">
        <v>1223</v>
      </c>
      <c r="I90" s="558"/>
      <c r="J90" s="558"/>
      <c r="K90" s="222">
        <v>20</v>
      </c>
      <c r="L90" s="207"/>
    </row>
    <row r="91" spans="2:12">
      <c r="B91" s="208"/>
      <c r="C91" s="204"/>
      <c r="D91" s="204"/>
      <c r="E91" s="204"/>
      <c r="F91" s="204"/>
      <c r="G91" s="204"/>
      <c r="H91" s="558" t="s">
        <v>1199</v>
      </c>
      <c r="I91" s="558"/>
      <c r="J91" s="558"/>
      <c r="K91" s="222">
        <f>IF(K88&gt;K89,K89,K88)-K90</f>
        <v>40</v>
      </c>
      <c r="L91" s="207"/>
    </row>
    <row r="92" spans="2:12">
      <c r="B92" s="213"/>
      <c r="C92" s="214"/>
      <c r="D92" s="214"/>
      <c r="E92" s="214"/>
      <c r="F92" s="214"/>
      <c r="G92" s="214"/>
      <c r="H92" s="559" t="s">
        <v>1224</v>
      </c>
      <c r="I92" s="559"/>
      <c r="J92" s="559"/>
      <c r="K92" s="223">
        <f>IF(K88&gt;K89,K88-K89,0)</f>
        <v>0</v>
      </c>
      <c r="L92" s="209"/>
    </row>
    <row r="94" spans="2:12" ht="14.25" customHeight="1">
      <c r="B94" s="555" t="s">
        <v>1233</v>
      </c>
      <c r="C94" s="555"/>
      <c r="D94" s="555"/>
      <c r="E94" s="555"/>
      <c r="F94" s="555"/>
      <c r="G94" s="555"/>
      <c r="H94" s="555"/>
      <c r="I94" s="555"/>
      <c r="J94" s="555"/>
      <c r="K94" s="555"/>
      <c r="L94" s="555"/>
    </row>
    <row r="95" spans="2:12">
      <c r="B95" s="187" t="s">
        <v>1209</v>
      </c>
      <c r="C95" s="187"/>
      <c r="D95" s="187" t="s">
        <v>39</v>
      </c>
      <c r="E95" s="187" t="s">
        <v>1210</v>
      </c>
      <c r="F95" s="187" t="s">
        <v>1211</v>
      </c>
      <c r="G95" s="187" t="s">
        <v>1212</v>
      </c>
      <c r="H95" s="187" t="s">
        <v>1213</v>
      </c>
      <c r="I95" s="187" t="s">
        <v>1214</v>
      </c>
      <c r="J95" s="187" t="s">
        <v>1215</v>
      </c>
      <c r="K95" s="187" t="s">
        <v>1216</v>
      </c>
      <c r="L95" s="187" t="s">
        <v>1217</v>
      </c>
    </row>
    <row r="96" spans="2:12">
      <c r="B96" s="188" t="s">
        <v>1228</v>
      </c>
      <c r="C96" s="189" t="s">
        <v>1219</v>
      </c>
      <c r="D96" s="190" t="s">
        <v>39</v>
      </c>
      <c r="E96" s="191">
        <v>5</v>
      </c>
      <c r="F96" s="192">
        <v>4</v>
      </c>
      <c r="G96" s="192"/>
      <c r="H96" s="191"/>
      <c r="I96" s="191"/>
      <c r="J96" s="216"/>
      <c r="K96" s="217">
        <f>IF(E96*F96*G96&lt;&gt;0,E96*F96*G96,IF(E96*F96&lt;&gt;0,E96*F96,IF(F96*G96&lt;&gt;0,F96*G96,IF(E96*G96&lt;&gt;0,E96*G96,IF(E96&lt;&gt;0,E96,IF(F96&lt;&gt;0,F96,IF(G96&lt;&gt;0,G96,0)))))))*(IF(H96&lt;&gt;0,H96,1))+I96-J96</f>
        <v>20</v>
      </c>
      <c r="L96" s="218"/>
    </row>
    <row r="97" spans="2:12">
      <c r="B97" s="188" t="s">
        <v>1228</v>
      </c>
      <c r="C97" s="189" t="s">
        <v>1219</v>
      </c>
      <c r="D97" s="190" t="s">
        <v>39</v>
      </c>
      <c r="E97" s="191">
        <v>7.5</v>
      </c>
      <c r="F97" s="192">
        <v>4</v>
      </c>
      <c r="G97" s="192"/>
      <c r="H97" s="191"/>
      <c r="I97" s="191"/>
      <c r="J97" s="216"/>
      <c r="K97" s="217">
        <f>IF(E97*F97*G97&lt;&gt;0,E97*F97*G97,IF(E97*F97&lt;&gt;0,E97*F97,IF(F97*G97&lt;&gt;0,F97*G97,IF(E97*G97&lt;&gt;0,E97*G97,IF(E97&lt;&gt;0,E97,IF(F97&lt;&gt;0,F97,IF(G97&lt;&gt;0,G97,0)))))))*(IF(H97&lt;&gt;0,H97,1))+I97-J97</f>
        <v>30</v>
      </c>
      <c r="L97" s="218"/>
    </row>
    <row r="98" spans="2:12">
      <c r="B98" s="202"/>
      <c r="C98" s="203"/>
      <c r="D98" s="203"/>
      <c r="E98" s="203"/>
      <c r="F98" s="203"/>
      <c r="G98" s="203"/>
      <c r="H98" s="204"/>
      <c r="I98" s="556" t="s">
        <v>1221</v>
      </c>
      <c r="J98" s="556"/>
      <c r="K98" s="220">
        <f>SUM(K96:K97)</f>
        <v>50</v>
      </c>
      <c r="L98" s="207"/>
    </row>
    <row r="99" spans="2:12">
      <c r="B99" s="208"/>
      <c r="C99" s="204"/>
      <c r="D99" s="204"/>
      <c r="E99" s="204"/>
      <c r="F99" s="204"/>
      <c r="G99" s="204"/>
      <c r="H99" s="209"/>
      <c r="I99" s="557" t="s">
        <v>1222</v>
      </c>
      <c r="J99" s="557"/>
      <c r="K99" s="221">
        <v>50</v>
      </c>
      <c r="L99" s="207"/>
    </row>
    <row r="100" spans="2:12">
      <c r="B100" s="208"/>
      <c r="C100" s="204"/>
      <c r="D100" s="204"/>
      <c r="E100" s="204"/>
      <c r="F100" s="204"/>
      <c r="G100" s="204"/>
      <c r="H100" s="558" t="s">
        <v>1223</v>
      </c>
      <c r="I100" s="558"/>
      <c r="J100" s="558"/>
      <c r="K100" s="222">
        <v>20</v>
      </c>
      <c r="L100" s="207"/>
    </row>
    <row r="101" spans="2:12">
      <c r="B101" s="208"/>
      <c r="C101" s="204"/>
      <c r="D101" s="204"/>
      <c r="E101" s="204"/>
      <c r="F101" s="204"/>
      <c r="G101" s="204"/>
      <c r="H101" s="558" t="s">
        <v>1199</v>
      </c>
      <c r="I101" s="558"/>
      <c r="J101" s="558"/>
      <c r="K101" s="222">
        <f>IF(K98&gt;K99,K99,K98)-K100</f>
        <v>30</v>
      </c>
      <c r="L101" s="207"/>
    </row>
    <row r="102" spans="2:12">
      <c r="B102" s="213"/>
      <c r="C102" s="214"/>
      <c r="D102" s="214"/>
      <c r="E102" s="214"/>
      <c r="F102" s="214"/>
      <c r="G102" s="214"/>
      <c r="H102" s="559" t="s">
        <v>1224</v>
      </c>
      <c r="I102" s="559"/>
      <c r="J102" s="559"/>
      <c r="K102" s="223">
        <f>IF(K98&gt;K99,K98-K99,0)</f>
        <v>0</v>
      </c>
      <c r="L102" s="209"/>
    </row>
    <row r="104" spans="2:12" ht="15" customHeight="1">
      <c r="B104" s="555" t="s">
        <v>1234</v>
      </c>
      <c r="C104" s="555"/>
      <c r="D104" s="555"/>
      <c r="E104" s="555"/>
      <c r="F104" s="555"/>
      <c r="G104" s="555"/>
      <c r="H104" s="555"/>
      <c r="I104" s="555"/>
      <c r="J104" s="555"/>
      <c r="K104" s="555"/>
      <c r="L104" s="555"/>
    </row>
    <row r="105" spans="2:12">
      <c r="B105" s="187" t="s">
        <v>1209</v>
      </c>
      <c r="C105" s="187"/>
      <c r="D105" s="187" t="s">
        <v>39</v>
      </c>
      <c r="E105" s="187" t="s">
        <v>1210</v>
      </c>
      <c r="F105" s="187" t="s">
        <v>1211</v>
      </c>
      <c r="G105" s="187" t="s">
        <v>1212</v>
      </c>
      <c r="H105" s="187" t="s">
        <v>1213</v>
      </c>
      <c r="I105" s="187" t="s">
        <v>1214</v>
      </c>
      <c r="J105" s="187" t="s">
        <v>1215</v>
      </c>
      <c r="K105" s="187" t="s">
        <v>1216</v>
      </c>
      <c r="L105" s="187" t="s">
        <v>1217</v>
      </c>
    </row>
    <row r="106" spans="2:12">
      <c r="B106" s="188" t="s">
        <v>1235</v>
      </c>
      <c r="C106" s="189" t="s">
        <v>1219</v>
      </c>
      <c r="D106" s="190" t="s">
        <v>169</v>
      </c>
      <c r="E106" s="191">
        <v>1616.87</v>
      </c>
      <c r="F106" s="192"/>
      <c r="G106" s="192">
        <v>0.75</v>
      </c>
      <c r="H106" s="191"/>
      <c r="I106" s="191"/>
      <c r="J106" s="216"/>
      <c r="K106" s="217">
        <f>IF(E106*F106*G106&lt;&gt;0,E106*F106*G106,IF(E106*F106&lt;&gt;0,E106*F106,IF(F106*G106&lt;&gt;0,F106*G106,IF(E106*G106&lt;&gt;0,E106*G106,IF(E106&lt;&gt;0,E106,IF(F106&lt;&gt;0,F106,IF(G106&lt;&gt;0,G106,0)))))))*(IF(H106&lt;&gt;0,H106,1))+I106-J106</f>
        <v>1212.6524999999999</v>
      </c>
      <c r="L106" s="218"/>
    </row>
    <row r="107" spans="2:12">
      <c r="B107" s="188" t="s">
        <v>1235</v>
      </c>
      <c r="C107" s="189" t="s">
        <v>1271</v>
      </c>
      <c r="D107" s="190" t="s">
        <v>169</v>
      </c>
      <c r="E107" s="199">
        <v>1616.87</v>
      </c>
      <c r="F107" s="199"/>
      <c r="G107" s="199">
        <v>0.25</v>
      </c>
      <c r="H107" s="199"/>
      <c r="I107" s="199"/>
      <c r="J107" s="219"/>
      <c r="K107" s="217">
        <f>IF(E107*F107*G107&lt;&gt;0,E107*F107*G107,IF(E107*F107&lt;&gt;0,E107*F107,IF(F107*G107&lt;&gt;0,F107*G107,IF(E107*G107&lt;&gt;0,E107*G107,IF(E107&lt;&gt;0,E107,IF(F107&lt;&gt;0,F107,IF(G107&lt;&gt;0,G107,0)))))))*(IF(H107&lt;&gt;0,H107,1))+I107-J107</f>
        <v>404.21749999999997</v>
      </c>
      <c r="L107" s="218"/>
    </row>
    <row r="108" spans="2:12">
      <c r="B108" s="197"/>
      <c r="C108" s="189"/>
      <c r="D108" s="198"/>
      <c r="E108" s="199"/>
      <c r="F108" s="199"/>
      <c r="G108" s="199"/>
      <c r="H108" s="199"/>
      <c r="I108" s="199"/>
      <c r="J108" s="219"/>
      <c r="K108" s="217">
        <f>IF(E108*F108*G108&lt;&gt;0,E108*F108*G108,IF(E108*F108&lt;&gt;0,E108*F108,IF(F108*G108&lt;&gt;0,F108*G108,IF(E108*G108&lt;&gt;0,E108*G108,IF(E108&lt;&gt;0,E108,IF(F108&lt;&gt;0,F108,IF(G108&lt;&gt;0,G108,0)))))))*(IF(H108&lt;&gt;0,H108,1))+I108-J108</f>
        <v>0</v>
      </c>
      <c r="L108" s="218"/>
    </row>
    <row r="109" spans="2:12">
      <c r="B109" s="202"/>
      <c r="C109" s="203"/>
      <c r="D109" s="203"/>
      <c r="E109" s="203"/>
      <c r="F109" s="203"/>
      <c r="G109" s="203"/>
      <c r="H109" s="204"/>
      <c r="I109" s="556" t="s">
        <v>1221</v>
      </c>
      <c r="J109" s="556"/>
      <c r="K109" s="220">
        <f>SUM(K106:K108)</f>
        <v>1616.87</v>
      </c>
      <c r="L109" s="207"/>
    </row>
    <row r="110" spans="2:12">
      <c r="B110" s="208"/>
      <c r="C110" s="204"/>
      <c r="D110" s="204"/>
      <c r="E110" s="204"/>
      <c r="F110" s="204"/>
      <c r="G110" s="204"/>
      <c r="H110" s="209"/>
      <c r="I110" s="557" t="s">
        <v>1222</v>
      </c>
      <c r="J110" s="557"/>
      <c r="K110" s="221">
        <v>4350</v>
      </c>
      <c r="L110" s="207"/>
    </row>
    <row r="111" spans="2:12">
      <c r="B111" s="208"/>
      <c r="C111" s="204"/>
      <c r="D111" s="204"/>
      <c r="E111" s="204"/>
      <c r="F111" s="204"/>
      <c r="G111" s="204"/>
      <c r="H111" s="558" t="s">
        <v>1223</v>
      </c>
      <c r="I111" s="558"/>
      <c r="J111" s="558"/>
      <c r="K111" s="222">
        <v>1616.87</v>
      </c>
      <c r="L111" s="207"/>
    </row>
    <row r="112" spans="2:12">
      <c r="B112" s="208"/>
      <c r="C112" s="204"/>
      <c r="D112" s="204"/>
      <c r="E112" s="204"/>
      <c r="F112" s="204"/>
      <c r="G112" s="204"/>
      <c r="H112" s="558" t="s">
        <v>1431</v>
      </c>
      <c r="I112" s="558"/>
      <c r="J112" s="558"/>
      <c r="K112" s="222">
        <f>IF(K109&gt;K110,K110,K109)-K111</f>
        <v>0</v>
      </c>
      <c r="L112" s="207"/>
    </row>
    <row r="113" spans="2:12">
      <c r="B113" s="213"/>
      <c r="C113" s="214"/>
      <c r="D113" s="214"/>
      <c r="E113" s="214"/>
      <c r="F113" s="214"/>
      <c r="G113" s="214"/>
      <c r="H113" s="559" t="s">
        <v>1224</v>
      </c>
      <c r="I113" s="559"/>
      <c r="J113" s="559"/>
      <c r="K113" s="223">
        <f>IF(K109&gt;K110,K109-K110,0)</f>
        <v>0</v>
      </c>
      <c r="L113" s="209"/>
    </row>
    <row r="114" spans="2:12" ht="15" customHeight="1"/>
    <row r="115" spans="2:12" ht="24" customHeight="1">
      <c r="B115" s="555" t="s">
        <v>1236</v>
      </c>
      <c r="C115" s="555"/>
      <c r="D115" s="555"/>
      <c r="E115" s="555"/>
      <c r="F115" s="555"/>
      <c r="G115" s="555"/>
      <c r="H115" s="555"/>
      <c r="I115" s="555"/>
      <c r="J115" s="555"/>
      <c r="K115" s="555"/>
      <c r="L115" s="555"/>
    </row>
    <row r="116" spans="2:12">
      <c r="B116" s="187" t="s">
        <v>1209</v>
      </c>
      <c r="C116" s="187"/>
      <c r="D116" s="187" t="s">
        <v>39</v>
      </c>
      <c r="E116" s="187" t="s">
        <v>1210</v>
      </c>
      <c r="F116" s="187" t="s">
        <v>1211</v>
      </c>
      <c r="G116" s="187" t="s">
        <v>1212</v>
      </c>
      <c r="H116" s="187" t="s">
        <v>1213</v>
      </c>
      <c r="I116" s="187" t="s">
        <v>1214</v>
      </c>
      <c r="J116" s="187" t="s">
        <v>1215</v>
      </c>
      <c r="K116" s="187" t="s">
        <v>1216</v>
      </c>
      <c r="L116" s="187" t="s">
        <v>1217</v>
      </c>
    </row>
    <row r="117" spans="2:12">
      <c r="B117" s="188" t="s">
        <v>1235</v>
      </c>
      <c r="C117" s="189" t="s">
        <v>1219</v>
      </c>
      <c r="D117" s="190" t="s">
        <v>169</v>
      </c>
      <c r="E117" s="191">
        <v>1616.87</v>
      </c>
      <c r="F117" s="192"/>
      <c r="G117" s="192">
        <v>0.75</v>
      </c>
      <c r="H117" s="191"/>
      <c r="I117" s="191"/>
      <c r="J117" s="216"/>
      <c r="K117" s="217">
        <f t="shared" ref="K117:K122" si="2">IF(E117*F117*G117&lt;&gt;0,E117*F117*G117,IF(E117*F117&lt;&gt;0,E117*F117,IF(F117*G117&lt;&gt;0,F117*G117,IF(E117*G117&lt;&gt;0,E117*G117,IF(E117&lt;&gt;0,E117,IF(F117&lt;&gt;0,F117,IF(G117&lt;&gt;0,G117,0)))))))*(IF(H117&lt;&gt;0,H117,1))+I117-J117</f>
        <v>1212.6524999999999</v>
      </c>
      <c r="L117" s="218"/>
    </row>
    <row r="118" spans="2:12">
      <c r="B118" s="188" t="s">
        <v>1235</v>
      </c>
      <c r="C118" s="189" t="s">
        <v>1271</v>
      </c>
      <c r="D118" s="190" t="s">
        <v>169</v>
      </c>
      <c r="E118" s="199">
        <v>1616.87</v>
      </c>
      <c r="F118" s="199"/>
      <c r="G118" s="199">
        <v>0.25</v>
      </c>
      <c r="H118" s="199"/>
      <c r="I118" s="199"/>
      <c r="J118" s="219"/>
      <c r="K118" s="217">
        <f t="shared" si="2"/>
        <v>404.21749999999997</v>
      </c>
      <c r="L118" s="218"/>
    </row>
    <row r="119" spans="2:12">
      <c r="B119" s="188" t="s">
        <v>1235</v>
      </c>
      <c r="C119" s="189" t="s">
        <v>1271</v>
      </c>
      <c r="D119" s="190" t="s">
        <v>169</v>
      </c>
      <c r="E119" s="199">
        <v>922</v>
      </c>
      <c r="F119" s="199"/>
      <c r="G119" s="199">
        <v>0.5</v>
      </c>
      <c r="H119" s="199"/>
      <c r="I119" s="199"/>
      <c r="J119" s="219"/>
      <c r="K119" s="217">
        <f t="shared" si="2"/>
        <v>461</v>
      </c>
      <c r="L119" s="218"/>
    </row>
    <row r="120" spans="2:12">
      <c r="B120" s="188" t="s">
        <v>1522</v>
      </c>
      <c r="C120" s="189" t="s">
        <v>1521</v>
      </c>
      <c r="D120" s="190" t="s">
        <v>169</v>
      </c>
      <c r="E120" s="199">
        <v>15</v>
      </c>
      <c r="F120" s="199"/>
      <c r="G120" s="199">
        <v>25</v>
      </c>
      <c r="H120" s="199"/>
      <c r="I120" s="199"/>
      <c r="J120" s="219"/>
      <c r="K120" s="217">
        <f t="shared" si="2"/>
        <v>375</v>
      </c>
      <c r="L120" s="218"/>
    </row>
    <row r="121" spans="2:12">
      <c r="B121" s="188" t="s">
        <v>1522</v>
      </c>
      <c r="C121" s="189" t="s">
        <v>1521</v>
      </c>
      <c r="D121" s="190" t="s">
        <v>169</v>
      </c>
      <c r="E121" s="199">
        <v>15</v>
      </c>
      <c r="F121" s="199"/>
      <c r="G121" s="199">
        <v>25</v>
      </c>
      <c r="H121" s="199"/>
      <c r="I121" s="199"/>
      <c r="J121" s="219"/>
      <c r="K121" s="217">
        <f t="shared" si="2"/>
        <v>375</v>
      </c>
      <c r="L121" s="218"/>
    </row>
    <row r="122" spans="2:12">
      <c r="B122" s="197"/>
      <c r="C122" s="189"/>
      <c r="D122" s="198"/>
      <c r="E122" s="199"/>
      <c r="F122" s="199"/>
      <c r="G122" s="199"/>
      <c r="H122" s="199"/>
      <c r="I122" s="199"/>
      <c r="J122" s="219"/>
      <c r="K122" s="217">
        <f t="shared" si="2"/>
        <v>0</v>
      </c>
      <c r="L122" s="218"/>
    </row>
    <row r="123" spans="2:12">
      <c r="B123" s="202"/>
      <c r="C123" s="203"/>
      <c r="D123" s="203"/>
      <c r="E123" s="203"/>
      <c r="F123" s="203"/>
      <c r="G123" s="203"/>
      <c r="H123" s="204"/>
      <c r="I123" s="556" t="s">
        <v>1221</v>
      </c>
      <c r="J123" s="556"/>
      <c r="K123" s="220">
        <f>SUM(K117:K122)</f>
        <v>2827.87</v>
      </c>
      <c r="L123" s="207"/>
    </row>
    <row r="124" spans="2:12">
      <c r="B124" s="208"/>
      <c r="C124" s="204"/>
      <c r="D124" s="204"/>
      <c r="E124" s="204"/>
      <c r="F124" s="204"/>
      <c r="G124" s="204"/>
      <c r="H124" s="209"/>
      <c r="I124" s="557" t="s">
        <v>1222</v>
      </c>
      <c r="J124" s="557"/>
      <c r="K124" s="221">
        <v>3985</v>
      </c>
      <c r="L124" s="207"/>
    </row>
    <row r="125" spans="2:12">
      <c r="B125" s="208"/>
      <c r="C125" s="204"/>
      <c r="D125" s="204"/>
      <c r="E125" s="204"/>
      <c r="F125" s="204"/>
      <c r="G125" s="204"/>
      <c r="H125" s="558" t="s">
        <v>1223</v>
      </c>
      <c r="I125" s="558"/>
      <c r="J125" s="558"/>
      <c r="K125" s="222">
        <v>2452.87</v>
      </c>
      <c r="L125" s="207"/>
    </row>
    <row r="126" spans="2:12">
      <c r="B126" s="208"/>
      <c r="C126" s="204"/>
      <c r="D126" s="204"/>
      <c r="E126" s="204"/>
      <c r="F126" s="204"/>
      <c r="G126" s="204"/>
      <c r="H126" s="558" t="s">
        <v>1579</v>
      </c>
      <c r="I126" s="558"/>
      <c r="J126" s="558"/>
      <c r="K126" s="222">
        <f>IF(K123&gt;K124,K124,K123)-K125</f>
        <v>375</v>
      </c>
      <c r="L126" s="207"/>
    </row>
    <row r="127" spans="2:12" ht="15" customHeight="1">
      <c r="B127" s="213"/>
      <c r="C127" s="214"/>
      <c r="D127" s="214"/>
      <c r="E127" s="214"/>
      <c r="F127" s="214"/>
      <c r="G127" s="214"/>
      <c r="H127" s="559" t="s">
        <v>1224</v>
      </c>
      <c r="I127" s="559"/>
      <c r="J127" s="559"/>
      <c r="K127" s="223">
        <f>IF(K123&gt;K124,K123-K124,0)</f>
        <v>0</v>
      </c>
      <c r="L127" s="209"/>
    </row>
    <row r="129" spans="2:12" ht="14.25" customHeight="1">
      <c r="B129" s="555" t="s">
        <v>1237</v>
      </c>
      <c r="C129" s="555"/>
      <c r="D129" s="555"/>
      <c r="E129" s="555"/>
      <c r="F129" s="555"/>
      <c r="G129" s="555"/>
      <c r="H129" s="555"/>
      <c r="I129" s="555"/>
      <c r="J129" s="555"/>
      <c r="K129" s="555"/>
      <c r="L129" s="555"/>
    </row>
    <row r="130" spans="2:12">
      <c r="B130" s="187" t="s">
        <v>1209</v>
      </c>
      <c r="C130" s="187"/>
      <c r="D130" s="187" t="s">
        <v>39</v>
      </c>
      <c r="E130" s="187" t="s">
        <v>1210</v>
      </c>
      <c r="F130" s="187" t="s">
        <v>1211</v>
      </c>
      <c r="G130" s="187" t="s">
        <v>1212</v>
      </c>
      <c r="H130" s="187" t="s">
        <v>1213</v>
      </c>
      <c r="I130" s="187" t="s">
        <v>1214</v>
      </c>
      <c r="J130" s="187" t="s">
        <v>1215</v>
      </c>
      <c r="K130" s="187" t="s">
        <v>1216</v>
      </c>
      <c r="L130" s="187" t="s">
        <v>1217</v>
      </c>
    </row>
    <row r="131" spans="2:12">
      <c r="B131" s="188" t="s">
        <v>1238</v>
      </c>
      <c r="C131" s="189" t="s">
        <v>1219</v>
      </c>
      <c r="D131" s="190" t="s">
        <v>113</v>
      </c>
      <c r="E131" s="191"/>
      <c r="F131" s="192"/>
      <c r="G131" s="192"/>
      <c r="H131" s="191"/>
      <c r="I131" s="191">
        <v>8200</v>
      </c>
      <c r="J131" s="216"/>
      <c r="K131" s="217">
        <f t="shared" ref="K131:K136" si="3">IF(E131*F131*G131&lt;&gt;0,E131*F131*G131,IF(E131*F131&lt;&gt;0,E131*F131,IF(F131*G131&lt;&gt;0,F131*G131,IF(E131*G131&lt;&gt;0,E131*G131,IF(E131&lt;&gt;0,E131,IF(F131&lt;&gt;0,F131,IF(G131&lt;&gt;0,G131,0)))))))*(IF(H131&lt;&gt;0,H131,1))+I131-J131</f>
        <v>8200</v>
      </c>
      <c r="L131" s="218"/>
    </row>
    <row r="132" spans="2:12">
      <c r="B132" s="188" t="s">
        <v>1235</v>
      </c>
      <c r="C132" s="189" t="s">
        <v>1271</v>
      </c>
      <c r="D132" s="190" t="s">
        <v>169</v>
      </c>
      <c r="E132" s="199">
        <v>1616.87</v>
      </c>
      <c r="F132" s="199"/>
      <c r="G132" s="199">
        <v>0.25</v>
      </c>
      <c r="H132" s="199">
        <v>30</v>
      </c>
      <c r="I132" s="199"/>
      <c r="J132" s="219"/>
      <c r="K132" s="217">
        <f t="shared" si="3"/>
        <v>12126.525</v>
      </c>
      <c r="L132" s="218"/>
    </row>
    <row r="133" spans="2:12">
      <c r="B133" s="188" t="s">
        <v>1235</v>
      </c>
      <c r="C133" s="189" t="s">
        <v>1271</v>
      </c>
      <c r="D133" s="190" t="s">
        <v>169</v>
      </c>
      <c r="E133" s="199">
        <v>922</v>
      </c>
      <c r="F133" s="199"/>
      <c r="G133" s="199">
        <v>0.5</v>
      </c>
      <c r="H133" s="199">
        <v>30</v>
      </c>
      <c r="I133" s="199"/>
      <c r="J133" s="219"/>
      <c r="K133" s="217">
        <f t="shared" si="3"/>
        <v>13830</v>
      </c>
      <c r="L133" s="218"/>
    </row>
    <row r="134" spans="2:12">
      <c r="B134" s="188" t="s">
        <v>1522</v>
      </c>
      <c r="C134" s="189" t="s">
        <v>1521</v>
      </c>
      <c r="D134" s="190" t="s">
        <v>169</v>
      </c>
      <c r="E134" s="199">
        <v>15</v>
      </c>
      <c r="F134" s="199"/>
      <c r="G134" s="199">
        <v>25</v>
      </c>
      <c r="H134" s="199">
        <v>30</v>
      </c>
      <c r="I134" s="199"/>
      <c r="J134" s="219"/>
      <c r="K134" s="217">
        <f t="shared" si="3"/>
        <v>11250</v>
      </c>
      <c r="L134" s="218"/>
    </row>
    <row r="135" spans="2:12">
      <c r="B135" s="188" t="s">
        <v>1522</v>
      </c>
      <c r="C135" s="189" t="s">
        <v>1521</v>
      </c>
      <c r="D135" s="190" t="s">
        <v>169</v>
      </c>
      <c r="E135" s="199">
        <v>15</v>
      </c>
      <c r="F135" s="199"/>
      <c r="G135" s="199">
        <v>25</v>
      </c>
      <c r="H135" s="199">
        <v>30</v>
      </c>
      <c r="I135" s="199"/>
      <c r="J135" s="219"/>
      <c r="K135" s="217">
        <f t="shared" si="3"/>
        <v>11250</v>
      </c>
      <c r="L135" s="218"/>
    </row>
    <row r="136" spans="2:12">
      <c r="B136" s="197"/>
      <c r="C136" s="189"/>
      <c r="D136" s="198"/>
      <c r="E136" s="199"/>
      <c r="F136" s="199"/>
      <c r="G136" s="199"/>
      <c r="H136" s="199"/>
      <c r="I136" s="199"/>
      <c r="J136" s="219"/>
      <c r="K136" s="217">
        <f t="shared" si="3"/>
        <v>0</v>
      </c>
      <c r="L136" s="218"/>
    </row>
    <row r="137" spans="2:12">
      <c r="B137" s="202"/>
      <c r="C137" s="203"/>
      <c r="D137" s="203"/>
      <c r="E137" s="203"/>
      <c r="F137" s="203"/>
      <c r="G137" s="203"/>
      <c r="H137" s="204"/>
      <c r="I137" s="556" t="s">
        <v>1221</v>
      </c>
      <c r="J137" s="556"/>
      <c r="K137" s="220">
        <f>SUM(K131:K136)</f>
        <v>56656.525000000001</v>
      </c>
      <c r="L137" s="207"/>
    </row>
    <row r="138" spans="2:12">
      <c r="B138" s="208"/>
      <c r="C138" s="204"/>
      <c r="D138" s="204"/>
      <c r="E138" s="204"/>
      <c r="F138" s="204"/>
      <c r="G138" s="204"/>
      <c r="H138" s="209"/>
      <c r="I138" s="557" t="s">
        <v>1222</v>
      </c>
      <c r="J138" s="557"/>
      <c r="K138" s="221">
        <v>119550</v>
      </c>
      <c r="L138" s="207"/>
    </row>
    <row r="139" spans="2:12">
      <c r="B139" s="208"/>
      <c r="C139" s="204"/>
      <c r="D139" s="204"/>
      <c r="E139" s="204"/>
      <c r="F139" s="204"/>
      <c r="G139" s="204"/>
      <c r="H139" s="558" t="s">
        <v>1223</v>
      </c>
      <c r="I139" s="558"/>
      <c r="J139" s="558"/>
      <c r="K139" s="222">
        <v>45406.525000000001</v>
      </c>
      <c r="L139" s="207"/>
    </row>
    <row r="140" spans="2:12">
      <c r="B140" s="208"/>
      <c r="C140" s="204"/>
      <c r="D140" s="204"/>
      <c r="E140" s="204"/>
      <c r="F140" s="204"/>
      <c r="G140" s="204"/>
      <c r="H140" s="558" t="s">
        <v>1579</v>
      </c>
      <c r="I140" s="558"/>
      <c r="J140" s="558"/>
      <c r="K140" s="222">
        <f>IF(K137&gt;K138,K138,K137)-K139</f>
        <v>11250</v>
      </c>
      <c r="L140" s="207"/>
    </row>
    <row r="141" spans="2:12">
      <c r="B141" s="213"/>
      <c r="C141" s="214"/>
      <c r="D141" s="214"/>
      <c r="E141" s="214"/>
      <c r="F141" s="214"/>
      <c r="G141" s="214"/>
      <c r="H141" s="559" t="s">
        <v>1224</v>
      </c>
      <c r="I141" s="559"/>
      <c r="J141" s="559"/>
      <c r="K141" s="223">
        <f>IF(K137&gt;K138,K137-K138,0)</f>
        <v>0</v>
      </c>
      <c r="L141" s="209"/>
    </row>
    <row r="143" spans="2:12" ht="14.25" customHeight="1">
      <c r="B143" s="555" t="s">
        <v>1241</v>
      </c>
      <c r="C143" s="555"/>
      <c r="D143" s="555"/>
      <c r="E143" s="555"/>
      <c r="F143" s="555"/>
      <c r="G143" s="555"/>
      <c r="H143" s="555"/>
      <c r="I143" s="555"/>
      <c r="J143" s="555"/>
      <c r="K143" s="555"/>
      <c r="L143" s="555"/>
    </row>
    <row r="144" spans="2:12">
      <c r="B144" s="187" t="s">
        <v>1209</v>
      </c>
      <c r="C144" s="187"/>
      <c r="D144" s="187" t="s">
        <v>39</v>
      </c>
      <c r="E144" s="187" t="s">
        <v>1210</v>
      </c>
      <c r="F144" s="187" t="s">
        <v>1211</v>
      </c>
      <c r="G144" s="187" t="s">
        <v>1212</v>
      </c>
      <c r="H144" s="187" t="s">
        <v>1213</v>
      </c>
      <c r="I144" s="187" t="s">
        <v>1214</v>
      </c>
      <c r="J144" s="187" t="s">
        <v>1215</v>
      </c>
      <c r="K144" s="187" t="s">
        <v>1216</v>
      </c>
      <c r="L144" s="187" t="s">
        <v>1217</v>
      </c>
    </row>
    <row r="145" spans="2:12">
      <c r="B145" s="188" t="s">
        <v>117</v>
      </c>
      <c r="C145" s="189" t="s">
        <v>1240</v>
      </c>
      <c r="D145" s="190" t="s">
        <v>82</v>
      </c>
      <c r="E145" s="191">
        <v>10</v>
      </c>
      <c r="F145" s="192">
        <f>45/40</f>
        <v>1.125</v>
      </c>
      <c r="G145" s="192"/>
      <c r="H145" s="191">
        <v>147</v>
      </c>
      <c r="I145" s="191"/>
      <c r="J145" s="216"/>
      <c r="K145" s="217">
        <f>IF(E145*F145*G145&lt;&gt;0,E145*F145*G145,IF(E145*F145&lt;&gt;0,E145*F145,IF(F145*G145&lt;&gt;0,F145*G145,IF(E145*G145&lt;&gt;0,E145*G145,IF(E145&lt;&gt;0,E145,IF(F145&lt;&gt;0,F145,IF(G145&lt;&gt;0,G145,0)))))))*(IF(H145&lt;&gt;0,H145,1))+I145-J145</f>
        <v>1653.75</v>
      </c>
      <c r="L145" s="218"/>
    </row>
    <row r="146" spans="2:12">
      <c r="B146" s="188" t="s">
        <v>117</v>
      </c>
      <c r="C146" s="189" t="s">
        <v>1271</v>
      </c>
      <c r="D146" s="190" t="s">
        <v>82</v>
      </c>
      <c r="E146" s="191">
        <v>10</v>
      </c>
      <c r="F146" s="192">
        <f>45/40</f>
        <v>1.125</v>
      </c>
      <c r="G146" s="192"/>
      <c r="H146" s="191">
        <f>173-147</f>
        <v>26</v>
      </c>
      <c r="I146" s="191"/>
      <c r="J146" s="216"/>
      <c r="K146" s="217">
        <f>IF(E146*F146*G146&lt;&gt;0,E146*F146*G146,IF(E146*F146&lt;&gt;0,E146*F146,IF(F146*G146&lt;&gt;0,F146*G146,IF(E146*G146&lt;&gt;0,E146*G146,IF(E146&lt;&gt;0,E146,IF(F146&lt;&gt;0,F146,IF(G146&lt;&gt;0,G146,0)))))))*(IF(H146&lt;&gt;0,H146,1))+I146-J146</f>
        <v>292.5</v>
      </c>
      <c r="L146" s="218"/>
    </row>
    <row r="147" spans="2:12">
      <c r="B147" s="197"/>
      <c r="C147" s="189"/>
      <c r="D147" s="198"/>
      <c r="E147" s="199"/>
      <c r="F147" s="199"/>
      <c r="G147" s="199"/>
      <c r="H147" s="199"/>
      <c r="I147" s="199"/>
      <c r="J147" s="219"/>
      <c r="K147" s="217">
        <f>IF(E147*F147*G147&lt;&gt;0,E147*F147*G147,IF(E147*F147&lt;&gt;0,E147*F147,IF(F147*G147&lt;&gt;0,F147*G147,IF(E147*G147&lt;&gt;0,E147*G147,IF(E147&lt;&gt;0,E147,IF(F147&lt;&gt;0,F147,IF(G147&lt;&gt;0,G147,0)))))))*(IF(H147&lt;&gt;0,H147,1))+I147-J147</f>
        <v>0</v>
      </c>
      <c r="L147" s="218"/>
    </row>
    <row r="148" spans="2:12">
      <c r="B148" s="202"/>
      <c r="C148" s="203"/>
      <c r="D148" s="203"/>
      <c r="E148" s="203"/>
      <c r="F148" s="203"/>
      <c r="G148" s="203"/>
      <c r="H148" s="204"/>
      <c r="I148" s="556" t="s">
        <v>1221</v>
      </c>
      <c r="J148" s="556"/>
      <c r="K148" s="220">
        <f>SUM(K145:K147)</f>
        <v>1946.25</v>
      </c>
      <c r="L148" s="207"/>
    </row>
    <row r="149" spans="2:12">
      <c r="B149" s="208"/>
      <c r="C149" s="204"/>
      <c r="D149" s="204"/>
      <c r="E149" s="204"/>
      <c r="F149" s="204"/>
      <c r="G149" s="204"/>
      <c r="H149" s="209"/>
      <c r="I149" s="557" t="s">
        <v>1222</v>
      </c>
      <c r="J149" s="557"/>
      <c r="K149" s="221">
        <v>1837</v>
      </c>
      <c r="L149" s="207"/>
    </row>
    <row r="150" spans="2:12">
      <c r="B150" s="208"/>
      <c r="C150" s="204"/>
      <c r="D150" s="204"/>
      <c r="E150" s="204"/>
      <c r="F150" s="204"/>
      <c r="G150" s="204"/>
      <c r="H150" s="558" t="s">
        <v>1223</v>
      </c>
      <c r="I150" s="558"/>
      <c r="J150" s="558"/>
      <c r="K150" s="222">
        <v>1653.75</v>
      </c>
      <c r="L150" s="207"/>
    </row>
    <row r="151" spans="2:12">
      <c r="B151" s="208"/>
      <c r="C151" s="204"/>
      <c r="D151" s="204"/>
      <c r="E151" s="204"/>
      <c r="F151" s="204"/>
      <c r="G151" s="204"/>
      <c r="H151" s="558" t="s">
        <v>1199</v>
      </c>
      <c r="I151" s="558"/>
      <c r="J151" s="558"/>
      <c r="K151" s="222">
        <f>IF(K148&gt;K149,K149,K148)-K150</f>
        <v>183.25</v>
      </c>
      <c r="L151" s="207"/>
    </row>
    <row r="152" spans="2:12">
      <c r="B152" s="213"/>
      <c r="C152" s="214"/>
      <c r="D152" s="214"/>
      <c r="E152" s="214"/>
      <c r="F152" s="214"/>
      <c r="G152" s="214"/>
      <c r="H152" s="559" t="s">
        <v>1224</v>
      </c>
      <c r="I152" s="559"/>
      <c r="J152" s="559"/>
      <c r="K152" s="223">
        <f>IF(K148&gt;K149,K148-K149,0)</f>
        <v>109.25</v>
      </c>
      <c r="L152" s="209"/>
    </row>
    <row r="154" spans="2:12" ht="14.25" customHeight="1">
      <c r="B154" s="555" t="s">
        <v>1242</v>
      </c>
      <c r="C154" s="555"/>
      <c r="D154" s="555"/>
      <c r="E154" s="555"/>
      <c r="F154" s="555"/>
      <c r="G154" s="555"/>
      <c r="H154" s="555"/>
      <c r="I154" s="555"/>
      <c r="J154" s="555"/>
      <c r="K154" s="555"/>
      <c r="L154" s="555"/>
    </row>
    <row r="155" spans="2:12">
      <c r="B155" s="187" t="s">
        <v>1209</v>
      </c>
      <c r="C155" s="187"/>
      <c r="D155" s="187" t="s">
        <v>39</v>
      </c>
      <c r="E155" s="187" t="s">
        <v>1210</v>
      </c>
      <c r="F155" s="187" t="s">
        <v>1211</v>
      </c>
      <c r="G155" s="187" t="s">
        <v>1212</v>
      </c>
      <c r="H155" s="187" t="s">
        <v>1213</v>
      </c>
      <c r="I155" s="187" t="s">
        <v>1214</v>
      </c>
      <c r="J155" s="187" t="s">
        <v>1215</v>
      </c>
      <c r="K155" s="187" t="s">
        <v>1216</v>
      </c>
      <c r="L155" s="187" t="s">
        <v>1217</v>
      </c>
    </row>
    <row r="156" spans="2:12">
      <c r="B156" s="188" t="s">
        <v>117</v>
      </c>
      <c r="C156" s="189" t="s">
        <v>1240</v>
      </c>
      <c r="D156" s="190" t="s">
        <v>110</v>
      </c>
      <c r="E156" s="191">
        <f>K151</f>
        <v>183.25</v>
      </c>
      <c r="F156" s="192">
        <v>0.16</v>
      </c>
      <c r="G156" s="192"/>
      <c r="H156" s="191"/>
      <c r="I156" s="191"/>
      <c r="J156" s="216"/>
      <c r="K156" s="217">
        <f>IF(E156*F156*G156&lt;&gt;0,E156*F156*G156,IF(E156*F156&lt;&gt;0,E156*F156,IF(F156*G156&lt;&gt;0,F156*G156,IF(E156*G156&lt;&gt;0,E156*G156,IF(E156&lt;&gt;0,E156,IF(F156&lt;&gt;0,F156,IF(G156&lt;&gt;0,G156,0)))))))*(IF(H156&lt;&gt;0,H156,1))+I156-J156</f>
        <v>29.32</v>
      </c>
      <c r="L156" s="218"/>
    </row>
    <row r="157" spans="2:12">
      <c r="B157" s="197"/>
      <c r="C157" s="189"/>
      <c r="D157" s="198"/>
      <c r="E157" s="199"/>
      <c r="F157" s="199"/>
      <c r="G157" s="199"/>
      <c r="H157" s="199"/>
      <c r="I157" s="199"/>
      <c r="J157" s="219"/>
      <c r="K157" s="217">
        <f>IF(E157*F157*G157&lt;&gt;0,E157*F157*G157,IF(E157*F157&lt;&gt;0,E157*F157,IF(F157*G157&lt;&gt;0,F157*G157,IF(E157*G157&lt;&gt;0,E157*G157,IF(E157&lt;&gt;0,E157,IF(F157&lt;&gt;0,F157,IF(G157&lt;&gt;0,G157,0)))))))*(IF(H157&lt;&gt;0,H157,1))+I157-J157</f>
        <v>0</v>
      </c>
      <c r="L157" s="218"/>
    </row>
    <row r="158" spans="2:12">
      <c r="B158" s="202"/>
      <c r="C158" s="203"/>
      <c r="D158" s="203"/>
      <c r="E158" s="203"/>
      <c r="F158" s="203"/>
      <c r="G158" s="203"/>
      <c r="H158" s="204"/>
      <c r="I158" s="556" t="s">
        <v>1221</v>
      </c>
      <c r="J158" s="556"/>
      <c r="K158" s="220">
        <f>SUM(K156:K157)</f>
        <v>29.32</v>
      </c>
      <c r="L158" s="207"/>
    </row>
    <row r="159" spans="2:12">
      <c r="B159" s="208"/>
      <c r="C159" s="204"/>
      <c r="D159" s="204"/>
      <c r="E159" s="204"/>
      <c r="F159" s="204"/>
      <c r="G159" s="204"/>
      <c r="H159" s="209"/>
      <c r="I159" s="557" t="s">
        <v>1222</v>
      </c>
      <c r="J159" s="557"/>
      <c r="K159" s="221">
        <v>293.92</v>
      </c>
      <c r="L159" s="207"/>
    </row>
    <row r="160" spans="2:12">
      <c r="B160" s="208"/>
      <c r="C160" s="204"/>
      <c r="D160" s="204"/>
      <c r="E160" s="204"/>
      <c r="F160" s="204"/>
      <c r="G160" s="204"/>
      <c r="H160" s="558" t="s">
        <v>1223</v>
      </c>
      <c r="I160" s="558"/>
      <c r="J160" s="558"/>
      <c r="K160" s="222"/>
      <c r="L160" s="207"/>
    </row>
    <row r="161" spans="2:12">
      <c r="B161" s="208"/>
      <c r="C161" s="204"/>
      <c r="D161" s="204"/>
      <c r="E161" s="204"/>
      <c r="F161" s="204"/>
      <c r="G161" s="204"/>
      <c r="H161" s="558" t="s">
        <v>1199</v>
      </c>
      <c r="I161" s="558"/>
      <c r="J161" s="558"/>
      <c r="K161" s="222">
        <f>IF(K158&gt;K159,K159,K158)-K160</f>
        <v>29.32</v>
      </c>
      <c r="L161" s="207"/>
    </row>
    <row r="162" spans="2:12">
      <c r="B162" s="213"/>
      <c r="C162" s="214"/>
      <c r="D162" s="214"/>
      <c r="E162" s="214"/>
      <c r="F162" s="214"/>
      <c r="G162" s="214"/>
      <c r="H162" s="559" t="s">
        <v>1224</v>
      </c>
      <c r="I162" s="559"/>
      <c r="J162" s="559"/>
      <c r="K162" s="223">
        <f>IF(K158&gt;K159,K158-K159,0)</f>
        <v>0</v>
      </c>
      <c r="L162" s="209"/>
    </row>
    <row r="164" spans="2:12" ht="14.25" customHeight="1">
      <c r="B164" s="555" t="s">
        <v>1243</v>
      </c>
      <c r="C164" s="555"/>
      <c r="D164" s="555"/>
      <c r="E164" s="555"/>
      <c r="F164" s="555"/>
      <c r="G164" s="555"/>
      <c r="H164" s="555"/>
      <c r="I164" s="555"/>
      <c r="J164" s="555"/>
      <c r="K164" s="555"/>
      <c r="L164" s="555"/>
    </row>
    <row r="165" spans="2:12">
      <c r="B165" s="187" t="s">
        <v>1209</v>
      </c>
      <c r="C165" s="187"/>
      <c r="D165" s="187" t="s">
        <v>39</v>
      </c>
      <c r="E165" s="187" t="s">
        <v>1210</v>
      </c>
      <c r="F165" s="187" t="s">
        <v>1211</v>
      </c>
      <c r="G165" s="187" t="s">
        <v>1212</v>
      </c>
      <c r="H165" s="187" t="s">
        <v>1213</v>
      </c>
      <c r="I165" s="187" t="s">
        <v>1214</v>
      </c>
      <c r="J165" s="187" t="s">
        <v>1215</v>
      </c>
      <c r="K165" s="187" t="s">
        <v>1216</v>
      </c>
      <c r="L165" s="187" t="s">
        <v>1217</v>
      </c>
    </row>
    <row r="166" spans="2:12">
      <c r="B166" s="188" t="s">
        <v>117</v>
      </c>
      <c r="C166" s="189" t="s">
        <v>1240</v>
      </c>
      <c r="D166" s="190" t="s">
        <v>113</v>
      </c>
      <c r="E166" s="191">
        <f>K151</f>
        <v>183.25</v>
      </c>
      <c r="F166" s="192">
        <v>0.16</v>
      </c>
      <c r="G166" s="192"/>
      <c r="H166" s="191">
        <v>30</v>
      </c>
      <c r="I166" s="191"/>
      <c r="J166" s="216"/>
      <c r="K166" s="217">
        <f>IF(E166*F166*G166&lt;&gt;0,E166*F166*G166,IF(E166*F166&lt;&gt;0,E166*F166,IF(F166*G166&lt;&gt;0,F166*G166,IF(E166*G166&lt;&gt;0,E166*G166,IF(E166&lt;&gt;0,E166,IF(F166&lt;&gt;0,F166,IF(G166&lt;&gt;0,G166,0)))))))*(IF(H166&lt;&gt;0,H166,1))+I166-J166</f>
        <v>879.6</v>
      </c>
      <c r="L166" s="218"/>
    </row>
    <row r="167" spans="2:12">
      <c r="B167" s="197"/>
      <c r="C167" s="189"/>
      <c r="D167" s="198"/>
      <c r="E167" s="199"/>
      <c r="F167" s="199"/>
      <c r="G167" s="199"/>
      <c r="H167" s="199"/>
      <c r="I167" s="199"/>
      <c r="J167" s="219"/>
      <c r="K167" s="217">
        <f>IF(E167*F167*G167&lt;&gt;0,E167*F167*G167,IF(E167*F167&lt;&gt;0,E167*F167,IF(F167*G167&lt;&gt;0,F167*G167,IF(E167*G167&lt;&gt;0,E167*G167,IF(E167&lt;&gt;0,E167,IF(F167&lt;&gt;0,F167,IF(G167&lt;&gt;0,G167,0)))))))*(IF(H167&lt;&gt;0,H167,1))+I167-J167</f>
        <v>0</v>
      </c>
      <c r="L167" s="218"/>
    </row>
    <row r="168" spans="2:12">
      <c r="B168" s="202"/>
      <c r="C168" s="203"/>
      <c r="D168" s="203"/>
      <c r="E168" s="203"/>
      <c r="F168" s="203"/>
      <c r="G168" s="203"/>
      <c r="H168" s="204"/>
      <c r="I168" s="556" t="s">
        <v>1221</v>
      </c>
      <c r="J168" s="556"/>
      <c r="K168" s="220">
        <f>SUM(K166:K167)</f>
        <v>879.6</v>
      </c>
      <c r="L168" s="207"/>
    </row>
    <row r="169" spans="2:12">
      <c r="B169" s="208"/>
      <c r="C169" s="204"/>
      <c r="D169" s="204"/>
      <c r="E169" s="204"/>
      <c r="F169" s="204"/>
      <c r="G169" s="204"/>
      <c r="H169" s="209"/>
      <c r="I169" s="557" t="s">
        <v>1222</v>
      </c>
      <c r="J169" s="557"/>
      <c r="K169" s="221">
        <v>8817.6</v>
      </c>
      <c r="L169" s="207"/>
    </row>
    <row r="170" spans="2:12">
      <c r="B170" s="208"/>
      <c r="C170" s="204"/>
      <c r="D170" s="204"/>
      <c r="E170" s="204"/>
      <c r="F170" s="204"/>
      <c r="G170" s="204"/>
      <c r="H170" s="558" t="s">
        <v>1223</v>
      </c>
      <c r="I170" s="558"/>
      <c r="J170" s="558"/>
      <c r="K170" s="222"/>
      <c r="L170" s="207"/>
    </row>
    <row r="171" spans="2:12">
      <c r="B171" s="208"/>
      <c r="C171" s="204"/>
      <c r="D171" s="204"/>
      <c r="E171" s="204"/>
      <c r="F171" s="204"/>
      <c r="G171" s="204"/>
      <c r="H171" s="558" t="s">
        <v>1199</v>
      </c>
      <c r="I171" s="558"/>
      <c r="J171" s="558"/>
      <c r="K171" s="222">
        <f>IF(K168&gt;K169,K169,K168)-K170</f>
        <v>879.6</v>
      </c>
      <c r="L171" s="207"/>
    </row>
    <row r="172" spans="2:12">
      <c r="B172" s="213"/>
      <c r="C172" s="214"/>
      <c r="D172" s="214"/>
      <c r="E172" s="214"/>
      <c r="F172" s="214"/>
      <c r="G172" s="214"/>
      <c r="H172" s="559" t="s">
        <v>1224</v>
      </c>
      <c r="I172" s="559"/>
      <c r="J172" s="559"/>
      <c r="K172" s="223">
        <f>IF(K168&gt;K169,K168-K169,0)</f>
        <v>0</v>
      </c>
      <c r="L172" s="209"/>
    </row>
    <row r="174" spans="2:12" ht="14.25" customHeight="1">
      <c r="B174" s="555" t="s">
        <v>1244</v>
      </c>
      <c r="C174" s="555"/>
      <c r="D174" s="555"/>
      <c r="E174" s="555"/>
      <c r="F174" s="555"/>
      <c r="G174" s="555"/>
      <c r="H174" s="555"/>
      <c r="I174" s="555"/>
      <c r="J174" s="555"/>
      <c r="K174" s="555"/>
      <c r="L174" s="555"/>
    </row>
    <row r="175" spans="2:12">
      <c r="B175" s="187" t="s">
        <v>1209</v>
      </c>
      <c r="C175" s="187"/>
      <c r="D175" s="187" t="s">
        <v>39</v>
      </c>
      <c r="E175" s="187" t="s">
        <v>1210</v>
      </c>
      <c r="F175" s="187" t="s">
        <v>1211</v>
      </c>
      <c r="G175" s="187" t="s">
        <v>1212</v>
      </c>
      <c r="H175" s="187" t="s">
        <v>1213</v>
      </c>
      <c r="I175" s="187" t="s">
        <v>1214</v>
      </c>
      <c r="J175" s="187" t="s">
        <v>1215</v>
      </c>
      <c r="K175" s="187" t="s">
        <v>1216</v>
      </c>
      <c r="L175" s="187" t="s">
        <v>1217</v>
      </c>
    </row>
    <row r="176" spans="2:12">
      <c r="B176" s="188" t="s">
        <v>117</v>
      </c>
      <c r="C176" s="189" t="s">
        <v>1240</v>
      </c>
      <c r="D176" s="190" t="s">
        <v>39</v>
      </c>
      <c r="E176" s="191"/>
      <c r="F176" s="192"/>
      <c r="G176" s="192"/>
      <c r="H176" s="191"/>
      <c r="I176" s="191">
        <v>40</v>
      </c>
      <c r="J176" s="216"/>
      <c r="K176" s="217">
        <f>IF(E176*F176*G176&lt;&gt;0,E176*F176*G176,IF(E176*F176&lt;&gt;0,E176*F176,IF(F176*G176&lt;&gt;0,F176*G176,IF(E176*G176&lt;&gt;0,E176*G176,IF(E176&lt;&gt;0,E176,IF(F176&lt;&gt;0,F176,IF(G176&lt;&gt;0,G176,0)))))))*(IF(H176&lt;&gt;0,H176,1))+I176-J176</f>
        <v>40</v>
      </c>
      <c r="L176" s="218"/>
    </row>
    <row r="177" spans="2:12">
      <c r="B177" s="188" t="s">
        <v>117</v>
      </c>
      <c r="C177" s="189" t="s">
        <v>1271</v>
      </c>
      <c r="D177" s="190" t="s">
        <v>39</v>
      </c>
      <c r="E177" s="191"/>
      <c r="F177" s="192"/>
      <c r="G177" s="192"/>
      <c r="H177" s="191"/>
      <c r="I177" s="191">
        <f>133</f>
        <v>133</v>
      </c>
      <c r="J177" s="216"/>
      <c r="K177" s="217">
        <f>IF(E177*F177*G177&lt;&gt;0,E177*F177*G177,IF(E177*F177&lt;&gt;0,E177*F177,IF(F177*G177&lt;&gt;0,F177*G177,IF(E177*G177&lt;&gt;0,E177*G177,IF(E177&lt;&gt;0,E177,IF(F177&lt;&gt;0,F177,IF(G177&lt;&gt;0,G177,0)))))))*(IF(H177&lt;&gt;0,H177,1))+I177-J177</f>
        <v>133</v>
      </c>
      <c r="L177" s="218"/>
    </row>
    <row r="178" spans="2:12">
      <c r="B178" s="197"/>
      <c r="C178" s="189"/>
      <c r="D178" s="198"/>
      <c r="E178" s="199"/>
      <c r="F178" s="199"/>
      <c r="G178" s="199"/>
      <c r="H178" s="199"/>
      <c r="I178" s="199"/>
      <c r="J178" s="219"/>
      <c r="K178" s="217">
        <f>IF(E178*F178*G178&lt;&gt;0,E178*F178*G178,IF(E178*F178&lt;&gt;0,E178*F178,IF(F178*G178&lt;&gt;0,F178*G178,IF(E178*G178&lt;&gt;0,E178*G178,IF(E178&lt;&gt;0,E178,IF(F178&lt;&gt;0,F178,IF(G178&lt;&gt;0,G178,0)))))))*(IF(H178&lt;&gt;0,H178,1))+I178-J178</f>
        <v>0</v>
      </c>
      <c r="L178" s="218"/>
    </row>
    <row r="179" spans="2:12">
      <c r="B179" s="202"/>
      <c r="C179" s="203"/>
      <c r="D179" s="203"/>
      <c r="E179" s="203"/>
      <c r="F179" s="203"/>
      <c r="G179" s="203"/>
      <c r="H179" s="204"/>
      <c r="I179" s="556" t="s">
        <v>1221</v>
      </c>
      <c r="J179" s="556"/>
      <c r="K179" s="220">
        <f>SUM(K176:K178)</f>
        <v>173</v>
      </c>
      <c r="L179" s="207"/>
    </row>
    <row r="180" spans="2:12">
      <c r="B180" s="208"/>
      <c r="C180" s="204"/>
      <c r="D180" s="204"/>
      <c r="E180" s="204"/>
      <c r="F180" s="204"/>
      <c r="G180" s="204"/>
      <c r="H180" s="209"/>
      <c r="I180" s="557" t="s">
        <v>1222</v>
      </c>
      <c r="J180" s="557"/>
      <c r="K180" s="221">
        <v>167</v>
      </c>
      <c r="L180" s="207"/>
    </row>
    <row r="181" spans="2:12">
      <c r="B181" s="208"/>
      <c r="C181" s="204"/>
      <c r="D181" s="204"/>
      <c r="E181" s="204"/>
      <c r="F181" s="204"/>
      <c r="G181" s="204"/>
      <c r="H181" s="558" t="s">
        <v>1223</v>
      </c>
      <c r="I181" s="558"/>
      <c r="J181" s="558"/>
      <c r="K181" s="222">
        <v>40</v>
      </c>
      <c r="L181" s="207"/>
    </row>
    <row r="182" spans="2:12">
      <c r="B182" s="208"/>
      <c r="C182" s="204"/>
      <c r="D182" s="204"/>
      <c r="E182" s="204"/>
      <c r="F182" s="204"/>
      <c r="G182" s="204"/>
      <c r="H182" s="558" t="s">
        <v>1199</v>
      </c>
      <c r="I182" s="558"/>
      <c r="J182" s="558"/>
      <c r="K182" s="222">
        <f>IF(K179&gt;K180,K180,K179)-K181</f>
        <v>127</v>
      </c>
      <c r="L182" s="207"/>
    </row>
    <row r="183" spans="2:12">
      <c r="B183" s="213"/>
      <c r="C183" s="214"/>
      <c r="D183" s="214"/>
      <c r="E183" s="214"/>
      <c r="F183" s="214"/>
      <c r="G183" s="214"/>
      <c r="H183" s="559" t="s">
        <v>1224</v>
      </c>
      <c r="I183" s="559"/>
      <c r="J183" s="559"/>
      <c r="K183" s="223">
        <f>IF(K179&gt;K180,K179-K180,0)</f>
        <v>6</v>
      </c>
      <c r="L183" s="209"/>
    </row>
    <row r="185" spans="2:12" ht="14.25" customHeight="1">
      <c r="B185" s="555" t="s">
        <v>1245</v>
      </c>
      <c r="C185" s="555"/>
      <c r="D185" s="555"/>
      <c r="E185" s="555"/>
      <c r="F185" s="555"/>
      <c r="G185" s="555"/>
      <c r="H185" s="555"/>
      <c r="I185" s="555"/>
      <c r="J185" s="555"/>
      <c r="K185" s="555"/>
      <c r="L185" s="555"/>
    </row>
    <row r="186" spans="2:12">
      <c r="B186" s="187" t="s">
        <v>1209</v>
      </c>
      <c r="C186" s="187"/>
      <c r="D186" s="187" t="s">
        <v>39</v>
      </c>
      <c r="E186" s="187" t="s">
        <v>1210</v>
      </c>
      <c r="F186" s="187" t="s">
        <v>1211</v>
      </c>
      <c r="G186" s="187" t="s">
        <v>1212</v>
      </c>
      <c r="H186" s="187" t="s">
        <v>1213</v>
      </c>
      <c r="I186" s="187" t="s">
        <v>1214</v>
      </c>
      <c r="J186" s="187" t="s">
        <v>1215</v>
      </c>
      <c r="K186" s="187" t="s">
        <v>1216</v>
      </c>
      <c r="L186" s="187" t="s">
        <v>1217</v>
      </c>
    </row>
    <row r="187" spans="2:12">
      <c r="B187" s="188" t="s">
        <v>1246</v>
      </c>
      <c r="C187" s="189" t="s">
        <v>1240</v>
      </c>
      <c r="D187" s="190" t="s">
        <v>39</v>
      </c>
      <c r="E187" s="191"/>
      <c r="F187" s="192"/>
      <c r="G187" s="192"/>
      <c r="H187" s="191"/>
      <c r="I187" s="191">
        <v>1</v>
      </c>
      <c r="J187" s="216"/>
      <c r="K187" s="217">
        <f>IF(E187*F187*G187&lt;&gt;0,E187*F187*G187,IF(E187*F187&lt;&gt;0,E187*F187,IF(F187*G187&lt;&gt;0,F187*G187,IF(E187*G187&lt;&gt;0,E187*G187,IF(E187&lt;&gt;0,E187,IF(F187&lt;&gt;0,F187,IF(G187&lt;&gt;0,G187,0)))))))*(IF(H187&lt;&gt;0,H187,1))+I187-J187</f>
        <v>1</v>
      </c>
      <c r="L187" s="218"/>
    </row>
    <row r="188" spans="2:12">
      <c r="B188" s="188" t="s">
        <v>1246</v>
      </c>
      <c r="C188" s="189" t="s">
        <v>1271</v>
      </c>
      <c r="D188" s="190" t="s">
        <v>39</v>
      </c>
      <c r="E188" s="191"/>
      <c r="F188" s="192"/>
      <c r="G188" s="192"/>
      <c r="H188" s="191"/>
      <c r="I188" s="191">
        <v>1</v>
      </c>
      <c r="J188" s="216"/>
      <c r="K188" s="217">
        <f>IF(E188*F188*G188&lt;&gt;0,E188*F188*G188,IF(E188*F188&lt;&gt;0,E188*F188,IF(F188*G188&lt;&gt;0,F188*G188,IF(E188*G188&lt;&gt;0,E188*G188,IF(E188&lt;&gt;0,E188,IF(F188&lt;&gt;0,F188,IF(G188&lt;&gt;0,G188,0)))))))*(IF(H188&lt;&gt;0,H188,1))+I188-J188</f>
        <v>1</v>
      </c>
      <c r="L188" s="218"/>
    </row>
    <row r="189" spans="2:12">
      <c r="B189" s="197"/>
      <c r="C189" s="189"/>
      <c r="D189" s="198"/>
      <c r="E189" s="199"/>
      <c r="F189" s="199"/>
      <c r="G189" s="199"/>
      <c r="H189" s="199"/>
      <c r="I189" s="199"/>
      <c r="J189" s="219"/>
      <c r="K189" s="217">
        <f>IF(E189*F189*G189&lt;&gt;0,E189*F189*G189,IF(E189*F189&lt;&gt;0,E189*F189,IF(F189*G189&lt;&gt;0,F189*G189,IF(E189*G189&lt;&gt;0,E189*G189,IF(E189&lt;&gt;0,E189,IF(F189&lt;&gt;0,F189,IF(G189&lt;&gt;0,G189,0)))))))*(IF(H189&lt;&gt;0,H189,1))+I189-J189</f>
        <v>0</v>
      </c>
      <c r="L189" s="218"/>
    </row>
    <row r="190" spans="2:12">
      <c r="B190" s="202"/>
      <c r="C190" s="203"/>
      <c r="D190" s="203"/>
      <c r="E190" s="203"/>
      <c r="F190" s="203"/>
      <c r="G190" s="203"/>
      <c r="H190" s="204"/>
      <c r="I190" s="556" t="s">
        <v>1221</v>
      </c>
      <c r="J190" s="556"/>
      <c r="K190" s="220">
        <f>SUM(K187:K189)</f>
        <v>2</v>
      </c>
      <c r="L190" s="207"/>
    </row>
    <row r="191" spans="2:12">
      <c r="B191" s="208"/>
      <c r="C191" s="204"/>
      <c r="D191" s="204"/>
      <c r="E191" s="204"/>
      <c r="F191" s="204"/>
      <c r="G191" s="204"/>
      <c r="H191" s="209"/>
      <c r="I191" s="557" t="s">
        <v>1222</v>
      </c>
      <c r="J191" s="557"/>
      <c r="K191" s="221">
        <v>2</v>
      </c>
      <c r="L191" s="207"/>
    </row>
    <row r="192" spans="2:12">
      <c r="B192" s="208"/>
      <c r="C192" s="204"/>
      <c r="D192" s="204"/>
      <c r="E192" s="204"/>
      <c r="F192" s="204"/>
      <c r="G192" s="204"/>
      <c r="H192" s="558" t="s">
        <v>1223</v>
      </c>
      <c r="I192" s="558"/>
      <c r="J192" s="558"/>
      <c r="K192" s="222">
        <v>1</v>
      </c>
      <c r="L192" s="207"/>
    </row>
    <row r="193" spans="2:12">
      <c r="B193" s="208"/>
      <c r="C193" s="204"/>
      <c r="D193" s="204"/>
      <c r="E193" s="204"/>
      <c r="F193" s="204"/>
      <c r="G193" s="204"/>
      <c r="H193" s="558" t="s">
        <v>1199</v>
      </c>
      <c r="I193" s="558"/>
      <c r="J193" s="558"/>
      <c r="K193" s="222">
        <f>IF(K190&gt;K191,K191,K190)-K192</f>
        <v>1</v>
      </c>
      <c r="L193" s="207"/>
    </row>
    <row r="194" spans="2:12">
      <c r="B194" s="213"/>
      <c r="C194" s="214"/>
      <c r="D194" s="214"/>
      <c r="E194" s="214"/>
      <c r="F194" s="214"/>
      <c r="G194" s="214"/>
      <c r="H194" s="559" t="s">
        <v>1224</v>
      </c>
      <c r="I194" s="559"/>
      <c r="J194" s="559"/>
      <c r="K194" s="223">
        <f>IF(K190&gt;K191,K190-K191,0)</f>
        <v>0</v>
      </c>
      <c r="L194" s="209"/>
    </row>
    <row r="196" spans="2:12" ht="14.25" customHeight="1">
      <c r="B196" s="555" t="s">
        <v>1334</v>
      </c>
      <c r="C196" s="555"/>
      <c r="D196" s="555"/>
      <c r="E196" s="555"/>
      <c r="F196" s="555"/>
      <c r="G196" s="555"/>
      <c r="H196" s="555"/>
      <c r="I196" s="555"/>
      <c r="J196" s="555"/>
      <c r="K196" s="555"/>
      <c r="L196" s="555"/>
    </row>
    <row r="197" spans="2:12">
      <c r="B197" s="187" t="s">
        <v>1209</v>
      </c>
      <c r="C197" s="187"/>
      <c r="D197" s="187" t="s">
        <v>39</v>
      </c>
      <c r="E197" s="187" t="s">
        <v>1210</v>
      </c>
      <c r="F197" s="187" t="s">
        <v>1211</v>
      </c>
      <c r="G197" s="187" t="s">
        <v>1212</v>
      </c>
      <c r="H197" s="187" t="s">
        <v>1213</v>
      </c>
      <c r="I197" s="187" t="s">
        <v>1214</v>
      </c>
      <c r="J197" s="187" t="s">
        <v>1215</v>
      </c>
      <c r="K197" s="187" t="s">
        <v>1216</v>
      </c>
      <c r="L197" s="187" t="s">
        <v>1217</v>
      </c>
    </row>
    <row r="198" spans="2:12">
      <c r="B198" s="197" t="s">
        <v>1285</v>
      </c>
      <c r="C198" s="189" t="s">
        <v>1271</v>
      </c>
      <c r="D198" s="198" t="s">
        <v>1335</v>
      </c>
      <c r="E198" s="199">
        <v>2.2999999999999998</v>
      </c>
      <c r="F198" s="199">
        <v>1.3</v>
      </c>
      <c r="G198" s="199"/>
      <c r="H198" s="199"/>
      <c r="I198" s="199"/>
      <c r="J198" s="219"/>
      <c r="K198" s="217">
        <f t="shared" ref="K198:K229" si="4">IF(E198*F198*G198&lt;&gt;0,E198*F198*G198,IF(E198*F198&lt;&gt;0,E198*F198,IF(F198*G198&lt;&gt;0,F198*G198,IF(E198*G198&lt;&gt;0,E198*G198,IF(E198&lt;&gt;0,E198,IF(F198&lt;&gt;0,F198,IF(G198&lt;&gt;0,G198,0)))))))*(IF(H198&lt;&gt;0,H198,1))+I198-J198</f>
        <v>2.9899999999999998</v>
      </c>
      <c r="L198" s="218"/>
    </row>
    <row r="199" spans="2:12">
      <c r="B199" s="197" t="s">
        <v>1286</v>
      </c>
      <c r="C199" s="189" t="s">
        <v>1271</v>
      </c>
      <c r="D199" s="198" t="s">
        <v>1335</v>
      </c>
      <c r="E199" s="199">
        <v>2.6</v>
      </c>
      <c r="F199" s="199">
        <v>2.6</v>
      </c>
      <c r="G199" s="199"/>
      <c r="H199" s="199"/>
      <c r="I199" s="199"/>
      <c r="J199" s="219"/>
      <c r="K199" s="217">
        <f t="shared" si="4"/>
        <v>6.7600000000000007</v>
      </c>
      <c r="L199" s="218"/>
    </row>
    <row r="200" spans="2:12">
      <c r="B200" s="197" t="s">
        <v>1287</v>
      </c>
      <c r="C200" s="189" t="s">
        <v>1271</v>
      </c>
      <c r="D200" s="198" t="s">
        <v>1335</v>
      </c>
      <c r="E200" s="199">
        <v>2.6</v>
      </c>
      <c r="F200" s="199">
        <v>2.6</v>
      </c>
      <c r="G200" s="199"/>
      <c r="H200" s="199"/>
      <c r="I200" s="199"/>
      <c r="J200" s="219"/>
      <c r="K200" s="217">
        <f t="shared" si="4"/>
        <v>6.7600000000000007</v>
      </c>
      <c r="L200" s="218"/>
    </row>
    <row r="201" spans="2:12">
      <c r="B201" s="197" t="s">
        <v>1288</v>
      </c>
      <c r="C201" s="189" t="s">
        <v>1271</v>
      </c>
      <c r="D201" s="198" t="s">
        <v>1335</v>
      </c>
      <c r="E201" s="199">
        <v>2.2999999999999998</v>
      </c>
      <c r="F201" s="199">
        <v>1.3</v>
      </c>
      <c r="G201" s="199"/>
      <c r="H201" s="199"/>
      <c r="I201" s="199"/>
      <c r="J201" s="219"/>
      <c r="K201" s="217">
        <f t="shared" si="4"/>
        <v>2.9899999999999998</v>
      </c>
      <c r="L201" s="218"/>
    </row>
    <row r="202" spans="2:12">
      <c r="B202" s="197" t="s">
        <v>1289</v>
      </c>
      <c r="C202" s="189" t="s">
        <v>1271</v>
      </c>
      <c r="D202" s="198" t="s">
        <v>1335</v>
      </c>
      <c r="E202" s="199">
        <v>1.4</v>
      </c>
      <c r="F202" s="199">
        <v>1.4</v>
      </c>
      <c r="G202" s="199"/>
      <c r="H202" s="199"/>
      <c r="I202" s="199"/>
      <c r="J202" s="219"/>
      <c r="K202" s="217">
        <f t="shared" si="4"/>
        <v>1.9599999999999997</v>
      </c>
      <c r="L202" s="218"/>
    </row>
    <row r="203" spans="2:12">
      <c r="B203" s="197" t="s">
        <v>1290</v>
      </c>
      <c r="C203" s="189" t="s">
        <v>1271</v>
      </c>
      <c r="D203" s="198" t="s">
        <v>1335</v>
      </c>
      <c r="E203" s="199"/>
      <c r="F203" s="199"/>
      <c r="G203" s="199"/>
      <c r="H203" s="199"/>
      <c r="I203" s="199">
        <v>3.29</v>
      </c>
      <c r="J203" s="219"/>
      <c r="K203" s="217">
        <f t="shared" si="4"/>
        <v>3.29</v>
      </c>
      <c r="L203" s="218"/>
    </row>
    <row r="204" spans="2:12">
      <c r="B204" s="197" t="s">
        <v>1291</v>
      </c>
      <c r="C204" s="189" t="s">
        <v>1271</v>
      </c>
      <c r="D204" s="198" t="s">
        <v>1335</v>
      </c>
      <c r="E204" s="199">
        <v>2.6</v>
      </c>
      <c r="F204" s="199">
        <v>2.6</v>
      </c>
      <c r="G204" s="199"/>
      <c r="H204" s="199"/>
      <c r="I204" s="199"/>
      <c r="J204" s="219"/>
      <c r="K204" s="217">
        <f t="shared" si="4"/>
        <v>6.7600000000000007</v>
      </c>
      <c r="L204" s="218"/>
    </row>
    <row r="205" spans="2:12">
      <c r="B205" s="197" t="s">
        <v>1292</v>
      </c>
      <c r="C205" s="189" t="s">
        <v>1271</v>
      </c>
      <c r="D205" s="198" t="s">
        <v>1335</v>
      </c>
      <c r="E205" s="199">
        <v>2.6</v>
      </c>
      <c r="F205" s="199">
        <v>2.6</v>
      </c>
      <c r="G205" s="199"/>
      <c r="H205" s="199"/>
      <c r="I205" s="199"/>
      <c r="J205" s="219"/>
      <c r="K205" s="217">
        <f t="shared" si="4"/>
        <v>6.7600000000000007</v>
      </c>
      <c r="L205" s="218"/>
    </row>
    <row r="206" spans="2:12">
      <c r="B206" s="197" t="s">
        <v>1293</v>
      </c>
      <c r="C206" s="189" t="s">
        <v>1271</v>
      </c>
      <c r="D206" s="198" t="s">
        <v>1335</v>
      </c>
      <c r="E206" s="199">
        <v>2.6</v>
      </c>
      <c r="F206" s="199">
        <v>2.6</v>
      </c>
      <c r="G206" s="199"/>
      <c r="H206" s="199"/>
      <c r="I206" s="199"/>
      <c r="J206" s="219"/>
      <c r="K206" s="217">
        <f t="shared" si="4"/>
        <v>6.7600000000000007</v>
      </c>
      <c r="L206" s="218"/>
    </row>
    <row r="207" spans="2:12">
      <c r="B207" s="197" t="s">
        <v>1294</v>
      </c>
      <c r="C207" s="189" t="s">
        <v>1271</v>
      </c>
      <c r="D207" s="198" t="s">
        <v>1335</v>
      </c>
      <c r="E207" s="199">
        <v>1.4</v>
      </c>
      <c r="F207" s="199">
        <v>1.4</v>
      </c>
      <c r="G207" s="199"/>
      <c r="H207" s="199"/>
      <c r="I207" s="199"/>
      <c r="J207" s="219"/>
      <c r="K207" s="217">
        <f t="shared" si="4"/>
        <v>1.9599999999999997</v>
      </c>
      <c r="L207" s="218"/>
    </row>
    <row r="208" spans="2:12">
      <c r="B208" s="197" t="s">
        <v>1295</v>
      </c>
      <c r="C208" s="189" t="s">
        <v>1271</v>
      </c>
      <c r="D208" s="198" t="s">
        <v>1335</v>
      </c>
      <c r="E208" s="199"/>
      <c r="F208" s="199"/>
      <c r="G208" s="199"/>
      <c r="H208" s="199"/>
      <c r="I208" s="199">
        <v>3.29</v>
      </c>
      <c r="J208" s="219"/>
      <c r="K208" s="217">
        <f t="shared" si="4"/>
        <v>3.29</v>
      </c>
      <c r="L208" s="218"/>
    </row>
    <row r="209" spans="2:12">
      <c r="B209" s="197" t="s">
        <v>1336</v>
      </c>
      <c r="C209" s="189" t="s">
        <v>1271</v>
      </c>
      <c r="D209" s="198" t="s">
        <v>1335</v>
      </c>
      <c r="E209" s="199">
        <v>2.6</v>
      </c>
      <c r="F209" s="199">
        <v>2.6</v>
      </c>
      <c r="G209" s="199"/>
      <c r="H209" s="199"/>
      <c r="I209" s="199"/>
      <c r="J209" s="219"/>
      <c r="K209" s="217">
        <f t="shared" si="4"/>
        <v>6.7600000000000007</v>
      </c>
      <c r="L209" s="218"/>
    </row>
    <row r="210" spans="2:12">
      <c r="B210" s="197" t="s">
        <v>1337</v>
      </c>
      <c r="C210" s="189" t="s">
        <v>1271</v>
      </c>
      <c r="D210" s="198" t="s">
        <v>1335</v>
      </c>
      <c r="E210" s="199">
        <v>2.6</v>
      </c>
      <c r="F210" s="199">
        <v>2.6</v>
      </c>
      <c r="G210" s="199"/>
      <c r="H210" s="199"/>
      <c r="I210" s="199"/>
      <c r="J210" s="219"/>
      <c r="K210" s="217">
        <f t="shared" si="4"/>
        <v>6.7600000000000007</v>
      </c>
      <c r="L210" s="218"/>
    </row>
    <row r="211" spans="2:12">
      <c r="B211" s="197" t="s">
        <v>1338</v>
      </c>
      <c r="C211" s="189" t="s">
        <v>1271</v>
      </c>
      <c r="D211" s="198" t="s">
        <v>1335</v>
      </c>
      <c r="E211" s="199">
        <v>2.6</v>
      </c>
      <c r="F211" s="199">
        <v>2.6</v>
      </c>
      <c r="G211" s="199"/>
      <c r="H211" s="199"/>
      <c r="I211" s="199"/>
      <c r="J211" s="219"/>
      <c r="K211" s="217">
        <f t="shared" si="4"/>
        <v>6.7600000000000007</v>
      </c>
      <c r="L211" s="218"/>
    </row>
    <row r="212" spans="2:12">
      <c r="B212" s="197" t="s">
        <v>1339</v>
      </c>
      <c r="C212" s="189" t="s">
        <v>1271</v>
      </c>
      <c r="D212" s="198" t="s">
        <v>1335</v>
      </c>
      <c r="E212" s="199">
        <v>1.4</v>
      </c>
      <c r="F212" s="199">
        <v>1.4</v>
      </c>
      <c r="G212" s="199"/>
      <c r="H212" s="199"/>
      <c r="I212" s="199"/>
      <c r="J212" s="219"/>
      <c r="K212" s="217">
        <f t="shared" si="4"/>
        <v>1.9599999999999997</v>
      </c>
      <c r="L212" s="218"/>
    </row>
    <row r="213" spans="2:12">
      <c r="B213" s="197" t="s">
        <v>1340</v>
      </c>
      <c r="C213" s="189" t="s">
        <v>1271</v>
      </c>
      <c r="D213" s="198" t="s">
        <v>1335</v>
      </c>
      <c r="E213" s="199">
        <v>2.2999999999999998</v>
      </c>
      <c r="F213" s="199">
        <v>1.3</v>
      </c>
      <c r="G213" s="199"/>
      <c r="H213" s="199"/>
      <c r="I213" s="199"/>
      <c r="J213" s="219"/>
      <c r="K213" s="217">
        <f t="shared" si="4"/>
        <v>2.9899999999999998</v>
      </c>
      <c r="L213" s="218"/>
    </row>
    <row r="214" spans="2:12">
      <c r="B214" s="197" t="s">
        <v>1296</v>
      </c>
      <c r="C214" s="189" t="s">
        <v>1271</v>
      </c>
      <c r="D214" s="198" t="s">
        <v>1335</v>
      </c>
      <c r="E214" s="199">
        <v>2.2999999999999998</v>
      </c>
      <c r="F214" s="199">
        <v>1.3</v>
      </c>
      <c r="G214" s="199"/>
      <c r="H214" s="199"/>
      <c r="I214" s="199"/>
      <c r="J214" s="219"/>
      <c r="K214" s="217">
        <f t="shared" si="4"/>
        <v>2.9899999999999998</v>
      </c>
      <c r="L214" s="218"/>
    </row>
    <row r="215" spans="2:12">
      <c r="B215" s="197" t="s">
        <v>1341</v>
      </c>
      <c r="C215" s="189" t="s">
        <v>1271</v>
      </c>
      <c r="D215" s="198" t="s">
        <v>1335</v>
      </c>
      <c r="E215" s="199"/>
      <c r="F215" s="199"/>
      <c r="G215" s="199"/>
      <c r="H215" s="199"/>
      <c r="I215" s="199">
        <v>3.29</v>
      </c>
      <c r="J215" s="219"/>
      <c r="K215" s="217">
        <f t="shared" si="4"/>
        <v>3.29</v>
      </c>
      <c r="L215" s="218"/>
    </row>
    <row r="216" spans="2:12">
      <c r="B216" s="197" t="s">
        <v>1342</v>
      </c>
      <c r="C216" s="189" t="s">
        <v>1333</v>
      </c>
      <c r="D216" s="198" t="s">
        <v>1335</v>
      </c>
      <c r="E216" s="199">
        <v>3.54</v>
      </c>
      <c r="F216" s="199">
        <v>3.54</v>
      </c>
      <c r="G216" s="199"/>
      <c r="H216" s="199"/>
      <c r="I216" s="199"/>
      <c r="J216" s="219"/>
      <c r="K216" s="217">
        <f t="shared" si="4"/>
        <v>12.531600000000001</v>
      </c>
      <c r="L216" s="218"/>
    </row>
    <row r="217" spans="2:12">
      <c r="B217" s="197" t="s">
        <v>1343</v>
      </c>
      <c r="C217" s="189" t="s">
        <v>1333</v>
      </c>
      <c r="D217" s="198" t="s">
        <v>1335</v>
      </c>
      <c r="E217" s="199">
        <v>2.6</v>
      </c>
      <c r="F217" s="199">
        <v>2.6</v>
      </c>
      <c r="G217" s="199"/>
      <c r="H217" s="199"/>
      <c r="I217" s="199"/>
      <c r="J217" s="219"/>
      <c r="K217" s="217">
        <f t="shared" si="4"/>
        <v>6.7600000000000007</v>
      </c>
      <c r="L217" s="218"/>
    </row>
    <row r="218" spans="2:12">
      <c r="B218" s="197" t="s">
        <v>1297</v>
      </c>
      <c r="C218" s="189" t="s">
        <v>1333</v>
      </c>
      <c r="D218" s="198" t="s">
        <v>1335</v>
      </c>
      <c r="E218" s="199">
        <v>3.8</v>
      </c>
      <c r="F218" s="199">
        <v>1.4</v>
      </c>
      <c r="G218" s="199"/>
      <c r="H218" s="199"/>
      <c r="I218" s="199"/>
      <c r="J218" s="219"/>
      <c r="K218" s="217">
        <f t="shared" si="4"/>
        <v>5.3199999999999994</v>
      </c>
      <c r="L218" s="218"/>
    </row>
    <row r="219" spans="2:12">
      <c r="B219" s="197" t="s">
        <v>1344</v>
      </c>
      <c r="C219" s="189" t="s">
        <v>1333</v>
      </c>
      <c r="D219" s="198" t="s">
        <v>1335</v>
      </c>
      <c r="E219" s="199">
        <v>2.6</v>
      </c>
      <c r="F219" s="199">
        <v>2.6</v>
      </c>
      <c r="G219" s="199"/>
      <c r="H219" s="199"/>
      <c r="I219" s="199"/>
      <c r="J219" s="219"/>
      <c r="K219" s="217">
        <f t="shared" si="4"/>
        <v>6.7600000000000007</v>
      </c>
      <c r="L219" s="218"/>
    </row>
    <row r="220" spans="2:12">
      <c r="B220" s="197" t="s">
        <v>1345</v>
      </c>
      <c r="C220" s="189" t="s">
        <v>1333</v>
      </c>
      <c r="D220" s="198" t="s">
        <v>1335</v>
      </c>
      <c r="E220" s="199">
        <v>2.6</v>
      </c>
      <c r="F220" s="199">
        <v>2.6</v>
      </c>
      <c r="G220" s="199"/>
      <c r="H220" s="199"/>
      <c r="I220" s="199"/>
      <c r="J220" s="219"/>
      <c r="K220" s="217">
        <f t="shared" si="4"/>
        <v>6.7600000000000007</v>
      </c>
      <c r="L220" s="218"/>
    </row>
    <row r="221" spans="2:12">
      <c r="B221" s="197" t="s">
        <v>1298</v>
      </c>
      <c r="C221" s="189" t="s">
        <v>1333</v>
      </c>
      <c r="D221" s="198" t="s">
        <v>1335</v>
      </c>
      <c r="E221" s="199">
        <v>3.8</v>
      </c>
      <c r="F221" s="199">
        <v>2.6</v>
      </c>
      <c r="G221" s="199"/>
      <c r="H221" s="199"/>
      <c r="I221" s="199"/>
      <c r="J221" s="219"/>
      <c r="K221" s="217">
        <f t="shared" si="4"/>
        <v>9.879999999999999</v>
      </c>
      <c r="L221" s="218"/>
    </row>
    <row r="222" spans="2:12">
      <c r="B222" s="197" t="s">
        <v>1346</v>
      </c>
      <c r="C222" s="189" t="s">
        <v>1333</v>
      </c>
      <c r="D222" s="198" t="s">
        <v>1335</v>
      </c>
      <c r="E222" s="199">
        <v>2.6</v>
      </c>
      <c r="F222" s="199">
        <v>2.6</v>
      </c>
      <c r="G222" s="199"/>
      <c r="H222" s="199"/>
      <c r="I222" s="199"/>
      <c r="J222" s="219"/>
      <c r="K222" s="217">
        <f t="shared" si="4"/>
        <v>6.7600000000000007</v>
      </c>
      <c r="L222" s="218"/>
    </row>
    <row r="223" spans="2:12">
      <c r="B223" s="197" t="s">
        <v>1347</v>
      </c>
      <c r="C223" s="189" t="s">
        <v>1333</v>
      </c>
      <c r="D223" s="198" t="s">
        <v>1335</v>
      </c>
      <c r="E223" s="199"/>
      <c r="F223" s="199"/>
      <c r="G223" s="199"/>
      <c r="H223" s="199"/>
      <c r="I223" s="199">
        <v>3.29</v>
      </c>
      <c r="J223" s="219"/>
      <c r="K223" s="217">
        <f t="shared" si="4"/>
        <v>3.29</v>
      </c>
      <c r="L223" s="218"/>
    </row>
    <row r="224" spans="2:12">
      <c r="B224" s="197" t="s">
        <v>1348</v>
      </c>
      <c r="C224" s="189" t="s">
        <v>1333</v>
      </c>
      <c r="D224" s="198" t="s">
        <v>1335</v>
      </c>
      <c r="E224" s="199">
        <v>3.54</v>
      </c>
      <c r="F224" s="199">
        <v>3.54</v>
      </c>
      <c r="G224" s="199"/>
      <c r="H224" s="199"/>
      <c r="I224" s="199"/>
      <c r="J224" s="219"/>
      <c r="K224" s="217">
        <f t="shared" si="4"/>
        <v>12.531600000000001</v>
      </c>
      <c r="L224" s="218"/>
    </row>
    <row r="225" spans="2:12">
      <c r="B225" s="197" t="s">
        <v>1349</v>
      </c>
      <c r="C225" s="189" t="s">
        <v>1333</v>
      </c>
      <c r="D225" s="198" t="s">
        <v>1335</v>
      </c>
      <c r="E225" s="199">
        <v>3.8</v>
      </c>
      <c r="F225" s="199">
        <v>2.6</v>
      </c>
      <c r="G225" s="199"/>
      <c r="H225" s="199"/>
      <c r="I225" s="199"/>
      <c r="J225" s="219"/>
      <c r="K225" s="217">
        <f t="shared" si="4"/>
        <v>9.879999999999999</v>
      </c>
      <c r="L225" s="218"/>
    </row>
    <row r="226" spans="2:12">
      <c r="B226" s="197" t="s">
        <v>1350</v>
      </c>
      <c r="C226" s="189" t="s">
        <v>1333</v>
      </c>
      <c r="D226" s="198" t="s">
        <v>1335</v>
      </c>
      <c r="E226" s="199">
        <v>3.8</v>
      </c>
      <c r="F226" s="199">
        <v>2.6</v>
      </c>
      <c r="G226" s="199"/>
      <c r="H226" s="199"/>
      <c r="I226" s="199"/>
      <c r="J226" s="219"/>
      <c r="K226" s="217">
        <f t="shared" si="4"/>
        <v>9.879999999999999</v>
      </c>
      <c r="L226" s="218"/>
    </row>
    <row r="227" spans="2:12">
      <c r="B227" s="197" t="s">
        <v>1351</v>
      </c>
      <c r="C227" s="189" t="s">
        <v>1333</v>
      </c>
      <c r="D227" s="198" t="s">
        <v>1335</v>
      </c>
      <c r="E227" s="199">
        <v>2.6</v>
      </c>
      <c r="F227" s="199">
        <v>2.6</v>
      </c>
      <c r="G227" s="199"/>
      <c r="H227" s="199"/>
      <c r="I227" s="199"/>
      <c r="J227" s="219"/>
      <c r="K227" s="217">
        <f t="shared" si="4"/>
        <v>6.7600000000000007</v>
      </c>
      <c r="L227" s="218"/>
    </row>
    <row r="228" spans="2:12">
      <c r="B228" s="197" t="s">
        <v>1352</v>
      </c>
      <c r="C228" s="189" t="s">
        <v>1333</v>
      </c>
      <c r="D228" s="198" t="s">
        <v>1335</v>
      </c>
      <c r="E228" s="199">
        <v>1.4</v>
      </c>
      <c r="F228" s="199">
        <v>1.4</v>
      </c>
      <c r="G228" s="199"/>
      <c r="H228" s="199"/>
      <c r="I228" s="199"/>
      <c r="J228" s="219"/>
      <c r="K228" s="217">
        <f t="shared" si="4"/>
        <v>1.9599999999999997</v>
      </c>
      <c r="L228" s="218"/>
    </row>
    <row r="229" spans="2:12">
      <c r="B229" s="197" t="s">
        <v>1353</v>
      </c>
      <c r="C229" s="189" t="s">
        <v>1333</v>
      </c>
      <c r="D229" s="198" t="s">
        <v>1335</v>
      </c>
      <c r="E229" s="199">
        <v>1.4</v>
      </c>
      <c r="F229" s="199">
        <v>1.4</v>
      </c>
      <c r="G229" s="199"/>
      <c r="H229" s="199"/>
      <c r="I229" s="199"/>
      <c r="J229" s="219"/>
      <c r="K229" s="217">
        <f t="shared" si="4"/>
        <v>1.9599999999999997</v>
      </c>
      <c r="L229" s="218"/>
    </row>
    <row r="230" spans="2:12">
      <c r="B230" s="197" t="s">
        <v>1354</v>
      </c>
      <c r="C230" s="189" t="s">
        <v>1333</v>
      </c>
      <c r="D230" s="198" t="s">
        <v>1335</v>
      </c>
      <c r="E230" s="199">
        <v>1.4</v>
      </c>
      <c r="F230" s="199">
        <v>1.4</v>
      </c>
      <c r="G230" s="199"/>
      <c r="H230" s="199"/>
      <c r="I230" s="199"/>
      <c r="J230" s="219"/>
      <c r="K230" s="217">
        <f t="shared" ref="K230:K250" si="5">IF(E230*F230*G230&lt;&gt;0,E230*F230*G230,IF(E230*F230&lt;&gt;0,E230*F230,IF(F230*G230&lt;&gt;0,F230*G230,IF(E230*G230&lt;&gt;0,E230*G230,IF(E230&lt;&gt;0,E230,IF(F230&lt;&gt;0,F230,IF(G230&lt;&gt;0,G230,0)))))))*(IF(H230&lt;&gt;0,H230,1))+I230-J230</f>
        <v>1.9599999999999997</v>
      </c>
      <c r="L230" s="218"/>
    </row>
    <row r="231" spans="2:12">
      <c r="B231" s="197" t="s">
        <v>1355</v>
      </c>
      <c r="C231" s="189" t="s">
        <v>1333</v>
      </c>
      <c r="D231" s="198" t="s">
        <v>1335</v>
      </c>
      <c r="E231" s="199">
        <v>1.4</v>
      </c>
      <c r="F231" s="199">
        <v>1.4</v>
      </c>
      <c r="G231" s="199"/>
      <c r="H231" s="199"/>
      <c r="I231" s="199"/>
      <c r="J231" s="219"/>
      <c r="K231" s="217">
        <f t="shared" si="5"/>
        <v>1.9599999999999997</v>
      </c>
      <c r="L231" s="218"/>
    </row>
    <row r="232" spans="2:12">
      <c r="B232" s="197" t="s">
        <v>1356</v>
      </c>
      <c r="C232" s="189" t="s">
        <v>1333</v>
      </c>
      <c r="D232" s="198" t="s">
        <v>1335</v>
      </c>
      <c r="E232" s="199">
        <v>2.6</v>
      </c>
      <c r="F232" s="199">
        <v>2.6</v>
      </c>
      <c r="G232" s="199"/>
      <c r="H232" s="199"/>
      <c r="I232" s="199"/>
      <c r="J232" s="219"/>
      <c r="K232" s="217">
        <f t="shared" si="5"/>
        <v>6.7600000000000007</v>
      </c>
      <c r="L232" s="218"/>
    </row>
    <row r="233" spans="2:12">
      <c r="B233" s="197" t="s">
        <v>1357</v>
      </c>
      <c r="C233" s="189" t="s">
        <v>1333</v>
      </c>
      <c r="D233" s="198" t="s">
        <v>1335</v>
      </c>
      <c r="E233" s="199">
        <v>2.6</v>
      </c>
      <c r="F233" s="199">
        <v>2.6</v>
      </c>
      <c r="G233" s="199"/>
      <c r="H233" s="199"/>
      <c r="I233" s="199"/>
      <c r="J233" s="219"/>
      <c r="K233" s="217">
        <f t="shared" si="5"/>
        <v>6.7600000000000007</v>
      </c>
      <c r="L233" s="218"/>
    </row>
    <row r="234" spans="2:12">
      <c r="B234" s="197" t="s">
        <v>1358</v>
      </c>
      <c r="C234" s="189" t="s">
        <v>1333</v>
      </c>
      <c r="D234" s="198" t="s">
        <v>1335</v>
      </c>
      <c r="E234" s="199">
        <v>2.6</v>
      </c>
      <c r="F234" s="199">
        <v>2.6</v>
      </c>
      <c r="G234" s="199"/>
      <c r="H234" s="199"/>
      <c r="I234" s="199"/>
      <c r="J234" s="219"/>
      <c r="K234" s="217">
        <f t="shared" si="5"/>
        <v>6.7600000000000007</v>
      </c>
      <c r="L234" s="218"/>
    </row>
    <row r="235" spans="2:12">
      <c r="B235" s="197" t="s">
        <v>1359</v>
      </c>
      <c r="C235" s="189" t="s">
        <v>1333</v>
      </c>
      <c r="D235" s="198" t="s">
        <v>1335</v>
      </c>
      <c r="E235" s="199">
        <v>2.6</v>
      </c>
      <c r="F235" s="199">
        <v>2.6</v>
      </c>
      <c r="G235" s="199"/>
      <c r="H235" s="199"/>
      <c r="I235" s="199"/>
      <c r="J235" s="219"/>
      <c r="K235" s="217">
        <f t="shared" si="5"/>
        <v>6.7600000000000007</v>
      </c>
      <c r="L235" s="218"/>
    </row>
    <row r="236" spans="2:12">
      <c r="B236" s="197" t="s">
        <v>1360</v>
      </c>
      <c r="C236" s="189" t="s">
        <v>1333</v>
      </c>
      <c r="D236" s="198" t="s">
        <v>1335</v>
      </c>
      <c r="E236" s="199">
        <v>1.4</v>
      </c>
      <c r="F236" s="199">
        <v>1.4</v>
      </c>
      <c r="G236" s="199"/>
      <c r="H236" s="199"/>
      <c r="I236" s="199"/>
      <c r="J236" s="219"/>
      <c r="K236" s="217">
        <f t="shared" si="5"/>
        <v>1.9599999999999997</v>
      </c>
      <c r="L236" s="218"/>
    </row>
    <row r="237" spans="2:12">
      <c r="B237" s="197" t="s">
        <v>1361</v>
      </c>
      <c r="C237" s="189" t="s">
        <v>1333</v>
      </c>
      <c r="D237" s="198" t="s">
        <v>1335</v>
      </c>
      <c r="E237" s="199">
        <v>1.4</v>
      </c>
      <c r="F237" s="199">
        <v>1.4</v>
      </c>
      <c r="G237" s="199"/>
      <c r="H237" s="199"/>
      <c r="I237" s="199"/>
      <c r="J237" s="219"/>
      <c r="K237" s="217">
        <f t="shared" si="5"/>
        <v>1.9599999999999997</v>
      </c>
      <c r="L237" s="218"/>
    </row>
    <row r="238" spans="2:12">
      <c r="B238" s="197" t="s">
        <v>1362</v>
      </c>
      <c r="C238" s="189" t="s">
        <v>1333</v>
      </c>
      <c r="D238" s="198" t="s">
        <v>1335</v>
      </c>
      <c r="E238" s="199">
        <v>2.6</v>
      </c>
      <c r="F238" s="199">
        <v>2.6</v>
      </c>
      <c r="G238" s="199"/>
      <c r="H238" s="199"/>
      <c r="I238" s="199"/>
      <c r="J238" s="219"/>
      <c r="K238" s="217">
        <f t="shared" si="5"/>
        <v>6.7600000000000007</v>
      </c>
      <c r="L238" s="218"/>
    </row>
    <row r="239" spans="2:12">
      <c r="B239" s="197" t="s">
        <v>1363</v>
      </c>
      <c r="C239" s="189" t="s">
        <v>1333</v>
      </c>
      <c r="D239" s="198" t="s">
        <v>1335</v>
      </c>
      <c r="E239" s="199">
        <v>2.6</v>
      </c>
      <c r="F239" s="199">
        <v>2.6</v>
      </c>
      <c r="G239" s="199"/>
      <c r="H239" s="199"/>
      <c r="I239" s="199"/>
      <c r="J239" s="219"/>
      <c r="K239" s="217">
        <f t="shared" si="5"/>
        <v>6.7600000000000007</v>
      </c>
      <c r="L239" s="218"/>
    </row>
    <row r="240" spans="2:12">
      <c r="B240" s="197" t="s">
        <v>1364</v>
      </c>
      <c r="C240" s="189" t="s">
        <v>1333</v>
      </c>
      <c r="D240" s="198" t="s">
        <v>1335</v>
      </c>
      <c r="E240" s="199">
        <v>2.2999999999999998</v>
      </c>
      <c r="F240" s="199">
        <v>1.3</v>
      </c>
      <c r="G240" s="199"/>
      <c r="H240" s="199"/>
      <c r="I240" s="199"/>
      <c r="J240" s="219"/>
      <c r="K240" s="217">
        <f t="shared" si="5"/>
        <v>2.9899999999999998</v>
      </c>
      <c r="L240" s="218"/>
    </row>
    <row r="241" spans="2:12">
      <c r="B241" s="197" t="s">
        <v>1442</v>
      </c>
      <c r="C241" s="189" t="s">
        <v>1441</v>
      </c>
      <c r="D241" s="198" t="s">
        <v>1335</v>
      </c>
      <c r="E241" s="199">
        <v>3.8</v>
      </c>
      <c r="F241" s="199">
        <v>2.4</v>
      </c>
      <c r="G241" s="199"/>
      <c r="H241" s="199"/>
      <c r="I241" s="199"/>
      <c r="J241" s="219"/>
      <c r="K241" s="217">
        <f t="shared" si="5"/>
        <v>9.1199999999999992</v>
      </c>
      <c r="L241" s="218"/>
    </row>
    <row r="242" spans="2:12">
      <c r="B242" s="197" t="s">
        <v>1443</v>
      </c>
      <c r="C242" s="189" t="s">
        <v>1441</v>
      </c>
      <c r="D242" s="198" t="s">
        <v>1335</v>
      </c>
      <c r="E242" s="199">
        <v>3.8</v>
      </c>
      <c r="F242" s="199">
        <v>2.4</v>
      </c>
      <c r="G242" s="199"/>
      <c r="H242" s="199"/>
      <c r="I242" s="199"/>
      <c r="J242" s="219"/>
      <c r="K242" s="217">
        <f t="shared" si="5"/>
        <v>9.1199999999999992</v>
      </c>
      <c r="L242" s="218"/>
    </row>
    <row r="243" spans="2:12">
      <c r="B243" s="197" t="s">
        <v>1444</v>
      </c>
      <c r="C243" s="189" t="s">
        <v>1441</v>
      </c>
      <c r="D243" s="198" t="s">
        <v>1335</v>
      </c>
      <c r="E243" s="199">
        <v>2.2999999999999998</v>
      </c>
      <c r="F243" s="199">
        <v>1.3</v>
      </c>
      <c r="G243" s="199"/>
      <c r="H243" s="199"/>
      <c r="I243" s="199"/>
      <c r="J243" s="219"/>
      <c r="K243" s="217">
        <f t="shared" si="5"/>
        <v>2.9899999999999998</v>
      </c>
      <c r="L243" s="218"/>
    </row>
    <row r="244" spans="2:12">
      <c r="B244" s="197" t="s">
        <v>1445</v>
      </c>
      <c r="C244" s="189" t="s">
        <v>1441</v>
      </c>
      <c r="D244" s="198" t="s">
        <v>1335</v>
      </c>
      <c r="E244" s="199">
        <v>2.2999999999999998</v>
      </c>
      <c r="F244" s="199">
        <v>1.3</v>
      </c>
      <c r="G244" s="199"/>
      <c r="H244" s="199"/>
      <c r="I244" s="199"/>
      <c r="J244" s="219"/>
      <c r="K244" s="217">
        <f t="shared" si="5"/>
        <v>2.9899999999999998</v>
      </c>
      <c r="L244" s="218"/>
    </row>
    <row r="245" spans="2:12">
      <c r="B245" s="197" t="s">
        <v>1446</v>
      </c>
      <c r="C245" s="189" t="s">
        <v>1441</v>
      </c>
      <c r="D245" s="198" t="s">
        <v>1335</v>
      </c>
      <c r="E245" s="199"/>
      <c r="F245" s="199"/>
      <c r="G245" s="199"/>
      <c r="H245" s="199"/>
      <c r="I245" s="199">
        <v>4.8499999999999996</v>
      </c>
      <c r="J245" s="219"/>
      <c r="K245" s="217">
        <f t="shared" si="5"/>
        <v>4.8499999999999996</v>
      </c>
      <c r="L245" s="218"/>
    </row>
    <row r="246" spans="2:12">
      <c r="B246" s="197" t="s">
        <v>1447</v>
      </c>
      <c r="C246" s="189" t="s">
        <v>1441</v>
      </c>
      <c r="D246" s="198" t="s">
        <v>1335</v>
      </c>
      <c r="E246" s="199"/>
      <c r="F246" s="199"/>
      <c r="G246" s="199"/>
      <c r="H246" s="199"/>
      <c r="I246" s="199">
        <v>4.8499999999999996</v>
      </c>
      <c r="J246" s="219"/>
      <c r="K246" s="217">
        <f t="shared" si="5"/>
        <v>4.8499999999999996</v>
      </c>
      <c r="L246" s="218"/>
    </row>
    <row r="247" spans="2:12">
      <c r="B247" s="197"/>
      <c r="C247" s="189" t="s">
        <v>1441</v>
      </c>
      <c r="D247" s="198" t="s">
        <v>1335</v>
      </c>
      <c r="E247" s="199"/>
      <c r="F247" s="199"/>
      <c r="G247" s="199"/>
      <c r="H247" s="199"/>
      <c r="I247" s="199">
        <v>2.2537750732476899E-4</v>
      </c>
      <c r="J247" s="219"/>
      <c r="K247" s="217">
        <f t="shared" si="5"/>
        <v>2.2537750732476899E-4</v>
      </c>
      <c r="L247" s="218"/>
    </row>
    <row r="248" spans="2:12">
      <c r="B248" s="197"/>
      <c r="C248" s="189" t="s">
        <v>1441</v>
      </c>
      <c r="D248" s="198" t="s">
        <v>1335</v>
      </c>
      <c r="E248" s="199"/>
      <c r="F248" s="199"/>
      <c r="G248" s="199"/>
      <c r="H248" s="199"/>
      <c r="I248" s="199"/>
      <c r="J248" s="219"/>
      <c r="K248" s="217">
        <f t="shared" si="5"/>
        <v>0</v>
      </c>
      <c r="L248" s="218"/>
    </row>
    <row r="249" spans="2:12">
      <c r="B249" s="197"/>
      <c r="C249" s="189" t="s">
        <v>1441</v>
      </c>
      <c r="D249" s="198" t="s">
        <v>1335</v>
      </c>
      <c r="E249" s="199"/>
      <c r="F249" s="199"/>
      <c r="G249" s="199"/>
      <c r="H249" s="199"/>
      <c r="I249" s="199"/>
      <c r="J249" s="219"/>
      <c r="K249" s="217">
        <f t="shared" si="5"/>
        <v>0</v>
      </c>
      <c r="L249" s="218"/>
    </row>
    <row r="250" spans="2:12">
      <c r="B250" s="197"/>
      <c r="C250" s="189"/>
      <c r="D250" s="198"/>
      <c r="E250" s="199"/>
      <c r="F250" s="199"/>
      <c r="G250" s="199"/>
      <c r="H250" s="199"/>
      <c r="I250" s="199"/>
      <c r="J250" s="219"/>
      <c r="K250" s="217">
        <f t="shared" si="5"/>
        <v>0</v>
      </c>
      <c r="L250" s="218"/>
    </row>
    <row r="251" spans="2:12">
      <c r="B251" s="202"/>
      <c r="C251" s="203"/>
      <c r="D251" s="203"/>
      <c r="E251" s="203"/>
      <c r="F251" s="203"/>
      <c r="G251" s="203"/>
      <c r="H251" s="204"/>
      <c r="I251" s="556" t="s">
        <v>1221</v>
      </c>
      <c r="J251" s="556"/>
      <c r="K251" s="220">
        <f>SUM(K198:K250)</f>
        <v>268.13342537750736</v>
      </c>
      <c r="L251" s="207"/>
    </row>
    <row r="252" spans="2:12">
      <c r="B252" s="208"/>
      <c r="C252" s="204"/>
      <c r="D252" s="204"/>
      <c r="E252" s="204"/>
      <c r="F252" s="204"/>
      <c r="G252" s="204"/>
      <c r="H252" s="209"/>
      <c r="I252" s="557" t="s">
        <v>1222</v>
      </c>
      <c r="J252" s="557"/>
      <c r="K252" s="221">
        <v>233.48</v>
      </c>
      <c r="L252" s="207"/>
    </row>
    <row r="253" spans="2:12">
      <c r="B253" s="208"/>
      <c r="C253" s="204"/>
      <c r="D253" s="204"/>
      <c r="E253" s="204"/>
      <c r="F253" s="204"/>
      <c r="G253" s="204"/>
      <c r="H253" s="558" t="s">
        <v>1223</v>
      </c>
      <c r="I253" s="558"/>
      <c r="J253" s="558"/>
      <c r="K253" s="222">
        <v>168.22919999999999</v>
      </c>
      <c r="L253" s="207"/>
    </row>
    <row r="254" spans="2:12">
      <c r="B254" s="208"/>
      <c r="C254" s="204"/>
      <c r="D254" s="204"/>
      <c r="E254" s="204"/>
      <c r="F254" s="204"/>
      <c r="G254" s="204"/>
      <c r="H254" s="558" t="s">
        <v>1431</v>
      </c>
      <c r="I254" s="558"/>
      <c r="J254" s="558"/>
      <c r="K254" s="222">
        <f>IF(K251&gt;K252,K252,K251)-K253+0.000225377507324769</f>
        <v>65.251025377507318</v>
      </c>
      <c r="L254" s="207"/>
    </row>
    <row r="255" spans="2:12">
      <c r="B255" s="213"/>
      <c r="C255" s="214"/>
      <c r="D255" s="214"/>
      <c r="E255" s="214"/>
      <c r="F255" s="214"/>
      <c r="G255" s="214"/>
      <c r="H255" s="559" t="s">
        <v>1224</v>
      </c>
      <c r="I255" s="559"/>
      <c r="J255" s="559"/>
      <c r="K255" s="223">
        <f>IF(K251&gt;K252,K251-K252,0)</f>
        <v>34.653425377507375</v>
      </c>
      <c r="L255" s="209"/>
    </row>
    <row r="257" spans="2:12" ht="14.25" customHeight="1">
      <c r="B257" s="555" t="s">
        <v>1272</v>
      </c>
      <c r="C257" s="555"/>
      <c r="D257" s="555"/>
      <c r="E257" s="555"/>
      <c r="F257" s="555"/>
      <c r="G257" s="555"/>
      <c r="H257" s="555"/>
      <c r="I257" s="555"/>
      <c r="J257" s="555"/>
      <c r="K257" s="555"/>
      <c r="L257" s="555"/>
    </row>
    <row r="258" spans="2:12">
      <c r="B258" s="187" t="s">
        <v>1209</v>
      </c>
      <c r="C258" s="187"/>
      <c r="D258" s="187" t="s">
        <v>39</v>
      </c>
      <c r="E258" s="187" t="s">
        <v>1210</v>
      </c>
      <c r="F258" s="187" t="s">
        <v>1211</v>
      </c>
      <c r="G258" s="187" t="s">
        <v>1212</v>
      </c>
      <c r="H258" s="187" t="s">
        <v>1213</v>
      </c>
      <c r="I258" s="187" t="s">
        <v>1214</v>
      </c>
      <c r="J258" s="187" t="s">
        <v>1215</v>
      </c>
      <c r="K258" s="187" t="s">
        <v>1216</v>
      </c>
      <c r="L258" s="187" t="s">
        <v>1217</v>
      </c>
    </row>
    <row r="259" spans="2:12">
      <c r="B259" s="188" t="s">
        <v>1273</v>
      </c>
      <c r="C259" s="189" t="s">
        <v>1271</v>
      </c>
      <c r="D259" s="190" t="s">
        <v>1274</v>
      </c>
      <c r="E259" s="191">
        <v>1014</v>
      </c>
      <c r="F259" s="243">
        <v>0.154</v>
      </c>
      <c r="G259" s="192">
        <v>1.1000000000000001</v>
      </c>
      <c r="H259" s="191"/>
      <c r="I259" s="191"/>
      <c r="J259" s="216"/>
      <c r="K259" s="217">
        <f>IF(E259*F259*G259&lt;&gt;0,E259*F259*G259,IF(E259*F259&lt;&gt;0,E259*F259,IF(F259*G259&lt;&gt;0,F259*G259,IF(E259*G259&lt;&gt;0,E259*G259,IF(E259&lt;&gt;0,E259,IF(F259&lt;&gt;0,F259,IF(G259&lt;&gt;0,G259,0)))))))*(IF(H259&lt;&gt;0,H259,1))+I259-J259</f>
        <v>171.77160000000001</v>
      </c>
      <c r="L259" s="218"/>
    </row>
    <row r="260" spans="2:12">
      <c r="B260" s="188" t="s">
        <v>1275</v>
      </c>
      <c r="C260" s="189" t="s">
        <v>1333</v>
      </c>
      <c r="D260" s="190" t="s">
        <v>1274</v>
      </c>
      <c r="E260" s="191"/>
      <c r="F260" s="243"/>
      <c r="G260" s="192"/>
      <c r="H260" s="191"/>
      <c r="I260" s="191"/>
      <c r="J260" s="216"/>
      <c r="K260" s="217">
        <f>IF(E260*F260*G260&lt;&gt;0,E260*F260*G260,IF(E260*F260&lt;&gt;0,E260*F260,IF(F260*G260&lt;&gt;0,F260*G260,IF(E260*G260&lt;&gt;0,E260*G260,IF(E260&lt;&gt;0,E260,IF(F260&lt;&gt;0,F260,IF(G260&lt;&gt;0,G260,0)))))))*(IF(H260&lt;&gt;0,H260,1))+I260-J260</f>
        <v>0</v>
      </c>
      <c r="L260" s="218"/>
    </row>
    <row r="261" spans="2:12">
      <c r="B261" s="188" t="s">
        <v>1448</v>
      </c>
      <c r="C261" s="189" t="s">
        <v>1441</v>
      </c>
      <c r="D261" s="190" t="s">
        <v>1274</v>
      </c>
      <c r="E261" s="191">
        <v>123.508</v>
      </c>
      <c r="F261" s="243"/>
      <c r="G261" s="192"/>
      <c r="H261" s="191">
        <v>0.25</v>
      </c>
      <c r="I261" s="191"/>
      <c r="J261" s="216"/>
      <c r="K261" s="217">
        <f>IF(E261*F261*G261&lt;&gt;0,E261*F261*G261,IF(E261*F261&lt;&gt;0,E261*F261,IF(F261*G261&lt;&gt;0,F261*G261,IF(E261*G261&lt;&gt;0,E261*G261,IF(E261&lt;&gt;0,E261,IF(F261&lt;&gt;0,F261,IF(G261&lt;&gt;0,G261,0)))))))*(IF(H261&lt;&gt;0,H261,1))+I261-J261</f>
        <v>30.876999999999999</v>
      </c>
      <c r="L261" s="218"/>
    </row>
    <row r="262" spans="2:12">
      <c r="B262" s="197"/>
      <c r="C262" s="189"/>
      <c r="D262" s="198"/>
      <c r="E262" s="199"/>
      <c r="F262" s="244"/>
      <c r="G262" s="199"/>
      <c r="H262" s="199"/>
      <c r="I262" s="199"/>
      <c r="J262" s="219"/>
      <c r="K262" s="217">
        <f>IF(E262*F262*G262&lt;&gt;0,E262*F262*G262,IF(E262*F262&lt;&gt;0,E262*F262,IF(F262*G262&lt;&gt;0,F262*G262,IF(E262*G262&lt;&gt;0,E262*G262,IF(E262&lt;&gt;0,E262,IF(F262&lt;&gt;0,F262,IF(G262&lt;&gt;0,G262,0)))))))*(IF(H262&lt;&gt;0,H262,1))+I262-J262</f>
        <v>0</v>
      </c>
      <c r="L262" s="218"/>
    </row>
    <row r="263" spans="2:12">
      <c r="B263" s="202"/>
      <c r="C263" s="203"/>
      <c r="D263" s="203"/>
      <c r="E263" s="203"/>
      <c r="F263" s="203"/>
      <c r="G263" s="203"/>
      <c r="H263" s="204"/>
      <c r="I263" s="556" t="s">
        <v>1221</v>
      </c>
      <c r="J263" s="556"/>
      <c r="K263" s="220">
        <f>SUM(K259:K262)</f>
        <v>202.64860000000002</v>
      </c>
      <c r="L263" s="207"/>
    </row>
    <row r="264" spans="2:12">
      <c r="B264" s="208"/>
      <c r="C264" s="204"/>
      <c r="D264" s="204"/>
      <c r="E264" s="204"/>
      <c r="F264" s="204"/>
      <c r="G264" s="204"/>
      <c r="H264" s="209"/>
      <c r="I264" s="557" t="s">
        <v>1222</v>
      </c>
      <c r="J264" s="557"/>
      <c r="K264" s="221">
        <v>190.3</v>
      </c>
      <c r="L264" s="207"/>
    </row>
    <row r="265" spans="2:12">
      <c r="B265" s="208"/>
      <c r="C265" s="204"/>
      <c r="D265" s="204"/>
      <c r="E265" s="204"/>
      <c r="F265" s="204"/>
      <c r="G265" s="204"/>
      <c r="H265" s="558" t="s">
        <v>1223</v>
      </c>
      <c r="I265" s="558"/>
      <c r="J265" s="558"/>
      <c r="K265" s="222">
        <v>171.77160000000001</v>
      </c>
      <c r="L265" s="207"/>
    </row>
    <row r="266" spans="2:12">
      <c r="B266" s="208"/>
      <c r="C266" s="204"/>
      <c r="D266" s="204"/>
      <c r="E266" s="204"/>
      <c r="F266" s="204"/>
      <c r="G266" s="204"/>
      <c r="H266" s="558" t="s">
        <v>1250</v>
      </c>
      <c r="I266" s="558"/>
      <c r="J266" s="558"/>
      <c r="K266" s="222">
        <f>IF(K263&gt;K264,K264,K263)-K265</f>
        <v>18.528400000000005</v>
      </c>
      <c r="L266" s="207"/>
    </row>
    <row r="267" spans="2:12">
      <c r="B267" s="213"/>
      <c r="C267" s="214"/>
      <c r="D267" s="214"/>
      <c r="E267" s="214"/>
      <c r="F267" s="214"/>
      <c r="G267" s="214"/>
      <c r="H267" s="559" t="s">
        <v>1224</v>
      </c>
      <c r="I267" s="559"/>
      <c r="J267" s="559"/>
      <c r="K267" s="223">
        <f>IF(K263&gt;K264,K263-K264,0)</f>
        <v>12.348600000000005</v>
      </c>
      <c r="L267" s="209"/>
    </row>
    <row r="269" spans="2:12" ht="14.25" customHeight="1">
      <c r="B269" s="555" t="s">
        <v>1276</v>
      </c>
      <c r="C269" s="555"/>
      <c r="D269" s="555"/>
      <c r="E269" s="555"/>
      <c r="F269" s="555"/>
      <c r="G269" s="555"/>
      <c r="H269" s="555"/>
      <c r="I269" s="555"/>
      <c r="J269" s="555"/>
      <c r="K269" s="555"/>
      <c r="L269" s="555"/>
    </row>
    <row r="270" spans="2:12">
      <c r="B270" s="187" t="s">
        <v>1209</v>
      </c>
      <c r="C270" s="187"/>
      <c r="D270" s="187" t="s">
        <v>39</v>
      </c>
      <c r="E270" s="187" t="s">
        <v>1210</v>
      </c>
      <c r="F270" s="187" t="s">
        <v>1211</v>
      </c>
      <c r="G270" s="187" t="s">
        <v>1212</v>
      </c>
      <c r="H270" s="187" t="s">
        <v>1213</v>
      </c>
      <c r="I270" s="187" t="s">
        <v>1214</v>
      </c>
      <c r="J270" s="187" t="s">
        <v>1215</v>
      </c>
      <c r="K270" s="187" t="s">
        <v>1216</v>
      </c>
      <c r="L270" s="187" t="s">
        <v>1217</v>
      </c>
    </row>
    <row r="271" spans="2:12">
      <c r="B271" s="188" t="s">
        <v>1273</v>
      </c>
      <c r="C271" s="189" t="s">
        <v>1271</v>
      </c>
      <c r="D271" s="190" t="s">
        <v>1274</v>
      </c>
      <c r="E271" s="191">
        <v>333</v>
      </c>
      <c r="F271" s="243">
        <v>0.245</v>
      </c>
      <c r="G271" s="192">
        <v>1.1000000000000001</v>
      </c>
      <c r="H271" s="191"/>
      <c r="I271" s="191"/>
      <c r="J271" s="216"/>
      <c r="K271" s="217">
        <f>IF(E271*F271*G271&lt;&gt;0,E271*F271*G271,IF(E271*F271&lt;&gt;0,E271*F271,IF(F271*G271&lt;&gt;0,F271*G271,IF(E271*G271&lt;&gt;0,E271*G271,IF(E271&lt;&gt;0,E271,IF(F271&lt;&gt;0,F271,IF(G271&lt;&gt;0,G271,0)))))))*(IF(H271&lt;&gt;0,H271,1))+I271-J271</f>
        <v>89.743499999999997</v>
      </c>
      <c r="L271" s="218"/>
    </row>
    <row r="272" spans="2:12">
      <c r="B272" s="188" t="s">
        <v>1275</v>
      </c>
      <c r="C272" s="189" t="s">
        <v>1333</v>
      </c>
      <c r="D272" s="190" t="s">
        <v>1274</v>
      </c>
      <c r="E272" s="191">
        <v>411</v>
      </c>
      <c r="F272" s="243">
        <v>0.245</v>
      </c>
      <c r="G272" s="192">
        <v>1.1000000000000001</v>
      </c>
      <c r="H272" s="191"/>
      <c r="I272" s="191"/>
      <c r="J272" s="216"/>
      <c r="K272" s="217">
        <f>IF(E272*F272*G272&lt;&gt;0,E272*F272*G272,IF(E272*F272&lt;&gt;0,E272*F272,IF(F272*G272&lt;&gt;0,F272*G272,IF(E272*G272&lt;&gt;0,E272*G272,IF(E272&lt;&gt;0,E272,IF(F272&lt;&gt;0,F272,IF(G272&lt;&gt;0,G272,0)))))))*(IF(H272&lt;&gt;0,H272,1))+I272-J272</f>
        <v>110.7645</v>
      </c>
      <c r="L272" s="218"/>
    </row>
    <row r="273" spans="2:12">
      <c r="B273" s="197"/>
      <c r="C273" s="189"/>
      <c r="D273" s="198"/>
      <c r="E273" s="199"/>
      <c r="F273" s="199"/>
      <c r="G273" s="199"/>
      <c r="H273" s="199"/>
      <c r="I273" s="199"/>
      <c r="J273" s="219"/>
      <c r="K273" s="217">
        <f>IF(E273*F273*G273&lt;&gt;0,E273*F273*G273,IF(E273*F273&lt;&gt;0,E273*F273,IF(F273*G273&lt;&gt;0,F273*G273,IF(E273*G273&lt;&gt;0,E273*G273,IF(E273&lt;&gt;0,E273,IF(F273&lt;&gt;0,F273,IF(G273&lt;&gt;0,G273,0)))))))*(IF(H273&lt;&gt;0,H273,1))+I273-J273</f>
        <v>0</v>
      </c>
      <c r="L273" s="218"/>
    </row>
    <row r="274" spans="2:12">
      <c r="B274" s="202"/>
      <c r="C274" s="203"/>
      <c r="D274" s="203"/>
      <c r="E274" s="203"/>
      <c r="F274" s="203"/>
      <c r="G274" s="203"/>
      <c r="H274" s="204"/>
      <c r="I274" s="556" t="s">
        <v>1221</v>
      </c>
      <c r="J274" s="556"/>
      <c r="K274" s="220">
        <f>SUM(K271:K273)</f>
        <v>200.50799999999998</v>
      </c>
      <c r="L274" s="207"/>
    </row>
    <row r="275" spans="2:12">
      <c r="B275" s="208"/>
      <c r="C275" s="204"/>
      <c r="D275" s="204"/>
      <c r="E275" s="204"/>
      <c r="F275" s="204"/>
      <c r="G275" s="204"/>
      <c r="H275" s="209"/>
      <c r="I275" s="557" t="s">
        <v>1222</v>
      </c>
      <c r="J275" s="557"/>
      <c r="K275" s="221">
        <v>77</v>
      </c>
      <c r="L275" s="207"/>
    </row>
    <row r="276" spans="2:12">
      <c r="B276" s="208"/>
      <c r="C276" s="204"/>
      <c r="D276" s="204"/>
      <c r="E276" s="204"/>
      <c r="F276" s="204"/>
      <c r="G276" s="204"/>
      <c r="H276" s="558" t="s">
        <v>1223</v>
      </c>
      <c r="I276" s="558"/>
      <c r="J276" s="558"/>
      <c r="K276" s="222">
        <v>77</v>
      </c>
      <c r="L276" s="207"/>
    </row>
    <row r="277" spans="2:12">
      <c r="B277" s="208"/>
      <c r="C277" s="204"/>
      <c r="D277" s="204"/>
      <c r="E277" s="204"/>
      <c r="F277" s="204"/>
      <c r="G277" s="204"/>
      <c r="H277" s="558" t="s">
        <v>1250</v>
      </c>
      <c r="I277" s="558"/>
      <c r="J277" s="558"/>
      <c r="K277" s="222">
        <f>IF(K274&gt;K275,K275,K274)-K276</f>
        <v>0</v>
      </c>
      <c r="L277" s="207"/>
    </row>
    <row r="278" spans="2:12">
      <c r="B278" s="213"/>
      <c r="C278" s="214"/>
      <c r="D278" s="214"/>
      <c r="E278" s="214"/>
      <c r="F278" s="214"/>
      <c r="G278" s="214"/>
      <c r="H278" s="559" t="s">
        <v>1224</v>
      </c>
      <c r="I278" s="559"/>
      <c r="J278" s="559"/>
      <c r="K278" s="223">
        <f>IF(K274&gt;K275,K274-K275,0)</f>
        <v>123.50799999999998</v>
      </c>
      <c r="L278" s="209"/>
    </row>
    <row r="280" spans="2:12" ht="14.25" customHeight="1">
      <c r="B280" s="555" t="s">
        <v>1277</v>
      </c>
      <c r="C280" s="555"/>
      <c r="D280" s="555"/>
      <c r="E280" s="555"/>
      <c r="F280" s="555"/>
      <c r="G280" s="555"/>
      <c r="H280" s="555"/>
      <c r="I280" s="555"/>
      <c r="J280" s="555"/>
      <c r="K280" s="555"/>
      <c r="L280" s="555"/>
    </row>
    <row r="281" spans="2:12">
      <c r="B281" s="187" t="s">
        <v>1209</v>
      </c>
      <c r="C281" s="187"/>
      <c r="D281" s="187" t="s">
        <v>39</v>
      </c>
      <c r="E281" s="187" t="s">
        <v>1210</v>
      </c>
      <c r="F281" s="187" t="s">
        <v>1211</v>
      </c>
      <c r="G281" s="187" t="s">
        <v>1212</v>
      </c>
      <c r="H281" s="187" t="s">
        <v>1213</v>
      </c>
      <c r="I281" s="187" t="s">
        <v>1214</v>
      </c>
      <c r="J281" s="187" t="s">
        <v>1215</v>
      </c>
      <c r="K281" s="187" t="s">
        <v>1216</v>
      </c>
      <c r="L281" s="187" t="s">
        <v>1217</v>
      </c>
    </row>
    <row r="282" spans="2:12">
      <c r="B282" s="188" t="s">
        <v>1273</v>
      </c>
      <c r="C282" s="189" t="s">
        <v>1271</v>
      </c>
      <c r="D282" s="190" t="s">
        <v>1274</v>
      </c>
      <c r="E282" s="191">
        <v>938</v>
      </c>
      <c r="F282" s="243">
        <v>0.39500000000000002</v>
      </c>
      <c r="G282" s="192">
        <v>1.1000000000000001</v>
      </c>
      <c r="H282" s="191"/>
      <c r="I282" s="191"/>
      <c r="J282" s="216"/>
      <c r="K282" s="217">
        <f>IF(E282*F282*G282&lt;&gt;0,E282*F282*G282,IF(E282*F282&lt;&gt;0,E282*F282,IF(F282*G282&lt;&gt;0,F282*G282,IF(E282*G282&lt;&gt;0,E282*G282,IF(E282&lt;&gt;0,E282,IF(F282&lt;&gt;0,F282,IF(G282&lt;&gt;0,G282,0)))))))*(IF(H282&lt;&gt;0,H282,1))+I282-J282</f>
        <v>407.56100000000004</v>
      </c>
      <c r="L282" s="218"/>
    </row>
    <row r="283" spans="2:12">
      <c r="B283" s="188" t="s">
        <v>1275</v>
      </c>
      <c r="C283" s="189" t="s">
        <v>1333</v>
      </c>
      <c r="D283" s="190" t="s">
        <v>1274</v>
      </c>
      <c r="E283" s="191">
        <v>197</v>
      </c>
      <c r="F283" s="243">
        <v>0.39500000000000002</v>
      </c>
      <c r="G283" s="192">
        <v>1.1000000000000001</v>
      </c>
      <c r="H283" s="191"/>
      <c r="I283" s="191"/>
      <c r="J283" s="216"/>
      <c r="K283" s="217">
        <f>IF(E283*F283*G283&lt;&gt;0,E283*F283*G283,IF(E283*F283&lt;&gt;0,E283*F283,IF(F283*G283&lt;&gt;0,F283*G283,IF(E283*G283&lt;&gt;0,E283*G283,IF(E283&lt;&gt;0,E283,IF(F283&lt;&gt;0,F283,IF(G283&lt;&gt;0,G283,0)))))))*(IF(H283&lt;&gt;0,H283,1))+I283-J283</f>
        <v>85.596500000000006</v>
      </c>
      <c r="L283" s="218"/>
    </row>
    <row r="284" spans="2:12">
      <c r="B284" s="188" t="s">
        <v>1448</v>
      </c>
      <c r="C284" s="189" t="s">
        <v>1441</v>
      </c>
      <c r="D284" s="190" t="s">
        <v>1274</v>
      </c>
      <c r="E284" s="191">
        <v>123.508</v>
      </c>
      <c r="F284" s="243"/>
      <c r="G284" s="192"/>
      <c r="H284" s="191">
        <v>0.75</v>
      </c>
      <c r="I284" s="191"/>
      <c r="J284" s="216"/>
      <c r="K284" s="217">
        <f>IF(E284*F284*G284&lt;&gt;0,E284*F284*G284,IF(E284*F284&lt;&gt;0,E284*F284,IF(F284*G284&lt;&gt;0,F284*G284,IF(E284*G284&lt;&gt;0,E284*G284,IF(E284&lt;&gt;0,E284,IF(F284&lt;&gt;0,F284,IF(G284&lt;&gt;0,G284,0)))))))*(IF(H284&lt;&gt;0,H284,1))+I284-J284</f>
        <v>92.631</v>
      </c>
      <c r="L284" s="218"/>
    </row>
    <row r="285" spans="2:12">
      <c r="B285" s="197"/>
      <c r="C285" s="189"/>
      <c r="D285" s="198"/>
      <c r="E285" s="199"/>
      <c r="F285" s="199"/>
      <c r="G285" s="199"/>
      <c r="H285" s="199"/>
      <c r="I285" s="199"/>
      <c r="J285" s="219"/>
      <c r="K285" s="217">
        <f>IF(E285*F285*G285&lt;&gt;0,E285*F285*G285,IF(E285*F285&lt;&gt;0,E285*F285,IF(F285*G285&lt;&gt;0,F285*G285,IF(E285*G285&lt;&gt;0,E285*G285,IF(E285&lt;&gt;0,E285,IF(F285&lt;&gt;0,F285,IF(G285&lt;&gt;0,G285,0)))))))*(IF(H285&lt;&gt;0,H285,1))+I285-J285</f>
        <v>0</v>
      </c>
      <c r="L285" s="218"/>
    </row>
    <row r="286" spans="2:12">
      <c r="B286" s="202"/>
      <c r="C286" s="203"/>
      <c r="D286" s="203"/>
      <c r="E286" s="203"/>
      <c r="F286" s="203"/>
      <c r="G286" s="203"/>
      <c r="H286" s="204"/>
      <c r="I286" s="556" t="s">
        <v>1221</v>
      </c>
      <c r="J286" s="556"/>
      <c r="K286" s="220">
        <f>SUM(K282:K285)</f>
        <v>585.7885</v>
      </c>
      <c r="L286" s="207"/>
    </row>
    <row r="287" spans="2:12">
      <c r="B287" s="208"/>
      <c r="C287" s="204"/>
      <c r="D287" s="204"/>
      <c r="E287" s="204"/>
      <c r="F287" s="204"/>
      <c r="G287" s="204"/>
      <c r="H287" s="209"/>
      <c r="I287" s="557" t="s">
        <v>1222</v>
      </c>
      <c r="J287" s="557"/>
      <c r="K287" s="221">
        <v>566.5</v>
      </c>
      <c r="L287" s="207"/>
    </row>
    <row r="288" spans="2:12">
      <c r="B288" s="208"/>
      <c r="C288" s="204"/>
      <c r="D288" s="204"/>
      <c r="E288" s="204"/>
      <c r="F288" s="204"/>
      <c r="G288" s="204"/>
      <c r="H288" s="558" t="s">
        <v>1223</v>
      </c>
      <c r="I288" s="558"/>
      <c r="J288" s="558"/>
      <c r="K288" s="222">
        <v>493.15750000000003</v>
      </c>
      <c r="L288" s="207"/>
    </row>
    <row r="289" spans="2:12">
      <c r="B289" s="208"/>
      <c r="C289" s="204"/>
      <c r="D289" s="204"/>
      <c r="E289" s="204"/>
      <c r="F289" s="204"/>
      <c r="G289" s="204"/>
      <c r="H289" s="558" t="s">
        <v>1250</v>
      </c>
      <c r="I289" s="558"/>
      <c r="J289" s="558"/>
      <c r="K289" s="222">
        <f>IF(K286&gt;K287,K287,K286)-K288</f>
        <v>73.342499999999973</v>
      </c>
      <c r="L289" s="207"/>
    </row>
    <row r="290" spans="2:12">
      <c r="B290" s="213"/>
      <c r="C290" s="214"/>
      <c r="D290" s="214"/>
      <c r="E290" s="214"/>
      <c r="F290" s="214"/>
      <c r="G290" s="214"/>
      <c r="H290" s="559" t="s">
        <v>1224</v>
      </c>
      <c r="I290" s="559"/>
      <c r="J290" s="559"/>
      <c r="K290" s="223">
        <f>IF(K286&gt;K287,K286-K287,0)</f>
        <v>19.288499999999999</v>
      </c>
      <c r="L290" s="209"/>
    </row>
    <row r="292" spans="2:12" ht="14.25" customHeight="1">
      <c r="B292" s="555" t="s">
        <v>1278</v>
      </c>
      <c r="C292" s="555"/>
      <c r="D292" s="555"/>
      <c r="E292" s="555"/>
      <c r="F292" s="555"/>
      <c r="G292" s="555"/>
      <c r="H292" s="555"/>
      <c r="I292" s="555"/>
      <c r="J292" s="555"/>
      <c r="K292" s="555"/>
      <c r="L292" s="555"/>
    </row>
    <row r="293" spans="2:12">
      <c r="B293" s="187" t="s">
        <v>1209</v>
      </c>
      <c r="C293" s="187"/>
      <c r="D293" s="187" t="s">
        <v>39</v>
      </c>
      <c r="E293" s="187" t="s">
        <v>1210</v>
      </c>
      <c r="F293" s="187" t="s">
        <v>1211</v>
      </c>
      <c r="G293" s="187" t="s">
        <v>1212</v>
      </c>
      <c r="H293" s="187" t="s">
        <v>1213</v>
      </c>
      <c r="I293" s="187" t="s">
        <v>1214</v>
      </c>
      <c r="J293" s="187" t="s">
        <v>1215</v>
      </c>
      <c r="K293" s="187" t="s">
        <v>1216</v>
      </c>
      <c r="L293" s="187" t="s">
        <v>1217</v>
      </c>
    </row>
    <row r="294" spans="2:12">
      <c r="B294" s="188" t="s">
        <v>1273</v>
      </c>
      <c r="C294" s="189" t="s">
        <v>1271</v>
      </c>
      <c r="D294" s="190" t="s">
        <v>1274</v>
      </c>
      <c r="E294" s="191">
        <v>737</v>
      </c>
      <c r="F294" s="243">
        <v>0.61699999999999999</v>
      </c>
      <c r="G294" s="192">
        <v>1.1000000000000001</v>
      </c>
      <c r="H294" s="191"/>
      <c r="I294" s="191"/>
      <c r="J294" s="216"/>
      <c r="K294" s="217">
        <f>IF(E294*F294*G294&lt;&gt;0,E294*F294*G294,IF(E294*F294&lt;&gt;0,E294*F294,IF(F294*G294&lt;&gt;0,F294*G294,IF(E294*G294&lt;&gt;0,E294*G294,IF(E294&lt;&gt;0,E294,IF(F294&lt;&gt;0,F294,IF(G294&lt;&gt;0,G294,0)))))))*(IF(H294&lt;&gt;0,H294,1))+I294-J294</f>
        <v>500.20190000000002</v>
      </c>
      <c r="L294" s="218"/>
    </row>
    <row r="295" spans="2:12">
      <c r="B295" s="188" t="s">
        <v>1275</v>
      </c>
      <c r="C295" s="189" t="s">
        <v>1333</v>
      </c>
      <c r="D295" s="190" t="s">
        <v>1274</v>
      </c>
      <c r="E295" s="191">
        <v>1837</v>
      </c>
      <c r="F295" s="243">
        <v>0.61699999999999999</v>
      </c>
      <c r="G295" s="192">
        <v>1.1000000000000001</v>
      </c>
      <c r="H295" s="191"/>
      <c r="I295" s="191"/>
      <c r="J295" s="216"/>
      <c r="K295" s="217">
        <f>IF(E295*F295*G295&lt;&gt;0,E295*F295*G295,IF(E295*F295&lt;&gt;0,E295*F295,IF(F295*G295&lt;&gt;0,F295*G295,IF(E295*G295&lt;&gt;0,E295*G295,IF(E295&lt;&gt;0,E295,IF(F295&lt;&gt;0,F295,IF(G295&lt;&gt;0,G295,0)))))))*(IF(H295&lt;&gt;0,H295,1))+I295-J295</f>
        <v>1246.7719000000002</v>
      </c>
      <c r="L295" s="218"/>
    </row>
    <row r="296" spans="2:12">
      <c r="B296" s="197"/>
      <c r="C296" s="189"/>
      <c r="D296" s="198"/>
      <c r="E296" s="199"/>
      <c r="F296" s="244"/>
      <c r="G296" s="199"/>
      <c r="H296" s="199"/>
      <c r="I296" s="199"/>
      <c r="J296" s="219"/>
      <c r="K296" s="217">
        <f>IF(E296*F296*G296&lt;&gt;0,E296*F296*G296,IF(E296*F296&lt;&gt;0,E296*F296,IF(F296*G296&lt;&gt;0,F296*G296,IF(E296*G296&lt;&gt;0,E296*G296,IF(E296&lt;&gt;0,E296,IF(F296&lt;&gt;0,F296,IF(G296&lt;&gt;0,G296,0)))))))*(IF(H296&lt;&gt;0,H296,1))+I296-J296</f>
        <v>0</v>
      </c>
      <c r="L296" s="218"/>
    </row>
    <row r="297" spans="2:12">
      <c r="B297" s="202"/>
      <c r="C297" s="203"/>
      <c r="D297" s="203"/>
      <c r="E297" s="203"/>
      <c r="F297" s="203"/>
      <c r="G297" s="203"/>
      <c r="H297" s="204"/>
      <c r="I297" s="556" t="s">
        <v>1221</v>
      </c>
      <c r="J297" s="556"/>
      <c r="K297" s="220">
        <f>SUM(K294:K296)</f>
        <v>1746.9738000000002</v>
      </c>
      <c r="L297" s="207"/>
    </row>
    <row r="298" spans="2:12">
      <c r="B298" s="208"/>
      <c r="C298" s="204"/>
      <c r="D298" s="204"/>
      <c r="E298" s="204"/>
      <c r="F298" s="204"/>
      <c r="G298" s="204"/>
      <c r="H298" s="209"/>
      <c r="I298" s="557" t="s">
        <v>1222</v>
      </c>
      <c r="J298" s="557"/>
      <c r="K298" s="221">
        <v>1663.2</v>
      </c>
      <c r="L298" s="207"/>
    </row>
    <row r="299" spans="2:12">
      <c r="B299" s="208"/>
      <c r="C299" s="204"/>
      <c r="D299" s="204"/>
      <c r="E299" s="204"/>
      <c r="F299" s="204"/>
      <c r="G299" s="204"/>
      <c r="H299" s="558" t="s">
        <v>1223</v>
      </c>
      <c r="I299" s="558"/>
      <c r="J299" s="558"/>
      <c r="K299" s="222">
        <v>500.20190000000002</v>
      </c>
      <c r="L299" s="207"/>
    </row>
    <row r="300" spans="2:12">
      <c r="B300" s="208"/>
      <c r="C300" s="204"/>
      <c r="D300" s="204"/>
      <c r="E300" s="204"/>
      <c r="F300" s="204"/>
      <c r="G300" s="204"/>
      <c r="H300" s="558" t="s">
        <v>1250</v>
      </c>
      <c r="I300" s="558"/>
      <c r="J300" s="558"/>
      <c r="K300" s="222">
        <f>IF(K297&gt;K298,K298,K297)-K299</f>
        <v>1162.9981</v>
      </c>
      <c r="L300" s="207"/>
    </row>
    <row r="301" spans="2:12">
      <c r="B301" s="213"/>
      <c r="C301" s="214"/>
      <c r="D301" s="214"/>
      <c r="E301" s="214"/>
      <c r="F301" s="214"/>
      <c r="G301" s="214"/>
      <c r="H301" s="559" t="s">
        <v>1224</v>
      </c>
      <c r="I301" s="559"/>
      <c r="J301" s="559"/>
      <c r="K301" s="223">
        <f>IF(K297&gt;K298,K297-K298,0)</f>
        <v>83.773800000000165</v>
      </c>
      <c r="L301" s="209"/>
    </row>
    <row r="303" spans="2:12" ht="14.25" customHeight="1">
      <c r="B303" s="555" t="s">
        <v>1279</v>
      </c>
      <c r="C303" s="555"/>
      <c r="D303" s="555"/>
      <c r="E303" s="555"/>
      <c r="F303" s="555"/>
      <c r="G303" s="555"/>
      <c r="H303" s="555"/>
      <c r="I303" s="555"/>
      <c r="J303" s="555"/>
      <c r="K303" s="555"/>
      <c r="L303" s="555"/>
    </row>
    <row r="304" spans="2:12">
      <c r="B304" s="187" t="s">
        <v>1209</v>
      </c>
      <c r="C304" s="187"/>
      <c r="D304" s="187" t="s">
        <v>39</v>
      </c>
      <c r="E304" s="187" t="s">
        <v>1210</v>
      </c>
      <c r="F304" s="187" t="s">
        <v>1211</v>
      </c>
      <c r="G304" s="187" t="s">
        <v>1212</v>
      </c>
      <c r="H304" s="187" t="s">
        <v>1213</v>
      </c>
      <c r="I304" s="187" t="s">
        <v>1214</v>
      </c>
      <c r="J304" s="187" t="s">
        <v>1215</v>
      </c>
      <c r="K304" s="187" t="s">
        <v>1216</v>
      </c>
      <c r="L304" s="187" t="s">
        <v>1217</v>
      </c>
    </row>
    <row r="305" spans="2:12">
      <c r="B305" s="188" t="s">
        <v>1273</v>
      </c>
      <c r="C305" s="189" t="s">
        <v>1271</v>
      </c>
      <c r="D305" s="190" t="s">
        <v>1274</v>
      </c>
      <c r="E305" s="191">
        <v>3329</v>
      </c>
      <c r="F305" s="243">
        <v>0.96299999999999997</v>
      </c>
      <c r="G305" s="192">
        <v>1.1000000000000001</v>
      </c>
      <c r="H305" s="191"/>
      <c r="I305" s="191"/>
      <c r="J305" s="216"/>
      <c r="K305" s="217">
        <f>IF(E305*F305*G305&lt;&gt;0,E305*F305*G305,IF(E305*F305&lt;&gt;0,E305*F305,IF(F305*G305&lt;&gt;0,F305*G305,IF(E305*G305&lt;&gt;0,E305*G305,IF(E305&lt;&gt;0,E305,IF(F305&lt;&gt;0,F305,IF(G305&lt;&gt;0,G305,0)))))))*(IF(H305&lt;&gt;0,H305,1))+I305-J305</f>
        <v>3526.4097000000002</v>
      </c>
      <c r="L305" s="218"/>
    </row>
    <row r="306" spans="2:12">
      <c r="B306" s="188" t="s">
        <v>1275</v>
      </c>
      <c r="C306" s="189" t="s">
        <v>1333</v>
      </c>
      <c r="D306" s="190" t="s">
        <v>1274</v>
      </c>
      <c r="E306" s="191">
        <v>2624</v>
      </c>
      <c r="F306" s="243">
        <v>0.96299999999999997</v>
      </c>
      <c r="G306" s="192">
        <v>1.1000000000000001</v>
      </c>
      <c r="H306" s="191"/>
      <c r="I306" s="191"/>
      <c r="J306" s="216"/>
      <c r="K306" s="217">
        <f>IF(E306*F306*G306&lt;&gt;0,E306*F306*G306,IF(E306*F306&lt;&gt;0,E306*F306,IF(F306*G306&lt;&gt;0,F306*G306,IF(E306*G306&lt;&gt;0,E306*G306,IF(E306&lt;&gt;0,E306,IF(F306&lt;&gt;0,F306,IF(G306&lt;&gt;0,G306,0)))))))*(IF(H306&lt;&gt;0,H306,1))+I306-J306</f>
        <v>2779.6032</v>
      </c>
      <c r="L306" s="218"/>
    </row>
    <row r="307" spans="2:12">
      <c r="B307" s="197"/>
      <c r="C307" s="189"/>
      <c r="D307" s="198"/>
      <c r="E307" s="199"/>
      <c r="F307" s="244"/>
      <c r="G307" s="199"/>
      <c r="H307" s="199"/>
      <c r="I307" s="199"/>
      <c r="J307" s="219"/>
      <c r="K307" s="217">
        <f>IF(E307*F307*G307&lt;&gt;0,E307*F307*G307,IF(E307*F307&lt;&gt;0,E307*F307,IF(F307*G307&lt;&gt;0,F307*G307,IF(E307*G307&lt;&gt;0,E307*G307,IF(E307&lt;&gt;0,E307,IF(F307&lt;&gt;0,F307,IF(G307&lt;&gt;0,G307,0)))))))*(IF(H307&lt;&gt;0,H307,1))+I307-J307</f>
        <v>0</v>
      </c>
      <c r="L307" s="218"/>
    </row>
    <row r="308" spans="2:12">
      <c r="B308" s="202"/>
      <c r="C308" s="203"/>
      <c r="D308" s="203"/>
      <c r="E308" s="203"/>
      <c r="F308" s="203"/>
      <c r="G308" s="203"/>
      <c r="H308" s="204"/>
      <c r="I308" s="556" t="s">
        <v>1221</v>
      </c>
      <c r="J308" s="556"/>
      <c r="K308" s="220">
        <f>SUM(K305:K307)</f>
        <v>6306.0128999999997</v>
      </c>
      <c r="L308" s="207"/>
    </row>
    <row r="309" spans="2:12">
      <c r="B309" s="208"/>
      <c r="C309" s="204"/>
      <c r="D309" s="204"/>
      <c r="E309" s="204"/>
      <c r="F309" s="204"/>
      <c r="G309" s="204"/>
      <c r="H309" s="209"/>
      <c r="I309" s="557" t="s">
        <v>1222</v>
      </c>
      <c r="J309" s="557"/>
      <c r="K309" s="221">
        <v>4944.5</v>
      </c>
      <c r="L309" s="207"/>
    </row>
    <row r="310" spans="2:12">
      <c r="B310" s="208"/>
      <c r="C310" s="204"/>
      <c r="D310" s="204"/>
      <c r="E310" s="204"/>
      <c r="F310" s="204"/>
      <c r="G310" s="204"/>
      <c r="H310" s="558" t="s">
        <v>1223</v>
      </c>
      <c r="I310" s="558"/>
      <c r="J310" s="558"/>
      <c r="K310" s="222">
        <v>3541.0572999999999</v>
      </c>
      <c r="L310" s="207"/>
    </row>
    <row r="311" spans="2:12">
      <c r="B311" s="208"/>
      <c r="C311" s="204"/>
      <c r="D311" s="204"/>
      <c r="E311" s="204"/>
      <c r="F311" s="204"/>
      <c r="G311" s="204"/>
      <c r="H311" s="558" t="s">
        <v>1250</v>
      </c>
      <c r="I311" s="558"/>
      <c r="J311" s="558"/>
      <c r="K311" s="222">
        <f>IF(K308&gt;K309,K309,K308)-K310</f>
        <v>1403.4427000000001</v>
      </c>
      <c r="L311" s="207"/>
    </row>
    <row r="312" spans="2:12">
      <c r="B312" s="213"/>
      <c r="C312" s="214"/>
      <c r="D312" s="214"/>
      <c r="E312" s="214"/>
      <c r="F312" s="214"/>
      <c r="G312" s="214"/>
      <c r="H312" s="559" t="s">
        <v>1224</v>
      </c>
      <c r="I312" s="559"/>
      <c r="J312" s="559"/>
      <c r="K312" s="223">
        <f>IF(K308&gt;K309,K308-K309,0)</f>
        <v>1361.5128999999997</v>
      </c>
      <c r="L312" s="209"/>
    </row>
    <row r="314" spans="2:12" ht="14.25" customHeight="1">
      <c r="B314" s="555" t="s">
        <v>1280</v>
      </c>
      <c r="C314" s="555"/>
      <c r="D314" s="555"/>
      <c r="E314" s="555"/>
      <c r="F314" s="555"/>
      <c r="G314" s="555"/>
      <c r="H314" s="555"/>
      <c r="I314" s="555"/>
      <c r="J314" s="555"/>
      <c r="K314" s="555"/>
      <c r="L314" s="555"/>
    </row>
    <row r="315" spans="2:12">
      <c r="B315" s="187" t="s">
        <v>1209</v>
      </c>
      <c r="C315" s="187"/>
      <c r="D315" s="187" t="s">
        <v>39</v>
      </c>
      <c r="E315" s="187" t="s">
        <v>1210</v>
      </c>
      <c r="F315" s="187" t="s">
        <v>1211</v>
      </c>
      <c r="G315" s="187" t="s">
        <v>1212</v>
      </c>
      <c r="H315" s="187" t="s">
        <v>1213</v>
      </c>
      <c r="I315" s="187" t="s">
        <v>1214</v>
      </c>
      <c r="J315" s="187" t="s">
        <v>1215</v>
      </c>
      <c r="K315" s="187" t="s">
        <v>1216</v>
      </c>
      <c r="L315" s="187" t="s">
        <v>1217</v>
      </c>
    </row>
    <row r="316" spans="2:12">
      <c r="B316" s="188" t="s">
        <v>1273</v>
      </c>
      <c r="C316" s="189" t="s">
        <v>1271</v>
      </c>
      <c r="D316" s="190" t="s">
        <v>1274</v>
      </c>
      <c r="E316" s="191"/>
      <c r="F316" s="243"/>
      <c r="G316" s="192"/>
      <c r="H316" s="191"/>
      <c r="I316" s="191"/>
      <c r="J316" s="216"/>
      <c r="K316" s="217">
        <f>IF(E316*F316*G316&lt;&gt;0,E316*F316*G316,IF(E316*F316&lt;&gt;0,E316*F316,IF(F316*G316&lt;&gt;0,F316*G316,IF(E316*G316&lt;&gt;0,E316*G316,IF(E316&lt;&gt;0,E316,IF(F316&lt;&gt;0,F316,IF(G316&lt;&gt;0,G316,0)))))))*(IF(H316&lt;&gt;0,H316,1))+I316-J316</f>
        <v>0</v>
      </c>
      <c r="L316" s="218"/>
    </row>
    <row r="317" spans="2:12">
      <c r="B317" s="188" t="s">
        <v>1275</v>
      </c>
      <c r="C317" s="189" t="s">
        <v>1333</v>
      </c>
      <c r="D317" s="190" t="s">
        <v>1274</v>
      </c>
      <c r="E317" s="191">
        <v>67</v>
      </c>
      <c r="F317" s="243">
        <v>1.5780000000000001</v>
      </c>
      <c r="G317" s="192">
        <v>1.1000000000000001</v>
      </c>
      <c r="H317" s="191"/>
      <c r="I317" s="191"/>
      <c r="J317" s="216"/>
      <c r="K317" s="217">
        <f>IF(E317*F317*G317&lt;&gt;0,E317*F317*G317,IF(E317*F317&lt;&gt;0,E317*F317,IF(F317*G317&lt;&gt;0,F317*G317,IF(E317*G317&lt;&gt;0,E317*G317,IF(E317&lt;&gt;0,E317,IF(F317&lt;&gt;0,F317,IF(G317&lt;&gt;0,G317,0)))))))*(IF(H317&lt;&gt;0,H317,1))+I317-J317</f>
        <v>116.29860000000001</v>
      </c>
      <c r="L317" s="218"/>
    </row>
    <row r="318" spans="2:12">
      <c r="B318" s="197"/>
      <c r="C318" s="189"/>
      <c r="D318" s="198"/>
      <c r="E318" s="199"/>
      <c r="F318" s="199"/>
      <c r="G318" s="199"/>
      <c r="H318" s="199"/>
      <c r="I318" s="199"/>
      <c r="J318" s="219"/>
      <c r="K318" s="217">
        <f>IF(E318*F318*G318&lt;&gt;0,E318*F318*G318,IF(E318*F318&lt;&gt;0,E318*F318,IF(F318*G318&lt;&gt;0,F318*G318,IF(E318*G318&lt;&gt;0,E318*G318,IF(E318&lt;&gt;0,E318,IF(F318&lt;&gt;0,F318,IF(G318&lt;&gt;0,G318,0)))))))*(IF(H318&lt;&gt;0,H318,1))+I318-J318</f>
        <v>0</v>
      </c>
      <c r="L318" s="218"/>
    </row>
    <row r="319" spans="2:12">
      <c r="B319" s="202"/>
      <c r="C319" s="203"/>
      <c r="D319" s="203"/>
      <c r="E319" s="203"/>
      <c r="F319" s="203"/>
      <c r="G319" s="203"/>
      <c r="H319" s="204"/>
      <c r="I319" s="556" t="s">
        <v>1221</v>
      </c>
      <c r="J319" s="556"/>
      <c r="K319" s="220">
        <f>SUM(K316:K318)</f>
        <v>116.29860000000001</v>
      </c>
      <c r="L319" s="207"/>
    </row>
    <row r="320" spans="2:12">
      <c r="B320" s="208"/>
      <c r="C320" s="204"/>
      <c r="D320" s="204"/>
      <c r="E320" s="204"/>
      <c r="F320" s="204"/>
      <c r="G320" s="204"/>
      <c r="H320" s="209"/>
      <c r="I320" s="557" t="s">
        <v>1222</v>
      </c>
      <c r="J320" s="557"/>
      <c r="K320" s="221">
        <v>115.5</v>
      </c>
      <c r="L320" s="207"/>
    </row>
    <row r="321" spans="2:12">
      <c r="B321" s="208"/>
      <c r="C321" s="204"/>
      <c r="D321" s="204"/>
      <c r="E321" s="204"/>
      <c r="F321" s="204"/>
      <c r="G321" s="204"/>
      <c r="H321" s="558" t="s">
        <v>1223</v>
      </c>
      <c r="I321" s="558"/>
      <c r="J321" s="558"/>
      <c r="K321" s="222">
        <v>115.5</v>
      </c>
      <c r="L321" s="207"/>
    </row>
    <row r="322" spans="2:12">
      <c r="B322" s="208"/>
      <c r="C322" s="204"/>
      <c r="D322" s="204"/>
      <c r="E322" s="204"/>
      <c r="F322" s="204"/>
      <c r="G322" s="204"/>
      <c r="H322" s="558" t="s">
        <v>1250</v>
      </c>
      <c r="I322" s="558"/>
      <c r="J322" s="558"/>
      <c r="K322" s="222">
        <f>IF(K319&gt;K320,K320,K319)-K321</f>
        <v>0</v>
      </c>
      <c r="L322" s="207"/>
    </row>
    <row r="323" spans="2:12">
      <c r="B323" s="213"/>
      <c r="C323" s="214"/>
      <c r="D323" s="214"/>
      <c r="E323" s="214"/>
      <c r="F323" s="214"/>
      <c r="G323" s="214"/>
      <c r="H323" s="559" t="s">
        <v>1224</v>
      </c>
      <c r="I323" s="559"/>
      <c r="J323" s="559"/>
      <c r="K323" s="223">
        <f>IF(K319&gt;K320,K319-K320,0)</f>
        <v>0.79860000000000753</v>
      </c>
      <c r="L323" s="209"/>
    </row>
    <row r="325" spans="2:12" ht="14.25" customHeight="1">
      <c r="B325" s="555" t="s">
        <v>1281</v>
      </c>
      <c r="C325" s="555"/>
      <c r="D325" s="555"/>
      <c r="E325" s="555"/>
      <c r="F325" s="555"/>
      <c r="G325" s="555"/>
      <c r="H325" s="555"/>
      <c r="I325" s="555"/>
      <c r="J325" s="555"/>
      <c r="K325" s="555"/>
      <c r="L325" s="555"/>
    </row>
    <row r="326" spans="2:12">
      <c r="B326" s="187" t="s">
        <v>1209</v>
      </c>
      <c r="C326" s="187"/>
      <c r="D326" s="187" t="s">
        <v>39</v>
      </c>
      <c r="E326" s="187" t="s">
        <v>1210</v>
      </c>
      <c r="F326" s="187" t="s">
        <v>1211</v>
      </c>
      <c r="G326" s="187" t="s">
        <v>1212</v>
      </c>
      <c r="H326" s="187" t="s">
        <v>1213</v>
      </c>
      <c r="I326" s="187" t="s">
        <v>1214</v>
      </c>
      <c r="J326" s="187" t="s">
        <v>1215</v>
      </c>
      <c r="K326" s="187" t="s">
        <v>1216</v>
      </c>
      <c r="L326" s="187" t="s">
        <v>1217</v>
      </c>
    </row>
    <row r="327" spans="2:12">
      <c r="B327" s="188" t="s">
        <v>1273</v>
      </c>
      <c r="C327" s="189" t="s">
        <v>1271</v>
      </c>
      <c r="D327" s="190" t="s">
        <v>1274</v>
      </c>
      <c r="E327" s="191">
        <v>369</v>
      </c>
      <c r="F327" s="243">
        <v>2.4660000000000002</v>
      </c>
      <c r="G327" s="192">
        <v>1.1000000000000001</v>
      </c>
      <c r="H327" s="191"/>
      <c r="I327" s="191"/>
      <c r="J327" s="216"/>
      <c r="K327" s="217">
        <f>IF(E327*F327*G327&lt;&gt;0,E327*F327*G327,IF(E327*F327&lt;&gt;0,E327*F327,IF(F327*G327&lt;&gt;0,F327*G327,IF(E327*G327&lt;&gt;0,E327*G327,IF(E327&lt;&gt;0,E327,IF(F327&lt;&gt;0,F327,IF(G327&lt;&gt;0,G327,0)))))))*(IF(H327&lt;&gt;0,H327,1))+I327-J327</f>
        <v>1000.9494000000002</v>
      </c>
      <c r="L327" s="245" t="s">
        <v>1282</v>
      </c>
    </row>
    <row r="328" spans="2:12">
      <c r="B328" s="188" t="s">
        <v>1273</v>
      </c>
      <c r="C328" s="189" t="s">
        <v>1271</v>
      </c>
      <c r="D328" s="190" t="s">
        <v>1274</v>
      </c>
      <c r="E328" s="191">
        <v>623</v>
      </c>
      <c r="F328" s="243">
        <v>3.8530000000000002</v>
      </c>
      <c r="G328" s="192">
        <v>1.1000000000000001</v>
      </c>
      <c r="H328" s="191"/>
      <c r="I328" s="191"/>
      <c r="J328" s="216"/>
      <c r="K328" s="217">
        <f>IF(E328*F328*G328&lt;&gt;0,E328*F328*G328,IF(E328*F328&lt;&gt;0,E328*F328,IF(F328*G328&lt;&gt;0,F328*G328,IF(E328*G328&lt;&gt;0,E328*G328,IF(E328&lt;&gt;0,E328,IF(F328&lt;&gt;0,F328,IF(G328&lt;&gt;0,G328,0)))))))*(IF(H328&lt;&gt;0,H328,1))+I328-J328</f>
        <v>2640.4609000000005</v>
      </c>
      <c r="L328" s="245" t="s">
        <v>1283</v>
      </c>
    </row>
    <row r="329" spans="2:12">
      <c r="B329" s="188" t="s">
        <v>1275</v>
      </c>
      <c r="C329" s="189" t="s">
        <v>1333</v>
      </c>
      <c r="D329" s="190" t="s">
        <v>1274</v>
      </c>
      <c r="E329" s="191">
        <v>1522</v>
      </c>
      <c r="F329" s="243">
        <v>2.4660000000000002</v>
      </c>
      <c r="G329" s="192">
        <v>1.1000000000000001</v>
      </c>
      <c r="H329" s="191"/>
      <c r="I329" s="191"/>
      <c r="J329" s="216"/>
      <c r="K329" s="217">
        <f>IF(E329*F329*G329&lt;&gt;0,E329*F329*G329,IF(E329*F329&lt;&gt;0,E329*F329,IF(F329*G329&lt;&gt;0,F329*G329,IF(E329*G329&lt;&gt;0,E329*G329,IF(E329&lt;&gt;0,E329,IF(F329&lt;&gt;0,F329,IF(G329&lt;&gt;0,G329,0)))))))*(IF(H329&lt;&gt;0,H329,1))+I329-J329</f>
        <v>4128.5772000000006</v>
      </c>
      <c r="L329" s="245" t="s">
        <v>1282</v>
      </c>
    </row>
    <row r="330" spans="2:12">
      <c r="B330" s="197"/>
      <c r="C330" s="189"/>
      <c r="D330" s="198"/>
      <c r="E330" s="199"/>
      <c r="F330" s="244"/>
      <c r="G330" s="199"/>
      <c r="H330" s="199"/>
      <c r="I330" s="199"/>
      <c r="J330" s="219"/>
      <c r="K330" s="217">
        <f>IF(E330*F330*G330&lt;&gt;0,E330*F330*G330,IF(E330*F330&lt;&gt;0,E330*F330,IF(F330*G330&lt;&gt;0,F330*G330,IF(E330*G330&lt;&gt;0,E330*G330,IF(E330&lt;&gt;0,E330,IF(F330&lt;&gt;0,F330,IF(G330&lt;&gt;0,G330,0)))))))*(IF(H330&lt;&gt;0,H330,1))+I330-J330</f>
        <v>0</v>
      </c>
      <c r="L330" s="218"/>
    </row>
    <row r="331" spans="2:12">
      <c r="B331" s="202"/>
      <c r="C331" s="203"/>
      <c r="D331" s="203"/>
      <c r="E331" s="203"/>
      <c r="F331" s="203"/>
      <c r="G331" s="203"/>
      <c r="H331" s="204"/>
      <c r="I331" s="556" t="s">
        <v>1221</v>
      </c>
      <c r="J331" s="556"/>
      <c r="K331" s="220">
        <f>SUM(K327:K330)</f>
        <v>7769.9875000000011</v>
      </c>
      <c r="L331" s="207"/>
    </row>
    <row r="332" spans="2:12">
      <c r="B332" s="208"/>
      <c r="C332" s="204"/>
      <c r="D332" s="204"/>
      <c r="E332" s="204"/>
      <c r="F332" s="204"/>
      <c r="G332" s="204"/>
      <c r="H332" s="209"/>
      <c r="I332" s="557" t="s">
        <v>1222</v>
      </c>
      <c r="J332" s="557"/>
      <c r="K332" s="221">
        <v>7195.1</v>
      </c>
      <c r="L332" s="207"/>
    </row>
    <row r="333" spans="2:12">
      <c r="B333" s="208"/>
      <c r="C333" s="204"/>
      <c r="D333" s="204"/>
      <c r="E333" s="204"/>
      <c r="F333" s="204"/>
      <c r="G333" s="204"/>
      <c r="H333" s="558" t="s">
        <v>1223</v>
      </c>
      <c r="I333" s="558"/>
      <c r="J333" s="558"/>
      <c r="K333" s="222">
        <v>3641.4103</v>
      </c>
      <c r="L333" s="207"/>
    </row>
    <row r="334" spans="2:12">
      <c r="B334" s="208"/>
      <c r="C334" s="204"/>
      <c r="D334" s="204"/>
      <c r="E334" s="204"/>
      <c r="F334" s="204"/>
      <c r="G334" s="204"/>
      <c r="H334" s="558" t="s">
        <v>1250</v>
      </c>
      <c r="I334" s="558"/>
      <c r="J334" s="558"/>
      <c r="K334" s="222">
        <f>IF(K331&gt;K332,K332,K331)-K333</f>
        <v>3553.6897000000004</v>
      </c>
      <c r="L334" s="207"/>
    </row>
    <row r="335" spans="2:12">
      <c r="B335" s="213"/>
      <c r="C335" s="214"/>
      <c r="D335" s="214"/>
      <c r="E335" s="214"/>
      <c r="F335" s="214"/>
      <c r="G335" s="214"/>
      <c r="H335" s="559" t="s">
        <v>1224</v>
      </c>
      <c r="I335" s="559"/>
      <c r="J335" s="559"/>
      <c r="K335" s="223">
        <f>IF(K331&gt;K332,K331-K332,0)</f>
        <v>574.88750000000073</v>
      </c>
      <c r="L335" s="209"/>
    </row>
    <row r="337" spans="2:12" ht="14.25" customHeight="1">
      <c r="B337" s="555" t="s">
        <v>1284</v>
      </c>
      <c r="C337" s="555"/>
      <c r="D337" s="555"/>
      <c r="E337" s="555"/>
      <c r="F337" s="555"/>
      <c r="G337" s="555"/>
      <c r="H337" s="555"/>
      <c r="I337" s="555"/>
      <c r="J337" s="555"/>
      <c r="K337" s="555"/>
      <c r="L337" s="555"/>
    </row>
    <row r="338" spans="2:12">
      <c r="B338" s="187" t="s">
        <v>1209</v>
      </c>
      <c r="C338" s="187"/>
      <c r="D338" s="187" t="s">
        <v>39</v>
      </c>
      <c r="E338" s="187" t="s">
        <v>1210</v>
      </c>
      <c r="F338" s="187" t="s">
        <v>1211</v>
      </c>
      <c r="G338" s="187" t="s">
        <v>1212</v>
      </c>
      <c r="H338" s="187" t="s">
        <v>1213</v>
      </c>
      <c r="I338" s="187" t="s">
        <v>1214</v>
      </c>
      <c r="J338" s="187" t="s">
        <v>1215</v>
      </c>
      <c r="K338" s="187" t="s">
        <v>1216</v>
      </c>
      <c r="L338" s="187" t="s">
        <v>1217</v>
      </c>
    </row>
    <row r="339" spans="2:12">
      <c r="B339" s="197" t="s">
        <v>1285</v>
      </c>
      <c r="C339" s="189" t="s">
        <v>1271</v>
      </c>
      <c r="D339" s="198" t="s">
        <v>169</v>
      </c>
      <c r="E339" s="199">
        <v>1.9</v>
      </c>
      <c r="F339" s="244">
        <v>0.9</v>
      </c>
      <c r="G339" s="199">
        <v>0.7</v>
      </c>
      <c r="H339" s="199"/>
      <c r="I339" s="199"/>
      <c r="J339" s="219"/>
      <c r="K339" s="217">
        <f t="shared" ref="K339:K384" si="6">IF(E339*F339*G339&lt;&gt;0,E339*F339*G339,IF(E339*F339&lt;&gt;0,E339*F339,IF(F339*G339&lt;&gt;0,F339*G339,IF(E339*G339&lt;&gt;0,E339*G339,IF(E339&lt;&gt;0,E339,IF(F339&lt;&gt;0,F339,IF(G339&lt;&gt;0,G339,0)))))))*(IF(H339&lt;&gt;0,H339,1))+I339-J339</f>
        <v>1.1969999999999998</v>
      </c>
      <c r="L339" s="218"/>
    </row>
    <row r="340" spans="2:12">
      <c r="B340" s="197" t="s">
        <v>1286</v>
      </c>
      <c r="C340" s="189" t="s">
        <v>1271</v>
      </c>
      <c r="D340" s="198" t="s">
        <v>169</v>
      </c>
      <c r="E340" s="199">
        <v>2.2000000000000002</v>
      </c>
      <c r="F340" s="244">
        <v>2.2000000000000002</v>
      </c>
      <c r="G340" s="199">
        <v>1.1000000000000001</v>
      </c>
      <c r="H340" s="199"/>
      <c r="I340" s="199"/>
      <c r="J340" s="219"/>
      <c r="K340" s="217">
        <f t="shared" si="6"/>
        <v>5.3240000000000016</v>
      </c>
      <c r="L340" s="218"/>
    </row>
    <row r="341" spans="2:12">
      <c r="B341" s="197" t="s">
        <v>1287</v>
      </c>
      <c r="C341" s="189" t="s">
        <v>1271</v>
      </c>
      <c r="D341" s="198" t="s">
        <v>169</v>
      </c>
      <c r="E341" s="199">
        <v>2.2000000000000002</v>
      </c>
      <c r="F341" s="244">
        <v>2.2000000000000002</v>
      </c>
      <c r="G341" s="199">
        <v>1.1000000000000001</v>
      </c>
      <c r="H341" s="199"/>
      <c r="I341" s="199"/>
      <c r="J341" s="219"/>
      <c r="K341" s="217">
        <f t="shared" si="6"/>
        <v>5.3240000000000016</v>
      </c>
      <c r="L341" s="218"/>
    </row>
    <row r="342" spans="2:12">
      <c r="B342" s="197" t="s">
        <v>1288</v>
      </c>
      <c r="C342" s="189" t="s">
        <v>1271</v>
      </c>
      <c r="D342" s="198" t="s">
        <v>169</v>
      </c>
      <c r="E342" s="199">
        <v>1.9</v>
      </c>
      <c r="F342" s="244">
        <v>0.9</v>
      </c>
      <c r="G342" s="199">
        <v>1</v>
      </c>
      <c r="H342" s="199"/>
      <c r="I342" s="199"/>
      <c r="J342" s="219"/>
      <c r="K342" s="217">
        <f t="shared" si="6"/>
        <v>1.71</v>
      </c>
      <c r="L342" s="218"/>
    </row>
    <row r="343" spans="2:12">
      <c r="B343" s="197" t="s">
        <v>1289</v>
      </c>
      <c r="C343" s="189" t="s">
        <v>1271</v>
      </c>
      <c r="D343" s="198" t="s">
        <v>169</v>
      </c>
      <c r="E343" s="199">
        <v>1</v>
      </c>
      <c r="F343" s="244">
        <v>1</v>
      </c>
      <c r="G343" s="199">
        <v>0.9</v>
      </c>
      <c r="H343" s="199"/>
      <c r="I343" s="199"/>
      <c r="J343" s="219"/>
      <c r="K343" s="217">
        <f t="shared" si="6"/>
        <v>0.9</v>
      </c>
      <c r="L343" s="218"/>
    </row>
    <row r="344" spans="2:12">
      <c r="B344" s="197" t="s">
        <v>1290</v>
      </c>
      <c r="C344" s="189" t="s">
        <v>1271</v>
      </c>
      <c r="D344" s="198" t="s">
        <v>169</v>
      </c>
      <c r="E344" s="199"/>
      <c r="F344" s="244"/>
      <c r="G344" s="199"/>
      <c r="H344" s="199"/>
      <c r="I344" s="199">
        <v>2.95614</v>
      </c>
      <c r="J344" s="219"/>
      <c r="K344" s="217">
        <f t="shared" si="6"/>
        <v>2.95614</v>
      </c>
      <c r="L344" s="218"/>
    </row>
    <row r="345" spans="2:12">
      <c r="B345" s="197" t="s">
        <v>1291</v>
      </c>
      <c r="C345" s="189" t="s">
        <v>1271</v>
      </c>
      <c r="D345" s="198" t="s">
        <v>169</v>
      </c>
      <c r="E345" s="199">
        <v>2.2000000000000002</v>
      </c>
      <c r="F345" s="244">
        <v>2.2000000000000002</v>
      </c>
      <c r="G345" s="199">
        <v>1.1000000000000001</v>
      </c>
      <c r="H345" s="199"/>
      <c r="I345" s="199"/>
      <c r="J345" s="219"/>
      <c r="K345" s="217">
        <f t="shared" si="6"/>
        <v>5.3240000000000016</v>
      </c>
      <c r="L345" s="218"/>
    </row>
    <row r="346" spans="2:12">
      <c r="B346" s="197" t="s">
        <v>1292</v>
      </c>
      <c r="C346" s="189" t="s">
        <v>1271</v>
      </c>
      <c r="D346" s="198" t="s">
        <v>169</v>
      </c>
      <c r="E346" s="199">
        <v>2.2000000000000002</v>
      </c>
      <c r="F346" s="244">
        <v>2.2000000000000002</v>
      </c>
      <c r="G346" s="199">
        <v>1.1000000000000001</v>
      </c>
      <c r="H346" s="199"/>
      <c r="I346" s="199"/>
      <c r="J346" s="219"/>
      <c r="K346" s="217">
        <f t="shared" si="6"/>
        <v>5.3240000000000016</v>
      </c>
      <c r="L346" s="218"/>
    </row>
    <row r="347" spans="2:12">
      <c r="B347" s="197" t="s">
        <v>1293</v>
      </c>
      <c r="C347" s="189" t="s">
        <v>1271</v>
      </c>
      <c r="D347" s="198" t="s">
        <v>169</v>
      </c>
      <c r="E347" s="199">
        <v>2.2000000000000002</v>
      </c>
      <c r="F347" s="244">
        <v>2.2000000000000002</v>
      </c>
      <c r="G347" s="199">
        <v>1.1000000000000001</v>
      </c>
      <c r="H347" s="199"/>
      <c r="I347" s="199"/>
      <c r="J347" s="219"/>
      <c r="K347" s="217">
        <f t="shared" si="6"/>
        <v>5.3240000000000016</v>
      </c>
      <c r="L347" s="218"/>
    </row>
    <row r="348" spans="2:12">
      <c r="B348" s="197" t="s">
        <v>1294</v>
      </c>
      <c r="C348" s="189" t="s">
        <v>1271</v>
      </c>
      <c r="D348" s="198" t="s">
        <v>169</v>
      </c>
      <c r="E348" s="199">
        <v>1</v>
      </c>
      <c r="F348" s="244">
        <v>1</v>
      </c>
      <c r="G348" s="199">
        <v>0.7</v>
      </c>
      <c r="H348" s="199"/>
      <c r="I348" s="199"/>
      <c r="J348" s="219"/>
      <c r="K348" s="217">
        <f t="shared" si="6"/>
        <v>0.7</v>
      </c>
      <c r="L348" s="218"/>
    </row>
    <row r="349" spans="2:12">
      <c r="B349" s="197" t="s">
        <v>1295</v>
      </c>
      <c r="C349" s="189" t="s">
        <v>1271</v>
      </c>
      <c r="D349" s="198" t="s">
        <v>169</v>
      </c>
      <c r="E349" s="199"/>
      <c r="F349" s="244"/>
      <c r="G349" s="199"/>
      <c r="H349" s="199"/>
      <c r="I349" s="199">
        <v>2.95614</v>
      </c>
      <c r="J349" s="219"/>
      <c r="K349" s="217">
        <f t="shared" si="6"/>
        <v>2.95614</v>
      </c>
      <c r="L349" s="218"/>
    </row>
    <row r="350" spans="2:12">
      <c r="B350" s="197" t="s">
        <v>1336</v>
      </c>
      <c r="C350" s="189" t="s">
        <v>1271</v>
      </c>
      <c r="D350" s="198" t="s">
        <v>169</v>
      </c>
      <c r="E350" s="199">
        <v>2.2000000000000002</v>
      </c>
      <c r="F350" s="244">
        <v>2.2000000000000002</v>
      </c>
      <c r="G350" s="199">
        <v>1.1000000000000001</v>
      </c>
      <c r="H350" s="199"/>
      <c r="I350" s="199"/>
      <c r="J350" s="219"/>
      <c r="K350" s="217">
        <f t="shared" si="6"/>
        <v>5.3240000000000016</v>
      </c>
      <c r="L350" s="218"/>
    </row>
    <row r="351" spans="2:12">
      <c r="B351" s="197" t="s">
        <v>1337</v>
      </c>
      <c r="C351" s="189" t="s">
        <v>1271</v>
      </c>
      <c r="D351" s="198" t="s">
        <v>169</v>
      </c>
      <c r="E351" s="199">
        <v>2.2000000000000002</v>
      </c>
      <c r="F351" s="244">
        <v>2.2000000000000002</v>
      </c>
      <c r="G351" s="199">
        <v>1.1000000000000001</v>
      </c>
      <c r="H351" s="199"/>
      <c r="I351" s="199"/>
      <c r="J351" s="219"/>
      <c r="K351" s="217">
        <f t="shared" si="6"/>
        <v>5.3240000000000016</v>
      </c>
      <c r="L351" s="218"/>
    </row>
    <row r="352" spans="2:12">
      <c r="B352" s="197" t="s">
        <v>1338</v>
      </c>
      <c r="C352" s="189" t="s">
        <v>1271</v>
      </c>
      <c r="D352" s="198" t="s">
        <v>169</v>
      </c>
      <c r="E352" s="199">
        <v>2.2000000000000002</v>
      </c>
      <c r="F352" s="244">
        <v>2.2000000000000002</v>
      </c>
      <c r="G352" s="199">
        <v>1.1000000000000001</v>
      </c>
      <c r="H352" s="199"/>
      <c r="I352" s="199"/>
      <c r="J352" s="219"/>
      <c r="K352" s="217">
        <f t="shared" si="6"/>
        <v>5.3240000000000016</v>
      </c>
      <c r="L352" s="218"/>
    </row>
    <row r="353" spans="2:12">
      <c r="B353" s="197" t="s">
        <v>1339</v>
      </c>
      <c r="C353" s="189" t="s">
        <v>1271</v>
      </c>
      <c r="D353" s="198" t="s">
        <v>169</v>
      </c>
      <c r="E353" s="199">
        <v>1</v>
      </c>
      <c r="F353" s="244">
        <v>1</v>
      </c>
      <c r="G353" s="199">
        <v>0.7</v>
      </c>
      <c r="H353" s="199"/>
      <c r="I353" s="199"/>
      <c r="J353" s="219"/>
      <c r="K353" s="217">
        <f t="shared" si="6"/>
        <v>0.7</v>
      </c>
      <c r="L353" s="218"/>
    </row>
    <row r="354" spans="2:12">
      <c r="B354" s="197" t="s">
        <v>1340</v>
      </c>
      <c r="C354" s="189" t="s">
        <v>1271</v>
      </c>
      <c r="D354" s="198" t="s">
        <v>169</v>
      </c>
      <c r="E354" s="199">
        <v>1.9</v>
      </c>
      <c r="F354" s="244">
        <v>0.9</v>
      </c>
      <c r="G354" s="199">
        <v>0.7</v>
      </c>
      <c r="H354" s="199"/>
      <c r="I354" s="199"/>
      <c r="J354" s="219"/>
      <c r="K354" s="217">
        <f t="shared" si="6"/>
        <v>1.1969999999999998</v>
      </c>
      <c r="L354" s="218"/>
    </row>
    <row r="355" spans="2:12">
      <c r="B355" s="197" t="s">
        <v>1296</v>
      </c>
      <c r="C355" s="189" t="s">
        <v>1271</v>
      </c>
      <c r="D355" s="198" t="s">
        <v>169</v>
      </c>
      <c r="E355" s="199">
        <v>1.9</v>
      </c>
      <c r="F355" s="244">
        <v>0.9</v>
      </c>
      <c r="G355" s="199">
        <v>0.7</v>
      </c>
      <c r="H355" s="199"/>
      <c r="I355" s="199"/>
      <c r="J355" s="219"/>
      <c r="K355" s="217">
        <f t="shared" si="6"/>
        <v>1.1969999999999998</v>
      </c>
      <c r="L355" s="218"/>
    </row>
    <row r="356" spans="2:12">
      <c r="B356" s="197" t="s">
        <v>1341</v>
      </c>
      <c r="C356" s="189" t="s">
        <v>1271</v>
      </c>
      <c r="D356" s="198" t="s">
        <v>169</v>
      </c>
      <c r="E356" s="199"/>
      <c r="F356" s="244"/>
      <c r="G356" s="199"/>
      <c r="H356" s="199"/>
      <c r="I356" s="199">
        <v>2.95614</v>
      </c>
      <c r="J356" s="219"/>
      <c r="K356" s="217">
        <f t="shared" si="6"/>
        <v>2.95614</v>
      </c>
      <c r="L356" s="218"/>
    </row>
    <row r="357" spans="2:12">
      <c r="B357" s="197" t="s">
        <v>1342</v>
      </c>
      <c r="C357" s="189" t="s">
        <v>1333</v>
      </c>
      <c r="D357" s="198" t="s">
        <v>169</v>
      </c>
      <c r="E357" s="199">
        <v>3.14</v>
      </c>
      <c r="F357" s="244">
        <v>3.14</v>
      </c>
      <c r="G357" s="199">
        <v>2.1</v>
      </c>
      <c r="H357" s="199"/>
      <c r="I357" s="199"/>
      <c r="J357" s="219"/>
      <c r="K357" s="217">
        <f t="shared" si="6"/>
        <v>20.705160000000003</v>
      </c>
      <c r="L357" s="218"/>
    </row>
    <row r="358" spans="2:12">
      <c r="B358" s="197" t="s">
        <v>1343</v>
      </c>
      <c r="C358" s="189" t="s">
        <v>1333</v>
      </c>
      <c r="D358" s="198" t="s">
        <v>169</v>
      </c>
      <c r="E358" s="199">
        <v>2.2000000000000002</v>
      </c>
      <c r="F358" s="244">
        <v>2.2000000000000002</v>
      </c>
      <c r="G358" s="199">
        <v>1.1000000000000001</v>
      </c>
      <c r="H358" s="199"/>
      <c r="I358" s="199"/>
      <c r="J358" s="219"/>
      <c r="K358" s="217">
        <f t="shared" si="6"/>
        <v>5.3240000000000016</v>
      </c>
      <c r="L358" s="218"/>
    </row>
    <row r="359" spans="2:12">
      <c r="B359" s="197" t="s">
        <v>1297</v>
      </c>
      <c r="C359" s="189" t="s">
        <v>1333</v>
      </c>
      <c r="D359" s="198" t="s">
        <v>169</v>
      </c>
      <c r="E359" s="199">
        <v>3.4</v>
      </c>
      <c r="F359" s="244">
        <v>1</v>
      </c>
      <c r="G359" s="199">
        <v>1.2</v>
      </c>
      <c r="H359" s="199"/>
      <c r="I359" s="199"/>
      <c r="J359" s="219"/>
      <c r="K359" s="217">
        <f t="shared" si="6"/>
        <v>4.08</v>
      </c>
      <c r="L359" s="218"/>
    </row>
    <row r="360" spans="2:12">
      <c r="B360" s="197" t="s">
        <v>1344</v>
      </c>
      <c r="C360" s="189" t="s">
        <v>1333</v>
      </c>
      <c r="D360" s="198" t="s">
        <v>169</v>
      </c>
      <c r="E360" s="199">
        <v>2.2000000000000002</v>
      </c>
      <c r="F360" s="244">
        <v>2.2000000000000002</v>
      </c>
      <c r="G360" s="199">
        <v>1.1000000000000001</v>
      </c>
      <c r="H360" s="199"/>
      <c r="I360" s="199"/>
      <c r="J360" s="219"/>
      <c r="K360" s="217">
        <f t="shared" si="6"/>
        <v>5.3240000000000016</v>
      </c>
      <c r="L360" s="218"/>
    </row>
    <row r="361" spans="2:12">
      <c r="B361" s="197" t="s">
        <v>1345</v>
      </c>
      <c r="C361" s="189" t="s">
        <v>1333</v>
      </c>
      <c r="D361" s="198" t="s">
        <v>169</v>
      </c>
      <c r="E361" s="199">
        <v>2.2000000000000002</v>
      </c>
      <c r="F361" s="244">
        <v>2.2000000000000002</v>
      </c>
      <c r="G361" s="199">
        <v>1.1000000000000001</v>
      </c>
      <c r="H361" s="199"/>
      <c r="I361" s="199"/>
      <c r="J361" s="219"/>
      <c r="K361" s="217">
        <f t="shared" si="6"/>
        <v>5.3240000000000016</v>
      </c>
      <c r="L361" s="218"/>
    </row>
    <row r="362" spans="2:12">
      <c r="B362" s="197" t="s">
        <v>1298</v>
      </c>
      <c r="C362" s="189" t="s">
        <v>1333</v>
      </c>
      <c r="D362" s="198" t="s">
        <v>169</v>
      </c>
      <c r="E362" s="199">
        <v>3.4</v>
      </c>
      <c r="F362" s="244">
        <v>2.2000000000000002</v>
      </c>
      <c r="G362" s="199">
        <v>1.34</v>
      </c>
      <c r="H362" s="199"/>
      <c r="I362" s="199"/>
      <c r="J362" s="219"/>
      <c r="K362" s="217">
        <f t="shared" si="6"/>
        <v>10.023200000000001</v>
      </c>
      <c r="L362" s="218"/>
    </row>
    <row r="363" spans="2:12">
      <c r="B363" s="197" t="s">
        <v>1346</v>
      </c>
      <c r="C363" s="189" t="s">
        <v>1333</v>
      </c>
      <c r="D363" s="198" t="s">
        <v>169</v>
      </c>
      <c r="E363" s="199">
        <v>2.2000000000000002</v>
      </c>
      <c r="F363" s="244">
        <v>2.2000000000000002</v>
      </c>
      <c r="G363" s="199">
        <v>1.1000000000000001</v>
      </c>
      <c r="H363" s="199"/>
      <c r="I363" s="199"/>
      <c r="J363" s="219"/>
      <c r="K363" s="217">
        <f t="shared" si="6"/>
        <v>5.3240000000000016</v>
      </c>
      <c r="L363" s="218"/>
    </row>
    <row r="364" spans="2:12">
      <c r="B364" s="197" t="s">
        <v>1347</v>
      </c>
      <c r="C364" s="189" t="s">
        <v>1333</v>
      </c>
      <c r="D364" s="198" t="s">
        <v>169</v>
      </c>
      <c r="E364" s="199"/>
      <c r="F364" s="244"/>
      <c r="G364" s="199"/>
      <c r="H364" s="199"/>
      <c r="I364" s="199">
        <v>2.95614</v>
      </c>
      <c r="J364" s="219"/>
      <c r="K364" s="217">
        <f t="shared" si="6"/>
        <v>2.95614</v>
      </c>
      <c r="L364" s="218"/>
    </row>
    <row r="365" spans="2:12">
      <c r="B365" s="197" t="s">
        <v>1348</v>
      </c>
      <c r="C365" s="189" t="s">
        <v>1333</v>
      </c>
      <c r="D365" s="198" t="s">
        <v>169</v>
      </c>
      <c r="E365" s="199">
        <v>3.14</v>
      </c>
      <c r="F365" s="244">
        <v>3.14</v>
      </c>
      <c r="G365" s="199">
        <v>2.1</v>
      </c>
      <c r="H365" s="199"/>
      <c r="I365" s="199"/>
      <c r="J365" s="219"/>
      <c r="K365" s="217">
        <f t="shared" si="6"/>
        <v>20.705160000000003</v>
      </c>
      <c r="L365" s="218"/>
    </row>
    <row r="366" spans="2:12">
      <c r="B366" s="197" t="s">
        <v>1349</v>
      </c>
      <c r="C366" s="189" t="s">
        <v>1333</v>
      </c>
      <c r="D366" s="198" t="s">
        <v>169</v>
      </c>
      <c r="E366" s="199">
        <v>3.4</v>
      </c>
      <c r="F366" s="244">
        <v>2.2000000000000002</v>
      </c>
      <c r="G366" s="199">
        <v>1.1000000000000001</v>
      </c>
      <c r="H366" s="199"/>
      <c r="I366" s="199"/>
      <c r="J366" s="219"/>
      <c r="K366" s="217">
        <f t="shared" si="6"/>
        <v>8.2280000000000015</v>
      </c>
      <c r="L366" s="218"/>
    </row>
    <row r="367" spans="2:12">
      <c r="B367" s="197" t="s">
        <v>1350</v>
      </c>
      <c r="C367" s="189" t="s">
        <v>1333</v>
      </c>
      <c r="D367" s="198" t="s">
        <v>169</v>
      </c>
      <c r="E367" s="199">
        <v>3.4</v>
      </c>
      <c r="F367" s="244">
        <v>2.2000000000000002</v>
      </c>
      <c r="G367" s="199">
        <v>1.1000000000000001</v>
      </c>
      <c r="H367" s="199"/>
      <c r="I367" s="199"/>
      <c r="J367" s="219"/>
      <c r="K367" s="217">
        <f t="shared" si="6"/>
        <v>8.2280000000000015</v>
      </c>
      <c r="L367" s="218"/>
    </row>
    <row r="368" spans="2:12">
      <c r="B368" s="197" t="s">
        <v>1351</v>
      </c>
      <c r="C368" s="189" t="s">
        <v>1333</v>
      </c>
      <c r="D368" s="198" t="s">
        <v>169</v>
      </c>
      <c r="E368" s="199">
        <v>2.2000000000000002</v>
      </c>
      <c r="F368" s="244">
        <v>2.2000000000000002</v>
      </c>
      <c r="G368" s="199">
        <v>1.1000000000000001</v>
      </c>
      <c r="H368" s="199"/>
      <c r="I368" s="199"/>
      <c r="J368" s="219"/>
      <c r="K368" s="217">
        <f t="shared" si="6"/>
        <v>5.3240000000000016</v>
      </c>
      <c r="L368" s="218"/>
    </row>
    <row r="369" spans="2:12">
      <c r="B369" s="197" t="s">
        <v>1352</v>
      </c>
      <c r="C369" s="189" t="s">
        <v>1333</v>
      </c>
      <c r="D369" s="198" t="s">
        <v>169</v>
      </c>
      <c r="E369" s="199">
        <v>1</v>
      </c>
      <c r="F369" s="244">
        <v>1</v>
      </c>
      <c r="G369" s="199">
        <v>0.7</v>
      </c>
      <c r="H369" s="199"/>
      <c r="I369" s="199"/>
      <c r="J369" s="219"/>
      <c r="K369" s="217">
        <f t="shared" si="6"/>
        <v>0.7</v>
      </c>
      <c r="L369" s="218"/>
    </row>
    <row r="370" spans="2:12">
      <c r="B370" s="197" t="s">
        <v>1353</v>
      </c>
      <c r="C370" s="189" t="s">
        <v>1333</v>
      </c>
      <c r="D370" s="198" t="s">
        <v>169</v>
      </c>
      <c r="E370" s="199">
        <v>1</v>
      </c>
      <c r="F370" s="244">
        <v>1</v>
      </c>
      <c r="G370" s="199">
        <v>0.7</v>
      </c>
      <c r="H370" s="199"/>
      <c r="I370" s="199"/>
      <c r="J370" s="219"/>
      <c r="K370" s="217">
        <f t="shared" si="6"/>
        <v>0.7</v>
      </c>
      <c r="L370" s="218"/>
    </row>
    <row r="371" spans="2:12">
      <c r="B371" s="197" t="s">
        <v>1354</v>
      </c>
      <c r="C371" s="189" t="s">
        <v>1333</v>
      </c>
      <c r="D371" s="198" t="s">
        <v>169</v>
      </c>
      <c r="E371" s="199">
        <v>1</v>
      </c>
      <c r="F371" s="244">
        <v>1</v>
      </c>
      <c r="G371" s="199">
        <v>0.7</v>
      </c>
      <c r="H371" s="199"/>
      <c r="I371" s="199"/>
      <c r="J371" s="219"/>
      <c r="K371" s="217">
        <f t="shared" si="6"/>
        <v>0.7</v>
      </c>
      <c r="L371" s="218"/>
    </row>
    <row r="372" spans="2:12">
      <c r="B372" s="197" t="s">
        <v>1355</v>
      </c>
      <c r="C372" s="189" t="s">
        <v>1333</v>
      </c>
      <c r="D372" s="198" t="s">
        <v>169</v>
      </c>
      <c r="E372" s="199">
        <v>1</v>
      </c>
      <c r="F372" s="244">
        <v>1</v>
      </c>
      <c r="G372" s="199">
        <v>0.7</v>
      </c>
      <c r="H372" s="199"/>
      <c r="I372" s="199"/>
      <c r="J372" s="219"/>
      <c r="K372" s="217">
        <f t="shared" si="6"/>
        <v>0.7</v>
      </c>
      <c r="L372" s="218"/>
    </row>
    <row r="373" spans="2:12">
      <c r="B373" s="197" t="s">
        <v>1356</v>
      </c>
      <c r="C373" s="189" t="s">
        <v>1333</v>
      </c>
      <c r="D373" s="198" t="s">
        <v>169</v>
      </c>
      <c r="E373" s="199">
        <v>2.2000000000000002</v>
      </c>
      <c r="F373" s="244">
        <v>2.2000000000000002</v>
      </c>
      <c r="G373" s="199">
        <v>1.1000000000000001</v>
      </c>
      <c r="H373" s="199"/>
      <c r="I373" s="199"/>
      <c r="J373" s="219"/>
      <c r="K373" s="217">
        <f t="shared" si="6"/>
        <v>5.3240000000000016</v>
      </c>
      <c r="L373" s="218"/>
    </row>
    <row r="374" spans="2:12">
      <c r="B374" s="197" t="s">
        <v>1357</v>
      </c>
      <c r="C374" s="189" t="s">
        <v>1333</v>
      </c>
      <c r="D374" s="198" t="s">
        <v>169</v>
      </c>
      <c r="E374" s="199">
        <v>2.2000000000000002</v>
      </c>
      <c r="F374" s="244">
        <v>2.2000000000000002</v>
      </c>
      <c r="G374" s="199">
        <v>1.1000000000000001</v>
      </c>
      <c r="H374" s="199"/>
      <c r="I374" s="199"/>
      <c r="J374" s="219"/>
      <c r="K374" s="217">
        <f t="shared" si="6"/>
        <v>5.3240000000000016</v>
      </c>
      <c r="L374" s="218"/>
    </row>
    <row r="375" spans="2:12">
      <c r="B375" s="197" t="s">
        <v>1358</v>
      </c>
      <c r="C375" s="189" t="s">
        <v>1333</v>
      </c>
      <c r="D375" s="198" t="s">
        <v>169</v>
      </c>
      <c r="E375" s="199">
        <v>2.2000000000000002</v>
      </c>
      <c r="F375" s="244">
        <v>2.2000000000000002</v>
      </c>
      <c r="G375" s="199">
        <v>1.1000000000000001</v>
      </c>
      <c r="H375" s="199"/>
      <c r="I375" s="199"/>
      <c r="J375" s="219"/>
      <c r="K375" s="217">
        <f t="shared" si="6"/>
        <v>5.3240000000000016</v>
      </c>
      <c r="L375" s="218"/>
    </row>
    <row r="376" spans="2:12">
      <c r="B376" s="197" t="s">
        <v>1359</v>
      </c>
      <c r="C376" s="189" t="s">
        <v>1333</v>
      </c>
      <c r="D376" s="198" t="s">
        <v>169</v>
      </c>
      <c r="E376" s="199">
        <v>2.2000000000000002</v>
      </c>
      <c r="F376" s="244">
        <v>2.2000000000000002</v>
      </c>
      <c r="G376" s="199">
        <v>1.1000000000000001</v>
      </c>
      <c r="H376" s="199"/>
      <c r="I376" s="199"/>
      <c r="J376" s="219"/>
      <c r="K376" s="217">
        <f t="shared" si="6"/>
        <v>5.3240000000000016</v>
      </c>
      <c r="L376" s="218"/>
    </row>
    <row r="377" spans="2:12">
      <c r="B377" s="197" t="s">
        <v>1360</v>
      </c>
      <c r="C377" s="189" t="s">
        <v>1333</v>
      </c>
      <c r="D377" s="198" t="s">
        <v>169</v>
      </c>
      <c r="E377" s="199">
        <v>1</v>
      </c>
      <c r="F377" s="244">
        <v>1</v>
      </c>
      <c r="G377" s="199">
        <v>0.7</v>
      </c>
      <c r="H377" s="199"/>
      <c r="I377" s="199"/>
      <c r="J377" s="219"/>
      <c r="K377" s="217">
        <f t="shared" si="6"/>
        <v>0.7</v>
      </c>
      <c r="L377" s="218"/>
    </row>
    <row r="378" spans="2:12">
      <c r="B378" s="197" t="s">
        <v>1361</v>
      </c>
      <c r="C378" s="189" t="s">
        <v>1333</v>
      </c>
      <c r="D378" s="198" t="s">
        <v>169</v>
      </c>
      <c r="E378" s="199">
        <v>1</v>
      </c>
      <c r="F378" s="244">
        <v>1</v>
      </c>
      <c r="G378" s="199">
        <v>0.7</v>
      </c>
      <c r="H378" s="199"/>
      <c r="I378" s="199"/>
      <c r="J378" s="219"/>
      <c r="K378" s="217">
        <f t="shared" si="6"/>
        <v>0.7</v>
      </c>
      <c r="L378" s="218"/>
    </row>
    <row r="379" spans="2:12">
      <c r="B379" s="197" t="s">
        <v>1362</v>
      </c>
      <c r="C379" s="189" t="s">
        <v>1333</v>
      </c>
      <c r="D379" s="198" t="s">
        <v>169</v>
      </c>
      <c r="E379" s="199">
        <v>2.2000000000000002</v>
      </c>
      <c r="F379" s="244">
        <v>2.2000000000000002</v>
      </c>
      <c r="G379" s="199">
        <v>1.1000000000000001</v>
      </c>
      <c r="H379" s="199"/>
      <c r="I379" s="199"/>
      <c r="J379" s="219"/>
      <c r="K379" s="217">
        <f t="shared" si="6"/>
        <v>5.3240000000000016</v>
      </c>
      <c r="L379" s="218"/>
    </row>
    <row r="380" spans="2:12">
      <c r="B380" s="197" t="s">
        <v>1363</v>
      </c>
      <c r="C380" s="189" t="s">
        <v>1333</v>
      </c>
      <c r="D380" s="198" t="s">
        <v>169</v>
      </c>
      <c r="E380" s="199">
        <v>2.2000000000000002</v>
      </c>
      <c r="F380" s="244">
        <v>2.2000000000000002</v>
      </c>
      <c r="G380" s="199">
        <v>1.1000000000000001</v>
      </c>
      <c r="H380" s="199"/>
      <c r="I380" s="199"/>
      <c r="J380" s="219"/>
      <c r="K380" s="217">
        <f t="shared" si="6"/>
        <v>5.3240000000000016</v>
      </c>
      <c r="L380" s="218"/>
    </row>
    <row r="381" spans="2:12">
      <c r="B381" s="197" t="s">
        <v>1364</v>
      </c>
      <c r="C381" s="189" t="s">
        <v>1333</v>
      </c>
      <c r="D381" s="198" t="s">
        <v>169</v>
      </c>
      <c r="E381" s="199">
        <v>1.9</v>
      </c>
      <c r="F381" s="244">
        <v>0.9</v>
      </c>
      <c r="G381" s="199">
        <v>1</v>
      </c>
      <c r="H381" s="199"/>
      <c r="I381" s="199"/>
      <c r="J381" s="219"/>
      <c r="K381" s="217">
        <f t="shared" si="6"/>
        <v>1.71</v>
      </c>
      <c r="L381" s="218"/>
    </row>
    <row r="382" spans="2:12">
      <c r="B382" s="197" t="s">
        <v>1442</v>
      </c>
      <c r="C382" s="189" t="s">
        <v>1441</v>
      </c>
      <c r="D382" s="198" t="s">
        <v>169</v>
      </c>
      <c r="E382" s="199">
        <v>3.4</v>
      </c>
      <c r="F382" s="244">
        <v>2</v>
      </c>
      <c r="G382" s="199">
        <v>1.3</v>
      </c>
      <c r="H382" s="199"/>
      <c r="I382" s="199"/>
      <c r="J382" s="219"/>
      <c r="K382" s="217">
        <f t="shared" si="6"/>
        <v>8.84</v>
      </c>
      <c r="L382" s="218"/>
    </row>
    <row r="383" spans="2:12">
      <c r="B383" s="197" t="s">
        <v>1443</v>
      </c>
      <c r="C383" s="189" t="s">
        <v>1441</v>
      </c>
      <c r="D383" s="198" t="s">
        <v>169</v>
      </c>
      <c r="E383" s="199">
        <v>3.4</v>
      </c>
      <c r="F383" s="244">
        <v>2</v>
      </c>
      <c r="G383" s="199">
        <v>1.3</v>
      </c>
      <c r="H383" s="199"/>
      <c r="I383" s="199">
        <f>0.01/'BM 005'!L78</f>
        <v>1.051856435491579E-5</v>
      </c>
      <c r="J383" s="219"/>
      <c r="K383" s="217">
        <f t="shared" si="6"/>
        <v>8.8400105185643554</v>
      </c>
      <c r="L383" s="218"/>
    </row>
    <row r="384" spans="2:12">
      <c r="B384" s="197"/>
      <c r="C384" s="189"/>
      <c r="D384" s="198"/>
      <c r="E384" s="199"/>
      <c r="F384" s="244"/>
      <c r="G384" s="199"/>
      <c r="H384" s="199"/>
      <c r="I384" s="199"/>
      <c r="J384" s="219"/>
      <c r="K384" s="217">
        <f t="shared" si="6"/>
        <v>0</v>
      </c>
      <c r="L384" s="218"/>
    </row>
    <row r="385" spans="2:12">
      <c r="B385" s="202"/>
      <c r="C385" s="203"/>
      <c r="D385" s="203"/>
      <c r="E385" s="203"/>
      <c r="F385" s="203"/>
      <c r="G385" s="203"/>
      <c r="H385" s="204"/>
      <c r="I385" s="556" t="s">
        <v>1221</v>
      </c>
      <c r="J385" s="556"/>
      <c r="K385" s="220">
        <f>SUM(K339:K384)</f>
        <v>216.14109051856443</v>
      </c>
      <c r="L385" s="207"/>
    </row>
    <row r="386" spans="2:12">
      <c r="B386" s="208"/>
      <c r="C386" s="204"/>
      <c r="D386" s="204"/>
      <c r="E386" s="204"/>
      <c r="F386" s="204"/>
      <c r="G386" s="204"/>
      <c r="H386" s="209"/>
      <c r="I386" s="557" t="s">
        <v>1222</v>
      </c>
      <c r="J386" s="557"/>
      <c r="K386" s="221">
        <v>213.07</v>
      </c>
      <c r="L386" s="207"/>
    </row>
    <row r="387" spans="2:12">
      <c r="B387" s="208"/>
      <c r="C387" s="204"/>
      <c r="D387" s="204"/>
      <c r="E387" s="204"/>
      <c r="F387" s="204"/>
      <c r="G387" s="204"/>
      <c r="H387" s="558" t="s">
        <v>1223</v>
      </c>
      <c r="I387" s="558"/>
      <c r="J387" s="558"/>
      <c r="K387" s="222">
        <v>198.46108000000001</v>
      </c>
      <c r="L387" s="207"/>
    </row>
    <row r="388" spans="2:12">
      <c r="B388" s="208"/>
      <c r="C388" s="204"/>
      <c r="D388" s="204"/>
      <c r="E388" s="204"/>
      <c r="F388" s="204"/>
      <c r="G388" s="204"/>
      <c r="H388" s="558" t="s">
        <v>1431</v>
      </c>
      <c r="I388" s="558"/>
      <c r="J388" s="558"/>
      <c r="K388" s="222">
        <f>IF(K385&gt;K386,K386,K385)-K387+0.0000105185643549158</f>
        <v>14.608930518564339</v>
      </c>
      <c r="L388" s="207"/>
    </row>
    <row r="389" spans="2:12">
      <c r="B389" s="213"/>
      <c r="C389" s="214"/>
      <c r="D389" s="214"/>
      <c r="E389" s="214"/>
      <c r="F389" s="214"/>
      <c r="G389" s="214"/>
      <c r="H389" s="559" t="s">
        <v>1224</v>
      </c>
      <c r="I389" s="559"/>
      <c r="J389" s="559"/>
      <c r="K389" s="223">
        <f>IF(K385&gt;K386,K385-K386,0)</f>
        <v>3.0710905185644322</v>
      </c>
      <c r="L389" s="209"/>
    </row>
    <row r="391" spans="2:12" ht="14.25" customHeight="1">
      <c r="B391" s="555" t="s">
        <v>1300</v>
      </c>
      <c r="C391" s="555"/>
      <c r="D391" s="555"/>
      <c r="E391" s="555"/>
      <c r="F391" s="555"/>
      <c r="G391" s="555"/>
      <c r="H391" s="555"/>
      <c r="I391" s="555"/>
      <c r="J391" s="555"/>
      <c r="K391" s="555"/>
      <c r="L391" s="555"/>
    </row>
    <row r="392" spans="2:12">
      <c r="B392" s="187" t="s">
        <v>1209</v>
      </c>
      <c r="C392" s="187"/>
      <c r="D392" s="187" t="s">
        <v>39</v>
      </c>
      <c r="E392" s="187" t="s">
        <v>1210</v>
      </c>
      <c r="F392" s="187" t="s">
        <v>1211</v>
      </c>
      <c r="G392" s="187" t="s">
        <v>1212</v>
      </c>
      <c r="H392" s="187" t="s">
        <v>1213</v>
      </c>
      <c r="I392" s="187" t="s">
        <v>1214</v>
      </c>
      <c r="J392" s="187" t="s">
        <v>1215</v>
      </c>
      <c r="K392" s="187" t="s">
        <v>1216</v>
      </c>
      <c r="L392" s="187" t="s">
        <v>1217</v>
      </c>
    </row>
    <row r="393" spans="2:12">
      <c r="B393" s="188" t="s">
        <v>1301</v>
      </c>
      <c r="C393" s="189" t="s">
        <v>1271</v>
      </c>
      <c r="D393" s="190" t="s">
        <v>1274</v>
      </c>
      <c r="E393" s="191">
        <v>646</v>
      </c>
      <c r="F393" s="243">
        <v>0.16</v>
      </c>
      <c r="G393" s="192"/>
      <c r="H393" s="191">
        <v>1.1000000000000001</v>
      </c>
      <c r="I393" s="191"/>
      <c r="J393" s="216"/>
      <c r="K393" s="217">
        <f>IF(E393*F393*G393&lt;&gt;0,E393*F393*G393,IF(E393*F393&lt;&gt;0,E393*F393,IF(F393*G393&lt;&gt;0,F393*G393,IF(E393*G393&lt;&gt;0,E393*G393,IF(E393&lt;&gt;0,E393,IF(F393&lt;&gt;0,F393,IF(G393&lt;&gt;0,G393,0)))))))*(IF(H393&lt;&gt;0,H393,1))+I393-J393</f>
        <v>113.69600000000001</v>
      </c>
      <c r="L393" s="218"/>
    </row>
    <row r="394" spans="2:12">
      <c r="B394" s="188" t="s">
        <v>1302</v>
      </c>
      <c r="C394" s="189" t="s">
        <v>1271</v>
      </c>
      <c r="D394" s="190" t="s">
        <v>1274</v>
      </c>
      <c r="E394" s="191">
        <v>348</v>
      </c>
      <c r="F394" s="243">
        <v>0.16</v>
      </c>
      <c r="G394" s="192"/>
      <c r="H394" s="191">
        <v>1.1000000000000001</v>
      </c>
      <c r="I394" s="191"/>
      <c r="J394" s="216"/>
      <c r="K394" s="217">
        <f>IF(E394*F394*G394&lt;&gt;0,E394*F394*G394,IF(E394*F394&lt;&gt;0,E394*F394,IF(F394*G394&lt;&gt;0,F394*G394,IF(E394*G394&lt;&gt;0,E394*G394,IF(E394&lt;&gt;0,E394,IF(F394&lt;&gt;0,F394,IF(G394&lt;&gt;0,G394,0)))))))*(IF(H394&lt;&gt;0,H394,1))+I394-J394</f>
        <v>61.248000000000005</v>
      </c>
      <c r="L394" s="218"/>
    </row>
    <row r="395" spans="2:12">
      <c r="B395" s="188" t="s">
        <v>1365</v>
      </c>
      <c r="C395" s="189" t="s">
        <v>1271</v>
      </c>
      <c r="D395" s="190" t="s">
        <v>1274</v>
      </c>
      <c r="E395" s="191">
        <v>43.18</v>
      </c>
      <c r="F395" s="243"/>
      <c r="G395" s="192"/>
      <c r="H395" s="191">
        <v>0.26</v>
      </c>
      <c r="I395" s="191"/>
      <c r="J395" s="216"/>
      <c r="K395" s="217">
        <f>IF(E395*F395*G395&lt;&gt;0,E395*F395*G395,IF(E395*F395&lt;&gt;0,E395*F395,IF(F395*G395&lt;&gt;0,F395*G395,IF(E395*G395&lt;&gt;0,E395*G395,IF(E395&lt;&gt;0,E395,IF(F395&lt;&gt;0,F395,IF(G395&lt;&gt;0,G395,0)))))))*(IF(H395&lt;&gt;0,H395,1))+I395-J395</f>
        <v>11.226800000000001</v>
      </c>
      <c r="L395" s="245" t="s">
        <v>1366</v>
      </c>
    </row>
    <row r="396" spans="2:12">
      <c r="B396" s="197"/>
      <c r="C396" s="189"/>
      <c r="D396" s="198"/>
      <c r="E396" s="199"/>
      <c r="F396" s="244"/>
      <c r="G396" s="199"/>
      <c r="H396" s="199"/>
      <c r="I396" s="199"/>
      <c r="J396" s="219"/>
      <c r="K396" s="217">
        <f>IF(E396*F396*G396&lt;&gt;0,E396*F396*G396,IF(E396*F396&lt;&gt;0,E396*F396,IF(F396*G396&lt;&gt;0,F396*G396,IF(E396*G396&lt;&gt;0,E396*G396,IF(E396&lt;&gt;0,E396,IF(F396&lt;&gt;0,F396,IF(G396&lt;&gt;0,G396,0)))))))*(IF(H396&lt;&gt;0,H396,1))+I396-J396</f>
        <v>0</v>
      </c>
      <c r="L396" s="218"/>
    </row>
    <row r="397" spans="2:12">
      <c r="B397" s="202"/>
      <c r="C397" s="203"/>
      <c r="D397" s="203"/>
      <c r="E397" s="203"/>
      <c r="F397" s="203"/>
      <c r="G397" s="203"/>
      <c r="H397" s="204"/>
      <c r="I397" s="556" t="s">
        <v>1221</v>
      </c>
      <c r="J397" s="556"/>
      <c r="K397" s="220">
        <f>SUM(K393:K396)</f>
        <v>186.17080000000001</v>
      </c>
      <c r="L397" s="207"/>
    </row>
    <row r="398" spans="2:12">
      <c r="B398" s="208"/>
      <c r="C398" s="204"/>
      <c r="D398" s="204"/>
      <c r="E398" s="204"/>
      <c r="F398" s="204"/>
      <c r="G398" s="204"/>
      <c r="H398" s="209"/>
      <c r="I398" s="557" t="s">
        <v>1222</v>
      </c>
      <c r="J398" s="557"/>
      <c r="K398" s="221">
        <v>185.9</v>
      </c>
      <c r="L398" s="207"/>
    </row>
    <row r="399" spans="2:12">
      <c r="B399" s="208"/>
      <c r="C399" s="204"/>
      <c r="D399" s="204"/>
      <c r="E399" s="204"/>
      <c r="F399" s="204"/>
      <c r="G399" s="204"/>
      <c r="H399" s="558" t="s">
        <v>1223</v>
      </c>
      <c r="I399" s="558"/>
      <c r="J399" s="558"/>
      <c r="K399" s="222">
        <v>163.02440000000001</v>
      </c>
      <c r="L399" s="207"/>
    </row>
    <row r="400" spans="2:12">
      <c r="B400" s="208"/>
      <c r="C400" s="204"/>
      <c r="D400" s="204"/>
      <c r="E400" s="204"/>
      <c r="F400" s="204"/>
      <c r="G400" s="204"/>
      <c r="H400" s="558" t="s">
        <v>1250</v>
      </c>
      <c r="I400" s="558"/>
      <c r="J400" s="558"/>
      <c r="K400" s="222">
        <f>IF(K397&gt;K398,K398,K397)-K399</f>
        <v>22.875599999999991</v>
      </c>
      <c r="L400" s="246">
        <f>K398-K397</f>
        <v>-0.27080000000000837</v>
      </c>
    </row>
    <row r="401" spans="2:12">
      <c r="B401" s="213"/>
      <c r="C401" s="214"/>
      <c r="D401" s="214"/>
      <c r="E401" s="214"/>
      <c r="F401" s="214"/>
      <c r="G401" s="214"/>
      <c r="H401" s="559" t="s">
        <v>1224</v>
      </c>
      <c r="I401" s="559"/>
      <c r="J401" s="559"/>
      <c r="K401" s="223">
        <f>IF(K397&gt;K398,K397-K398,0)</f>
        <v>0.27080000000000837</v>
      </c>
      <c r="L401" s="209"/>
    </row>
    <row r="403" spans="2:12" ht="14.25" customHeight="1">
      <c r="B403" s="555" t="s">
        <v>1303</v>
      </c>
      <c r="C403" s="555"/>
      <c r="D403" s="555"/>
      <c r="E403" s="555"/>
      <c r="F403" s="555"/>
      <c r="G403" s="555"/>
      <c r="H403" s="555"/>
      <c r="I403" s="555"/>
      <c r="J403" s="555"/>
      <c r="K403" s="555"/>
      <c r="L403" s="555"/>
    </row>
    <row r="404" spans="2:12">
      <c r="B404" s="187" t="s">
        <v>1209</v>
      </c>
      <c r="C404" s="187"/>
      <c r="D404" s="187" t="s">
        <v>39</v>
      </c>
      <c r="E404" s="187" t="s">
        <v>1210</v>
      </c>
      <c r="F404" s="187" t="s">
        <v>1211</v>
      </c>
      <c r="G404" s="187" t="s">
        <v>1212</v>
      </c>
      <c r="H404" s="187" t="s">
        <v>1213</v>
      </c>
      <c r="I404" s="187" t="s">
        <v>1214</v>
      </c>
      <c r="J404" s="187" t="s">
        <v>1215</v>
      </c>
      <c r="K404" s="187" t="s">
        <v>1216</v>
      </c>
      <c r="L404" s="187" t="s">
        <v>1217</v>
      </c>
    </row>
    <row r="405" spans="2:12">
      <c r="B405" s="188" t="s">
        <v>1301</v>
      </c>
      <c r="C405" s="189" t="s">
        <v>1271</v>
      </c>
      <c r="D405" s="190" t="s">
        <v>1274</v>
      </c>
      <c r="E405" s="191">
        <v>257</v>
      </c>
      <c r="F405" s="243">
        <v>0.245</v>
      </c>
      <c r="G405" s="192"/>
      <c r="H405" s="191">
        <v>1.1000000000000001</v>
      </c>
      <c r="I405" s="191"/>
      <c r="J405" s="216"/>
      <c r="K405" s="217">
        <f>IF(E405*F405*G405&lt;&gt;0,E405*F405*G405,IF(E405*F405&lt;&gt;0,E405*F405,IF(F405*G405&lt;&gt;0,F405*G405,IF(E405*G405&lt;&gt;0,E405*G405,IF(E405&lt;&gt;0,E405,IF(F405&lt;&gt;0,F405,IF(G405&lt;&gt;0,G405,0)))))))*(IF(H405&lt;&gt;0,H405,1))+I405-J405</f>
        <v>69.261499999999998</v>
      </c>
      <c r="L405" s="218"/>
    </row>
    <row r="406" spans="2:12">
      <c r="B406" s="188" t="s">
        <v>1302</v>
      </c>
      <c r="C406" s="189" t="s">
        <v>1271</v>
      </c>
      <c r="D406" s="190" t="s">
        <v>1274</v>
      </c>
      <c r="E406" s="191">
        <v>642</v>
      </c>
      <c r="F406" s="243">
        <v>0.245</v>
      </c>
      <c r="G406" s="192"/>
      <c r="H406" s="191">
        <v>1.1000000000000001</v>
      </c>
      <c r="I406" s="191"/>
      <c r="J406" s="216"/>
      <c r="K406" s="217">
        <f>IF(E406*F406*G406&lt;&gt;0,E406*F406*G406,IF(E406*F406&lt;&gt;0,E406*F406,IF(F406*G406&lt;&gt;0,F406*G406,IF(E406*G406&lt;&gt;0,E406*G406,IF(E406&lt;&gt;0,E406,IF(F406&lt;&gt;0,F406,IF(G406&lt;&gt;0,G406,0)))))))*(IF(H406&lt;&gt;0,H406,1))+I406-J406</f>
        <v>173.01900000000001</v>
      </c>
      <c r="L406" s="218"/>
    </row>
    <row r="407" spans="2:12">
      <c r="B407" s="197"/>
      <c r="C407" s="189"/>
      <c r="D407" s="198"/>
      <c r="E407" s="199"/>
      <c r="F407" s="244"/>
      <c r="G407" s="199"/>
      <c r="H407" s="199"/>
      <c r="I407" s="199"/>
      <c r="J407" s="219"/>
      <c r="K407" s="217">
        <f>IF(E407*F407*G407&lt;&gt;0,E407*F407*G407,IF(E407*F407&lt;&gt;0,E407*F407,IF(F407*G407&lt;&gt;0,F407*G407,IF(E407*G407&lt;&gt;0,E407*G407,IF(E407&lt;&gt;0,E407,IF(F407&lt;&gt;0,F407,IF(G407&lt;&gt;0,G407,0)))))))*(IF(H407&lt;&gt;0,H407,1))+I407-J407</f>
        <v>0</v>
      </c>
      <c r="L407" s="218"/>
    </row>
    <row r="408" spans="2:12">
      <c r="B408" s="202"/>
      <c r="C408" s="203"/>
      <c r="D408" s="203"/>
      <c r="E408" s="203"/>
      <c r="F408" s="203"/>
      <c r="G408" s="203"/>
      <c r="H408" s="204"/>
      <c r="I408" s="556" t="s">
        <v>1221</v>
      </c>
      <c r="J408" s="556"/>
      <c r="K408" s="220">
        <f>SUM(K405:K407)</f>
        <v>242.28050000000002</v>
      </c>
      <c r="L408" s="207"/>
    </row>
    <row r="409" spans="2:12">
      <c r="B409" s="208"/>
      <c r="C409" s="204"/>
      <c r="D409" s="204"/>
      <c r="E409" s="204"/>
      <c r="F409" s="204"/>
      <c r="G409" s="204"/>
      <c r="H409" s="209"/>
      <c r="I409" s="557" t="s">
        <v>1222</v>
      </c>
      <c r="J409" s="557"/>
      <c r="K409" s="221">
        <v>199.1</v>
      </c>
      <c r="L409" s="207"/>
    </row>
    <row r="410" spans="2:12">
      <c r="B410" s="208"/>
      <c r="C410" s="204"/>
      <c r="D410" s="204"/>
      <c r="E410" s="204"/>
      <c r="F410" s="204"/>
      <c r="G410" s="204"/>
      <c r="H410" s="558" t="s">
        <v>1223</v>
      </c>
      <c r="I410" s="558"/>
      <c r="J410" s="558"/>
      <c r="K410" s="222">
        <v>0</v>
      </c>
      <c r="L410" s="207"/>
    </row>
    <row r="411" spans="2:12">
      <c r="B411" s="208"/>
      <c r="C411" s="204"/>
      <c r="D411" s="204"/>
      <c r="E411" s="204"/>
      <c r="F411" s="204"/>
      <c r="G411" s="204"/>
      <c r="H411" s="558" t="s">
        <v>1201</v>
      </c>
      <c r="I411" s="558"/>
      <c r="J411" s="558"/>
      <c r="K411" s="222">
        <f>IF(K408&gt;K409,K409,K408)-K410</f>
        <v>199.1</v>
      </c>
      <c r="L411" s="207"/>
    </row>
    <row r="412" spans="2:12">
      <c r="B412" s="213"/>
      <c r="C412" s="214"/>
      <c r="D412" s="214"/>
      <c r="E412" s="214"/>
      <c r="F412" s="214"/>
      <c r="G412" s="214"/>
      <c r="H412" s="559" t="s">
        <v>1224</v>
      </c>
      <c r="I412" s="559"/>
      <c r="J412" s="559"/>
      <c r="K412" s="223">
        <f>IF(K408&gt;K409,K408-K409,0)</f>
        <v>43.180500000000023</v>
      </c>
      <c r="L412" s="209"/>
    </row>
    <row r="414" spans="2:12" ht="14.25" customHeight="1">
      <c r="B414" s="555" t="s">
        <v>1304</v>
      </c>
      <c r="C414" s="555"/>
      <c r="D414" s="555"/>
      <c r="E414" s="555"/>
      <c r="F414" s="555"/>
      <c r="G414" s="555"/>
      <c r="H414" s="555"/>
      <c r="I414" s="555"/>
      <c r="J414" s="555"/>
      <c r="K414" s="555"/>
      <c r="L414" s="555"/>
    </row>
    <row r="415" spans="2:12">
      <c r="B415" s="187" t="s">
        <v>1209</v>
      </c>
      <c r="C415" s="187"/>
      <c r="D415" s="187" t="s">
        <v>39</v>
      </c>
      <c r="E415" s="187" t="s">
        <v>1210</v>
      </c>
      <c r="F415" s="187" t="s">
        <v>1211</v>
      </c>
      <c r="G415" s="187" t="s">
        <v>1212</v>
      </c>
      <c r="H415" s="187" t="s">
        <v>1213</v>
      </c>
      <c r="I415" s="187" t="s">
        <v>1214</v>
      </c>
      <c r="J415" s="187" t="s">
        <v>1215</v>
      </c>
      <c r="K415" s="187" t="s">
        <v>1216</v>
      </c>
      <c r="L415" s="187" t="s">
        <v>1217</v>
      </c>
    </row>
    <row r="416" spans="2:12">
      <c r="B416" s="188" t="s">
        <v>1301</v>
      </c>
      <c r="C416" s="189" t="s">
        <v>1271</v>
      </c>
      <c r="D416" s="190" t="s">
        <v>1274</v>
      </c>
      <c r="E416" s="191">
        <v>566</v>
      </c>
      <c r="F416" s="243">
        <v>0.39500000000000002</v>
      </c>
      <c r="G416" s="192"/>
      <c r="H416" s="191">
        <v>1.1000000000000001</v>
      </c>
      <c r="I416" s="191"/>
      <c r="J416" s="216"/>
      <c r="K416" s="217">
        <f>IF(E416*F416*G416&lt;&gt;0,E416*F416*G416,IF(E416*F416&lt;&gt;0,E416*F416,IF(F416*G416&lt;&gt;0,F416*G416,IF(E416*G416&lt;&gt;0,E416*G416,IF(E416&lt;&gt;0,E416,IF(F416&lt;&gt;0,F416,IF(G416&lt;&gt;0,G416,0)))))))*(IF(H416&lt;&gt;0,H416,1))+I416-J416</f>
        <v>245.92700000000005</v>
      </c>
      <c r="L416" s="218"/>
    </row>
    <row r="417" spans="2:12">
      <c r="B417" s="188" t="s">
        <v>1302</v>
      </c>
      <c r="C417" s="189" t="s">
        <v>1271</v>
      </c>
      <c r="D417" s="190" t="s">
        <v>1274</v>
      </c>
      <c r="E417" s="191">
        <v>641</v>
      </c>
      <c r="F417" s="243">
        <v>0.39500000000000002</v>
      </c>
      <c r="G417" s="192"/>
      <c r="H417" s="191">
        <v>1.1000000000000001</v>
      </c>
      <c r="I417" s="191"/>
      <c r="J417" s="216"/>
      <c r="K417" s="217">
        <f>IF(E417*F417*G417&lt;&gt;0,E417*F417*G417,IF(E417*F417&lt;&gt;0,E417*F417,IF(F417*G417&lt;&gt;0,F417*G417,IF(E417*G417&lt;&gt;0,E417*G417,IF(E417&lt;&gt;0,E417,IF(F417&lt;&gt;0,F417,IF(G417&lt;&gt;0,G417,0)))))))*(IF(H417&lt;&gt;0,H417,1))+I417-J417</f>
        <v>278.51450000000006</v>
      </c>
      <c r="L417" s="218"/>
    </row>
    <row r="418" spans="2:12">
      <c r="B418" s="197"/>
      <c r="C418" s="189"/>
      <c r="D418" s="198"/>
      <c r="E418" s="199"/>
      <c r="F418" s="244"/>
      <c r="G418" s="199"/>
      <c r="H418" s="199"/>
      <c r="I418" s="199"/>
      <c r="J418" s="219"/>
      <c r="K418" s="217">
        <f>IF(E418*F418*G418&lt;&gt;0,E418*F418*G418,IF(E418*F418&lt;&gt;0,E418*F418,IF(F418*G418&lt;&gt;0,F418*G418,IF(E418*G418&lt;&gt;0,E418*G418,IF(E418&lt;&gt;0,E418,IF(F418&lt;&gt;0,F418,IF(G418&lt;&gt;0,G418,0)))))))*(IF(H418&lt;&gt;0,H418,1))+I418-J418</f>
        <v>0</v>
      </c>
      <c r="L418" s="218"/>
    </row>
    <row r="419" spans="2:12">
      <c r="B419" s="202"/>
      <c r="C419" s="203"/>
      <c r="D419" s="203"/>
      <c r="E419" s="203"/>
      <c r="F419" s="203"/>
      <c r="G419" s="203"/>
      <c r="H419" s="204"/>
      <c r="I419" s="556" t="s">
        <v>1221</v>
      </c>
      <c r="J419" s="556"/>
      <c r="K419" s="220">
        <f>SUM(K416:K418)</f>
        <v>524.44150000000013</v>
      </c>
      <c r="L419" s="207"/>
    </row>
    <row r="420" spans="2:12">
      <c r="B420" s="208"/>
      <c r="C420" s="204"/>
      <c r="D420" s="204"/>
      <c r="E420" s="204"/>
      <c r="F420" s="204"/>
      <c r="G420" s="204"/>
      <c r="H420" s="209"/>
      <c r="I420" s="557" t="s">
        <v>1222</v>
      </c>
      <c r="J420" s="557"/>
      <c r="K420" s="221">
        <v>378.4</v>
      </c>
      <c r="L420" s="207"/>
    </row>
    <row r="421" spans="2:12">
      <c r="B421" s="208"/>
      <c r="C421" s="204"/>
      <c r="D421" s="204"/>
      <c r="E421" s="204"/>
      <c r="F421" s="204"/>
      <c r="G421" s="204"/>
      <c r="H421" s="558" t="s">
        <v>1223</v>
      </c>
      <c r="I421" s="558"/>
      <c r="J421" s="558"/>
      <c r="K421" s="222">
        <v>0</v>
      </c>
      <c r="L421" s="207"/>
    </row>
    <row r="422" spans="2:12">
      <c r="B422" s="208"/>
      <c r="C422" s="204"/>
      <c r="D422" s="204"/>
      <c r="E422" s="204"/>
      <c r="F422" s="204"/>
      <c r="G422" s="204"/>
      <c r="H422" s="558" t="s">
        <v>1201</v>
      </c>
      <c r="I422" s="558"/>
      <c r="J422" s="558"/>
      <c r="K422" s="222">
        <f>IF(K419&gt;K420,K420,K419)-K421</f>
        <v>378.4</v>
      </c>
      <c r="L422" s="207"/>
    </row>
    <row r="423" spans="2:12">
      <c r="B423" s="213"/>
      <c r="C423" s="214"/>
      <c r="D423" s="214"/>
      <c r="E423" s="214"/>
      <c r="F423" s="214"/>
      <c r="G423" s="214"/>
      <c r="H423" s="559" t="s">
        <v>1224</v>
      </c>
      <c r="I423" s="559"/>
      <c r="J423" s="559"/>
      <c r="K423" s="223">
        <f>IF(K419&gt;K420,K419-K420,0)</f>
        <v>146.04150000000016</v>
      </c>
      <c r="L423" s="209"/>
    </row>
    <row r="425" spans="2:12" ht="14.25" customHeight="1">
      <c r="B425" s="555" t="s">
        <v>1305</v>
      </c>
      <c r="C425" s="555"/>
      <c r="D425" s="555"/>
      <c r="E425" s="555"/>
      <c r="F425" s="555"/>
      <c r="G425" s="555"/>
      <c r="H425" s="555"/>
      <c r="I425" s="555"/>
      <c r="J425" s="555"/>
      <c r="K425" s="555"/>
      <c r="L425" s="555"/>
    </row>
    <row r="426" spans="2:12">
      <c r="B426" s="187" t="s">
        <v>1209</v>
      </c>
      <c r="C426" s="187"/>
      <c r="D426" s="187" t="s">
        <v>39</v>
      </c>
      <c r="E426" s="187" t="s">
        <v>1210</v>
      </c>
      <c r="F426" s="187" t="s">
        <v>1211</v>
      </c>
      <c r="G426" s="187" t="s">
        <v>1212</v>
      </c>
      <c r="H426" s="187" t="s">
        <v>1213</v>
      </c>
      <c r="I426" s="187" t="s">
        <v>1214</v>
      </c>
      <c r="J426" s="187" t="s">
        <v>1215</v>
      </c>
      <c r="K426" s="187" t="s">
        <v>1216</v>
      </c>
      <c r="L426" s="187" t="s">
        <v>1217</v>
      </c>
    </row>
    <row r="427" spans="2:12">
      <c r="B427" s="188" t="s">
        <v>1301</v>
      </c>
      <c r="C427" s="189" t="s">
        <v>1271</v>
      </c>
      <c r="D427" s="190" t="s">
        <v>1274</v>
      </c>
      <c r="E427" s="191">
        <v>522</v>
      </c>
      <c r="F427" s="243">
        <v>0.61699999999999999</v>
      </c>
      <c r="G427" s="192"/>
      <c r="H427" s="191">
        <v>1.1000000000000001</v>
      </c>
      <c r="I427" s="191"/>
      <c r="J427" s="216"/>
      <c r="K427" s="217">
        <f>IF(E427*F427*G427&lt;&gt;0,E427*F427*G427,IF(E427*F427&lt;&gt;0,E427*F427,IF(F427*G427&lt;&gt;0,F427*G427,IF(E427*G427&lt;&gt;0,E427*G427,IF(E427&lt;&gt;0,E427,IF(F427&lt;&gt;0,F427,IF(G427&lt;&gt;0,G427,0)))))))*(IF(H427&lt;&gt;0,H427,1))+I427-J427</f>
        <v>354.28140000000002</v>
      </c>
      <c r="L427" s="218"/>
    </row>
    <row r="428" spans="2:12">
      <c r="B428" s="188" t="s">
        <v>1302</v>
      </c>
      <c r="C428" s="189" t="s">
        <v>1271</v>
      </c>
      <c r="D428" s="190" t="s">
        <v>1274</v>
      </c>
      <c r="E428" s="191">
        <v>150</v>
      </c>
      <c r="F428" s="243">
        <v>0.61699999999999999</v>
      </c>
      <c r="G428" s="192"/>
      <c r="H428" s="191">
        <v>1.1000000000000001</v>
      </c>
      <c r="I428" s="191">
        <v>1E-4</v>
      </c>
      <c r="J428" s="216"/>
      <c r="K428" s="217">
        <f>IF(E428*F428*G428&lt;&gt;0,E428*F428*G428,IF(E428*F428&lt;&gt;0,E428*F428,IF(F428*G428&lt;&gt;0,F428*G428,IF(E428*G428&lt;&gt;0,E428*G428,IF(E428&lt;&gt;0,E428,IF(F428&lt;&gt;0,F428,IF(G428&lt;&gt;0,G428,0)))))))*(IF(H428&lt;&gt;0,H428,1))+I428-J428</f>
        <v>101.80510000000001</v>
      </c>
      <c r="L428" s="218"/>
    </row>
    <row r="429" spans="2:12">
      <c r="B429" s="197"/>
      <c r="C429" s="189"/>
      <c r="D429" s="198"/>
      <c r="E429" s="199"/>
      <c r="F429" s="244"/>
      <c r="G429" s="199"/>
      <c r="H429" s="199"/>
      <c r="I429" s="199"/>
      <c r="J429" s="219"/>
      <c r="K429" s="217">
        <f>IF(E429*F429*G429&lt;&gt;0,E429*F429*G429,IF(E429*F429&lt;&gt;0,E429*F429,IF(F429*G429&lt;&gt;0,F429*G429,IF(E429*G429&lt;&gt;0,E429*G429,IF(E429&lt;&gt;0,E429,IF(F429&lt;&gt;0,F429,IF(G429&lt;&gt;0,G429,0)))))))*(IF(H429&lt;&gt;0,H429,1))+I429-J429</f>
        <v>0</v>
      </c>
      <c r="L429" s="218"/>
    </row>
    <row r="430" spans="2:12">
      <c r="B430" s="202"/>
      <c r="C430" s="203"/>
      <c r="D430" s="203"/>
      <c r="E430" s="203"/>
      <c r="F430" s="203"/>
      <c r="G430" s="203"/>
      <c r="H430" s="204"/>
      <c r="I430" s="556" t="s">
        <v>1221</v>
      </c>
      <c r="J430" s="556"/>
      <c r="K430" s="220">
        <f>SUM(K427:K429)</f>
        <v>456.0865</v>
      </c>
      <c r="L430" s="207"/>
    </row>
    <row r="431" spans="2:12">
      <c r="B431" s="208"/>
      <c r="C431" s="204"/>
      <c r="D431" s="204"/>
      <c r="E431" s="204"/>
      <c r="F431" s="204"/>
      <c r="G431" s="204"/>
      <c r="H431" s="209"/>
      <c r="I431" s="557" t="s">
        <v>1222</v>
      </c>
      <c r="J431" s="557"/>
      <c r="K431" s="221">
        <f>445.5+0.0001</f>
        <v>445.50009999999997</v>
      </c>
      <c r="L431" s="207"/>
    </row>
    <row r="432" spans="2:12">
      <c r="B432" s="208"/>
      <c r="C432" s="204"/>
      <c r="D432" s="204"/>
      <c r="E432" s="204"/>
      <c r="F432" s="204"/>
      <c r="G432" s="204"/>
      <c r="H432" s="558" t="s">
        <v>1223</v>
      </c>
      <c r="I432" s="558"/>
      <c r="J432" s="558"/>
      <c r="K432" s="222">
        <v>354.28140000000002</v>
      </c>
      <c r="L432" s="207"/>
    </row>
    <row r="433" spans="2:12">
      <c r="B433" s="208"/>
      <c r="C433" s="204"/>
      <c r="D433" s="204"/>
      <c r="E433" s="204"/>
      <c r="F433" s="204"/>
      <c r="G433" s="204"/>
      <c r="H433" s="558" t="s">
        <v>1201</v>
      </c>
      <c r="I433" s="558"/>
      <c r="J433" s="558"/>
      <c r="K433" s="222">
        <f>IF(K430&gt;K431,K431,K430)-K432</f>
        <v>91.218699999999956</v>
      </c>
      <c r="L433" s="207"/>
    </row>
    <row r="434" spans="2:12">
      <c r="B434" s="213"/>
      <c r="C434" s="214"/>
      <c r="D434" s="214"/>
      <c r="E434" s="214"/>
      <c r="F434" s="214"/>
      <c r="G434" s="214"/>
      <c r="H434" s="559" t="s">
        <v>1224</v>
      </c>
      <c r="I434" s="559"/>
      <c r="J434" s="559"/>
      <c r="K434" s="223">
        <f>IF(K430&gt;K431,K430-K431,0)</f>
        <v>10.586400000000026</v>
      </c>
      <c r="L434" s="209"/>
    </row>
    <row r="436" spans="2:12" ht="14.25" customHeight="1">
      <c r="B436" s="555" t="s">
        <v>1306</v>
      </c>
      <c r="C436" s="555"/>
      <c r="D436" s="555"/>
      <c r="E436" s="555"/>
      <c r="F436" s="555"/>
      <c r="G436" s="555"/>
      <c r="H436" s="555"/>
      <c r="I436" s="555"/>
      <c r="J436" s="555"/>
      <c r="K436" s="555"/>
      <c r="L436" s="555"/>
    </row>
    <row r="437" spans="2:12">
      <c r="B437" s="187" t="s">
        <v>1209</v>
      </c>
      <c r="C437" s="187"/>
      <c r="D437" s="187" t="s">
        <v>39</v>
      </c>
      <c r="E437" s="187" t="s">
        <v>1210</v>
      </c>
      <c r="F437" s="187" t="s">
        <v>1211</v>
      </c>
      <c r="G437" s="187" t="s">
        <v>1212</v>
      </c>
      <c r="H437" s="187" t="s">
        <v>1213</v>
      </c>
      <c r="I437" s="187" t="s">
        <v>1214</v>
      </c>
      <c r="J437" s="187" t="s">
        <v>1215</v>
      </c>
      <c r="K437" s="187" t="s">
        <v>1216</v>
      </c>
      <c r="L437" s="187" t="s">
        <v>1217</v>
      </c>
    </row>
    <row r="438" spans="2:12">
      <c r="B438" s="188" t="s">
        <v>1367</v>
      </c>
      <c r="C438" s="189" t="s">
        <v>1271</v>
      </c>
      <c r="D438" s="190" t="s">
        <v>1274</v>
      </c>
      <c r="E438" s="191"/>
      <c r="F438" s="243"/>
      <c r="G438" s="192"/>
      <c r="H438" s="191"/>
      <c r="I438" s="191"/>
      <c r="J438" s="216"/>
      <c r="K438" s="217">
        <f>IF(E438*F438*G438&lt;&gt;0,E438*F438*G438,IF(E438*F438&lt;&gt;0,E438*F438,IF(F438*G438&lt;&gt;0,F438*G438,IF(E438*G438&lt;&gt;0,E438*G438,IF(E438&lt;&gt;0,E438,IF(F438&lt;&gt;0,F438,IF(G438&lt;&gt;0,G438,0)))))))*(IF(H438&lt;&gt;0,H438,1))+I438-J438</f>
        <v>0</v>
      </c>
      <c r="L438" s="218"/>
    </row>
    <row r="439" spans="2:12">
      <c r="B439" s="188" t="s">
        <v>1302</v>
      </c>
      <c r="C439" s="189" t="s">
        <v>1271</v>
      </c>
      <c r="D439" s="190" t="s">
        <v>1274</v>
      </c>
      <c r="E439" s="191">
        <v>287</v>
      </c>
      <c r="F439" s="243">
        <v>0.96299999999999997</v>
      </c>
      <c r="G439" s="192"/>
      <c r="H439" s="191">
        <v>1.1000000000000001</v>
      </c>
      <c r="I439" s="191"/>
      <c r="J439" s="216"/>
      <c r="K439" s="217">
        <f>IF(E439*F439*G439&lt;&gt;0,E439*F439*G439,IF(E439*F439&lt;&gt;0,E439*F439,IF(F439*G439&lt;&gt;0,F439*G439,IF(E439*G439&lt;&gt;0,E439*G439,IF(E439&lt;&gt;0,E439,IF(F439&lt;&gt;0,F439,IF(G439&lt;&gt;0,G439,0)))))))*(IF(H439&lt;&gt;0,H439,1))+I439-J439</f>
        <v>304.01909999999998</v>
      </c>
      <c r="L439" s="218"/>
    </row>
    <row r="440" spans="2:12">
      <c r="B440" s="197"/>
      <c r="C440" s="189"/>
      <c r="D440" s="198"/>
      <c r="E440" s="199"/>
      <c r="F440" s="244"/>
      <c r="G440" s="199"/>
      <c r="H440" s="199"/>
      <c r="I440" s="199"/>
      <c r="J440" s="219"/>
      <c r="K440" s="217">
        <f>IF(E440*F440*G440&lt;&gt;0,E440*F440*G440,IF(E440*F440&lt;&gt;0,E440*F440,IF(F440*G440&lt;&gt;0,F440*G440,IF(E440*G440&lt;&gt;0,E440*G440,IF(E440&lt;&gt;0,E440,IF(F440&lt;&gt;0,F440,IF(G440&lt;&gt;0,G440,0)))))))*(IF(H440&lt;&gt;0,H440,1))+I440-J440</f>
        <v>0</v>
      </c>
      <c r="L440" s="218"/>
    </row>
    <row r="441" spans="2:12">
      <c r="B441" s="202"/>
      <c r="C441" s="203"/>
      <c r="D441" s="203"/>
      <c r="E441" s="203"/>
      <c r="F441" s="203"/>
      <c r="G441" s="203"/>
      <c r="H441" s="204"/>
      <c r="I441" s="556" t="s">
        <v>1221</v>
      </c>
      <c r="J441" s="556"/>
      <c r="K441" s="220">
        <f>SUM(K438:K440)</f>
        <v>304.01909999999998</v>
      </c>
      <c r="L441" s="207"/>
    </row>
    <row r="442" spans="2:12">
      <c r="B442" s="208"/>
      <c r="C442" s="204"/>
      <c r="D442" s="204"/>
      <c r="E442" s="204"/>
      <c r="F442" s="204"/>
      <c r="G442" s="204"/>
      <c r="H442" s="209"/>
      <c r="I442" s="557" t="s">
        <v>1222</v>
      </c>
      <c r="J442" s="557"/>
      <c r="K442" s="221">
        <v>177.1</v>
      </c>
      <c r="L442" s="207"/>
    </row>
    <row r="443" spans="2:12">
      <c r="B443" s="208"/>
      <c r="C443" s="204"/>
      <c r="D443" s="204"/>
      <c r="E443" s="204"/>
      <c r="F443" s="204"/>
      <c r="G443" s="204"/>
      <c r="H443" s="558" t="s">
        <v>1223</v>
      </c>
      <c r="I443" s="558"/>
      <c r="J443" s="558"/>
      <c r="K443" s="222">
        <v>0</v>
      </c>
      <c r="L443" s="207"/>
    </row>
    <row r="444" spans="2:12">
      <c r="B444" s="208"/>
      <c r="C444" s="204"/>
      <c r="D444" s="204"/>
      <c r="E444" s="204"/>
      <c r="F444" s="204"/>
      <c r="G444" s="204"/>
      <c r="H444" s="558" t="s">
        <v>1201</v>
      </c>
      <c r="I444" s="558"/>
      <c r="J444" s="558"/>
      <c r="K444" s="222">
        <f>IF(K441&gt;K442,K442,K441)-K443</f>
        <v>177.1</v>
      </c>
      <c r="L444" s="207"/>
    </row>
    <row r="445" spans="2:12">
      <c r="B445" s="213"/>
      <c r="C445" s="214"/>
      <c r="D445" s="214"/>
      <c r="E445" s="214"/>
      <c r="F445" s="214"/>
      <c r="G445" s="214"/>
      <c r="H445" s="559" t="s">
        <v>1224</v>
      </c>
      <c r="I445" s="559"/>
      <c r="J445" s="559"/>
      <c r="K445" s="223">
        <f>IF(K441&gt;K442,K441-K442,0)</f>
        <v>126.91909999999999</v>
      </c>
      <c r="L445" s="209"/>
    </row>
    <row r="447" spans="2:12" ht="14.25" customHeight="1">
      <c r="B447" s="555" t="s">
        <v>1307</v>
      </c>
      <c r="C447" s="555"/>
      <c r="D447" s="555"/>
      <c r="E447" s="555"/>
      <c r="F447" s="555"/>
      <c r="G447" s="555"/>
      <c r="H447" s="555"/>
      <c r="I447" s="555"/>
      <c r="J447" s="555"/>
      <c r="K447" s="555"/>
      <c r="L447" s="555"/>
    </row>
    <row r="448" spans="2:12">
      <c r="B448" s="187" t="s">
        <v>1209</v>
      </c>
      <c r="C448" s="187"/>
      <c r="D448" s="187" t="s">
        <v>39</v>
      </c>
      <c r="E448" s="187" t="s">
        <v>1210</v>
      </c>
      <c r="F448" s="187" t="s">
        <v>1211</v>
      </c>
      <c r="G448" s="187" t="s">
        <v>1212</v>
      </c>
      <c r="H448" s="187" t="s">
        <v>1213</v>
      </c>
      <c r="I448" s="187" t="s">
        <v>1214</v>
      </c>
      <c r="J448" s="187" t="s">
        <v>1215</v>
      </c>
      <c r="K448" s="187" t="s">
        <v>1216</v>
      </c>
      <c r="L448" s="187" t="s">
        <v>1217</v>
      </c>
    </row>
    <row r="449" spans="2:12">
      <c r="B449" s="188" t="s">
        <v>1301</v>
      </c>
      <c r="C449" s="189" t="s">
        <v>1271</v>
      </c>
      <c r="D449" s="190" t="s">
        <v>1274</v>
      </c>
      <c r="E449" s="191"/>
      <c r="F449" s="243"/>
      <c r="G449" s="192"/>
      <c r="H449" s="191"/>
      <c r="I449" s="191"/>
      <c r="J449" s="216"/>
      <c r="K449" s="217">
        <f>IF(E449*F449*G449&lt;&gt;0,E449*F449*G449,IF(E449*F449&lt;&gt;0,E449*F449,IF(F449*G449&lt;&gt;0,F449*G449,IF(E449*G449&lt;&gt;0,E449*G449,IF(E449&lt;&gt;0,E449,IF(F449&lt;&gt;0,F449,IF(G449&lt;&gt;0,G449,0)))))))*(IF(H449&lt;&gt;0,H449,1))+I449-J449</f>
        <v>0</v>
      </c>
      <c r="L449" s="218"/>
    </row>
    <row r="450" spans="2:12">
      <c r="B450" s="188" t="s">
        <v>1302</v>
      </c>
      <c r="C450" s="189" t="s">
        <v>1271</v>
      </c>
      <c r="D450" s="190" t="s">
        <v>1274</v>
      </c>
      <c r="E450" s="191">
        <v>35.5</v>
      </c>
      <c r="F450" s="243">
        <v>1.5780000000000001</v>
      </c>
      <c r="G450" s="192"/>
      <c r="H450" s="191">
        <v>1.1000000000000001</v>
      </c>
      <c r="I450" s="191"/>
      <c r="J450" s="216"/>
      <c r="K450" s="217">
        <f>IF(E450*F450*G450&lt;&gt;0,E450*F450*G450,IF(E450*F450&lt;&gt;0,E450*F450,IF(F450*G450&lt;&gt;0,F450*G450,IF(E450*G450&lt;&gt;0,E450*G450,IF(E450&lt;&gt;0,E450,IF(F450&lt;&gt;0,F450,IF(G450&lt;&gt;0,G450,0)))))))*(IF(H450&lt;&gt;0,H450,1))+I450-J450</f>
        <v>61.620900000000013</v>
      </c>
      <c r="L450" s="218"/>
    </row>
    <row r="451" spans="2:12">
      <c r="B451" s="197"/>
      <c r="C451" s="189"/>
      <c r="D451" s="198"/>
      <c r="E451" s="199"/>
      <c r="F451" s="244"/>
      <c r="G451" s="199"/>
      <c r="H451" s="199"/>
      <c r="I451" s="199"/>
      <c r="J451" s="219"/>
      <c r="K451" s="217">
        <f>IF(E451*F451*G451&lt;&gt;0,E451*F451*G451,IF(E451*F451&lt;&gt;0,E451*F451,IF(F451*G451&lt;&gt;0,F451*G451,IF(E451*G451&lt;&gt;0,E451*G451,IF(E451&lt;&gt;0,E451,IF(F451&lt;&gt;0,F451,IF(G451&lt;&gt;0,G451,0)))))))*(IF(H451&lt;&gt;0,H451,1))+I451-J451</f>
        <v>0</v>
      </c>
      <c r="L451" s="218"/>
    </row>
    <row r="452" spans="2:12">
      <c r="B452" s="202"/>
      <c r="C452" s="203"/>
      <c r="D452" s="203"/>
      <c r="E452" s="203"/>
      <c r="F452" s="203"/>
      <c r="G452" s="203"/>
      <c r="H452" s="204"/>
      <c r="I452" s="556" t="s">
        <v>1221</v>
      </c>
      <c r="J452" s="556"/>
      <c r="K452" s="220">
        <f>SUM(K449:K451)</f>
        <v>61.620900000000013</v>
      </c>
      <c r="L452" s="207"/>
    </row>
    <row r="453" spans="2:12">
      <c r="B453" s="208"/>
      <c r="C453" s="204"/>
      <c r="D453" s="204"/>
      <c r="E453" s="204"/>
      <c r="F453" s="204"/>
      <c r="G453" s="204"/>
      <c r="H453" s="209"/>
      <c r="I453" s="557" t="s">
        <v>1222</v>
      </c>
      <c r="J453" s="557"/>
      <c r="K453" s="221">
        <v>61.6</v>
      </c>
      <c r="L453" s="207"/>
    </row>
    <row r="454" spans="2:12">
      <c r="B454" s="208"/>
      <c r="C454" s="204"/>
      <c r="D454" s="204"/>
      <c r="E454" s="204"/>
      <c r="F454" s="204"/>
      <c r="G454" s="204"/>
      <c r="H454" s="558" t="s">
        <v>1223</v>
      </c>
      <c r="I454" s="558"/>
      <c r="J454" s="558"/>
      <c r="K454" s="222">
        <v>0</v>
      </c>
      <c r="L454" s="207"/>
    </row>
    <row r="455" spans="2:12">
      <c r="B455" s="208"/>
      <c r="C455" s="204"/>
      <c r="D455" s="204"/>
      <c r="E455" s="204"/>
      <c r="F455" s="204"/>
      <c r="G455" s="204"/>
      <c r="H455" s="558" t="s">
        <v>1201</v>
      </c>
      <c r="I455" s="558"/>
      <c r="J455" s="558"/>
      <c r="K455" s="222">
        <f>IF(K452&gt;K453,K453,K452)-K454</f>
        <v>61.6</v>
      </c>
      <c r="L455" s="207"/>
    </row>
    <row r="456" spans="2:12">
      <c r="B456" s="213"/>
      <c r="C456" s="214"/>
      <c r="D456" s="214"/>
      <c r="E456" s="214"/>
      <c r="F456" s="214"/>
      <c r="G456" s="214"/>
      <c r="H456" s="559" t="s">
        <v>1224</v>
      </c>
      <c r="I456" s="559"/>
      <c r="J456" s="559"/>
      <c r="K456" s="223">
        <f>IF(K452&gt;K453,K452-K453,0)</f>
        <v>2.0900000000011687E-2</v>
      </c>
      <c r="L456" s="209"/>
    </row>
    <row r="458" spans="2:12" ht="14.25" customHeight="1">
      <c r="B458" s="555" t="s">
        <v>1308</v>
      </c>
      <c r="C458" s="555"/>
      <c r="D458" s="555"/>
      <c r="E458" s="555"/>
      <c r="F458" s="555"/>
      <c r="G458" s="555"/>
      <c r="H458" s="555"/>
      <c r="I458" s="555"/>
      <c r="J458" s="555"/>
      <c r="K458" s="555"/>
      <c r="L458" s="555"/>
    </row>
    <row r="459" spans="2:12">
      <c r="B459" s="187" t="s">
        <v>1209</v>
      </c>
      <c r="C459" s="187"/>
      <c r="D459" s="187" t="s">
        <v>39</v>
      </c>
      <c r="E459" s="187" t="s">
        <v>1210</v>
      </c>
      <c r="F459" s="187" t="s">
        <v>1211</v>
      </c>
      <c r="G459" s="187" t="s">
        <v>1212</v>
      </c>
      <c r="H459" s="187" t="s">
        <v>1213</v>
      </c>
      <c r="I459" s="187" t="s">
        <v>1214</v>
      </c>
      <c r="J459" s="187" t="s">
        <v>1215</v>
      </c>
      <c r="K459" s="187" t="s">
        <v>1216</v>
      </c>
      <c r="L459" s="187" t="s">
        <v>1217</v>
      </c>
    </row>
    <row r="460" spans="2:12">
      <c r="B460" s="188" t="s">
        <v>1309</v>
      </c>
      <c r="C460" s="189" t="s">
        <v>1271</v>
      </c>
      <c r="D460" s="190" t="s">
        <v>169</v>
      </c>
      <c r="E460" s="191">
        <v>5.18</v>
      </c>
      <c r="F460" s="192">
        <v>0.7</v>
      </c>
      <c r="G460" s="192">
        <v>0.7</v>
      </c>
      <c r="H460" s="191">
        <v>1</v>
      </c>
      <c r="I460" s="191"/>
      <c r="J460" s="216"/>
      <c r="K460" s="217">
        <f t="shared" ref="K460:K494" si="7">IF(E460*F460*G460&lt;&gt;0,E460*F460*G460,IF(E460*F460&lt;&gt;0,E460*F460,IF(F460*G460&lt;&gt;0,F460*G460,IF(E460*G460&lt;&gt;0,E460*G460,IF(E460&lt;&gt;0,E460,IF(F460&lt;&gt;0,F460,IF(G460&lt;&gt;0,G460,0)))))))*(IF(H460&lt;&gt;0,H460,1))+I460-J460</f>
        <v>2.5381999999999993</v>
      </c>
      <c r="L460" s="218"/>
    </row>
    <row r="461" spans="2:12">
      <c r="B461" s="188" t="s">
        <v>1310</v>
      </c>
      <c r="C461" s="189" t="s">
        <v>1271</v>
      </c>
      <c r="D461" s="190" t="s">
        <v>169</v>
      </c>
      <c r="E461" s="191">
        <v>6.94</v>
      </c>
      <c r="F461" s="192">
        <v>0.7</v>
      </c>
      <c r="G461" s="192">
        <v>0.7</v>
      </c>
      <c r="H461" s="191">
        <v>1</v>
      </c>
      <c r="I461" s="191"/>
      <c r="J461" s="216"/>
      <c r="K461" s="217">
        <f t="shared" si="7"/>
        <v>3.4005999999999994</v>
      </c>
      <c r="L461" s="218"/>
    </row>
    <row r="462" spans="2:12">
      <c r="B462" s="188" t="s">
        <v>1311</v>
      </c>
      <c r="C462" s="189" t="s">
        <v>1271</v>
      </c>
      <c r="D462" s="190" t="s">
        <v>169</v>
      </c>
      <c r="E462" s="191">
        <v>3.89</v>
      </c>
      <c r="F462" s="192">
        <v>0.2</v>
      </c>
      <c r="G462" s="192">
        <v>0.7</v>
      </c>
      <c r="H462" s="191">
        <v>1</v>
      </c>
      <c r="I462" s="191"/>
      <c r="J462" s="216"/>
      <c r="K462" s="217">
        <f t="shared" si="7"/>
        <v>0.54459999999999997</v>
      </c>
      <c r="L462" s="218"/>
    </row>
    <row r="463" spans="2:12">
      <c r="B463" s="188" t="s">
        <v>1312</v>
      </c>
      <c r="C463" s="189" t="s">
        <v>1271</v>
      </c>
      <c r="D463" s="190" t="s">
        <v>169</v>
      </c>
      <c r="E463" s="191">
        <v>2.33</v>
      </c>
      <c r="F463" s="192">
        <v>0.2</v>
      </c>
      <c r="G463" s="192">
        <v>0.7</v>
      </c>
      <c r="H463" s="191">
        <v>1</v>
      </c>
      <c r="I463" s="191"/>
      <c r="J463" s="216"/>
      <c r="K463" s="217">
        <f t="shared" si="7"/>
        <v>0.32619999999999999</v>
      </c>
      <c r="L463" s="218"/>
    </row>
    <row r="464" spans="2:12">
      <c r="B464" s="188" t="s">
        <v>1313</v>
      </c>
      <c r="C464" s="189" t="s">
        <v>1271</v>
      </c>
      <c r="D464" s="190" t="s">
        <v>169</v>
      </c>
      <c r="E464" s="191">
        <v>2.33</v>
      </c>
      <c r="F464" s="192">
        <v>0.2</v>
      </c>
      <c r="G464" s="192">
        <v>0.7</v>
      </c>
      <c r="H464" s="191">
        <v>1</v>
      </c>
      <c r="I464" s="191"/>
      <c r="J464" s="216"/>
      <c r="K464" s="217">
        <f t="shared" si="7"/>
        <v>0.32619999999999999</v>
      </c>
      <c r="L464" s="218"/>
    </row>
    <row r="465" spans="2:12">
      <c r="B465" s="188" t="s">
        <v>1314</v>
      </c>
      <c r="C465" s="189" t="s">
        <v>1271</v>
      </c>
      <c r="D465" s="190" t="s">
        <v>169</v>
      </c>
      <c r="E465" s="191">
        <v>4.93</v>
      </c>
      <c r="F465" s="192">
        <v>0.2</v>
      </c>
      <c r="G465" s="192">
        <v>0.7</v>
      </c>
      <c r="H465" s="191">
        <v>1</v>
      </c>
      <c r="I465" s="191"/>
      <c r="J465" s="216"/>
      <c r="K465" s="217">
        <f t="shared" si="7"/>
        <v>0.69019999999999992</v>
      </c>
      <c r="L465" s="218"/>
    </row>
    <row r="466" spans="2:12">
      <c r="B466" s="188" t="s">
        <v>1315</v>
      </c>
      <c r="C466" s="189" t="s">
        <v>1271</v>
      </c>
      <c r="D466" s="190" t="s">
        <v>169</v>
      </c>
      <c r="E466" s="191">
        <v>4.33</v>
      </c>
      <c r="F466" s="192">
        <v>0.2</v>
      </c>
      <c r="G466" s="192">
        <v>0.7</v>
      </c>
      <c r="H466" s="191">
        <v>1</v>
      </c>
      <c r="I466" s="191"/>
      <c r="J466" s="216"/>
      <c r="K466" s="217">
        <f t="shared" si="7"/>
        <v>0.60620000000000007</v>
      </c>
      <c r="L466" s="218"/>
    </row>
    <row r="467" spans="2:12">
      <c r="B467" s="197" t="s">
        <v>1368</v>
      </c>
      <c r="C467" s="189" t="s">
        <v>1333</v>
      </c>
      <c r="D467" s="190" t="s">
        <v>169</v>
      </c>
      <c r="E467" s="199">
        <v>3.32</v>
      </c>
      <c r="F467" s="199">
        <v>0.2</v>
      </c>
      <c r="G467" s="199">
        <v>0.7</v>
      </c>
      <c r="H467" s="199">
        <v>1</v>
      </c>
      <c r="I467" s="199"/>
      <c r="J467" s="219"/>
      <c r="K467" s="217">
        <f t="shared" si="7"/>
        <v>0.46479999999999999</v>
      </c>
      <c r="L467" s="218"/>
    </row>
    <row r="468" spans="2:12">
      <c r="B468" s="197" t="s">
        <v>1369</v>
      </c>
      <c r="C468" s="189" t="s">
        <v>1333</v>
      </c>
      <c r="D468" s="190" t="s">
        <v>169</v>
      </c>
      <c r="E468" s="199">
        <v>4.78</v>
      </c>
      <c r="F468" s="199">
        <v>0.2</v>
      </c>
      <c r="G468" s="199">
        <v>0.7</v>
      </c>
      <c r="H468" s="199">
        <v>1</v>
      </c>
      <c r="I468" s="199"/>
      <c r="J468" s="219"/>
      <c r="K468" s="217">
        <f t="shared" si="7"/>
        <v>0.66920000000000002</v>
      </c>
      <c r="L468" s="218"/>
    </row>
    <row r="469" spans="2:12">
      <c r="B469" s="197" t="s">
        <v>1370</v>
      </c>
      <c r="C469" s="189" t="s">
        <v>1333</v>
      </c>
      <c r="D469" s="190" t="s">
        <v>169</v>
      </c>
      <c r="E469" s="199">
        <v>2.7</v>
      </c>
      <c r="F469" s="199">
        <v>0.2</v>
      </c>
      <c r="G469" s="199">
        <v>0.7</v>
      </c>
      <c r="H469" s="199">
        <v>1</v>
      </c>
      <c r="I469" s="199"/>
      <c r="J469" s="219"/>
      <c r="K469" s="217">
        <f t="shared" si="7"/>
        <v>0.378</v>
      </c>
      <c r="L469" s="218"/>
    </row>
    <row r="470" spans="2:12">
      <c r="B470" s="197" t="s">
        <v>1371</v>
      </c>
      <c r="C470" s="189" t="s">
        <v>1333</v>
      </c>
      <c r="D470" s="190" t="s">
        <v>169</v>
      </c>
      <c r="E470" s="199">
        <v>2.7</v>
      </c>
      <c r="F470" s="199">
        <v>0.2</v>
      </c>
      <c r="G470" s="199">
        <v>0.7</v>
      </c>
      <c r="H470" s="199">
        <v>1</v>
      </c>
      <c r="I470" s="199"/>
      <c r="J470" s="219"/>
      <c r="K470" s="217">
        <f t="shared" si="7"/>
        <v>0.378</v>
      </c>
      <c r="L470" s="218"/>
    </row>
    <row r="471" spans="2:12">
      <c r="B471" s="197" t="s">
        <v>1372</v>
      </c>
      <c r="C471" s="189" t="s">
        <v>1333</v>
      </c>
      <c r="D471" s="190" t="s">
        <v>169</v>
      </c>
      <c r="E471" s="199">
        <v>5.62</v>
      </c>
      <c r="F471" s="199">
        <v>0.2</v>
      </c>
      <c r="G471" s="199">
        <v>0.7</v>
      </c>
      <c r="H471" s="199">
        <v>1</v>
      </c>
      <c r="I471" s="199"/>
      <c r="J471" s="219"/>
      <c r="K471" s="217">
        <f t="shared" si="7"/>
        <v>0.78680000000000005</v>
      </c>
      <c r="L471" s="218"/>
    </row>
    <row r="472" spans="2:12">
      <c r="B472" s="197" t="s">
        <v>1373</v>
      </c>
      <c r="C472" s="189" t="s">
        <v>1333</v>
      </c>
      <c r="D472" s="190" t="s">
        <v>169</v>
      </c>
      <c r="E472" s="199">
        <v>5.62</v>
      </c>
      <c r="F472" s="199">
        <v>0.2</v>
      </c>
      <c r="G472" s="199">
        <v>0.7</v>
      </c>
      <c r="H472" s="199">
        <v>1</v>
      </c>
      <c r="I472" s="199"/>
      <c r="J472" s="219"/>
      <c r="K472" s="217">
        <f t="shared" si="7"/>
        <v>0.78680000000000005</v>
      </c>
      <c r="L472" s="218"/>
    </row>
    <row r="473" spans="2:12">
      <c r="B473" s="197" t="s">
        <v>1374</v>
      </c>
      <c r="C473" s="189" t="s">
        <v>1333</v>
      </c>
      <c r="D473" s="190" t="s">
        <v>169</v>
      </c>
      <c r="E473" s="199">
        <v>2.38</v>
      </c>
      <c r="F473" s="199">
        <v>0.2</v>
      </c>
      <c r="G473" s="199">
        <v>0.7</v>
      </c>
      <c r="H473" s="199">
        <v>1</v>
      </c>
      <c r="I473" s="199"/>
      <c r="J473" s="219"/>
      <c r="K473" s="217">
        <f t="shared" si="7"/>
        <v>0.33319999999999994</v>
      </c>
      <c r="L473" s="218"/>
    </row>
    <row r="474" spans="2:12">
      <c r="B474" s="197" t="s">
        <v>1375</v>
      </c>
      <c r="C474" s="189" t="s">
        <v>1333</v>
      </c>
      <c r="D474" s="190" t="s">
        <v>169</v>
      </c>
      <c r="E474" s="199">
        <v>3.84</v>
      </c>
      <c r="F474" s="199">
        <v>0.2</v>
      </c>
      <c r="G474" s="199">
        <v>0.7</v>
      </c>
      <c r="H474" s="199">
        <v>1</v>
      </c>
      <c r="I474" s="199"/>
      <c r="J474" s="219"/>
      <c r="K474" s="217">
        <f t="shared" si="7"/>
        <v>0.53759999999999997</v>
      </c>
      <c r="L474" s="218"/>
    </row>
    <row r="475" spans="2:12">
      <c r="B475" s="197" t="s">
        <v>1376</v>
      </c>
      <c r="C475" s="189" t="s">
        <v>1333</v>
      </c>
      <c r="D475" s="190" t="s">
        <v>169</v>
      </c>
      <c r="E475" s="199">
        <v>4.4400000000000004</v>
      </c>
      <c r="F475" s="199">
        <v>0.3</v>
      </c>
      <c r="G475" s="199">
        <v>0.7</v>
      </c>
      <c r="H475" s="199">
        <v>1</v>
      </c>
      <c r="I475" s="199"/>
      <c r="J475" s="219"/>
      <c r="K475" s="217">
        <f t="shared" si="7"/>
        <v>0.93240000000000001</v>
      </c>
      <c r="L475" s="218"/>
    </row>
    <row r="476" spans="2:12">
      <c r="B476" s="197" t="s">
        <v>1377</v>
      </c>
      <c r="C476" s="189" t="s">
        <v>1333</v>
      </c>
      <c r="D476" s="190" t="s">
        <v>169</v>
      </c>
      <c r="E476" s="199">
        <f>1.73+0.66</f>
        <v>2.39</v>
      </c>
      <c r="F476" s="199">
        <v>0.7</v>
      </c>
      <c r="G476" s="199">
        <v>0.7</v>
      </c>
      <c r="H476" s="199">
        <v>1</v>
      </c>
      <c r="I476" s="199"/>
      <c r="J476" s="219"/>
      <c r="K476" s="217">
        <f t="shared" si="7"/>
        <v>1.1711</v>
      </c>
      <c r="L476" s="218"/>
    </row>
    <row r="477" spans="2:12">
      <c r="B477" s="197" t="s">
        <v>1378</v>
      </c>
      <c r="C477" s="189" t="s">
        <v>1333</v>
      </c>
      <c r="D477" s="190" t="s">
        <v>169</v>
      </c>
      <c r="E477" s="199">
        <v>1.46</v>
      </c>
      <c r="F477" s="199">
        <v>0.2</v>
      </c>
      <c r="G477" s="199">
        <v>0.7</v>
      </c>
      <c r="H477" s="199">
        <v>1</v>
      </c>
      <c r="I477" s="199"/>
      <c r="J477" s="219"/>
      <c r="K477" s="217">
        <f t="shared" si="7"/>
        <v>0.20439999999999997</v>
      </c>
      <c r="L477" s="218"/>
    </row>
    <row r="478" spans="2:12">
      <c r="B478" s="197" t="s">
        <v>1379</v>
      </c>
      <c r="C478" s="189" t="s">
        <v>1333</v>
      </c>
      <c r="D478" s="190" t="s">
        <v>169</v>
      </c>
      <c r="E478" s="199">
        <v>0.91</v>
      </c>
      <c r="F478" s="199">
        <v>0.2</v>
      </c>
      <c r="G478" s="199">
        <v>0.7</v>
      </c>
      <c r="H478" s="199">
        <v>1</v>
      </c>
      <c r="I478" s="199"/>
      <c r="J478" s="219"/>
      <c r="K478" s="217">
        <f t="shared" si="7"/>
        <v>0.12740000000000001</v>
      </c>
      <c r="L478" s="218"/>
    </row>
    <row r="479" spans="2:12">
      <c r="B479" s="197" t="s">
        <v>1380</v>
      </c>
      <c r="C479" s="189" t="s">
        <v>1333</v>
      </c>
      <c r="D479" s="190" t="s">
        <v>169</v>
      </c>
      <c r="E479" s="199">
        <v>0.97</v>
      </c>
      <c r="F479" s="199">
        <v>0.2</v>
      </c>
      <c r="G479" s="199">
        <v>0.7</v>
      </c>
      <c r="H479" s="199">
        <v>1</v>
      </c>
      <c r="I479" s="199"/>
      <c r="J479" s="219"/>
      <c r="K479" s="217">
        <f t="shared" si="7"/>
        <v>0.1358</v>
      </c>
      <c r="L479" s="218"/>
    </row>
    <row r="480" spans="2:12">
      <c r="B480" s="197" t="s">
        <v>1381</v>
      </c>
      <c r="C480" s="189" t="s">
        <v>1333</v>
      </c>
      <c r="D480" s="190" t="s">
        <v>169</v>
      </c>
      <c r="E480" s="199">
        <v>1.37</v>
      </c>
      <c r="F480" s="199">
        <v>0.2</v>
      </c>
      <c r="G480" s="199">
        <v>0.7</v>
      </c>
      <c r="H480" s="199">
        <v>1</v>
      </c>
      <c r="I480" s="199"/>
      <c r="J480" s="219"/>
      <c r="K480" s="217">
        <f t="shared" si="7"/>
        <v>0.1918</v>
      </c>
      <c r="L480" s="218"/>
    </row>
    <row r="481" spans="2:12">
      <c r="B481" s="197" t="s">
        <v>1449</v>
      </c>
      <c r="C481" s="189" t="s">
        <v>1441</v>
      </c>
      <c r="D481" s="190" t="s">
        <v>169</v>
      </c>
      <c r="E481" s="199">
        <v>10.96</v>
      </c>
      <c r="F481" s="199">
        <v>0.2</v>
      </c>
      <c r="G481" s="199">
        <v>0.7</v>
      </c>
      <c r="H481" s="199">
        <v>1</v>
      </c>
      <c r="I481" s="199"/>
      <c r="J481" s="219"/>
      <c r="K481" s="217">
        <f t="shared" si="7"/>
        <v>1.5344</v>
      </c>
      <c r="L481" s="218"/>
    </row>
    <row r="482" spans="2:12">
      <c r="B482" s="197" t="s">
        <v>1450</v>
      </c>
      <c r="C482" s="189" t="s">
        <v>1441</v>
      </c>
      <c r="D482" s="190" t="s">
        <v>169</v>
      </c>
      <c r="E482" s="199">
        <v>8.35</v>
      </c>
      <c r="F482" s="199">
        <v>0.2</v>
      </c>
      <c r="G482" s="199">
        <v>0.7</v>
      </c>
      <c r="H482" s="199">
        <v>1</v>
      </c>
      <c r="I482" s="199"/>
      <c r="J482" s="219"/>
      <c r="K482" s="217">
        <f t="shared" si="7"/>
        <v>1.1689999999999998</v>
      </c>
      <c r="L482" s="218"/>
    </row>
    <row r="483" spans="2:12">
      <c r="B483" s="197" t="s">
        <v>1451</v>
      </c>
      <c r="C483" s="189" t="s">
        <v>1441</v>
      </c>
      <c r="D483" s="190" t="s">
        <v>169</v>
      </c>
      <c r="E483" s="199">
        <v>6.88</v>
      </c>
      <c r="F483" s="199">
        <v>0.2</v>
      </c>
      <c r="G483" s="199">
        <v>0.7</v>
      </c>
      <c r="H483" s="199">
        <v>1</v>
      </c>
      <c r="I483" s="199"/>
      <c r="J483" s="219"/>
      <c r="K483" s="217">
        <f t="shared" si="7"/>
        <v>0.96320000000000006</v>
      </c>
      <c r="L483" s="218"/>
    </row>
    <row r="484" spans="2:12">
      <c r="B484" s="197" t="s">
        <v>1452</v>
      </c>
      <c r="C484" s="189" t="s">
        <v>1441</v>
      </c>
      <c r="D484" s="190" t="s">
        <v>169</v>
      </c>
      <c r="E484" s="199">
        <v>6.93</v>
      </c>
      <c r="F484" s="199">
        <v>0.2</v>
      </c>
      <c r="G484" s="199">
        <v>0.7</v>
      </c>
      <c r="H484" s="199">
        <v>1</v>
      </c>
      <c r="I484" s="199"/>
      <c r="J484" s="219"/>
      <c r="K484" s="217">
        <f t="shared" si="7"/>
        <v>0.97020000000000006</v>
      </c>
      <c r="L484" s="218"/>
    </row>
    <row r="485" spans="2:12">
      <c r="B485" s="197" t="s">
        <v>1453</v>
      </c>
      <c r="C485" s="189" t="s">
        <v>1441</v>
      </c>
      <c r="D485" s="190" t="s">
        <v>169</v>
      </c>
      <c r="E485" s="199">
        <v>8.01</v>
      </c>
      <c r="F485" s="199">
        <v>0.2</v>
      </c>
      <c r="G485" s="199">
        <v>0.7</v>
      </c>
      <c r="H485" s="199">
        <v>1</v>
      </c>
      <c r="I485" s="199"/>
      <c r="J485" s="219"/>
      <c r="K485" s="217">
        <f t="shared" si="7"/>
        <v>1.1214</v>
      </c>
      <c r="L485" s="218"/>
    </row>
    <row r="486" spans="2:12">
      <c r="B486" s="197" t="s">
        <v>1454</v>
      </c>
      <c r="C486" s="189" t="s">
        <v>1441</v>
      </c>
      <c r="D486" s="190" t="s">
        <v>169</v>
      </c>
      <c r="E486" s="199">
        <v>3.6</v>
      </c>
      <c r="F486" s="199">
        <v>1</v>
      </c>
      <c r="G486" s="199">
        <v>0.6</v>
      </c>
      <c r="H486" s="199">
        <v>1</v>
      </c>
      <c r="I486" s="199">
        <v>1.05185643549158E-5</v>
      </c>
      <c r="J486" s="219"/>
      <c r="K486" s="217">
        <f t="shared" si="7"/>
        <v>2.1600105185643552</v>
      </c>
      <c r="L486" s="218"/>
    </row>
    <row r="487" spans="2:12">
      <c r="B487" s="197" t="s">
        <v>1523</v>
      </c>
      <c r="C487" s="189" t="s">
        <v>1521</v>
      </c>
      <c r="D487" s="190" t="s">
        <v>169</v>
      </c>
      <c r="E487" s="199">
        <v>4.71</v>
      </c>
      <c r="F487" s="199">
        <v>0.25</v>
      </c>
      <c r="G487" s="199">
        <v>1.7</v>
      </c>
      <c r="H487" s="199">
        <v>1</v>
      </c>
      <c r="I487" s="199"/>
      <c r="J487" s="219"/>
      <c r="K487" s="217">
        <f t="shared" si="7"/>
        <v>2.0017499999999999</v>
      </c>
      <c r="L487" s="245" t="s">
        <v>1524</v>
      </c>
    </row>
    <row r="488" spans="2:12">
      <c r="B488" s="197" t="s">
        <v>1525</v>
      </c>
      <c r="C488" s="189" t="s">
        <v>1521</v>
      </c>
      <c r="D488" s="190" t="s">
        <v>169</v>
      </c>
      <c r="E488" s="199">
        <v>4.71</v>
      </c>
      <c r="F488" s="199">
        <v>0.15</v>
      </c>
      <c r="G488" s="199">
        <v>1.7</v>
      </c>
      <c r="H488" s="199">
        <v>1</v>
      </c>
      <c r="I488" s="199"/>
      <c r="J488" s="219"/>
      <c r="K488" s="217">
        <f t="shared" si="7"/>
        <v>1.20105</v>
      </c>
      <c r="L488" s="245" t="s">
        <v>1524</v>
      </c>
    </row>
    <row r="489" spans="2:12">
      <c r="B489" s="197" t="s">
        <v>1526</v>
      </c>
      <c r="C489" s="189" t="s">
        <v>1521</v>
      </c>
      <c r="D489" s="190" t="s">
        <v>169</v>
      </c>
      <c r="E489" s="199">
        <v>2.54</v>
      </c>
      <c r="F489" s="199">
        <v>0.15</v>
      </c>
      <c r="G489" s="199">
        <v>1.7</v>
      </c>
      <c r="H489" s="199">
        <v>1</v>
      </c>
      <c r="I489" s="199"/>
      <c r="J489" s="219"/>
      <c r="K489" s="217">
        <f t="shared" si="7"/>
        <v>0.64769999999999994</v>
      </c>
      <c r="L489" s="245" t="s">
        <v>1524</v>
      </c>
    </row>
    <row r="490" spans="2:12">
      <c r="B490" s="197" t="s">
        <v>1527</v>
      </c>
      <c r="C490" s="189" t="s">
        <v>1521</v>
      </c>
      <c r="D490" s="190" t="s">
        <v>169</v>
      </c>
      <c r="E490" s="199">
        <v>2.2000000000000002</v>
      </c>
      <c r="F490" s="199">
        <v>0.15</v>
      </c>
      <c r="G490" s="199">
        <v>1.7</v>
      </c>
      <c r="H490" s="199">
        <v>1</v>
      </c>
      <c r="I490" s="199"/>
      <c r="J490" s="219"/>
      <c r="K490" s="217">
        <f t="shared" si="7"/>
        <v>0.56100000000000005</v>
      </c>
      <c r="L490" s="245" t="s">
        <v>1524</v>
      </c>
    </row>
    <row r="491" spans="2:12">
      <c r="B491" s="197" t="s">
        <v>1528</v>
      </c>
      <c r="C491" s="189" t="s">
        <v>1521</v>
      </c>
      <c r="D491" s="190" t="s">
        <v>169</v>
      </c>
      <c r="E491" s="199">
        <v>2.2000000000000002</v>
      </c>
      <c r="F491" s="199">
        <v>0.15</v>
      </c>
      <c r="G491" s="199">
        <v>1.7</v>
      </c>
      <c r="H491" s="199">
        <v>1</v>
      </c>
      <c r="I491" s="199"/>
      <c r="J491" s="219"/>
      <c r="K491" s="217">
        <f t="shared" si="7"/>
        <v>0.56100000000000005</v>
      </c>
      <c r="L491" s="245" t="s">
        <v>1524</v>
      </c>
    </row>
    <row r="492" spans="2:12">
      <c r="B492" s="197" t="s">
        <v>1529</v>
      </c>
      <c r="C492" s="189" t="s">
        <v>1521</v>
      </c>
      <c r="D492" s="190" t="s">
        <v>169</v>
      </c>
      <c r="E492" s="199">
        <v>1.24</v>
      </c>
      <c r="F492" s="199">
        <v>0.2</v>
      </c>
      <c r="G492" s="199">
        <v>1.7</v>
      </c>
      <c r="H492" s="199">
        <v>1</v>
      </c>
      <c r="I492" s="199"/>
      <c r="J492" s="219"/>
      <c r="K492" s="217">
        <f t="shared" si="7"/>
        <v>0.42159999999999997</v>
      </c>
      <c r="L492" s="245" t="s">
        <v>1524</v>
      </c>
    </row>
    <row r="493" spans="2:12">
      <c r="B493" s="197" t="s">
        <v>1530</v>
      </c>
      <c r="C493" s="189" t="s">
        <v>1521</v>
      </c>
      <c r="D493" s="190" t="s">
        <v>169</v>
      </c>
      <c r="E493" s="199">
        <v>1.24</v>
      </c>
      <c r="F493" s="199">
        <v>0.2</v>
      </c>
      <c r="G493" s="199">
        <v>1.7</v>
      </c>
      <c r="H493" s="199">
        <v>1</v>
      </c>
      <c r="I493" s="199"/>
      <c r="J493" s="219"/>
      <c r="K493" s="217">
        <f t="shared" si="7"/>
        <v>0.42159999999999997</v>
      </c>
      <c r="L493" s="245" t="s">
        <v>1524</v>
      </c>
    </row>
    <row r="494" spans="2:12">
      <c r="B494" s="197"/>
      <c r="C494" s="189"/>
      <c r="D494" s="198"/>
      <c r="E494" s="199"/>
      <c r="F494" s="199"/>
      <c r="G494" s="199"/>
      <c r="H494" s="199"/>
      <c r="I494" s="199"/>
      <c r="J494" s="219"/>
      <c r="K494" s="217">
        <f t="shared" si="7"/>
        <v>0</v>
      </c>
      <c r="L494" s="218"/>
    </row>
    <row r="495" spans="2:12">
      <c r="B495" s="202"/>
      <c r="C495" s="203"/>
      <c r="D495" s="203"/>
      <c r="E495" s="203"/>
      <c r="F495" s="203"/>
      <c r="G495" s="203"/>
      <c r="H495" s="204"/>
      <c r="I495" s="556" t="s">
        <v>1221</v>
      </c>
      <c r="J495" s="556"/>
      <c r="K495" s="220">
        <f>SUM(K460:K494)</f>
        <v>29.263410518564356</v>
      </c>
      <c r="L495" s="207"/>
    </row>
    <row r="496" spans="2:12">
      <c r="B496" s="208"/>
      <c r="C496" s="204"/>
      <c r="D496" s="204"/>
      <c r="E496" s="204"/>
      <c r="F496" s="204"/>
      <c r="G496" s="204"/>
      <c r="H496" s="209"/>
      <c r="I496" s="557" t="s">
        <v>1222</v>
      </c>
      <c r="J496" s="557"/>
      <c r="K496" s="221">
        <v>22.99</v>
      </c>
      <c r="L496" s="207"/>
    </row>
    <row r="497" spans="2:12">
      <c r="B497" s="208"/>
      <c r="C497" s="204"/>
      <c r="D497" s="204"/>
      <c r="E497" s="204"/>
      <c r="F497" s="204"/>
      <c r="G497" s="204"/>
      <c r="H497" s="558" t="s">
        <v>1223</v>
      </c>
      <c r="I497" s="558"/>
      <c r="J497" s="558"/>
      <c r="K497" s="222">
        <v>22.9900105185644</v>
      </c>
      <c r="L497" s="207"/>
    </row>
    <row r="498" spans="2:12">
      <c r="B498" s="208"/>
      <c r="C498" s="204"/>
      <c r="D498" s="204"/>
      <c r="E498" s="204"/>
      <c r="F498" s="204"/>
      <c r="G498" s="204"/>
      <c r="H498" s="558" t="s">
        <v>1435</v>
      </c>
      <c r="I498" s="558"/>
      <c r="J498" s="558"/>
      <c r="K498" s="222">
        <f>IF(K495&gt;K496,K496,K495)-K497+0.0000105185643549158</f>
        <v>-4.6791153715313935E-14</v>
      </c>
      <c r="L498" s="207"/>
    </row>
    <row r="499" spans="2:12">
      <c r="B499" s="213"/>
      <c r="C499" s="214"/>
      <c r="D499" s="214"/>
      <c r="E499" s="214"/>
      <c r="F499" s="214"/>
      <c r="G499" s="214"/>
      <c r="H499" s="559" t="s">
        <v>1224</v>
      </c>
      <c r="I499" s="559"/>
      <c r="J499" s="559"/>
      <c r="K499" s="223">
        <f>IF(K495&gt;K496,K495-K496,0)</f>
        <v>6.2734105185643578</v>
      </c>
      <c r="L499" s="209"/>
    </row>
    <row r="501" spans="2:12">
      <c r="B501" s="247" t="s">
        <v>195</v>
      </c>
      <c r="C501" s="565" t="str">
        <f>VLOOKUP(B501,'BM 004'!$B$27:$R$590,2,0)</f>
        <v xml:space="preserve">Fabricação, montagem e desmontagem de fôrma de viga, escoramento metálico, pé-direito duplo, em chapa de madeira resinada, 8 utilizações. </v>
      </c>
      <c r="D501" s="565"/>
      <c r="E501" s="565"/>
      <c r="F501" s="565"/>
      <c r="G501" s="565"/>
      <c r="H501" s="565"/>
      <c r="I501" s="565"/>
      <c r="J501" s="565"/>
      <c r="K501" s="565"/>
      <c r="L501" s="565"/>
    </row>
    <row r="502" spans="2:12">
      <c r="B502" s="248" t="s">
        <v>1209</v>
      </c>
      <c r="C502" s="248"/>
      <c r="D502" s="248" t="s">
        <v>39</v>
      </c>
      <c r="E502" s="248" t="s">
        <v>1210</v>
      </c>
      <c r="F502" s="248" t="s">
        <v>1388</v>
      </c>
      <c r="G502" s="248" t="s">
        <v>1212</v>
      </c>
      <c r="H502" s="248" t="s">
        <v>1455</v>
      </c>
      <c r="I502" s="248" t="s">
        <v>1214</v>
      </c>
      <c r="J502" s="248" t="s">
        <v>1385</v>
      </c>
      <c r="K502" s="248" t="s">
        <v>1216</v>
      </c>
      <c r="L502" s="248" t="s">
        <v>1217</v>
      </c>
    </row>
    <row r="503" spans="2:12">
      <c r="B503" s="249" t="s">
        <v>1456</v>
      </c>
      <c r="C503" s="250" t="s">
        <v>1441</v>
      </c>
      <c r="D503" s="205" t="s">
        <v>79</v>
      </c>
      <c r="E503" s="199">
        <v>0.64</v>
      </c>
      <c r="F503" s="199">
        <v>0.15</v>
      </c>
      <c r="G503" s="199">
        <v>1</v>
      </c>
      <c r="H503" s="199"/>
      <c r="I503" s="199">
        <f t="shared" ref="I503:I534" si="8">E503*(2*G503+F503)</f>
        <v>1.3759999999999999</v>
      </c>
      <c r="J503" s="219">
        <f t="shared" ref="J503:J534" si="9">E503*F503*G503</f>
        <v>9.6000000000000002E-2</v>
      </c>
      <c r="K503" s="220">
        <f t="shared" ref="K503:K534" si="10">IF(E503*F503*G503&lt;&gt;0,E503*F503*G503,IF(E503*F503&lt;&gt;0,E503*F503,IF(F503*G503&lt;&gt;0,F503*G503,IF(E503*G503&lt;&gt;0,E503*G503,IF(E503&lt;&gt;0,E503,IF(F503&lt;&gt;0,F503,IF(G503&lt;&gt;0,G503,0)))))))*(IF(H503&lt;&gt;0,H503,1))+I503-J503</f>
        <v>1.3759999999999999</v>
      </c>
      <c r="L503" s="255"/>
    </row>
    <row r="504" spans="2:12">
      <c r="B504" s="249" t="s">
        <v>1457</v>
      </c>
      <c r="C504" s="250" t="s">
        <v>1441</v>
      </c>
      <c r="D504" s="205" t="s">
        <v>79</v>
      </c>
      <c r="E504" s="199">
        <v>7.2</v>
      </c>
      <c r="F504" s="199">
        <v>0.15</v>
      </c>
      <c r="G504" s="199">
        <v>0.7</v>
      </c>
      <c r="H504" s="199"/>
      <c r="I504" s="199">
        <f t="shared" si="8"/>
        <v>11.159999999999998</v>
      </c>
      <c r="J504" s="219">
        <f t="shared" si="9"/>
        <v>0.75600000000000001</v>
      </c>
      <c r="K504" s="220">
        <f t="shared" si="10"/>
        <v>11.159999999999998</v>
      </c>
      <c r="L504" s="255"/>
    </row>
    <row r="505" spans="2:12">
      <c r="B505" s="249" t="s">
        <v>1458</v>
      </c>
      <c r="C505" s="250" t="s">
        <v>1441</v>
      </c>
      <c r="D505" s="205" t="s">
        <v>79</v>
      </c>
      <c r="E505" s="199">
        <v>13.07</v>
      </c>
      <c r="F505" s="199">
        <v>0.15</v>
      </c>
      <c r="G505" s="199">
        <v>0.7</v>
      </c>
      <c r="H505" s="199"/>
      <c r="I505" s="199">
        <f t="shared" si="8"/>
        <v>20.258499999999998</v>
      </c>
      <c r="J505" s="219">
        <f t="shared" si="9"/>
        <v>1.37235</v>
      </c>
      <c r="K505" s="220">
        <f t="shared" si="10"/>
        <v>20.258499999999998</v>
      </c>
      <c r="L505" s="255"/>
    </row>
    <row r="506" spans="2:12">
      <c r="B506" s="249" t="s">
        <v>1459</v>
      </c>
      <c r="C506" s="250" t="s">
        <v>1441</v>
      </c>
      <c r="D506" s="205" t="s">
        <v>79</v>
      </c>
      <c r="E506" s="199">
        <v>0.94</v>
      </c>
      <c r="F506" s="199">
        <v>0.2</v>
      </c>
      <c r="G506" s="199">
        <v>0.6</v>
      </c>
      <c r="H506" s="199"/>
      <c r="I506" s="199">
        <f t="shared" si="8"/>
        <v>1.3159999999999998</v>
      </c>
      <c r="J506" s="219">
        <f t="shared" si="9"/>
        <v>0.1128</v>
      </c>
      <c r="K506" s="220">
        <f t="shared" si="10"/>
        <v>1.3159999999999998</v>
      </c>
      <c r="L506" s="255"/>
    </row>
    <row r="507" spans="2:12">
      <c r="B507" s="249" t="s">
        <v>1460</v>
      </c>
      <c r="C507" s="250" t="s">
        <v>1441</v>
      </c>
      <c r="D507" s="205" t="s">
        <v>79</v>
      </c>
      <c r="E507" s="199">
        <v>6.7</v>
      </c>
      <c r="F507" s="199">
        <v>0.2</v>
      </c>
      <c r="G507" s="199">
        <v>0.6</v>
      </c>
      <c r="H507" s="199"/>
      <c r="I507" s="199">
        <f t="shared" si="8"/>
        <v>9.379999999999999</v>
      </c>
      <c r="J507" s="219">
        <f t="shared" si="9"/>
        <v>0.80400000000000005</v>
      </c>
      <c r="K507" s="220">
        <f t="shared" si="10"/>
        <v>9.379999999999999</v>
      </c>
      <c r="L507" s="255"/>
    </row>
    <row r="508" spans="2:12">
      <c r="B508" s="249" t="s">
        <v>1460</v>
      </c>
      <c r="C508" s="250" t="s">
        <v>1441</v>
      </c>
      <c r="D508" s="205" t="s">
        <v>79</v>
      </c>
      <c r="E508" s="199">
        <v>14.04</v>
      </c>
      <c r="F508" s="199">
        <v>0.2</v>
      </c>
      <c r="G508" s="199">
        <v>1.2</v>
      </c>
      <c r="H508" s="199"/>
      <c r="I508" s="199">
        <f t="shared" si="8"/>
        <v>36.503999999999998</v>
      </c>
      <c r="J508" s="219">
        <f t="shared" si="9"/>
        <v>3.3695999999999997</v>
      </c>
      <c r="K508" s="220">
        <f t="shared" si="10"/>
        <v>36.503999999999998</v>
      </c>
      <c r="L508" s="255"/>
    </row>
    <row r="509" spans="2:12">
      <c r="B509" s="249" t="s">
        <v>1461</v>
      </c>
      <c r="C509" s="250" t="s">
        <v>1441</v>
      </c>
      <c r="D509" s="205" t="s">
        <v>79</v>
      </c>
      <c r="E509" s="199">
        <v>7.64</v>
      </c>
      <c r="F509" s="199">
        <v>0.15</v>
      </c>
      <c r="G509" s="199">
        <v>0.8</v>
      </c>
      <c r="H509" s="199"/>
      <c r="I509" s="199">
        <f t="shared" si="8"/>
        <v>13.37</v>
      </c>
      <c r="J509" s="219">
        <f t="shared" si="9"/>
        <v>0.91679999999999995</v>
      </c>
      <c r="K509" s="220">
        <f t="shared" si="10"/>
        <v>13.37</v>
      </c>
      <c r="L509" s="255"/>
    </row>
    <row r="510" spans="2:12">
      <c r="B510" s="249" t="s">
        <v>1461</v>
      </c>
      <c r="C510" s="250" t="s">
        <v>1441</v>
      </c>
      <c r="D510" s="205" t="s">
        <v>79</v>
      </c>
      <c r="E510" s="199">
        <v>20.96</v>
      </c>
      <c r="F510" s="199">
        <v>0.15</v>
      </c>
      <c r="G510" s="199">
        <v>1.2</v>
      </c>
      <c r="H510" s="199"/>
      <c r="I510" s="199">
        <f t="shared" si="8"/>
        <v>53.448</v>
      </c>
      <c r="J510" s="219">
        <f t="shared" si="9"/>
        <v>3.7728000000000002</v>
      </c>
      <c r="K510" s="220">
        <f t="shared" si="10"/>
        <v>53.447999999999993</v>
      </c>
      <c r="L510" s="255"/>
    </row>
    <row r="511" spans="2:12">
      <c r="B511" s="249" t="s">
        <v>1462</v>
      </c>
      <c r="C511" s="250" t="s">
        <v>1441</v>
      </c>
      <c r="D511" s="205" t="s">
        <v>79</v>
      </c>
      <c r="E511" s="199">
        <v>22.34</v>
      </c>
      <c r="F511" s="199">
        <v>0.2</v>
      </c>
      <c r="G511" s="199">
        <v>0.6</v>
      </c>
      <c r="H511" s="199"/>
      <c r="I511" s="199">
        <f t="shared" si="8"/>
        <v>31.275999999999996</v>
      </c>
      <c r="J511" s="219">
        <f t="shared" si="9"/>
        <v>2.6808000000000001</v>
      </c>
      <c r="K511" s="220">
        <f t="shared" si="10"/>
        <v>31.275999999999993</v>
      </c>
      <c r="L511" s="255"/>
    </row>
    <row r="512" spans="2:12">
      <c r="B512" s="249" t="s">
        <v>1463</v>
      </c>
      <c r="C512" s="250" t="s">
        <v>1441</v>
      </c>
      <c r="D512" s="205" t="s">
        <v>79</v>
      </c>
      <c r="E512" s="199">
        <v>5.72</v>
      </c>
      <c r="F512" s="199">
        <v>0.15</v>
      </c>
      <c r="G512" s="199">
        <v>0.6</v>
      </c>
      <c r="H512" s="199"/>
      <c r="I512" s="199">
        <f t="shared" si="8"/>
        <v>7.7219999999999986</v>
      </c>
      <c r="J512" s="219">
        <f t="shared" si="9"/>
        <v>0.51479999999999992</v>
      </c>
      <c r="K512" s="220">
        <f t="shared" si="10"/>
        <v>7.7219999999999986</v>
      </c>
      <c r="L512" s="255"/>
    </row>
    <row r="513" spans="2:12">
      <c r="B513" s="249" t="s">
        <v>1464</v>
      </c>
      <c r="C513" s="250" t="s">
        <v>1441</v>
      </c>
      <c r="D513" s="205" t="s">
        <v>79</v>
      </c>
      <c r="E513" s="199">
        <v>22.34</v>
      </c>
      <c r="F513" s="199">
        <v>0.2</v>
      </c>
      <c r="G513" s="199">
        <v>0.6</v>
      </c>
      <c r="H513" s="199"/>
      <c r="I513" s="199">
        <f t="shared" si="8"/>
        <v>31.275999999999996</v>
      </c>
      <c r="J513" s="219">
        <f t="shared" si="9"/>
        <v>2.6808000000000001</v>
      </c>
      <c r="K513" s="220">
        <f t="shared" si="10"/>
        <v>31.275999999999993</v>
      </c>
      <c r="L513" s="255"/>
    </row>
    <row r="514" spans="2:12">
      <c r="B514" s="249" t="s">
        <v>1465</v>
      </c>
      <c r="C514" s="250" t="s">
        <v>1441</v>
      </c>
      <c r="D514" s="205" t="s">
        <v>79</v>
      </c>
      <c r="E514" s="199">
        <v>4.42</v>
      </c>
      <c r="F514" s="199">
        <v>0.2</v>
      </c>
      <c r="G514" s="199">
        <v>0.6</v>
      </c>
      <c r="H514" s="199"/>
      <c r="I514" s="199">
        <f t="shared" si="8"/>
        <v>6.1879999999999997</v>
      </c>
      <c r="J514" s="219">
        <f t="shared" si="9"/>
        <v>0.53039999999999998</v>
      </c>
      <c r="K514" s="220">
        <f t="shared" si="10"/>
        <v>6.1879999999999997</v>
      </c>
      <c r="L514" s="255"/>
    </row>
    <row r="515" spans="2:12">
      <c r="B515" s="249" t="s">
        <v>1466</v>
      </c>
      <c r="C515" s="250" t="s">
        <v>1441</v>
      </c>
      <c r="D515" s="205" t="s">
        <v>79</v>
      </c>
      <c r="E515" s="199">
        <v>28.84</v>
      </c>
      <c r="F515" s="199">
        <v>0.2</v>
      </c>
      <c r="G515" s="199">
        <v>0.6</v>
      </c>
      <c r="H515" s="199"/>
      <c r="I515" s="199">
        <f t="shared" si="8"/>
        <v>40.375999999999998</v>
      </c>
      <c r="J515" s="219">
        <f t="shared" si="9"/>
        <v>3.4608000000000003</v>
      </c>
      <c r="K515" s="220">
        <f t="shared" si="10"/>
        <v>40.375999999999998</v>
      </c>
      <c r="L515" s="255"/>
    </row>
    <row r="516" spans="2:12">
      <c r="B516" s="249" t="s">
        <v>1467</v>
      </c>
      <c r="C516" s="250" t="s">
        <v>1441</v>
      </c>
      <c r="D516" s="205" t="s">
        <v>79</v>
      </c>
      <c r="E516" s="199">
        <v>24.09</v>
      </c>
      <c r="F516" s="199">
        <v>0.15</v>
      </c>
      <c r="G516" s="199">
        <v>1</v>
      </c>
      <c r="H516" s="199"/>
      <c r="I516" s="199">
        <f t="shared" si="8"/>
        <v>51.793499999999995</v>
      </c>
      <c r="J516" s="219">
        <f t="shared" si="9"/>
        <v>3.6134999999999997</v>
      </c>
      <c r="K516" s="220">
        <f t="shared" si="10"/>
        <v>51.793499999999995</v>
      </c>
      <c r="L516" s="255"/>
    </row>
    <row r="517" spans="2:12">
      <c r="B517" s="249" t="s">
        <v>1468</v>
      </c>
      <c r="C517" s="250" t="s">
        <v>1441</v>
      </c>
      <c r="D517" s="205" t="s">
        <v>79</v>
      </c>
      <c r="E517" s="199">
        <v>9.8800000000000008</v>
      </c>
      <c r="F517" s="199">
        <v>0.15</v>
      </c>
      <c r="G517" s="199">
        <v>0.6</v>
      </c>
      <c r="H517" s="199"/>
      <c r="I517" s="199">
        <f t="shared" si="8"/>
        <v>13.337999999999999</v>
      </c>
      <c r="J517" s="219">
        <f t="shared" si="9"/>
        <v>0.88919999999999999</v>
      </c>
      <c r="K517" s="220">
        <f t="shared" si="10"/>
        <v>13.337999999999999</v>
      </c>
      <c r="L517" s="255"/>
    </row>
    <row r="518" spans="2:12">
      <c r="B518" s="249" t="s">
        <v>1469</v>
      </c>
      <c r="C518" s="250" t="s">
        <v>1441</v>
      </c>
      <c r="D518" s="205" t="s">
        <v>79</v>
      </c>
      <c r="E518" s="199">
        <v>12</v>
      </c>
      <c r="F518" s="199">
        <v>0.2</v>
      </c>
      <c r="G518" s="199">
        <v>0.6</v>
      </c>
      <c r="H518" s="199"/>
      <c r="I518" s="199">
        <f t="shared" si="8"/>
        <v>16.799999999999997</v>
      </c>
      <c r="J518" s="219">
        <f t="shared" si="9"/>
        <v>1.4400000000000002</v>
      </c>
      <c r="K518" s="220">
        <f t="shared" si="10"/>
        <v>16.799999999999997</v>
      </c>
      <c r="L518" s="255"/>
    </row>
    <row r="519" spans="2:12">
      <c r="B519" s="249" t="s">
        <v>1470</v>
      </c>
      <c r="C519" s="250" t="s">
        <v>1441</v>
      </c>
      <c r="D519" s="205" t="s">
        <v>79</v>
      </c>
      <c r="E519" s="199">
        <v>1.81</v>
      </c>
      <c r="F519" s="199">
        <v>0.2</v>
      </c>
      <c r="G519" s="199">
        <v>0.8</v>
      </c>
      <c r="H519" s="199"/>
      <c r="I519" s="199">
        <f t="shared" si="8"/>
        <v>3.258</v>
      </c>
      <c r="J519" s="219">
        <f t="shared" si="9"/>
        <v>0.28960000000000002</v>
      </c>
      <c r="K519" s="220">
        <f t="shared" si="10"/>
        <v>3.258</v>
      </c>
      <c r="L519" s="255"/>
    </row>
    <row r="520" spans="2:12">
      <c r="B520" s="249" t="s">
        <v>1471</v>
      </c>
      <c r="C520" s="250" t="s">
        <v>1441</v>
      </c>
      <c r="D520" s="205" t="s">
        <v>79</v>
      </c>
      <c r="E520" s="199">
        <v>5.92</v>
      </c>
      <c r="F520" s="199">
        <v>0.15</v>
      </c>
      <c r="G520" s="199">
        <v>1.2</v>
      </c>
      <c r="H520" s="199"/>
      <c r="I520" s="199">
        <f t="shared" si="8"/>
        <v>15.095999999999998</v>
      </c>
      <c r="J520" s="219">
        <f t="shared" si="9"/>
        <v>1.0655999999999999</v>
      </c>
      <c r="K520" s="220">
        <f t="shared" si="10"/>
        <v>15.096</v>
      </c>
      <c r="L520" s="255"/>
    </row>
    <row r="521" spans="2:12">
      <c r="B521" s="249" t="s">
        <v>1472</v>
      </c>
      <c r="C521" s="250" t="s">
        <v>1441</v>
      </c>
      <c r="D521" s="205" t="s">
        <v>79</v>
      </c>
      <c r="E521" s="199">
        <v>12.49</v>
      </c>
      <c r="F521" s="199">
        <v>0.15</v>
      </c>
      <c r="G521" s="199">
        <v>1</v>
      </c>
      <c r="H521" s="199"/>
      <c r="I521" s="199">
        <f t="shared" si="8"/>
        <v>26.8535</v>
      </c>
      <c r="J521" s="219">
        <f t="shared" si="9"/>
        <v>1.8734999999999999</v>
      </c>
      <c r="K521" s="220">
        <f t="shared" si="10"/>
        <v>26.8535</v>
      </c>
      <c r="L521" s="255"/>
    </row>
    <row r="522" spans="2:12">
      <c r="B522" s="249" t="s">
        <v>1472</v>
      </c>
      <c r="C522" s="250" t="s">
        <v>1441</v>
      </c>
      <c r="D522" s="205" t="s">
        <v>79</v>
      </c>
      <c r="E522" s="199">
        <v>6</v>
      </c>
      <c r="F522" s="199">
        <v>0.15</v>
      </c>
      <c r="G522" s="199">
        <v>1.2</v>
      </c>
      <c r="H522" s="199"/>
      <c r="I522" s="199">
        <f t="shared" si="8"/>
        <v>15.299999999999999</v>
      </c>
      <c r="J522" s="219">
        <f t="shared" si="9"/>
        <v>1.0799999999999998</v>
      </c>
      <c r="K522" s="220">
        <f t="shared" si="10"/>
        <v>15.299999999999999</v>
      </c>
      <c r="L522" s="255"/>
    </row>
    <row r="523" spans="2:12">
      <c r="B523" s="249" t="s">
        <v>1473</v>
      </c>
      <c r="C523" s="250" t="s">
        <v>1441</v>
      </c>
      <c r="D523" s="205" t="s">
        <v>79</v>
      </c>
      <c r="E523" s="199">
        <v>4.83</v>
      </c>
      <c r="F523" s="199">
        <v>0.15</v>
      </c>
      <c r="G523" s="199">
        <v>0.6</v>
      </c>
      <c r="H523" s="199"/>
      <c r="I523" s="199">
        <f t="shared" si="8"/>
        <v>6.5204999999999993</v>
      </c>
      <c r="J523" s="219">
        <f t="shared" si="9"/>
        <v>0.43470000000000003</v>
      </c>
      <c r="K523" s="220">
        <f t="shared" si="10"/>
        <v>6.5204999999999993</v>
      </c>
      <c r="L523" s="255"/>
    </row>
    <row r="524" spans="2:12">
      <c r="B524" s="249" t="s">
        <v>1474</v>
      </c>
      <c r="C524" s="250" t="s">
        <v>1441</v>
      </c>
      <c r="D524" s="205" t="s">
        <v>79</v>
      </c>
      <c r="E524" s="199">
        <v>13.85</v>
      </c>
      <c r="F524" s="199">
        <v>0.15</v>
      </c>
      <c r="G524" s="199">
        <v>0.7</v>
      </c>
      <c r="H524" s="199"/>
      <c r="I524" s="199">
        <f t="shared" si="8"/>
        <v>21.467499999999998</v>
      </c>
      <c r="J524" s="219">
        <f t="shared" si="9"/>
        <v>1.4542499999999996</v>
      </c>
      <c r="K524" s="220">
        <f t="shared" si="10"/>
        <v>21.467499999999998</v>
      </c>
      <c r="L524" s="255"/>
    </row>
    <row r="525" spans="2:12">
      <c r="B525" s="249" t="s">
        <v>1531</v>
      </c>
      <c r="C525" s="250" t="s">
        <v>1521</v>
      </c>
      <c r="D525" s="205" t="s">
        <v>79</v>
      </c>
      <c r="E525" s="199">
        <v>12.69</v>
      </c>
      <c r="F525" s="199">
        <v>0.15</v>
      </c>
      <c r="G525" s="199">
        <v>0.6</v>
      </c>
      <c r="H525" s="199"/>
      <c r="I525" s="199">
        <f t="shared" si="8"/>
        <v>17.131499999999999</v>
      </c>
      <c r="J525" s="219">
        <f t="shared" si="9"/>
        <v>1.1420999999999999</v>
      </c>
      <c r="K525" s="220">
        <f t="shared" si="10"/>
        <v>17.131499999999999</v>
      </c>
      <c r="L525" s="255"/>
    </row>
    <row r="526" spans="2:12">
      <c r="B526" s="249" t="s">
        <v>1532</v>
      </c>
      <c r="C526" s="250" t="s">
        <v>1521</v>
      </c>
      <c r="D526" s="205" t="s">
        <v>79</v>
      </c>
      <c r="E526" s="199">
        <v>1.83</v>
      </c>
      <c r="F526" s="199">
        <v>0.15</v>
      </c>
      <c r="G526" s="199">
        <v>0.6</v>
      </c>
      <c r="H526" s="199"/>
      <c r="I526" s="199">
        <f t="shared" si="8"/>
        <v>2.4704999999999999</v>
      </c>
      <c r="J526" s="219">
        <f t="shared" si="9"/>
        <v>0.16470000000000001</v>
      </c>
      <c r="K526" s="220">
        <f t="shared" si="10"/>
        <v>2.4704999999999999</v>
      </c>
      <c r="L526" s="255"/>
    </row>
    <row r="527" spans="2:12">
      <c r="B527" s="249" t="s">
        <v>1533</v>
      </c>
      <c r="C527" s="250" t="s">
        <v>1521</v>
      </c>
      <c r="D527" s="205" t="s">
        <v>79</v>
      </c>
      <c r="E527" s="199">
        <v>8.27</v>
      </c>
      <c r="F527" s="199">
        <v>0.15</v>
      </c>
      <c r="G527" s="199">
        <v>0.6</v>
      </c>
      <c r="H527" s="199"/>
      <c r="I527" s="199">
        <f t="shared" si="8"/>
        <v>11.164499999999999</v>
      </c>
      <c r="J527" s="219">
        <f t="shared" si="9"/>
        <v>0.74429999999999996</v>
      </c>
      <c r="K527" s="220">
        <f t="shared" si="10"/>
        <v>11.1645</v>
      </c>
      <c r="L527" s="255"/>
    </row>
    <row r="528" spans="2:12">
      <c r="B528" s="249" t="s">
        <v>1534</v>
      </c>
      <c r="C528" s="250" t="s">
        <v>1521</v>
      </c>
      <c r="D528" s="205" t="s">
        <v>79</v>
      </c>
      <c r="E528" s="199">
        <v>28.74</v>
      </c>
      <c r="F528" s="199">
        <v>0.15</v>
      </c>
      <c r="G528" s="199">
        <v>1</v>
      </c>
      <c r="H528" s="199"/>
      <c r="I528" s="199">
        <f t="shared" si="8"/>
        <v>61.790999999999997</v>
      </c>
      <c r="J528" s="219">
        <f t="shared" si="9"/>
        <v>4.3109999999999999</v>
      </c>
      <c r="K528" s="220">
        <f t="shared" si="10"/>
        <v>61.791000000000004</v>
      </c>
      <c r="L528" s="255"/>
    </row>
    <row r="529" spans="2:12">
      <c r="B529" s="249" t="s">
        <v>1535</v>
      </c>
      <c r="C529" s="250" t="s">
        <v>1521</v>
      </c>
      <c r="D529" s="205" t="s">
        <v>79</v>
      </c>
      <c r="E529" s="199">
        <v>28.53</v>
      </c>
      <c r="F529" s="199">
        <v>0.2</v>
      </c>
      <c r="G529" s="199">
        <v>0.6</v>
      </c>
      <c r="H529" s="199"/>
      <c r="I529" s="199">
        <f t="shared" si="8"/>
        <v>39.942</v>
      </c>
      <c r="J529" s="219">
        <f t="shared" si="9"/>
        <v>3.4236</v>
      </c>
      <c r="K529" s="220">
        <f t="shared" si="10"/>
        <v>39.942</v>
      </c>
      <c r="L529" s="255"/>
    </row>
    <row r="530" spans="2:12">
      <c r="B530" s="249" t="s">
        <v>1536</v>
      </c>
      <c r="C530" s="250" t="s">
        <v>1521</v>
      </c>
      <c r="D530" s="205" t="s">
        <v>79</v>
      </c>
      <c r="E530" s="199">
        <v>6.34</v>
      </c>
      <c r="F530" s="199">
        <v>0.15</v>
      </c>
      <c r="G530" s="199">
        <v>0.6</v>
      </c>
      <c r="H530" s="199"/>
      <c r="I530" s="199">
        <f t="shared" si="8"/>
        <v>8.5589999999999993</v>
      </c>
      <c r="J530" s="219">
        <f t="shared" si="9"/>
        <v>0.5706</v>
      </c>
      <c r="K530" s="220">
        <f t="shared" si="10"/>
        <v>8.5589999999999993</v>
      </c>
      <c r="L530" s="255"/>
    </row>
    <row r="531" spans="2:12">
      <c r="B531" s="249" t="s">
        <v>1537</v>
      </c>
      <c r="C531" s="250" t="s">
        <v>1521</v>
      </c>
      <c r="D531" s="205" t="s">
        <v>79</v>
      </c>
      <c r="E531" s="199">
        <v>21.99</v>
      </c>
      <c r="F531" s="199">
        <v>0.2</v>
      </c>
      <c r="G531" s="199">
        <v>0.6</v>
      </c>
      <c r="H531" s="199"/>
      <c r="I531" s="199">
        <f t="shared" si="8"/>
        <v>30.785999999999994</v>
      </c>
      <c r="J531" s="219">
        <f t="shared" si="9"/>
        <v>2.6387999999999998</v>
      </c>
      <c r="K531" s="220">
        <f t="shared" si="10"/>
        <v>30.785999999999991</v>
      </c>
      <c r="L531" s="255"/>
    </row>
    <row r="532" spans="2:12">
      <c r="B532" s="249" t="s">
        <v>1538</v>
      </c>
      <c r="C532" s="250" t="s">
        <v>1521</v>
      </c>
      <c r="D532" s="205" t="s">
        <v>79</v>
      </c>
      <c r="E532" s="199">
        <v>21.99</v>
      </c>
      <c r="F532" s="199">
        <v>0.2</v>
      </c>
      <c r="G532" s="199">
        <v>0.6</v>
      </c>
      <c r="H532" s="199"/>
      <c r="I532" s="199">
        <f t="shared" si="8"/>
        <v>30.785999999999994</v>
      </c>
      <c r="J532" s="219">
        <f t="shared" si="9"/>
        <v>2.6387999999999998</v>
      </c>
      <c r="K532" s="220">
        <f t="shared" si="10"/>
        <v>30.785999999999991</v>
      </c>
      <c r="L532" s="255"/>
    </row>
    <row r="533" spans="2:12">
      <c r="B533" s="249" t="s">
        <v>1539</v>
      </c>
      <c r="C533" s="250" t="s">
        <v>1521</v>
      </c>
      <c r="D533" s="205" t="s">
        <v>79</v>
      </c>
      <c r="E533" s="199">
        <v>3.45</v>
      </c>
      <c r="F533" s="199">
        <v>0.2</v>
      </c>
      <c r="G533" s="199">
        <v>0.6</v>
      </c>
      <c r="H533" s="199"/>
      <c r="I533" s="199">
        <f t="shared" si="8"/>
        <v>4.83</v>
      </c>
      <c r="J533" s="219">
        <f t="shared" si="9"/>
        <v>0.41400000000000003</v>
      </c>
      <c r="K533" s="220">
        <f t="shared" si="10"/>
        <v>4.83</v>
      </c>
      <c r="L533" s="255"/>
    </row>
    <row r="534" spans="2:12">
      <c r="B534" s="249" t="s">
        <v>1540</v>
      </c>
      <c r="C534" s="250" t="s">
        <v>1521</v>
      </c>
      <c r="D534" s="205" t="s">
        <v>79</v>
      </c>
      <c r="E534" s="199">
        <v>28.53</v>
      </c>
      <c r="F534" s="199">
        <v>0.2</v>
      </c>
      <c r="G534" s="199">
        <v>0.6</v>
      </c>
      <c r="H534" s="199"/>
      <c r="I534" s="199">
        <f t="shared" si="8"/>
        <v>39.942</v>
      </c>
      <c r="J534" s="219">
        <f t="shared" si="9"/>
        <v>3.4236</v>
      </c>
      <c r="K534" s="220">
        <f t="shared" si="10"/>
        <v>39.942</v>
      </c>
      <c r="L534" s="255"/>
    </row>
    <row r="535" spans="2:12">
      <c r="B535" s="249" t="s">
        <v>1541</v>
      </c>
      <c r="C535" s="250" t="s">
        <v>1521</v>
      </c>
      <c r="D535" s="205" t="s">
        <v>79</v>
      </c>
      <c r="E535" s="199">
        <v>24.09</v>
      </c>
      <c r="F535" s="199">
        <v>0.15</v>
      </c>
      <c r="G535" s="199">
        <v>1</v>
      </c>
      <c r="H535" s="199"/>
      <c r="I535" s="199">
        <f t="shared" ref="I535:I566" si="11">E535*(2*G535+F535)</f>
        <v>51.793499999999995</v>
      </c>
      <c r="J535" s="219">
        <f t="shared" ref="J535:J566" si="12">E535*F535*G535</f>
        <v>3.6134999999999997</v>
      </c>
      <c r="K535" s="220">
        <f t="shared" ref="K535:K566" si="13">IF(E535*F535*G535&lt;&gt;0,E535*F535*G535,IF(E535*F535&lt;&gt;0,E535*F535,IF(F535*G535&lt;&gt;0,F535*G535,IF(E535*G535&lt;&gt;0,E535*G535,IF(E535&lt;&gt;0,E535,IF(F535&lt;&gt;0,F535,IF(G535&lt;&gt;0,G535,0)))))))*(IF(H535&lt;&gt;0,H535,1))+I535-J535</f>
        <v>51.793499999999995</v>
      </c>
      <c r="L535" s="255"/>
    </row>
    <row r="536" spans="2:12">
      <c r="B536" s="249" t="s">
        <v>1541</v>
      </c>
      <c r="C536" s="250" t="s">
        <v>1521</v>
      </c>
      <c r="D536" s="205" t="s">
        <v>79</v>
      </c>
      <c r="E536" s="199">
        <v>0.48</v>
      </c>
      <c r="F536" s="199">
        <v>0.15</v>
      </c>
      <c r="G536" s="199">
        <v>0.6</v>
      </c>
      <c r="H536" s="199"/>
      <c r="I536" s="199">
        <f t="shared" si="11"/>
        <v>0.64799999999999991</v>
      </c>
      <c r="J536" s="219">
        <f t="shared" si="12"/>
        <v>4.3199999999999995E-2</v>
      </c>
      <c r="K536" s="220">
        <f t="shared" si="13"/>
        <v>0.64799999999999991</v>
      </c>
      <c r="L536" s="255"/>
    </row>
    <row r="537" spans="2:12">
      <c r="B537" s="249" t="s">
        <v>1542</v>
      </c>
      <c r="C537" s="250" t="s">
        <v>1521</v>
      </c>
      <c r="D537" s="205" t="s">
        <v>79</v>
      </c>
      <c r="E537" s="199">
        <v>2.7</v>
      </c>
      <c r="F537" s="199">
        <v>0.15</v>
      </c>
      <c r="G537" s="199">
        <v>0.6</v>
      </c>
      <c r="H537" s="199"/>
      <c r="I537" s="199">
        <f t="shared" si="11"/>
        <v>3.645</v>
      </c>
      <c r="J537" s="219">
        <f t="shared" si="12"/>
        <v>0.24299999999999999</v>
      </c>
      <c r="K537" s="220">
        <f t="shared" si="13"/>
        <v>3.645</v>
      </c>
      <c r="L537" s="255"/>
    </row>
    <row r="538" spans="2:12">
      <c r="B538" s="249" t="s">
        <v>1543</v>
      </c>
      <c r="C538" s="250" t="s">
        <v>1521</v>
      </c>
      <c r="D538" s="205" t="s">
        <v>79</v>
      </c>
      <c r="E538" s="199">
        <v>2.7</v>
      </c>
      <c r="F538" s="199">
        <v>0.15</v>
      </c>
      <c r="G538" s="199">
        <v>0.6</v>
      </c>
      <c r="H538" s="199"/>
      <c r="I538" s="199">
        <f t="shared" si="11"/>
        <v>3.645</v>
      </c>
      <c r="J538" s="219">
        <f t="shared" si="12"/>
        <v>0.24299999999999999</v>
      </c>
      <c r="K538" s="220">
        <f t="shared" si="13"/>
        <v>3.645</v>
      </c>
      <c r="L538" s="255"/>
    </row>
    <row r="539" spans="2:12">
      <c r="B539" s="249" t="s">
        <v>1544</v>
      </c>
      <c r="C539" s="250" t="s">
        <v>1521</v>
      </c>
      <c r="D539" s="205" t="s">
        <v>79</v>
      </c>
      <c r="E539" s="199">
        <v>9.35</v>
      </c>
      <c r="F539" s="199">
        <v>0.2</v>
      </c>
      <c r="G539" s="199">
        <v>0.7</v>
      </c>
      <c r="H539" s="199"/>
      <c r="I539" s="199">
        <f t="shared" si="11"/>
        <v>14.959999999999997</v>
      </c>
      <c r="J539" s="219">
        <f t="shared" si="12"/>
        <v>1.3089999999999999</v>
      </c>
      <c r="K539" s="220">
        <f t="shared" si="13"/>
        <v>14.959999999999999</v>
      </c>
      <c r="L539" s="255"/>
    </row>
    <row r="540" spans="2:12">
      <c r="B540" s="249" t="s">
        <v>1545</v>
      </c>
      <c r="C540" s="250" t="s">
        <v>1521</v>
      </c>
      <c r="D540" s="205" t="s">
        <v>79</v>
      </c>
      <c r="E540" s="199">
        <v>2.85</v>
      </c>
      <c r="F540" s="199">
        <v>0.15</v>
      </c>
      <c r="G540" s="199">
        <v>1</v>
      </c>
      <c r="H540" s="199"/>
      <c r="I540" s="199">
        <f t="shared" si="11"/>
        <v>6.1274999999999995</v>
      </c>
      <c r="J540" s="219">
        <f t="shared" si="12"/>
        <v>0.42749999999999999</v>
      </c>
      <c r="K540" s="220">
        <f t="shared" si="13"/>
        <v>6.1274999999999995</v>
      </c>
      <c r="L540" s="255"/>
    </row>
    <row r="541" spans="2:12">
      <c r="B541" s="249" t="s">
        <v>1546</v>
      </c>
      <c r="C541" s="250" t="s">
        <v>1521</v>
      </c>
      <c r="D541" s="205" t="s">
        <v>79</v>
      </c>
      <c r="E541" s="199">
        <v>23.39</v>
      </c>
      <c r="F541" s="199">
        <v>0.15</v>
      </c>
      <c r="G541" s="199">
        <v>1</v>
      </c>
      <c r="H541" s="199"/>
      <c r="I541" s="199">
        <f t="shared" si="11"/>
        <v>50.288499999999999</v>
      </c>
      <c r="J541" s="219">
        <f t="shared" si="12"/>
        <v>3.5085000000000002</v>
      </c>
      <c r="K541" s="220">
        <f t="shared" si="13"/>
        <v>50.288499999999999</v>
      </c>
      <c r="L541" s="255"/>
    </row>
    <row r="542" spans="2:12">
      <c r="B542" s="249" t="s">
        <v>1547</v>
      </c>
      <c r="C542" s="250" t="s">
        <v>1521</v>
      </c>
      <c r="D542" s="205" t="s">
        <v>79</v>
      </c>
      <c r="E542" s="199">
        <v>13.7</v>
      </c>
      <c r="F542" s="199">
        <v>0.15</v>
      </c>
      <c r="G542" s="199">
        <v>0.6</v>
      </c>
      <c r="H542" s="199"/>
      <c r="I542" s="199">
        <f t="shared" si="11"/>
        <v>18.494999999999997</v>
      </c>
      <c r="J542" s="219">
        <f t="shared" si="12"/>
        <v>1.2329999999999999</v>
      </c>
      <c r="K542" s="220">
        <f t="shared" si="13"/>
        <v>18.494999999999997</v>
      </c>
      <c r="L542" s="255"/>
    </row>
    <row r="543" spans="2:12">
      <c r="B543" s="249" t="s">
        <v>1548</v>
      </c>
      <c r="C543" s="250" t="s">
        <v>1521</v>
      </c>
      <c r="D543" s="205" t="s">
        <v>79</v>
      </c>
      <c r="E543" s="199">
        <v>0.48</v>
      </c>
      <c r="F543" s="199">
        <v>0.15</v>
      </c>
      <c r="G543" s="199">
        <v>0.6</v>
      </c>
      <c r="H543" s="199"/>
      <c r="I543" s="199">
        <f t="shared" si="11"/>
        <v>0.64799999999999991</v>
      </c>
      <c r="J543" s="219">
        <f t="shared" si="12"/>
        <v>4.3199999999999995E-2</v>
      </c>
      <c r="K543" s="220">
        <f t="shared" si="13"/>
        <v>0.64799999999999991</v>
      </c>
      <c r="L543" s="255"/>
    </row>
    <row r="544" spans="2:12">
      <c r="B544" s="249" t="s">
        <v>1549</v>
      </c>
      <c r="C544" s="250" t="s">
        <v>1521</v>
      </c>
      <c r="D544" s="205" t="s">
        <v>79</v>
      </c>
      <c r="E544" s="199">
        <v>12.95</v>
      </c>
      <c r="F544" s="199">
        <v>0.2</v>
      </c>
      <c r="G544" s="199">
        <v>0.6</v>
      </c>
      <c r="H544" s="199"/>
      <c r="I544" s="199">
        <f t="shared" si="11"/>
        <v>18.13</v>
      </c>
      <c r="J544" s="219">
        <f t="shared" si="12"/>
        <v>1.5539999999999998</v>
      </c>
      <c r="K544" s="220">
        <f t="shared" si="13"/>
        <v>18.13</v>
      </c>
      <c r="L544" s="255"/>
    </row>
    <row r="545" spans="2:12">
      <c r="B545" s="249" t="s">
        <v>1550</v>
      </c>
      <c r="C545" s="250" t="s">
        <v>1521</v>
      </c>
      <c r="D545" s="205" t="s">
        <v>79</v>
      </c>
      <c r="E545" s="199">
        <v>21.37</v>
      </c>
      <c r="F545" s="199">
        <v>0.15</v>
      </c>
      <c r="G545" s="199">
        <v>1</v>
      </c>
      <c r="H545" s="199"/>
      <c r="I545" s="199">
        <f t="shared" si="11"/>
        <v>45.945500000000003</v>
      </c>
      <c r="J545" s="219">
        <f t="shared" si="12"/>
        <v>3.2055000000000002</v>
      </c>
      <c r="K545" s="220">
        <f t="shared" si="13"/>
        <v>45.945500000000003</v>
      </c>
      <c r="L545" s="255"/>
    </row>
    <row r="546" spans="2:12">
      <c r="B546" s="249" t="s">
        <v>1551</v>
      </c>
      <c r="C546" s="250" t="s">
        <v>1521</v>
      </c>
      <c r="D546" s="205" t="s">
        <v>79</v>
      </c>
      <c r="E546" s="199">
        <v>2.86</v>
      </c>
      <c r="F546" s="199">
        <v>0.15</v>
      </c>
      <c r="G546" s="199">
        <v>1</v>
      </c>
      <c r="H546" s="199"/>
      <c r="I546" s="199">
        <f t="shared" si="11"/>
        <v>6.1489999999999991</v>
      </c>
      <c r="J546" s="219">
        <f t="shared" si="12"/>
        <v>0.42899999999999999</v>
      </c>
      <c r="K546" s="220">
        <f t="shared" si="13"/>
        <v>6.1489999999999991</v>
      </c>
      <c r="L546" s="255"/>
    </row>
    <row r="547" spans="2:12">
      <c r="B547" s="197" t="s">
        <v>1523</v>
      </c>
      <c r="C547" s="189" t="s">
        <v>1521</v>
      </c>
      <c r="D547" s="190" t="s">
        <v>169</v>
      </c>
      <c r="E547" s="199">
        <v>4.71</v>
      </c>
      <c r="F547" s="199">
        <v>0.25</v>
      </c>
      <c r="G547" s="199">
        <v>1.7</v>
      </c>
      <c r="H547" s="199"/>
      <c r="I547" s="199">
        <f t="shared" si="11"/>
        <v>17.191499999999998</v>
      </c>
      <c r="J547" s="219">
        <f t="shared" si="12"/>
        <v>2.0017499999999999</v>
      </c>
      <c r="K547" s="220">
        <f t="shared" si="13"/>
        <v>17.191499999999998</v>
      </c>
      <c r="L547" s="255"/>
    </row>
    <row r="548" spans="2:12">
      <c r="B548" s="197" t="s">
        <v>1525</v>
      </c>
      <c r="C548" s="189" t="s">
        <v>1521</v>
      </c>
      <c r="D548" s="190" t="s">
        <v>169</v>
      </c>
      <c r="E548" s="199">
        <v>4.71</v>
      </c>
      <c r="F548" s="199">
        <v>0.15</v>
      </c>
      <c r="G548" s="199">
        <v>1.7</v>
      </c>
      <c r="H548" s="199"/>
      <c r="I548" s="199">
        <f t="shared" si="11"/>
        <v>16.720499999999998</v>
      </c>
      <c r="J548" s="219">
        <f t="shared" si="12"/>
        <v>1.20105</v>
      </c>
      <c r="K548" s="220">
        <f t="shared" si="13"/>
        <v>16.720499999999998</v>
      </c>
      <c r="L548" s="255"/>
    </row>
    <row r="549" spans="2:12">
      <c r="B549" s="197" t="s">
        <v>1526</v>
      </c>
      <c r="C549" s="189" t="s">
        <v>1521</v>
      </c>
      <c r="D549" s="190" t="s">
        <v>169</v>
      </c>
      <c r="E549" s="199">
        <v>2.54</v>
      </c>
      <c r="F549" s="199">
        <v>0.15</v>
      </c>
      <c r="G549" s="199">
        <v>1.7</v>
      </c>
      <c r="H549" s="199"/>
      <c r="I549" s="199">
        <f t="shared" si="11"/>
        <v>9.0169999999999995</v>
      </c>
      <c r="J549" s="219">
        <f t="shared" si="12"/>
        <v>0.64769999999999994</v>
      </c>
      <c r="K549" s="220">
        <f t="shared" si="13"/>
        <v>9.0169999999999995</v>
      </c>
      <c r="L549" s="255"/>
    </row>
    <row r="550" spans="2:12">
      <c r="B550" s="197" t="s">
        <v>1527</v>
      </c>
      <c r="C550" s="189" t="s">
        <v>1521</v>
      </c>
      <c r="D550" s="190" t="s">
        <v>169</v>
      </c>
      <c r="E550" s="199">
        <v>2.2000000000000002</v>
      </c>
      <c r="F550" s="199">
        <v>0.15</v>
      </c>
      <c r="G550" s="199">
        <v>1.7</v>
      </c>
      <c r="H550" s="199"/>
      <c r="I550" s="199">
        <f t="shared" si="11"/>
        <v>7.8100000000000005</v>
      </c>
      <c r="J550" s="219">
        <f t="shared" si="12"/>
        <v>0.56100000000000005</v>
      </c>
      <c r="K550" s="220">
        <f t="shared" si="13"/>
        <v>7.8100000000000005</v>
      </c>
      <c r="L550" s="255"/>
    </row>
    <row r="551" spans="2:12">
      <c r="B551" s="197" t="s">
        <v>1528</v>
      </c>
      <c r="C551" s="189" t="s">
        <v>1521</v>
      </c>
      <c r="D551" s="190" t="s">
        <v>169</v>
      </c>
      <c r="E551" s="199">
        <v>2.2000000000000002</v>
      </c>
      <c r="F551" s="199">
        <v>0.15</v>
      </c>
      <c r="G551" s="199">
        <v>1.7</v>
      </c>
      <c r="H551" s="199"/>
      <c r="I551" s="199">
        <f t="shared" si="11"/>
        <v>7.8100000000000005</v>
      </c>
      <c r="J551" s="219">
        <f t="shared" si="12"/>
        <v>0.56100000000000005</v>
      </c>
      <c r="K551" s="220">
        <f t="shared" si="13"/>
        <v>7.8100000000000005</v>
      </c>
      <c r="L551" s="255"/>
    </row>
    <row r="552" spans="2:12">
      <c r="B552" s="197" t="s">
        <v>1529</v>
      </c>
      <c r="C552" s="189" t="s">
        <v>1521</v>
      </c>
      <c r="D552" s="190" t="s">
        <v>169</v>
      </c>
      <c r="E552" s="199">
        <v>1.24</v>
      </c>
      <c r="F552" s="199">
        <v>0.2</v>
      </c>
      <c r="G552" s="199">
        <v>1.7</v>
      </c>
      <c r="H552" s="199"/>
      <c r="I552" s="199">
        <f t="shared" si="11"/>
        <v>4.4640000000000004</v>
      </c>
      <c r="J552" s="219">
        <f t="shared" si="12"/>
        <v>0.42159999999999997</v>
      </c>
      <c r="K552" s="220">
        <f t="shared" si="13"/>
        <v>4.4640000000000004</v>
      </c>
      <c r="L552" s="255"/>
    </row>
    <row r="553" spans="2:12">
      <c r="B553" s="197" t="s">
        <v>1530</v>
      </c>
      <c r="C553" s="189" t="s">
        <v>1521</v>
      </c>
      <c r="D553" s="190" t="s">
        <v>169</v>
      </c>
      <c r="E553" s="199">
        <v>1.24</v>
      </c>
      <c r="F553" s="199">
        <v>0.2</v>
      </c>
      <c r="G553" s="199">
        <v>1.7</v>
      </c>
      <c r="H553" s="199"/>
      <c r="I553" s="199">
        <f t="shared" si="11"/>
        <v>4.4640000000000004</v>
      </c>
      <c r="J553" s="219">
        <f t="shared" si="12"/>
        <v>0.42159999999999997</v>
      </c>
      <c r="K553" s="220">
        <f t="shared" si="13"/>
        <v>4.4640000000000004</v>
      </c>
      <c r="L553" s="255"/>
    </row>
    <row r="554" spans="2:12">
      <c r="B554" s="249" t="s">
        <v>1614</v>
      </c>
      <c r="C554" s="189" t="s">
        <v>1611</v>
      </c>
      <c r="D554" s="190" t="s">
        <v>169</v>
      </c>
      <c r="E554" s="199">
        <v>3.63</v>
      </c>
      <c r="F554" s="199">
        <v>0.2</v>
      </c>
      <c r="G554" s="199">
        <v>0.7</v>
      </c>
      <c r="H554" s="199"/>
      <c r="I554" s="199">
        <f t="shared" si="11"/>
        <v>5.8079999999999989</v>
      </c>
      <c r="J554" s="219">
        <f t="shared" si="12"/>
        <v>0.50819999999999999</v>
      </c>
      <c r="K554" s="220">
        <f t="shared" si="13"/>
        <v>5.8079999999999981</v>
      </c>
      <c r="L554" s="255"/>
    </row>
    <row r="555" spans="2:12">
      <c r="B555" s="249" t="s">
        <v>1614</v>
      </c>
      <c r="C555" s="189" t="s">
        <v>1611</v>
      </c>
      <c r="D555" s="190" t="s">
        <v>169</v>
      </c>
      <c r="E555" s="199">
        <v>27.92</v>
      </c>
      <c r="F555" s="199">
        <v>0.2</v>
      </c>
      <c r="G555" s="199">
        <v>0.6</v>
      </c>
      <c r="H555" s="199"/>
      <c r="I555" s="199">
        <f t="shared" si="11"/>
        <v>39.088000000000001</v>
      </c>
      <c r="J555" s="219">
        <f t="shared" si="12"/>
        <v>3.3504</v>
      </c>
      <c r="K555" s="220">
        <f t="shared" si="13"/>
        <v>39.088000000000001</v>
      </c>
      <c r="L555" s="255"/>
    </row>
    <row r="556" spans="2:12">
      <c r="B556" s="249" t="s">
        <v>1615</v>
      </c>
      <c r="C556" s="189" t="s">
        <v>1611</v>
      </c>
      <c r="D556" s="190" t="s">
        <v>169</v>
      </c>
      <c r="E556" s="199">
        <v>2.7</v>
      </c>
      <c r="F556" s="199">
        <v>0.15</v>
      </c>
      <c r="G556" s="199">
        <v>0.6</v>
      </c>
      <c r="H556" s="199"/>
      <c r="I556" s="199">
        <f t="shared" si="11"/>
        <v>3.645</v>
      </c>
      <c r="J556" s="219">
        <f t="shared" si="12"/>
        <v>0.24299999999999999</v>
      </c>
      <c r="K556" s="220">
        <f t="shared" si="13"/>
        <v>3.645</v>
      </c>
      <c r="L556" s="255"/>
    </row>
    <row r="557" spans="2:12">
      <c r="B557" s="249" t="s">
        <v>1616</v>
      </c>
      <c r="C557" s="189" t="s">
        <v>1611</v>
      </c>
      <c r="D557" s="190" t="s">
        <v>169</v>
      </c>
      <c r="E557" s="199">
        <v>4.62</v>
      </c>
      <c r="F557" s="199">
        <v>0.15</v>
      </c>
      <c r="G557" s="199">
        <v>0.6</v>
      </c>
      <c r="H557" s="199"/>
      <c r="I557" s="199">
        <f t="shared" si="11"/>
        <v>6.2369999999999992</v>
      </c>
      <c r="J557" s="219">
        <f t="shared" si="12"/>
        <v>0.41579999999999995</v>
      </c>
      <c r="K557" s="220">
        <f t="shared" si="13"/>
        <v>6.2369999999999992</v>
      </c>
      <c r="L557" s="255"/>
    </row>
    <row r="558" spans="2:12">
      <c r="B558" s="249" t="s">
        <v>1617</v>
      </c>
      <c r="C558" s="189" t="s">
        <v>1611</v>
      </c>
      <c r="D558" s="190" t="s">
        <v>169</v>
      </c>
      <c r="E558" s="199">
        <v>1.92</v>
      </c>
      <c r="F558" s="199">
        <v>0.15</v>
      </c>
      <c r="G558" s="199">
        <v>0.7</v>
      </c>
      <c r="H558" s="199"/>
      <c r="I558" s="199">
        <f t="shared" si="11"/>
        <v>2.9759999999999995</v>
      </c>
      <c r="J558" s="219">
        <f t="shared" si="12"/>
        <v>0.20159999999999997</v>
      </c>
      <c r="K558" s="220">
        <f t="shared" si="13"/>
        <v>2.9759999999999995</v>
      </c>
      <c r="L558" s="255"/>
    </row>
    <row r="559" spans="2:12">
      <c r="B559" s="249" t="s">
        <v>1618</v>
      </c>
      <c r="C559" s="189" t="s">
        <v>1611</v>
      </c>
      <c r="D559" s="190" t="s">
        <v>169</v>
      </c>
      <c r="E559" s="199">
        <v>0.84</v>
      </c>
      <c r="F559" s="199">
        <v>0.4</v>
      </c>
      <c r="G559" s="199">
        <v>1</v>
      </c>
      <c r="H559" s="199"/>
      <c r="I559" s="199">
        <f t="shared" si="11"/>
        <v>2.016</v>
      </c>
      <c r="J559" s="219">
        <f t="shared" si="12"/>
        <v>0.33600000000000002</v>
      </c>
      <c r="K559" s="220">
        <f t="shared" si="13"/>
        <v>2.016</v>
      </c>
      <c r="L559" s="255"/>
    </row>
    <row r="560" spans="2:12">
      <c r="B560" s="249" t="s">
        <v>1618</v>
      </c>
      <c r="C560" s="189" t="s">
        <v>1611</v>
      </c>
      <c r="D560" s="190" t="s">
        <v>169</v>
      </c>
      <c r="E560" s="199">
        <v>25.92</v>
      </c>
      <c r="F560" s="199">
        <v>0.3</v>
      </c>
      <c r="G560" s="199">
        <v>0.8</v>
      </c>
      <c r="H560" s="199"/>
      <c r="I560" s="199">
        <f t="shared" si="11"/>
        <v>49.248000000000005</v>
      </c>
      <c r="J560" s="219">
        <f t="shared" si="12"/>
        <v>6.2208000000000006</v>
      </c>
      <c r="K560" s="220">
        <f t="shared" si="13"/>
        <v>49.248000000000005</v>
      </c>
      <c r="L560" s="255"/>
    </row>
    <row r="561" spans="2:12">
      <c r="B561" s="249" t="s">
        <v>1619</v>
      </c>
      <c r="C561" s="189" t="s">
        <v>1611</v>
      </c>
      <c r="D561" s="190" t="s">
        <v>169</v>
      </c>
      <c r="E561" s="199">
        <v>16.71</v>
      </c>
      <c r="F561" s="199">
        <v>0.2</v>
      </c>
      <c r="G561" s="199">
        <v>0.7</v>
      </c>
      <c r="H561" s="199"/>
      <c r="I561" s="199">
        <f t="shared" si="11"/>
        <v>26.736000000000001</v>
      </c>
      <c r="J561" s="219">
        <f t="shared" si="12"/>
        <v>2.3394000000000004</v>
      </c>
      <c r="K561" s="220">
        <f t="shared" si="13"/>
        <v>26.736000000000001</v>
      </c>
      <c r="L561" s="255"/>
    </row>
    <row r="562" spans="2:12">
      <c r="B562" s="249" t="s">
        <v>1620</v>
      </c>
      <c r="C562" s="189" t="s">
        <v>1611</v>
      </c>
      <c r="D562" s="190" t="s">
        <v>169</v>
      </c>
      <c r="E562" s="199">
        <v>9.59</v>
      </c>
      <c r="F562" s="199">
        <v>0.15</v>
      </c>
      <c r="G562" s="199">
        <v>0.7</v>
      </c>
      <c r="H562" s="199"/>
      <c r="I562" s="199">
        <f t="shared" si="11"/>
        <v>14.864499999999998</v>
      </c>
      <c r="J562" s="219">
        <f t="shared" si="12"/>
        <v>1.0069499999999998</v>
      </c>
      <c r="K562" s="220">
        <f t="shared" si="13"/>
        <v>14.864499999999998</v>
      </c>
      <c r="L562" s="255"/>
    </row>
    <row r="563" spans="2:12">
      <c r="B563" s="249" t="s">
        <v>1621</v>
      </c>
      <c r="C563" s="189" t="s">
        <v>1611</v>
      </c>
      <c r="D563" s="190" t="s">
        <v>169</v>
      </c>
      <c r="E563" s="199">
        <v>1.44</v>
      </c>
      <c r="F563" s="199">
        <v>0.15</v>
      </c>
      <c r="G563" s="199">
        <v>0.7</v>
      </c>
      <c r="H563" s="199"/>
      <c r="I563" s="199">
        <f t="shared" si="11"/>
        <v>2.2319999999999998</v>
      </c>
      <c r="J563" s="219">
        <f t="shared" si="12"/>
        <v>0.1512</v>
      </c>
      <c r="K563" s="220">
        <f t="shared" si="13"/>
        <v>2.2319999999999993</v>
      </c>
      <c r="L563" s="255"/>
    </row>
    <row r="564" spans="2:12">
      <c r="B564" s="249" t="s">
        <v>1622</v>
      </c>
      <c r="C564" s="189" t="s">
        <v>1611</v>
      </c>
      <c r="D564" s="190" t="s">
        <v>169</v>
      </c>
      <c r="E564" s="199">
        <v>6.83</v>
      </c>
      <c r="F564" s="199">
        <v>0.25</v>
      </c>
      <c r="G564" s="199">
        <v>0.6</v>
      </c>
      <c r="H564" s="199"/>
      <c r="I564" s="199">
        <f t="shared" si="11"/>
        <v>9.9034999999999993</v>
      </c>
      <c r="J564" s="219">
        <f t="shared" si="12"/>
        <v>1.0245</v>
      </c>
      <c r="K564" s="220">
        <f t="shared" si="13"/>
        <v>9.9034999999999993</v>
      </c>
      <c r="L564" s="255"/>
    </row>
    <row r="565" spans="2:12">
      <c r="B565" s="249" t="s">
        <v>1622</v>
      </c>
      <c r="C565" s="189" t="s">
        <v>1611</v>
      </c>
      <c r="D565" s="190" t="s">
        <v>169</v>
      </c>
      <c r="E565" s="199">
        <v>7.5</v>
      </c>
      <c r="F565" s="199">
        <v>0.25</v>
      </c>
      <c r="G565" s="199">
        <v>1</v>
      </c>
      <c r="H565" s="199"/>
      <c r="I565" s="199">
        <f t="shared" si="11"/>
        <v>16.875</v>
      </c>
      <c r="J565" s="219">
        <f t="shared" si="12"/>
        <v>1.875</v>
      </c>
      <c r="K565" s="220">
        <f t="shared" si="13"/>
        <v>16.875</v>
      </c>
      <c r="L565" s="255"/>
    </row>
    <row r="566" spans="2:12">
      <c r="B566" s="249" t="s">
        <v>1622</v>
      </c>
      <c r="C566" s="189" t="s">
        <v>1611</v>
      </c>
      <c r="D566" s="190" t="s">
        <v>169</v>
      </c>
      <c r="E566" s="199">
        <v>6.17</v>
      </c>
      <c r="F566" s="199">
        <v>0.25</v>
      </c>
      <c r="G566" s="199">
        <v>0.6</v>
      </c>
      <c r="H566" s="199"/>
      <c r="I566" s="199">
        <f t="shared" si="11"/>
        <v>8.9465000000000003</v>
      </c>
      <c r="J566" s="219">
        <f t="shared" si="12"/>
        <v>0.92549999999999999</v>
      </c>
      <c r="K566" s="220">
        <f t="shared" si="13"/>
        <v>8.9465000000000003</v>
      </c>
      <c r="L566" s="255"/>
    </row>
    <row r="567" spans="2:12">
      <c r="B567" s="249" t="s">
        <v>1623</v>
      </c>
      <c r="C567" s="189" t="s">
        <v>1611</v>
      </c>
      <c r="D567" s="190" t="s">
        <v>169</v>
      </c>
      <c r="E567" s="199">
        <v>11.82</v>
      </c>
      <c r="F567" s="199">
        <v>0.2</v>
      </c>
      <c r="G567" s="199">
        <v>0.8</v>
      </c>
      <c r="H567" s="199"/>
      <c r="I567" s="199">
        <f t="shared" ref="I567:I588" si="14">E567*(2*G567+F567)</f>
        <v>21.276</v>
      </c>
      <c r="J567" s="219">
        <f t="shared" ref="J567:J588" si="15">E567*F567*G567</f>
        <v>1.8912000000000004</v>
      </c>
      <c r="K567" s="220">
        <f t="shared" ref="K567:K589" si="16">IF(E567*F567*G567&lt;&gt;0,E567*F567*G567,IF(E567*F567&lt;&gt;0,E567*F567,IF(F567*G567&lt;&gt;0,F567*G567,IF(E567*G567&lt;&gt;0,E567*G567,IF(E567&lt;&gt;0,E567,IF(F567&lt;&gt;0,F567,IF(G567&lt;&gt;0,G567,0)))))))*(IF(H567&lt;&gt;0,H567,1))+I567-J567</f>
        <v>21.276</v>
      </c>
      <c r="L567" s="255"/>
    </row>
    <row r="568" spans="2:12">
      <c r="B568" s="249" t="s">
        <v>1624</v>
      </c>
      <c r="C568" s="189" t="s">
        <v>1611</v>
      </c>
      <c r="D568" s="190" t="s">
        <v>169</v>
      </c>
      <c r="E568" s="199">
        <v>19.25</v>
      </c>
      <c r="F568" s="199">
        <v>0.25</v>
      </c>
      <c r="G568" s="199">
        <v>0.7</v>
      </c>
      <c r="H568" s="199"/>
      <c r="I568" s="199">
        <f t="shared" si="14"/>
        <v>31.762499999999999</v>
      </c>
      <c r="J568" s="219">
        <f t="shared" si="15"/>
        <v>3.3687499999999999</v>
      </c>
      <c r="K568" s="220">
        <f t="shared" si="16"/>
        <v>31.762500000000003</v>
      </c>
      <c r="L568" s="255"/>
    </row>
    <row r="569" spans="2:12">
      <c r="B569" s="249" t="s">
        <v>1625</v>
      </c>
      <c r="C569" s="189" t="s">
        <v>1611</v>
      </c>
      <c r="D569" s="190" t="s">
        <v>169</v>
      </c>
      <c r="E569" s="199">
        <v>5.14</v>
      </c>
      <c r="F569" s="199">
        <v>0.15</v>
      </c>
      <c r="G569" s="199">
        <v>0.6</v>
      </c>
      <c r="H569" s="199"/>
      <c r="I569" s="199">
        <f t="shared" si="14"/>
        <v>6.9389999999999992</v>
      </c>
      <c r="J569" s="219">
        <f t="shared" si="15"/>
        <v>0.4625999999999999</v>
      </c>
      <c r="K569" s="220">
        <f t="shared" si="16"/>
        <v>6.9389999999999992</v>
      </c>
      <c r="L569" s="255"/>
    </row>
    <row r="570" spans="2:12">
      <c r="B570" s="249" t="s">
        <v>1626</v>
      </c>
      <c r="C570" s="189" t="s">
        <v>1611</v>
      </c>
      <c r="D570" s="190" t="s">
        <v>169</v>
      </c>
      <c r="E570" s="199">
        <v>6.34</v>
      </c>
      <c r="F570" s="199">
        <v>0.2</v>
      </c>
      <c r="G570" s="199">
        <v>0.6</v>
      </c>
      <c r="H570" s="199"/>
      <c r="I570" s="199">
        <f t="shared" si="14"/>
        <v>8.8759999999999994</v>
      </c>
      <c r="J570" s="219">
        <f t="shared" si="15"/>
        <v>0.76080000000000003</v>
      </c>
      <c r="K570" s="220">
        <f t="shared" si="16"/>
        <v>8.8759999999999994</v>
      </c>
      <c r="L570" s="255"/>
    </row>
    <row r="571" spans="2:12">
      <c r="B571" s="249" t="s">
        <v>1626</v>
      </c>
      <c r="C571" s="189" t="s">
        <v>1611</v>
      </c>
      <c r="D571" s="190" t="s">
        <v>169</v>
      </c>
      <c r="E571" s="199">
        <v>3.78</v>
      </c>
      <c r="F571" s="199">
        <v>0.2</v>
      </c>
      <c r="G571" s="199">
        <v>0.7</v>
      </c>
      <c r="H571" s="199"/>
      <c r="I571" s="199">
        <f t="shared" si="14"/>
        <v>6.0479999999999992</v>
      </c>
      <c r="J571" s="219">
        <f t="shared" si="15"/>
        <v>0.5292</v>
      </c>
      <c r="K571" s="220">
        <f t="shared" si="16"/>
        <v>6.0479999999999992</v>
      </c>
      <c r="L571" s="255"/>
    </row>
    <row r="572" spans="2:12">
      <c r="B572" s="249" t="s">
        <v>1627</v>
      </c>
      <c r="C572" s="189" t="s">
        <v>1611</v>
      </c>
      <c r="D572" s="190" t="s">
        <v>169</v>
      </c>
      <c r="E572" s="199">
        <v>35.049999999999997</v>
      </c>
      <c r="F572" s="199">
        <v>0.2</v>
      </c>
      <c r="G572" s="199">
        <v>0.7</v>
      </c>
      <c r="H572" s="199"/>
      <c r="I572" s="199">
        <f t="shared" si="14"/>
        <v>56.079999999999991</v>
      </c>
      <c r="J572" s="219">
        <f t="shared" si="15"/>
        <v>4.9069999999999991</v>
      </c>
      <c r="K572" s="220">
        <f t="shared" si="16"/>
        <v>56.079999999999991</v>
      </c>
      <c r="L572" s="255"/>
    </row>
    <row r="573" spans="2:12">
      <c r="B573" s="249" t="s">
        <v>1627</v>
      </c>
      <c r="C573" s="189" t="s">
        <v>1611</v>
      </c>
      <c r="D573" s="190" t="s">
        <v>169</v>
      </c>
      <c r="E573" s="199">
        <v>5.05</v>
      </c>
      <c r="F573" s="199">
        <v>0.2</v>
      </c>
      <c r="G573" s="199">
        <v>1</v>
      </c>
      <c r="H573" s="199"/>
      <c r="I573" s="199">
        <f t="shared" si="14"/>
        <v>11.110000000000001</v>
      </c>
      <c r="J573" s="219">
        <f t="shared" si="15"/>
        <v>1.01</v>
      </c>
      <c r="K573" s="220">
        <f t="shared" si="16"/>
        <v>11.110000000000001</v>
      </c>
      <c r="L573" s="255"/>
    </row>
    <row r="574" spans="2:12">
      <c r="B574" s="249" t="s">
        <v>1628</v>
      </c>
      <c r="C574" s="189" t="s">
        <v>1611</v>
      </c>
      <c r="D574" s="190" t="s">
        <v>169</v>
      </c>
      <c r="E574" s="199">
        <v>12.91</v>
      </c>
      <c r="F574" s="199">
        <v>0.25</v>
      </c>
      <c r="G574" s="199">
        <v>0.7</v>
      </c>
      <c r="H574" s="199"/>
      <c r="I574" s="199">
        <f t="shared" si="14"/>
        <v>21.301500000000001</v>
      </c>
      <c r="J574" s="219">
        <f t="shared" si="15"/>
        <v>2.2592499999999998</v>
      </c>
      <c r="K574" s="220">
        <f t="shared" si="16"/>
        <v>21.301499999999997</v>
      </c>
      <c r="L574" s="255"/>
    </row>
    <row r="575" spans="2:12">
      <c r="B575" s="249" t="s">
        <v>1629</v>
      </c>
      <c r="C575" s="189" t="s">
        <v>1611</v>
      </c>
      <c r="D575" s="190" t="s">
        <v>169</v>
      </c>
      <c r="E575" s="199">
        <v>9.65</v>
      </c>
      <c r="F575" s="199">
        <v>0.3</v>
      </c>
      <c r="G575" s="199">
        <v>0.7</v>
      </c>
      <c r="H575" s="199"/>
      <c r="I575" s="199">
        <f t="shared" si="14"/>
        <v>16.405000000000001</v>
      </c>
      <c r="J575" s="219">
        <f t="shared" si="15"/>
        <v>2.0265</v>
      </c>
      <c r="K575" s="220">
        <f t="shared" si="16"/>
        <v>16.405000000000001</v>
      </c>
      <c r="L575" s="255"/>
    </row>
    <row r="576" spans="2:12">
      <c r="B576" s="249" t="s">
        <v>1629</v>
      </c>
      <c r="C576" s="189" t="s">
        <v>1611</v>
      </c>
      <c r="D576" s="190" t="s">
        <v>169</v>
      </c>
      <c r="E576" s="199">
        <v>2.91</v>
      </c>
      <c r="F576" s="199">
        <v>0.3</v>
      </c>
      <c r="G576" s="199">
        <v>0.65</v>
      </c>
      <c r="H576" s="199"/>
      <c r="I576" s="199">
        <f t="shared" si="14"/>
        <v>4.6560000000000006</v>
      </c>
      <c r="J576" s="219">
        <f t="shared" si="15"/>
        <v>0.56745000000000001</v>
      </c>
      <c r="K576" s="220">
        <f t="shared" si="16"/>
        <v>4.6560000000000006</v>
      </c>
      <c r="L576" s="255"/>
    </row>
    <row r="577" spans="2:12">
      <c r="B577" s="249" t="s">
        <v>1630</v>
      </c>
      <c r="C577" s="189" t="s">
        <v>1611</v>
      </c>
      <c r="D577" s="190" t="s">
        <v>169</v>
      </c>
      <c r="E577" s="199">
        <v>12.35</v>
      </c>
      <c r="F577" s="199">
        <v>0.15</v>
      </c>
      <c r="G577" s="199">
        <v>0.7</v>
      </c>
      <c r="H577" s="199"/>
      <c r="I577" s="199">
        <f t="shared" si="14"/>
        <v>19.142499999999998</v>
      </c>
      <c r="J577" s="219">
        <f t="shared" si="15"/>
        <v>1.2967499999999998</v>
      </c>
      <c r="K577" s="220">
        <f t="shared" si="16"/>
        <v>19.142499999999998</v>
      </c>
      <c r="L577" s="255"/>
    </row>
    <row r="578" spans="2:12">
      <c r="B578" s="249" t="s">
        <v>1631</v>
      </c>
      <c r="C578" s="189" t="s">
        <v>1611</v>
      </c>
      <c r="D578" s="190" t="s">
        <v>169</v>
      </c>
      <c r="E578" s="199">
        <v>16.260000000000002</v>
      </c>
      <c r="F578" s="199">
        <v>0.15</v>
      </c>
      <c r="G578" s="199">
        <v>1</v>
      </c>
      <c r="H578" s="199"/>
      <c r="I578" s="199">
        <f t="shared" si="14"/>
        <v>34.959000000000003</v>
      </c>
      <c r="J578" s="219">
        <f t="shared" si="15"/>
        <v>2.4390000000000001</v>
      </c>
      <c r="K578" s="220">
        <f t="shared" si="16"/>
        <v>34.959000000000003</v>
      </c>
      <c r="L578" s="255"/>
    </row>
    <row r="579" spans="2:12">
      <c r="B579" s="249" t="s">
        <v>1632</v>
      </c>
      <c r="C579" s="189" t="s">
        <v>1611</v>
      </c>
      <c r="D579" s="190" t="s">
        <v>169</v>
      </c>
      <c r="E579" s="199">
        <v>9.77</v>
      </c>
      <c r="F579" s="199">
        <v>0.3</v>
      </c>
      <c r="G579" s="199">
        <v>0.6</v>
      </c>
      <c r="H579" s="199"/>
      <c r="I579" s="199">
        <f t="shared" si="14"/>
        <v>14.654999999999999</v>
      </c>
      <c r="J579" s="219">
        <f t="shared" si="15"/>
        <v>1.7585999999999997</v>
      </c>
      <c r="K579" s="220">
        <f t="shared" si="16"/>
        <v>14.654999999999999</v>
      </c>
      <c r="L579" s="255"/>
    </row>
    <row r="580" spans="2:12">
      <c r="B580" s="249" t="s">
        <v>1633</v>
      </c>
      <c r="C580" s="189" t="s">
        <v>1611</v>
      </c>
      <c r="D580" s="190" t="s">
        <v>169</v>
      </c>
      <c r="E580" s="199">
        <v>8.8000000000000007</v>
      </c>
      <c r="F580" s="199">
        <v>0.15</v>
      </c>
      <c r="G580" s="199">
        <v>0.8</v>
      </c>
      <c r="H580" s="199"/>
      <c r="I580" s="199">
        <f t="shared" si="14"/>
        <v>15.400000000000002</v>
      </c>
      <c r="J580" s="219">
        <f t="shared" si="15"/>
        <v>1.056</v>
      </c>
      <c r="K580" s="220">
        <f t="shared" si="16"/>
        <v>15.400000000000002</v>
      </c>
      <c r="L580" s="255"/>
    </row>
    <row r="581" spans="2:12">
      <c r="B581" s="249" t="s">
        <v>1634</v>
      </c>
      <c r="C581" s="189" t="s">
        <v>1611</v>
      </c>
      <c r="D581" s="190" t="s">
        <v>169</v>
      </c>
      <c r="E581" s="199">
        <v>3.82</v>
      </c>
      <c r="F581" s="199">
        <v>0.3</v>
      </c>
      <c r="G581" s="199">
        <v>0.6</v>
      </c>
      <c r="H581" s="199"/>
      <c r="I581" s="199">
        <f t="shared" si="14"/>
        <v>5.7299999999999995</v>
      </c>
      <c r="J581" s="219">
        <f t="shared" si="15"/>
        <v>0.68759999999999988</v>
      </c>
      <c r="K581" s="220">
        <f t="shared" si="16"/>
        <v>5.7299999999999995</v>
      </c>
      <c r="L581" s="255"/>
    </row>
    <row r="582" spans="2:12">
      <c r="B582" s="249" t="s">
        <v>1635</v>
      </c>
      <c r="C582" s="189" t="s">
        <v>1611</v>
      </c>
      <c r="D582" s="190" t="s">
        <v>169</v>
      </c>
      <c r="E582" s="199">
        <v>2.54</v>
      </c>
      <c r="F582" s="199">
        <v>0.15</v>
      </c>
      <c r="G582" s="199">
        <v>0.6</v>
      </c>
      <c r="H582" s="199"/>
      <c r="I582" s="199">
        <f t="shared" si="14"/>
        <v>3.4289999999999998</v>
      </c>
      <c r="J582" s="219">
        <f t="shared" si="15"/>
        <v>0.2286</v>
      </c>
      <c r="K582" s="220">
        <f t="shared" si="16"/>
        <v>3.4289999999999998</v>
      </c>
      <c r="L582" s="255"/>
    </row>
    <row r="583" spans="2:12">
      <c r="B583" s="249" t="s">
        <v>1636</v>
      </c>
      <c r="C583" s="189" t="s">
        <v>1611</v>
      </c>
      <c r="D583" s="190" t="s">
        <v>169</v>
      </c>
      <c r="E583" s="199">
        <v>9.4</v>
      </c>
      <c r="F583" s="199">
        <v>0.2</v>
      </c>
      <c r="G583" s="199">
        <v>0.6</v>
      </c>
      <c r="H583" s="199"/>
      <c r="I583" s="199">
        <f t="shared" si="14"/>
        <v>13.16</v>
      </c>
      <c r="J583" s="219">
        <f t="shared" si="15"/>
        <v>1.1280000000000001</v>
      </c>
      <c r="K583" s="220">
        <f t="shared" si="16"/>
        <v>13.16</v>
      </c>
      <c r="L583" s="255"/>
    </row>
    <row r="584" spans="2:12">
      <c r="B584" s="249" t="s">
        <v>1637</v>
      </c>
      <c r="C584" s="189" t="s">
        <v>1611</v>
      </c>
      <c r="D584" s="190" t="s">
        <v>169</v>
      </c>
      <c r="E584" s="199">
        <v>3.84</v>
      </c>
      <c r="F584" s="199">
        <v>0.2</v>
      </c>
      <c r="G584" s="199">
        <v>0.7</v>
      </c>
      <c r="H584" s="199"/>
      <c r="I584" s="199">
        <f t="shared" si="14"/>
        <v>6.1439999999999992</v>
      </c>
      <c r="J584" s="219">
        <f t="shared" si="15"/>
        <v>0.53759999999999997</v>
      </c>
      <c r="K584" s="220">
        <f t="shared" si="16"/>
        <v>6.1439999999999992</v>
      </c>
      <c r="L584" s="255"/>
    </row>
    <row r="585" spans="2:12">
      <c r="B585" s="249" t="s">
        <v>1638</v>
      </c>
      <c r="C585" s="189" t="s">
        <v>1611</v>
      </c>
      <c r="D585" s="190" t="s">
        <v>169</v>
      </c>
      <c r="E585" s="199">
        <v>2.84</v>
      </c>
      <c r="F585" s="199">
        <v>0.2</v>
      </c>
      <c r="G585" s="199">
        <v>0.6</v>
      </c>
      <c r="H585" s="199"/>
      <c r="I585" s="199">
        <f t="shared" si="14"/>
        <v>3.9759999999999995</v>
      </c>
      <c r="J585" s="219">
        <f t="shared" si="15"/>
        <v>0.34079999999999994</v>
      </c>
      <c r="K585" s="220">
        <f t="shared" si="16"/>
        <v>3.976</v>
      </c>
      <c r="L585" s="255"/>
    </row>
    <row r="586" spans="2:12">
      <c r="B586" s="249" t="s">
        <v>1639</v>
      </c>
      <c r="C586" s="189" t="s">
        <v>1611</v>
      </c>
      <c r="D586" s="190" t="s">
        <v>169</v>
      </c>
      <c r="E586" s="199">
        <v>9.4700000000000006</v>
      </c>
      <c r="F586" s="199">
        <v>0.15</v>
      </c>
      <c r="G586" s="199">
        <v>1</v>
      </c>
      <c r="H586" s="199"/>
      <c r="I586" s="199">
        <f t="shared" si="14"/>
        <v>20.360500000000002</v>
      </c>
      <c r="J586" s="219">
        <f t="shared" si="15"/>
        <v>1.4205000000000001</v>
      </c>
      <c r="K586" s="220">
        <f t="shared" si="16"/>
        <v>20.360500000000002</v>
      </c>
      <c r="L586" s="255"/>
    </row>
    <row r="587" spans="2:12">
      <c r="B587" s="249" t="s">
        <v>1640</v>
      </c>
      <c r="C587" s="189" t="s">
        <v>1611</v>
      </c>
      <c r="D587" s="190" t="s">
        <v>169</v>
      </c>
      <c r="E587" s="199">
        <v>21.33</v>
      </c>
      <c r="F587" s="199">
        <v>0.15</v>
      </c>
      <c r="G587" s="199">
        <v>1</v>
      </c>
      <c r="H587" s="199"/>
      <c r="I587" s="199">
        <f t="shared" si="14"/>
        <v>45.859499999999997</v>
      </c>
      <c r="J587" s="219">
        <f t="shared" si="15"/>
        <v>3.1994999999999996</v>
      </c>
      <c r="K587" s="220">
        <f t="shared" si="16"/>
        <v>45.859499999999997</v>
      </c>
      <c r="L587" s="255"/>
    </row>
    <row r="588" spans="2:12">
      <c r="B588" s="249" t="s">
        <v>1641</v>
      </c>
      <c r="C588" s="189" t="s">
        <v>1611</v>
      </c>
      <c r="D588" s="190" t="s">
        <v>169</v>
      </c>
      <c r="E588" s="199">
        <v>4.58</v>
      </c>
      <c r="F588" s="199">
        <v>0.2</v>
      </c>
      <c r="G588" s="199">
        <v>0.6</v>
      </c>
      <c r="H588" s="199"/>
      <c r="I588" s="199">
        <f t="shared" si="14"/>
        <v>6.4119999999999999</v>
      </c>
      <c r="J588" s="219">
        <f t="shared" si="15"/>
        <v>0.54959999999999998</v>
      </c>
      <c r="K588" s="220">
        <f t="shared" si="16"/>
        <v>6.4119999999999999</v>
      </c>
      <c r="L588" s="255"/>
    </row>
    <row r="589" spans="2:12">
      <c r="B589" s="249"/>
      <c r="C589" s="250"/>
      <c r="D589" s="205"/>
      <c r="E589" s="199"/>
      <c r="F589" s="199"/>
      <c r="G589" s="199"/>
      <c r="H589" s="199"/>
      <c r="I589" s="199"/>
      <c r="J589" s="219"/>
      <c r="K589" s="220">
        <f t="shared" si="16"/>
        <v>0</v>
      </c>
      <c r="L589" s="255"/>
    </row>
    <row r="590" spans="2:12">
      <c r="B590" s="208"/>
      <c r="C590" s="204"/>
      <c r="D590" s="204"/>
      <c r="E590" s="204"/>
      <c r="F590" s="204"/>
      <c r="G590" s="204"/>
      <c r="H590" s="204"/>
      <c r="I590" s="557" t="s">
        <v>1221</v>
      </c>
      <c r="J590" s="557"/>
      <c r="K590" s="262">
        <f>SUM(K503:K589)</f>
        <v>1531.6890000000005</v>
      </c>
      <c r="L590" s="207"/>
    </row>
    <row r="591" spans="2:12">
      <c r="B591" s="208"/>
      <c r="C591" s="204"/>
      <c r="D591" s="204"/>
      <c r="E591" s="204"/>
      <c r="F591" s="204"/>
      <c r="G591" s="204"/>
      <c r="H591" s="209"/>
      <c r="I591" s="557" t="s">
        <v>1222</v>
      </c>
      <c r="J591" s="557"/>
      <c r="K591" s="221">
        <f>VLOOKUP(B501,'BM 004'!$B$27:$R$590,4,0)</f>
        <v>3575</v>
      </c>
      <c r="L591" s="207"/>
    </row>
    <row r="592" spans="2:12">
      <c r="B592" s="208"/>
      <c r="C592" s="204"/>
      <c r="D592" s="204"/>
      <c r="E592" s="204"/>
      <c r="F592" s="204"/>
      <c r="G592" s="204"/>
      <c r="H592" s="558" t="s">
        <v>1223</v>
      </c>
      <c r="I592" s="558"/>
      <c r="J592" s="558"/>
      <c r="K592" s="222">
        <v>969.43200000000002</v>
      </c>
      <c r="L592" s="207"/>
    </row>
    <row r="593" spans="2:12">
      <c r="B593" s="208"/>
      <c r="C593" s="204"/>
      <c r="D593" s="204"/>
      <c r="E593" s="204"/>
      <c r="F593" s="204"/>
      <c r="G593" s="204"/>
      <c r="H593" s="558" t="s">
        <v>1579</v>
      </c>
      <c r="I593" s="558"/>
      <c r="J593" s="558"/>
      <c r="K593" s="222">
        <f>TRUNC(SUMIF(C503:C589,H593,K503:K589),2)</f>
        <v>562.25</v>
      </c>
      <c r="L593" s="207"/>
    </row>
    <row r="594" spans="2:12">
      <c r="B594" s="213"/>
      <c r="C594" s="214"/>
      <c r="D594" s="214"/>
      <c r="E594" s="214"/>
      <c r="F594" s="214"/>
      <c r="G594" s="214"/>
      <c r="H594" s="559" t="s">
        <v>1224</v>
      </c>
      <c r="I594" s="559"/>
      <c r="J594" s="559"/>
      <c r="K594" s="223">
        <f>IF(K590&gt;K591,K590-K591,0)</f>
        <v>0</v>
      </c>
      <c r="L594" s="209"/>
    </row>
    <row r="596" spans="2:12">
      <c r="B596" s="247" t="s">
        <v>197</v>
      </c>
      <c r="C596" s="565" t="str">
        <f>VLOOKUP(B596,'BM 004'!$B$27:$R$590,2,0)</f>
        <v xml:space="preserve">Armação de pilar ou viga de uma estrutura convencional de concreto armado em um edifício de múltiplos pavimentos utilizando aço ca-60 de 5,0 mm - montagem. </v>
      </c>
      <c r="D596" s="565"/>
      <c r="E596" s="565"/>
      <c r="F596" s="565"/>
      <c r="G596" s="565"/>
      <c r="H596" s="565"/>
      <c r="I596" s="565"/>
      <c r="J596" s="565"/>
      <c r="K596" s="565"/>
      <c r="L596" s="565"/>
    </row>
    <row r="597" spans="2:12">
      <c r="B597" s="248" t="s">
        <v>1209</v>
      </c>
      <c r="C597" s="248"/>
      <c r="D597" s="248" t="s">
        <v>39</v>
      </c>
      <c r="E597" s="248" t="s">
        <v>1210</v>
      </c>
      <c r="F597" s="248" t="s">
        <v>1382</v>
      </c>
      <c r="G597" s="248" t="s">
        <v>1383</v>
      </c>
      <c r="H597" s="248" t="s">
        <v>1384</v>
      </c>
      <c r="I597" s="248" t="s">
        <v>1214</v>
      </c>
      <c r="J597" s="248" t="s">
        <v>1385</v>
      </c>
      <c r="K597" s="248" t="s">
        <v>1216</v>
      </c>
      <c r="L597" s="248" t="s">
        <v>1217</v>
      </c>
    </row>
    <row r="598" spans="2:12">
      <c r="B598" s="249" t="s">
        <v>1367</v>
      </c>
      <c r="C598" s="250" t="s">
        <v>1333</v>
      </c>
      <c r="D598" s="205" t="s">
        <v>152</v>
      </c>
      <c r="E598" s="251">
        <v>661</v>
      </c>
      <c r="F598" s="252">
        <v>0.154</v>
      </c>
      <c r="G598" s="251"/>
      <c r="H598" s="251">
        <v>1.1000000000000001</v>
      </c>
      <c r="I598" s="251"/>
      <c r="J598" s="253"/>
      <c r="K598" s="254">
        <f t="shared" ref="K598:K610" si="17">IF(E598*F598*G598&lt;&gt;0,E598*F598*G598,IF(E598*F598&lt;&gt;0,E598*F598,IF(F598*G598&lt;&gt;0,F598*G598,IF(E598*G598&lt;&gt;0,E598*G598,IF(E598&lt;&gt;0,E598,IF(F598&lt;&gt;0,F598,IF(G598&lt;&gt;0,G598,0)))))))*(IF(H598&lt;&gt;0,H598,1))+I598-J598</f>
        <v>111.97340000000001</v>
      </c>
      <c r="L598" s="255"/>
    </row>
    <row r="599" spans="2:12">
      <c r="B599" s="249" t="s">
        <v>1386</v>
      </c>
      <c r="C599" s="250" t="s">
        <v>1333</v>
      </c>
      <c r="D599" s="205" t="s">
        <v>152</v>
      </c>
      <c r="E599" s="251">
        <v>433</v>
      </c>
      <c r="F599" s="252">
        <v>0.154</v>
      </c>
      <c r="G599" s="251"/>
      <c r="H599" s="251">
        <v>1.1000000000000001</v>
      </c>
      <c r="I599" s="251"/>
      <c r="J599" s="253"/>
      <c r="K599" s="254">
        <f t="shared" si="17"/>
        <v>73.350200000000015</v>
      </c>
      <c r="L599" s="255"/>
    </row>
    <row r="600" spans="2:12">
      <c r="B600" s="263" t="s">
        <v>1475</v>
      </c>
      <c r="C600" s="264" t="s">
        <v>1441</v>
      </c>
      <c r="D600" s="205" t="s">
        <v>152</v>
      </c>
      <c r="E600" s="251">
        <v>257</v>
      </c>
      <c r="F600" s="252">
        <v>0.154</v>
      </c>
      <c r="G600" s="251"/>
      <c r="H600" s="251">
        <v>1.1000000000000001</v>
      </c>
      <c r="I600" s="251"/>
      <c r="J600" s="253"/>
      <c r="K600" s="254">
        <f t="shared" si="17"/>
        <v>43.535800000000009</v>
      </c>
      <c r="L600" s="255"/>
    </row>
    <row r="601" spans="2:12">
      <c r="B601" s="263" t="s">
        <v>1476</v>
      </c>
      <c r="C601" s="264" t="s">
        <v>1441</v>
      </c>
      <c r="D601" s="205" t="s">
        <v>152</v>
      </c>
      <c r="E601" s="251">
        <v>402</v>
      </c>
      <c r="F601" s="252">
        <v>0.154</v>
      </c>
      <c r="G601" s="251"/>
      <c r="H601" s="251">
        <v>1.1000000000000001</v>
      </c>
      <c r="I601" s="251"/>
      <c r="J601" s="253"/>
      <c r="K601" s="254">
        <f t="shared" si="17"/>
        <v>68.098800000000011</v>
      </c>
      <c r="L601" s="255"/>
    </row>
    <row r="602" spans="2:12">
      <c r="B602" s="263" t="s">
        <v>1552</v>
      </c>
      <c r="C602" s="264" t="s">
        <v>1521</v>
      </c>
      <c r="D602" s="205" t="s">
        <v>152</v>
      </c>
      <c r="E602" s="251">
        <v>759</v>
      </c>
      <c r="F602" s="252">
        <v>0.154</v>
      </c>
      <c r="G602" s="251"/>
      <c r="H602" s="251">
        <v>1.1000000000000001</v>
      </c>
      <c r="I602" s="251"/>
      <c r="J602" s="253"/>
      <c r="K602" s="254">
        <f t="shared" si="17"/>
        <v>128.5746</v>
      </c>
      <c r="L602" s="266"/>
    </row>
    <row r="603" spans="2:12">
      <c r="B603" s="263" t="s">
        <v>1553</v>
      </c>
      <c r="C603" s="264" t="s">
        <v>1521</v>
      </c>
      <c r="D603" s="205" t="s">
        <v>152</v>
      </c>
      <c r="E603" s="251">
        <v>239</v>
      </c>
      <c r="F603" s="252">
        <v>0.154</v>
      </c>
      <c r="G603" s="251"/>
      <c r="H603" s="251">
        <v>1.1000000000000001</v>
      </c>
      <c r="I603" s="251"/>
      <c r="J603" s="253"/>
      <c r="K603" s="254">
        <f t="shared" si="17"/>
        <v>40.486600000000003</v>
      </c>
      <c r="L603" s="266"/>
    </row>
    <row r="604" spans="2:12">
      <c r="B604" s="263" t="s">
        <v>1642</v>
      </c>
      <c r="C604" s="264" t="s">
        <v>1611</v>
      </c>
      <c r="D604" s="205" t="s">
        <v>152</v>
      </c>
      <c r="E604" s="251">
        <v>433</v>
      </c>
      <c r="F604" s="252">
        <v>0.154</v>
      </c>
      <c r="G604" s="251"/>
      <c r="H604" s="251">
        <v>1.1000000000000001</v>
      </c>
      <c r="I604" s="251"/>
      <c r="J604" s="253"/>
      <c r="K604" s="254">
        <f t="shared" si="17"/>
        <v>73.350200000000015</v>
      </c>
      <c r="L604" s="266"/>
    </row>
    <row r="605" spans="2:12">
      <c r="B605" s="263" t="s">
        <v>1643</v>
      </c>
      <c r="C605" s="264" t="s">
        <v>1611</v>
      </c>
      <c r="D605" s="205" t="s">
        <v>152</v>
      </c>
      <c r="E605" s="251">
        <v>276</v>
      </c>
      <c r="F605" s="252">
        <v>0.154</v>
      </c>
      <c r="G605" s="251"/>
      <c r="H605" s="251">
        <v>1.1000000000000001</v>
      </c>
      <c r="I605" s="251"/>
      <c r="J605" s="253"/>
      <c r="K605" s="254">
        <f t="shared" si="17"/>
        <v>46.754400000000004</v>
      </c>
      <c r="L605" s="266"/>
    </row>
    <row r="606" spans="2:12">
      <c r="B606" s="263" t="s">
        <v>1644</v>
      </c>
      <c r="C606" s="264" t="s">
        <v>1612</v>
      </c>
      <c r="D606" s="205" t="s">
        <v>152</v>
      </c>
      <c r="E606" s="251">
        <v>214</v>
      </c>
      <c r="F606" s="252">
        <v>0.154</v>
      </c>
      <c r="G606" s="251"/>
      <c r="H606" s="251">
        <v>1.1000000000000001</v>
      </c>
      <c r="I606" s="251"/>
      <c r="J606" s="253"/>
      <c r="K606" s="254">
        <f t="shared" si="17"/>
        <v>36.251600000000003</v>
      </c>
      <c r="L606" s="266"/>
    </row>
    <row r="607" spans="2:12">
      <c r="B607" s="263" t="s">
        <v>1645</v>
      </c>
      <c r="C607" s="264" t="s">
        <v>1612</v>
      </c>
      <c r="D607" s="205" t="s">
        <v>152</v>
      </c>
      <c r="E607" s="251">
        <v>580</v>
      </c>
      <c r="F607" s="252">
        <v>0.154</v>
      </c>
      <c r="G607" s="251"/>
      <c r="H607" s="251">
        <v>1.1000000000000001</v>
      </c>
      <c r="I607" s="251"/>
      <c r="J607" s="253"/>
      <c r="K607" s="254">
        <f t="shared" si="17"/>
        <v>98.251999999999995</v>
      </c>
      <c r="L607" s="255"/>
    </row>
    <row r="608" spans="2:12">
      <c r="B608" s="263" t="s">
        <v>1646</v>
      </c>
      <c r="C608" s="264" t="s">
        <v>1612</v>
      </c>
      <c r="D608" s="205" t="s">
        <v>152</v>
      </c>
      <c r="E608" s="251">
        <v>565</v>
      </c>
      <c r="F608" s="252">
        <v>0.154</v>
      </c>
      <c r="G608" s="251"/>
      <c r="H608" s="251">
        <v>1.1000000000000001</v>
      </c>
      <c r="I608" s="251"/>
      <c r="J608" s="253"/>
      <c r="K608" s="254">
        <f t="shared" si="17"/>
        <v>95.711000000000013</v>
      </c>
      <c r="L608" s="255"/>
    </row>
    <row r="609" spans="2:12">
      <c r="B609" s="263" t="s">
        <v>1647</v>
      </c>
      <c r="C609" s="264" t="s">
        <v>1613</v>
      </c>
      <c r="D609" s="205" t="s">
        <v>152</v>
      </c>
      <c r="E609" s="257">
        <v>951</v>
      </c>
      <c r="F609" s="258">
        <v>0.154</v>
      </c>
      <c r="G609" s="257"/>
      <c r="H609" s="257">
        <v>1.1000000000000001</v>
      </c>
      <c r="I609" s="251"/>
      <c r="J609" s="253"/>
      <c r="K609" s="254">
        <f t="shared" si="17"/>
        <v>161.09940000000003</v>
      </c>
      <c r="L609" s="255"/>
    </row>
    <row r="610" spans="2:12">
      <c r="B610" s="256"/>
      <c r="C610" s="210"/>
      <c r="D610" s="210"/>
      <c r="E610" s="257"/>
      <c r="F610" s="258"/>
      <c r="G610" s="257"/>
      <c r="H610" s="257"/>
      <c r="I610" s="251"/>
      <c r="J610" s="253"/>
      <c r="K610" s="254">
        <f t="shared" si="17"/>
        <v>0</v>
      </c>
      <c r="L610" s="205"/>
    </row>
    <row r="611" spans="2:12">
      <c r="B611" s="202"/>
      <c r="C611" s="203"/>
      <c r="D611" s="203"/>
      <c r="E611" s="203"/>
      <c r="F611" s="203"/>
      <c r="G611" s="203"/>
      <c r="H611" s="204"/>
      <c r="I611" s="557" t="s">
        <v>1221</v>
      </c>
      <c r="J611" s="557"/>
      <c r="K611" s="262">
        <f>SUM(K598:K610)</f>
        <v>977.43800000000022</v>
      </c>
      <c r="L611" s="207"/>
    </row>
    <row r="612" spans="2:12">
      <c r="B612" s="208"/>
      <c r="C612" s="204"/>
      <c r="D612" s="204"/>
      <c r="E612" s="204"/>
      <c r="F612" s="204"/>
      <c r="G612" s="204"/>
      <c r="H612" s="209"/>
      <c r="I612" s="557" t="s">
        <v>1222</v>
      </c>
      <c r="J612" s="557"/>
      <c r="K612" s="221">
        <f>VLOOKUP(B596,'BM 004'!$B$27:$R$590,4,0)</f>
        <v>2130.6999999999998</v>
      </c>
      <c r="L612" s="207"/>
    </row>
    <row r="613" spans="2:12">
      <c r="B613" s="208"/>
      <c r="C613" s="204"/>
      <c r="D613" s="204"/>
      <c r="E613" s="204"/>
      <c r="F613" s="204"/>
      <c r="G613" s="204"/>
      <c r="H613" s="558" t="s">
        <v>1223</v>
      </c>
      <c r="I613" s="558"/>
      <c r="J613" s="558"/>
      <c r="K613" s="222">
        <v>816.33860000000004</v>
      </c>
      <c r="L613" s="207"/>
    </row>
    <row r="614" spans="2:12">
      <c r="B614" s="208"/>
      <c r="C614" s="204"/>
      <c r="D614" s="204"/>
      <c r="E614" s="204"/>
      <c r="F614" s="204"/>
      <c r="G614" s="204"/>
      <c r="H614" s="558" t="s">
        <v>1596</v>
      </c>
      <c r="I614" s="558"/>
      <c r="J614" s="558"/>
      <c r="K614" s="222">
        <f>TRUNC(SUMIF(C598:C610,H614,K598:K610),2)</f>
        <v>161.09</v>
      </c>
      <c r="L614" s="207"/>
    </row>
    <row r="615" spans="2:12">
      <c r="B615" s="213"/>
      <c r="C615" s="214"/>
      <c r="D615" s="214"/>
      <c r="E615" s="214"/>
      <c r="F615" s="214"/>
      <c r="G615" s="214"/>
      <c r="H615" s="559" t="s">
        <v>1224</v>
      </c>
      <c r="I615" s="559"/>
      <c r="J615" s="559"/>
      <c r="K615" s="223">
        <f>IF(K611&gt;K612,K611-K612,0)</f>
        <v>0</v>
      </c>
      <c r="L615" s="209"/>
    </row>
    <row r="617" spans="2:12">
      <c r="B617" s="247" t="s">
        <v>199</v>
      </c>
      <c r="C617" s="565" t="str">
        <f>VLOOKUP(B617,'BM 004'!$B$27:$R$590,2,0)</f>
        <v xml:space="preserve">Armação de pilar ou viga de uma estrutura convencional de concreto armado em um edifício de múltiplos pavimentos utilizando aço ca-50 de 6,3 mm - montagem.  </v>
      </c>
      <c r="D617" s="565"/>
      <c r="E617" s="565"/>
      <c r="F617" s="565"/>
      <c r="G617" s="565"/>
      <c r="H617" s="565"/>
      <c r="I617" s="565"/>
      <c r="J617" s="565"/>
      <c r="K617" s="565"/>
      <c r="L617" s="565"/>
    </row>
    <row r="618" spans="2:12">
      <c r="B618" s="248" t="s">
        <v>1209</v>
      </c>
      <c r="C618" s="248"/>
      <c r="D618" s="248" t="s">
        <v>39</v>
      </c>
      <c r="E618" s="248" t="s">
        <v>1210</v>
      </c>
      <c r="F618" s="248" t="s">
        <v>1382</v>
      </c>
      <c r="G618" s="248" t="s">
        <v>1383</v>
      </c>
      <c r="H618" s="248" t="s">
        <v>1384</v>
      </c>
      <c r="I618" s="248" t="s">
        <v>1214</v>
      </c>
      <c r="J618" s="248" t="s">
        <v>1385</v>
      </c>
      <c r="K618" s="248" t="s">
        <v>1216</v>
      </c>
      <c r="L618" s="248" t="s">
        <v>1217</v>
      </c>
    </row>
    <row r="619" spans="2:12">
      <c r="B619" s="249" t="s">
        <v>1367</v>
      </c>
      <c r="C619" s="250" t="s">
        <v>1333</v>
      </c>
      <c r="D619" s="205" t="s">
        <v>152</v>
      </c>
      <c r="E619" s="251">
        <v>510</v>
      </c>
      <c r="F619" s="252">
        <v>0.245</v>
      </c>
      <c r="G619" s="251"/>
      <c r="H619" s="251">
        <v>1.1000000000000001</v>
      </c>
      <c r="I619" s="251"/>
      <c r="J619" s="253"/>
      <c r="K619" s="254">
        <f t="shared" ref="K619:K632" si="18">IF(E619*F619*G619&lt;&gt;0,E619*F619*G619,IF(E619*F619&lt;&gt;0,E619*F619,IF(F619*G619&lt;&gt;0,F619*G619,IF(E619*G619&lt;&gt;0,E619*G619,IF(E619&lt;&gt;0,E619,IF(F619&lt;&gt;0,F619,IF(G619&lt;&gt;0,G619,0)))))))*(IF(H619&lt;&gt;0,H619,1))+I619-J619</f>
        <v>137.44500000000002</v>
      </c>
      <c r="L619" s="255"/>
    </row>
    <row r="620" spans="2:12">
      <c r="B620" s="249" t="s">
        <v>1386</v>
      </c>
      <c r="C620" s="250" t="s">
        <v>1333</v>
      </c>
      <c r="D620" s="205" t="s">
        <v>152</v>
      </c>
      <c r="E620" s="251">
        <v>363</v>
      </c>
      <c r="F620" s="252">
        <v>0.245</v>
      </c>
      <c r="G620" s="251"/>
      <c r="H620" s="251">
        <v>1.1000000000000001</v>
      </c>
      <c r="I620" s="251"/>
      <c r="J620" s="253"/>
      <c r="K620" s="254">
        <f t="shared" si="18"/>
        <v>97.828500000000005</v>
      </c>
      <c r="L620" s="255"/>
    </row>
    <row r="621" spans="2:12">
      <c r="B621" s="263" t="s">
        <v>1475</v>
      </c>
      <c r="C621" s="264" t="s">
        <v>1441</v>
      </c>
      <c r="D621" s="205" t="s">
        <v>152</v>
      </c>
      <c r="E621" s="251">
        <v>425</v>
      </c>
      <c r="F621" s="252">
        <v>0.245</v>
      </c>
      <c r="G621" s="251"/>
      <c r="H621" s="251">
        <v>1.1000000000000001</v>
      </c>
      <c r="I621" s="251"/>
      <c r="J621" s="253"/>
      <c r="K621" s="254">
        <f t="shared" si="18"/>
        <v>114.53750000000001</v>
      </c>
      <c r="L621" s="255"/>
    </row>
    <row r="622" spans="2:12">
      <c r="B622" s="263" t="s">
        <v>1476</v>
      </c>
      <c r="C622" s="264" t="s">
        <v>1441</v>
      </c>
      <c r="D622" s="205" t="s">
        <v>152</v>
      </c>
      <c r="E622" s="251">
        <v>443</v>
      </c>
      <c r="F622" s="252">
        <v>0.245</v>
      </c>
      <c r="G622" s="251"/>
      <c r="H622" s="251">
        <v>1.1000000000000001</v>
      </c>
      <c r="I622" s="251"/>
      <c r="J622" s="253"/>
      <c r="K622" s="254">
        <f t="shared" si="18"/>
        <v>119.38850000000001</v>
      </c>
      <c r="L622" s="255"/>
    </row>
    <row r="623" spans="2:12">
      <c r="B623" s="263" t="s">
        <v>1552</v>
      </c>
      <c r="C623" s="264" t="s">
        <v>1521</v>
      </c>
      <c r="D623" s="205" t="s">
        <v>152</v>
      </c>
      <c r="E623" s="251">
        <v>1139</v>
      </c>
      <c r="F623" s="252">
        <v>0.245</v>
      </c>
      <c r="G623" s="251"/>
      <c r="H623" s="251">
        <v>1.1000000000000001</v>
      </c>
      <c r="I623" s="251"/>
      <c r="J623" s="253"/>
      <c r="K623" s="254">
        <f t="shared" si="18"/>
        <v>306.96050000000002</v>
      </c>
      <c r="L623" s="266"/>
    </row>
    <row r="624" spans="2:12">
      <c r="B624" s="263" t="s">
        <v>1553</v>
      </c>
      <c r="C624" s="264" t="s">
        <v>1521</v>
      </c>
      <c r="D624" s="205" t="s">
        <v>152</v>
      </c>
      <c r="E624" s="251">
        <v>362</v>
      </c>
      <c r="F624" s="252">
        <v>0.245</v>
      </c>
      <c r="G624" s="251"/>
      <c r="H624" s="251">
        <v>1.1000000000000001</v>
      </c>
      <c r="I624" s="251"/>
      <c r="J624" s="253"/>
      <c r="K624" s="254">
        <f t="shared" si="18"/>
        <v>97.559000000000012</v>
      </c>
      <c r="L624" s="266"/>
    </row>
    <row r="625" spans="2:12">
      <c r="B625" s="263" t="s">
        <v>1642</v>
      </c>
      <c r="C625" s="264" t="s">
        <v>1611</v>
      </c>
      <c r="D625" s="205" t="s">
        <v>152</v>
      </c>
      <c r="E625" s="251">
        <v>452</v>
      </c>
      <c r="F625" s="252">
        <v>0.245</v>
      </c>
      <c r="G625" s="251"/>
      <c r="H625" s="251">
        <v>1.1000000000000001</v>
      </c>
      <c r="I625" s="251"/>
      <c r="J625" s="253"/>
      <c r="K625" s="254">
        <f t="shared" si="18"/>
        <v>121.81400000000001</v>
      </c>
      <c r="L625" s="266"/>
    </row>
    <row r="626" spans="2:12">
      <c r="B626" s="263" t="s">
        <v>1643</v>
      </c>
      <c r="C626" s="264" t="s">
        <v>1611</v>
      </c>
      <c r="D626" s="205" t="s">
        <v>152</v>
      </c>
      <c r="E626" s="251">
        <v>421</v>
      </c>
      <c r="F626" s="252">
        <v>0.245</v>
      </c>
      <c r="G626" s="251"/>
      <c r="H626" s="251">
        <v>1.1000000000000001</v>
      </c>
      <c r="I626" s="251"/>
      <c r="J626" s="253"/>
      <c r="K626" s="254">
        <f t="shared" si="18"/>
        <v>113.45950000000001</v>
      </c>
      <c r="L626" s="266"/>
    </row>
    <row r="627" spans="2:12">
      <c r="B627" s="263" t="s">
        <v>1644</v>
      </c>
      <c r="C627" s="264" t="s">
        <v>1612</v>
      </c>
      <c r="D627" s="205" t="s">
        <v>152</v>
      </c>
      <c r="E627" s="251">
        <v>376</v>
      </c>
      <c r="F627" s="252">
        <v>0.245</v>
      </c>
      <c r="G627" s="251"/>
      <c r="H627" s="251">
        <v>1.1000000000000001</v>
      </c>
      <c r="I627" s="251"/>
      <c r="J627" s="253"/>
      <c r="K627" s="254">
        <f t="shared" si="18"/>
        <v>101.33200000000001</v>
      </c>
      <c r="L627" s="266"/>
    </row>
    <row r="628" spans="2:12">
      <c r="B628" s="263" t="s">
        <v>1645</v>
      </c>
      <c r="C628" s="264" t="s">
        <v>1612</v>
      </c>
      <c r="D628" s="205" t="s">
        <v>152</v>
      </c>
      <c r="E628" s="251">
        <v>524</v>
      </c>
      <c r="F628" s="252">
        <v>0.245</v>
      </c>
      <c r="G628" s="251"/>
      <c r="H628" s="251">
        <v>1.1000000000000001</v>
      </c>
      <c r="I628" s="251"/>
      <c r="J628" s="253"/>
      <c r="K628" s="254">
        <f t="shared" si="18"/>
        <v>141.21800000000002</v>
      </c>
      <c r="L628" s="266"/>
    </row>
    <row r="629" spans="2:12">
      <c r="B629" s="263" t="s">
        <v>1646</v>
      </c>
      <c r="C629" s="264" t="s">
        <v>1612</v>
      </c>
      <c r="D629" s="205" t="s">
        <v>152</v>
      </c>
      <c r="E629" s="251">
        <v>933</v>
      </c>
      <c r="F629" s="252">
        <v>0.245</v>
      </c>
      <c r="G629" s="251"/>
      <c r="H629" s="251">
        <v>1.1000000000000001</v>
      </c>
      <c r="I629" s="251"/>
      <c r="J629" s="253"/>
      <c r="K629" s="254">
        <f t="shared" si="18"/>
        <v>251.44350000000003</v>
      </c>
      <c r="L629" s="266"/>
    </row>
    <row r="630" spans="2:12">
      <c r="B630" s="263" t="s">
        <v>1647</v>
      </c>
      <c r="C630" s="264" t="s">
        <v>1613</v>
      </c>
      <c r="D630" s="205" t="s">
        <v>152</v>
      </c>
      <c r="E630" s="257">
        <v>992</v>
      </c>
      <c r="F630" s="258">
        <v>0.245</v>
      </c>
      <c r="G630" s="257"/>
      <c r="H630" s="257">
        <v>1.1000000000000001</v>
      </c>
      <c r="I630" s="251"/>
      <c r="J630" s="253"/>
      <c r="K630" s="254">
        <f t="shared" si="18"/>
        <v>267.34399999999999</v>
      </c>
      <c r="L630" s="255"/>
    </row>
    <row r="631" spans="2:12">
      <c r="B631" s="263"/>
      <c r="C631" s="264" t="s">
        <v>1613</v>
      </c>
      <c r="D631" s="205" t="s">
        <v>152</v>
      </c>
      <c r="E631" s="257"/>
      <c r="F631" s="258"/>
      <c r="G631" s="257"/>
      <c r="H631" s="257"/>
      <c r="I631" s="251"/>
      <c r="J631" s="253"/>
      <c r="K631" s="254">
        <f t="shared" si="18"/>
        <v>0</v>
      </c>
      <c r="L631" s="255"/>
    </row>
    <row r="632" spans="2:12">
      <c r="B632" s="256"/>
      <c r="C632" s="210"/>
      <c r="D632" s="210"/>
      <c r="E632" s="257"/>
      <c r="F632" s="258"/>
      <c r="G632" s="257"/>
      <c r="H632" s="257"/>
      <c r="I632" s="257"/>
      <c r="J632" s="259"/>
      <c r="K632" s="260">
        <f t="shared" si="18"/>
        <v>0</v>
      </c>
      <c r="L632" s="210"/>
    </row>
    <row r="633" spans="2:12">
      <c r="B633" s="202"/>
      <c r="C633" s="203"/>
      <c r="D633" s="203"/>
      <c r="E633" s="203"/>
      <c r="F633" s="203"/>
      <c r="G633" s="203"/>
      <c r="H633" s="204"/>
      <c r="I633" s="556" t="s">
        <v>1221</v>
      </c>
      <c r="J633" s="556"/>
      <c r="K633" s="220">
        <f>SUM(K619:K632)</f>
        <v>1870.3300000000004</v>
      </c>
      <c r="L633" s="207"/>
    </row>
    <row r="634" spans="2:12">
      <c r="B634" s="208"/>
      <c r="C634" s="204"/>
      <c r="D634" s="204"/>
      <c r="E634" s="204"/>
      <c r="F634" s="204"/>
      <c r="G634" s="204"/>
      <c r="H634" s="209"/>
      <c r="I634" s="557" t="s">
        <v>1222</v>
      </c>
      <c r="J634" s="557"/>
      <c r="K634" s="221">
        <f>VLOOKUP(B617,'BM 004'!$B$27:$R$590,4,0)</f>
        <v>3031.6</v>
      </c>
      <c r="L634" s="207"/>
    </row>
    <row r="635" spans="2:12">
      <c r="B635" s="208"/>
      <c r="C635" s="204"/>
      <c r="D635" s="204"/>
      <c r="E635" s="204"/>
      <c r="F635" s="204"/>
      <c r="G635" s="204"/>
      <c r="H635" s="558" t="s">
        <v>1223</v>
      </c>
      <c r="I635" s="558"/>
      <c r="J635" s="558"/>
      <c r="K635" s="222">
        <v>1602.9860000000001</v>
      </c>
      <c r="L635" s="207"/>
    </row>
    <row r="636" spans="2:12">
      <c r="B636" s="208"/>
      <c r="C636" s="204"/>
      <c r="D636" s="204"/>
      <c r="E636" s="204"/>
      <c r="F636" s="204"/>
      <c r="G636" s="204"/>
      <c r="H636" s="558" t="s">
        <v>1596</v>
      </c>
      <c r="I636" s="558"/>
      <c r="J636" s="558"/>
      <c r="K636" s="222">
        <f>TRUNC(SUMIF(C619:C632,H636,K619:K632),2)</f>
        <v>267.33999999999997</v>
      </c>
      <c r="L636" s="207"/>
    </row>
    <row r="637" spans="2:12">
      <c r="B637" s="213"/>
      <c r="C637" s="214"/>
      <c r="D637" s="214"/>
      <c r="E637" s="214"/>
      <c r="F637" s="214"/>
      <c r="G637" s="214"/>
      <c r="H637" s="559" t="s">
        <v>1224</v>
      </c>
      <c r="I637" s="559"/>
      <c r="J637" s="559"/>
      <c r="K637" s="223">
        <f>IF(K633&gt;K634,K633-K634,0)</f>
        <v>0</v>
      </c>
      <c r="L637" s="209"/>
    </row>
    <row r="639" spans="2:12">
      <c r="B639" s="247" t="s">
        <v>201</v>
      </c>
      <c r="C639" s="565" t="str">
        <f>VLOOKUP(B639,'BM 004'!$B$27:$R$590,2,0)</f>
        <v xml:space="preserve">Armação de pilar ou viga de uma estrutura convencional de concreto armado em um edifício de múltiplos pavimentos utilizando aço ca-50 de 8,0 mm - montagem. </v>
      </c>
      <c r="D639" s="565"/>
      <c r="E639" s="565"/>
      <c r="F639" s="565"/>
      <c r="G639" s="565"/>
      <c r="H639" s="565"/>
      <c r="I639" s="565"/>
      <c r="J639" s="565"/>
      <c r="K639" s="565"/>
      <c r="L639" s="565"/>
    </row>
    <row r="640" spans="2:12">
      <c r="B640" s="248" t="s">
        <v>1209</v>
      </c>
      <c r="C640" s="248"/>
      <c r="D640" s="248" t="s">
        <v>39</v>
      </c>
      <c r="E640" s="248" t="s">
        <v>1210</v>
      </c>
      <c r="F640" s="248" t="s">
        <v>1382</v>
      </c>
      <c r="G640" s="248" t="s">
        <v>1383</v>
      </c>
      <c r="H640" s="248" t="s">
        <v>1384</v>
      </c>
      <c r="I640" s="248" t="s">
        <v>1214</v>
      </c>
      <c r="J640" s="248" t="s">
        <v>1385</v>
      </c>
      <c r="K640" s="248" t="s">
        <v>1216</v>
      </c>
      <c r="L640" s="248" t="s">
        <v>1217</v>
      </c>
    </row>
    <row r="641" spans="2:12">
      <c r="B641" s="249" t="s">
        <v>1367</v>
      </c>
      <c r="C641" s="250" t="s">
        <v>1333</v>
      </c>
      <c r="D641" s="205" t="s">
        <v>152</v>
      </c>
      <c r="E641" s="251">
        <v>415</v>
      </c>
      <c r="F641" s="252">
        <v>0.39500000000000002</v>
      </c>
      <c r="G641" s="251"/>
      <c r="H641" s="251">
        <v>1.1000000000000001</v>
      </c>
      <c r="I641" s="251"/>
      <c r="J641" s="253"/>
      <c r="K641" s="254">
        <f t="shared" ref="K641:K655" si="19">IF(E641*F641*G641&lt;&gt;0,E641*F641*G641,IF(E641*F641&lt;&gt;0,E641*F641,IF(F641*G641&lt;&gt;0,F641*G641,IF(E641*G641&lt;&gt;0,E641*G641,IF(E641&lt;&gt;0,E641,IF(F641&lt;&gt;0,F641,IF(G641&lt;&gt;0,G641,0)))))))*(IF(H641&lt;&gt;0,H641,1))+I641-J641</f>
        <v>180.31750000000002</v>
      </c>
      <c r="L641" s="255"/>
    </row>
    <row r="642" spans="2:12">
      <c r="B642" s="249" t="s">
        <v>1386</v>
      </c>
      <c r="C642" s="250" t="s">
        <v>1333</v>
      </c>
      <c r="D642" s="205" t="s">
        <v>152</v>
      </c>
      <c r="E642" s="251">
        <v>427</v>
      </c>
      <c r="F642" s="252">
        <v>0.39500000000000002</v>
      </c>
      <c r="G642" s="251"/>
      <c r="H642" s="251">
        <v>1.1000000000000001</v>
      </c>
      <c r="I642" s="251"/>
      <c r="J642" s="253"/>
      <c r="K642" s="254">
        <f t="shared" si="19"/>
        <v>185.53150000000005</v>
      </c>
      <c r="L642" s="255"/>
    </row>
    <row r="643" spans="2:12">
      <c r="B643" s="263" t="s">
        <v>1475</v>
      </c>
      <c r="C643" s="264" t="s">
        <v>1441</v>
      </c>
      <c r="D643" s="205" t="s">
        <v>152</v>
      </c>
      <c r="E643" s="251">
        <v>851</v>
      </c>
      <c r="F643" s="252">
        <v>0.39500000000000002</v>
      </c>
      <c r="G643" s="251"/>
      <c r="H643" s="251">
        <v>1.1000000000000001</v>
      </c>
      <c r="I643" s="251"/>
      <c r="J643" s="253"/>
      <c r="K643" s="254">
        <f t="shared" si="19"/>
        <v>369.75950000000006</v>
      </c>
      <c r="L643" s="255"/>
    </row>
    <row r="644" spans="2:12">
      <c r="B644" s="263" t="s">
        <v>1476</v>
      </c>
      <c r="C644" s="264" t="s">
        <v>1441</v>
      </c>
      <c r="D644" s="205" t="s">
        <v>152</v>
      </c>
      <c r="E644" s="251">
        <v>950</v>
      </c>
      <c r="F644" s="252">
        <v>0.39500000000000002</v>
      </c>
      <c r="G644" s="251"/>
      <c r="H644" s="251">
        <v>1.1000000000000001</v>
      </c>
      <c r="I644" s="251"/>
      <c r="J644" s="253"/>
      <c r="K644" s="254">
        <f t="shared" si="19"/>
        <v>412.77500000000003</v>
      </c>
      <c r="L644" s="255"/>
    </row>
    <row r="645" spans="2:12">
      <c r="B645" s="263" t="s">
        <v>1477</v>
      </c>
      <c r="C645" s="264" t="s">
        <v>1441</v>
      </c>
      <c r="D645" s="205" t="s">
        <v>152</v>
      </c>
      <c r="E645" s="251"/>
      <c r="F645" s="252"/>
      <c r="G645" s="251"/>
      <c r="H645" s="251"/>
      <c r="I645" s="251">
        <v>146.04</v>
      </c>
      <c r="J645" s="253"/>
      <c r="K645" s="254">
        <f t="shared" si="19"/>
        <v>146.04</v>
      </c>
      <c r="L645" s="255"/>
    </row>
    <row r="646" spans="2:12">
      <c r="B646" s="263" t="s">
        <v>1552</v>
      </c>
      <c r="C646" s="264" t="s">
        <v>1521</v>
      </c>
      <c r="D646" s="205" t="s">
        <v>152</v>
      </c>
      <c r="E646" s="251">
        <v>343</v>
      </c>
      <c r="F646" s="252">
        <v>0.39500000000000002</v>
      </c>
      <c r="G646" s="251"/>
      <c r="H646" s="251">
        <v>1.1000000000000001</v>
      </c>
      <c r="I646" s="251"/>
      <c r="J646" s="253"/>
      <c r="K646" s="254">
        <f t="shared" si="19"/>
        <v>149.03350000000003</v>
      </c>
      <c r="L646" s="266"/>
    </row>
    <row r="647" spans="2:12">
      <c r="B647" s="263" t="s">
        <v>1553</v>
      </c>
      <c r="C647" s="264" t="s">
        <v>1521</v>
      </c>
      <c r="D647" s="205" t="s">
        <v>152</v>
      </c>
      <c r="E647" s="251">
        <v>313</v>
      </c>
      <c r="F647" s="252">
        <v>0.39500000000000002</v>
      </c>
      <c r="G647" s="251"/>
      <c r="H647" s="251">
        <v>1.1000000000000001</v>
      </c>
      <c r="I647" s="251"/>
      <c r="J647" s="253"/>
      <c r="K647" s="254">
        <f t="shared" si="19"/>
        <v>135.99850000000001</v>
      </c>
      <c r="L647" s="266"/>
    </row>
    <row r="648" spans="2:12">
      <c r="B648" s="263" t="s">
        <v>1642</v>
      </c>
      <c r="C648" s="264" t="s">
        <v>1611</v>
      </c>
      <c r="D648" s="205" t="s">
        <v>152</v>
      </c>
      <c r="E648" s="251">
        <v>369</v>
      </c>
      <c r="F648" s="252">
        <v>0.39500000000000002</v>
      </c>
      <c r="G648" s="251"/>
      <c r="H648" s="251">
        <v>1.1000000000000001</v>
      </c>
      <c r="I648" s="251"/>
      <c r="J648" s="253"/>
      <c r="K648" s="254">
        <f t="shared" si="19"/>
        <v>160.3305</v>
      </c>
      <c r="L648" s="266"/>
    </row>
    <row r="649" spans="2:12">
      <c r="B649" s="263" t="s">
        <v>1643</v>
      </c>
      <c r="C649" s="264" t="s">
        <v>1611</v>
      </c>
      <c r="D649" s="205" t="s">
        <v>152</v>
      </c>
      <c r="E649" s="251">
        <v>427</v>
      </c>
      <c r="F649" s="252">
        <v>0.39500000000000002</v>
      </c>
      <c r="G649" s="251"/>
      <c r="H649" s="251">
        <v>1.1000000000000001</v>
      </c>
      <c r="I649" s="251"/>
      <c r="J649" s="253"/>
      <c r="K649" s="254">
        <f t="shared" si="19"/>
        <v>185.53150000000005</v>
      </c>
      <c r="L649" s="266"/>
    </row>
    <row r="650" spans="2:12">
      <c r="B650" s="263" t="s">
        <v>1644</v>
      </c>
      <c r="C650" s="264" t="s">
        <v>1612</v>
      </c>
      <c r="D650" s="205" t="s">
        <v>152</v>
      </c>
      <c r="E650" s="251">
        <v>866</v>
      </c>
      <c r="F650" s="252">
        <v>0.39500000000000002</v>
      </c>
      <c r="G650" s="251"/>
      <c r="H650" s="251">
        <v>1.1000000000000001</v>
      </c>
      <c r="I650" s="251"/>
      <c r="J650" s="253"/>
      <c r="K650" s="254">
        <f t="shared" si="19"/>
        <v>376.27700000000004</v>
      </c>
      <c r="L650" s="266"/>
    </row>
    <row r="651" spans="2:12">
      <c r="B651" s="263" t="s">
        <v>1645</v>
      </c>
      <c r="C651" s="264" t="s">
        <v>1612</v>
      </c>
      <c r="D651" s="205" t="s">
        <v>152</v>
      </c>
      <c r="E651" s="251">
        <v>550</v>
      </c>
      <c r="F651" s="252">
        <v>0.39500000000000002</v>
      </c>
      <c r="G651" s="251"/>
      <c r="H651" s="251">
        <v>1.1000000000000001</v>
      </c>
      <c r="I651" s="251"/>
      <c r="J651" s="253"/>
      <c r="K651" s="254">
        <f t="shared" si="19"/>
        <v>238.97500000000002</v>
      </c>
      <c r="L651" s="266"/>
    </row>
    <row r="652" spans="2:12">
      <c r="B652" s="263" t="s">
        <v>1646</v>
      </c>
      <c r="C652" s="264" t="s">
        <v>1612</v>
      </c>
      <c r="D652" s="205" t="s">
        <v>152</v>
      </c>
      <c r="E652" s="251">
        <v>186</v>
      </c>
      <c r="F652" s="252">
        <v>0.39500000000000002</v>
      </c>
      <c r="G652" s="251"/>
      <c r="H652" s="251">
        <v>1.1000000000000001</v>
      </c>
      <c r="I652" s="251"/>
      <c r="J652" s="253"/>
      <c r="K652" s="254">
        <f t="shared" si="19"/>
        <v>80.817000000000007</v>
      </c>
      <c r="L652" s="266"/>
    </row>
    <row r="653" spans="2:12">
      <c r="B653" s="263" t="s">
        <v>1647</v>
      </c>
      <c r="C653" s="264" t="s">
        <v>1613</v>
      </c>
      <c r="D653" s="205" t="s">
        <v>152</v>
      </c>
      <c r="E653" s="257">
        <v>922</v>
      </c>
      <c r="F653" s="258">
        <v>0.39500000000000002</v>
      </c>
      <c r="G653" s="257"/>
      <c r="H653" s="257">
        <v>1.1000000000000001</v>
      </c>
      <c r="I653" s="251"/>
      <c r="J653" s="253"/>
      <c r="K653" s="254">
        <f t="shared" si="19"/>
        <v>400.60900000000004</v>
      </c>
      <c r="L653" s="255"/>
    </row>
    <row r="654" spans="2:12">
      <c r="B654" s="263"/>
      <c r="C654" s="264" t="s">
        <v>1613</v>
      </c>
      <c r="D654" s="205" t="s">
        <v>152</v>
      </c>
      <c r="E654" s="257"/>
      <c r="F654" s="258"/>
      <c r="G654" s="257"/>
      <c r="H654" s="257"/>
      <c r="I654" s="251"/>
      <c r="J654" s="253"/>
      <c r="K654" s="254">
        <f t="shared" si="19"/>
        <v>0</v>
      </c>
      <c r="L654" s="255"/>
    </row>
    <row r="655" spans="2:12">
      <c r="B655" s="256"/>
      <c r="C655" s="210"/>
      <c r="D655" s="210"/>
      <c r="E655" s="257"/>
      <c r="F655" s="258"/>
      <c r="G655" s="257"/>
      <c r="H655" s="257"/>
      <c r="I655" s="257"/>
      <c r="J655" s="259"/>
      <c r="K655" s="260">
        <f t="shared" si="19"/>
        <v>0</v>
      </c>
      <c r="L655" s="210"/>
    </row>
    <row r="656" spans="2:12">
      <c r="B656" s="202"/>
      <c r="C656" s="203"/>
      <c r="D656" s="203"/>
      <c r="E656" s="203"/>
      <c r="F656" s="203"/>
      <c r="G656" s="203"/>
      <c r="H656" s="204"/>
      <c r="I656" s="556" t="s">
        <v>1221</v>
      </c>
      <c r="J656" s="556"/>
      <c r="K656" s="220">
        <f>SUM(K641:K655)</f>
        <v>3021.9955</v>
      </c>
      <c r="L656" s="207"/>
    </row>
    <row r="657" spans="2:12">
      <c r="B657" s="208"/>
      <c r="C657" s="204"/>
      <c r="D657" s="204"/>
      <c r="E657" s="204"/>
      <c r="F657" s="204"/>
      <c r="G657" s="204"/>
      <c r="H657" s="209"/>
      <c r="I657" s="557" t="s">
        <v>1222</v>
      </c>
      <c r="J657" s="557"/>
      <c r="K657" s="221">
        <f>VLOOKUP(B639,'BM 004'!$B$27:$R$590,4,0)</f>
        <v>5608.9</v>
      </c>
      <c r="L657" s="207"/>
    </row>
    <row r="658" spans="2:12">
      <c r="B658" s="208"/>
      <c r="C658" s="204"/>
      <c r="D658" s="204"/>
      <c r="E658" s="204"/>
      <c r="F658" s="204"/>
      <c r="G658" s="204"/>
      <c r="H658" s="558" t="s">
        <v>1223</v>
      </c>
      <c r="I658" s="558"/>
      <c r="J658" s="558"/>
      <c r="K658" s="222">
        <v>2621.3865000000001</v>
      </c>
      <c r="L658" s="207"/>
    </row>
    <row r="659" spans="2:12">
      <c r="B659" s="208"/>
      <c r="C659" s="204"/>
      <c r="D659" s="204"/>
      <c r="E659" s="204"/>
      <c r="F659" s="204"/>
      <c r="G659" s="204"/>
      <c r="H659" s="558" t="s">
        <v>1596</v>
      </c>
      <c r="I659" s="558"/>
      <c r="J659" s="558"/>
      <c r="K659" s="222">
        <f>TRUNC(SUMIF(C641:C655,H659,K641:K655),2)</f>
        <v>400.6</v>
      </c>
      <c r="L659" s="207"/>
    </row>
    <row r="660" spans="2:12">
      <c r="B660" s="213"/>
      <c r="C660" s="214"/>
      <c r="D660" s="214"/>
      <c r="E660" s="214"/>
      <c r="F660" s="214"/>
      <c r="G660" s="214"/>
      <c r="H660" s="559" t="s">
        <v>1224</v>
      </c>
      <c r="I660" s="559"/>
      <c r="J660" s="559"/>
      <c r="K660" s="223">
        <f>IF(K656&gt;K657,K656-K657,0)</f>
        <v>0</v>
      </c>
      <c r="L660" s="209"/>
    </row>
    <row r="662" spans="2:12">
      <c r="B662" s="247" t="s">
        <v>203</v>
      </c>
      <c r="C662" s="565" t="str">
        <f>VLOOKUP(B662,'BM 004'!$B$27:$R$590,2,0)</f>
        <v xml:space="preserve">Armação de pilar ou viga de uma estrutura convencional de concreto armado em um edifício de múltiplos pavimentos utilizando aço ca-50 de 10,0 mm - montagem. </v>
      </c>
      <c r="D662" s="565"/>
      <c r="E662" s="565"/>
      <c r="F662" s="565"/>
      <c r="G662" s="565"/>
      <c r="H662" s="565"/>
      <c r="I662" s="565"/>
      <c r="J662" s="565"/>
      <c r="K662" s="565"/>
      <c r="L662" s="565"/>
    </row>
    <row r="663" spans="2:12">
      <c r="B663" s="248" t="s">
        <v>1209</v>
      </c>
      <c r="C663" s="248"/>
      <c r="D663" s="248" t="s">
        <v>39</v>
      </c>
      <c r="E663" s="248" t="s">
        <v>1210</v>
      </c>
      <c r="F663" s="248" t="s">
        <v>1382</v>
      </c>
      <c r="G663" s="248" t="s">
        <v>1383</v>
      </c>
      <c r="H663" s="248" t="s">
        <v>1384</v>
      </c>
      <c r="I663" s="248" t="s">
        <v>1214</v>
      </c>
      <c r="J663" s="248" t="s">
        <v>1385</v>
      </c>
      <c r="K663" s="248" t="s">
        <v>1216</v>
      </c>
      <c r="L663" s="248" t="s">
        <v>1217</v>
      </c>
    </row>
    <row r="664" spans="2:12">
      <c r="B664" s="249" t="s">
        <v>1367</v>
      </c>
      <c r="C664" s="250" t="s">
        <v>1333</v>
      </c>
      <c r="D664" s="205" t="s">
        <v>152</v>
      </c>
      <c r="E664" s="251">
        <v>89</v>
      </c>
      <c r="F664" s="252">
        <v>0.61699999999999999</v>
      </c>
      <c r="G664" s="251"/>
      <c r="H664" s="251">
        <v>1.1000000000000001</v>
      </c>
      <c r="I664" s="251"/>
      <c r="J664" s="253"/>
      <c r="K664" s="254">
        <f t="shared" ref="K664:K677" si="20">IF(E664*F664*G664&lt;&gt;0,E664*F664*G664,IF(E664*F664&lt;&gt;0,E664*F664,IF(F664*G664&lt;&gt;0,F664*G664,IF(E664*G664&lt;&gt;0,E664*G664,IF(E664&lt;&gt;0,E664,IF(F664&lt;&gt;0,F664,IF(G664&lt;&gt;0,G664,0)))))))*(IF(H664&lt;&gt;0,H664,1))+I664-J664</f>
        <v>60.404299999999999</v>
      </c>
      <c r="L664" s="255"/>
    </row>
    <row r="665" spans="2:12">
      <c r="B665" s="249" t="s">
        <v>1386</v>
      </c>
      <c r="C665" s="250" t="s">
        <v>1333</v>
      </c>
      <c r="D665" s="205" t="s">
        <v>152</v>
      </c>
      <c r="E665" s="251">
        <v>92</v>
      </c>
      <c r="F665" s="252">
        <v>0.61699999999999999</v>
      </c>
      <c r="G665" s="251"/>
      <c r="H665" s="251">
        <v>1.1000000000000001</v>
      </c>
      <c r="I665" s="251"/>
      <c r="J665" s="253"/>
      <c r="K665" s="254">
        <f t="shared" si="20"/>
        <v>62.440400000000004</v>
      </c>
      <c r="L665" s="255"/>
    </row>
    <row r="666" spans="2:12">
      <c r="B666" s="263" t="s">
        <v>1475</v>
      </c>
      <c r="C666" s="264" t="s">
        <v>1441</v>
      </c>
      <c r="D666" s="205" t="s">
        <v>152</v>
      </c>
      <c r="E666" s="251">
        <v>238</v>
      </c>
      <c r="F666" s="252">
        <v>0.61699999999999999</v>
      </c>
      <c r="G666" s="251"/>
      <c r="H666" s="251">
        <v>1.1000000000000001</v>
      </c>
      <c r="I666" s="251"/>
      <c r="J666" s="253"/>
      <c r="K666" s="254">
        <f t="shared" si="20"/>
        <v>161.53060000000002</v>
      </c>
      <c r="L666" s="255"/>
    </row>
    <row r="667" spans="2:12">
      <c r="B667" s="263" t="s">
        <v>1476</v>
      </c>
      <c r="C667" s="264" t="s">
        <v>1441</v>
      </c>
      <c r="D667" s="205" t="s">
        <v>152</v>
      </c>
      <c r="E667" s="251">
        <v>167</v>
      </c>
      <c r="F667" s="252">
        <v>0.61699999999999999</v>
      </c>
      <c r="G667" s="251"/>
      <c r="H667" s="251">
        <v>1.1000000000000001</v>
      </c>
      <c r="I667" s="251"/>
      <c r="J667" s="253"/>
      <c r="K667" s="254">
        <f t="shared" si="20"/>
        <v>113.34290000000001</v>
      </c>
      <c r="L667" s="255"/>
    </row>
    <row r="668" spans="2:12">
      <c r="B668" s="263" t="s">
        <v>1552</v>
      </c>
      <c r="C668" s="264" t="s">
        <v>1521</v>
      </c>
      <c r="D668" s="205" t="s">
        <v>152</v>
      </c>
      <c r="E668" s="251">
        <v>538</v>
      </c>
      <c r="F668" s="252">
        <v>0.61699999999999999</v>
      </c>
      <c r="G668" s="251"/>
      <c r="H668" s="251">
        <v>1.1000000000000001</v>
      </c>
      <c r="I668" s="251"/>
      <c r="J668" s="253"/>
      <c r="K668" s="254">
        <f t="shared" si="20"/>
        <v>365.14060000000001</v>
      </c>
      <c r="L668" s="266"/>
    </row>
    <row r="669" spans="2:12">
      <c r="B669" s="263" t="s">
        <v>1553</v>
      </c>
      <c r="C669" s="264" t="s">
        <v>1521</v>
      </c>
      <c r="D669" s="205" t="s">
        <v>152</v>
      </c>
      <c r="E669" s="251">
        <v>109</v>
      </c>
      <c r="F669" s="252">
        <v>0.61699999999999999</v>
      </c>
      <c r="G669" s="251"/>
      <c r="H669" s="251">
        <v>1.1000000000000001</v>
      </c>
      <c r="I669" s="251"/>
      <c r="J669" s="253"/>
      <c r="K669" s="254">
        <f t="shared" si="20"/>
        <v>73.978300000000004</v>
      </c>
      <c r="L669" s="266"/>
    </row>
    <row r="670" spans="2:12">
      <c r="B670" s="263" t="s">
        <v>1642</v>
      </c>
      <c r="C670" s="264" t="s">
        <v>1611</v>
      </c>
      <c r="D670" s="205" t="s">
        <v>152</v>
      </c>
      <c r="E670" s="251">
        <v>199</v>
      </c>
      <c r="F670" s="252">
        <v>0.61699999999999999</v>
      </c>
      <c r="G670" s="251"/>
      <c r="H670" s="251">
        <v>1.1000000000000001</v>
      </c>
      <c r="I670" s="251"/>
      <c r="J670" s="253"/>
      <c r="K670" s="254">
        <f t="shared" si="20"/>
        <v>135.06130000000002</v>
      </c>
      <c r="L670" s="266"/>
    </row>
    <row r="671" spans="2:12">
      <c r="B671" s="263" t="s">
        <v>1643</v>
      </c>
      <c r="C671" s="264" t="s">
        <v>1611</v>
      </c>
      <c r="D671" s="205" t="s">
        <v>152</v>
      </c>
      <c r="E671" s="251">
        <v>150</v>
      </c>
      <c r="F671" s="252">
        <v>0.61699999999999999</v>
      </c>
      <c r="G671" s="251"/>
      <c r="H671" s="251">
        <v>1.1000000000000001</v>
      </c>
      <c r="I671" s="251"/>
      <c r="J671" s="253"/>
      <c r="K671" s="254">
        <f t="shared" si="20"/>
        <v>101.80500000000001</v>
      </c>
      <c r="L671" s="266"/>
    </row>
    <row r="672" spans="2:12">
      <c r="B672" s="263" t="s">
        <v>1644</v>
      </c>
      <c r="C672" s="264" t="s">
        <v>1612</v>
      </c>
      <c r="D672" s="205" t="s">
        <v>152</v>
      </c>
      <c r="E672" s="251">
        <v>100</v>
      </c>
      <c r="F672" s="252">
        <v>0.61699999999999999</v>
      </c>
      <c r="G672" s="251"/>
      <c r="H672" s="251">
        <v>1.1000000000000001</v>
      </c>
      <c r="I672" s="251"/>
      <c r="J672" s="253"/>
      <c r="K672" s="254">
        <f t="shared" si="20"/>
        <v>67.87</v>
      </c>
      <c r="L672" s="266"/>
    </row>
    <row r="673" spans="2:12">
      <c r="B673" s="263" t="s">
        <v>1645</v>
      </c>
      <c r="C673" s="264" t="s">
        <v>1612</v>
      </c>
      <c r="D673" s="205" t="s">
        <v>152</v>
      </c>
      <c r="E673" s="251">
        <v>346</v>
      </c>
      <c r="F673" s="252">
        <v>0.61699999999999999</v>
      </c>
      <c r="G673" s="251"/>
      <c r="H673" s="251">
        <v>1.1000000000000001</v>
      </c>
      <c r="I673" s="251"/>
      <c r="J673" s="253"/>
      <c r="K673" s="254">
        <f t="shared" si="20"/>
        <v>234.83020000000002</v>
      </c>
      <c r="L673" s="266"/>
    </row>
    <row r="674" spans="2:12">
      <c r="B674" s="263" t="s">
        <v>1646</v>
      </c>
      <c r="C674" s="264" t="s">
        <v>1612</v>
      </c>
      <c r="D674" s="205" t="s">
        <v>152</v>
      </c>
      <c r="E674" s="251">
        <v>256</v>
      </c>
      <c r="F674" s="252">
        <v>0.61699999999999999</v>
      </c>
      <c r="G674" s="251"/>
      <c r="H674" s="251">
        <v>1.1000000000000001</v>
      </c>
      <c r="I674" s="251"/>
      <c r="J674" s="253"/>
      <c r="K674" s="254">
        <f t="shared" si="20"/>
        <v>173.74720000000002</v>
      </c>
      <c r="L674" s="266"/>
    </row>
    <row r="675" spans="2:12">
      <c r="B675" s="263" t="s">
        <v>1647</v>
      </c>
      <c r="C675" s="264" t="s">
        <v>1613</v>
      </c>
      <c r="D675" s="205" t="s">
        <v>152</v>
      </c>
      <c r="E675" s="257">
        <v>646</v>
      </c>
      <c r="F675" s="258">
        <v>0.61699999999999999</v>
      </c>
      <c r="G675" s="257"/>
      <c r="H675" s="257">
        <v>1.1000000000000001</v>
      </c>
      <c r="I675" s="251"/>
      <c r="J675" s="253"/>
      <c r="K675" s="254">
        <f t="shared" si="20"/>
        <v>438.4402</v>
      </c>
      <c r="L675" s="255"/>
    </row>
    <row r="676" spans="2:12">
      <c r="B676" s="263"/>
      <c r="C676" s="264" t="s">
        <v>1613</v>
      </c>
      <c r="D676" s="205" t="s">
        <v>152</v>
      </c>
      <c r="E676" s="257"/>
      <c r="F676" s="258"/>
      <c r="G676" s="257"/>
      <c r="H676" s="257"/>
      <c r="I676" s="251"/>
      <c r="J676" s="253"/>
      <c r="K676" s="254">
        <f t="shared" si="20"/>
        <v>0</v>
      </c>
      <c r="L676" s="255"/>
    </row>
    <row r="677" spans="2:12">
      <c r="B677" s="256"/>
      <c r="C677" s="210"/>
      <c r="D677" s="210"/>
      <c r="E677" s="257"/>
      <c r="F677" s="258"/>
      <c r="G677" s="257"/>
      <c r="H677" s="257"/>
      <c r="I677" s="257"/>
      <c r="J677" s="259"/>
      <c r="K677" s="260">
        <f t="shared" si="20"/>
        <v>0</v>
      </c>
      <c r="L677" s="210"/>
    </row>
    <row r="678" spans="2:12">
      <c r="B678" s="202"/>
      <c r="C678" s="203"/>
      <c r="D678" s="203"/>
      <c r="E678" s="203"/>
      <c r="F678" s="203"/>
      <c r="G678" s="203"/>
      <c r="H678" s="204"/>
      <c r="I678" s="556" t="s">
        <v>1221</v>
      </c>
      <c r="J678" s="556"/>
      <c r="K678" s="220">
        <f>SUM(K664:K677)</f>
        <v>1988.5910000000003</v>
      </c>
      <c r="L678" s="207"/>
    </row>
    <row r="679" spans="2:12">
      <c r="B679" s="208"/>
      <c r="C679" s="204"/>
      <c r="D679" s="204"/>
      <c r="E679" s="204"/>
      <c r="F679" s="204"/>
      <c r="G679" s="204"/>
      <c r="H679" s="209"/>
      <c r="I679" s="557" t="s">
        <v>1222</v>
      </c>
      <c r="J679" s="557"/>
      <c r="K679" s="221">
        <f>VLOOKUP(B662,'BM 004'!$B$27:$R$590,4,0)</f>
        <v>4215.2</v>
      </c>
      <c r="L679" s="207"/>
    </row>
    <row r="680" spans="2:12">
      <c r="B680" s="208"/>
      <c r="C680" s="204"/>
      <c r="D680" s="204"/>
      <c r="E680" s="204"/>
      <c r="F680" s="204"/>
      <c r="G680" s="204"/>
      <c r="H680" s="558" t="s">
        <v>1223</v>
      </c>
      <c r="I680" s="558"/>
      <c r="J680" s="558"/>
      <c r="K680" s="222">
        <v>1550.1507999999999</v>
      </c>
      <c r="L680" s="207"/>
    </row>
    <row r="681" spans="2:12">
      <c r="B681" s="208"/>
      <c r="C681" s="204"/>
      <c r="D681" s="204"/>
      <c r="E681" s="204"/>
      <c r="F681" s="204"/>
      <c r="G681" s="204"/>
      <c r="H681" s="558" t="s">
        <v>1596</v>
      </c>
      <c r="I681" s="558"/>
      <c r="J681" s="558"/>
      <c r="K681" s="222">
        <f>TRUNC(SUMIF(C664:C677,H681,K664:K677),2)</f>
        <v>438.44</v>
      </c>
      <c r="L681" s="207"/>
    </row>
    <row r="682" spans="2:12">
      <c r="B682" s="213"/>
      <c r="C682" s="214"/>
      <c r="D682" s="214"/>
      <c r="E682" s="214"/>
      <c r="F682" s="214"/>
      <c r="G682" s="214"/>
      <c r="H682" s="559" t="s">
        <v>1224</v>
      </c>
      <c r="I682" s="559"/>
      <c r="J682" s="559"/>
      <c r="K682" s="223">
        <f>IF(K678&gt;K679,K678-K679,0)</f>
        <v>0</v>
      </c>
      <c r="L682" s="209"/>
    </row>
    <row r="684" spans="2:12">
      <c r="B684" s="247" t="s">
        <v>205</v>
      </c>
      <c r="C684" s="565" t="str">
        <f>VLOOKUP(B684,'BM 004'!$B$27:$R$590,2,0)</f>
        <v xml:space="preserve">Armação de pilar ou viga de uma estrutura convencional de concreto armado em um edifício de múltiplos pavimentos utilizando aço ca-50 de 12,5 mm - montagem. </v>
      </c>
      <c r="D684" s="565"/>
      <c r="E684" s="565"/>
      <c r="F684" s="565"/>
      <c r="G684" s="565"/>
      <c r="H684" s="565"/>
      <c r="I684" s="565"/>
      <c r="J684" s="565"/>
      <c r="K684" s="565"/>
      <c r="L684" s="565"/>
    </row>
    <row r="685" spans="2:12">
      <c r="B685" s="248" t="s">
        <v>1209</v>
      </c>
      <c r="C685" s="248"/>
      <c r="D685" s="248" t="s">
        <v>39</v>
      </c>
      <c r="E685" s="248" t="s">
        <v>1210</v>
      </c>
      <c r="F685" s="248" t="s">
        <v>1382</v>
      </c>
      <c r="G685" s="248" t="s">
        <v>1383</v>
      </c>
      <c r="H685" s="248" t="s">
        <v>1384</v>
      </c>
      <c r="I685" s="248" t="s">
        <v>1214</v>
      </c>
      <c r="J685" s="248" t="s">
        <v>1385</v>
      </c>
      <c r="K685" s="248" t="s">
        <v>1216</v>
      </c>
      <c r="L685" s="248" t="s">
        <v>1217</v>
      </c>
    </row>
    <row r="686" spans="2:12">
      <c r="B686" s="249" t="s">
        <v>1367</v>
      </c>
      <c r="C686" s="250" t="s">
        <v>1333</v>
      </c>
      <c r="D686" s="205" t="s">
        <v>152</v>
      </c>
      <c r="E686" s="251">
        <v>89</v>
      </c>
      <c r="F686" s="252">
        <v>0.96299999999999997</v>
      </c>
      <c r="G686" s="251"/>
      <c r="H686" s="251">
        <v>1.1000000000000001</v>
      </c>
      <c r="I686" s="251"/>
      <c r="J686" s="253"/>
      <c r="K686" s="254">
        <f t="shared" ref="K686:K701" si="21">IF(E686*F686*G686&lt;&gt;0,E686*F686*G686,IF(E686*F686&lt;&gt;0,E686*F686,IF(F686*G686&lt;&gt;0,F686*G686,IF(E686*G686&lt;&gt;0,E686*G686,IF(E686&lt;&gt;0,E686,IF(F686&lt;&gt;0,F686,IF(G686&lt;&gt;0,G686,0)))))))*(IF(H686&lt;&gt;0,H686,1))+I686-J686</f>
        <v>94.277699999999996</v>
      </c>
      <c r="L686" s="255"/>
    </row>
    <row r="687" spans="2:12">
      <c r="B687" s="249" t="s">
        <v>1386</v>
      </c>
      <c r="C687" s="250" t="s">
        <v>1333</v>
      </c>
      <c r="D687" s="205" t="s">
        <v>152</v>
      </c>
      <c r="E687" s="251">
        <v>72</v>
      </c>
      <c r="F687" s="252">
        <v>0.96299999999999997</v>
      </c>
      <c r="G687" s="251"/>
      <c r="H687" s="251">
        <v>1.1000000000000001</v>
      </c>
      <c r="I687" s="251"/>
      <c r="J687" s="253"/>
      <c r="K687" s="254">
        <f t="shared" si="21"/>
        <v>76.269600000000011</v>
      </c>
      <c r="L687" s="255"/>
    </row>
    <row r="688" spans="2:12">
      <c r="B688" s="263" t="s">
        <v>1475</v>
      </c>
      <c r="C688" s="264" t="s">
        <v>1441</v>
      </c>
      <c r="D688" s="205" t="s">
        <v>152</v>
      </c>
      <c r="E688" s="251">
        <v>140</v>
      </c>
      <c r="F688" s="252">
        <v>0.96299999999999997</v>
      </c>
      <c r="G688" s="251"/>
      <c r="H688" s="251">
        <v>1.1000000000000001</v>
      </c>
      <c r="I688" s="251"/>
      <c r="J688" s="253"/>
      <c r="K688" s="254">
        <f t="shared" si="21"/>
        <v>148.30199999999999</v>
      </c>
      <c r="L688" s="255"/>
    </row>
    <row r="689" spans="2:12">
      <c r="B689" s="263" t="s">
        <v>1476</v>
      </c>
      <c r="C689" s="264" t="s">
        <v>1441</v>
      </c>
      <c r="D689" s="205" t="s">
        <v>152</v>
      </c>
      <c r="E689" s="251">
        <v>119</v>
      </c>
      <c r="F689" s="252">
        <v>0.96299999999999997</v>
      </c>
      <c r="G689" s="251"/>
      <c r="H689" s="251">
        <v>1.1000000000000001</v>
      </c>
      <c r="I689" s="251"/>
      <c r="J689" s="253"/>
      <c r="K689" s="254">
        <f t="shared" si="21"/>
        <v>126.05670000000001</v>
      </c>
      <c r="L689" s="255"/>
    </row>
    <row r="690" spans="2:12">
      <c r="B690" s="256" t="s">
        <v>1478</v>
      </c>
      <c r="C690" s="210" t="s">
        <v>1441</v>
      </c>
      <c r="D690" s="210" t="s">
        <v>152</v>
      </c>
      <c r="E690" s="258"/>
      <c r="F690" s="258"/>
      <c r="G690" s="257"/>
      <c r="H690" s="257"/>
      <c r="I690" s="257">
        <v>1361.5128999999999</v>
      </c>
      <c r="J690" s="259"/>
      <c r="K690" s="260">
        <f t="shared" si="21"/>
        <v>1361.5128999999999</v>
      </c>
      <c r="L690" s="210"/>
    </row>
    <row r="691" spans="2:12">
      <c r="B691" s="256" t="s">
        <v>1479</v>
      </c>
      <c r="C691" s="210" t="s">
        <v>1441</v>
      </c>
      <c r="D691" s="210" t="s">
        <v>152</v>
      </c>
      <c r="E691" s="258"/>
      <c r="F691" s="258"/>
      <c r="G691" s="257"/>
      <c r="H691" s="257"/>
      <c r="I691" s="257">
        <v>126.92</v>
      </c>
      <c r="J691" s="259"/>
      <c r="K691" s="260">
        <f t="shared" si="21"/>
        <v>126.92</v>
      </c>
      <c r="L691" s="210"/>
    </row>
    <row r="692" spans="2:12">
      <c r="B692" s="263" t="s">
        <v>1552</v>
      </c>
      <c r="C692" s="264" t="s">
        <v>1521</v>
      </c>
      <c r="D692" s="205" t="s">
        <v>152</v>
      </c>
      <c r="E692" s="251">
        <v>144</v>
      </c>
      <c r="F692" s="252">
        <v>0.96299999999999997</v>
      </c>
      <c r="G692" s="251"/>
      <c r="H692" s="251">
        <v>1.1000000000000001</v>
      </c>
      <c r="I692" s="251"/>
      <c r="J692" s="253"/>
      <c r="K692" s="254">
        <f t="shared" si="21"/>
        <v>152.53920000000002</v>
      </c>
      <c r="L692" s="266"/>
    </row>
    <row r="693" spans="2:12">
      <c r="B693" s="263" t="s">
        <v>1553</v>
      </c>
      <c r="C693" s="264" t="s">
        <v>1521</v>
      </c>
      <c r="D693" s="205" t="s">
        <v>152</v>
      </c>
      <c r="E693" s="251">
        <v>34</v>
      </c>
      <c r="F693" s="252">
        <v>0.96299999999999997</v>
      </c>
      <c r="G693" s="251"/>
      <c r="H693" s="251">
        <v>1.1000000000000001</v>
      </c>
      <c r="I693" s="251"/>
      <c r="J693" s="253"/>
      <c r="K693" s="254">
        <f t="shared" si="21"/>
        <v>36.016199999999998</v>
      </c>
      <c r="L693" s="266"/>
    </row>
    <row r="694" spans="2:12">
      <c r="B694" s="263" t="s">
        <v>1642</v>
      </c>
      <c r="C694" s="264" t="s">
        <v>1611</v>
      </c>
      <c r="D694" s="205" t="s">
        <v>152</v>
      </c>
      <c r="E694" s="251">
        <v>187</v>
      </c>
      <c r="F694" s="252">
        <v>0.96299999999999997</v>
      </c>
      <c r="G694" s="251"/>
      <c r="H694" s="251">
        <v>1.1000000000000001</v>
      </c>
      <c r="I694" s="251"/>
      <c r="J694" s="253"/>
      <c r="K694" s="254">
        <f t="shared" si="21"/>
        <v>198.0891</v>
      </c>
      <c r="L694" s="266"/>
    </row>
    <row r="695" spans="2:12">
      <c r="B695" s="263" t="s">
        <v>1643</v>
      </c>
      <c r="C695" s="264" t="s">
        <v>1611</v>
      </c>
      <c r="D695" s="205" t="s">
        <v>152</v>
      </c>
      <c r="E695" s="251">
        <v>105</v>
      </c>
      <c r="F695" s="252">
        <v>0.96299999999999997</v>
      </c>
      <c r="G695" s="251"/>
      <c r="H695" s="251">
        <v>1.1000000000000001</v>
      </c>
      <c r="I695" s="251"/>
      <c r="J695" s="253"/>
      <c r="K695" s="254">
        <f t="shared" si="21"/>
        <v>111.2265</v>
      </c>
      <c r="L695" s="266"/>
    </row>
    <row r="696" spans="2:12">
      <c r="B696" s="263" t="s">
        <v>1644</v>
      </c>
      <c r="C696" s="264" t="s">
        <v>1612</v>
      </c>
      <c r="D696" s="205" t="s">
        <v>152</v>
      </c>
      <c r="E696" s="251">
        <v>168</v>
      </c>
      <c r="F696" s="252">
        <v>0.96299999999999997</v>
      </c>
      <c r="G696" s="251"/>
      <c r="H696" s="251">
        <v>1.1000000000000001</v>
      </c>
      <c r="I696" s="251"/>
      <c r="J696" s="253"/>
      <c r="K696" s="254">
        <f t="shared" si="21"/>
        <v>177.9624</v>
      </c>
      <c r="L696" s="266"/>
    </row>
    <row r="697" spans="2:12">
      <c r="B697" s="263" t="s">
        <v>1645</v>
      </c>
      <c r="C697" s="264" t="s">
        <v>1612</v>
      </c>
      <c r="D697" s="205" t="s">
        <v>152</v>
      </c>
      <c r="E697" s="251">
        <v>94</v>
      </c>
      <c r="F697" s="252">
        <v>0.96299999999999997</v>
      </c>
      <c r="G697" s="251"/>
      <c r="H697" s="251">
        <v>1.1000000000000001</v>
      </c>
      <c r="I697" s="251"/>
      <c r="J697" s="253"/>
      <c r="K697" s="254">
        <f t="shared" si="21"/>
        <v>99.574200000000005</v>
      </c>
      <c r="L697" s="266"/>
    </row>
    <row r="698" spans="2:12">
      <c r="B698" s="263" t="s">
        <v>1646</v>
      </c>
      <c r="C698" s="264" t="s">
        <v>1612</v>
      </c>
      <c r="D698" s="205" t="s">
        <v>152</v>
      </c>
      <c r="E698" s="251">
        <v>86</v>
      </c>
      <c r="F698" s="252">
        <v>0.96299999999999997</v>
      </c>
      <c r="G698" s="251"/>
      <c r="H698" s="251">
        <v>1.1000000000000001</v>
      </c>
      <c r="I698" s="251"/>
      <c r="J698" s="253"/>
      <c r="K698" s="254">
        <f t="shared" si="21"/>
        <v>91.099800000000002</v>
      </c>
      <c r="L698" s="266"/>
    </row>
    <row r="699" spans="2:12">
      <c r="B699" s="263" t="s">
        <v>1647</v>
      </c>
      <c r="C699" s="264" t="s">
        <v>1613</v>
      </c>
      <c r="D699" s="205" t="s">
        <v>152</v>
      </c>
      <c r="E699" s="257">
        <v>228</v>
      </c>
      <c r="F699" s="258">
        <v>0.96299999999999997</v>
      </c>
      <c r="G699" s="257"/>
      <c r="H699" s="257">
        <v>1.1000000000000001</v>
      </c>
      <c r="I699" s="251"/>
      <c r="J699" s="253"/>
      <c r="K699" s="254">
        <f t="shared" si="21"/>
        <v>241.52040000000002</v>
      </c>
      <c r="L699" s="255"/>
    </row>
    <row r="700" spans="2:12">
      <c r="B700" s="263"/>
      <c r="C700" s="264" t="s">
        <v>1613</v>
      </c>
      <c r="D700" s="205" t="s">
        <v>152</v>
      </c>
      <c r="E700" s="257"/>
      <c r="F700" s="258"/>
      <c r="G700" s="257"/>
      <c r="H700" s="257"/>
      <c r="I700" s="251"/>
      <c r="J700" s="253"/>
      <c r="K700" s="254">
        <f t="shared" si="21"/>
        <v>0</v>
      </c>
      <c r="L700" s="255"/>
    </row>
    <row r="701" spans="2:12">
      <c r="B701" s="263"/>
      <c r="C701" s="264"/>
      <c r="D701" s="210"/>
      <c r="E701" s="257"/>
      <c r="F701" s="258"/>
      <c r="G701" s="257"/>
      <c r="H701" s="257"/>
      <c r="I701" s="257"/>
      <c r="J701" s="259"/>
      <c r="K701" s="254">
        <f t="shared" si="21"/>
        <v>0</v>
      </c>
      <c r="L701" s="266"/>
    </row>
    <row r="702" spans="2:12">
      <c r="B702" s="202"/>
      <c r="C702" s="203"/>
      <c r="D702" s="203"/>
      <c r="E702" s="203"/>
      <c r="F702" s="203"/>
      <c r="G702" s="203"/>
      <c r="H702" s="204"/>
      <c r="I702" s="556" t="s">
        <v>1221</v>
      </c>
      <c r="J702" s="556"/>
      <c r="K702" s="220">
        <f>SUM(K686:K701)</f>
        <v>3041.3667</v>
      </c>
      <c r="L702" s="207"/>
    </row>
    <row r="703" spans="2:12">
      <c r="B703" s="208"/>
      <c r="C703" s="204"/>
      <c r="D703" s="204"/>
      <c r="E703" s="204"/>
      <c r="F703" s="204"/>
      <c r="G703" s="204"/>
      <c r="H703" s="209"/>
      <c r="I703" s="557" t="s">
        <v>1222</v>
      </c>
      <c r="J703" s="557"/>
      <c r="K703" s="221">
        <f>VLOOKUP(B684,'BM 004'!$B$27:$R$590,4,0)</f>
        <v>3267</v>
      </c>
      <c r="L703" s="207"/>
    </row>
    <row r="704" spans="2:12">
      <c r="B704" s="208"/>
      <c r="C704" s="204"/>
      <c r="D704" s="204"/>
      <c r="E704" s="204"/>
      <c r="F704" s="204"/>
      <c r="G704" s="204"/>
      <c r="H704" s="558" t="s">
        <v>1223</v>
      </c>
      <c r="I704" s="558"/>
      <c r="J704" s="558"/>
      <c r="K704" s="222">
        <v>2799.8463000000002</v>
      </c>
      <c r="L704" s="207"/>
    </row>
    <row r="705" spans="2:12">
      <c r="B705" s="208"/>
      <c r="C705" s="204"/>
      <c r="D705" s="204"/>
      <c r="E705" s="204"/>
      <c r="F705" s="204"/>
      <c r="G705" s="204"/>
      <c r="H705" s="558" t="s">
        <v>1596</v>
      </c>
      <c r="I705" s="558"/>
      <c r="J705" s="558"/>
      <c r="K705" s="222">
        <f>TRUNC(SUMIF(C686:C701,H705,K686:K701),2)</f>
        <v>241.52</v>
      </c>
      <c r="L705" s="207"/>
    </row>
    <row r="706" spans="2:12">
      <c r="B706" s="213"/>
      <c r="C706" s="214"/>
      <c r="D706" s="214"/>
      <c r="E706" s="214"/>
      <c r="F706" s="214"/>
      <c r="G706" s="214"/>
      <c r="H706" s="559" t="s">
        <v>1224</v>
      </c>
      <c r="I706" s="559"/>
      <c r="J706" s="559"/>
      <c r="K706" s="223">
        <f>IF(K702&gt;K703,K702-K703,0)</f>
        <v>0</v>
      </c>
      <c r="L706" s="209"/>
    </row>
    <row r="708" spans="2:12">
      <c r="B708" s="247" t="s">
        <v>207</v>
      </c>
      <c r="C708" s="565" t="str">
        <f>VLOOKUP(B708,'BM 004'!$B$27:$R$590,2,0)</f>
        <v xml:space="preserve">Armação de pilar ou viga de uma estrutura convencional de concreto armado em um edifício de múltiplos pavimentos utilizando aço ca-50 de 16,0 mm - montagem. </v>
      </c>
      <c r="D708" s="565"/>
      <c r="E708" s="565"/>
      <c r="F708" s="565"/>
      <c r="G708" s="565"/>
      <c r="H708" s="565"/>
      <c r="I708" s="565"/>
      <c r="J708" s="565"/>
      <c r="K708" s="565"/>
      <c r="L708" s="565"/>
    </row>
    <row r="709" spans="2:12">
      <c r="B709" s="248" t="s">
        <v>1209</v>
      </c>
      <c r="C709" s="248"/>
      <c r="D709" s="248" t="s">
        <v>39</v>
      </c>
      <c r="E709" s="248" t="s">
        <v>1210</v>
      </c>
      <c r="F709" s="248" t="s">
        <v>1382</v>
      </c>
      <c r="G709" s="248" t="s">
        <v>1383</v>
      </c>
      <c r="H709" s="248" t="s">
        <v>1384</v>
      </c>
      <c r="I709" s="248" t="s">
        <v>1214</v>
      </c>
      <c r="J709" s="248" t="s">
        <v>1385</v>
      </c>
      <c r="K709" s="248" t="s">
        <v>1216</v>
      </c>
      <c r="L709" s="248" t="s">
        <v>1217</v>
      </c>
    </row>
    <row r="710" spans="2:12">
      <c r="B710" s="249" t="s">
        <v>1367</v>
      </c>
      <c r="C710" s="250" t="s">
        <v>1333</v>
      </c>
      <c r="D710" s="205" t="s">
        <v>152</v>
      </c>
      <c r="E710" s="251">
        <v>221</v>
      </c>
      <c r="F710" s="252">
        <v>1.5780000000000001</v>
      </c>
      <c r="G710" s="251"/>
      <c r="H710" s="251">
        <v>1.1000000000000001</v>
      </c>
      <c r="I710" s="251"/>
      <c r="J710" s="253"/>
      <c r="K710" s="254">
        <f t="shared" ref="K710:K723" si="22">IF(E710*F710*G710&lt;&gt;0,E710*F710*G710,IF(E710*F710&lt;&gt;0,E710*F710,IF(F710*G710&lt;&gt;0,F710*G710,IF(E710*G710&lt;&gt;0,E710*G710,IF(E710&lt;&gt;0,E710,IF(F710&lt;&gt;0,F710,IF(G710&lt;&gt;0,G710,0)))))))*(IF(H710&lt;&gt;0,H710,1))+I710-J710</f>
        <v>383.61180000000002</v>
      </c>
      <c r="L710" s="255"/>
    </row>
    <row r="711" spans="2:12">
      <c r="B711" s="249" t="s">
        <v>1386</v>
      </c>
      <c r="C711" s="250" t="s">
        <v>1333</v>
      </c>
      <c r="D711" s="205" t="s">
        <v>152</v>
      </c>
      <c r="E711" s="251">
        <v>236</v>
      </c>
      <c r="F711" s="252">
        <v>1.5780000000000001</v>
      </c>
      <c r="G711" s="251"/>
      <c r="H711" s="251">
        <v>1.1000000000000001</v>
      </c>
      <c r="I711" s="251"/>
      <c r="J711" s="253"/>
      <c r="K711" s="254">
        <f t="shared" si="22"/>
        <v>409.64880000000005</v>
      </c>
      <c r="L711" s="255"/>
    </row>
    <row r="712" spans="2:12">
      <c r="B712" s="263" t="s">
        <v>1475</v>
      </c>
      <c r="C712" s="264" t="s">
        <v>1441</v>
      </c>
      <c r="D712" s="205" t="s">
        <v>152</v>
      </c>
      <c r="E712" s="251">
        <v>201</v>
      </c>
      <c r="F712" s="252">
        <v>1.5780000000000001</v>
      </c>
      <c r="G712" s="251"/>
      <c r="H712" s="251">
        <v>1.1000000000000001</v>
      </c>
      <c r="I712" s="251"/>
      <c r="J712" s="253"/>
      <c r="K712" s="254">
        <f t="shared" si="22"/>
        <v>348.89580000000001</v>
      </c>
      <c r="L712" s="255"/>
    </row>
    <row r="713" spans="2:12">
      <c r="B713" s="263" t="s">
        <v>1476</v>
      </c>
      <c r="C713" s="264" t="s">
        <v>1441</v>
      </c>
      <c r="D713" s="205" t="s">
        <v>152</v>
      </c>
      <c r="E713" s="251">
        <v>215</v>
      </c>
      <c r="F713" s="252">
        <v>1.5780000000000001</v>
      </c>
      <c r="G713" s="251"/>
      <c r="H713" s="251">
        <v>1.1000000000000001</v>
      </c>
      <c r="I713" s="251"/>
      <c r="J713" s="253"/>
      <c r="K713" s="254">
        <f t="shared" si="22"/>
        <v>373.19700000000006</v>
      </c>
      <c r="L713" s="255"/>
    </row>
    <row r="714" spans="2:12">
      <c r="B714" s="263" t="s">
        <v>1552</v>
      </c>
      <c r="C714" s="264" t="s">
        <v>1521</v>
      </c>
      <c r="D714" s="205" t="s">
        <v>152</v>
      </c>
      <c r="E714" s="251">
        <v>67</v>
      </c>
      <c r="F714" s="252">
        <v>1.5780000000000001</v>
      </c>
      <c r="G714" s="251"/>
      <c r="H714" s="251">
        <v>1.1000000000000001</v>
      </c>
      <c r="I714" s="251"/>
      <c r="J714" s="253"/>
      <c r="K714" s="254">
        <f t="shared" si="22"/>
        <v>116.29860000000001</v>
      </c>
      <c r="L714" s="266"/>
    </row>
    <row r="715" spans="2:12">
      <c r="B715" s="263" t="s">
        <v>1553</v>
      </c>
      <c r="C715" s="264" t="s">
        <v>1521</v>
      </c>
      <c r="D715" s="205" t="s">
        <v>152</v>
      </c>
      <c r="E715" s="251">
        <v>188</v>
      </c>
      <c r="F715" s="252">
        <v>1.5780000000000001</v>
      </c>
      <c r="G715" s="251"/>
      <c r="H715" s="251">
        <v>1.1000000000000001</v>
      </c>
      <c r="I715" s="251"/>
      <c r="J715" s="253"/>
      <c r="K715" s="254">
        <f t="shared" si="22"/>
        <v>326.3304</v>
      </c>
      <c r="L715" s="266"/>
    </row>
    <row r="716" spans="2:12">
      <c r="B716" s="263" t="s">
        <v>1642</v>
      </c>
      <c r="C716" s="264" t="s">
        <v>1611</v>
      </c>
      <c r="D716" s="205" t="s">
        <v>152</v>
      </c>
      <c r="E716" s="251">
        <v>161</v>
      </c>
      <c r="F716" s="252">
        <v>1.5780000000000001</v>
      </c>
      <c r="G716" s="251"/>
      <c r="H716" s="251">
        <v>1.1000000000000001</v>
      </c>
      <c r="I716" s="251"/>
      <c r="J716" s="253"/>
      <c r="K716" s="254">
        <f t="shared" si="22"/>
        <v>279.46380000000005</v>
      </c>
      <c r="L716" s="266"/>
    </row>
    <row r="717" spans="2:12">
      <c r="B717" s="263" t="s">
        <v>1643</v>
      </c>
      <c r="C717" s="264" t="s">
        <v>1611</v>
      </c>
      <c r="D717" s="205" t="s">
        <v>152</v>
      </c>
      <c r="E717" s="251">
        <v>205</v>
      </c>
      <c r="F717" s="252">
        <v>1.5780000000000001</v>
      </c>
      <c r="G717" s="251"/>
      <c r="H717" s="251">
        <v>1.1000000000000001</v>
      </c>
      <c r="I717" s="251"/>
      <c r="J717" s="253"/>
      <c r="K717" s="254">
        <f t="shared" si="22"/>
        <v>355.83900000000006</v>
      </c>
      <c r="L717" s="266"/>
    </row>
    <row r="718" spans="2:12">
      <c r="B718" s="263" t="s">
        <v>1644</v>
      </c>
      <c r="C718" s="264" t="s">
        <v>1612</v>
      </c>
      <c r="D718" s="205" t="s">
        <v>152</v>
      </c>
      <c r="E718" s="251">
        <v>44</v>
      </c>
      <c r="F718" s="252">
        <v>1.5780000000000001</v>
      </c>
      <c r="G718" s="251"/>
      <c r="H718" s="251">
        <v>1.1000000000000001</v>
      </c>
      <c r="I718" s="251"/>
      <c r="J718" s="253"/>
      <c r="K718" s="254">
        <f t="shared" si="22"/>
        <v>76.375200000000007</v>
      </c>
      <c r="L718" s="266"/>
    </row>
    <row r="719" spans="2:12">
      <c r="B719" s="263" t="s">
        <v>1645</v>
      </c>
      <c r="C719" s="264" t="s">
        <v>1612</v>
      </c>
      <c r="D719" s="205" t="s">
        <v>152</v>
      </c>
      <c r="E719" s="251">
        <v>141</v>
      </c>
      <c r="F719" s="252">
        <v>1.5780000000000001</v>
      </c>
      <c r="G719" s="251"/>
      <c r="H719" s="251">
        <v>1.1000000000000001</v>
      </c>
      <c r="I719" s="251"/>
      <c r="J719" s="253"/>
      <c r="K719" s="254">
        <f t="shared" si="22"/>
        <v>244.74780000000004</v>
      </c>
      <c r="L719" s="266"/>
    </row>
    <row r="720" spans="2:12">
      <c r="B720" s="263" t="s">
        <v>1646</v>
      </c>
      <c r="C720" s="264" t="s">
        <v>1612</v>
      </c>
      <c r="D720" s="205" t="s">
        <v>152</v>
      </c>
      <c r="E720" s="251">
        <v>223</v>
      </c>
      <c r="F720" s="252">
        <v>1.5780000000000001</v>
      </c>
      <c r="G720" s="251"/>
      <c r="H720" s="251">
        <v>1.1000000000000001</v>
      </c>
      <c r="I720" s="251"/>
      <c r="J720" s="253"/>
      <c r="K720" s="254">
        <f t="shared" si="22"/>
        <v>387.08340000000004</v>
      </c>
      <c r="L720" s="266"/>
    </row>
    <row r="721" spans="2:12">
      <c r="B721" s="263" t="s">
        <v>1647</v>
      </c>
      <c r="C721" s="264" t="s">
        <v>1613</v>
      </c>
      <c r="D721" s="205" t="s">
        <v>152</v>
      </c>
      <c r="E721" s="257">
        <v>614</v>
      </c>
      <c r="F721" s="258">
        <v>1.5780000000000001</v>
      </c>
      <c r="G721" s="257"/>
      <c r="H721" s="257">
        <v>1.1000000000000001</v>
      </c>
      <c r="I721" s="251"/>
      <c r="J721" s="253"/>
      <c r="K721" s="254">
        <f t="shared" si="22"/>
        <v>1065.7812000000001</v>
      </c>
      <c r="L721" s="255"/>
    </row>
    <row r="722" spans="2:12">
      <c r="B722" s="263"/>
      <c r="C722" s="264" t="s">
        <v>1613</v>
      </c>
      <c r="D722" s="205" t="s">
        <v>152</v>
      </c>
      <c r="E722" s="257"/>
      <c r="F722" s="258"/>
      <c r="G722" s="257"/>
      <c r="H722" s="257"/>
      <c r="I722" s="251"/>
      <c r="J722" s="253"/>
      <c r="K722" s="254">
        <f t="shared" si="22"/>
        <v>0</v>
      </c>
      <c r="L722" s="255"/>
    </row>
    <row r="723" spans="2:12">
      <c r="B723" s="256"/>
      <c r="C723" s="210"/>
      <c r="D723" s="210"/>
      <c r="E723" s="257"/>
      <c r="F723" s="258"/>
      <c r="G723" s="257"/>
      <c r="H723" s="257"/>
      <c r="I723" s="257"/>
      <c r="J723" s="259"/>
      <c r="K723" s="260">
        <f t="shared" si="22"/>
        <v>0</v>
      </c>
      <c r="L723" s="210"/>
    </row>
    <row r="724" spans="2:12">
      <c r="B724" s="202"/>
      <c r="C724" s="203"/>
      <c r="D724" s="203"/>
      <c r="E724" s="203"/>
      <c r="F724" s="203"/>
      <c r="G724" s="203"/>
      <c r="H724" s="204"/>
      <c r="I724" s="556" t="s">
        <v>1221</v>
      </c>
      <c r="J724" s="556"/>
      <c r="K724" s="220">
        <f>SUM(K710:K723)</f>
        <v>4367.2728000000006</v>
      </c>
      <c r="L724" s="207"/>
    </row>
    <row r="725" spans="2:12">
      <c r="B725" s="208"/>
      <c r="C725" s="204"/>
      <c r="D725" s="204"/>
      <c r="E725" s="204"/>
      <c r="F725" s="204"/>
      <c r="G725" s="204"/>
      <c r="H725" s="209"/>
      <c r="I725" s="557" t="s">
        <v>1222</v>
      </c>
      <c r="J725" s="557"/>
      <c r="K725" s="221">
        <f>VLOOKUP(B708,'BM 004'!$B$27:$R$590,4,0)</f>
        <v>8421.6</v>
      </c>
      <c r="L725" s="207"/>
    </row>
    <row r="726" spans="2:12">
      <c r="B726" s="208"/>
      <c r="C726" s="204"/>
      <c r="D726" s="204"/>
      <c r="E726" s="204"/>
      <c r="F726" s="204"/>
      <c r="G726" s="204"/>
      <c r="H726" s="558" t="s">
        <v>1223</v>
      </c>
      <c r="I726" s="558"/>
      <c r="J726" s="558"/>
      <c r="K726" s="222">
        <v>3301.4915999999998</v>
      </c>
      <c r="L726" s="207"/>
    </row>
    <row r="727" spans="2:12">
      <c r="B727" s="208"/>
      <c r="C727" s="204"/>
      <c r="D727" s="204"/>
      <c r="E727" s="204"/>
      <c r="F727" s="204"/>
      <c r="G727" s="204"/>
      <c r="H727" s="558" t="s">
        <v>1596</v>
      </c>
      <c r="I727" s="558"/>
      <c r="J727" s="558"/>
      <c r="K727" s="222">
        <f>TRUNC(SUMIF(C710:C723,H727,K710:K723),2)</f>
        <v>1065.78</v>
      </c>
      <c r="L727" s="207"/>
    </row>
    <row r="728" spans="2:12">
      <c r="B728" s="213"/>
      <c r="C728" s="214"/>
      <c r="D728" s="214"/>
      <c r="E728" s="214"/>
      <c r="F728" s="214"/>
      <c r="G728" s="214"/>
      <c r="H728" s="559" t="s">
        <v>1224</v>
      </c>
      <c r="I728" s="559"/>
      <c r="J728" s="559"/>
      <c r="K728" s="223">
        <f>IF(K724&gt;K725,K724-K725,0)</f>
        <v>0</v>
      </c>
      <c r="L728" s="209"/>
    </row>
    <row r="730" spans="2:12">
      <c r="B730" s="247" t="s">
        <v>209</v>
      </c>
      <c r="C730" s="565" t="str">
        <f>VLOOKUP(B730,'BM 004'!$B$27:$R$590,2,0)</f>
        <v xml:space="preserve">Armação de pilar ou viga de uma estrutura convencional de concreto armado em um edifício de múltiplos pavimentos utilizando aço ca-50 de 20,0 mm - montagem. </v>
      </c>
      <c r="D730" s="565"/>
      <c r="E730" s="565"/>
      <c r="F730" s="565"/>
      <c r="G730" s="565"/>
      <c r="H730" s="565"/>
      <c r="I730" s="565"/>
      <c r="J730" s="565"/>
      <c r="K730" s="565"/>
      <c r="L730" s="565"/>
    </row>
    <row r="731" spans="2:12">
      <c r="B731" s="248" t="s">
        <v>1209</v>
      </c>
      <c r="C731" s="248"/>
      <c r="D731" s="248" t="s">
        <v>39</v>
      </c>
      <c r="E731" s="248" t="s">
        <v>1210</v>
      </c>
      <c r="F731" s="248" t="s">
        <v>1382</v>
      </c>
      <c r="G731" s="248" t="s">
        <v>1383</v>
      </c>
      <c r="H731" s="248" t="s">
        <v>1384</v>
      </c>
      <c r="I731" s="248" t="s">
        <v>1214</v>
      </c>
      <c r="J731" s="248" t="s">
        <v>1385</v>
      </c>
      <c r="K731" s="248" t="s">
        <v>1216</v>
      </c>
      <c r="L731" s="248" t="s">
        <v>1217</v>
      </c>
    </row>
    <row r="732" spans="2:12">
      <c r="B732" s="249" t="s">
        <v>1367</v>
      </c>
      <c r="C732" s="250" t="s">
        <v>1333</v>
      </c>
      <c r="D732" s="205" t="s">
        <v>152</v>
      </c>
      <c r="E732" s="251">
        <v>75</v>
      </c>
      <c r="F732" s="252">
        <v>2.4660000000000002</v>
      </c>
      <c r="G732" s="251"/>
      <c r="H732" s="251">
        <v>1.1000000000000001</v>
      </c>
      <c r="I732" s="251"/>
      <c r="J732" s="253"/>
      <c r="K732" s="254">
        <f t="shared" ref="K732:K746" si="23">IF(E732*F732*G732&lt;&gt;0,E732*F732*G732,IF(E732*F732&lt;&gt;0,E732*F732,IF(F732*G732&lt;&gt;0,F732*G732,IF(E732*G732&lt;&gt;0,E732*G732,IF(E732&lt;&gt;0,E732,IF(F732&lt;&gt;0,F732,IF(G732&lt;&gt;0,G732,0)))))))*(IF(H732&lt;&gt;0,H732,1))+I732-J732</f>
        <v>203.44500000000002</v>
      </c>
      <c r="L732" s="255"/>
    </row>
    <row r="733" spans="2:12">
      <c r="B733" s="249" t="s">
        <v>1386</v>
      </c>
      <c r="C733" s="250" t="s">
        <v>1333</v>
      </c>
      <c r="D733" s="205" t="s">
        <v>152</v>
      </c>
      <c r="E733" s="251">
        <v>95</v>
      </c>
      <c r="F733" s="252">
        <v>2.4660000000000002</v>
      </c>
      <c r="G733" s="251"/>
      <c r="H733" s="251">
        <v>1.1000000000000001</v>
      </c>
      <c r="I733" s="251"/>
      <c r="J733" s="253"/>
      <c r="K733" s="254">
        <f t="shared" si="23"/>
        <v>257.69700000000006</v>
      </c>
      <c r="L733" s="255"/>
    </row>
    <row r="734" spans="2:12">
      <c r="B734" s="263" t="s">
        <v>1475</v>
      </c>
      <c r="C734" s="264" t="s">
        <v>1441</v>
      </c>
      <c r="D734" s="205" t="s">
        <v>152</v>
      </c>
      <c r="E734" s="251">
        <v>150</v>
      </c>
      <c r="F734" s="252">
        <v>2.4660000000000002</v>
      </c>
      <c r="G734" s="251"/>
      <c r="H734" s="251">
        <v>1.1000000000000001</v>
      </c>
      <c r="I734" s="251"/>
      <c r="J734" s="253"/>
      <c r="K734" s="254">
        <f t="shared" si="23"/>
        <v>406.89000000000004</v>
      </c>
      <c r="L734" s="255"/>
    </row>
    <row r="735" spans="2:12">
      <c r="B735" s="263" t="s">
        <v>1476</v>
      </c>
      <c r="C735" s="264" t="s">
        <v>1441</v>
      </c>
      <c r="D735" s="205" t="s">
        <v>152</v>
      </c>
      <c r="E735" s="251">
        <v>137</v>
      </c>
      <c r="F735" s="252">
        <v>2.4660000000000002</v>
      </c>
      <c r="G735" s="251"/>
      <c r="H735" s="251">
        <v>1.1000000000000001</v>
      </c>
      <c r="I735" s="251"/>
      <c r="J735" s="253"/>
      <c r="K735" s="254">
        <f t="shared" si="23"/>
        <v>371.6262000000001</v>
      </c>
      <c r="L735" s="255"/>
    </row>
    <row r="736" spans="2:12">
      <c r="B736" s="263" t="s">
        <v>1302</v>
      </c>
      <c r="C736" s="264" t="s">
        <v>1441</v>
      </c>
      <c r="D736" s="205" t="s">
        <v>152</v>
      </c>
      <c r="E736" s="251">
        <v>157</v>
      </c>
      <c r="F736" s="252">
        <v>2.4660000000000002</v>
      </c>
      <c r="G736" s="251"/>
      <c r="H736" s="251">
        <v>1.1000000000000001</v>
      </c>
      <c r="I736" s="251"/>
      <c r="J736" s="253"/>
      <c r="K736" s="254">
        <f t="shared" si="23"/>
        <v>425.87820000000005</v>
      </c>
      <c r="L736" s="255"/>
    </row>
    <row r="737" spans="2:12">
      <c r="B737" s="263" t="s">
        <v>1552</v>
      </c>
      <c r="C737" s="264" t="s">
        <v>1521</v>
      </c>
      <c r="D737" s="205" t="s">
        <v>152</v>
      </c>
      <c r="E737" s="251">
        <v>172</v>
      </c>
      <c r="F737" s="252">
        <v>2.4660000000000002</v>
      </c>
      <c r="G737" s="251"/>
      <c r="H737" s="251">
        <v>1.1000000000000001</v>
      </c>
      <c r="I737" s="251"/>
      <c r="J737" s="253"/>
      <c r="K737" s="254">
        <f t="shared" si="23"/>
        <v>466.56720000000007</v>
      </c>
      <c r="L737" s="266"/>
    </row>
    <row r="738" spans="2:12">
      <c r="B738" s="263" t="s">
        <v>1553</v>
      </c>
      <c r="C738" s="264" t="s">
        <v>1521</v>
      </c>
      <c r="D738" s="205" t="s">
        <v>152</v>
      </c>
      <c r="E738" s="251">
        <v>47</v>
      </c>
      <c r="F738" s="252">
        <v>2.4660000000000002</v>
      </c>
      <c r="G738" s="251"/>
      <c r="H738" s="251">
        <v>1.1000000000000001</v>
      </c>
      <c r="I738" s="251"/>
      <c r="J738" s="253"/>
      <c r="K738" s="254">
        <f t="shared" si="23"/>
        <v>127.49220000000003</v>
      </c>
      <c r="L738" s="266"/>
    </row>
    <row r="739" spans="2:12">
      <c r="B739" s="263" t="s">
        <v>1642</v>
      </c>
      <c r="C739" s="264" t="s">
        <v>1611</v>
      </c>
      <c r="D739" s="205" t="s">
        <v>152</v>
      </c>
      <c r="E739" s="251">
        <v>105</v>
      </c>
      <c r="F739" s="252">
        <v>2.4660000000000002</v>
      </c>
      <c r="G739" s="251"/>
      <c r="H739" s="251">
        <v>1.1000000000000001</v>
      </c>
      <c r="I739" s="251"/>
      <c r="J739" s="253"/>
      <c r="K739" s="254">
        <f t="shared" si="23"/>
        <v>284.82300000000004</v>
      </c>
      <c r="L739" s="266"/>
    </row>
    <row r="740" spans="2:12">
      <c r="B740" s="263" t="s">
        <v>1643</v>
      </c>
      <c r="C740" s="264" t="s">
        <v>1611</v>
      </c>
      <c r="D740" s="205" t="s">
        <v>152</v>
      </c>
      <c r="E740" s="251">
        <v>117</v>
      </c>
      <c r="F740" s="252">
        <v>2.4660000000000002</v>
      </c>
      <c r="G740" s="251"/>
      <c r="H740" s="251">
        <v>1.1000000000000001</v>
      </c>
      <c r="I740" s="251"/>
      <c r="J740" s="253"/>
      <c r="K740" s="254">
        <f t="shared" si="23"/>
        <v>317.37420000000009</v>
      </c>
      <c r="L740" s="266"/>
    </row>
    <row r="741" spans="2:12">
      <c r="B741" s="263" t="s">
        <v>1644</v>
      </c>
      <c r="C741" s="264" t="s">
        <v>1612</v>
      </c>
      <c r="D741" s="205" t="s">
        <v>152</v>
      </c>
      <c r="E741" s="251">
        <v>126</v>
      </c>
      <c r="F741" s="252">
        <v>2.4660000000000002</v>
      </c>
      <c r="G741" s="251"/>
      <c r="H741" s="251">
        <v>1.1000000000000001</v>
      </c>
      <c r="I741" s="251"/>
      <c r="J741" s="253"/>
      <c r="K741" s="254">
        <f t="shared" si="23"/>
        <v>341.78760000000005</v>
      </c>
      <c r="L741" s="266"/>
    </row>
    <row r="742" spans="2:12">
      <c r="B742" s="263" t="s">
        <v>1645</v>
      </c>
      <c r="C742" s="264" t="s">
        <v>1612</v>
      </c>
      <c r="D742" s="205" t="s">
        <v>152</v>
      </c>
      <c r="E742" s="251">
        <v>78</v>
      </c>
      <c r="F742" s="252">
        <v>2.4660000000000002</v>
      </c>
      <c r="G742" s="251"/>
      <c r="H742" s="251">
        <v>1.1000000000000001</v>
      </c>
      <c r="I742" s="251"/>
      <c r="J742" s="253"/>
      <c r="K742" s="254">
        <f t="shared" si="23"/>
        <v>211.58280000000002</v>
      </c>
      <c r="L742" s="266"/>
    </row>
    <row r="743" spans="2:12">
      <c r="B743" s="263" t="s">
        <v>1646</v>
      </c>
      <c r="C743" s="264" t="s">
        <v>1612</v>
      </c>
      <c r="D743" s="205" t="s">
        <v>152</v>
      </c>
      <c r="E743" s="251">
        <v>75</v>
      </c>
      <c r="F743" s="252">
        <v>2.4660000000000002</v>
      </c>
      <c r="G743" s="251"/>
      <c r="H743" s="251">
        <v>1.1000000000000001</v>
      </c>
      <c r="I743" s="251"/>
      <c r="J743" s="253"/>
      <c r="K743" s="254">
        <f t="shared" si="23"/>
        <v>203.44500000000002</v>
      </c>
      <c r="L743" s="266"/>
    </row>
    <row r="744" spans="2:12">
      <c r="B744" s="263" t="s">
        <v>1647</v>
      </c>
      <c r="C744" s="264" t="s">
        <v>1613</v>
      </c>
      <c r="D744" s="205" t="s">
        <v>152</v>
      </c>
      <c r="E744" s="257">
        <v>139</v>
      </c>
      <c r="F744" s="258">
        <v>2.4660000000000002</v>
      </c>
      <c r="G744" s="257"/>
      <c r="H744" s="257">
        <v>1.1000000000000001</v>
      </c>
      <c r="I744" s="251"/>
      <c r="J744" s="253"/>
      <c r="K744" s="254">
        <f t="shared" si="23"/>
        <v>377.05140000000006</v>
      </c>
      <c r="L744" s="255"/>
    </row>
    <row r="745" spans="2:12">
      <c r="B745" s="263"/>
      <c r="C745" s="264" t="s">
        <v>1613</v>
      </c>
      <c r="D745" s="205" t="s">
        <v>152</v>
      </c>
      <c r="E745" s="257"/>
      <c r="F745" s="258"/>
      <c r="G745" s="257"/>
      <c r="H745" s="257"/>
      <c r="I745" s="251"/>
      <c r="J745" s="253"/>
      <c r="K745" s="254">
        <f t="shared" si="23"/>
        <v>0</v>
      </c>
      <c r="L745" s="255"/>
    </row>
    <row r="746" spans="2:12">
      <c r="B746" s="256"/>
      <c r="C746" s="210"/>
      <c r="D746" s="210"/>
      <c r="E746" s="257"/>
      <c r="F746" s="258"/>
      <c r="G746" s="257"/>
      <c r="H746" s="257"/>
      <c r="I746" s="257"/>
      <c r="J746" s="259"/>
      <c r="K746" s="260">
        <f t="shared" si="23"/>
        <v>0</v>
      </c>
      <c r="L746" s="210"/>
    </row>
    <row r="747" spans="2:12">
      <c r="B747" s="202"/>
      <c r="C747" s="203"/>
      <c r="D747" s="203"/>
      <c r="E747" s="203"/>
      <c r="F747" s="203"/>
      <c r="G747" s="203"/>
      <c r="H747" s="204"/>
      <c r="I747" s="556" t="s">
        <v>1221</v>
      </c>
      <c r="J747" s="556"/>
      <c r="K747" s="220">
        <f>SUM(K732:K746)</f>
        <v>3995.6598000000013</v>
      </c>
      <c r="L747" s="207"/>
    </row>
    <row r="748" spans="2:12">
      <c r="B748" s="208"/>
      <c r="C748" s="204"/>
      <c r="D748" s="204"/>
      <c r="E748" s="204"/>
      <c r="F748" s="204"/>
      <c r="G748" s="204"/>
      <c r="H748" s="209"/>
      <c r="I748" s="557" t="s">
        <v>1222</v>
      </c>
      <c r="J748" s="557"/>
      <c r="K748" s="221">
        <f>VLOOKUP(B730,'BM 004'!$B$27:$R$590,4,0)</f>
        <v>7144.5</v>
      </c>
      <c r="L748" s="207"/>
    </row>
    <row r="749" spans="2:12">
      <c r="B749" s="208"/>
      <c r="C749" s="204"/>
      <c r="D749" s="204"/>
      <c r="E749" s="204"/>
      <c r="F749" s="204"/>
      <c r="G749" s="204"/>
      <c r="H749" s="558" t="s">
        <v>1223</v>
      </c>
      <c r="I749" s="558"/>
      <c r="J749" s="558"/>
      <c r="K749" s="222">
        <v>3618.6084000000001</v>
      </c>
      <c r="L749" s="207"/>
    </row>
    <row r="750" spans="2:12">
      <c r="B750" s="208"/>
      <c r="C750" s="204"/>
      <c r="D750" s="204"/>
      <c r="E750" s="204"/>
      <c r="F750" s="204"/>
      <c r="G750" s="204"/>
      <c r="H750" s="558" t="s">
        <v>1596</v>
      </c>
      <c r="I750" s="558"/>
      <c r="J750" s="558"/>
      <c r="K750" s="222">
        <f>TRUNC(SUMIF(C732:C746,H750,K732:K746),2)</f>
        <v>377.05</v>
      </c>
      <c r="L750" s="207"/>
    </row>
    <row r="751" spans="2:12">
      <c r="B751" s="213"/>
      <c r="C751" s="214"/>
      <c r="D751" s="214"/>
      <c r="E751" s="214"/>
      <c r="F751" s="214"/>
      <c r="G751" s="214"/>
      <c r="H751" s="559" t="s">
        <v>1224</v>
      </c>
      <c r="I751" s="559"/>
      <c r="J751" s="559"/>
      <c r="K751" s="223">
        <f>IF(K747&gt;K748,K747-K748,0)</f>
        <v>0</v>
      </c>
      <c r="L751" s="209"/>
    </row>
    <row r="753" spans="2:12">
      <c r="B753" s="247" t="s">
        <v>211</v>
      </c>
      <c r="C753" s="565" t="str">
        <f>VLOOKUP(B753,'BM 004'!$B$27:$R$590,2,0)</f>
        <v xml:space="preserve">Armação de pilar ou viga de uma estrutura convencional de concreto armado em um edifício de múltiplos pavimentos utilizando aço ca-50 de 25,0 mm - montagem. </v>
      </c>
      <c r="D753" s="565"/>
      <c r="E753" s="565"/>
      <c r="F753" s="565"/>
      <c r="G753" s="565"/>
      <c r="H753" s="565"/>
      <c r="I753" s="565"/>
      <c r="J753" s="565"/>
      <c r="K753" s="565"/>
      <c r="L753" s="565"/>
    </row>
    <row r="754" spans="2:12">
      <c r="B754" s="248" t="s">
        <v>1209</v>
      </c>
      <c r="C754" s="248"/>
      <c r="D754" s="248" t="s">
        <v>39</v>
      </c>
      <c r="E754" s="248" t="s">
        <v>1210</v>
      </c>
      <c r="F754" s="248" t="s">
        <v>1382</v>
      </c>
      <c r="G754" s="248" t="s">
        <v>1383</v>
      </c>
      <c r="H754" s="248" t="s">
        <v>1384</v>
      </c>
      <c r="I754" s="248" t="s">
        <v>1214</v>
      </c>
      <c r="J754" s="248" t="s">
        <v>1385</v>
      </c>
      <c r="K754" s="248" t="s">
        <v>1216</v>
      </c>
      <c r="L754" s="248" t="s">
        <v>1217</v>
      </c>
    </row>
    <row r="755" spans="2:12">
      <c r="B755" s="249" t="s">
        <v>1367</v>
      </c>
      <c r="C755" s="250" t="s">
        <v>1333</v>
      </c>
      <c r="D755" s="205" t="s">
        <v>152</v>
      </c>
      <c r="E755" s="251">
        <v>16</v>
      </c>
      <c r="F755" s="252">
        <v>3.8530000000000002</v>
      </c>
      <c r="G755" s="251"/>
      <c r="H755" s="251">
        <v>1.1000000000000001</v>
      </c>
      <c r="I755" s="251"/>
      <c r="J755" s="253"/>
      <c r="K755" s="254">
        <f t="shared" ref="K755:K769" si="24">IF(E755*F755*G755&lt;&gt;0,E755*F755*G755,IF(E755*F755&lt;&gt;0,E755*F755,IF(F755*G755&lt;&gt;0,F755*G755,IF(E755*G755&lt;&gt;0,E755*G755,IF(E755&lt;&gt;0,E755,IF(F755&lt;&gt;0,F755,IF(G755&lt;&gt;0,G755,0)))))))*(IF(H755&lt;&gt;0,H755,1))+I755-J755</f>
        <v>67.81280000000001</v>
      </c>
      <c r="L755" s="255"/>
    </row>
    <row r="756" spans="2:12">
      <c r="B756" s="249" t="s">
        <v>1386</v>
      </c>
      <c r="C756" s="250" t="s">
        <v>1333</v>
      </c>
      <c r="D756" s="205" t="s">
        <v>152</v>
      </c>
      <c r="E756" s="251">
        <v>44</v>
      </c>
      <c r="F756" s="252">
        <v>3.8530000000000002</v>
      </c>
      <c r="G756" s="251"/>
      <c r="H756" s="251">
        <v>1.1000000000000001</v>
      </c>
      <c r="I756" s="251"/>
      <c r="J756" s="253"/>
      <c r="K756" s="254">
        <f t="shared" si="24"/>
        <v>186.48520000000002</v>
      </c>
      <c r="L756" s="255"/>
    </row>
    <row r="757" spans="2:12">
      <c r="B757" s="263" t="s">
        <v>1475</v>
      </c>
      <c r="C757" s="264" t="s">
        <v>1441</v>
      </c>
      <c r="D757" s="205" t="s">
        <v>152</v>
      </c>
      <c r="E757" s="251">
        <v>148</v>
      </c>
      <c r="F757" s="252">
        <v>3.8530000000000002</v>
      </c>
      <c r="G757" s="251"/>
      <c r="H757" s="251">
        <v>1.1000000000000001</v>
      </c>
      <c r="I757" s="251"/>
      <c r="J757" s="253"/>
      <c r="K757" s="254">
        <f t="shared" si="24"/>
        <v>627.26840000000004</v>
      </c>
      <c r="L757" s="255"/>
    </row>
    <row r="758" spans="2:12">
      <c r="B758" s="263" t="s">
        <v>1476</v>
      </c>
      <c r="C758" s="264" t="s">
        <v>1441</v>
      </c>
      <c r="D758" s="205" t="s">
        <v>152</v>
      </c>
      <c r="E758" s="251">
        <v>96</v>
      </c>
      <c r="F758" s="252">
        <v>3.8530000000000002</v>
      </c>
      <c r="G758" s="251"/>
      <c r="H758" s="251">
        <v>1.1000000000000001</v>
      </c>
      <c r="I758" s="251"/>
      <c r="J758" s="253"/>
      <c r="K758" s="254">
        <f t="shared" si="24"/>
        <v>406.87680000000006</v>
      </c>
      <c r="L758" s="255"/>
    </row>
    <row r="759" spans="2:12">
      <c r="B759" s="263" t="s">
        <v>1302</v>
      </c>
      <c r="C759" s="264" t="s">
        <v>1441</v>
      </c>
      <c r="D759" s="205" t="s">
        <v>152</v>
      </c>
      <c r="E759" s="251">
        <v>222</v>
      </c>
      <c r="F759" s="252">
        <v>3.8530000000000002</v>
      </c>
      <c r="G759" s="251"/>
      <c r="H759" s="251">
        <v>1.1000000000000001</v>
      </c>
      <c r="I759" s="251"/>
      <c r="J759" s="253"/>
      <c r="K759" s="254">
        <f t="shared" si="24"/>
        <v>940.90260000000023</v>
      </c>
      <c r="L759" s="255"/>
    </row>
    <row r="760" spans="2:12">
      <c r="B760" s="263" t="s">
        <v>1552</v>
      </c>
      <c r="C760" s="264" t="s">
        <v>1521</v>
      </c>
      <c r="D760" s="205" t="s">
        <v>152</v>
      </c>
      <c r="E760" s="251">
        <v>57</v>
      </c>
      <c r="F760" s="252">
        <v>3.8530000000000002</v>
      </c>
      <c r="G760" s="251"/>
      <c r="H760" s="251">
        <v>1.1000000000000001</v>
      </c>
      <c r="I760" s="251"/>
      <c r="J760" s="253"/>
      <c r="K760" s="254">
        <f t="shared" si="24"/>
        <v>241.58310000000003</v>
      </c>
      <c r="L760" s="266"/>
    </row>
    <row r="761" spans="2:12">
      <c r="B761" s="263" t="s">
        <v>1553</v>
      </c>
      <c r="C761" s="264" t="s">
        <v>1521</v>
      </c>
      <c r="D761" s="205" t="s">
        <v>152</v>
      </c>
      <c r="E761" s="251">
        <v>34</v>
      </c>
      <c r="F761" s="252">
        <v>3.8530000000000002</v>
      </c>
      <c r="G761" s="251"/>
      <c r="H761" s="251">
        <v>1.1000000000000001</v>
      </c>
      <c r="I761" s="251"/>
      <c r="J761" s="253"/>
      <c r="K761" s="254">
        <f t="shared" si="24"/>
        <v>144.10220000000001</v>
      </c>
      <c r="L761" s="266"/>
    </row>
    <row r="762" spans="2:12">
      <c r="B762" s="263" t="s">
        <v>1642</v>
      </c>
      <c r="C762" s="264" t="s">
        <v>1611</v>
      </c>
      <c r="D762" s="205" t="s">
        <v>152</v>
      </c>
      <c r="E762" s="251">
        <v>120</v>
      </c>
      <c r="F762" s="252">
        <v>3.8530000000000002</v>
      </c>
      <c r="G762" s="251"/>
      <c r="H762" s="251">
        <v>1.1000000000000001</v>
      </c>
      <c r="I762" s="251"/>
      <c r="J762" s="253"/>
      <c r="K762" s="254">
        <f t="shared" si="24"/>
        <v>508.59600000000006</v>
      </c>
      <c r="L762" s="266"/>
    </row>
    <row r="763" spans="2:12">
      <c r="B763" s="263" t="s">
        <v>1643</v>
      </c>
      <c r="C763" s="264" t="s">
        <v>1611</v>
      </c>
      <c r="D763" s="205" t="s">
        <v>152</v>
      </c>
      <c r="E763" s="251">
        <v>118</v>
      </c>
      <c r="F763" s="252">
        <v>3.8530000000000002</v>
      </c>
      <c r="G763" s="251"/>
      <c r="H763" s="251">
        <v>1.1000000000000001</v>
      </c>
      <c r="I763" s="251"/>
      <c r="J763" s="253"/>
      <c r="K763" s="254">
        <f t="shared" si="24"/>
        <v>500.11940000000004</v>
      </c>
      <c r="L763" s="266"/>
    </row>
    <row r="764" spans="2:12">
      <c r="B764" s="263" t="s">
        <v>1644</v>
      </c>
      <c r="C764" s="264" t="s">
        <v>1612</v>
      </c>
      <c r="D764" s="205" t="s">
        <v>152</v>
      </c>
      <c r="E764" s="251">
        <v>69</v>
      </c>
      <c r="F764" s="252">
        <v>3.8530000000000002</v>
      </c>
      <c r="G764" s="251"/>
      <c r="H764" s="251">
        <v>1.1000000000000001</v>
      </c>
      <c r="I764" s="251"/>
      <c r="J764" s="253"/>
      <c r="K764" s="254">
        <f t="shared" si="24"/>
        <v>292.44270000000006</v>
      </c>
      <c r="L764" s="266"/>
    </row>
    <row r="765" spans="2:12">
      <c r="B765" s="263" t="s">
        <v>1645</v>
      </c>
      <c r="C765" s="264" t="s">
        <v>1612</v>
      </c>
      <c r="D765" s="205" t="s">
        <v>152</v>
      </c>
      <c r="E765" s="251">
        <v>20</v>
      </c>
      <c r="F765" s="252">
        <v>3.8530000000000002</v>
      </c>
      <c r="G765" s="251"/>
      <c r="H765" s="251">
        <v>1.1000000000000001</v>
      </c>
      <c r="I765" s="251"/>
      <c r="J765" s="253"/>
      <c r="K765" s="254">
        <f t="shared" si="24"/>
        <v>84.766000000000005</v>
      </c>
      <c r="L765" s="266"/>
    </row>
    <row r="766" spans="2:12">
      <c r="B766" s="263" t="s">
        <v>1646</v>
      </c>
      <c r="C766" s="264" t="s">
        <v>1612</v>
      </c>
      <c r="D766" s="205" t="s">
        <v>152</v>
      </c>
      <c r="E766" s="251">
        <v>11</v>
      </c>
      <c r="F766" s="252">
        <v>3.8530000000000002</v>
      </c>
      <c r="G766" s="251"/>
      <c r="H766" s="251">
        <v>1.1000000000000001</v>
      </c>
      <c r="I766" s="251"/>
      <c r="J766" s="253"/>
      <c r="K766" s="254">
        <f t="shared" si="24"/>
        <v>46.621300000000005</v>
      </c>
      <c r="L766" s="266"/>
    </row>
    <row r="767" spans="2:12">
      <c r="B767" s="263" t="s">
        <v>1647</v>
      </c>
      <c r="C767" s="264" t="s">
        <v>1613</v>
      </c>
      <c r="D767" s="205" t="s">
        <v>152</v>
      </c>
      <c r="E767" s="257">
        <v>222</v>
      </c>
      <c r="F767" s="258">
        <v>3.8530000000000002</v>
      </c>
      <c r="G767" s="257"/>
      <c r="H767" s="257">
        <v>1.1000000000000001</v>
      </c>
      <c r="I767" s="251"/>
      <c r="J767" s="253"/>
      <c r="K767" s="254">
        <f t="shared" si="24"/>
        <v>940.90260000000023</v>
      </c>
      <c r="L767" s="255"/>
    </row>
    <row r="768" spans="2:12">
      <c r="B768" s="263"/>
      <c r="C768" s="264" t="s">
        <v>1613</v>
      </c>
      <c r="D768" s="205" t="s">
        <v>152</v>
      </c>
      <c r="E768" s="257"/>
      <c r="F768" s="258"/>
      <c r="G768" s="257"/>
      <c r="H768" s="257"/>
      <c r="I768" s="251"/>
      <c r="J768" s="253"/>
      <c r="K768" s="254">
        <f t="shared" si="24"/>
        <v>0</v>
      </c>
      <c r="L768" s="255"/>
    </row>
    <row r="769" spans="2:12">
      <c r="B769" s="256"/>
      <c r="C769" s="210"/>
      <c r="D769" s="210"/>
      <c r="E769" s="257"/>
      <c r="F769" s="258"/>
      <c r="G769" s="257"/>
      <c r="H769" s="257"/>
      <c r="I769" s="257"/>
      <c r="J769" s="259"/>
      <c r="K769" s="260">
        <f t="shared" si="24"/>
        <v>0</v>
      </c>
      <c r="L769" s="210"/>
    </row>
    <row r="770" spans="2:12">
      <c r="B770" s="202"/>
      <c r="C770" s="203"/>
      <c r="D770" s="203"/>
      <c r="E770" s="203"/>
      <c r="F770" s="203"/>
      <c r="G770" s="203"/>
      <c r="H770" s="204"/>
      <c r="I770" s="556" t="s">
        <v>1221</v>
      </c>
      <c r="J770" s="556"/>
      <c r="K770" s="220">
        <f>SUM(K755:K769)</f>
        <v>4988.4791000000005</v>
      </c>
      <c r="L770" s="207"/>
    </row>
    <row r="771" spans="2:12">
      <c r="B771" s="208"/>
      <c r="C771" s="204"/>
      <c r="D771" s="204"/>
      <c r="E771" s="204"/>
      <c r="F771" s="204"/>
      <c r="G771" s="204"/>
      <c r="H771" s="209"/>
      <c r="I771" s="557" t="s">
        <v>1222</v>
      </c>
      <c r="J771" s="557"/>
      <c r="K771" s="221">
        <f>VLOOKUP(B753,'BM 004'!$B$27:$R$590,4,0)</f>
        <v>6531.8</v>
      </c>
      <c r="L771" s="207"/>
    </row>
    <row r="772" spans="2:12">
      <c r="B772" s="208"/>
      <c r="C772" s="204"/>
      <c r="D772" s="204"/>
      <c r="E772" s="204"/>
      <c r="F772" s="204"/>
      <c r="G772" s="204"/>
      <c r="H772" s="558" t="s">
        <v>1223</v>
      </c>
      <c r="I772" s="558"/>
      <c r="J772" s="558"/>
      <c r="K772" s="222">
        <v>4047.5765000000001</v>
      </c>
      <c r="L772" s="207"/>
    </row>
    <row r="773" spans="2:12">
      <c r="B773" s="208"/>
      <c r="C773" s="204"/>
      <c r="D773" s="204"/>
      <c r="E773" s="204"/>
      <c r="F773" s="204"/>
      <c r="G773" s="204"/>
      <c r="H773" s="558" t="s">
        <v>1596</v>
      </c>
      <c r="I773" s="558"/>
      <c r="J773" s="558"/>
      <c r="K773" s="222">
        <f>TRUNC(SUMIF(C755:C769,H773,K755:K769),2)</f>
        <v>940.9</v>
      </c>
      <c r="L773" s="207"/>
    </row>
    <row r="774" spans="2:12">
      <c r="B774" s="213"/>
      <c r="C774" s="214"/>
      <c r="D774" s="214"/>
      <c r="E774" s="214"/>
      <c r="F774" s="214"/>
      <c r="G774" s="214"/>
      <c r="H774" s="559" t="s">
        <v>1224</v>
      </c>
      <c r="I774" s="559"/>
      <c r="J774" s="559"/>
      <c r="K774" s="223">
        <f>IF(K770&gt;K771,K770-K771,0)</f>
        <v>0</v>
      </c>
      <c r="L774" s="209"/>
    </row>
    <row r="776" spans="2:12">
      <c r="B776" s="247" t="s">
        <v>214</v>
      </c>
      <c r="C776" s="565" t="str">
        <f>VLOOKUP(B776,'BM 004'!$B$27:$R$590,2,0)</f>
        <v xml:space="preserve">Concreto simples usinado fck=35mpa, bombeado, lançado e adensado em superestrutura </v>
      </c>
      <c r="D776" s="565"/>
      <c r="E776" s="565"/>
      <c r="F776" s="565"/>
      <c r="G776" s="565"/>
      <c r="H776" s="565"/>
      <c r="I776" s="565"/>
      <c r="J776" s="565"/>
      <c r="K776" s="565"/>
      <c r="L776" s="565"/>
    </row>
    <row r="777" spans="2:12">
      <c r="B777" s="248" t="s">
        <v>1209</v>
      </c>
      <c r="C777" s="248"/>
      <c r="D777" s="248" t="s">
        <v>39</v>
      </c>
      <c r="E777" s="248" t="s">
        <v>1210</v>
      </c>
      <c r="F777" s="248" t="s">
        <v>1388</v>
      </c>
      <c r="G777" s="248" t="s">
        <v>1212</v>
      </c>
      <c r="H777" s="248" t="s">
        <v>1455</v>
      </c>
      <c r="I777" s="248" t="s">
        <v>1214</v>
      </c>
      <c r="J777" s="248" t="s">
        <v>1385</v>
      </c>
      <c r="K777" s="248" t="s">
        <v>1216</v>
      </c>
      <c r="L777" s="248" t="s">
        <v>1217</v>
      </c>
    </row>
    <row r="778" spans="2:12">
      <c r="B778" s="249" t="s">
        <v>1456</v>
      </c>
      <c r="C778" s="250" t="s">
        <v>1441</v>
      </c>
      <c r="D778" s="205" t="s">
        <v>169</v>
      </c>
      <c r="E778" s="199">
        <v>0.64</v>
      </c>
      <c r="F778" s="199">
        <v>0.15</v>
      </c>
      <c r="G778" s="199">
        <v>1</v>
      </c>
      <c r="H778" s="199"/>
      <c r="I778" s="199"/>
      <c r="J778" s="219"/>
      <c r="K778" s="220">
        <f t="shared" ref="K778:K809" si="25">IF(E778*F778*G778&lt;&gt;0,E778*F778*G778,IF(E778*F778&lt;&gt;0,E778*F778,IF(F778*G778&lt;&gt;0,F778*G778,IF(E778*G778&lt;&gt;0,E778*G778,IF(E778&lt;&gt;0,E778,IF(F778&lt;&gt;0,F778,IF(G778&lt;&gt;0,G778,0)))))))*(IF(H778&lt;&gt;0,H778,1))+I778-J778</f>
        <v>9.6000000000000002E-2</v>
      </c>
      <c r="L778" s="255"/>
    </row>
    <row r="779" spans="2:12">
      <c r="B779" s="249" t="s">
        <v>1457</v>
      </c>
      <c r="C779" s="250" t="s">
        <v>1441</v>
      </c>
      <c r="D779" s="205" t="s">
        <v>169</v>
      </c>
      <c r="E779" s="199">
        <v>7.2</v>
      </c>
      <c r="F779" s="199">
        <v>0.15</v>
      </c>
      <c r="G779" s="199">
        <v>0.7</v>
      </c>
      <c r="H779" s="199"/>
      <c r="I779" s="199"/>
      <c r="J779" s="219"/>
      <c r="K779" s="220">
        <f t="shared" si="25"/>
        <v>0.75600000000000001</v>
      </c>
      <c r="L779" s="255"/>
    </row>
    <row r="780" spans="2:12">
      <c r="B780" s="249" t="s">
        <v>1458</v>
      </c>
      <c r="C780" s="250" t="s">
        <v>1441</v>
      </c>
      <c r="D780" s="205" t="s">
        <v>169</v>
      </c>
      <c r="E780" s="199">
        <v>13.07</v>
      </c>
      <c r="F780" s="199">
        <v>0.15</v>
      </c>
      <c r="G780" s="199">
        <v>0.7</v>
      </c>
      <c r="H780" s="199"/>
      <c r="I780" s="199"/>
      <c r="J780" s="219"/>
      <c r="K780" s="220">
        <f t="shared" si="25"/>
        <v>1.37235</v>
      </c>
      <c r="L780" s="255"/>
    </row>
    <row r="781" spans="2:12">
      <c r="B781" s="249" t="s">
        <v>1459</v>
      </c>
      <c r="C781" s="250" t="s">
        <v>1441</v>
      </c>
      <c r="D781" s="205" t="s">
        <v>169</v>
      </c>
      <c r="E781" s="199">
        <v>0.94</v>
      </c>
      <c r="F781" s="199">
        <v>0.2</v>
      </c>
      <c r="G781" s="199">
        <v>0.6</v>
      </c>
      <c r="H781" s="199"/>
      <c r="I781" s="199"/>
      <c r="J781" s="219"/>
      <c r="K781" s="220">
        <f t="shared" si="25"/>
        <v>0.1128</v>
      </c>
      <c r="L781" s="255"/>
    </row>
    <row r="782" spans="2:12">
      <c r="B782" s="249" t="s">
        <v>1460</v>
      </c>
      <c r="C782" s="250" t="s">
        <v>1441</v>
      </c>
      <c r="D782" s="205" t="s">
        <v>169</v>
      </c>
      <c r="E782" s="199">
        <v>6.7</v>
      </c>
      <c r="F782" s="199">
        <v>0.2</v>
      </c>
      <c r="G782" s="199">
        <v>0.6</v>
      </c>
      <c r="H782" s="199"/>
      <c r="I782" s="199"/>
      <c r="J782" s="219"/>
      <c r="K782" s="220">
        <f t="shared" si="25"/>
        <v>0.80400000000000005</v>
      </c>
      <c r="L782" s="255"/>
    </row>
    <row r="783" spans="2:12">
      <c r="B783" s="249" t="s">
        <v>1460</v>
      </c>
      <c r="C783" s="250" t="s">
        <v>1441</v>
      </c>
      <c r="D783" s="205" t="s">
        <v>169</v>
      </c>
      <c r="E783" s="199">
        <v>14.04</v>
      </c>
      <c r="F783" s="199">
        <v>0.2</v>
      </c>
      <c r="G783" s="199">
        <v>1.2</v>
      </c>
      <c r="H783" s="199"/>
      <c r="I783" s="199"/>
      <c r="J783" s="219"/>
      <c r="K783" s="220">
        <f t="shared" si="25"/>
        <v>3.3695999999999997</v>
      </c>
      <c r="L783" s="255"/>
    </row>
    <row r="784" spans="2:12">
      <c r="B784" s="249" t="s">
        <v>1461</v>
      </c>
      <c r="C784" s="250" t="s">
        <v>1441</v>
      </c>
      <c r="D784" s="205" t="s">
        <v>169</v>
      </c>
      <c r="E784" s="199">
        <v>7.64</v>
      </c>
      <c r="F784" s="199">
        <v>0.15</v>
      </c>
      <c r="G784" s="199">
        <v>0.8</v>
      </c>
      <c r="H784" s="199"/>
      <c r="I784" s="199"/>
      <c r="J784" s="219"/>
      <c r="K784" s="220">
        <f t="shared" si="25"/>
        <v>0.91679999999999995</v>
      </c>
      <c r="L784" s="255"/>
    </row>
    <row r="785" spans="2:12">
      <c r="B785" s="249" t="s">
        <v>1461</v>
      </c>
      <c r="C785" s="250" t="s">
        <v>1441</v>
      </c>
      <c r="D785" s="205" t="s">
        <v>169</v>
      </c>
      <c r="E785" s="199">
        <v>20.96</v>
      </c>
      <c r="F785" s="199">
        <v>0.15</v>
      </c>
      <c r="G785" s="199">
        <v>1.2</v>
      </c>
      <c r="H785" s="199"/>
      <c r="I785" s="199"/>
      <c r="J785" s="219"/>
      <c r="K785" s="220">
        <f t="shared" si="25"/>
        <v>3.7728000000000002</v>
      </c>
      <c r="L785" s="255"/>
    </row>
    <row r="786" spans="2:12">
      <c r="B786" s="249" t="s">
        <v>1462</v>
      </c>
      <c r="C786" s="250" t="s">
        <v>1441</v>
      </c>
      <c r="D786" s="205" t="s">
        <v>169</v>
      </c>
      <c r="E786" s="199">
        <v>22.34</v>
      </c>
      <c r="F786" s="199">
        <v>0.2</v>
      </c>
      <c r="G786" s="199">
        <v>0.6</v>
      </c>
      <c r="H786" s="199"/>
      <c r="I786" s="199"/>
      <c r="J786" s="219"/>
      <c r="K786" s="220">
        <f t="shared" si="25"/>
        <v>2.6808000000000001</v>
      </c>
      <c r="L786" s="255"/>
    </row>
    <row r="787" spans="2:12">
      <c r="B787" s="249" t="s">
        <v>1463</v>
      </c>
      <c r="C787" s="250" t="s">
        <v>1441</v>
      </c>
      <c r="D787" s="205" t="s">
        <v>169</v>
      </c>
      <c r="E787" s="199">
        <v>5.72</v>
      </c>
      <c r="F787" s="199">
        <v>0.15</v>
      </c>
      <c r="G787" s="199">
        <v>0.6</v>
      </c>
      <c r="H787" s="199"/>
      <c r="I787" s="199"/>
      <c r="J787" s="219"/>
      <c r="K787" s="220">
        <f t="shared" si="25"/>
        <v>0.51479999999999992</v>
      </c>
      <c r="L787" s="255"/>
    </row>
    <row r="788" spans="2:12">
      <c r="B788" s="249" t="s">
        <v>1464</v>
      </c>
      <c r="C788" s="250" t="s">
        <v>1441</v>
      </c>
      <c r="D788" s="205" t="s">
        <v>169</v>
      </c>
      <c r="E788" s="199">
        <v>22.34</v>
      </c>
      <c r="F788" s="199">
        <v>0.2</v>
      </c>
      <c r="G788" s="199">
        <v>0.6</v>
      </c>
      <c r="H788" s="199"/>
      <c r="I788" s="199"/>
      <c r="J788" s="219"/>
      <c r="K788" s="220">
        <f t="shared" si="25"/>
        <v>2.6808000000000001</v>
      </c>
      <c r="L788" s="255"/>
    </row>
    <row r="789" spans="2:12">
      <c r="B789" s="249" t="s">
        <v>1465</v>
      </c>
      <c r="C789" s="250" t="s">
        <v>1441</v>
      </c>
      <c r="D789" s="205" t="s">
        <v>169</v>
      </c>
      <c r="E789" s="199">
        <v>4.42</v>
      </c>
      <c r="F789" s="199">
        <v>0.2</v>
      </c>
      <c r="G789" s="199">
        <v>0.6</v>
      </c>
      <c r="H789" s="199"/>
      <c r="I789" s="199"/>
      <c r="J789" s="219"/>
      <c r="K789" s="220">
        <f t="shared" si="25"/>
        <v>0.53039999999999998</v>
      </c>
      <c r="L789" s="255"/>
    </row>
    <row r="790" spans="2:12">
      <c r="B790" s="249" t="s">
        <v>1466</v>
      </c>
      <c r="C790" s="250" t="s">
        <v>1441</v>
      </c>
      <c r="D790" s="205" t="s">
        <v>169</v>
      </c>
      <c r="E790" s="199">
        <v>28.84</v>
      </c>
      <c r="F790" s="199">
        <v>0.2</v>
      </c>
      <c r="G790" s="199">
        <v>0.6</v>
      </c>
      <c r="H790" s="199"/>
      <c r="I790" s="199"/>
      <c r="J790" s="219"/>
      <c r="K790" s="220">
        <f t="shared" si="25"/>
        <v>3.4608000000000003</v>
      </c>
      <c r="L790" s="255"/>
    </row>
    <row r="791" spans="2:12">
      <c r="B791" s="249" t="s">
        <v>1467</v>
      </c>
      <c r="C791" s="250" t="s">
        <v>1441</v>
      </c>
      <c r="D791" s="205" t="s">
        <v>169</v>
      </c>
      <c r="E791" s="199">
        <v>24.09</v>
      </c>
      <c r="F791" s="199">
        <v>0.15</v>
      </c>
      <c r="G791" s="199">
        <v>1</v>
      </c>
      <c r="H791" s="199"/>
      <c r="I791" s="199"/>
      <c r="J791" s="219"/>
      <c r="K791" s="220">
        <f t="shared" si="25"/>
        <v>3.6134999999999997</v>
      </c>
      <c r="L791" s="255"/>
    </row>
    <row r="792" spans="2:12">
      <c r="B792" s="249" t="s">
        <v>1468</v>
      </c>
      <c r="C792" s="250" t="s">
        <v>1441</v>
      </c>
      <c r="D792" s="205" t="s">
        <v>169</v>
      </c>
      <c r="E792" s="199">
        <v>9.8800000000000008</v>
      </c>
      <c r="F792" s="199">
        <v>0.15</v>
      </c>
      <c r="G792" s="199">
        <v>0.6</v>
      </c>
      <c r="H792" s="199"/>
      <c r="I792" s="199"/>
      <c r="J792" s="219"/>
      <c r="K792" s="220">
        <f t="shared" si="25"/>
        <v>0.88919999999999999</v>
      </c>
      <c r="L792" s="255"/>
    </row>
    <row r="793" spans="2:12">
      <c r="B793" s="249" t="s">
        <v>1469</v>
      </c>
      <c r="C793" s="250" t="s">
        <v>1441</v>
      </c>
      <c r="D793" s="205" t="s">
        <v>169</v>
      </c>
      <c r="E793" s="199">
        <v>12</v>
      </c>
      <c r="F793" s="199">
        <v>0.2</v>
      </c>
      <c r="G793" s="199">
        <v>0.6</v>
      </c>
      <c r="H793" s="199"/>
      <c r="I793" s="199"/>
      <c r="J793" s="219"/>
      <c r="K793" s="220">
        <f t="shared" si="25"/>
        <v>1.4400000000000002</v>
      </c>
      <c r="L793" s="255"/>
    </row>
    <row r="794" spans="2:12">
      <c r="B794" s="249" t="s">
        <v>1470</v>
      </c>
      <c r="C794" s="250" t="s">
        <v>1441</v>
      </c>
      <c r="D794" s="205" t="s">
        <v>169</v>
      </c>
      <c r="E794" s="199">
        <v>1.81</v>
      </c>
      <c r="F794" s="199">
        <v>0.2</v>
      </c>
      <c r="G794" s="199">
        <v>0.8</v>
      </c>
      <c r="H794" s="199"/>
      <c r="I794" s="199"/>
      <c r="J794" s="219"/>
      <c r="K794" s="220">
        <f t="shared" si="25"/>
        <v>0.28960000000000002</v>
      </c>
      <c r="L794" s="255"/>
    </row>
    <row r="795" spans="2:12">
      <c r="B795" s="249" t="s">
        <v>1471</v>
      </c>
      <c r="C795" s="250" t="s">
        <v>1441</v>
      </c>
      <c r="D795" s="205" t="s">
        <v>169</v>
      </c>
      <c r="E795" s="199">
        <v>5.92</v>
      </c>
      <c r="F795" s="199">
        <v>0.15</v>
      </c>
      <c r="G795" s="199">
        <v>1.2</v>
      </c>
      <c r="H795" s="199"/>
      <c r="I795" s="199"/>
      <c r="J795" s="219"/>
      <c r="K795" s="220">
        <f t="shared" si="25"/>
        <v>1.0655999999999999</v>
      </c>
      <c r="L795" s="255"/>
    </row>
    <row r="796" spans="2:12">
      <c r="B796" s="249" t="s">
        <v>1472</v>
      </c>
      <c r="C796" s="250" t="s">
        <v>1441</v>
      </c>
      <c r="D796" s="205" t="s">
        <v>169</v>
      </c>
      <c r="E796" s="199">
        <v>12.49</v>
      </c>
      <c r="F796" s="199">
        <v>0.15</v>
      </c>
      <c r="G796" s="199">
        <v>1</v>
      </c>
      <c r="H796" s="199"/>
      <c r="I796" s="199"/>
      <c r="J796" s="219"/>
      <c r="K796" s="220">
        <f t="shared" si="25"/>
        <v>1.8734999999999999</v>
      </c>
      <c r="L796" s="255"/>
    </row>
    <row r="797" spans="2:12">
      <c r="B797" s="249" t="s">
        <v>1472</v>
      </c>
      <c r="C797" s="250" t="s">
        <v>1441</v>
      </c>
      <c r="D797" s="205" t="s">
        <v>169</v>
      </c>
      <c r="E797" s="199">
        <v>6</v>
      </c>
      <c r="F797" s="199">
        <v>0.15</v>
      </c>
      <c r="G797" s="199">
        <v>1.2</v>
      </c>
      <c r="H797" s="199"/>
      <c r="I797" s="199"/>
      <c r="J797" s="219"/>
      <c r="K797" s="220">
        <f t="shared" si="25"/>
        <v>1.0799999999999998</v>
      </c>
      <c r="L797" s="255"/>
    </row>
    <row r="798" spans="2:12">
      <c r="B798" s="249" t="s">
        <v>1473</v>
      </c>
      <c r="C798" s="250" t="s">
        <v>1441</v>
      </c>
      <c r="D798" s="205" t="s">
        <v>169</v>
      </c>
      <c r="E798" s="199">
        <v>4.83</v>
      </c>
      <c r="F798" s="199">
        <v>0.15</v>
      </c>
      <c r="G798" s="199">
        <v>0.6</v>
      </c>
      <c r="H798" s="199"/>
      <c r="I798" s="199"/>
      <c r="J798" s="219"/>
      <c r="K798" s="220">
        <f t="shared" si="25"/>
        <v>0.43470000000000003</v>
      </c>
      <c r="L798" s="255"/>
    </row>
    <row r="799" spans="2:12">
      <c r="B799" s="249" t="s">
        <v>1474</v>
      </c>
      <c r="C799" s="250" t="s">
        <v>1441</v>
      </c>
      <c r="D799" s="205" t="s">
        <v>169</v>
      </c>
      <c r="E799" s="199">
        <v>13.85</v>
      </c>
      <c r="F799" s="199">
        <v>0.15</v>
      </c>
      <c r="G799" s="199">
        <v>0.7</v>
      </c>
      <c r="H799" s="199"/>
      <c r="I799" s="199"/>
      <c r="J799" s="219"/>
      <c r="K799" s="220">
        <f t="shared" si="25"/>
        <v>1.4542499999999996</v>
      </c>
      <c r="L799" s="255"/>
    </row>
    <row r="800" spans="2:12">
      <c r="B800" s="249" t="s">
        <v>1531</v>
      </c>
      <c r="C800" s="250" t="s">
        <v>1521</v>
      </c>
      <c r="D800" s="205" t="s">
        <v>169</v>
      </c>
      <c r="E800" s="199">
        <v>12.69</v>
      </c>
      <c r="F800" s="199">
        <v>0.15</v>
      </c>
      <c r="G800" s="199">
        <v>0.6</v>
      </c>
      <c r="H800" s="199"/>
      <c r="I800" s="199"/>
      <c r="J800" s="219"/>
      <c r="K800" s="220">
        <f t="shared" si="25"/>
        <v>1.1420999999999999</v>
      </c>
      <c r="L800" s="255"/>
    </row>
    <row r="801" spans="2:12">
      <c r="B801" s="249" t="s">
        <v>1532</v>
      </c>
      <c r="C801" s="250" t="s">
        <v>1521</v>
      </c>
      <c r="D801" s="205" t="s">
        <v>169</v>
      </c>
      <c r="E801" s="199">
        <v>1.83</v>
      </c>
      <c r="F801" s="199">
        <v>0.15</v>
      </c>
      <c r="G801" s="199">
        <v>0.6</v>
      </c>
      <c r="H801" s="199"/>
      <c r="I801" s="199"/>
      <c r="J801" s="219"/>
      <c r="K801" s="220">
        <f t="shared" si="25"/>
        <v>0.16470000000000001</v>
      </c>
      <c r="L801" s="255"/>
    </row>
    <row r="802" spans="2:12">
      <c r="B802" s="249" t="s">
        <v>1533</v>
      </c>
      <c r="C802" s="250" t="s">
        <v>1521</v>
      </c>
      <c r="D802" s="205" t="s">
        <v>169</v>
      </c>
      <c r="E802" s="199">
        <v>8.27</v>
      </c>
      <c r="F802" s="199">
        <v>0.15</v>
      </c>
      <c r="G802" s="199">
        <v>0.6</v>
      </c>
      <c r="H802" s="199"/>
      <c r="I802" s="199"/>
      <c r="J802" s="219"/>
      <c r="K802" s="220">
        <f t="shared" si="25"/>
        <v>0.74429999999999996</v>
      </c>
      <c r="L802" s="255"/>
    </row>
    <row r="803" spans="2:12">
      <c r="B803" s="249" t="s">
        <v>1534</v>
      </c>
      <c r="C803" s="250" t="s">
        <v>1521</v>
      </c>
      <c r="D803" s="205" t="s">
        <v>169</v>
      </c>
      <c r="E803" s="199">
        <v>28.74</v>
      </c>
      <c r="F803" s="199">
        <v>0.15</v>
      </c>
      <c r="G803" s="199">
        <v>1</v>
      </c>
      <c r="H803" s="199"/>
      <c r="I803" s="199"/>
      <c r="J803" s="219"/>
      <c r="K803" s="220">
        <f t="shared" si="25"/>
        <v>4.3109999999999999</v>
      </c>
      <c r="L803" s="255"/>
    </row>
    <row r="804" spans="2:12">
      <c r="B804" s="249" t="s">
        <v>1535</v>
      </c>
      <c r="C804" s="250" t="s">
        <v>1521</v>
      </c>
      <c r="D804" s="205" t="s">
        <v>169</v>
      </c>
      <c r="E804" s="199">
        <v>28.53</v>
      </c>
      <c r="F804" s="199">
        <v>0.2</v>
      </c>
      <c r="G804" s="199">
        <v>0.6</v>
      </c>
      <c r="H804" s="199"/>
      <c r="I804" s="199"/>
      <c r="J804" s="219"/>
      <c r="K804" s="220">
        <f t="shared" si="25"/>
        <v>3.4236</v>
      </c>
      <c r="L804" s="255"/>
    </row>
    <row r="805" spans="2:12">
      <c r="B805" s="249" t="s">
        <v>1536</v>
      </c>
      <c r="C805" s="250" t="s">
        <v>1521</v>
      </c>
      <c r="D805" s="205" t="s">
        <v>169</v>
      </c>
      <c r="E805" s="199">
        <v>6.34</v>
      </c>
      <c r="F805" s="199">
        <v>0.15</v>
      </c>
      <c r="G805" s="199">
        <v>0.6</v>
      </c>
      <c r="H805" s="199"/>
      <c r="I805" s="199"/>
      <c r="J805" s="219"/>
      <c r="K805" s="220">
        <f t="shared" si="25"/>
        <v>0.5706</v>
      </c>
      <c r="L805" s="255"/>
    </row>
    <row r="806" spans="2:12">
      <c r="B806" s="249" t="s">
        <v>1537</v>
      </c>
      <c r="C806" s="250" t="s">
        <v>1521</v>
      </c>
      <c r="D806" s="205" t="s">
        <v>169</v>
      </c>
      <c r="E806" s="199">
        <v>21.99</v>
      </c>
      <c r="F806" s="199">
        <v>0.2</v>
      </c>
      <c r="G806" s="199">
        <v>0.6</v>
      </c>
      <c r="H806" s="199"/>
      <c r="I806" s="199"/>
      <c r="J806" s="219"/>
      <c r="K806" s="220">
        <f t="shared" si="25"/>
        <v>2.6387999999999998</v>
      </c>
      <c r="L806" s="255"/>
    </row>
    <row r="807" spans="2:12">
      <c r="B807" s="249" t="s">
        <v>1538</v>
      </c>
      <c r="C807" s="250" t="s">
        <v>1521</v>
      </c>
      <c r="D807" s="205" t="s">
        <v>169</v>
      </c>
      <c r="E807" s="199">
        <v>21.99</v>
      </c>
      <c r="F807" s="199">
        <v>0.2</v>
      </c>
      <c r="G807" s="199">
        <v>0.6</v>
      </c>
      <c r="H807" s="199"/>
      <c r="I807" s="199"/>
      <c r="J807" s="219"/>
      <c r="K807" s="220">
        <f t="shared" si="25"/>
        <v>2.6387999999999998</v>
      </c>
      <c r="L807" s="255"/>
    </row>
    <row r="808" spans="2:12">
      <c r="B808" s="249" t="s">
        <v>1539</v>
      </c>
      <c r="C808" s="250" t="s">
        <v>1521</v>
      </c>
      <c r="D808" s="205" t="s">
        <v>169</v>
      </c>
      <c r="E808" s="199">
        <v>3.45</v>
      </c>
      <c r="F808" s="199">
        <v>0.2</v>
      </c>
      <c r="G808" s="199">
        <v>0.6</v>
      </c>
      <c r="H808" s="199"/>
      <c r="I808" s="199"/>
      <c r="J808" s="219"/>
      <c r="K808" s="220">
        <f t="shared" si="25"/>
        <v>0.41400000000000003</v>
      </c>
      <c r="L808" s="255"/>
    </row>
    <row r="809" spans="2:12">
      <c r="B809" s="249" t="s">
        <v>1540</v>
      </c>
      <c r="C809" s="250" t="s">
        <v>1521</v>
      </c>
      <c r="D809" s="205" t="s">
        <v>169</v>
      </c>
      <c r="E809" s="199">
        <v>28.53</v>
      </c>
      <c r="F809" s="199">
        <v>0.2</v>
      </c>
      <c r="G809" s="199">
        <v>0.6</v>
      </c>
      <c r="H809" s="199"/>
      <c r="I809" s="199"/>
      <c r="J809" s="219"/>
      <c r="K809" s="220">
        <f t="shared" si="25"/>
        <v>3.4236</v>
      </c>
      <c r="L809" s="255"/>
    </row>
    <row r="810" spans="2:12">
      <c r="B810" s="249" t="s">
        <v>1541</v>
      </c>
      <c r="C810" s="250" t="s">
        <v>1521</v>
      </c>
      <c r="D810" s="205" t="s">
        <v>169</v>
      </c>
      <c r="E810" s="199">
        <v>24.09</v>
      </c>
      <c r="F810" s="199">
        <v>0.15</v>
      </c>
      <c r="G810" s="199">
        <v>1</v>
      </c>
      <c r="H810" s="199"/>
      <c r="I810" s="199"/>
      <c r="J810" s="219"/>
      <c r="K810" s="220">
        <f t="shared" ref="K810:K841" si="26">IF(E810*F810*G810&lt;&gt;0,E810*F810*G810,IF(E810*F810&lt;&gt;0,E810*F810,IF(F810*G810&lt;&gt;0,F810*G810,IF(E810*G810&lt;&gt;0,E810*G810,IF(E810&lt;&gt;0,E810,IF(F810&lt;&gt;0,F810,IF(G810&lt;&gt;0,G810,0)))))))*(IF(H810&lt;&gt;0,H810,1))+I810-J810</f>
        <v>3.6134999999999997</v>
      </c>
      <c r="L810" s="255"/>
    </row>
    <row r="811" spans="2:12">
      <c r="B811" s="249" t="s">
        <v>1541</v>
      </c>
      <c r="C811" s="250" t="s">
        <v>1521</v>
      </c>
      <c r="D811" s="205" t="s">
        <v>169</v>
      </c>
      <c r="E811" s="199">
        <v>0.48</v>
      </c>
      <c r="F811" s="199">
        <v>0.15</v>
      </c>
      <c r="G811" s="199">
        <v>0.6</v>
      </c>
      <c r="H811" s="199"/>
      <c r="I811" s="199"/>
      <c r="J811" s="219"/>
      <c r="K811" s="220">
        <f t="shared" si="26"/>
        <v>4.3199999999999995E-2</v>
      </c>
      <c r="L811" s="255"/>
    </row>
    <row r="812" spans="2:12">
      <c r="B812" s="249" t="s">
        <v>1542</v>
      </c>
      <c r="C812" s="250" t="s">
        <v>1521</v>
      </c>
      <c r="D812" s="205" t="s">
        <v>169</v>
      </c>
      <c r="E812" s="199">
        <v>2.7</v>
      </c>
      <c r="F812" s="199">
        <v>0.15</v>
      </c>
      <c r="G812" s="199">
        <v>0.6</v>
      </c>
      <c r="H812" s="199"/>
      <c r="I812" s="199"/>
      <c r="J812" s="219"/>
      <c r="K812" s="220">
        <f t="shared" si="26"/>
        <v>0.24299999999999999</v>
      </c>
      <c r="L812" s="255"/>
    </row>
    <row r="813" spans="2:12">
      <c r="B813" s="249" t="s">
        <v>1543</v>
      </c>
      <c r="C813" s="250" t="s">
        <v>1521</v>
      </c>
      <c r="D813" s="205" t="s">
        <v>169</v>
      </c>
      <c r="E813" s="199">
        <v>2.7</v>
      </c>
      <c r="F813" s="199">
        <v>0.15</v>
      </c>
      <c r="G813" s="199">
        <v>0.6</v>
      </c>
      <c r="H813" s="199"/>
      <c r="I813" s="199"/>
      <c r="J813" s="219"/>
      <c r="K813" s="220">
        <f t="shared" si="26"/>
        <v>0.24299999999999999</v>
      </c>
      <c r="L813" s="255"/>
    </row>
    <row r="814" spans="2:12">
      <c r="B814" s="249" t="s">
        <v>1544</v>
      </c>
      <c r="C814" s="250" t="s">
        <v>1521</v>
      </c>
      <c r="D814" s="205" t="s">
        <v>169</v>
      </c>
      <c r="E814" s="199">
        <v>9.35</v>
      </c>
      <c r="F814" s="199">
        <v>0.2</v>
      </c>
      <c r="G814" s="199">
        <v>0.7</v>
      </c>
      <c r="H814" s="199"/>
      <c r="I814" s="199"/>
      <c r="J814" s="219"/>
      <c r="K814" s="220">
        <f t="shared" si="26"/>
        <v>1.3089999999999999</v>
      </c>
      <c r="L814" s="255"/>
    </row>
    <row r="815" spans="2:12">
      <c r="B815" s="249" t="s">
        <v>1545</v>
      </c>
      <c r="C815" s="250" t="s">
        <v>1521</v>
      </c>
      <c r="D815" s="205" t="s">
        <v>169</v>
      </c>
      <c r="E815" s="199">
        <v>2.85</v>
      </c>
      <c r="F815" s="199">
        <v>0.15</v>
      </c>
      <c r="G815" s="199">
        <v>1</v>
      </c>
      <c r="H815" s="199"/>
      <c r="I815" s="199"/>
      <c r="J815" s="219"/>
      <c r="K815" s="220">
        <f t="shared" si="26"/>
        <v>0.42749999999999999</v>
      </c>
      <c r="L815" s="255"/>
    </row>
    <row r="816" spans="2:12">
      <c r="B816" s="249" t="s">
        <v>1546</v>
      </c>
      <c r="C816" s="250" t="s">
        <v>1521</v>
      </c>
      <c r="D816" s="205" t="s">
        <v>169</v>
      </c>
      <c r="E816" s="199">
        <v>23.39</v>
      </c>
      <c r="F816" s="199">
        <v>0.15</v>
      </c>
      <c r="G816" s="199">
        <v>1</v>
      </c>
      <c r="H816" s="199"/>
      <c r="I816" s="199"/>
      <c r="J816" s="219"/>
      <c r="K816" s="220">
        <f t="shared" si="26"/>
        <v>3.5085000000000002</v>
      </c>
      <c r="L816" s="255"/>
    </row>
    <row r="817" spans="2:12">
      <c r="B817" s="249" t="s">
        <v>1547</v>
      </c>
      <c r="C817" s="250" t="s">
        <v>1521</v>
      </c>
      <c r="D817" s="205" t="s">
        <v>169</v>
      </c>
      <c r="E817" s="199">
        <v>13.7</v>
      </c>
      <c r="F817" s="199">
        <v>0.15</v>
      </c>
      <c r="G817" s="199">
        <v>0.6</v>
      </c>
      <c r="H817" s="199"/>
      <c r="I817" s="199"/>
      <c r="J817" s="219"/>
      <c r="K817" s="220">
        <f t="shared" si="26"/>
        <v>1.2329999999999999</v>
      </c>
      <c r="L817" s="255"/>
    </row>
    <row r="818" spans="2:12">
      <c r="B818" s="249" t="s">
        <v>1548</v>
      </c>
      <c r="C818" s="250" t="s">
        <v>1521</v>
      </c>
      <c r="D818" s="205" t="s">
        <v>169</v>
      </c>
      <c r="E818" s="199">
        <v>0.48</v>
      </c>
      <c r="F818" s="199">
        <v>0.15</v>
      </c>
      <c r="G818" s="199">
        <v>0.6</v>
      </c>
      <c r="H818" s="199"/>
      <c r="I818" s="199"/>
      <c r="J818" s="219"/>
      <c r="K818" s="220">
        <f t="shared" si="26"/>
        <v>4.3199999999999995E-2</v>
      </c>
      <c r="L818" s="255"/>
    </row>
    <row r="819" spans="2:12">
      <c r="B819" s="249" t="s">
        <v>1549</v>
      </c>
      <c r="C819" s="250" t="s">
        <v>1521</v>
      </c>
      <c r="D819" s="205" t="s">
        <v>169</v>
      </c>
      <c r="E819" s="199">
        <v>12.95</v>
      </c>
      <c r="F819" s="199">
        <v>0.2</v>
      </c>
      <c r="G819" s="199">
        <v>0.6</v>
      </c>
      <c r="H819" s="199"/>
      <c r="I819" s="199"/>
      <c r="J819" s="219"/>
      <c r="K819" s="220">
        <f t="shared" si="26"/>
        <v>1.5539999999999998</v>
      </c>
      <c r="L819" s="255"/>
    </row>
    <row r="820" spans="2:12">
      <c r="B820" s="249" t="s">
        <v>1550</v>
      </c>
      <c r="C820" s="250" t="s">
        <v>1521</v>
      </c>
      <c r="D820" s="205" t="s">
        <v>169</v>
      </c>
      <c r="E820" s="199">
        <v>21.37</v>
      </c>
      <c r="F820" s="199">
        <v>0.15</v>
      </c>
      <c r="G820" s="199">
        <v>1</v>
      </c>
      <c r="H820" s="199"/>
      <c r="I820" s="199"/>
      <c r="J820" s="219"/>
      <c r="K820" s="220">
        <f t="shared" si="26"/>
        <v>3.2055000000000002</v>
      </c>
      <c r="L820" s="255"/>
    </row>
    <row r="821" spans="2:12">
      <c r="B821" s="249" t="s">
        <v>1551</v>
      </c>
      <c r="C821" s="250" t="s">
        <v>1521</v>
      </c>
      <c r="D821" s="205" t="s">
        <v>169</v>
      </c>
      <c r="E821" s="199">
        <v>2.86</v>
      </c>
      <c r="F821" s="199">
        <v>0.15</v>
      </c>
      <c r="G821" s="199">
        <v>1</v>
      </c>
      <c r="H821" s="199"/>
      <c r="I821" s="199"/>
      <c r="J821" s="219"/>
      <c r="K821" s="220">
        <f t="shared" si="26"/>
        <v>0.42899999999999999</v>
      </c>
      <c r="L821" s="255"/>
    </row>
    <row r="822" spans="2:12">
      <c r="B822" s="197" t="s">
        <v>1523</v>
      </c>
      <c r="C822" s="189" t="s">
        <v>1521</v>
      </c>
      <c r="D822" s="190" t="s">
        <v>169</v>
      </c>
      <c r="E822" s="199">
        <v>4.71</v>
      </c>
      <c r="F822" s="199">
        <v>0.25</v>
      </c>
      <c r="G822" s="199">
        <v>1.7</v>
      </c>
      <c r="H822" s="199">
        <v>1</v>
      </c>
      <c r="I822" s="199"/>
      <c r="J822" s="219"/>
      <c r="K822" s="217">
        <f t="shared" si="26"/>
        <v>2.0017499999999999</v>
      </c>
      <c r="L822" s="245" t="s">
        <v>1554</v>
      </c>
    </row>
    <row r="823" spans="2:12">
      <c r="B823" s="197" t="s">
        <v>1525</v>
      </c>
      <c r="C823" s="189" t="s">
        <v>1521</v>
      </c>
      <c r="D823" s="190" t="s">
        <v>169</v>
      </c>
      <c r="E823" s="199">
        <v>4.71</v>
      </c>
      <c r="F823" s="199">
        <v>0.15</v>
      </c>
      <c r="G823" s="199">
        <v>1.7</v>
      </c>
      <c r="H823" s="199">
        <v>1</v>
      </c>
      <c r="I823" s="199"/>
      <c r="J823" s="219"/>
      <c r="K823" s="217">
        <f t="shared" si="26"/>
        <v>1.20105</v>
      </c>
      <c r="L823" s="245" t="s">
        <v>1554</v>
      </c>
    </row>
    <row r="824" spans="2:12">
      <c r="B824" s="197" t="s">
        <v>1526</v>
      </c>
      <c r="C824" s="189" t="s">
        <v>1521</v>
      </c>
      <c r="D824" s="190" t="s">
        <v>169</v>
      </c>
      <c r="E824" s="199">
        <v>2.54</v>
      </c>
      <c r="F824" s="199">
        <v>0.15</v>
      </c>
      <c r="G824" s="199">
        <v>1.7</v>
      </c>
      <c r="H824" s="199">
        <v>1</v>
      </c>
      <c r="I824" s="199"/>
      <c r="J824" s="219"/>
      <c r="K824" s="217">
        <f t="shared" si="26"/>
        <v>0.64769999999999994</v>
      </c>
      <c r="L824" s="245" t="s">
        <v>1554</v>
      </c>
    </row>
    <row r="825" spans="2:12">
      <c r="B825" s="197" t="s">
        <v>1527</v>
      </c>
      <c r="C825" s="189" t="s">
        <v>1521</v>
      </c>
      <c r="D825" s="190" t="s">
        <v>169</v>
      </c>
      <c r="E825" s="199">
        <v>2.2000000000000002</v>
      </c>
      <c r="F825" s="199">
        <v>0.15</v>
      </c>
      <c r="G825" s="199">
        <v>1.7</v>
      </c>
      <c r="H825" s="199">
        <v>1</v>
      </c>
      <c r="I825" s="199"/>
      <c r="J825" s="219"/>
      <c r="K825" s="217">
        <f t="shared" si="26"/>
        <v>0.56100000000000005</v>
      </c>
      <c r="L825" s="245" t="s">
        <v>1554</v>
      </c>
    </row>
    <row r="826" spans="2:12">
      <c r="B826" s="197" t="s">
        <v>1528</v>
      </c>
      <c r="C826" s="189" t="s">
        <v>1521</v>
      </c>
      <c r="D826" s="190" t="s">
        <v>169</v>
      </c>
      <c r="E826" s="199">
        <v>2.2000000000000002</v>
      </c>
      <c r="F826" s="199">
        <v>0.15</v>
      </c>
      <c r="G826" s="199">
        <v>1.7</v>
      </c>
      <c r="H826" s="199">
        <v>1</v>
      </c>
      <c r="I826" s="199"/>
      <c r="J826" s="219"/>
      <c r="K826" s="217">
        <f t="shared" si="26"/>
        <v>0.56100000000000005</v>
      </c>
      <c r="L826" s="245" t="s">
        <v>1554</v>
      </c>
    </row>
    <row r="827" spans="2:12">
      <c r="B827" s="197" t="s">
        <v>1529</v>
      </c>
      <c r="C827" s="189" t="s">
        <v>1521</v>
      </c>
      <c r="D827" s="190" t="s">
        <v>169</v>
      </c>
      <c r="E827" s="199">
        <v>1.24</v>
      </c>
      <c r="F827" s="199">
        <v>0.2</v>
      </c>
      <c r="G827" s="199">
        <v>1.7</v>
      </c>
      <c r="H827" s="199">
        <v>1</v>
      </c>
      <c r="I827" s="199"/>
      <c r="J827" s="219"/>
      <c r="K827" s="217">
        <f t="shared" si="26"/>
        <v>0.42159999999999997</v>
      </c>
      <c r="L827" s="245" t="s">
        <v>1554</v>
      </c>
    </row>
    <row r="828" spans="2:12">
      <c r="B828" s="197" t="s">
        <v>1530</v>
      </c>
      <c r="C828" s="189" t="s">
        <v>1521</v>
      </c>
      <c r="D828" s="190" t="s">
        <v>169</v>
      </c>
      <c r="E828" s="199">
        <v>1.24</v>
      </c>
      <c r="F828" s="199">
        <v>0.2</v>
      </c>
      <c r="G828" s="199">
        <v>1.7</v>
      </c>
      <c r="H828" s="199">
        <v>1</v>
      </c>
      <c r="I828" s="199"/>
      <c r="J828" s="219"/>
      <c r="K828" s="217">
        <f t="shared" si="26"/>
        <v>0.42159999999999997</v>
      </c>
      <c r="L828" s="245" t="s">
        <v>1554</v>
      </c>
    </row>
    <row r="829" spans="2:12">
      <c r="B829" s="197" t="s">
        <v>1614</v>
      </c>
      <c r="C829" s="189" t="s">
        <v>1611</v>
      </c>
      <c r="D829" s="190" t="s">
        <v>169</v>
      </c>
      <c r="E829" s="199">
        <v>3.63</v>
      </c>
      <c r="F829" s="199">
        <v>0.2</v>
      </c>
      <c r="G829" s="199">
        <v>0.7</v>
      </c>
      <c r="H829" s="199"/>
      <c r="I829" s="199"/>
      <c r="J829" s="219"/>
      <c r="K829" s="217">
        <f t="shared" si="26"/>
        <v>0.50819999999999999</v>
      </c>
      <c r="L829" s="218"/>
    </row>
    <row r="830" spans="2:12">
      <c r="B830" s="197" t="s">
        <v>1614</v>
      </c>
      <c r="C830" s="189" t="s">
        <v>1611</v>
      </c>
      <c r="D830" s="190" t="s">
        <v>169</v>
      </c>
      <c r="E830" s="199">
        <v>27.92</v>
      </c>
      <c r="F830" s="199">
        <v>0.2</v>
      </c>
      <c r="G830" s="199">
        <v>0.6</v>
      </c>
      <c r="H830" s="199"/>
      <c r="I830" s="199"/>
      <c r="J830" s="219"/>
      <c r="K830" s="217">
        <f t="shared" si="26"/>
        <v>3.3504</v>
      </c>
      <c r="L830" s="218"/>
    </row>
    <row r="831" spans="2:12">
      <c r="B831" s="197" t="s">
        <v>1615</v>
      </c>
      <c r="C831" s="189" t="s">
        <v>1611</v>
      </c>
      <c r="D831" s="190" t="s">
        <v>169</v>
      </c>
      <c r="E831" s="199">
        <v>2.7</v>
      </c>
      <c r="F831" s="199">
        <v>0.15</v>
      </c>
      <c r="G831" s="199">
        <v>0.6</v>
      </c>
      <c r="H831" s="199"/>
      <c r="I831" s="199"/>
      <c r="J831" s="219"/>
      <c r="K831" s="217">
        <f t="shared" si="26"/>
        <v>0.24299999999999999</v>
      </c>
      <c r="L831" s="218"/>
    </row>
    <row r="832" spans="2:12">
      <c r="B832" s="197" t="s">
        <v>1616</v>
      </c>
      <c r="C832" s="189" t="s">
        <v>1611</v>
      </c>
      <c r="D832" s="190" t="s">
        <v>169</v>
      </c>
      <c r="E832" s="199">
        <v>4.62</v>
      </c>
      <c r="F832" s="199">
        <v>0.15</v>
      </c>
      <c r="G832" s="199">
        <v>0.6</v>
      </c>
      <c r="H832" s="199"/>
      <c r="I832" s="199"/>
      <c r="J832" s="219"/>
      <c r="K832" s="217">
        <f t="shared" si="26"/>
        <v>0.41579999999999995</v>
      </c>
      <c r="L832" s="218"/>
    </row>
    <row r="833" spans="2:12">
      <c r="B833" s="197" t="s">
        <v>1617</v>
      </c>
      <c r="C833" s="189" t="s">
        <v>1611</v>
      </c>
      <c r="D833" s="190" t="s">
        <v>169</v>
      </c>
      <c r="E833" s="199">
        <v>1.92</v>
      </c>
      <c r="F833" s="199">
        <v>0.15</v>
      </c>
      <c r="G833" s="199">
        <v>0.7</v>
      </c>
      <c r="H833" s="199"/>
      <c r="I833" s="199"/>
      <c r="J833" s="219"/>
      <c r="K833" s="217">
        <f t="shared" si="26"/>
        <v>0.20159999999999997</v>
      </c>
      <c r="L833" s="218"/>
    </row>
    <row r="834" spans="2:12">
      <c r="B834" s="197" t="s">
        <v>1618</v>
      </c>
      <c r="C834" s="189" t="s">
        <v>1611</v>
      </c>
      <c r="D834" s="190" t="s">
        <v>169</v>
      </c>
      <c r="E834" s="199">
        <v>0.84</v>
      </c>
      <c r="F834" s="199">
        <v>0.4</v>
      </c>
      <c r="G834" s="199">
        <v>1</v>
      </c>
      <c r="H834" s="199"/>
      <c r="I834" s="199"/>
      <c r="J834" s="219"/>
      <c r="K834" s="217">
        <f t="shared" si="26"/>
        <v>0.33600000000000002</v>
      </c>
      <c r="L834" s="218"/>
    </row>
    <row r="835" spans="2:12">
      <c r="B835" s="197" t="s">
        <v>1618</v>
      </c>
      <c r="C835" s="189" t="s">
        <v>1611</v>
      </c>
      <c r="D835" s="190" t="s">
        <v>169</v>
      </c>
      <c r="E835" s="199">
        <v>25.92</v>
      </c>
      <c r="F835" s="199">
        <v>0.3</v>
      </c>
      <c r="G835" s="199">
        <v>0.8</v>
      </c>
      <c r="H835" s="199"/>
      <c r="I835" s="199"/>
      <c r="J835" s="219"/>
      <c r="K835" s="217">
        <f t="shared" si="26"/>
        <v>6.2208000000000006</v>
      </c>
      <c r="L835" s="218"/>
    </row>
    <row r="836" spans="2:12">
      <c r="B836" s="197" t="s">
        <v>1619</v>
      </c>
      <c r="C836" s="189" t="s">
        <v>1611</v>
      </c>
      <c r="D836" s="190" t="s">
        <v>169</v>
      </c>
      <c r="E836" s="199">
        <v>16.71</v>
      </c>
      <c r="F836" s="199">
        <v>0.2</v>
      </c>
      <c r="G836" s="199">
        <v>0.7</v>
      </c>
      <c r="H836" s="199"/>
      <c r="I836" s="199"/>
      <c r="J836" s="219"/>
      <c r="K836" s="217">
        <f t="shared" si="26"/>
        <v>2.3394000000000004</v>
      </c>
      <c r="L836" s="218"/>
    </row>
    <row r="837" spans="2:12">
      <c r="B837" s="197" t="s">
        <v>1620</v>
      </c>
      <c r="C837" s="189" t="s">
        <v>1611</v>
      </c>
      <c r="D837" s="190" t="s">
        <v>169</v>
      </c>
      <c r="E837" s="199">
        <v>9.59</v>
      </c>
      <c r="F837" s="199">
        <v>0.15</v>
      </c>
      <c r="G837" s="199">
        <v>0.7</v>
      </c>
      <c r="H837" s="199"/>
      <c r="I837" s="199"/>
      <c r="J837" s="219"/>
      <c r="K837" s="217">
        <f t="shared" si="26"/>
        <v>1.0069499999999998</v>
      </c>
      <c r="L837" s="218"/>
    </row>
    <row r="838" spans="2:12">
      <c r="B838" s="197" t="s">
        <v>1621</v>
      </c>
      <c r="C838" s="189" t="s">
        <v>1611</v>
      </c>
      <c r="D838" s="190" t="s">
        <v>169</v>
      </c>
      <c r="E838" s="199">
        <v>1.44</v>
      </c>
      <c r="F838" s="199">
        <v>0.15</v>
      </c>
      <c r="G838" s="199">
        <v>0.7</v>
      </c>
      <c r="H838" s="199"/>
      <c r="I838" s="199"/>
      <c r="J838" s="219"/>
      <c r="K838" s="217">
        <f t="shared" si="26"/>
        <v>0.1512</v>
      </c>
      <c r="L838" s="218"/>
    </row>
    <row r="839" spans="2:12">
      <c r="B839" s="197" t="s">
        <v>1622</v>
      </c>
      <c r="C839" s="189" t="s">
        <v>1611</v>
      </c>
      <c r="D839" s="190" t="s">
        <v>169</v>
      </c>
      <c r="E839" s="199">
        <v>6.83</v>
      </c>
      <c r="F839" s="199">
        <v>0.25</v>
      </c>
      <c r="G839" s="199">
        <v>0.6</v>
      </c>
      <c r="H839" s="199"/>
      <c r="I839" s="199"/>
      <c r="J839" s="219"/>
      <c r="K839" s="217">
        <f t="shared" si="26"/>
        <v>1.0245</v>
      </c>
      <c r="L839" s="218"/>
    </row>
    <row r="840" spans="2:12">
      <c r="B840" s="197" t="s">
        <v>1622</v>
      </c>
      <c r="C840" s="189" t="s">
        <v>1611</v>
      </c>
      <c r="D840" s="190" t="s">
        <v>169</v>
      </c>
      <c r="E840" s="199">
        <v>7.5</v>
      </c>
      <c r="F840" s="199">
        <v>0.25</v>
      </c>
      <c r="G840" s="199">
        <v>1</v>
      </c>
      <c r="H840" s="199"/>
      <c r="I840" s="199"/>
      <c r="J840" s="219"/>
      <c r="K840" s="217">
        <f t="shared" si="26"/>
        <v>1.875</v>
      </c>
      <c r="L840" s="218"/>
    </row>
    <row r="841" spans="2:12">
      <c r="B841" s="197" t="s">
        <v>1622</v>
      </c>
      <c r="C841" s="189" t="s">
        <v>1611</v>
      </c>
      <c r="D841" s="190" t="s">
        <v>169</v>
      </c>
      <c r="E841" s="199">
        <v>6.17</v>
      </c>
      <c r="F841" s="199">
        <v>0.25</v>
      </c>
      <c r="G841" s="199">
        <v>0.6</v>
      </c>
      <c r="H841" s="199"/>
      <c r="I841" s="199"/>
      <c r="J841" s="219"/>
      <c r="K841" s="217">
        <f t="shared" si="26"/>
        <v>0.92549999999999999</v>
      </c>
      <c r="L841" s="218"/>
    </row>
    <row r="842" spans="2:12">
      <c r="B842" s="197" t="s">
        <v>1623</v>
      </c>
      <c r="C842" s="189" t="s">
        <v>1611</v>
      </c>
      <c r="D842" s="190" t="s">
        <v>169</v>
      </c>
      <c r="E842" s="199">
        <v>11.82</v>
      </c>
      <c r="F842" s="199">
        <v>0.2</v>
      </c>
      <c r="G842" s="199">
        <v>0.8</v>
      </c>
      <c r="H842" s="199"/>
      <c r="I842" s="199"/>
      <c r="J842" s="219"/>
      <c r="K842" s="217">
        <f t="shared" ref="K842:K873" si="27">IF(E842*F842*G842&lt;&gt;0,E842*F842*G842,IF(E842*F842&lt;&gt;0,E842*F842,IF(F842*G842&lt;&gt;0,F842*G842,IF(E842*G842&lt;&gt;0,E842*G842,IF(E842&lt;&gt;0,E842,IF(F842&lt;&gt;0,F842,IF(G842&lt;&gt;0,G842,0)))))))*(IF(H842&lt;&gt;0,H842,1))+I842-J842</f>
        <v>1.8912000000000004</v>
      </c>
      <c r="L842" s="218"/>
    </row>
    <row r="843" spans="2:12">
      <c r="B843" s="197" t="s">
        <v>1624</v>
      </c>
      <c r="C843" s="189" t="s">
        <v>1611</v>
      </c>
      <c r="D843" s="190" t="s">
        <v>169</v>
      </c>
      <c r="E843" s="199">
        <v>19.25</v>
      </c>
      <c r="F843" s="199">
        <v>0.25</v>
      </c>
      <c r="G843" s="199">
        <v>0.7</v>
      </c>
      <c r="H843" s="199"/>
      <c r="I843" s="199"/>
      <c r="J843" s="219"/>
      <c r="K843" s="217">
        <f t="shared" si="27"/>
        <v>3.3687499999999999</v>
      </c>
      <c r="L843" s="218"/>
    </row>
    <row r="844" spans="2:12">
      <c r="B844" s="197" t="s">
        <v>1625</v>
      </c>
      <c r="C844" s="189" t="s">
        <v>1611</v>
      </c>
      <c r="D844" s="190" t="s">
        <v>169</v>
      </c>
      <c r="E844" s="199">
        <v>5.14</v>
      </c>
      <c r="F844" s="199">
        <v>0.15</v>
      </c>
      <c r="G844" s="199">
        <v>0.6</v>
      </c>
      <c r="H844" s="199"/>
      <c r="I844" s="199"/>
      <c r="J844" s="219"/>
      <c r="K844" s="217">
        <f t="shared" si="27"/>
        <v>0.4625999999999999</v>
      </c>
      <c r="L844" s="218"/>
    </row>
    <row r="845" spans="2:12">
      <c r="B845" s="197" t="s">
        <v>1626</v>
      </c>
      <c r="C845" s="189" t="s">
        <v>1611</v>
      </c>
      <c r="D845" s="190" t="s">
        <v>169</v>
      </c>
      <c r="E845" s="199">
        <v>6.34</v>
      </c>
      <c r="F845" s="199">
        <v>0.2</v>
      </c>
      <c r="G845" s="199">
        <v>0.6</v>
      </c>
      <c r="H845" s="199"/>
      <c r="I845" s="199"/>
      <c r="J845" s="219"/>
      <c r="K845" s="217">
        <f t="shared" si="27"/>
        <v>0.76080000000000003</v>
      </c>
      <c r="L845" s="218"/>
    </row>
    <row r="846" spans="2:12">
      <c r="B846" s="197" t="s">
        <v>1626</v>
      </c>
      <c r="C846" s="189" t="s">
        <v>1611</v>
      </c>
      <c r="D846" s="190" t="s">
        <v>169</v>
      </c>
      <c r="E846" s="199">
        <v>3.78</v>
      </c>
      <c r="F846" s="199">
        <v>0.2</v>
      </c>
      <c r="G846" s="199">
        <v>0.7</v>
      </c>
      <c r="H846" s="199"/>
      <c r="I846" s="199"/>
      <c r="J846" s="219"/>
      <c r="K846" s="217">
        <f t="shared" si="27"/>
        <v>0.5292</v>
      </c>
      <c r="L846" s="218"/>
    </row>
    <row r="847" spans="2:12">
      <c r="B847" s="197" t="s">
        <v>1627</v>
      </c>
      <c r="C847" s="189" t="s">
        <v>1611</v>
      </c>
      <c r="D847" s="190" t="s">
        <v>169</v>
      </c>
      <c r="E847" s="199">
        <v>35.049999999999997</v>
      </c>
      <c r="F847" s="199">
        <v>0.2</v>
      </c>
      <c r="G847" s="199">
        <v>0.7</v>
      </c>
      <c r="H847" s="199"/>
      <c r="I847" s="199"/>
      <c r="J847" s="219"/>
      <c r="K847" s="217">
        <f t="shared" si="27"/>
        <v>4.9069999999999991</v>
      </c>
      <c r="L847" s="218"/>
    </row>
    <row r="848" spans="2:12">
      <c r="B848" s="197" t="s">
        <v>1627</v>
      </c>
      <c r="C848" s="189" t="s">
        <v>1611</v>
      </c>
      <c r="D848" s="190" t="s">
        <v>169</v>
      </c>
      <c r="E848" s="199">
        <v>5.05</v>
      </c>
      <c r="F848" s="199">
        <v>0.2</v>
      </c>
      <c r="G848" s="199">
        <v>1</v>
      </c>
      <c r="H848" s="199"/>
      <c r="I848" s="199"/>
      <c r="J848" s="219"/>
      <c r="K848" s="217">
        <f t="shared" si="27"/>
        <v>1.01</v>
      </c>
      <c r="L848" s="218"/>
    </row>
    <row r="849" spans="2:12">
      <c r="B849" s="197" t="s">
        <v>1628</v>
      </c>
      <c r="C849" s="189" t="s">
        <v>1611</v>
      </c>
      <c r="D849" s="190" t="s">
        <v>169</v>
      </c>
      <c r="E849" s="199">
        <v>12.91</v>
      </c>
      <c r="F849" s="199">
        <v>0.25</v>
      </c>
      <c r="G849" s="199">
        <v>0.7</v>
      </c>
      <c r="H849" s="199"/>
      <c r="I849" s="199"/>
      <c r="J849" s="219"/>
      <c r="K849" s="217">
        <f t="shared" si="27"/>
        <v>2.2592499999999998</v>
      </c>
      <c r="L849" s="218"/>
    </row>
    <row r="850" spans="2:12">
      <c r="B850" s="197" t="s">
        <v>1629</v>
      </c>
      <c r="C850" s="189" t="s">
        <v>1611</v>
      </c>
      <c r="D850" s="190" t="s">
        <v>169</v>
      </c>
      <c r="E850" s="199">
        <v>9.65</v>
      </c>
      <c r="F850" s="199">
        <v>0.3</v>
      </c>
      <c r="G850" s="199">
        <v>0.7</v>
      </c>
      <c r="H850" s="199"/>
      <c r="I850" s="199"/>
      <c r="J850" s="219"/>
      <c r="K850" s="217">
        <f t="shared" si="27"/>
        <v>2.0265</v>
      </c>
      <c r="L850" s="218"/>
    </row>
    <row r="851" spans="2:12">
      <c r="B851" s="197" t="s">
        <v>1629</v>
      </c>
      <c r="C851" s="189" t="s">
        <v>1611</v>
      </c>
      <c r="D851" s="190" t="s">
        <v>169</v>
      </c>
      <c r="E851" s="199">
        <v>2.91</v>
      </c>
      <c r="F851" s="199">
        <v>0.3</v>
      </c>
      <c r="G851" s="199">
        <v>0.65</v>
      </c>
      <c r="H851" s="199"/>
      <c r="I851" s="199"/>
      <c r="J851" s="219"/>
      <c r="K851" s="217">
        <f t="shared" si="27"/>
        <v>0.56745000000000001</v>
      </c>
      <c r="L851" s="218"/>
    </row>
    <row r="852" spans="2:12">
      <c r="B852" s="197" t="s">
        <v>1630</v>
      </c>
      <c r="C852" s="189" t="s">
        <v>1611</v>
      </c>
      <c r="D852" s="190" t="s">
        <v>169</v>
      </c>
      <c r="E852" s="199">
        <v>12.35</v>
      </c>
      <c r="F852" s="199">
        <v>0.15</v>
      </c>
      <c r="G852" s="199">
        <v>0.7</v>
      </c>
      <c r="H852" s="199"/>
      <c r="I852" s="199"/>
      <c r="J852" s="219"/>
      <c r="K852" s="217">
        <f t="shared" si="27"/>
        <v>1.2967499999999998</v>
      </c>
      <c r="L852" s="218"/>
    </row>
    <row r="853" spans="2:12">
      <c r="B853" s="197" t="s">
        <v>1631</v>
      </c>
      <c r="C853" s="189" t="s">
        <v>1611</v>
      </c>
      <c r="D853" s="190" t="s">
        <v>169</v>
      </c>
      <c r="E853" s="199">
        <v>16.260000000000002</v>
      </c>
      <c r="F853" s="199">
        <v>0.15</v>
      </c>
      <c r="G853" s="199">
        <v>1</v>
      </c>
      <c r="H853" s="199"/>
      <c r="I853" s="199"/>
      <c r="J853" s="219"/>
      <c r="K853" s="217">
        <f t="shared" si="27"/>
        <v>2.4390000000000001</v>
      </c>
      <c r="L853" s="218"/>
    </row>
    <row r="854" spans="2:12">
      <c r="B854" s="197" t="s">
        <v>1632</v>
      </c>
      <c r="C854" s="189" t="s">
        <v>1611</v>
      </c>
      <c r="D854" s="190" t="s">
        <v>169</v>
      </c>
      <c r="E854" s="199">
        <v>9.77</v>
      </c>
      <c r="F854" s="199">
        <v>0.3</v>
      </c>
      <c r="G854" s="199">
        <v>0.6</v>
      </c>
      <c r="H854" s="199"/>
      <c r="I854" s="199"/>
      <c r="J854" s="219"/>
      <c r="K854" s="217">
        <f t="shared" si="27"/>
        <v>1.7585999999999997</v>
      </c>
      <c r="L854" s="218"/>
    </row>
    <row r="855" spans="2:12">
      <c r="B855" s="197" t="s">
        <v>1633</v>
      </c>
      <c r="C855" s="189" t="s">
        <v>1611</v>
      </c>
      <c r="D855" s="190" t="s">
        <v>169</v>
      </c>
      <c r="E855" s="199">
        <v>8.8000000000000007</v>
      </c>
      <c r="F855" s="199">
        <v>0.15</v>
      </c>
      <c r="G855" s="199">
        <v>0.8</v>
      </c>
      <c r="H855" s="199"/>
      <c r="I855" s="199"/>
      <c r="J855" s="219"/>
      <c r="K855" s="217">
        <f t="shared" si="27"/>
        <v>1.056</v>
      </c>
      <c r="L855" s="218"/>
    </row>
    <row r="856" spans="2:12">
      <c r="B856" s="197" t="s">
        <v>1634</v>
      </c>
      <c r="C856" s="189" t="s">
        <v>1611</v>
      </c>
      <c r="D856" s="190" t="s">
        <v>169</v>
      </c>
      <c r="E856" s="199">
        <v>3.82</v>
      </c>
      <c r="F856" s="199">
        <v>0.3</v>
      </c>
      <c r="G856" s="199">
        <v>0.6</v>
      </c>
      <c r="H856" s="199"/>
      <c r="I856" s="199"/>
      <c r="J856" s="219"/>
      <c r="K856" s="217">
        <f t="shared" si="27"/>
        <v>0.68759999999999988</v>
      </c>
      <c r="L856" s="218"/>
    </row>
    <row r="857" spans="2:12">
      <c r="B857" s="197" t="s">
        <v>1635</v>
      </c>
      <c r="C857" s="189" t="s">
        <v>1611</v>
      </c>
      <c r="D857" s="190" t="s">
        <v>169</v>
      </c>
      <c r="E857" s="199">
        <v>2.54</v>
      </c>
      <c r="F857" s="199">
        <v>0.15</v>
      </c>
      <c r="G857" s="199">
        <v>0.6</v>
      </c>
      <c r="H857" s="199"/>
      <c r="I857" s="199"/>
      <c r="J857" s="219"/>
      <c r="K857" s="217">
        <f t="shared" si="27"/>
        <v>0.2286</v>
      </c>
      <c r="L857" s="218"/>
    </row>
    <row r="858" spans="2:12">
      <c r="B858" s="197" t="s">
        <v>1636</v>
      </c>
      <c r="C858" s="189" t="s">
        <v>1611</v>
      </c>
      <c r="D858" s="190" t="s">
        <v>169</v>
      </c>
      <c r="E858" s="199">
        <v>9.4</v>
      </c>
      <c r="F858" s="199">
        <v>0.2</v>
      </c>
      <c r="G858" s="199">
        <v>0.6</v>
      </c>
      <c r="H858" s="199"/>
      <c r="I858" s="199"/>
      <c r="J858" s="219"/>
      <c r="K858" s="217">
        <f t="shared" si="27"/>
        <v>1.1280000000000001</v>
      </c>
      <c r="L858" s="218"/>
    </row>
    <row r="859" spans="2:12">
      <c r="B859" s="197" t="s">
        <v>1637</v>
      </c>
      <c r="C859" s="189" t="s">
        <v>1611</v>
      </c>
      <c r="D859" s="190" t="s">
        <v>169</v>
      </c>
      <c r="E859" s="199">
        <v>3.84</v>
      </c>
      <c r="F859" s="199">
        <v>0.2</v>
      </c>
      <c r="G859" s="199">
        <v>0.7</v>
      </c>
      <c r="H859" s="199"/>
      <c r="I859" s="199"/>
      <c r="J859" s="219"/>
      <c r="K859" s="217">
        <f t="shared" si="27"/>
        <v>0.53759999999999997</v>
      </c>
      <c r="L859" s="218"/>
    </row>
    <row r="860" spans="2:12">
      <c r="B860" s="197" t="s">
        <v>1638</v>
      </c>
      <c r="C860" s="189" t="s">
        <v>1611</v>
      </c>
      <c r="D860" s="190" t="s">
        <v>169</v>
      </c>
      <c r="E860" s="199">
        <v>2.84</v>
      </c>
      <c r="F860" s="199">
        <v>0.2</v>
      </c>
      <c r="G860" s="199">
        <v>0.6</v>
      </c>
      <c r="H860" s="199"/>
      <c r="I860" s="199"/>
      <c r="J860" s="219"/>
      <c r="K860" s="217">
        <f t="shared" si="27"/>
        <v>0.34079999999999994</v>
      </c>
      <c r="L860" s="218"/>
    </row>
    <row r="861" spans="2:12">
      <c r="B861" s="197" t="s">
        <v>1639</v>
      </c>
      <c r="C861" s="189" t="s">
        <v>1611</v>
      </c>
      <c r="D861" s="190" t="s">
        <v>169</v>
      </c>
      <c r="E861" s="199">
        <v>9.4700000000000006</v>
      </c>
      <c r="F861" s="199">
        <v>0.15</v>
      </c>
      <c r="G861" s="199">
        <v>1</v>
      </c>
      <c r="H861" s="199"/>
      <c r="I861" s="199"/>
      <c r="J861" s="219"/>
      <c r="K861" s="217">
        <f t="shared" si="27"/>
        <v>1.4205000000000001</v>
      </c>
      <c r="L861" s="218"/>
    </row>
    <row r="862" spans="2:12">
      <c r="B862" s="197" t="s">
        <v>1640</v>
      </c>
      <c r="C862" s="189" t="s">
        <v>1611</v>
      </c>
      <c r="D862" s="190" t="s">
        <v>169</v>
      </c>
      <c r="E862" s="199">
        <v>21.33</v>
      </c>
      <c r="F862" s="199">
        <v>0.15</v>
      </c>
      <c r="G862" s="199">
        <v>1</v>
      </c>
      <c r="H862" s="199"/>
      <c r="I862" s="199"/>
      <c r="J862" s="219"/>
      <c r="K862" s="217">
        <f t="shared" si="27"/>
        <v>3.1994999999999996</v>
      </c>
      <c r="L862" s="218"/>
    </row>
    <row r="863" spans="2:12">
      <c r="B863" s="197" t="s">
        <v>1641</v>
      </c>
      <c r="C863" s="189" t="s">
        <v>1611</v>
      </c>
      <c r="D863" s="190" t="s">
        <v>169</v>
      </c>
      <c r="E863" s="199">
        <v>4.58</v>
      </c>
      <c r="F863" s="199">
        <v>0.2</v>
      </c>
      <c r="G863" s="199">
        <v>0.6</v>
      </c>
      <c r="H863" s="199"/>
      <c r="I863" s="199"/>
      <c r="J863" s="219"/>
      <c r="K863" s="217">
        <f t="shared" si="27"/>
        <v>0.54959999999999998</v>
      </c>
      <c r="L863" s="218"/>
    </row>
    <row r="864" spans="2:12">
      <c r="B864" s="197" t="s">
        <v>1648</v>
      </c>
      <c r="C864" s="189" t="s">
        <v>1612</v>
      </c>
      <c r="D864" s="190" t="s">
        <v>169</v>
      </c>
      <c r="E864" s="199">
        <v>21.7</v>
      </c>
      <c r="F864" s="199">
        <v>0.15</v>
      </c>
      <c r="G864" s="199">
        <v>1</v>
      </c>
      <c r="H864" s="199"/>
      <c r="I864" s="199"/>
      <c r="J864" s="219"/>
      <c r="K864" s="217">
        <f t="shared" si="27"/>
        <v>3.2549999999999999</v>
      </c>
      <c r="L864" s="218"/>
    </row>
    <row r="865" spans="2:12">
      <c r="B865" s="197" t="s">
        <v>1649</v>
      </c>
      <c r="C865" s="189" t="s">
        <v>1612</v>
      </c>
      <c r="D865" s="190" t="s">
        <v>169</v>
      </c>
      <c r="E865" s="199">
        <v>21.4</v>
      </c>
      <c r="F865" s="199">
        <v>0.2</v>
      </c>
      <c r="G865" s="199">
        <v>0.6</v>
      </c>
      <c r="H865" s="199"/>
      <c r="I865" s="199"/>
      <c r="J865" s="219"/>
      <c r="K865" s="217">
        <f t="shared" si="27"/>
        <v>2.5680000000000001</v>
      </c>
      <c r="L865" s="218"/>
    </row>
    <row r="866" spans="2:12">
      <c r="B866" s="197" t="s">
        <v>1650</v>
      </c>
      <c r="C866" s="189" t="s">
        <v>1612</v>
      </c>
      <c r="D866" s="190" t="s">
        <v>169</v>
      </c>
      <c r="E866" s="199">
        <v>21.4</v>
      </c>
      <c r="F866" s="199">
        <v>0.2</v>
      </c>
      <c r="G866" s="199">
        <v>0.6</v>
      </c>
      <c r="H866" s="199"/>
      <c r="I866" s="199"/>
      <c r="J866" s="219"/>
      <c r="K866" s="217">
        <f t="shared" si="27"/>
        <v>2.5680000000000001</v>
      </c>
      <c r="L866" s="218"/>
    </row>
    <row r="867" spans="2:12">
      <c r="B867" s="197" t="s">
        <v>1651</v>
      </c>
      <c r="C867" s="189" t="s">
        <v>1612</v>
      </c>
      <c r="D867" s="190" t="s">
        <v>169</v>
      </c>
      <c r="E867" s="199">
        <v>21.4</v>
      </c>
      <c r="F867" s="199">
        <v>0.2</v>
      </c>
      <c r="G867" s="199">
        <v>0.6</v>
      </c>
      <c r="H867" s="199"/>
      <c r="I867" s="199"/>
      <c r="J867" s="219"/>
      <c r="K867" s="217">
        <f t="shared" si="27"/>
        <v>2.5680000000000001</v>
      </c>
      <c r="L867" s="218"/>
    </row>
    <row r="868" spans="2:12">
      <c r="B868" s="197" t="s">
        <v>1652</v>
      </c>
      <c r="C868" s="189" t="s">
        <v>1612</v>
      </c>
      <c r="D868" s="190" t="s">
        <v>169</v>
      </c>
      <c r="E868" s="199">
        <v>3.45</v>
      </c>
      <c r="F868" s="199">
        <v>0.2</v>
      </c>
      <c r="G868" s="199">
        <v>0.6</v>
      </c>
      <c r="H868" s="199"/>
      <c r="I868" s="199"/>
      <c r="J868" s="219"/>
      <c r="K868" s="217">
        <f t="shared" si="27"/>
        <v>0.41400000000000003</v>
      </c>
      <c r="L868" s="218"/>
    </row>
    <row r="869" spans="2:12">
      <c r="B869" s="197" t="s">
        <v>1653</v>
      </c>
      <c r="C869" s="189" t="s">
        <v>1612</v>
      </c>
      <c r="D869" s="190" t="s">
        <v>169</v>
      </c>
      <c r="E869" s="199">
        <v>26.12</v>
      </c>
      <c r="F869" s="199">
        <v>0.2</v>
      </c>
      <c r="G869" s="199">
        <v>0.6</v>
      </c>
      <c r="H869" s="199"/>
      <c r="I869" s="199"/>
      <c r="J869" s="219"/>
      <c r="K869" s="217">
        <f t="shared" si="27"/>
        <v>3.1343999999999999</v>
      </c>
      <c r="L869" s="218"/>
    </row>
    <row r="870" spans="2:12">
      <c r="B870" s="197" t="s">
        <v>1654</v>
      </c>
      <c r="C870" s="189" t="s">
        <v>1612</v>
      </c>
      <c r="D870" s="190" t="s">
        <v>169</v>
      </c>
      <c r="E870" s="199">
        <v>24.11</v>
      </c>
      <c r="F870" s="199">
        <v>0.15</v>
      </c>
      <c r="G870" s="199">
        <v>1</v>
      </c>
      <c r="H870" s="199"/>
      <c r="I870" s="199"/>
      <c r="J870" s="219"/>
      <c r="K870" s="217">
        <f t="shared" si="27"/>
        <v>3.6164999999999998</v>
      </c>
      <c r="L870" s="218"/>
    </row>
    <row r="871" spans="2:12">
      <c r="B871" s="197" t="s">
        <v>1655</v>
      </c>
      <c r="C871" s="189" t="s">
        <v>1612</v>
      </c>
      <c r="D871" s="190" t="s">
        <v>169</v>
      </c>
      <c r="E871" s="199">
        <v>24.09</v>
      </c>
      <c r="F871" s="199">
        <v>0.15</v>
      </c>
      <c r="G871" s="199">
        <v>1</v>
      </c>
      <c r="H871" s="199"/>
      <c r="I871" s="199"/>
      <c r="J871" s="219"/>
      <c r="K871" s="217">
        <f t="shared" si="27"/>
        <v>3.6134999999999997</v>
      </c>
      <c r="L871" s="218"/>
    </row>
    <row r="872" spans="2:12">
      <c r="B872" s="197" t="s">
        <v>1656</v>
      </c>
      <c r="C872" s="189" t="s">
        <v>1612</v>
      </c>
      <c r="D872" s="190" t="s">
        <v>169</v>
      </c>
      <c r="E872" s="199">
        <v>7.87</v>
      </c>
      <c r="F872" s="199">
        <v>0.15</v>
      </c>
      <c r="G872" s="199">
        <v>0.6</v>
      </c>
      <c r="H872" s="199"/>
      <c r="I872" s="199"/>
      <c r="J872" s="219"/>
      <c r="K872" s="217">
        <f t="shared" si="27"/>
        <v>0.70829999999999993</v>
      </c>
      <c r="L872" s="218"/>
    </row>
    <row r="873" spans="2:12">
      <c r="B873" s="197" t="s">
        <v>1657</v>
      </c>
      <c r="C873" s="189" t="s">
        <v>1612</v>
      </c>
      <c r="D873" s="190" t="s">
        <v>169</v>
      </c>
      <c r="E873" s="199">
        <v>7.77</v>
      </c>
      <c r="F873" s="199">
        <v>0.2</v>
      </c>
      <c r="G873" s="199">
        <v>0.6</v>
      </c>
      <c r="H873" s="199"/>
      <c r="I873" s="199"/>
      <c r="J873" s="219"/>
      <c r="K873" s="217">
        <f t="shared" si="27"/>
        <v>0.93240000000000001</v>
      </c>
      <c r="L873" s="218"/>
    </row>
    <row r="874" spans="2:12">
      <c r="B874" s="197" t="s">
        <v>1658</v>
      </c>
      <c r="C874" s="189" t="s">
        <v>1612</v>
      </c>
      <c r="D874" s="190" t="s">
        <v>169</v>
      </c>
      <c r="E874" s="199">
        <v>28.53</v>
      </c>
      <c r="F874" s="199">
        <v>0.2</v>
      </c>
      <c r="G874" s="199">
        <v>0.6</v>
      </c>
      <c r="H874" s="199"/>
      <c r="I874" s="199"/>
      <c r="J874" s="219"/>
      <c r="K874" s="217">
        <f t="shared" ref="K874:K905" si="28">IF(E874*F874*G874&lt;&gt;0,E874*F874*G874,IF(E874*F874&lt;&gt;0,E874*F874,IF(F874*G874&lt;&gt;0,F874*G874,IF(E874*G874&lt;&gt;0,E874*G874,IF(E874&lt;&gt;0,E874,IF(F874&lt;&gt;0,F874,IF(G874&lt;&gt;0,G874,0)))))))*(IF(H874&lt;&gt;0,H874,1))+I874-J874</f>
        <v>3.4236</v>
      </c>
      <c r="L874" s="218"/>
    </row>
    <row r="875" spans="2:12">
      <c r="B875" s="197" t="s">
        <v>1659</v>
      </c>
      <c r="C875" s="189" t="s">
        <v>1612</v>
      </c>
      <c r="D875" s="190" t="s">
        <v>169</v>
      </c>
      <c r="E875" s="199">
        <v>2.2000000000000002</v>
      </c>
      <c r="F875" s="199">
        <v>0.15</v>
      </c>
      <c r="G875" s="199">
        <v>0.6</v>
      </c>
      <c r="H875" s="199"/>
      <c r="I875" s="199"/>
      <c r="J875" s="219"/>
      <c r="K875" s="217">
        <f t="shared" si="28"/>
        <v>0.19800000000000001</v>
      </c>
      <c r="L875" s="218"/>
    </row>
    <row r="876" spans="2:12">
      <c r="B876" s="197" t="s">
        <v>1660</v>
      </c>
      <c r="C876" s="189" t="s">
        <v>1612</v>
      </c>
      <c r="D876" s="190" t="s">
        <v>169</v>
      </c>
      <c r="E876" s="199">
        <v>4.2699999999999996</v>
      </c>
      <c r="F876" s="199">
        <v>0.15</v>
      </c>
      <c r="G876" s="199">
        <v>0.6</v>
      </c>
      <c r="H876" s="199"/>
      <c r="I876" s="199"/>
      <c r="J876" s="219"/>
      <c r="K876" s="217">
        <f t="shared" si="28"/>
        <v>0.38429999999999997</v>
      </c>
      <c r="L876" s="218"/>
    </row>
    <row r="877" spans="2:12">
      <c r="B877" s="197" t="s">
        <v>1661</v>
      </c>
      <c r="C877" s="189" t="s">
        <v>1612</v>
      </c>
      <c r="D877" s="190" t="s">
        <v>169</v>
      </c>
      <c r="E877" s="199">
        <v>2.12</v>
      </c>
      <c r="F877" s="199">
        <v>0.15</v>
      </c>
      <c r="G877" s="199">
        <v>1</v>
      </c>
      <c r="H877" s="199"/>
      <c r="I877" s="199"/>
      <c r="J877" s="219"/>
      <c r="K877" s="217">
        <f t="shared" si="28"/>
        <v>0.318</v>
      </c>
      <c r="L877" s="218"/>
    </row>
    <row r="878" spans="2:12">
      <c r="B878" s="197" t="s">
        <v>1662</v>
      </c>
      <c r="C878" s="189" t="s">
        <v>1612</v>
      </c>
      <c r="D878" s="190" t="s">
        <v>169</v>
      </c>
      <c r="E878" s="199">
        <v>0.84</v>
      </c>
      <c r="F878" s="199">
        <v>0.25</v>
      </c>
      <c r="G878" s="199">
        <v>1</v>
      </c>
      <c r="H878" s="199"/>
      <c r="I878" s="199"/>
      <c r="J878" s="219"/>
      <c r="K878" s="217">
        <f t="shared" si="28"/>
        <v>0.21</v>
      </c>
      <c r="L878" s="218"/>
    </row>
    <row r="879" spans="2:12">
      <c r="B879" s="197" t="s">
        <v>1662</v>
      </c>
      <c r="C879" s="189" t="s">
        <v>1612</v>
      </c>
      <c r="D879" s="190" t="s">
        <v>169</v>
      </c>
      <c r="E879" s="199">
        <v>20.5</v>
      </c>
      <c r="F879" s="199">
        <v>0.25</v>
      </c>
      <c r="G879" s="199">
        <v>0.7</v>
      </c>
      <c r="H879" s="199"/>
      <c r="I879" s="199"/>
      <c r="J879" s="219"/>
      <c r="K879" s="217">
        <f t="shared" si="28"/>
        <v>3.5874999999999999</v>
      </c>
      <c r="L879" s="218"/>
    </row>
    <row r="880" spans="2:12">
      <c r="B880" s="197" t="s">
        <v>1662</v>
      </c>
      <c r="C880" s="189" t="s">
        <v>1612</v>
      </c>
      <c r="D880" s="190" t="s">
        <v>169</v>
      </c>
      <c r="E880" s="199">
        <v>4.0199999999999996</v>
      </c>
      <c r="F880" s="199">
        <v>0.25</v>
      </c>
      <c r="G880" s="199">
        <v>1</v>
      </c>
      <c r="H880" s="199"/>
      <c r="I880" s="199"/>
      <c r="J880" s="219"/>
      <c r="K880" s="217">
        <f t="shared" si="28"/>
        <v>1.0049999999999999</v>
      </c>
      <c r="L880" s="218"/>
    </row>
    <row r="881" spans="2:12">
      <c r="B881" s="197" t="s">
        <v>1663</v>
      </c>
      <c r="C881" s="189" t="s">
        <v>1612</v>
      </c>
      <c r="D881" s="190" t="s">
        <v>169</v>
      </c>
      <c r="E881" s="199">
        <v>11.03</v>
      </c>
      <c r="F881" s="199">
        <v>0.15</v>
      </c>
      <c r="G881" s="199">
        <v>1</v>
      </c>
      <c r="H881" s="199"/>
      <c r="I881" s="199"/>
      <c r="J881" s="219"/>
      <c r="K881" s="217">
        <f t="shared" si="28"/>
        <v>1.6544999999999999</v>
      </c>
      <c r="L881" s="218"/>
    </row>
    <row r="882" spans="2:12">
      <c r="B882" s="197" t="s">
        <v>1664</v>
      </c>
      <c r="C882" s="189" t="s">
        <v>1612</v>
      </c>
      <c r="D882" s="190" t="s">
        <v>169</v>
      </c>
      <c r="E882" s="199">
        <v>15.92</v>
      </c>
      <c r="F882" s="199">
        <v>0.25</v>
      </c>
      <c r="G882" s="199">
        <v>0.8</v>
      </c>
      <c r="H882" s="199"/>
      <c r="I882" s="199"/>
      <c r="J882" s="219"/>
      <c r="K882" s="217">
        <f t="shared" si="28"/>
        <v>3.1840000000000002</v>
      </c>
      <c r="L882" s="218"/>
    </row>
    <row r="883" spans="2:12">
      <c r="B883" s="197" t="s">
        <v>1664</v>
      </c>
      <c r="C883" s="189" t="s">
        <v>1612</v>
      </c>
      <c r="D883" s="190" t="s">
        <v>169</v>
      </c>
      <c r="E883" s="199">
        <v>2.1</v>
      </c>
      <c r="F883" s="199">
        <v>0.25</v>
      </c>
      <c r="G883" s="199">
        <v>1</v>
      </c>
      <c r="H883" s="199"/>
      <c r="I883" s="199"/>
      <c r="J883" s="219"/>
      <c r="K883" s="217">
        <f t="shared" si="28"/>
        <v>0.52500000000000002</v>
      </c>
      <c r="L883" s="218"/>
    </row>
    <row r="884" spans="2:12">
      <c r="B884" s="197" t="s">
        <v>1665</v>
      </c>
      <c r="C884" s="189" t="s">
        <v>1612</v>
      </c>
      <c r="D884" s="190" t="s">
        <v>169</v>
      </c>
      <c r="E884" s="199">
        <v>4.74</v>
      </c>
      <c r="F884" s="199">
        <v>0.15</v>
      </c>
      <c r="G884" s="199">
        <v>0.6</v>
      </c>
      <c r="H884" s="199"/>
      <c r="I884" s="199"/>
      <c r="J884" s="219"/>
      <c r="K884" s="217">
        <f t="shared" si="28"/>
        <v>0.42659999999999998</v>
      </c>
      <c r="L884" s="218"/>
    </row>
    <row r="885" spans="2:12">
      <c r="B885" s="197" t="s">
        <v>1666</v>
      </c>
      <c r="C885" s="189" t="s">
        <v>1612</v>
      </c>
      <c r="D885" s="190" t="s">
        <v>169</v>
      </c>
      <c r="E885" s="199">
        <v>6.44</v>
      </c>
      <c r="F885" s="199">
        <v>0.3</v>
      </c>
      <c r="G885" s="199">
        <v>0.6</v>
      </c>
      <c r="H885" s="199"/>
      <c r="I885" s="199"/>
      <c r="J885" s="219"/>
      <c r="K885" s="217">
        <f t="shared" si="28"/>
        <v>1.1592</v>
      </c>
      <c r="L885" s="218"/>
    </row>
    <row r="886" spans="2:12">
      <c r="B886" s="197" t="s">
        <v>1666</v>
      </c>
      <c r="C886" s="189" t="s">
        <v>1612</v>
      </c>
      <c r="D886" s="190" t="s">
        <v>169</v>
      </c>
      <c r="E886" s="199">
        <v>3.53</v>
      </c>
      <c r="F886" s="199">
        <v>0.3</v>
      </c>
      <c r="G886" s="199">
        <v>1</v>
      </c>
      <c r="H886" s="199"/>
      <c r="I886" s="199"/>
      <c r="J886" s="219"/>
      <c r="K886" s="217">
        <f t="shared" si="28"/>
        <v>1.0589999999999999</v>
      </c>
      <c r="L886" s="218"/>
    </row>
    <row r="887" spans="2:12">
      <c r="B887" s="197" t="s">
        <v>1667</v>
      </c>
      <c r="C887" s="189" t="s">
        <v>1612</v>
      </c>
      <c r="D887" s="190" t="s">
        <v>169</v>
      </c>
      <c r="E887" s="199">
        <v>1.06</v>
      </c>
      <c r="F887" s="199">
        <v>0.15</v>
      </c>
      <c r="G887" s="199">
        <v>1</v>
      </c>
      <c r="H887" s="199"/>
      <c r="I887" s="199"/>
      <c r="J887" s="219"/>
      <c r="K887" s="217">
        <f t="shared" si="28"/>
        <v>0.159</v>
      </c>
      <c r="L887" s="218"/>
    </row>
    <row r="888" spans="2:12">
      <c r="B888" s="197" t="s">
        <v>1668</v>
      </c>
      <c r="C888" s="189" t="s">
        <v>1612</v>
      </c>
      <c r="D888" s="190" t="s">
        <v>169</v>
      </c>
      <c r="E888" s="199">
        <v>14.42</v>
      </c>
      <c r="F888" s="199">
        <v>0.15</v>
      </c>
      <c r="G888" s="199">
        <v>1</v>
      </c>
      <c r="H888" s="199"/>
      <c r="I888" s="199"/>
      <c r="J888" s="219"/>
      <c r="K888" s="217">
        <f t="shared" si="28"/>
        <v>2.1629999999999998</v>
      </c>
      <c r="L888" s="218"/>
    </row>
    <row r="889" spans="2:12">
      <c r="B889" s="197" t="s">
        <v>1669</v>
      </c>
      <c r="C889" s="189" t="s">
        <v>1612</v>
      </c>
      <c r="D889" s="190" t="s">
        <v>169</v>
      </c>
      <c r="E889" s="199">
        <v>7.31</v>
      </c>
      <c r="F889" s="199">
        <v>0.15</v>
      </c>
      <c r="G889" s="199">
        <v>1</v>
      </c>
      <c r="H889" s="199"/>
      <c r="I889" s="199"/>
      <c r="J889" s="219"/>
      <c r="K889" s="217">
        <f t="shared" si="28"/>
        <v>1.0964999999999998</v>
      </c>
      <c r="L889" s="218"/>
    </row>
    <row r="890" spans="2:12">
      <c r="B890" s="197" t="s">
        <v>1670</v>
      </c>
      <c r="C890" s="189" t="s">
        <v>1612</v>
      </c>
      <c r="D890" s="190" t="s">
        <v>169</v>
      </c>
      <c r="E890" s="199">
        <v>10.97</v>
      </c>
      <c r="F890" s="199">
        <v>0.4</v>
      </c>
      <c r="G890" s="199">
        <v>0.6</v>
      </c>
      <c r="H890" s="199"/>
      <c r="I890" s="199"/>
      <c r="J890" s="219"/>
      <c r="K890" s="217">
        <f t="shared" si="28"/>
        <v>2.6328000000000005</v>
      </c>
      <c r="L890" s="218"/>
    </row>
    <row r="891" spans="2:12">
      <c r="B891" s="197" t="s">
        <v>1671</v>
      </c>
      <c r="C891" s="189" t="s">
        <v>1612</v>
      </c>
      <c r="D891" s="190" t="s">
        <v>169</v>
      </c>
      <c r="E891" s="199">
        <v>7.65</v>
      </c>
      <c r="F891" s="199">
        <v>0.15</v>
      </c>
      <c r="G891" s="199">
        <v>1</v>
      </c>
      <c r="H891" s="199"/>
      <c r="I891" s="199"/>
      <c r="J891" s="219"/>
      <c r="K891" s="217">
        <f t="shared" si="28"/>
        <v>1.1475</v>
      </c>
      <c r="L891" s="218"/>
    </row>
    <row r="892" spans="2:12">
      <c r="B892" s="197" t="s">
        <v>1672</v>
      </c>
      <c r="C892" s="189" t="s">
        <v>1612</v>
      </c>
      <c r="D892" s="190" t="s">
        <v>169</v>
      </c>
      <c r="E892" s="199">
        <v>2.54</v>
      </c>
      <c r="F892" s="199">
        <v>0.15</v>
      </c>
      <c r="G892" s="199">
        <v>0.6</v>
      </c>
      <c r="H892" s="199"/>
      <c r="I892" s="199"/>
      <c r="J892" s="219"/>
      <c r="K892" s="217">
        <f t="shared" si="28"/>
        <v>0.2286</v>
      </c>
      <c r="L892" s="218"/>
    </row>
    <row r="893" spans="2:12">
      <c r="B893" s="197" t="s">
        <v>1544</v>
      </c>
      <c r="C893" s="189" t="s">
        <v>1612</v>
      </c>
      <c r="D893" s="190" t="s">
        <v>169</v>
      </c>
      <c r="E893" s="199">
        <v>9.35</v>
      </c>
      <c r="F893" s="199">
        <v>0.2</v>
      </c>
      <c r="G893" s="199">
        <v>0.7</v>
      </c>
      <c r="H893" s="199"/>
      <c r="I893" s="199"/>
      <c r="J893" s="219"/>
      <c r="K893" s="217">
        <f t="shared" si="28"/>
        <v>1.3089999999999999</v>
      </c>
      <c r="L893" s="218"/>
    </row>
    <row r="894" spans="2:12">
      <c r="B894" s="197" t="s">
        <v>1673</v>
      </c>
      <c r="C894" s="189" t="s">
        <v>1612</v>
      </c>
      <c r="D894" s="190" t="s">
        <v>169</v>
      </c>
      <c r="E894" s="199">
        <v>1.55</v>
      </c>
      <c r="F894" s="199">
        <v>0.15</v>
      </c>
      <c r="G894" s="199">
        <v>1</v>
      </c>
      <c r="H894" s="199"/>
      <c r="I894" s="199"/>
      <c r="J894" s="219"/>
      <c r="K894" s="217">
        <f t="shared" si="28"/>
        <v>0.23249999999999998</v>
      </c>
      <c r="L894" s="218"/>
    </row>
    <row r="895" spans="2:12">
      <c r="B895" s="197" t="s">
        <v>1674</v>
      </c>
      <c r="C895" s="189" t="s">
        <v>1612</v>
      </c>
      <c r="D895" s="190" t="s">
        <v>169</v>
      </c>
      <c r="E895" s="199">
        <v>1.24</v>
      </c>
      <c r="F895" s="199">
        <v>0.2</v>
      </c>
      <c r="G895" s="199">
        <v>0.6</v>
      </c>
      <c r="H895" s="199"/>
      <c r="I895" s="199"/>
      <c r="J895" s="219"/>
      <c r="K895" s="217">
        <f t="shared" si="28"/>
        <v>0.14879999999999999</v>
      </c>
      <c r="L895" s="218"/>
    </row>
    <row r="896" spans="2:12">
      <c r="B896" s="197" t="s">
        <v>1675</v>
      </c>
      <c r="C896" s="189" t="s">
        <v>1612</v>
      </c>
      <c r="D896" s="190" t="s">
        <v>169</v>
      </c>
      <c r="E896" s="199">
        <v>8.8000000000000007</v>
      </c>
      <c r="F896" s="199">
        <v>0.2</v>
      </c>
      <c r="G896" s="199">
        <v>0.7</v>
      </c>
      <c r="H896" s="199"/>
      <c r="I896" s="199"/>
      <c r="J896" s="219"/>
      <c r="K896" s="217">
        <f t="shared" si="28"/>
        <v>1.232</v>
      </c>
      <c r="L896" s="218"/>
    </row>
    <row r="897" spans="2:12">
      <c r="B897" s="197" t="s">
        <v>1676</v>
      </c>
      <c r="C897" s="189" t="s">
        <v>1612</v>
      </c>
      <c r="D897" s="190" t="s">
        <v>169</v>
      </c>
      <c r="E897" s="199">
        <v>4.7</v>
      </c>
      <c r="F897" s="199">
        <v>0.15</v>
      </c>
      <c r="G897" s="199">
        <v>1</v>
      </c>
      <c r="H897" s="199"/>
      <c r="I897" s="199"/>
      <c r="J897" s="219"/>
      <c r="K897" s="217">
        <f t="shared" si="28"/>
        <v>0.70499999999999996</v>
      </c>
      <c r="L897" s="218"/>
    </row>
    <row r="898" spans="2:12">
      <c r="B898" s="197" t="s">
        <v>1677</v>
      </c>
      <c r="C898" s="189" t="s">
        <v>1612</v>
      </c>
      <c r="D898" s="190" t="s">
        <v>169</v>
      </c>
      <c r="E898" s="199">
        <v>2.98</v>
      </c>
      <c r="F898" s="199">
        <v>0.15</v>
      </c>
      <c r="G898" s="199">
        <v>1</v>
      </c>
      <c r="H898" s="199"/>
      <c r="I898" s="199"/>
      <c r="J898" s="219"/>
      <c r="K898" s="217">
        <f t="shared" si="28"/>
        <v>0.44700000000000001</v>
      </c>
      <c r="L898" s="218"/>
    </row>
    <row r="899" spans="2:12">
      <c r="B899" s="197" t="s">
        <v>1678</v>
      </c>
      <c r="C899" s="189" t="s">
        <v>1612</v>
      </c>
      <c r="D899" s="190" t="s">
        <v>169</v>
      </c>
      <c r="E899" s="199">
        <v>1.24</v>
      </c>
      <c r="F899" s="199">
        <v>0.2</v>
      </c>
      <c r="G899" s="199">
        <v>0.6</v>
      </c>
      <c r="H899" s="199"/>
      <c r="I899" s="199"/>
      <c r="J899" s="219"/>
      <c r="K899" s="217">
        <f t="shared" si="28"/>
        <v>0.14879999999999999</v>
      </c>
      <c r="L899" s="218"/>
    </row>
    <row r="900" spans="2:12">
      <c r="B900" s="197" t="s">
        <v>1679</v>
      </c>
      <c r="C900" s="189" t="s">
        <v>1612</v>
      </c>
      <c r="D900" s="190" t="s">
        <v>169</v>
      </c>
      <c r="E900" s="199">
        <v>1.94</v>
      </c>
      <c r="F900" s="199">
        <v>0.2</v>
      </c>
      <c r="G900" s="199">
        <v>1</v>
      </c>
      <c r="H900" s="199"/>
      <c r="I900" s="199"/>
      <c r="J900" s="219"/>
      <c r="K900" s="217">
        <f t="shared" si="28"/>
        <v>0.38800000000000001</v>
      </c>
      <c r="L900" s="218"/>
    </row>
    <row r="901" spans="2:12">
      <c r="B901" s="197" t="s">
        <v>1680</v>
      </c>
      <c r="C901" s="189" t="s">
        <v>1612</v>
      </c>
      <c r="D901" s="190" t="s">
        <v>169</v>
      </c>
      <c r="E901" s="199">
        <v>6.31</v>
      </c>
      <c r="F901" s="199">
        <v>0.15</v>
      </c>
      <c r="G901" s="199">
        <v>1</v>
      </c>
      <c r="H901" s="199"/>
      <c r="I901" s="199"/>
      <c r="J901" s="219"/>
      <c r="K901" s="217">
        <f t="shared" si="28"/>
        <v>0.9464999999999999</v>
      </c>
      <c r="L901" s="218"/>
    </row>
    <row r="902" spans="2:12">
      <c r="B902" s="197" t="s">
        <v>1648</v>
      </c>
      <c r="C902" s="189" t="s">
        <v>1613</v>
      </c>
      <c r="D902" s="190" t="s">
        <v>169</v>
      </c>
      <c r="E902" s="199">
        <v>21.7</v>
      </c>
      <c r="F902" s="199">
        <v>0.15</v>
      </c>
      <c r="G902" s="199">
        <v>1</v>
      </c>
      <c r="H902" s="199"/>
      <c r="I902" s="199"/>
      <c r="J902" s="219"/>
      <c r="K902" s="217">
        <f t="shared" si="28"/>
        <v>3.2549999999999999</v>
      </c>
      <c r="L902" s="218"/>
    </row>
    <row r="903" spans="2:12">
      <c r="B903" s="197" t="s">
        <v>1649</v>
      </c>
      <c r="C903" s="189" t="s">
        <v>1613</v>
      </c>
      <c r="D903" s="190" t="s">
        <v>169</v>
      </c>
      <c r="E903" s="199">
        <v>21.4</v>
      </c>
      <c r="F903" s="199">
        <v>0.2</v>
      </c>
      <c r="G903" s="199">
        <v>0.6</v>
      </c>
      <c r="H903" s="199"/>
      <c r="I903" s="199"/>
      <c r="J903" s="219"/>
      <c r="K903" s="217">
        <f t="shared" si="28"/>
        <v>2.5680000000000001</v>
      </c>
      <c r="L903" s="218"/>
    </row>
    <row r="904" spans="2:12">
      <c r="B904" s="197" t="s">
        <v>1650</v>
      </c>
      <c r="C904" s="189" t="s">
        <v>1613</v>
      </c>
      <c r="D904" s="190" t="s">
        <v>169</v>
      </c>
      <c r="E904" s="199">
        <v>21.4</v>
      </c>
      <c r="F904" s="199">
        <v>0.2</v>
      </c>
      <c r="G904" s="199">
        <v>0.6</v>
      </c>
      <c r="H904" s="199"/>
      <c r="I904" s="199"/>
      <c r="J904" s="219"/>
      <c r="K904" s="217">
        <f t="shared" si="28"/>
        <v>2.5680000000000001</v>
      </c>
      <c r="L904" s="218"/>
    </row>
    <row r="905" spans="2:12">
      <c r="B905" s="197" t="s">
        <v>1651</v>
      </c>
      <c r="C905" s="189" t="s">
        <v>1613</v>
      </c>
      <c r="D905" s="190" t="s">
        <v>169</v>
      </c>
      <c r="E905" s="199">
        <v>21.4</v>
      </c>
      <c r="F905" s="199">
        <v>0.2</v>
      </c>
      <c r="G905" s="199">
        <v>0.6</v>
      </c>
      <c r="H905" s="199"/>
      <c r="I905" s="199"/>
      <c r="J905" s="219"/>
      <c r="K905" s="217">
        <f t="shared" si="28"/>
        <v>2.5680000000000001</v>
      </c>
      <c r="L905" s="218"/>
    </row>
    <row r="906" spans="2:12">
      <c r="B906" s="197" t="s">
        <v>1652</v>
      </c>
      <c r="C906" s="189" t="s">
        <v>1613</v>
      </c>
      <c r="D906" s="190" t="s">
        <v>169</v>
      </c>
      <c r="E906" s="199">
        <v>3.45</v>
      </c>
      <c r="F906" s="199">
        <v>0.2</v>
      </c>
      <c r="G906" s="199">
        <v>0.6</v>
      </c>
      <c r="H906" s="199"/>
      <c r="I906" s="199"/>
      <c r="J906" s="219"/>
      <c r="K906" s="217">
        <f t="shared" ref="K906:K912" si="29">IF(E906*F906*G906&lt;&gt;0,E906*F906*G906,IF(E906*F906&lt;&gt;0,E906*F906,IF(F906*G906&lt;&gt;0,F906*G906,IF(E906*G906&lt;&gt;0,E906*G906,IF(E906&lt;&gt;0,E906,IF(F906&lt;&gt;0,F906,IF(G906&lt;&gt;0,G906,0)))))))*(IF(H906&lt;&gt;0,H906,1))+I906-J906</f>
        <v>0.41400000000000003</v>
      </c>
      <c r="L906" s="218"/>
    </row>
    <row r="907" spans="2:12">
      <c r="B907" s="197" t="s">
        <v>1653</v>
      </c>
      <c r="C907" s="189" t="s">
        <v>1613</v>
      </c>
      <c r="D907" s="190" t="s">
        <v>169</v>
      </c>
      <c r="E907" s="199">
        <v>26.12</v>
      </c>
      <c r="F907" s="199">
        <v>0.2</v>
      </c>
      <c r="G907" s="199">
        <v>0.6</v>
      </c>
      <c r="H907" s="199"/>
      <c r="I907" s="199"/>
      <c r="J907" s="219"/>
      <c r="K907" s="217">
        <f t="shared" si="29"/>
        <v>3.1343999999999999</v>
      </c>
      <c r="L907" s="218"/>
    </row>
    <row r="908" spans="2:12">
      <c r="B908" s="197" t="s">
        <v>1654</v>
      </c>
      <c r="C908" s="189" t="s">
        <v>1613</v>
      </c>
      <c r="D908" s="190" t="s">
        <v>169</v>
      </c>
      <c r="E908" s="199">
        <v>24.11</v>
      </c>
      <c r="F908" s="199">
        <v>0.15</v>
      </c>
      <c r="G908" s="199">
        <v>1</v>
      </c>
      <c r="H908" s="199"/>
      <c r="I908" s="199"/>
      <c r="J908" s="219"/>
      <c r="K908" s="217">
        <f t="shared" si="29"/>
        <v>3.6164999999999998</v>
      </c>
      <c r="L908" s="218"/>
    </row>
    <row r="909" spans="2:12">
      <c r="B909" s="197" t="s">
        <v>1655</v>
      </c>
      <c r="C909" s="189" t="s">
        <v>1613</v>
      </c>
      <c r="D909" s="190" t="s">
        <v>169</v>
      </c>
      <c r="E909" s="199">
        <v>24.09</v>
      </c>
      <c r="F909" s="199">
        <v>0.15</v>
      </c>
      <c r="G909" s="199">
        <v>1</v>
      </c>
      <c r="H909" s="199"/>
      <c r="I909" s="199"/>
      <c r="J909" s="219"/>
      <c r="K909" s="217">
        <f t="shared" si="29"/>
        <v>3.6134999999999997</v>
      </c>
      <c r="L909" s="218"/>
    </row>
    <row r="910" spans="2:12">
      <c r="B910" s="197" t="s">
        <v>1656</v>
      </c>
      <c r="C910" s="189" t="s">
        <v>1613</v>
      </c>
      <c r="D910" s="190" t="s">
        <v>169</v>
      </c>
      <c r="E910" s="199">
        <v>7.87</v>
      </c>
      <c r="F910" s="199">
        <v>0.15</v>
      </c>
      <c r="G910" s="199">
        <v>0.6</v>
      </c>
      <c r="H910" s="199"/>
      <c r="I910" s="199"/>
      <c r="J910" s="219"/>
      <c r="K910" s="217">
        <f t="shared" si="29"/>
        <v>0.70829999999999993</v>
      </c>
      <c r="L910" s="218"/>
    </row>
    <row r="911" spans="2:12">
      <c r="B911" s="197" t="s">
        <v>1657</v>
      </c>
      <c r="C911" s="189" t="s">
        <v>1613</v>
      </c>
      <c r="D911" s="190" t="s">
        <v>169</v>
      </c>
      <c r="E911" s="199">
        <v>7.77</v>
      </c>
      <c r="F911" s="199">
        <v>0.2</v>
      </c>
      <c r="G911" s="199">
        <v>0.6</v>
      </c>
      <c r="H911" s="199"/>
      <c r="I911" s="199"/>
      <c r="J911" s="219"/>
      <c r="K911" s="217">
        <f t="shared" si="29"/>
        <v>0.93240000000000001</v>
      </c>
      <c r="L911" s="218"/>
    </row>
    <row r="912" spans="2:12">
      <c r="B912" s="197"/>
      <c r="C912" s="189"/>
      <c r="D912" s="190"/>
      <c r="E912" s="199"/>
      <c r="F912" s="199"/>
      <c r="G912" s="199"/>
      <c r="H912" s="199"/>
      <c r="I912" s="199"/>
      <c r="J912" s="219"/>
      <c r="K912" s="217">
        <f t="shared" si="29"/>
        <v>0</v>
      </c>
      <c r="L912" s="218"/>
    </row>
    <row r="913" spans="2:12">
      <c r="B913" s="208"/>
      <c r="C913" s="204"/>
      <c r="D913" s="204"/>
      <c r="E913" s="204"/>
      <c r="F913" s="204"/>
      <c r="G913" s="204"/>
      <c r="H913" s="204"/>
      <c r="I913" s="557" t="s">
        <v>1221</v>
      </c>
      <c r="J913" s="557"/>
      <c r="K913" s="262">
        <f>SUM(K778:K912)</f>
        <v>202.24745000000007</v>
      </c>
      <c r="L913" s="207"/>
    </row>
    <row r="914" spans="2:12">
      <c r="B914" s="208"/>
      <c r="C914" s="204"/>
      <c r="D914" s="204"/>
      <c r="E914" s="204"/>
      <c r="F914" s="204"/>
      <c r="G914" s="204"/>
      <c r="H914" s="209"/>
      <c r="I914" s="557" t="s">
        <v>1222</v>
      </c>
      <c r="J914" s="557"/>
      <c r="K914" s="221">
        <f>VLOOKUP(B776,'BM 004'!$B$27:$R$590,4,0)</f>
        <v>364.43</v>
      </c>
      <c r="L914" s="207"/>
    </row>
    <row r="915" spans="2:12">
      <c r="B915" s="208"/>
      <c r="C915" s="204"/>
      <c r="D915" s="204"/>
      <c r="E915" s="204"/>
      <c r="F915" s="204"/>
      <c r="G915" s="204"/>
      <c r="H915" s="558" t="s">
        <v>1223</v>
      </c>
      <c r="I915" s="558"/>
      <c r="J915" s="558"/>
      <c r="K915" s="222">
        <v>178.86935</v>
      </c>
      <c r="L915" s="207"/>
    </row>
    <row r="916" spans="2:12">
      <c r="B916" s="208"/>
      <c r="C916" s="204"/>
      <c r="D916" s="204"/>
      <c r="E916" s="204"/>
      <c r="F916" s="204"/>
      <c r="G916" s="204"/>
      <c r="H916" s="558" t="s">
        <v>1596</v>
      </c>
      <c r="I916" s="558"/>
      <c r="J916" s="558"/>
      <c r="K916" s="222">
        <f>TRUNC(SUMIF(C778:C912,H916,K778:K912),2)</f>
        <v>23.37</v>
      </c>
      <c r="L916" s="207"/>
    </row>
    <row r="917" spans="2:12">
      <c r="B917" s="213"/>
      <c r="C917" s="214"/>
      <c r="D917" s="214"/>
      <c r="E917" s="214"/>
      <c r="F917" s="214"/>
      <c r="G917" s="214"/>
      <c r="H917" s="559" t="s">
        <v>1224</v>
      </c>
      <c r="I917" s="559"/>
      <c r="J917" s="559"/>
      <c r="K917" s="223">
        <f>IF(K913&gt;K914,K913-K914,0)</f>
        <v>0</v>
      </c>
      <c r="L917" s="209"/>
    </row>
    <row r="919" spans="2:12">
      <c r="B919" s="247" t="s">
        <v>220</v>
      </c>
      <c r="C919" s="565" t="str">
        <f>VLOOKUP(B919,'BM 004'!$B$27:$R$590,2,0)</f>
        <v xml:space="preserve">Armação de pilar ou viga de uma estrutura convencional de concreto armado em um edifício de múltiplos pavimentos utilizando aço ca-60 de 5,0 mm - montagem. </v>
      </c>
      <c r="D919" s="565"/>
      <c r="E919" s="565"/>
      <c r="F919" s="565"/>
      <c r="G919" s="565"/>
      <c r="H919" s="565"/>
      <c r="I919" s="565"/>
      <c r="J919" s="565"/>
      <c r="K919" s="565"/>
      <c r="L919" s="565"/>
    </row>
    <row r="920" spans="2:12">
      <c r="B920" s="248" t="s">
        <v>1209</v>
      </c>
      <c r="C920" s="248"/>
      <c r="D920" s="248" t="s">
        <v>39</v>
      </c>
      <c r="E920" s="248" t="s">
        <v>1210</v>
      </c>
      <c r="F920" s="248" t="s">
        <v>1382</v>
      </c>
      <c r="G920" s="248" t="s">
        <v>1383</v>
      </c>
      <c r="H920" s="248" t="s">
        <v>1384</v>
      </c>
      <c r="I920" s="248" t="s">
        <v>1214</v>
      </c>
      <c r="J920" s="248" t="s">
        <v>1385</v>
      </c>
      <c r="K920" s="248" t="s">
        <v>1216</v>
      </c>
      <c r="L920" s="248" t="s">
        <v>1217</v>
      </c>
    </row>
    <row r="921" spans="2:12">
      <c r="B921" s="249" t="s">
        <v>1387</v>
      </c>
      <c r="C921" s="250" t="s">
        <v>1333</v>
      </c>
      <c r="D921" s="205" t="s">
        <v>152</v>
      </c>
      <c r="E921" s="251">
        <v>208</v>
      </c>
      <c r="F921" s="252">
        <v>0.154</v>
      </c>
      <c r="G921" s="251">
        <v>1.1000000000000001</v>
      </c>
      <c r="H921" s="251">
        <v>0.55000000000000004</v>
      </c>
      <c r="I921" s="251"/>
      <c r="J921" s="253"/>
      <c r="K921" s="254">
        <f t="shared" ref="K921:K929" si="30">IF(E921*F921*G921&lt;&gt;0,E921*F921*G921,IF(E921*F921&lt;&gt;0,E921*F921,IF(F921*G921&lt;&gt;0,F921*G921,IF(E921*G921&lt;&gt;0,E921*G921,IF(E921&lt;&gt;0,E921,IF(F921&lt;&gt;0,F921,IF(G921&lt;&gt;0,G921,0)))))))*(IF(H921&lt;&gt;0,H921,1))+I921-J921</f>
        <v>19.379360000000002</v>
      </c>
      <c r="L921" s="255"/>
    </row>
    <row r="922" spans="2:12">
      <c r="B922" s="249" t="s">
        <v>1480</v>
      </c>
      <c r="C922" s="250" t="s">
        <v>1441</v>
      </c>
      <c r="D922" s="205" t="s">
        <v>152</v>
      </c>
      <c r="E922" s="251">
        <v>1109</v>
      </c>
      <c r="F922" s="252">
        <f>F921</f>
        <v>0.154</v>
      </c>
      <c r="G922" s="251">
        <f>G921</f>
        <v>1.1000000000000001</v>
      </c>
      <c r="H922" s="251">
        <v>0.5</v>
      </c>
      <c r="I922" s="251"/>
      <c r="J922" s="253"/>
      <c r="K922" s="254">
        <f t="shared" si="30"/>
        <v>93.932300000000012</v>
      </c>
      <c r="L922" s="205"/>
    </row>
    <row r="923" spans="2:12">
      <c r="B923" s="249" t="s">
        <v>1555</v>
      </c>
      <c r="C923" s="250" t="s">
        <v>1441</v>
      </c>
      <c r="D923" s="205" t="s">
        <v>152</v>
      </c>
      <c r="E923" s="251"/>
      <c r="F923" s="252"/>
      <c r="G923" s="251"/>
      <c r="H923" s="251">
        <v>0</v>
      </c>
      <c r="I923" s="251"/>
      <c r="J923" s="253"/>
      <c r="K923" s="254">
        <f t="shared" si="30"/>
        <v>0</v>
      </c>
      <c r="L923" s="205"/>
    </row>
    <row r="924" spans="2:12">
      <c r="B924" s="249" t="s">
        <v>1681</v>
      </c>
      <c r="C924" s="250" t="s">
        <v>1611</v>
      </c>
      <c r="D924" s="205" t="s">
        <v>152</v>
      </c>
      <c r="E924" s="251">
        <v>735</v>
      </c>
      <c r="F924" s="252">
        <v>0.154</v>
      </c>
      <c r="G924" s="251">
        <v>1.1000000000000001</v>
      </c>
      <c r="H924" s="251">
        <v>0.3</v>
      </c>
      <c r="I924" s="251"/>
      <c r="J924" s="253"/>
      <c r="K924" s="254">
        <f t="shared" si="30"/>
        <v>37.352700000000006</v>
      </c>
      <c r="L924" s="205"/>
    </row>
    <row r="925" spans="2:12">
      <c r="B925" s="249" t="s">
        <v>1681</v>
      </c>
      <c r="C925" s="250" t="s">
        <v>1612</v>
      </c>
      <c r="D925" s="205" t="s">
        <v>152</v>
      </c>
      <c r="E925" s="251">
        <v>735</v>
      </c>
      <c r="F925" s="252">
        <v>0.154</v>
      </c>
      <c r="G925" s="251">
        <v>1.1000000000000001</v>
      </c>
      <c r="H925" s="251">
        <v>0.3</v>
      </c>
      <c r="I925" s="251"/>
      <c r="J925" s="253"/>
      <c r="K925" s="254">
        <f t="shared" si="30"/>
        <v>37.352700000000006</v>
      </c>
      <c r="L925" s="205"/>
    </row>
    <row r="926" spans="2:12">
      <c r="B926" s="249" t="s">
        <v>1681</v>
      </c>
      <c r="C926" s="250" t="s">
        <v>1613</v>
      </c>
      <c r="D926" s="205" t="s">
        <v>152</v>
      </c>
      <c r="E926" s="251">
        <v>735</v>
      </c>
      <c r="F926" s="252">
        <v>0.154</v>
      </c>
      <c r="G926" s="251">
        <v>1.1000000000000001</v>
      </c>
      <c r="H926" s="251">
        <v>0.2</v>
      </c>
      <c r="I926" s="251"/>
      <c r="J926" s="253"/>
      <c r="K926" s="254">
        <f t="shared" si="30"/>
        <v>24.901800000000005</v>
      </c>
      <c r="L926" s="205"/>
    </row>
    <row r="927" spans="2:12">
      <c r="B927" s="249"/>
      <c r="C927" s="250"/>
      <c r="D927" s="205"/>
      <c r="E927" s="251"/>
      <c r="F927" s="252"/>
      <c r="G927" s="251"/>
      <c r="H927" s="251"/>
      <c r="I927" s="251"/>
      <c r="J927" s="253"/>
      <c r="K927" s="254">
        <f t="shared" si="30"/>
        <v>0</v>
      </c>
      <c r="L927" s="205"/>
    </row>
    <row r="928" spans="2:12">
      <c r="B928" s="249"/>
      <c r="C928" s="250"/>
      <c r="D928" s="205"/>
      <c r="E928" s="251"/>
      <c r="F928" s="252"/>
      <c r="G928" s="251"/>
      <c r="H928" s="251"/>
      <c r="I928" s="251"/>
      <c r="J928" s="253"/>
      <c r="K928" s="254">
        <f t="shared" si="30"/>
        <v>0</v>
      </c>
      <c r="L928" s="205"/>
    </row>
    <row r="929" spans="2:12">
      <c r="B929" s="267"/>
      <c r="C929" s="205"/>
      <c r="D929" s="205"/>
      <c r="E929" s="251"/>
      <c r="F929" s="252"/>
      <c r="G929" s="251"/>
      <c r="H929" s="251"/>
      <c r="I929" s="251"/>
      <c r="J929" s="253"/>
      <c r="K929" s="254">
        <f t="shared" si="30"/>
        <v>0</v>
      </c>
      <c r="L929" s="205"/>
    </row>
    <row r="930" spans="2:12">
      <c r="B930" s="208"/>
      <c r="C930" s="204"/>
      <c r="D930" s="204"/>
      <c r="E930" s="204"/>
      <c r="F930" s="204"/>
      <c r="G930" s="204"/>
      <c r="H930" s="204"/>
      <c r="I930" s="556" t="s">
        <v>1221</v>
      </c>
      <c r="J930" s="556"/>
      <c r="K930" s="262">
        <f>SUM(K921:K929)</f>
        <v>212.91886000000002</v>
      </c>
      <c r="L930" s="207"/>
    </row>
    <row r="931" spans="2:12">
      <c r="B931" s="208"/>
      <c r="C931" s="204"/>
      <c r="D931" s="204"/>
      <c r="E931" s="204"/>
      <c r="F931" s="204"/>
      <c r="G931" s="204"/>
      <c r="H931" s="209"/>
      <c r="I931" s="557" t="s">
        <v>1222</v>
      </c>
      <c r="J931" s="557"/>
      <c r="K931" s="221">
        <f>VLOOKUP(B919,'BM 004'!$B$27:$R$590,4,0)</f>
        <v>347.6</v>
      </c>
      <c r="L931" s="207"/>
    </row>
    <row r="932" spans="2:12">
      <c r="B932" s="208"/>
      <c r="C932" s="204"/>
      <c r="D932" s="204"/>
      <c r="E932" s="204"/>
      <c r="F932" s="204"/>
      <c r="G932" s="204"/>
      <c r="H932" s="558" t="s">
        <v>1223</v>
      </c>
      <c r="I932" s="558"/>
      <c r="J932" s="558"/>
      <c r="K932" s="222">
        <v>188.01705999999999</v>
      </c>
      <c r="L932" s="207"/>
    </row>
    <row r="933" spans="2:12">
      <c r="B933" s="208"/>
      <c r="C933" s="204"/>
      <c r="D933" s="204"/>
      <c r="E933" s="204"/>
      <c r="F933" s="204"/>
      <c r="G933" s="204"/>
      <c r="H933" s="558" t="s">
        <v>1596</v>
      </c>
      <c r="I933" s="558"/>
      <c r="J933" s="558"/>
      <c r="K933" s="222">
        <f>TRUNC(SUMIF(C921:C929,H933,K921:K929),2)</f>
        <v>24.9</v>
      </c>
      <c r="L933" s="207"/>
    </row>
    <row r="934" spans="2:12">
      <c r="B934" s="213"/>
      <c r="C934" s="214"/>
      <c r="D934" s="214"/>
      <c r="E934" s="214"/>
      <c r="F934" s="214"/>
      <c r="G934" s="214"/>
      <c r="H934" s="559" t="s">
        <v>1224</v>
      </c>
      <c r="I934" s="559"/>
      <c r="J934" s="559"/>
      <c r="K934" s="223">
        <f>IF(K930&gt;K931,K930-K931,0)</f>
        <v>0</v>
      </c>
      <c r="L934" s="209"/>
    </row>
    <row r="936" spans="2:12">
      <c r="B936" s="247" t="s">
        <v>221</v>
      </c>
      <c r="C936" s="565" t="str">
        <f>VLOOKUP(B936,'BM 004'!$B$27:$R$590,2,0)</f>
        <v>Armação de pilar ou viga de uma estrutura convencional de concreto armado em um edifício de múltiplos pavimentos utilizando aço ca-50 de 6,3 mm - montagem.</v>
      </c>
      <c r="D936" s="565"/>
      <c r="E936" s="565"/>
      <c r="F936" s="565"/>
      <c r="G936" s="565"/>
      <c r="H936" s="565"/>
      <c r="I936" s="565"/>
      <c r="J936" s="565"/>
      <c r="K936" s="565"/>
      <c r="L936" s="565"/>
    </row>
    <row r="937" spans="2:12">
      <c r="B937" s="248" t="s">
        <v>1209</v>
      </c>
      <c r="C937" s="248"/>
      <c r="D937" s="248" t="s">
        <v>39</v>
      </c>
      <c r="E937" s="248" t="s">
        <v>1210</v>
      </c>
      <c r="F937" s="248" t="s">
        <v>1382</v>
      </c>
      <c r="G937" s="248" t="s">
        <v>1383</v>
      </c>
      <c r="H937" s="248" t="s">
        <v>1384</v>
      </c>
      <c r="I937" s="248" t="s">
        <v>1214</v>
      </c>
      <c r="J937" s="248" t="s">
        <v>1385</v>
      </c>
      <c r="K937" s="248" t="s">
        <v>1216</v>
      </c>
      <c r="L937" s="248" t="s">
        <v>1217</v>
      </c>
    </row>
    <row r="938" spans="2:12">
      <c r="B938" s="249" t="s">
        <v>1387</v>
      </c>
      <c r="C938" s="250" t="s">
        <v>1333</v>
      </c>
      <c r="D938" s="205" t="s">
        <v>152</v>
      </c>
      <c r="E938" s="251">
        <v>4472</v>
      </c>
      <c r="F938" s="252">
        <v>0.245</v>
      </c>
      <c r="G938" s="251">
        <v>1.1000000000000001</v>
      </c>
      <c r="H938" s="251">
        <v>0.55000000000000004</v>
      </c>
      <c r="I938" s="251"/>
      <c r="J938" s="253"/>
      <c r="K938" s="254">
        <f t="shared" ref="K938:K946" si="31">IF(E938*F938*G938&lt;&gt;0,E938*F938*G938,IF(E938*F938&lt;&gt;0,E938*F938,IF(F938*G938&lt;&gt;0,F938*G938,IF(E938*G938&lt;&gt;0,E938*G938,IF(E938&lt;&gt;0,E938,IF(F938&lt;&gt;0,F938,IF(G938&lt;&gt;0,G938,0)))))))*(IF(H938&lt;&gt;0,H938,1))+I938-J938</f>
        <v>662.86220000000003</v>
      </c>
      <c r="L938" s="255"/>
    </row>
    <row r="939" spans="2:12">
      <c r="B939" s="249" t="s">
        <v>1480</v>
      </c>
      <c r="C939" s="250" t="s">
        <v>1441</v>
      </c>
      <c r="D939" s="205" t="s">
        <v>152</v>
      </c>
      <c r="E939" s="251">
        <v>2134</v>
      </c>
      <c r="F939" s="252">
        <f>F938</f>
        <v>0.245</v>
      </c>
      <c r="G939" s="251">
        <f>G938</f>
        <v>1.1000000000000001</v>
      </c>
      <c r="H939" s="251">
        <v>0.5</v>
      </c>
      <c r="I939" s="251"/>
      <c r="J939" s="253"/>
      <c r="K939" s="254">
        <f t="shared" si="31"/>
        <v>287.55650000000003</v>
      </c>
      <c r="L939" s="205"/>
    </row>
    <row r="940" spans="2:12">
      <c r="B940" s="249" t="s">
        <v>1555</v>
      </c>
      <c r="C940" s="250" t="s">
        <v>1521</v>
      </c>
      <c r="D940" s="205" t="s">
        <v>152</v>
      </c>
      <c r="E940" s="251">
        <v>2992</v>
      </c>
      <c r="F940" s="252">
        <f>F939</f>
        <v>0.245</v>
      </c>
      <c r="G940" s="251">
        <f>G939</f>
        <v>1.1000000000000001</v>
      </c>
      <c r="H940" s="251">
        <v>0.3</v>
      </c>
      <c r="I940" s="251"/>
      <c r="J940" s="253"/>
      <c r="K940" s="254">
        <f t="shared" si="31"/>
        <v>241.9032</v>
      </c>
      <c r="L940" s="205"/>
    </row>
    <row r="941" spans="2:12">
      <c r="B941" s="249" t="s">
        <v>1681</v>
      </c>
      <c r="C941" s="250" t="s">
        <v>1611</v>
      </c>
      <c r="D941" s="205" t="s">
        <v>152</v>
      </c>
      <c r="E941" s="251">
        <v>3859</v>
      </c>
      <c r="F941" s="252">
        <v>0.245</v>
      </c>
      <c r="G941" s="251">
        <v>1.1000000000000001</v>
      </c>
      <c r="H941" s="251">
        <v>0.3</v>
      </c>
      <c r="I941" s="251"/>
      <c r="J941" s="253"/>
      <c r="K941" s="254">
        <f t="shared" si="31"/>
        <v>312.00015000000002</v>
      </c>
      <c r="L941" s="205"/>
    </row>
    <row r="942" spans="2:12">
      <c r="B942" s="249" t="s">
        <v>1681</v>
      </c>
      <c r="C942" s="250" t="s">
        <v>1612</v>
      </c>
      <c r="D942" s="205" t="s">
        <v>152</v>
      </c>
      <c r="E942" s="251">
        <v>3859</v>
      </c>
      <c r="F942" s="252">
        <v>0.245</v>
      </c>
      <c r="G942" s="251">
        <v>1.1000000000000001</v>
      </c>
      <c r="H942" s="251">
        <v>0.3</v>
      </c>
      <c r="I942" s="251"/>
      <c r="J942" s="253"/>
      <c r="K942" s="254">
        <f t="shared" si="31"/>
        <v>312.00015000000002</v>
      </c>
      <c r="L942" s="205"/>
    </row>
    <row r="943" spans="2:12">
      <c r="B943" s="249" t="s">
        <v>1681</v>
      </c>
      <c r="C943" s="250" t="s">
        <v>1613</v>
      </c>
      <c r="D943" s="205" t="s">
        <v>152</v>
      </c>
      <c r="E943" s="251">
        <v>3859</v>
      </c>
      <c r="F943" s="252">
        <v>0.245</v>
      </c>
      <c r="G943" s="251">
        <v>1.1000000000000001</v>
      </c>
      <c r="H943" s="251">
        <v>0.2</v>
      </c>
      <c r="I943" s="251"/>
      <c r="J943" s="253"/>
      <c r="K943" s="254">
        <f t="shared" si="31"/>
        <v>208.00010000000003</v>
      </c>
      <c r="L943" s="205"/>
    </row>
    <row r="944" spans="2:12">
      <c r="B944" s="249"/>
      <c r="C944" s="250"/>
      <c r="D944" s="205"/>
      <c r="E944" s="251"/>
      <c r="F944" s="252"/>
      <c r="G944" s="251"/>
      <c r="H944" s="251"/>
      <c r="I944" s="251"/>
      <c r="J944" s="253"/>
      <c r="K944" s="254">
        <f t="shared" si="31"/>
        <v>0</v>
      </c>
      <c r="L944" s="205"/>
    </row>
    <row r="945" spans="2:12">
      <c r="B945" s="249"/>
      <c r="C945" s="250"/>
      <c r="D945" s="205"/>
      <c r="E945" s="251"/>
      <c r="F945" s="252"/>
      <c r="G945" s="251"/>
      <c r="H945" s="251"/>
      <c r="I945" s="251"/>
      <c r="J945" s="253"/>
      <c r="K945" s="254">
        <f t="shared" si="31"/>
        <v>0</v>
      </c>
      <c r="L945" s="205"/>
    </row>
    <row r="946" spans="2:12">
      <c r="B946" s="267"/>
      <c r="C946" s="205"/>
      <c r="D946" s="205"/>
      <c r="E946" s="251"/>
      <c r="F946" s="252"/>
      <c r="G946" s="251"/>
      <c r="H946" s="251"/>
      <c r="I946" s="251"/>
      <c r="J946" s="253"/>
      <c r="K946" s="254">
        <f t="shared" si="31"/>
        <v>0</v>
      </c>
      <c r="L946" s="205"/>
    </row>
    <row r="947" spans="2:12">
      <c r="B947" s="208"/>
      <c r="C947" s="204"/>
      <c r="D947" s="204"/>
      <c r="E947" s="204"/>
      <c r="F947" s="204"/>
      <c r="G947" s="204"/>
      <c r="H947" s="204"/>
      <c r="I947" s="556" t="s">
        <v>1221</v>
      </c>
      <c r="J947" s="556"/>
      <c r="K947" s="262">
        <f>SUM(K938:K946)</f>
        <v>2024.3223000000003</v>
      </c>
      <c r="L947" s="207"/>
    </row>
    <row r="948" spans="2:12">
      <c r="B948" s="208"/>
      <c r="C948" s="204"/>
      <c r="D948" s="204"/>
      <c r="E948" s="204"/>
      <c r="F948" s="204"/>
      <c r="G948" s="204"/>
      <c r="H948" s="209"/>
      <c r="I948" s="557" t="s">
        <v>1222</v>
      </c>
      <c r="J948" s="557"/>
      <c r="K948" s="221">
        <f>VLOOKUP(B936,'BM 004'!$B$27:$R$590,4,0)</f>
        <v>3626.7</v>
      </c>
      <c r="L948" s="207"/>
    </row>
    <row r="949" spans="2:12">
      <c r="B949" s="208"/>
      <c r="C949" s="204"/>
      <c r="D949" s="204"/>
      <c r="E949" s="204"/>
      <c r="F949" s="204"/>
      <c r="G949" s="204"/>
      <c r="H949" s="558" t="s">
        <v>1223</v>
      </c>
      <c r="I949" s="558"/>
      <c r="J949" s="558"/>
      <c r="K949" s="222">
        <v>1816.3222000000001</v>
      </c>
      <c r="L949" s="207"/>
    </row>
    <row r="950" spans="2:12">
      <c r="B950" s="208"/>
      <c r="C950" s="204"/>
      <c r="D950" s="204"/>
      <c r="E950" s="204"/>
      <c r="F950" s="204"/>
      <c r="G950" s="204"/>
      <c r="H950" s="558" t="s">
        <v>1596</v>
      </c>
      <c r="I950" s="558"/>
      <c r="J950" s="558"/>
      <c r="K950" s="222">
        <f>TRUNC(SUMIF(C938:C946,H950,K938:K946),2)</f>
        <v>208</v>
      </c>
      <c r="L950" s="207"/>
    </row>
    <row r="951" spans="2:12">
      <c r="B951" s="213"/>
      <c r="C951" s="214"/>
      <c r="D951" s="214"/>
      <c r="E951" s="214"/>
      <c r="F951" s="214"/>
      <c r="G951" s="214"/>
      <c r="H951" s="559" t="s">
        <v>1224</v>
      </c>
      <c r="I951" s="559"/>
      <c r="J951" s="559"/>
      <c r="K951" s="223">
        <f>IF(K947&gt;K948,K947-K948,0)</f>
        <v>0</v>
      </c>
      <c r="L951" s="209"/>
    </row>
    <row r="953" spans="2:12">
      <c r="B953" s="247" t="s">
        <v>223</v>
      </c>
      <c r="C953" s="565" t="str">
        <f>VLOOKUP(B953,'BM 004'!$B$27:$R$590,2,0)</f>
        <v xml:space="preserve">Armação de pilar ou viga de uma estrutura convencional de concreto armado em um edifício de múltiplos pavimentos utilizando aço ca-50 de 8,0 mm - montagem. </v>
      </c>
      <c r="D953" s="565"/>
      <c r="E953" s="565"/>
      <c r="F953" s="565"/>
      <c r="G953" s="565"/>
      <c r="H953" s="565"/>
      <c r="I953" s="565"/>
      <c r="J953" s="565"/>
      <c r="K953" s="565"/>
      <c r="L953" s="565"/>
    </row>
    <row r="954" spans="2:12">
      <c r="B954" s="248" t="s">
        <v>1209</v>
      </c>
      <c r="C954" s="248"/>
      <c r="D954" s="248" t="s">
        <v>39</v>
      </c>
      <c r="E954" s="248" t="s">
        <v>1210</v>
      </c>
      <c r="F954" s="248" t="s">
        <v>1382</v>
      </c>
      <c r="G954" s="248" t="s">
        <v>1383</v>
      </c>
      <c r="H954" s="248" t="s">
        <v>1384</v>
      </c>
      <c r="I954" s="248" t="s">
        <v>1214</v>
      </c>
      <c r="J954" s="248" t="s">
        <v>1385</v>
      </c>
      <c r="K954" s="248" t="s">
        <v>1216</v>
      </c>
      <c r="L954" s="248" t="s">
        <v>1217</v>
      </c>
    </row>
    <row r="955" spans="2:12">
      <c r="B955" s="249" t="s">
        <v>1387</v>
      </c>
      <c r="C955" s="250" t="s">
        <v>1333</v>
      </c>
      <c r="D955" s="205" t="s">
        <v>152</v>
      </c>
      <c r="E955" s="251">
        <v>1288</v>
      </c>
      <c r="F955" s="252">
        <v>0.39500000000000002</v>
      </c>
      <c r="G955" s="251">
        <v>1.1000000000000001</v>
      </c>
      <c r="H955" s="251">
        <v>0.55000000000000004</v>
      </c>
      <c r="I955" s="251"/>
      <c r="J955" s="253"/>
      <c r="K955" s="254">
        <f t="shared" ref="K955:K964" si="32">IF(E955*F955*G955&lt;&gt;0,E955*F955*G955,IF(E955*F955&lt;&gt;0,E955*F955,IF(F955*G955&lt;&gt;0,F955*G955,IF(E955*G955&lt;&gt;0,E955*G955,IF(E955&lt;&gt;0,E955,IF(F955&lt;&gt;0,F955,IF(G955&lt;&gt;0,G955,0)))))))*(IF(H955&lt;&gt;0,H955,1))+I955-J955</f>
        <v>307.79980000000006</v>
      </c>
      <c r="L955" s="255"/>
    </row>
    <row r="956" spans="2:12">
      <c r="B956" s="249" t="s">
        <v>1480</v>
      </c>
      <c r="C956" s="250" t="s">
        <v>1441</v>
      </c>
      <c r="D956" s="205" t="s">
        <v>152</v>
      </c>
      <c r="E956" s="251">
        <v>203</v>
      </c>
      <c r="F956" s="252">
        <f>F955</f>
        <v>0.39500000000000002</v>
      </c>
      <c r="G956" s="251">
        <f>G955</f>
        <v>1.1000000000000001</v>
      </c>
      <c r="H956" s="251">
        <v>0.5</v>
      </c>
      <c r="I956" s="251"/>
      <c r="J956" s="253"/>
      <c r="K956" s="254">
        <f t="shared" si="32"/>
        <v>44.101750000000003</v>
      </c>
      <c r="L956" s="205"/>
    </row>
    <row r="957" spans="2:12">
      <c r="B957" s="249" t="s">
        <v>1480</v>
      </c>
      <c r="C957" s="250" t="s">
        <v>1521</v>
      </c>
      <c r="D957" s="205" t="s">
        <v>152</v>
      </c>
      <c r="E957" s="251">
        <v>1750</v>
      </c>
      <c r="F957" s="252">
        <f>F956</f>
        <v>0.39500000000000002</v>
      </c>
      <c r="G957" s="251">
        <f>G956</f>
        <v>1.1000000000000001</v>
      </c>
      <c r="H957" s="251">
        <v>0.3</v>
      </c>
      <c r="I957" s="251"/>
      <c r="J957" s="253"/>
      <c r="K957" s="254">
        <f t="shared" si="32"/>
        <v>228.11250000000004</v>
      </c>
      <c r="L957" s="205"/>
    </row>
    <row r="958" spans="2:12">
      <c r="B958" s="249" t="s">
        <v>1555</v>
      </c>
      <c r="C958" s="250" t="s">
        <v>1611</v>
      </c>
      <c r="D958" s="205" t="s">
        <v>152</v>
      </c>
      <c r="E958" s="251"/>
      <c r="F958" s="252"/>
      <c r="G958" s="251"/>
      <c r="H958" s="251"/>
      <c r="I958" s="251"/>
      <c r="J958" s="253"/>
      <c r="K958" s="254">
        <f t="shared" si="32"/>
        <v>0</v>
      </c>
      <c r="L958" s="205"/>
    </row>
    <row r="959" spans="2:12">
      <c r="B959" s="249" t="s">
        <v>1681</v>
      </c>
      <c r="C959" s="250" t="s">
        <v>1611</v>
      </c>
      <c r="D959" s="205" t="s">
        <v>152</v>
      </c>
      <c r="E959" s="251">
        <v>815</v>
      </c>
      <c r="F959" s="252">
        <v>0.39500000000000002</v>
      </c>
      <c r="G959" s="251">
        <v>1.1000000000000001</v>
      </c>
      <c r="H959" s="251">
        <v>0.3</v>
      </c>
      <c r="I959" s="251"/>
      <c r="J959" s="253"/>
      <c r="K959" s="254">
        <f t="shared" si="32"/>
        <v>106.23525000000002</v>
      </c>
      <c r="L959" s="205"/>
    </row>
    <row r="960" spans="2:12">
      <c r="B960" s="249" t="s">
        <v>1681</v>
      </c>
      <c r="C960" s="250" t="s">
        <v>1612</v>
      </c>
      <c r="D960" s="205" t="s">
        <v>152</v>
      </c>
      <c r="E960" s="251">
        <v>815</v>
      </c>
      <c r="F960" s="252">
        <v>0.39500000000000002</v>
      </c>
      <c r="G960" s="251">
        <v>1.1000000000000001</v>
      </c>
      <c r="H960" s="251">
        <v>0.3</v>
      </c>
      <c r="I960" s="251"/>
      <c r="J960" s="253"/>
      <c r="K960" s="254">
        <f t="shared" si="32"/>
        <v>106.23525000000002</v>
      </c>
      <c r="L960" s="205"/>
    </row>
    <row r="961" spans="2:12">
      <c r="B961" s="249" t="s">
        <v>1681</v>
      </c>
      <c r="C961" s="250" t="s">
        <v>1613</v>
      </c>
      <c r="D961" s="205" t="s">
        <v>152</v>
      </c>
      <c r="E961" s="251">
        <v>815</v>
      </c>
      <c r="F961" s="252">
        <v>0.39500000000000002</v>
      </c>
      <c r="G961" s="251">
        <v>1.1000000000000001</v>
      </c>
      <c r="H961" s="251">
        <v>0.2</v>
      </c>
      <c r="I961" s="251"/>
      <c r="J961" s="253"/>
      <c r="K961" s="254">
        <f t="shared" si="32"/>
        <v>70.82350000000001</v>
      </c>
      <c r="L961" s="205"/>
    </row>
    <row r="962" spans="2:12">
      <c r="B962" s="249"/>
      <c r="C962" s="250"/>
      <c r="D962" s="205"/>
      <c r="E962" s="251"/>
      <c r="F962" s="252"/>
      <c r="G962" s="251"/>
      <c r="H962" s="251"/>
      <c r="I962" s="251"/>
      <c r="J962" s="253"/>
      <c r="K962" s="254">
        <f t="shared" si="32"/>
        <v>0</v>
      </c>
      <c r="L962" s="205"/>
    </row>
    <row r="963" spans="2:12">
      <c r="B963" s="249"/>
      <c r="C963" s="250"/>
      <c r="D963" s="205"/>
      <c r="E963" s="251"/>
      <c r="F963" s="252"/>
      <c r="G963" s="251"/>
      <c r="H963" s="251"/>
      <c r="I963" s="251"/>
      <c r="J963" s="253"/>
      <c r="K963" s="254">
        <f t="shared" si="32"/>
        <v>0</v>
      </c>
      <c r="L963" s="205"/>
    </row>
    <row r="964" spans="2:12">
      <c r="B964" s="267"/>
      <c r="C964" s="205"/>
      <c r="D964" s="205"/>
      <c r="E964" s="251"/>
      <c r="F964" s="252"/>
      <c r="G964" s="251"/>
      <c r="H964" s="251"/>
      <c r="I964" s="251"/>
      <c r="J964" s="253"/>
      <c r="K964" s="254">
        <f t="shared" si="32"/>
        <v>0</v>
      </c>
      <c r="L964" s="205"/>
    </row>
    <row r="965" spans="2:12">
      <c r="B965" s="208"/>
      <c r="C965" s="204"/>
      <c r="D965" s="204"/>
      <c r="E965" s="204"/>
      <c r="F965" s="204"/>
      <c r="G965" s="204"/>
      <c r="H965" s="204"/>
      <c r="I965" s="556" t="s">
        <v>1221</v>
      </c>
      <c r="J965" s="556"/>
      <c r="K965" s="262">
        <f>SUM(K955:K964)</f>
        <v>863.30805000000021</v>
      </c>
      <c r="L965" s="207"/>
    </row>
    <row r="966" spans="2:12">
      <c r="B966" s="208"/>
      <c r="C966" s="204"/>
      <c r="D966" s="204"/>
      <c r="E966" s="204"/>
      <c r="F966" s="204"/>
      <c r="G966" s="204"/>
      <c r="H966" s="209"/>
      <c r="I966" s="557" t="s">
        <v>1222</v>
      </c>
      <c r="J966" s="557"/>
      <c r="K966" s="221">
        <f>VLOOKUP(B953,'BM 004'!$B$27:$R$590,4,0)</f>
        <v>1762.2</v>
      </c>
      <c r="L966" s="207"/>
    </row>
    <row r="967" spans="2:12">
      <c r="B967" s="208"/>
      <c r="C967" s="204"/>
      <c r="D967" s="204"/>
      <c r="E967" s="204"/>
      <c r="F967" s="204"/>
      <c r="G967" s="204"/>
      <c r="H967" s="558" t="s">
        <v>1223</v>
      </c>
      <c r="I967" s="558"/>
      <c r="J967" s="558"/>
      <c r="K967" s="222">
        <v>792.48455000000001</v>
      </c>
      <c r="L967" s="207"/>
    </row>
    <row r="968" spans="2:12">
      <c r="B968" s="208"/>
      <c r="C968" s="204"/>
      <c r="D968" s="204"/>
      <c r="E968" s="204"/>
      <c r="F968" s="204"/>
      <c r="G968" s="204"/>
      <c r="H968" s="558" t="s">
        <v>1596</v>
      </c>
      <c r="I968" s="558"/>
      <c r="J968" s="558"/>
      <c r="K968" s="222">
        <f>TRUNC(SUMIF(C955:C964,H968,K955:K964),2)</f>
        <v>70.819999999999993</v>
      </c>
      <c r="L968" s="207"/>
    </row>
    <row r="969" spans="2:12">
      <c r="B969" s="213"/>
      <c r="C969" s="214"/>
      <c r="D969" s="214"/>
      <c r="E969" s="214"/>
      <c r="F969" s="214"/>
      <c r="G969" s="214"/>
      <c r="H969" s="559" t="s">
        <v>1224</v>
      </c>
      <c r="I969" s="559"/>
      <c r="J969" s="559"/>
      <c r="K969" s="223">
        <f>IF(K965&gt;K966,K965-K966,0)</f>
        <v>0</v>
      </c>
      <c r="L969" s="209"/>
    </row>
    <row r="971" spans="2:12">
      <c r="B971" s="247" t="s">
        <v>224</v>
      </c>
      <c r="C971" s="565" t="str">
        <f>VLOOKUP(B971,'BM 004'!$B$27:$R$590,2,0)</f>
        <v xml:space="preserve">Armação de pilar ou viga de uma estrutura convencional de concreto armado em um edifício de múltiplos pavimentos utilizando aço ca-50 de 10,0 mm - montagem. </v>
      </c>
      <c r="D971" s="565"/>
      <c r="E971" s="565"/>
      <c r="F971" s="565"/>
      <c r="G971" s="565"/>
      <c r="H971" s="565"/>
      <c r="I971" s="565"/>
      <c r="J971" s="565"/>
      <c r="K971" s="565"/>
      <c r="L971" s="565"/>
    </row>
    <row r="972" spans="2:12">
      <c r="B972" s="248" t="s">
        <v>1209</v>
      </c>
      <c r="C972" s="248"/>
      <c r="D972" s="248" t="s">
        <v>39</v>
      </c>
      <c r="E972" s="248" t="s">
        <v>1210</v>
      </c>
      <c r="F972" s="248" t="s">
        <v>1382</v>
      </c>
      <c r="G972" s="248" t="s">
        <v>1383</v>
      </c>
      <c r="H972" s="248" t="s">
        <v>1384</v>
      </c>
      <c r="I972" s="248" t="s">
        <v>1214</v>
      </c>
      <c r="J972" s="248" t="s">
        <v>1385</v>
      </c>
      <c r="K972" s="248" t="s">
        <v>1216</v>
      </c>
      <c r="L972" s="248" t="s">
        <v>1217</v>
      </c>
    </row>
    <row r="973" spans="2:12">
      <c r="B973" s="249" t="s">
        <v>1387</v>
      </c>
      <c r="C973" s="250" t="s">
        <v>1333</v>
      </c>
      <c r="D973" s="205" t="s">
        <v>152</v>
      </c>
      <c r="E973" s="251">
        <v>82</v>
      </c>
      <c r="F973" s="252">
        <v>0.61699999999999999</v>
      </c>
      <c r="G973" s="251">
        <v>1.1000000000000001</v>
      </c>
      <c r="H973" s="251">
        <v>0.55000000000000004</v>
      </c>
      <c r="I973" s="251"/>
      <c r="J973" s="253"/>
      <c r="K973" s="254">
        <f t="shared" ref="K973:K981" si="33">IF(E973*F973*G973&lt;&gt;0,E973*F973*G973,IF(E973*F973&lt;&gt;0,E973*F973,IF(F973*G973&lt;&gt;0,F973*G973,IF(E973*G973&lt;&gt;0,E973*G973,IF(E973&lt;&gt;0,E973,IF(F973&lt;&gt;0,F973,IF(G973&lt;&gt;0,G973,0)))))))*(IF(H973&lt;&gt;0,H973,1))+I973-J973</f>
        <v>30.609370000000006</v>
      </c>
      <c r="L973" s="255"/>
    </row>
    <row r="974" spans="2:12">
      <c r="B974" s="249" t="s">
        <v>1480</v>
      </c>
      <c r="C974" s="250" t="s">
        <v>1441</v>
      </c>
      <c r="D974" s="205" t="s">
        <v>152</v>
      </c>
      <c r="E974" s="251">
        <v>494</v>
      </c>
      <c r="F974" s="252">
        <f>F973</f>
        <v>0.61699999999999999</v>
      </c>
      <c r="G974" s="251">
        <f>G973</f>
        <v>1.1000000000000001</v>
      </c>
      <c r="H974" s="251">
        <v>0.5</v>
      </c>
      <c r="I974" s="251"/>
      <c r="J974" s="253"/>
      <c r="K974" s="254">
        <f t="shared" si="33"/>
        <v>167.63890000000001</v>
      </c>
      <c r="L974" s="205"/>
    </row>
    <row r="975" spans="2:12">
      <c r="B975" s="249" t="s">
        <v>1555</v>
      </c>
      <c r="C975" s="250" t="s">
        <v>1611</v>
      </c>
      <c r="D975" s="205" t="s">
        <v>152</v>
      </c>
      <c r="E975" s="251"/>
      <c r="F975" s="252"/>
      <c r="G975" s="251"/>
      <c r="H975" s="251"/>
      <c r="I975" s="251"/>
      <c r="J975" s="253"/>
      <c r="K975" s="254">
        <f t="shared" si="33"/>
        <v>0</v>
      </c>
      <c r="L975" s="205"/>
    </row>
    <row r="976" spans="2:12">
      <c r="B976" s="249" t="s">
        <v>1681</v>
      </c>
      <c r="C976" s="250" t="s">
        <v>1611</v>
      </c>
      <c r="D976" s="205" t="s">
        <v>152</v>
      </c>
      <c r="E976" s="251">
        <v>222</v>
      </c>
      <c r="F976" s="252">
        <v>0.61699999999999999</v>
      </c>
      <c r="G976" s="251">
        <v>1.1000000000000001</v>
      </c>
      <c r="H976" s="251">
        <v>0.3</v>
      </c>
      <c r="I976" s="251"/>
      <c r="J976" s="253"/>
      <c r="K976" s="254">
        <f t="shared" si="33"/>
        <v>45.201419999999999</v>
      </c>
      <c r="L976" s="205"/>
    </row>
    <row r="977" spans="2:12">
      <c r="B977" s="249" t="s">
        <v>1681</v>
      </c>
      <c r="C977" s="250" t="s">
        <v>1612</v>
      </c>
      <c r="D977" s="205" t="s">
        <v>152</v>
      </c>
      <c r="E977" s="251">
        <v>222</v>
      </c>
      <c r="F977" s="252">
        <v>0.61699999999999999</v>
      </c>
      <c r="G977" s="251">
        <v>1.1000000000000001</v>
      </c>
      <c r="H977" s="251">
        <v>0.2</v>
      </c>
      <c r="I977" s="251"/>
      <c r="J977" s="253"/>
      <c r="K977" s="254">
        <f t="shared" si="33"/>
        <v>30.134280000000004</v>
      </c>
      <c r="L977" s="205"/>
    </row>
    <row r="978" spans="2:12">
      <c r="B978" s="249" t="s">
        <v>1681</v>
      </c>
      <c r="C978" s="250" t="s">
        <v>1613</v>
      </c>
      <c r="D978" s="205" t="s">
        <v>152</v>
      </c>
      <c r="E978" s="251">
        <v>222</v>
      </c>
      <c r="F978" s="252">
        <v>0.61699999999999999</v>
      </c>
      <c r="G978" s="251">
        <v>1.1000000000000001</v>
      </c>
      <c r="H978" s="251">
        <v>0.3</v>
      </c>
      <c r="I978" s="251"/>
      <c r="J978" s="253"/>
      <c r="K978" s="254">
        <f t="shared" si="33"/>
        <v>45.201419999999999</v>
      </c>
      <c r="L978" s="205"/>
    </row>
    <row r="979" spans="2:12">
      <c r="B979" s="249"/>
      <c r="C979" s="250"/>
      <c r="D979" s="205"/>
      <c r="E979" s="251"/>
      <c r="F979" s="252"/>
      <c r="G979" s="251"/>
      <c r="H979" s="251"/>
      <c r="I979" s="251"/>
      <c r="J979" s="253"/>
      <c r="K979" s="254">
        <f t="shared" si="33"/>
        <v>0</v>
      </c>
      <c r="L979" s="205"/>
    </row>
    <row r="980" spans="2:12">
      <c r="B980" s="249"/>
      <c r="C980" s="250"/>
      <c r="D980" s="205"/>
      <c r="E980" s="251"/>
      <c r="F980" s="252"/>
      <c r="G980" s="251"/>
      <c r="H980" s="251"/>
      <c r="I980" s="251"/>
      <c r="J980" s="253"/>
      <c r="K980" s="254">
        <f t="shared" si="33"/>
        <v>0</v>
      </c>
      <c r="L980" s="205"/>
    </row>
    <row r="981" spans="2:12">
      <c r="B981" s="267"/>
      <c r="C981" s="205"/>
      <c r="D981" s="205"/>
      <c r="E981" s="251"/>
      <c r="F981" s="252"/>
      <c r="G981" s="251"/>
      <c r="H981" s="251"/>
      <c r="I981" s="251"/>
      <c r="J981" s="253"/>
      <c r="K981" s="254">
        <f t="shared" si="33"/>
        <v>0</v>
      </c>
      <c r="L981" s="205"/>
    </row>
    <row r="982" spans="2:12">
      <c r="B982" s="208"/>
      <c r="C982" s="204"/>
      <c r="D982" s="204"/>
      <c r="E982" s="204"/>
      <c r="F982" s="204"/>
      <c r="G982" s="204"/>
      <c r="H982" s="204"/>
      <c r="I982" s="556" t="s">
        <v>1221</v>
      </c>
      <c r="J982" s="556"/>
      <c r="K982" s="262">
        <f>SUM(K973:K981)</f>
        <v>318.78539000000001</v>
      </c>
      <c r="L982" s="207"/>
    </row>
    <row r="983" spans="2:12">
      <c r="B983" s="208"/>
      <c r="C983" s="204"/>
      <c r="D983" s="204"/>
      <c r="E983" s="204"/>
      <c r="F983" s="204"/>
      <c r="G983" s="204"/>
      <c r="H983" s="209"/>
      <c r="I983" s="557" t="s">
        <v>1222</v>
      </c>
      <c r="J983" s="557"/>
      <c r="K983" s="221">
        <f>VLOOKUP(B971,'BM 004'!$B$27:$R$590,4,0)</f>
        <v>542.29999999999995</v>
      </c>
      <c r="L983" s="207"/>
    </row>
    <row r="984" spans="2:12">
      <c r="B984" s="208"/>
      <c r="C984" s="204"/>
      <c r="D984" s="204"/>
      <c r="E984" s="204"/>
      <c r="F984" s="204"/>
      <c r="G984" s="204"/>
      <c r="H984" s="558" t="s">
        <v>1223</v>
      </c>
      <c r="I984" s="558"/>
      <c r="J984" s="558"/>
      <c r="K984" s="222">
        <v>273.58397000000002</v>
      </c>
      <c r="L984" s="207"/>
    </row>
    <row r="985" spans="2:12">
      <c r="B985" s="208"/>
      <c r="C985" s="204"/>
      <c r="D985" s="204"/>
      <c r="E985" s="204"/>
      <c r="F985" s="204"/>
      <c r="G985" s="204"/>
      <c r="H985" s="558" t="s">
        <v>1596</v>
      </c>
      <c r="I985" s="558"/>
      <c r="J985" s="558"/>
      <c r="K985" s="222">
        <f>TRUNC(SUMIF(C973:C981,H985,K973:K981),2)</f>
        <v>45.2</v>
      </c>
      <c r="L985" s="207"/>
    </row>
    <row r="986" spans="2:12">
      <c r="B986" s="213"/>
      <c r="C986" s="214"/>
      <c r="D986" s="214"/>
      <c r="E986" s="214"/>
      <c r="F986" s="214"/>
      <c r="G986" s="214"/>
      <c r="H986" s="559" t="s">
        <v>1224</v>
      </c>
      <c r="I986" s="559"/>
      <c r="J986" s="559"/>
      <c r="K986" s="223">
        <f>IF(K982&gt;K983,K982-K983,0)</f>
        <v>0</v>
      </c>
      <c r="L986" s="209"/>
    </row>
    <row r="988" spans="2:12">
      <c r="B988" s="247" t="s">
        <v>225</v>
      </c>
      <c r="C988" s="565" t="str">
        <f>VLOOKUP(B988,'BM 004'!$B$27:$R$590,2,0)</f>
        <v xml:space="preserve">Armação de pilar ou viga de uma estrutura convencional de concreto armado em um edifício de múltiplos pavimentos utilizando aço ca-50 de 12,5 mm - montagem. </v>
      </c>
      <c r="D988" s="565"/>
      <c r="E988" s="565"/>
      <c r="F988" s="565"/>
      <c r="G988" s="565"/>
      <c r="H988" s="565"/>
      <c r="I988" s="565"/>
      <c r="J988" s="565"/>
      <c r="K988" s="565"/>
      <c r="L988" s="565"/>
    </row>
    <row r="989" spans="2:12">
      <c r="B989" s="248" t="s">
        <v>1209</v>
      </c>
      <c r="C989" s="248"/>
      <c r="D989" s="248" t="s">
        <v>39</v>
      </c>
      <c r="E989" s="248" t="s">
        <v>1210</v>
      </c>
      <c r="F989" s="248" t="s">
        <v>1382</v>
      </c>
      <c r="G989" s="248" t="s">
        <v>1383</v>
      </c>
      <c r="H989" s="248" t="s">
        <v>1384</v>
      </c>
      <c r="I989" s="248" t="s">
        <v>1214</v>
      </c>
      <c r="J989" s="248" t="s">
        <v>1385</v>
      </c>
      <c r="K989" s="248" t="s">
        <v>1216</v>
      </c>
      <c r="L989" s="248" t="s">
        <v>1217</v>
      </c>
    </row>
    <row r="990" spans="2:12">
      <c r="B990" s="249" t="s">
        <v>1387</v>
      </c>
      <c r="C990" s="250" t="s">
        <v>1333</v>
      </c>
      <c r="D990" s="205" t="s">
        <v>152</v>
      </c>
      <c r="E990" s="251">
        <v>169</v>
      </c>
      <c r="F990" s="252">
        <v>0.96299999999999997</v>
      </c>
      <c r="G990" s="251">
        <v>1.1000000000000001</v>
      </c>
      <c r="H990" s="251">
        <v>0.55000000000000004</v>
      </c>
      <c r="I990" s="251"/>
      <c r="J990" s="253"/>
      <c r="K990" s="254">
        <f t="shared" ref="K990:K996" si="34">IF(E990*F990*G990&lt;&gt;0,E990*F990*G990,IF(E990*F990&lt;&gt;0,E990*F990,IF(F990*G990&lt;&gt;0,F990*G990,IF(E990*G990&lt;&gt;0,E990*G990,IF(E990&lt;&gt;0,E990,IF(F990&lt;&gt;0,F990,IF(G990&lt;&gt;0,G990,0)))))))*(IF(H990&lt;&gt;0,H990,1))+I990-J990</f>
        <v>98.461935000000011</v>
      </c>
      <c r="L990" s="255"/>
    </row>
    <row r="991" spans="2:12">
      <c r="B991" s="249" t="s">
        <v>1480</v>
      </c>
      <c r="C991" s="250" t="s">
        <v>1441</v>
      </c>
      <c r="D991" s="205" t="s">
        <v>152</v>
      </c>
      <c r="E991" s="251">
        <v>653</v>
      </c>
      <c r="F991" s="252">
        <f>F990</f>
        <v>0.96299999999999997</v>
      </c>
      <c r="G991" s="251">
        <f>G990</f>
        <v>1.1000000000000001</v>
      </c>
      <c r="H991" s="251">
        <v>0.5</v>
      </c>
      <c r="I991" s="251"/>
      <c r="J991" s="253"/>
      <c r="K991" s="254">
        <f t="shared" si="34"/>
        <v>345.86144999999999</v>
      </c>
      <c r="L991" s="205"/>
    </row>
    <row r="992" spans="2:12">
      <c r="B992" s="249" t="s">
        <v>1555</v>
      </c>
      <c r="C992" s="250" t="s">
        <v>1521</v>
      </c>
      <c r="D992" s="205" t="s">
        <v>152</v>
      </c>
      <c r="E992" s="251">
        <v>1331</v>
      </c>
      <c r="F992" s="252">
        <f>F991</f>
        <v>0.96299999999999997</v>
      </c>
      <c r="G992" s="251">
        <f>G991</f>
        <v>1.1000000000000001</v>
      </c>
      <c r="H992" s="251">
        <v>0.3</v>
      </c>
      <c r="I992" s="251"/>
      <c r="J992" s="253"/>
      <c r="K992" s="254">
        <f t="shared" si="34"/>
        <v>422.97849000000002</v>
      </c>
      <c r="L992" s="205"/>
    </row>
    <row r="993" spans="2:12">
      <c r="B993" s="249" t="s">
        <v>1681</v>
      </c>
      <c r="C993" s="250" t="s">
        <v>1611</v>
      </c>
      <c r="D993" s="205" t="s">
        <v>152</v>
      </c>
      <c r="E993" s="251">
        <v>1181</v>
      </c>
      <c r="F993" s="252">
        <v>0.96299999999999997</v>
      </c>
      <c r="G993" s="251">
        <v>1.1000000000000001</v>
      </c>
      <c r="H993" s="251">
        <v>0.3</v>
      </c>
      <c r="I993" s="251"/>
      <c r="J993" s="253"/>
      <c r="K993" s="254">
        <f t="shared" si="34"/>
        <v>375.30999000000003</v>
      </c>
      <c r="L993" s="205"/>
    </row>
    <row r="994" spans="2:12">
      <c r="B994" s="249" t="s">
        <v>1555</v>
      </c>
      <c r="C994" s="250" t="s">
        <v>1612</v>
      </c>
      <c r="D994" s="205" t="s">
        <v>152</v>
      </c>
      <c r="E994" s="251">
        <v>1331</v>
      </c>
      <c r="F994" s="252">
        <f>F993</f>
        <v>0.96299999999999997</v>
      </c>
      <c r="G994" s="251">
        <f>G993</f>
        <v>1.1000000000000001</v>
      </c>
      <c r="H994" s="251">
        <v>0.2</v>
      </c>
      <c r="I994" s="251"/>
      <c r="J994" s="253"/>
      <c r="K994" s="254">
        <f t="shared" si="34"/>
        <v>281.98566</v>
      </c>
      <c r="L994" s="205"/>
    </row>
    <row r="995" spans="2:12">
      <c r="B995" s="249" t="s">
        <v>1681</v>
      </c>
      <c r="C995" s="250" t="s">
        <v>1613</v>
      </c>
      <c r="D995" s="205" t="s">
        <v>152</v>
      </c>
      <c r="E995" s="251">
        <v>1181</v>
      </c>
      <c r="F995" s="252">
        <v>0.96299999999999997</v>
      </c>
      <c r="G995" s="251">
        <v>1.1000000000000001</v>
      </c>
      <c r="H995" s="251">
        <v>0.2</v>
      </c>
      <c r="I995" s="251"/>
      <c r="J995" s="253"/>
      <c r="K995" s="254">
        <f t="shared" si="34"/>
        <v>250.20666000000003</v>
      </c>
      <c r="L995" s="205"/>
    </row>
    <row r="996" spans="2:12">
      <c r="B996" s="267"/>
      <c r="C996" s="205"/>
      <c r="D996" s="205"/>
      <c r="E996" s="251"/>
      <c r="F996" s="252"/>
      <c r="G996" s="251"/>
      <c r="H996" s="251"/>
      <c r="I996" s="251"/>
      <c r="J996" s="253"/>
      <c r="K996" s="254">
        <f t="shared" si="34"/>
        <v>0</v>
      </c>
      <c r="L996" s="205"/>
    </row>
    <row r="997" spans="2:12">
      <c r="B997" s="208"/>
      <c r="C997" s="204"/>
      <c r="D997" s="204"/>
      <c r="E997" s="204"/>
      <c r="F997" s="204"/>
      <c r="G997" s="204"/>
      <c r="H997" s="204"/>
      <c r="I997" s="556" t="s">
        <v>1221</v>
      </c>
      <c r="J997" s="556"/>
      <c r="K997" s="262">
        <f>SUM(K990:K996)</f>
        <v>1774.8041850000002</v>
      </c>
      <c r="L997" s="207"/>
    </row>
    <row r="998" spans="2:12">
      <c r="B998" s="208"/>
      <c r="C998" s="204"/>
      <c r="D998" s="204"/>
      <c r="E998" s="204"/>
      <c r="F998" s="204"/>
      <c r="G998" s="204"/>
      <c r="H998" s="209"/>
      <c r="I998" s="557" t="s">
        <v>1222</v>
      </c>
      <c r="J998" s="557"/>
      <c r="K998" s="221">
        <f>VLOOKUP(B988,'BM 004'!$B$27:$R$590,4,0)</f>
        <v>3532.1</v>
      </c>
      <c r="L998" s="207"/>
    </row>
    <row r="999" spans="2:12">
      <c r="B999" s="208"/>
      <c r="C999" s="204"/>
      <c r="D999" s="204"/>
      <c r="E999" s="204"/>
      <c r="F999" s="204"/>
      <c r="G999" s="204"/>
      <c r="H999" s="558" t="s">
        <v>1223</v>
      </c>
      <c r="I999" s="558"/>
      <c r="J999" s="558"/>
      <c r="K999" s="222">
        <v>1524.5975249999999</v>
      </c>
      <c r="L999" s="207"/>
    </row>
    <row r="1000" spans="2:12">
      <c r="B1000" s="208"/>
      <c r="C1000" s="204"/>
      <c r="D1000" s="204"/>
      <c r="E1000" s="204"/>
      <c r="F1000" s="204"/>
      <c r="G1000" s="204"/>
      <c r="H1000" s="558" t="s">
        <v>1596</v>
      </c>
      <c r="I1000" s="558"/>
      <c r="J1000" s="558"/>
      <c r="K1000" s="222">
        <f>TRUNC(SUMIF(C990:C996,H1000,K990:K996),2)</f>
        <v>250.2</v>
      </c>
      <c r="L1000" s="207"/>
    </row>
    <row r="1001" spans="2:12">
      <c r="B1001" s="213"/>
      <c r="C1001" s="214"/>
      <c r="D1001" s="214"/>
      <c r="E1001" s="214"/>
      <c r="F1001" s="214"/>
      <c r="G1001" s="214"/>
      <c r="H1001" s="559" t="s">
        <v>1224</v>
      </c>
      <c r="I1001" s="559"/>
      <c r="J1001" s="559"/>
      <c r="K1001" s="223">
        <f>IF(K997&gt;K998,K997-K998,0)</f>
        <v>0</v>
      </c>
      <c r="L1001" s="209"/>
    </row>
    <row r="1003" spans="2:12">
      <c r="B1003" s="247" t="s">
        <v>226</v>
      </c>
      <c r="C1003" s="565" t="str">
        <f>VLOOKUP(B1003,'BM 004'!$B$27:$R$590,2,0)</f>
        <v xml:space="preserve">Armação de pilar ou viga de uma estrutura convencional de concreto armado em um edifício de múltiplos pavimentos utilizando aço ca-50 de 16,0 mm - montagem. </v>
      </c>
      <c r="D1003" s="565"/>
      <c r="E1003" s="565"/>
      <c r="F1003" s="565"/>
      <c r="G1003" s="565"/>
      <c r="H1003" s="565"/>
      <c r="I1003" s="565"/>
      <c r="J1003" s="565"/>
      <c r="K1003" s="565"/>
      <c r="L1003" s="565"/>
    </row>
    <row r="1004" spans="2:12">
      <c r="B1004" s="248" t="s">
        <v>1209</v>
      </c>
      <c r="C1004" s="248"/>
      <c r="D1004" s="248" t="s">
        <v>39</v>
      </c>
      <c r="E1004" s="248" t="s">
        <v>1210</v>
      </c>
      <c r="F1004" s="248" t="s">
        <v>1382</v>
      </c>
      <c r="G1004" s="248" t="s">
        <v>1383</v>
      </c>
      <c r="H1004" s="248" t="s">
        <v>1384</v>
      </c>
      <c r="I1004" s="248" t="s">
        <v>1214</v>
      </c>
      <c r="J1004" s="248" t="s">
        <v>1385</v>
      </c>
      <c r="K1004" s="248" t="s">
        <v>1216</v>
      </c>
      <c r="L1004" s="248" t="s">
        <v>1217</v>
      </c>
    </row>
    <row r="1005" spans="2:12">
      <c r="B1005" s="249" t="s">
        <v>1387</v>
      </c>
      <c r="C1005" s="250" t="s">
        <v>1333</v>
      </c>
      <c r="D1005" s="205" t="s">
        <v>152</v>
      </c>
      <c r="E1005" s="251">
        <v>3239</v>
      </c>
      <c r="F1005" s="252">
        <v>1.5780000000000001</v>
      </c>
      <c r="G1005" s="251">
        <v>1.1000000000000001</v>
      </c>
      <c r="H1005" s="251">
        <v>0.55000000000000004</v>
      </c>
      <c r="I1005" s="251"/>
      <c r="J1005" s="253"/>
      <c r="K1005" s="254">
        <f t="shared" ref="K1005:K1013" si="35">IF(E1005*F1005*G1005&lt;&gt;0,E1005*F1005*G1005,IF(E1005*F1005&lt;&gt;0,E1005*F1005,IF(F1005*G1005&lt;&gt;0,F1005*G1005,IF(E1005*G1005&lt;&gt;0,E1005*G1005,IF(E1005&lt;&gt;0,E1005,IF(F1005&lt;&gt;0,F1005,IF(G1005&lt;&gt;0,G1005,0)))))))*(IF(H1005&lt;&gt;0,H1005,1))+I1005-J1005</f>
        <v>3092.24091</v>
      </c>
      <c r="L1005" s="255"/>
    </row>
    <row r="1006" spans="2:12">
      <c r="B1006" s="249" t="s">
        <v>1480</v>
      </c>
      <c r="C1006" s="250" t="s">
        <v>1441</v>
      </c>
      <c r="D1006" s="205" t="s">
        <v>152</v>
      </c>
      <c r="E1006" s="251">
        <v>153</v>
      </c>
      <c r="F1006" s="252">
        <f>F1005</f>
        <v>1.5780000000000001</v>
      </c>
      <c r="G1006" s="251">
        <f>G1005</f>
        <v>1.1000000000000001</v>
      </c>
      <c r="H1006" s="251">
        <v>0.5</v>
      </c>
      <c r="I1006" s="251"/>
      <c r="J1006" s="253"/>
      <c r="K1006" s="254">
        <f t="shared" si="35"/>
        <v>132.78870000000001</v>
      </c>
      <c r="L1006" s="205"/>
    </row>
    <row r="1007" spans="2:12">
      <c r="B1007" s="249" t="s">
        <v>1555</v>
      </c>
      <c r="C1007" s="250" t="s">
        <v>1611</v>
      </c>
      <c r="D1007" s="205" t="s">
        <v>152</v>
      </c>
      <c r="E1007" s="251"/>
      <c r="F1007" s="252"/>
      <c r="G1007" s="251"/>
      <c r="H1007" s="251"/>
      <c r="I1007" s="251"/>
      <c r="J1007" s="253"/>
      <c r="K1007" s="254">
        <f t="shared" si="35"/>
        <v>0</v>
      </c>
      <c r="L1007" s="205"/>
    </row>
    <row r="1008" spans="2:12">
      <c r="B1008" s="249" t="s">
        <v>1681</v>
      </c>
      <c r="C1008" s="250" t="s">
        <v>1611</v>
      </c>
      <c r="D1008" s="205" t="s">
        <v>152</v>
      </c>
      <c r="E1008" s="251">
        <v>822</v>
      </c>
      <c r="F1008" s="252">
        <v>1.5780000000000001</v>
      </c>
      <c r="G1008" s="251">
        <v>1.1000000000000001</v>
      </c>
      <c r="H1008" s="251">
        <v>0.3</v>
      </c>
      <c r="I1008" s="251"/>
      <c r="J1008" s="253"/>
      <c r="K1008" s="254">
        <f t="shared" si="35"/>
        <v>428.04828000000003</v>
      </c>
      <c r="L1008" s="205"/>
    </row>
    <row r="1009" spans="2:12">
      <c r="B1009" s="249" t="s">
        <v>1681</v>
      </c>
      <c r="C1009" s="250" t="s">
        <v>1612</v>
      </c>
      <c r="D1009" s="205" t="s">
        <v>152</v>
      </c>
      <c r="E1009" s="251">
        <v>822</v>
      </c>
      <c r="F1009" s="252">
        <v>1.5780000000000001</v>
      </c>
      <c r="G1009" s="251">
        <v>1.1000000000000001</v>
      </c>
      <c r="H1009" s="251">
        <v>0.3</v>
      </c>
      <c r="I1009" s="251"/>
      <c r="J1009" s="253"/>
      <c r="K1009" s="254">
        <f t="shared" si="35"/>
        <v>428.04828000000003</v>
      </c>
      <c r="L1009" s="205"/>
    </row>
    <row r="1010" spans="2:12">
      <c r="B1010" s="249" t="s">
        <v>1681</v>
      </c>
      <c r="C1010" s="250" t="s">
        <v>1613</v>
      </c>
      <c r="D1010" s="205" t="s">
        <v>152</v>
      </c>
      <c r="E1010" s="251">
        <v>822</v>
      </c>
      <c r="F1010" s="252">
        <v>1.5780000000000001</v>
      </c>
      <c r="G1010" s="251">
        <v>1.1000000000000001</v>
      </c>
      <c r="H1010" s="251">
        <v>0.2</v>
      </c>
      <c r="I1010" s="251"/>
      <c r="J1010" s="253"/>
      <c r="K1010" s="254">
        <f t="shared" si="35"/>
        <v>285.36552</v>
      </c>
      <c r="L1010" s="205"/>
    </row>
    <row r="1011" spans="2:12">
      <c r="B1011" s="249"/>
      <c r="C1011" s="250"/>
      <c r="D1011" s="205"/>
      <c r="E1011" s="251"/>
      <c r="F1011" s="252"/>
      <c r="G1011" s="251"/>
      <c r="H1011" s="251"/>
      <c r="I1011" s="251"/>
      <c r="J1011" s="253"/>
      <c r="K1011" s="254">
        <f t="shared" si="35"/>
        <v>0</v>
      </c>
      <c r="L1011" s="205"/>
    </row>
    <row r="1012" spans="2:12">
      <c r="B1012" s="267"/>
      <c r="C1012" s="205"/>
      <c r="D1012" s="205"/>
      <c r="E1012" s="251"/>
      <c r="F1012" s="252"/>
      <c r="G1012" s="251"/>
      <c r="H1012" s="251"/>
      <c r="I1012" s="251"/>
      <c r="J1012" s="253"/>
      <c r="K1012" s="254">
        <f t="shared" si="35"/>
        <v>0</v>
      </c>
      <c r="L1012" s="205"/>
    </row>
    <row r="1013" spans="2:12">
      <c r="B1013" s="267"/>
      <c r="C1013" s="205"/>
      <c r="D1013" s="205"/>
      <c r="E1013" s="251"/>
      <c r="F1013" s="252"/>
      <c r="G1013" s="251"/>
      <c r="H1013" s="251"/>
      <c r="I1013" s="251"/>
      <c r="J1013" s="253"/>
      <c r="K1013" s="254">
        <f t="shared" si="35"/>
        <v>0</v>
      </c>
      <c r="L1013" s="205"/>
    </row>
    <row r="1014" spans="2:12">
      <c r="B1014" s="208"/>
      <c r="C1014" s="204"/>
      <c r="D1014" s="204"/>
      <c r="E1014" s="204"/>
      <c r="F1014" s="204"/>
      <c r="G1014" s="204"/>
      <c r="H1014" s="204"/>
      <c r="I1014" s="556" t="s">
        <v>1221</v>
      </c>
      <c r="J1014" s="556"/>
      <c r="K1014" s="262">
        <f>SUM(K1005:K1013)</f>
        <v>4366.4916899999998</v>
      </c>
      <c r="L1014" s="207"/>
    </row>
    <row r="1015" spans="2:12">
      <c r="B1015" s="208"/>
      <c r="C1015" s="204"/>
      <c r="D1015" s="204"/>
      <c r="E1015" s="204"/>
      <c r="F1015" s="204"/>
      <c r="G1015" s="204"/>
      <c r="H1015" s="209"/>
      <c r="I1015" s="557" t="s">
        <v>1222</v>
      </c>
      <c r="J1015" s="557"/>
      <c r="K1015" s="221">
        <f>VLOOKUP(B1003,'BM 004'!$B$27:$R$590,4,0)</f>
        <v>7313.9</v>
      </c>
      <c r="L1015" s="207"/>
    </row>
    <row r="1016" spans="2:12">
      <c r="B1016" s="208"/>
      <c r="C1016" s="204"/>
      <c r="D1016" s="204"/>
      <c r="E1016" s="204"/>
      <c r="F1016" s="204"/>
      <c r="G1016" s="204"/>
      <c r="H1016" s="558" t="s">
        <v>1223</v>
      </c>
      <c r="I1016" s="558"/>
      <c r="J1016" s="558"/>
      <c r="K1016" s="222">
        <v>4081.12617</v>
      </c>
      <c r="L1016" s="207"/>
    </row>
    <row r="1017" spans="2:12">
      <c r="B1017" s="208"/>
      <c r="C1017" s="204"/>
      <c r="D1017" s="204"/>
      <c r="E1017" s="204"/>
      <c r="F1017" s="204"/>
      <c r="G1017" s="204"/>
      <c r="H1017" s="558" t="s">
        <v>1596</v>
      </c>
      <c r="I1017" s="558"/>
      <c r="J1017" s="558"/>
      <c r="K1017" s="222">
        <f>TRUNC(SUMIF(C1005:C1013,H1017,K1005:K1013),2)</f>
        <v>285.36</v>
      </c>
      <c r="L1017" s="207"/>
    </row>
    <row r="1018" spans="2:12">
      <c r="B1018" s="213"/>
      <c r="C1018" s="214"/>
      <c r="D1018" s="214"/>
      <c r="E1018" s="214"/>
      <c r="F1018" s="214"/>
      <c r="G1018" s="214"/>
      <c r="H1018" s="559" t="s">
        <v>1224</v>
      </c>
      <c r="I1018" s="559"/>
      <c r="J1018" s="559"/>
      <c r="K1018" s="223">
        <f>IF(K1014&gt;K1015,K1014-K1015,0)</f>
        <v>0</v>
      </c>
      <c r="L1018" s="209"/>
    </row>
    <row r="1020" spans="2:12">
      <c r="B1020" s="247" t="s">
        <v>227</v>
      </c>
      <c r="C1020" s="565" t="str">
        <f>VLOOKUP(B1020,'BM 004'!$B$27:$R$590,2,0)</f>
        <v xml:space="preserve">Armação de pilar ou viga de uma estrutura convencional de concreto armado em um edifício de múltiplos pavimentos utilizando aço ca-50 de 20,0 mm - montagem. </v>
      </c>
      <c r="D1020" s="565"/>
      <c r="E1020" s="565"/>
      <c r="F1020" s="565"/>
      <c r="G1020" s="565"/>
      <c r="H1020" s="565"/>
      <c r="I1020" s="565"/>
      <c r="J1020" s="565"/>
      <c r="K1020" s="565"/>
      <c r="L1020" s="565"/>
    </row>
    <row r="1021" spans="2:12">
      <c r="B1021" s="248" t="s">
        <v>1209</v>
      </c>
      <c r="C1021" s="248"/>
      <c r="D1021" s="248" t="s">
        <v>39</v>
      </c>
      <c r="E1021" s="248" t="s">
        <v>1210</v>
      </c>
      <c r="F1021" s="248" t="s">
        <v>1382</v>
      </c>
      <c r="G1021" s="248" t="s">
        <v>1383</v>
      </c>
      <c r="H1021" s="248" t="s">
        <v>1384</v>
      </c>
      <c r="I1021" s="248" t="s">
        <v>1214</v>
      </c>
      <c r="J1021" s="248" t="s">
        <v>1385</v>
      </c>
      <c r="K1021" s="248" t="s">
        <v>1216</v>
      </c>
      <c r="L1021" s="248" t="s">
        <v>1217</v>
      </c>
    </row>
    <row r="1022" spans="2:12">
      <c r="B1022" s="249" t="s">
        <v>1387</v>
      </c>
      <c r="C1022" s="250" t="s">
        <v>1333</v>
      </c>
      <c r="D1022" s="205" t="s">
        <v>152</v>
      </c>
      <c r="E1022" s="251">
        <v>991</v>
      </c>
      <c r="F1022" s="252">
        <v>2.4660000000000002</v>
      </c>
      <c r="G1022" s="251">
        <v>1.1000000000000001</v>
      </c>
      <c r="H1022" s="251">
        <v>0.55000000000000004</v>
      </c>
      <c r="I1022" s="251"/>
      <c r="J1022" s="253"/>
      <c r="K1022" s="254">
        <f t="shared" ref="K1022:K1028" si="36">IF(E1022*F1022*G1022&lt;&gt;0,E1022*F1022*G1022,IF(E1022*F1022&lt;&gt;0,E1022*F1022,IF(F1022*G1022&lt;&gt;0,F1022*G1022,IF(E1022*G1022&lt;&gt;0,E1022*G1022,IF(E1022&lt;&gt;0,E1022,IF(F1022&lt;&gt;0,F1022,IF(G1022&lt;&gt;0,G1022,0)))))))*(IF(H1022&lt;&gt;0,H1022,1))+I1022-J1022</f>
        <v>1478.5026300000004</v>
      </c>
      <c r="L1022" s="255"/>
    </row>
    <row r="1023" spans="2:12">
      <c r="B1023" s="249" t="s">
        <v>1480</v>
      </c>
      <c r="C1023" s="250" t="s">
        <v>1441</v>
      </c>
      <c r="D1023" s="205" t="s">
        <v>152</v>
      </c>
      <c r="E1023" s="251">
        <v>425</v>
      </c>
      <c r="F1023" s="252">
        <f>F1022</f>
        <v>2.4660000000000002</v>
      </c>
      <c r="G1023" s="251">
        <f>G1022</f>
        <v>1.1000000000000001</v>
      </c>
      <c r="H1023" s="251">
        <v>0.5</v>
      </c>
      <c r="I1023" s="251"/>
      <c r="J1023" s="253"/>
      <c r="K1023" s="254">
        <f t="shared" si="36"/>
        <v>576.42750000000012</v>
      </c>
      <c r="L1023" s="205"/>
    </row>
    <row r="1024" spans="2:12">
      <c r="B1024" s="249" t="s">
        <v>1555</v>
      </c>
      <c r="C1024" s="250" t="s">
        <v>1611</v>
      </c>
      <c r="D1024" s="205" t="s">
        <v>152</v>
      </c>
      <c r="E1024" s="251"/>
      <c r="F1024" s="252"/>
      <c r="G1024" s="251"/>
      <c r="H1024" s="251"/>
      <c r="I1024" s="251"/>
      <c r="J1024" s="253"/>
      <c r="K1024" s="254">
        <f t="shared" si="36"/>
        <v>0</v>
      </c>
      <c r="L1024" s="205"/>
    </row>
    <row r="1025" spans="2:12">
      <c r="B1025" s="249" t="s">
        <v>1681</v>
      </c>
      <c r="C1025" s="250" t="s">
        <v>1611</v>
      </c>
      <c r="D1025" s="205" t="s">
        <v>152</v>
      </c>
      <c r="E1025" s="251">
        <v>247</v>
      </c>
      <c r="F1025" s="252">
        <v>2.4660000000000002</v>
      </c>
      <c r="G1025" s="251">
        <v>1.1000000000000001</v>
      </c>
      <c r="H1025" s="251">
        <v>0.3</v>
      </c>
      <c r="I1025" s="251"/>
      <c r="J1025" s="253"/>
      <c r="K1025" s="254">
        <f t="shared" si="36"/>
        <v>201.00366000000002</v>
      </c>
      <c r="L1025" s="205"/>
    </row>
    <row r="1026" spans="2:12">
      <c r="B1026" s="249" t="s">
        <v>1681</v>
      </c>
      <c r="C1026" s="250" t="s">
        <v>1612</v>
      </c>
      <c r="D1026" s="205" t="s">
        <v>152</v>
      </c>
      <c r="E1026" s="251">
        <v>247</v>
      </c>
      <c r="F1026" s="252">
        <v>2.4660000000000002</v>
      </c>
      <c r="G1026" s="251">
        <v>1.1000000000000001</v>
      </c>
      <c r="H1026" s="251">
        <v>0.25</v>
      </c>
      <c r="I1026" s="251"/>
      <c r="J1026" s="253"/>
      <c r="K1026" s="254">
        <f t="shared" si="36"/>
        <v>167.50305000000003</v>
      </c>
      <c r="L1026" s="205"/>
    </row>
    <row r="1027" spans="2:12">
      <c r="B1027" s="249" t="s">
        <v>1681</v>
      </c>
      <c r="C1027" s="250" t="s">
        <v>1613</v>
      </c>
      <c r="D1027" s="205" t="s">
        <v>152</v>
      </c>
      <c r="E1027" s="251">
        <v>247</v>
      </c>
      <c r="F1027" s="252">
        <v>2.4660000000000002</v>
      </c>
      <c r="G1027" s="251">
        <v>1.1000000000000001</v>
      </c>
      <c r="H1027" s="251">
        <v>0.2</v>
      </c>
      <c r="I1027" s="251"/>
      <c r="J1027" s="253"/>
      <c r="K1027" s="254">
        <f t="shared" si="36"/>
        <v>134.00244000000004</v>
      </c>
      <c r="L1027" s="205"/>
    </row>
    <row r="1028" spans="2:12">
      <c r="B1028" s="267"/>
      <c r="C1028" s="205"/>
      <c r="D1028" s="205"/>
      <c r="E1028" s="251"/>
      <c r="F1028" s="252"/>
      <c r="G1028" s="251"/>
      <c r="H1028" s="251"/>
      <c r="I1028" s="251"/>
      <c r="J1028" s="253"/>
      <c r="K1028" s="254">
        <f t="shared" si="36"/>
        <v>0</v>
      </c>
      <c r="L1028" s="205"/>
    </row>
    <row r="1029" spans="2:12">
      <c r="B1029" s="208"/>
      <c r="C1029" s="204"/>
      <c r="D1029" s="204"/>
      <c r="E1029" s="204"/>
      <c r="F1029" s="204"/>
      <c r="G1029" s="204"/>
      <c r="H1029" s="204"/>
      <c r="I1029" s="556" t="s">
        <v>1221</v>
      </c>
      <c r="J1029" s="556"/>
      <c r="K1029" s="262">
        <f>SUM(K1022:K1028)</f>
        <v>2557.4392800000005</v>
      </c>
      <c r="L1029" s="207"/>
    </row>
    <row r="1030" spans="2:12">
      <c r="B1030" s="208"/>
      <c r="C1030" s="204"/>
      <c r="D1030" s="204"/>
      <c r="E1030" s="204"/>
      <c r="F1030" s="204"/>
      <c r="G1030" s="204"/>
      <c r="H1030" s="209"/>
      <c r="I1030" s="557" t="s">
        <v>1222</v>
      </c>
      <c r="J1030" s="557"/>
      <c r="K1030" s="221">
        <f>VLOOKUP(B1020,'BM 004'!$B$27:$R$590,4,0)</f>
        <v>4513.3</v>
      </c>
      <c r="L1030" s="207"/>
    </row>
    <row r="1031" spans="2:12">
      <c r="B1031" s="208"/>
      <c r="C1031" s="204"/>
      <c r="D1031" s="204"/>
      <c r="E1031" s="204"/>
      <c r="F1031" s="204"/>
      <c r="G1031" s="204"/>
      <c r="H1031" s="558" t="s">
        <v>1223</v>
      </c>
      <c r="I1031" s="558"/>
      <c r="J1031" s="558"/>
      <c r="K1031" s="222">
        <v>2423.4368399999998</v>
      </c>
      <c r="L1031" s="207"/>
    </row>
    <row r="1032" spans="2:12">
      <c r="B1032" s="208"/>
      <c r="C1032" s="204"/>
      <c r="D1032" s="204"/>
      <c r="E1032" s="204"/>
      <c r="F1032" s="204"/>
      <c r="G1032" s="204"/>
      <c r="H1032" s="558" t="s">
        <v>1596</v>
      </c>
      <c r="I1032" s="558"/>
      <c r="J1032" s="558"/>
      <c r="K1032" s="222">
        <f>TRUNC(SUMIF(C1022:C1028,H1032,K1022:K1028),2)</f>
        <v>134</v>
      </c>
      <c r="L1032" s="207"/>
    </row>
    <row r="1033" spans="2:12">
      <c r="B1033" s="213"/>
      <c r="C1033" s="214"/>
      <c r="D1033" s="214"/>
      <c r="E1033" s="214"/>
      <c r="F1033" s="214"/>
      <c r="G1033" s="214"/>
      <c r="H1033" s="559" t="s">
        <v>1224</v>
      </c>
      <c r="I1033" s="559"/>
      <c r="J1033" s="559"/>
      <c r="K1033" s="223">
        <f>IF(K1029&gt;K1030,K1029-K1030,0)</f>
        <v>0</v>
      </c>
      <c r="L1033" s="209"/>
    </row>
    <row r="1035" spans="2:12">
      <c r="B1035" s="247" t="s">
        <v>228</v>
      </c>
      <c r="C1035" s="565" t="str">
        <f>VLOOKUP(B1035,'BM 004'!$B$27:$R$590,2,0)</f>
        <v xml:space="preserve">Armação de pilar ou viga de uma estrutura convencional de concreto armado em um edifício de múltiplos pavimentos utilizando aço ca-50 de 25,0 mm - montagem. </v>
      </c>
      <c r="D1035" s="565"/>
      <c r="E1035" s="565"/>
      <c r="F1035" s="565"/>
      <c r="G1035" s="565"/>
      <c r="H1035" s="565"/>
      <c r="I1035" s="565"/>
      <c r="J1035" s="565"/>
      <c r="K1035" s="565"/>
      <c r="L1035" s="565"/>
    </row>
    <row r="1036" spans="2:12">
      <c r="B1036" s="248" t="s">
        <v>1209</v>
      </c>
      <c r="C1036" s="248"/>
      <c r="D1036" s="248" t="s">
        <v>39</v>
      </c>
      <c r="E1036" s="248" t="s">
        <v>1210</v>
      </c>
      <c r="F1036" s="248" t="s">
        <v>1382</v>
      </c>
      <c r="G1036" s="248" t="s">
        <v>1383</v>
      </c>
      <c r="H1036" s="248" t="s">
        <v>1384</v>
      </c>
      <c r="I1036" s="248" t="s">
        <v>1214</v>
      </c>
      <c r="J1036" s="248" t="s">
        <v>1385</v>
      </c>
      <c r="K1036" s="248" t="s">
        <v>1216</v>
      </c>
      <c r="L1036" s="248" t="s">
        <v>1217</v>
      </c>
    </row>
    <row r="1037" spans="2:12">
      <c r="B1037" s="249" t="s">
        <v>1387</v>
      </c>
      <c r="C1037" s="250" t="s">
        <v>1333</v>
      </c>
      <c r="D1037" s="205" t="s">
        <v>152</v>
      </c>
      <c r="E1037" s="251">
        <v>928</v>
      </c>
      <c r="F1037" s="252">
        <v>3.8530000000000002</v>
      </c>
      <c r="G1037" s="251">
        <v>1.1000000000000001</v>
      </c>
      <c r="H1037" s="251">
        <v>0.55000000000000004</v>
      </c>
      <c r="I1037" s="251"/>
      <c r="J1037" s="253"/>
      <c r="K1037" s="254">
        <f t="shared" ref="K1037:K1044" si="37">IF(E1037*F1037*G1037&lt;&gt;0,E1037*F1037*G1037,IF(E1037*F1037&lt;&gt;0,E1037*F1037,IF(F1037*G1037&lt;&gt;0,F1037*G1037,IF(E1037*G1037&lt;&gt;0,E1037*G1037,IF(E1037&lt;&gt;0,E1037,IF(F1037&lt;&gt;0,F1037,IF(G1037&lt;&gt;0,G1037,0)))))))*(IF(H1037&lt;&gt;0,H1037,1))+I1037-J1037</f>
        <v>2163.2283200000006</v>
      </c>
      <c r="L1037" s="255"/>
    </row>
    <row r="1038" spans="2:12">
      <c r="B1038" s="249" t="s">
        <v>1480</v>
      </c>
      <c r="C1038" s="250" t="s">
        <v>1441</v>
      </c>
      <c r="D1038" s="205" t="s">
        <v>152</v>
      </c>
      <c r="E1038" s="251">
        <v>142</v>
      </c>
      <c r="F1038" s="252">
        <f>F1037</f>
        <v>3.8530000000000002</v>
      </c>
      <c r="G1038" s="251">
        <f>G1037</f>
        <v>1.1000000000000001</v>
      </c>
      <c r="H1038" s="251">
        <v>0.5</v>
      </c>
      <c r="I1038" s="251"/>
      <c r="J1038" s="253"/>
      <c r="K1038" s="254">
        <f t="shared" si="37"/>
        <v>300.91930000000002</v>
      </c>
      <c r="L1038" s="205"/>
    </row>
    <row r="1039" spans="2:12">
      <c r="B1039" s="249" t="s">
        <v>1555</v>
      </c>
      <c r="C1039" s="250" t="s">
        <v>1521</v>
      </c>
      <c r="D1039" s="205" t="s">
        <v>152</v>
      </c>
      <c r="E1039" s="251">
        <v>1728</v>
      </c>
      <c r="F1039" s="252">
        <f>F1038</f>
        <v>3.8530000000000002</v>
      </c>
      <c r="G1039" s="251">
        <f>G1038</f>
        <v>1.1000000000000001</v>
      </c>
      <c r="H1039" s="251">
        <v>0.3</v>
      </c>
      <c r="I1039" s="251"/>
      <c r="J1039" s="253"/>
      <c r="K1039" s="254">
        <f t="shared" si="37"/>
        <v>2197.13472</v>
      </c>
      <c r="L1039" s="205"/>
    </row>
    <row r="1040" spans="2:12">
      <c r="B1040" s="249" t="s">
        <v>1681</v>
      </c>
      <c r="C1040" s="250" t="s">
        <v>1611</v>
      </c>
      <c r="D1040" s="205" t="s">
        <v>152</v>
      </c>
      <c r="E1040" s="251">
        <v>653</v>
      </c>
      <c r="F1040" s="252">
        <v>3.8530000000000002</v>
      </c>
      <c r="G1040" s="251">
        <v>1.1000000000000001</v>
      </c>
      <c r="H1040" s="251">
        <v>0.3</v>
      </c>
      <c r="I1040" s="251"/>
      <c r="J1040" s="253"/>
      <c r="K1040" s="254">
        <f t="shared" si="37"/>
        <v>830.28297000000009</v>
      </c>
      <c r="L1040" s="205"/>
    </row>
    <row r="1041" spans="2:12">
      <c r="B1041" s="249" t="s">
        <v>1555</v>
      </c>
      <c r="C1041" s="250" t="s">
        <v>1612</v>
      </c>
      <c r="D1041" s="205" t="s">
        <v>152</v>
      </c>
      <c r="E1041" s="251">
        <v>1728</v>
      </c>
      <c r="F1041" s="252">
        <f>F1040</f>
        <v>3.8530000000000002</v>
      </c>
      <c r="G1041" s="251">
        <f>G1040</f>
        <v>1.1000000000000001</v>
      </c>
      <c r="H1041" s="251">
        <v>0.5</v>
      </c>
      <c r="I1041" s="251"/>
      <c r="J1041" s="253"/>
      <c r="K1041" s="254">
        <f t="shared" si="37"/>
        <v>3661.8912000000005</v>
      </c>
      <c r="L1041" s="205"/>
    </row>
    <row r="1042" spans="2:12">
      <c r="B1042" s="249" t="s">
        <v>1681</v>
      </c>
      <c r="C1042" s="250" t="s">
        <v>1612</v>
      </c>
      <c r="D1042" s="205" t="s">
        <v>152</v>
      </c>
      <c r="E1042" s="251">
        <v>653</v>
      </c>
      <c r="F1042" s="252">
        <v>3.8530000000000002</v>
      </c>
      <c r="G1042" s="251">
        <v>1.1000000000000001</v>
      </c>
      <c r="H1042" s="251">
        <v>0.1</v>
      </c>
      <c r="I1042" s="251"/>
      <c r="J1042" s="253"/>
      <c r="K1042" s="254">
        <f t="shared" si="37"/>
        <v>276.76099000000005</v>
      </c>
      <c r="L1042" s="205"/>
    </row>
    <row r="1043" spans="2:12">
      <c r="B1043" s="249" t="s">
        <v>1681</v>
      </c>
      <c r="C1043" s="250" t="s">
        <v>1613</v>
      </c>
      <c r="D1043" s="205" t="s">
        <v>152</v>
      </c>
      <c r="E1043" s="251">
        <v>653</v>
      </c>
      <c r="F1043" s="252">
        <v>3.8530000000000002</v>
      </c>
      <c r="G1043" s="251">
        <v>1.1000000000000001</v>
      </c>
      <c r="H1043" s="251">
        <v>0.1</v>
      </c>
      <c r="I1043" s="251"/>
      <c r="J1043" s="253"/>
      <c r="K1043" s="254">
        <f t="shared" si="37"/>
        <v>276.76099000000005</v>
      </c>
      <c r="L1043" s="205"/>
    </row>
    <row r="1044" spans="2:12">
      <c r="B1044" s="267"/>
      <c r="C1044" s="205"/>
      <c r="D1044" s="205"/>
      <c r="E1044" s="251"/>
      <c r="F1044" s="252"/>
      <c r="G1044" s="251"/>
      <c r="H1044" s="251"/>
      <c r="I1044" s="251"/>
      <c r="J1044" s="253"/>
      <c r="K1044" s="254">
        <f t="shared" si="37"/>
        <v>0</v>
      </c>
      <c r="L1044" s="205"/>
    </row>
    <row r="1045" spans="2:12">
      <c r="B1045" s="208"/>
      <c r="C1045" s="204"/>
      <c r="D1045" s="204"/>
      <c r="E1045" s="204"/>
      <c r="F1045" s="204"/>
      <c r="G1045" s="204"/>
      <c r="H1045" s="204"/>
      <c r="I1045" s="556" t="s">
        <v>1221</v>
      </c>
      <c r="J1045" s="556"/>
      <c r="K1045" s="262">
        <f>SUM(K1037:K1044)</f>
        <v>9706.9784900000031</v>
      </c>
      <c r="L1045" s="207"/>
    </row>
    <row r="1046" spans="2:12">
      <c r="B1046" s="208"/>
      <c r="C1046" s="204"/>
      <c r="D1046" s="204"/>
      <c r="E1046" s="204"/>
      <c r="F1046" s="204"/>
      <c r="G1046" s="204"/>
      <c r="H1046" s="209"/>
      <c r="I1046" s="557" t="s">
        <v>1222</v>
      </c>
      <c r="J1046" s="557"/>
      <c r="K1046" s="221">
        <f>VLOOKUP(B1035,'BM 004'!$B$27:$R$590,4,0)</f>
        <v>14626.7</v>
      </c>
      <c r="L1046" s="207"/>
    </row>
    <row r="1047" spans="2:12">
      <c r="B1047" s="208"/>
      <c r="C1047" s="204"/>
      <c r="D1047" s="204"/>
      <c r="E1047" s="204"/>
      <c r="F1047" s="204"/>
      <c r="G1047" s="204"/>
      <c r="H1047" s="558" t="s">
        <v>1223</v>
      </c>
      <c r="I1047" s="558"/>
      <c r="J1047" s="558"/>
      <c r="K1047" s="222">
        <v>9430.2175000000007</v>
      </c>
      <c r="L1047" s="207"/>
    </row>
    <row r="1048" spans="2:12">
      <c r="B1048" s="208"/>
      <c r="C1048" s="204"/>
      <c r="D1048" s="204"/>
      <c r="E1048" s="204"/>
      <c r="F1048" s="204"/>
      <c r="G1048" s="204"/>
      <c r="H1048" s="558" t="s">
        <v>1596</v>
      </c>
      <c r="I1048" s="558"/>
      <c r="J1048" s="558"/>
      <c r="K1048" s="222">
        <f>TRUNC(SUMIF(C1037:C1044,H1048,K1037:K1044),2)</f>
        <v>276.76</v>
      </c>
      <c r="L1048" s="207"/>
    </row>
    <row r="1049" spans="2:12">
      <c r="B1049" s="213"/>
      <c r="C1049" s="214"/>
      <c r="D1049" s="214"/>
      <c r="E1049" s="214"/>
      <c r="F1049" s="214"/>
      <c r="G1049" s="214"/>
      <c r="H1049" s="559" t="s">
        <v>1224</v>
      </c>
      <c r="I1049" s="559"/>
      <c r="J1049" s="559"/>
      <c r="K1049" s="223">
        <f>IF(K1045&gt;K1046,K1045-K1046,0)</f>
        <v>0</v>
      </c>
      <c r="L1049" s="209"/>
    </row>
    <row r="1051" spans="2:12">
      <c r="B1051" s="247" t="s">
        <v>233</v>
      </c>
      <c r="C1051" s="565" t="str">
        <f>VLOOKUP(B1051,'BM 004'!$B$27:$R$590,2,0)</f>
        <v xml:space="preserve">Concreto simples usinado fck=35mpa, bombeado, lançado e adensado em superestrutura </v>
      </c>
      <c r="D1051" s="565"/>
      <c r="E1051" s="565"/>
      <c r="F1051" s="565"/>
      <c r="G1051" s="565"/>
      <c r="H1051" s="565"/>
      <c r="I1051" s="565"/>
      <c r="J1051" s="565"/>
      <c r="K1051" s="565"/>
      <c r="L1051" s="565"/>
    </row>
    <row r="1052" spans="2:12">
      <c r="B1052" s="248" t="s">
        <v>1209</v>
      </c>
      <c r="C1052" s="248"/>
      <c r="D1052" s="248" t="s">
        <v>39</v>
      </c>
      <c r="E1052" s="248" t="s">
        <v>1210</v>
      </c>
      <c r="F1052" s="248" t="s">
        <v>1388</v>
      </c>
      <c r="G1052" s="248" t="s">
        <v>1212</v>
      </c>
      <c r="H1052" s="248" t="s">
        <v>1213</v>
      </c>
      <c r="I1052" s="248" t="s">
        <v>1214</v>
      </c>
      <c r="J1052" s="248" t="s">
        <v>1385</v>
      </c>
      <c r="K1052" s="248" t="s">
        <v>1216</v>
      </c>
      <c r="L1052" s="248" t="s">
        <v>1217</v>
      </c>
    </row>
    <row r="1053" spans="2:12">
      <c r="B1053" s="249" t="s">
        <v>1389</v>
      </c>
      <c r="C1053" s="250" t="s">
        <v>1333</v>
      </c>
      <c r="D1053" s="205" t="s">
        <v>110</v>
      </c>
      <c r="E1053" s="199">
        <v>0.5</v>
      </c>
      <c r="F1053" s="199">
        <v>0.4</v>
      </c>
      <c r="G1053" s="199">
        <v>5.12</v>
      </c>
      <c r="H1053" s="199">
        <v>1</v>
      </c>
      <c r="I1053" s="199"/>
      <c r="J1053" s="253"/>
      <c r="K1053" s="254">
        <f t="shared" ref="K1053:K1116" si="38">IF(E1053*F1053*G1053&lt;&gt;0,E1053*F1053*G1053,IF(E1053*F1053&lt;&gt;0,E1053*F1053,IF(F1053*G1053&lt;&gt;0,F1053*G1053,IF(E1053*G1053&lt;&gt;0,E1053*G1053,IF(E1053&lt;&gt;0,E1053,IF(F1053&lt;&gt;0,F1053,IF(G1053&lt;&gt;0,G1053,0)))))))*(IF(H1053&lt;&gt;0,H1053,1))+I1053-J1053</f>
        <v>1.024</v>
      </c>
      <c r="L1053" s="255" t="s">
        <v>1556</v>
      </c>
    </row>
    <row r="1054" spans="2:12">
      <c r="B1054" s="256" t="s">
        <v>1390</v>
      </c>
      <c r="C1054" s="250" t="s">
        <v>1333</v>
      </c>
      <c r="D1054" s="205" t="s">
        <v>110</v>
      </c>
      <c r="E1054" s="261">
        <v>1</v>
      </c>
      <c r="F1054" s="261">
        <v>0.2</v>
      </c>
      <c r="G1054" s="261">
        <v>5.12</v>
      </c>
      <c r="H1054" s="261">
        <v>1</v>
      </c>
      <c r="I1054" s="261"/>
      <c r="J1054" s="259"/>
      <c r="K1054" s="260">
        <f t="shared" si="38"/>
        <v>1.024</v>
      </c>
      <c r="L1054" s="266" t="s">
        <v>1556</v>
      </c>
    </row>
    <row r="1055" spans="2:12">
      <c r="B1055" s="256" t="s">
        <v>1391</v>
      </c>
      <c r="C1055" s="250" t="s">
        <v>1333</v>
      </c>
      <c r="D1055" s="205" t="s">
        <v>110</v>
      </c>
      <c r="E1055" s="261">
        <v>1</v>
      </c>
      <c r="F1055" s="261">
        <v>0.2</v>
      </c>
      <c r="G1055" s="261">
        <v>5.12</v>
      </c>
      <c r="H1055" s="261">
        <v>1</v>
      </c>
      <c r="I1055" s="261"/>
      <c r="J1055" s="259"/>
      <c r="K1055" s="260">
        <f t="shared" si="38"/>
        <v>1.024</v>
      </c>
      <c r="L1055" s="266" t="s">
        <v>1556</v>
      </c>
    </row>
    <row r="1056" spans="2:12">
      <c r="B1056" s="256" t="s">
        <v>1392</v>
      </c>
      <c r="C1056" s="250" t="s">
        <v>1333</v>
      </c>
      <c r="D1056" s="205" t="s">
        <v>110</v>
      </c>
      <c r="E1056" s="261">
        <v>0.4</v>
      </c>
      <c r="F1056" s="261">
        <v>0.4</v>
      </c>
      <c r="G1056" s="261">
        <v>5.12</v>
      </c>
      <c r="H1056" s="261">
        <v>1</v>
      </c>
      <c r="I1056" s="261"/>
      <c r="J1056" s="259"/>
      <c r="K1056" s="260">
        <f t="shared" si="38"/>
        <v>0.81920000000000015</v>
      </c>
      <c r="L1056" s="266" t="s">
        <v>1556</v>
      </c>
    </row>
    <row r="1057" spans="2:12">
      <c r="B1057" s="256" t="s">
        <v>1393</v>
      </c>
      <c r="C1057" s="250" t="s">
        <v>1333</v>
      </c>
      <c r="D1057" s="205" t="s">
        <v>110</v>
      </c>
      <c r="E1057" s="261">
        <v>0.3</v>
      </c>
      <c r="F1057" s="261">
        <v>0.3</v>
      </c>
      <c r="G1057" s="261">
        <v>5.12</v>
      </c>
      <c r="H1057" s="261">
        <v>1</v>
      </c>
      <c r="I1057" s="261"/>
      <c r="J1057" s="259"/>
      <c r="K1057" s="260">
        <f t="shared" si="38"/>
        <v>0.46079999999999999</v>
      </c>
      <c r="L1057" s="266" t="s">
        <v>1556</v>
      </c>
    </row>
    <row r="1058" spans="2:12">
      <c r="B1058" s="256" t="s">
        <v>1394</v>
      </c>
      <c r="C1058" s="250" t="s">
        <v>1333</v>
      </c>
      <c r="D1058" s="205" t="s">
        <v>110</v>
      </c>
      <c r="E1058" s="261">
        <v>0.4</v>
      </c>
      <c r="F1058" s="261">
        <v>0.4</v>
      </c>
      <c r="G1058" s="261">
        <v>5.12</v>
      </c>
      <c r="H1058" s="261">
        <v>1</v>
      </c>
      <c r="I1058" s="261"/>
      <c r="J1058" s="259"/>
      <c r="K1058" s="260">
        <f t="shared" si="38"/>
        <v>0.81920000000000015</v>
      </c>
      <c r="L1058" s="266" t="s">
        <v>1556</v>
      </c>
    </row>
    <row r="1059" spans="2:12">
      <c r="B1059" s="256" t="s">
        <v>1395</v>
      </c>
      <c r="C1059" s="250" t="s">
        <v>1333</v>
      </c>
      <c r="D1059" s="205" t="s">
        <v>110</v>
      </c>
      <c r="E1059" s="199">
        <v>0.5</v>
      </c>
      <c r="F1059" s="199">
        <v>0.4</v>
      </c>
      <c r="G1059" s="261">
        <v>5.12</v>
      </c>
      <c r="H1059" s="261">
        <v>1</v>
      </c>
      <c r="I1059" s="261"/>
      <c r="J1059" s="259"/>
      <c r="K1059" s="260">
        <f t="shared" si="38"/>
        <v>1.024</v>
      </c>
      <c r="L1059" s="266" t="s">
        <v>1556</v>
      </c>
    </row>
    <row r="1060" spans="2:12">
      <c r="B1060" s="256" t="s">
        <v>1396</v>
      </c>
      <c r="C1060" s="250" t="s">
        <v>1333</v>
      </c>
      <c r="D1060" s="205" t="s">
        <v>110</v>
      </c>
      <c r="E1060" s="199">
        <v>0.5</v>
      </c>
      <c r="F1060" s="199">
        <v>0.4</v>
      </c>
      <c r="G1060" s="261">
        <v>5.12</v>
      </c>
      <c r="H1060" s="261">
        <v>1</v>
      </c>
      <c r="I1060" s="261"/>
      <c r="J1060" s="259"/>
      <c r="K1060" s="260">
        <f t="shared" si="38"/>
        <v>1.024</v>
      </c>
      <c r="L1060" s="266" t="s">
        <v>1556</v>
      </c>
    </row>
    <row r="1061" spans="2:12">
      <c r="B1061" s="256" t="s">
        <v>1397</v>
      </c>
      <c r="C1061" s="250" t="s">
        <v>1333</v>
      </c>
      <c r="D1061" s="205" t="s">
        <v>110</v>
      </c>
      <c r="E1061" s="261">
        <v>1</v>
      </c>
      <c r="F1061" s="261">
        <v>0.2</v>
      </c>
      <c r="G1061" s="261">
        <v>5.12</v>
      </c>
      <c r="H1061" s="261">
        <v>1</v>
      </c>
      <c r="I1061" s="261"/>
      <c r="J1061" s="259"/>
      <c r="K1061" s="260">
        <f t="shared" si="38"/>
        <v>1.024</v>
      </c>
      <c r="L1061" s="266" t="s">
        <v>1556</v>
      </c>
    </row>
    <row r="1062" spans="2:12">
      <c r="B1062" s="256" t="s">
        <v>1398</v>
      </c>
      <c r="C1062" s="250" t="s">
        <v>1333</v>
      </c>
      <c r="D1062" s="205" t="s">
        <v>110</v>
      </c>
      <c r="E1062" s="261">
        <v>0.3</v>
      </c>
      <c r="F1062" s="261">
        <v>0.3</v>
      </c>
      <c r="G1062" s="261">
        <v>5.12</v>
      </c>
      <c r="H1062" s="261">
        <v>1</v>
      </c>
      <c r="I1062" s="261"/>
      <c r="J1062" s="259"/>
      <c r="K1062" s="260">
        <f t="shared" si="38"/>
        <v>0.46079999999999999</v>
      </c>
      <c r="L1062" s="266" t="s">
        <v>1556</v>
      </c>
    </row>
    <row r="1063" spans="2:12">
      <c r="B1063" s="256" t="s">
        <v>1399</v>
      </c>
      <c r="C1063" s="250" t="s">
        <v>1333</v>
      </c>
      <c r="D1063" s="205" t="s">
        <v>110</v>
      </c>
      <c r="E1063" s="261">
        <v>0.4</v>
      </c>
      <c r="F1063" s="261">
        <v>0.4</v>
      </c>
      <c r="G1063" s="261">
        <v>5.12</v>
      </c>
      <c r="H1063" s="261">
        <v>1</v>
      </c>
      <c r="I1063" s="261"/>
      <c r="J1063" s="259"/>
      <c r="K1063" s="260">
        <f t="shared" si="38"/>
        <v>0.81920000000000015</v>
      </c>
      <c r="L1063" s="266" t="s">
        <v>1556</v>
      </c>
    </row>
    <row r="1064" spans="2:12">
      <c r="B1064" s="256" t="s">
        <v>1400</v>
      </c>
      <c r="C1064" s="250" t="s">
        <v>1333</v>
      </c>
      <c r="D1064" s="205" t="s">
        <v>110</v>
      </c>
      <c r="E1064" s="199">
        <v>0.5</v>
      </c>
      <c r="F1064" s="199">
        <v>0.4</v>
      </c>
      <c r="G1064" s="261">
        <v>5.12</v>
      </c>
      <c r="H1064" s="261">
        <v>1</v>
      </c>
      <c r="I1064" s="261"/>
      <c r="J1064" s="259"/>
      <c r="K1064" s="260">
        <f t="shared" si="38"/>
        <v>1.024</v>
      </c>
      <c r="L1064" s="266" t="s">
        <v>1556</v>
      </c>
    </row>
    <row r="1065" spans="2:12">
      <c r="B1065" s="256" t="s">
        <v>1401</v>
      </c>
      <c r="C1065" s="250" t="s">
        <v>1333</v>
      </c>
      <c r="D1065" s="205" t="s">
        <v>110</v>
      </c>
      <c r="E1065" s="199">
        <v>0.5</v>
      </c>
      <c r="F1065" s="199">
        <v>0.4</v>
      </c>
      <c r="G1065" s="261">
        <v>5.12</v>
      </c>
      <c r="H1065" s="261">
        <v>1</v>
      </c>
      <c r="I1065" s="261"/>
      <c r="J1065" s="259"/>
      <c r="K1065" s="260">
        <f t="shared" si="38"/>
        <v>1.024</v>
      </c>
      <c r="L1065" s="266" t="s">
        <v>1556</v>
      </c>
    </row>
    <row r="1066" spans="2:12">
      <c r="B1066" s="256" t="s">
        <v>1402</v>
      </c>
      <c r="C1066" s="250" t="s">
        <v>1333</v>
      </c>
      <c r="D1066" s="205" t="s">
        <v>110</v>
      </c>
      <c r="E1066" s="261">
        <v>1</v>
      </c>
      <c r="F1066" s="261">
        <v>0.2</v>
      </c>
      <c r="G1066" s="261">
        <v>5.12</v>
      </c>
      <c r="H1066" s="261">
        <v>1</v>
      </c>
      <c r="I1066" s="261"/>
      <c r="J1066" s="259"/>
      <c r="K1066" s="260">
        <f t="shared" si="38"/>
        <v>1.024</v>
      </c>
      <c r="L1066" s="266" t="s">
        <v>1556</v>
      </c>
    </row>
    <row r="1067" spans="2:12">
      <c r="B1067" s="256" t="s">
        <v>1403</v>
      </c>
      <c r="C1067" s="250" t="s">
        <v>1333</v>
      </c>
      <c r="D1067" s="205" t="s">
        <v>110</v>
      </c>
      <c r="E1067" s="261">
        <v>0.3</v>
      </c>
      <c r="F1067" s="261">
        <v>0.3</v>
      </c>
      <c r="G1067" s="261">
        <v>5.12</v>
      </c>
      <c r="H1067" s="261">
        <v>1</v>
      </c>
      <c r="I1067" s="261"/>
      <c r="J1067" s="259"/>
      <c r="K1067" s="260">
        <f t="shared" si="38"/>
        <v>0.46079999999999999</v>
      </c>
      <c r="L1067" s="266" t="s">
        <v>1556</v>
      </c>
    </row>
    <row r="1068" spans="2:12">
      <c r="B1068" s="256" t="s">
        <v>1404</v>
      </c>
      <c r="C1068" s="250" t="s">
        <v>1333</v>
      </c>
      <c r="D1068" s="205" t="s">
        <v>110</v>
      </c>
      <c r="E1068" s="261">
        <v>0.6</v>
      </c>
      <c r="F1068" s="261">
        <v>0.2</v>
      </c>
      <c r="G1068" s="261">
        <v>5.12</v>
      </c>
      <c r="H1068" s="261">
        <v>1</v>
      </c>
      <c r="I1068" s="261"/>
      <c r="J1068" s="259"/>
      <c r="K1068" s="260">
        <f t="shared" si="38"/>
        <v>0.61439999999999995</v>
      </c>
      <c r="L1068" s="266" t="s">
        <v>1556</v>
      </c>
    </row>
    <row r="1069" spans="2:12">
      <c r="B1069" s="256" t="s">
        <v>1405</v>
      </c>
      <c r="C1069" s="250" t="s">
        <v>1333</v>
      </c>
      <c r="D1069" s="205" t="s">
        <v>110</v>
      </c>
      <c r="E1069" s="261">
        <v>0.6</v>
      </c>
      <c r="F1069" s="261">
        <v>0.2</v>
      </c>
      <c r="G1069" s="261">
        <v>5.12</v>
      </c>
      <c r="H1069" s="261">
        <v>1</v>
      </c>
      <c r="I1069" s="261"/>
      <c r="J1069" s="259"/>
      <c r="K1069" s="260">
        <f t="shared" si="38"/>
        <v>0.61439999999999995</v>
      </c>
      <c r="L1069" s="266" t="s">
        <v>1556</v>
      </c>
    </row>
    <row r="1070" spans="2:12">
      <c r="B1070" s="256" t="s">
        <v>1406</v>
      </c>
      <c r="C1070" s="250" t="s">
        <v>1333</v>
      </c>
      <c r="D1070" s="205" t="s">
        <v>110</v>
      </c>
      <c r="E1070" s="261">
        <v>0.4</v>
      </c>
      <c r="F1070" s="261">
        <v>0.4</v>
      </c>
      <c r="G1070" s="261">
        <v>5.12</v>
      </c>
      <c r="H1070" s="261">
        <v>1</v>
      </c>
      <c r="I1070" s="261"/>
      <c r="J1070" s="259"/>
      <c r="K1070" s="260">
        <f t="shared" si="38"/>
        <v>0.81920000000000015</v>
      </c>
      <c r="L1070" s="266" t="s">
        <v>1556</v>
      </c>
    </row>
    <row r="1071" spans="2:12">
      <c r="B1071" s="256" t="s">
        <v>1407</v>
      </c>
      <c r="C1071" s="250" t="s">
        <v>1333</v>
      </c>
      <c r="D1071" s="205" t="s">
        <v>110</v>
      </c>
      <c r="E1071" s="199">
        <v>0.5</v>
      </c>
      <c r="F1071" s="199">
        <v>0.4</v>
      </c>
      <c r="G1071" s="261">
        <v>5.12</v>
      </c>
      <c r="H1071" s="261">
        <v>1</v>
      </c>
      <c r="I1071" s="261"/>
      <c r="J1071" s="259"/>
      <c r="K1071" s="260">
        <f t="shared" si="38"/>
        <v>1.024</v>
      </c>
      <c r="L1071" s="266" t="s">
        <v>1556</v>
      </c>
    </row>
    <row r="1072" spans="2:12">
      <c r="B1072" s="256" t="s">
        <v>1408</v>
      </c>
      <c r="C1072" s="250" t="s">
        <v>1333</v>
      </c>
      <c r="D1072" s="205" t="s">
        <v>110</v>
      </c>
      <c r="E1072" s="261">
        <v>0.5</v>
      </c>
      <c r="F1072" s="261">
        <v>0.4</v>
      </c>
      <c r="G1072" s="261">
        <v>5.12</v>
      </c>
      <c r="H1072" s="261">
        <v>1</v>
      </c>
      <c r="I1072" s="261"/>
      <c r="J1072" s="259"/>
      <c r="K1072" s="260">
        <f t="shared" si="38"/>
        <v>1.024</v>
      </c>
      <c r="L1072" s="266" t="s">
        <v>1556</v>
      </c>
    </row>
    <row r="1073" spans="2:12">
      <c r="B1073" s="256" t="s">
        <v>1409</v>
      </c>
      <c r="C1073" s="250" t="s">
        <v>1333</v>
      </c>
      <c r="D1073" s="205" t="s">
        <v>110</v>
      </c>
      <c r="E1073" s="261">
        <v>1</v>
      </c>
      <c r="F1073" s="261">
        <v>0.2</v>
      </c>
      <c r="G1073" s="261">
        <v>5.12</v>
      </c>
      <c r="H1073" s="261">
        <v>1</v>
      </c>
      <c r="I1073" s="261"/>
      <c r="J1073" s="259"/>
      <c r="K1073" s="260">
        <f t="shared" si="38"/>
        <v>1.024</v>
      </c>
      <c r="L1073" s="266" t="s">
        <v>1556</v>
      </c>
    </row>
    <row r="1074" spans="2:12">
      <c r="B1074" s="256" t="s">
        <v>1410</v>
      </c>
      <c r="C1074" s="250" t="s">
        <v>1333</v>
      </c>
      <c r="D1074" s="205" t="s">
        <v>110</v>
      </c>
      <c r="E1074" s="261">
        <v>0.45</v>
      </c>
      <c r="F1074" s="261">
        <v>0.3</v>
      </c>
      <c r="G1074" s="261">
        <v>5.12</v>
      </c>
      <c r="H1074" s="261">
        <v>1</v>
      </c>
      <c r="I1074" s="261"/>
      <c r="J1074" s="259"/>
      <c r="K1074" s="260">
        <f t="shared" si="38"/>
        <v>0.69120000000000004</v>
      </c>
      <c r="L1074" s="266" t="s">
        <v>1556</v>
      </c>
    </row>
    <row r="1075" spans="2:12">
      <c r="B1075" s="256" t="s">
        <v>1411</v>
      </c>
      <c r="C1075" s="250" t="s">
        <v>1333</v>
      </c>
      <c r="D1075" s="205" t="s">
        <v>110</v>
      </c>
      <c r="E1075" s="261">
        <v>0.45</v>
      </c>
      <c r="F1075" s="261">
        <v>0.3</v>
      </c>
      <c r="G1075" s="261">
        <v>5.12</v>
      </c>
      <c r="H1075" s="261">
        <v>1</v>
      </c>
      <c r="I1075" s="261"/>
      <c r="J1075" s="259"/>
      <c r="K1075" s="260">
        <f t="shared" si="38"/>
        <v>0.69120000000000004</v>
      </c>
      <c r="L1075" s="266" t="s">
        <v>1556</v>
      </c>
    </row>
    <row r="1076" spans="2:12">
      <c r="B1076" s="256" t="s">
        <v>1412</v>
      </c>
      <c r="C1076" s="250" t="s">
        <v>1333</v>
      </c>
      <c r="D1076" s="205" t="s">
        <v>110</v>
      </c>
      <c r="E1076" s="261">
        <v>0.55000000000000004</v>
      </c>
      <c r="F1076" s="261">
        <v>0.3</v>
      </c>
      <c r="G1076" s="261">
        <v>5.12</v>
      </c>
      <c r="H1076" s="261">
        <v>1</v>
      </c>
      <c r="I1076" s="261"/>
      <c r="J1076" s="259"/>
      <c r="K1076" s="260">
        <f t="shared" si="38"/>
        <v>0.84480000000000011</v>
      </c>
      <c r="L1076" s="266" t="s">
        <v>1556</v>
      </c>
    </row>
    <row r="1077" spans="2:12">
      <c r="B1077" s="256" t="s">
        <v>1413</v>
      </c>
      <c r="C1077" s="250" t="s">
        <v>1333</v>
      </c>
      <c r="D1077" s="205" t="s">
        <v>110</v>
      </c>
      <c r="E1077" s="261">
        <v>0.55000000000000004</v>
      </c>
      <c r="F1077" s="261">
        <v>0.3</v>
      </c>
      <c r="G1077" s="261">
        <v>5.12</v>
      </c>
      <c r="H1077" s="261">
        <v>1</v>
      </c>
      <c r="I1077" s="261"/>
      <c r="J1077" s="259"/>
      <c r="K1077" s="260">
        <f t="shared" si="38"/>
        <v>0.84480000000000011</v>
      </c>
      <c r="L1077" s="266" t="s">
        <v>1556</v>
      </c>
    </row>
    <row r="1078" spans="2:12">
      <c r="B1078" s="256" t="s">
        <v>1414</v>
      </c>
      <c r="C1078" s="250" t="s">
        <v>1333</v>
      </c>
      <c r="D1078" s="205" t="s">
        <v>110</v>
      </c>
      <c r="E1078" s="261">
        <v>0.55000000000000004</v>
      </c>
      <c r="F1078" s="261">
        <v>0.3</v>
      </c>
      <c r="G1078" s="261">
        <v>5.12</v>
      </c>
      <c r="H1078" s="261">
        <v>1</v>
      </c>
      <c r="I1078" s="261"/>
      <c r="J1078" s="259"/>
      <c r="K1078" s="260">
        <f t="shared" si="38"/>
        <v>0.84480000000000011</v>
      </c>
      <c r="L1078" s="266" t="s">
        <v>1556</v>
      </c>
    </row>
    <row r="1079" spans="2:12">
      <c r="B1079" s="256" t="s">
        <v>1415</v>
      </c>
      <c r="C1079" s="250" t="s">
        <v>1333</v>
      </c>
      <c r="D1079" s="205" t="s">
        <v>110</v>
      </c>
      <c r="E1079" s="261">
        <v>0.55000000000000004</v>
      </c>
      <c r="F1079" s="261">
        <v>0.3</v>
      </c>
      <c r="G1079" s="261">
        <v>5.12</v>
      </c>
      <c r="H1079" s="261">
        <v>1</v>
      </c>
      <c r="I1079" s="261"/>
      <c r="J1079" s="259"/>
      <c r="K1079" s="260">
        <f t="shared" si="38"/>
        <v>0.84480000000000011</v>
      </c>
      <c r="L1079" s="266" t="s">
        <v>1556</v>
      </c>
    </row>
    <row r="1080" spans="2:12">
      <c r="B1080" s="256" t="s">
        <v>1416</v>
      </c>
      <c r="C1080" s="250" t="s">
        <v>1333</v>
      </c>
      <c r="D1080" s="205" t="s">
        <v>110</v>
      </c>
      <c r="E1080" s="261">
        <v>0.45</v>
      </c>
      <c r="F1080" s="261">
        <v>0.3</v>
      </c>
      <c r="G1080" s="261">
        <v>5.12</v>
      </c>
      <c r="H1080" s="261">
        <v>1</v>
      </c>
      <c r="I1080" s="261"/>
      <c r="J1080" s="259"/>
      <c r="K1080" s="260">
        <f t="shared" si="38"/>
        <v>0.69120000000000004</v>
      </c>
      <c r="L1080" s="266" t="s">
        <v>1556</v>
      </c>
    </row>
    <row r="1081" spans="2:12">
      <c r="B1081" s="256" t="s">
        <v>1417</v>
      </c>
      <c r="C1081" s="250" t="s">
        <v>1333</v>
      </c>
      <c r="D1081" s="205" t="s">
        <v>110</v>
      </c>
      <c r="E1081" s="261">
        <v>0.45</v>
      </c>
      <c r="F1081" s="261">
        <v>0.3</v>
      </c>
      <c r="G1081" s="261">
        <v>5.12</v>
      </c>
      <c r="H1081" s="261">
        <v>1</v>
      </c>
      <c r="I1081" s="261"/>
      <c r="J1081" s="259"/>
      <c r="K1081" s="260">
        <f t="shared" si="38"/>
        <v>0.69120000000000004</v>
      </c>
      <c r="L1081" s="266" t="s">
        <v>1556</v>
      </c>
    </row>
    <row r="1082" spans="2:12">
      <c r="B1082" s="256" t="s">
        <v>1418</v>
      </c>
      <c r="C1082" s="250" t="s">
        <v>1333</v>
      </c>
      <c r="D1082" s="205" t="s">
        <v>110</v>
      </c>
      <c r="E1082" s="261">
        <v>0.8</v>
      </c>
      <c r="F1082" s="261">
        <v>0.2</v>
      </c>
      <c r="G1082" s="261">
        <v>5.12</v>
      </c>
      <c r="H1082" s="261">
        <v>1</v>
      </c>
      <c r="I1082" s="261"/>
      <c r="J1082" s="259"/>
      <c r="K1082" s="260">
        <f t="shared" si="38"/>
        <v>0.81920000000000015</v>
      </c>
      <c r="L1082" s="266" t="s">
        <v>1556</v>
      </c>
    </row>
    <row r="1083" spans="2:12">
      <c r="B1083" s="256" t="s">
        <v>1419</v>
      </c>
      <c r="C1083" s="250" t="s">
        <v>1333</v>
      </c>
      <c r="D1083" s="205" t="s">
        <v>110</v>
      </c>
      <c r="E1083" s="261">
        <v>0.8</v>
      </c>
      <c r="F1083" s="261">
        <v>0.2</v>
      </c>
      <c r="G1083" s="261">
        <v>6.62</v>
      </c>
      <c r="H1083" s="261">
        <v>1</v>
      </c>
      <c r="I1083" s="261"/>
      <c r="J1083" s="259"/>
      <c r="K1083" s="260">
        <f t="shared" si="38"/>
        <v>1.0592000000000001</v>
      </c>
      <c r="L1083" s="266" t="s">
        <v>1556</v>
      </c>
    </row>
    <row r="1084" spans="2:12">
      <c r="B1084" s="256" t="s">
        <v>1420</v>
      </c>
      <c r="C1084" s="250" t="s">
        <v>1333</v>
      </c>
      <c r="D1084" s="205" t="s">
        <v>110</v>
      </c>
      <c r="E1084" s="261">
        <v>0.8</v>
      </c>
      <c r="F1084" s="261">
        <v>0.3</v>
      </c>
      <c r="G1084" s="261">
        <v>6.62</v>
      </c>
      <c r="H1084" s="261">
        <v>1</v>
      </c>
      <c r="I1084" s="261"/>
      <c r="J1084" s="259"/>
      <c r="K1084" s="260">
        <f t="shared" si="38"/>
        <v>1.5888</v>
      </c>
      <c r="L1084" s="266" t="s">
        <v>1556</v>
      </c>
    </row>
    <row r="1085" spans="2:12">
      <c r="B1085" s="256" t="s">
        <v>1421</v>
      </c>
      <c r="C1085" s="250" t="s">
        <v>1333</v>
      </c>
      <c r="D1085" s="205" t="s">
        <v>110</v>
      </c>
      <c r="E1085" s="261">
        <v>0.8</v>
      </c>
      <c r="F1085" s="261">
        <v>0.2</v>
      </c>
      <c r="G1085" s="261">
        <v>6.62</v>
      </c>
      <c r="H1085" s="261">
        <v>1</v>
      </c>
      <c r="I1085" s="261"/>
      <c r="J1085" s="259"/>
      <c r="K1085" s="260">
        <f t="shared" si="38"/>
        <v>1.0592000000000001</v>
      </c>
      <c r="L1085" s="266" t="s">
        <v>1556</v>
      </c>
    </row>
    <row r="1086" spans="2:12">
      <c r="B1086" s="256" t="s">
        <v>1422</v>
      </c>
      <c r="C1086" s="250" t="s">
        <v>1333</v>
      </c>
      <c r="D1086" s="205" t="s">
        <v>110</v>
      </c>
      <c r="E1086" s="261">
        <v>0.8</v>
      </c>
      <c r="F1086" s="261">
        <v>0.3</v>
      </c>
      <c r="G1086" s="261">
        <v>6.62</v>
      </c>
      <c r="H1086" s="261">
        <v>1</v>
      </c>
      <c r="I1086" s="261"/>
      <c r="J1086" s="259"/>
      <c r="K1086" s="260">
        <f t="shared" si="38"/>
        <v>1.5888</v>
      </c>
      <c r="L1086" s="266" t="s">
        <v>1556</v>
      </c>
    </row>
    <row r="1087" spans="2:12">
      <c r="B1087" s="256" t="s">
        <v>1423</v>
      </c>
      <c r="C1087" s="250" t="s">
        <v>1333</v>
      </c>
      <c r="D1087" s="205" t="s">
        <v>110</v>
      </c>
      <c r="E1087" s="261">
        <v>0.7</v>
      </c>
      <c r="F1087" s="261">
        <v>0.4</v>
      </c>
      <c r="G1087" s="261">
        <v>5.12</v>
      </c>
      <c r="H1087" s="261">
        <v>1</v>
      </c>
      <c r="I1087" s="261"/>
      <c r="J1087" s="259"/>
      <c r="K1087" s="260">
        <f t="shared" si="38"/>
        <v>1.4336</v>
      </c>
      <c r="L1087" s="266" t="s">
        <v>1556</v>
      </c>
    </row>
    <row r="1088" spans="2:12">
      <c r="B1088" s="256" t="s">
        <v>1424</v>
      </c>
      <c r="C1088" s="250" t="s">
        <v>1333</v>
      </c>
      <c r="D1088" s="205" t="s">
        <v>110</v>
      </c>
      <c r="E1088" s="261">
        <v>0.7</v>
      </c>
      <c r="F1088" s="261">
        <v>0.5</v>
      </c>
      <c r="G1088" s="261">
        <v>5.12</v>
      </c>
      <c r="H1088" s="261">
        <v>1</v>
      </c>
      <c r="I1088" s="261"/>
      <c r="J1088" s="259"/>
      <c r="K1088" s="260">
        <f t="shared" si="38"/>
        <v>1.7919999999999998</v>
      </c>
      <c r="L1088" s="266" t="s">
        <v>1556</v>
      </c>
    </row>
    <row r="1089" spans="2:12">
      <c r="B1089" s="256" t="s">
        <v>1425</v>
      </c>
      <c r="C1089" s="250" t="s">
        <v>1333</v>
      </c>
      <c r="D1089" s="205" t="s">
        <v>110</v>
      </c>
      <c r="E1089" s="261">
        <v>0.7</v>
      </c>
      <c r="F1089" s="261">
        <v>0.5</v>
      </c>
      <c r="G1089" s="261">
        <v>5.12</v>
      </c>
      <c r="H1089" s="261">
        <v>1</v>
      </c>
      <c r="I1089" s="261"/>
      <c r="J1089" s="259"/>
      <c r="K1089" s="260">
        <f t="shared" si="38"/>
        <v>1.7919999999999998</v>
      </c>
      <c r="L1089" s="266" t="s">
        <v>1556</v>
      </c>
    </row>
    <row r="1090" spans="2:12">
      <c r="B1090" s="256" t="s">
        <v>1426</v>
      </c>
      <c r="C1090" s="250" t="s">
        <v>1333</v>
      </c>
      <c r="D1090" s="205" t="s">
        <v>110</v>
      </c>
      <c r="E1090" s="261">
        <v>0.5</v>
      </c>
      <c r="F1090" s="261">
        <v>0.4</v>
      </c>
      <c r="G1090" s="261">
        <v>5.12</v>
      </c>
      <c r="H1090" s="261">
        <v>1</v>
      </c>
      <c r="I1090" s="261"/>
      <c r="J1090" s="259"/>
      <c r="K1090" s="260">
        <f t="shared" si="38"/>
        <v>1.024</v>
      </c>
      <c r="L1090" s="266" t="s">
        <v>1556</v>
      </c>
    </row>
    <row r="1091" spans="2:12">
      <c r="B1091" s="256" t="s">
        <v>1481</v>
      </c>
      <c r="C1091" s="250" t="s">
        <v>1441</v>
      </c>
      <c r="D1091" s="205" t="s">
        <v>110</v>
      </c>
      <c r="E1091" s="261">
        <v>0.25</v>
      </c>
      <c r="F1091" s="261">
        <v>0.4</v>
      </c>
      <c r="G1091" s="261">
        <v>5.12</v>
      </c>
      <c r="H1091" s="261">
        <v>1</v>
      </c>
      <c r="I1091" s="261"/>
      <c r="J1091" s="259"/>
      <c r="K1091" s="260">
        <f t="shared" si="38"/>
        <v>0.51200000000000001</v>
      </c>
      <c r="L1091" s="266" t="s">
        <v>1556</v>
      </c>
    </row>
    <row r="1092" spans="2:12">
      <c r="B1092" s="256" t="s">
        <v>1482</v>
      </c>
      <c r="C1092" s="250" t="s">
        <v>1441</v>
      </c>
      <c r="D1092" s="205" t="s">
        <v>110</v>
      </c>
      <c r="E1092" s="261">
        <v>0.3</v>
      </c>
      <c r="F1092" s="261">
        <v>0.3</v>
      </c>
      <c r="G1092" s="261">
        <v>5.12</v>
      </c>
      <c r="H1092" s="261">
        <v>1</v>
      </c>
      <c r="I1092" s="261"/>
      <c r="J1092" s="259"/>
      <c r="K1092" s="260">
        <f t="shared" si="38"/>
        <v>0.46079999999999999</v>
      </c>
      <c r="L1092" s="266" t="s">
        <v>1556</v>
      </c>
    </row>
    <row r="1093" spans="2:12">
      <c r="B1093" s="256" t="s">
        <v>1483</v>
      </c>
      <c r="C1093" s="250" t="s">
        <v>1441</v>
      </c>
      <c r="D1093" s="205" t="s">
        <v>110</v>
      </c>
      <c r="E1093" s="261">
        <v>0.3</v>
      </c>
      <c r="F1093" s="261">
        <v>0.3</v>
      </c>
      <c r="G1093" s="261">
        <v>5.12</v>
      </c>
      <c r="H1093" s="261">
        <v>1</v>
      </c>
      <c r="I1093" s="261"/>
      <c r="J1093" s="259"/>
      <c r="K1093" s="260">
        <f t="shared" si="38"/>
        <v>0.46079999999999999</v>
      </c>
      <c r="L1093" s="266" t="s">
        <v>1556</v>
      </c>
    </row>
    <row r="1094" spans="2:12">
      <c r="B1094" s="256" t="s">
        <v>1484</v>
      </c>
      <c r="C1094" s="250" t="s">
        <v>1441</v>
      </c>
      <c r="D1094" s="205" t="s">
        <v>110</v>
      </c>
      <c r="E1094" s="261">
        <v>0.4</v>
      </c>
      <c r="F1094" s="261">
        <v>0.4</v>
      </c>
      <c r="G1094" s="261">
        <v>5.12</v>
      </c>
      <c r="H1094" s="261">
        <v>1</v>
      </c>
      <c r="I1094" s="261"/>
      <c r="J1094" s="259"/>
      <c r="K1094" s="260">
        <f t="shared" si="38"/>
        <v>0.81920000000000015</v>
      </c>
      <c r="L1094" s="266" t="s">
        <v>1556</v>
      </c>
    </row>
    <row r="1095" spans="2:12">
      <c r="B1095" s="256" t="s">
        <v>1485</v>
      </c>
      <c r="C1095" s="250" t="s">
        <v>1441</v>
      </c>
      <c r="D1095" s="205" t="s">
        <v>110</v>
      </c>
      <c r="E1095" s="261">
        <v>0.4</v>
      </c>
      <c r="F1095" s="261">
        <v>0.6</v>
      </c>
      <c r="G1095" s="261">
        <v>5.12</v>
      </c>
      <c r="H1095" s="261">
        <v>1</v>
      </c>
      <c r="I1095" s="261"/>
      <c r="J1095" s="259"/>
      <c r="K1095" s="260">
        <f t="shared" si="38"/>
        <v>1.2287999999999999</v>
      </c>
      <c r="L1095" s="266" t="s">
        <v>1556</v>
      </c>
    </row>
    <row r="1096" spans="2:12">
      <c r="B1096" s="256" t="s">
        <v>1486</v>
      </c>
      <c r="C1096" s="250" t="s">
        <v>1441</v>
      </c>
      <c r="D1096" s="205" t="s">
        <v>110</v>
      </c>
      <c r="E1096" s="261">
        <v>0.2</v>
      </c>
      <c r="F1096" s="261">
        <v>2.94</v>
      </c>
      <c r="G1096" s="261">
        <f>5.12+2</f>
        <v>7.12</v>
      </c>
      <c r="H1096" s="261">
        <v>1</v>
      </c>
      <c r="I1096" s="261"/>
      <c r="J1096" s="259"/>
      <c r="K1096" s="260">
        <f t="shared" si="38"/>
        <v>4.1865600000000001</v>
      </c>
      <c r="L1096" s="266" t="s">
        <v>1556</v>
      </c>
    </row>
    <row r="1097" spans="2:12">
      <c r="B1097" s="256" t="s">
        <v>1487</v>
      </c>
      <c r="C1097" s="250" t="s">
        <v>1441</v>
      </c>
      <c r="D1097" s="205" t="s">
        <v>110</v>
      </c>
      <c r="E1097" s="261">
        <v>0.2</v>
      </c>
      <c r="F1097" s="261">
        <v>2.94</v>
      </c>
      <c r="G1097" s="261">
        <f>5.12+2</f>
        <v>7.12</v>
      </c>
      <c r="H1097" s="261">
        <v>1</v>
      </c>
      <c r="I1097" s="261"/>
      <c r="J1097" s="259"/>
      <c r="K1097" s="260">
        <f t="shared" si="38"/>
        <v>4.1865600000000001</v>
      </c>
      <c r="L1097" s="266" t="s">
        <v>1556</v>
      </c>
    </row>
    <row r="1098" spans="2:12">
      <c r="B1098" s="256" t="s">
        <v>1488</v>
      </c>
      <c r="C1098" s="250" t="s">
        <v>1441</v>
      </c>
      <c r="D1098" s="205" t="s">
        <v>110</v>
      </c>
      <c r="E1098" s="261">
        <v>0.6</v>
      </c>
      <c r="F1098" s="261">
        <v>0.5</v>
      </c>
      <c r="G1098" s="261">
        <v>5.12</v>
      </c>
      <c r="H1098" s="261">
        <v>1</v>
      </c>
      <c r="I1098" s="261"/>
      <c r="J1098" s="259"/>
      <c r="K1098" s="260">
        <f t="shared" si="38"/>
        <v>1.536</v>
      </c>
      <c r="L1098" s="266" t="s">
        <v>1556</v>
      </c>
    </row>
    <row r="1099" spans="2:12">
      <c r="B1099" s="256" t="s">
        <v>1489</v>
      </c>
      <c r="C1099" s="250" t="s">
        <v>1441</v>
      </c>
      <c r="D1099" s="205" t="s">
        <v>110</v>
      </c>
      <c r="E1099" s="261">
        <v>0.4</v>
      </c>
      <c r="F1099" s="261">
        <v>0.4</v>
      </c>
      <c r="G1099" s="261">
        <v>5.12</v>
      </c>
      <c r="H1099" s="261">
        <v>1</v>
      </c>
      <c r="I1099" s="261"/>
      <c r="J1099" s="259"/>
      <c r="K1099" s="260">
        <f t="shared" si="38"/>
        <v>0.81920000000000015</v>
      </c>
      <c r="L1099" s="266" t="s">
        <v>1556</v>
      </c>
    </row>
    <row r="1100" spans="2:12">
      <c r="B1100" s="256" t="s">
        <v>1490</v>
      </c>
      <c r="C1100" s="250" t="s">
        <v>1441</v>
      </c>
      <c r="D1100" s="205" t="s">
        <v>110</v>
      </c>
      <c r="E1100" s="261">
        <v>0.2</v>
      </c>
      <c r="F1100" s="261">
        <v>0.8</v>
      </c>
      <c r="G1100" s="261">
        <v>5.12</v>
      </c>
      <c r="H1100" s="261">
        <v>1</v>
      </c>
      <c r="I1100" s="261"/>
      <c r="J1100" s="259"/>
      <c r="K1100" s="260">
        <f t="shared" si="38"/>
        <v>0.81920000000000015</v>
      </c>
      <c r="L1100" s="266" t="s">
        <v>1556</v>
      </c>
    </row>
    <row r="1101" spans="2:12">
      <c r="B1101" s="256" t="s">
        <v>1491</v>
      </c>
      <c r="C1101" s="250" t="s">
        <v>1441</v>
      </c>
      <c r="D1101" s="205" t="s">
        <v>110</v>
      </c>
      <c r="E1101" s="261">
        <v>0.3</v>
      </c>
      <c r="F1101" s="261">
        <v>0.3</v>
      </c>
      <c r="G1101" s="261">
        <v>5.12</v>
      </c>
      <c r="H1101" s="261">
        <v>1</v>
      </c>
      <c r="I1101" s="261"/>
      <c r="J1101" s="259"/>
      <c r="K1101" s="260">
        <f t="shared" si="38"/>
        <v>0.46079999999999999</v>
      </c>
      <c r="L1101" s="266" t="s">
        <v>1556</v>
      </c>
    </row>
    <row r="1102" spans="2:12">
      <c r="B1102" s="256" t="s">
        <v>1492</v>
      </c>
      <c r="C1102" s="250" t="s">
        <v>1441</v>
      </c>
      <c r="D1102" s="205" t="s">
        <v>110</v>
      </c>
      <c r="E1102" s="261">
        <v>0.3</v>
      </c>
      <c r="F1102" s="261">
        <v>0.3</v>
      </c>
      <c r="G1102" s="261">
        <v>5.12</v>
      </c>
      <c r="H1102" s="261">
        <v>1</v>
      </c>
      <c r="I1102" s="261"/>
      <c r="J1102" s="259"/>
      <c r="K1102" s="260">
        <f t="shared" si="38"/>
        <v>0.46079999999999999</v>
      </c>
      <c r="L1102" s="266" t="s">
        <v>1556</v>
      </c>
    </row>
    <row r="1103" spans="2:12">
      <c r="B1103" s="256" t="s">
        <v>1493</v>
      </c>
      <c r="C1103" s="250" t="s">
        <v>1441</v>
      </c>
      <c r="D1103" s="205" t="s">
        <v>110</v>
      </c>
      <c r="E1103" s="261">
        <v>0.4</v>
      </c>
      <c r="F1103" s="261">
        <v>0.4</v>
      </c>
      <c r="G1103" s="261">
        <v>5.12</v>
      </c>
      <c r="H1103" s="261">
        <v>1</v>
      </c>
      <c r="I1103" s="261"/>
      <c r="J1103" s="259"/>
      <c r="K1103" s="260">
        <f t="shared" si="38"/>
        <v>0.81920000000000015</v>
      </c>
      <c r="L1103" s="266" t="s">
        <v>1556</v>
      </c>
    </row>
    <row r="1104" spans="2:12">
      <c r="B1104" s="256" t="s">
        <v>1494</v>
      </c>
      <c r="C1104" s="250" t="s">
        <v>1441</v>
      </c>
      <c r="D1104" s="205" t="s">
        <v>110</v>
      </c>
      <c r="E1104" s="261">
        <v>0.4</v>
      </c>
      <c r="F1104" s="261">
        <v>0.4</v>
      </c>
      <c r="G1104" s="261">
        <v>5.12</v>
      </c>
      <c r="H1104" s="261">
        <v>1</v>
      </c>
      <c r="I1104" s="261"/>
      <c r="J1104" s="259"/>
      <c r="K1104" s="260">
        <f t="shared" si="38"/>
        <v>0.81920000000000015</v>
      </c>
      <c r="L1104" s="266" t="s">
        <v>1556</v>
      </c>
    </row>
    <row r="1105" spans="2:12">
      <c r="B1105" s="256" t="s">
        <v>1495</v>
      </c>
      <c r="C1105" s="250" t="s">
        <v>1441</v>
      </c>
      <c r="D1105" s="205" t="s">
        <v>110</v>
      </c>
      <c r="E1105" s="261">
        <v>0.4</v>
      </c>
      <c r="F1105" s="261">
        <v>0.4</v>
      </c>
      <c r="G1105" s="261">
        <v>5.12</v>
      </c>
      <c r="H1105" s="261">
        <v>1</v>
      </c>
      <c r="I1105" s="261"/>
      <c r="J1105" s="259"/>
      <c r="K1105" s="260">
        <f t="shared" si="38"/>
        <v>0.81920000000000015</v>
      </c>
      <c r="L1105" s="266" t="s">
        <v>1556</v>
      </c>
    </row>
    <row r="1106" spans="2:12">
      <c r="B1106" s="249" t="s">
        <v>1389</v>
      </c>
      <c r="C1106" s="250" t="s">
        <v>1521</v>
      </c>
      <c r="D1106" s="205" t="s">
        <v>110</v>
      </c>
      <c r="E1106" s="199">
        <v>0.5</v>
      </c>
      <c r="F1106" s="199">
        <v>0.4</v>
      </c>
      <c r="G1106" s="199">
        <v>3.6</v>
      </c>
      <c r="H1106" s="199">
        <v>1</v>
      </c>
      <c r="I1106" s="199"/>
      <c r="J1106" s="253"/>
      <c r="K1106" s="254">
        <f t="shared" si="38"/>
        <v>0.72000000000000008</v>
      </c>
      <c r="L1106" s="255" t="s">
        <v>1557</v>
      </c>
    </row>
    <row r="1107" spans="2:12">
      <c r="B1107" s="256" t="s">
        <v>1390</v>
      </c>
      <c r="C1107" s="250" t="s">
        <v>1521</v>
      </c>
      <c r="D1107" s="205" t="s">
        <v>110</v>
      </c>
      <c r="E1107" s="261">
        <v>1</v>
      </c>
      <c r="F1107" s="261">
        <v>0.2</v>
      </c>
      <c r="G1107" s="261">
        <v>3.6</v>
      </c>
      <c r="H1107" s="261">
        <v>1</v>
      </c>
      <c r="I1107" s="261"/>
      <c r="J1107" s="259"/>
      <c r="K1107" s="260">
        <f t="shared" si="38"/>
        <v>0.72000000000000008</v>
      </c>
      <c r="L1107" s="266" t="s">
        <v>1557</v>
      </c>
    </row>
    <row r="1108" spans="2:12">
      <c r="B1108" s="256" t="s">
        <v>1391</v>
      </c>
      <c r="C1108" s="250" t="s">
        <v>1521</v>
      </c>
      <c r="D1108" s="205" t="s">
        <v>110</v>
      </c>
      <c r="E1108" s="261">
        <v>1</v>
      </c>
      <c r="F1108" s="261">
        <v>0.2</v>
      </c>
      <c r="G1108" s="261">
        <v>3.6</v>
      </c>
      <c r="H1108" s="261">
        <v>1</v>
      </c>
      <c r="I1108" s="261"/>
      <c r="J1108" s="259"/>
      <c r="K1108" s="260">
        <f t="shared" si="38"/>
        <v>0.72000000000000008</v>
      </c>
      <c r="L1108" s="266" t="s">
        <v>1557</v>
      </c>
    </row>
    <row r="1109" spans="2:12">
      <c r="B1109" s="256" t="s">
        <v>1392</v>
      </c>
      <c r="C1109" s="250" t="s">
        <v>1521</v>
      </c>
      <c r="D1109" s="205" t="s">
        <v>110</v>
      </c>
      <c r="E1109" s="261">
        <v>0.4</v>
      </c>
      <c r="F1109" s="261">
        <v>0.4</v>
      </c>
      <c r="G1109" s="261">
        <v>3.6</v>
      </c>
      <c r="H1109" s="261">
        <v>1</v>
      </c>
      <c r="I1109" s="261"/>
      <c r="J1109" s="259"/>
      <c r="K1109" s="260">
        <f t="shared" si="38"/>
        <v>0.57600000000000018</v>
      </c>
      <c r="L1109" s="266" t="s">
        <v>1557</v>
      </c>
    </row>
    <row r="1110" spans="2:12">
      <c r="B1110" s="256" t="s">
        <v>1393</v>
      </c>
      <c r="C1110" s="250" t="s">
        <v>1521</v>
      </c>
      <c r="D1110" s="205" t="s">
        <v>110</v>
      </c>
      <c r="E1110" s="261">
        <v>0.3</v>
      </c>
      <c r="F1110" s="261">
        <v>0.3</v>
      </c>
      <c r="G1110" s="261">
        <v>3.6</v>
      </c>
      <c r="H1110" s="261">
        <v>1</v>
      </c>
      <c r="I1110" s="261"/>
      <c r="J1110" s="259"/>
      <c r="K1110" s="260">
        <f t="shared" si="38"/>
        <v>0.32400000000000001</v>
      </c>
      <c r="L1110" s="266" t="s">
        <v>1557</v>
      </c>
    </row>
    <row r="1111" spans="2:12">
      <c r="B1111" s="256" t="s">
        <v>1394</v>
      </c>
      <c r="C1111" s="250" t="s">
        <v>1521</v>
      </c>
      <c r="D1111" s="205" t="s">
        <v>110</v>
      </c>
      <c r="E1111" s="261">
        <v>0.4</v>
      </c>
      <c r="F1111" s="261">
        <v>0.4</v>
      </c>
      <c r="G1111" s="261">
        <v>3.6</v>
      </c>
      <c r="H1111" s="261">
        <v>1</v>
      </c>
      <c r="I1111" s="261"/>
      <c r="J1111" s="259"/>
      <c r="K1111" s="260">
        <f t="shared" si="38"/>
        <v>0.57600000000000018</v>
      </c>
      <c r="L1111" s="266" t="s">
        <v>1557</v>
      </c>
    </row>
    <row r="1112" spans="2:12">
      <c r="B1112" s="256" t="s">
        <v>1395</v>
      </c>
      <c r="C1112" s="250" t="s">
        <v>1521</v>
      </c>
      <c r="D1112" s="205" t="s">
        <v>110</v>
      </c>
      <c r="E1112" s="199">
        <v>0.5</v>
      </c>
      <c r="F1112" s="199">
        <v>0.4</v>
      </c>
      <c r="G1112" s="261">
        <v>3.6</v>
      </c>
      <c r="H1112" s="261">
        <v>1</v>
      </c>
      <c r="I1112" s="261"/>
      <c r="J1112" s="259"/>
      <c r="K1112" s="260">
        <f t="shared" si="38"/>
        <v>0.72000000000000008</v>
      </c>
      <c r="L1112" s="266" t="s">
        <v>1557</v>
      </c>
    </row>
    <row r="1113" spans="2:12">
      <c r="B1113" s="256" t="s">
        <v>1396</v>
      </c>
      <c r="C1113" s="250" t="s">
        <v>1521</v>
      </c>
      <c r="D1113" s="205" t="s">
        <v>110</v>
      </c>
      <c r="E1113" s="199">
        <v>0.5</v>
      </c>
      <c r="F1113" s="199">
        <v>0.4</v>
      </c>
      <c r="G1113" s="261">
        <v>3.6</v>
      </c>
      <c r="H1113" s="261">
        <v>1</v>
      </c>
      <c r="I1113" s="261"/>
      <c r="J1113" s="259"/>
      <c r="K1113" s="260">
        <f t="shared" si="38"/>
        <v>0.72000000000000008</v>
      </c>
      <c r="L1113" s="266" t="s">
        <v>1557</v>
      </c>
    </row>
    <row r="1114" spans="2:12">
      <c r="B1114" s="256" t="s">
        <v>1397</v>
      </c>
      <c r="C1114" s="250" t="s">
        <v>1521</v>
      </c>
      <c r="D1114" s="205" t="s">
        <v>110</v>
      </c>
      <c r="E1114" s="261">
        <v>1</v>
      </c>
      <c r="F1114" s="261">
        <v>0.2</v>
      </c>
      <c r="G1114" s="261">
        <v>3.6</v>
      </c>
      <c r="H1114" s="261">
        <v>1</v>
      </c>
      <c r="I1114" s="261"/>
      <c r="J1114" s="259"/>
      <c r="K1114" s="260">
        <f t="shared" si="38"/>
        <v>0.72000000000000008</v>
      </c>
      <c r="L1114" s="266" t="s">
        <v>1557</v>
      </c>
    </row>
    <row r="1115" spans="2:12">
      <c r="B1115" s="256" t="s">
        <v>1398</v>
      </c>
      <c r="C1115" s="250" t="s">
        <v>1521</v>
      </c>
      <c r="D1115" s="205" t="s">
        <v>110</v>
      </c>
      <c r="E1115" s="261">
        <v>0.3</v>
      </c>
      <c r="F1115" s="261">
        <v>0.3</v>
      </c>
      <c r="G1115" s="261">
        <v>3.6</v>
      </c>
      <c r="H1115" s="261">
        <v>1</v>
      </c>
      <c r="I1115" s="261"/>
      <c r="J1115" s="259"/>
      <c r="K1115" s="260">
        <f t="shared" si="38"/>
        <v>0.32400000000000001</v>
      </c>
      <c r="L1115" s="266" t="s">
        <v>1557</v>
      </c>
    </row>
    <row r="1116" spans="2:12">
      <c r="B1116" s="256" t="s">
        <v>1399</v>
      </c>
      <c r="C1116" s="250" t="s">
        <v>1521</v>
      </c>
      <c r="D1116" s="205" t="s">
        <v>110</v>
      </c>
      <c r="E1116" s="261">
        <v>0.4</v>
      </c>
      <c r="F1116" s="261">
        <v>0.4</v>
      </c>
      <c r="G1116" s="261">
        <v>3.6</v>
      </c>
      <c r="H1116" s="261">
        <v>1</v>
      </c>
      <c r="I1116" s="261"/>
      <c r="J1116" s="259"/>
      <c r="K1116" s="260">
        <f t="shared" si="38"/>
        <v>0.57600000000000018</v>
      </c>
      <c r="L1116" s="266" t="s">
        <v>1557</v>
      </c>
    </row>
    <row r="1117" spans="2:12">
      <c r="B1117" s="256" t="s">
        <v>1400</v>
      </c>
      <c r="C1117" s="250" t="s">
        <v>1521</v>
      </c>
      <c r="D1117" s="205" t="s">
        <v>110</v>
      </c>
      <c r="E1117" s="199">
        <v>0.5</v>
      </c>
      <c r="F1117" s="199">
        <v>0.4</v>
      </c>
      <c r="G1117" s="261">
        <v>3.6</v>
      </c>
      <c r="H1117" s="261">
        <v>1</v>
      </c>
      <c r="I1117" s="261"/>
      <c r="J1117" s="259"/>
      <c r="K1117" s="260">
        <f t="shared" ref="K1117:K1180" si="39">IF(E1117*F1117*G1117&lt;&gt;0,E1117*F1117*G1117,IF(E1117*F1117&lt;&gt;0,E1117*F1117,IF(F1117*G1117&lt;&gt;0,F1117*G1117,IF(E1117*G1117&lt;&gt;0,E1117*G1117,IF(E1117&lt;&gt;0,E1117,IF(F1117&lt;&gt;0,F1117,IF(G1117&lt;&gt;0,G1117,0)))))))*(IF(H1117&lt;&gt;0,H1117,1))+I1117-J1117</f>
        <v>0.72000000000000008</v>
      </c>
      <c r="L1117" s="266" t="s">
        <v>1557</v>
      </c>
    </row>
    <row r="1118" spans="2:12">
      <c r="B1118" s="256" t="s">
        <v>1401</v>
      </c>
      <c r="C1118" s="250" t="s">
        <v>1521</v>
      </c>
      <c r="D1118" s="205" t="s">
        <v>110</v>
      </c>
      <c r="E1118" s="199">
        <v>0.5</v>
      </c>
      <c r="F1118" s="199">
        <v>0.4</v>
      </c>
      <c r="G1118" s="261">
        <v>3.6</v>
      </c>
      <c r="H1118" s="261">
        <v>1</v>
      </c>
      <c r="I1118" s="261"/>
      <c r="J1118" s="259"/>
      <c r="K1118" s="260">
        <f t="shared" si="39"/>
        <v>0.72000000000000008</v>
      </c>
      <c r="L1118" s="266" t="s">
        <v>1557</v>
      </c>
    </row>
    <row r="1119" spans="2:12">
      <c r="B1119" s="256" t="s">
        <v>1402</v>
      </c>
      <c r="C1119" s="250" t="s">
        <v>1521</v>
      </c>
      <c r="D1119" s="205" t="s">
        <v>110</v>
      </c>
      <c r="E1119" s="261">
        <v>1</v>
      </c>
      <c r="F1119" s="261">
        <v>0.2</v>
      </c>
      <c r="G1119" s="261">
        <v>3.6</v>
      </c>
      <c r="H1119" s="261">
        <v>1</v>
      </c>
      <c r="I1119" s="261"/>
      <c r="J1119" s="259"/>
      <c r="K1119" s="260">
        <f t="shared" si="39"/>
        <v>0.72000000000000008</v>
      </c>
      <c r="L1119" s="266" t="s">
        <v>1557</v>
      </c>
    </row>
    <row r="1120" spans="2:12">
      <c r="B1120" s="256" t="s">
        <v>1403</v>
      </c>
      <c r="C1120" s="250" t="s">
        <v>1521</v>
      </c>
      <c r="D1120" s="205" t="s">
        <v>110</v>
      </c>
      <c r="E1120" s="261">
        <v>0.3</v>
      </c>
      <c r="F1120" s="261">
        <v>0.3</v>
      </c>
      <c r="G1120" s="261">
        <v>3.6</v>
      </c>
      <c r="H1120" s="261">
        <v>1</v>
      </c>
      <c r="I1120" s="261"/>
      <c r="J1120" s="259"/>
      <c r="K1120" s="260">
        <f t="shared" si="39"/>
        <v>0.32400000000000001</v>
      </c>
      <c r="L1120" s="266" t="s">
        <v>1557</v>
      </c>
    </row>
    <row r="1121" spans="2:12">
      <c r="B1121" s="256" t="s">
        <v>1404</v>
      </c>
      <c r="C1121" s="250" t="s">
        <v>1521</v>
      </c>
      <c r="D1121" s="205" t="s">
        <v>110</v>
      </c>
      <c r="E1121" s="261">
        <v>0.6</v>
      </c>
      <c r="F1121" s="261">
        <v>0.2</v>
      </c>
      <c r="G1121" s="261">
        <v>3.6</v>
      </c>
      <c r="H1121" s="261">
        <v>1</v>
      </c>
      <c r="I1121" s="261"/>
      <c r="J1121" s="259"/>
      <c r="K1121" s="260">
        <f t="shared" si="39"/>
        <v>0.432</v>
      </c>
      <c r="L1121" s="266" t="s">
        <v>1557</v>
      </c>
    </row>
    <row r="1122" spans="2:12">
      <c r="B1122" s="256" t="s">
        <v>1405</v>
      </c>
      <c r="C1122" s="250" t="s">
        <v>1521</v>
      </c>
      <c r="D1122" s="205" t="s">
        <v>110</v>
      </c>
      <c r="E1122" s="261">
        <v>0.6</v>
      </c>
      <c r="F1122" s="261">
        <v>0.2</v>
      </c>
      <c r="G1122" s="261">
        <v>3.6</v>
      </c>
      <c r="H1122" s="261">
        <v>1</v>
      </c>
      <c r="I1122" s="261"/>
      <c r="J1122" s="259"/>
      <c r="K1122" s="260">
        <f t="shared" si="39"/>
        <v>0.432</v>
      </c>
      <c r="L1122" s="266" t="s">
        <v>1557</v>
      </c>
    </row>
    <row r="1123" spans="2:12">
      <c r="B1123" s="256" t="s">
        <v>1406</v>
      </c>
      <c r="C1123" s="250" t="s">
        <v>1521</v>
      </c>
      <c r="D1123" s="205" t="s">
        <v>110</v>
      </c>
      <c r="E1123" s="261">
        <v>0.4</v>
      </c>
      <c r="F1123" s="261">
        <v>0.4</v>
      </c>
      <c r="G1123" s="261">
        <v>3.6</v>
      </c>
      <c r="H1123" s="261">
        <v>1</v>
      </c>
      <c r="I1123" s="261"/>
      <c r="J1123" s="259"/>
      <c r="K1123" s="260">
        <f t="shared" si="39"/>
        <v>0.57600000000000018</v>
      </c>
      <c r="L1123" s="266" t="s">
        <v>1557</v>
      </c>
    </row>
    <row r="1124" spans="2:12">
      <c r="B1124" s="256" t="s">
        <v>1407</v>
      </c>
      <c r="C1124" s="250" t="s">
        <v>1521</v>
      </c>
      <c r="D1124" s="205" t="s">
        <v>110</v>
      </c>
      <c r="E1124" s="199">
        <v>0.5</v>
      </c>
      <c r="F1124" s="199">
        <v>0.4</v>
      </c>
      <c r="G1124" s="261">
        <v>3.6</v>
      </c>
      <c r="H1124" s="261">
        <v>1</v>
      </c>
      <c r="I1124" s="261"/>
      <c r="J1124" s="259"/>
      <c r="K1124" s="260">
        <f t="shared" si="39"/>
        <v>0.72000000000000008</v>
      </c>
      <c r="L1124" s="266" t="s">
        <v>1557</v>
      </c>
    </row>
    <row r="1125" spans="2:12">
      <c r="B1125" s="256" t="s">
        <v>1408</v>
      </c>
      <c r="C1125" s="250" t="s">
        <v>1521</v>
      </c>
      <c r="D1125" s="205" t="s">
        <v>110</v>
      </c>
      <c r="E1125" s="261">
        <v>0.5</v>
      </c>
      <c r="F1125" s="261">
        <v>0.4</v>
      </c>
      <c r="G1125" s="261">
        <v>3.6</v>
      </c>
      <c r="H1125" s="261">
        <v>1</v>
      </c>
      <c r="I1125" s="261"/>
      <c r="J1125" s="259"/>
      <c r="K1125" s="260">
        <f t="shared" si="39"/>
        <v>0.72000000000000008</v>
      </c>
      <c r="L1125" s="266" t="s">
        <v>1557</v>
      </c>
    </row>
    <row r="1126" spans="2:12">
      <c r="B1126" s="256" t="s">
        <v>1409</v>
      </c>
      <c r="C1126" s="250" t="s">
        <v>1521</v>
      </c>
      <c r="D1126" s="205" t="s">
        <v>110</v>
      </c>
      <c r="E1126" s="261">
        <v>1</v>
      </c>
      <c r="F1126" s="261">
        <v>0.2</v>
      </c>
      <c r="G1126" s="261">
        <v>3.6</v>
      </c>
      <c r="H1126" s="261">
        <v>1</v>
      </c>
      <c r="I1126" s="261"/>
      <c r="J1126" s="259"/>
      <c r="K1126" s="260">
        <f t="shared" si="39"/>
        <v>0.72000000000000008</v>
      </c>
      <c r="L1126" s="266" t="s">
        <v>1557</v>
      </c>
    </row>
    <row r="1127" spans="2:12">
      <c r="B1127" s="256" t="s">
        <v>1410</v>
      </c>
      <c r="C1127" s="250" t="s">
        <v>1521</v>
      </c>
      <c r="D1127" s="205" t="s">
        <v>110</v>
      </c>
      <c r="E1127" s="261">
        <v>0.45</v>
      </c>
      <c r="F1127" s="261">
        <v>0.3</v>
      </c>
      <c r="G1127" s="261">
        <v>3.6</v>
      </c>
      <c r="H1127" s="261">
        <v>1</v>
      </c>
      <c r="I1127" s="261"/>
      <c r="J1127" s="259"/>
      <c r="K1127" s="260">
        <f t="shared" si="39"/>
        <v>0.48600000000000004</v>
      </c>
      <c r="L1127" s="266" t="s">
        <v>1557</v>
      </c>
    </row>
    <row r="1128" spans="2:12">
      <c r="B1128" s="256" t="s">
        <v>1411</v>
      </c>
      <c r="C1128" s="250" t="s">
        <v>1521</v>
      </c>
      <c r="D1128" s="205" t="s">
        <v>110</v>
      </c>
      <c r="E1128" s="261">
        <v>0.45</v>
      </c>
      <c r="F1128" s="261">
        <v>0.3</v>
      </c>
      <c r="G1128" s="261">
        <v>3.6</v>
      </c>
      <c r="H1128" s="261">
        <v>1</v>
      </c>
      <c r="I1128" s="261"/>
      <c r="J1128" s="259"/>
      <c r="K1128" s="260">
        <f t="shared" si="39"/>
        <v>0.48600000000000004</v>
      </c>
      <c r="L1128" s="266" t="s">
        <v>1557</v>
      </c>
    </row>
    <row r="1129" spans="2:12">
      <c r="B1129" s="256" t="s">
        <v>1412</v>
      </c>
      <c r="C1129" s="250" t="s">
        <v>1521</v>
      </c>
      <c r="D1129" s="205" t="s">
        <v>110</v>
      </c>
      <c r="E1129" s="261">
        <v>0.55000000000000004</v>
      </c>
      <c r="F1129" s="261">
        <v>0.3</v>
      </c>
      <c r="G1129" s="261">
        <v>3.6</v>
      </c>
      <c r="H1129" s="261">
        <v>1</v>
      </c>
      <c r="I1129" s="261"/>
      <c r="J1129" s="259"/>
      <c r="K1129" s="260">
        <f t="shared" si="39"/>
        <v>0.59400000000000008</v>
      </c>
      <c r="L1129" s="266" t="s">
        <v>1557</v>
      </c>
    </row>
    <row r="1130" spans="2:12">
      <c r="B1130" s="256" t="s">
        <v>1413</v>
      </c>
      <c r="C1130" s="250" t="s">
        <v>1521</v>
      </c>
      <c r="D1130" s="205" t="s">
        <v>110</v>
      </c>
      <c r="E1130" s="261">
        <v>0.55000000000000004</v>
      </c>
      <c r="F1130" s="261">
        <v>0.3</v>
      </c>
      <c r="G1130" s="261">
        <v>3.6</v>
      </c>
      <c r="H1130" s="261">
        <v>1</v>
      </c>
      <c r="I1130" s="261"/>
      <c r="J1130" s="259"/>
      <c r="K1130" s="260">
        <f t="shared" si="39"/>
        <v>0.59400000000000008</v>
      </c>
      <c r="L1130" s="266" t="s">
        <v>1557</v>
      </c>
    </row>
    <row r="1131" spans="2:12">
      <c r="B1131" s="256" t="s">
        <v>1414</v>
      </c>
      <c r="C1131" s="250" t="s">
        <v>1521</v>
      </c>
      <c r="D1131" s="205" t="s">
        <v>110</v>
      </c>
      <c r="E1131" s="261">
        <v>0.55000000000000004</v>
      </c>
      <c r="F1131" s="261">
        <v>0.3</v>
      </c>
      <c r="G1131" s="261">
        <v>3.6</v>
      </c>
      <c r="H1131" s="261">
        <v>1</v>
      </c>
      <c r="I1131" s="261"/>
      <c r="J1131" s="259"/>
      <c r="K1131" s="260">
        <f t="shared" si="39"/>
        <v>0.59400000000000008</v>
      </c>
      <c r="L1131" s="266" t="s">
        <v>1557</v>
      </c>
    </row>
    <row r="1132" spans="2:12">
      <c r="B1132" s="256" t="s">
        <v>1415</v>
      </c>
      <c r="C1132" s="250" t="s">
        <v>1521</v>
      </c>
      <c r="D1132" s="205" t="s">
        <v>110</v>
      </c>
      <c r="E1132" s="261">
        <v>0.55000000000000004</v>
      </c>
      <c r="F1132" s="261">
        <v>0.3</v>
      </c>
      <c r="G1132" s="261">
        <v>3.6</v>
      </c>
      <c r="H1132" s="261">
        <v>1</v>
      </c>
      <c r="I1132" s="261"/>
      <c r="J1132" s="259"/>
      <c r="K1132" s="260">
        <f t="shared" si="39"/>
        <v>0.59400000000000008</v>
      </c>
      <c r="L1132" s="266" t="s">
        <v>1557</v>
      </c>
    </row>
    <row r="1133" spans="2:12">
      <c r="B1133" s="256" t="s">
        <v>1416</v>
      </c>
      <c r="C1133" s="250" t="s">
        <v>1521</v>
      </c>
      <c r="D1133" s="205" t="s">
        <v>110</v>
      </c>
      <c r="E1133" s="261">
        <v>0.45</v>
      </c>
      <c r="F1133" s="261">
        <v>0.3</v>
      </c>
      <c r="G1133" s="261">
        <v>3.6</v>
      </c>
      <c r="H1133" s="261">
        <v>1</v>
      </c>
      <c r="I1133" s="261"/>
      <c r="J1133" s="259"/>
      <c r="K1133" s="260">
        <f t="shared" si="39"/>
        <v>0.48600000000000004</v>
      </c>
      <c r="L1133" s="266" t="s">
        <v>1557</v>
      </c>
    </row>
    <row r="1134" spans="2:12">
      <c r="B1134" s="256" t="s">
        <v>1417</v>
      </c>
      <c r="C1134" s="250" t="s">
        <v>1521</v>
      </c>
      <c r="D1134" s="205" t="s">
        <v>110</v>
      </c>
      <c r="E1134" s="261">
        <v>0.45</v>
      </c>
      <c r="F1134" s="261">
        <v>0.3</v>
      </c>
      <c r="G1134" s="261">
        <v>3.6</v>
      </c>
      <c r="H1134" s="261">
        <v>1</v>
      </c>
      <c r="I1134" s="261"/>
      <c r="J1134" s="259"/>
      <c r="K1134" s="260">
        <f t="shared" si="39"/>
        <v>0.48600000000000004</v>
      </c>
      <c r="L1134" s="266" t="s">
        <v>1557</v>
      </c>
    </row>
    <row r="1135" spans="2:12">
      <c r="B1135" s="256" t="s">
        <v>1418</v>
      </c>
      <c r="C1135" s="250" t="s">
        <v>1521</v>
      </c>
      <c r="D1135" s="205" t="s">
        <v>110</v>
      </c>
      <c r="E1135" s="261">
        <v>0.8</v>
      </c>
      <c r="F1135" s="261">
        <v>0.2</v>
      </c>
      <c r="G1135" s="261">
        <v>3.6</v>
      </c>
      <c r="H1135" s="261">
        <v>1</v>
      </c>
      <c r="I1135" s="261"/>
      <c r="J1135" s="259"/>
      <c r="K1135" s="260">
        <f t="shared" si="39"/>
        <v>0.57600000000000018</v>
      </c>
      <c r="L1135" s="266" t="s">
        <v>1557</v>
      </c>
    </row>
    <row r="1136" spans="2:12">
      <c r="B1136" s="249" t="s">
        <v>1389</v>
      </c>
      <c r="C1136" s="250" t="s">
        <v>1521</v>
      </c>
      <c r="D1136" s="205" t="s">
        <v>110</v>
      </c>
      <c r="E1136" s="199">
        <v>0.5</v>
      </c>
      <c r="F1136" s="199">
        <v>0.4</v>
      </c>
      <c r="G1136" s="199">
        <v>3.6</v>
      </c>
      <c r="H1136" s="199">
        <v>1</v>
      </c>
      <c r="I1136" s="199"/>
      <c r="J1136" s="253"/>
      <c r="K1136" s="254">
        <f t="shared" si="39"/>
        <v>0.72000000000000008</v>
      </c>
      <c r="L1136" s="255" t="s">
        <v>1558</v>
      </c>
    </row>
    <row r="1137" spans="2:12">
      <c r="B1137" s="256" t="s">
        <v>1390</v>
      </c>
      <c r="C1137" s="250" t="s">
        <v>1521</v>
      </c>
      <c r="D1137" s="205" t="s">
        <v>110</v>
      </c>
      <c r="E1137" s="261">
        <v>1</v>
      </c>
      <c r="F1137" s="261">
        <v>0.2</v>
      </c>
      <c r="G1137" s="261">
        <v>3.6</v>
      </c>
      <c r="H1137" s="261">
        <v>1</v>
      </c>
      <c r="I1137" s="261"/>
      <c r="J1137" s="259"/>
      <c r="K1137" s="260">
        <f t="shared" si="39"/>
        <v>0.72000000000000008</v>
      </c>
      <c r="L1137" s="266" t="s">
        <v>1558</v>
      </c>
    </row>
    <row r="1138" spans="2:12">
      <c r="B1138" s="256" t="s">
        <v>1391</v>
      </c>
      <c r="C1138" s="250" t="s">
        <v>1521</v>
      </c>
      <c r="D1138" s="205" t="s">
        <v>110</v>
      </c>
      <c r="E1138" s="261">
        <v>1</v>
      </c>
      <c r="F1138" s="261">
        <v>0.2</v>
      </c>
      <c r="G1138" s="261">
        <v>3.6</v>
      </c>
      <c r="H1138" s="261">
        <v>1</v>
      </c>
      <c r="I1138" s="261"/>
      <c r="J1138" s="259"/>
      <c r="K1138" s="260">
        <f t="shared" si="39"/>
        <v>0.72000000000000008</v>
      </c>
      <c r="L1138" s="266" t="s">
        <v>1558</v>
      </c>
    </row>
    <row r="1139" spans="2:12">
      <c r="B1139" s="256" t="s">
        <v>1392</v>
      </c>
      <c r="C1139" s="250" t="s">
        <v>1521</v>
      </c>
      <c r="D1139" s="205" t="s">
        <v>110</v>
      </c>
      <c r="E1139" s="261">
        <v>0.4</v>
      </c>
      <c r="F1139" s="261">
        <v>0.4</v>
      </c>
      <c r="G1139" s="261">
        <v>3.6</v>
      </c>
      <c r="H1139" s="261">
        <v>1</v>
      </c>
      <c r="I1139" s="261"/>
      <c r="J1139" s="259"/>
      <c r="K1139" s="260">
        <f t="shared" si="39"/>
        <v>0.57600000000000018</v>
      </c>
      <c r="L1139" s="266" t="s">
        <v>1558</v>
      </c>
    </row>
    <row r="1140" spans="2:12">
      <c r="B1140" s="256" t="s">
        <v>1394</v>
      </c>
      <c r="C1140" s="250" t="s">
        <v>1521</v>
      </c>
      <c r="D1140" s="205" t="s">
        <v>110</v>
      </c>
      <c r="E1140" s="261">
        <v>0.4</v>
      </c>
      <c r="F1140" s="261">
        <v>0.4</v>
      </c>
      <c r="G1140" s="261">
        <v>3.6</v>
      </c>
      <c r="H1140" s="261">
        <v>1</v>
      </c>
      <c r="I1140" s="261"/>
      <c r="J1140" s="259"/>
      <c r="K1140" s="260">
        <f t="shared" si="39"/>
        <v>0.57600000000000018</v>
      </c>
      <c r="L1140" s="266" t="s">
        <v>1558</v>
      </c>
    </row>
    <row r="1141" spans="2:12">
      <c r="B1141" s="256" t="s">
        <v>1395</v>
      </c>
      <c r="C1141" s="250" t="s">
        <v>1521</v>
      </c>
      <c r="D1141" s="205" t="s">
        <v>110</v>
      </c>
      <c r="E1141" s="199">
        <v>0.5</v>
      </c>
      <c r="F1141" s="199">
        <v>0.4</v>
      </c>
      <c r="G1141" s="261">
        <v>3.6</v>
      </c>
      <c r="H1141" s="261">
        <v>1</v>
      </c>
      <c r="I1141" s="261"/>
      <c r="J1141" s="259"/>
      <c r="K1141" s="260">
        <f t="shared" si="39"/>
        <v>0.72000000000000008</v>
      </c>
      <c r="L1141" s="266" t="s">
        <v>1558</v>
      </c>
    </row>
    <row r="1142" spans="2:12">
      <c r="B1142" s="256" t="s">
        <v>1396</v>
      </c>
      <c r="C1142" s="250" t="s">
        <v>1521</v>
      </c>
      <c r="D1142" s="205" t="s">
        <v>110</v>
      </c>
      <c r="E1142" s="199">
        <v>0.5</v>
      </c>
      <c r="F1142" s="199">
        <v>0.4</v>
      </c>
      <c r="G1142" s="261">
        <v>3.6</v>
      </c>
      <c r="H1142" s="261">
        <v>1</v>
      </c>
      <c r="I1142" s="261"/>
      <c r="J1142" s="259"/>
      <c r="K1142" s="260">
        <f t="shared" si="39"/>
        <v>0.72000000000000008</v>
      </c>
      <c r="L1142" s="266" t="s">
        <v>1558</v>
      </c>
    </row>
    <row r="1143" spans="2:12">
      <c r="B1143" s="256" t="s">
        <v>1397</v>
      </c>
      <c r="C1143" s="250" t="s">
        <v>1521</v>
      </c>
      <c r="D1143" s="205" t="s">
        <v>110</v>
      </c>
      <c r="E1143" s="261">
        <v>1</v>
      </c>
      <c r="F1143" s="261">
        <v>0.2</v>
      </c>
      <c r="G1143" s="261">
        <v>3.6</v>
      </c>
      <c r="H1143" s="261">
        <v>1</v>
      </c>
      <c r="I1143" s="261"/>
      <c r="J1143" s="259"/>
      <c r="K1143" s="260">
        <f t="shared" si="39"/>
        <v>0.72000000000000008</v>
      </c>
      <c r="L1143" s="266" t="s">
        <v>1558</v>
      </c>
    </row>
    <row r="1144" spans="2:12">
      <c r="B1144" s="256" t="s">
        <v>1399</v>
      </c>
      <c r="C1144" s="250" t="s">
        <v>1521</v>
      </c>
      <c r="D1144" s="205" t="s">
        <v>110</v>
      </c>
      <c r="E1144" s="261">
        <v>0.4</v>
      </c>
      <c r="F1144" s="261">
        <v>0.4</v>
      </c>
      <c r="G1144" s="261">
        <v>3.6</v>
      </c>
      <c r="H1144" s="261">
        <v>1</v>
      </c>
      <c r="I1144" s="261"/>
      <c r="J1144" s="259"/>
      <c r="K1144" s="260">
        <f t="shared" si="39"/>
        <v>0.57600000000000018</v>
      </c>
      <c r="L1144" s="266" t="s">
        <v>1558</v>
      </c>
    </row>
    <row r="1145" spans="2:12">
      <c r="B1145" s="256" t="s">
        <v>1400</v>
      </c>
      <c r="C1145" s="250" t="s">
        <v>1521</v>
      </c>
      <c r="D1145" s="205" t="s">
        <v>110</v>
      </c>
      <c r="E1145" s="199">
        <v>0.5</v>
      </c>
      <c r="F1145" s="199">
        <v>0.4</v>
      </c>
      <c r="G1145" s="261">
        <v>3.6</v>
      </c>
      <c r="H1145" s="261">
        <v>1</v>
      </c>
      <c r="I1145" s="261"/>
      <c r="J1145" s="259"/>
      <c r="K1145" s="260">
        <f t="shared" si="39"/>
        <v>0.72000000000000008</v>
      </c>
      <c r="L1145" s="266" t="s">
        <v>1558</v>
      </c>
    </row>
    <row r="1146" spans="2:12">
      <c r="B1146" s="256" t="s">
        <v>1401</v>
      </c>
      <c r="C1146" s="250" t="s">
        <v>1521</v>
      </c>
      <c r="D1146" s="205" t="s">
        <v>110</v>
      </c>
      <c r="E1146" s="199">
        <v>0.5</v>
      </c>
      <c r="F1146" s="199">
        <v>0.4</v>
      </c>
      <c r="G1146" s="261">
        <v>3.6</v>
      </c>
      <c r="H1146" s="261">
        <v>1</v>
      </c>
      <c r="I1146" s="261"/>
      <c r="J1146" s="259"/>
      <c r="K1146" s="260">
        <f t="shared" si="39"/>
        <v>0.72000000000000008</v>
      </c>
      <c r="L1146" s="266" t="s">
        <v>1558</v>
      </c>
    </row>
    <row r="1147" spans="2:12">
      <c r="B1147" s="256" t="s">
        <v>1402</v>
      </c>
      <c r="C1147" s="250" t="s">
        <v>1521</v>
      </c>
      <c r="D1147" s="205" t="s">
        <v>110</v>
      </c>
      <c r="E1147" s="261">
        <v>1</v>
      </c>
      <c r="F1147" s="261">
        <v>0.2</v>
      </c>
      <c r="G1147" s="261">
        <v>3.6</v>
      </c>
      <c r="H1147" s="261">
        <v>1</v>
      </c>
      <c r="I1147" s="261"/>
      <c r="J1147" s="259"/>
      <c r="K1147" s="260">
        <f t="shared" si="39"/>
        <v>0.72000000000000008</v>
      </c>
      <c r="L1147" s="266" t="s">
        <v>1558</v>
      </c>
    </row>
    <row r="1148" spans="2:12">
      <c r="B1148" s="256" t="s">
        <v>1404</v>
      </c>
      <c r="C1148" s="250" t="s">
        <v>1611</v>
      </c>
      <c r="D1148" s="205" t="s">
        <v>110</v>
      </c>
      <c r="E1148" s="261">
        <v>0.2</v>
      </c>
      <c r="F1148" s="261">
        <v>0.6</v>
      </c>
      <c r="G1148" s="261">
        <v>3.6</v>
      </c>
      <c r="H1148" s="261">
        <v>1</v>
      </c>
      <c r="I1148" s="261"/>
      <c r="J1148" s="259"/>
      <c r="K1148" s="260">
        <f t="shared" si="39"/>
        <v>0.432</v>
      </c>
      <c r="L1148" s="266" t="s">
        <v>1558</v>
      </c>
    </row>
    <row r="1149" spans="2:12">
      <c r="B1149" s="256" t="s">
        <v>1405</v>
      </c>
      <c r="C1149" s="250" t="s">
        <v>1611</v>
      </c>
      <c r="D1149" s="205" t="s">
        <v>110</v>
      </c>
      <c r="E1149" s="261">
        <v>0.2</v>
      </c>
      <c r="F1149" s="261">
        <v>0.6</v>
      </c>
      <c r="G1149" s="261">
        <v>3.6</v>
      </c>
      <c r="H1149" s="261">
        <v>1</v>
      </c>
      <c r="I1149" s="261"/>
      <c r="J1149" s="259"/>
      <c r="K1149" s="260">
        <f t="shared" si="39"/>
        <v>0.432</v>
      </c>
      <c r="L1149" s="266" t="s">
        <v>1558</v>
      </c>
    </row>
    <row r="1150" spans="2:12">
      <c r="B1150" s="256" t="s">
        <v>1406</v>
      </c>
      <c r="C1150" s="250" t="s">
        <v>1611</v>
      </c>
      <c r="D1150" s="205" t="s">
        <v>110</v>
      </c>
      <c r="E1150" s="261">
        <v>0.4</v>
      </c>
      <c r="F1150" s="261">
        <v>0.4</v>
      </c>
      <c r="G1150" s="261">
        <v>3.6</v>
      </c>
      <c r="H1150" s="261">
        <v>1</v>
      </c>
      <c r="I1150" s="261"/>
      <c r="J1150" s="259"/>
      <c r="K1150" s="260">
        <f t="shared" si="39"/>
        <v>0.57600000000000018</v>
      </c>
      <c r="L1150" s="266" t="s">
        <v>1558</v>
      </c>
    </row>
    <row r="1151" spans="2:12">
      <c r="B1151" s="256" t="s">
        <v>1407</v>
      </c>
      <c r="C1151" s="250" t="s">
        <v>1611</v>
      </c>
      <c r="D1151" s="205" t="s">
        <v>110</v>
      </c>
      <c r="E1151" s="261">
        <v>0.5</v>
      </c>
      <c r="F1151" s="261">
        <v>0.4</v>
      </c>
      <c r="G1151" s="261">
        <v>3.6</v>
      </c>
      <c r="H1151" s="261">
        <v>1</v>
      </c>
      <c r="I1151" s="261"/>
      <c r="J1151" s="259"/>
      <c r="K1151" s="260">
        <f t="shared" si="39"/>
        <v>0.72000000000000008</v>
      </c>
      <c r="L1151" s="266" t="s">
        <v>1558</v>
      </c>
    </row>
    <row r="1152" spans="2:12">
      <c r="B1152" s="256" t="s">
        <v>1408</v>
      </c>
      <c r="C1152" s="250" t="s">
        <v>1611</v>
      </c>
      <c r="D1152" s="205" t="s">
        <v>110</v>
      </c>
      <c r="E1152" s="261">
        <v>0.5</v>
      </c>
      <c r="F1152" s="261">
        <v>0.4</v>
      </c>
      <c r="G1152" s="261">
        <v>3.6</v>
      </c>
      <c r="H1152" s="261">
        <v>1</v>
      </c>
      <c r="I1152" s="261"/>
      <c r="J1152" s="259"/>
      <c r="K1152" s="260">
        <f t="shared" si="39"/>
        <v>0.72000000000000008</v>
      </c>
      <c r="L1152" s="266" t="s">
        <v>1558</v>
      </c>
    </row>
    <row r="1153" spans="2:12">
      <c r="B1153" s="256" t="s">
        <v>1409</v>
      </c>
      <c r="C1153" s="250" t="s">
        <v>1611</v>
      </c>
      <c r="D1153" s="205" t="s">
        <v>110</v>
      </c>
      <c r="E1153" s="261">
        <v>0.2</v>
      </c>
      <c r="F1153" s="261">
        <v>1</v>
      </c>
      <c r="G1153" s="261">
        <v>3.6</v>
      </c>
      <c r="H1153" s="261">
        <v>1</v>
      </c>
      <c r="I1153" s="261"/>
      <c r="J1153" s="259"/>
      <c r="K1153" s="260">
        <f t="shared" si="39"/>
        <v>0.72000000000000008</v>
      </c>
      <c r="L1153" s="266" t="s">
        <v>1558</v>
      </c>
    </row>
    <row r="1154" spans="2:12">
      <c r="B1154" s="256" t="s">
        <v>1410</v>
      </c>
      <c r="C1154" s="250" t="s">
        <v>1611</v>
      </c>
      <c r="D1154" s="205" t="s">
        <v>110</v>
      </c>
      <c r="E1154" s="261">
        <v>0.45</v>
      </c>
      <c r="F1154" s="261">
        <v>0.3</v>
      </c>
      <c r="G1154" s="261">
        <v>3.6</v>
      </c>
      <c r="H1154" s="261">
        <v>1</v>
      </c>
      <c r="I1154" s="261"/>
      <c r="J1154" s="259"/>
      <c r="K1154" s="260">
        <f t="shared" si="39"/>
        <v>0.48600000000000004</v>
      </c>
      <c r="L1154" s="266" t="s">
        <v>1558</v>
      </c>
    </row>
    <row r="1155" spans="2:12">
      <c r="B1155" s="256" t="s">
        <v>1412</v>
      </c>
      <c r="C1155" s="250" t="s">
        <v>1611</v>
      </c>
      <c r="D1155" s="205" t="s">
        <v>110</v>
      </c>
      <c r="E1155" s="261">
        <v>0.55000000000000004</v>
      </c>
      <c r="F1155" s="261">
        <v>0.3</v>
      </c>
      <c r="G1155" s="261">
        <v>3.6</v>
      </c>
      <c r="H1155" s="261">
        <v>1</v>
      </c>
      <c r="I1155" s="261"/>
      <c r="J1155" s="259"/>
      <c r="K1155" s="260">
        <f t="shared" si="39"/>
        <v>0.59400000000000008</v>
      </c>
      <c r="L1155" s="266" t="s">
        <v>1558</v>
      </c>
    </row>
    <row r="1156" spans="2:12">
      <c r="B1156" s="256" t="s">
        <v>1414</v>
      </c>
      <c r="C1156" s="250" t="s">
        <v>1611</v>
      </c>
      <c r="D1156" s="205" t="s">
        <v>110</v>
      </c>
      <c r="E1156" s="261">
        <v>0.55000000000000004</v>
      </c>
      <c r="F1156" s="261">
        <v>0.3</v>
      </c>
      <c r="G1156" s="261">
        <v>3.6</v>
      </c>
      <c r="H1156" s="261">
        <v>1</v>
      </c>
      <c r="I1156" s="261"/>
      <c r="J1156" s="259"/>
      <c r="K1156" s="260">
        <f t="shared" si="39"/>
        <v>0.59400000000000008</v>
      </c>
      <c r="L1156" s="266" t="s">
        <v>1558</v>
      </c>
    </row>
    <row r="1157" spans="2:12">
      <c r="B1157" s="256" t="s">
        <v>1416</v>
      </c>
      <c r="C1157" s="250" t="s">
        <v>1611</v>
      </c>
      <c r="D1157" s="205" t="s">
        <v>110</v>
      </c>
      <c r="E1157" s="261">
        <v>0.45</v>
      </c>
      <c r="F1157" s="261">
        <v>0.3</v>
      </c>
      <c r="G1157" s="261">
        <v>3.6</v>
      </c>
      <c r="H1157" s="261">
        <v>1</v>
      </c>
      <c r="I1157" s="261"/>
      <c r="J1157" s="259"/>
      <c r="K1157" s="260">
        <f t="shared" si="39"/>
        <v>0.48600000000000004</v>
      </c>
      <c r="L1157" s="266" t="s">
        <v>1558</v>
      </c>
    </row>
    <row r="1158" spans="2:12">
      <c r="B1158" s="256" t="s">
        <v>1418</v>
      </c>
      <c r="C1158" s="250" t="s">
        <v>1611</v>
      </c>
      <c r="D1158" s="205" t="s">
        <v>110</v>
      </c>
      <c r="E1158" s="261">
        <v>0.2</v>
      </c>
      <c r="F1158" s="261">
        <v>0.8</v>
      </c>
      <c r="G1158" s="261">
        <v>3.6</v>
      </c>
      <c r="H1158" s="261">
        <v>1</v>
      </c>
      <c r="I1158" s="261"/>
      <c r="J1158" s="259"/>
      <c r="K1158" s="260">
        <f t="shared" si="39"/>
        <v>0.57600000000000018</v>
      </c>
      <c r="L1158" s="266" t="s">
        <v>1558</v>
      </c>
    </row>
    <row r="1159" spans="2:12">
      <c r="B1159" s="256" t="s">
        <v>1411</v>
      </c>
      <c r="C1159" s="250" t="s">
        <v>1611</v>
      </c>
      <c r="D1159" s="205" t="s">
        <v>110</v>
      </c>
      <c r="E1159" s="261">
        <v>0.45</v>
      </c>
      <c r="F1159" s="261">
        <v>0.3</v>
      </c>
      <c r="G1159" s="261">
        <v>3.6</v>
      </c>
      <c r="H1159" s="261">
        <v>1</v>
      </c>
      <c r="I1159" s="261"/>
      <c r="J1159" s="259"/>
      <c r="K1159" s="260">
        <f t="shared" si="39"/>
        <v>0.48600000000000004</v>
      </c>
      <c r="L1159" s="266" t="s">
        <v>1682</v>
      </c>
    </row>
    <row r="1160" spans="2:12">
      <c r="B1160" s="256" t="s">
        <v>1413</v>
      </c>
      <c r="C1160" s="250" t="s">
        <v>1611</v>
      </c>
      <c r="D1160" s="205" t="s">
        <v>110</v>
      </c>
      <c r="E1160" s="261">
        <v>0.55000000000000004</v>
      </c>
      <c r="F1160" s="261">
        <v>0.3</v>
      </c>
      <c r="G1160" s="261">
        <v>3.6</v>
      </c>
      <c r="H1160" s="261">
        <v>1</v>
      </c>
      <c r="I1160" s="261"/>
      <c r="J1160" s="259"/>
      <c r="K1160" s="260">
        <f t="shared" si="39"/>
        <v>0.59400000000000008</v>
      </c>
      <c r="L1160" s="266" t="s">
        <v>1682</v>
      </c>
    </row>
    <row r="1161" spans="2:12">
      <c r="B1161" s="256" t="s">
        <v>1415</v>
      </c>
      <c r="C1161" s="250" t="s">
        <v>1611</v>
      </c>
      <c r="D1161" s="205" t="s">
        <v>110</v>
      </c>
      <c r="E1161" s="261">
        <v>0.55000000000000004</v>
      </c>
      <c r="F1161" s="261">
        <v>0.3</v>
      </c>
      <c r="G1161" s="261">
        <v>3.6</v>
      </c>
      <c r="H1161" s="261">
        <v>1</v>
      </c>
      <c r="I1161" s="261"/>
      <c r="J1161" s="259"/>
      <c r="K1161" s="260">
        <f t="shared" si="39"/>
        <v>0.59400000000000008</v>
      </c>
      <c r="L1161" s="266" t="s">
        <v>1682</v>
      </c>
    </row>
    <row r="1162" spans="2:12">
      <c r="B1162" s="256" t="s">
        <v>1417</v>
      </c>
      <c r="C1162" s="250" t="s">
        <v>1611</v>
      </c>
      <c r="D1162" s="205" t="s">
        <v>110</v>
      </c>
      <c r="E1162" s="261">
        <v>0.45</v>
      </c>
      <c r="F1162" s="261">
        <v>0.3</v>
      </c>
      <c r="G1162" s="261">
        <v>3.6</v>
      </c>
      <c r="H1162" s="261">
        <v>1</v>
      </c>
      <c r="I1162" s="261"/>
      <c r="J1162" s="259"/>
      <c r="K1162" s="260">
        <f t="shared" si="39"/>
        <v>0.48600000000000004</v>
      </c>
      <c r="L1162" s="266" t="s">
        <v>1682</v>
      </c>
    </row>
    <row r="1163" spans="2:12">
      <c r="B1163" s="256" t="s">
        <v>1419</v>
      </c>
      <c r="C1163" s="250" t="s">
        <v>1611</v>
      </c>
      <c r="D1163" s="205" t="s">
        <v>110</v>
      </c>
      <c r="E1163" s="261">
        <v>0.2</v>
      </c>
      <c r="F1163" s="261">
        <v>0.8</v>
      </c>
      <c r="G1163" s="261">
        <v>3.6</v>
      </c>
      <c r="H1163" s="261">
        <v>1</v>
      </c>
      <c r="I1163" s="261"/>
      <c r="J1163" s="259"/>
      <c r="K1163" s="260">
        <f t="shared" si="39"/>
        <v>0.57600000000000018</v>
      </c>
      <c r="L1163" s="266" t="s">
        <v>1682</v>
      </c>
    </row>
    <row r="1164" spans="2:12">
      <c r="B1164" s="256" t="s">
        <v>1420</v>
      </c>
      <c r="C1164" s="250" t="s">
        <v>1611</v>
      </c>
      <c r="D1164" s="205" t="s">
        <v>110</v>
      </c>
      <c r="E1164" s="261">
        <v>0.3</v>
      </c>
      <c r="F1164" s="261">
        <v>0.8</v>
      </c>
      <c r="G1164" s="261">
        <v>3.6</v>
      </c>
      <c r="H1164" s="261">
        <v>1</v>
      </c>
      <c r="I1164" s="261"/>
      <c r="J1164" s="259"/>
      <c r="K1164" s="260">
        <f t="shared" si="39"/>
        <v>0.86399999999999999</v>
      </c>
      <c r="L1164" s="266" t="s">
        <v>1682</v>
      </c>
    </row>
    <row r="1165" spans="2:12">
      <c r="B1165" s="256" t="s">
        <v>1421</v>
      </c>
      <c r="C1165" s="250" t="s">
        <v>1611</v>
      </c>
      <c r="D1165" s="205" t="s">
        <v>110</v>
      </c>
      <c r="E1165" s="261">
        <v>0.2</v>
      </c>
      <c r="F1165" s="261">
        <v>0.8</v>
      </c>
      <c r="G1165" s="261">
        <v>3.6</v>
      </c>
      <c r="H1165" s="261">
        <v>1</v>
      </c>
      <c r="I1165" s="261"/>
      <c r="J1165" s="259"/>
      <c r="K1165" s="260">
        <f t="shared" si="39"/>
        <v>0.57600000000000018</v>
      </c>
      <c r="L1165" s="266" t="s">
        <v>1682</v>
      </c>
    </row>
    <row r="1166" spans="2:12">
      <c r="B1166" s="256" t="s">
        <v>1422</v>
      </c>
      <c r="C1166" s="250" t="s">
        <v>1611</v>
      </c>
      <c r="D1166" s="205" t="s">
        <v>110</v>
      </c>
      <c r="E1166" s="261">
        <v>0.3</v>
      </c>
      <c r="F1166" s="261">
        <v>0.8</v>
      </c>
      <c r="G1166" s="261">
        <v>3.6</v>
      </c>
      <c r="H1166" s="261">
        <v>1</v>
      </c>
      <c r="I1166" s="261"/>
      <c r="J1166" s="259"/>
      <c r="K1166" s="260">
        <f t="shared" si="39"/>
        <v>0.86399999999999999</v>
      </c>
      <c r="L1166" s="266" t="s">
        <v>1682</v>
      </c>
    </row>
    <row r="1167" spans="2:12">
      <c r="B1167" s="256" t="s">
        <v>1423</v>
      </c>
      <c r="C1167" s="250" t="s">
        <v>1611</v>
      </c>
      <c r="D1167" s="205" t="s">
        <v>110</v>
      </c>
      <c r="E1167" s="261">
        <v>0.4</v>
      </c>
      <c r="F1167" s="261">
        <v>0.7</v>
      </c>
      <c r="G1167" s="261">
        <v>3.6</v>
      </c>
      <c r="H1167" s="261">
        <v>1</v>
      </c>
      <c r="I1167" s="261"/>
      <c r="J1167" s="259"/>
      <c r="K1167" s="260">
        <f t="shared" si="39"/>
        <v>1.008</v>
      </c>
      <c r="L1167" s="266" t="s">
        <v>1682</v>
      </c>
    </row>
    <row r="1168" spans="2:12">
      <c r="B1168" s="256" t="s">
        <v>1424</v>
      </c>
      <c r="C1168" s="250" t="s">
        <v>1611</v>
      </c>
      <c r="D1168" s="205" t="s">
        <v>110</v>
      </c>
      <c r="E1168" s="261">
        <v>0.5</v>
      </c>
      <c r="F1168" s="261">
        <v>0.7</v>
      </c>
      <c r="G1168" s="261">
        <v>3.6</v>
      </c>
      <c r="H1168" s="261">
        <v>1</v>
      </c>
      <c r="I1168" s="261"/>
      <c r="J1168" s="259"/>
      <c r="K1168" s="260">
        <f t="shared" si="39"/>
        <v>1.26</v>
      </c>
      <c r="L1168" s="266" t="s">
        <v>1682</v>
      </c>
    </row>
    <row r="1169" spans="2:12">
      <c r="B1169" s="256" t="s">
        <v>1425</v>
      </c>
      <c r="C1169" s="250" t="s">
        <v>1611</v>
      </c>
      <c r="D1169" s="205" t="s">
        <v>110</v>
      </c>
      <c r="E1169" s="261">
        <v>0.5</v>
      </c>
      <c r="F1169" s="261">
        <v>0.7</v>
      </c>
      <c r="G1169" s="261">
        <v>3.6</v>
      </c>
      <c r="H1169" s="261">
        <v>1</v>
      </c>
      <c r="I1169" s="261"/>
      <c r="J1169" s="259"/>
      <c r="K1169" s="260">
        <f t="shared" si="39"/>
        <v>1.26</v>
      </c>
      <c r="L1169" s="266" t="s">
        <v>1682</v>
      </c>
    </row>
    <row r="1170" spans="2:12">
      <c r="B1170" s="256" t="s">
        <v>1426</v>
      </c>
      <c r="C1170" s="250" t="s">
        <v>1611</v>
      </c>
      <c r="D1170" s="205" t="s">
        <v>110</v>
      </c>
      <c r="E1170" s="261">
        <v>0.4</v>
      </c>
      <c r="F1170" s="261">
        <v>0.5</v>
      </c>
      <c r="G1170" s="261">
        <v>3.6</v>
      </c>
      <c r="H1170" s="261">
        <v>1</v>
      </c>
      <c r="I1170" s="261"/>
      <c r="J1170" s="259"/>
      <c r="K1170" s="260">
        <f t="shared" si="39"/>
        <v>0.72000000000000008</v>
      </c>
      <c r="L1170" s="266" t="s">
        <v>1682</v>
      </c>
    </row>
    <row r="1171" spans="2:12">
      <c r="B1171" s="256" t="s">
        <v>1485</v>
      </c>
      <c r="C1171" s="250" t="s">
        <v>1611</v>
      </c>
      <c r="D1171" s="205" t="s">
        <v>110</v>
      </c>
      <c r="E1171" s="261">
        <v>0.6</v>
      </c>
      <c r="F1171" s="261">
        <v>0.4</v>
      </c>
      <c r="G1171" s="261">
        <v>3.6</v>
      </c>
      <c r="H1171" s="261">
        <v>1</v>
      </c>
      <c r="I1171" s="261"/>
      <c r="J1171" s="259"/>
      <c r="K1171" s="260">
        <f t="shared" si="39"/>
        <v>0.86399999999999999</v>
      </c>
      <c r="L1171" s="266" t="s">
        <v>1682</v>
      </c>
    </row>
    <row r="1172" spans="2:12">
      <c r="B1172" s="256" t="s">
        <v>1486</v>
      </c>
      <c r="C1172" s="250" t="s">
        <v>1611</v>
      </c>
      <c r="D1172" s="205" t="s">
        <v>110</v>
      </c>
      <c r="E1172" s="261">
        <v>0.2</v>
      </c>
      <c r="F1172" s="261">
        <v>2.94</v>
      </c>
      <c r="G1172" s="261">
        <v>3.6</v>
      </c>
      <c r="H1172" s="261">
        <v>1</v>
      </c>
      <c r="I1172" s="261"/>
      <c r="J1172" s="259"/>
      <c r="K1172" s="260">
        <f t="shared" si="39"/>
        <v>2.1168</v>
      </c>
      <c r="L1172" s="266" t="s">
        <v>1682</v>
      </c>
    </row>
    <row r="1173" spans="2:12">
      <c r="B1173" s="256" t="s">
        <v>1487</v>
      </c>
      <c r="C1173" s="250" t="s">
        <v>1611</v>
      </c>
      <c r="D1173" s="205" t="s">
        <v>110</v>
      </c>
      <c r="E1173" s="261">
        <v>0.2</v>
      </c>
      <c r="F1173" s="261">
        <v>2.94</v>
      </c>
      <c r="G1173" s="261">
        <v>3.6</v>
      </c>
      <c r="H1173" s="261">
        <v>1</v>
      </c>
      <c r="I1173" s="261"/>
      <c r="J1173" s="259"/>
      <c r="K1173" s="260">
        <f t="shared" si="39"/>
        <v>2.1168</v>
      </c>
      <c r="L1173" s="266" t="s">
        <v>1682</v>
      </c>
    </row>
    <row r="1174" spans="2:12">
      <c r="B1174" s="256" t="s">
        <v>1488</v>
      </c>
      <c r="C1174" s="250" t="s">
        <v>1611</v>
      </c>
      <c r="D1174" s="205" t="s">
        <v>110</v>
      </c>
      <c r="E1174" s="261">
        <v>0.6</v>
      </c>
      <c r="F1174" s="261">
        <v>0.5</v>
      </c>
      <c r="G1174" s="261">
        <v>3.6</v>
      </c>
      <c r="H1174" s="261">
        <v>1</v>
      </c>
      <c r="I1174" s="261"/>
      <c r="J1174" s="259"/>
      <c r="K1174" s="260">
        <f t="shared" si="39"/>
        <v>1.08</v>
      </c>
      <c r="L1174" s="266" t="s">
        <v>1682</v>
      </c>
    </row>
    <row r="1175" spans="2:12">
      <c r="B1175" s="256" t="s">
        <v>1489</v>
      </c>
      <c r="C1175" s="250" t="s">
        <v>1611</v>
      </c>
      <c r="D1175" s="205" t="s">
        <v>110</v>
      </c>
      <c r="E1175" s="261">
        <v>0.4</v>
      </c>
      <c r="F1175" s="261">
        <v>0.4</v>
      </c>
      <c r="G1175" s="261">
        <v>3.6</v>
      </c>
      <c r="H1175" s="261">
        <v>1</v>
      </c>
      <c r="I1175" s="261"/>
      <c r="J1175" s="259"/>
      <c r="K1175" s="260">
        <f t="shared" si="39"/>
        <v>0.57600000000000018</v>
      </c>
      <c r="L1175" s="266" t="s">
        <v>1682</v>
      </c>
    </row>
    <row r="1176" spans="2:12">
      <c r="B1176" s="256" t="s">
        <v>1490</v>
      </c>
      <c r="C1176" s="250" t="s">
        <v>1611</v>
      </c>
      <c r="D1176" s="205" t="s">
        <v>110</v>
      </c>
      <c r="E1176" s="261">
        <v>0.2</v>
      </c>
      <c r="F1176" s="261">
        <v>0.8</v>
      </c>
      <c r="G1176" s="261">
        <v>3.6</v>
      </c>
      <c r="H1176" s="261">
        <v>1</v>
      </c>
      <c r="I1176" s="261"/>
      <c r="J1176" s="259"/>
      <c r="K1176" s="260">
        <f t="shared" si="39"/>
        <v>0.57600000000000018</v>
      </c>
      <c r="L1176" s="266" t="s">
        <v>1682</v>
      </c>
    </row>
    <row r="1177" spans="2:12">
      <c r="B1177" s="256" t="s">
        <v>1493</v>
      </c>
      <c r="C1177" s="250" t="s">
        <v>1611</v>
      </c>
      <c r="D1177" s="205" t="s">
        <v>110</v>
      </c>
      <c r="E1177" s="261">
        <v>0.4</v>
      </c>
      <c r="F1177" s="261">
        <v>0.4</v>
      </c>
      <c r="G1177" s="261">
        <v>3.6</v>
      </c>
      <c r="H1177" s="261">
        <v>1</v>
      </c>
      <c r="I1177" s="261"/>
      <c r="J1177" s="259"/>
      <c r="K1177" s="260">
        <f t="shared" si="39"/>
        <v>0.57600000000000018</v>
      </c>
      <c r="L1177" s="266" t="s">
        <v>1682</v>
      </c>
    </row>
    <row r="1178" spans="2:12">
      <c r="B1178" s="256" t="s">
        <v>1494</v>
      </c>
      <c r="C1178" s="250" t="s">
        <v>1611</v>
      </c>
      <c r="D1178" s="205" t="s">
        <v>110</v>
      </c>
      <c r="E1178" s="261">
        <v>0.4</v>
      </c>
      <c r="F1178" s="261">
        <v>0.4</v>
      </c>
      <c r="G1178" s="261">
        <v>3.6</v>
      </c>
      <c r="H1178" s="261">
        <v>1</v>
      </c>
      <c r="I1178" s="261"/>
      <c r="J1178" s="259"/>
      <c r="K1178" s="260">
        <f t="shared" si="39"/>
        <v>0.57600000000000018</v>
      </c>
      <c r="L1178" s="266" t="s">
        <v>1682</v>
      </c>
    </row>
    <row r="1179" spans="2:12">
      <c r="B1179" s="256" t="s">
        <v>1495</v>
      </c>
      <c r="C1179" s="250" t="s">
        <v>1611</v>
      </c>
      <c r="D1179" s="205" t="s">
        <v>110</v>
      </c>
      <c r="E1179" s="261">
        <v>0.4</v>
      </c>
      <c r="F1179" s="261">
        <v>0.4</v>
      </c>
      <c r="G1179" s="261">
        <v>3.6</v>
      </c>
      <c r="H1179" s="261">
        <v>1</v>
      </c>
      <c r="I1179" s="261"/>
      <c r="J1179" s="259"/>
      <c r="K1179" s="260">
        <f t="shared" si="39"/>
        <v>0.57600000000000018</v>
      </c>
      <c r="L1179" s="266" t="s">
        <v>1682</v>
      </c>
    </row>
    <row r="1180" spans="2:12">
      <c r="B1180" s="256" t="s">
        <v>1389</v>
      </c>
      <c r="C1180" s="264" t="s">
        <v>1612</v>
      </c>
      <c r="D1180" s="210" t="s">
        <v>110</v>
      </c>
      <c r="E1180" s="261">
        <v>0.5</v>
      </c>
      <c r="F1180" s="261">
        <v>0.4</v>
      </c>
      <c r="G1180" s="261">
        <v>3.6</v>
      </c>
      <c r="H1180" s="261">
        <v>1</v>
      </c>
      <c r="I1180" s="261"/>
      <c r="J1180" s="259"/>
      <c r="K1180" s="260">
        <f t="shared" si="39"/>
        <v>0.72000000000000008</v>
      </c>
      <c r="L1180" s="266" t="s">
        <v>1683</v>
      </c>
    </row>
    <row r="1181" spans="2:12">
      <c r="B1181" s="256" t="s">
        <v>1390</v>
      </c>
      <c r="C1181" s="264" t="s">
        <v>1612</v>
      </c>
      <c r="D1181" s="210" t="s">
        <v>110</v>
      </c>
      <c r="E1181" s="261">
        <v>1</v>
      </c>
      <c r="F1181" s="261">
        <v>0.2</v>
      </c>
      <c r="G1181" s="261">
        <v>3.6</v>
      </c>
      <c r="H1181" s="261">
        <v>1</v>
      </c>
      <c r="I1181" s="261"/>
      <c r="J1181" s="259"/>
      <c r="K1181" s="260">
        <f t="shared" ref="K1181:K1244" si="40">IF(E1181*F1181*G1181&lt;&gt;0,E1181*F1181*G1181,IF(E1181*F1181&lt;&gt;0,E1181*F1181,IF(F1181*G1181&lt;&gt;0,F1181*G1181,IF(E1181*G1181&lt;&gt;0,E1181*G1181,IF(E1181&lt;&gt;0,E1181,IF(F1181&lt;&gt;0,F1181,IF(G1181&lt;&gt;0,G1181,0)))))))*(IF(H1181&lt;&gt;0,H1181,1))+I1181-J1181</f>
        <v>0.72000000000000008</v>
      </c>
      <c r="L1181" s="266" t="s">
        <v>1683</v>
      </c>
    </row>
    <row r="1182" spans="2:12">
      <c r="B1182" s="256" t="s">
        <v>1391</v>
      </c>
      <c r="C1182" s="264" t="s">
        <v>1612</v>
      </c>
      <c r="D1182" s="210" t="s">
        <v>110</v>
      </c>
      <c r="E1182" s="261">
        <v>1</v>
      </c>
      <c r="F1182" s="261">
        <v>0.2</v>
      </c>
      <c r="G1182" s="261">
        <v>3.6</v>
      </c>
      <c r="H1182" s="261">
        <v>1</v>
      </c>
      <c r="I1182" s="261"/>
      <c r="J1182" s="259"/>
      <c r="K1182" s="260">
        <f t="shared" si="40"/>
        <v>0.72000000000000008</v>
      </c>
      <c r="L1182" s="266" t="s">
        <v>1683</v>
      </c>
    </row>
    <row r="1183" spans="2:12">
      <c r="B1183" s="256" t="s">
        <v>1392</v>
      </c>
      <c r="C1183" s="264" t="s">
        <v>1612</v>
      </c>
      <c r="D1183" s="210" t="s">
        <v>110</v>
      </c>
      <c r="E1183" s="261">
        <v>0.4</v>
      </c>
      <c r="F1183" s="261">
        <v>0.4</v>
      </c>
      <c r="G1183" s="261">
        <v>3.6</v>
      </c>
      <c r="H1183" s="261">
        <v>1</v>
      </c>
      <c r="I1183" s="261"/>
      <c r="J1183" s="259"/>
      <c r="K1183" s="260">
        <f t="shared" si="40"/>
        <v>0.57600000000000018</v>
      </c>
      <c r="L1183" s="266" t="s">
        <v>1683</v>
      </c>
    </row>
    <row r="1184" spans="2:12">
      <c r="B1184" s="256" t="s">
        <v>1394</v>
      </c>
      <c r="C1184" s="264" t="s">
        <v>1612</v>
      </c>
      <c r="D1184" s="210" t="s">
        <v>110</v>
      </c>
      <c r="E1184" s="261">
        <v>0.4</v>
      </c>
      <c r="F1184" s="261">
        <v>0.4</v>
      </c>
      <c r="G1184" s="261">
        <v>3.6</v>
      </c>
      <c r="H1184" s="261">
        <v>1</v>
      </c>
      <c r="I1184" s="261"/>
      <c r="J1184" s="259"/>
      <c r="K1184" s="260">
        <f t="shared" si="40"/>
        <v>0.57600000000000018</v>
      </c>
      <c r="L1184" s="266" t="s">
        <v>1683</v>
      </c>
    </row>
    <row r="1185" spans="2:12">
      <c r="B1185" s="256" t="s">
        <v>1395</v>
      </c>
      <c r="C1185" s="264" t="s">
        <v>1612</v>
      </c>
      <c r="D1185" s="210" t="s">
        <v>110</v>
      </c>
      <c r="E1185" s="261">
        <v>0.5</v>
      </c>
      <c r="F1185" s="261">
        <v>0.4</v>
      </c>
      <c r="G1185" s="261">
        <v>3.6</v>
      </c>
      <c r="H1185" s="261">
        <v>1</v>
      </c>
      <c r="I1185" s="261"/>
      <c r="J1185" s="259"/>
      <c r="K1185" s="260">
        <f t="shared" si="40"/>
        <v>0.72000000000000008</v>
      </c>
      <c r="L1185" s="266" t="s">
        <v>1683</v>
      </c>
    </row>
    <row r="1186" spans="2:12">
      <c r="B1186" s="256" t="s">
        <v>1396</v>
      </c>
      <c r="C1186" s="264" t="s">
        <v>1612</v>
      </c>
      <c r="D1186" s="210" t="s">
        <v>110</v>
      </c>
      <c r="E1186" s="261">
        <v>0.5</v>
      </c>
      <c r="F1186" s="261">
        <v>0.4</v>
      </c>
      <c r="G1186" s="261">
        <v>3.6</v>
      </c>
      <c r="H1186" s="261">
        <v>1</v>
      </c>
      <c r="I1186" s="261"/>
      <c r="J1186" s="259"/>
      <c r="K1186" s="260">
        <f t="shared" si="40"/>
        <v>0.72000000000000008</v>
      </c>
      <c r="L1186" s="266" t="s">
        <v>1683</v>
      </c>
    </row>
    <row r="1187" spans="2:12">
      <c r="B1187" s="256" t="s">
        <v>1397</v>
      </c>
      <c r="C1187" s="264" t="s">
        <v>1612</v>
      </c>
      <c r="D1187" s="210" t="s">
        <v>110</v>
      </c>
      <c r="E1187" s="261">
        <v>1</v>
      </c>
      <c r="F1187" s="261">
        <v>0.2</v>
      </c>
      <c r="G1187" s="261">
        <v>3.6</v>
      </c>
      <c r="H1187" s="261">
        <v>1</v>
      </c>
      <c r="I1187" s="261"/>
      <c r="J1187" s="259"/>
      <c r="K1187" s="260">
        <f t="shared" si="40"/>
        <v>0.72000000000000008</v>
      </c>
      <c r="L1187" s="266" t="s">
        <v>1683</v>
      </c>
    </row>
    <row r="1188" spans="2:12">
      <c r="B1188" s="256" t="s">
        <v>1399</v>
      </c>
      <c r="C1188" s="264" t="s">
        <v>1612</v>
      </c>
      <c r="D1188" s="210" t="s">
        <v>110</v>
      </c>
      <c r="E1188" s="261">
        <v>0.4</v>
      </c>
      <c r="F1188" s="261">
        <v>0.4</v>
      </c>
      <c r="G1188" s="261">
        <v>3.6</v>
      </c>
      <c r="H1188" s="261">
        <v>1</v>
      </c>
      <c r="I1188" s="261"/>
      <c r="J1188" s="259"/>
      <c r="K1188" s="260">
        <f t="shared" si="40"/>
        <v>0.57600000000000018</v>
      </c>
      <c r="L1188" s="266" t="s">
        <v>1683</v>
      </c>
    </row>
    <row r="1189" spans="2:12">
      <c r="B1189" s="256" t="s">
        <v>1400</v>
      </c>
      <c r="C1189" s="264" t="s">
        <v>1612</v>
      </c>
      <c r="D1189" s="210" t="s">
        <v>110</v>
      </c>
      <c r="E1189" s="261">
        <v>0.5</v>
      </c>
      <c r="F1189" s="261">
        <v>0.4</v>
      </c>
      <c r="G1189" s="261">
        <v>3.6</v>
      </c>
      <c r="H1189" s="261">
        <v>1</v>
      </c>
      <c r="I1189" s="261"/>
      <c r="J1189" s="259"/>
      <c r="K1189" s="260">
        <f t="shared" si="40"/>
        <v>0.72000000000000008</v>
      </c>
      <c r="L1189" s="266" t="s">
        <v>1683</v>
      </c>
    </row>
    <row r="1190" spans="2:12">
      <c r="B1190" s="256" t="s">
        <v>1401</v>
      </c>
      <c r="C1190" s="264" t="s">
        <v>1612</v>
      </c>
      <c r="D1190" s="210" t="s">
        <v>110</v>
      </c>
      <c r="E1190" s="261">
        <v>0.5</v>
      </c>
      <c r="F1190" s="261">
        <v>0.4</v>
      </c>
      <c r="G1190" s="261">
        <v>3.6</v>
      </c>
      <c r="H1190" s="261">
        <v>1</v>
      </c>
      <c r="I1190" s="261"/>
      <c r="J1190" s="259"/>
      <c r="K1190" s="260">
        <f t="shared" si="40"/>
        <v>0.72000000000000008</v>
      </c>
      <c r="L1190" s="266" t="s">
        <v>1683</v>
      </c>
    </row>
    <row r="1191" spans="2:12">
      <c r="B1191" s="256" t="s">
        <v>1402</v>
      </c>
      <c r="C1191" s="264" t="s">
        <v>1612</v>
      </c>
      <c r="D1191" s="210" t="s">
        <v>110</v>
      </c>
      <c r="E1191" s="261">
        <v>1</v>
      </c>
      <c r="F1191" s="261">
        <v>0.2</v>
      </c>
      <c r="G1191" s="261">
        <v>3.6</v>
      </c>
      <c r="H1191" s="261">
        <v>1</v>
      </c>
      <c r="I1191" s="261"/>
      <c r="J1191" s="259"/>
      <c r="K1191" s="260">
        <f t="shared" si="40"/>
        <v>0.72000000000000008</v>
      </c>
      <c r="L1191" s="266" t="s">
        <v>1683</v>
      </c>
    </row>
    <row r="1192" spans="2:12">
      <c r="B1192" s="256" t="s">
        <v>1404</v>
      </c>
      <c r="C1192" s="264" t="s">
        <v>1612</v>
      </c>
      <c r="D1192" s="210" t="s">
        <v>110</v>
      </c>
      <c r="E1192" s="261">
        <v>0.2</v>
      </c>
      <c r="F1192" s="261">
        <v>0.6</v>
      </c>
      <c r="G1192" s="261">
        <v>3.6</v>
      </c>
      <c r="H1192" s="261">
        <v>1</v>
      </c>
      <c r="I1192" s="261"/>
      <c r="J1192" s="259"/>
      <c r="K1192" s="260">
        <f t="shared" si="40"/>
        <v>0.432</v>
      </c>
      <c r="L1192" s="266" t="s">
        <v>1683</v>
      </c>
    </row>
    <row r="1193" spans="2:12">
      <c r="B1193" s="256" t="s">
        <v>1405</v>
      </c>
      <c r="C1193" s="264" t="s">
        <v>1612</v>
      </c>
      <c r="D1193" s="210" t="s">
        <v>110</v>
      </c>
      <c r="E1193" s="261">
        <v>0.2</v>
      </c>
      <c r="F1193" s="261">
        <v>0.6</v>
      </c>
      <c r="G1193" s="261">
        <v>3.6</v>
      </c>
      <c r="H1193" s="261">
        <v>1</v>
      </c>
      <c r="I1193" s="261"/>
      <c r="J1193" s="259"/>
      <c r="K1193" s="260">
        <f t="shared" si="40"/>
        <v>0.432</v>
      </c>
      <c r="L1193" s="266" t="s">
        <v>1683</v>
      </c>
    </row>
    <row r="1194" spans="2:12">
      <c r="B1194" s="256" t="s">
        <v>1406</v>
      </c>
      <c r="C1194" s="264" t="s">
        <v>1612</v>
      </c>
      <c r="D1194" s="210" t="s">
        <v>110</v>
      </c>
      <c r="E1194" s="261">
        <v>0.4</v>
      </c>
      <c r="F1194" s="261">
        <v>0.4</v>
      </c>
      <c r="G1194" s="261">
        <v>3.6</v>
      </c>
      <c r="H1194" s="261">
        <v>1</v>
      </c>
      <c r="I1194" s="261"/>
      <c r="J1194" s="259"/>
      <c r="K1194" s="260">
        <f t="shared" si="40"/>
        <v>0.57600000000000018</v>
      </c>
      <c r="L1194" s="266" t="s">
        <v>1683</v>
      </c>
    </row>
    <row r="1195" spans="2:12">
      <c r="B1195" s="256" t="s">
        <v>1407</v>
      </c>
      <c r="C1195" s="264" t="s">
        <v>1612</v>
      </c>
      <c r="D1195" s="210" t="s">
        <v>110</v>
      </c>
      <c r="E1195" s="261">
        <v>0.5</v>
      </c>
      <c r="F1195" s="261">
        <v>0.4</v>
      </c>
      <c r="G1195" s="261">
        <v>3.6</v>
      </c>
      <c r="H1195" s="261">
        <v>1</v>
      </c>
      <c r="I1195" s="261"/>
      <c r="J1195" s="259"/>
      <c r="K1195" s="260">
        <f t="shared" si="40"/>
        <v>0.72000000000000008</v>
      </c>
      <c r="L1195" s="266" t="s">
        <v>1683</v>
      </c>
    </row>
    <row r="1196" spans="2:12">
      <c r="B1196" s="256" t="s">
        <v>1408</v>
      </c>
      <c r="C1196" s="264" t="s">
        <v>1612</v>
      </c>
      <c r="D1196" s="210" t="s">
        <v>110</v>
      </c>
      <c r="E1196" s="261">
        <v>0.5</v>
      </c>
      <c r="F1196" s="261">
        <v>0.4</v>
      </c>
      <c r="G1196" s="261">
        <v>3.6</v>
      </c>
      <c r="H1196" s="261">
        <v>1</v>
      </c>
      <c r="I1196" s="261"/>
      <c r="J1196" s="259"/>
      <c r="K1196" s="260">
        <f t="shared" si="40"/>
        <v>0.72000000000000008</v>
      </c>
      <c r="L1196" s="266" t="s">
        <v>1683</v>
      </c>
    </row>
    <row r="1197" spans="2:12">
      <c r="B1197" s="256" t="s">
        <v>1409</v>
      </c>
      <c r="C1197" s="264" t="s">
        <v>1612</v>
      </c>
      <c r="D1197" s="210" t="s">
        <v>110</v>
      </c>
      <c r="E1197" s="261">
        <v>0.2</v>
      </c>
      <c r="F1197" s="261">
        <v>1</v>
      </c>
      <c r="G1197" s="261">
        <v>3.6</v>
      </c>
      <c r="H1197" s="261">
        <v>1</v>
      </c>
      <c r="I1197" s="261"/>
      <c r="J1197" s="259"/>
      <c r="K1197" s="260">
        <f t="shared" si="40"/>
        <v>0.72000000000000008</v>
      </c>
      <c r="L1197" s="266" t="s">
        <v>1683</v>
      </c>
    </row>
    <row r="1198" spans="2:12">
      <c r="B1198" s="256" t="s">
        <v>1410</v>
      </c>
      <c r="C1198" s="264" t="s">
        <v>1612</v>
      </c>
      <c r="D1198" s="210" t="s">
        <v>110</v>
      </c>
      <c r="E1198" s="261">
        <v>0.45</v>
      </c>
      <c r="F1198" s="261">
        <v>0.3</v>
      </c>
      <c r="G1198" s="261">
        <v>3.6</v>
      </c>
      <c r="H1198" s="261">
        <v>1</v>
      </c>
      <c r="I1198" s="261"/>
      <c r="J1198" s="259"/>
      <c r="K1198" s="260">
        <f t="shared" si="40"/>
        <v>0.48600000000000004</v>
      </c>
      <c r="L1198" s="266" t="s">
        <v>1683</v>
      </c>
    </row>
    <row r="1199" spans="2:12">
      <c r="B1199" s="256" t="s">
        <v>1412</v>
      </c>
      <c r="C1199" s="264" t="s">
        <v>1612</v>
      </c>
      <c r="D1199" s="210" t="s">
        <v>110</v>
      </c>
      <c r="E1199" s="261">
        <v>0.55000000000000004</v>
      </c>
      <c r="F1199" s="261">
        <v>0.3</v>
      </c>
      <c r="G1199" s="261">
        <v>3.6</v>
      </c>
      <c r="H1199" s="261">
        <v>1</v>
      </c>
      <c r="I1199" s="261"/>
      <c r="J1199" s="259"/>
      <c r="K1199" s="260">
        <f t="shared" si="40"/>
        <v>0.59400000000000008</v>
      </c>
      <c r="L1199" s="266" t="s">
        <v>1683</v>
      </c>
    </row>
    <row r="1200" spans="2:12">
      <c r="B1200" s="256" t="s">
        <v>1414</v>
      </c>
      <c r="C1200" s="264" t="s">
        <v>1612</v>
      </c>
      <c r="D1200" s="210" t="s">
        <v>110</v>
      </c>
      <c r="E1200" s="261">
        <v>0.55000000000000004</v>
      </c>
      <c r="F1200" s="261">
        <v>0.3</v>
      </c>
      <c r="G1200" s="261">
        <v>3.6</v>
      </c>
      <c r="H1200" s="261">
        <v>1</v>
      </c>
      <c r="I1200" s="261"/>
      <c r="J1200" s="259"/>
      <c r="K1200" s="260">
        <f t="shared" si="40"/>
        <v>0.59400000000000008</v>
      </c>
      <c r="L1200" s="266" t="s">
        <v>1683</v>
      </c>
    </row>
    <row r="1201" spans="2:12">
      <c r="B1201" s="256" t="s">
        <v>1416</v>
      </c>
      <c r="C1201" s="264" t="s">
        <v>1612</v>
      </c>
      <c r="D1201" s="210" t="s">
        <v>110</v>
      </c>
      <c r="E1201" s="261">
        <v>0.45</v>
      </c>
      <c r="F1201" s="261">
        <v>0.3</v>
      </c>
      <c r="G1201" s="261">
        <v>3.6</v>
      </c>
      <c r="H1201" s="261">
        <v>1</v>
      </c>
      <c r="I1201" s="261"/>
      <c r="J1201" s="259"/>
      <c r="K1201" s="260">
        <f t="shared" si="40"/>
        <v>0.48600000000000004</v>
      </c>
      <c r="L1201" s="266" t="s">
        <v>1683</v>
      </c>
    </row>
    <row r="1202" spans="2:12">
      <c r="B1202" s="256" t="s">
        <v>1418</v>
      </c>
      <c r="C1202" s="264" t="s">
        <v>1612</v>
      </c>
      <c r="D1202" s="210" t="s">
        <v>110</v>
      </c>
      <c r="E1202" s="261">
        <v>0.2</v>
      </c>
      <c r="F1202" s="261">
        <v>0.8</v>
      </c>
      <c r="G1202" s="261">
        <v>3.6</v>
      </c>
      <c r="H1202" s="261">
        <v>1</v>
      </c>
      <c r="I1202" s="261"/>
      <c r="J1202" s="259"/>
      <c r="K1202" s="260">
        <f t="shared" si="40"/>
        <v>0.57600000000000018</v>
      </c>
      <c r="L1202" s="266" t="s">
        <v>1683</v>
      </c>
    </row>
    <row r="1203" spans="2:12">
      <c r="B1203" s="256" t="s">
        <v>1411</v>
      </c>
      <c r="C1203" s="264" t="s">
        <v>1612</v>
      </c>
      <c r="D1203" s="205" t="s">
        <v>110</v>
      </c>
      <c r="E1203" s="261">
        <v>0.45</v>
      </c>
      <c r="F1203" s="261">
        <v>0.3</v>
      </c>
      <c r="G1203" s="261">
        <v>3.6</v>
      </c>
      <c r="H1203" s="261">
        <v>1</v>
      </c>
      <c r="I1203" s="261"/>
      <c r="J1203" s="259"/>
      <c r="K1203" s="260">
        <f t="shared" si="40"/>
        <v>0.48600000000000004</v>
      </c>
      <c r="L1203" s="266" t="s">
        <v>1682</v>
      </c>
    </row>
    <row r="1204" spans="2:12">
      <c r="B1204" s="256" t="s">
        <v>1413</v>
      </c>
      <c r="C1204" s="264" t="s">
        <v>1612</v>
      </c>
      <c r="D1204" s="205" t="s">
        <v>110</v>
      </c>
      <c r="E1204" s="261">
        <v>0.55000000000000004</v>
      </c>
      <c r="F1204" s="261">
        <v>0.3</v>
      </c>
      <c r="G1204" s="261">
        <v>3.6</v>
      </c>
      <c r="H1204" s="261">
        <v>1</v>
      </c>
      <c r="I1204" s="261"/>
      <c r="J1204" s="259"/>
      <c r="K1204" s="260">
        <f t="shared" si="40"/>
        <v>0.59400000000000008</v>
      </c>
      <c r="L1204" s="266" t="s">
        <v>1682</v>
      </c>
    </row>
    <row r="1205" spans="2:12">
      <c r="B1205" s="256" t="s">
        <v>1415</v>
      </c>
      <c r="C1205" s="264" t="s">
        <v>1612</v>
      </c>
      <c r="D1205" s="205" t="s">
        <v>110</v>
      </c>
      <c r="E1205" s="261">
        <v>0.55000000000000004</v>
      </c>
      <c r="F1205" s="261">
        <v>0.3</v>
      </c>
      <c r="G1205" s="261">
        <v>3.6</v>
      </c>
      <c r="H1205" s="261">
        <v>1</v>
      </c>
      <c r="I1205" s="261"/>
      <c r="J1205" s="259"/>
      <c r="K1205" s="260">
        <f t="shared" si="40"/>
        <v>0.59400000000000008</v>
      </c>
      <c r="L1205" s="266" t="s">
        <v>1682</v>
      </c>
    </row>
    <row r="1206" spans="2:12">
      <c r="B1206" s="256" t="s">
        <v>1417</v>
      </c>
      <c r="C1206" s="264" t="s">
        <v>1612</v>
      </c>
      <c r="D1206" s="205" t="s">
        <v>110</v>
      </c>
      <c r="E1206" s="261">
        <v>0.45</v>
      </c>
      <c r="F1206" s="261">
        <v>0.3</v>
      </c>
      <c r="G1206" s="261">
        <v>3.6</v>
      </c>
      <c r="H1206" s="261">
        <v>1</v>
      </c>
      <c r="I1206" s="261"/>
      <c r="J1206" s="259"/>
      <c r="K1206" s="260">
        <f t="shared" si="40"/>
        <v>0.48600000000000004</v>
      </c>
      <c r="L1206" s="266" t="s">
        <v>1682</v>
      </c>
    </row>
    <row r="1207" spans="2:12">
      <c r="B1207" s="256" t="s">
        <v>1419</v>
      </c>
      <c r="C1207" s="264" t="s">
        <v>1612</v>
      </c>
      <c r="D1207" s="205" t="s">
        <v>110</v>
      </c>
      <c r="E1207" s="261">
        <v>0.2</v>
      </c>
      <c r="F1207" s="261">
        <v>0.8</v>
      </c>
      <c r="G1207" s="261">
        <v>3.6</v>
      </c>
      <c r="H1207" s="261">
        <v>1</v>
      </c>
      <c r="I1207" s="261"/>
      <c r="J1207" s="259"/>
      <c r="K1207" s="260">
        <f t="shared" si="40"/>
        <v>0.57600000000000018</v>
      </c>
      <c r="L1207" s="266" t="s">
        <v>1682</v>
      </c>
    </row>
    <row r="1208" spans="2:12">
      <c r="B1208" s="256" t="s">
        <v>1420</v>
      </c>
      <c r="C1208" s="264" t="s">
        <v>1612</v>
      </c>
      <c r="D1208" s="205" t="s">
        <v>110</v>
      </c>
      <c r="E1208" s="261">
        <v>0.3</v>
      </c>
      <c r="F1208" s="261">
        <v>0.8</v>
      </c>
      <c r="G1208" s="261">
        <v>3.6</v>
      </c>
      <c r="H1208" s="261">
        <v>1</v>
      </c>
      <c r="I1208" s="261"/>
      <c r="J1208" s="259"/>
      <c r="K1208" s="260">
        <f t="shared" si="40"/>
        <v>0.86399999999999999</v>
      </c>
      <c r="L1208" s="266" t="s">
        <v>1682</v>
      </c>
    </row>
    <row r="1209" spans="2:12">
      <c r="B1209" s="256" t="s">
        <v>1421</v>
      </c>
      <c r="C1209" s="264" t="s">
        <v>1612</v>
      </c>
      <c r="D1209" s="205" t="s">
        <v>110</v>
      </c>
      <c r="E1209" s="261">
        <v>0.2</v>
      </c>
      <c r="F1209" s="261">
        <v>0.8</v>
      </c>
      <c r="G1209" s="261">
        <v>3.6</v>
      </c>
      <c r="H1209" s="261">
        <v>1</v>
      </c>
      <c r="I1209" s="261"/>
      <c r="J1209" s="259"/>
      <c r="K1209" s="260">
        <f t="shared" si="40"/>
        <v>0.57600000000000018</v>
      </c>
      <c r="L1209" s="266" t="s">
        <v>1682</v>
      </c>
    </row>
    <row r="1210" spans="2:12">
      <c r="B1210" s="256" t="s">
        <v>1422</v>
      </c>
      <c r="C1210" s="264" t="s">
        <v>1612</v>
      </c>
      <c r="D1210" s="205" t="s">
        <v>110</v>
      </c>
      <c r="E1210" s="261">
        <v>0.3</v>
      </c>
      <c r="F1210" s="261">
        <v>0.8</v>
      </c>
      <c r="G1210" s="261">
        <v>3.6</v>
      </c>
      <c r="H1210" s="261">
        <v>1</v>
      </c>
      <c r="I1210" s="261"/>
      <c r="J1210" s="259"/>
      <c r="K1210" s="260">
        <f t="shared" si="40"/>
        <v>0.86399999999999999</v>
      </c>
      <c r="L1210" s="266" t="s">
        <v>1682</v>
      </c>
    </row>
    <row r="1211" spans="2:12">
      <c r="B1211" s="256" t="s">
        <v>1423</v>
      </c>
      <c r="C1211" s="264" t="s">
        <v>1612</v>
      </c>
      <c r="D1211" s="205" t="s">
        <v>110</v>
      </c>
      <c r="E1211" s="261">
        <v>0.4</v>
      </c>
      <c r="F1211" s="261">
        <v>0.7</v>
      </c>
      <c r="G1211" s="261">
        <v>3.6</v>
      </c>
      <c r="H1211" s="261">
        <v>1</v>
      </c>
      <c r="I1211" s="261"/>
      <c r="J1211" s="259"/>
      <c r="K1211" s="260">
        <f t="shared" si="40"/>
        <v>1.008</v>
      </c>
      <c r="L1211" s="266" t="s">
        <v>1682</v>
      </c>
    </row>
    <row r="1212" spans="2:12">
      <c r="B1212" s="256" t="s">
        <v>1424</v>
      </c>
      <c r="C1212" s="264" t="s">
        <v>1612</v>
      </c>
      <c r="D1212" s="205" t="s">
        <v>110</v>
      </c>
      <c r="E1212" s="261">
        <v>0.5</v>
      </c>
      <c r="F1212" s="261">
        <v>0.7</v>
      </c>
      <c r="G1212" s="261">
        <v>3.6</v>
      </c>
      <c r="H1212" s="261">
        <v>1</v>
      </c>
      <c r="I1212" s="261"/>
      <c r="J1212" s="259"/>
      <c r="K1212" s="260">
        <f t="shared" si="40"/>
        <v>1.26</v>
      </c>
      <c r="L1212" s="266" t="s">
        <v>1682</v>
      </c>
    </row>
    <row r="1213" spans="2:12">
      <c r="B1213" s="256" t="s">
        <v>1425</v>
      </c>
      <c r="C1213" s="264" t="s">
        <v>1612</v>
      </c>
      <c r="D1213" s="205" t="s">
        <v>110</v>
      </c>
      <c r="E1213" s="261">
        <v>0.5</v>
      </c>
      <c r="F1213" s="261">
        <v>0.7</v>
      </c>
      <c r="G1213" s="261">
        <v>3.6</v>
      </c>
      <c r="H1213" s="261">
        <v>1</v>
      </c>
      <c r="I1213" s="261"/>
      <c r="J1213" s="259"/>
      <c r="K1213" s="260">
        <f t="shared" si="40"/>
        <v>1.26</v>
      </c>
      <c r="L1213" s="266" t="s">
        <v>1682</v>
      </c>
    </row>
    <row r="1214" spans="2:12">
      <c r="B1214" s="256" t="s">
        <v>1426</v>
      </c>
      <c r="C1214" s="264" t="s">
        <v>1612</v>
      </c>
      <c r="D1214" s="205" t="s">
        <v>110</v>
      </c>
      <c r="E1214" s="261">
        <v>0.4</v>
      </c>
      <c r="F1214" s="261">
        <v>0.5</v>
      </c>
      <c r="G1214" s="261">
        <v>3.6</v>
      </c>
      <c r="H1214" s="261">
        <v>1</v>
      </c>
      <c r="I1214" s="261"/>
      <c r="J1214" s="259"/>
      <c r="K1214" s="260">
        <f t="shared" si="40"/>
        <v>0.72000000000000008</v>
      </c>
      <c r="L1214" s="266" t="s">
        <v>1682</v>
      </c>
    </row>
    <row r="1215" spans="2:12">
      <c r="B1215" s="256" t="s">
        <v>1485</v>
      </c>
      <c r="C1215" s="264" t="s">
        <v>1613</v>
      </c>
      <c r="D1215" s="205" t="s">
        <v>110</v>
      </c>
      <c r="E1215" s="261">
        <v>0.6</v>
      </c>
      <c r="F1215" s="261">
        <v>0.4</v>
      </c>
      <c r="G1215" s="261">
        <v>3.6</v>
      </c>
      <c r="H1215" s="261">
        <v>1</v>
      </c>
      <c r="I1215" s="261"/>
      <c r="J1215" s="259"/>
      <c r="K1215" s="260">
        <f t="shared" si="40"/>
        <v>0.86399999999999999</v>
      </c>
      <c r="L1215" s="266" t="s">
        <v>1682</v>
      </c>
    </row>
    <row r="1216" spans="2:12">
      <c r="B1216" s="256" t="s">
        <v>1486</v>
      </c>
      <c r="C1216" s="264" t="s">
        <v>1613</v>
      </c>
      <c r="D1216" s="205" t="s">
        <v>110</v>
      </c>
      <c r="E1216" s="261">
        <v>2.94</v>
      </c>
      <c r="F1216" s="261">
        <v>0.2</v>
      </c>
      <c r="G1216" s="261">
        <v>3.6</v>
      </c>
      <c r="H1216" s="261">
        <v>1</v>
      </c>
      <c r="I1216" s="261"/>
      <c r="J1216" s="259"/>
      <c r="K1216" s="260">
        <f t="shared" si="40"/>
        <v>2.1168</v>
      </c>
      <c r="L1216" s="266" t="s">
        <v>1682</v>
      </c>
    </row>
    <row r="1217" spans="2:12">
      <c r="B1217" s="256" t="s">
        <v>1487</v>
      </c>
      <c r="C1217" s="264" t="s">
        <v>1613</v>
      </c>
      <c r="D1217" s="205" t="s">
        <v>110</v>
      </c>
      <c r="E1217" s="261">
        <v>2.94</v>
      </c>
      <c r="F1217" s="261">
        <v>0.2</v>
      </c>
      <c r="G1217" s="261">
        <v>3.6</v>
      </c>
      <c r="H1217" s="261">
        <v>1</v>
      </c>
      <c r="I1217" s="261"/>
      <c r="J1217" s="259"/>
      <c r="K1217" s="260">
        <f t="shared" si="40"/>
        <v>2.1168</v>
      </c>
      <c r="L1217" s="266" t="s">
        <v>1682</v>
      </c>
    </row>
    <row r="1218" spans="2:12">
      <c r="B1218" s="256" t="s">
        <v>1488</v>
      </c>
      <c r="C1218" s="264" t="s">
        <v>1613</v>
      </c>
      <c r="D1218" s="205" t="s">
        <v>110</v>
      </c>
      <c r="E1218" s="261">
        <v>0.6</v>
      </c>
      <c r="F1218" s="261">
        <v>0.5</v>
      </c>
      <c r="G1218" s="261">
        <v>3.6</v>
      </c>
      <c r="H1218" s="261">
        <v>1</v>
      </c>
      <c r="I1218" s="261"/>
      <c r="J1218" s="259"/>
      <c r="K1218" s="260">
        <f t="shared" si="40"/>
        <v>1.08</v>
      </c>
      <c r="L1218" s="266" t="s">
        <v>1682</v>
      </c>
    </row>
    <row r="1219" spans="2:12">
      <c r="B1219" s="256" t="s">
        <v>1489</v>
      </c>
      <c r="C1219" s="264" t="s">
        <v>1613</v>
      </c>
      <c r="D1219" s="205" t="s">
        <v>110</v>
      </c>
      <c r="E1219" s="261">
        <v>0.4</v>
      </c>
      <c r="F1219" s="261">
        <v>0.4</v>
      </c>
      <c r="G1219" s="261">
        <v>3.6</v>
      </c>
      <c r="H1219" s="261">
        <v>1</v>
      </c>
      <c r="I1219" s="261"/>
      <c r="J1219" s="259"/>
      <c r="K1219" s="260">
        <f t="shared" si="40"/>
        <v>0.57600000000000018</v>
      </c>
      <c r="L1219" s="266" t="s">
        <v>1682</v>
      </c>
    </row>
    <row r="1220" spans="2:12">
      <c r="B1220" s="256" t="s">
        <v>1490</v>
      </c>
      <c r="C1220" s="264" t="s">
        <v>1613</v>
      </c>
      <c r="D1220" s="205" t="s">
        <v>110</v>
      </c>
      <c r="E1220" s="261">
        <v>0.2</v>
      </c>
      <c r="F1220" s="261">
        <v>0.8</v>
      </c>
      <c r="G1220" s="261">
        <v>3.6</v>
      </c>
      <c r="H1220" s="261">
        <v>1</v>
      </c>
      <c r="I1220" s="261"/>
      <c r="J1220" s="259"/>
      <c r="K1220" s="260">
        <f t="shared" si="40"/>
        <v>0.57600000000000018</v>
      </c>
      <c r="L1220" s="266" t="s">
        <v>1682</v>
      </c>
    </row>
    <row r="1221" spans="2:12">
      <c r="B1221" s="256" t="s">
        <v>1493</v>
      </c>
      <c r="C1221" s="264" t="s">
        <v>1613</v>
      </c>
      <c r="D1221" s="205" t="s">
        <v>110</v>
      </c>
      <c r="E1221" s="261">
        <v>0.4</v>
      </c>
      <c r="F1221" s="261">
        <v>0.4</v>
      </c>
      <c r="G1221" s="261">
        <v>3.6</v>
      </c>
      <c r="H1221" s="261">
        <v>1</v>
      </c>
      <c r="I1221" s="261"/>
      <c r="J1221" s="259"/>
      <c r="K1221" s="260">
        <f t="shared" si="40"/>
        <v>0.57600000000000018</v>
      </c>
      <c r="L1221" s="266" t="s">
        <v>1682</v>
      </c>
    </row>
    <row r="1222" spans="2:12">
      <c r="B1222" s="256" t="s">
        <v>1494</v>
      </c>
      <c r="C1222" s="264" t="s">
        <v>1613</v>
      </c>
      <c r="D1222" s="205" t="s">
        <v>110</v>
      </c>
      <c r="E1222" s="261">
        <v>0.4</v>
      </c>
      <c r="F1222" s="261">
        <v>0.4</v>
      </c>
      <c r="G1222" s="261">
        <v>3.6</v>
      </c>
      <c r="H1222" s="261">
        <v>1</v>
      </c>
      <c r="I1222" s="261"/>
      <c r="J1222" s="259"/>
      <c r="K1222" s="260">
        <f t="shared" si="40"/>
        <v>0.57600000000000018</v>
      </c>
      <c r="L1222" s="266" t="s">
        <v>1682</v>
      </c>
    </row>
    <row r="1223" spans="2:12">
      <c r="B1223" s="256" t="s">
        <v>1495</v>
      </c>
      <c r="C1223" s="264" t="s">
        <v>1613</v>
      </c>
      <c r="D1223" s="205" t="s">
        <v>110</v>
      </c>
      <c r="E1223" s="261">
        <v>0.4</v>
      </c>
      <c r="F1223" s="261">
        <v>0.4</v>
      </c>
      <c r="G1223" s="261">
        <v>3.6</v>
      </c>
      <c r="H1223" s="261">
        <v>1</v>
      </c>
      <c r="I1223" s="261"/>
      <c r="J1223" s="259"/>
      <c r="K1223" s="260">
        <f t="shared" si="40"/>
        <v>0.57600000000000018</v>
      </c>
      <c r="L1223" s="266" t="s">
        <v>1682</v>
      </c>
    </row>
    <row r="1224" spans="2:12">
      <c r="B1224" s="256" t="s">
        <v>1389</v>
      </c>
      <c r="C1224" s="264" t="s">
        <v>1613</v>
      </c>
      <c r="D1224" s="210" t="s">
        <v>110</v>
      </c>
      <c r="E1224" s="261">
        <v>0.5</v>
      </c>
      <c r="F1224" s="261">
        <v>0.4</v>
      </c>
      <c r="G1224" s="261">
        <v>3.6</v>
      </c>
      <c r="H1224" s="261">
        <v>1</v>
      </c>
      <c r="I1224" s="261"/>
      <c r="J1224" s="259"/>
      <c r="K1224" s="260">
        <f t="shared" si="40"/>
        <v>0.72000000000000008</v>
      </c>
      <c r="L1224" s="266" t="s">
        <v>1684</v>
      </c>
    </row>
    <row r="1225" spans="2:12">
      <c r="B1225" s="256" t="s">
        <v>1390</v>
      </c>
      <c r="C1225" s="264" t="s">
        <v>1613</v>
      </c>
      <c r="D1225" s="210" t="s">
        <v>110</v>
      </c>
      <c r="E1225" s="261">
        <v>1</v>
      </c>
      <c r="F1225" s="261">
        <v>0.2</v>
      </c>
      <c r="G1225" s="261">
        <v>3.6</v>
      </c>
      <c r="H1225" s="261">
        <v>1</v>
      </c>
      <c r="I1225" s="261"/>
      <c r="J1225" s="259"/>
      <c r="K1225" s="260">
        <f t="shared" si="40"/>
        <v>0.72000000000000008</v>
      </c>
      <c r="L1225" s="266" t="s">
        <v>1684</v>
      </c>
    </row>
    <row r="1226" spans="2:12">
      <c r="B1226" s="256" t="s">
        <v>1391</v>
      </c>
      <c r="C1226" s="264" t="s">
        <v>1613</v>
      </c>
      <c r="D1226" s="210" t="s">
        <v>110</v>
      </c>
      <c r="E1226" s="261">
        <v>1</v>
      </c>
      <c r="F1226" s="261">
        <v>0.2</v>
      </c>
      <c r="G1226" s="261">
        <v>3.6</v>
      </c>
      <c r="H1226" s="261">
        <v>1</v>
      </c>
      <c r="I1226" s="261"/>
      <c r="J1226" s="259"/>
      <c r="K1226" s="260">
        <f t="shared" si="40"/>
        <v>0.72000000000000008</v>
      </c>
      <c r="L1226" s="266" t="s">
        <v>1684</v>
      </c>
    </row>
    <row r="1227" spans="2:12">
      <c r="B1227" s="256" t="s">
        <v>1392</v>
      </c>
      <c r="C1227" s="264" t="s">
        <v>1613</v>
      </c>
      <c r="D1227" s="210" t="s">
        <v>110</v>
      </c>
      <c r="E1227" s="261">
        <v>0.4</v>
      </c>
      <c r="F1227" s="261">
        <v>0.4</v>
      </c>
      <c r="G1227" s="261">
        <v>3.6</v>
      </c>
      <c r="H1227" s="261">
        <v>1</v>
      </c>
      <c r="I1227" s="261"/>
      <c r="J1227" s="259"/>
      <c r="K1227" s="260">
        <f t="shared" si="40"/>
        <v>0.57600000000000018</v>
      </c>
      <c r="L1227" s="266" t="s">
        <v>1684</v>
      </c>
    </row>
    <row r="1228" spans="2:12">
      <c r="B1228" s="256" t="s">
        <v>1394</v>
      </c>
      <c r="C1228" s="264" t="s">
        <v>1613</v>
      </c>
      <c r="D1228" s="210" t="s">
        <v>110</v>
      </c>
      <c r="E1228" s="261">
        <v>0.4</v>
      </c>
      <c r="F1228" s="261">
        <v>0.4</v>
      </c>
      <c r="G1228" s="261">
        <v>3.6</v>
      </c>
      <c r="H1228" s="261">
        <v>1</v>
      </c>
      <c r="I1228" s="261"/>
      <c r="J1228" s="259"/>
      <c r="K1228" s="260">
        <f t="shared" si="40"/>
        <v>0.57600000000000018</v>
      </c>
      <c r="L1228" s="266" t="s">
        <v>1684</v>
      </c>
    </row>
    <row r="1229" spans="2:12">
      <c r="B1229" s="256" t="s">
        <v>1395</v>
      </c>
      <c r="C1229" s="264" t="s">
        <v>1613</v>
      </c>
      <c r="D1229" s="210" t="s">
        <v>110</v>
      </c>
      <c r="E1229" s="261">
        <v>0.5</v>
      </c>
      <c r="F1229" s="261">
        <v>0.4</v>
      </c>
      <c r="G1229" s="261">
        <v>3.6</v>
      </c>
      <c r="H1229" s="261">
        <v>1</v>
      </c>
      <c r="I1229" s="261"/>
      <c r="J1229" s="259"/>
      <c r="K1229" s="260">
        <f t="shared" si="40"/>
        <v>0.72000000000000008</v>
      </c>
      <c r="L1229" s="266" t="s">
        <v>1684</v>
      </c>
    </row>
    <row r="1230" spans="2:12">
      <c r="B1230" s="256" t="s">
        <v>1396</v>
      </c>
      <c r="C1230" s="264" t="s">
        <v>1613</v>
      </c>
      <c r="D1230" s="210" t="s">
        <v>110</v>
      </c>
      <c r="E1230" s="261">
        <v>0.5</v>
      </c>
      <c r="F1230" s="261">
        <v>0.4</v>
      </c>
      <c r="G1230" s="261">
        <v>3.6</v>
      </c>
      <c r="H1230" s="261">
        <v>1</v>
      </c>
      <c r="I1230" s="261"/>
      <c r="J1230" s="259"/>
      <c r="K1230" s="260">
        <f t="shared" si="40"/>
        <v>0.72000000000000008</v>
      </c>
      <c r="L1230" s="266" t="s">
        <v>1684</v>
      </c>
    </row>
    <row r="1231" spans="2:12">
      <c r="B1231" s="256" t="s">
        <v>1397</v>
      </c>
      <c r="C1231" s="264" t="s">
        <v>1613</v>
      </c>
      <c r="D1231" s="210" t="s">
        <v>110</v>
      </c>
      <c r="E1231" s="261">
        <v>1</v>
      </c>
      <c r="F1231" s="261">
        <v>0.2</v>
      </c>
      <c r="G1231" s="261">
        <v>3.6</v>
      </c>
      <c r="H1231" s="261">
        <v>1</v>
      </c>
      <c r="I1231" s="261"/>
      <c r="J1231" s="259"/>
      <c r="K1231" s="260">
        <f t="shared" si="40"/>
        <v>0.72000000000000008</v>
      </c>
      <c r="L1231" s="266" t="s">
        <v>1684</v>
      </c>
    </row>
    <row r="1232" spans="2:12">
      <c r="B1232" s="256" t="s">
        <v>1399</v>
      </c>
      <c r="C1232" s="264" t="s">
        <v>1613</v>
      </c>
      <c r="D1232" s="210" t="s">
        <v>110</v>
      </c>
      <c r="E1232" s="261">
        <v>0.4</v>
      </c>
      <c r="F1232" s="261">
        <v>0.4</v>
      </c>
      <c r="G1232" s="261">
        <v>3.6</v>
      </c>
      <c r="H1232" s="261">
        <v>1</v>
      </c>
      <c r="I1232" s="261"/>
      <c r="J1232" s="259"/>
      <c r="K1232" s="260">
        <f t="shared" si="40"/>
        <v>0.57600000000000018</v>
      </c>
      <c r="L1232" s="266" t="s">
        <v>1684</v>
      </c>
    </row>
    <row r="1233" spans="2:12">
      <c r="B1233" s="256" t="s">
        <v>1400</v>
      </c>
      <c r="C1233" s="264" t="s">
        <v>1613</v>
      </c>
      <c r="D1233" s="210" t="s">
        <v>110</v>
      </c>
      <c r="E1233" s="261">
        <v>0.5</v>
      </c>
      <c r="F1233" s="261">
        <v>0.4</v>
      </c>
      <c r="G1233" s="261">
        <v>3.6</v>
      </c>
      <c r="H1233" s="261">
        <v>1</v>
      </c>
      <c r="I1233" s="261"/>
      <c r="J1233" s="259"/>
      <c r="K1233" s="260">
        <f t="shared" si="40"/>
        <v>0.72000000000000008</v>
      </c>
      <c r="L1233" s="266" t="s">
        <v>1684</v>
      </c>
    </row>
    <row r="1234" spans="2:12">
      <c r="B1234" s="256" t="s">
        <v>1401</v>
      </c>
      <c r="C1234" s="264" t="s">
        <v>1613</v>
      </c>
      <c r="D1234" s="210" t="s">
        <v>110</v>
      </c>
      <c r="E1234" s="261">
        <v>0.5</v>
      </c>
      <c r="F1234" s="261">
        <v>0.4</v>
      </c>
      <c r="G1234" s="261">
        <v>3.6</v>
      </c>
      <c r="H1234" s="261">
        <v>1</v>
      </c>
      <c r="I1234" s="261"/>
      <c r="J1234" s="259"/>
      <c r="K1234" s="260">
        <f t="shared" si="40"/>
        <v>0.72000000000000008</v>
      </c>
      <c r="L1234" s="266" t="s">
        <v>1684</v>
      </c>
    </row>
    <row r="1235" spans="2:12">
      <c r="B1235" s="256" t="s">
        <v>1402</v>
      </c>
      <c r="C1235" s="264" t="s">
        <v>1613</v>
      </c>
      <c r="D1235" s="210" t="s">
        <v>110</v>
      </c>
      <c r="E1235" s="261">
        <v>1</v>
      </c>
      <c r="F1235" s="261">
        <v>0.2</v>
      </c>
      <c r="G1235" s="261">
        <v>3.6</v>
      </c>
      <c r="H1235" s="261">
        <v>1</v>
      </c>
      <c r="I1235" s="261"/>
      <c r="J1235" s="259"/>
      <c r="K1235" s="260">
        <f t="shared" si="40"/>
        <v>0.72000000000000008</v>
      </c>
      <c r="L1235" s="266" t="s">
        <v>1684</v>
      </c>
    </row>
    <row r="1236" spans="2:12">
      <c r="B1236" s="256" t="s">
        <v>1404</v>
      </c>
      <c r="C1236" s="264" t="s">
        <v>1613</v>
      </c>
      <c r="D1236" s="210" t="s">
        <v>110</v>
      </c>
      <c r="E1236" s="261">
        <v>0.2</v>
      </c>
      <c r="F1236" s="261">
        <v>0.6</v>
      </c>
      <c r="G1236" s="261">
        <v>3.6</v>
      </c>
      <c r="H1236" s="261">
        <v>1</v>
      </c>
      <c r="I1236" s="261"/>
      <c r="J1236" s="259"/>
      <c r="K1236" s="260">
        <f t="shared" si="40"/>
        <v>0.432</v>
      </c>
      <c r="L1236" s="266" t="s">
        <v>1684</v>
      </c>
    </row>
    <row r="1237" spans="2:12">
      <c r="B1237" s="256" t="s">
        <v>1405</v>
      </c>
      <c r="C1237" s="264" t="s">
        <v>1613</v>
      </c>
      <c r="D1237" s="210" t="s">
        <v>110</v>
      </c>
      <c r="E1237" s="261">
        <v>0.2</v>
      </c>
      <c r="F1237" s="261">
        <v>0.6</v>
      </c>
      <c r="G1237" s="261">
        <v>3.6</v>
      </c>
      <c r="H1237" s="261">
        <v>1</v>
      </c>
      <c r="I1237" s="261"/>
      <c r="J1237" s="259"/>
      <c r="K1237" s="260">
        <f t="shared" si="40"/>
        <v>0.432</v>
      </c>
      <c r="L1237" s="266" t="s">
        <v>1684</v>
      </c>
    </row>
    <row r="1238" spans="2:12">
      <c r="B1238" s="256" t="s">
        <v>1406</v>
      </c>
      <c r="C1238" s="264" t="s">
        <v>1613</v>
      </c>
      <c r="D1238" s="210" t="s">
        <v>110</v>
      </c>
      <c r="E1238" s="261">
        <v>0.4</v>
      </c>
      <c r="F1238" s="261">
        <v>0.4</v>
      </c>
      <c r="G1238" s="261">
        <v>3.6</v>
      </c>
      <c r="H1238" s="261">
        <v>1</v>
      </c>
      <c r="I1238" s="261"/>
      <c r="J1238" s="259"/>
      <c r="K1238" s="260">
        <f t="shared" si="40"/>
        <v>0.57600000000000018</v>
      </c>
      <c r="L1238" s="266" t="s">
        <v>1684</v>
      </c>
    </row>
    <row r="1239" spans="2:12">
      <c r="B1239" s="256" t="s">
        <v>1407</v>
      </c>
      <c r="C1239" s="264" t="s">
        <v>1613</v>
      </c>
      <c r="D1239" s="210" t="s">
        <v>110</v>
      </c>
      <c r="E1239" s="261">
        <v>0.5</v>
      </c>
      <c r="F1239" s="261">
        <v>0.4</v>
      </c>
      <c r="G1239" s="261">
        <v>3.6</v>
      </c>
      <c r="H1239" s="261">
        <v>1</v>
      </c>
      <c r="I1239" s="261"/>
      <c r="J1239" s="259"/>
      <c r="K1239" s="260">
        <f t="shared" si="40"/>
        <v>0.72000000000000008</v>
      </c>
      <c r="L1239" s="266" t="s">
        <v>1684</v>
      </c>
    </row>
    <row r="1240" spans="2:12">
      <c r="B1240" s="256" t="s">
        <v>1408</v>
      </c>
      <c r="C1240" s="264" t="s">
        <v>1613</v>
      </c>
      <c r="D1240" s="210" t="s">
        <v>110</v>
      </c>
      <c r="E1240" s="261">
        <v>0.5</v>
      </c>
      <c r="F1240" s="261">
        <v>0.4</v>
      </c>
      <c r="G1240" s="261">
        <v>3.6</v>
      </c>
      <c r="H1240" s="261">
        <v>1</v>
      </c>
      <c r="I1240" s="261"/>
      <c r="J1240" s="259"/>
      <c r="K1240" s="260">
        <f t="shared" si="40"/>
        <v>0.72000000000000008</v>
      </c>
      <c r="L1240" s="266" t="s">
        <v>1684</v>
      </c>
    </row>
    <row r="1241" spans="2:12">
      <c r="B1241" s="256" t="s">
        <v>1409</v>
      </c>
      <c r="C1241" s="264" t="s">
        <v>1613</v>
      </c>
      <c r="D1241" s="210" t="s">
        <v>110</v>
      </c>
      <c r="E1241" s="261">
        <v>0.2</v>
      </c>
      <c r="F1241" s="261">
        <v>1</v>
      </c>
      <c r="G1241" s="261">
        <v>3.6</v>
      </c>
      <c r="H1241" s="261">
        <v>1</v>
      </c>
      <c r="I1241" s="261"/>
      <c r="J1241" s="259"/>
      <c r="K1241" s="260">
        <f t="shared" si="40"/>
        <v>0.72000000000000008</v>
      </c>
      <c r="L1241" s="266" t="s">
        <v>1684</v>
      </c>
    </row>
    <row r="1242" spans="2:12">
      <c r="B1242" s="256" t="s">
        <v>1410</v>
      </c>
      <c r="C1242" s="264" t="s">
        <v>1613</v>
      </c>
      <c r="D1242" s="210" t="s">
        <v>110</v>
      </c>
      <c r="E1242" s="261">
        <v>0.45</v>
      </c>
      <c r="F1242" s="261">
        <v>0.3</v>
      </c>
      <c r="G1242" s="261">
        <v>3.6</v>
      </c>
      <c r="H1242" s="261">
        <v>1</v>
      </c>
      <c r="I1242" s="261"/>
      <c r="J1242" s="259"/>
      <c r="K1242" s="260">
        <f t="shared" si="40"/>
        <v>0.48600000000000004</v>
      </c>
      <c r="L1242" s="266" t="s">
        <v>1684</v>
      </c>
    </row>
    <row r="1243" spans="2:12">
      <c r="B1243" s="256" t="s">
        <v>1412</v>
      </c>
      <c r="C1243" s="264" t="s">
        <v>1613</v>
      </c>
      <c r="D1243" s="210" t="s">
        <v>110</v>
      </c>
      <c r="E1243" s="261">
        <v>0.55000000000000004</v>
      </c>
      <c r="F1243" s="261">
        <v>0.3</v>
      </c>
      <c r="G1243" s="261">
        <v>3.6</v>
      </c>
      <c r="H1243" s="261">
        <v>1</v>
      </c>
      <c r="I1243" s="261"/>
      <c r="J1243" s="259"/>
      <c r="K1243" s="260">
        <f t="shared" si="40"/>
        <v>0.59400000000000008</v>
      </c>
      <c r="L1243" s="266" t="s">
        <v>1684</v>
      </c>
    </row>
    <row r="1244" spans="2:12">
      <c r="B1244" s="256" t="s">
        <v>1414</v>
      </c>
      <c r="C1244" s="264" t="s">
        <v>1613</v>
      </c>
      <c r="D1244" s="210" t="s">
        <v>110</v>
      </c>
      <c r="E1244" s="261">
        <v>0.55000000000000004</v>
      </c>
      <c r="F1244" s="261">
        <v>0.3</v>
      </c>
      <c r="G1244" s="261">
        <v>3.6</v>
      </c>
      <c r="H1244" s="261">
        <v>1</v>
      </c>
      <c r="I1244" s="261"/>
      <c r="J1244" s="259"/>
      <c r="K1244" s="260">
        <f t="shared" si="40"/>
        <v>0.59400000000000008</v>
      </c>
      <c r="L1244" s="266" t="s">
        <v>1684</v>
      </c>
    </row>
    <row r="1245" spans="2:12">
      <c r="B1245" s="256" t="s">
        <v>1416</v>
      </c>
      <c r="C1245" s="264" t="s">
        <v>1613</v>
      </c>
      <c r="D1245" s="210" t="s">
        <v>110</v>
      </c>
      <c r="E1245" s="261">
        <v>0.45</v>
      </c>
      <c r="F1245" s="261">
        <v>0.3</v>
      </c>
      <c r="G1245" s="261">
        <v>3.6</v>
      </c>
      <c r="H1245" s="261">
        <v>1</v>
      </c>
      <c r="I1245" s="261"/>
      <c r="J1245" s="259"/>
      <c r="K1245" s="260">
        <f t="shared" ref="K1245:K1268" si="41">IF(E1245*F1245*G1245&lt;&gt;0,E1245*F1245*G1245,IF(E1245*F1245&lt;&gt;0,E1245*F1245,IF(F1245*G1245&lt;&gt;0,F1245*G1245,IF(E1245*G1245&lt;&gt;0,E1245*G1245,IF(E1245&lt;&gt;0,E1245,IF(F1245&lt;&gt;0,F1245,IF(G1245&lt;&gt;0,G1245,0)))))))*(IF(H1245&lt;&gt;0,H1245,1))+I1245-J1245</f>
        <v>0.48600000000000004</v>
      </c>
      <c r="L1245" s="266" t="s">
        <v>1684</v>
      </c>
    </row>
    <row r="1246" spans="2:12">
      <c r="B1246" s="256" t="s">
        <v>1418</v>
      </c>
      <c r="C1246" s="264" t="s">
        <v>1613</v>
      </c>
      <c r="D1246" s="210" t="s">
        <v>110</v>
      </c>
      <c r="E1246" s="261">
        <v>0.2</v>
      </c>
      <c r="F1246" s="261">
        <v>0.8</v>
      </c>
      <c r="G1246" s="261">
        <v>3.6</v>
      </c>
      <c r="H1246" s="261">
        <v>1</v>
      </c>
      <c r="I1246" s="261"/>
      <c r="J1246" s="259"/>
      <c r="K1246" s="260">
        <f t="shared" si="41"/>
        <v>0.57600000000000018</v>
      </c>
      <c r="L1246" s="266" t="s">
        <v>1684</v>
      </c>
    </row>
    <row r="1247" spans="2:12">
      <c r="B1247" s="256" t="s">
        <v>1411</v>
      </c>
      <c r="C1247" s="264" t="s">
        <v>1613</v>
      </c>
      <c r="D1247" s="205" t="s">
        <v>110</v>
      </c>
      <c r="E1247" s="261">
        <v>0.45</v>
      </c>
      <c r="F1247" s="261">
        <v>0.3</v>
      </c>
      <c r="G1247" s="261">
        <v>3.6</v>
      </c>
      <c r="H1247" s="261">
        <v>1</v>
      </c>
      <c r="I1247" s="261"/>
      <c r="J1247" s="259"/>
      <c r="K1247" s="260">
        <f t="shared" si="41"/>
        <v>0.48600000000000004</v>
      </c>
      <c r="L1247" s="266" t="s">
        <v>1685</v>
      </c>
    </row>
    <row r="1248" spans="2:12">
      <c r="B1248" s="256" t="s">
        <v>1413</v>
      </c>
      <c r="C1248" s="264" t="s">
        <v>1613</v>
      </c>
      <c r="D1248" s="205" t="s">
        <v>110</v>
      </c>
      <c r="E1248" s="261">
        <v>0.55000000000000004</v>
      </c>
      <c r="F1248" s="261">
        <v>0.3</v>
      </c>
      <c r="G1248" s="261">
        <v>3.6</v>
      </c>
      <c r="H1248" s="261">
        <v>1</v>
      </c>
      <c r="I1248" s="261"/>
      <c r="J1248" s="259"/>
      <c r="K1248" s="260">
        <f t="shared" si="41"/>
        <v>0.59400000000000008</v>
      </c>
      <c r="L1248" s="266" t="s">
        <v>1685</v>
      </c>
    </row>
    <row r="1249" spans="2:12">
      <c r="B1249" s="256" t="s">
        <v>1415</v>
      </c>
      <c r="C1249" s="264" t="s">
        <v>1613</v>
      </c>
      <c r="D1249" s="205" t="s">
        <v>110</v>
      </c>
      <c r="E1249" s="261">
        <v>0.55000000000000004</v>
      </c>
      <c r="F1249" s="261">
        <v>0.3</v>
      </c>
      <c r="G1249" s="261">
        <v>3.6</v>
      </c>
      <c r="H1249" s="261">
        <v>1</v>
      </c>
      <c r="I1249" s="261"/>
      <c r="J1249" s="259"/>
      <c r="K1249" s="260">
        <f t="shared" si="41"/>
        <v>0.59400000000000008</v>
      </c>
      <c r="L1249" s="266" t="s">
        <v>1685</v>
      </c>
    </row>
    <row r="1250" spans="2:12">
      <c r="B1250" s="256" t="s">
        <v>1417</v>
      </c>
      <c r="C1250" s="264" t="s">
        <v>1613</v>
      </c>
      <c r="D1250" s="205" t="s">
        <v>110</v>
      </c>
      <c r="E1250" s="261">
        <v>0.45</v>
      </c>
      <c r="F1250" s="261">
        <v>0.3</v>
      </c>
      <c r="G1250" s="261">
        <v>3.6</v>
      </c>
      <c r="H1250" s="261">
        <v>1</v>
      </c>
      <c r="I1250" s="261"/>
      <c r="J1250" s="259"/>
      <c r="K1250" s="260">
        <f t="shared" si="41"/>
        <v>0.48600000000000004</v>
      </c>
      <c r="L1250" s="266" t="s">
        <v>1685</v>
      </c>
    </row>
    <row r="1251" spans="2:12">
      <c r="B1251" s="256" t="s">
        <v>1419</v>
      </c>
      <c r="C1251" s="264" t="s">
        <v>1613</v>
      </c>
      <c r="D1251" s="205" t="s">
        <v>110</v>
      </c>
      <c r="E1251" s="261">
        <v>0.2</v>
      </c>
      <c r="F1251" s="261">
        <v>0.8</v>
      </c>
      <c r="G1251" s="261">
        <v>3.6</v>
      </c>
      <c r="H1251" s="261">
        <v>1</v>
      </c>
      <c r="I1251" s="261"/>
      <c r="J1251" s="259"/>
      <c r="K1251" s="260">
        <f t="shared" si="41"/>
        <v>0.57600000000000018</v>
      </c>
      <c r="L1251" s="266" t="s">
        <v>1685</v>
      </c>
    </row>
    <row r="1252" spans="2:12">
      <c r="B1252" s="256" t="s">
        <v>1420</v>
      </c>
      <c r="C1252" s="264" t="s">
        <v>1613</v>
      </c>
      <c r="D1252" s="205" t="s">
        <v>110</v>
      </c>
      <c r="E1252" s="261">
        <v>0.3</v>
      </c>
      <c r="F1252" s="261">
        <v>0.8</v>
      </c>
      <c r="G1252" s="261">
        <v>3.6</v>
      </c>
      <c r="H1252" s="261">
        <v>1</v>
      </c>
      <c r="I1252" s="261"/>
      <c r="J1252" s="259"/>
      <c r="K1252" s="260">
        <f t="shared" si="41"/>
        <v>0.86399999999999999</v>
      </c>
      <c r="L1252" s="266" t="s">
        <v>1685</v>
      </c>
    </row>
    <row r="1253" spans="2:12">
      <c r="B1253" s="256" t="s">
        <v>1421</v>
      </c>
      <c r="C1253" s="264" t="s">
        <v>1613</v>
      </c>
      <c r="D1253" s="205" t="s">
        <v>110</v>
      </c>
      <c r="E1253" s="261">
        <v>0.2</v>
      </c>
      <c r="F1253" s="261">
        <v>0.8</v>
      </c>
      <c r="G1253" s="261">
        <v>3.6</v>
      </c>
      <c r="H1253" s="261">
        <v>1</v>
      </c>
      <c r="I1253" s="261"/>
      <c r="J1253" s="259"/>
      <c r="K1253" s="260">
        <f t="shared" si="41"/>
        <v>0.57600000000000018</v>
      </c>
      <c r="L1253" s="266" t="s">
        <v>1685</v>
      </c>
    </row>
    <row r="1254" spans="2:12">
      <c r="B1254" s="256" t="s">
        <v>1422</v>
      </c>
      <c r="C1254" s="264" t="s">
        <v>1613</v>
      </c>
      <c r="D1254" s="205" t="s">
        <v>110</v>
      </c>
      <c r="E1254" s="261">
        <v>0.3</v>
      </c>
      <c r="F1254" s="261">
        <v>0.8</v>
      </c>
      <c r="G1254" s="261">
        <v>3.6</v>
      </c>
      <c r="H1254" s="261">
        <v>1</v>
      </c>
      <c r="I1254" s="261"/>
      <c r="J1254" s="259"/>
      <c r="K1254" s="260">
        <f t="shared" si="41"/>
        <v>0.86399999999999999</v>
      </c>
      <c r="L1254" s="266" t="s">
        <v>1685</v>
      </c>
    </row>
    <row r="1255" spans="2:12">
      <c r="B1255" s="256" t="s">
        <v>1423</v>
      </c>
      <c r="C1255" s="264" t="s">
        <v>1613</v>
      </c>
      <c r="D1255" s="205" t="s">
        <v>110</v>
      </c>
      <c r="E1255" s="261">
        <v>0.4</v>
      </c>
      <c r="F1255" s="261">
        <v>0.7</v>
      </c>
      <c r="G1255" s="261">
        <v>3.6</v>
      </c>
      <c r="H1255" s="261">
        <v>1</v>
      </c>
      <c r="I1255" s="261"/>
      <c r="J1255" s="259"/>
      <c r="K1255" s="260">
        <f t="shared" si="41"/>
        <v>1.008</v>
      </c>
      <c r="L1255" s="266" t="s">
        <v>1685</v>
      </c>
    </row>
    <row r="1256" spans="2:12">
      <c r="B1256" s="256" t="s">
        <v>1424</v>
      </c>
      <c r="C1256" s="264" t="s">
        <v>1613</v>
      </c>
      <c r="D1256" s="205" t="s">
        <v>110</v>
      </c>
      <c r="E1256" s="261">
        <v>0.5</v>
      </c>
      <c r="F1256" s="261">
        <v>0.7</v>
      </c>
      <c r="G1256" s="261">
        <v>3.6</v>
      </c>
      <c r="H1256" s="261">
        <v>1</v>
      </c>
      <c r="I1256" s="261"/>
      <c r="J1256" s="259"/>
      <c r="K1256" s="260">
        <f t="shared" si="41"/>
        <v>1.26</v>
      </c>
      <c r="L1256" s="266" t="s">
        <v>1685</v>
      </c>
    </row>
    <row r="1257" spans="2:12">
      <c r="B1257" s="256" t="s">
        <v>1425</v>
      </c>
      <c r="C1257" s="264" t="s">
        <v>1613</v>
      </c>
      <c r="D1257" s="205" t="s">
        <v>110</v>
      </c>
      <c r="E1257" s="261">
        <v>0.5</v>
      </c>
      <c r="F1257" s="261">
        <v>0.7</v>
      </c>
      <c r="G1257" s="261">
        <v>3.6</v>
      </c>
      <c r="H1257" s="261">
        <v>1</v>
      </c>
      <c r="I1257" s="261"/>
      <c r="J1257" s="259"/>
      <c r="K1257" s="260">
        <f t="shared" si="41"/>
        <v>1.26</v>
      </c>
      <c r="L1257" s="266" t="s">
        <v>1685</v>
      </c>
    </row>
    <row r="1258" spans="2:12">
      <c r="B1258" s="256" t="s">
        <v>1426</v>
      </c>
      <c r="C1258" s="264" t="s">
        <v>1613</v>
      </c>
      <c r="D1258" s="205" t="s">
        <v>110</v>
      </c>
      <c r="E1258" s="261">
        <v>0.4</v>
      </c>
      <c r="F1258" s="261">
        <v>0.5</v>
      </c>
      <c r="G1258" s="261">
        <v>3.6</v>
      </c>
      <c r="H1258" s="261">
        <v>1</v>
      </c>
      <c r="I1258" s="261"/>
      <c r="J1258" s="259"/>
      <c r="K1258" s="260">
        <f t="shared" si="41"/>
        <v>0.72000000000000008</v>
      </c>
      <c r="L1258" s="266" t="s">
        <v>1685</v>
      </c>
    </row>
    <row r="1259" spans="2:12">
      <c r="B1259" s="256" t="s">
        <v>1485</v>
      </c>
      <c r="C1259" s="264" t="s">
        <v>1613</v>
      </c>
      <c r="D1259" s="205" t="s">
        <v>110</v>
      </c>
      <c r="E1259" s="261">
        <v>0.6</v>
      </c>
      <c r="F1259" s="261">
        <v>0.4</v>
      </c>
      <c r="G1259" s="261">
        <v>3.6</v>
      </c>
      <c r="H1259" s="261">
        <v>1</v>
      </c>
      <c r="I1259" s="261"/>
      <c r="J1259" s="259"/>
      <c r="K1259" s="260">
        <f t="shared" si="41"/>
        <v>0.86399999999999999</v>
      </c>
      <c r="L1259" s="266" t="s">
        <v>1685</v>
      </c>
    </row>
    <row r="1260" spans="2:12">
      <c r="B1260" s="256" t="s">
        <v>1486</v>
      </c>
      <c r="C1260" s="264" t="s">
        <v>1613</v>
      </c>
      <c r="D1260" s="205" t="s">
        <v>110</v>
      </c>
      <c r="E1260" s="261">
        <v>2.94</v>
      </c>
      <c r="F1260" s="261">
        <v>0.2</v>
      </c>
      <c r="G1260" s="261">
        <v>3.6</v>
      </c>
      <c r="H1260" s="261">
        <v>1</v>
      </c>
      <c r="I1260" s="261"/>
      <c r="J1260" s="259"/>
      <c r="K1260" s="260">
        <f t="shared" si="41"/>
        <v>2.1168</v>
      </c>
      <c r="L1260" s="266" t="s">
        <v>1685</v>
      </c>
    </row>
    <row r="1261" spans="2:12">
      <c r="B1261" s="256" t="s">
        <v>1487</v>
      </c>
      <c r="C1261" s="264" t="s">
        <v>1613</v>
      </c>
      <c r="D1261" s="205" t="s">
        <v>110</v>
      </c>
      <c r="E1261" s="261">
        <v>2.94</v>
      </c>
      <c r="F1261" s="261">
        <v>0.2</v>
      </c>
      <c r="G1261" s="261">
        <v>3.6</v>
      </c>
      <c r="H1261" s="261">
        <v>1</v>
      </c>
      <c r="I1261" s="261"/>
      <c r="J1261" s="259"/>
      <c r="K1261" s="260">
        <f t="shared" si="41"/>
        <v>2.1168</v>
      </c>
      <c r="L1261" s="266" t="s">
        <v>1685</v>
      </c>
    </row>
    <row r="1262" spans="2:12">
      <c r="B1262" s="256" t="s">
        <v>1488</v>
      </c>
      <c r="C1262" s="264" t="s">
        <v>1613</v>
      </c>
      <c r="D1262" s="205" t="s">
        <v>110</v>
      </c>
      <c r="E1262" s="261">
        <v>0.6</v>
      </c>
      <c r="F1262" s="261">
        <v>0.5</v>
      </c>
      <c r="G1262" s="261">
        <v>3.6</v>
      </c>
      <c r="H1262" s="261">
        <v>1</v>
      </c>
      <c r="I1262" s="261"/>
      <c r="J1262" s="259"/>
      <c r="K1262" s="260">
        <f t="shared" si="41"/>
        <v>1.08</v>
      </c>
      <c r="L1262" s="266" t="s">
        <v>1685</v>
      </c>
    </row>
    <row r="1263" spans="2:12">
      <c r="B1263" s="256" t="s">
        <v>1489</v>
      </c>
      <c r="C1263" s="264" t="s">
        <v>1613</v>
      </c>
      <c r="D1263" s="205" t="s">
        <v>110</v>
      </c>
      <c r="E1263" s="261">
        <v>0.4</v>
      </c>
      <c r="F1263" s="261">
        <v>0.4</v>
      </c>
      <c r="G1263" s="261">
        <v>3.6</v>
      </c>
      <c r="H1263" s="261">
        <v>1</v>
      </c>
      <c r="I1263" s="261"/>
      <c r="J1263" s="259"/>
      <c r="K1263" s="260">
        <f t="shared" si="41"/>
        <v>0.57600000000000018</v>
      </c>
      <c r="L1263" s="266" t="s">
        <v>1685</v>
      </c>
    </row>
    <row r="1264" spans="2:12">
      <c r="B1264" s="256" t="s">
        <v>1490</v>
      </c>
      <c r="C1264" s="264" t="s">
        <v>1613</v>
      </c>
      <c r="D1264" s="205" t="s">
        <v>110</v>
      </c>
      <c r="E1264" s="261">
        <v>0.2</v>
      </c>
      <c r="F1264" s="261">
        <v>0.8</v>
      </c>
      <c r="G1264" s="261">
        <v>3.6</v>
      </c>
      <c r="H1264" s="261">
        <v>1</v>
      </c>
      <c r="I1264" s="261"/>
      <c r="J1264" s="259"/>
      <c r="K1264" s="260">
        <f t="shared" si="41"/>
        <v>0.57600000000000018</v>
      </c>
      <c r="L1264" s="266" t="s">
        <v>1685</v>
      </c>
    </row>
    <row r="1265" spans="2:12">
      <c r="B1265" s="256" t="s">
        <v>1493</v>
      </c>
      <c r="C1265" s="264" t="s">
        <v>1613</v>
      </c>
      <c r="D1265" s="205" t="s">
        <v>110</v>
      </c>
      <c r="E1265" s="261">
        <v>0.4</v>
      </c>
      <c r="F1265" s="261">
        <v>0.4</v>
      </c>
      <c r="G1265" s="261">
        <v>3.6</v>
      </c>
      <c r="H1265" s="261">
        <v>1</v>
      </c>
      <c r="I1265" s="261"/>
      <c r="J1265" s="259"/>
      <c r="K1265" s="260">
        <f t="shared" si="41"/>
        <v>0.57600000000000018</v>
      </c>
      <c r="L1265" s="266" t="s">
        <v>1685</v>
      </c>
    </row>
    <row r="1266" spans="2:12">
      <c r="B1266" s="256" t="s">
        <v>1494</v>
      </c>
      <c r="C1266" s="264" t="s">
        <v>1613</v>
      </c>
      <c r="D1266" s="205" t="s">
        <v>110</v>
      </c>
      <c r="E1266" s="261">
        <v>0.4</v>
      </c>
      <c r="F1266" s="261">
        <v>0.4</v>
      </c>
      <c r="G1266" s="261">
        <v>3.6</v>
      </c>
      <c r="H1266" s="261">
        <v>1</v>
      </c>
      <c r="I1266" s="261"/>
      <c r="J1266" s="259"/>
      <c r="K1266" s="260">
        <f t="shared" si="41"/>
        <v>0.57600000000000018</v>
      </c>
      <c r="L1266" s="266" t="s">
        <v>1685</v>
      </c>
    </row>
    <row r="1267" spans="2:12">
      <c r="B1267" s="256" t="s">
        <v>1495</v>
      </c>
      <c r="C1267" s="264" t="s">
        <v>1613</v>
      </c>
      <c r="D1267" s="205" t="s">
        <v>110</v>
      </c>
      <c r="E1267" s="261">
        <v>0.4</v>
      </c>
      <c r="F1267" s="261">
        <v>0.4</v>
      </c>
      <c r="G1267" s="261">
        <v>3.6</v>
      </c>
      <c r="H1267" s="261">
        <v>1</v>
      </c>
      <c r="I1267" s="261"/>
      <c r="J1267" s="259"/>
      <c r="K1267" s="260">
        <f t="shared" si="41"/>
        <v>0.57600000000000018</v>
      </c>
      <c r="L1267" s="266" t="s">
        <v>1685</v>
      </c>
    </row>
    <row r="1268" spans="2:12">
      <c r="B1268" s="256"/>
      <c r="C1268" s="210"/>
      <c r="D1268" s="210"/>
      <c r="E1268" s="261"/>
      <c r="F1268" s="261"/>
      <c r="G1268" s="261"/>
      <c r="H1268" s="261"/>
      <c r="I1268" s="261"/>
      <c r="J1268" s="259"/>
      <c r="K1268" s="260">
        <f t="shared" si="41"/>
        <v>0</v>
      </c>
      <c r="L1268" s="210"/>
    </row>
    <row r="1269" spans="2:12">
      <c r="B1269" s="202"/>
      <c r="C1269" s="203"/>
      <c r="D1269" s="203"/>
      <c r="E1269" s="203"/>
      <c r="F1269" s="203"/>
      <c r="G1269" s="203"/>
      <c r="H1269" s="204"/>
      <c r="I1269" s="556" t="s">
        <v>1221</v>
      </c>
      <c r="J1269" s="556"/>
      <c r="K1269" s="220">
        <f>SUM(K1053:K1268)</f>
        <v>171.22991999999971</v>
      </c>
      <c r="L1269" s="207"/>
    </row>
    <row r="1270" spans="2:12">
      <c r="B1270" s="208"/>
      <c r="C1270" s="204"/>
      <c r="D1270" s="204"/>
      <c r="E1270" s="204"/>
      <c r="F1270" s="204"/>
      <c r="G1270" s="204"/>
      <c r="H1270" s="209"/>
      <c r="I1270" s="556" t="s">
        <v>1222</v>
      </c>
      <c r="J1270" s="556"/>
      <c r="K1270" s="221">
        <f>VLOOKUP(B1051,'BM 004'!$B$27:$R$590,4,0)</f>
        <v>226.93</v>
      </c>
      <c r="L1270" s="207"/>
    </row>
    <row r="1271" spans="2:12">
      <c r="B1271" s="208"/>
      <c r="C1271" s="204"/>
      <c r="D1271" s="204"/>
      <c r="E1271" s="204"/>
      <c r="F1271" s="204"/>
      <c r="G1271" s="204"/>
      <c r="H1271" s="558" t="s">
        <v>1223</v>
      </c>
      <c r="I1271" s="558"/>
      <c r="J1271" s="558"/>
      <c r="K1271" s="222">
        <v>129.28272000000001</v>
      </c>
      <c r="L1271" s="207"/>
    </row>
    <row r="1272" spans="2:12">
      <c r="B1272" s="208"/>
      <c r="C1272" s="204"/>
      <c r="D1272" s="204"/>
      <c r="E1272" s="204"/>
      <c r="F1272" s="204"/>
      <c r="G1272" s="204"/>
      <c r="H1272" s="558" t="s">
        <v>1596</v>
      </c>
      <c r="I1272" s="558"/>
      <c r="J1272" s="558"/>
      <c r="K1272" s="222">
        <f>TRUNC(SUMIF(C1053:C1268,H1272,K1053:K1268),2)</f>
        <v>41.94</v>
      </c>
      <c r="L1272" s="246"/>
    </row>
    <row r="1273" spans="2:12">
      <c r="B1273" s="213"/>
      <c r="C1273" s="214"/>
      <c r="D1273" s="214"/>
      <c r="E1273" s="214"/>
      <c r="F1273" s="214"/>
      <c r="G1273" s="214"/>
      <c r="H1273" s="566" t="s">
        <v>1224</v>
      </c>
      <c r="I1273" s="566"/>
      <c r="J1273" s="566"/>
      <c r="K1273" s="223">
        <f>IF(K1269&gt;K1270,K1269-K1270,0)</f>
        <v>0</v>
      </c>
      <c r="L1273" s="209"/>
    </row>
    <row r="1275" spans="2:12">
      <c r="B1275" s="247" t="s">
        <v>240</v>
      </c>
      <c r="C1275" s="565" t="str">
        <f>VLOOKUP(B1275,'BM 004'!$B$27:$R$590,2,0)</f>
        <v xml:space="preserve">Armação de laje de uma estrutura convencional de concreto armado em um edifício de múltiplos pavimentos utilizando aço ca-50 de 6,3 mm - montagem. </v>
      </c>
      <c r="D1275" s="565"/>
      <c r="E1275" s="565"/>
      <c r="F1275" s="565"/>
      <c r="G1275" s="565"/>
      <c r="H1275" s="565"/>
      <c r="I1275" s="565"/>
      <c r="J1275" s="565"/>
      <c r="K1275" s="565"/>
      <c r="L1275" s="565"/>
    </row>
    <row r="1276" spans="2:12">
      <c r="B1276" s="248" t="s">
        <v>1209</v>
      </c>
      <c r="C1276" s="248"/>
      <c r="D1276" s="248" t="s">
        <v>39</v>
      </c>
      <c r="E1276" s="248" t="s">
        <v>1210</v>
      </c>
      <c r="F1276" s="248" t="s">
        <v>1388</v>
      </c>
      <c r="G1276" s="248" t="s">
        <v>1212</v>
      </c>
      <c r="H1276" s="248" t="s">
        <v>1213</v>
      </c>
      <c r="I1276" s="248" t="s">
        <v>1214</v>
      </c>
      <c r="J1276" s="248" t="s">
        <v>1385</v>
      </c>
      <c r="K1276" s="248" t="s">
        <v>1216</v>
      </c>
      <c r="L1276" s="248" t="s">
        <v>1217</v>
      </c>
    </row>
    <row r="1277" spans="2:12">
      <c r="B1277" s="205" t="s">
        <v>1510</v>
      </c>
      <c r="C1277" s="250" t="s">
        <v>1441</v>
      </c>
      <c r="D1277" s="205" t="s">
        <v>1274</v>
      </c>
      <c r="E1277" s="251">
        <v>1148.82</v>
      </c>
      <c r="F1277" s="252">
        <v>0.245</v>
      </c>
      <c r="G1277" s="251">
        <v>0.45</v>
      </c>
      <c r="H1277" s="251">
        <v>1.1000000000000001</v>
      </c>
      <c r="I1277" s="251"/>
      <c r="J1277" s="253"/>
      <c r="K1277" s="254">
        <f t="shared" ref="K1277:K1287" si="42">IF(E1277*F1277*G1277&lt;&gt;0,E1277*F1277*G1277,IF(E1277*F1277&lt;&gt;0,E1277*F1277,IF(F1277*G1277&lt;&gt;0,F1277*G1277,IF(E1277*G1277&lt;&gt;0,E1277*G1277,IF(E1277&lt;&gt;0,E1277,IF(F1277&lt;&gt;0,F1277,IF(G1277&lt;&gt;0,G1277,0)))))))*(IF(H1277&lt;&gt;0,H1277,1))+I1277-J1277</f>
        <v>139.32314550000001</v>
      </c>
      <c r="L1277" s="255" t="s">
        <v>1511</v>
      </c>
    </row>
    <row r="1278" spans="2:12">
      <c r="B1278" s="205" t="s">
        <v>1512</v>
      </c>
      <c r="C1278" s="250" t="s">
        <v>1441</v>
      </c>
      <c r="D1278" s="205" t="s">
        <v>1274</v>
      </c>
      <c r="E1278" s="251">
        <v>764.81</v>
      </c>
      <c r="F1278" s="252">
        <v>0.245</v>
      </c>
      <c r="G1278" s="251">
        <v>0.45</v>
      </c>
      <c r="H1278" s="251">
        <v>1.1000000000000001</v>
      </c>
      <c r="I1278" s="251"/>
      <c r="J1278" s="253"/>
      <c r="K1278" s="254">
        <f t="shared" si="42"/>
        <v>92.752332750000008</v>
      </c>
      <c r="L1278" s="255" t="s">
        <v>1511</v>
      </c>
    </row>
    <row r="1279" spans="2:12">
      <c r="B1279" s="205" t="s">
        <v>1513</v>
      </c>
      <c r="C1279" s="250" t="s">
        <v>1441</v>
      </c>
      <c r="D1279" s="205" t="s">
        <v>1274</v>
      </c>
      <c r="E1279" s="251">
        <v>803</v>
      </c>
      <c r="F1279" s="252">
        <v>0.245</v>
      </c>
      <c r="G1279" s="251"/>
      <c r="H1279" s="251">
        <v>1.1000000000000001</v>
      </c>
      <c r="I1279" s="251"/>
      <c r="J1279" s="253"/>
      <c r="K1279" s="254">
        <f t="shared" si="42"/>
        <v>216.4085</v>
      </c>
      <c r="L1279" s="255" t="s">
        <v>1511</v>
      </c>
    </row>
    <row r="1280" spans="2:12">
      <c r="B1280" s="205" t="s">
        <v>1514</v>
      </c>
      <c r="C1280" s="250" t="s">
        <v>1441</v>
      </c>
      <c r="D1280" s="205" t="s">
        <v>1274</v>
      </c>
      <c r="E1280" s="251">
        <v>329</v>
      </c>
      <c r="F1280" s="252">
        <v>0.245</v>
      </c>
      <c r="G1280" s="251"/>
      <c r="H1280" s="251">
        <v>1.1000000000000001</v>
      </c>
      <c r="I1280" s="251"/>
      <c r="J1280" s="253"/>
      <c r="K1280" s="254">
        <f t="shared" si="42"/>
        <v>88.665500000000009</v>
      </c>
      <c r="L1280" s="255" t="s">
        <v>1511</v>
      </c>
    </row>
    <row r="1281" spans="2:12">
      <c r="B1281" s="205" t="s">
        <v>1513</v>
      </c>
      <c r="C1281" s="250" t="s">
        <v>1441</v>
      </c>
      <c r="D1281" s="205" t="s">
        <v>1274</v>
      </c>
      <c r="E1281" s="251">
        <v>8265</v>
      </c>
      <c r="F1281" s="252">
        <v>0.154</v>
      </c>
      <c r="G1281" s="251"/>
      <c r="H1281" s="251">
        <v>1.1000000000000001</v>
      </c>
      <c r="I1281" s="251"/>
      <c r="J1281" s="253"/>
      <c r="K1281" s="254">
        <f t="shared" si="42"/>
        <v>1400.0910000000001</v>
      </c>
      <c r="L1281" s="266" t="s">
        <v>1515</v>
      </c>
    </row>
    <row r="1282" spans="2:12">
      <c r="B1282" s="205" t="s">
        <v>1516</v>
      </c>
      <c r="C1282" s="250" t="s">
        <v>1441</v>
      </c>
      <c r="D1282" s="205" t="s">
        <v>1274</v>
      </c>
      <c r="E1282" s="251">
        <v>43.18</v>
      </c>
      <c r="F1282" s="252"/>
      <c r="G1282" s="251"/>
      <c r="H1282" s="251">
        <v>0.74</v>
      </c>
      <c r="I1282" s="251"/>
      <c r="J1282" s="253"/>
      <c r="K1282" s="254">
        <f t="shared" si="42"/>
        <v>31.953199999999999</v>
      </c>
      <c r="L1282" s="266"/>
    </row>
    <row r="1283" spans="2:12">
      <c r="B1283" s="205" t="s">
        <v>1572</v>
      </c>
      <c r="C1283" s="250" t="s">
        <v>1521</v>
      </c>
      <c r="D1283" s="205" t="s">
        <v>1274</v>
      </c>
      <c r="E1283" s="251">
        <v>1237.52</v>
      </c>
      <c r="F1283" s="252">
        <v>0.245</v>
      </c>
      <c r="G1283" s="251">
        <v>0.5</v>
      </c>
      <c r="H1283" s="251">
        <v>1.1000000000000001</v>
      </c>
      <c r="I1283" s="251"/>
      <c r="J1283" s="253"/>
      <c r="K1283" s="254">
        <f t="shared" si="42"/>
        <v>166.75582</v>
      </c>
      <c r="L1283" s="255" t="s">
        <v>1511</v>
      </c>
    </row>
    <row r="1284" spans="2:12">
      <c r="B1284" s="205" t="s">
        <v>1573</v>
      </c>
      <c r="C1284" s="250" t="s">
        <v>1521</v>
      </c>
      <c r="D1284" s="205" t="s">
        <v>1274</v>
      </c>
      <c r="E1284" s="251">
        <v>749</v>
      </c>
      <c r="F1284" s="252">
        <v>0.245</v>
      </c>
      <c r="G1284" s="251">
        <v>0.5</v>
      </c>
      <c r="H1284" s="251">
        <v>1.1000000000000001</v>
      </c>
      <c r="I1284" s="251"/>
      <c r="J1284" s="253"/>
      <c r="K1284" s="254">
        <f t="shared" si="42"/>
        <v>100.92775</v>
      </c>
      <c r="L1284" s="255" t="s">
        <v>1511</v>
      </c>
    </row>
    <row r="1285" spans="2:12">
      <c r="B1285" s="205" t="s">
        <v>1510</v>
      </c>
      <c r="C1285" s="250" t="s">
        <v>1611</v>
      </c>
      <c r="D1285" s="205" t="s">
        <v>1274</v>
      </c>
      <c r="E1285" s="251">
        <v>1148.82</v>
      </c>
      <c r="F1285" s="252">
        <v>0.245</v>
      </c>
      <c r="G1285" s="251">
        <v>0.55000000000000004</v>
      </c>
      <c r="H1285" s="251">
        <v>1.1000000000000001</v>
      </c>
      <c r="I1285" s="251"/>
      <c r="J1285" s="253"/>
      <c r="K1285" s="254">
        <f t="shared" si="42"/>
        <v>170.28384450000001</v>
      </c>
      <c r="L1285" s="255" t="s">
        <v>1511</v>
      </c>
    </row>
    <row r="1286" spans="2:12">
      <c r="B1286" s="205" t="s">
        <v>1512</v>
      </c>
      <c r="C1286" s="250" t="s">
        <v>1611</v>
      </c>
      <c r="D1286" s="205" t="s">
        <v>1274</v>
      </c>
      <c r="E1286" s="251">
        <v>764.81</v>
      </c>
      <c r="F1286" s="252">
        <v>0.245</v>
      </c>
      <c r="G1286" s="251">
        <v>0.55000000000000004</v>
      </c>
      <c r="H1286" s="251">
        <v>1.1000000000000001</v>
      </c>
      <c r="I1286" s="251">
        <v>4.15206487694044E-4</v>
      </c>
      <c r="J1286" s="253"/>
      <c r="K1286" s="254">
        <f t="shared" si="42"/>
        <v>113.3643774564877</v>
      </c>
      <c r="L1286" s="255" t="s">
        <v>1511</v>
      </c>
    </row>
    <row r="1287" spans="2:12">
      <c r="B1287" s="256"/>
      <c r="C1287" s="210"/>
      <c r="D1287" s="210"/>
      <c r="E1287" s="257"/>
      <c r="F1287" s="258"/>
      <c r="G1287" s="257"/>
      <c r="H1287" s="257"/>
      <c r="I1287" s="257"/>
      <c r="J1287" s="259"/>
      <c r="K1287" s="260">
        <f t="shared" si="42"/>
        <v>0</v>
      </c>
      <c r="L1287" s="210"/>
    </row>
    <row r="1288" spans="2:12">
      <c r="B1288" s="202"/>
      <c r="C1288" s="203"/>
      <c r="D1288" s="203"/>
      <c r="E1288" s="203"/>
      <c r="F1288" s="203"/>
      <c r="G1288" s="203"/>
      <c r="H1288" s="204"/>
      <c r="I1288" s="556" t="s">
        <v>1221</v>
      </c>
      <c r="J1288" s="556"/>
      <c r="K1288" s="220">
        <f>SUM(K1277:K1287)</f>
        <v>2520.5254702064876</v>
      </c>
      <c r="L1288" s="207"/>
    </row>
    <row r="1289" spans="2:12">
      <c r="B1289" s="208"/>
      <c r="C1289" s="204"/>
      <c r="D1289" s="204"/>
      <c r="E1289" s="204"/>
      <c r="F1289" s="204"/>
      <c r="G1289" s="204"/>
      <c r="H1289" s="209"/>
      <c r="I1289" s="557" t="s">
        <v>1222</v>
      </c>
      <c r="J1289" s="557"/>
      <c r="K1289" s="221">
        <f>VLOOKUP(B1275,'BM 004'!$B$27:$R$590,4,0)</f>
        <v>2362.8000000000002</v>
      </c>
      <c r="L1289" s="207"/>
    </row>
    <row r="1290" spans="2:12">
      <c r="B1290" s="208"/>
      <c r="C1290" s="204"/>
      <c r="D1290" s="204"/>
      <c r="E1290" s="204"/>
      <c r="F1290" s="204"/>
      <c r="G1290" s="204"/>
      <c r="H1290" s="558" t="s">
        <v>1223</v>
      </c>
      <c r="I1290" s="558"/>
      <c r="J1290" s="558"/>
      <c r="K1290" s="222">
        <v>2236.87</v>
      </c>
      <c r="L1290" s="207"/>
    </row>
    <row r="1291" spans="2:12">
      <c r="B1291" s="208"/>
      <c r="C1291" s="204"/>
      <c r="D1291" s="204"/>
      <c r="E1291" s="204"/>
      <c r="F1291" s="204"/>
      <c r="G1291" s="204"/>
      <c r="H1291" s="558" t="s">
        <v>1579</v>
      </c>
      <c r="I1291" s="558"/>
      <c r="J1291" s="558"/>
      <c r="K1291" s="222">
        <f>IF(K1288&gt;K1289,K1289,K1288)-K1290+0.000415206487694044</f>
        <v>125.93041520648798</v>
      </c>
      <c r="L1291" s="207"/>
    </row>
    <row r="1292" spans="2:12">
      <c r="B1292" s="213"/>
      <c r="C1292" s="214"/>
      <c r="D1292" s="214"/>
      <c r="E1292" s="214"/>
      <c r="F1292" s="214"/>
      <c r="G1292" s="214"/>
      <c r="H1292" s="559" t="s">
        <v>1224</v>
      </c>
      <c r="I1292" s="559"/>
      <c r="J1292" s="559"/>
      <c r="K1292" s="223">
        <f>IF(K1288&gt;K1289,K1288-K1289,0)</f>
        <v>157.72547020648744</v>
      </c>
      <c r="L1292" s="209"/>
    </row>
    <row r="1294" spans="2:12">
      <c r="B1294" s="247" t="s">
        <v>242</v>
      </c>
      <c r="C1294" s="565" t="str">
        <f>VLOOKUP(B1294,'BM 004'!$B$27:$R$590,2,0)</f>
        <v>Armação de laje de uma estrutura convencional de concreto armado em um edifício de múltiplos pavimentos utilizando aço ca-50 de 8,0 mm - montagem.</v>
      </c>
      <c r="D1294" s="565"/>
      <c r="E1294" s="565"/>
      <c r="F1294" s="565"/>
      <c r="G1294" s="565"/>
      <c r="H1294" s="565"/>
      <c r="I1294" s="565"/>
      <c r="J1294" s="565"/>
      <c r="K1294" s="565"/>
      <c r="L1294" s="565"/>
    </row>
    <row r="1295" spans="2:12">
      <c r="B1295" s="248" t="s">
        <v>1209</v>
      </c>
      <c r="C1295" s="248"/>
      <c r="D1295" s="248" t="s">
        <v>39</v>
      </c>
      <c r="E1295" s="248" t="s">
        <v>1210</v>
      </c>
      <c r="F1295" s="248" t="s">
        <v>1388</v>
      </c>
      <c r="G1295" s="248" t="s">
        <v>1212</v>
      </c>
      <c r="H1295" s="248" t="s">
        <v>1213</v>
      </c>
      <c r="I1295" s="248" t="s">
        <v>1214</v>
      </c>
      <c r="J1295" s="248" t="s">
        <v>1385</v>
      </c>
      <c r="K1295" s="248" t="s">
        <v>1216</v>
      </c>
      <c r="L1295" s="248" t="s">
        <v>1217</v>
      </c>
    </row>
    <row r="1296" spans="2:12">
      <c r="B1296" s="205" t="s">
        <v>1510</v>
      </c>
      <c r="C1296" s="250" t="s">
        <v>1441</v>
      </c>
      <c r="D1296" s="205" t="s">
        <v>1274</v>
      </c>
      <c r="E1296" s="251">
        <v>224.4</v>
      </c>
      <c r="F1296" s="252">
        <v>0.39500000000000002</v>
      </c>
      <c r="G1296" s="251">
        <v>0.45</v>
      </c>
      <c r="H1296" s="251">
        <v>1.1000000000000001</v>
      </c>
      <c r="I1296" s="251"/>
      <c r="J1296" s="253"/>
      <c r="K1296" s="254">
        <f t="shared" ref="K1296:K1302" si="43">IF(E1296*F1296*G1296&lt;&gt;0,E1296*F1296*G1296,IF(E1296*F1296&lt;&gt;0,E1296*F1296,IF(F1296*G1296&lt;&gt;0,F1296*G1296,IF(E1296*G1296&lt;&gt;0,E1296*G1296,IF(E1296&lt;&gt;0,E1296,IF(F1296&lt;&gt;0,F1296,IF(G1296&lt;&gt;0,G1296,0)))))))*(IF(H1296&lt;&gt;0,H1296,1))+I1296-J1296</f>
        <v>43.875810000000008</v>
      </c>
      <c r="L1296" s="255"/>
    </row>
    <row r="1297" spans="2:12">
      <c r="B1297" s="205" t="s">
        <v>1512</v>
      </c>
      <c r="C1297" s="250" t="s">
        <v>1441</v>
      </c>
      <c r="D1297" s="205" t="s">
        <v>1274</v>
      </c>
      <c r="E1297" s="251">
        <v>322.89999999999998</v>
      </c>
      <c r="F1297" s="252">
        <v>0.39500000000000002</v>
      </c>
      <c r="G1297" s="251">
        <v>0.45</v>
      </c>
      <c r="H1297" s="251">
        <v>1.1000000000000001</v>
      </c>
      <c r="I1297" s="251"/>
      <c r="J1297" s="253"/>
      <c r="K1297" s="254">
        <f t="shared" si="43"/>
        <v>63.135022500000005</v>
      </c>
      <c r="L1297" s="255"/>
    </row>
    <row r="1298" spans="2:12">
      <c r="B1298" s="205" t="s">
        <v>1513</v>
      </c>
      <c r="C1298" s="250" t="s">
        <v>1441</v>
      </c>
      <c r="D1298" s="205" t="s">
        <v>1274</v>
      </c>
      <c r="E1298" s="251">
        <v>99</v>
      </c>
      <c r="F1298" s="252">
        <v>0.39500000000000002</v>
      </c>
      <c r="G1298" s="251"/>
      <c r="H1298" s="251">
        <v>1.1000000000000001</v>
      </c>
      <c r="I1298" s="251"/>
      <c r="J1298" s="253"/>
      <c r="K1298" s="254">
        <f t="shared" si="43"/>
        <v>43.01550000000001</v>
      </c>
      <c r="L1298" s="255"/>
    </row>
    <row r="1299" spans="2:12">
      <c r="B1299" s="205" t="s">
        <v>1514</v>
      </c>
      <c r="C1299" s="250" t="s">
        <v>1441</v>
      </c>
      <c r="D1299" s="205" t="s">
        <v>1274</v>
      </c>
      <c r="E1299" s="251">
        <v>1170</v>
      </c>
      <c r="F1299" s="252">
        <v>0.39500000000000002</v>
      </c>
      <c r="G1299" s="251"/>
      <c r="H1299" s="251">
        <v>1.1000000000000001</v>
      </c>
      <c r="I1299" s="251"/>
      <c r="J1299" s="253"/>
      <c r="K1299" s="254">
        <f t="shared" si="43"/>
        <v>508.36500000000007</v>
      </c>
      <c r="L1299" s="255"/>
    </row>
    <row r="1300" spans="2:12">
      <c r="B1300" s="205" t="s">
        <v>1572</v>
      </c>
      <c r="C1300" s="250" t="s">
        <v>1521</v>
      </c>
      <c r="D1300" s="205" t="s">
        <v>1274</v>
      </c>
      <c r="E1300" s="251">
        <v>224.54</v>
      </c>
      <c r="F1300" s="252">
        <v>0.39500000000000002</v>
      </c>
      <c r="G1300" s="251">
        <v>0.5</v>
      </c>
      <c r="H1300" s="251">
        <v>1.1000000000000001</v>
      </c>
      <c r="I1300" s="251"/>
      <c r="J1300" s="253"/>
      <c r="K1300" s="254">
        <f t="shared" si="43"/>
        <v>48.781315000000006</v>
      </c>
      <c r="L1300" s="255"/>
    </row>
    <row r="1301" spans="2:12">
      <c r="B1301" s="205" t="s">
        <v>1573</v>
      </c>
      <c r="C1301" s="250" t="s">
        <v>1521</v>
      </c>
      <c r="D1301" s="205" t="s">
        <v>1274</v>
      </c>
      <c r="E1301" s="251">
        <v>163</v>
      </c>
      <c r="F1301" s="252">
        <v>0.39500000000000002</v>
      </c>
      <c r="G1301" s="251">
        <v>0.5</v>
      </c>
      <c r="H1301" s="251">
        <v>1.1000000000000001</v>
      </c>
      <c r="I1301" s="251"/>
      <c r="J1301" s="253"/>
      <c r="K1301" s="254">
        <f t="shared" si="43"/>
        <v>35.411750000000005</v>
      </c>
      <c r="L1301" s="255"/>
    </row>
    <row r="1302" spans="2:12">
      <c r="B1302" s="256"/>
      <c r="C1302" s="210"/>
      <c r="D1302" s="210"/>
      <c r="E1302" s="257"/>
      <c r="F1302" s="258"/>
      <c r="G1302" s="257"/>
      <c r="H1302" s="257"/>
      <c r="I1302" s="257"/>
      <c r="J1302" s="259"/>
      <c r="K1302" s="260">
        <f t="shared" si="43"/>
        <v>0</v>
      </c>
      <c r="L1302" s="210"/>
    </row>
    <row r="1303" spans="2:12">
      <c r="B1303" s="202"/>
      <c r="C1303" s="203"/>
      <c r="D1303" s="203"/>
      <c r="E1303" s="203"/>
      <c r="F1303" s="203"/>
      <c r="G1303" s="203"/>
      <c r="H1303" s="204"/>
      <c r="I1303" s="556" t="s">
        <v>1221</v>
      </c>
      <c r="J1303" s="556"/>
      <c r="K1303" s="220">
        <f>SUM(K1296:K1302)</f>
        <v>742.58439750000002</v>
      </c>
      <c r="L1303" s="207"/>
    </row>
    <row r="1304" spans="2:12">
      <c r="B1304" s="208"/>
      <c r="C1304" s="204"/>
      <c r="D1304" s="204"/>
      <c r="E1304" s="204"/>
      <c r="F1304" s="204"/>
      <c r="G1304" s="204"/>
      <c r="H1304" s="209"/>
      <c r="I1304" s="557" t="s">
        <v>1222</v>
      </c>
      <c r="J1304" s="557"/>
      <c r="K1304" s="221">
        <f>VLOOKUP(B1294,'BM 004'!$B$27:$R$590,4,0)</f>
        <v>602.79999999999995</v>
      </c>
      <c r="L1304" s="207"/>
    </row>
    <row r="1305" spans="2:12">
      <c r="B1305" s="208"/>
      <c r="C1305" s="204"/>
      <c r="D1305" s="204"/>
      <c r="E1305" s="204"/>
      <c r="F1305" s="204"/>
      <c r="G1305" s="204"/>
      <c r="H1305" s="558" t="s">
        <v>1223</v>
      </c>
      <c r="I1305" s="558"/>
      <c r="J1305" s="558"/>
      <c r="K1305" s="222">
        <v>602.79999999999995</v>
      </c>
      <c r="L1305" s="207"/>
    </row>
    <row r="1306" spans="2:12">
      <c r="B1306" s="208"/>
      <c r="C1306" s="204"/>
      <c r="D1306" s="204"/>
      <c r="E1306" s="204"/>
      <c r="F1306" s="204"/>
      <c r="G1306" s="204"/>
      <c r="H1306" s="558" t="s">
        <v>1435</v>
      </c>
      <c r="I1306" s="558"/>
      <c r="J1306" s="558"/>
      <c r="K1306" s="222">
        <f>IF(K1303&gt;K1304,0,TRUNC(SUMIF(C1296:C1302,H1306,K1296:K1302),L9700))</f>
        <v>0</v>
      </c>
      <c r="L1306" s="207"/>
    </row>
    <row r="1307" spans="2:12">
      <c r="B1307" s="213"/>
      <c r="C1307" s="214"/>
      <c r="D1307" s="214"/>
      <c r="E1307" s="214"/>
      <c r="F1307" s="214"/>
      <c r="G1307" s="214"/>
      <c r="H1307" s="559" t="s">
        <v>1224</v>
      </c>
      <c r="I1307" s="559"/>
      <c r="J1307" s="559"/>
      <c r="K1307" s="223">
        <f>IF(K1303&gt;K1304,K1303-K1304,0)</f>
        <v>139.78439750000007</v>
      </c>
      <c r="L1307" s="209"/>
    </row>
    <row r="1309" spans="2:12">
      <c r="B1309" s="247" t="s">
        <v>244</v>
      </c>
      <c r="C1309" s="565" t="str">
        <f>VLOOKUP(B1309,'BM 004'!$B$27:$R$590,2,0)</f>
        <v xml:space="preserve">Armação de laje de uma estrutura convencional de concreto armado em um edifício de múltiplos pavimentos utilizando aço ca-50 de 10,0 mm - montagem. </v>
      </c>
      <c r="D1309" s="565"/>
      <c r="E1309" s="565"/>
      <c r="F1309" s="565"/>
      <c r="G1309" s="565"/>
      <c r="H1309" s="565"/>
      <c r="I1309" s="565"/>
      <c r="J1309" s="565"/>
      <c r="K1309" s="565"/>
      <c r="L1309" s="565"/>
    </row>
    <row r="1310" spans="2:12">
      <c r="B1310" s="248" t="s">
        <v>1209</v>
      </c>
      <c r="C1310" s="248"/>
      <c r="D1310" s="248" t="s">
        <v>39</v>
      </c>
      <c r="E1310" s="248" t="s">
        <v>1210</v>
      </c>
      <c r="F1310" s="248" t="s">
        <v>1388</v>
      </c>
      <c r="G1310" s="248" t="s">
        <v>1212</v>
      </c>
      <c r="H1310" s="248" t="s">
        <v>1213</v>
      </c>
      <c r="I1310" s="248" t="s">
        <v>1214</v>
      </c>
      <c r="J1310" s="248" t="s">
        <v>1385</v>
      </c>
      <c r="K1310" s="248" t="s">
        <v>1216</v>
      </c>
      <c r="L1310" s="248" t="s">
        <v>1217</v>
      </c>
    </row>
    <row r="1311" spans="2:12">
      <c r="B1311" s="205" t="s">
        <v>1510</v>
      </c>
      <c r="C1311" s="250" t="s">
        <v>1441</v>
      </c>
      <c r="D1311" s="205" t="s">
        <v>1274</v>
      </c>
      <c r="E1311" s="251">
        <v>922.65</v>
      </c>
      <c r="F1311" s="252">
        <v>0.61699999999999999</v>
      </c>
      <c r="G1311" s="251">
        <v>0.45</v>
      </c>
      <c r="H1311" s="251">
        <v>1.1000000000000001</v>
      </c>
      <c r="I1311" s="251"/>
      <c r="J1311" s="253"/>
      <c r="K1311" s="254">
        <f t="shared" ref="K1311:K1324" si="44">IF(E1311*F1311*G1311&lt;&gt;0,E1311*F1311*G1311,IF(E1311*F1311&lt;&gt;0,E1311*F1311,IF(F1311*G1311&lt;&gt;0,F1311*G1311,IF(E1311*G1311&lt;&gt;0,E1311*G1311,IF(E1311&lt;&gt;0,E1311,IF(F1311&lt;&gt;0,F1311,IF(G1311&lt;&gt;0,G1311,0)))))))*(IF(H1311&lt;&gt;0,H1311,1))+I1311-J1311</f>
        <v>281.79114974999999</v>
      </c>
      <c r="L1311" s="255"/>
    </row>
    <row r="1312" spans="2:12">
      <c r="B1312" s="205" t="s">
        <v>1512</v>
      </c>
      <c r="C1312" s="250" t="s">
        <v>1441</v>
      </c>
      <c r="D1312" s="205" t="s">
        <v>1274</v>
      </c>
      <c r="E1312" s="251">
        <v>886.9</v>
      </c>
      <c r="F1312" s="252">
        <v>0.61699999999999999</v>
      </c>
      <c r="G1312" s="251">
        <v>0.45</v>
      </c>
      <c r="H1312" s="251">
        <v>1.1000000000000001</v>
      </c>
      <c r="I1312" s="251"/>
      <c r="J1312" s="253"/>
      <c r="K1312" s="254">
        <f t="shared" si="44"/>
        <v>270.87256350000007</v>
      </c>
      <c r="L1312" s="255"/>
    </row>
    <row r="1313" spans="2:12">
      <c r="B1313" s="205" t="s">
        <v>1513</v>
      </c>
      <c r="C1313" s="250" t="s">
        <v>1441</v>
      </c>
      <c r="D1313" s="205" t="s">
        <v>1274</v>
      </c>
      <c r="E1313" s="251">
        <v>459</v>
      </c>
      <c r="F1313" s="252">
        <v>0.61699999999999999</v>
      </c>
      <c r="G1313" s="251"/>
      <c r="H1313" s="251">
        <v>1.1000000000000001</v>
      </c>
      <c r="I1313" s="251"/>
      <c r="J1313" s="253"/>
      <c r="K1313" s="254">
        <f t="shared" si="44"/>
        <v>311.52330000000001</v>
      </c>
      <c r="L1313" s="255"/>
    </row>
    <row r="1314" spans="2:12">
      <c r="B1314" s="205" t="s">
        <v>1514</v>
      </c>
      <c r="C1314" s="250" t="s">
        <v>1441</v>
      </c>
      <c r="D1314" s="205" t="s">
        <v>1274</v>
      </c>
      <c r="E1314" s="251">
        <v>332</v>
      </c>
      <c r="F1314" s="252">
        <v>0.61699999999999999</v>
      </c>
      <c r="G1314" s="251"/>
      <c r="H1314" s="251">
        <v>1.1000000000000001</v>
      </c>
      <c r="I1314" s="251"/>
      <c r="J1314" s="253"/>
      <c r="K1314" s="254">
        <f t="shared" si="44"/>
        <v>225.32840000000002</v>
      </c>
      <c r="L1314" s="255"/>
    </row>
    <row r="1315" spans="2:12">
      <c r="B1315" s="205" t="s">
        <v>1517</v>
      </c>
      <c r="C1315" s="250" t="s">
        <v>1441</v>
      </c>
      <c r="D1315" s="205" t="s">
        <v>1274</v>
      </c>
      <c r="E1315" s="251">
        <v>55.59</v>
      </c>
      <c r="F1315" s="252"/>
      <c r="G1315" s="251"/>
      <c r="H1315" s="251"/>
      <c r="I1315" s="251"/>
      <c r="J1315" s="253"/>
      <c r="K1315" s="254">
        <f t="shared" si="44"/>
        <v>55.59</v>
      </c>
      <c r="L1315" s="255"/>
    </row>
    <row r="1316" spans="2:12">
      <c r="B1316" s="205" t="s">
        <v>1572</v>
      </c>
      <c r="C1316" s="250" t="s">
        <v>1521</v>
      </c>
      <c r="D1316" s="205" t="s">
        <v>1274</v>
      </c>
      <c r="E1316" s="251">
        <v>1476.23</v>
      </c>
      <c r="F1316" s="252">
        <v>0.61699999999999999</v>
      </c>
      <c r="G1316" s="251">
        <v>0.5</v>
      </c>
      <c r="H1316" s="251">
        <v>1.1000000000000001</v>
      </c>
      <c r="I1316" s="251"/>
      <c r="J1316" s="253"/>
      <c r="K1316" s="254">
        <f t="shared" si="44"/>
        <v>500.95865050000003</v>
      </c>
      <c r="L1316" s="255"/>
    </row>
    <row r="1317" spans="2:12">
      <c r="B1317" s="205" t="s">
        <v>1573</v>
      </c>
      <c r="C1317" s="250" t="s">
        <v>1521</v>
      </c>
      <c r="D1317" s="205" t="s">
        <v>1274</v>
      </c>
      <c r="E1317" s="251">
        <v>1207</v>
      </c>
      <c r="F1317" s="252">
        <v>0.61699999999999999</v>
      </c>
      <c r="G1317" s="251">
        <v>0.5</v>
      </c>
      <c r="H1317" s="251">
        <v>1.1000000000000001</v>
      </c>
      <c r="I1317" s="251"/>
      <c r="J1317" s="253"/>
      <c r="K1317" s="254">
        <f t="shared" si="44"/>
        <v>409.59544999999997</v>
      </c>
      <c r="L1317" s="255"/>
    </row>
    <row r="1318" spans="2:12">
      <c r="B1318" s="205" t="s">
        <v>1510</v>
      </c>
      <c r="C1318" s="250" t="s">
        <v>1611</v>
      </c>
      <c r="D1318" s="205" t="s">
        <v>1274</v>
      </c>
      <c r="E1318" s="251">
        <v>922.65</v>
      </c>
      <c r="F1318" s="252">
        <v>0.61699999999999999</v>
      </c>
      <c r="G1318" s="251">
        <v>0.55000000000000004</v>
      </c>
      <c r="H1318" s="251">
        <v>1.1000000000000001</v>
      </c>
      <c r="I1318" s="251"/>
      <c r="J1318" s="253"/>
      <c r="K1318" s="254">
        <f t="shared" si="44"/>
        <v>344.41140525000003</v>
      </c>
      <c r="L1318" s="255"/>
    </row>
    <row r="1319" spans="2:12">
      <c r="B1319" s="205" t="s">
        <v>1512</v>
      </c>
      <c r="C1319" s="250" t="s">
        <v>1611</v>
      </c>
      <c r="D1319" s="205" t="s">
        <v>1274</v>
      </c>
      <c r="E1319" s="251">
        <v>886.9</v>
      </c>
      <c r="F1319" s="252">
        <v>0.61699999999999999</v>
      </c>
      <c r="G1319" s="251">
        <v>0.55000000000000004</v>
      </c>
      <c r="H1319" s="251">
        <v>1.1000000000000001</v>
      </c>
      <c r="I1319" s="251"/>
      <c r="J1319" s="253"/>
      <c r="K1319" s="254">
        <f t="shared" si="44"/>
        <v>331.0664665000001</v>
      </c>
      <c r="L1319" s="255"/>
    </row>
    <row r="1320" spans="2:12">
      <c r="B1320" s="205" t="s">
        <v>1572</v>
      </c>
      <c r="C1320" s="250" t="s">
        <v>1612</v>
      </c>
      <c r="D1320" s="205" t="s">
        <v>1274</v>
      </c>
      <c r="E1320" s="251">
        <v>1476.23</v>
      </c>
      <c r="F1320" s="252">
        <v>0.61699999999999999</v>
      </c>
      <c r="G1320" s="251">
        <v>0.3</v>
      </c>
      <c r="H1320" s="251">
        <v>1.1000000000000001</v>
      </c>
      <c r="I1320" s="251"/>
      <c r="J1320" s="253"/>
      <c r="K1320" s="254">
        <f t="shared" si="44"/>
        <v>300.57519029999997</v>
      </c>
      <c r="L1320" s="255"/>
    </row>
    <row r="1321" spans="2:12">
      <c r="B1321" s="205" t="s">
        <v>1573</v>
      </c>
      <c r="C1321" s="250" t="s">
        <v>1612</v>
      </c>
      <c r="D1321" s="205" t="s">
        <v>1274</v>
      </c>
      <c r="E1321" s="251">
        <v>1207</v>
      </c>
      <c r="F1321" s="252">
        <v>0.61699999999999999</v>
      </c>
      <c r="G1321" s="251">
        <v>0.3</v>
      </c>
      <c r="H1321" s="251">
        <v>1.1000000000000001</v>
      </c>
      <c r="I1321" s="251"/>
      <c r="J1321" s="253"/>
      <c r="K1321" s="254">
        <f t="shared" si="44"/>
        <v>245.75727000000001</v>
      </c>
      <c r="L1321" s="255"/>
    </row>
    <row r="1322" spans="2:12">
      <c r="B1322" s="256"/>
      <c r="C1322" s="210"/>
      <c r="D1322" s="210"/>
      <c r="E1322" s="257"/>
      <c r="F1322" s="258"/>
      <c r="G1322" s="257"/>
      <c r="H1322" s="257"/>
      <c r="I1322" s="257"/>
      <c r="J1322" s="259"/>
      <c r="K1322" s="254">
        <f t="shared" si="44"/>
        <v>0</v>
      </c>
      <c r="L1322" s="210"/>
    </row>
    <row r="1323" spans="2:12">
      <c r="B1323" s="256"/>
      <c r="C1323" s="210"/>
      <c r="D1323" s="210"/>
      <c r="E1323" s="257"/>
      <c r="F1323" s="258"/>
      <c r="G1323" s="257"/>
      <c r="H1323" s="257"/>
      <c r="I1323" s="257"/>
      <c r="J1323" s="259"/>
      <c r="K1323" s="260">
        <f t="shared" si="44"/>
        <v>0</v>
      </c>
      <c r="L1323" s="210"/>
    </row>
    <row r="1324" spans="2:12">
      <c r="B1324" s="256"/>
      <c r="C1324" s="210"/>
      <c r="D1324" s="210"/>
      <c r="E1324" s="257"/>
      <c r="F1324" s="258"/>
      <c r="G1324" s="257"/>
      <c r="H1324" s="257"/>
      <c r="I1324" s="257"/>
      <c r="J1324" s="259"/>
      <c r="K1324" s="260">
        <f t="shared" si="44"/>
        <v>0</v>
      </c>
      <c r="L1324" s="210"/>
    </row>
    <row r="1325" spans="2:12">
      <c r="B1325" s="202"/>
      <c r="C1325" s="203"/>
      <c r="D1325" s="203"/>
      <c r="E1325" s="203"/>
      <c r="F1325" s="203"/>
      <c r="G1325" s="203"/>
      <c r="H1325" s="204"/>
      <c r="I1325" s="556" t="s">
        <v>1221</v>
      </c>
      <c r="J1325" s="556"/>
      <c r="K1325" s="220">
        <f>SUM(K1311:K1324)</f>
        <v>3277.4698457999998</v>
      </c>
      <c r="L1325" s="207"/>
    </row>
    <row r="1326" spans="2:12">
      <c r="B1326" s="208"/>
      <c r="C1326" s="204"/>
      <c r="D1326" s="204"/>
      <c r="E1326" s="204"/>
      <c r="F1326" s="204"/>
      <c r="G1326" s="204"/>
      <c r="H1326" s="209"/>
      <c r="I1326" s="557" t="s">
        <v>1222</v>
      </c>
      <c r="J1326" s="557"/>
      <c r="K1326" s="221">
        <f>VLOOKUP(B1309,'BM 004'!$B$27:$R$590,4,0)</f>
        <v>3562.9</v>
      </c>
      <c r="L1326" s="207"/>
    </row>
    <row r="1327" spans="2:12">
      <c r="B1327" s="208"/>
      <c r="C1327" s="204"/>
      <c r="D1327" s="204"/>
      <c r="E1327" s="204"/>
      <c r="F1327" s="204"/>
      <c r="G1327" s="204"/>
      <c r="H1327" s="558" t="s">
        <v>1223</v>
      </c>
      <c r="I1327" s="558"/>
      <c r="J1327" s="558"/>
      <c r="K1327" s="222">
        <v>2731.1373855000002</v>
      </c>
      <c r="L1327" s="207"/>
    </row>
    <row r="1328" spans="2:12">
      <c r="B1328" s="208"/>
      <c r="C1328" s="204"/>
      <c r="D1328" s="204"/>
      <c r="E1328" s="204"/>
      <c r="F1328" s="204"/>
      <c r="G1328" s="204"/>
      <c r="H1328" s="558" t="s">
        <v>1592</v>
      </c>
      <c r="I1328" s="558"/>
      <c r="J1328" s="558"/>
      <c r="K1328" s="222">
        <f>TRUNC(SUMIF(C1311:C1324,H1328,K1311:K1324),2)-K1329</f>
        <v>546.33000000000004</v>
      </c>
      <c r="L1328" s="207"/>
    </row>
    <row r="1329" spans="2:12">
      <c r="B1329" s="213"/>
      <c r="C1329" s="214"/>
      <c r="D1329" s="214"/>
      <c r="E1329" s="214"/>
      <c r="F1329" s="214"/>
      <c r="G1329" s="214"/>
      <c r="H1329" s="559" t="s">
        <v>1224</v>
      </c>
      <c r="I1329" s="559"/>
      <c r="J1329" s="559"/>
      <c r="K1329" s="223">
        <f>IF(K1325&gt;K1326,K1325-K1326,0)</f>
        <v>0</v>
      </c>
      <c r="L1329" s="209"/>
    </row>
    <row r="1331" spans="2:12">
      <c r="B1331" s="247" t="s">
        <v>246</v>
      </c>
      <c r="C1331" s="565" t="str">
        <f>VLOOKUP(B1331,'BM 004'!$B$27:$R$590,2,0)</f>
        <v xml:space="preserve">Armação de laje de uma estrutura convencional de concreto armado em um edifício de múltiplos pavimentos utilizando aço ca-50 de 12,5 mm - montagem. </v>
      </c>
      <c r="D1331" s="565"/>
      <c r="E1331" s="565"/>
      <c r="F1331" s="565"/>
      <c r="G1331" s="565"/>
      <c r="H1331" s="565"/>
      <c r="I1331" s="565"/>
      <c r="J1331" s="565"/>
      <c r="K1331" s="565"/>
      <c r="L1331" s="565"/>
    </row>
    <row r="1332" spans="2:12">
      <c r="B1332" s="248" t="s">
        <v>1209</v>
      </c>
      <c r="C1332" s="248"/>
      <c r="D1332" s="248" t="s">
        <v>39</v>
      </c>
      <c r="E1332" s="248" t="s">
        <v>1210</v>
      </c>
      <c r="F1332" s="248" t="s">
        <v>1388</v>
      </c>
      <c r="G1332" s="248" t="s">
        <v>1212</v>
      </c>
      <c r="H1332" s="248" t="s">
        <v>1213</v>
      </c>
      <c r="I1332" s="248" t="s">
        <v>1214</v>
      </c>
      <c r="J1332" s="248" t="s">
        <v>1385</v>
      </c>
      <c r="K1332" s="248" t="s">
        <v>1216</v>
      </c>
      <c r="L1332" s="248" t="s">
        <v>1217</v>
      </c>
    </row>
    <row r="1333" spans="2:12">
      <c r="B1333" s="205" t="s">
        <v>1510</v>
      </c>
      <c r="C1333" s="250" t="s">
        <v>1441</v>
      </c>
      <c r="D1333" s="205" t="s">
        <v>1274</v>
      </c>
      <c r="E1333" s="251">
        <v>815.6</v>
      </c>
      <c r="F1333" s="252">
        <v>0.96299999999999997</v>
      </c>
      <c r="G1333" s="251">
        <v>0.45</v>
      </c>
      <c r="H1333" s="251">
        <v>1.1000000000000001</v>
      </c>
      <c r="I1333" s="251"/>
      <c r="J1333" s="253"/>
      <c r="K1333" s="254">
        <f t="shared" ref="K1333:K1346" si="45">IF(E1333*F1333*G1333&lt;&gt;0,E1333*F1333*G1333,IF(E1333*F1333&lt;&gt;0,E1333*F1333,IF(F1333*G1333&lt;&gt;0,F1333*G1333,IF(E1333*G1333&lt;&gt;0,E1333*G1333,IF(E1333&lt;&gt;0,E1333,IF(F1333&lt;&gt;0,F1333,IF(G1333&lt;&gt;0,G1333,0)))))))*(IF(H1333&lt;&gt;0,H1333,1))+I1333-J1333</f>
        <v>388.78428600000001</v>
      </c>
      <c r="L1333" s="255"/>
    </row>
    <row r="1334" spans="2:12">
      <c r="B1334" s="205" t="s">
        <v>1512</v>
      </c>
      <c r="C1334" s="250" t="s">
        <v>1441</v>
      </c>
      <c r="D1334" s="205" t="s">
        <v>1274</v>
      </c>
      <c r="E1334" s="251">
        <v>760.5</v>
      </c>
      <c r="F1334" s="252">
        <v>0.96299999999999997</v>
      </c>
      <c r="G1334" s="251">
        <v>0.45</v>
      </c>
      <c r="H1334" s="251">
        <v>1.1000000000000001</v>
      </c>
      <c r="I1334" s="251"/>
      <c r="J1334" s="253"/>
      <c r="K1334" s="254">
        <f t="shared" si="45"/>
        <v>362.51894250000004</v>
      </c>
      <c r="L1334" s="255"/>
    </row>
    <row r="1335" spans="2:12">
      <c r="B1335" s="205" t="s">
        <v>1513</v>
      </c>
      <c r="C1335" s="250" t="s">
        <v>1441</v>
      </c>
      <c r="D1335" s="205" t="s">
        <v>1274</v>
      </c>
      <c r="E1335" s="251">
        <v>1053</v>
      </c>
      <c r="F1335" s="252">
        <v>0.96299999999999997</v>
      </c>
      <c r="G1335" s="251">
        <v>1</v>
      </c>
      <c r="H1335" s="251">
        <v>1.1000000000000001</v>
      </c>
      <c r="I1335" s="251"/>
      <c r="J1335" s="253"/>
      <c r="K1335" s="254">
        <f t="shared" si="45"/>
        <v>1115.4429</v>
      </c>
      <c r="L1335" s="255"/>
    </row>
    <row r="1336" spans="2:12">
      <c r="B1336" s="205" t="s">
        <v>1514</v>
      </c>
      <c r="C1336" s="250" t="s">
        <v>1441</v>
      </c>
      <c r="D1336" s="205" t="s">
        <v>1274</v>
      </c>
      <c r="E1336" s="251">
        <v>165</v>
      </c>
      <c r="F1336" s="252">
        <v>0.96299999999999997</v>
      </c>
      <c r="G1336" s="251">
        <v>1</v>
      </c>
      <c r="H1336" s="251">
        <v>1.1000000000000001</v>
      </c>
      <c r="I1336" s="251"/>
      <c r="J1336" s="253"/>
      <c r="K1336" s="254">
        <f t="shared" si="45"/>
        <v>174.78449999999998</v>
      </c>
      <c r="L1336" s="255"/>
    </row>
    <row r="1337" spans="2:12">
      <c r="B1337" s="205" t="s">
        <v>1572</v>
      </c>
      <c r="C1337" s="250" t="s">
        <v>1521</v>
      </c>
      <c r="D1337" s="205" t="s">
        <v>1274</v>
      </c>
      <c r="E1337" s="251">
        <v>1210.6500000000001</v>
      </c>
      <c r="F1337" s="252">
        <v>0.96299999999999997</v>
      </c>
      <c r="G1337" s="251">
        <v>0.5</v>
      </c>
      <c r="H1337" s="251">
        <v>1.1000000000000001</v>
      </c>
      <c r="I1337" s="251"/>
      <c r="J1337" s="253"/>
      <c r="K1337" s="254">
        <f t="shared" si="45"/>
        <v>641.22077250000007</v>
      </c>
      <c r="L1337" s="255"/>
    </row>
    <row r="1338" spans="2:12">
      <c r="B1338" s="205" t="s">
        <v>1573</v>
      </c>
      <c r="C1338" s="250" t="s">
        <v>1521</v>
      </c>
      <c r="D1338" s="205" t="s">
        <v>1274</v>
      </c>
      <c r="E1338" s="251">
        <v>1168.92</v>
      </c>
      <c r="F1338" s="252">
        <v>0.96299999999999997</v>
      </c>
      <c r="G1338" s="251">
        <v>0.5</v>
      </c>
      <c r="H1338" s="251">
        <v>1.1000000000000001</v>
      </c>
      <c r="I1338" s="251"/>
      <c r="J1338" s="253"/>
      <c r="K1338" s="254">
        <f t="shared" si="45"/>
        <v>619.11847799999998</v>
      </c>
      <c r="L1338" s="255"/>
    </row>
    <row r="1339" spans="2:12">
      <c r="B1339" s="205" t="s">
        <v>1510</v>
      </c>
      <c r="C1339" s="250" t="s">
        <v>1611</v>
      </c>
      <c r="D1339" s="205" t="s">
        <v>1274</v>
      </c>
      <c r="E1339" s="251">
        <v>815.6</v>
      </c>
      <c r="F1339" s="252">
        <v>0.96299999999999997</v>
      </c>
      <c r="G1339" s="251">
        <v>0.55000000000000004</v>
      </c>
      <c r="H1339" s="251">
        <v>1.1000000000000001</v>
      </c>
      <c r="I1339" s="251"/>
      <c r="J1339" s="253"/>
      <c r="K1339" s="254">
        <f t="shared" si="45"/>
        <v>475.18079400000005</v>
      </c>
      <c r="L1339" s="255"/>
    </row>
    <row r="1340" spans="2:12">
      <c r="B1340" s="205" t="s">
        <v>1512</v>
      </c>
      <c r="C1340" s="250" t="s">
        <v>1611</v>
      </c>
      <c r="D1340" s="205" t="s">
        <v>1274</v>
      </c>
      <c r="E1340" s="251">
        <v>760.5</v>
      </c>
      <c r="F1340" s="252">
        <v>0.96299999999999997</v>
      </c>
      <c r="G1340" s="251">
        <v>0.55000000000000004</v>
      </c>
      <c r="H1340" s="251">
        <v>1.1000000000000001</v>
      </c>
      <c r="I1340" s="251"/>
      <c r="J1340" s="253"/>
      <c r="K1340" s="254">
        <f t="shared" si="45"/>
        <v>443.07870750000006</v>
      </c>
      <c r="L1340" s="255"/>
    </row>
    <row r="1341" spans="2:12">
      <c r="B1341" s="205" t="s">
        <v>1572</v>
      </c>
      <c r="C1341" s="250" t="s">
        <v>1612</v>
      </c>
      <c r="D1341" s="205" t="s">
        <v>1274</v>
      </c>
      <c r="E1341" s="251">
        <v>1210.6500000000001</v>
      </c>
      <c r="F1341" s="252">
        <v>0.96299999999999997</v>
      </c>
      <c r="G1341" s="251">
        <v>0.5</v>
      </c>
      <c r="H1341" s="251">
        <v>1.1000000000000001</v>
      </c>
      <c r="I1341" s="251"/>
      <c r="J1341" s="253"/>
      <c r="K1341" s="254">
        <f t="shared" si="45"/>
        <v>641.22077250000007</v>
      </c>
      <c r="L1341" s="255"/>
    </row>
    <row r="1342" spans="2:12">
      <c r="B1342" s="205" t="s">
        <v>1573</v>
      </c>
      <c r="C1342" s="250" t="s">
        <v>1612</v>
      </c>
      <c r="D1342" s="205" t="s">
        <v>1274</v>
      </c>
      <c r="E1342" s="251">
        <v>1168.92</v>
      </c>
      <c r="F1342" s="252">
        <v>0.96299999999999997</v>
      </c>
      <c r="G1342" s="251">
        <v>0.5</v>
      </c>
      <c r="H1342" s="251">
        <v>1.1000000000000001</v>
      </c>
      <c r="I1342" s="251"/>
      <c r="J1342" s="253"/>
      <c r="K1342" s="254">
        <f t="shared" si="45"/>
        <v>619.11847799999998</v>
      </c>
      <c r="L1342" s="255"/>
    </row>
    <row r="1343" spans="2:12">
      <c r="B1343" s="205" t="s">
        <v>1686</v>
      </c>
      <c r="C1343" s="250" t="s">
        <v>1613</v>
      </c>
      <c r="D1343" s="205" t="s">
        <v>1274</v>
      </c>
      <c r="E1343" s="251">
        <v>2056.25</v>
      </c>
      <c r="F1343" s="252">
        <v>0.96299999999999997</v>
      </c>
      <c r="G1343" s="251">
        <v>0.4</v>
      </c>
      <c r="H1343" s="251">
        <v>1.1000000000000001</v>
      </c>
      <c r="I1343" s="251"/>
      <c r="J1343" s="253"/>
      <c r="K1343" s="254">
        <f t="shared" si="45"/>
        <v>871.27425000000017</v>
      </c>
      <c r="L1343" s="255"/>
    </row>
    <row r="1344" spans="2:12">
      <c r="B1344" s="256"/>
      <c r="C1344" s="210"/>
      <c r="D1344" s="210"/>
      <c r="E1344" s="257"/>
      <c r="F1344" s="258"/>
      <c r="G1344" s="257"/>
      <c r="H1344" s="257"/>
      <c r="I1344" s="257"/>
      <c r="J1344" s="259"/>
      <c r="K1344" s="254">
        <f t="shared" si="45"/>
        <v>0</v>
      </c>
      <c r="L1344" s="210"/>
    </row>
    <row r="1345" spans="2:12">
      <c r="B1345" s="256"/>
      <c r="C1345" s="210"/>
      <c r="D1345" s="210"/>
      <c r="E1345" s="257"/>
      <c r="F1345" s="258"/>
      <c r="G1345" s="257"/>
      <c r="H1345" s="257"/>
      <c r="I1345" s="257"/>
      <c r="J1345" s="259"/>
      <c r="K1345" s="260">
        <f t="shared" si="45"/>
        <v>0</v>
      </c>
      <c r="L1345" s="210"/>
    </row>
    <row r="1346" spans="2:12">
      <c r="B1346" s="256"/>
      <c r="C1346" s="210"/>
      <c r="D1346" s="210"/>
      <c r="E1346" s="257"/>
      <c r="F1346" s="258"/>
      <c r="G1346" s="257"/>
      <c r="H1346" s="257"/>
      <c r="I1346" s="257"/>
      <c r="J1346" s="259"/>
      <c r="K1346" s="260">
        <f t="shared" si="45"/>
        <v>0</v>
      </c>
      <c r="L1346" s="210"/>
    </row>
    <row r="1347" spans="2:12">
      <c r="B1347" s="202"/>
      <c r="C1347" s="203"/>
      <c r="D1347" s="203"/>
      <c r="E1347" s="203"/>
      <c r="F1347" s="203"/>
      <c r="G1347" s="203"/>
      <c r="H1347" s="204"/>
      <c r="I1347" s="556" t="s">
        <v>1221</v>
      </c>
      <c r="J1347" s="556"/>
      <c r="K1347" s="220">
        <f>SUM(K1333:K1346)</f>
        <v>6351.7428810000001</v>
      </c>
      <c r="L1347" s="207"/>
    </row>
    <row r="1348" spans="2:12">
      <c r="B1348" s="208"/>
      <c r="C1348" s="204"/>
      <c r="D1348" s="204"/>
      <c r="E1348" s="204"/>
      <c r="F1348" s="204"/>
      <c r="G1348" s="204"/>
      <c r="H1348" s="209"/>
      <c r="I1348" s="557" t="s">
        <v>1222</v>
      </c>
      <c r="J1348" s="557"/>
      <c r="K1348" s="221">
        <f>VLOOKUP(B1331,'BM 004'!$B$27:$R$590,4,0)</f>
        <v>8278.6</v>
      </c>
      <c r="L1348" s="207"/>
    </row>
    <row r="1349" spans="2:12">
      <c r="B1349" s="208"/>
      <c r="C1349" s="204"/>
      <c r="D1349" s="204"/>
      <c r="E1349" s="204"/>
      <c r="F1349" s="204"/>
      <c r="G1349" s="204"/>
      <c r="H1349" s="558" t="s">
        <v>1223</v>
      </c>
      <c r="I1349" s="558"/>
      <c r="J1349" s="558"/>
      <c r="K1349" s="222">
        <v>5480.4686309999997</v>
      </c>
      <c r="L1349" s="207"/>
    </row>
    <row r="1350" spans="2:12">
      <c r="B1350" s="208"/>
      <c r="C1350" s="204"/>
      <c r="D1350" s="204"/>
      <c r="E1350" s="204"/>
      <c r="F1350" s="204"/>
      <c r="G1350" s="204"/>
      <c r="H1350" s="558" t="s">
        <v>1596</v>
      </c>
      <c r="I1350" s="558"/>
      <c r="J1350" s="558"/>
      <c r="K1350" s="222">
        <f>IF(K1347&gt;K1348,0,TRUNC(SUMIF(C1333:C1346,H1350,K1333:K1346),L9731))</f>
        <v>871</v>
      </c>
      <c r="L1350" s="207"/>
    </row>
    <row r="1351" spans="2:12">
      <c r="B1351" s="213"/>
      <c r="C1351" s="214"/>
      <c r="D1351" s="214"/>
      <c r="E1351" s="214"/>
      <c r="F1351" s="214"/>
      <c r="G1351" s="214"/>
      <c r="H1351" s="559" t="s">
        <v>1224</v>
      </c>
      <c r="I1351" s="559"/>
      <c r="J1351" s="559"/>
      <c r="K1351" s="223">
        <f>IF(K1347&gt;K1348,K1347-K1348,0)</f>
        <v>0</v>
      </c>
      <c r="L1351" s="209"/>
    </row>
    <row r="1353" spans="2:12">
      <c r="B1353" s="247" t="s">
        <v>248</v>
      </c>
      <c r="C1353" s="565" t="str">
        <f>VLOOKUP(B1353,'BM 004'!$B$27:$R$590,2,0)</f>
        <v xml:space="preserve">Armação de laje de uma estrutura convencional de concreto armado em um edifício de múltiplos pavimentos utilizando aço ca-50 de 16,0 mm - montagem. </v>
      </c>
      <c r="D1353" s="565"/>
      <c r="E1353" s="565"/>
      <c r="F1353" s="565"/>
      <c r="G1353" s="565"/>
      <c r="H1353" s="565"/>
      <c r="I1353" s="565"/>
      <c r="J1353" s="565"/>
      <c r="K1353" s="565"/>
      <c r="L1353" s="565"/>
    </row>
    <row r="1354" spans="2:12">
      <c r="B1354" s="248" t="s">
        <v>1209</v>
      </c>
      <c r="C1354" s="248"/>
      <c r="D1354" s="248" t="s">
        <v>39</v>
      </c>
      <c r="E1354" s="248" t="s">
        <v>1210</v>
      </c>
      <c r="F1354" s="248" t="s">
        <v>1388</v>
      </c>
      <c r="G1354" s="248" t="s">
        <v>1212</v>
      </c>
      <c r="H1354" s="248" t="s">
        <v>1213</v>
      </c>
      <c r="I1354" s="248" t="s">
        <v>1214</v>
      </c>
      <c r="J1354" s="248" t="s">
        <v>1385</v>
      </c>
      <c r="K1354" s="248" t="s">
        <v>1216</v>
      </c>
      <c r="L1354" s="248" t="s">
        <v>1217</v>
      </c>
    </row>
    <row r="1355" spans="2:12">
      <c r="B1355" s="205" t="s">
        <v>1510</v>
      </c>
      <c r="C1355" s="250" t="s">
        <v>1441</v>
      </c>
      <c r="D1355" s="205" t="s">
        <v>1274</v>
      </c>
      <c r="E1355" s="251">
        <v>758.1</v>
      </c>
      <c r="F1355" s="252">
        <v>1.5780000000000001</v>
      </c>
      <c r="G1355" s="251">
        <v>0.45</v>
      </c>
      <c r="H1355" s="251">
        <v>1.1000000000000001</v>
      </c>
      <c r="I1355" s="251"/>
      <c r="J1355" s="253"/>
      <c r="K1355" s="254">
        <f t="shared" ref="K1355:K1361" si="46">IF(E1355*F1355*G1355&lt;&gt;0,E1355*F1355*G1355,IF(E1355*F1355&lt;&gt;0,E1355*F1355,IF(F1355*G1355&lt;&gt;0,F1355*G1355,IF(E1355*G1355&lt;&gt;0,E1355*G1355,IF(E1355&lt;&gt;0,E1355,IF(F1355&lt;&gt;0,F1355,IF(G1355&lt;&gt;0,G1355,0)))))))*(IF(H1355&lt;&gt;0,H1355,1))+I1355-J1355</f>
        <v>592.15949100000012</v>
      </c>
      <c r="L1355" s="255"/>
    </row>
    <row r="1356" spans="2:12">
      <c r="B1356" s="205" t="s">
        <v>1512</v>
      </c>
      <c r="C1356" s="250" t="s">
        <v>1441</v>
      </c>
      <c r="D1356" s="205" t="s">
        <v>1274</v>
      </c>
      <c r="E1356" s="251">
        <v>365.1</v>
      </c>
      <c r="F1356" s="252">
        <v>1.5780000000000001</v>
      </c>
      <c r="G1356" s="251">
        <v>0.45</v>
      </c>
      <c r="H1356" s="251">
        <v>1.1000000000000001</v>
      </c>
      <c r="I1356" s="251"/>
      <c r="J1356" s="253"/>
      <c r="K1356" s="254">
        <f t="shared" si="46"/>
        <v>285.18326100000007</v>
      </c>
      <c r="L1356" s="255"/>
    </row>
    <row r="1357" spans="2:12">
      <c r="B1357" s="205" t="s">
        <v>1513</v>
      </c>
      <c r="C1357" s="250" t="s">
        <v>1441</v>
      </c>
      <c r="D1357" s="205" t="s">
        <v>1274</v>
      </c>
      <c r="E1357" s="251">
        <v>584</v>
      </c>
      <c r="F1357" s="252">
        <v>1.5780000000000001</v>
      </c>
      <c r="G1357" s="251"/>
      <c r="H1357" s="251">
        <v>1.1000000000000001</v>
      </c>
      <c r="I1357" s="251"/>
      <c r="J1357" s="253"/>
      <c r="K1357" s="254">
        <f t="shared" si="46"/>
        <v>1013.7072000000001</v>
      </c>
      <c r="L1357" s="255"/>
    </row>
    <row r="1358" spans="2:12">
      <c r="B1358" s="205" t="s">
        <v>1514</v>
      </c>
      <c r="C1358" s="250" t="s">
        <v>1441</v>
      </c>
      <c r="D1358" s="205" t="s">
        <v>1274</v>
      </c>
      <c r="E1358" s="251">
        <v>722</v>
      </c>
      <c r="F1358" s="252">
        <v>1.5780000000000001</v>
      </c>
      <c r="G1358" s="251"/>
      <c r="H1358" s="251">
        <v>1.1000000000000001</v>
      </c>
      <c r="I1358" s="251"/>
      <c r="J1358" s="253"/>
      <c r="K1358" s="254">
        <f t="shared" si="46"/>
        <v>1253.2476000000001</v>
      </c>
      <c r="L1358" s="255"/>
    </row>
    <row r="1359" spans="2:12">
      <c r="B1359" s="205" t="s">
        <v>1572</v>
      </c>
      <c r="C1359" s="250" t="s">
        <v>1521</v>
      </c>
      <c r="D1359" s="205" t="s">
        <v>1274</v>
      </c>
      <c r="E1359" s="251">
        <v>1168.92</v>
      </c>
      <c r="F1359" s="252">
        <v>1.5780000000000001</v>
      </c>
      <c r="G1359" s="251">
        <v>0.5</v>
      </c>
      <c r="H1359" s="251">
        <v>1.1000000000000001</v>
      </c>
      <c r="I1359" s="251"/>
      <c r="J1359" s="253"/>
      <c r="K1359" s="254">
        <f t="shared" si="46"/>
        <v>1014.5056680000002</v>
      </c>
      <c r="L1359" s="255"/>
    </row>
    <row r="1360" spans="2:12">
      <c r="B1360" s="205" t="s">
        <v>1573</v>
      </c>
      <c r="C1360" s="250" t="s">
        <v>1521</v>
      </c>
      <c r="D1360" s="205" t="s">
        <v>1274</v>
      </c>
      <c r="E1360" s="251">
        <v>5626</v>
      </c>
      <c r="F1360" s="252">
        <v>1.5780000000000001</v>
      </c>
      <c r="G1360" s="251">
        <v>0.5</v>
      </c>
      <c r="H1360" s="251">
        <v>1.1000000000000001</v>
      </c>
      <c r="I1360" s="251"/>
      <c r="J1360" s="253"/>
      <c r="K1360" s="254">
        <f t="shared" si="46"/>
        <v>4882.8054000000002</v>
      </c>
      <c r="L1360" s="255"/>
    </row>
    <row r="1361" spans="2:12">
      <c r="B1361" s="256"/>
      <c r="C1361" s="210"/>
      <c r="D1361" s="210"/>
      <c r="E1361" s="257"/>
      <c r="F1361" s="258"/>
      <c r="G1361" s="257"/>
      <c r="H1361" s="257"/>
      <c r="I1361" s="257"/>
      <c r="J1361" s="259"/>
      <c r="K1361" s="260">
        <f t="shared" si="46"/>
        <v>0</v>
      </c>
      <c r="L1361" s="210"/>
    </row>
    <row r="1362" spans="2:12">
      <c r="B1362" s="202"/>
      <c r="C1362" s="203"/>
      <c r="D1362" s="203"/>
      <c r="E1362" s="203"/>
      <c r="F1362" s="203"/>
      <c r="G1362" s="203"/>
      <c r="H1362" s="204"/>
      <c r="I1362" s="556" t="s">
        <v>1221</v>
      </c>
      <c r="J1362" s="556"/>
      <c r="K1362" s="220">
        <f>SUM(K1355:K1361)</f>
        <v>9041.6086200000009</v>
      </c>
      <c r="L1362" s="207"/>
    </row>
    <row r="1363" spans="2:12">
      <c r="B1363" s="208"/>
      <c r="C1363" s="204"/>
      <c r="D1363" s="204"/>
      <c r="E1363" s="204"/>
      <c r="F1363" s="204"/>
      <c r="G1363" s="204"/>
      <c r="H1363" s="209"/>
      <c r="I1363" s="557" t="s">
        <v>1222</v>
      </c>
      <c r="J1363" s="557"/>
      <c r="K1363" s="221">
        <f>VLOOKUP(B1353,'BM 004'!$B$27:$R$590,4,0)</f>
        <v>8114.7</v>
      </c>
      <c r="L1363" s="207"/>
    </row>
    <row r="1364" spans="2:12">
      <c r="B1364" s="208"/>
      <c r="C1364" s="204"/>
      <c r="D1364" s="204"/>
      <c r="E1364" s="204"/>
      <c r="F1364" s="204"/>
      <c r="G1364" s="204"/>
      <c r="H1364" s="558" t="s">
        <v>1223</v>
      </c>
      <c r="I1364" s="558"/>
      <c r="J1364" s="558"/>
      <c r="K1364" s="222">
        <f>VLOOKUP(B1353,'BM 007'!$B$27:$R$590,6,0)</f>
        <v>0</v>
      </c>
      <c r="L1364" s="207"/>
    </row>
    <row r="1365" spans="2:12">
      <c r="B1365" s="208"/>
      <c r="C1365" s="204"/>
      <c r="D1365" s="204"/>
      <c r="E1365" s="204"/>
      <c r="F1365" s="204"/>
      <c r="G1365" s="204"/>
      <c r="H1365" s="558" t="s">
        <v>1592</v>
      </c>
      <c r="I1365" s="558"/>
      <c r="J1365" s="558"/>
      <c r="K1365" s="222">
        <f>IF(K1362&gt;K1363,K1363-K1364,K1362-K1364)</f>
        <v>8114.7</v>
      </c>
      <c r="L1365" s="207"/>
    </row>
    <row r="1366" spans="2:12">
      <c r="B1366" s="213"/>
      <c r="C1366" s="214"/>
      <c r="D1366" s="214"/>
      <c r="E1366" s="214"/>
      <c r="F1366" s="214"/>
      <c r="G1366" s="214"/>
      <c r="H1366" s="559" t="s">
        <v>1224</v>
      </c>
      <c r="I1366" s="559"/>
      <c r="J1366" s="559"/>
      <c r="K1366" s="223">
        <f>IF(K1362&gt;K1363,K1362-K1363,0)</f>
        <v>926.90862000000106</v>
      </c>
      <c r="L1366" s="209"/>
    </row>
    <row r="1368" spans="2:12">
      <c r="B1368" s="247" t="s">
        <v>250</v>
      </c>
      <c r="C1368" s="565" t="str">
        <f>VLOOKUP(B1368,'BM 004'!$B$27:$R$590,2,0)</f>
        <v xml:space="preserve">Armação de laje de uma estrutura convencional de concreto armado em um edifício de múltiplos pavimentos utilizando aço ca-50 de 20,0 mm - montagem. </v>
      </c>
      <c r="D1368" s="565"/>
      <c r="E1368" s="565"/>
      <c r="F1368" s="565"/>
      <c r="G1368" s="565"/>
      <c r="H1368" s="565"/>
      <c r="I1368" s="565"/>
      <c r="J1368" s="565"/>
      <c r="K1368" s="565"/>
      <c r="L1368" s="565"/>
    </row>
    <row r="1369" spans="2:12">
      <c r="B1369" s="248" t="s">
        <v>1209</v>
      </c>
      <c r="C1369" s="248"/>
      <c r="D1369" s="248" t="s">
        <v>39</v>
      </c>
      <c r="E1369" s="248" t="s">
        <v>1210</v>
      </c>
      <c r="F1369" s="248" t="s">
        <v>1388</v>
      </c>
      <c r="G1369" s="248" t="s">
        <v>1212</v>
      </c>
      <c r="H1369" s="248" t="s">
        <v>1213</v>
      </c>
      <c r="I1369" s="248" t="s">
        <v>1214</v>
      </c>
      <c r="J1369" s="248" t="s">
        <v>1385</v>
      </c>
      <c r="K1369" s="248" t="s">
        <v>1216</v>
      </c>
      <c r="L1369" s="248" t="s">
        <v>1217</v>
      </c>
    </row>
    <row r="1370" spans="2:12">
      <c r="B1370" s="205" t="s">
        <v>1510</v>
      </c>
      <c r="C1370" s="250" t="s">
        <v>1441</v>
      </c>
      <c r="D1370" s="205" t="s">
        <v>1274</v>
      </c>
      <c r="E1370" s="251">
        <v>156.41999999999999</v>
      </c>
      <c r="F1370" s="252">
        <v>2.4660000000000002</v>
      </c>
      <c r="G1370" s="251">
        <v>0.45</v>
      </c>
      <c r="H1370" s="251">
        <v>1.1000000000000001</v>
      </c>
      <c r="I1370" s="251"/>
      <c r="J1370" s="253"/>
      <c r="K1370" s="254">
        <f t="shared" ref="K1370:K1385" si="47">IF(E1370*F1370*G1370&lt;&gt;0,E1370*F1370*G1370,IF(E1370*F1370&lt;&gt;0,E1370*F1370,IF(F1370*G1370&lt;&gt;0,F1370*G1370,IF(E1370*G1370&lt;&gt;0,E1370*G1370,IF(E1370&lt;&gt;0,E1370,IF(F1370&lt;&gt;0,F1370,IF(G1370&lt;&gt;0,G1370,0)))))))*(IF(H1370&lt;&gt;0,H1370,1))+I1370-J1370</f>
        <v>190.93720140000002</v>
      </c>
      <c r="L1370" s="255"/>
    </row>
    <row r="1371" spans="2:12">
      <c r="B1371" s="205" t="s">
        <v>1512</v>
      </c>
      <c r="C1371" s="250" t="s">
        <v>1441</v>
      </c>
      <c r="D1371" s="205" t="s">
        <v>1274</v>
      </c>
      <c r="E1371" s="251">
        <v>154.41999999999999</v>
      </c>
      <c r="F1371" s="252">
        <v>2.4660000000000002</v>
      </c>
      <c r="G1371" s="251">
        <v>0.45</v>
      </c>
      <c r="H1371" s="251">
        <v>1.1000000000000001</v>
      </c>
      <c r="I1371" s="251"/>
      <c r="J1371" s="253"/>
      <c r="K1371" s="254">
        <f t="shared" si="47"/>
        <v>188.4958614</v>
      </c>
      <c r="L1371" s="255"/>
    </row>
    <row r="1372" spans="2:12">
      <c r="B1372" s="205" t="s">
        <v>1513</v>
      </c>
      <c r="C1372" s="250" t="s">
        <v>1441</v>
      </c>
      <c r="D1372" s="205" t="s">
        <v>1274</v>
      </c>
      <c r="E1372" s="251">
        <v>51</v>
      </c>
      <c r="F1372" s="252">
        <v>2.4660000000000002</v>
      </c>
      <c r="G1372" s="251"/>
      <c r="H1372" s="251">
        <v>1.1000000000000001</v>
      </c>
      <c r="I1372" s="251"/>
      <c r="J1372" s="253"/>
      <c r="K1372" s="254">
        <f t="shared" si="47"/>
        <v>138.3426</v>
      </c>
      <c r="L1372" s="255"/>
    </row>
    <row r="1373" spans="2:12">
      <c r="B1373" s="205" t="s">
        <v>1514</v>
      </c>
      <c r="C1373" s="250" t="s">
        <v>1441</v>
      </c>
      <c r="D1373" s="205" t="s">
        <v>1274</v>
      </c>
      <c r="E1373" s="251">
        <v>298</v>
      </c>
      <c r="F1373" s="252">
        <v>2.4660000000000002</v>
      </c>
      <c r="G1373" s="251"/>
      <c r="H1373" s="251">
        <v>1.1000000000000001</v>
      </c>
      <c r="I1373" s="251"/>
      <c r="J1373" s="253"/>
      <c r="K1373" s="254">
        <f t="shared" si="47"/>
        <v>808.35480000000007</v>
      </c>
      <c r="L1373" s="255"/>
    </row>
    <row r="1374" spans="2:12">
      <c r="B1374" s="205" t="s">
        <v>1572</v>
      </c>
      <c r="C1374" s="250" t="s">
        <v>1521</v>
      </c>
      <c r="D1374" s="205" t="s">
        <v>1274</v>
      </c>
      <c r="E1374" s="251">
        <v>1019.89</v>
      </c>
      <c r="F1374" s="252">
        <v>2.4660000000000002</v>
      </c>
      <c r="G1374" s="251">
        <v>0.5</v>
      </c>
      <c r="H1374" s="251">
        <v>1.1000000000000001</v>
      </c>
      <c r="I1374" s="251"/>
      <c r="J1374" s="253"/>
      <c r="K1374" s="254">
        <f t="shared" si="47"/>
        <v>1383.2768070000002</v>
      </c>
      <c r="L1374" s="255"/>
    </row>
    <row r="1375" spans="2:12">
      <c r="B1375" s="205" t="s">
        <v>1573</v>
      </c>
      <c r="C1375" s="250" t="s">
        <v>1521</v>
      </c>
      <c r="D1375" s="205" t="s">
        <v>1274</v>
      </c>
      <c r="E1375" s="251">
        <v>804</v>
      </c>
      <c r="F1375" s="252">
        <v>2.4660000000000002</v>
      </c>
      <c r="G1375" s="251">
        <v>0.5</v>
      </c>
      <c r="H1375" s="251">
        <v>1.1000000000000001</v>
      </c>
      <c r="I1375" s="251"/>
      <c r="J1375" s="253"/>
      <c r="K1375" s="254">
        <f t="shared" si="47"/>
        <v>1090.4652000000001</v>
      </c>
      <c r="L1375" s="255"/>
    </row>
    <row r="1376" spans="2:12">
      <c r="B1376" s="205" t="s">
        <v>1510</v>
      </c>
      <c r="C1376" s="250" t="s">
        <v>1611</v>
      </c>
      <c r="D1376" s="205" t="s">
        <v>1274</v>
      </c>
      <c r="E1376" s="251">
        <v>156.41999999999999</v>
      </c>
      <c r="F1376" s="252">
        <v>2.4660000000000002</v>
      </c>
      <c r="G1376" s="251">
        <v>0.55000000000000004</v>
      </c>
      <c r="H1376" s="251">
        <v>1.1000000000000001</v>
      </c>
      <c r="I1376" s="251"/>
      <c r="J1376" s="253"/>
      <c r="K1376" s="254">
        <f t="shared" si="47"/>
        <v>233.36769060000006</v>
      </c>
      <c r="L1376" s="255"/>
    </row>
    <row r="1377" spans="2:12">
      <c r="B1377" s="205" t="s">
        <v>1512</v>
      </c>
      <c r="C1377" s="250" t="s">
        <v>1611</v>
      </c>
      <c r="D1377" s="205" t="s">
        <v>1274</v>
      </c>
      <c r="E1377" s="251">
        <v>154.41999999999999</v>
      </c>
      <c r="F1377" s="252">
        <v>2.4660000000000002</v>
      </c>
      <c r="G1377" s="251">
        <v>0.55000000000000004</v>
      </c>
      <c r="H1377" s="251">
        <v>1.1000000000000001</v>
      </c>
      <c r="I1377" s="251"/>
      <c r="J1377" s="253"/>
      <c r="K1377" s="254">
        <f t="shared" si="47"/>
        <v>230.38383060000004</v>
      </c>
      <c r="L1377" s="255"/>
    </row>
    <row r="1378" spans="2:12">
      <c r="B1378" s="205" t="s">
        <v>1687</v>
      </c>
      <c r="C1378" s="264" t="s">
        <v>1611</v>
      </c>
      <c r="D1378" s="210" t="s">
        <v>1274</v>
      </c>
      <c r="E1378" s="257">
        <f>954+522</f>
        <v>1476</v>
      </c>
      <c r="F1378" s="258">
        <f>(45.8/(6*2.45))</f>
        <v>3.1156462585034008</v>
      </c>
      <c r="G1378" s="257"/>
      <c r="H1378" s="257">
        <v>1</v>
      </c>
      <c r="I1378" s="257"/>
      <c r="J1378" s="253"/>
      <c r="K1378" s="254">
        <f t="shared" si="47"/>
        <v>4598.6938775510198</v>
      </c>
      <c r="L1378" s="255"/>
    </row>
    <row r="1379" spans="2:12">
      <c r="B1379" s="205" t="s">
        <v>1572</v>
      </c>
      <c r="C1379" s="250" t="s">
        <v>1612</v>
      </c>
      <c r="D1379" s="205" t="s">
        <v>1274</v>
      </c>
      <c r="E1379" s="251">
        <v>1019.89</v>
      </c>
      <c r="F1379" s="252">
        <v>2.4660000000000002</v>
      </c>
      <c r="G1379" s="251">
        <v>0.5</v>
      </c>
      <c r="H1379" s="251">
        <v>1.1000000000000001</v>
      </c>
      <c r="I1379" s="251"/>
      <c r="J1379" s="253"/>
      <c r="K1379" s="254">
        <f t="shared" si="47"/>
        <v>1383.2768070000002</v>
      </c>
      <c r="L1379" s="255"/>
    </row>
    <row r="1380" spans="2:12">
      <c r="B1380" s="205" t="s">
        <v>1573</v>
      </c>
      <c r="C1380" s="250" t="s">
        <v>1613</v>
      </c>
      <c r="D1380" s="205" t="s">
        <v>1274</v>
      </c>
      <c r="E1380" s="251">
        <v>804</v>
      </c>
      <c r="F1380" s="252">
        <v>2.4660000000000002</v>
      </c>
      <c r="G1380" s="251">
        <v>0.3</v>
      </c>
      <c r="H1380" s="251">
        <v>1.1000000000000001</v>
      </c>
      <c r="I1380" s="251"/>
      <c r="J1380" s="253"/>
      <c r="K1380" s="254">
        <f t="shared" si="47"/>
        <v>654.27912000000015</v>
      </c>
      <c r="L1380" s="255"/>
    </row>
    <row r="1381" spans="2:12">
      <c r="B1381" s="256"/>
      <c r="C1381" s="210"/>
      <c r="D1381" s="210"/>
      <c r="E1381" s="257"/>
      <c r="F1381" s="258"/>
      <c r="G1381" s="257"/>
      <c r="H1381" s="257"/>
      <c r="I1381" s="257"/>
      <c r="J1381" s="259"/>
      <c r="K1381" s="260">
        <f t="shared" si="47"/>
        <v>0</v>
      </c>
      <c r="L1381" s="210"/>
    </row>
    <row r="1382" spans="2:12">
      <c r="B1382" s="256"/>
      <c r="C1382" s="210"/>
      <c r="D1382" s="210"/>
      <c r="E1382" s="257"/>
      <c r="F1382" s="258"/>
      <c r="G1382" s="257"/>
      <c r="H1382" s="257"/>
      <c r="I1382" s="257"/>
      <c r="J1382" s="259"/>
      <c r="K1382" s="260">
        <f t="shared" si="47"/>
        <v>0</v>
      </c>
      <c r="L1382" s="210"/>
    </row>
    <row r="1383" spans="2:12">
      <c r="B1383" s="256"/>
      <c r="C1383" s="210"/>
      <c r="D1383" s="210"/>
      <c r="E1383" s="257"/>
      <c r="F1383" s="258"/>
      <c r="G1383" s="257"/>
      <c r="H1383" s="257"/>
      <c r="I1383" s="257"/>
      <c r="J1383" s="259"/>
      <c r="K1383" s="260">
        <f t="shared" si="47"/>
        <v>0</v>
      </c>
      <c r="L1383" s="210"/>
    </row>
    <row r="1384" spans="2:12">
      <c r="B1384" s="256"/>
      <c r="C1384" s="210"/>
      <c r="D1384" s="210"/>
      <c r="E1384" s="257"/>
      <c r="F1384" s="258"/>
      <c r="G1384" s="257"/>
      <c r="H1384" s="257"/>
      <c r="I1384" s="257"/>
      <c r="J1384" s="259"/>
      <c r="K1384" s="260">
        <f t="shared" si="47"/>
        <v>0</v>
      </c>
      <c r="L1384" s="210"/>
    </row>
    <row r="1385" spans="2:12">
      <c r="B1385" s="256"/>
      <c r="C1385" s="210"/>
      <c r="D1385" s="210"/>
      <c r="E1385" s="257"/>
      <c r="F1385" s="258"/>
      <c r="G1385" s="257"/>
      <c r="H1385" s="257"/>
      <c r="I1385" s="257"/>
      <c r="J1385" s="259"/>
      <c r="K1385" s="260">
        <f t="shared" si="47"/>
        <v>0</v>
      </c>
      <c r="L1385" s="210"/>
    </row>
    <row r="1386" spans="2:12">
      <c r="B1386" s="202"/>
      <c r="C1386" s="203"/>
      <c r="D1386" s="203"/>
      <c r="E1386" s="203"/>
      <c r="F1386" s="203"/>
      <c r="G1386" s="203"/>
      <c r="H1386" s="204"/>
      <c r="I1386" s="556" t="s">
        <v>1221</v>
      </c>
      <c r="J1386" s="556"/>
      <c r="K1386" s="220">
        <f>SUM(K1370:K1385)</f>
        <v>10899.873795551022</v>
      </c>
      <c r="L1386" s="207"/>
    </row>
    <row r="1387" spans="2:12">
      <c r="B1387" s="208"/>
      <c r="C1387" s="204"/>
      <c r="D1387" s="204"/>
      <c r="E1387" s="204"/>
      <c r="F1387" s="204"/>
      <c r="G1387" s="204"/>
      <c r="H1387" s="209"/>
      <c r="I1387" s="557" t="s">
        <v>1222</v>
      </c>
      <c r="J1387" s="557"/>
      <c r="K1387" s="221">
        <f>VLOOKUP(B1368,'BM 004'!$B$27:$R$590,4,0)</f>
        <v>11554.4</v>
      </c>
      <c r="L1387" s="207"/>
    </row>
    <row r="1388" spans="2:12">
      <c r="B1388" s="208"/>
      <c r="C1388" s="204"/>
      <c r="D1388" s="204"/>
      <c r="E1388" s="204"/>
      <c r="F1388" s="204"/>
      <c r="G1388" s="204"/>
      <c r="H1388" s="558" t="s">
        <v>1223</v>
      </c>
      <c r="I1388" s="558"/>
      <c r="J1388" s="558"/>
      <c r="K1388" s="222">
        <v>10245.594675550999</v>
      </c>
      <c r="L1388" s="207"/>
    </row>
    <row r="1389" spans="2:12">
      <c r="B1389" s="208"/>
      <c r="C1389" s="204"/>
      <c r="D1389" s="204"/>
      <c r="E1389" s="204"/>
      <c r="F1389" s="204"/>
      <c r="G1389" s="204"/>
      <c r="H1389" s="558" t="s">
        <v>1596</v>
      </c>
      <c r="I1389" s="558"/>
      <c r="J1389" s="558"/>
      <c r="K1389" s="222">
        <f>TRUNC(SUMIF(C1370:C1385,H1389,K1370:K1385),2)</f>
        <v>654.27</v>
      </c>
      <c r="L1389" s="207"/>
    </row>
    <row r="1390" spans="2:12">
      <c r="B1390" s="213"/>
      <c r="C1390" s="214"/>
      <c r="D1390" s="214"/>
      <c r="E1390" s="214"/>
      <c r="F1390" s="214"/>
      <c r="G1390" s="214"/>
      <c r="H1390" s="559" t="s">
        <v>1224</v>
      </c>
      <c r="I1390" s="559"/>
      <c r="J1390" s="559"/>
      <c r="K1390" s="223">
        <f>IF(K1386&gt;K1387,K1386-K1387,0)</f>
        <v>0</v>
      </c>
      <c r="L1390" s="209"/>
    </row>
    <row r="1392" spans="2:12">
      <c r="B1392" s="247" t="s">
        <v>252</v>
      </c>
      <c r="C1392" s="565" t="str">
        <f>VLOOKUP(B1392,'BM 004'!$B$27:$R$590,2,0)</f>
        <v>ARMAÇÃO DE LAJE DE UMA ESTRUTURA CONVENCIONAL DE CONCRETO ARMADO EM UM EDIFÍCIO DE MÚLTIPLOS PAVIMENTOS UTILIZANDO AÇO CA-50 DE 25,0 MM - MONTAGEM.</v>
      </c>
      <c r="D1392" s="565"/>
      <c r="E1392" s="565"/>
      <c r="F1392" s="565"/>
      <c r="G1392" s="565"/>
      <c r="H1392" s="565"/>
      <c r="I1392" s="565"/>
      <c r="J1392" s="565"/>
      <c r="K1392" s="565"/>
      <c r="L1392" s="565"/>
    </row>
    <row r="1393" spans="2:12">
      <c r="B1393" s="248" t="s">
        <v>1209</v>
      </c>
      <c r="C1393" s="248"/>
      <c r="D1393" s="248" t="s">
        <v>39</v>
      </c>
      <c r="E1393" s="248" t="s">
        <v>1210</v>
      </c>
      <c r="F1393" s="248" t="s">
        <v>1388</v>
      </c>
      <c r="G1393" s="248" t="s">
        <v>1212</v>
      </c>
      <c r="H1393" s="248" t="s">
        <v>1213</v>
      </c>
      <c r="I1393" s="248" t="s">
        <v>1214</v>
      </c>
      <c r="J1393" s="248" t="s">
        <v>1385</v>
      </c>
      <c r="K1393" s="248" t="s">
        <v>1216</v>
      </c>
      <c r="L1393" s="248" t="s">
        <v>1217</v>
      </c>
    </row>
    <row r="1394" spans="2:12">
      <c r="B1394" s="205" t="s">
        <v>1510</v>
      </c>
      <c r="C1394" s="250" t="s">
        <v>1441</v>
      </c>
      <c r="D1394" s="205" t="s">
        <v>1274</v>
      </c>
      <c r="E1394" s="251">
        <v>372.94</v>
      </c>
      <c r="F1394" s="252">
        <v>3.8530000000000002</v>
      </c>
      <c r="G1394" s="251">
        <v>0.45</v>
      </c>
      <c r="H1394" s="251">
        <v>1.1000000000000001</v>
      </c>
      <c r="I1394" s="251"/>
      <c r="J1394" s="253"/>
      <c r="K1394" s="254">
        <f t="shared" ref="K1394:K1408" si="48">IF(E1394*F1394*G1394&lt;&gt;0,E1394*F1394*G1394,IF(E1394*F1394&lt;&gt;0,E1394*F1394,IF(F1394*G1394&lt;&gt;0,F1394*G1394,IF(E1394*G1394&lt;&gt;0,E1394*G1394,IF(E1394&lt;&gt;0,E1394,IF(F1394&lt;&gt;0,F1394,IF(G1394&lt;&gt;0,G1394,0)))))))*(IF(H1394&lt;&gt;0,H1394,1))+I1394-J1394</f>
        <v>711.28422090000004</v>
      </c>
      <c r="L1394" s="255"/>
    </row>
    <row r="1395" spans="2:12">
      <c r="B1395" s="205" t="s">
        <v>1512</v>
      </c>
      <c r="C1395" s="250" t="s">
        <v>1441</v>
      </c>
      <c r="D1395" s="205" t="s">
        <v>1274</v>
      </c>
      <c r="E1395" s="251">
        <v>47.06</v>
      </c>
      <c r="F1395" s="252">
        <v>3.8530000000000002</v>
      </c>
      <c r="G1395" s="251">
        <v>0.45</v>
      </c>
      <c r="H1395" s="251">
        <v>1.1000000000000001</v>
      </c>
      <c r="I1395" s="251"/>
      <c r="J1395" s="253"/>
      <c r="K1395" s="254">
        <f t="shared" si="48"/>
        <v>89.754479100000026</v>
      </c>
      <c r="L1395" s="255"/>
    </row>
    <row r="1396" spans="2:12">
      <c r="B1396" s="205" t="s">
        <v>1513</v>
      </c>
      <c r="C1396" s="250" t="s">
        <v>1441</v>
      </c>
      <c r="D1396" s="205" t="s">
        <v>1274</v>
      </c>
      <c r="E1396" s="251">
        <v>6</v>
      </c>
      <c r="F1396" s="252">
        <v>3.8530000000000002</v>
      </c>
      <c r="G1396" s="251"/>
      <c r="H1396" s="251">
        <v>1.1000000000000001</v>
      </c>
      <c r="I1396" s="251"/>
      <c r="J1396" s="253"/>
      <c r="K1396" s="254">
        <f t="shared" si="48"/>
        <v>25.429800000000004</v>
      </c>
      <c r="L1396" s="255"/>
    </row>
    <row r="1397" spans="2:12">
      <c r="B1397" s="205" t="s">
        <v>1514</v>
      </c>
      <c r="C1397" s="250" t="s">
        <v>1441</v>
      </c>
      <c r="D1397" s="205" t="s">
        <v>1274</v>
      </c>
      <c r="E1397" s="251">
        <v>3</v>
      </c>
      <c r="F1397" s="252">
        <v>3.8530000000000002</v>
      </c>
      <c r="G1397" s="251"/>
      <c r="H1397" s="251">
        <v>1.1000000000000001</v>
      </c>
      <c r="I1397" s="251"/>
      <c r="J1397" s="253"/>
      <c r="K1397" s="254">
        <f t="shared" si="48"/>
        <v>12.714900000000002</v>
      </c>
      <c r="L1397" s="255"/>
    </row>
    <row r="1398" spans="2:12">
      <c r="B1398" s="205" t="s">
        <v>1572</v>
      </c>
      <c r="C1398" s="250" t="s">
        <v>1521</v>
      </c>
      <c r="D1398" s="205" t="s">
        <v>1274</v>
      </c>
      <c r="E1398" s="251">
        <v>37.869999999999997</v>
      </c>
      <c r="F1398" s="252">
        <v>3.8530000000000002</v>
      </c>
      <c r="G1398" s="251">
        <v>0.5</v>
      </c>
      <c r="H1398" s="251">
        <v>1.1000000000000001</v>
      </c>
      <c r="I1398" s="251"/>
      <c r="J1398" s="253"/>
      <c r="K1398" s="254">
        <f t="shared" si="48"/>
        <v>80.252210500000004</v>
      </c>
      <c r="L1398" s="255"/>
    </row>
    <row r="1399" spans="2:12">
      <c r="B1399" s="205" t="s">
        <v>1573</v>
      </c>
      <c r="C1399" s="250" t="s">
        <v>1521</v>
      </c>
      <c r="D1399" s="205" t="s">
        <v>1274</v>
      </c>
      <c r="E1399" s="251">
        <v>5</v>
      </c>
      <c r="F1399" s="252">
        <v>3.8530000000000002</v>
      </c>
      <c r="G1399" s="251">
        <v>0.5</v>
      </c>
      <c r="H1399" s="251">
        <v>1.1000000000000001</v>
      </c>
      <c r="I1399" s="251"/>
      <c r="J1399" s="253"/>
      <c r="K1399" s="254">
        <f t="shared" si="48"/>
        <v>10.595750000000001</v>
      </c>
      <c r="L1399" s="255"/>
    </row>
    <row r="1400" spans="2:12">
      <c r="B1400" s="205" t="s">
        <v>1510</v>
      </c>
      <c r="C1400" s="250" t="s">
        <v>1611</v>
      </c>
      <c r="D1400" s="205" t="s">
        <v>1274</v>
      </c>
      <c r="E1400" s="251">
        <v>372.94</v>
      </c>
      <c r="F1400" s="252">
        <v>3.8530000000000002</v>
      </c>
      <c r="G1400" s="251">
        <v>0.55000000000000004</v>
      </c>
      <c r="H1400" s="251">
        <v>1.1000000000000001</v>
      </c>
      <c r="I1400" s="251"/>
      <c r="J1400" s="253"/>
      <c r="K1400" s="254">
        <f t="shared" si="48"/>
        <v>869.34738110000012</v>
      </c>
      <c r="L1400" s="255"/>
    </row>
    <row r="1401" spans="2:12">
      <c r="B1401" s="205" t="s">
        <v>1512</v>
      </c>
      <c r="C1401" s="250" t="s">
        <v>1611</v>
      </c>
      <c r="D1401" s="205" t="s">
        <v>1274</v>
      </c>
      <c r="E1401" s="251">
        <v>47.06</v>
      </c>
      <c r="F1401" s="252">
        <v>3.8530000000000002</v>
      </c>
      <c r="G1401" s="251">
        <v>0.55000000000000004</v>
      </c>
      <c r="H1401" s="251">
        <v>1.1000000000000001</v>
      </c>
      <c r="I1401" s="251"/>
      <c r="J1401" s="253"/>
      <c r="K1401" s="254">
        <f t="shared" si="48"/>
        <v>109.69991890000004</v>
      </c>
      <c r="L1401" s="255"/>
    </row>
    <row r="1402" spans="2:12">
      <c r="B1402" s="205" t="s">
        <v>1572</v>
      </c>
      <c r="C1402" s="250" t="s">
        <v>1612</v>
      </c>
      <c r="D1402" s="205" t="s">
        <v>1274</v>
      </c>
      <c r="E1402" s="251">
        <v>37.869999999999997</v>
      </c>
      <c r="F1402" s="252">
        <v>3.8530000000000002</v>
      </c>
      <c r="G1402" s="251">
        <v>0.5</v>
      </c>
      <c r="H1402" s="251">
        <v>1.1000000000000001</v>
      </c>
      <c r="I1402" s="251"/>
      <c r="J1402" s="253"/>
      <c r="K1402" s="254">
        <f t="shared" si="48"/>
        <v>80.252210500000004</v>
      </c>
      <c r="L1402" s="255"/>
    </row>
    <row r="1403" spans="2:12">
      <c r="B1403" s="205" t="s">
        <v>1573</v>
      </c>
      <c r="C1403" s="250" t="s">
        <v>1612</v>
      </c>
      <c r="D1403" s="205" t="s">
        <v>1274</v>
      </c>
      <c r="E1403" s="251">
        <v>5</v>
      </c>
      <c r="F1403" s="252">
        <v>3.8530000000000002</v>
      </c>
      <c r="G1403" s="251">
        <v>0.5</v>
      </c>
      <c r="H1403" s="251">
        <v>1.1000000000000001</v>
      </c>
      <c r="I1403" s="251"/>
      <c r="J1403" s="253"/>
      <c r="K1403" s="254">
        <f t="shared" si="48"/>
        <v>10.595750000000001</v>
      </c>
      <c r="L1403" s="255"/>
    </row>
    <row r="1404" spans="2:12">
      <c r="B1404" s="205" t="s">
        <v>1686</v>
      </c>
      <c r="C1404" s="250" t="s">
        <v>1612</v>
      </c>
      <c r="D1404" s="205" t="s">
        <v>1274</v>
      </c>
      <c r="E1404" s="251">
        <v>709</v>
      </c>
      <c r="F1404" s="252">
        <v>3.8530000000000002</v>
      </c>
      <c r="G1404" s="251">
        <v>0.4</v>
      </c>
      <c r="H1404" s="251">
        <v>1.1000000000000001</v>
      </c>
      <c r="I1404" s="251"/>
      <c r="J1404" s="253"/>
      <c r="K1404" s="254">
        <f t="shared" si="48"/>
        <v>1201.9818800000003</v>
      </c>
      <c r="L1404" s="255"/>
    </row>
    <row r="1405" spans="2:12">
      <c r="B1405" s="205" t="s">
        <v>1686</v>
      </c>
      <c r="C1405" s="250" t="s">
        <v>1613</v>
      </c>
      <c r="D1405" s="205" t="s">
        <v>1274</v>
      </c>
      <c r="E1405" s="251">
        <v>709</v>
      </c>
      <c r="F1405" s="252">
        <v>3.8530000000000002</v>
      </c>
      <c r="G1405" s="251">
        <v>0.25</v>
      </c>
      <c r="H1405" s="251">
        <v>1.1000000000000001</v>
      </c>
      <c r="I1405" s="251"/>
      <c r="J1405" s="253"/>
      <c r="K1405" s="254">
        <f t="shared" si="48"/>
        <v>751.23867500000006</v>
      </c>
      <c r="L1405" s="255"/>
    </row>
    <row r="1406" spans="2:12">
      <c r="B1406" s="256"/>
      <c r="C1406" s="210"/>
      <c r="D1406" s="210"/>
      <c r="E1406" s="257"/>
      <c r="F1406" s="258"/>
      <c r="G1406" s="257"/>
      <c r="H1406" s="257"/>
      <c r="I1406" s="257"/>
      <c r="J1406" s="259"/>
      <c r="K1406" s="260">
        <f t="shared" si="48"/>
        <v>0</v>
      </c>
      <c r="L1406" s="210"/>
    </row>
    <row r="1407" spans="2:12">
      <c r="B1407" s="256"/>
      <c r="C1407" s="210"/>
      <c r="D1407" s="210"/>
      <c r="E1407" s="257"/>
      <c r="F1407" s="258"/>
      <c r="G1407" s="257"/>
      <c r="H1407" s="257"/>
      <c r="I1407" s="257"/>
      <c r="J1407" s="259"/>
      <c r="K1407" s="260">
        <f t="shared" si="48"/>
        <v>0</v>
      </c>
      <c r="L1407" s="210"/>
    </row>
    <row r="1408" spans="2:12">
      <c r="B1408" s="256"/>
      <c r="C1408" s="210"/>
      <c r="D1408" s="210"/>
      <c r="E1408" s="257"/>
      <c r="F1408" s="258"/>
      <c r="G1408" s="257"/>
      <c r="H1408" s="257"/>
      <c r="I1408" s="257"/>
      <c r="J1408" s="259"/>
      <c r="K1408" s="260">
        <f t="shared" si="48"/>
        <v>0</v>
      </c>
      <c r="L1408" s="210"/>
    </row>
    <row r="1409" spans="2:12">
      <c r="B1409" s="202"/>
      <c r="C1409" s="203"/>
      <c r="D1409" s="203"/>
      <c r="E1409" s="203"/>
      <c r="F1409" s="203"/>
      <c r="G1409" s="203"/>
      <c r="H1409" s="204"/>
      <c r="I1409" s="556" t="s">
        <v>1221</v>
      </c>
      <c r="J1409" s="556"/>
      <c r="K1409" s="220">
        <f>SUM(K1394:K1408)</f>
        <v>3953.1471760000009</v>
      </c>
      <c r="L1409" s="207"/>
    </row>
    <row r="1410" spans="2:12">
      <c r="B1410" s="208"/>
      <c r="C1410" s="204"/>
      <c r="D1410" s="204"/>
      <c r="E1410" s="204"/>
      <c r="F1410" s="204"/>
      <c r="G1410" s="204"/>
      <c r="H1410" s="209"/>
      <c r="I1410" s="557" t="s">
        <v>1222</v>
      </c>
      <c r="J1410" s="557"/>
      <c r="K1410" s="221">
        <f>VLOOKUP(B1392,'BM 004'!$B$27:$R$590,4,0)</f>
        <v>5166.7</v>
      </c>
      <c r="L1410" s="207"/>
    </row>
    <row r="1411" spans="2:12">
      <c r="B1411" s="208"/>
      <c r="C1411" s="204"/>
      <c r="D1411" s="204"/>
      <c r="E1411" s="204"/>
      <c r="F1411" s="204"/>
      <c r="G1411" s="204"/>
      <c r="H1411" s="558" t="s">
        <v>1223</v>
      </c>
      <c r="I1411" s="558"/>
      <c r="J1411" s="558"/>
      <c r="K1411" s="222">
        <v>3201.9085009999999</v>
      </c>
      <c r="L1411" s="207"/>
    </row>
    <row r="1412" spans="2:12">
      <c r="B1412" s="208"/>
      <c r="C1412" s="204"/>
      <c r="D1412" s="204"/>
      <c r="E1412" s="204"/>
      <c r="F1412" s="204"/>
      <c r="G1412" s="204"/>
      <c r="H1412" s="558" t="s">
        <v>1596</v>
      </c>
      <c r="I1412" s="558"/>
      <c r="J1412" s="558"/>
      <c r="K1412" s="222">
        <f>TRUNC(SUMIF(C1394:C1408,H1412,K1394:K1408),2)</f>
        <v>751.23</v>
      </c>
      <c r="L1412" s="207"/>
    </row>
    <row r="1413" spans="2:12">
      <c r="B1413" s="213"/>
      <c r="C1413" s="214"/>
      <c r="D1413" s="214"/>
      <c r="E1413" s="214"/>
      <c r="F1413" s="214"/>
      <c r="G1413" s="214"/>
      <c r="H1413" s="559" t="s">
        <v>1224</v>
      </c>
      <c r="I1413" s="559"/>
      <c r="J1413" s="559"/>
      <c r="K1413" s="223">
        <f>IF(K1409&gt;K1410,K1409-K1410,0)</f>
        <v>0</v>
      </c>
      <c r="L1413" s="209"/>
    </row>
    <row r="1415" spans="2:12">
      <c r="B1415" s="247" t="s">
        <v>254</v>
      </c>
      <c r="C1415" s="565" t="str">
        <f>VLOOKUP(B1415,'BM 004'!$B$27:$R$590,2,0)</f>
        <v xml:space="preserve">Concreto simples usinado fck=35mpa, bombeado, lançado e adensado em superestrutura </v>
      </c>
      <c r="D1415" s="565"/>
      <c r="E1415" s="565"/>
      <c r="F1415" s="565"/>
      <c r="G1415" s="565"/>
      <c r="H1415" s="565"/>
      <c r="I1415" s="565"/>
      <c r="J1415" s="565"/>
      <c r="K1415" s="565"/>
      <c r="L1415" s="565"/>
    </row>
    <row r="1416" spans="2:12">
      <c r="B1416" s="248" t="s">
        <v>1209</v>
      </c>
      <c r="C1416" s="248"/>
      <c r="D1416" s="248" t="s">
        <v>39</v>
      </c>
      <c r="E1416" s="248" t="s">
        <v>1210</v>
      </c>
      <c r="F1416" s="248" t="s">
        <v>1388</v>
      </c>
      <c r="G1416" s="248" t="s">
        <v>1212</v>
      </c>
      <c r="H1416" s="248" t="s">
        <v>1213</v>
      </c>
      <c r="I1416" s="248" t="s">
        <v>1214</v>
      </c>
      <c r="J1416" s="248" t="s">
        <v>1385</v>
      </c>
      <c r="K1416" s="248" t="s">
        <v>1216</v>
      </c>
      <c r="L1416" s="248" t="s">
        <v>1217</v>
      </c>
    </row>
    <row r="1417" spans="2:12">
      <c r="B1417" s="255" t="s">
        <v>1501</v>
      </c>
      <c r="C1417" s="250" t="s">
        <v>1441</v>
      </c>
      <c r="D1417" s="205" t="s">
        <v>169</v>
      </c>
      <c r="E1417" s="251">
        <v>1</v>
      </c>
      <c r="F1417" s="252">
        <v>7</v>
      </c>
      <c r="G1417" s="251">
        <v>5.91</v>
      </c>
      <c r="H1417" s="251">
        <v>0.3</v>
      </c>
      <c r="I1417" s="251"/>
      <c r="J1417" s="253">
        <v>6.3423999999999996</v>
      </c>
      <c r="K1417" s="254">
        <f t="shared" ref="K1417:K1448" si="49">IF(E1417*F1417*G1417&lt;&gt;0,E1417*F1417*G1417,IF(E1417*F1417&lt;&gt;0,E1417*F1417,IF(F1417*G1417&lt;&gt;0,F1417*G1417,IF(E1417*G1417&lt;&gt;0,E1417*G1417,IF(E1417&lt;&gt;0,E1417,IF(F1417&lt;&gt;0,F1417,IF(G1417&lt;&gt;0,G1417,0)))))))*(IF(H1417&lt;&gt;0,H1417,1))+I1417-J1417</f>
        <v>6.0686000000000018</v>
      </c>
      <c r="L1417" s="255" t="s">
        <v>1518</v>
      </c>
    </row>
    <row r="1418" spans="2:12">
      <c r="B1418" s="255" t="s">
        <v>1502</v>
      </c>
      <c r="C1418" s="250" t="s">
        <v>1441</v>
      </c>
      <c r="D1418" s="205" t="s">
        <v>169</v>
      </c>
      <c r="E1418" s="251">
        <v>1</v>
      </c>
      <c r="F1418" s="252">
        <v>13.72</v>
      </c>
      <c r="G1418" s="251">
        <v>5.91</v>
      </c>
      <c r="H1418" s="251">
        <v>0.3</v>
      </c>
      <c r="I1418" s="251"/>
      <c r="J1418" s="253">
        <v>12.56235</v>
      </c>
      <c r="K1418" s="254">
        <f t="shared" si="49"/>
        <v>11.763209999999999</v>
      </c>
      <c r="L1418" s="255" t="s">
        <v>1518</v>
      </c>
    </row>
    <row r="1419" spans="2:12">
      <c r="B1419" s="255" t="s">
        <v>1503</v>
      </c>
      <c r="C1419" s="250" t="s">
        <v>1441</v>
      </c>
      <c r="D1419" s="205" t="s">
        <v>169</v>
      </c>
      <c r="E1419" s="251">
        <v>1</v>
      </c>
      <c r="F1419" s="252">
        <v>14.35</v>
      </c>
      <c r="G1419" s="251">
        <v>3.73</v>
      </c>
      <c r="H1419" s="251">
        <v>0.25</v>
      </c>
      <c r="I1419" s="251"/>
      <c r="J1419" s="253">
        <v>6.8421599999999998</v>
      </c>
      <c r="K1419" s="254">
        <f t="shared" si="49"/>
        <v>6.5392150000000004</v>
      </c>
      <c r="L1419" s="255" t="s">
        <v>1519</v>
      </c>
    </row>
    <row r="1420" spans="2:12">
      <c r="B1420" s="255" t="s">
        <v>1504</v>
      </c>
      <c r="C1420" s="250" t="s">
        <v>1441</v>
      </c>
      <c r="D1420" s="205" t="s">
        <v>169</v>
      </c>
      <c r="E1420" s="251">
        <v>1</v>
      </c>
      <c r="F1420" s="252">
        <v>6.49</v>
      </c>
      <c r="G1420" s="251">
        <v>3.73</v>
      </c>
      <c r="H1420" s="251">
        <v>0.25</v>
      </c>
      <c r="I1420" s="251"/>
      <c r="J1420" s="253">
        <v>2.8173599999999999</v>
      </c>
      <c r="K1420" s="254">
        <f t="shared" si="49"/>
        <v>3.2345649999999999</v>
      </c>
      <c r="L1420" s="255" t="s">
        <v>1519</v>
      </c>
    </row>
    <row r="1421" spans="2:12">
      <c r="B1421" s="255" t="s">
        <v>1505</v>
      </c>
      <c r="C1421" s="250" t="s">
        <v>1441</v>
      </c>
      <c r="D1421" s="205" t="s">
        <v>169</v>
      </c>
      <c r="E1421" s="251">
        <v>1</v>
      </c>
      <c r="F1421" s="252">
        <v>7.49</v>
      </c>
      <c r="G1421" s="251">
        <v>1.81</v>
      </c>
      <c r="H1421" s="251">
        <v>0.25</v>
      </c>
      <c r="I1421" s="251"/>
      <c r="J1421" s="253">
        <v>1.55844</v>
      </c>
      <c r="K1421" s="254">
        <f t="shared" si="49"/>
        <v>1.8307850000000001</v>
      </c>
      <c r="L1421" s="255" t="s">
        <v>1519</v>
      </c>
    </row>
    <row r="1422" spans="2:12">
      <c r="B1422" s="255" t="s">
        <v>1506</v>
      </c>
      <c r="C1422" s="250" t="s">
        <v>1441</v>
      </c>
      <c r="D1422" s="205" t="s">
        <v>169</v>
      </c>
      <c r="E1422" s="251">
        <v>1</v>
      </c>
      <c r="F1422" s="252">
        <v>7.1</v>
      </c>
      <c r="G1422" s="251">
        <v>1.81</v>
      </c>
      <c r="H1422" s="251">
        <v>0.25</v>
      </c>
      <c r="I1422" s="251"/>
      <c r="J1422" s="253">
        <v>1.3852800000000001</v>
      </c>
      <c r="K1422" s="254">
        <f t="shared" si="49"/>
        <v>1.8274699999999997</v>
      </c>
      <c r="L1422" s="255" t="s">
        <v>1519</v>
      </c>
    </row>
    <row r="1423" spans="2:12">
      <c r="B1423" s="255" t="s">
        <v>1507</v>
      </c>
      <c r="C1423" s="250" t="s">
        <v>1441</v>
      </c>
      <c r="D1423" s="205" t="s">
        <v>169</v>
      </c>
      <c r="E1423" s="251">
        <v>1</v>
      </c>
      <c r="F1423" s="252">
        <v>7.05</v>
      </c>
      <c r="G1423" s="251">
        <v>1.81</v>
      </c>
      <c r="H1423" s="251">
        <v>0.25</v>
      </c>
      <c r="I1423" s="251"/>
      <c r="J1423" s="253">
        <v>1.3852800000000001</v>
      </c>
      <c r="K1423" s="254">
        <f t="shared" si="49"/>
        <v>1.804845</v>
      </c>
      <c r="L1423" s="255" t="s">
        <v>1519</v>
      </c>
    </row>
    <row r="1424" spans="2:12">
      <c r="B1424" s="255" t="s">
        <v>1508</v>
      </c>
      <c r="C1424" s="250" t="s">
        <v>1441</v>
      </c>
      <c r="D1424" s="205" t="s">
        <v>169</v>
      </c>
      <c r="E1424" s="251">
        <v>1</v>
      </c>
      <c r="F1424" s="252">
        <v>22.04</v>
      </c>
      <c r="G1424" s="251">
        <v>5.8</v>
      </c>
      <c r="H1424" s="251">
        <v>0.25</v>
      </c>
      <c r="I1424" s="251"/>
      <c r="J1424" s="253">
        <v>16.595279999999999</v>
      </c>
      <c r="K1424" s="254">
        <f t="shared" si="49"/>
        <v>15.362719999999999</v>
      </c>
      <c r="L1424" s="255" t="s">
        <v>1519</v>
      </c>
    </row>
    <row r="1425" spans="2:12">
      <c r="B1425" s="255" t="s">
        <v>1509</v>
      </c>
      <c r="C1425" s="250" t="s">
        <v>1441</v>
      </c>
      <c r="D1425" s="205" t="s">
        <v>169</v>
      </c>
      <c r="E1425" s="251">
        <v>1</v>
      </c>
      <c r="F1425" s="252">
        <v>22.04</v>
      </c>
      <c r="G1425" s="251">
        <v>5.69</v>
      </c>
      <c r="H1425" s="251">
        <v>0.25</v>
      </c>
      <c r="I1425" s="251"/>
      <c r="J1425" s="253">
        <v>15.54228</v>
      </c>
      <c r="K1425" s="254">
        <f t="shared" si="49"/>
        <v>15.809620000000001</v>
      </c>
      <c r="L1425" s="255" t="s">
        <v>1519</v>
      </c>
    </row>
    <row r="1426" spans="2:12">
      <c r="B1426" s="255" t="s">
        <v>1496</v>
      </c>
      <c r="C1426" s="250" t="s">
        <v>1441</v>
      </c>
      <c r="D1426" s="205" t="s">
        <v>169</v>
      </c>
      <c r="E1426" s="251">
        <v>1</v>
      </c>
      <c r="F1426" s="252">
        <v>5.85</v>
      </c>
      <c r="G1426" s="251">
        <v>0.49</v>
      </c>
      <c r="H1426" s="251">
        <v>0.12</v>
      </c>
      <c r="I1426" s="251"/>
      <c r="J1426" s="253"/>
      <c r="K1426" s="254">
        <f t="shared" si="49"/>
        <v>0.34397999999999995</v>
      </c>
      <c r="L1426" s="255"/>
    </row>
    <row r="1427" spans="2:12">
      <c r="B1427" s="255" t="s">
        <v>1497</v>
      </c>
      <c r="C1427" s="250" t="s">
        <v>1441</v>
      </c>
      <c r="D1427" s="205" t="s">
        <v>169</v>
      </c>
      <c r="E1427" s="251">
        <v>1</v>
      </c>
      <c r="F1427" s="252">
        <v>3.83</v>
      </c>
      <c r="G1427" s="251">
        <v>0.49</v>
      </c>
      <c r="H1427" s="251">
        <v>0.12</v>
      </c>
      <c r="I1427" s="251"/>
      <c r="J1427" s="253"/>
      <c r="K1427" s="254">
        <f t="shared" si="49"/>
        <v>0.22520399999999999</v>
      </c>
      <c r="L1427" s="255"/>
    </row>
    <row r="1428" spans="2:12">
      <c r="B1428" s="255" t="s">
        <v>1498</v>
      </c>
      <c r="C1428" s="250" t="s">
        <v>1441</v>
      </c>
      <c r="D1428" s="205" t="s">
        <v>169</v>
      </c>
      <c r="E1428" s="251">
        <v>1</v>
      </c>
      <c r="F1428" s="252">
        <v>5.93</v>
      </c>
      <c r="G1428" s="251">
        <v>1.92</v>
      </c>
      <c r="H1428" s="251">
        <v>0.15</v>
      </c>
      <c r="I1428" s="251"/>
      <c r="J1428" s="253"/>
      <c r="K1428" s="254">
        <f t="shared" si="49"/>
        <v>1.7078399999999998</v>
      </c>
      <c r="L1428" s="255"/>
    </row>
    <row r="1429" spans="2:12">
      <c r="B1429" s="255" t="s">
        <v>1499</v>
      </c>
      <c r="C1429" s="250" t="s">
        <v>1441</v>
      </c>
      <c r="D1429" s="205" t="s">
        <v>169</v>
      </c>
      <c r="E1429" s="251">
        <v>1</v>
      </c>
      <c r="F1429" s="252">
        <v>7.62</v>
      </c>
      <c r="G1429" s="251">
        <v>1.92</v>
      </c>
      <c r="H1429" s="251">
        <v>0.15</v>
      </c>
      <c r="I1429" s="251"/>
      <c r="J1429" s="253"/>
      <c r="K1429" s="254">
        <f t="shared" si="49"/>
        <v>2.1945600000000001</v>
      </c>
      <c r="L1429" s="255"/>
    </row>
    <row r="1430" spans="2:12">
      <c r="B1430" s="255" t="s">
        <v>1500</v>
      </c>
      <c r="C1430" s="250" t="s">
        <v>1441</v>
      </c>
      <c r="D1430" s="205" t="s">
        <v>169</v>
      </c>
      <c r="E1430" s="251">
        <v>1</v>
      </c>
      <c r="F1430" s="252">
        <v>4.42</v>
      </c>
      <c r="G1430" s="251">
        <v>2.74</v>
      </c>
      <c r="H1430" s="251">
        <v>0.15</v>
      </c>
      <c r="I1430" s="251"/>
      <c r="J1430" s="253"/>
      <c r="K1430" s="254">
        <f t="shared" si="49"/>
        <v>1.8166200000000001</v>
      </c>
      <c r="L1430" s="255"/>
    </row>
    <row r="1431" spans="2:12">
      <c r="B1431" s="256" t="s">
        <v>1565</v>
      </c>
      <c r="C1431" s="250" t="s">
        <v>1521</v>
      </c>
      <c r="D1431" s="205" t="s">
        <v>169</v>
      </c>
      <c r="E1431" s="257">
        <v>1</v>
      </c>
      <c r="F1431" s="258">
        <v>12.39</v>
      </c>
      <c r="G1431" s="257">
        <v>2.5499999999999998</v>
      </c>
      <c r="H1431" s="257">
        <v>0.25</v>
      </c>
      <c r="I1431" s="257"/>
      <c r="J1431" s="259">
        <v>4.048476</v>
      </c>
      <c r="K1431" s="260">
        <f t="shared" si="49"/>
        <v>3.850149</v>
      </c>
      <c r="L1431" s="266" t="s">
        <v>1574</v>
      </c>
    </row>
    <row r="1432" spans="2:12">
      <c r="B1432" s="256" t="s">
        <v>1559</v>
      </c>
      <c r="C1432" s="250" t="s">
        <v>1521</v>
      </c>
      <c r="D1432" s="205" t="s">
        <v>169</v>
      </c>
      <c r="E1432" s="257">
        <v>1</v>
      </c>
      <c r="F1432" s="258">
        <v>1.68</v>
      </c>
      <c r="G1432" s="257">
        <v>0.33</v>
      </c>
      <c r="H1432" s="257">
        <v>0.15</v>
      </c>
      <c r="I1432" s="257"/>
      <c r="J1432" s="259">
        <v>0</v>
      </c>
      <c r="K1432" s="260">
        <f t="shared" si="49"/>
        <v>8.3159999999999998E-2</v>
      </c>
      <c r="L1432" s="266"/>
    </row>
    <row r="1433" spans="2:12">
      <c r="B1433" s="256" t="s">
        <v>1560</v>
      </c>
      <c r="C1433" s="250" t="s">
        <v>1521</v>
      </c>
      <c r="D1433" s="205" t="s">
        <v>169</v>
      </c>
      <c r="E1433" s="257">
        <v>1</v>
      </c>
      <c r="F1433" s="258">
        <v>7.67</v>
      </c>
      <c r="G1433" s="257">
        <v>0.33</v>
      </c>
      <c r="H1433" s="257">
        <v>0.15</v>
      </c>
      <c r="I1433" s="257"/>
      <c r="J1433" s="259">
        <v>0</v>
      </c>
      <c r="K1433" s="260">
        <f t="shared" si="49"/>
        <v>0.37966499999999997</v>
      </c>
      <c r="L1433" s="266"/>
    </row>
    <row r="1434" spans="2:12">
      <c r="B1434" s="256" t="s">
        <v>1561</v>
      </c>
      <c r="C1434" s="250" t="s">
        <v>1521</v>
      </c>
      <c r="D1434" s="205" t="s">
        <v>169</v>
      </c>
      <c r="E1434" s="257">
        <v>1</v>
      </c>
      <c r="F1434" s="258">
        <v>0.31</v>
      </c>
      <c r="G1434" s="257">
        <v>0.33</v>
      </c>
      <c r="H1434" s="257">
        <v>0.15</v>
      </c>
      <c r="I1434" s="257"/>
      <c r="J1434" s="259">
        <v>0</v>
      </c>
      <c r="K1434" s="260">
        <f t="shared" si="49"/>
        <v>1.5344999999999999E-2</v>
      </c>
      <c r="L1434" s="266"/>
    </row>
    <row r="1435" spans="2:12">
      <c r="B1435" s="256" t="s">
        <v>1566</v>
      </c>
      <c r="C1435" s="250" t="s">
        <v>1521</v>
      </c>
      <c r="D1435" s="205" t="s">
        <v>169</v>
      </c>
      <c r="E1435" s="257">
        <v>1</v>
      </c>
      <c r="F1435" s="258">
        <v>22.04</v>
      </c>
      <c r="G1435" s="257">
        <v>5.85</v>
      </c>
      <c r="H1435" s="257">
        <v>0.25</v>
      </c>
      <c r="I1435" s="257"/>
      <c r="J1435" s="259">
        <v>3.4898359999999999</v>
      </c>
      <c r="K1435" s="260">
        <f t="shared" si="49"/>
        <v>28.743663999999999</v>
      </c>
      <c r="L1435" s="266" t="s">
        <v>1574</v>
      </c>
    </row>
    <row r="1436" spans="2:12">
      <c r="B1436" s="256" t="s">
        <v>1567</v>
      </c>
      <c r="C1436" s="250" t="s">
        <v>1521</v>
      </c>
      <c r="D1436" s="205" t="s">
        <v>169</v>
      </c>
      <c r="E1436" s="257">
        <v>1</v>
      </c>
      <c r="F1436" s="258">
        <v>6.24</v>
      </c>
      <c r="G1436" s="257">
        <v>5.85</v>
      </c>
      <c r="H1436" s="257">
        <v>0.25</v>
      </c>
      <c r="I1436" s="257"/>
      <c r="J1436" s="259">
        <v>4.6484759999999996</v>
      </c>
      <c r="K1436" s="260">
        <f t="shared" si="49"/>
        <v>4.4775239999999998</v>
      </c>
      <c r="L1436" s="266" t="s">
        <v>1574</v>
      </c>
    </row>
    <row r="1437" spans="2:12">
      <c r="B1437" s="256" t="s">
        <v>1568</v>
      </c>
      <c r="C1437" s="250" t="s">
        <v>1521</v>
      </c>
      <c r="D1437" s="205" t="s">
        <v>169</v>
      </c>
      <c r="E1437" s="257">
        <v>1</v>
      </c>
      <c r="F1437" s="258">
        <v>6.34</v>
      </c>
      <c r="G1437" s="257">
        <v>3.83</v>
      </c>
      <c r="H1437" s="257">
        <v>0.25</v>
      </c>
      <c r="I1437" s="257"/>
      <c r="J1437" s="259">
        <v>2.6242380000000001</v>
      </c>
      <c r="K1437" s="260">
        <f t="shared" si="49"/>
        <v>3.4463119999999998</v>
      </c>
      <c r="L1437" s="266" t="s">
        <v>1574</v>
      </c>
    </row>
    <row r="1438" spans="2:12">
      <c r="B1438" s="256" t="s">
        <v>1569</v>
      </c>
      <c r="C1438" s="250" t="s">
        <v>1521</v>
      </c>
      <c r="D1438" s="205" t="s">
        <v>169</v>
      </c>
      <c r="E1438" s="257">
        <v>1</v>
      </c>
      <c r="F1438" s="258">
        <v>22.04</v>
      </c>
      <c r="G1438" s="257">
        <v>5.8</v>
      </c>
      <c r="H1438" s="257">
        <v>0.25</v>
      </c>
      <c r="I1438" s="257"/>
      <c r="J1438" s="259">
        <v>16.849836</v>
      </c>
      <c r="K1438" s="260">
        <f t="shared" si="49"/>
        <v>15.108163999999999</v>
      </c>
      <c r="L1438" s="266" t="s">
        <v>1574</v>
      </c>
    </row>
    <row r="1439" spans="2:12">
      <c r="B1439" s="256" t="s">
        <v>1570</v>
      </c>
      <c r="C1439" s="250" t="s">
        <v>1521</v>
      </c>
      <c r="D1439" s="205" t="s">
        <v>169</v>
      </c>
      <c r="E1439" s="257">
        <v>1</v>
      </c>
      <c r="F1439" s="258">
        <v>22.04</v>
      </c>
      <c r="G1439" s="257">
        <v>5.8</v>
      </c>
      <c r="H1439" s="257">
        <v>0.25</v>
      </c>
      <c r="I1439" s="257"/>
      <c r="J1439" s="259">
        <v>16.849836</v>
      </c>
      <c r="K1439" s="260">
        <f t="shared" si="49"/>
        <v>15.108163999999999</v>
      </c>
      <c r="L1439" s="266" t="s">
        <v>1574</v>
      </c>
    </row>
    <row r="1440" spans="2:12">
      <c r="B1440" s="256" t="s">
        <v>1562</v>
      </c>
      <c r="C1440" s="250" t="s">
        <v>1521</v>
      </c>
      <c r="D1440" s="205" t="s">
        <v>169</v>
      </c>
      <c r="E1440" s="257">
        <v>1</v>
      </c>
      <c r="F1440" s="258">
        <v>13.7</v>
      </c>
      <c r="G1440" s="257">
        <v>0.77</v>
      </c>
      <c r="H1440" s="257">
        <v>0.15</v>
      </c>
      <c r="I1440" s="257"/>
      <c r="J1440" s="259">
        <v>0</v>
      </c>
      <c r="K1440" s="260">
        <f t="shared" si="49"/>
        <v>1.5823499999999999</v>
      </c>
      <c r="L1440" s="266"/>
    </row>
    <row r="1441" spans="2:12">
      <c r="B1441" s="256" t="s">
        <v>1563</v>
      </c>
      <c r="C1441" s="250" t="s">
        <v>1521</v>
      </c>
      <c r="D1441" s="205" t="s">
        <v>169</v>
      </c>
      <c r="E1441" s="257">
        <v>1</v>
      </c>
      <c r="F1441" s="258">
        <v>13.7</v>
      </c>
      <c r="G1441" s="257">
        <v>1.77</v>
      </c>
      <c r="H1441" s="257">
        <v>0.15</v>
      </c>
      <c r="I1441" s="257"/>
      <c r="J1441" s="259">
        <v>0</v>
      </c>
      <c r="K1441" s="260">
        <f t="shared" si="49"/>
        <v>3.6373499999999996</v>
      </c>
      <c r="L1441" s="266"/>
    </row>
    <row r="1442" spans="2:12">
      <c r="B1442" s="256" t="s">
        <v>1571</v>
      </c>
      <c r="C1442" s="250" t="s">
        <v>1521</v>
      </c>
      <c r="D1442" s="205" t="s">
        <v>169</v>
      </c>
      <c r="E1442" s="257">
        <v>1</v>
      </c>
      <c r="F1442" s="258">
        <v>22.04</v>
      </c>
      <c r="G1442" s="257">
        <v>5.69</v>
      </c>
      <c r="H1442" s="257">
        <v>0.25</v>
      </c>
      <c r="I1442" s="257"/>
      <c r="J1442" s="259">
        <v>15.769836</v>
      </c>
      <c r="K1442" s="260">
        <f t="shared" si="49"/>
        <v>15.582064000000001</v>
      </c>
      <c r="L1442" s="266" t="s">
        <v>1574</v>
      </c>
    </row>
    <row r="1443" spans="2:12">
      <c r="B1443" s="256" t="s">
        <v>1564</v>
      </c>
      <c r="C1443" s="250" t="s">
        <v>1521</v>
      </c>
      <c r="D1443" s="205" t="s">
        <v>169</v>
      </c>
      <c r="E1443" s="257">
        <v>1</v>
      </c>
      <c r="F1443" s="258">
        <v>3.45</v>
      </c>
      <c r="G1443" s="257">
        <v>2.74</v>
      </c>
      <c r="H1443" s="257">
        <v>0.15</v>
      </c>
      <c r="I1443" s="257"/>
      <c r="J1443" s="259"/>
      <c r="K1443" s="260">
        <f t="shared" si="49"/>
        <v>1.41795</v>
      </c>
      <c r="L1443" s="266"/>
    </row>
    <row r="1444" spans="2:12">
      <c r="B1444" s="256" t="s">
        <v>1688</v>
      </c>
      <c r="C1444" s="250" t="s">
        <v>1611</v>
      </c>
      <c r="D1444" s="205" t="s">
        <v>169</v>
      </c>
      <c r="E1444" s="257">
        <v>4.58</v>
      </c>
      <c r="F1444" s="258">
        <v>1.92</v>
      </c>
      <c r="G1444" s="257">
        <v>0.15</v>
      </c>
      <c r="H1444" s="257">
        <v>1</v>
      </c>
      <c r="I1444" s="257"/>
      <c r="J1444" s="259"/>
      <c r="K1444" s="260">
        <f t="shared" si="49"/>
        <v>1.31904</v>
      </c>
      <c r="L1444" s="266"/>
    </row>
    <row r="1445" spans="2:12">
      <c r="B1445" s="256" t="s">
        <v>1689</v>
      </c>
      <c r="C1445" s="250" t="s">
        <v>1611</v>
      </c>
      <c r="D1445" s="205" t="s">
        <v>169</v>
      </c>
      <c r="E1445" s="257">
        <v>25.45</v>
      </c>
      <c r="F1445" s="258">
        <v>6.84</v>
      </c>
      <c r="G1445" s="257">
        <v>0.3</v>
      </c>
      <c r="H1445" s="257">
        <v>1</v>
      </c>
      <c r="I1445" s="257"/>
      <c r="J1445" s="259">
        <v>27.54</v>
      </c>
      <c r="K1445" s="260">
        <f t="shared" si="49"/>
        <v>24.683399999999999</v>
      </c>
      <c r="L1445" s="266"/>
    </row>
    <row r="1446" spans="2:12">
      <c r="B1446" s="256" t="s">
        <v>1690</v>
      </c>
      <c r="C1446" s="250" t="s">
        <v>1611</v>
      </c>
      <c r="D1446" s="205" t="s">
        <v>169</v>
      </c>
      <c r="E1446" s="257">
        <v>1.92</v>
      </c>
      <c r="F1446" s="258">
        <v>1.38</v>
      </c>
      <c r="G1446" s="257">
        <v>0.15</v>
      </c>
      <c r="H1446" s="257">
        <v>1</v>
      </c>
      <c r="I1446" s="257"/>
      <c r="J1446" s="259">
        <v>0</v>
      </c>
      <c r="K1446" s="260">
        <f t="shared" si="49"/>
        <v>0.3974399999999999</v>
      </c>
      <c r="L1446" s="266"/>
    </row>
    <row r="1447" spans="2:12">
      <c r="B1447" s="256" t="s">
        <v>1691</v>
      </c>
      <c r="C1447" s="250" t="s">
        <v>1611</v>
      </c>
      <c r="D1447" s="205" t="s">
        <v>169</v>
      </c>
      <c r="E1447" s="257">
        <v>0.81</v>
      </c>
      <c r="F1447" s="258">
        <v>1.99</v>
      </c>
      <c r="G1447" s="257">
        <v>0.15</v>
      </c>
      <c r="H1447" s="257">
        <v>1</v>
      </c>
      <c r="I1447" s="257"/>
      <c r="J1447" s="259">
        <v>0</v>
      </c>
      <c r="K1447" s="260">
        <f t="shared" si="49"/>
        <v>0.241785</v>
      </c>
      <c r="L1447" s="266"/>
    </row>
    <row r="1448" spans="2:12">
      <c r="B1448" s="256" t="s">
        <v>1692</v>
      </c>
      <c r="C1448" s="250" t="s">
        <v>1611</v>
      </c>
      <c r="D1448" s="205" t="s">
        <v>169</v>
      </c>
      <c r="E1448" s="257">
        <v>17.421875</v>
      </c>
      <c r="F1448" s="258">
        <v>2.56</v>
      </c>
      <c r="G1448" s="257">
        <v>0.12</v>
      </c>
      <c r="H1448" s="257">
        <v>1</v>
      </c>
      <c r="I1448" s="257"/>
      <c r="J1448" s="259">
        <v>0</v>
      </c>
      <c r="K1448" s="260">
        <f t="shared" si="49"/>
        <v>5.3520000000000003</v>
      </c>
      <c r="L1448" s="266"/>
    </row>
    <row r="1449" spans="2:12">
      <c r="B1449" s="256" t="s">
        <v>1693</v>
      </c>
      <c r="C1449" s="250" t="s">
        <v>1611</v>
      </c>
      <c r="D1449" s="205" t="s">
        <v>169</v>
      </c>
      <c r="E1449" s="257">
        <v>3.94</v>
      </c>
      <c r="F1449" s="258">
        <v>3.82</v>
      </c>
      <c r="G1449" s="257">
        <v>0.25</v>
      </c>
      <c r="H1449" s="257">
        <v>1</v>
      </c>
      <c r="I1449" s="257"/>
      <c r="J1449" s="259">
        <v>1.71</v>
      </c>
      <c r="K1449" s="260">
        <f t="shared" ref="K1449:K1480" si="50">IF(E1449*F1449*G1449&lt;&gt;0,E1449*F1449*G1449,IF(E1449*F1449&lt;&gt;0,E1449*F1449,IF(F1449*G1449&lt;&gt;0,F1449*G1449,IF(E1449*G1449&lt;&gt;0,E1449*G1449,IF(E1449&lt;&gt;0,E1449,IF(F1449&lt;&gt;0,F1449,IF(G1449&lt;&gt;0,G1449,0)))))))*(IF(H1449&lt;&gt;0,H1449,1))+I1449-J1449</f>
        <v>2.0526999999999997</v>
      </c>
      <c r="L1449" s="266"/>
    </row>
    <row r="1450" spans="2:12">
      <c r="B1450" s="256" t="s">
        <v>1694</v>
      </c>
      <c r="C1450" s="250" t="s">
        <v>1611</v>
      </c>
      <c r="D1450" s="205" t="s">
        <v>169</v>
      </c>
      <c r="E1450" s="257">
        <v>6.13</v>
      </c>
      <c r="F1450" s="258">
        <v>3.82</v>
      </c>
      <c r="G1450" s="257">
        <v>0.25</v>
      </c>
      <c r="H1450" s="257">
        <v>1</v>
      </c>
      <c r="I1450" s="257"/>
      <c r="J1450" s="259">
        <v>2.72</v>
      </c>
      <c r="K1450" s="260">
        <f t="shared" si="50"/>
        <v>3.1341499999999995</v>
      </c>
      <c r="L1450" s="266"/>
    </row>
    <row r="1451" spans="2:12">
      <c r="B1451" s="256" t="s">
        <v>1695</v>
      </c>
      <c r="C1451" s="250" t="s">
        <v>1611</v>
      </c>
      <c r="D1451" s="205" t="s">
        <v>169</v>
      </c>
      <c r="E1451" s="257">
        <v>16.71</v>
      </c>
      <c r="F1451" s="258">
        <v>4.9000000000000004</v>
      </c>
      <c r="G1451" s="257">
        <v>0.3</v>
      </c>
      <c r="H1451" s="257">
        <v>1</v>
      </c>
      <c r="I1451" s="257"/>
      <c r="J1451" s="259">
        <v>13.52</v>
      </c>
      <c r="K1451" s="260">
        <f t="shared" si="50"/>
        <v>11.043700000000001</v>
      </c>
      <c r="L1451" s="266"/>
    </row>
    <row r="1452" spans="2:12">
      <c r="B1452" s="256" t="s">
        <v>1696</v>
      </c>
      <c r="C1452" s="250" t="s">
        <v>1611</v>
      </c>
      <c r="D1452" s="205" t="s">
        <v>169</v>
      </c>
      <c r="E1452" s="257">
        <v>9.09</v>
      </c>
      <c r="F1452" s="258">
        <v>2.91</v>
      </c>
      <c r="G1452" s="257">
        <v>0.12</v>
      </c>
      <c r="H1452" s="257">
        <v>1</v>
      </c>
      <c r="I1452" s="257"/>
      <c r="J1452" s="259">
        <v>0</v>
      </c>
      <c r="K1452" s="260">
        <f t="shared" si="50"/>
        <v>3.1742280000000003</v>
      </c>
      <c r="L1452" s="266"/>
    </row>
    <row r="1453" spans="2:12">
      <c r="B1453" s="256" t="s">
        <v>1697</v>
      </c>
      <c r="C1453" s="250" t="s">
        <v>1611</v>
      </c>
      <c r="D1453" s="205" t="s">
        <v>169</v>
      </c>
      <c r="E1453" s="257">
        <v>7.0864197530864201</v>
      </c>
      <c r="F1453" s="258">
        <v>3.24</v>
      </c>
      <c r="G1453" s="257">
        <v>0.15</v>
      </c>
      <c r="H1453" s="257">
        <v>1</v>
      </c>
      <c r="I1453" s="257"/>
      <c r="J1453" s="259">
        <v>0</v>
      </c>
      <c r="K1453" s="260">
        <f t="shared" si="50"/>
        <v>3.4440000000000004</v>
      </c>
      <c r="L1453" s="266"/>
    </row>
    <row r="1454" spans="2:12">
      <c r="B1454" s="256" t="s">
        <v>1698</v>
      </c>
      <c r="C1454" s="250" t="s">
        <v>1611</v>
      </c>
      <c r="D1454" s="205" t="s">
        <v>169</v>
      </c>
      <c r="E1454" s="257">
        <v>10.119999999999999</v>
      </c>
      <c r="F1454" s="258">
        <v>4.1500000000000004</v>
      </c>
      <c r="G1454" s="257">
        <v>0.25</v>
      </c>
      <c r="H1454" s="257">
        <v>1</v>
      </c>
      <c r="I1454" s="257"/>
      <c r="J1454" s="259">
        <v>5.29</v>
      </c>
      <c r="K1454" s="260">
        <f t="shared" si="50"/>
        <v>5.2094999999999994</v>
      </c>
      <c r="L1454" s="266"/>
    </row>
    <row r="1455" spans="2:12">
      <c r="B1455" s="256" t="s">
        <v>1699</v>
      </c>
      <c r="C1455" s="250" t="s">
        <v>1611</v>
      </c>
      <c r="D1455" s="205" t="s">
        <v>169</v>
      </c>
      <c r="E1455" s="257">
        <v>9.09</v>
      </c>
      <c r="F1455" s="258">
        <v>9.4</v>
      </c>
      <c r="G1455" s="257">
        <v>0.35</v>
      </c>
      <c r="H1455" s="257">
        <v>1</v>
      </c>
      <c r="I1455" s="257"/>
      <c r="J1455" s="259">
        <v>15.35</v>
      </c>
      <c r="K1455" s="260">
        <f t="shared" si="50"/>
        <v>14.556099999999999</v>
      </c>
      <c r="L1455" s="266"/>
    </row>
    <row r="1456" spans="2:12">
      <c r="B1456" s="256" t="s">
        <v>1700</v>
      </c>
      <c r="C1456" s="250" t="s">
        <v>1611</v>
      </c>
      <c r="D1456" s="205" t="s">
        <v>169</v>
      </c>
      <c r="E1456" s="257">
        <v>11.23</v>
      </c>
      <c r="F1456" s="258">
        <v>9.4</v>
      </c>
      <c r="G1456" s="257">
        <v>0.35</v>
      </c>
      <c r="H1456" s="257">
        <v>1</v>
      </c>
      <c r="I1456" s="257"/>
      <c r="J1456" s="259">
        <v>18.670000000000002</v>
      </c>
      <c r="K1456" s="260">
        <f t="shared" si="50"/>
        <v>18.276699999999998</v>
      </c>
      <c r="L1456" s="266"/>
    </row>
    <row r="1457" spans="2:12">
      <c r="B1457" s="256" t="s">
        <v>1701</v>
      </c>
      <c r="C1457" s="250" t="s">
        <v>1611</v>
      </c>
      <c r="D1457" s="205" t="s">
        <v>169</v>
      </c>
      <c r="E1457" s="257">
        <v>7.2202127659574504</v>
      </c>
      <c r="F1457" s="258">
        <v>9.4</v>
      </c>
      <c r="G1457" s="257">
        <v>0.18</v>
      </c>
      <c r="H1457" s="257">
        <v>1</v>
      </c>
      <c r="I1457" s="257"/>
      <c r="J1457" s="259">
        <v>0</v>
      </c>
      <c r="K1457" s="260">
        <f t="shared" si="50"/>
        <v>12.216600000000005</v>
      </c>
      <c r="L1457" s="266"/>
    </row>
    <row r="1458" spans="2:12">
      <c r="B1458" s="256" t="s">
        <v>1702</v>
      </c>
      <c r="C1458" s="250" t="s">
        <v>1611</v>
      </c>
      <c r="D1458" s="205" t="s">
        <v>169</v>
      </c>
      <c r="E1458" s="257">
        <v>10.119999999999999</v>
      </c>
      <c r="F1458" s="258">
        <v>5.05</v>
      </c>
      <c r="G1458" s="257">
        <v>0.25</v>
      </c>
      <c r="H1458" s="257">
        <v>1</v>
      </c>
      <c r="I1458" s="257"/>
      <c r="J1458" s="259">
        <v>6.31</v>
      </c>
      <c r="K1458" s="260">
        <f t="shared" si="50"/>
        <v>6.466499999999999</v>
      </c>
      <c r="L1458" s="266"/>
    </row>
    <row r="1459" spans="2:12">
      <c r="B1459" s="256" t="s">
        <v>1703</v>
      </c>
      <c r="C1459" s="250" t="s">
        <v>1612</v>
      </c>
      <c r="D1459" s="205" t="s">
        <v>169</v>
      </c>
      <c r="E1459" s="257">
        <v>4.43</v>
      </c>
      <c r="F1459" s="258">
        <v>1.87</v>
      </c>
      <c r="G1459" s="257">
        <v>0.15</v>
      </c>
      <c r="H1459" s="257">
        <v>1</v>
      </c>
      <c r="I1459" s="257"/>
      <c r="J1459" s="259">
        <v>0</v>
      </c>
      <c r="K1459" s="260">
        <f t="shared" si="50"/>
        <v>1.242615</v>
      </c>
      <c r="L1459" s="266" t="s">
        <v>1682</v>
      </c>
    </row>
    <row r="1460" spans="2:12">
      <c r="B1460" s="256" t="s">
        <v>1704</v>
      </c>
      <c r="C1460" s="250" t="s">
        <v>1612</v>
      </c>
      <c r="D1460" s="205" t="s">
        <v>169</v>
      </c>
      <c r="E1460" s="257">
        <v>26.41</v>
      </c>
      <c r="F1460" s="258">
        <v>6.86</v>
      </c>
      <c r="G1460" s="257">
        <v>0.3</v>
      </c>
      <c r="H1460" s="257">
        <v>1</v>
      </c>
      <c r="I1460" s="257"/>
      <c r="J1460" s="259">
        <v>25.665299999999998</v>
      </c>
      <c r="K1460" s="260">
        <f t="shared" si="50"/>
        <v>28.686480000000007</v>
      </c>
      <c r="L1460" s="266" t="s">
        <v>1682</v>
      </c>
    </row>
    <row r="1461" spans="2:12">
      <c r="B1461" s="256" t="s">
        <v>1705</v>
      </c>
      <c r="C1461" s="250" t="s">
        <v>1612</v>
      </c>
      <c r="D1461" s="205" t="s">
        <v>169</v>
      </c>
      <c r="E1461" s="257">
        <v>1.97</v>
      </c>
      <c r="F1461" s="258">
        <v>1.38</v>
      </c>
      <c r="G1461" s="257">
        <v>0.15</v>
      </c>
      <c r="H1461" s="257">
        <v>1</v>
      </c>
      <c r="I1461" s="257"/>
      <c r="J1461" s="259">
        <v>0</v>
      </c>
      <c r="K1461" s="260">
        <f t="shared" si="50"/>
        <v>0.40778999999999999</v>
      </c>
      <c r="L1461" s="266" t="s">
        <v>1682</v>
      </c>
    </row>
    <row r="1462" spans="2:12">
      <c r="B1462" s="256" t="s">
        <v>1706</v>
      </c>
      <c r="C1462" s="250" t="s">
        <v>1612</v>
      </c>
      <c r="D1462" s="205" t="s">
        <v>169</v>
      </c>
      <c r="E1462" s="257">
        <v>3.95</v>
      </c>
      <c r="F1462" s="258">
        <v>0.15</v>
      </c>
      <c r="G1462" s="257">
        <v>0.15</v>
      </c>
      <c r="H1462" s="257">
        <v>1</v>
      </c>
      <c r="I1462" s="257"/>
      <c r="J1462" s="259">
        <v>0</v>
      </c>
      <c r="K1462" s="260">
        <f t="shared" si="50"/>
        <v>8.8874999999999996E-2</v>
      </c>
      <c r="L1462" s="266" t="s">
        <v>1682</v>
      </c>
    </row>
    <row r="1463" spans="2:12">
      <c r="B1463" s="256" t="s">
        <v>1707</v>
      </c>
      <c r="C1463" s="250" t="s">
        <v>1612</v>
      </c>
      <c r="D1463" s="205" t="s">
        <v>169</v>
      </c>
      <c r="E1463" s="257">
        <v>19.21</v>
      </c>
      <c r="F1463" s="258">
        <v>8.9499999999999993</v>
      </c>
      <c r="G1463" s="257">
        <v>0.35</v>
      </c>
      <c r="H1463" s="257">
        <v>1</v>
      </c>
      <c r="I1463" s="257"/>
      <c r="J1463" s="259">
        <v>28.693059999999999</v>
      </c>
      <c r="K1463" s="260">
        <f t="shared" si="50"/>
        <v>31.482264999999995</v>
      </c>
      <c r="L1463" s="266" t="s">
        <v>1682</v>
      </c>
    </row>
    <row r="1464" spans="2:12">
      <c r="B1464" s="256" t="s">
        <v>1708</v>
      </c>
      <c r="C1464" s="250" t="s">
        <v>1612</v>
      </c>
      <c r="D1464" s="205" t="s">
        <v>169</v>
      </c>
      <c r="E1464" s="257">
        <v>10.61</v>
      </c>
      <c r="F1464" s="258">
        <v>0.83</v>
      </c>
      <c r="G1464" s="257">
        <v>0.15</v>
      </c>
      <c r="H1464" s="257">
        <v>1</v>
      </c>
      <c r="I1464" s="257"/>
      <c r="J1464" s="259">
        <v>0</v>
      </c>
      <c r="K1464" s="260">
        <f t="shared" si="50"/>
        <v>1.3209449999999998</v>
      </c>
      <c r="L1464" s="266" t="s">
        <v>1682</v>
      </c>
    </row>
    <row r="1465" spans="2:12">
      <c r="B1465" s="256" t="s">
        <v>1709</v>
      </c>
      <c r="C1465" s="250" t="s">
        <v>1612</v>
      </c>
      <c r="D1465" s="205" t="s">
        <v>169</v>
      </c>
      <c r="E1465" s="257">
        <v>3</v>
      </c>
      <c r="F1465" s="258">
        <v>0.15</v>
      </c>
      <c r="G1465" s="257">
        <v>0.15</v>
      </c>
      <c r="H1465" s="257">
        <v>1</v>
      </c>
      <c r="I1465" s="257"/>
      <c r="J1465" s="259">
        <v>0</v>
      </c>
      <c r="K1465" s="260">
        <f t="shared" si="50"/>
        <v>6.7499999999999991E-2</v>
      </c>
      <c r="L1465" s="266" t="s">
        <v>1682</v>
      </c>
    </row>
    <row r="1466" spans="2:12">
      <c r="B1466" s="256" t="s">
        <v>1710</v>
      </c>
      <c r="C1466" s="250" t="s">
        <v>1612</v>
      </c>
      <c r="D1466" s="205" t="s">
        <v>169</v>
      </c>
      <c r="E1466" s="257">
        <v>10.02</v>
      </c>
      <c r="F1466" s="258">
        <v>4.1500000000000004</v>
      </c>
      <c r="G1466" s="257">
        <v>0.25</v>
      </c>
      <c r="H1466" s="257">
        <v>1</v>
      </c>
      <c r="I1466" s="257"/>
      <c r="J1466" s="259">
        <v>4.9834800000000001</v>
      </c>
      <c r="K1466" s="260">
        <f t="shared" si="50"/>
        <v>5.4122699999999995</v>
      </c>
      <c r="L1466" s="266" t="s">
        <v>1682</v>
      </c>
    </row>
    <row r="1467" spans="2:12">
      <c r="B1467" s="256" t="s">
        <v>1711</v>
      </c>
      <c r="C1467" s="250" t="s">
        <v>1612</v>
      </c>
      <c r="D1467" s="205" t="s">
        <v>169</v>
      </c>
      <c r="E1467" s="257">
        <v>8.0399999999999991</v>
      </c>
      <c r="F1467" s="258">
        <v>9.35</v>
      </c>
      <c r="G1467" s="257">
        <v>0.18</v>
      </c>
      <c r="H1467" s="257">
        <v>1</v>
      </c>
      <c r="I1467" s="257"/>
      <c r="J1467" s="259">
        <v>0</v>
      </c>
      <c r="K1467" s="260">
        <f t="shared" si="50"/>
        <v>13.531319999999997</v>
      </c>
      <c r="L1467" s="266" t="s">
        <v>1682</v>
      </c>
    </row>
    <row r="1468" spans="2:12">
      <c r="B1468" s="256" t="s">
        <v>1712</v>
      </c>
      <c r="C1468" s="250" t="s">
        <v>1612</v>
      </c>
      <c r="D1468" s="205" t="s">
        <v>169</v>
      </c>
      <c r="E1468" s="257">
        <v>5.57</v>
      </c>
      <c r="F1468" s="258">
        <v>4.95</v>
      </c>
      <c r="G1468" s="257">
        <v>0.25</v>
      </c>
      <c r="H1468" s="257">
        <v>1</v>
      </c>
      <c r="I1468" s="257"/>
      <c r="J1468" s="259">
        <v>3.3962699999999999</v>
      </c>
      <c r="K1468" s="260">
        <f t="shared" si="50"/>
        <v>3.4966050000000011</v>
      </c>
      <c r="L1468" s="266" t="s">
        <v>1682</v>
      </c>
    </row>
    <row r="1469" spans="2:12">
      <c r="B1469" s="256" t="s">
        <v>1713</v>
      </c>
      <c r="C1469" s="250" t="s">
        <v>1612</v>
      </c>
      <c r="D1469" s="205" t="s">
        <v>169</v>
      </c>
      <c r="E1469" s="257">
        <v>17.97</v>
      </c>
      <c r="F1469" s="258">
        <v>0.55000000000000004</v>
      </c>
      <c r="G1469" s="257">
        <v>0.1</v>
      </c>
      <c r="H1469" s="257">
        <v>1</v>
      </c>
      <c r="I1469" s="257"/>
      <c r="J1469" s="259">
        <v>0</v>
      </c>
      <c r="K1469" s="260">
        <f t="shared" si="50"/>
        <v>0.98835000000000006</v>
      </c>
      <c r="L1469" s="266" t="s">
        <v>1714</v>
      </c>
    </row>
    <row r="1470" spans="2:12">
      <c r="B1470" s="256" t="s">
        <v>1715</v>
      </c>
      <c r="C1470" s="250" t="s">
        <v>1612</v>
      </c>
      <c r="D1470" s="205" t="s">
        <v>169</v>
      </c>
      <c r="E1470" s="257">
        <v>21.4</v>
      </c>
      <c r="F1470" s="258">
        <v>5.85</v>
      </c>
      <c r="G1470" s="257">
        <v>0.25</v>
      </c>
      <c r="H1470" s="257">
        <v>1</v>
      </c>
      <c r="I1470" s="257"/>
      <c r="J1470" s="259">
        <v>14.8062</v>
      </c>
      <c r="K1470" s="260">
        <f t="shared" si="50"/>
        <v>16.491299999999995</v>
      </c>
      <c r="L1470" s="266" t="s">
        <v>1714</v>
      </c>
    </row>
    <row r="1471" spans="2:12">
      <c r="B1471" s="256" t="s">
        <v>1716</v>
      </c>
      <c r="C1471" s="250" t="s">
        <v>1612</v>
      </c>
      <c r="D1471" s="205" t="s">
        <v>169</v>
      </c>
      <c r="E1471" s="257">
        <v>21.4</v>
      </c>
      <c r="F1471" s="258">
        <v>5.8</v>
      </c>
      <c r="G1471" s="257">
        <v>0.25</v>
      </c>
      <c r="H1471" s="257">
        <v>1</v>
      </c>
      <c r="I1471" s="257"/>
      <c r="J1471" s="259">
        <v>14.8062</v>
      </c>
      <c r="K1471" s="260">
        <f t="shared" si="50"/>
        <v>16.223799999999997</v>
      </c>
      <c r="L1471" s="266" t="s">
        <v>1714</v>
      </c>
    </row>
    <row r="1472" spans="2:12">
      <c r="B1472" s="256" t="s">
        <v>1717</v>
      </c>
      <c r="C1472" s="250" t="s">
        <v>1612</v>
      </c>
      <c r="D1472" s="205" t="s">
        <v>169</v>
      </c>
      <c r="E1472" s="257">
        <v>24.49</v>
      </c>
      <c r="F1472" s="258">
        <v>0.55000000000000004</v>
      </c>
      <c r="G1472" s="257">
        <v>0.1</v>
      </c>
      <c r="H1472" s="257">
        <v>1</v>
      </c>
      <c r="I1472" s="257"/>
      <c r="J1472" s="259">
        <v>0</v>
      </c>
      <c r="K1472" s="260">
        <f t="shared" si="50"/>
        <v>1.3469500000000001</v>
      </c>
      <c r="L1472" s="266" t="s">
        <v>1714</v>
      </c>
    </row>
    <row r="1473" spans="2:12">
      <c r="B1473" s="256" t="s">
        <v>1718</v>
      </c>
      <c r="C1473" s="250" t="s">
        <v>1612</v>
      </c>
      <c r="D1473" s="205" t="s">
        <v>169</v>
      </c>
      <c r="E1473" s="257">
        <v>21.4</v>
      </c>
      <c r="F1473" s="258">
        <v>5.8</v>
      </c>
      <c r="G1473" s="257">
        <v>0.25</v>
      </c>
      <c r="H1473" s="257">
        <v>1</v>
      </c>
      <c r="I1473" s="257"/>
      <c r="J1473" s="259">
        <v>14.76966</v>
      </c>
      <c r="K1473" s="260">
        <f t="shared" si="50"/>
        <v>16.260339999999999</v>
      </c>
      <c r="L1473" s="266" t="s">
        <v>1714</v>
      </c>
    </row>
    <row r="1474" spans="2:12">
      <c r="B1474" s="256" t="s">
        <v>1719</v>
      </c>
      <c r="C1474" s="250" t="s">
        <v>1612</v>
      </c>
      <c r="D1474" s="205" t="s">
        <v>169</v>
      </c>
      <c r="E1474" s="257">
        <v>7.77</v>
      </c>
      <c r="F1474" s="258">
        <v>0.18</v>
      </c>
      <c r="G1474" s="257">
        <v>0.12</v>
      </c>
      <c r="H1474" s="257">
        <v>1</v>
      </c>
      <c r="I1474" s="257"/>
      <c r="J1474" s="259">
        <v>0</v>
      </c>
      <c r="K1474" s="260">
        <f t="shared" si="50"/>
        <v>0.16783199999999998</v>
      </c>
      <c r="L1474" s="266" t="s">
        <v>1714</v>
      </c>
    </row>
    <row r="1475" spans="2:12">
      <c r="B1475" s="256" t="s">
        <v>1720</v>
      </c>
      <c r="C1475" s="250" t="s">
        <v>1612</v>
      </c>
      <c r="D1475" s="205" t="s">
        <v>169</v>
      </c>
      <c r="E1475" s="257">
        <v>21.4</v>
      </c>
      <c r="F1475" s="258">
        <v>5.69</v>
      </c>
      <c r="G1475" s="257">
        <v>0.25</v>
      </c>
      <c r="H1475" s="257">
        <v>1</v>
      </c>
      <c r="I1475" s="257"/>
      <c r="J1475" s="259">
        <v>13.92924</v>
      </c>
      <c r="K1475" s="260">
        <f t="shared" si="50"/>
        <v>16.512260000000001</v>
      </c>
      <c r="L1475" s="266" t="s">
        <v>1714</v>
      </c>
    </row>
    <row r="1476" spans="2:12">
      <c r="B1476" s="256" t="s">
        <v>1721</v>
      </c>
      <c r="C1476" s="250" t="s">
        <v>1612</v>
      </c>
      <c r="D1476" s="205" t="s">
        <v>169</v>
      </c>
      <c r="E1476" s="257">
        <v>3.45</v>
      </c>
      <c r="F1476" s="258">
        <v>2.74</v>
      </c>
      <c r="G1476" s="257">
        <v>0.15</v>
      </c>
      <c r="H1476" s="257">
        <v>1</v>
      </c>
      <c r="I1476" s="257"/>
      <c r="J1476" s="259">
        <v>0</v>
      </c>
      <c r="K1476" s="260">
        <f t="shared" si="50"/>
        <v>1.41795</v>
      </c>
      <c r="L1476" s="266" t="s">
        <v>1714</v>
      </c>
    </row>
    <row r="1477" spans="2:12">
      <c r="B1477" s="256" t="s">
        <v>1713</v>
      </c>
      <c r="C1477" s="250" t="s">
        <v>1613</v>
      </c>
      <c r="D1477" s="205" t="s">
        <v>169</v>
      </c>
      <c r="E1477" s="257">
        <v>17.97</v>
      </c>
      <c r="F1477" s="258">
        <v>0.55000000000000004</v>
      </c>
      <c r="G1477" s="257">
        <v>0.1</v>
      </c>
      <c r="H1477" s="257">
        <v>1</v>
      </c>
      <c r="I1477" s="257"/>
      <c r="J1477" s="259">
        <v>0</v>
      </c>
      <c r="K1477" s="260">
        <f t="shared" si="50"/>
        <v>0.98835000000000006</v>
      </c>
      <c r="L1477" s="266" t="s">
        <v>1683</v>
      </c>
    </row>
    <row r="1478" spans="2:12">
      <c r="B1478" s="256" t="s">
        <v>1715</v>
      </c>
      <c r="C1478" s="250" t="s">
        <v>1613</v>
      </c>
      <c r="D1478" s="205" t="s">
        <v>169</v>
      </c>
      <c r="E1478" s="257">
        <v>21.4</v>
      </c>
      <c r="F1478" s="258">
        <v>5.85</v>
      </c>
      <c r="G1478" s="257">
        <v>0.25</v>
      </c>
      <c r="H1478" s="257">
        <v>1</v>
      </c>
      <c r="I1478" s="257"/>
      <c r="J1478" s="259">
        <v>14.8062</v>
      </c>
      <c r="K1478" s="260">
        <f t="shared" si="50"/>
        <v>16.491299999999995</v>
      </c>
      <c r="L1478" s="266" t="s">
        <v>1683</v>
      </c>
    </row>
    <row r="1479" spans="2:12">
      <c r="B1479" s="256" t="s">
        <v>1716</v>
      </c>
      <c r="C1479" s="250" t="s">
        <v>1613</v>
      </c>
      <c r="D1479" s="205" t="s">
        <v>169</v>
      </c>
      <c r="E1479" s="257">
        <v>21.4</v>
      </c>
      <c r="F1479" s="258">
        <v>5.8</v>
      </c>
      <c r="G1479" s="257">
        <v>0.25</v>
      </c>
      <c r="H1479" s="257">
        <v>1</v>
      </c>
      <c r="I1479" s="257"/>
      <c r="J1479" s="259">
        <v>14.8062</v>
      </c>
      <c r="K1479" s="260">
        <f t="shared" si="50"/>
        <v>16.223799999999997</v>
      </c>
      <c r="L1479" s="266" t="s">
        <v>1683</v>
      </c>
    </row>
    <row r="1480" spans="2:12">
      <c r="B1480" s="256" t="s">
        <v>1717</v>
      </c>
      <c r="C1480" s="250" t="s">
        <v>1613</v>
      </c>
      <c r="D1480" s="205" t="s">
        <v>169</v>
      </c>
      <c r="E1480" s="257">
        <v>24.49</v>
      </c>
      <c r="F1480" s="258">
        <v>0.55000000000000004</v>
      </c>
      <c r="G1480" s="257">
        <v>0.1</v>
      </c>
      <c r="H1480" s="257">
        <v>1</v>
      </c>
      <c r="I1480" s="257"/>
      <c r="J1480" s="259">
        <v>0</v>
      </c>
      <c r="K1480" s="260">
        <f t="shared" si="50"/>
        <v>1.3469500000000001</v>
      </c>
      <c r="L1480" s="266" t="s">
        <v>1683</v>
      </c>
    </row>
    <row r="1481" spans="2:12">
      <c r="B1481" s="256" t="s">
        <v>1718</v>
      </c>
      <c r="C1481" s="250" t="s">
        <v>1613</v>
      </c>
      <c r="D1481" s="205" t="s">
        <v>169</v>
      </c>
      <c r="E1481" s="257">
        <v>21.4</v>
      </c>
      <c r="F1481" s="258">
        <v>5.8</v>
      </c>
      <c r="G1481" s="257">
        <v>0.25</v>
      </c>
      <c r="H1481" s="257">
        <v>1</v>
      </c>
      <c r="I1481" s="257"/>
      <c r="J1481" s="259">
        <v>14.76966</v>
      </c>
      <c r="K1481" s="260">
        <f t="shared" ref="K1481:K1486" si="51">IF(E1481*F1481*G1481&lt;&gt;0,E1481*F1481*G1481,IF(E1481*F1481&lt;&gt;0,E1481*F1481,IF(F1481*G1481&lt;&gt;0,F1481*G1481,IF(E1481*G1481&lt;&gt;0,E1481*G1481,IF(E1481&lt;&gt;0,E1481,IF(F1481&lt;&gt;0,F1481,IF(G1481&lt;&gt;0,G1481,0)))))))*(IF(H1481&lt;&gt;0,H1481,1))+I1481-J1481</f>
        <v>16.260339999999999</v>
      </c>
      <c r="L1481" s="266" t="s">
        <v>1683</v>
      </c>
    </row>
    <row r="1482" spans="2:12">
      <c r="B1482" s="256" t="s">
        <v>1719</v>
      </c>
      <c r="C1482" s="250" t="s">
        <v>1613</v>
      </c>
      <c r="D1482" s="205" t="s">
        <v>169</v>
      </c>
      <c r="E1482" s="257">
        <v>7.77</v>
      </c>
      <c r="F1482" s="258">
        <v>0.18</v>
      </c>
      <c r="G1482" s="257">
        <v>0.12</v>
      </c>
      <c r="H1482" s="257">
        <v>1</v>
      </c>
      <c r="I1482" s="257"/>
      <c r="J1482" s="259">
        <v>0</v>
      </c>
      <c r="K1482" s="260">
        <f t="shared" si="51"/>
        <v>0.16783199999999998</v>
      </c>
      <c r="L1482" s="266" t="s">
        <v>1683</v>
      </c>
    </row>
    <row r="1483" spans="2:12">
      <c r="B1483" s="256" t="s">
        <v>1720</v>
      </c>
      <c r="C1483" s="250" t="s">
        <v>1613</v>
      </c>
      <c r="D1483" s="205" t="s">
        <v>169</v>
      </c>
      <c r="E1483" s="257">
        <v>21.4</v>
      </c>
      <c r="F1483" s="258">
        <v>5.69</v>
      </c>
      <c r="G1483" s="257">
        <v>0.25</v>
      </c>
      <c r="H1483" s="257">
        <v>1</v>
      </c>
      <c r="I1483" s="257"/>
      <c r="J1483" s="259">
        <v>13.92924</v>
      </c>
      <c r="K1483" s="260">
        <f t="shared" si="51"/>
        <v>16.512260000000001</v>
      </c>
      <c r="L1483" s="266" t="s">
        <v>1683</v>
      </c>
    </row>
    <row r="1484" spans="2:12">
      <c r="B1484" s="256" t="s">
        <v>1721</v>
      </c>
      <c r="C1484" s="250" t="s">
        <v>1613</v>
      </c>
      <c r="D1484" s="205" t="s">
        <v>169</v>
      </c>
      <c r="E1484" s="257">
        <v>3.45</v>
      </c>
      <c r="F1484" s="258">
        <v>2.74</v>
      </c>
      <c r="G1484" s="257">
        <v>0.15</v>
      </c>
      <c r="H1484" s="257">
        <v>1</v>
      </c>
      <c r="I1484" s="257"/>
      <c r="J1484" s="259">
        <v>0</v>
      </c>
      <c r="K1484" s="260">
        <f t="shared" si="51"/>
        <v>1.41795</v>
      </c>
      <c r="L1484" s="266" t="s">
        <v>1683</v>
      </c>
    </row>
    <row r="1485" spans="2:12">
      <c r="B1485" s="256"/>
      <c r="C1485" s="210"/>
      <c r="D1485" s="210"/>
      <c r="E1485" s="257"/>
      <c r="F1485" s="258"/>
      <c r="G1485" s="257"/>
      <c r="H1485" s="257"/>
      <c r="I1485" s="257"/>
      <c r="J1485" s="259"/>
      <c r="K1485" s="260">
        <f t="shared" si="51"/>
        <v>0</v>
      </c>
      <c r="L1485" s="210"/>
    </row>
    <row r="1486" spans="2:12">
      <c r="B1486" s="256"/>
      <c r="C1486" s="210"/>
      <c r="D1486" s="210"/>
      <c r="E1486" s="257"/>
      <c r="F1486" s="258"/>
      <c r="G1486" s="257"/>
      <c r="H1486" s="257"/>
      <c r="I1486" s="257"/>
      <c r="J1486" s="259"/>
      <c r="K1486" s="260">
        <f t="shared" si="51"/>
        <v>0</v>
      </c>
      <c r="L1486" s="210"/>
    </row>
    <row r="1487" spans="2:12">
      <c r="B1487" s="202"/>
      <c r="C1487" s="203"/>
      <c r="D1487" s="203"/>
      <c r="E1487" s="203"/>
      <c r="F1487" s="203"/>
      <c r="G1487" s="203"/>
      <c r="H1487" s="204"/>
      <c r="I1487" s="556" t="s">
        <v>1221</v>
      </c>
      <c r="J1487" s="556"/>
      <c r="K1487" s="220">
        <f>SUM(K1417:K1486)</f>
        <v>500.08316699999989</v>
      </c>
      <c r="L1487" s="207"/>
    </row>
    <row r="1488" spans="2:12">
      <c r="B1488" s="208"/>
      <c r="C1488" s="204"/>
      <c r="D1488" s="204"/>
      <c r="E1488" s="204"/>
      <c r="F1488" s="204"/>
      <c r="G1488" s="204"/>
      <c r="H1488" s="209"/>
      <c r="I1488" s="557" t="s">
        <v>1222</v>
      </c>
      <c r="J1488" s="557"/>
      <c r="K1488" s="221">
        <f>VLOOKUP(B1415,'BM 004'!$B$27:$R$590,4,0)</f>
        <v>803.99</v>
      </c>
      <c r="L1488" s="246"/>
    </row>
    <row r="1489" spans="2:12">
      <c r="B1489" s="208"/>
      <c r="C1489" s="204"/>
      <c r="D1489" s="204"/>
      <c r="E1489" s="204"/>
      <c r="F1489" s="204"/>
      <c r="G1489" s="204"/>
      <c r="H1489" s="558" t="s">
        <v>1223</v>
      </c>
      <c r="I1489" s="558"/>
      <c r="J1489" s="558"/>
      <c r="K1489" s="222">
        <v>430.68316700000003</v>
      </c>
      <c r="L1489" s="207"/>
    </row>
    <row r="1490" spans="2:12">
      <c r="B1490" s="208"/>
      <c r="C1490" s="204"/>
      <c r="D1490" s="204"/>
      <c r="E1490" s="204"/>
      <c r="F1490" s="204"/>
      <c r="G1490" s="204"/>
      <c r="H1490" s="558" t="s">
        <v>1596</v>
      </c>
      <c r="I1490" s="558"/>
      <c r="J1490" s="558"/>
      <c r="K1490" s="222">
        <f>TRUNC(SUMIF(C1417:C1486,H1490,K1417:K1486),2)</f>
        <v>69.400000000000006</v>
      </c>
      <c r="L1490" s="246"/>
    </row>
    <row r="1491" spans="2:12">
      <c r="B1491" s="213"/>
      <c r="C1491" s="214"/>
      <c r="D1491" s="214"/>
      <c r="E1491" s="214"/>
      <c r="F1491" s="214"/>
      <c r="G1491" s="214"/>
      <c r="H1491" s="559" t="s">
        <v>1224</v>
      </c>
      <c r="I1491" s="559"/>
      <c r="J1491" s="559"/>
      <c r="K1491" s="223">
        <f>IF(K1487&gt;K1488,K1487-K1488,0)</f>
        <v>0</v>
      </c>
      <c r="L1491" s="209"/>
    </row>
    <row r="1493" spans="2:12">
      <c r="B1493" s="247" t="s">
        <v>261</v>
      </c>
      <c r="C1493" s="565" t="str">
        <f>VLOOKUP(B1493,'BM 004'!$B$27:$R$590,2,0)</f>
        <v xml:space="preserve">ALVENARIA DE EMBASAMENTO COM BLOCO ESTRUTURAL DE CONCRETO, DE 14X19X29CM E ARGAMASSA DE ASSENTAMENTO COM PREPARO EM BETONEIRA. </v>
      </c>
      <c r="D1493" s="565"/>
      <c r="E1493" s="565"/>
      <c r="F1493" s="565"/>
      <c r="G1493" s="565"/>
      <c r="H1493" s="565"/>
      <c r="I1493" s="565"/>
      <c r="J1493" s="565"/>
      <c r="K1493" s="565"/>
      <c r="L1493" s="565"/>
    </row>
    <row r="1494" spans="2:12">
      <c r="B1494" s="248" t="s">
        <v>1209</v>
      </c>
      <c r="C1494" s="248"/>
      <c r="D1494" s="248" t="s">
        <v>39</v>
      </c>
      <c r="E1494" s="248" t="s">
        <v>1210</v>
      </c>
      <c r="F1494" s="248" t="s">
        <v>1388</v>
      </c>
      <c r="G1494" s="248" t="s">
        <v>1212</v>
      </c>
      <c r="H1494" s="248" t="s">
        <v>1213</v>
      </c>
      <c r="I1494" s="248" t="s">
        <v>1214</v>
      </c>
      <c r="J1494" s="248" t="s">
        <v>1385</v>
      </c>
      <c r="K1494" s="248" t="s">
        <v>1216</v>
      </c>
      <c r="L1494" s="248" t="s">
        <v>1217</v>
      </c>
    </row>
    <row r="1495" spans="2:12">
      <c r="B1495" s="256" t="s">
        <v>1722</v>
      </c>
      <c r="C1495" s="250" t="s">
        <v>1612</v>
      </c>
      <c r="D1495" s="205" t="s">
        <v>79</v>
      </c>
      <c r="E1495" s="261">
        <v>26.18</v>
      </c>
      <c r="F1495" s="261">
        <v>0.19</v>
      </c>
      <c r="G1495" s="261">
        <v>0.4</v>
      </c>
      <c r="H1495" s="261">
        <v>1</v>
      </c>
      <c r="I1495" s="261"/>
      <c r="J1495" s="275"/>
      <c r="K1495" s="260">
        <f>IF(E1495*F1495*G1495&lt;&gt;0,E1495*F1495*G1495,IF(E1495*F1495&lt;&gt;0,E1495*F1495,IF(F1495*G1495&lt;&gt;0,F1495*G1495,IF(E1495*G1495&lt;&gt;0,E1495*G1495,IF(E1495&lt;&gt;0,E1495,IF(F1495&lt;&gt;0,F1495,IF(G1495&lt;&gt;0,G1495,0)))))))*(IF(H1495&lt;&gt;0,H1495,1))+I1495-J1495</f>
        <v>1.9896799999999999</v>
      </c>
      <c r="L1495" s="266" t="s">
        <v>1723</v>
      </c>
    </row>
    <row r="1496" spans="2:12">
      <c r="B1496" s="256" t="s">
        <v>1724</v>
      </c>
      <c r="C1496" s="250" t="s">
        <v>1612</v>
      </c>
      <c r="D1496" s="205" t="s">
        <v>79</v>
      </c>
      <c r="E1496" s="261">
        <v>8.84</v>
      </c>
      <c r="F1496" s="261">
        <v>0.19</v>
      </c>
      <c r="G1496" s="261">
        <v>0.4</v>
      </c>
      <c r="H1496" s="261">
        <v>1</v>
      </c>
      <c r="I1496" s="261"/>
      <c r="J1496" s="275"/>
      <c r="K1496" s="260">
        <f>IF(E1496*F1496*G1496&lt;&gt;0,E1496*F1496*G1496,IF(E1496*F1496&lt;&gt;0,E1496*F1496,IF(F1496*G1496&lt;&gt;0,F1496*G1496,IF(E1496*G1496&lt;&gt;0,E1496*G1496,IF(E1496&lt;&gt;0,E1496,IF(F1496&lt;&gt;0,F1496,IF(G1496&lt;&gt;0,G1496,0)))))))*(IF(H1496&lt;&gt;0,H1496,1))+I1496-J1496</f>
        <v>0.67183999999999999</v>
      </c>
      <c r="L1496" s="266"/>
    </row>
    <row r="1497" spans="2:12">
      <c r="B1497" s="256"/>
      <c r="C1497" s="210"/>
      <c r="D1497" s="210"/>
      <c r="E1497" s="261"/>
      <c r="F1497" s="261"/>
      <c r="G1497" s="261"/>
      <c r="H1497" s="261"/>
      <c r="I1497" s="261"/>
      <c r="J1497" s="275"/>
      <c r="K1497" s="260">
        <f>IF(E1497*F1497*G1497&lt;&gt;0,E1497*F1497*G1497,IF(E1497*F1497&lt;&gt;0,E1497*F1497,IF(F1497*G1497&lt;&gt;0,F1497*G1497,IF(E1497*G1497&lt;&gt;0,E1497*G1497,IF(E1497&lt;&gt;0,E1497,IF(F1497&lt;&gt;0,F1497,IF(G1497&lt;&gt;0,G1497,0)))))))*(IF(H1497&lt;&gt;0,H1497,1))+I1497-J1497</f>
        <v>0</v>
      </c>
      <c r="L1497" s="210"/>
    </row>
    <row r="1498" spans="2:12">
      <c r="B1498" s="202"/>
      <c r="C1498" s="203"/>
      <c r="D1498" s="203"/>
      <c r="E1498" s="203"/>
      <c r="F1498" s="203"/>
      <c r="G1498" s="203"/>
      <c r="H1498" s="204"/>
      <c r="I1498" s="556" t="s">
        <v>1221</v>
      </c>
      <c r="J1498" s="556"/>
      <c r="K1498" s="220">
        <f>SUM(K1495:K1497)</f>
        <v>2.6615199999999999</v>
      </c>
      <c r="L1498" s="207"/>
    </row>
    <row r="1499" spans="2:12">
      <c r="B1499" s="208"/>
      <c r="C1499" s="204"/>
      <c r="D1499" s="204"/>
      <c r="E1499" s="204"/>
      <c r="F1499" s="204"/>
      <c r="G1499" s="204"/>
      <c r="H1499" s="209"/>
      <c r="I1499" s="556" t="s">
        <v>1222</v>
      </c>
      <c r="J1499" s="556"/>
      <c r="K1499" s="221">
        <f>VLOOKUP(B1493,'BM 004'!$B$27:$R$590,4,0)</f>
        <v>112</v>
      </c>
      <c r="L1499" s="246"/>
    </row>
    <row r="1500" spans="2:12">
      <c r="B1500" s="208"/>
      <c r="C1500" s="204"/>
      <c r="D1500" s="204"/>
      <c r="E1500" s="204"/>
      <c r="F1500" s="204"/>
      <c r="G1500" s="204"/>
      <c r="H1500" s="558" t="s">
        <v>1223</v>
      </c>
      <c r="I1500" s="558"/>
      <c r="J1500" s="558"/>
      <c r="K1500" s="222">
        <v>0</v>
      </c>
      <c r="L1500" s="207"/>
    </row>
    <row r="1501" spans="2:12">
      <c r="B1501" s="208"/>
      <c r="C1501" s="204"/>
      <c r="D1501" s="204"/>
      <c r="E1501" s="204"/>
      <c r="F1501" s="204"/>
      <c r="G1501" s="204"/>
      <c r="H1501" s="558" t="s">
        <v>1592</v>
      </c>
      <c r="I1501" s="558"/>
      <c r="J1501" s="558"/>
      <c r="K1501" s="222">
        <f>TRUNC(SUMIF(C1495:C1497,H1501,K1495:K1497),2)</f>
        <v>2.66</v>
      </c>
      <c r="L1501" s="207"/>
    </row>
    <row r="1502" spans="2:12">
      <c r="B1502" s="213"/>
      <c r="C1502" s="214"/>
      <c r="D1502" s="214"/>
      <c r="E1502" s="214"/>
      <c r="F1502" s="214"/>
      <c r="G1502" s="214"/>
      <c r="H1502" s="566" t="s">
        <v>1224</v>
      </c>
      <c r="I1502" s="566"/>
      <c r="J1502" s="566"/>
      <c r="K1502" s="223">
        <f>IF(K1498&gt;K1499,K1498-K1499,0)</f>
        <v>0</v>
      </c>
      <c r="L1502" s="209"/>
    </row>
    <row r="1504" spans="2:12">
      <c r="B1504" s="247" t="s">
        <v>263</v>
      </c>
      <c r="C1504" s="565" t="str">
        <f>VLOOKUP(B1504,'BM 004'!$B$27:$R$590,2,0)</f>
        <v xml:space="preserve">ALVENARIA DE VEDAÇÃO DE BLOCOS CERÂMICOS FURADOS NA HORIZONTAL DE 9X19X19CM (ESPESSURA 9CM) DE PAREDES COM ÁREA LÍQUIDA MAIOR OU IGUAL A 6M² COM VÃOS E ARGAMASSA DE ASSENTAMENTO COM PREPARO EM BETONEIRA. </v>
      </c>
      <c r="D1504" s="565"/>
      <c r="E1504" s="565"/>
      <c r="F1504" s="565"/>
      <c r="G1504" s="565"/>
      <c r="H1504" s="565"/>
      <c r="I1504" s="565"/>
      <c r="J1504" s="565"/>
      <c r="K1504" s="565"/>
      <c r="L1504" s="565"/>
    </row>
    <row r="1505" spans="2:12">
      <c r="B1505" s="248" t="s">
        <v>1209</v>
      </c>
      <c r="C1505" s="248"/>
      <c r="D1505" s="248" t="s">
        <v>39</v>
      </c>
      <c r="E1505" s="248" t="s">
        <v>1210</v>
      </c>
      <c r="F1505" s="248" t="s">
        <v>1388</v>
      </c>
      <c r="G1505" s="248" t="s">
        <v>1212</v>
      </c>
      <c r="H1505" s="248" t="s">
        <v>1213</v>
      </c>
      <c r="I1505" s="248" t="s">
        <v>1214</v>
      </c>
      <c r="J1505" s="248" t="s">
        <v>1385</v>
      </c>
      <c r="K1505" s="248" t="s">
        <v>1216</v>
      </c>
      <c r="L1505" s="248" t="s">
        <v>1217</v>
      </c>
    </row>
    <row r="1506" spans="2:12">
      <c r="B1506" s="256" t="s">
        <v>1722</v>
      </c>
      <c r="C1506" s="250" t="s">
        <v>1612</v>
      </c>
      <c r="D1506" s="205" t="s">
        <v>79</v>
      </c>
      <c r="E1506" s="261">
        <v>26.18</v>
      </c>
      <c r="F1506" s="261"/>
      <c r="G1506" s="261">
        <v>1.8</v>
      </c>
      <c r="H1506" s="261">
        <v>1</v>
      </c>
      <c r="I1506" s="261"/>
      <c r="J1506" s="275"/>
      <c r="K1506" s="260">
        <f t="shared" ref="K1506:K1522" si="52">IF(E1506*F1506*G1506&lt;&gt;0,E1506*F1506*G1506,IF(E1506*F1506&lt;&gt;0,E1506*F1506,IF(F1506*G1506&lt;&gt;0,F1506*G1506,IF(E1506*G1506&lt;&gt;0,E1506*G1506,IF(E1506&lt;&gt;0,E1506,IF(F1506&lt;&gt;0,F1506,IF(G1506&lt;&gt;0,G1506,0)))))))*(IF(H1506&lt;&gt;0,H1506,1))+I1506-J1506</f>
        <v>47.124000000000002</v>
      </c>
      <c r="L1506" s="266"/>
    </row>
    <row r="1507" spans="2:12">
      <c r="B1507" s="256" t="s">
        <v>1725</v>
      </c>
      <c r="C1507" s="250" t="s">
        <v>1612</v>
      </c>
      <c r="D1507" s="205" t="s">
        <v>79</v>
      </c>
      <c r="E1507" s="261">
        <v>4.1500000000000004</v>
      </c>
      <c r="F1507" s="261"/>
      <c r="G1507" s="261">
        <v>1.8</v>
      </c>
      <c r="H1507" s="261">
        <v>2</v>
      </c>
      <c r="I1507" s="261"/>
      <c r="J1507" s="275"/>
      <c r="K1507" s="260">
        <f t="shared" si="52"/>
        <v>14.940000000000001</v>
      </c>
      <c r="L1507" s="266"/>
    </row>
    <row r="1508" spans="2:12">
      <c r="B1508" s="256" t="s">
        <v>1725</v>
      </c>
      <c r="C1508" s="250" t="s">
        <v>1612</v>
      </c>
      <c r="D1508" s="205" t="s">
        <v>79</v>
      </c>
      <c r="E1508" s="261">
        <v>3.08</v>
      </c>
      <c r="F1508" s="261"/>
      <c r="G1508" s="261">
        <v>1.8</v>
      </c>
      <c r="H1508" s="261">
        <v>2</v>
      </c>
      <c r="I1508" s="261"/>
      <c r="J1508" s="275"/>
      <c r="K1508" s="260">
        <f t="shared" si="52"/>
        <v>11.088000000000001</v>
      </c>
      <c r="L1508" s="266"/>
    </row>
    <row r="1509" spans="2:12">
      <c r="B1509" s="256" t="s">
        <v>1726</v>
      </c>
      <c r="C1509" s="250" t="s">
        <v>1612</v>
      </c>
      <c r="D1509" s="205" t="s">
        <v>79</v>
      </c>
      <c r="E1509" s="261">
        <v>1.84</v>
      </c>
      <c r="F1509" s="261"/>
      <c r="G1509" s="261">
        <v>1.8</v>
      </c>
      <c r="H1509" s="261">
        <v>2</v>
      </c>
      <c r="I1509" s="261"/>
      <c r="J1509" s="275"/>
      <c r="K1509" s="260">
        <f t="shared" si="52"/>
        <v>6.6240000000000006</v>
      </c>
      <c r="L1509" s="266"/>
    </row>
    <row r="1510" spans="2:12">
      <c r="B1510" s="256" t="s">
        <v>1726</v>
      </c>
      <c r="C1510" s="250" t="s">
        <v>1612</v>
      </c>
      <c r="D1510" s="205" t="s">
        <v>79</v>
      </c>
      <c r="E1510" s="261">
        <v>2.15</v>
      </c>
      <c r="F1510" s="261"/>
      <c r="G1510" s="261">
        <v>1.8</v>
      </c>
      <c r="H1510" s="261">
        <v>2</v>
      </c>
      <c r="I1510" s="261"/>
      <c r="J1510" s="275"/>
      <c r="K1510" s="260">
        <f t="shared" si="52"/>
        <v>7.74</v>
      </c>
      <c r="L1510" s="266"/>
    </row>
    <row r="1511" spans="2:12">
      <c r="B1511" s="256" t="s">
        <v>1727</v>
      </c>
      <c r="C1511" s="250" t="s">
        <v>1612</v>
      </c>
      <c r="D1511" s="205" t="s">
        <v>79</v>
      </c>
      <c r="E1511" s="261">
        <v>4.1500000000000004</v>
      </c>
      <c r="F1511" s="261"/>
      <c r="G1511" s="261">
        <v>1.8</v>
      </c>
      <c r="H1511" s="261">
        <v>1</v>
      </c>
      <c r="I1511" s="261"/>
      <c r="J1511" s="275"/>
      <c r="K1511" s="260">
        <f t="shared" si="52"/>
        <v>7.4700000000000006</v>
      </c>
      <c r="L1511" s="266"/>
    </row>
    <row r="1512" spans="2:12">
      <c r="B1512" s="256" t="s">
        <v>1727</v>
      </c>
      <c r="C1512" s="250" t="s">
        <v>1612</v>
      </c>
      <c r="D1512" s="205" t="s">
        <v>79</v>
      </c>
      <c r="E1512" s="261">
        <v>3.25</v>
      </c>
      <c r="F1512" s="261"/>
      <c r="G1512" s="261">
        <v>1.8</v>
      </c>
      <c r="H1512" s="261">
        <v>1</v>
      </c>
      <c r="I1512" s="261"/>
      <c r="J1512" s="275"/>
      <c r="K1512" s="260">
        <f t="shared" si="52"/>
        <v>5.8500000000000005</v>
      </c>
      <c r="L1512" s="266"/>
    </row>
    <row r="1513" spans="2:12">
      <c r="B1513" s="256" t="s">
        <v>1728</v>
      </c>
      <c r="C1513" s="250" t="s">
        <v>1612</v>
      </c>
      <c r="D1513" s="205" t="s">
        <v>79</v>
      </c>
      <c r="E1513" s="261">
        <v>4.1500000000000004</v>
      </c>
      <c r="F1513" s="261"/>
      <c r="G1513" s="261">
        <v>1.8</v>
      </c>
      <c r="H1513" s="261">
        <v>1</v>
      </c>
      <c r="I1513" s="261"/>
      <c r="J1513" s="275"/>
      <c r="K1513" s="260">
        <f t="shared" si="52"/>
        <v>7.4700000000000006</v>
      </c>
      <c r="L1513" s="266"/>
    </row>
    <row r="1514" spans="2:12">
      <c r="B1514" s="256" t="s">
        <v>1728</v>
      </c>
      <c r="C1514" s="250" t="s">
        <v>1612</v>
      </c>
      <c r="D1514" s="205" t="s">
        <v>79</v>
      </c>
      <c r="E1514" s="261">
        <v>3.25</v>
      </c>
      <c r="F1514" s="261"/>
      <c r="G1514" s="261">
        <v>1.8</v>
      </c>
      <c r="H1514" s="261">
        <v>1</v>
      </c>
      <c r="I1514" s="261"/>
      <c r="J1514" s="275"/>
      <c r="K1514" s="260">
        <f t="shared" si="52"/>
        <v>5.8500000000000005</v>
      </c>
      <c r="L1514" s="266"/>
    </row>
    <row r="1515" spans="2:12">
      <c r="B1515" s="256" t="s">
        <v>1729</v>
      </c>
      <c r="C1515" s="250" t="s">
        <v>1612</v>
      </c>
      <c r="D1515" s="205" t="s">
        <v>79</v>
      </c>
      <c r="E1515" s="261">
        <v>1.79</v>
      </c>
      <c r="F1515" s="261"/>
      <c r="G1515" s="261">
        <v>1.8</v>
      </c>
      <c r="H1515" s="261">
        <v>2</v>
      </c>
      <c r="I1515" s="261"/>
      <c r="J1515" s="275"/>
      <c r="K1515" s="260">
        <f t="shared" si="52"/>
        <v>6.444</v>
      </c>
      <c r="L1515" s="266"/>
    </row>
    <row r="1516" spans="2:12">
      <c r="B1516" s="256" t="s">
        <v>1729</v>
      </c>
      <c r="C1516" s="250" t="s">
        <v>1612</v>
      </c>
      <c r="D1516" s="205" t="s">
        <v>79</v>
      </c>
      <c r="E1516" s="261">
        <v>2.15</v>
      </c>
      <c r="F1516" s="261"/>
      <c r="G1516" s="261">
        <v>1.8</v>
      </c>
      <c r="H1516" s="261">
        <v>2</v>
      </c>
      <c r="I1516" s="261"/>
      <c r="J1516" s="275"/>
      <c r="K1516" s="260">
        <f t="shared" si="52"/>
        <v>7.74</v>
      </c>
      <c r="L1516" s="266"/>
    </row>
    <row r="1517" spans="2:12">
      <c r="B1517" s="256" t="s">
        <v>1730</v>
      </c>
      <c r="C1517" s="250" t="s">
        <v>1612</v>
      </c>
      <c r="D1517" s="205" t="s">
        <v>79</v>
      </c>
      <c r="E1517" s="261">
        <v>4.1500000000000004</v>
      </c>
      <c r="F1517" s="261"/>
      <c r="G1517" s="261">
        <v>1.8</v>
      </c>
      <c r="H1517" s="261">
        <v>2</v>
      </c>
      <c r="I1517" s="261"/>
      <c r="J1517" s="275"/>
      <c r="K1517" s="260">
        <f t="shared" si="52"/>
        <v>14.940000000000001</v>
      </c>
      <c r="L1517" s="266"/>
    </row>
    <row r="1518" spans="2:12">
      <c r="B1518" s="256" t="s">
        <v>1730</v>
      </c>
      <c r="C1518" s="250" t="s">
        <v>1612</v>
      </c>
      <c r="D1518" s="205" t="s">
        <v>79</v>
      </c>
      <c r="E1518" s="261">
        <v>3.43</v>
      </c>
      <c r="F1518" s="261"/>
      <c r="G1518" s="261">
        <v>1.8</v>
      </c>
      <c r="H1518" s="261">
        <v>2</v>
      </c>
      <c r="I1518" s="261"/>
      <c r="J1518" s="275"/>
      <c r="K1518" s="260">
        <f t="shared" si="52"/>
        <v>12.348000000000001</v>
      </c>
      <c r="L1518" s="266"/>
    </row>
    <row r="1519" spans="2:12">
      <c r="B1519" s="256" t="s">
        <v>1731</v>
      </c>
      <c r="C1519" s="250" t="s">
        <v>1612</v>
      </c>
      <c r="D1519" s="205" t="s">
        <v>79</v>
      </c>
      <c r="E1519" s="261">
        <v>8.31</v>
      </c>
      <c r="F1519" s="261"/>
      <c r="G1519" s="261">
        <v>1.8</v>
      </c>
      <c r="H1519" s="261">
        <v>1</v>
      </c>
      <c r="I1519" s="261"/>
      <c r="J1519" s="275"/>
      <c r="K1519" s="260">
        <f t="shared" si="52"/>
        <v>14.958000000000002</v>
      </c>
      <c r="L1519" s="266"/>
    </row>
    <row r="1520" spans="2:12">
      <c r="B1520" s="256" t="s">
        <v>1731</v>
      </c>
      <c r="C1520" s="250" t="s">
        <v>1612</v>
      </c>
      <c r="D1520" s="205" t="s">
        <v>79</v>
      </c>
      <c r="E1520" s="261">
        <v>6.03</v>
      </c>
      <c r="F1520" s="261"/>
      <c r="G1520" s="261">
        <v>1.8</v>
      </c>
      <c r="H1520" s="261">
        <v>1</v>
      </c>
      <c r="I1520" s="261"/>
      <c r="J1520" s="275"/>
      <c r="K1520" s="260">
        <f t="shared" si="52"/>
        <v>10.854000000000001</v>
      </c>
      <c r="L1520" s="266"/>
    </row>
    <row r="1521" spans="2:12">
      <c r="B1521" s="256" t="s">
        <v>1557</v>
      </c>
      <c r="C1521" s="264" t="s">
        <v>1613</v>
      </c>
      <c r="D1521" s="210" t="s">
        <v>79</v>
      </c>
      <c r="E1521" s="261"/>
      <c r="F1521" s="261"/>
      <c r="G1521" s="261"/>
      <c r="H1521" s="261"/>
      <c r="I1521" s="261">
        <v>145</v>
      </c>
      <c r="J1521" s="275"/>
      <c r="K1521" s="260">
        <f t="shared" si="52"/>
        <v>145</v>
      </c>
      <c r="L1521" s="266"/>
    </row>
    <row r="1522" spans="2:12">
      <c r="B1522" s="256"/>
      <c r="C1522" s="210"/>
      <c r="D1522" s="210"/>
      <c r="E1522" s="261"/>
      <c r="F1522" s="261"/>
      <c r="G1522" s="261"/>
      <c r="H1522" s="261"/>
      <c r="I1522" s="261"/>
      <c r="J1522" s="275"/>
      <c r="K1522" s="260">
        <f t="shared" si="52"/>
        <v>0</v>
      </c>
      <c r="L1522" s="210"/>
    </row>
    <row r="1523" spans="2:12">
      <c r="B1523" s="202"/>
      <c r="C1523" s="203"/>
      <c r="D1523" s="203"/>
      <c r="E1523" s="203"/>
      <c r="F1523" s="203"/>
      <c r="G1523" s="203"/>
      <c r="H1523" s="204"/>
      <c r="I1523" s="556" t="s">
        <v>1221</v>
      </c>
      <c r="J1523" s="556"/>
      <c r="K1523" s="220">
        <f>SUM(K1506:K1522)</f>
        <v>326.44000000000005</v>
      </c>
      <c r="L1523" s="207"/>
    </row>
    <row r="1524" spans="2:12">
      <c r="B1524" s="208"/>
      <c r="C1524" s="204"/>
      <c r="D1524" s="204"/>
      <c r="E1524" s="204"/>
      <c r="F1524" s="204"/>
      <c r="G1524" s="204"/>
      <c r="H1524" s="209"/>
      <c r="I1524" s="557" t="s">
        <v>1222</v>
      </c>
      <c r="J1524" s="557"/>
      <c r="K1524" s="221">
        <f>VLOOKUP(B1504,'BM 004'!$B$27:$R$590,4,0)</f>
        <v>15102.2</v>
      </c>
      <c r="L1524" s="246"/>
    </row>
    <row r="1525" spans="2:12">
      <c r="B1525" s="208"/>
      <c r="C1525" s="204"/>
      <c r="D1525" s="204"/>
      <c r="E1525" s="204"/>
      <c r="F1525" s="204"/>
      <c r="G1525" s="204"/>
      <c r="H1525" s="558" t="s">
        <v>1223</v>
      </c>
      <c r="I1525" s="558"/>
      <c r="J1525" s="558"/>
      <c r="K1525" s="222">
        <v>181.44</v>
      </c>
      <c r="L1525" s="207"/>
    </row>
    <row r="1526" spans="2:12">
      <c r="B1526" s="208"/>
      <c r="C1526" s="204"/>
      <c r="D1526" s="204"/>
      <c r="E1526" s="204"/>
      <c r="F1526" s="204"/>
      <c r="G1526" s="204"/>
      <c r="H1526" s="558" t="s">
        <v>1596</v>
      </c>
      <c r="I1526" s="558"/>
      <c r="J1526" s="558"/>
      <c r="K1526" s="222">
        <f>TRUNC(SUMIF(C1506:C1522,H1526,K1506:K1522),2)</f>
        <v>145</v>
      </c>
      <c r="L1526" s="207"/>
    </row>
    <row r="1527" spans="2:12">
      <c r="B1527" s="213"/>
      <c r="C1527" s="214"/>
      <c r="D1527" s="214"/>
      <c r="E1527" s="214"/>
      <c r="F1527" s="214"/>
      <c r="G1527" s="214"/>
      <c r="H1527" s="559" t="s">
        <v>1224</v>
      </c>
      <c r="I1527" s="559"/>
      <c r="J1527" s="559"/>
      <c r="K1527" s="223">
        <f>IF(K1523&gt;K1524,K1523-K1524,0)</f>
        <v>0</v>
      </c>
      <c r="L1527" s="209"/>
    </row>
    <row r="1529" spans="2:12">
      <c r="B1529" s="247" t="s">
        <v>664</v>
      </c>
      <c r="C1529" s="565" t="str">
        <f>VLOOKUP(B1529,'BM 004'!$B$27:$R$590,2,0)</f>
        <v xml:space="preserve">Tubo pvc rígido soldável marrom p/ água, d = 75 mm (2 1/2")	</v>
      </c>
      <c r="D1529" s="565"/>
      <c r="E1529" s="565"/>
      <c r="F1529" s="565"/>
      <c r="G1529" s="565"/>
      <c r="H1529" s="565"/>
      <c r="I1529" s="565"/>
      <c r="J1529" s="565"/>
      <c r="K1529" s="565"/>
      <c r="L1529" s="565"/>
    </row>
    <row r="1530" spans="2:12">
      <c r="B1530" s="248" t="s">
        <v>1209</v>
      </c>
      <c r="C1530" s="248"/>
      <c r="D1530" s="248" t="s">
        <v>39</v>
      </c>
      <c r="E1530" s="248" t="s">
        <v>1210</v>
      </c>
      <c r="F1530" s="248" t="s">
        <v>1388</v>
      </c>
      <c r="G1530" s="248" t="s">
        <v>1212</v>
      </c>
      <c r="H1530" s="248" t="s">
        <v>1213</v>
      </c>
      <c r="I1530" s="248" t="s">
        <v>1214</v>
      </c>
      <c r="J1530" s="248" t="s">
        <v>1385</v>
      </c>
      <c r="K1530" s="248" t="s">
        <v>1216</v>
      </c>
      <c r="L1530" s="248" t="s">
        <v>1217</v>
      </c>
    </row>
    <row r="1531" spans="2:12">
      <c r="B1531" s="256" t="s">
        <v>1575</v>
      </c>
      <c r="C1531" s="250" t="s">
        <v>1521</v>
      </c>
      <c r="D1531" s="205" t="s">
        <v>82</v>
      </c>
      <c r="E1531" s="257">
        <v>30</v>
      </c>
      <c r="F1531" s="258"/>
      <c r="G1531" s="257"/>
      <c r="H1531" s="257"/>
      <c r="I1531" s="257"/>
      <c r="J1531" s="259"/>
      <c r="K1531" s="260">
        <f>IF(E1531*F1531*G1531&lt;&gt;0,E1531*F1531*G1531,IF(E1531*F1531&lt;&gt;0,E1531*F1531,IF(F1531*G1531&lt;&gt;0,F1531*G1531,IF(E1531*G1531&lt;&gt;0,E1531*G1531,IF(E1531&lt;&gt;0,E1531,IF(F1531&lt;&gt;0,F1531,IF(G1531&lt;&gt;0,G1531,0)))))))*(IF(H1531&lt;&gt;0,H1531,1))+I1531-J1531</f>
        <v>30</v>
      </c>
      <c r="L1531" s="266"/>
    </row>
    <row r="1532" spans="2:12">
      <c r="B1532" s="256"/>
      <c r="C1532" s="210"/>
      <c r="D1532" s="210"/>
      <c r="E1532" s="257"/>
      <c r="F1532" s="258"/>
      <c r="G1532" s="257"/>
      <c r="H1532" s="257"/>
      <c r="I1532" s="257"/>
      <c r="J1532" s="259"/>
      <c r="K1532" s="260">
        <f>IF(E1532*F1532*G1532&lt;&gt;0,E1532*F1532*G1532,IF(E1532*F1532&lt;&gt;0,E1532*F1532,IF(F1532*G1532&lt;&gt;0,F1532*G1532,IF(E1532*G1532&lt;&gt;0,E1532*G1532,IF(E1532&lt;&gt;0,E1532,IF(F1532&lt;&gt;0,F1532,IF(G1532&lt;&gt;0,G1532,0)))))))*(IF(H1532&lt;&gt;0,H1532,1))+I1532-J1532</f>
        <v>0</v>
      </c>
      <c r="L1532" s="210"/>
    </row>
    <row r="1533" spans="2:12">
      <c r="B1533" s="202"/>
      <c r="C1533" s="203"/>
      <c r="D1533" s="203"/>
      <c r="E1533" s="203"/>
      <c r="F1533" s="203"/>
      <c r="G1533" s="203"/>
      <c r="H1533" s="204"/>
      <c r="I1533" s="556" t="s">
        <v>1221</v>
      </c>
      <c r="J1533" s="556"/>
      <c r="K1533" s="220">
        <f>SUM(K1531:K1532)</f>
        <v>30</v>
      </c>
      <c r="L1533" s="207"/>
    </row>
    <row r="1534" spans="2:12">
      <c r="B1534" s="208"/>
      <c r="C1534" s="204"/>
      <c r="D1534" s="204"/>
      <c r="E1534" s="204"/>
      <c r="F1534" s="204"/>
      <c r="G1534" s="204"/>
      <c r="H1534" s="209"/>
      <c r="I1534" s="557" t="s">
        <v>1222</v>
      </c>
      <c r="J1534" s="557"/>
      <c r="K1534" s="221">
        <f>VLOOKUP(B1529,'BM 004'!$B$27:$R$590,4,0)</f>
        <v>162.16999999999999</v>
      </c>
      <c r="L1534" s="246"/>
    </row>
    <row r="1535" spans="2:12">
      <c r="B1535" s="208"/>
      <c r="C1535" s="204"/>
      <c r="D1535" s="204"/>
      <c r="E1535" s="204"/>
      <c r="F1535" s="204"/>
      <c r="G1535" s="204"/>
      <c r="H1535" s="558" t="s">
        <v>1223</v>
      </c>
      <c r="I1535" s="558"/>
      <c r="J1535" s="558"/>
      <c r="K1535" s="222">
        <v>0</v>
      </c>
      <c r="L1535" s="207"/>
    </row>
    <row r="1536" spans="2:12">
      <c r="B1536" s="208"/>
      <c r="C1536" s="204"/>
      <c r="D1536" s="204"/>
      <c r="E1536" s="204"/>
      <c r="F1536" s="204"/>
      <c r="G1536" s="204"/>
      <c r="H1536" s="558" t="s">
        <v>1435</v>
      </c>
      <c r="I1536" s="558"/>
      <c r="J1536" s="558"/>
      <c r="K1536" s="222">
        <f>TRUNC(SUMIF(C1531:C1532,H1536,K1531:K1532),2)</f>
        <v>30</v>
      </c>
      <c r="L1536" s="207"/>
    </row>
    <row r="1537" spans="2:12">
      <c r="B1537" s="213"/>
      <c r="C1537" s="214"/>
      <c r="D1537" s="214"/>
      <c r="E1537" s="214"/>
      <c r="F1537" s="214"/>
      <c r="G1537" s="214"/>
      <c r="H1537" s="559" t="s">
        <v>1224</v>
      </c>
      <c r="I1537" s="559"/>
      <c r="J1537" s="559"/>
      <c r="K1537" s="223">
        <f>IF(K1533&gt;K1534,K1533-K1534,0)</f>
        <v>0</v>
      </c>
      <c r="L1537" s="209"/>
    </row>
    <row r="1539" spans="2:12">
      <c r="B1539" s="247" t="s">
        <v>346</v>
      </c>
      <c r="C1539" s="565" t="str">
        <f>VLOOKUP(B1539,'BM 004'!$B$27:$R$590,2,0)</f>
        <v xml:space="preserve">IMPERMEABILIZAÇÃO DE SUPERFÍCIE ENTERRADA COM EMULSÃO ASFÁLTICA, 2 DEMÃOS </v>
      </c>
      <c r="D1539" s="565"/>
      <c r="E1539" s="565"/>
      <c r="F1539" s="565"/>
      <c r="G1539" s="565"/>
      <c r="H1539" s="565"/>
      <c r="I1539" s="565"/>
      <c r="J1539" s="565"/>
      <c r="K1539" s="565"/>
      <c r="L1539" s="565"/>
    </row>
    <row r="1540" spans="2:12">
      <c r="B1540" s="248" t="s">
        <v>1209</v>
      </c>
      <c r="C1540" s="248"/>
      <c r="D1540" s="248" t="s">
        <v>39</v>
      </c>
      <c r="E1540" s="248" t="s">
        <v>1210</v>
      </c>
      <c r="F1540" s="248" t="s">
        <v>1388</v>
      </c>
      <c r="G1540" s="248" t="s">
        <v>1212</v>
      </c>
      <c r="H1540" s="248" t="s">
        <v>1213</v>
      </c>
      <c r="I1540" s="248" t="s">
        <v>1214</v>
      </c>
      <c r="J1540" s="248" t="s">
        <v>1385</v>
      </c>
      <c r="K1540" s="248" t="s">
        <v>1216</v>
      </c>
      <c r="L1540" s="248" t="s">
        <v>1217</v>
      </c>
    </row>
    <row r="1541" spans="2:12">
      <c r="B1541" s="256" t="s">
        <v>1732</v>
      </c>
      <c r="C1541" s="250" t="s">
        <v>1613</v>
      </c>
      <c r="D1541" s="205" t="s">
        <v>1335</v>
      </c>
      <c r="E1541" s="257">
        <v>48</v>
      </c>
      <c r="F1541" s="261">
        <f>0.2+0.8+0.2</f>
        <v>1.2</v>
      </c>
      <c r="G1541" s="261"/>
      <c r="H1541" s="261"/>
      <c r="I1541" s="261"/>
      <c r="J1541" s="275"/>
      <c r="K1541" s="260">
        <f>IF(E1541*F1541*G1541&lt;&gt;0,E1541*F1541*G1541,IF(E1541*F1541&lt;&gt;0,E1541*F1541,IF(F1541*G1541&lt;&gt;0,F1541*G1541,IF(E1541*G1541&lt;&gt;0,E1541*G1541,IF(E1541&lt;&gt;0,E1541,IF(F1541&lt;&gt;0,F1541,IF(G1541&lt;&gt;0,G1541,0)))))))*(IF(H1541&lt;&gt;0,H1541,1))+I1541-J1541</f>
        <v>57.599999999999994</v>
      </c>
      <c r="L1541" s="266"/>
    </row>
    <row r="1542" spans="2:12">
      <c r="B1542" s="256"/>
      <c r="C1542" s="210"/>
      <c r="D1542" s="210"/>
      <c r="E1542" s="257"/>
      <c r="F1542" s="261"/>
      <c r="G1542" s="261"/>
      <c r="H1542" s="261"/>
      <c r="I1542" s="261"/>
      <c r="J1542" s="275"/>
      <c r="K1542" s="260">
        <f>IF(E1542*F1542*G1542&lt;&gt;0,E1542*F1542*G1542,IF(E1542*F1542&lt;&gt;0,E1542*F1542,IF(F1542*G1542&lt;&gt;0,F1542*G1542,IF(E1542*G1542&lt;&gt;0,E1542*G1542,IF(E1542&lt;&gt;0,E1542,IF(F1542&lt;&gt;0,F1542,IF(G1542&lt;&gt;0,G1542,0)))))))*(IF(H1542&lt;&gt;0,H1542,1))+I1542-J1542</f>
        <v>0</v>
      </c>
      <c r="L1542" s="210"/>
    </row>
    <row r="1543" spans="2:12">
      <c r="B1543" s="202"/>
      <c r="C1543" s="203"/>
      <c r="D1543" s="203"/>
      <c r="E1543" s="203"/>
      <c r="F1543" s="203"/>
      <c r="G1543" s="203"/>
      <c r="H1543" s="204"/>
      <c r="I1543" s="556" t="s">
        <v>1221</v>
      </c>
      <c r="J1543" s="556"/>
      <c r="K1543" s="220">
        <f>SUM(K1541:K1542)</f>
        <v>57.599999999999994</v>
      </c>
      <c r="L1543" s="207"/>
    </row>
    <row r="1544" spans="2:12">
      <c r="B1544" s="208"/>
      <c r="C1544" s="204"/>
      <c r="D1544" s="204"/>
      <c r="E1544" s="204"/>
      <c r="F1544" s="204"/>
      <c r="G1544" s="204"/>
      <c r="H1544" s="209"/>
      <c r="I1544" s="557" t="s">
        <v>1222</v>
      </c>
      <c r="J1544" s="557"/>
      <c r="K1544" s="221">
        <f>VLOOKUP(B1539,'BM 004'!$B$27:$R$590,4,0)</f>
        <v>880</v>
      </c>
      <c r="L1544" s="246"/>
    </row>
    <row r="1545" spans="2:12">
      <c r="B1545" s="208"/>
      <c r="C1545" s="204"/>
      <c r="D1545" s="204"/>
      <c r="E1545" s="204"/>
      <c r="F1545" s="204"/>
      <c r="G1545" s="204"/>
      <c r="H1545" s="558" t="s">
        <v>1223</v>
      </c>
      <c r="I1545" s="558"/>
      <c r="J1545" s="558"/>
      <c r="K1545" s="222">
        <v>0</v>
      </c>
      <c r="L1545" s="207"/>
    </row>
    <row r="1546" spans="2:12">
      <c r="B1546" s="208"/>
      <c r="C1546" s="204"/>
      <c r="D1546" s="204"/>
      <c r="E1546" s="204"/>
      <c r="F1546" s="204"/>
      <c r="G1546" s="204"/>
      <c r="H1546" s="558" t="s">
        <v>1596</v>
      </c>
      <c r="I1546" s="558"/>
      <c r="J1546" s="558"/>
      <c r="K1546" s="222">
        <f>TRUNC(SUMIF(C1541:C1542,H1546,K1541:K1542),2)</f>
        <v>57.6</v>
      </c>
      <c r="L1546" s="207"/>
    </row>
    <row r="1547" spans="2:12">
      <c r="B1547" s="213"/>
      <c r="C1547" s="214"/>
      <c r="D1547" s="214"/>
      <c r="E1547" s="214"/>
      <c r="F1547" s="214"/>
      <c r="G1547" s="214"/>
      <c r="H1547" s="559" t="s">
        <v>1224</v>
      </c>
      <c r="I1547" s="559"/>
      <c r="J1547" s="559"/>
      <c r="K1547" s="223">
        <f>IF(K1543&gt;K1544,K1543-K1544,0)</f>
        <v>0</v>
      </c>
      <c r="L1547" s="209"/>
    </row>
  </sheetData>
  <mergeCells count="382">
    <mergeCell ref="I1544:J1544"/>
    <mergeCell ref="H1545:J1545"/>
    <mergeCell ref="H1546:J1546"/>
    <mergeCell ref="H1547:J1547"/>
    <mergeCell ref="H1527:J1527"/>
    <mergeCell ref="C1529:L1529"/>
    <mergeCell ref="I1533:J1533"/>
    <mergeCell ref="I1534:J1534"/>
    <mergeCell ref="H1535:J1535"/>
    <mergeCell ref="H1536:J1536"/>
    <mergeCell ref="H1537:J1537"/>
    <mergeCell ref="C1539:L1539"/>
    <mergeCell ref="I1543:J1543"/>
    <mergeCell ref="I1499:J1499"/>
    <mergeCell ref="H1500:J1500"/>
    <mergeCell ref="H1501:J1501"/>
    <mergeCell ref="H1502:J1502"/>
    <mergeCell ref="C1504:L1504"/>
    <mergeCell ref="I1523:J1523"/>
    <mergeCell ref="I1524:J1524"/>
    <mergeCell ref="H1525:J1525"/>
    <mergeCell ref="H1526:J1526"/>
    <mergeCell ref="H1413:J1413"/>
    <mergeCell ref="C1415:L1415"/>
    <mergeCell ref="I1487:J1487"/>
    <mergeCell ref="I1488:J1488"/>
    <mergeCell ref="H1489:J1489"/>
    <mergeCell ref="H1490:J1490"/>
    <mergeCell ref="H1491:J1491"/>
    <mergeCell ref="C1493:L1493"/>
    <mergeCell ref="I1498:J1498"/>
    <mergeCell ref="I1387:J1387"/>
    <mergeCell ref="H1388:J1388"/>
    <mergeCell ref="H1389:J1389"/>
    <mergeCell ref="H1390:J1390"/>
    <mergeCell ref="C1392:L1392"/>
    <mergeCell ref="I1409:J1409"/>
    <mergeCell ref="I1410:J1410"/>
    <mergeCell ref="H1411:J1411"/>
    <mergeCell ref="H1412:J1412"/>
    <mergeCell ref="H1351:J1351"/>
    <mergeCell ref="C1353:L1353"/>
    <mergeCell ref="I1362:J1362"/>
    <mergeCell ref="I1363:J1363"/>
    <mergeCell ref="H1364:J1364"/>
    <mergeCell ref="H1365:J1365"/>
    <mergeCell ref="H1366:J1366"/>
    <mergeCell ref="C1368:L1368"/>
    <mergeCell ref="I1386:J1386"/>
    <mergeCell ref="I1326:J1326"/>
    <mergeCell ref="H1327:J1327"/>
    <mergeCell ref="H1328:J1328"/>
    <mergeCell ref="H1329:J1329"/>
    <mergeCell ref="C1331:L1331"/>
    <mergeCell ref="I1347:J1347"/>
    <mergeCell ref="I1348:J1348"/>
    <mergeCell ref="H1349:J1349"/>
    <mergeCell ref="H1350:J1350"/>
    <mergeCell ref="H1292:J1292"/>
    <mergeCell ref="C1294:L1294"/>
    <mergeCell ref="I1303:J1303"/>
    <mergeCell ref="I1304:J1304"/>
    <mergeCell ref="H1305:J1305"/>
    <mergeCell ref="H1306:J1306"/>
    <mergeCell ref="H1307:J1307"/>
    <mergeCell ref="C1309:L1309"/>
    <mergeCell ref="I1325:J1325"/>
    <mergeCell ref="I1270:J1270"/>
    <mergeCell ref="H1271:J1271"/>
    <mergeCell ref="H1272:J1272"/>
    <mergeCell ref="H1273:J1273"/>
    <mergeCell ref="C1275:L1275"/>
    <mergeCell ref="I1288:J1288"/>
    <mergeCell ref="I1289:J1289"/>
    <mergeCell ref="H1290:J1290"/>
    <mergeCell ref="H1291:J1291"/>
    <mergeCell ref="H1033:J1033"/>
    <mergeCell ref="C1035:L1035"/>
    <mergeCell ref="I1045:J1045"/>
    <mergeCell ref="I1046:J1046"/>
    <mergeCell ref="H1047:J1047"/>
    <mergeCell ref="H1048:J1048"/>
    <mergeCell ref="H1049:J1049"/>
    <mergeCell ref="C1051:L1051"/>
    <mergeCell ref="I1269:J1269"/>
    <mergeCell ref="I1015:J1015"/>
    <mergeCell ref="H1016:J1016"/>
    <mergeCell ref="H1017:J1017"/>
    <mergeCell ref="H1018:J1018"/>
    <mergeCell ref="C1020:L1020"/>
    <mergeCell ref="I1029:J1029"/>
    <mergeCell ref="I1030:J1030"/>
    <mergeCell ref="H1031:J1031"/>
    <mergeCell ref="H1032:J1032"/>
    <mergeCell ref="H986:J986"/>
    <mergeCell ref="C988:L988"/>
    <mergeCell ref="I997:J997"/>
    <mergeCell ref="I998:J998"/>
    <mergeCell ref="H999:J999"/>
    <mergeCell ref="H1000:J1000"/>
    <mergeCell ref="H1001:J1001"/>
    <mergeCell ref="C1003:L1003"/>
    <mergeCell ref="I1014:J1014"/>
    <mergeCell ref="I966:J966"/>
    <mergeCell ref="H967:J967"/>
    <mergeCell ref="H968:J968"/>
    <mergeCell ref="H969:J969"/>
    <mergeCell ref="C971:L971"/>
    <mergeCell ref="I982:J982"/>
    <mergeCell ref="I983:J983"/>
    <mergeCell ref="H984:J984"/>
    <mergeCell ref="H985:J985"/>
    <mergeCell ref="H934:J934"/>
    <mergeCell ref="C936:L936"/>
    <mergeCell ref="I947:J947"/>
    <mergeCell ref="I948:J948"/>
    <mergeCell ref="H949:J949"/>
    <mergeCell ref="H950:J950"/>
    <mergeCell ref="H951:J951"/>
    <mergeCell ref="C953:L953"/>
    <mergeCell ref="I965:J965"/>
    <mergeCell ref="I914:J914"/>
    <mergeCell ref="H915:J915"/>
    <mergeCell ref="H916:J916"/>
    <mergeCell ref="H917:J917"/>
    <mergeCell ref="C919:L919"/>
    <mergeCell ref="I930:J930"/>
    <mergeCell ref="I931:J931"/>
    <mergeCell ref="H932:J932"/>
    <mergeCell ref="H933:J933"/>
    <mergeCell ref="H751:J751"/>
    <mergeCell ref="C753:L753"/>
    <mergeCell ref="I770:J770"/>
    <mergeCell ref="I771:J771"/>
    <mergeCell ref="H772:J772"/>
    <mergeCell ref="H773:J773"/>
    <mergeCell ref="H774:J774"/>
    <mergeCell ref="C776:L776"/>
    <mergeCell ref="I913:J913"/>
    <mergeCell ref="I725:J725"/>
    <mergeCell ref="H726:J726"/>
    <mergeCell ref="H727:J727"/>
    <mergeCell ref="H728:J728"/>
    <mergeCell ref="C730:L730"/>
    <mergeCell ref="I747:J747"/>
    <mergeCell ref="I748:J748"/>
    <mergeCell ref="H749:J749"/>
    <mergeCell ref="H750:J750"/>
    <mergeCell ref="H682:J682"/>
    <mergeCell ref="C684:L684"/>
    <mergeCell ref="I702:J702"/>
    <mergeCell ref="I703:J703"/>
    <mergeCell ref="H704:J704"/>
    <mergeCell ref="H705:J705"/>
    <mergeCell ref="H706:J706"/>
    <mergeCell ref="C708:L708"/>
    <mergeCell ref="I724:J724"/>
    <mergeCell ref="I657:J657"/>
    <mergeCell ref="H658:J658"/>
    <mergeCell ref="H659:J659"/>
    <mergeCell ref="H660:J660"/>
    <mergeCell ref="C662:L662"/>
    <mergeCell ref="I678:J678"/>
    <mergeCell ref="I679:J679"/>
    <mergeCell ref="H680:J680"/>
    <mergeCell ref="H681:J681"/>
    <mergeCell ref="H615:J615"/>
    <mergeCell ref="C617:L617"/>
    <mergeCell ref="I633:J633"/>
    <mergeCell ref="I634:J634"/>
    <mergeCell ref="H635:J635"/>
    <mergeCell ref="H636:J636"/>
    <mergeCell ref="H637:J637"/>
    <mergeCell ref="C639:L639"/>
    <mergeCell ref="I656:J656"/>
    <mergeCell ref="I591:J591"/>
    <mergeCell ref="H592:J592"/>
    <mergeCell ref="H593:J593"/>
    <mergeCell ref="H594:J594"/>
    <mergeCell ref="C596:L596"/>
    <mergeCell ref="I611:J611"/>
    <mergeCell ref="I612:J612"/>
    <mergeCell ref="H613:J613"/>
    <mergeCell ref="H614:J614"/>
    <mergeCell ref="H456:J456"/>
    <mergeCell ref="B458:L458"/>
    <mergeCell ref="I495:J495"/>
    <mergeCell ref="I496:J496"/>
    <mergeCell ref="H497:J497"/>
    <mergeCell ref="H498:J498"/>
    <mergeCell ref="H499:J499"/>
    <mergeCell ref="C501:L501"/>
    <mergeCell ref="I590:J590"/>
    <mergeCell ref="I442:J442"/>
    <mergeCell ref="H443:J443"/>
    <mergeCell ref="H444:J444"/>
    <mergeCell ref="H445:J445"/>
    <mergeCell ref="B447:L447"/>
    <mergeCell ref="I452:J452"/>
    <mergeCell ref="I453:J453"/>
    <mergeCell ref="H454:J454"/>
    <mergeCell ref="H455:J455"/>
    <mergeCell ref="H423:J423"/>
    <mergeCell ref="B425:L425"/>
    <mergeCell ref="I430:J430"/>
    <mergeCell ref="I431:J431"/>
    <mergeCell ref="H432:J432"/>
    <mergeCell ref="H433:J433"/>
    <mergeCell ref="H434:J434"/>
    <mergeCell ref="B436:L436"/>
    <mergeCell ref="I441:J441"/>
    <mergeCell ref="I409:J409"/>
    <mergeCell ref="H410:J410"/>
    <mergeCell ref="H411:J411"/>
    <mergeCell ref="H412:J412"/>
    <mergeCell ref="B414:L414"/>
    <mergeCell ref="I419:J419"/>
    <mergeCell ref="I420:J420"/>
    <mergeCell ref="H421:J421"/>
    <mergeCell ref="H422:J422"/>
    <mergeCell ref="H389:J389"/>
    <mergeCell ref="B391:L391"/>
    <mergeCell ref="I397:J397"/>
    <mergeCell ref="I398:J398"/>
    <mergeCell ref="H399:J399"/>
    <mergeCell ref="H400:J400"/>
    <mergeCell ref="H401:J401"/>
    <mergeCell ref="B403:L403"/>
    <mergeCell ref="I408:J408"/>
    <mergeCell ref="I332:J332"/>
    <mergeCell ref="H333:J333"/>
    <mergeCell ref="H334:J334"/>
    <mergeCell ref="H335:J335"/>
    <mergeCell ref="B337:L337"/>
    <mergeCell ref="I385:J385"/>
    <mergeCell ref="I386:J386"/>
    <mergeCell ref="H387:J387"/>
    <mergeCell ref="H388:J388"/>
    <mergeCell ref="H312:J312"/>
    <mergeCell ref="B314:L314"/>
    <mergeCell ref="I319:J319"/>
    <mergeCell ref="I320:J320"/>
    <mergeCell ref="H321:J321"/>
    <mergeCell ref="H322:J322"/>
    <mergeCell ref="H323:J323"/>
    <mergeCell ref="B325:L325"/>
    <mergeCell ref="I331:J331"/>
    <mergeCell ref="I298:J298"/>
    <mergeCell ref="H299:J299"/>
    <mergeCell ref="H300:J300"/>
    <mergeCell ref="H301:J301"/>
    <mergeCell ref="B303:L303"/>
    <mergeCell ref="I308:J308"/>
    <mergeCell ref="I309:J309"/>
    <mergeCell ref="H310:J310"/>
    <mergeCell ref="H311:J311"/>
    <mergeCell ref="H278:J278"/>
    <mergeCell ref="B280:L280"/>
    <mergeCell ref="I286:J286"/>
    <mergeCell ref="I287:J287"/>
    <mergeCell ref="H288:J288"/>
    <mergeCell ref="H289:J289"/>
    <mergeCell ref="H290:J290"/>
    <mergeCell ref="B292:L292"/>
    <mergeCell ref="I297:J297"/>
    <mergeCell ref="I264:J264"/>
    <mergeCell ref="H265:J265"/>
    <mergeCell ref="H266:J266"/>
    <mergeCell ref="H267:J267"/>
    <mergeCell ref="B269:L269"/>
    <mergeCell ref="I274:J274"/>
    <mergeCell ref="I275:J275"/>
    <mergeCell ref="H276:J276"/>
    <mergeCell ref="H277:J277"/>
    <mergeCell ref="H194:J194"/>
    <mergeCell ref="B196:L196"/>
    <mergeCell ref="I251:J251"/>
    <mergeCell ref="I252:J252"/>
    <mergeCell ref="H253:J253"/>
    <mergeCell ref="H254:J254"/>
    <mergeCell ref="H255:J255"/>
    <mergeCell ref="B257:L257"/>
    <mergeCell ref="I263:J263"/>
    <mergeCell ref="I180:J180"/>
    <mergeCell ref="H181:J181"/>
    <mergeCell ref="H182:J182"/>
    <mergeCell ref="H183:J183"/>
    <mergeCell ref="B185:L185"/>
    <mergeCell ref="I190:J190"/>
    <mergeCell ref="I191:J191"/>
    <mergeCell ref="H192:J192"/>
    <mergeCell ref="H193:J193"/>
    <mergeCell ref="H162:J162"/>
    <mergeCell ref="B164:L164"/>
    <mergeCell ref="I168:J168"/>
    <mergeCell ref="I169:J169"/>
    <mergeCell ref="H170:J170"/>
    <mergeCell ref="H171:J171"/>
    <mergeCell ref="H172:J172"/>
    <mergeCell ref="B174:L174"/>
    <mergeCell ref="I179:J179"/>
    <mergeCell ref="I149:J149"/>
    <mergeCell ref="H150:J150"/>
    <mergeCell ref="H151:J151"/>
    <mergeCell ref="H152:J152"/>
    <mergeCell ref="B154:L154"/>
    <mergeCell ref="I158:J158"/>
    <mergeCell ref="I159:J159"/>
    <mergeCell ref="H160:J160"/>
    <mergeCell ref="H161:J161"/>
    <mergeCell ref="H127:J127"/>
    <mergeCell ref="B129:L129"/>
    <mergeCell ref="I137:J137"/>
    <mergeCell ref="I138:J138"/>
    <mergeCell ref="H139:J139"/>
    <mergeCell ref="H140:J140"/>
    <mergeCell ref="H141:J141"/>
    <mergeCell ref="B143:L143"/>
    <mergeCell ref="I148:J148"/>
    <mergeCell ref="I110:J110"/>
    <mergeCell ref="H111:J111"/>
    <mergeCell ref="H112:J112"/>
    <mergeCell ref="H113:J113"/>
    <mergeCell ref="B115:L115"/>
    <mergeCell ref="I123:J123"/>
    <mergeCell ref="I124:J124"/>
    <mergeCell ref="H125:J125"/>
    <mergeCell ref="H126:J126"/>
    <mergeCell ref="H92:J92"/>
    <mergeCell ref="B94:L94"/>
    <mergeCell ref="I98:J98"/>
    <mergeCell ref="I99:J99"/>
    <mergeCell ref="H100:J100"/>
    <mergeCell ref="H101:J101"/>
    <mergeCell ref="H102:J102"/>
    <mergeCell ref="B104:L104"/>
    <mergeCell ref="I109:J109"/>
    <mergeCell ref="I79:J79"/>
    <mergeCell ref="H80:J80"/>
    <mergeCell ref="H81:J81"/>
    <mergeCell ref="H82:J82"/>
    <mergeCell ref="B84:L84"/>
    <mergeCell ref="I88:J88"/>
    <mergeCell ref="I89:J89"/>
    <mergeCell ref="H90:J90"/>
    <mergeCell ref="H91:J91"/>
    <mergeCell ref="H62:J62"/>
    <mergeCell ref="B64:L64"/>
    <mergeCell ref="I68:J68"/>
    <mergeCell ref="I69:J69"/>
    <mergeCell ref="H70:J70"/>
    <mergeCell ref="H71:J71"/>
    <mergeCell ref="H72:J72"/>
    <mergeCell ref="B74:L74"/>
    <mergeCell ref="I78:J78"/>
    <mergeCell ref="I49:J49"/>
    <mergeCell ref="H50:J50"/>
    <mergeCell ref="H51:J51"/>
    <mergeCell ref="H52:J52"/>
    <mergeCell ref="B54:L54"/>
    <mergeCell ref="I58:J58"/>
    <mergeCell ref="I59:J59"/>
    <mergeCell ref="H60:J60"/>
    <mergeCell ref="H61:J61"/>
    <mergeCell ref="H24:J24"/>
    <mergeCell ref="B26:L26"/>
    <mergeCell ref="I38:J38"/>
    <mergeCell ref="I39:J39"/>
    <mergeCell ref="H40:J40"/>
    <mergeCell ref="H41:J41"/>
    <mergeCell ref="H42:J42"/>
    <mergeCell ref="B44:L44"/>
    <mergeCell ref="I48:J48"/>
    <mergeCell ref="B2:L2"/>
    <mergeCell ref="B3:L3"/>
    <mergeCell ref="B4:L4"/>
    <mergeCell ref="B6:L6"/>
    <mergeCell ref="B8:L8"/>
    <mergeCell ref="I20:J20"/>
    <mergeCell ref="I21:J21"/>
    <mergeCell ref="H22:J22"/>
    <mergeCell ref="H23:J23"/>
  </mergeCells>
  <printOptions horizontalCentered="1"/>
  <pageMargins left="0.51180555555555596" right="0.51180555555555596" top="0.78749999999999998" bottom="0.98402777777777795" header="0.511811023622047" footer="0.511811023622047"/>
  <pageSetup paperSize="9" scale="47" fitToHeight="16"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L1436"/>
  <sheetViews>
    <sheetView view="pageBreakPreview" topLeftCell="A13" zoomScale="75" zoomScaleNormal="80" zoomScalePageLayoutView="75" workbookViewId="0">
      <selection activeCell="I35" sqref="I35"/>
    </sheetView>
  </sheetViews>
  <sheetFormatPr defaultColWidth="8.88671875" defaultRowHeight="14.4"/>
  <cols>
    <col min="1" max="1" width="2.44140625" customWidth="1"/>
    <col min="2" max="2" width="32.88671875" customWidth="1"/>
    <col min="3" max="3" width="13.5546875" customWidth="1"/>
    <col min="4" max="4" width="9.44140625" customWidth="1"/>
    <col min="5" max="5" width="10.109375" customWidth="1"/>
    <col min="6" max="6" width="10.6640625" customWidth="1"/>
    <col min="7" max="8" width="9.44140625" customWidth="1"/>
    <col min="9" max="9" width="14.5546875" customWidth="1"/>
    <col min="10" max="10" width="10.88671875" customWidth="1"/>
    <col min="11" max="11" width="16.88671875" customWidth="1"/>
    <col min="12" max="12" width="25" customWidth="1"/>
    <col min="13" max="13" width="2.5546875" customWidth="1"/>
    <col min="15" max="15" width="10.109375" customWidth="1"/>
  </cols>
  <sheetData>
    <row r="1" spans="2:12" ht="6" customHeight="1"/>
    <row r="2" spans="2:12" ht="29.25" customHeight="1">
      <c r="B2" s="551"/>
      <c r="C2" s="551"/>
      <c r="D2" s="551"/>
      <c r="E2" s="551"/>
      <c r="F2" s="551"/>
      <c r="G2" s="551"/>
      <c r="H2" s="551"/>
      <c r="I2" s="551"/>
      <c r="J2" s="551"/>
      <c r="K2" s="551"/>
      <c r="L2" s="551"/>
    </row>
    <row r="3" spans="2:12" ht="29.25" customHeight="1">
      <c r="B3" s="552" t="s">
        <v>4</v>
      </c>
      <c r="C3" s="552"/>
      <c r="D3" s="552"/>
      <c r="E3" s="552"/>
      <c r="F3" s="552"/>
      <c r="G3" s="552"/>
      <c r="H3" s="552"/>
      <c r="I3" s="552"/>
      <c r="J3" s="552"/>
      <c r="K3" s="552"/>
      <c r="L3" s="552"/>
    </row>
    <row r="4" spans="2:12" ht="29.25" customHeight="1">
      <c r="B4" s="553"/>
      <c r="C4" s="553"/>
      <c r="D4" s="553"/>
      <c r="E4" s="553"/>
      <c r="F4" s="553"/>
      <c r="G4" s="553"/>
      <c r="H4" s="553"/>
      <c r="I4" s="553"/>
      <c r="J4" s="553"/>
      <c r="K4" s="553"/>
      <c r="L4" s="553"/>
    </row>
    <row r="5" spans="2:12" ht="6" customHeight="1">
      <c r="B5" s="186"/>
      <c r="C5" s="186"/>
      <c r="D5" s="186"/>
      <c r="E5" s="186"/>
      <c r="F5" s="186"/>
      <c r="G5" s="186"/>
      <c r="H5" s="186"/>
      <c r="I5" s="186"/>
      <c r="J5" s="186"/>
      <c r="K5" s="186"/>
      <c r="L5" s="186"/>
    </row>
    <row r="6" spans="2:12" ht="22.8">
      <c r="B6" s="554" t="s">
        <v>1733</v>
      </c>
      <c r="C6" s="554"/>
      <c r="D6" s="554"/>
      <c r="E6" s="554"/>
      <c r="F6" s="554"/>
      <c r="G6" s="554"/>
      <c r="H6" s="554"/>
      <c r="I6" s="554"/>
      <c r="J6" s="554"/>
      <c r="K6" s="554"/>
      <c r="L6" s="554"/>
    </row>
    <row r="8" spans="2:12" ht="14.25" customHeight="1">
      <c r="B8" s="555" t="s">
        <v>1208</v>
      </c>
      <c r="C8" s="555"/>
      <c r="D8" s="555"/>
      <c r="E8" s="555"/>
      <c r="F8" s="555"/>
      <c r="G8" s="555"/>
      <c r="H8" s="555"/>
      <c r="I8" s="555"/>
      <c r="J8" s="555"/>
      <c r="K8" s="555"/>
      <c r="L8" s="555"/>
    </row>
    <row r="9" spans="2:12">
      <c r="B9" s="187" t="s">
        <v>1209</v>
      </c>
      <c r="C9" s="187"/>
      <c r="D9" s="187" t="s">
        <v>39</v>
      </c>
      <c r="E9" s="187" t="s">
        <v>1210</v>
      </c>
      <c r="F9" s="187" t="s">
        <v>1211</v>
      </c>
      <c r="G9" s="187" t="s">
        <v>1212</v>
      </c>
      <c r="H9" s="187" t="s">
        <v>1213</v>
      </c>
      <c r="I9" s="187" t="s">
        <v>1214</v>
      </c>
      <c r="J9" s="187" t="s">
        <v>1215</v>
      </c>
      <c r="K9" s="187" t="s">
        <v>1216</v>
      </c>
      <c r="L9" s="187" t="s">
        <v>1217</v>
      </c>
    </row>
    <row r="10" spans="2:12">
      <c r="B10" s="188" t="s">
        <v>1218</v>
      </c>
      <c r="C10" s="189" t="s">
        <v>1219</v>
      </c>
      <c r="D10" s="190" t="s">
        <v>1220</v>
      </c>
      <c r="E10" s="191"/>
      <c r="F10" s="192"/>
      <c r="G10" s="192"/>
      <c r="H10" s="191"/>
      <c r="I10" s="193">
        <v>0.41199999999999998</v>
      </c>
      <c r="J10" s="194"/>
      <c r="K10" s="195">
        <f t="shared" ref="K10:K18" si="0">IF(E10*F10*G10&lt;&gt;0,E10*F10*G10,IF(E10*F10&lt;&gt;0,E10*F10,IF(F10*G10&lt;&gt;0,F10*G10,IF(E10*G10&lt;&gt;0,E10*G10,IF(E10&lt;&gt;0,E10,IF(F10&lt;&gt;0,F10,IF(G10&lt;&gt;0,G10,0)))))))*(IF(H10&lt;&gt;0,H10,1))+I10-J10</f>
        <v>0.41199999999999998</v>
      </c>
      <c r="L10" s="196"/>
    </row>
    <row r="11" spans="2:12">
      <c r="B11" s="197" t="s">
        <v>1218</v>
      </c>
      <c r="C11" s="189" t="s">
        <v>1240</v>
      </c>
      <c r="D11" s="190" t="s">
        <v>1226</v>
      </c>
      <c r="E11" s="199"/>
      <c r="F11" s="199"/>
      <c r="G11" s="199"/>
      <c r="H11" s="199"/>
      <c r="I11" s="193">
        <v>0.71599999999999997</v>
      </c>
      <c r="J11" s="201"/>
      <c r="K11" s="195">
        <f t="shared" si="0"/>
        <v>0.71599999999999997</v>
      </c>
      <c r="L11" s="196"/>
    </row>
    <row r="12" spans="2:12">
      <c r="B12" s="197" t="s">
        <v>1218</v>
      </c>
      <c r="C12" s="189" t="s">
        <v>1271</v>
      </c>
      <c r="D12" s="190" t="s">
        <v>1226</v>
      </c>
      <c r="E12" s="199"/>
      <c r="F12" s="199"/>
      <c r="G12" s="199"/>
      <c r="H12" s="199"/>
      <c r="I12" s="193">
        <v>0.432</v>
      </c>
      <c r="J12" s="201"/>
      <c r="K12" s="195">
        <f t="shared" si="0"/>
        <v>0.432</v>
      </c>
      <c r="L12" s="196"/>
    </row>
    <row r="13" spans="2:12">
      <c r="B13" s="197" t="s">
        <v>1218</v>
      </c>
      <c r="C13" s="189" t="s">
        <v>1333</v>
      </c>
      <c r="D13" s="190" t="s">
        <v>1226</v>
      </c>
      <c r="E13" s="199"/>
      <c r="F13" s="199"/>
      <c r="G13" s="199"/>
      <c r="H13" s="199"/>
      <c r="I13" s="193">
        <v>0.53600000000000003</v>
      </c>
      <c r="J13" s="201"/>
      <c r="K13" s="195">
        <f t="shared" si="0"/>
        <v>0.53600000000000003</v>
      </c>
      <c r="L13" s="196"/>
    </row>
    <row r="14" spans="2:12">
      <c r="B14" s="197" t="s">
        <v>1218</v>
      </c>
      <c r="C14" s="189" t="s">
        <v>1441</v>
      </c>
      <c r="D14" s="190" t="s">
        <v>1226</v>
      </c>
      <c r="E14" s="199"/>
      <c r="F14" s="199"/>
      <c r="G14" s="199"/>
      <c r="H14" s="199"/>
      <c r="I14" s="193">
        <v>0.66600000000000004</v>
      </c>
      <c r="J14" s="201"/>
      <c r="K14" s="195">
        <f t="shared" si="0"/>
        <v>0.66600000000000004</v>
      </c>
      <c r="L14" s="196"/>
    </row>
    <row r="15" spans="2:12">
      <c r="B15" s="197" t="s">
        <v>1218</v>
      </c>
      <c r="C15" s="189" t="s">
        <v>1521</v>
      </c>
      <c r="D15" s="190" t="s">
        <v>1226</v>
      </c>
      <c r="E15" s="199"/>
      <c r="F15" s="199"/>
      <c r="G15" s="199"/>
      <c r="H15" s="199"/>
      <c r="I15" s="193">
        <v>0.59399999999999997</v>
      </c>
      <c r="J15" s="201"/>
      <c r="K15" s="195">
        <f t="shared" si="0"/>
        <v>0.59399999999999997</v>
      </c>
      <c r="L15" s="196"/>
    </row>
    <row r="16" spans="2:12">
      <c r="B16" s="197" t="s">
        <v>1218</v>
      </c>
      <c r="C16" s="189" t="s">
        <v>1611</v>
      </c>
      <c r="D16" s="190" t="s">
        <v>1226</v>
      </c>
      <c r="E16" s="199"/>
      <c r="F16" s="199"/>
      <c r="G16" s="199"/>
      <c r="H16" s="199"/>
      <c r="I16" s="193">
        <v>0.59799999999999998</v>
      </c>
      <c r="J16" s="201"/>
      <c r="K16" s="195">
        <f t="shared" si="0"/>
        <v>0.59799999999999998</v>
      </c>
      <c r="L16" s="196"/>
    </row>
    <row r="17" spans="2:12">
      <c r="B17" s="197" t="s">
        <v>1218</v>
      </c>
      <c r="C17" s="189" t="s">
        <v>1612</v>
      </c>
      <c r="D17" s="190" t="s">
        <v>1226</v>
      </c>
      <c r="E17" s="199"/>
      <c r="F17" s="199"/>
      <c r="G17" s="199"/>
      <c r="H17" s="199"/>
      <c r="I17" s="193">
        <f>I34*20</f>
        <v>0.77799999999999991</v>
      </c>
      <c r="J17" s="201"/>
      <c r="K17" s="195">
        <f t="shared" si="0"/>
        <v>0.77799999999999991</v>
      </c>
      <c r="L17" s="196"/>
    </row>
    <row r="18" spans="2:12">
      <c r="B18" s="197"/>
      <c r="C18" s="189"/>
      <c r="D18" s="190"/>
      <c r="E18" s="199"/>
      <c r="F18" s="199"/>
      <c r="G18" s="199"/>
      <c r="H18" s="199"/>
      <c r="I18" s="193"/>
      <c r="J18" s="201"/>
      <c r="K18" s="195">
        <f t="shared" si="0"/>
        <v>0</v>
      </c>
      <c r="L18" s="196"/>
    </row>
    <row r="19" spans="2:12">
      <c r="B19" s="202"/>
      <c r="C19" s="203"/>
      <c r="D19" s="203"/>
      <c r="E19" s="203"/>
      <c r="F19" s="203"/>
      <c r="G19" s="203"/>
      <c r="H19" s="204"/>
      <c r="I19" s="556" t="s">
        <v>1221</v>
      </c>
      <c r="J19" s="556"/>
      <c r="K19" s="206">
        <f>SUM(K10:K18)</f>
        <v>4.7319999999999993</v>
      </c>
      <c r="L19" s="207"/>
    </row>
    <row r="20" spans="2:12">
      <c r="B20" s="208"/>
      <c r="C20" s="204"/>
      <c r="D20" s="204"/>
      <c r="E20" s="204"/>
      <c r="F20" s="204"/>
      <c r="G20" s="204"/>
      <c r="H20" s="209"/>
      <c r="I20" s="557" t="s">
        <v>1222</v>
      </c>
      <c r="J20" s="557"/>
      <c r="K20" s="211">
        <v>20</v>
      </c>
      <c r="L20" s="207"/>
    </row>
    <row r="21" spans="2:12">
      <c r="B21" s="208"/>
      <c r="C21" s="204"/>
      <c r="D21" s="204"/>
      <c r="E21" s="204"/>
      <c r="F21" s="204"/>
      <c r="G21" s="204"/>
      <c r="H21" s="558" t="s">
        <v>1223</v>
      </c>
      <c r="I21" s="558"/>
      <c r="J21" s="558"/>
      <c r="K21" s="212">
        <v>3.9540000000000002</v>
      </c>
      <c r="L21" s="207"/>
    </row>
    <row r="22" spans="2:12">
      <c r="B22" s="208"/>
      <c r="C22" s="204"/>
      <c r="D22" s="204"/>
      <c r="E22" s="204"/>
      <c r="F22" s="204"/>
      <c r="G22" s="204"/>
      <c r="H22" s="558" t="s">
        <v>1592</v>
      </c>
      <c r="I22" s="558"/>
      <c r="J22" s="558"/>
      <c r="K22" s="212">
        <f>IF(K19&gt;K20,K20,K19)-K21</f>
        <v>0.77799999999999914</v>
      </c>
      <c r="L22" s="207"/>
    </row>
    <row r="23" spans="2:12">
      <c r="B23" s="213"/>
      <c r="C23" s="214"/>
      <c r="D23" s="214"/>
      <c r="E23" s="214"/>
      <c r="F23" s="214"/>
      <c r="G23" s="214"/>
      <c r="H23" s="559" t="s">
        <v>1224</v>
      </c>
      <c r="I23" s="559"/>
      <c r="J23" s="559"/>
      <c r="K23" s="215">
        <f>IF(K19&gt;K20,K19-K20,0)</f>
        <v>0</v>
      </c>
      <c r="L23" s="209"/>
    </row>
    <row r="25" spans="2:12" ht="58.35" customHeight="1">
      <c r="B25" s="555" t="s">
        <v>1225</v>
      </c>
      <c r="C25" s="555"/>
      <c r="D25" s="555"/>
      <c r="E25" s="555"/>
      <c r="F25" s="555"/>
      <c r="G25" s="555"/>
      <c r="H25" s="555"/>
      <c r="I25" s="555"/>
      <c r="J25" s="555"/>
      <c r="K25" s="555"/>
      <c r="L25" s="555"/>
    </row>
    <row r="26" spans="2:12">
      <c r="B26" s="187" t="s">
        <v>1209</v>
      </c>
      <c r="C26" s="187"/>
      <c r="D26" s="187" t="s">
        <v>39</v>
      </c>
      <c r="E26" s="187" t="s">
        <v>1210</v>
      </c>
      <c r="F26" s="187" t="s">
        <v>1211</v>
      </c>
      <c r="G26" s="187" t="s">
        <v>1212</v>
      </c>
      <c r="H26" s="187" t="s">
        <v>1213</v>
      </c>
      <c r="I26" s="187" t="s">
        <v>1214</v>
      </c>
      <c r="J26" s="187" t="s">
        <v>1215</v>
      </c>
      <c r="K26" s="187" t="s">
        <v>1216</v>
      </c>
      <c r="L26" s="187" t="s">
        <v>1217</v>
      </c>
    </row>
    <row r="27" spans="2:12">
      <c r="B27" s="188" t="s">
        <v>1218</v>
      </c>
      <c r="C27" s="189" t="s">
        <v>1219</v>
      </c>
      <c r="D27" s="190" t="s">
        <v>1226</v>
      </c>
      <c r="E27" s="191"/>
      <c r="F27" s="192"/>
      <c r="G27" s="192"/>
      <c r="H27" s="191"/>
      <c r="I27" s="193">
        <v>2.06E-2</v>
      </c>
      <c r="J27" s="194"/>
      <c r="K27" s="195">
        <f t="shared" ref="K27:K34" si="1">IF(E27*F27*G27&lt;&gt;0,E27*F27*G27,IF(E27*F27&lt;&gt;0,E27*F27,IF(F27*G27&lt;&gt;0,F27*G27,IF(E27*G27&lt;&gt;0,E27*G27,IF(E27&lt;&gt;0,E27,IF(F27&lt;&gt;0,F27,IF(G27&lt;&gt;0,G27,0)))))))*(IF(H27&lt;&gt;0,H27,1))+I27-J27</f>
        <v>2.06E-2</v>
      </c>
      <c r="L27" s="196"/>
    </row>
    <row r="28" spans="2:12">
      <c r="B28" s="197" t="s">
        <v>1218</v>
      </c>
      <c r="C28" s="189" t="s">
        <v>1240</v>
      </c>
      <c r="D28" s="190" t="s">
        <v>1226</v>
      </c>
      <c r="E28" s="199"/>
      <c r="F28" s="199"/>
      <c r="G28" s="199"/>
      <c r="H28" s="199"/>
      <c r="I28" s="193">
        <v>3.5799999999999998E-2</v>
      </c>
      <c r="J28" s="201"/>
      <c r="K28" s="195">
        <f t="shared" si="1"/>
        <v>3.5799999999999998E-2</v>
      </c>
      <c r="L28" s="196"/>
    </row>
    <row r="29" spans="2:12">
      <c r="B29" s="197" t="s">
        <v>1218</v>
      </c>
      <c r="C29" s="189" t="s">
        <v>1271</v>
      </c>
      <c r="D29" s="190" t="s">
        <v>1226</v>
      </c>
      <c r="E29" s="199"/>
      <c r="F29" s="199"/>
      <c r="G29" s="199"/>
      <c r="H29" s="199"/>
      <c r="I29" s="193">
        <v>2.1600000000000001E-2</v>
      </c>
      <c r="J29" s="201"/>
      <c r="K29" s="195">
        <f t="shared" si="1"/>
        <v>2.1600000000000001E-2</v>
      </c>
      <c r="L29" s="196"/>
    </row>
    <row r="30" spans="2:12">
      <c r="B30" s="197" t="s">
        <v>1218</v>
      </c>
      <c r="C30" s="189" t="s">
        <v>1333</v>
      </c>
      <c r="D30" s="190" t="s">
        <v>1226</v>
      </c>
      <c r="E30" s="199"/>
      <c r="F30" s="199"/>
      <c r="G30" s="199"/>
      <c r="H30" s="199"/>
      <c r="I30" s="193">
        <v>2.6800000000000001E-2</v>
      </c>
      <c r="J30" s="201"/>
      <c r="K30" s="195">
        <f t="shared" si="1"/>
        <v>2.6800000000000001E-2</v>
      </c>
      <c r="L30" s="196"/>
    </row>
    <row r="31" spans="2:12">
      <c r="B31" s="197" t="s">
        <v>1218</v>
      </c>
      <c r="C31" s="189" t="s">
        <v>1441</v>
      </c>
      <c r="D31" s="190" t="s">
        <v>1226</v>
      </c>
      <c r="E31" s="199"/>
      <c r="F31" s="199"/>
      <c r="G31" s="199"/>
      <c r="H31" s="199"/>
      <c r="I31" s="193">
        <v>3.3300000000000003E-2</v>
      </c>
      <c r="J31" s="201"/>
      <c r="K31" s="195">
        <f t="shared" si="1"/>
        <v>3.3300000000000003E-2</v>
      </c>
      <c r="L31" s="196"/>
    </row>
    <row r="32" spans="2:12">
      <c r="B32" s="197" t="s">
        <v>1218</v>
      </c>
      <c r="C32" s="189" t="s">
        <v>1521</v>
      </c>
      <c r="D32" s="190" t="s">
        <v>1226</v>
      </c>
      <c r="E32" s="199"/>
      <c r="F32" s="199"/>
      <c r="G32" s="199"/>
      <c r="H32" s="199"/>
      <c r="I32" s="193">
        <v>2.9700000000000001E-2</v>
      </c>
      <c r="J32" s="201"/>
      <c r="K32" s="195">
        <f t="shared" si="1"/>
        <v>2.9700000000000001E-2</v>
      </c>
      <c r="L32" s="196"/>
    </row>
    <row r="33" spans="2:12">
      <c r="B33" s="197" t="s">
        <v>1218</v>
      </c>
      <c r="C33" s="189" t="s">
        <v>1611</v>
      </c>
      <c r="D33" s="190" t="s">
        <v>1226</v>
      </c>
      <c r="E33" s="199"/>
      <c r="F33" s="199"/>
      <c r="G33" s="199"/>
      <c r="H33" s="199"/>
      <c r="I33" s="193">
        <v>2.9899999999999999E-2</v>
      </c>
      <c r="J33" s="201"/>
      <c r="K33" s="195">
        <f t="shared" si="1"/>
        <v>2.9899999999999999E-2</v>
      </c>
      <c r="L33" s="196"/>
    </row>
    <row r="34" spans="2:12">
      <c r="B34" s="197" t="s">
        <v>1218</v>
      </c>
      <c r="C34" s="189" t="s">
        <v>1612</v>
      </c>
      <c r="D34" s="190" t="s">
        <v>1226</v>
      </c>
      <c r="E34" s="199"/>
      <c r="F34" s="199"/>
      <c r="G34" s="199"/>
      <c r="H34" s="199"/>
      <c r="I34" s="193">
        <v>3.8899999999999997E-2</v>
      </c>
      <c r="J34" s="201"/>
      <c r="K34" s="195">
        <f t="shared" si="1"/>
        <v>3.8899999999999997E-2</v>
      </c>
      <c r="L34" s="196"/>
    </row>
    <row r="35" spans="2:12">
      <c r="B35" s="197"/>
      <c r="C35" s="189"/>
      <c r="D35" s="190"/>
      <c r="E35" s="199"/>
      <c r="F35" s="199"/>
      <c r="G35" s="199"/>
      <c r="H35" s="199"/>
      <c r="I35" s="193"/>
      <c r="J35" s="201"/>
      <c r="K35" s="195"/>
      <c r="L35" s="196"/>
    </row>
    <row r="36" spans="2:12">
      <c r="B36" s="202"/>
      <c r="C36" s="203"/>
      <c r="D36" s="203"/>
      <c r="E36" s="203"/>
      <c r="F36" s="203"/>
      <c r="G36" s="203"/>
      <c r="H36" s="204"/>
      <c r="I36" s="556" t="s">
        <v>1221</v>
      </c>
      <c r="J36" s="556"/>
      <c r="K36" s="206">
        <f>SUM(K27:K35)</f>
        <v>0.2366</v>
      </c>
      <c r="L36" s="207"/>
    </row>
    <row r="37" spans="2:12">
      <c r="B37" s="208"/>
      <c r="C37" s="204"/>
      <c r="D37" s="204"/>
      <c r="E37" s="204"/>
      <c r="F37" s="204"/>
      <c r="G37" s="204"/>
      <c r="H37" s="209"/>
      <c r="I37" s="557" t="s">
        <v>1222</v>
      </c>
      <c r="J37" s="557"/>
      <c r="K37" s="211">
        <v>1</v>
      </c>
      <c r="L37" s="207"/>
    </row>
    <row r="38" spans="2:12">
      <c r="B38" s="208"/>
      <c r="C38" s="204"/>
      <c r="D38" s="204"/>
      <c r="E38" s="204"/>
      <c r="F38" s="204"/>
      <c r="G38" s="204"/>
      <c r="H38" s="558" t="s">
        <v>1223</v>
      </c>
      <c r="I38" s="558"/>
      <c r="J38" s="558"/>
      <c r="K38" s="212">
        <v>0.19769999999999999</v>
      </c>
      <c r="L38" s="207"/>
    </row>
    <row r="39" spans="2:12">
      <c r="B39" s="208"/>
      <c r="C39" s="204"/>
      <c r="D39" s="204"/>
      <c r="E39" s="204"/>
      <c r="F39" s="204"/>
      <c r="G39" s="204"/>
      <c r="H39" s="558" t="s">
        <v>1592</v>
      </c>
      <c r="I39" s="558"/>
      <c r="J39" s="558"/>
      <c r="K39" s="212">
        <f>IF(K36&gt;K37,K37,K36)-K38</f>
        <v>3.8900000000000018E-2</v>
      </c>
      <c r="L39" s="207"/>
    </row>
    <row r="40" spans="2:12">
      <c r="B40" s="213"/>
      <c r="C40" s="214"/>
      <c r="D40" s="214"/>
      <c r="E40" s="214"/>
      <c r="F40" s="214"/>
      <c r="G40" s="214"/>
      <c r="H40" s="559" t="s">
        <v>1224</v>
      </c>
      <c r="I40" s="559"/>
      <c r="J40" s="559"/>
      <c r="K40" s="215">
        <f>IF(K36&gt;K37,K36-K37,0)</f>
        <v>0</v>
      </c>
      <c r="L40" s="209"/>
    </row>
    <row r="42" spans="2:12" ht="14.25" customHeight="1">
      <c r="B42" s="555" t="s">
        <v>1227</v>
      </c>
      <c r="C42" s="555"/>
      <c r="D42" s="555"/>
      <c r="E42" s="555"/>
      <c r="F42" s="555"/>
      <c r="G42" s="555"/>
      <c r="H42" s="555"/>
      <c r="I42" s="555"/>
      <c r="J42" s="555"/>
      <c r="K42" s="555"/>
      <c r="L42" s="555"/>
    </row>
    <row r="43" spans="2:12">
      <c r="B43" s="187" t="s">
        <v>1209</v>
      </c>
      <c r="C43" s="187"/>
      <c r="D43" s="187" t="s">
        <v>39</v>
      </c>
      <c r="E43" s="187" t="s">
        <v>1210</v>
      </c>
      <c r="F43" s="187" t="s">
        <v>1211</v>
      </c>
      <c r="G43" s="187" t="s">
        <v>1212</v>
      </c>
      <c r="H43" s="187" t="s">
        <v>1213</v>
      </c>
      <c r="I43" s="187" t="s">
        <v>1214</v>
      </c>
      <c r="J43" s="187" t="s">
        <v>1215</v>
      </c>
      <c r="K43" s="187" t="s">
        <v>1216</v>
      </c>
      <c r="L43" s="187" t="s">
        <v>1217</v>
      </c>
    </row>
    <row r="44" spans="2:12">
      <c r="B44" s="188" t="s">
        <v>1228</v>
      </c>
      <c r="C44" s="189" t="s">
        <v>1219</v>
      </c>
      <c r="D44" s="190" t="s">
        <v>39</v>
      </c>
      <c r="E44" s="191">
        <v>64</v>
      </c>
      <c r="F44" s="192"/>
      <c r="G44" s="192">
        <v>2</v>
      </c>
      <c r="H44" s="191"/>
      <c r="I44" s="191"/>
      <c r="J44" s="216"/>
      <c r="K44" s="217">
        <f>IF(E44*F44*G44&lt;&gt;0,E44*F44*G44,IF(E44*F44&lt;&gt;0,E44*F44,IF(F44*G44&lt;&gt;0,F44*G44,IF(E44*G44&lt;&gt;0,E44*G44,IF(E44&lt;&gt;0,E44,IF(F44&lt;&gt;0,F44,IF(G44&lt;&gt;0,G44,0)))))))*(IF(H44&lt;&gt;0,H44,1))+I44-J44</f>
        <v>128</v>
      </c>
      <c r="L44" s="218"/>
    </row>
    <row r="45" spans="2:12">
      <c r="B45" s="197"/>
      <c r="C45" s="189"/>
      <c r="D45" s="198"/>
      <c r="E45" s="199"/>
      <c r="F45" s="199"/>
      <c r="G45" s="199"/>
      <c r="H45" s="199"/>
      <c r="I45" s="199"/>
      <c r="J45" s="219"/>
      <c r="K45" s="217">
        <f>IF(E45*F45*G45&lt;&gt;0,E45*F45*G45,IF(E45*F45&lt;&gt;0,E45*F45,IF(F45*G45&lt;&gt;0,F45*G45,IF(E45*G45&lt;&gt;0,E45*G45,IF(E45&lt;&gt;0,E45,IF(F45&lt;&gt;0,F45,IF(G45&lt;&gt;0,G45,0)))))))*(IF(H45&lt;&gt;0,H45,1))+I45-J45</f>
        <v>0</v>
      </c>
      <c r="L45" s="218"/>
    </row>
    <row r="46" spans="2:12">
      <c r="B46" s="202"/>
      <c r="C46" s="203"/>
      <c r="D46" s="203"/>
      <c r="E46" s="203"/>
      <c r="F46" s="203"/>
      <c r="G46" s="203"/>
      <c r="H46" s="204"/>
      <c r="I46" s="556" t="s">
        <v>1221</v>
      </c>
      <c r="J46" s="556"/>
      <c r="K46" s="220">
        <f>SUM(K44:K45)</f>
        <v>128</v>
      </c>
      <c r="L46" s="207"/>
    </row>
    <row r="47" spans="2:12">
      <c r="B47" s="208"/>
      <c r="C47" s="204"/>
      <c r="D47" s="204"/>
      <c r="E47" s="204"/>
      <c r="F47" s="204"/>
      <c r="G47" s="204"/>
      <c r="H47" s="209"/>
      <c r="I47" s="557" t="s">
        <v>1222</v>
      </c>
      <c r="J47" s="557"/>
      <c r="K47" s="221">
        <v>128</v>
      </c>
      <c r="L47" s="207"/>
    </row>
    <row r="48" spans="2:12">
      <c r="B48" s="208"/>
      <c r="C48" s="204"/>
      <c r="D48" s="204"/>
      <c r="E48" s="204"/>
      <c r="F48" s="204"/>
      <c r="G48" s="204"/>
      <c r="H48" s="558" t="s">
        <v>1223</v>
      </c>
      <c r="I48" s="558"/>
      <c r="J48" s="558"/>
      <c r="K48" s="222"/>
      <c r="L48" s="207"/>
    </row>
    <row r="49" spans="2:12">
      <c r="B49" s="208"/>
      <c r="C49" s="204"/>
      <c r="D49" s="204"/>
      <c r="E49" s="204"/>
      <c r="F49" s="204"/>
      <c r="G49" s="204"/>
      <c r="H49" s="558" t="s">
        <v>1190</v>
      </c>
      <c r="I49" s="558"/>
      <c r="J49" s="558"/>
      <c r="K49" s="222">
        <f>IF(K46&gt;K47,K47,K46)-K48</f>
        <v>128</v>
      </c>
      <c r="L49" s="207"/>
    </row>
    <row r="50" spans="2:12">
      <c r="B50" s="213"/>
      <c r="C50" s="214"/>
      <c r="D50" s="214"/>
      <c r="E50" s="214"/>
      <c r="F50" s="214"/>
      <c r="G50" s="214"/>
      <c r="H50" s="559" t="s">
        <v>1224</v>
      </c>
      <c r="I50" s="559"/>
      <c r="J50" s="559"/>
      <c r="K50" s="223">
        <f>IF(K46&gt;K47,K46-K47,0)</f>
        <v>0</v>
      </c>
      <c r="L50" s="209"/>
    </row>
    <row r="52" spans="2:12" ht="14.25" customHeight="1">
      <c r="B52" s="555" t="s">
        <v>1229</v>
      </c>
      <c r="C52" s="555"/>
      <c r="D52" s="555"/>
      <c r="E52" s="555"/>
      <c r="F52" s="555"/>
      <c r="G52" s="555"/>
      <c r="H52" s="555"/>
      <c r="I52" s="555"/>
      <c r="J52" s="555"/>
      <c r="K52" s="555"/>
      <c r="L52" s="555"/>
    </row>
    <row r="53" spans="2:12">
      <c r="B53" s="187" t="s">
        <v>1209</v>
      </c>
      <c r="C53" s="187"/>
      <c r="D53" s="187" t="s">
        <v>39</v>
      </c>
      <c r="E53" s="187" t="s">
        <v>1210</v>
      </c>
      <c r="F53" s="187" t="s">
        <v>1211</v>
      </c>
      <c r="G53" s="187" t="s">
        <v>1212</v>
      </c>
      <c r="H53" s="187" t="s">
        <v>1213</v>
      </c>
      <c r="I53" s="187" t="s">
        <v>1214</v>
      </c>
      <c r="J53" s="187" t="s">
        <v>1215</v>
      </c>
      <c r="K53" s="187" t="s">
        <v>1216</v>
      </c>
      <c r="L53" s="187" t="s">
        <v>1217</v>
      </c>
    </row>
    <row r="54" spans="2:12">
      <c r="B54" s="188" t="s">
        <v>1228</v>
      </c>
      <c r="C54" s="189" t="s">
        <v>1219</v>
      </c>
      <c r="D54" s="190" t="s">
        <v>79</v>
      </c>
      <c r="E54" s="191">
        <f>30/4</f>
        <v>7.5</v>
      </c>
      <c r="F54" s="192">
        <v>4</v>
      </c>
      <c r="G54" s="192"/>
      <c r="H54" s="191"/>
      <c r="I54" s="191"/>
      <c r="J54" s="216"/>
      <c r="K54" s="217">
        <f>IF(E54*F54*G54&lt;&gt;0,E54*F54*G54,IF(E54*F54&lt;&gt;0,E54*F54,IF(F54*G54&lt;&gt;0,F54*G54,IF(E54*G54&lt;&gt;0,E54*G54,IF(E54&lt;&gt;0,E54,IF(F54&lt;&gt;0,F54,IF(G54&lt;&gt;0,G54,0)))))))*(IF(H54&lt;&gt;0,H54,1))+I54-J54</f>
        <v>30</v>
      </c>
      <c r="L54" s="218"/>
    </row>
    <row r="55" spans="2:12">
      <c r="B55" s="188" t="s">
        <v>1228</v>
      </c>
      <c r="C55" s="189" t="s">
        <v>1240</v>
      </c>
      <c r="D55" s="190" t="s">
        <v>79</v>
      </c>
      <c r="E55" s="191">
        <v>2.5</v>
      </c>
      <c r="F55" s="192">
        <v>4</v>
      </c>
      <c r="G55" s="192"/>
      <c r="H55" s="191"/>
      <c r="I55" s="191"/>
      <c r="J55" s="216"/>
      <c r="K55" s="217">
        <f>IF(E55*F55*G55&lt;&gt;0,E55*F55*G55,IF(E55*F55&lt;&gt;0,E55*F55,IF(F55*G55&lt;&gt;0,F55*G55,IF(E55*G55&lt;&gt;0,E55*G55,IF(E55&lt;&gt;0,E55,IF(F55&lt;&gt;0,F55,IF(G55&lt;&gt;0,G55,0)))))))*(IF(H55&lt;&gt;0,H55,1))+I55-J55</f>
        <v>10</v>
      </c>
      <c r="L55" s="218"/>
    </row>
    <row r="56" spans="2:12">
      <c r="B56" s="202"/>
      <c r="C56" s="203"/>
      <c r="D56" s="203"/>
      <c r="E56" s="203"/>
      <c r="F56" s="203"/>
      <c r="G56" s="203"/>
      <c r="H56" s="204"/>
      <c r="I56" s="556" t="s">
        <v>1221</v>
      </c>
      <c r="J56" s="556"/>
      <c r="K56" s="220">
        <f>SUM(K54:K55)</f>
        <v>40</v>
      </c>
      <c r="L56" s="207"/>
    </row>
    <row r="57" spans="2:12">
      <c r="B57" s="208"/>
      <c r="C57" s="204"/>
      <c r="D57" s="204"/>
      <c r="E57" s="204"/>
      <c r="F57" s="204"/>
      <c r="G57" s="204"/>
      <c r="H57" s="209"/>
      <c r="I57" s="557" t="s">
        <v>1222</v>
      </c>
      <c r="J57" s="557"/>
      <c r="K57" s="221">
        <v>40</v>
      </c>
      <c r="L57" s="207"/>
    </row>
    <row r="58" spans="2:12">
      <c r="B58" s="208"/>
      <c r="C58" s="204"/>
      <c r="D58" s="204"/>
      <c r="E58" s="204"/>
      <c r="F58" s="204"/>
      <c r="G58" s="204"/>
      <c r="H58" s="558" t="s">
        <v>1223</v>
      </c>
      <c r="I58" s="558"/>
      <c r="J58" s="558"/>
      <c r="K58" s="222">
        <v>30</v>
      </c>
      <c r="L58" s="207"/>
    </row>
    <row r="59" spans="2:12">
      <c r="B59" s="208"/>
      <c r="C59" s="204"/>
      <c r="D59" s="204"/>
      <c r="E59" s="204"/>
      <c r="F59" s="204"/>
      <c r="G59" s="204"/>
      <c r="H59" s="558" t="s">
        <v>1199</v>
      </c>
      <c r="I59" s="558"/>
      <c r="J59" s="558"/>
      <c r="K59" s="222">
        <f>IF(K56&gt;K57,K57,K56)-K58</f>
        <v>10</v>
      </c>
      <c r="L59" s="207"/>
    </row>
    <row r="60" spans="2:12">
      <c r="B60" s="213"/>
      <c r="C60" s="214"/>
      <c r="D60" s="214"/>
      <c r="E60" s="214"/>
      <c r="F60" s="214"/>
      <c r="G60" s="214"/>
      <c r="H60" s="559" t="s">
        <v>1224</v>
      </c>
      <c r="I60" s="559"/>
      <c r="J60" s="559"/>
      <c r="K60" s="223">
        <f>IF(K56&gt;K57,K56-K57,0)</f>
        <v>0</v>
      </c>
      <c r="L60" s="209"/>
    </row>
    <row r="62" spans="2:12" ht="14.25" customHeight="1">
      <c r="B62" s="555" t="s">
        <v>1230</v>
      </c>
      <c r="C62" s="555"/>
      <c r="D62" s="555"/>
      <c r="E62" s="555"/>
      <c r="F62" s="555"/>
      <c r="G62" s="555"/>
      <c r="H62" s="555"/>
      <c r="I62" s="555"/>
      <c r="J62" s="555"/>
      <c r="K62" s="555"/>
      <c r="L62" s="555"/>
    </row>
    <row r="63" spans="2:12">
      <c r="B63" s="187" t="s">
        <v>1209</v>
      </c>
      <c r="C63" s="187"/>
      <c r="D63" s="187" t="s">
        <v>39</v>
      </c>
      <c r="E63" s="187" t="s">
        <v>1210</v>
      </c>
      <c r="F63" s="187" t="s">
        <v>1211</v>
      </c>
      <c r="G63" s="187" t="s">
        <v>1212</v>
      </c>
      <c r="H63" s="187" t="s">
        <v>1213</v>
      </c>
      <c r="I63" s="187" t="s">
        <v>1214</v>
      </c>
      <c r="J63" s="187" t="s">
        <v>1215</v>
      </c>
      <c r="K63" s="187" t="s">
        <v>1216</v>
      </c>
      <c r="L63" s="187" t="s">
        <v>1217</v>
      </c>
    </row>
    <row r="64" spans="2:12">
      <c r="B64" s="188" t="s">
        <v>1228</v>
      </c>
      <c r="C64" s="189" t="s">
        <v>1219</v>
      </c>
      <c r="D64" s="190" t="s">
        <v>39</v>
      </c>
      <c r="E64" s="191">
        <f>48/4</f>
        <v>12</v>
      </c>
      <c r="F64" s="192">
        <v>4</v>
      </c>
      <c r="G64" s="192"/>
      <c r="H64" s="191"/>
      <c r="I64" s="191"/>
      <c r="J64" s="216"/>
      <c r="K64" s="217">
        <f>IF(E64*F64*G64&lt;&gt;0,E64*F64*G64,IF(E64*F64&lt;&gt;0,E64*F64,IF(F64*G64&lt;&gt;0,F64*G64,IF(E64*G64&lt;&gt;0,E64*G64,IF(E64&lt;&gt;0,E64,IF(F64&lt;&gt;0,F64,IF(G64&lt;&gt;0,G64,0)))))))*(IF(H64&lt;&gt;0,H64,1))+I64-J64</f>
        <v>48</v>
      </c>
      <c r="L64" s="218"/>
    </row>
    <row r="65" spans="2:12">
      <c r="B65" s="188" t="s">
        <v>1228</v>
      </c>
      <c r="C65" s="189" t="s">
        <v>1240</v>
      </c>
      <c r="D65" s="190" t="s">
        <v>39</v>
      </c>
      <c r="E65" s="191">
        <v>5</v>
      </c>
      <c r="F65" s="192">
        <v>4</v>
      </c>
      <c r="G65" s="192"/>
      <c r="H65" s="191"/>
      <c r="I65" s="191"/>
      <c r="J65" s="219"/>
      <c r="K65" s="217">
        <f>IF(E65*F65*G65&lt;&gt;0,E65*F65*G65,IF(E65*F65&lt;&gt;0,E65*F65,IF(F65*G65&lt;&gt;0,F65*G65,IF(E65*G65&lt;&gt;0,E65*G65,IF(E65&lt;&gt;0,E65,IF(F65&lt;&gt;0,F65,IF(G65&lt;&gt;0,G65,0)))))))*(IF(H65&lt;&gt;0,H65,1))+I65-J65</f>
        <v>20</v>
      </c>
      <c r="L65" s="218"/>
    </row>
    <row r="66" spans="2:12">
      <c r="B66" s="202"/>
      <c r="C66" s="203"/>
      <c r="D66" s="203"/>
      <c r="E66" s="203"/>
      <c r="F66" s="203"/>
      <c r="G66" s="203"/>
      <c r="H66" s="204"/>
      <c r="I66" s="556" t="s">
        <v>1221</v>
      </c>
      <c r="J66" s="556"/>
      <c r="K66" s="220">
        <f>SUM(K64:K65)</f>
        <v>68</v>
      </c>
      <c r="L66" s="207"/>
    </row>
    <row r="67" spans="2:12">
      <c r="B67" s="208"/>
      <c r="C67" s="204"/>
      <c r="D67" s="204"/>
      <c r="E67" s="204"/>
      <c r="F67" s="204"/>
      <c r="G67" s="204"/>
      <c r="H67" s="209"/>
      <c r="I67" s="557" t="s">
        <v>1222</v>
      </c>
      <c r="J67" s="557"/>
      <c r="K67" s="221">
        <v>68</v>
      </c>
      <c r="L67" s="207"/>
    </row>
    <row r="68" spans="2:12">
      <c r="B68" s="208"/>
      <c r="C68" s="204"/>
      <c r="D68" s="204"/>
      <c r="E68" s="204"/>
      <c r="F68" s="204"/>
      <c r="G68" s="204"/>
      <c r="H68" s="558" t="s">
        <v>1223</v>
      </c>
      <c r="I68" s="558"/>
      <c r="J68" s="558"/>
      <c r="K68" s="222">
        <v>48</v>
      </c>
      <c r="L68" s="207"/>
    </row>
    <row r="69" spans="2:12">
      <c r="B69" s="208"/>
      <c r="C69" s="204"/>
      <c r="D69" s="204"/>
      <c r="E69" s="204"/>
      <c r="F69" s="204"/>
      <c r="G69" s="204"/>
      <c r="H69" s="558" t="s">
        <v>1199</v>
      </c>
      <c r="I69" s="558"/>
      <c r="J69" s="558"/>
      <c r="K69" s="222">
        <f>IF(K66&gt;K67,K67,K66)-K68</f>
        <v>20</v>
      </c>
      <c r="L69" s="207"/>
    </row>
    <row r="70" spans="2:12">
      <c r="B70" s="213"/>
      <c r="C70" s="214"/>
      <c r="D70" s="214"/>
      <c r="E70" s="214"/>
      <c r="F70" s="214"/>
      <c r="G70" s="214"/>
      <c r="H70" s="559" t="s">
        <v>1224</v>
      </c>
      <c r="I70" s="559"/>
      <c r="J70" s="559"/>
      <c r="K70" s="223">
        <f>IF(K66&gt;K67,K66-K67,0)</f>
        <v>0</v>
      </c>
      <c r="L70" s="209"/>
    </row>
    <row r="72" spans="2:12" ht="14.25" customHeight="1">
      <c r="B72" s="555" t="s">
        <v>1231</v>
      </c>
      <c r="C72" s="555"/>
      <c r="D72" s="555"/>
      <c r="E72" s="555"/>
      <c r="F72" s="555"/>
      <c r="G72" s="555"/>
      <c r="H72" s="555"/>
      <c r="I72" s="555"/>
      <c r="J72" s="555"/>
      <c r="K72" s="555"/>
      <c r="L72" s="555"/>
    </row>
    <row r="73" spans="2:12">
      <c r="B73" s="187" t="s">
        <v>1209</v>
      </c>
      <c r="C73" s="187"/>
      <c r="D73" s="187" t="s">
        <v>39</v>
      </c>
      <c r="E73" s="187" t="s">
        <v>1210</v>
      </c>
      <c r="F73" s="187" t="s">
        <v>1211</v>
      </c>
      <c r="G73" s="187" t="s">
        <v>1212</v>
      </c>
      <c r="H73" s="187" t="s">
        <v>1213</v>
      </c>
      <c r="I73" s="187" t="s">
        <v>1214</v>
      </c>
      <c r="J73" s="187" t="s">
        <v>1215</v>
      </c>
      <c r="K73" s="187" t="s">
        <v>1216</v>
      </c>
      <c r="L73" s="187" t="s">
        <v>1217</v>
      </c>
    </row>
    <row r="74" spans="2:12">
      <c r="B74" s="188" t="s">
        <v>1228</v>
      </c>
      <c r="C74" s="189" t="s">
        <v>1219</v>
      </c>
      <c r="D74" s="190" t="s">
        <v>39</v>
      </c>
      <c r="E74" s="191">
        <v>15</v>
      </c>
      <c r="F74" s="192">
        <v>4</v>
      </c>
      <c r="G74" s="192"/>
      <c r="H74" s="191"/>
      <c r="I74" s="191"/>
      <c r="J74" s="216"/>
      <c r="K74" s="217">
        <f>IF(E74*F74*G74&lt;&gt;0,E74*F74*G74,IF(E74*F74&lt;&gt;0,E74*F74,IF(F74*G74&lt;&gt;0,F74*G74,IF(E74*G74&lt;&gt;0,E74*G74,IF(E74&lt;&gt;0,E74,IF(F74&lt;&gt;0,F74,IF(G74&lt;&gt;0,G74,0)))))))*(IF(H74&lt;&gt;0,H74,1))+I74-J74</f>
        <v>60</v>
      </c>
      <c r="L74" s="218"/>
    </row>
    <row r="75" spans="2:12">
      <c r="B75" s="197"/>
      <c r="C75" s="189"/>
      <c r="D75" s="198"/>
      <c r="E75" s="199"/>
      <c r="F75" s="199"/>
      <c r="G75" s="199"/>
      <c r="H75" s="199"/>
      <c r="I75" s="199"/>
      <c r="J75" s="219"/>
      <c r="K75" s="217">
        <f>IF(E75*F75*G75&lt;&gt;0,E75*F75*G75,IF(E75*F75&lt;&gt;0,E75*F75,IF(F75*G75&lt;&gt;0,F75*G75,IF(E75*G75&lt;&gt;0,E75*G75,IF(E75&lt;&gt;0,E75,IF(F75&lt;&gt;0,F75,IF(G75&lt;&gt;0,G75,0)))))))*(IF(H75&lt;&gt;0,H75,1))+I75-J75</f>
        <v>0</v>
      </c>
      <c r="L75" s="218"/>
    </row>
    <row r="76" spans="2:12">
      <c r="B76" s="202"/>
      <c r="C76" s="203"/>
      <c r="D76" s="203"/>
      <c r="E76" s="203"/>
      <c r="F76" s="203"/>
      <c r="G76" s="203"/>
      <c r="H76" s="204"/>
      <c r="I76" s="556" t="s">
        <v>1221</v>
      </c>
      <c r="J76" s="556"/>
      <c r="K76" s="220">
        <f>SUM(K74:K75)</f>
        <v>60</v>
      </c>
      <c r="L76" s="207"/>
    </row>
    <row r="77" spans="2:12">
      <c r="B77" s="208"/>
      <c r="C77" s="204"/>
      <c r="D77" s="204"/>
      <c r="E77" s="204"/>
      <c r="F77" s="204"/>
      <c r="G77" s="204"/>
      <c r="H77" s="209"/>
      <c r="I77" s="557" t="s">
        <v>1222</v>
      </c>
      <c r="J77" s="557"/>
      <c r="K77" s="221">
        <v>60</v>
      </c>
      <c r="L77" s="207"/>
    </row>
    <row r="78" spans="2:12">
      <c r="B78" s="208"/>
      <c r="C78" s="204"/>
      <c r="D78" s="204"/>
      <c r="E78" s="204"/>
      <c r="F78" s="204"/>
      <c r="G78" s="204"/>
      <c r="H78" s="558" t="s">
        <v>1223</v>
      </c>
      <c r="I78" s="558"/>
      <c r="J78" s="558"/>
      <c r="K78" s="222"/>
      <c r="L78" s="207"/>
    </row>
    <row r="79" spans="2:12">
      <c r="B79" s="208"/>
      <c r="C79" s="204"/>
      <c r="D79" s="204"/>
      <c r="E79" s="204"/>
      <c r="F79" s="204"/>
      <c r="G79" s="204"/>
      <c r="H79" s="558" t="s">
        <v>1190</v>
      </c>
      <c r="I79" s="558"/>
      <c r="J79" s="558"/>
      <c r="K79" s="222">
        <f>IF(K76&gt;K77,K77,K76)-K78</f>
        <v>60</v>
      </c>
      <c r="L79" s="207"/>
    </row>
    <row r="80" spans="2:12">
      <c r="B80" s="213"/>
      <c r="C80" s="214"/>
      <c r="D80" s="214"/>
      <c r="E80" s="214"/>
      <c r="F80" s="214"/>
      <c r="G80" s="214"/>
      <c r="H80" s="559" t="s">
        <v>1224</v>
      </c>
      <c r="I80" s="559"/>
      <c r="J80" s="559"/>
      <c r="K80" s="223">
        <f>IF(K76&gt;K77,K76-K77,0)</f>
        <v>0</v>
      </c>
      <c r="L80" s="209"/>
    </row>
    <row r="82" spans="2:12" ht="14.25" customHeight="1">
      <c r="B82" s="555" t="s">
        <v>1232</v>
      </c>
      <c r="C82" s="555"/>
      <c r="D82" s="555"/>
      <c r="E82" s="555"/>
      <c r="F82" s="555"/>
      <c r="G82" s="555"/>
      <c r="H82" s="555"/>
      <c r="I82" s="555"/>
      <c r="J82" s="555"/>
      <c r="K82" s="555"/>
      <c r="L82" s="555"/>
    </row>
    <row r="83" spans="2:12">
      <c r="B83" s="187" t="s">
        <v>1209</v>
      </c>
      <c r="C83" s="187"/>
      <c r="D83" s="187" t="s">
        <v>39</v>
      </c>
      <c r="E83" s="187" t="s">
        <v>1210</v>
      </c>
      <c r="F83" s="187" t="s">
        <v>1211</v>
      </c>
      <c r="G83" s="187" t="s">
        <v>1212</v>
      </c>
      <c r="H83" s="187" t="s">
        <v>1213</v>
      </c>
      <c r="I83" s="187" t="s">
        <v>1214</v>
      </c>
      <c r="J83" s="187" t="s">
        <v>1215</v>
      </c>
      <c r="K83" s="187" t="s">
        <v>1216</v>
      </c>
      <c r="L83" s="187" t="s">
        <v>1217</v>
      </c>
    </row>
    <row r="84" spans="2:12">
      <c r="B84" s="188" t="s">
        <v>1228</v>
      </c>
      <c r="C84" s="189" t="s">
        <v>1219</v>
      </c>
      <c r="D84" s="190" t="s">
        <v>39</v>
      </c>
      <c r="E84" s="191">
        <v>5</v>
      </c>
      <c r="F84" s="192">
        <v>4</v>
      </c>
      <c r="G84" s="192"/>
      <c r="H84" s="191"/>
      <c r="I84" s="191"/>
      <c r="J84" s="216"/>
      <c r="K84" s="217">
        <f>IF(E84*F84*G84&lt;&gt;0,E84*F84*G84,IF(E84*F84&lt;&gt;0,E84*F84,IF(F84*G84&lt;&gt;0,F84*G84,IF(E84*G84&lt;&gt;0,E84*G84,IF(E84&lt;&gt;0,E84,IF(F84&lt;&gt;0,F84,IF(G84&lt;&gt;0,G84,0)))))))*(IF(H84&lt;&gt;0,H84,1))+I84-J84</f>
        <v>20</v>
      </c>
      <c r="L84" s="218"/>
    </row>
    <row r="85" spans="2:12">
      <c r="B85" s="188" t="s">
        <v>1228</v>
      </c>
      <c r="C85" s="189" t="s">
        <v>1240</v>
      </c>
      <c r="D85" s="190" t="s">
        <v>39</v>
      </c>
      <c r="E85" s="191">
        <v>10</v>
      </c>
      <c r="F85" s="192">
        <v>4</v>
      </c>
      <c r="G85" s="192"/>
      <c r="H85" s="191"/>
      <c r="I85" s="191"/>
      <c r="J85" s="219"/>
      <c r="K85" s="217">
        <f>IF(E85*F85*G85&lt;&gt;0,E85*F85*G85,IF(E85*F85&lt;&gt;0,E85*F85,IF(F85*G85&lt;&gt;0,F85*G85,IF(E85*G85&lt;&gt;0,E85*G85,IF(E85&lt;&gt;0,E85,IF(F85&lt;&gt;0,F85,IF(G85&lt;&gt;0,G85,0)))))))*(IF(H85&lt;&gt;0,H85,1))+I85-J85</f>
        <v>40</v>
      </c>
      <c r="L85" s="218"/>
    </row>
    <row r="86" spans="2:12">
      <c r="B86" s="202"/>
      <c r="C86" s="203"/>
      <c r="D86" s="203"/>
      <c r="E86" s="203"/>
      <c r="F86" s="203"/>
      <c r="G86" s="203"/>
      <c r="H86" s="204"/>
      <c r="I86" s="556" t="s">
        <v>1221</v>
      </c>
      <c r="J86" s="556"/>
      <c r="K86" s="220">
        <f>SUM(K84:K85)</f>
        <v>60</v>
      </c>
      <c r="L86" s="207"/>
    </row>
    <row r="87" spans="2:12">
      <c r="B87" s="208"/>
      <c r="C87" s="204"/>
      <c r="D87" s="204"/>
      <c r="E87" s="204"/>
      <c r="F87" s="204"/>
      <c r="G87" s="204"/>
      <c r="H87" s="209"/>
      <c r="I87" s="557" t="s">
        <v>1222</v>
      </c>
      <c r="J87" s="557"/>
      <c r="K87" s="221">
        <v>60</v>
      </c>
      <c r="L87" s="207"/>
    </row>
    <row r="88" spans="2:12">
      <c r="B88" s="208"/>
      <c r="C88" s="204"/>
      <c r="D88" s="204"/>
      <c r="E88" s="204"/>
      <c r="F88" s="204"/>
      <c r="G88" s="204"/>
      <c r="H88" s="558" t="s">
        <v>1223</v>
      </c>
      <c r="I88" s="558"/>
      <c r="J88" s="558"/>
      <c r="K88" s="222">
        <v>20</v>
      </c>
      <c r="L88" s="207"/>
    </row>
    <row r="89" spans="2:12">
      <c r="B89" s="208"/>
      <c r="C89" s="204"/>
      <c r="D89" s="204"/>
      <c r="E89" s="204"/>
      <c r="F89" s="204"/>
      <c r="G89" s="204"/>
      <c r="H89" s="558" t="s">
        <v>1199</v>
      </c>
      <c r="I89" s="558"/>
      <c r="J89" s="558"/>
      <c r="K89" s="222">
        <f>IF(K86&gt;K87,K87,K86)-K88</f>
        <v>40</v>
      </c>
      <c r="L89" s="207"/>
    </row>
    <row r="90" spans="2:12">
      <c r="B90" s="213"/>
      <c r="C90" s="214"/>
      <c r="D90" s="214"/>
      <c r="E90" s="214"/>
      <c r="F90" s="214"/>
      <c r="G90" s="214"/>
      <c r="H90" s="559" t="s">
        <v>1224</v>
      </c>
      <c r="I90" s="559"/>
      <c r="J90" s="559"/>
      <c r="K90" s="223">
        <f>IF(K86&gt;K87,K86-K87,0)</f>
        <v>0</v>
      </c>
      <c r="L90" s="209"/>
    </row>
    <row r="92" spans="2:12" ht="14.25" customHeight="1">
      <c r="B92" s="555" t="s">
        <v>1233</v>
      </c>
      <c r="C92" s="555"/>
      <c r="D92" s="555"/>
      <c r="E92" s="555"/>
      <c r="F92" s="555"/>
      <c r="G92" s="555"/>
      <c r="H92" s="555"/>
      <c r="I92" s="555"/>
      <c r="J92" s="555"/>
      <c r="K92" s="555"/>
      <c r="L92" s="555"/>
    </row>
    <row r="93" spans="2:12">
      <c r="B93" s="187" t="s">
        <v>1209</v>
      </c>
      <c r="C93" s="187"/>
      <c r="D93" s="187" t="s">
        <v>39</v>
      </c>
      <c r="E93" s="187" t="s">
        <v>1210</v>
      </c>
      <c r="F93" s="187" t="s">
        <v>1211</v>
      </c>
      <c r="G93" s="187" t="s">
        <v>1212</v>
      </c>
      <c r="H93" s="187" t="s">
        <v>1213</v>
      </c>
      <c r="I93" s="187" t="s">
        <v>1214</v>
      </c>
      <c r="J93" s="187" t="s">
        <v>1215</v>
      </c>
      <c r="K93" s="187" t="s">
        <v>1216</v>
      </c>
      <c r="L93" s="187" t="s">
        <v>1217</v>
      </c>
    </row>
    <row r="94" spans="2:12">
      <c r="B94" s="188" t="s">
        <v>1228</v>
      </c>
      <c r="C94" s="189" t="s">
        <v>1219</v>
      </c>
      <c r="D94" s="190" t="s">
        <v>39</v>
      </c>
      <c r="E94" s="191">
        <v>5</v>
      </c>
      <c r="F94" s="192">
        <v>4</v>
      </c>
      <c r="G94" s="192"/>
      <c r="H94" s="191"/>
      <c r="I94" s="191"/>
      <c r="J94" s="216"/>
      <c r="K94" s="217">
        <f>IF(E94*F94*G94&lt;&gt;0,E94*F94*G94,IF(E94*F94&lt;&gt;0,E94*F94,IF(F94*G94&lt;&gt;0,F94*G94,IF(E94*G94&lt;&gt;0,E94*G94,IF(E94&lt;&gt;0,E94,IF(F94&lt;&gt;0,F94,IF(G94&lt;&gt;0,G94,0)))))))*(IF(H94&lt;&gt;0,H94,1))+I94-J94</f>
        <v>20</v>
      </c>
      <c r="L94" s="218"/>
    </row>
    <row r="95" spans="2:12">
      <c r="B95" s="188" t="s">
        <v>1228</v>
      </c>
      <c r="C95" s="189" t="s">
        <v>1219</v>
      </c>
      <c r="D95" s="190" t="s">
        <v>39</v>
      </c>
      <c r="E95" s="191">
        <v>7.5</v>
      </c>
      <c r="F95" s="192">
        <v>4</v>
      </c>
      <c r="G95" s="192"/>
      <c r="H95" s="191"/>
      <c r="I95" s="191"/>
      <c r="J95" s="216"/>
      <c r="K95" s="217">
        <f>IF(E95*F95*G95&lt;&gt;0,E95*F95*G95,IF(E95*F95&lt;&gt;0,E95*F95,IF(F95*G95&lt;&gt;0,F95*G95,IF(E95*G95&lt;&gt;0,E95*G95,IF(E95&lt;&gt;0,E95,IF(F95&lt;&gt;0,F95,IF(G95&lt;&gt;0,G95,0)))))))*(IF(H95&lt;&gt;0,H95,1))+I95-J95</f>
        <v>30</v>
      </c>
      <c r="L95" s="218"/>
    </row>
    <row r="96" spans="2:12">
      <c r="B96" s="202"/>
      <c r="C96" s="203"/>
      <c r="D96" s="203"/>
      <c r="E96" s="203"/>
      <c r="F96" s="203"/>
      <c r="G96" s="203"/>
      <c r="H96" s="204"/>
      <c r="I96" s="556" t="s">
        <v>1221</v>
      </c>
      <c r="J96" s="556"/>
      <c r="K96" s="220">
        <f>SUM(K94:K95)</f>
        <v>50</v>
      </c>
      <c r="L96" s="207"/>
    </row>
    <row r="97" spans="2:12">
      <c r="B97" s="208"/>
      <c r="C97" s="204"/>
      <c r="D97" s="204"/>
      <c r="E97" s="204"/>
      <c r="F97" s="204"/>
      <c r="G97" s="204"/>
      <c r="H97" s="209"/>
      <c r="I97" s="557" t="s">
        <v>1222</v>
      </c>
      <c r="J97" s="557"/>
      <c r="K97" s="221">
        <v>50</v>
      </c>
      <c r="L97" s="207"/>
    </row>
    <row r="98" spans="2:12">
      <c r="B98" s="208"/>
      <c r="C98" s="204"/>
      <c r="D98" s="204"/>
      <c r="E98" s="204"/>
      <c r="F98" s="204"/>
      <c r="G98" s="204"/>
      <c r="H98" s="558" t="s">
        <v>1223</v>
      </c>
      <c r="I98" s="558"/>
      <c r="J98" s="558"/>
      <c r="K98" s="222">
        <v>20</v>
      </c>
      <c r="L98" s="207"/>
    </row>
    <row r="99" spans="2:12">
      <c r="B99" s="208"/>
      <c r="C99" s="204"/>
      <c r="D99" s="204"/>
      <c r="E99" s="204"/>
      <c r="F99" s="204"/>
      <c r="G99" s="204"/>
      <c r="H99" s="558" t="s">
        <v>1199</v>
      </c>
      <c r="I99" s="558"/>
      <c r="J99" s="558"/>
      <c r="K99" s="222">
        <f>IF(K96&gt;K97,K97,K96)-K98</f>
        <v>30</v>
      </c>
      <c r="L99" s="207"/>
    </row>
    <row r="100" spans="2:12">
      <c r="B100" s="213"/>
      <c r="C100" s="214"/>
      <c r="D100" s="214"/>
      <c r="E100" s="214"/>
      <c r="F100" s="214"/>
      <c r="G100" s="214"/>
      <c r="H100" s="559" t="s">
        <v>1224</v>
      </c>
      <c r="I100" s="559"/>
      <c r="J100" s="559"/>
      <c r="K100" s="223">
        <f>IF(K96&gt;K97,K96-K97,0)</f>
        <v>0</v>
      </c>
      <c r="L100" s="209"/>
    </row>
    <row r="102" spans="2:12" ht="15" customHeight="1">
      <c r="B102" s="555" t="s">
        <v>1234</v>
      </c>
      <c r="C102" s="555"/>
      <c r="D102" s="555"/>
      <c r="E102" s="555"/>
      <c r="F102" s="555"/>
      <c r="G102" s="555"/>
      <c r="H102" s="555"/>
      <c r="I102" s="555"/>
      <c r="J102" s="555"/>
      <c r="K102" s="555"/>
      <c r="L102" s="555"/>
    </row>
    <row r="103" spans="2:12">
      <c r="B103" s="187" t="s">
        <v>1209</v>
      </c>
      <c r="C103" s="187"/>
      <c r="D103" s="187" t="s">
        <v>39</v>
      </c>
      <c r="E103" s="187" t="s">
        <v>1210</v>
      </c>
      <c r="F103" s="187" t="s">
        <v>1211</v>
      </c>
      <c r="G103" s="187" t="s">
        <v>1212</v>
      </c>
      <c r="H103" s="187" t="s">
        <v>1213</v>
      </c>
      <c r="I103" s="187" t="s">
        <v>1214</v>
      </c>
      <c r="J103" s="187" t="s">
        <v>1215</v>
      </c>
      <c r="K103" s="187" t="s">
        <v>1216</v>
      </c>
      <c r="L103" s="187" t="s">
        <v>1217</v>
      </c>
    </row>
    <row r="104" spans="2:12">
      <c r="B104" s="188" t="s">
        <v>1235</v>
      </c>
      <c r="C104" s="189" t="s">
        <v>1219</v>
      </c>
      <c r="D104" s="190" t="s">
        <v>169</v>
      </c>
      <c r="E104" s="191">
        <v>1616.87</v>
      </c>
      <c r="F104" s="192"/>
      <c r="G104" s="192">
        <v>0.75</v>
      </c>
      <c r="H104" s="191"/>
      <c r="I104" s="191"/>
      <c r="J104" s="216"/>
      <c r="K104" s="217">
        <f>IF(E104*F104*G104&lt;&gt;0,E104*F104*G104,IF(E104*F104&lt;&gt;0,E104*F104,IF(F104*G104&lt;&gt;0,F104*G104,IF(E104*G104&lt;&gt;0,E104*G104,IF(E104&lt;&gt;0,E104,IF(F104&lt;&gt;0,F104,IF(G104&lt;&gt;0,G104,0)))))))*(IF(H104&lt;&gt;0,H104,1))+I104-J104</f>
        <v>1212.6524999999999</v>
      </c>
      <c r="L104" s="218"/>
    </row>
    <row r="105" spans="2:12">
      <c r="B105" s="188" t="s">
        <v>1235</v>
      </c>
      <c r="C105" s="189" t="s">
        <v>1271</v>
      </c>
      <c r="D105" s="190" t="s">
        <v>169</v>
      </c>
      <c r="E105" s="199">
        <v>1616.87</v>
      </c>
      <c r="F105" s="199"/>
      <c r="G105" s="199">
        <v>0.25</v>
      </c>
      <c r="H105" s="199"/>
      <c r="I105" s="199"/>
      <c r="J105" s="219"/>
      <c r="K105" s="217">
        <f>IF(E105*F105*G105&lt;&gt;0,E105*F105*G105,IF(E105*F105&lt;&gt;0,E105*F105,IF(F105*G105&lt;&gt;0,F105*G105,IF(E105*G105&lt;&gt;0,E105*G105,IF(E105&lt;&gt;0,E105,IF(F105&lt;&gt;0,F105,IF(G105&lt;&gt;0,G105,0)))))))*(IF(H105&lt;&gt;0,H105,1))+I105-J105</f>
        <v>404.21749999999997</v>
      </c>
      <c r="L105" s="218"/>
    </row>
    <row r="106" spans="2:12">
      <c r="B106" s="197"/>
      <c r="C106" s="189"/>
      <c r="D106" s="198"/>
      <c r="E106" s="199"/>
      <c r="F106" s="199"/>
      <c r="G106" s="199"/>
      <c r="H106" s="199"/>
      <c r="I106" s="199"/>
      <c r="J106" s="219"/>
      <c r="K106" s="217">
        <f>IF(E106*F106*G106&lt;&gt;0,E106*F106*G106,IF(E106*F106&lt;&gt;0,E106*F106,IF(F106*G106&lt;&gt;0,F106*G106,IF(E106*G106&lt;&gt;0,E106*G106,IF(E106&lt;&gt;0,E106,IF(F106&lt;&gt;0,F106,IF(G106&lt;&gt;0,G106,0)))))))*(IF(H106&lt;&gt;0,H106,1))+I106-J106</f>
        <v>0</v>
      </c>
      <c r="L106" s="218"/>
    </row>
    <row r="107" spans="2:12">
      <c r="B107" s="202"/>
      <c r="C107" s="203"/>
      <c r="D107" s="203"/>
      <c r="E107" s="203"/>
      <c r="F107" s="203"/>
      <c r="G107" s="203"/>
      <c r="H107" s="204"/>
      <c r="I107" s="556" t="s">
        <v>1221</v>
      </c>
      <c r="J107" s="556"/>
      <c r="K107" s="220">
        <f>SUM(K104:K106)</f>
        <v>1616.87</v>
      </c>
      <c r="L107" s="207"/>
    </row>
    <row r="108" spans="2:12">
      <c r="B108" s="208"/>
      <c r="C108" s="204"/>
      <c r="D108" s="204"/>
      <c r="E108" s="204"/>
      <c r="F108" s="204"/>
      <c r="G108" s="204"/>
      <c r="H108" s="209"/>
      <c r="I108" s="557" t="s">
        <v>1222</v>
      </c>
      <c r="J108" s="557"/>
      <c r="K108" s="221">
        <v>4350</v>
      </c>
      <c r="L108" s="207"/>
    </row>
    <row r="109" spans="2:12">
      <c r="B109" s="208"/>
      <c r="C109" s="204"/>
      <c r="D109" s="204"/>
      <c r="E109" s="204"/>
      <c r="F109" s="204"/>
      <c r="G109" s="204"/>
      <c r="H109" s="558" t="s">
        <v>1223</v>
      </c>
      <c r="I109" s="558"/>
      <c r="J109" s="558"/>
      <c r="K109" s="222">
        <v>1616.87</v>
      </c>
      <c r="L109" s="207"/>
    </row>
    <row r="110" spans="2:12">
      <c r="B110" s="208"/>
      <c r="C110" s="204"/>
      <c r="D110" s="204"/>
      <c r="E110" s="204"/>
      <c r="F110" s="204"/>
      <c r="G110" s="204"/>
      <c r="H110" s="558" t="s">
        <v>1431</v>
      </c>
      <c r="I110" s="558"/>
      <c r="J110" s="558"/>
      <c r="K110" s="222">
        <f>IF(K107&gt;K108,K108,K107)-K109</f>
        <v>0</v>
      </c>
      <c r="L110" s="207"/>
    </row>
    <row r="111" spans="2:12">
      <c r="B111" s="213"/>
      <c r="C111" s="214"/>
      <c r="D111" s="214"/>
      <c r="E111" s="214"/>
      <c r="F111" s="214"/>
      <c r="G111" s="214"/>
      <c r="H111" s="559" t="s">
        <v>1224</v>
      </c>
      <c r="I111" s="559"/>
      <c r="J111" s="559"/>
      <c r="K111" s="223">
        <f>IF(K107&gt;K108,K107-K108,0)</f>
        <v>0</v>
      </c>
      <c r="L111" s="209"/>
    </row>
    <row r="112" spans="2:12" ht="15" customHeight="1"/>
    <row r="113" spans="2:12" ht="24" customHeight="1">
      <c r="B113" s="555" t="s">
        <v>1236</v>
      </c>
      <c r="C113" s="555"/>
      <c r="D113" s="555"/>
      <c r="E113" s="555"/>
      <c r="F113" s="555"/>
      <c r="G113" s="555"/>
      <c r="H113" s="555"/>
      <c r="I113" s="555"/>
      <c r="J113" s="555"/>
      <c r="K113" s="555"/>
      <c r="L113" s="555"/>
    </row>
    <row r="114" spans="2:12">
      <c r="B114" s="187" t="s">
        <v>1209</v>
      </c>
      <c r="C114" s="187"/>
      <c r="D114" s="187" t="s">
        <v>39</v>
      </c>
      <c r="E114" s="187" t="s">
        <v>1210</v>
      </c>
      <c r="F114" s="187" t="s">
        <v>1211</v>
      </c>
      <c r="G114" s="187" t="s">
        <v>1212</v>
      </c>
      <c r="H114" s="187" t="s">
        <v>1213</v>
      </c>
      <c r="I114" s="187" t="s">
        <v>1214</v>
      </c>
      <c r="J114" s="187" t="s">
        <v>1215</v>
      </c>
      <c r="K114" s="187" t="s">
        <v>1216</v>
      </c>
      <c r="L114" s="187" t="s">
        <v>1217</v>
      </c>
    </row>
    <row r="115" spans="2:12">
      <c r="B115" s="188" t="s">
        <v>1235</v>
      </c>
      <c r="C115" s="189" t="s">
        <v>1219</v>
      </c>
      <c r="D115" s="190" t="s">
        <v>169</v>
      </c>
      <c r="E115" s="191">
        <v>1616.87</v>
      </c>
      <c r="F115" s="192"/>
      <c r="G115" s="192">
        <v>0.75</v>
      </c>
      <c r="H115" s="191"/>
      <c r="I115" s="191"/>
      <c r="J115" s="216"/>
      <c r="K115" s="217">
        <f t="shared" ref="K115:K120" si="2">IF(E115*F115*G115&lt;&gt;0,E115*F115*G115,IF(E115*F115&lt;&gt;0,E115*F115,IF(F115*G115&lt;&gt;0,F115*G115,IF(E115*G115&lt;&gt;0,E115*G115,IF(E115&lt;&gt;0,E115,IF(F115&lt;&gt;0,F115,IF(G115&lt;&gt;0,G115,0)))))))*(IF(H115&lt;&gt;0,H115,1))+I115-J115</f>
        <v>1212.6524999999999</v>
      </c>
      <c r="L115" s="218"/>
    </row>
    <row r="116" spans="2:12">
      <c r="B116" s="188" t="s">
        <v>1235</v>
      </c>
      <c r="C116" s="189" t="s">
        <v>1271</v>
      </c>
      <c r="D116" s="190" t="s">
        <v>169</v>
      </c>
      <c r="E116" s="199">
        <v>1616.87</v>
      </c>
      <c r="F116" s="199"/>
      <c r="G116" s="199">
        <v>0.25</v>
      </c>
      <c r="H116" s="199"/>
      <c r="I116" s="199"/>
      <c r="J116" s="219"/>
      <c r="K116" s="217">
        <f t="shared" si="2"/>
        <v>404.21749999999997</v>
      </c>
      <c r="L116" s="218"/>
    </row>
    <row r="117" spans="2:12">
      <c r="B117" s="188" t="s">
        <v>1235</v>
      </c>
      <c r="C117" s="189" t="s">
        <v>1271</v>
      </c>
      <c r="D117" s="190" t="s">
        <v>169</v>
      </c>
      <c r="E117" s="199">
        <v>922</v>
      </c>
      <c r="F117" s="199"/>
      <c r="G117" s="199">
        <v>0.5</v>
      </c>
      <c r="H117" s="199"/>
      <c r="I117" s="199"/>
      <c r="J117" s="219"/>
      <c r="K117" s="217">
        <f t="shared" si="2"/>
        <v>461</v>
      </c>
      <c r="L117" s="218"/>
    </row>
    <row r="118" spans="2:12">
      <c r="B118" s="188" t="s">
        <v>1522</v>
      </c>
      <c r="C118" s="189" t="s">
        <v>1521</v>
      </c>
      <c r="D118" s="190" t="s">
        <v>169</v>
      </c>
      <c r="E118" s="199">
        <v>15</v>
      </c>
      <c r="F118" s="199"/>
      <c r="G118" s="199">
        <v>25</v>
      </c>
      <c r="H118" s="199"/>
      <c r="I118" s="199"/>
      <c r="J118" s="219"/>
      <c r="K118" s="217">
        <f t="shared" si="2"/>
        <v>375</v>
      </c>
      <c r="L118" s="218"/>
    </row>
    <row r="119" spans="2:12">
      <c r="B119" s="188" t="s">
        <v>1522</v>
      </c>
      <c r="C119" s="189" t="s">
        <v>1521</v>
      </c>
      <c r="D119" s="190" t="s">
        <v>169</v>
      </c>
      <c r="E119" s="199">
        <v>15</v>
      </c>
      <c r="F119" s="199"/>
      <c r="G119" s="199">
        <v>25</v>
      </c>
      <c r="H119" s="199"/>
      <c r="I119" s="199"/>
      <c r="J119" s="219"/>
      <c r="K119" s="217">
        <f t="shared" si="2"/>
        <v>375</v>
      </c>
      <c r="L119" s="218"/>
    </row>
    <row r="120" spans="2:12">
      <c r="B120" s="197"/>
      <c r="C120" s="189"/>
      <c r="D120" s="198"/>
      <c r="E120" s="199"/>
      <c r="F120" s="199"/>
      <c r="G120" s="199"/>
      <c r="H120" s="199"/>
      <c r="I120" s="199"/>
      <c r="J120" s="219"/>
      <c r="K120" s="217">
        <f t="shared" si="2"/>
        <v>0</v>
      </c>
      <c r="L120" s="218"/>
    </row>
    <row r="121" spans="2:12">
      <c r="B121" s="202"/>
      <c r="C121" s="203"/>
      <c r="D121" s="203"/>
      <c r="E121" s="203"/>
      <c r="F121" s="203"/>
      <c r="G121" s="203"/>
      <c r="H121" s="204"/>
      <c r="I121" s="556" t="s">
        <v>1221</v>
      </c>
      <c r="J121" s="556"/>
      <c r="K121" s="220">
        <f>SUM(K115:K120)</f>
        <v>2827.87</v>
      </c>
      <c r="L121" s="207"/>
    </row>
    <row r="122" spans="2:12">
      <c r="B122" s="208"/>
      <c r="C122" s="204"/>
      <c r="D122" s="204"/>
      <c r="E122" s="204"/>
      <c r="F122" s="204"/>
      <c r="G122" s="204"/>
      <c r="H122" s="209"/>
      <c r="I122" s="557" t="s">
        <v>1222</v>
      </c>
      <c r="J122" s="557"/>
      <c r="K122" s="221">
        <v>3985</v>
      </c>
      <c r="L122" s="207"/>
    </row>
    <row r="123" spans="2:12">
      <c r="B123" s="208"/>
      <c r="C123" s="204"/>
      <c r="D123" s="204"/>
      <c r="E123" s="204"/>
      <c r="F123" s="204"/>
      <c r="G123" s="204"/>
      <c r="H123" s="558" t="s">
        <v>1223</v>
      </c>
      <c r="I123" s="558"/>
      <c r="J123" s="558"/>
      <c r="K123" s="222">
        <v>2452.87</v>
      </c>
      <c r="L123" s="207"/>
    </row>
    <row r="124" spans="2:12">
      <c r="B124" s="208"/>
      <c r="C124" s="204"/>
      <c r="D124" s="204"/>
      <c r="E124" s="204"/>
      <c r="F124" s="204"/>
      <c r="G124" s="204"/>
      <c r="H124" s="558" t="s">
        <v>1579</v>
      </c>
      <c r="I124" s="558"/>
      <c r="J124" s="558"/>
      <c r="K124" s="222">
        <f>IF(K121&gt;K122,K122,K121)-K123</f>
        <v>375</v>
      </c>
      <c r="L124" s="207"/>
    </row>
    <row r="125" spans="2:12" ht="15" customHeight="1">
      <c r="B125" s="213"/>
      <c r="C125" s="214"/>
      <c r="D125" s="214"/>
      <c r="E125" s="214"/>
      <c r="F125" s="214"/>
      <c r="G125" s="214"/>
      <c r="H125" s="559" t="s">
        <v>1224</v>
      </c>
      <c r="I125" s="559"/>
      <c r="J125" s="559"/>
      <c r="K125" s="223">
        <f>IF(K121&gt;K122,K121-K122,0)</f>
        <v>0</v>
      </c>
      <c r="L125" s="209"/>
    </row>
    <row r="127" spans="2:12" ht="14.25" customHeight="1">
      <c r="B127" s="555" t="s">
        <v>1237</v>
      </c>
      <c r="C127" s="555"/>
      <c r="D127" s="555"/>
      <c r="E127" s="555"/>
      <c r="F127" s="555"/>
      <c r="G127" s="555"/>
      <c r="H127" s="555"/>
      <c r="I127" s="555"/>
      <c r="J127" s="555"/>
      <c r="K127" s="555"/>
      <c r="L127" s="555"/>
    </row>
    <row r="128" spans="2:12">
      <c r="B128" s="187" t="s">
        <v>1209</v>
      </c>
      <c r="C128" s="187"/>
      <c r="D128" s="187" t="s">
        <v>39</v>
      </c>
      <c r="E128" s="187" t="s">
        <v>1210</v>
      </c>
      <c r="F128" s="187" t="s">
        <v>1211</v>
      </c>
      <c r="G128" s="187" t="s">
        <v>1212</v>
      </c>
      <c r="H128" s="187" t="s">
        <v>1213</v>
      </c>
      <c r="I128" s="187" t="s">
        <v>1214</v>
      </c>
      <c r="J128" s="187" t="s">
        <v>1215</v>
      </c>
      <c r="K128" s="187" t="s">
        <v>1216</v>
      </c>
      <c r="L128" s="187" t="s">
        <v>1217</v>
      </c>
    </row>
    <row r="129" spans="2:12">
      <c r="B129" s="188" t="s">
        <v>1238</v>
      </c>
      <c r="C129" s="189" t="s">
        <v>1219</v>
      </c>
      <c r="D129" s="190" t="s">
        <v>113</v>
      </c>
      <c r="E129" s="191"/>
      <c r="F129" s="192"/>
      <c r="G129" s="192"/>
      <c r="H129" s="191"/>
      <c r="I129" s="191">
        <v>8200</v>
      </c>
      <c r="J129" s="216"/>
      <c r="K129" s="217">
        <f t="shared" ref="K129:K134" si="3">IF(E129*F129*G129&lt;&gt;0,E129*F129*G129,IF(E129*F129&lt;&gt;0,E129*F129,IF(F129*G129&lt;&gt;0,F129*G129,IF(E129*G129&lt;&gt;0,E129*G129,IF(E129&lt;&gt;0,E129,IF(F129&lt;&gt;0,F129,IF(G129&lt;&gt;0,G129,0)))))))*(IF(H129&lt;&gt;0,H129,1))+I129-J129</f>
        <v>8200</v>
      </c>
      <c r="L129" s="218"/>
    </row>
    <row r="130" spans="2:12">
      <c r="B130" s="188" t="s">
        <v>1235</v>
      </c>
      <c r="C130" s="189" t="s">
        <v>1271</v>
      </c>
      <c r="D130" s="190" t="s">
        <v>169</v>
      </c>
      <c r="E130" s="199">
        <v>1616.87</v>
      </c>
      <c r="F130" s="199"/>
      <c r="G130" s="199">
        <v>0.25</v>
      </c>
      <c r="H130" s="199">
        <v>30</v>
      </c>
      <c r="I130" s="199"/>
      <c r="J130" s="219"/>
      <c r="K130" s="217">
        <f t="shared" si="3"/>
        <v>12126.525</v>
      </c>
      <c r="L130" s="218"/>
    </row>
    <row r="131" spans="2:12">
      <c r="B131" s="188" t="s">
        <v>1235</v>
      </c>
      <c r="C131" s="189" t="s">
        <v>1271</v>
      </c>
      <c r="D131" s="190" t="s">
        <v>169</v>
      </c>
      <c r="E131" s="199">
        <v>922</v>
      </c>
      <c r="F131" s="199"/>
      <c r="G131" s="199">
        <v>0.5</v>
      </c>
      <c r="H131" s="199">
        <v>30</v>
      </c>
      <c r="I131" s="199"/>
      <c r="J131" s="219"/>
      <c r="K131" s="217">
        <f t="shared" si="3"/>
        <v>13830</v>
      </c>
      <c r="L131" s="218"/>
    </row>
    <row r="132" spans="2:12">
      <c r="B132" s="188" t="s">
        <v>1522</v>
      </c>
      <c r="C132" s="189" t="s">
        <v>1521</v>
      </c>
      <c r="D132" s="190" t="s">
        <v>169</v>
      </c>
      <c r="E132" s="199">
        <v>15</v>
      </c>
      <c r="F132" s="199"/>
      <c r="G132" s="199">
        <v>25</v>
      </c>
      <c r="H132" s="199">
        <v>30</v>
      </c>
      <c r="I132" s="199"/>
      <c r="J132" s="219"/>
      <c r="K132" s="217">
        <f t="shared" si="3"/>
        <v>11250</v>
      </c>
      <c r="L132" s="218"/>
    </row>
    <row r="133" spans="2:12">
      <c r="B133" s="188" t="s">
        <v>1522</v>
      </c>
      <c r="C133" s="189" t="s">
        <v>1521</v>
      </c>
      <c r="D133" s="190" t="s">
        <v>169</v>
      </c>
      <c r="E133" s="199">
        <v>15</v>
      </c>
      <c r="F133" s="199"/>
      <c r="G133" s="199">
        <v>25</v>
      </c>
      <c r="H133" s="199">
        <v>30</v>
      </c>
      <c r="I133" s="199"/>
      <c r="J133" s="219"/>
      <c r="K133" s="217">
        <f t="shared" si="3"/>
        <v>11250</v>
      </c>
      <c r="L133" s="218"/>
    </row>
    <row r="134" spans="2:12">
      <c r="B134" s="197"/>
      <c r="C134" s="189"/>
      <c r="D134" s="198"/>
      <c r="E134" s="199"/>
      <c r="F134" s="199"/>
      <c r="G134" s="199"/>
      <c r="H134" s="199"/>
      <c r="I134" s="199"/>
      <c r="J134" s="219"/>
      <c r="K134" s="217">
        <f t="shared" si="3"/>
        <v>0</v>
      </c>
      <c r="L134" s="218"/>
    </row>
    <row r="135" spans="2:12">
      <c r="B135" s="202"/>
      <c r="C135" s="203"/>
      <c r="D135" s="203"/>
      <c r="E135" s="203"/>
      <c r="F135" s="203"/>
      <c r="G135" s="203"/>
      <c r="H135" s="204"/>
      <c r="I135" s="556" t="s">
        <v>1221</v>
      </c>
      <c r="J135" s="556"/>
      <c r="K135" s="220">
        <f>SUM(K129:K134)</f>
        <v>56656.525000000001</v>
      </c>
      <c r="L135" s="207"/>
    </row>
    <row r="136" spans="2:12">
      <c r="B136" s="208"/>
      <c r="C136" s="204"/>
      <c r="D136" s="204"/>
      <c r="E136" s="204"/>
      <c r="F136" s="204"/>
      <c r="G136" s="204"/>
      <c r="H136" s="209"/>
      <c r="I136" s="557" t="s">
        <v>1222</v>
      </c>
      <c r="J136" s="557"/>
      <c r="K136" s="221">
        <v>119550</v>
      </c>
      <c r="L136" s="207"/>
    </row>
    <row r="137" spans="2:12">
      <c r="B137" s="208"/>
      <c r="C137" s="204"/>
      <c r="D137" s="204"/>
      <c r="E137" s="204"/>
      <c r="F137" s="204"/>
      <c r="G137" s="204"/>
      <c r="H137" s="558" t="s">
        <v>1223</v>
      </c>
      <c r="I137" s="558"/>
      <c r="J137" s="558"/>
      <c r="K137" s="222">
        <v>45406.525000000001</v>
      </c>
      <c r="L137" s="207"/>
    </row>
    <row r="138" spans="2:12">
      <c r="B138" s="208"/>
      <c r="C138" s="204"/>
      <c r="D138" s="204"/>
      <c r="E138" s="204"/>
      <c r="F138" s="204"/>
      <c r="G138" s="204"/>
      <c r="H138" s="558" t="s">
        <v>1579</v>
      </c>
      <c r="I138" s="558"/>
      <c r="J138" s="558"/>
      <c r="K138" s="222">
        <f>IF(K135&gt;K136,K136,K135)-K137</f>
        <v>11250</v>
      </c>
      <c r="L138" s="207"/>
    </row>
    <row r="139" spans="2:12">
      <c r="B139" s="213"/>
      <c r="C139" s="214"/>
      <c r="D139" s="214"/>
      <c r="E139" s="214"/>
      <c r="F139" s="214"/>
      <c r="G139" s="214"/>
      <c r="H139" s="559" t="s">
        <v>1224</v>
      </c>
      <c r="I139" s="559"/>
      <c r="J139" s="559"/>
      <c r="K139" s="223">
        <f>IF(K135&gt;K136,K135-K136,0)</f>
        <v>0</v>
      </c>
      <c r="L139" s="209"/>
    </row>
    <row r="141" spans="2:12" ht="14.25" customHeight="1">
      <c r="B141" s="555" t="s">
        <v>1241</v>
      </c>
      <c r="C141" s="555"/>
      <c r="D141" s="555"/>
      <c r="E141" s="555"/>
      <c r="F141" s="555"/>
      <c r="G141" s="555"/>
      <c r="H141" s="555"/>
      <c r="I141" s="555"/>
      <c r="J141" s="555"/>
      <c r="K141" s="555"/>
      <c r="L141" s="555"/>
    </row>
    <row r="142" spans="2:12">
      <c r="B142" s="187" t="s">
        <v>1209</v>
      </c>
      <c r="C142" s="187"/>
      <c r="D142" s="187" t="s">
        <v>39</v>
      </c>
      <c r="E142" s="187" t="s">
        <v>1210</v>
      </c>
      <c r="F142" s="187" t="s">
        <v>1211</v>
      </c>
      <c r="G142" s="187" t="s">
        <v>1212</v>
      </c>
      <c r="H142" s="187" t="s">
        <v>1213</v>
      </c>
      <c r="I142" s="187" t="s">
        <v>1214</v>
      </c>
      <c r="J142" s="187" t="s">
        <v>1215</v>
      </c>
      <c r="K142" s="187" t="s">
        <v>1216</v>
      </c>
      <c r="L142" s="187" t="s">
        <v>1217</v>
      </c>
    </row>
    <row r="143" spans="2:12">
      <c r="B143" s="188" t="s">
        <v>117</v>
      </c>
      <c r="C143" s="189" t="s">
        <v>1240</v>
      </c>
      <c r="D143" s="190" t="s">
        <v>82</v>
      </c>
      <c r="E143" s="191">
        <v>10</v>
      </c>
      <c r="F143" s="192">
        <f>45/40</f>
        <v>1.125</v>
      </c>
      <c r="G143" s="192"/>
      <c r="H143" s="191">
        <v>147</v>
      </c>
      <c r="I143" s="191"/>
      <c r="J143" s="216"/>
      <c r="K143" s="217">
        <f>IF(E143*F143*G143&lt;&gt;0,E143*F143*G143,IF(E143*F143&lt;&gt;0,E143*F143,IF(F143*G143&lt;&gt;0,F143*G143,IF(E143*G143&lt;&gt;0,E143*G143,IF(E143&lt;&gt;0,E143,IF(F143&lt;&gt;0,F143,IF(G143&lt;&gt;0,G143,0)))))))*(IF(H143&lt;&gt;0,H143,1))+I143-J143</f>
        <v>1653.75</v>
      </c>
      <c r="L143" s="218"/>
    </row>
    <row r="144" spans="2:12">
      <c r="B144" s="188" t="s">
        <v>117</v>
      </c>
      <c r="C144" s="189" t="s">
        <v>1271</v>
      </c>
      <c r="D144" s="190" t="s">
        <v>82</v>
      </c>
      <c r="E144" s="191">
        <v>10</v>
      </c>
      <c r="F144" s="192">
        <f>45/40</f>
        <v>1.125</v>
      </c>
      <c r="G144" s="192"/>
      <c r="H144" s="191">
        <f>173-147</f>
        <v>26</v>
      </c>
      <c r="I144" s="191"/>
      <c r="J144" s="216"/>
      <c r="K144" s="217">
        <f>IF(E144*F144*G144&lt;&gt;0,E144*F144*G144,IF(E144*F144&lt;&gt;0,E144*F144,IF(F144*G144&lt;&gt;0,F144*G144,IF(E144*G144&lt;&gt;0,E144*G144,IF(E144&lt;&gt;0,E144,IF(F144&lt;&gt;0,F144,IF(G144&lt;&gt;0,G144,0)))))))*(IF(H144&lt;&gt;0,H144,1))+I144-J144</f>
        <v>292.5</v>
      </c>
      <c r="L144" s="218"/>
    </row>
    <row r="145" spans="2:12">
      <c r="B145" s="197"/>
      <c r="C145" s="189"/>
      <c r="D145" s="198"/>
      <c r="E145" s="199"/>
      <c r="F145" s="199"/>
      <c r="G145" s="199"/>
      <c r="H145" s="199"/>
      <c r="I145" s="199"/>
      <c r="J145" s="219"/>
      <c r="K145" s="217">
        <f>IF(E145*F145*G145&lt;&gt;0,E145*F145*G145,IF(E145*F145&lt;&gt;0,E145*F145,IF(F145*G145&lt;&gt;0,F145*G145,IF(E145*G145&lt;&gt;0,E145*G145,IF(E145&lt;&gt;0,E145,IF(F145&lt;&gt;0,F145,IF(G145&lt;&gt;0,G145,0)))))))*(IF(H145&lt;&gt;0,H145,1))+I145-J145</f>
        <v>0</v>
      </c>
      <c r="L145" s="218"/>
    </row>
    <row r="146" spans="2:12">
      <c r="B146" s="202"/>
      <c r="C146" s="203"/>
      <c r="D146" s="203"/>
      <c r="E146" s="203"/>
      <c r="F146" s="203"/>
      <c r="G146" s="203"/>
      <c r="H146" s="204"/>
      <c r="I146" s="556" t="s">
        <v>1221</v>
      </c>
      <c r="J146" s="556"/>
      <c r="K146" s="220">
        <f>SUM(K143:K145)</f>
        <v>1946.25</v>
      </c>
      <c r="L146" s="207"/>
    </row>
    <row r="147" spans="2:12">
      <c r="B147" s="208"/>
      <c r="C147" s="204"/>
      <c r="D147" s="204"/>
      <c r="E147" s="204"/>
      <c r="F147" s="204"/>
      <c r="G147" s="204"/>
      <c r="H147" s="209"/>
      <c r="I147" s="557" t="s">
        <v>1222</v>
      </c>
      <c r="J147" s="557"/>
      <c r="K147" s="221">
        <v>1837</v>
      </c>
      <c r="L147" s="207"/>
    </row>
    <row r="148" spans="2:12">
      <c r="B148" s="208"/>
      <c r="C148" s="204"/>
      <c r="D148" s="204"/>
      <c r="E148" s="204"/>
      <c r="F148" s="204"/>
      <c r="G148" s="204"/>
      <c r="H148" s="558" t="s">
        <v>1223</v>
      </c>
      <c r="I148" s="558"/>
      <c r="J148" s="558"/>
      <c r="K148" s="222">
        <v>1653.75</v>
      </c>
      <c r="L148" s="207"/>
    </row>
    <row r="149" spans="2:12">
      <c r="B149" s="208"/>
      <c r="C149" s="204"/>
      <c r="D149" s="204"/>
      <c r="E149" s="204"/>
      <c r="F149" s="204"/>
      <c r="G149" s="204"/>
      <c r="H149" s="558" t="s">
        <v>1199</v>
      </c>
      <c r="I149" s="558"/>
      <c r="J149" s="558"/>
      <c r="K149" s="222">
        <f>IF(K146&gt;K147,K147,K146)-K148</f>
        <v>183.25</v>
      </c>
      <c r="L149" s="207"/>
    </row>
    <row r="150" spans="2:12">
      <c r="B150" s="213"/>
      <c r="C150" s="214"/>
      <c r="D150" s="214"/>
      <c r="E150" s="214"/>
      <c r="F150" s="214"/>
      <c r="G150" s="214"/>
      <c r="H150" s="559" t="s">
        <v>1224</v>
      </c>
      <c r="I150" s="559"/>
      <c r="J150" s="559"/>
      <c r="K150" s="223">
        <f>IF(K146&gt;K147,K146-K147,0)</f>
        <v>109.25</v>
      </c>
      <c r="L150" s="209"/>
    </row>
    <row r="152" spans="2:12" ht="14.25" customHeight="1">
      <c r="B152" s="555" t="s">
        <v>1242</v>
      </c>
      <c r="C152" s="555"/>
      <c r="D152" s="555"/>
      <c r="E152" s="555"/>
      <c r="F152" s="555"/>
      <c r="G152" s="555"/>
      <c r="H152" s="555"/>
      <c r="I152" s="555"/>
      <c r="J152" s="555"/>
      <c r="K152" s="555"/>
      <c r="L152" s="555"/>
    </row>
    <row r="153" spans="2:12">
      <c r="B153" s="187" t="s">
        <v>1209</v>
      </c>
      <c r="C153" s="187"/>
      <c r="D153" s="187" t="s">
        <v>39</v>
      </c>
      <c r="E153" s="187" t="s">
        <v>1210</v>
      </c>
      <c r="F153" s="187" t="s">
        <v>1211</v>
      </c>
      <c r="G153" s="187" t="s">
        <v>1212</v>
      </c>
      <c r="H153" s="187" t="s">
        <v>1213</v>
      </c>
      <c r="I153" s="187" t="s">
        <v>1214</v>
      </c>
      <c r="J153" s="187" t="s">
        <v>1215</v>
      </c>
      <c r="K153" s="187" t="s">
        <v>1216</v>
      </c>
      <c r="L153" s="187" t="s">
        <v>1217</v>
      </c>
    </row>
    <row r="154" spans="2:12">
      <c r="B154" s="188" t="s">
        <v>117</v>
      </c>
      <c r="C154" s="189" t="s">
        <v>1240</v>
      </c>
      <c r="D154" s="190" t="s">
        <v>110</v>
      </c>
      <c r="E154" s="191">
        <f>K149</f>
        <v>183.25</v>
      </c>
      <c r="F154" s="192">
        <v>0.16</v>
      </c>
      <c r="G154" s="192"/>
      <c r="H154" s="191"/>
      <c r="I154" s="191"/>
      <c r="J154" s="216"/>
      <c r="K154" s="217">
        <f>IF(E154*F154*G154&lt;&gt;0,E154*F154*G154,IF(E154*F154&lt;&gt;0,E154*F154,IF(F154*G154&lt;&gt;0,F154*G154,IF(E154*G154&lt;&gt;0,E154*G154,IF(E154&lt;&gt;0,E154,IF(F154&lt;&gt;0,F154,IF(G154&lt;&gt;0,G154,0)))))))*(IF(H154&lt;&gt;0,H154,1))+I154-J154</f>
        <v>29.32</v>
      </c>
      <c r="L154" s="218"/>
    </row>
    <row r="155" spans="2:12">
      <c r="B155" s="197"/>
      <c r="C155" s="189"/>
      <c r="D155" s="198"/>
      <c r="E155" s="199"/>
      <c r="F155" s="199"/>
      <c r="G155" s="199"/>
      <c r="H155" s="199"/>
      <c r="I155" s="199"/>
      <c r="J155" s="219"/>
      <c r="K155" s="217">
        <f>IF(E155*F155*G155&lt;&gt;0,E155*F155*G155,IF(E155*F155&lt;&gt;0,E155*F155,IF(F155*G155&lt;&gt;0,F155*G155,IF(E155*G155&lt;&gt;0,E155*G155,IF(E155&lt;&gt;0,E155,IF(F155&lt;&gt;0,F155,IF(G155&lt;&gt;0,G155,0)))))))*(IF(H155&lt;&gt;0,H155,1))+I155-J155</f>
        <v>0</v>
      </c>
      <c r="L155" s="218"/>
    </row>
    <row r="156" spans="2:12">
      <c r="B156" s="202"/>
      <c r="C156" s="203"/>
      <c r="D156" s="203"/>
      <c r="E156" s="203"/>
      <c r="F156" s="203"/>
      <c r="G156" s="203"/>
      <c r="H156" s="204"/>
      <c r="I156" s="556" t="s">
        <v>1221</v>
      </c>
      <c r="J156" s="556"/>
      <c r="K156" s="220">
        <f>SUM(K154:K155)</f>
        <v>29.32</v>
      </c>
      <c r="L156" s="207"/>
    </row>
    <row r="157" spans="2:12">
      <c r="B157" s="208"/>
      <c r="C157" s="204"/>
      <c r="D157" s="204"/>
      <c r="E157" s="204"/>
      <c r="F157" s="204"/>
      <c r="G157" s="204"/>
      <c r="H157" s="209"/>
      <c r="I157" s="557" t="s">
        <v>1222</v>
      </c>
      <c r="J157" s="557"/>
      <c r="K157" s="221">
        <v>293.92</v>
      </c>
      <c r="L157" s="207"/>
    </row>
    <row r="158" spans="2:12">
      <c r="B158" s="208"/>
      <c r="C158" s="204"/>
      <c r="D158" s="204"/>
      <c r="E158" s="204"/>
      <c r="F158" s="204"/>
      <c r="G158" s="204"/>
      <c r="H158" s="558" t="s">
        <v>1223</v>
      </c>
      <c r="I158" s="558"/>
      <c r="J158" s="558"/>
      <c r="K158" s="222"/>
      <c r="L158" s="207"/>
    </row>
    <row r="159" spans="2:12">
      <c r="B159" s="208"/>
      <c r="C159" s="204"/>
      <c r="D159" s="204"/>
      <c r="E159" s="204"/>
      <c r="F159" s="204"/>
      <c r="G159" s="204"/>
      <c r="H159" s="558" t="s">
        <v>1199</v>
      </c>
      <c r="I159" s="558"/>
      <c r="J159" s="558"/>
      <c r="K159" s="222">
        <f>IF(K156&gt;K157,K157,K156)-K158</f>
        <v>29.32</v>
      </c>
      <c r="L159" s="207"/>
    </row>
    <row r="160" spans="2:12">
      <c r="B160" s="213"/>
      <c r="C160" s="214"/>
      <c r="D160" s="214"/>
      <c r="E160" s="214"/>
      <c r="F160" s="214"/>
      <c r="G160" s="214"/>
      <c r="H160" s="559" t="s">
        <v>1224</v>
      </c>
      <c r="I160" s="559"/>
      <c r="J160" s="559"/>
      <c r="K160" s="223">
        <f>IF(K156&gt;K157,K156-K157,0)</f>
        <v>0</v>
      </c>
      <c r="L160" s="209"/>
    </row>
    <row r="162" spans="2:12" ht="14.25" customHeight="1">
      <c r="B162" s="555" t="s">
        <v>1243</v>
      </c>
      <c r="C162" s="555"/>
      <c r="D162" s="555"/>
      <c r="E162" s="555"/>
      <c r="F162" s="555"/>
      <c r="G162" s="555"/>
      <c r="H162" s="555"/>
      <c r="I162" s="555"/>
      <c r="J162" s="555"/>
      <c r="K162" s="555"/>
      <c r="L162" s="555"/>
    </row>
    <row r="163" spans="2:12">
      <c r="B163" s="187" t="s">
        <v>1209</v>
      </c>
      <c r="C163" s="187"/>
      <c r="D163" s="187" t="s">
        <v>39</v>
      </c>
      <c r="E163" s="187" t="s">
        <v>1210</v>
      </c>
      <c r="F163" s="187" t="s">
        <v>1211</v>
      </c>
      <c r="G163" s="187" t="s">
        <v>1212</v>
      </c>
      <c r="H163" s="187" t="s">
        <v>1213</v>
      </c>
      <c r="I163" s="187" t="s">
        <v>1214</v>
      </c>
      <c r="J163" s="187" t="s">
        <v>1215</v>
      </c>
      <c r="K163" s="187" t="s">
        <v>1216</v>
      </c>
      <c r="L163" s="187" t="s">
        <v>1217</v>
      </c>
    </row>
    <row r="164" spans="2:12">
      <c r="B164" s="188" t="s">
        <v>117</v>
      </c>
      <c r="C164" s="189" t="s">
        <v>1240</v>
      </c>
      <c r="D164" s="190" t="s">
        <v>113</v>
      </c>
      <c r="E164" s="191">
        <f>K149</f>
        <v>183.25</v>
      </c>
      <c r="F164" s="192">
        <v>0.16</v>
      </c>
      <c r="G164" s="192"/>
      <c r="H164" s="191">
        <v>30</v>
      </c>
      <c r="I164" s="191"/>
      <c r="J164" s="216"/>
      <c r="K164" s="217">
        <f>IF(E164*F164*G164&lt;&gt;0,E164*F164*G164,IF(E164*F164&lt;&gt;0,E164*F164,IF(F164*G164&lt;&gt;0,F164*G164,IF(E164*G164&lt;&gt;0,E164*G164,IF(E164&lt;&gt;0,E164,IF(F164&lt;&gt;0,F164,IF(G164&lt;&gt;0,G164,0)))))))*(IF(H164&lt;&gt;0,H164,1))+I164-J164</f>
        <v>879.6</v>
      </c>
      <c r="L164" s="218"/>
    </row>
    <row r="165" spans="2:12">
      <c r="B165" s="197"/>
      <c r="C165" s="189"/>
      <c r="D165" s="198"/>
      <c r="E165" s="199"/>
      <c r="F165" s="199"/>
      <c r="G165" s="199"/>
      <c r="H165" s="199"/>
      <c r="I165" s="199"/>
      <c r="J165" s="219"/>
      <c r="K165" s="217">
        <f>IF(E165*F165*G165&lt;&gt;0,E165*F165*G165,IF(E165*F165&lt;&gt;0,E165*F165,IF(F165*G165&lt;&gt;0,F165*G165,IF(E165*G165&lt;&gt;0,E165*G165,IF(E165&lt;&gt;0,E165,IF(F165&lt;&gt;0,F165,IF(G165&lt;&gt;0,G165,0)))))))*(IF(H165&lt;&gt;0,H165,1))+I165-J165</f>
        <v>0</v>
      </c>
      <c r="L165" s="218"/>
    </row>
    <row r="166" spans="2:12">
      <c r="B166" s="202"/>
      <c r="C166" s="203"/>
      <c r="D166" s="203"/>
      <c r="E166" s="203"/>
      <c r="F166" s="203"/>
      <c r="G166" s="203"/>
      <c r="H166" s="204"/>
      <c r="I166" s="556" t="s">
        <v>1221</v>
      </c>
      <c r="J166" s="556"/>
      <c r="K166" s="220">
        <f>SUM(K164:K165)</f>
        <v>879.6</v>
      </c>
      <c r="L166" s="207"/>
    </row>
    <row r="167" spans="2:12">
      <c r="B167" s="208"/>
      <c r="C167" s="204"/>
      <c r="D167" s="204"/>
      <c r="E167" s="204"/>
      <c r="F167" s="204"/>
      <c r="G167" s="204"/>
      <c r="H167" s="209"/>
      <c r="I167" s="557" t="s">
        <v>1222</v>
      </c>
      <c r="J167" s="557"/>
      <c r="K167" s="221">
        <v>8817.6</v>
      </c>
      <c r="L167" s="207"/>
    </row>
    <row r="168" spans="2:12">
      <c r="B168" s="208"/>
      <c r="C168" s="204"/>
      <c r="D168" s="204"/>
      <c r="E168" s="204"/>
      <c r="F168" s="204"/>
      <c r="G168" s="204"/>
      <c r="H168" s="558" t="s">
        <v>1223</v>
      </c>
      <c r="I168" s="558"/>
      <c r="J168" s="558"/>
      <c r="K168" s="222"/>
      <c r="L168" s="207"/>
    </row>
    <row r="169" spans="2:12">
      <c r="B169" s="208"/>
      <c r="C169" s="204"/>
      <c r="D169" s="204"/>
      <c r="E169" s="204"/>
      <c r="F169" s="204"/>
      <c r="G169" s="204"/>
      <c r="H169" s="558" t="s">
        <v>1199</v>
      </c>
      <c r="I169" s="558"/>
      <c r="J169" s="558"/>
      <c r="K169" s="222">
        <f>IF(K166&gt;K167,K167,K166)-K168</f>
        <v>879.6</v>
      </c>
      <c r="L169" s="207"/>
    </row>
    <row r="170" spans="2:12">
      <c r="B170" s="213"/>
      <c r="C170" s="214"/>
      <c r="D170" s="214"/>
      <c r="E170" s="214"/>
      <c r="F170" s="214"/>
      <c r="G170" s="214"/>
      <c r="H170" s="559" t="s">
        <v>1224</v>
      </c>
      <c r="I170" s="559"/>
      <c r="J170" s="559"/>
      <c r="K170" s="223">
        <f>IF(K166&gt;K167,K166-K167,0)</f>
        <v>0</v>
      </c>
      <c r="L170" s="209"/>
    </row>
    <row r="172" spans="2:12" ht="14.25" customHeight="1">
      <c r="B172" s="555" t="s">
        <v>1244</v>
      </c>
      <c r="C172" s="555"/>
      <c r="D172" s="555"/>
      <c r="E172" s="555"/>
      <c r="F172" s="555"/>
      <c r="G172" s="555"/>
      <c r="H172" s="555"/>
      <c r="I172" s="555"/>
      <c r="J172" s="555"/>
      <c r="K172" s="555"/>
      <c r="L172" s="555"/>
    </row>
    <row r="173" spans="2:12">
      <c r="B173" s="187" t="s">
        <v>1209</v>
      </c>
      <c r="C173" s="187"/>
      <c r="D173" s="187" t="s">
        <v>39</v>
      </c>
      <c r="E173" s="187" t="s">
        <v>1210</v>
      </c>
      <c r="F173" s="187" t="s">
        <v>1211</v>
      </c>
      <c r="G173" s="187" t="s">
        <v>1212</v>
      </c>
      <c r="H173" s="187" t="s">
        <v>1213</v>
      </c>
      <c r="I173" s="187" t="s">
        <v>1214</v>
      </c>
      <c r="J173" s="187" t="s">
        <v>1215</v>
      </c>
      <c r="K173" s="187" t="s">
        <v>1216</v>
      </c>
      <c r="L173" s="187" t="s">
        <v>1217</v>
      </c>
    </row>
    <row r="174" spans="2:12">
      <c r="B174" s="188" t="s">
        <v>117</v>
      </c>
      <c r="C174" s="189" t="s">
        <v>1240</v>
      </c>
      <c r="D174" s="190" t="s">
        <v>39</v>
      </c>
      <c r="E174" s="191"/>
      <c r="F174" s="192"/>
      <c r="G174" s="192"/>
      <c r="H174" s="191"/>
      <c r="I174" s="191">
        <v>40</v>
      </c>
      <c r="J174" s="216"/>
      <c r="K174" s="217">
        <f>IF(E174*F174*G174&lt;&gt;0,E174*F174*G174,IF(E174*F174&lt;&gt;0,E174*F174,IF(F174*G174&lt;&gt;0,F174*G174,IF(E174*G174&lt;&gt;0,E174*G174,IF(E174&lt;&gt;0,E174,IF(F174&lt;&gt;0,F174,IF(G174&lt;&gt;0,G174,0)))))))*(IF(H174&lt;&gt;0,H174,1))+I174-J174</f>
        <v>40</v>
      </c>
      <c r="L174" s="218"/>
    </row>
    <row r="175" spans="2:12">
      <c r="B175" s="188" t="s">
        <v>117</v>
      </c>
      <c r="C175" s="189" t="s">
        <v>1271</v>
      </c>
      <c r="D175" s="190" t="s">
        <v>39</v>
      </c>
      <c r="E175" s="191"/>
      <c r="F175" s="192"/>
      <c r="G175" s="192"/>
      <c r="H175" s="191"/>
      <c r="I175" s="191">
        <f>133</f>
        <v>133</v>
      </c>
      <c r="J175" s="216"/>
      <c r="K175" s="217">
        <f>IF(E175*F175*G175&lt;&gt;0,E175*F175*G175,IF(E175*F175&lt;&gt;0,E175*F175,IF(F175*G175&lt;&gt;0,F175*G175,IF(E175*G175&lt;&gt;0,E175*G175,IF(E175&lt;&gt;0,E175,IF(F175&lt;&gt;0,F175,IF(G175&lt;&gt;0,G175,0)))))))*(IF(H175&lt;&gt;0,H175,1))+I175-J175</f>
        <v>133</v>
      </c>
      <c r="L175" s="218"/>
    </row>
    <row r="176" spans="2:12">
      <c r="B176" s="197"/>
      <c r="C176" s="189"/>
      <c r="D176" s="198"/>
      <c r="E176" s="199"/>
      <c r="F176" s="199"/>
      <c r="G176" s="199"/>
      <c r="H176" s="199"/>
      <c r="I176" s="199"/>
      <c r="J176" s="219"/>
      <c r="K176" s="217">
        <f>IF(E176*F176*G176&lt;&gt;0,E176*F176*G176,IF(E176*F176&lt;&gt;0,E176*F176,IF(F176*G176&lt;&gt;0,F176*G176,IF(E176*G176&lt;&gt;0,E176*G176,IF(E176&lt;&gt;0,E176,IF(F176&lt;&gt;0,F176,IF(G176&lt;&gt;0,G176,0)))))))*(IF(H176&lt;&gt;0,H176,1))+I176-J176</f>
        <v>0</v>
      </c>
      <c r="L176" s="218"/>
    </row>
    <row r="177" spans="2:12">
      <c r="B177" s="202"/>
      <c r="C177" s="203"/>
      <c r="D177" s="203"/>
      <c r="E177" s="203"/>
      <c r="F177" s="203"/>
      <c r="G177" s="203"/>
      <c r="H177" s="204"/>
      <c r="I177" s="556" t="s">
        <v>1221</v>
      </c>
      <c r="J177" s="556"/>
      <c r="K177" s="220">
        <f>SUM(K174:K176)</f>
        <v>173</v>
      </c>
      <c r="L177" s="207"/>
    </row>
    <row r="178" spans="2:12">
      <c r="B178" s="208"/>
      <c r="C178" s="204"/>
      <c r="D178" s="204"/>
      <c r="E178" s="204"/>
      <c r="F178" s="204"/>
      <c r="G178" s="204"/>
      <c r="H178" s="209"/>
      <c r="I178" s="557" t="s">
        <v>1222</v>
      </c>
      <c r="J178" s="557"/>
      <c r="K178" s="221">
        <v>167</v>
      </c>
      <c r="L178" s="207"/>
    </row>
    <row r="179" spans="2:12">
      <c r="B179" s="208"/>
      <c r="C179" s="204"/>
      <c r="D179" s="204"/>
      <c r="E179" s="204"/>
      <c r="F179" s="204"/>
      <c r="G179" s="204"/>
      <c r="H179" s="558" t="s">
        <v>1223</v>
      </c>
      <c r="I179" s="558"/>
      <c r="J179" s="558"/>
      <c r="K179" s="222">
        <v>40</v>
      </c>
      <c r="L179" s="207"/>
    </row>
    <row r="180" spans="2:12">
      <c r="B180" s="208"/>
      <c r="C180" s="204"/>
      <c r="D180" s="204"/>
      <c r="E180" s="204"/>
      <c r="F180" s="204"/>
      <c r="G180" s="204"/>
      <c r="H180" s="558" t="s">
        <v>1199</v>
      </c>
      <c r="I180" s="558"/>
      <c r="J180" s="558"/>
      <c r="K180" s="222">
        <f>IF(K177&gt;K178,K178,K177)-K179</f>
        <v>127</v>
      </c>
      <c r="L180" s="207"/>
    </row>
    <row r="181" spans="2:12">
      <c r="B181" s="213"/>
      <c r="C181" s="214"/>
      <c r="D181" s="214"/>
      <c r="E181" s="214"/>
      <c r="F181" s="214"/>
      <c r="G181" s="214"/>
      <c r="H181" s="559" t="s">
        <v>1224</v>
      </c>
      <c r="I181" s="559"/>
      <c r="J181" s="559"/>
      <c r="K181" s="223">
        <f>IF(K177&gt;K178,K177-K178,0)</f>
        <v>6</v>
      </c>
      <c r="L181" s="209"/>
    </row>
    <row r="183" spans="2:12" ht="14.25" customHeight="1">
      <c r="B183" s="555" t="s">
        <v>1245</v>
      </c>
      <c r="C183" s="555"/>
      <c r="D183" s="555"/>
      <c r="E183" s="555"/>
      <c r="F183" s="555"/>
      <c r="G183" s="555"/>
      <c r="H183" s="555"/>
      <c r="I183" s="555"/>
      <c r="J183" s="555"/>
      <c r="K183" s="555"/>
      <c r="L183" s="555"/>
    </row>
    <row r="184" spans="2:12">
      <c r="B184" s="187" t="s">
        <v>1209</v>
      </c>
      <c r="C184" s="187"/>
      <c r="D184" s="187" t="s">
        <v>39</v>
      </c>
      <c r="E184" s="187" t="s">
        <v>1210</v>
      </c>
      <c r="F184" s="187" t="s">
        <v>1211</v>
      </c>
      <c r="G184" s="187" t="s">
        <v>1212</v>
      </c>
      <c r="H184" s="187" t="s">
        <v>1213</v>
      </c>
      <c r="I184" s="187" t="s">
        <v>1214</v>
      </c>
      <c r="J184" s="187" t="s">
        <v>1215</v>
      </c>
      <c r="K184" s="187" t="s">
        <v>1216</v>
      </c>
      <c r="L184" s="187" t="s">
        <v>1217</v>
      </c>
    </row>
    <row r="185" spans="2:12">
      <c r="B185" s="188" t="s">
        <v>1246</v>
      </c>
      <c r="C185" s="189" t="s">
        <v>1240</v>
      </c>
      <c r="D185" s="190" t="s">
        <v>39</v>
      </c>
      <c r="E185" s="191"/>
      <c r="F185" s="192"/>
      <c r="G185" s="192"/>
      <c r="H185" s="191"/>
      <c r="I185" s="191">
        <v>1</v>
      </c>
      <c r="J185" s="216"/>
      <c r="K185" s="217">
        <f>IF(E185*F185*G185&lt;&gt;0,E185*F185*G185,IF(E185*F185&lt;&gt;0,E185*F185,IF(F185*G185&lt;&gt;0,F185*G185,IF(E185*G185&lt;&gt;0,E185*G185,IF(E185&lt;&gt;0,E185,IF(F185&lt;&gt;0,F185,IF(G185&lt;&gt;0,G185,0)))))))*(IF(H185&lt;&gt;0,H185,1))+I185-J185</f>
        <v>1</v>
      </c>
      <c r="L185" s="218"/>
    </row>
    <row r="186" spans="2:12">
      <c r="B186" s="188" t="s">
        <v>1246</v>
      </c>
      <c r="C186" s="189" t="s">
        <v>1271</v>
      </c>
      <c r="D186" s="190" t="s">
        <v>39</v>
      </c>
      <c r="E186" s="191"/>
      <c r="F186" s="192"/>
      <c r="G186" s="192"/>
      <c r="H186" s="191"/>
      <c r="I186" s="191">
        <v>1</v>
      </c>
      <c r="J186" s="216"/>
      <c r="K186" s="217">
        <f>IF(E186*F186*G186&lt;&gt;0,E186*F186*G186,IF(E186*F186&lt;&gt;0,E186*F186,IF(F186*G186&lt;&gt;0,F186*G186,IF(E186*G186&lt;&gt;0,E186*G186,IF(E186&lt;&gt;0,E186,IF(F186&lt;&gt;0,F186,IF(G186&lt;&gt;0,G186,0)))))))*(IF(H186&lt;&gt;0,H186,1))+I186-J186</f>
        <v>1</v>
      </c>
      <c r="L186" s="218"/>
    </row>
    <row r="187" spans="2:12">
      <c r="B187" s="197"/>
      <c r="C187" s="189"/>
      <c r="D187" s="198"/>
      <c r="E187" s="199"/>
      <c r="F187" s="199"/>
      <c r="G187" s="199"/>
      <c r="H187" s="199"/>
      <c r="I187" s="199"/>
      <c r="J187" s="219"/>
      <c r="K187" s="217">
        <f>IF(E187*F187*G187&lt;&gt;0,E187*F187*G187,IF(E187*F187&lt;&gt;0,E187*F187,IF(F187*G187&lt;&gt;0,F187*G187,IF(E187*G187&lt;&gt;0,E187*G187,IF(E187&lt;&gt;0,E187,IF(F187&lt;&gt;0,F187,IF(G187&lt;&gt;0,G187,0)))))))*(IF(H187&lt;&gt;0,H187,1))+I187-J187</f>
        <v>0</v>
      </c>
      <c r="L187" s="218"/>
    </row>
    <row r="188" spans="2:12">
      <c r="B188" s="202"/>
      <c r="C188" s="203"/>
      <c r="D188" s="203"/>
      <c r="E188" s="203"/>
      <c r="F188" s="203"/>
      <c r="G188" s="203"/>
      <c r="H188" s="204"/>
      <c r="I188" s="556" t="s">
        <v>1221</v>
      </c>
      <c r="J188" s="556"/>
      <c r="K188" s="220">
        <f>SUM(K185:K187)</f>
        <v>2</v>
      </c>
      <c r="L188" s="207"/>
    </row>
    <row r="189" spans="2:12">
      <c r="B189" s="208"/>
      <c r="C189" s="204"/>
      <c r="D189" s="204"/>
      <c r="E189" s="204"/>
      <c r="F189" s="204"/>
      <c r="G189" s="204"/>
      <c r="H189" s="209"/>
      <c r="I189" s="557" t="s">
        <v>1222</v>
      </c>
      <c r="J189" s="557"/>
      <c r="K189" s="221">
        <v>2</v>
      </c>
      <c r="L189" s="207"/>
    </row>
    <row r="190" spans="2:12">
      <c r="B190" s="208"/>
      <c r="C190" s="204"/>
      <c r="D190" s="204"/>
      <c r="E190" s="204"/>
      <c r="F190" s="204"/>
      <c r="G190" s="204"/>
      <c r="H190" s="558" t="s">
        <v>1223</v>
      </c>
      <c r="I190" s="558"/>
      <c r="J190" s="558"/>
      <c r="K190" s="222">
        <v>1</v>
      </c>
      <c r="L190" s="207"/>
    </row>
    <row r="191" spans="2:12">
      <c r="B191" s="208"/>
      <c r="C191" s="204"/>
      <c r="D191" s="204"/>
      <c r="E191" s="204"/>
      <c r="F191" s="204"/>
      <c r="G191" s="204"/>
      <c r="H191" s="558" t="s">
        <v>1199</v>
      </c>
      <c r="I191" s="558"/>
      <c r="J191" s="558"/>
      <c r="K191" s="222">
        <f>IF(K188&gt;K189,K189,K188)-K190</f>
        <v>1</v>
      </c>
      <c r="L191" s="207"/>
    </row>
    <row r="192" spans="2:12">
      <c r="B192" s="213"/>
      <c r="C192" s="214"/>
      <c r="D192" s="214"/>
      <c r="E192" s="214"/>
      <c r="F192" s="214"/>
      <c r="G192" s="214"/>
      <c r="H192" s="559" t="s">
        <v>1224</v>
      </c>
      <c r="I192" s="559"/>
      <c r="J192" s="559"/>
      <c r="K192" s="223">
        <f>IF(K188&gt;K189,K188-K189,0)</f>
        <v>0</v>
      </c>
      <c r="L192" s="209"/>
    </row>
    <row r="194" spans="2:12" ht="14.25" customHeight="1">
      <c r="B194" s="555" t="s">
        <v>1334</v>
      </c>
      <c r="C194" s="555"/>
      <c r="D194" s="555"/>
      <c r="E194" s="555"/>
      <c r="F194" s="555"/>
      <c r="G194" s="555"/>
      <c r="H194" s="555"/>
      <c r="I194" s="555"/>
      <c r="J194" s="555"/>
      <c r="K194" s="555"/>
      <c r="L194" s="555"/>
    </row>
    <row r="195" spans="2:12">
      <c r="B195" s="187" t="s">
        <v>1209</v>
      </c>
      <c r="C195" s="187"/>
      <c r="D195" s="187" t="s">
        <v>39</v>
      </c>
      <c r="E195" s="187" t="s">
        <v>1210</v>
      </c>
      <c r="F195" s="187" t="s">
        <v>1211</v>
      </c>
      <c r="G195" s="187" t="s">
        <v>1212</v>
      </c>
      <c r="H195" s="187" t="s">
        <v>1213</v>
      </c>
      <c r="I195" s="187" t="s">
        <v>1214</v>
      </c>
      <c r="J195" s="187" t="s">
        <v>1215</v>
      </c>
      <c r="K195" s="187" t="s">
        <v>1216</v>
      </c>
      <c r="L195" s="187" t="s">
        <v>1217</v>
      </c>
    </row>
    <row r="196" spans="2:12">
      <c r="B196" s="197" t="s">
        <v>1285</v>
      </c>
      <c r="C196" s="189" t="s">
        <v>1271</v>
      </c>
      <c r="D196" s="198" t="s">
        <v>1335</v>
      </c>
      <c r="E196" s="199">
        <v>2.2999999999999998</v>
      </c>
      <c r="F196" s="199">
        <v>1.3</v>
      </c>
      <c r="G196" s="199"/>
      <c r="H196" s="199"/>
      <c r="I196" s="199"/>
      <c r="J196" s="219"/>
      <c r="K196" s="217">
        <f t="shared" ref="K196:K227" si="4">IF(E196*F196*G196&lt;&gt;0,E196*F196*G196,IF(E196*F196&lt;&gt;0,E196*F196,IF(F196*G196&lt;&gt;0,F196*G196,IF(E196*G196&lt;&gt;0,E196*G196,IF(E196&lt;&gt;0,E196,IF(F196&lt;&gt;0,F196,IF(G196&lt;&gt;0,G196,0)))))))*(IF(H196&lt;&gt;0,H196,1))+I196-J196</f>
        <v>2.9899999999999998</v>
      </c>
      <c r="L196" s="218"/>
    </row>
    <row r="197" spans="2:12">
      <c r="B197" s="197" t="s">
        <v>1286</v>
      </c>
      <c r="C197" s="189" t="s">
        <v>1271</v>
      </c>
      <c r="D197" s="198" t="s">
        <v>1335</v>
      </c>
      <c r="E197" s="199">
        <v>2.6</v>
      </c>
      <c r="F197" s="199">
        <v>2.6</v>
      </c>
      <c r="G197" s="199"/>
      <c r="H197" s="199"/>
      <c r="I197" s="199"/>
      <c r="J197" s="219"/>
      <c r="K197" s="217">
        <f t="shared" si="4"/>
        <v>6.7600000000000007</v>
      </c>
      <c r="L197" s="218"/>
    </row>
    <row r="198" spans="2:12">
      <c r="B198" s="197" t="s">
        <v>1287</v>
      </c>
      <c r="C198" s="189" t="s">
        <v>1271</v>
      </c>
      <c r="D198" s="198" t="s">
        <v>1335</v>
      </c>
      <c r="E198" s="199">
        <v>2.6</v>
      </c>
      <c r="F198" s="199">
        <v>2.6</v>
      </c>
      <c r="G198" s="199"/>
      <c r="H198" s="199"/>
      <c r="I198" s="199"/>
      <c r="J198" s="219"/>
      <c r="K198" s="217">
        <f t="shared" si="4"/>
        <v>6.7600000000000007</v>
      </c>
      <c r="L198" s="218"/>
    </row>
    <row r="199" spans="2:12">
      <c r="B199" s="197" t="s">
        <v>1288</v>
      </c>
      <c r="C199" s="189" t="s">
        <v>1271</v>
      </c>
      <c r="D199" s="198" t="s">
        <v>1335</v>
      </c>
      <c r="E199" s="199">
        <v>2.2999999999999998</v>
      </c>
      <c r="F199" s="199">
        <v>1.3</v>
      </c>
      <c r="G199" s="199"/>
      <c r="H199" s="199"/>
      <c r="I199" s="199"/>
      <c r="J199" s="219"/>
      <c r="K199" s="217">
        <f t="shared" si="4"/>
        <v>2.9899999999999998</v>
      </c>
      <c r="L199" s="218"/>
    </row>
    <row r="200" spans="2:12">
      <c r="B200" s="197" t="s">
        <v>1289</v>
      </c>
      <c r="C200" s="189" t="s">
        <v>1271</v>
      </c>
      <c r="D200" s="198" t="s">
        <v>1335</v>
      </c>
      <c r="E200" s="199">
        <v>1.4</v>
      </c>
      <c r="F200" s="199">
        <v>1.4</v>
      </c>
      <c r="G200" s="199"/>
      <c r="H200" s="199"/>
      <c r="I200" s="199"/>
      <c r="J200" s="219"/>
      <c r="K200" s="217">
        <f t="shared" si="4"/>
        <v>1.9599999999999997</v>
      </c>
      <c r="L200" s="218"/>
    </row>
    <row r="201" spans="2:12">
      <c r="B201" s="197" t="s">
        <v>1290</v>
      </c>
      <c r="C201" s="189" t="s">
        <v>1271</v>
      </c>
      <c r="D201" s="198" t="s">
        <v>1335</v>
      </c>
      <c r="E201" s="199"/>
      <c r="F201" s="199"/>
      <c r="G201" s="199"/>
      <c r="H201" s="199"/>
      <c r="I201" s="199">
        <v>3.29</v>
      </c>
      <c r="J201" s="219"/>
      <c r="K201" s="217">
        <f t="shared" si="4"/>
        <v>3.29</v>
      </c>
      <c r="L201" s="218"/>
    </row>
    <row r="202" spans="2:12">
      <c r="B202" s="197" t="s">
        <v>1291</v>
      </c>
      <c r="C202" s="189" t="s">
        <v>1271</v>
      </c>
      <c r="D202" s="198" t="s">
        <v>1335</v>
      </c>
      <c r="E202" s="199">
        <v>2.6</v>
      </c>
      <c r="F202" s="199">
        <v>2.6</v>
      </c>
      <c r="G202" s="199"/>
      <c r="H202" s="199"/>
      <c r="I202" s="199"/>
      <c r="J202" s="219"/>
      <c r="K202" s="217">
        <f t="shared" si="4"/>
        <v>6.7600000000000007</v>
      </c>
      <c r="L202" s="218"/>
    </row>
    <row r="203" spans="2:12">
      <c r="B203" s="197" t="s">
        <v>1292</v>
      </c>
      <c r="C203" s="189" t="s">
        <v>1271</v>
      </c>
      <c r="D203" s="198" t="s">
        <v>1335</v>
      </c>
      <c r="E203" s="199">
        <v>2.6</v>
      </c>
      <c r="F203" s="199">
        <v>2.6</v>
      </c>
      <c r="G203" s="199"/>
      <c r="H203" s="199"/>
      <c r="I203" s="199"/>
      <c r="J203" s="219"/>
      <c r="K203" s="217">
        <f t="shared" si="4"/>
        <v>6.7600000000000007</v>
      </c>
      <c r="L203" s="218"/>
    </row>
    <row r="204" spans="2:12">
      <c r="B204" s="197" t="s">
        <v>1293</v>
      </c>
      <c r="C204" s="189" t="s">
        <v>1271</v>
      </c>
      <c r="D204" s="198" t="s">
        <v>1335</v>
      </c>
      <c r="E204" s="199">
        <v>2.6</v>
      </c>
      <c r="F204" s="199">
        <v>2.6</v>
      </c>
      <c r="G204" s="199"/>
      <c r="H204" s="199"/>
      <c r="I204" s="199"/>
      <c r="J204" s="219"/>
      <c r="K204" s="217">
        <f t="shared" si="4"/>
        <v>6.7600000000000007</v>
      </c>
      <c r="L204" s="218"/>
    </row>
    <row r="205" spans="2:12">
      <c r="B205" s="197" t="s">
        <v>1294</v>
      </c>
      <c r="C205" s="189" t="s">
        <v>1271</v>
      </c>
      <c r="D205" s="198" t="s">
        <v>1335</v>
      </c>
      <c r="E205" s="199">
        <v>1.4</v>
      </c>
      <c r="F205" s="199">
        <v>1.4</v>
      </c>
      <c r="G205" s="199"/>
      <c r="H205" s="199"/>
      <c r="I205" s="199"/>
      <c r="J205" s="219"/>
      <c r="K205" s="217">
        <f t="shared" si="4"/>
        <v>1.9599999999999997</v>
      </c>
      <c r="L205" s="218"/>
    </row>
    <row r="206" spans="2:12">
      <c r="B206" s="197" t="s">
        <v>1295</v>
      </c>
      <c r="C206" s="189" t="s">
        <v>1271</v>
      </c>
      <c r="D206" s="198" t="s">
        <v>1335</v>
      </c>
      <c r="E206" s="199"/>
      <c r="F206" s="199"/>
      <c r="G206" s="199"/>
      <c r="H206" s="199"/>
      <c r="I206" s="199">
        <v>3.29</v>
      </c>
      <c r="J206" s="219"/>
      <c r="K206" s="217">
        <f t="shared" si="4"/>
        <v>3.29</v>
      </c>
      <c r="L206" s="218"/>
    </row>
    <row r="207" spans="2:12">
      <c r="B207" s="197" t="s">
        <v>1336</v>
      </c>
      <c r="C207" s="189" t="s">
        <v>1271</v>
      </c>
      <c r="D207" s="198" t="s">
        <v>1335</v>
      </c>
      <c r="E207" s="199">
        <v>2.6</v>
      </c>
      <c r="F207" s="199">
        <v>2.6</v>
      </c>
      <c r="G207" s="199"/>
      <c r="H207" s="199"/>
      <c r="I207" s="199"/>
      <c r="J207" s="219"/>
      <c r="K207" s="217">
        <f t="shared" si="4"/>
        <v>6.7600000000000007</v>
      </c>
      <c r="L207" s="218"/>
    </row>
    <row r="208" spans="2:12">
      <c r="B208" s="197" t="s">
        <v>1337</v>
      </c>
      <c r="C208" s="189" t="s">
        <v>1271</v>
      </c>
      <c r="D208" s="198" t="s">
        <v>1335</v>
      </c>
      <c r="E208" s="199">
        <v>2.6</v>
      </c>
      <c r="F208" s="199">
        <v>2.6</v>
      </c>
      <c r="G208" s="199"/>
      <c r="H208" s="199"/>
      <c r="I208" s="199"/>
      <c r="J208" s="219"/>
      <c r="K208" s="217">
        <f t="shared" si="4"/>
        <v>6.7600000000000007</v>
      </c>
      <c r="L208" s="218"/>
    </row>
    <row r="209" spans="2:12">
      <c r="B209" s="197" t="s">
        <v>1338</v>
      </c>
      <c r="C209" s="189" t="s">
        <v>1271</v>
      </c>
      <c r="D209" s="198" t="s">
        <v>1335</v>
      </c>
      <c r="E209" s="199">
        <v>2.6</v>
      </c>
      <c r="F209" s="199">
        <v>2.6</v>
      </c>
      <c r="G209" s="199"/>
      <c r="H209" s="199"/>
      <c r="I209" s="199"/>
      <c r="J209" s="219"/>
      <c r="K209" s="217">
        <f t="shared" si="4"/>
        <v>6.7600000000000007</v>
      </c>
      <c r="L209" s="218"/>
    </row>
    <row r="210" spans="2:12">
      <c r="B210" s="197" t="s">
        <v>1339</v>
      </c>
      <c r="C210" s="189" t="s">
        <v>1271</v>
      </c>
      <c r="D210" s="198" t="s">
        <v>1335</v>
      </c>
      <c r="E210" s="199">
        <v>1.4</v>
      </c>
      <c r="F210" s="199">
        <v>1.4</v>
      </c>
      <c r="G210" s="199"/>
      <c r="H210" s="199"/>
      <c r="I210" s="199"/>
      <c r="J210" s="219"/>
      <c r="K210" s="217">
        <f t="shared" si="4"/>
        <v>1.9599999999999997</v>
      </c>
      <c r="L210" s="218"/>
    </row>
    <row r="211" spans="2:12">
      <c r="B211" s="197" t="s">
        <v>1340</v>
      </c>
      <c r="C211" s="189" t="s">
        <v>1271</v>
      </c>
      <c r="D211" s="198" t="s">
        <v>1335</v>
      </c>
      <c r="E211" s="199">
        <v>2.2999999999999998</v>
      </c>
      <c r="F211" s="199">
        <v>1.3</v>
      </c>
      <c r="G211" s="199"/>
      <c r="H211" s="199"/>
      <c r="I211" s="199"/>
      <c r="J211" s="219"/>
      <c r="K211" s="217">
        <f t="shared" si="4"/>
        <v>2.9899999999999998</v>
      </c>
      <c r="L211" s="218"/>
    </row>
    <row r="212" spans="2:12">
      <c r="B212" s="197" t="s">
        <v>1296</v>
      </c>
      <c r="C212" s="189" t="s">
        <v>1271</v>
      </c>
      <c r="D212" s="198" t="s">
        <v>1335</v>
      </c>
      <c r="E212" s="199">
        <v>2.2999999999999998</v>
      </c>
      <c r="F212" s="199">
        <v>1.3</v>
      </c>
      <c r="G212" s="199"/>
      <c r="H212" s="199"/>
      <c r="I212" s="199"/>
      <c r="J212" s="219"/>
      <c r="K212" s="217">
        <f t="shared" si="4"/>
        <v>2.9899999999999998</v>
      </c>
      <c r="L212" s="218"/>
    </row>
    <row r="213" spans="2:12">
      <c r="B213" s="197" t="s">
        <v>1341</v>
      </c>
      <c r="C213" s="189" t="s">
        <v>1271</v>
      </c>
      <c r="D213" s="198" t="s">
        <v>1335</v>
      </c>
      <c r="E213" s="199"/>
      <c r="F213" s="199"/>
      <c r="G213" s="199"/>
      <c r="H213" s="199"/>
      <c r="I213" s="199">
        <v>3.29</v>
      </c>
      <c r="J213" s="219"/>
      <c r="K213" s="217">
        <f t="shared" si="4"/>
        <v>3.29</v>
      </c>
      <c r="L213" s="218"/>
    </row>
    <row r="214" spans="2:12">
      <c r="B214" s="197" t="s">
        <v>1342</v>
      </c>
      <c r="C214" s="189" t="s">
        <v>1333</v>
      </c>
      <c r="D214" s="198" t="s">
        <v>1335</v>
      </c>
      <c r="E214" s="199">
        <v>3.54</v>
      </c>
      <c r="F214" s="199">
        <v>3.54</v>
      </c>
      <c r="G214" s="199"/>
      <c r="H214" s="199"/>
      <c r="I214" s="199"/>
      <c r="J214" s="219"/>
      <c r="K214" s="217">
        <f t="shared" si="4"/>
        <v>12.531600000000001</v>
      </c>
      <c r="L214" s="218"/>
    </row>
    <row r="215" spans="2:12">
      <c r="B215" s="197" t="s">
        <v>1343</v>
      </c>
      <c r="C215" s="189" t="s">
        <v>1333</v>
      </c>
      <c r="D215" s="198" t="s">
        <v>1335</v>
      </c>
      <c r="E215" s="199">
        <v>2.6</v>
      </c>
      <c r="F215" s="199">
        <v>2.6</v>
      </c>
      <c r="G215" s="199"/>
      <c r="H215" s="199"/>
      <c r="I215" s="199"/>
      <c r="J215" s="219"/>
      <c r="K215" s="217">
        <f t="shared" si="4"/>
        <v>6.7600000000000007</v>
      </c>
      <c r="L215" s="218"/>
    </row>
    <row r="216" spans="2:12">
      <c r="B216" s="197" t="s">
        <v>1297</v>
      </c>
      <c r="C216" s="189" t="s">
        <v>1333</v>
      </c>
      <c r="D216" s="198" t="s">
        <v>1335</v>
      </c>
      <c r="E216" s="199">
        <v>3.8</v>
      </c>
      <c r="F216" s="199">
        <v>1.4</v>
      </c>
      <c r="G216" s="199"/>
      <c r="H216" s="199"/>
      <c r="I216" s="199"/>
      <c r="J216" s="219"/>
      <c r="K216" s="217">
        <f t="shared" si="4"/>
        <v>5.3199999999999994</v>
      </c>
      <c r="L216" s="218"/>
    </row>
    <row r="217" spans="2:12">
      <c r="B217" s="197" t="s">
        <v>1344</v>
      </c>
      <c r="C217" s="189" t="s">
        <v>1333</v>
      </c>
      <c r="D217" s="198" t="s">
        <v>1335</v>
      </c>
      <c r="E217" s="199">
        <v>2.6</v>
      </c>
      <c r="F217" s="199">
        <v>2.6</v>
      </c>
      <c r="G217" s="199"/>
      <c r="H217" s="199"/>
      <c r="I217" s="199"/>
      <c r="J217" s="219"/>
      <c r="K217" s="217">
        <f t="shared" si="4"/>
        <v>6.7600000000000007</v>
      </c>
      <c r="L217" s="218"/>
    </row>
    <row r="218" spans="2:12">
      <c r="B218" s="197" t="s">
        <v>1345</v>
      </c>
      <c r="C218" s="189" t="s">
        <v>1333</v>
      </c>
      <c r="D218" s="198" t="s">
        <v>1335</v>
      </c>
      <c r="E218" s="199">
        <v>2.6</v>
      </c>
      <c r="F218" s="199">
        <v>2.6</v>
      </c>
      <c r="G218" s="199"/>
      <c r="H218" s="199"/>
      <c r="I218" s="199"/>
      <c r="J218" s="219"/>
      <c r="K218" s="217">
        <f t="shared" si="4"/>
        <v>6.7600000000000007</v>
      </c>
      <c r="L218" s="218"/>
    </row>
    <row r="219" spans="2:12">
      <c r="B219" s="197" t="s">
        <v>1298</v>
      </c>
      <c r="C219" s="189" t="s">
        <v>1333</v>
      </c>
      <c r="D219" s="198" t="s">
        <v>1335</v>
      </c>
      <c r="E219" s="199">
        <v>3.8</v>
      </c>
      <c r="F219" s="199">
        <v>2.6</v>
      </c>
      <c r="G219" s="199"/>
      <c r="H219" s="199"/>
      <c r="I219" s="199"/>
      <c r="J219" s="219"/>
      <c r="K219" s="217">
        <f t="shared" si="4"/>
        <v>9.879999999999999</v>
      </c>
      <c r="L219" s="218"/>
    </row>
    <row r="220" spans="2:12">
      <c r="B220" s="197" t="s">
        <v>1346</v>
      </c>
      <c r="C220" s="189" t="s">
        <v>1333</v>
      </c>
      <c r="D220" s="198" t="s">
        <v>1335</v>
      </c>
      <c r="E220" s="199">
        <v>2.6</v>
      </c>
      <c r="F220" s="199">
        <v>2.6</v>
      </c>
      <c r="G220" s="199"/>
      <c r="H220" s="199"/>
      <c r="I220" s="199"/>
      <c r="J220" s="219"/>
      <c r="K220" s="217">
        <f t="shared" si="4"/>
        <v>6.7600000000000007</v>
      </c>
      <c r="L220" s="218"/>
    </row>
    <row r="221" spans="2:12">
      <c r="B221" s="197" t="s">
        <v>1347</v>
      </c>
      <c r="C221" s="189" t="s">
        <v>1333</v>
      </c>
      <c r="D221" s="198" t="s">
        <v>1335</v>
      </c>
      <c r="E221" s="199"/>
      <c r="F221" s="199"/>
      <c r="G221" s="199"/>
      <c r="H221" s="199"/>
      <c r="I221" s="199">
        <v>3.29</v>
      </c>
      <c r="J221" s="219"/>
      <c r="K221" s="217">
        <f t="shared" si="4"/>
        <v>3.29</v>
      </c>
      <c r="L221" s="218"/>
    </row>
    <row r="222" spans="2:12">
      <c r="B222" s="197" t="s">
        <v>1348</v>
      </c>
      <c r="C222" s="189" t="s">
        <v>1333</v>
      </c>
      <c r="D222" s="198" t="s">
        <v>1335</v>
      </c>
      <c r="E222" s="199">
        <v>3.54</v>
      </c>
      <c r="F222" s="199">
        <v>3.54</v>
      </c>
      <c r="G222" s="199"/>
      <c r="H222" s="199"/>
      <c r="I222" s="199"/>
      <c r="J222" s="219"/>
      <c r="K222" s="217">
        <f t="shared" si="4"/>
        <v>12.531600000000001</v>
      </c>
      <c r="L222" s="218"/>
    </row>
    <row r="223" spans="2:12">
      <c r="B223" s="197" t="s">
        <v>1349</v>
      </c>
      <c r="C223" s="189" t="s">
        <v>1333</v>
      </c>
      <c r="D223" s="198" t="s">
        <v>1335</v>
      </c>
      <c r="E223" s="199">
        <v>3.8</v>
      </c>
      <c r="F223" s="199">
        <v>2.6</v>
      </c>
      <c r="G223" s="199"/>
      <c r="H223" s="199"/>
      <c r="I223" s="199"/>
      <c r="J223" s="219"/>
      <c r="K223" s="217">
        <f t="shared" si="4"/>
        <v>9.879999999999999</v>
      </c>
      <c r="L223" s="218"/>
    </row>
    <row r="224" spans="2:12">
      <c r="B224" s="197" t="s">
        <v>1350</v>
      </c>
      <c r="C224" s="189" t="s">
        <v>1333</v>
      </c>
      <c r="D224" s="198" t="s">
        <v>1335</v>
      </c>
      <c r="E224" s="199">
        <v>3.8</v>
      </c>
      <c r="F224" s="199">
        <v>2.6</v>
      </c>
      <c r="G224" s="199"/>
      <c r="H224" s="199"/>
      <c r="I224" s="199"/>
      <c r="J224" s="219"/>
      <c r="K224" s="217">
        <f t="shared" si="4"/>
        <v>9.879999999999999</v>
      </c>
      <c r="L224" s="218"/>
    </row>
    <row r="225" spans="2:12">
      <c r="B225" s="197" t="s">
        <v>1351</v>
      </c>
      <c r="C225" s="189" t="s">
        <v>1333</v>
      </c>
      <c r="D225" s="198" t="s">
        <v>1335</v>
      </c>
      <c r="E225" s="199">
        <v>2.6</v>
      </c>
      <c r="F225" s="199">
        <v>2.6</v>
      </c>
      <c r="G225" s="199"/>
      <c r="H225" s="199"/>
      <c r="I225" s="199"/>
      <c r="J225" s="219"/>
      <c r="K225" s="217">
        <f t="shared" si="4"/>
        <v>6.7600000000000007</v>
      </c>
      <c r="L225" s="218"/>
    </row>
    <row r="226" spans="2:12">
      <c r="B226" s="197" t="s">
        <v>1352</v>
      </c>
      <c r="C226" s="189" t="s">
        <v>1333</v>
      </c>
      <c r="D226" s="198" t="s">
        <v>1335</v>
      </c>
      <c r="E226" s="199">
        <v>1.4</v>
      </c>
      <c r="F226" s="199">
        <v>1.4</v>
      </c>
      <c r="G226" s="199"/>
      <c r="H226" s="199"/>
      <c r="I226" s="199"/>
      <c r="J226" s="219"/>
      <c r="K226" s="217">
        <f t="shared" si="4"/>
        <v>1.9599999999999997</v>
      </c>
      <c r="L226" s="218"/>
    </row>
    <row r="227" spans="2:12">
      <c r="B227" s="197" t="s">
        <v>1353</v>
      </c>
      <c r="C227" s="189" t="s">
        <v>1333</v>
      </c>
      <c r="D227" s="198" t="s">
        <v>1335</v>
      </c>
      <c r="E227" s="199">
        <v>1.4</v>
      </c>
      <c r="F227" s="199">
        <v>1.4</v>
      </c>
      <c r="G227" s="199"/>
      <c r="H227" s="199"/>
      <c r="I227" s="199"/>
      <c r="J227" s="219"/>
      <c r="K227" s="217">
        <f t="shared" si="4"/>
        <v>1.9599999999999997</v>
      </c>
      <c r="L227" s="218"/>
    </row>
    <row r="228" spans="2:12">
      <c r="B228" s="197" t="s">
        <v>1354</v>
      </c>
      <c r="C228" s="189" t="s">
        <v>1333</v>
      </c>
      <c r="D228" s="198" t="s">
        <v>1335</v>
      </c>
      <c r="E228" s="199">
        <v>1.4</v>
      </c>
      <c r="F228" s="199">
        <v>1.4</v>
      </c>
      <c r="G228" s="199"/>
      <c r="H228" s="199"/>
      <c r="I228" s="199"/>
      <c r="J228" s="219"/>
      <c r="K228" s="217">
        <f t="shared" ref="K228:K248" si="5">IF(E228*F228*G228&lt;&gt;0,E228*F228*G228,IF(E228*F228&lt;&gt;0,E228*F228,IF(F228*G228&lt;&gt;0,F228*G228,IF(E228*G228&lt;&gt;0,E228*G228,IF(E228&lt;&gt;0,E228,IF(F228&lt;&gt;0,F228,IF(G228&lt;&gt;0,G228,0)))))))*(IF(H228&lt;&gt;0,H228,1))+I228-J228</f>
        <v>1.9599999999999997</v>
      </c>
      <c r="L228" s="218"/>
    </row>
    <row r="229" spans="2:12">
      <c r="B229" s="197" t="s">
        <v>1355</v>
      </c>
      <c r="C229" s="189" t="s">
        <v>1333</v>
      </c>
      <c r="D229" s="198" t="s">
        <v>1335</v>
      </c>
      <c r="E229" s="199">
        <v>1.4</v>
      </c>
      <c r="F229" s="199">
        <v>1.4</v>
      </c>
      <c r="G229" s="199"/>
      <c r="H229" s="199"/>
      <c r="I229" s="199"/>
      <c r="J229" s="219"/>
      <c r="K229" s="217">
        <f t="shared" si="5"/>
        <v>1.9599999999999997</v>
      </c>
      <c r="L229" s="218"/>
    </row>
    <row r="230" spans="2:12">
      <c r="B230" s="197" t="s">
        <v>1356</v>
      </c>
      <c r="C230" s="189" t="s">
        <v>1333</v>
      </c>
      <c r="D230" s="198" t="s">
        <v>1335</v>
      </c>
      <c r="E230" s="199">
        <v>2.6</v>
      </c>
      <c r="F230" s="199">
        <v>2.6</v>
      </c>
      <c r="G230" s="199"/>
      <c r="H230" s="199"/>
      <c r="I230" s="199"/>
      <c r="J230" s="219"/>
      <c r="K230" s="217">
        <f t="shared" si="5"/>
        <v>6.7600000000000007</v>
      </c>
      <c r="L230" s="218"/>
    </row>
    <row r="231" spans="2:12">
      <c r="B231" s="197" t="s">
        <v>1357</v>
      </c>
      <c r="C231" s="189" t="s">
        <v>1333</v>
      </c>
      <c r="D231" s="198" t="s">
        <v>1335</v>
      </c>
      <c r="E231" s="199">
        <v>2.6</v>
      </c>
      <c r="F231" s="199">
        <v>2.6</v>
      </c>
      <c r="G231" s="199"/>
      <c r="H231" s="199"/>
      <c r="I231" s="199"/>
      <c r="J231" s="219"/>
      <c r="K231" s="217">
        <f t="shared" si="5"/>
        <v>6.7600000000000007</v>
      </c>
      <c r="L231" s="218"/>
    </row>
    <row r="232" spans="2:12">
      <c r="B232" s="197" t="s">
        <v>1358</v>
      </c>
      <c r="C232" s="189" t="s">
        <v>1333</v>
      </c>
      <c r="D232" s="198" t="s">
        <v>1335</v>
      </c>
      <c r="E232" s="199">
        <v>2.6</v>
      </c>
      <c r="F232" s="199">
        <v>2.6</v>
      </c>
      <c r="G232" s="199"/>
      <c r="H232" s="199"/>
      <c r="I232" s="199"/>
      <c r="J232" s="219"/>
      <c r="K232" s="217">
        <f t="shared" si="5"/>
        <v>6.7600000000000007</v>
      </c>
      <c r="L232" s="218"/>
    </row>
    <row r="233" spans="2:12">
      <c r="B233" s="197" t="s">
        <v>1359</v>
      </c>
      <c r="C233" s="189" t="s">
        <v>1333</v>
      </c>
      <c r="D233" s="198" t="s">
        <v>1335</v>
      </c>
      <c r="E233" s="199">
        <v>2.6</v>
      </c>
      <c r="F233" s="199">
        <v>2.6</v>
      </c>
      <c r="G233" s="199"/>
      <c r="H233" s="199"/>
      <c r="I233" s="199"/>
      <c r="J233" s="219"/>
      <c r="K233" s="217">
        <f t="shared" si="5"/>
        <v>6.7600000000000007</v>
      </c>
      <c r="L233" s="218"/>
    </row>
    <row r="234" spans="2:12">
      <c r="B234" s="197" t="s">
        <v>1360</v>
      </c>
      <c r="C234" s="189" t="s">
        <v>1333</v>
      </c>
      <c r="D234" s="198" t="s">
        <v>1335</v>
      </c>
      <c r="E234" s="199">
        <v>1.4</v>
      </c>
      <c r="F234" s="199">
        <v>1.4</v>
      </c>
      <c r="G234" s="199"/>
      <c r="H234" s="199"/>
      <c r="I234" s="199"/>
      <c r="J234" s="219"/>
      <c r="K234" s="217">
        <f t="shared" si="5"/>
        <v>1.9599999999999997</v>
      </c>
      <c r="L234" s="218"/>
    </row>
    <row r="235" spans="2:12">
      <c r="B235" s="197" t="s">
        <v>1361</v>
      </c>
      <c r="C235" s="189" t="s">
        <v>1333</v>
      </c>
      <c r="D235" s="198" t="s">
        <v>1335</v>
      </c>
      <c r="E235" s="199">
        <v>1.4</v>
      </c>
      <c r="F235" s="199">
        <v>1.4</v>
      </c>
      <c r="G235" s="199"/>
      <c r="H235" s="199"/>
      <c r="I235" s="199"/>
      <c r="J235" s="219"/>
      <c r="K235" s="217">
        <f t="shared" si="5"/>
        <v>1.9599999999999997</v>
      </c>
      <c r="L235" s="218"/>
    </row>
    <row r="236" spans="2:12">
      <c r="B236" s="197" t="s">
        <v>1362</v>
      </c>
      <c r="C236" s="189" t="s">
        <v>1333</v>
      </c>
      <c r="D236" s="198" t="s">
        <v>1335</v>
      </c>
      <c r="E236" s="199">
        <v>2.6</v>
      </c>
      <c r="F236" s="199">
        <v>2.6</v>
      </c>
      <c r="G236" s="199"/>
      <c r="H236" s="199"/>
      <c r="I236" s="199"/>
      <c r="J236" s="219"/>
      <c r="K236" s="217">
        <f t="shared" si="5"/>
        <v>6.7600000000000007</v>
      </c>
      <c r="L236" s="218"/>
    </row>
    <row r="237" spans="2:12">
      <c r="B237" s="197" t="s">
        <v>1363</v>
      </c>
      <c r="C237" s="189" t="s">
        <v>1333</v>
      </c>
      <c r="D237" s="198" t="s">
        <v>1335</v>
      </c>
      <c r="E237" s="199">
        <v>2.6</v>
      </c>
      <c r="F237" s="199">
        <v>2.6</v>
      </c>
      <c r="G237" s="199"/>
      <c r="H237" s="199"/>
      <c r="I237" s="199"/>
      <c r="J237" s="219"/>
      <c r="K237" s="217">
        <f t="shared" si="5"/>
        <v>6.7600000000000007</v>
      </c>
      <c r="L237" s="218"/>
    </row>
    <row r="238" spans="2:12">
      <c r="B238" s="197" t="s">
        <v>1364</v>
      </c>
      <c r="C238" s="189" t="s">
        <v>1333</v>
      </c>
      <c r="D238" s="198" t="s">
        <v>1335</v>
      </c>
      <c r="E238" s="199">
        <v>2.2999999999999998</v>
      </c>
      <c r="F238" s="199">
        <v>1.3</v>
      </c>
      <c r="G238" s="199"/>
      <c r="H238" s="199"/>
      <c r="I238" s="199"/>
      <c r="J238" s="219"/>
      <c r="K238" s="217">
        <f t="shared" si="5"/>
        <v>2.9899999999999998</v>
      </c>
      <c r="L238" s="218"/>
    </row>
    <row r="239" spans="2:12">
      <c r="B239" s="197" t="s">
        <v>1442</v>
      </c>
      <c r="C239" s="189" t="s">
        <v>1441</v>
      </c>
      <c r="D239" s="198" t="s">
        <v>1335</v>
      </c>
      <c r="E239" s="199">
        <v>3.8</v>
      </c>
      <c r="F239" s="199">
        <v>2.4</v>
      </c>
      <c r="G239" s="199"/>
      <c r="H239" s="199"/>
      <c r="I239" s="199"/>
      <c r="J239" s="219"/>
      <c r="K239" s="217">
        <f t="shared" si="5"/>
        <v>9.1199999999999992</v>
      </c>
      <c r="L239" s="218"/>
    </row>
    <row r="240" spans="2:12">
      <c r="B240" s="197" t="s">
        <v>1443</v>
      </c>
      <c r="C240" s="189" t="s">
        <v>1441</v>
      </c>
      <c r="D240" s="198" t="s">
        <v>1335</v>
      </c>
      <c r="E240" s="199">
        <v>3.8</v>
      </c>
      <c r="F240" s="199">
        <v>2.4</v>
      </c>
      <c r="G240" s="199"/>
      <c r="H240" s="199"/>
      <c r="I240" s="199"/>
      <c r="J240" s="219"/>
      <c r="K240" s="217">
        <f t="shared" si="5"/>
        <v>9.1199999999999992</v>
      </c>
      <c r="L240" s="218"/>
    </row>
    <row r="241" spans="2:12">
      <c r="B241" s="197" t="s">
        <v>1444</v>
      </c>
      <c r="C241" s="189" t="s">
        <v>1441</v>
      </c>
      <c r="D241" s="198" t="s">
        <v>1335</v>
      </c>
      <c r="E241" s="199">
        <v>2.2999999999999998</v>
      </c>
      <c r="F241" s="199">
        <v>1.3</v>
      </c>
      <c r="G241" s="199"/>
      <c r="H241" s="199"/>
      <c r="I241" s="199"/>
      <c r="J241" s="219"/>
      <c r="K241" s="217">
        <f t="shared" si="5"/>
        <v>2.9899999999999998</v>
      </c>
      <c r="L241" s="218"/>
    </row>
    <row r="242" spans="2:12">
      <c r="B242" s="197" t="s">
        <v>1445</v>
      </c>
      <c r="C242" s="189" t="s">
        <v>1441</v>
      </c>
      <c r="D242" s="198" t="s">
        <v>1335</v>
      </c>
      <c r="E242" s="199">
        <v>2.2999999999999998</v>
      </c>
      <c r="F242" s="199">
        <v>1.3</v>
      </c>
      <c r="G242" s="199"/>
      <c r="H242" s="199"/>
      <c r="I242" s="199"/>
      <c r="J242" s="219"/>
      <c r="K242" s="217">
        <f t="shared" si="5"/>
        <v>2.9899999999999998</v>
      </c>
      <c r="L242" s="218"/>
    </row>
    <row r="243" spans="2:12">
      <c r="B243" s="197" t="s">
        <v>1446</v>
      </c>
      <c r="C243" s="189" t="s">
        <v>1441</v>
      </c>
      <c r="D243" s="198" t="s">
        <v>1335</v>
      </c>
      <c r="E243" s="199"/>
      <c r="F243" s="199"/>
      <c r="G243" s="199"/>
      <c r="H243" s="199"/>
      <c r="I243" s="199">
        <v>4.8499999999999996</v>
      </c>
      <c r="J243" s="219"/>
      <c r="K243" s="217">
        <f t="shared" si="5"/>
        <v>4.8499999999999996</v>
      </c>
      <c r="L243" s="218"/>
    </row>
    <row r="244" spans="2:12">
      <c r="B244" s="197" t="s">
        <v>1447</v>
      </c>
      <c r="C244" s="189" t="s">
        <v>1441</v>
      </c>
      <c r="D244" s="198" t="s">
        <v>1335</v>
      </c>
      <c r="E244" s="199"/>
      <c r="F244" s="199"/>
      <c r="G244" s="199"/>
      <c r="H244" s="199"/>
      <c r="I244" s="199">
        <v>4.8499999999999996</v>
      </c>
      <c r="J244" s="219"/>
      <c r="K244" s="217">
        <f t="shared" si="5"/>
        <v>4.8499999999999996</v>
      </c>
      <c r="L244" s="218"/>
    </row>
    <row r="245" spans="2:12">
      <c r="B245" s="197"/>
      <c r="C245" s="189" t="s">
        <v>1441</v>
      </c>
      <c r="D245" s="198" t="s">
        <v>1335</v>
      </c>
      <c r="E245" s="199"/>
      <c r="F245" s="199"/>
      <c r="G245" s="199"/>
      <c r="H245" s="199"/>
      <c r="I245" s="199">
        <v>2.2537750732476899E-4</v>
      </c>
      <c r="J245" s="219"/>
      <c r="K245" s="217">
        <f t="shared" si="5"/>
        <v>2.2537750732476899E-4</v>
      </c>
      <c r="L245" s="218"/>
    </row>
    <row r="246" spans="2:12">
      <c r="B246" s="197"/>
      <c r="C246" s="189" t="s">
        <v>1441</v>
      </c>
      <c r="D246" s="198" t="s">
        <v>1335</v>
      </c>
      <c r="E246" s="199"/>
      <c r="F246" s="199"/>
      <c r="G246" s="199"/>
      <c r="H246" s="199"/>
      <c r="I246" s="199"/>
      <c r="J246" s="219"/>
      <c r="K246" s="217">
        <f t="shared" si="5"/>
        <v>0</v>
      </c>
      <c r="L246" s="218"/>
    </row>
    <row r="247" spans="2:12">
      <c r="B247" s="197"/>
      <c r="C247" s="189" t="s">
        <v>1441</v>
      </c>
      <c r="D247" s="198" t="s">
        <v>1335</v>
      </c>
      <c r="E247" s="199"/>
      <c r="F247" s="199"/>
      <c r="G247" s="199"/>
      <c r="H247" s="199"/>
      <c r="I247" s="199"/>
      <c r="J247" s="219"/>
      <c r="K247" s="217">
        <f t="shared" si="5"/>
        <v>0</v>
      </c>
      <c r="L247" s="218"/>
    </row>
    <row r="248" spans="2:12">
      <c r="B248" s="197"/>
      <c r="C248" s="189"/>
      <c r="D248" s="198"/>
      <c r="E248" s="199"/>
      <c r="F248" s="199"/>
      <c r="G248" s="199"/>
      <c r="H248" s="199"/>
      <c r="I248" s="199"/>
      <c r="J248" s="219"/>
      <c r="K248" s="217">
        <f t="shared" si="5"/>
        <v>0</v>
      </c>
      <c r="L248" s="218"/>
    </row>
    <row r="249" spans="2:12">
      <c r="B249" s="202"/>
      <c r="C249" s="203"/>
      <c r="D249" s="203"/>
      <c r="E249" s="203"/>
      <c r="F249" s="203"/>
      <c r="G249" s="203"/>
      <c r="H249" s="204"/>
      <c r="I249" s="556" t="s">
        <v>1221</v>
      </c>
      <c r="J249" s="556"/>
      <c r="K249" s="220">
        <f>SUM(K196:K248)</f>
        <v>268.13342537750736</v>
      </c>
      <c r="L249" s="207"/>
    </row>
    <row r="250" spans="2:12">
      <c r="B250" s="208"/>
      <c r="C250" s="204"/>
      <c r="D250" s="204"/>
      <c r="E250" s="204"/>
      <c r="F250" s="204"/>
      <c r="G250" s="204"/>
      <c r="H250" s="209"/>
      <c r="I250" s="557" t="s">
        <v>1222</v>
      </c>
      <c r="J250" s="557"/>
      <c r="K250" s="221">
        <v>233.48</v>
      </c>
      <c r="L250" s="207"/>
    </row>
    <row r="251" spans="2:12">
      <c r="B251" s="208"/>
      <c r="C251" s="204"/>
      <c r="D251" s="204"/>
      <c r="E251" s="204"/>
      <c r="F251" s="204"/>
      <c r="G251" s="204"/>
      <c r="H251" s="558" t="s">
        <v>1223</v>
      </c>
      <c r="I251" s="558"/>
      <c r="J251" s="558"/>
      <c r="K251" s="222">
        <v>168.22919999999999</v>
      </c>
      <c r="L251" s="207"/>
    </row>
    <row r="252" spans="2:12">
      <c r="B252" s="208"/>
      <c r="C252" s="204"/>
      <c r="D252" s="204"/>
      <c r="E252" s="204"/>
      <c r="F252" s="204"/>
      <c r="G252" s="204"/>
      <c r="H252" s="558" t="s">
        <v>1431</v>
      </c>
      <c r="I252" s="558"/>
      <c r="J252" s="558"/>
      <c r="K252" s="222">
        <f>IF(K249&gt;K250,K250,K249)-K251+0.000225377507324769</f>
        <v>65.251025377507318</v>
      </c>
      <c r="L252" s="207"/>
    </row>
    <row r="253" spans="2:12">
      <c r="B253" s="213"/>
      <c r="C253" s="214"/>
      <c r="D253" s="214"/>
      <c r="E253" s="214"/>
      <c r="F253" s="214"/>
      <c r="G253" s="214"/>
      <c r="H253" s="559" t="s">
        <v>1224</v>
      </c>
      <c r="I253" s="559"/>
      <c r="J253" s="559"/>
      <c r="K253" s="223">
        <f>IF(K249&gt;K250,K249-K250,0)</f>
        <v>34.653425377507375</v>
      </c>
      <c r="L253" s="209"/>
    </row>
    <row r="255" spans="2:12" ht="14.25" customHeight="1">
      <c r="B255" s="555" t="s">
        <v>1272</v>
      </c>
      <c r="C255" s="555"/>
      <c r="D255" s="555"/>
      <c r="E255" s="555"/>
      <c r="F255" s="555"/>
      <c r="G255" s="555"/>
      <c r="H255" s="555"/>
      <c r="I255" s="555"/>
      <c r="J255" s="555"/>
      <c r="K255" s="555"/>
      <c r="L255" s="555"/>
    </row>
    <row r="256" spans="2:12">
      <c r="B256" s="187" t="s">
        <v>1209</v>
      </c>
      <c r="C256" s="187"/>
      <c r="D256" s="187" t="s">
        <v>39</v>
      </c>
      <c r="E256" s="187" t="s">
        <v>1210</v>
      </c>
      <c r="F256" s="187" t="s">
        <v>1211</v>
      </c>
      <c r="G256" s="187" t="s">
        <v>1212</v>
      </c>
      <c r="H256" s="187" t="s">
        <v>1213</v>
      </c>
      <c r="I256" s="187" t="s">
        <v>1214</v>
      </c>
      <c r="J256" s="187" t="s">
        <v>1215</v>
      </c>
      <c r="K256" s="187" t="s">
        <v>1216</v>
      </c>
      <c r="L256" s="187" t="s">
        <v>1217</v>
      </c>
    </row>
    <row r="257" spans="2:12">
      <c r="B257" s="188" t="s">
        <v>1273</v>
      </c>
      <c r="C257" s="189" t="s">
        <v>1271</v>
      </c>
      <c r="D257" s="190" t="s">
        <v>1274</v>
      </c>
      <c r="E257" s="191">
        <v>1014</v>
      </c>
      <c r="F257" s="243">
        <v>0.154</v>
      </c>
      <c r="G257" s="192">
        <v>1.1000000000000001</v>
      </c>
      <c r="H257" s="191"/>
      <c r="I257" s="191"/>
      <c r="J257" s="216"/>
      <c r="K257" s="217">
        <f>IF(E257*F257*G257&lt;&gt;0,E257*F257*G257,IF(E257*F257&lt;&gt;0,E257*F257,IF(F257*G257&lt;&gt;0,F257*G257,IF(E257*G257&lt;&gt;0,E257*G257,IF(E257&lt;&gt;0,E257,IF(F257&lt;&gt;0,F257,IF(G257&lt;&gt;0,G257,0)))))))*(IF(H257&lt;&gt;0,H257,1))+I257-J257</f>
        <v>171.77160000000001</v>
      </c>
      <c r="L257" s="218"/>
    </row>
    <row r="258" spans="2:12">
      <c r="B258" s="188" t="s">
        <v>1275</v>
      </c>
      <c r="C258" s="189" t="s">
        <v>1333</v>
      </c>
      <c r="D258" s="190" t="s">
        <v>1274</v>
      </c>
      <c r="E258" s="191"/>
      <c r="F258" s="243"/>
      <c r="G258" s="192"/>
      <c r="H258" s="191"/>
      <c r="I258" s="191"/>
      <c r="J258" s="216"/>
      <c r="K258" s="217">
        <f>IF(E258*F258*G258&lt;&gt;0,E258*F258*G258,IF(E258*F258&lt;&gt;0,E258*F258,IF(F258*G258&lt;&gt;0,F258*G258,IF(E258*G258&lt;&gt;0,E258*G258,IF(E258&lt;&gt;0,E258,IF(F258&lt;&gt;0,F258,IF(G258&lt;&gt;0,G258,0)))))))*(IF(H258&lt;&gt;0,H258,1))+I258-J258</f>
        <v>0</v>
      </c>
      <c r="L258" s="218"/>
    </row>
    <row r="259" spans="2:12">
      <c r="B259" s="188" t="s">
        <v>1448</v>
      </c>
      <c r="C259" s="189" t="s">
        <v>1441</v>
      </c>
      <c r="D259" s="190" t="s">
        <v>1274</v>
      </c>
      <c r="E259" s="191">
        <v>123.508</v>
      </c>
      <c r="F259" s="243"/>
      <c r="G259" s="192"/>
      <c r="H259" s="191">
        <v>0.25</v>
      </c>
      <c r="I259" s="191"/>
      <c r="J259" s="216"/>
      <c r="K259" s="217">
        <f>IF(E259*F259*G259&lt;&gt;0,E259*F259*G259,IF(E259*F259&lt;&gt;0,E259*F259,IF(F259*G259&lt;&gt;0,F259*G259,IF(E259*G259&lt;&gt;0,E259*G259,IF(E259&lt;&gt;0,E259,IF(F259&lt;&gt;0,F259,IF(G259&lt;&gt;0,G259,0)))))))*(IF(H259&lt;&gt;0,H259,1))+I259-J259</f>
        <v>30.876999999999999</v>
      </c>
      <c r="L259" s="218"/>
    </row>
    <row r="260" spans="2:12">
      <c r="B260" s="197"/>
      <c r="C260" s="189"/>
      <c r="D260" s="198"/>
      <c r="E260" s="199"/>
      <c r="F260" s="244"/>
      <c r="G260" s="199"/>
      <c r="H260" s="199"/>
      <c r="I260" s="199"/>
      <c r="J260" s="219"/>
      <c r="K260" s="217">
        <f>IF(E260*F260*G260&lt;&gt;0,E260*F260*G260,IF(E260*F260&lt;&gt;0,E260*F260,IF(F260*G260&lt;&gt;0,F260*G260,IF(E260*G260&lt;&gt;0,E260*G260,IF(E260&lt;&gt;0,E260,IF(F260&lt;&gt;0,F260,IF(G260&lt;&gt;0,G260,0)))))))*(IF(H260&lt;&gt;0,H260,1))+I260-J260</f>
        <v>0</v>
      </c>
      <c r="L260" s="218"/>
    </row>
    <row r="261" spans="2:12">
      <c r="B261" s="202"/>
      <c r="C261" s="203"/>
      <c r="D261" s="203"/>
      <c r="E261" s="203"/>
      <c r="F261" s="203"/>
      <c r="G261" s="203"/>
      <c r="H261" s="204"/>
      <c r="I261" s="556" t="s">
        <v>1221</v>
      </c>
      <c r="J261" s="556"/>
      <c r="K261" s="220">
        <f>SUM(K257:K260)</f>
        <v>202.64860000000002</v>
      </c>
      <c r="L261" s="207"/>
    </row>
    <row r="262" spans="2:12">
      <c r="B262" s="208"/>
      <c r="C262" s="204"/>
      <c r="D262" s="204"/>
      <c r="E262" s="204"/>
      <c r="F262" s="204"/>
      <c r="G262" s="204"/>
      <c r="H262" s="209"/>
      <c r="I262" s="557" t="s">
        <v>1222</v>
      </c>
      <c r="J262" s="557"/>
      <c r="K262" s="221">
        <v>190.3</v>
      </c>
      <c r="L262" s="207"/>
    </row>
    <row r="263" spans="2:12">
      <c r="B263" s="208"/>
      <c r="C263" s="204"/>
      <c r="D263" s="204"/>
      <c r="E263" s="204"/>
      <c r="F263" s="204"/>
      <c r="G263" s="204"/>
      <c r="H263" s="558" t="s">
        <v>1223</v>
      </c>
      <c r="I263" s="558"/>
      <c r="J263" s="558"/>
      <c r="K263" s="222">
        <v>171.77160000000001</v>
      </c>
      <c r="L263" s="207"/>
    </row>
    <row r="264" spans="2:12">
      <c r="B264" s="208"/>
      <c r="C264" s="204"/>
      <c r="D264" s="204"/>
      <c r="E264" s="204"/>
      <c r="F264" s="204"/>
      <c r="G264" s="204"/>
      <c r="H264" s="558" t="s">
        <v>1250</v>
      </c>
      <c r="I264" s="558"/>
      <c r="J264" s="558"/>
      <c r="K264" s="222">
        <f>IF(K261&gt;K262,K262,K261)-K263</f>
        <v>18.528400000000005</v>
      </c>
      <c r="L264" s="207"/>
    </row>
    <row r="265" spans="2:12">
      <c r="B265" s="213"/>
      <c r="C265" s="214"/>
      <c r="D265" s="214"/>
      <c r="E265" s="214"/>
      <c r="F265" s="214"/>
      <c r="G265" s="214"/>
      <c r="H265" s="559" t="s">
        <v>1224</v>
      </c>
      <c r="I265" s="559"/>
      <c r="J265" s="559"/>
      <c r="K265" s="223">
        <f>IF(K261&gt;K262,K261-K262,0)</f>
        <v>12.348600000000005</v>
      </c>
      <c r="L265" s="209"/>
    </row>
    <row r="267" spans="2:12" ht="14.25" customHeight="1">
      <c r="B267" s="555" t="s">
        <v>1276</v>
      </c>
      <c r="C267" s="555"/>
      <c r="D267" s="555"/>
      <c r="E267" s="555"/>
      <c r="F267" s="555"/>
      <c r="G267" s="555"/>
      <c r="H267" s="555"/>
      <c r="I267" s="555"/>
      <c r="J267" s="555"/>
      <c r="K267" s="555"/>
      <c r="L267" s="555"/>
    </row>
    <row r="268" spans="2:12">
      <c r="B268" s="187" t="s">
        <v>1209</v>
      </c>
      <c r="C268" s="187"/>
      <c r="D268" s="187" t="s">
        <v>39</v>
      </c>
      <c r="E268" s="187" t="s">
        <v>1210</v>
      </c>
      <c r="F268" s="187" t="s">
        <v>1211</v>
      </c>
      <c r="G268" s="187" t="s">
        <v>1212</v>
      </c>
      <c r="H268" s="187" t="s">
        <v>1213</v>
      </c>
      <c r="I268" s="187" t="s">
        <v>1214</v>
      </c>
      <c r="J268" s="187" t="s">
        <v>1215</v>
      </c>
      <c r="K268" s="187" t="s">
        <v>1216</v>
      </c>
      <c r="L268" s="187" t="s">
        <v>1217</v>
      </c>
    </row>
    <row r="269" spans="2:12">
      <c r="B269" s="188" t="s">
        <v>1273</v>
      </c>
      <c r="C269" s="189" t="s">
        <v>1271</v>
      </c>
      <c r="D269" s="190" t="s">
        <v>1274</v>
      </c>
      <c r="E269" s="191">
        <v>333</v>
      </c>
      <c r="F269" s="243">
        <v>0.245</v>
      </c>
      <c r="G269" s="192">
        <v>1.1000000000000001</v>
      </c>
      <c r="H269" s="191"/>
      <c r="I269" s="191"/>
      <c r="J269" s="216"/>
      <c r="K269" s="217">
        <f>IF(E269*F269*G269&lt;&gt;0,E269*F269*G269,IF(E269*F269&lt;&gt;0,E269*F269,IF(F269*G269&lt;&gt;0,F269*G269,IF(E269*G269&lt;&gt;0,E269*G269,IF(E269&lt;&gt;0,E269,IF(F269&lt;&gt;0,F269,IF(G269&lt;&gt;0,G269,0)))))))*(IF(H269&lt;&gt;0,H269,1))+I269-J269</f>
        <v>89.743499999999997</v>
      </c>
      <c r="L269" s="218"/>
    </row>
    <row r="270" spans="2:12">
      <c r="B270" s="188" t="s">
        <v>1275</v>
      </c>
      <c r="C270" s="189" t="s">
        <v>1333</v>
      </c>
      <c r="D270" s="190" t="s">
        <v>1274</v>
      </c>
      <c r="E270" s="191">
        <v>411</v>
      </c>
      <c r="F270" s="243">
        <v>0.245</v>
      </c>
      <c r="G270" s="192">
        <v>1.1000000000000001</v>
      </c>
      <c r="H270" s="191"/>
      <c r="I270" s="191"/>
      <c r="J270" s="216"/>
      <c r="K270" s="217">
        <f>IF(E270*F270*G270&lt;&gt;0,E270*F270*G270,IF(E270*F270&lt;&gt;0,E270*F270,IF(F270*G270&lt;&gt;0,F270*G270,IF(E270*G270&lt;&gt;0,E270*G270,IF(E270&lt;&gt;0,E270,IF(F270&lt;&gt;0,F270,IF(G270&lt;&gt;0,G270,0)))))))*(IF(H270&lt;&gt;0,H270,1))+I270-J270</f>
        <v>110.7645</v>
      </c>
      <c r="L270" s="218"/>
    </row>
    <row r="271" spans="2:12">
      <c r="B271" s="197"/>
      <c r="C271" s="189"/>
      <c r="D271" s="198"/>
      <c r="E271" s="199"/>
      <c r="F271" s="199"/>
      <c r="G271" s="199"/>
      <c r="H271" s="199"/>
      <c r="I271" s="199"/>
      <c r="J271" s="219"/>
      <c r="K271" s="217">
        <f>IF(E271*F271*G271&lt;&gt;0,E271*F271*G271,IF(E271*F271&lt;&gt;0,E271*F271,IF(F271*G271&lt;&gt;0,F271*G271,IF(E271*G271&lt;&gt;0,E271*G271,IF(E271&lt;&gt;0,E271,IF(F271&lt;&gt;0,F271,IF(G271&lt;&gt;0,G271,0)))))))*(IF(H271&lt;&gt;0,H271,1))+I271-J271</f>
        <v>0</v>
      </c>
      <c r="L271" s="218"/>
    </row>
    <row r="272" spans="2:12">
      <c r="B272" s="202"/>
      <c r="C272" s="203"/>
      <c r="D272" s="203"/>
      <c r="E272" s="203"/>
      <c r="F272" s="203"/>
      <c r="G272" s="203"/>
      <c r="H272" s="204"/>
      <c r="I272" s="556" t="s">
        <v>1221</v>
      </c>
      <c r="J272" s="556"/>
      <c r="K272" s="220">
        <f>SUM(K269:K271)</f>
        <v>200.50799999999998</v>
      </c>
      <c r="L272" s="207"/>
    </row>
    <row r="273" spans="2:12">
      <c r="B273" s="208"/>
      <c r="C273" s="204"/>
      <c r="D273" s="204"/>
      <c r="E273" s="204"/>
      <c r="F273" s="204"/>
      <c r="G273" s="204"/>
      <c r="H273" s="209"/>
      <c r="I273" s="557" t="s">
        <v>1222</v>
      </c>
      <c r="J273" s="557"/>
      <c r="K273" s="221">
        <v>77</v>
      </c>
      <c r="L273" s="207"/>
    </row>
    <row r="274" spans="2:12">
      <c r="B274" s="208"/>
      <c r="C274" s="204"/>
      <c r="D274" s="204"/>
      <c r="E274" s="204"/>
      <c r="F274" s="204"/>
      <c r="G274" s="204"/>
      <c r="H274" s="558" t="s">
        <v>1223</v>
      </c>
      <c r="I274" s="558"/>
      <c r="J274" s="558"/>
      <c r="K274" s="222">
        <v>77</v>
      </c>
      <c r="L274" s="207"/>
    </row>
    <row r="275" spans="2:12">
      <c r="B275" s="208"/>
      <c r="C275" s="204"/>
      <c r="D275" s="204"/>
      <c r="E275" s="204"/>
      <c r="F275" s="204"/>
      <c r="G275" s="204"/>
      <c r="H275" s="558" t="s">
        <v>1250</v>
      </c>
      <c r="I275" s="558"/>
      <c r="J275" s="558"/>
      <c r="K275" s="222">
        <f>IF(K272&gt;K273,K273,K272)-K274</f>
        <v>0</v>
      </c>
      <c r="L275" s="207"/>
    </row>
    <row r="276" spans="2:12">
      <c r="B276" s="213"/>
      <c r="C276" s="214"/>
      <c r="D276" s="214"/>
      <c r="E276" s="214"/>
      <c r="F276" s="214"/>
      <c r="G276" s="214"/>
      <c r="H276" s="559" t="s">
        <v>1224</v>
      </c>
      <c r="I276" s="559"/>
      <c r="J276" s="559"/>
      <c r="K276" s="223">
        <f>IF(K272&gt;K273,K272-K273,0)</f>
        <v>123.50799999999998</v>
      </c>
      <c r="L276" s="209"/>
    </row>
    <row r="278" spans="2:12" ht="14.25" customHeight="1">
      <c r="B278" s="555" t="s">
        <v>1277</v>
      </c>
      <c r="C278" s="555"/>
      <c r="D278" s="555"/>
      <c r="E278" s="555"/>
      <c r="F278" s="555"/>
      <c r="G278" s="555"/>
      <c r="H278" s="555"/>
      <c r="I278" s="555"/>
      <c r="J278" s="555"/>
      <c r="K278" s="555"/>
      <c r="L278" s="555"/>
    </row>
    <row r="279" spans="2:12">
      <c r="B279" s="187" t="s">
        <v>1209</v>
      </c>
      <c r="C279" s="187"/>
      <c r="D279" s="187" t="s">
        <v>39</v>
      </c>
      <c r="E279" s="187" t="s">
        <v>1210</v>
      </c>
      <c r="F279" s="187" t="s">
        <v>1211</v>
      </c>
      <c r="G279" s="187" t="s">
        <v>1212</v>
      </c>
      <c r="H279" s="187" t="s">
        <v>1213</v>
      </c>
      <c r="I279" s="187" t="s">
        <v>1214</v>
      </c>
      <c r="J279" s="187" t="s">
        <v>1215</v>
      </c>
      <c r="K279" s="187" t="s">
        <v>1216</v>
      </c>
      <c r="L279" s="187" t="s">
        <v>1217</v>
      </c>
    </row>
    <row r="280" spans="2:12">
      <c r="B280" s="188" t="s">
        <v>1273</v>
      </c>
      <c r="C280" s="189" t="s">
        <v>1271</v>
      </c>
      <c r="D280" s="190" t="s">
        <v>1274</v>
      </c>
      <c r="E280" s="191">
        <v>938</v>
      </c>
      <c r="F280" s="243">
        <v>0.39500000000000002</v>
      </c>
      <c r="G280" s="192">
        <v>1.1000000000000001</v>
      </c>
      <c r="H280" s="191"/>
      <c r="I280" s="191"/>
      <c r="J280" s="216"/>
      <c r="K280" s="217">
        <f>IF(E280*F280*G280&lt;&gt;0,E280*F280*G280,IF(E280*F280&lt;&gt;0,E280*F280,IF(F280*G280&lt;&gt;0,F280*G280,IF(E280*G280&lt;&gt;0,E280*G280,IF(E280&lt;&gt;0,E280,IF(F280&lt;&gt;0,F280,IF(G280&lt;&gt;0,G280,0)))))))*(IF(H280&lt;&gt;0,H280,1))+I280-J280</f>
        <v>407.56100000000004</v>
      </c>
      <c r="L280" s="218"/>
    </row>
    <row r="281" spans="2:12">
      <c r="B281" s="188" t="s">
        <v>1275</v>
      </c>
      <c r="C281" s="189" t="s">
        <v>1333</v>
      </c>
      <c r="D281" s="190" t="s">
        <v>1274</v>
      </c>
      <c r="E281" s="191">
        <v>197</v>
      </c>
      <c r="F281" s="243">
        <v>0.39500000000000002</v>
      </c>
      <c r="G281" s="192">
        <v>1.1000000000000001</v>
      </c>
      <c r="H281" s="191"/>
      <c r="I281" s="191"/>
      <c r="J281" s="216"/>
      <c r="K281" s="217">
        <f>IF(E281*F281*G281&lt;&gt;0,E281*F281*G281,IF(E281*F281&lt;&gt;0,E281*F281,IF(F281*G281&lt;&gt;0,F281*G281,IF(E281*G281&lt;&gt;0,E281*G281,IF(E281&lt;&gt;0,E281,IF(F281&lt;&gt;0,F281,IF(G281&lt;&gt;0,G281,0)))))))*(IF(H281&lt;&gt;0,H281,1))+I281-J281</f>
        <v>85.596500000000006</v>
      </c>
      <c r="L281" s="218"/>
    </row>
    <row r="282" spans="2:12">
      <c r="B282" s="188" t="s">
        <v>1448</v>
      </c>
      <c r="C282" s="189" t="s">
        <v>1441</v>
      </c>
      <c r="D282" s="190" t="s">
        <v>1274</v>
      </c>
      <c r="E282" s="191">
        <v>123.508</v>
      </c>
      <c r="F282" s="243"/>
      <c r="G282" s="192"/>
      <c r="H282" s="191">
        <v>0.75</v>
      </c>
      <c r="I282" s="191"/>
      <c r="J282" s="216"/>
      <c r="K282" s="217">
        <f>IF(E282*F282*G282&lt;&gt;0,E282*F282*G282,IF(E282*F282&lt;&gt;0,E282*F282,IF(F282*G282&lt;&gt;0,F282*G282,IF(E282*G282&lt;&gt;0,E282*G282,IF(E282&lt;&gt;0,E282,IF(F282&lt;&gt;0,F282,IF(G282&lt;&gt;0,G282,0)))))))*(IF(H282&lt;&gt;0,H282,1))+I282-J282</f>
        <v>92.631</v>
      </c>
      <c r="L282" s="218"/>
    </row>
    <row r="283" spans="2:12">
      <c r="B283" s="197"/>
      <c r="C283" s="189"/>
      <c r="D283" s="198"/>
      <c r="E283" s="199"/>
      <c r="F283" s="199"/>
      <c r="G283" s="199"/>
      <c r="H283" s="199"/>
      <c r="I283" s="199"/>
      <c r="J283" s="219"/>
      <c r="K283" s="217">
        <f>IF(E283*F283*G283&lt;&gt;0,E283*F283*G283,IF(E283*F283&lt;&gt;0,E283*F283,IF(F283*G283&lt;&gt;0,F283*G283,IF(E283*G283&lt;&gt;0,E283*G283,IF(E283&lt;&gt;0,E283,IF(F283&lt;&gt;0,F283,IF(G283&lt;&gt;0,G283,0)))))))*(IF(H283&lt;&gt;0,H283,1))+I283-J283</f>
        <v>0</v>
      </c>
      <c r="L283" s="218"/>
    </row>
    <row r="284" spans="2:12">
      <c r="B284" s="202"/>
      <c r="C284" s="203"/>
      <c r="D284" s="203"/>
      <c r="E284" s="203"/>
      <c r="F284" s="203"/>
      <c r="G284" s="203"/>
      <c r="H284" s="204"/>
      <c r="I284" s="556" t="s">
        <v>1221</v>
      </c>
      <c r="J284" s="556"/>
      <c r="K284" s="220">
        <f>SUM(K280:K283)</f>
        <v>585.7885</v>
      </c>
      <c r="L284" s="207"/>
    </row>
    <row r="285" spans="2:12">
      <c r="B285" s="208"/>
      <c r="C285" s="204"/>
      <c r="D285" s="204"/>
      <c r="E285" s="204"/>
      <c r="F285" s="204"/>
      <c r="G285" s="204"/>
      <c r="H285" s="209"/>
      <c r="I285" s="557" t="s">
        <v>1222</v>
      </c>
      <c r="J285" s="557"/>
      <c r="K285" s="221">
        <v>566.5</v>
      </c>
      <c r="L285" s="207"/>
    </row>
    <row r="286" spans="2:12">
      <c r="B286" s="208"/>
      <c r="C286" s="204"/>
      <c r="D286" s="204"/>
      <c r="E286" s="204"/>
      <c r="F286" s="204"/>
      <c r="G286" s="204"/>
      <c r="H286" s="558" t="s">
        <v>1223</v>
      </c>
      <c r="I286" s="558"/>
      <c r="J286" s="558"/>
      <c r="K286" s="222">
        <v>493.15750000000003</v>
      </c>
      <c r="L286" s="207"/>
    </row>
    <row r="287" spans="2:12">
      <c r="B287" s="208"/>
      <c r="C287" s="204"/>
      <c r="D287" s="204"/>
      <c r="E287" s="204"/>
      <c r="F287" s="204"/>
      <c r="G287" s="204"/>
      <c r="H287" s="558" t="s">
        <v>1250</v>
      </c>
      <c r="I287" s="558"/>
      <c r="J287" s="558"/>
      <c r="K287" s="222">
        <f>IF(K284&gt;K285,K285,K284)-K286</f>
        <v>73.342499999999973</v>
      </c>
      <c r="L287" s="207"/>
    </row>
    <row r="288" spans="2:12">
      <c r="B288" s="213"/>
      <c r="C288" s="214"/>
      <c r="D288" s="214"/>
      <c r="E288" s="214"/>
      <c r="F288" s="214"/>
      <c r="G288" s="214"/>
      <c r="H288" s="559" t="s">
        <v>1224</v>
      </c>
      <c r="I288" s="559"/>
      <c r="J288" s="559"/>
      <c r="K288" s="223">
        <f>IF(K284&gt;K285,K284-K285,0)</f>
        <v>19.288499999999999</v>
      </c>
      <c r="L288" s="209"/>
    </row>
    <row r="290" spans="2:12" ht="14.25" customHeight="1">
      <c r="B290" s="555" t="s">
        <v>1278</v>
      </c>
      <c r="C290" s="555"/>
      <c r="D290" s="555"/>
      <c r="E290" s="555"/>
      <c r="F290" s="555"/>
      <c r="G290" s="555"/>
      <c r="H290" s="555"/>
      <c r="I290" s="555"/>
      <c r="J290" s="555"/>
      <c r="K290" s="555"/>
      <c r="L290" s="555"/>
    </row>
    <row r="291" spans="2:12">
      <c r="B291" s="187" t="s">
        <v>1209</v>
      </c>
      <c r="C291" s="187"/>
      <c r="D291" s="187" t="s">
        <v>39</v>
      </c>
      <c r="E291" s="187" t="s">
        <v>1210</v>
      </c>
      <c r="F291" s="187" t="s">
        <v>1211</v>
      </c>
      <c r="G291" s="187" t="s">
        <v>1212</v>
      </c>
      <c r="H291" s="187" t="s">
        <v>1213</v>
      </c>
      <c r="I291" s="187" t="s">
        <v>1214</v>
      </c>
      <c r="J291" s="187" t="s">
        <v>1215</v>
      </c>
      <c r="K291" s="187" t="s">
        <v>1216</v>
      </c>
      <c r="L291" s="187" t="s">
        <v>1217</v>
      </c>
    </row>
    <row r="292" spans="2:12">
      <c r="B292" s="188" t="s">
        <v>1273</v>
      </c>
      <c r="C292" s="189" t="s">
        <v>1271</v>
      </c>
      <c r="D292" s="190" t="s">
        <v>1274</v>
      </c>
      <c r="E292" s="191">
        <v>737</v>
      </c>
      <c r="F292" s="243">
        <v>0.61699999999999999</v>
      </c>
      <c r="G292" s="192">
        <v>1.1000000000000001</v>
      </c>
      <c r="H292" s="191"/>
      <c r="I292" s="191"/>
      <c r="J292" s="216"/>
      <c r="K292" s="217">
        <f>IF(E292*F292*G292&lt;&gt;0,E292*F292*G292,IF(E292*F292&lt;&gt;0,E292*F292,IF(F292*G292&lt;&gt;0,F292*G292,IF(E292*G292&lt;&gt;0,E292*G292,IF(E292&lt;&gt;0,E292,IF(F292&lt;&gt;0,F292,IF(G292&lt;&gt;0,G292,0)))))))*(IF(H292&lt;&gt;0,H292,1))+I292-J292</f>
        <v>500.20190000000002</v>
      </c>
      <c r="L292" s="218"/>
    </row>
    <row r="293" spans="2:12">
      <c r="B293" s="188" t="s">
        <v>1275</v>
      </c>
      <c r="C293" s="189" t="s">
        <v>1333</v>
      </c>
      <c r="D293" s="190" t="s">
        <v>1274</v>
      </c>
      <c r="E293" s="191">
        <v>1837</v>
      </c>
      <c r="F293" s="243">
        <v>0.61699999999999999</v>
      </c>
      <c r="G293" s="192">
        <v>1.1000000000000001</v>
      </c>
      <c r="H293" s="191"/>
      <c r="I293" s="191"/>
      <c r="J293" s="216"/>
      <c r="K293" s="217">
        <f>IF(E293*F293*G293&lt;&gt;0,E293*F293*G293,IF(E293*F293&lt;&gt;0,E293*F293,IF(F293*G293&lt;&gt;0,F293*G293,IF(E293*G293&lt;&gt;0,E293*G293,IF(E293&lt;&gt;0,E293,IF(F293&lt;&gt;0,F293,IF(G293&lt;&gt;0,G293,0)))))))*(IF(H293&lt;&gt;0,H293,1))+I293-J293</f>
        <v>1246.7719000000002</v>
      </c>
      <c r="L293" s="218"/>
    </row>
    <row r="294" spans="2:12">
      <c r="B294" s="197"/>
      <c r="C294" s="189"/>
      <c r="D294" s="198"/>
      <c r="E294" s="199"/>
      <c r="F294" s="244"/>
      <c r="G294" s="199"/>
      <c r="H294" s="199"/>
      <c r="I294" s="199"/>
      <c r="J294" s="219"/>
      <c r="K294" s="217">
        <f>IF(E294*F294*G294&lt;&gt;0,E294*F294*G294,IF(E294*F294&lt;&gt;0,E294*F294,IF(F294*G294&lt;&gt;0,F294*G294,IF(E294*G294&lt;&gt;0,E294*G294,IF(E294&lt;&gt;0,E294,IF(F294&lt;&gt;0,F294,IF(G294&lt;&gt;0,G294,0)))))))*(IF(H294&lt;&gt;0,H294,1))+I294-J294</f>
        <v>0</v>
      </c>
      <c r="L294" s="218"/>
    </row>
    <row r="295" spans="2:12">
      <c r="B295" s="202"/>
      <c r="C295" s="203"/>
      <c r="D295" s="203"/>
      <c r="E295" s="203"/>
      <c r="F295" s="203"/>
      <c r="G295" s="203"/>
      <c r="H295" s="204"/>
      <c r="I295" s="556" t="s">
        <v>1221</v>
      </c>
      <c r="J295" s="556"/>
      <c r="K295" s="220">
        <f>SUM(K292:K294)</f>
        <v>1746.9738000000002</v>
      </c>
      <c r="L295" s="207"/>
    </row>
    <row r="296" spans="2:12">
      <c r="B296" s="208"/>
      <c r="C296" s="204"/>
      <c r="D296" s="204"/>
      <c r="E296" s="204"/>
      <c r="F296" s="204"/>
      <c r="G296" s="204"/>
      <c r="H296" s="209"/>
      <c r="I296" s="557" t="s">
        <v>1222</v>
      </c>
      <c r="J296" s="557"/>
      <c r="K296" s="221">
        <v>1663.2</v>
      </c>
      <c r="L296" s="207"/>
    </row>
    <row r="297" spans="2:12">
      <c r="B297" s="208"/>
      <c r="C297" s="204"/>
      <c r="D297" s="204"/>
      <c r="E297" s="204"/>
      <c r="F297" s="204"/>
      <c r="G297" s="204"/>
      <c r="H297" s="558" t="s">
        <v>1223</v>
      </c>
      <c r="I297" s="558"/>
      <c r="J297" s="558"/>
      <c r="K297" s="222">
        <v>500.20190000000002</v>
      </c>
      <c r="L297" s="207"/>
    </row>
    <row r="298" spans="2:12">
      <c r="B298" s="208"/>
      <c r="C298" s="204"/>
      <c r="D298" s="204"/>
      <c r="E298" s="204"/>
      <c r="F298" s="204"/>
      <c r="G298" s="204"/>
      <c r="H298" s="558" t="s">
        <v>1250</v>
      </c>
      <c r="I298" s="558"/>
      <c r="J298" s="558"/>
      <c r="K298" s="222">
        <f>IF(K295&gt;K296,K296,K295)-K297</f>
        <v>1162.9981</v>
      </c>
      <c r="L298" s="207"/>
    </row>
    <row r="299" spans="2:12">
      <c r="B299" s="213"/>
      <c r="C299" s="214"/>
      <c r="D299" s="214"/>
      <c r="E299" s="214"/>
      <c r="F299" s="214"/>
      <c r="G299" s="214"/>
      <c r="H299" s="559" t="s">
        <v>1224</v>
      </c>
      <c r="I299" s="559"/>
      <c r="J299" s="559"/>
      <c r="K299" s="223">
        <f>IF(K295&gt;K296,K295-K296,0)</f>
        <v>83.773800000000165</v>
      </c>
      <c r="L299" s="209"/>
    </row>
    <row r="301" spans="2:12" ht="14.25" customHeight="1">
      <c r="B301" s="555" t="s">
        <v>1279</v>
      </c>
      <c r="C301" s="555"/>
      <c r="D301" s="555"/>
      <c r="E301" s="555"/>
      <c r="F301" s="555"/>
      <c r="G301" s="555"/>
      <c r="H301" s="555"/>
      <c r="I301" s="555"/>
      <c r="J301" s="555"/>
      <c r="K301" s="555"/>
      <c r="L301" s="555"/>
    </row>
    <row r="302" spans="2:12">
      <c r="B302" s="187" t="s">
        <v>1209</v>
      </c>
      <c r="C302" s="187"/>
      <c r="D302" s="187" t="s">
        <v>39</v>
      </c>
      <c r="E302" s="187" t="s">
        <v>1210</v>
      </c>
      <c r="F302" s="187" t="s">
        <v>1211</v>
      </c>
      <c r="G302" s="187" t="s">
        <v>1212</v>
      </c>
      <c r="H302" s="187" t="s">
        <v>1213</v>
      </c>
      <c r="I302" s="187" t="s">
        <v>1214</v>
      </c>
      <c r="J302" s="187" t="s">
        <v>1215</v>
      </c>
      <c r="K302" s="187" t="s">
        <v>1216</v>
      </c>
      <c r="L302" s="187" t="s">
        <v>1217</v>
      </c>
    </row>
    <row r="303" spans="2:12">
      <c r="B303" s="188" t="s">
        <v>1273</v>
      </c>
      <c r="C303" s="189" t="s">
        <v>1271</v>
      </c>
      <c r="D303" s="190" t="s">
        <v>1274</v>
      </c>
      <c r="E303" s="191">
        <v>3329</v>
      </c>
      <c r="F303" s="243">
        <v>0.96299999999999997</v>
      </c>
      <c r="G303" s="192">
        <v>1.1000000000000001</v>
      </c>
      <c r="H303" s="191"/>
      <c r="I303" s="191"/>
      <c r="J303" s="216"/>
      <c r="K303" s="217">
        <f>IF(E303*F303*G303&lt;&gt;0,E303*F303*G303,IF(E303*F303&lt;&gt;0,E303*F303,IF(F303*G303&lt;&gt;0,F303*G303,IF(E303*G303&lt;&gt;0,E303*G303,IF(E303&lt;&gt;0,E303,IF(F303&lt;&gt;0,F303,IF(G303&lt;&gt;0,G303,0)))))))*(IF(H303&lt;&gt;0,H303,1))+I303-J303</f>
        <v>3526.4097000000002</v>
      </c>
      <c r="L303" s="218"/>
    </row>
    <row r="304" spans="2:12">
      <c r="B304" s="188" t="s">
        <v>1275</v>
      </c>
      <c r="C304" s="189" t="s">
        <v>1333</v>
      </c>
      <c r="D304" s="190" t="s">
        <v>1274</v>
      </c>
      <c r="E304" s="191">
        <v>2624</v>
      </c>
      <c r="F304" s="243">
        <v>0.96299999999999997</v>
      </c>
      <c r="G304" s="192">
        <v>1.1000000000000001</v>
      </c>
      <c r="H304" s="191"/>
      <c r="I304" s="191"/>
      <c r="J304" s="216"/>
      <c r="K304" s="217">
        <f>IF(E304*F304*G304&lt;&gt;0,E304*F304*G304,IF(E304*F304&lt;&gt;0,E304*F304,IF(F304*G304&lt;&gt;0,F304*G304,IF(E304*G304&lt;&gt;0,E304*G304,IF(E304&lt;&gt;0,E304,IF(F304&lt;&gt;0,F304,IF(G304&lt;&gt;0,G304,0)))))))*(IF(H304&lt;&gt;0,H304,1))+I304-J304</f>
        <v>2779.6032</v>
      </c>
      <c r="L304" s="218"/>
    </row>
    <row r="305" spans="2:12">
      <c r="B305" s="197"/>
      <c r="C305" s="189"/>
      <c r="D305" s="198"/>
      <c r="E305" s="199"/>
      <c r="F305" s="244"/>
      <c r="G305" s="199"/>
      <c r="H305" s="199"/>
      <c r="I305" s="199"/>
      <c r="J305" s="219"/>
      <c r="K305" s="217">
        <f>IF(E305*F305*G305&lt;&gt;0,E305*F305*G305,IF(E305*F305&lt;&gt;0,E305*F305,IF(F305*G305&lt;&gt;0,F305*G305,IF(E305*G305&lt;&gt;0,E305*G305,IF(E305&lt;&gt;0,E305,IF(F305&lt;&gt;0,F305,IF(G305&lt;&gt;0,G305,0)))))))*(IF(H305&lt;&gt;0,H305,1))+I305-J305</f>
        <v>0</v>
      </c>
      <c r="L305" s="218"/>
    </row>
    <row r="306" spans="2:12">
      <c r="B306" s="202"/>
      <c r="C306" s="203"/>
      <c r="D306" s="203"/>
      <c r="E306" s="203"/>
      <c r="F306" s="203"/>
      <c r="G306" s="203"/>
      <c r="H306" s="204"/>
      <c r="I306" s="556" t="s">
        <v>1221</v>
      </c>
      <c r="J306" s="556"/>
      <c r="K306" s="220">
        <f>SUM(K303:K305)</f>
        <v>6306.0128999999997</v>
      </c>
      <c r="L306" s="207"/>
    </row>
    <row r="307" spans="2:12">
      <c r="B307" s="208"/>
      <c r="C307" s="204"/>
      <c r="D307" s="204"/>
      <c r="E307" s="204"/>
      <c r="F307" s="204"/>
      <c r="G307" s="204"/>
      <c r="H307" s="209"/>
      <c r="I307" s="557" t="s">
        <v>1222</v>
      </c>
      <c r="J307" s="557"/>
      <c r="K307" s="221">
        <v>4944.5</v>
      </c>
      <c r="L307" s="207"/>
    </row>
    <row r="308" spans="2:12">
      <c r="B308" s="208"/>
      <c r="C308" s="204"/>
      <c r="D308" s="204"/>
      <c r="E308" s="204"/>
      <c r="F308" s="204"/>
      <c r="G308" s="204"/>
      <c r="H308" s="558" t="s">
        <v>1223</v>
      </c>
      <c r="I308" s="558"/>
      <c r="J308" s="558"/>
      <c r="K308" s="222">
        <v>3541.0572999999999</v>
      </c>
      <c r="L308" s="207"/>
    </row>
    <row r="309" spans="2:12">
      <c r="B309" s="208"/>
      <c r="C309" s="204"/>
      <c r="D309" s="204"/>
      <c r="E309" s="204"/>
      <c r="F309" s="204"/>
      <c r="G309" s="204"/>
      <c r="H309" s="558" t="s">
        <v>1250</v>
      </c>
      <c r="I309" s="558"/>
      <c r="J309" s="558"/>
      <c r="K309" s="222">
        <f>IF(K306&gt;K307,K307,K306)-K308</f>
        <v>1403.4427000000001</v>
      </c>
      <c r="L309" s="207"/>
    </row>
    <row r="310" spans="2:12">
      <c r="B310" s="213"/>
      <c r="C310" s="214"/>
      <c r="D310" s="214"/>
      <c r="E310" s="214"/>
      <c r="F310" s="214"/>
      <c r="G310" s="214"/>
      <c r="H310" s="559" t="s">
        <v>1224</v>
      </c>
      <c r="I310" s="559"/>
      <c r="J310" s="559"/>
      <c r="K310" s="223">
        <f>IF(K306&gt;K307,K306-K307,0)</f>
        <v>1361.5128999999997</v>
      </c>
      <c r="L310" s="209"/>
    </row>
    <row r="312" spans="2:12" ht="14.25" customHeight="1">
      <c r="B312" s="555" t="s">
        <v>1280</v>
      </c>
      <c r="C312" s="555"/>
      <c r="D312" s="555"/>
      <c r="E312" s="555"/>
      <c r="F312" s="555"/>
      <c r="G312" s="555"/>
      <c r="H312" s="555"/>
      <c r="I312" s="555"/>
      <c r="J312" s="555"/>
      <c r="K312" s="555"/>
      <c r="L312" s="555"/>
    </row>
    <row r="313" spans="2:12">
      <c r="B313" s="187" t="s">
        <v>1209</v>
      </c>
      <c r="C313" s="187"/>
      <c r="D313" s="187" t="s">
        <v>39</v>
      </c>
      <c r="E313" s="187" t="s">
        <v>1210</v>
      </c>
      <c r="F313" s="187" t="s">
        <v>1211</v>
      </c>
      <c r="G313" s="187" t="s">
        <v>1212</v>
      </c>
      <c r="H313" s="187" t="s">
        <v>1213</v>
      </c>
      <c r="I313" s="187" t="s">
        <v>1214</v>
      </c>
      <c r="J313" s="187" t="s">
        <v>1215</v>
      </c>
      <c r="K313" s="187" t="s">
        <v>1216</v>
      </c>
      <c r="L313" s="187" t="s">
        <v>1217</v>
      </c>
    </row>
    <row r="314" spans="2:12">
      <c r="B314" s="188" t="s">
        <v>1273</v>
      </c>
      <c r="C314" s="189" t="s">
        <v>1271</v>
      </c>
      <c r="D314" s="190" t="s">
        <v>1274</v>
      </c>
      <c r="E314" s="191"/>
      <c r="F314" s="243"/>
      <c r="G314" s="192"/>
      <c r="H314" s="191"/>
      <c r="I314" s="191"/>
      <c r="J314" s="216"/>
      <c r="K314" s="217">
        <f>IF(E314*F314*G314&lt;&gt;0,E314*F314*G314,IF(E314*F314&lt;&gt;0,E314*F314,IF(F314*G314&lt;&gt;0,F314*G314,IF(E314*G314&lt;&gt;0,E314*G314,IF(E314&lt;&gt;0,E314,IF(F314&lt;&gt;0,F314,IF(G314&lt;&gt;0,G314,0)))))))*(IF(H314&lt;&gt;0,H314,1))+I314-J314</f>
        <v>0</v>
      </c>
      <c r="L314" s="218"/>
    </row>
    <row r="315" spans="2:12">
      <c r="B315" s="188" t="s">
        <v>1275</v>
      </c>
      <c r="C315" s="189" t="s">
        <v>1333</v>
      </c>
      <c r="D315" s="190" t="s">
        <v>1274</v>
      </c>
      <c r="E315" s="191">
        <v>67</v>
      </c>
      <c r="F315" s="243">
        <v>1.5780000000000001</v>
      </c>
      <c r="G315" s="192">
        <v>1.1000000000000001</v>
      </c>
      <c r="H315" s="191"/>
      <c r="I315" s="191"/>
      <c r="J315" s="216"/>
      <c r="K315" s="217">
        <f>IF(E315*F315*G315&lt;&gt;0,E315*F315*G315,IF(E315*F315&lt;&gt;0,E315*F315,IF(F315*G315&lt;&gt;0,F315*G315,IF(E315*G315&lt;&gt;0,E315*G315,IF(E315&lt;&gt;0,E315,IF(F315&lt;&gt;0,F315,IF(G315&lt;&gt;0,G315,0)))))))*(IF(H315&lt;&gt;0,H315,1))+I315-J315</f>
        <v>116.29860000000001</v>
      </c>
      <c r="L315" s="218"/>
    </row>
    <row r="316" spans="2:12">
      <c r="B316" s="197"/>
      <c r="C316" s="189"/>
      <c r="D316" s="198"/>
      <c r="E316" s="199"/>
      <c r="F316" s="199"/>
      <c r="G316" s="199"/>
      <c r="H316" s="199"/>
      <c r="I316" s="199"/>
      <c r="J316" s="219"/>
      <c r="K316" s="217">
        <f>IF(E316*F316*G316&lt;&gt;0,E316*F316*G316,IF(E316*F316&lt;&gt;0,E316*F316,IF(F316*G316&lt;&gt;0,F316*G316,IF(E316*G316&lt;&gt;0,E316*G316,IF(E316&lt;&gt;0,E316,IF(F316&lt;&gt;0,F316,IF(G316&lt;&gt;0,G316,0)))))))*(IF(H316&lt;&gt;0,H316,1))+I316-J316</f>
        <v>0</v>
      </c>
      <c r="L316" s="218"/>
    </row>
    <row r="317" spans="2:12">
      <c r="B317" s="202"/>
      <c r="C317" s="203"/>
      <c r="D317" s="203"/>
      <c r="E317" s="203"/>
      <c r="F317" s="203"/>
      <c r="G317" s="203"/>
      <c r="H317" s="204"/>
      <c r="I317" s="556" t="s">
        <v>1221</v>
      </c>
      <c r="J317" s="556"/>
      <c r="K317" s="220">
        <f>SUM(K314:K316)</f>
        <v>116.29860000000001</v>
      </c>
      <c r="L317" s="207"/>
    </row>
    <row r="318" spans="2:12">
      <c r="B318" s="208"/>
      <c r="C318" s="204"/>
      <c r="D318" s="204"/>
      <c r="E318" s="204"/>
      <c r="F318" s="204"/>
      <c r="G318" s="204"/>
      <c r="H318" s="209"/>
      <c r="I318" s="557" t="s">
        <v>1222</v>
      </c>
      <c r="J318" s="557"/>
      <c r="K318" s="221">
        <v>115.5</v>
      </c>
      <c r="L318" s="207"/>
    </row>
    <row r="319" spans="2:12">
      <c r="B319" s="208"/>
      <c r="C319" s="204"/>
      <c r="D319" s="204"/>
      <c r="E319" s="204"/>
      <c r="F319" s="204"/>
      <c r="G319" s="204"/>
      <c r="H319" s="558" t="s">
        <v>1223</v>
      </c>
      <c r="I319" s="558"/>
      <c r="J319" s="558"/>
      <c r="K319" s="222">
        <v>115.5</v>
      </c>
      <c r="L319" s="207"/>
    </row>
    <row r="320" spans="2:12">
      <c r="B320" s="208"/>
      <c r="C320" s="204"/>
      <c r="D320" s="204"/>
      <c r="E320" s="204"/>
      <c r="F320" s="204"/>
      <c r="G320" s="204"/>
      <c r="H320" s="558" t="s">
        <v>1250</v>
      </c>
      <c r="I320" s="558"/>
      <c r="J320" s="558"/>
      <c r="K320" s="222">
        <f>IF(K317&gt;K318,K318,K317)-K319</f>
        <v>0</v>
      </c>
      <c r="L320" s="207"/>
    </row>
    <row r="321" spans="2:12">
      <c r="B321" s="213"/>
      <c r="C321" s="214"/>
      <c r="D321" s="214"/>
      <c r="E321" s="214"/>
      <c r="F321" s="214"/>
      <c r="G321" s="214"/>
      <c r="H321" s="559" t="s">
        <v>1224</v>
      </c>
      <c r="I321" s="559"/>
      <c r="J321" s="559"/>
      <c r="K321" s="223">
        <f>IF(K317&gt;K318,K317-K318,0)</f>
        <v>0.79860000000000753</v>
      </c>
      <c r="L321" s="209"/>
    </row>
    <row r="323" spans="2:12" ht="14.25" customHeight="1">
      <c r="B323" s="555" t="s">
        <v>1281</v>
      </c>
      <c r="C323" s="555"/>
      <c r="D323" s="555"/>
      <c r="E323" s="555"/>
      <c r="F323" s="555"/>
      <c r="G323" s="555"/>
      <c r="H323" s="555"/>
      <c r="I323" s="555"/>
      <c r="J323" s="555"/>
      <c r="K323" s="555"/>
      <c r="L323" s="555"/>
    </row>
    <row r="324" spans="2:12">
      <c r="B324" s="187" t="s">
        <v>1209</v>
      </c>
      <c r="C324" s="187"/>
      <c r="D324" s="187" t="s">
        <v>39</v>
      </c>
      <c r="E324" s="187" t="s">
        <v>1210</v>
      </c>
      <c r="F324" s="187" t="s">
        <v>1211</v>
      </c>
      <c r="G324" s="187" t="s">
        <v>1212</v>
      </c>
      <c r="H324" s="187" t="s">
        <v>1213</v>
      </c>
      <c r="I324" s="187" t="s">
        <v>1214</v>
      </c>
      <c r="J324" s="187" t="s">
        <v>1215</v>
      </c>
      <c r="K324" s="187" t="s">
        <v>1216</v>
      </c>
      <c r="L324" s="187" t="s">
        <v>1217</v>
      </c>
    </row>
    <row r="325" spans="2:12">
      <c r="B325" s="188" t="s">
        <v>1273</v>
      </c>
      <c r="C325" s="189" t="s">
        <v>1271</v>
      </c>
      <c r="D325" s="190" t="s">
        <v>1274</v>
      </c>
      <c r="E325" s="191">
        <v>369</v>
      </c>
      <c r="F325" s="243">
        <v>2.4660000000000002</v>
      </c>
      <c r="G325" s="192">
        <v>1.1000000000000001</v>
      </c>
      <c r="H325" s="191"/>
      <c r="I325" s="191"/>
      <c r="J325" s="216"/>
      <c r="K325" s="217">
        <f>IF(E325*F325*G325&lt;&gt;0,E325*F325*G325,IF(E325*F325&lt;&gt;0,E325*F325,IF(F325*G325&lt;&gt;0,F325*G325,IF(E325*G325&lt;&gt;0,E325*G325,IF(E325&lt;&gt;0,E325,IF(F325&lt;&gt;0,F325,IF(G325&lt;&gt;0,G325,0)))))))*(IF(H325&lt;&gt;0,H325,1))+I325-J325</f>
        <v>1000.9494000000002</v>
      </c>
      <c r="L325" s="245" t="s">
        <v>1282</v>
      </c>
    </row>
    <row r="326" spans="2:12">
      <c r="B326" s="188" t="s">
        <v>1273</v>
      </c>
      <c r="C326" s="189" t="s">
        <v>1271</v>
      </c>
      <c r="D326" s="190" t="s">
        <v>1274</v>
      </c>
      <c r="E326" s="191">
        <v>623</v>
      </c>
      <c r="F326" s="243">
        <v>3.8530000000000002</v>
      </c>
      <c r="G326" s="192">
        <v>1.1000000000000001</v>
      </c>
      <c r="H326" s="191"/>
      <c r="I326" s="191"/>
      <c r="J326" s="216"/>
      <c r="K326" s="217">
        <f>IF(E326*F326*G326&lt;&gt;0,E326*F326*G326,IF(E326*F326&lt;&gt;0,E326*F326,IF(F326*G326&lt;&gt;0,F326*G326,IF(E326*G326&lt;&gt;0,E326*G326,IF(E326&lt;&gt;0,E326,IF(F326&lt;&gt;0,F326,IF(G326&lt;&gt;0,G326,0)))))))*(IF(H326&lt;&gt;0,H326,1))+I326-J326</f>
        <v>2640.4609000000005</v>
      </c>
      <c r="L326" s="245" t="s">
        <v>1283</v>
      </c>
    </row>
    <row r="327" spans="2:12">
      <c r="B327" s="188" t="s">
        <v>1275</v>
      </c>
      <c r="C327" s="189" t="s">
        <v>1333</v>
      </c>
      <c r="D327" s="190" t="s">
        <v>1274</v>
      </c>
      <c r="E327" s="191">
        <v>1522</v>
      </c>
      <c r="F327" s="243">
        <v>2.4660000000000002</v>
      </c>
      <c r="G327" s="192">
        <v>1.1000000000000001</v>
      </c>
      <c r="H327" s="191"/>
      <c r="I327" s="191"/>
      <c r="J327" s="216"/>
      <c r="K327" s="217">
        <f>IF(E327*F327*G327&lt;&gt;0,E327*F327*G327,IF(E327*F327&lt;&gt;0,E327*F327,IF(F327*G327&lt;&gt;0,F327*G327,IF(E327*G327&lt;&gt;0,E327*G327,IF(E327&lt;&gt;0,E327,IF(F327&lt;&gt;0,F327,IF(G327&lt;&gt;0,G327,0)))))))*(IF(H327&lt;&gt;0,H327,1))+I327-J327</f>
        <v>4128.5772000000006</v>
      </c>
      <c r="L327" s="245" t="s">
        <v>1282</v>
      </c>
    </row>
    <row r="328" spans="2:12">
      <c r="B328" s="197"/>
      <c r="C328" s="189"/>
      <c r="D328" s="198"/>
      <c r="E328" s="199"/>
      <c r="F328" s="244"/>
      <c r="G328" s="199"/>
      <c r="H328" s="199"/>
      <c r="I328" s="199"/>
      <c r="J328" s="219"/>
      <c r="K328" s="217">
        <f>IF(E328*F328*G328&lt;&gt;0,E328*F328*G328,IF(E328*F328&lt;&gt;0,E328*F328,IF(F328*G328&lt;&gt;0,F328*G328,IF(E328*G328&lt;&gt;0,E328*G328,IF(E328&lt;&gt;0,E328,IF(F328&lt;&gt;0,F328,IF(G328&lt;&gt;0,G328,0)))))))*(IF(H328&lt;&gt;0,H328,1))+I328-J328</f>
        <v>0</v>
      </c>
      <c r="L328" s="218"/>
    </row>
    <row r="329" spans="2:12">
      <c r="B329" s="202"/>
      <c r="C329" s="203"/>
      <c r="D329" s="203"/>
      <c r="E329" s="203"/>
      <c r="F329" s="203"/>
      <c r="G329" s="203"/>
      <c r="H329" s="204"/>
      <c r="I329" s="556" t="s">
        <v>1221</v>
      </c>
      <c r="J329" s="556"/>
      <c r="K329" s="220">
        <f>SUM(K325:K328)</f>
        <v>7769.9875000000011</v>
      </c>
      <c r="L329" s="207"/>
    </row>
    <row r="330" spans="2:12">
      <c r="B330" s="208"/>
      <c r="C330" s="204"/>
      <c r="D330" s="204"/>
      <c r="E330" s="204"/>
      <c r="F330" s="204"/>
      <c r="G330" s="204"/>
      <c r="H330" s="209"/>
      <c r="I330" s="557" t="s">
        <v>1222</v>
      </c>
      <c r="J330" s="557"/>
      <c r="K330" s="221">
        <v>7195.1</v>
      </c>
      <c r="L330" s="207"/>
    </row>
    <row r="331" spans="2:12">
      <c r="B331" s="208"/>
      <c r="C331" s="204"/>
      <c r="D331" s="204"/>
      <c r="E331" s="204"/>
      <c r="F331" s="204"/>
      <c r="G331" s="204"/>
      <c r="H331" s="558" t="s">
        <v>1223</v>
      </c>
      <c r="I331" s="558"/>
      <c r="J331" s="558"/>
      <c r="K331" s="222">
        <v>3641.4103</v>
      </c>
      <c r="L331" s="207"/>
    </row>
    <row r="332" spans="2:12">
      <c r="B332" s="208"/>
      <c r="C332" s="204"/>
      <c r="D332" s="204"/>
      <c r="E332" s="204"/>
      <c r="F332" s="204"/>
      <c r="G332" s="204"/>
      <c r="H332" s="558" t="s">
        <v>1250</v>
      </c>
      <c r="I332" s="558"/>
      <c r="J332" s="558"/>
      <c r="K332" s="222">
        <f>IF(K329&gt;K330,K330,K329)-K331</f>
        <v>3553.6897000000004</v>
      </c>
      <c r="L332" s="207"/>
    </row>
    <row r="333" spans="2:12">
      <c r="B333" s="213"/>
      <c r="C333" s="214"/>
      <c r="D333" s="214"/>
      <c r="E333" s="214"/>
      <c r="F333" s="214"/>
      <c r="G333" s="214"/>
      <c r="H333" s="559" t="s">
        <v>1224</v>
      </c>
      <c r="I333" s="559"/>
      <c r="J333" s="559"/>
      <c r="K333" s="223">
        <f>IF(K329&gt;K330,K329-K330,0)</f>
        <v>574.88750000000073</v>
      </c>
      <c r="L333" s="209"/>
    </row>
    <row r="335" spans="2:12" ht="14.25" customHeight="1">
      <c r="B335" s="555" t="s">
        <v>1284</v>
      </c>
      <c r="C335" s="555"/>
      <c r="D335" s="555"/>
      <c r="E335" s="555"/>
      <c r="F335" s="555"/>
      <c r="G335" s="555"/>
      <c r="H335" s="555"/>
      <c r="I335" s="555"/>
      <c r="J335" s="555"/>
      <c r="K335" s="555"/>
      <c r="L335" s="555"/>
    </row>
    <row r="336" spans="2:12">
      <c r="B336" s="187" t="s">
        <v>1209</v>
      </c>
      <c r="C336" s="187"/>
      <c r="D336" s="187" t="s">
        <v>39</v>
      </c>
      <c r="E336" s="187" t="s">
        <v>1210</v>
      </c>
      <c r="F336" s="187" t="s">
        <v>1211</v>
      </c>
      <c r="G336" s="187" t="s">
        <v>1212</v>
      </c>
      <c r="H336" s="187" t="s">
        <v>1213</v>
      </c>
      <c r="I336" s="187" t="s">
        <v>1214</v>
      </c>
      <c r="J336" s="187" t="s">
        <v>1215</v>
      </c>
      <c r="K336" s="187" t="s">
        <v>1216</v>
      </c>
      <c r="L336" s="187" t="s">
        <v>1217</v>
      </c>
    </row>
    <row r="337" spans="2:12">
      <c r="B337" s="197" t="s">
        <v>1285</v>
      </c>
      <c r="C337" s="189" t="s">
        <v>1271</v>
      </c>
      <c r="D337" s="198" t="s">
        <v>169</v>
      </c>
      <c r="E337" s="199">
        <v>1.9</v>
      </c>
      <c r="F337" s="244">
        <v>0.9</v>
      </c>
      <c r="G337" s="199">
        <v>0.7</v>
      </c>
      <c r="H337" s="199"/>
      <c r="I337" s="199"/>
      <c r="J337" s="219"/>
      <c r="K337" s="217">
        <f t="shared" ref="K337:K382" si="6">IF(E337*F337*G337&lt;&gt;0,E337*F337*G337,IF(E337*F337&lt;&gt;0,E337*F337,IF(F337*G337&lt;&gt;0,F337*G337,IF(E337*G337&lt;&gt;0,E337*G337,IF(E337&lt;&gt;0,E337,IF(F337&lt;&gt;0,F337,IF(G337&lt;&gt;0,G337,0)))))))*(IF(H337&lt;&gt;0,H337,1))+I337-J337</f>
        <v>1.1969999999999998</v>
      </c>
      <c r="L337" s="218"/>
    </row>
    <row r="338" spans="2:12">
      <c r="B338" s="197" t="s">
        <v>1286</v>
      </c>
      <c r="C338" s="189" t="s">
        <v>1271</v>
      </c>
      <c r="D338" s="198" t="s">
        <v>169</v>
      </c>
      <c r="E338" s="199">
        <v>2.2000000000000002</v>
      </c>
      <c r="F338" s="244">
        <v>2.2000000000000002</v>
      </c>
      <c r="G338" s="199">
        <v>1.1000000000000001</v>
      </c>
      <c r="H338" s="199"/>
      <c r="I338" s="199"/>
      <c r="J338" s="219"/>
      <c r="K338" s="217">
        <f t="shared" si="6"/>
        <v>5.3240000000000016</v>
      </c>
      <c r="L338" s="218"/>
    </row>
    <row r="339" spans="2:12">
      <c r="B339" s="197" t="s">
        <v>1287</v>
      </c>
      <c r="C339" s="189" t="s">
        <v>1271</v>
      </c>
      <c r="D339" s="198" t="s">
        <v>169</v>
      </c>
      <c r="E339" s="199">
        <v>2.2000000000000002</v>
      </c>
      <c r="F339" s="244">
        <v>2.2000000000000002</v>
      </c>
      <c r="G339" s="199">
        <v>1.1000000000000001</v>
      </c>
      <c r="H339" s="199"/>
      <c r="I339" s="199"/>
      <c r="J339" s="219"/>
      <c r="K339" s="217">
        <f t="shared" si="6"/>
        <v>5.3240000000000016</v>
      </c>
      <c r="L339" s="218"/>
    </row>
    <row r="340" spans="2:12">
      <c r="B340" s="197" t="s">
        <v>1288</v>
      </c>
      <c r="C340" s="189" t="s">
        <v>1271</v>
      </c>
      <c r="D340" s="198" t="s">
        <v>169</v>
      </c>
      <c r="E340" s="199">
        <v>1.9</v>
      </c>
      <c r="F340" s="244">
        <v>0.9</v>
      </c>
      <c r="G340" s="199">
        <v>1</v>
      </c>
      <c r="H340" s="199"/>
      <c r="I340" s="199"/>
      <c r="J340" s="219"/>
      <c r="K340" s="217">
        <f t="shared" si="6"/>
        <v>1.71</v>
      </c>
      <c r="L340" s="218"/>
    </row>
    <row r="341" spans="2:12">
      <c r="B341" s="197" t="s">
        <v>1289</v>
      </c>
      <c r="C341" s="189" t="s">
        <v>1271</v>
      </c>
      <c r="D341" s="198" t="s">
        <v>169</v>
      </c>
      <c r="E341" s="199">
        <v>1</v>
      </c>
      <c r="F341" s="244">
        <v>1</v>
      </c>
      <c r="G341" s="199">
        <v>0.9</v>
      </c>
      <c r="H341" s="199"/>
      <c r="I341" s="199"/>
      <c r="J341" s="219"/>
      <c r="K341" s="217">
        <f t="shared" si="6"/>
        <v>0.9</v>
      </c>
      <c r="L341" s="218"/>
    </row>
    <row r="342" spans="2:12">
      <c r="B342" s="197" t="s">
        <v>1290</v>
      </c>
      <c r="C342" s="189" t="s">
        <v>1271</v>
      </c>
      <c r="D342" s="198" t="s">
        <v>169</v>
      </c>
      <c r="E342" s="199"/>
      <c r="F342" s="244"/>
      <c r="G342" s="199"/>
      <c r="H342" s="199"/>
      <c r="I342" s="199">
        <v>2.95614</v>
      </c>
      <c r="J342" s="219"/>
      <c r="K342" s="217">
        <f t="shared" si="6"/>
        <v>2.95614</v>
      </c>
      <c r="L342" s="218"/>
    </row>
    <row r="343" spans="2:12">
      <c r="B343" s="197" t="s">
        <v>1291</v>
      </c>
      <c r="C343" s="189" t="s">
        <v>1271</v>
      </c>
      <c r="D343" s="198" t="s">
        <v>169</v>
      </c>
      <c r="E343" s="199">
        <v>2.2000000000000002</v>
      </c>
      <c r="F343" s="244">
        <v>2.2000000000000002</v>
      </c>
      <c r="G343" s="199">
        <v>1.1000000000000001</v>
      </c>
      <c r="H343" s="199"/>
      <c r="I343" s="199"/>
      <c r="J343" s="219"/>
      <c r="K343" s="217">
        <f t="shared" si="6"/>
        <v>5.3240000000000016</v>
      </c>
      <c r="L343" s="218"/>
    </row>
    <row r="344" spans="2:12">
      <c r="B344" s="197" t="s">
        <v>1292</v>
      </c>
      <c r="C344" s="189" t="s">
        <v>1271</v>
      </c>
      <c r="D344" s="198" t="s">
        <v>169</v>
      </c>
      <c r="E344" s="199">
        <v>2.2000000000000002</v>
      </c>
      <c r="F344" s="244">
        <v>2.2000000000000002</v>
      </c>
      <c r="G344" s="199">
        <v>1.1000000000000001</v>
      </c>
      <c r="H344" s="199"/>
      <c r="I344" s="199"/>
      <c r="J344" s="219"/>
      <c r="K344" s="217">
        <f t="shared" si="6"/>
        <v>5.3240000000000016</v>
      </c>
      <c r="L344" s="218"/>
    </row>
    <row r="345" spans="2:12">
      <c r="B345" s="197" t="s">
        <v>1293</v>
      </c>
      <c r="C345" s="189" t="s">
        <v>1271</v>
      </c>
      <c r="D345" s="198" t="s">
        <v>169</v>
      </c>
      <c r="E345" s="199">
        <v>2.2000000000000002</v>
      </c>
      <c r="F345" s="244">
        <v>2.2000000000000002</v>
      </c>
      <c r="G345" s="199">
        <v>1.1000000000000001</v>
      </c>
      <c r="H345" s="199"/>
      <c r="I345" s="199"/>
      <c r="J345" s="219"/>
      <c r="K345" s="217">
        <f t="shared" si="6"/>
        <v>5.3240000000000016</v>
      </c>
      <c r="L345" s="218"/>
    </row>
    <row r="346" spans="2:12">
      <c r="B346" s="197" t="s">
        <v>1294</v>
      </c>
      <c r="C346" s="189" t="s">
        <v>1271</v>
      </c>
      <c r="D346" s="198" t="s">
        <v>169</v>
      </c>
      <c r="E346" s="199">
        <v>1</v>
      </c>
      <c r="F346" s="244">
        <v>1</v>
      </c>
      <c r="G346" s="199">
        <v>0.7</v>
      </c>
      <c r="H346" s="199"/>
      <c r="I346" s="199"/>
      <c r="J346" s="219"/>
      <c r="K346" s="217">
        <f t="shared" si="6"/>
        <v>0.7</v>
      </c>
      <c r="L346" s="218"/>
    </row>
    <row r="347" spans="2:12">
      <c r="B347" s="197" t="s">
        <v>1295</v>
      </c>
      <c r="C347" s="189" t="s">
        <v>1271</v>
      </c>
      <c r="D347" s="198" t="s">
        <v>169</v>
      </c>
      <c r="E347" s="199"/>
      <c r="F347" s="244"/>
      <c r="G347" s="199"/>
      <c r="H347" s="199"/>
      <c r="I347" s="199">
        <v>2.95614</v>
      </c>
      <c r="J347" s="219"/>
      <c r="K347" s="217">
        <f t="shared" si="6"/>
        <v>2.95614</v>
      </c>
      <c r="L347" s="218"/>
    </row>
    <row r="348" spans="2:12">
      <c r="B348" s="197" t="s">
        <v>1336</v>
      </c>
      <c r="C348" s="189" t="s">
        <v>1271</v>
      </c>
      <c r="D348" s="198" t="s">
        <v>169</v>
      </c>
      <c r="E348" s="199">
        <v>2.2000000000000002</v>
      </c>
      <c r="F348" s="244">
        <v>2.2000000000000002</v>
      </c>
      <c r="G348" s="199">
        <v>1.1000000000000001</v>
      </c>
      <c r="H348" s="199"/>
      <c r="I348" s="199"/>
      <c r="J348" s="219"/>
      <c r="K348" s="217">
        <f t="shared" si="6"/>
        <v>5.3240000000000016</v>
      </c>
      <c r="L348" s="218"/>
    </row>
    <row r="349" spans="2:12">
      <c r="B349" s="197" t="s">
        <v>1337</v>
      </c>
      <c r="C349" s="189" t="s">
        <v>1271</v>
      </c>
      <c r="D349" s="198" t="s">
        <v>169</v>
      </c>
      <c r="E349" s="199">
        <v>2.2000000000000002</v>
      </c>
      <c r="F349" s="244">
        <v>2.2000000000000002</v>
      </c>
      <c r="G349" s="199">
        <v>1.1000000000000001</v>
      </c>
      <c r="H349" s="199"/>
      <c r="I349" s="199"/>
      <c r="J349" s="219"/>
      <c r="K349" s="217">
        <f t="shared" si="6"/>
        <v>5.3240000000000016</v>
      </c>
      <c r="L349" s="218"/>
    </row>
    <row r="350" spans="2:12">
      <c r="B350" s="197" t="s">
        <v>1338</v>
      </c>
      <c r="C350" s="189" t="s">
        <v>1271</v>
      </c>
      <c r="D350" s="198" t="s">
        <v>169</v>
      </c>
      <c r="E350" s="199">
        <v>2.2000000000000002</v>
      </c>
      <c r="F350" s="244">
        <v>2.2000000000000002</v>
      </c>
      <c r="G350" s="199">
        <v>1.1000000000000001</v>
      </c>
      <c r="H350" s="199"/>
      <c r="I350" s="199"/>
      <c r="J350" s="219"/>
      <c r="K350" s="217">
        <f t="shared" si="6"/>
        <v>5.3240000000000016</v>
      </c>
      <c r="L350" s="218"/>
    </row>
    <row r="351" spans="2:12">
      <c r="B351" s="197" t="s">
        <v>1339</v>
      </c>
      <c r="C351" s="189" t="s">
        <v>1271</v>
      </c>
      <c r="D351" s="198" t="s">
        <v>169</v>
      </c>
      <c r="E351" s="199">
        <v>1</v>
      </c>
      <c r="F351" s="244">
        <v>1</v>
      </c>
      <c r="G351" s="199">
        <v>0.7</v>
      </c>
      <c r="H351" s="199"/>
      <c r="I351" s="199"/>
      <c r="J351" s="219"/>
      <c r="K351" s="217">
        <f t="shared" si="6"/>
        <v>0.7</v>
      </c>
      <c r="L351" s="218"/>
    </row>
    <row r="352" spans="2:12">
      <c r="B352" s="197" t="s">
        <v>1340</v>
      </c>
      <c r="C352" s="189" t="s">
        <v>1271</v>
      </c>
      <c r="D352" s="198" t="s">
        <v>169</v>
      </c>
      <c r="E352" s="199">
        <v>1.9</v>
      </c>
      <c r="F352" s="244">
        <v>0.9</v>
      </c>
      <c r="G352" s="199">
        <v>0.7</v>
      </c>
      <c r="H352" s="199"/>
      <c r="I352" s="199"/>
      <c r="J352" s="219"/>
      <c r="K352" s="217">
        <f t="shared" si="6"/>
        <v>1.1969999999999998</v>
      </c>
      <c r="L352" s="218"/>
    </row>
    <row r="353" spans="2:12">
      <c r="B353" s="197" t="s">
        <v>1296</v>
      </c>
      <c r="C353" s="189" t="s">
        <v>1271</v>
      </c>
      <c r="D353" s="198" t="s">
        <v>169</v>
      </c>
      <c r="E353" s="199">
        <v>1.9</v>
      </c>
      <c r="F353" s="244">
        <v>0.9</v>
      </c>
      <c r="G353" s="199">
        <v>0.7</v>
      </c>
      <c r="H353" s="199"/>
      <c r="I353" s="199"/>
      <c r="J353" s="219"/>
      <c r="K353" s="217">
        <f t="shared" si="6"/>
        <v>1.1969999999999998</v>
      </c>
      <c r="L353" s="218"/>
    </row>
    <row r="354" spans="2:12">
      <c r="B354" s="197" t="s">
        <v>1341</v>
      </c>
      <c r="C354" s="189" t="s">
        <v>1271</v>
      </c>
      <c r="D354" s="198" t="s">
        <v>169</v>
      </c>
      <c r="E354" s="199"/>
      <c r="F354" s="244"/>
      <c r="G354" s="199"/>
      <c r="H354" s="199"/>
      <c r="I354" s="199">
        <v>2.95614</v>
      </c>
      <c r="J354" s="219"/>
      <c r="K354" s="217">
        <f t="shared" si="6"/>
        <v>2.95614</v>
      </c>
      <c r="L354" s="218"/>
    </row>
    <row r="355" spans="2:12">
      <c r="B355" s="197" t="s">
        <v>1342</v>
      </c>
      <c r="C355" s="189" t="s">
        <v>1333</v>
      </c>
      <c r="D355" s="198" t="s">
        <v>169</v>
      </c>
      <c r="E355" s="199">
        <v>3.14</v>
      </c>
      <c r="F355" s="244">
        <v>3.14</v>
      </c>
      <c r="G355" s="199">
        <v>2.1</v>
      </c>
      <c r="H355" s="199"/>
      <c r="I355" s="199"/>
      <c r="J355" s="219"/>
      <c r="K355" s="217">
        <f t="shared" si="6"/>
        <v>20.705160000000003</v>
      </c>
      <c r="L355" s="218"/>
    </row>
    <row r="356" spans="2:12">
      <c r="B356" s="197" t="s">
        <v>1343</v>
      </c>
      <c r="C356" s="189" t="s">
        <v>1333</v>
      </c>
      <c r="D356" s="198" t="s">
        <v>169</v>
      </c>
      <c r="E356" s="199">
        <v>2.2000000000000002</v>
      </c>
      <c r="F356" s="244">
        <v>2.2000000000000002</v>
      </c>
      <c r="G356" s="199">
        <v>1.1000000000000001</v>
      </c>
      <c r="H356" s="199"/>
      <c r="I356" s="199"/>
      <c r="J356" s="219"/>
      <c r="K356" s="217">
        <f t="shared" si="6"/>
        <v>5.3240000000000016</v>
      </c>
      <c r="L356" s="218"/>
    </row>
    <row r="357" spans="2:12">
      <c r="B357" s="197" t="s">
        <v>1297</v>
      </c>
      <c r="C357" s="189" t="s">
        <v>1333</v>
      </c>
      <c r="D357" s="198" t="s">
        <v>169</v>
      </c>
      <c r="E357" s="199">
        <v>3.4</v>
      </c>
      <c r="F357" s="244">
        <v>1</v>
      </c>
      <c r="G357" s="199">
        <v>1.2</v>
      </c>
      <c r="H357" s="199"/>
      <c r="I357" s="199"/>
      <c r="J357" s="219"/>
      <c r="K357" s="217">
        <f t="shared" si="6"/>
        <v>4.08</v>
      </c>
      <c r="L357" s="218"/>
    </row>
    <row r="358" spans="2:12">
      <c r="B358" s="197" t="s">
        <v>1344</v>
      </c>
      <c r="C358" s="189" t="s">
        <v>1333</v>
      </c>
      <c r="D358" s="198" t="s">
        <v>169</v>
      </c>
      <c r="E358" s="199">
        <v>2.2000000000000002</v>
      </c>
      <c r="F358" s="244">
        <v>2.2000000000000002</v>
      </c>
      <c r="G358" s="199">
        <v>1.1000000000000001</v>
      </c>
      <c r="H358" s="199"/>
      <c r="I358" s="199"/>
      <c r="J358" s="219"/>
      <c r="K358" s="217">
        <f t="shared" si="6"/>
        <v>5.3240000000000016</v>
      </c>
      <c r="L358" s="218"/>
    </row>
    <row r="359" spans="2:12">
      <c r="B359" s="197" t="s">
        <v>1345</v>
      </c>
      <c r="C359" s="189" t="s">
        <v>1333</v>
      </c>
      <c r="D359" s="198" t="s">
        <v>169</v>
      </c>
      <c r="E359" s="199">
        <v>2.2000000000000002</v>
      </c>
      <c r="F359" s="244">
        <v>2.2000000000000002</v>
      </c>
      <c r="G359" s="199">
        <v>1.1000000000000001</v>
      </c>
      <c r="H359" s="199"/>
      <c r="I359" s="199"/>
      <c r="J359" s="219"/>
      <c r="K359" s="217">
        <f t="shared" si="6"/>
        <v>5.3240000000000016</v>
      </c>
      <c r="L359" s="218"/>
    </row>
    <row r="360" spans="2:12">
      <c r="B360" s="197" t="s">
        <v>1298</v>
      </c>
      <c r="C360" s="189" t="s">
        <v>1333</v>
      </c>
      <c r="D360" s="198" t="s">
        <v>169</v>
      </c>
      <c r="E360" s="199">
        <v>3.4</v>
      </c>
      <c r="F360" s="244">
        <v>2.2000000000000002</v>
      </c>
      <c r="G360" s="199">
        <v>1.34</v>
      </c>
      <c r="H360" s="199"/>
      <c r="I360" s="199"/>
      <c r="J360" s="219"/>
      <c r="K360" s="217">
        <f t="shared" si="6"/>
        <v>10.023200000000001</v>
      </c>
      <c r="L360" s="218"/>
    </row>
    <row r="361" spans="2:12">
      <c r="B361" s="197" t="s">
        <v>1346</v>
      </c>
      <c r="C361" s="189" t="s">
        <v>1333</v>
      </c>
      <c r="D361" s="198" t="s">
        <v>169</v>
      </c>
      <c r="E361" s="199">
        <v>2.2000000000000002</v>
      </c>
      <c r="F361" s="244">
        <v>2.2000000000000002</v>
      </c>
      <c r="G361" s="199">
        <v>1.1000000000000001</v>
      </c>
      <c r="H361" s="199"/>
      <c r="I361" s="199"/>
      <c r="J361" s="219"/>
      <c r="K361" s="217">
        <f t="shared" si="6"/>
        <v>5.3240000000000016</v>
      </c>
      <c r="L361" s="218"/>
    </row>
    <row r="362" spans="2:12">
      <c r="B362" s="197" t="s">
        <v>1347</v>
      </c>
      <c r="C362" s="189" t="s">
        <v>1333</v>
      </c>
      <c r="D362" s="198" t="s">
        <v>169</v>
      </c>
      <c r="E362" s="199"/>
      <c r="F362" s="244"/>
      <c r="G362" s="199"/>
      <c r="H362" s="199"/>
      <c r="I362" s="199">
        <v>2.95614</v>
      </c>
      <c r="J362" s="219"/>
      <c r="K362" s="217">
        <f t="shared" si="6"/>
        <v>2.95614</v>
      </c>
      <c r="L362" s="218"/>
    </row>
    <row r="363" spans="2:12">
      <c r="B363" s="197" t="s">
        <v>1348</v>
      </c>
      <c r="C363" s="189" t="s">
        <v>1333</v>
      </c>
      <c r="D363" s="198" t="s">
        <v>169</v>
      </c>
      <c r="E363" s="199">
        <v>3.14</v>
      </c>
      <c r="F363" s="244">
        <v>3.14</v>
      </c>
      <c r="G363" s="199">
        <v>2.1</v>
      </c>
      <c r="H363" s="199"/>
      <c r="I363" s="199"/>
      <c r="J363" s="219"/>
      <c r="K363" s="217">
        <f t="shared" si="6"/>
        <v>20.705160000000003</v>
      </c>
      <c r="L363" s="218"/>
    </row>
    <row r="364" spans="2:12">
      <c r="B364" s="197" t="s">
        <v>1349</v>
      </c>
      <c r="C364" s="189" t="s">
        <v>1333</v>
      </c>
      <c r="D364" s="198" t="s">
        <v>169</v>
      </c>
      <c r="E364" s="199">
        <v>3.4</v>
      </c>
      <c r="F364" s="244">
        <v>2.2000000000000002</v>
      </c>
      <c r="G364" s="199">
        <v>1.1000000000000001</v>
      </c>
      <c r="H364" s="199"/>
      <c r="I364" s="199"/>
      <c r="J364" s="219"/>
      <c r="K364" s="217">
        <f t="shared" si="6"/>
        <v>8.2280000000000015</v>
      </c>
      <c r="L364" s="218"/>
    </row>
    <row r="365" spans="2:12">
      <c r="B365" s="197" t="s">
        <v>1350</v>
      </c>
      <c r="C365" s="189" t="s">
        <v>1333</v>
      </c>
      <c r="D365" s="198" t="s">
        <v>169</v>
      </c>
      <c r="E365" s="199">
        <v>3.4</v>
      </c>
      <c r="F365" s="244">
        <v>2.2000000000000002</v>
      </c>
      <c r="G365" s="199">
        <v>1.1000000000000001</v>
      </c>
      <c r="H365" s="199"/>
      <c r="I365" s="199"/>
      <c r="J365" s="219"/>
      <c r="K365" s="217">
        <f t="shared" si="6"/>
        <v>8.2280000000000015</v>
      </c>
      <c r="L365" s="218"/>
    </row>
    <row r="366" spans="2:12">
      <c r="B366" s="197" t="s">
        <v>1351</v>
      </c>
      <c r="C366" s="189" t="s">
        <v>1333</v>
      </c>
      <c r="D366" s="198" t="s">
        <v>169</v>
      </c>
      <c r="E366" s="199">
        <v>2.2000000000000002</v>
      </c>
      <c r="F366" s="244">
        <v>2.2000000000000002</v>
      </c>
      <c r="G366" s="199">
        <v>1.1000000000000001</v>
      </c>
      <c r="H366" s="199"/>
      <c r="I366" s="199"/>
      <c r="J366" s="219"/>
      <c r="K366" s="217">
        <f t="shared" si="6"/>
        <v>5.3240000000000016</v>
      </c>
      <c r="L366" s="218"/>
    </row>
    <row r="367" spans="2:12">
      <c r="B367" s="197" t="s">
        <v>1352</v>
      </c>
      <c r="C367" s="189" t="s">
        <v>1333</v>
      </c>
      <c r="D367" s="198" t="s">
        <v>169</v>
      </c>
      <c r="E367" s="199">
        <v>1</v>
      </c>
      <c r="F367" s="244">
        <v>1</v>
      </c>
      <c r="G367" s="199">
        <v>0.7</v>
      </c>
      <c r="H367" s="199"/>
      <c r="I367" s="199"/>
      <c r="J367" s="219"/>
      <c r="K367" s="217">
        <f t="shared" si="6"/>
        <v>0.7</v>
      </c>
      <c r="L367" s="218"/>
    </row>
    <row r="368" spans="2:12">
      <c r="B368" s="197" t="s">
        <v>1353</v>
      </c>
      <c r="C368" s="189" t="s">
        <v>1333</v>
      </c>
      <c r="D368" s="198" t="s">
        <v>169</v>
      </c>
      <c r="E368" s="199">
        <v>1</v>
      </c>
      <c r="F368" s="244">
        <v>1</v>
      </c>
      <c r="G368" s="199">
        <v>0.7</v>
      </c>
      <c r="H368" s="199"/>
      <c r="I368" s="199"/>
      <c r="J368" s="219"/>
      <c r="K368" s="217">
        <f t="shared" si="6"/>
        <v>0.7</v>
      </c>
      <c r="L368" s="218"/>
    </row>
    <row r="369" spans="2:12">
      <c r="B369" s="197" t="s">
        <v>1354</v>
      </c>
      <c r="C369" s="189" t="s">
        <v>1333</v>
      </c>
      <c r="D369" s="198" t="s">
        <v>169</v>
      </c>
      <c r="E369" s="199">
        <v>1</v>
      </c>
      <c r="F369" s="244">
        <v>1</v>
      </c>
      <c r="G369" s="199">
        <v>0.7</v>
      </c>
      <c r="H369" s="199"/>
      <c r="I369" s="199"/>
      <c r="J369" s="219"/>
      <c r="K369" s="217">
        <f t="shared" si="6"/>
        <v>0.7</v>
      </c>
      <c r="L369" s="218"/>
    </row>
    <row r="370" spans="2:12">
      <c r="B370" s="197" t="s">
        <v>1355</v>
      </c>
      <c r="C370" s="189" t="s">
        <v>1333</v>
      </c>
      <c r="D370" s="198" t="s">
        <v>169</v>
      </c>
      <c r="E370" s="199">
        <v>1</v>
      </c>
      <c r="F370" s="244">
        <v>1</v>
      </c>
      <c r="G370" s="199">
        <v>0.7</v>
      </c>
      <c r="H370" s="199"/>
      <c r="I370" s="199"/>
      <c r="J370" s="219"/>
      <c r="K370" s="217">
        <f t="shared" si="6"/>
        <v>0.7</v>
      </c>
      <c r="L370" s="218"/>
    </row>
    <row r="371" spans="2:12">
      <c r="B371" s="197" t="s">
        <v>1356</v>
      </c>
      <c r="C371" s="189" t="s">
        <v>1333</v>
      </c>
      <c r="D371" s="198" t="s">
        <v>169</v>
      </c>
      <c r="E371" s="199">
        <v>2.2000000000000002</v>
      </c>
      <c r="F371" s="244">
        <v>2.2000000000000002</v>
      </c>
      <c r="G371" s="199">
        <v>1.1000000000000001</v>
      </c>
      <c r="H371" s="199"/>
      <c r="I371" s="199"/>
      <c r="J371" s="219"/>
      <c r="K371" s="217">
        <f t="shared" si="6"/>
        <v>5.3240000000000016</v>
      </c>
      <c r="L371" s="218"/>
    </row>
    <row r="372" spans="2:12">
      <c r="B372" s="197" t="s">
        <v>1357</v>
      </c>
      <c r="C372" s="189" t="s">
        <v>1333</v>
      </c>
      <c r="D372" s="198" t="s">
        <v>169</v>
      </c>
      <c r="E372" s="199">
        <v>2.2000000000000002</v>
      </c>
      <c r="F372" s="244">
        <v>2.2000000000000002</v>
      </c>
      <c r="G372" s="199">
        <v>1.1000000000000001</v>
      </c>
      <c r="H372" s="199"/>
      <c r="I372" s="199"/>
      <c r="J372" s="219"/>
      <c r="K372" s="217">
        <f t="shared" si="6"/>
        <v>5.3240000000000016</v>
      </c>
      <c r="L372" s="218"/>
    </row>
    <row r="373" spans="2:12">
      <c r="B373" s="197" t="s">
        <v>1358</v>
      </c>
      <c r="C373" s="189" t="s">
        <v>1333</v>
      </c>
      <c r="D373" s="198" t="s">
        <v>169</v>
      </c>
      <c r="E373" s="199">
        <v>2.2000000000000002</v>
      </c>
      <c r="F373" s="244">
        <v>2.2000000000000002</v>
      </c>
      <c r="G373" s="199">
        <v>1.1000000000000001</v>
      </c>
      <c r="H373" s="199"/>
      <c r="I373" s="199"/>
      <c r="J373" s="219"/>
      <c r="K373" s="217">
        <f t="shared" si="6"/>
        <v>5.3240000000000016</v>
      </c>
      <c r="L373" s="218"/>
    </row>
    <row r="374" spans="2:12">
      <c r="B374" s="197" t="s">
        <v>1359</v>
      </c>
      <c r="C374" s="189" t="s">
        <v>1333</v>
      </c>
      <c r="D374" s="198" t="s">
        <v>169</v>
      </c>
      <c r="E374" s="199">
        <v>2.2000000000000002</v>
      </c>
      <c r="F374" s="244">
        <v>2.2000000000000002</v>
      </c>
      <c r="G374" s="199">
        <v>1.1000000000000001</v>
      </c>
      <c r="H374" s="199"/>
      <c r="I374" s="199"/>
      <c r="J374" s="219"/>
      <c r="K374" s="217">
        <f t="shared" si="6"/>
        <v>5.3240000000000016</v>
      </c>
      <c r="L374" s="218"/>
    </row>
    <row r="375" spans="2:12">
      <c r="B375" s="197" t="s">
        <v>1360</v>
      </c>
      <c r="C375" s="189" t="s">
        <v>1333</v>
      </c>
      <c r="D375" s="198" t="s">
        <v>169</v>
      </c>
      <c r="E375" s="199">
        <v>1</v>
      </c>
      <c r="F375" s="244">
        <v>1</v>
      </c>
      <c r="G375" s="199">
        <v>0.7</v>
      </c>
      <c r="H375" s="199"/>
      <c r="I375" s="199"/>
      <c r="J375" s="219"/>
      <c r="K375" s="217">
        <f t="shared" si="6"/>
        <v>0.7</v>
      </c>
      <c r="L375" s="218"/>
    </row>
    <row r="376" spans="2:12">
      <c r="B376" s="197" t="s">
        <v>1361</v>
      </c>
      <c r="C376" s="189" t="s">
        <v>1333</v>
      </c>
      <c r="D376" s="198" t="s">
        <v>169</v>
      </c>
      <c r="E376" s="199">
        <v>1</v>
      </c>
      <c r="F376" s="244">
        <v>1</v>
      </c>
      <c r="G376" s="199">
        <v>0.7</v>
      </c>
      <c r="H376" s="199"/>
      <c r="I376" s="199"/>
      <c r="J376" s="219"/>
      <c r="K376" s="217">
        <f t="shared" si="6"/>
        <v>0.7</v>
      </c>
      <c r="L376" s="218"/>
    </row>
    <row r="377" spans="2:12">
      <c r="B377" s="197" t="s">
        <v>1362</v>
      </c>
      <c r="C377" s="189" t="s">
        <v>1333</v>
      </c>
      <c r="D377" s="198" t="s">
        <v>169</v>
      </c>
      <c r="E377" s="199">
        <v>2.2000000000000002</v>
      </c>
      <c r="F377" s="244">
        <v>2.2000000000000002</v>
      </c>
      <c r="G377" s="199">
        <v>1.1000000000000001</v>
      </c>
      <c r="H377" s="199"/>
      <c r="I377" s="199"/>
      <c r="J377" s="219"/>
      <c r="K377" s="217">
        <f t="shared" si="6"/>
        <v>5.3240000000000016</v>
      </c>
      <c r="L377" s="218"/>
    </row>
    <row r="378" spans="2:12">
      <c r="B378" s="197" t="s">
        <v>1363</v>
      </c>
      <c r="C378" s="189" t="s">
        <v>1333</v>
      </c>
      <c r="D378" s="198" t="s">
        <v>169</v>
      </c>
      <c r="E378" s="199">
        <v>2.2000000000000002</v>
      </c>
      <c r="F378" s="244">
        <v>2.2000000000000002</v>
      </c>
      <c r="G378" s="199">
        <v>1.1000000000000001</v>
      </c>
      <c r="H378" s="199"/>
      <c r="I378" s="199"/>
      <c r="J378" s="219"/>
      <c r="K378" s="217">
        <f t="shared" si="6"/>
        <v>5.3240000000000016</v>
      </c>
      <c r="L378" s="218"/>
    </row>
    <row r="379" spans="2:12">
      <c r="B379" s="197" t="s">
        <v>1364</v>
      </c>
      <c r="C379" s="189" t="s">
        <v>1333</v>
      </c>
      <c r="D379" s="198" t="s">
        <v>169</v>
      </c>
      <c r="E379" s="199">
        <v>1.9</v>
      </c>
      <c r="F379" s="244">
        <v>0.9</v>
      </c>
      <c r="G379" s="199">
        <v>1</v>
      </c>
      <c r="H379" s="199"/>
      <c r="I379" s="199"/>
      <c r="J379" s="219"/>
      <c r="K379" s="217">
        <f t="shared" si="6"/>
        <v>1.71</v>
      </c>
      <c r="L379" s="218"/>
    </row>
    <row r="380" spans="2:12">
      <c r="B380" s="197" t="s">
        <v>1442</v>
      </c>
      <c r="C380" s="189" t="s">
        <v>1441</v>
      </c>
      <c r="D380" s="198" t="s">
        <v>169</v>
      </c>
      <c r="E380" s="199">
        <v>3.4</v>
      </c>
      <c r="F380" s="244">
        <v>2</v>
      </c>
      <c r="G380" s="199">
        <v>1.3</v>
      </c>
      <c r="H380" s="199"/>
      <c r="I380" s="199"/>
      <c r="J380" s="219"/>
      <c r="K380" s="217">
        <f t="shared" si="6"/>
        <v>8.84</v>
      </c>
      <c r="L380" s="218"/>
    </row>
    <row r="381" spans="2:12">
      <c r="B381" s="197" t="s">
        <v>1443</v>
      </c>
      <c r="C381" s="189" t="s">
        <v>1441</v>
      </c>
      <c r="D381" s="198" t="s">
        <v>169</v>
      </c>
      <c r="E381" s="199">
        <v>3.4</v>
      </c>
      <c r="F381" s="244">
        <v>2</v>
      </c>
      <c r="G381" s="199">
        <v>1.3</v>
      </c>
      <c r="H381" s="199"/>
      <c r="I381" s="199">
        <f>0.01/'BM 005'!L78</f>
        <v>1.051856435491579E-5</v>
      </c>
      <c r="J381" s="219"/>
      <c r="K381" s="217">
        <f t="shared" si="6"/>
        <v>8.8400105185643554</v>
      </c>
      <c r="L381" s="218"/>
    </row>
    <row r="382" spans="2:12">
      <c r="B382" s="197"/>
      <c r="C382" s="189"/>
      <c r="D382" s="198"/>
      <c r="E382" s="199"/>
      <c r="F382" s="244"/>
      <c r="G382" s="199"/>
      <c r="H382" s="199"/>
      <c r="I382" s="199"/>
      <c r="J382" s="219"/>
      <c r="K382" s="217">
        <f t="shared" si="6"/>
        <v>0</v>
      </c>
      <c r="L382" s="218"/>
    </row>
    <row r="383" spans="2:12">
      <c r="B383" s="202"/>
      <c r="C383" s="203"/>
      <c r="D383" s="203"/>
      <c r="E383" s="203"/>
      <c r="F383" s="203"/>
      <c r="G383" s="203"/>
      <c r="H383" s="204"/>
      <c r="I383" s="556" t="s">
        <v>1221</v>
      </c>
      <c r="J383" s="556"/>
      <c r="K383" s="220">
        <f>SUM(K337:K382)</f>
        <v>216.14109051856443</v>
      </c>
      <c r="L383" s="207"/>
    </row>
    <row r="384" spans="2:12">
      <c r="B384" s="208"/>
      <c r="C384" s="204"/>
      <c r="D384" s="204"/>
      <c r="E384" s="204"/>
      <c r="F384" s="204"/>
      <c r="G384" s="204"/>
      <c r="H384" s="209"/>
      <c r="I384" s="557" t="s">
        <v>1222</v>
      </c>
      <c r="J384" s="557"/>
      <c r="K384" s="221">
        <v>213.07</v>
      </c>
      <c r="L384" s="207"/>
    </row>
    <row r="385" spans="2:12">
      <c r="B385" s="208"/>
      <c r="C385" s="204"/>
      <c r="D385" s="204"/>
      <c r="E385" s="204"/>
      <c r="F385" s="204"/>
      <c r="G385" s="204"/>
      <c r="H385" s="558" t="s">
        <v>1223</v>
      </c>
      <c r="I385" s="558"/>
      <c r="J385" s="558"/>
      <c r="K385" s="222">
        <v>198.46108000000001</v>
      </c>
      <c r="L385" s="207"/>
    </row>
    <row r="386" spans="2:12">
      <c r="B386" s="208"/>
      <c r="C386" s="204"/>
      <c r="D386" s="204"/>
      <c r="E386" s="204"/>
      <c r="F386" s="204"/>
      <c r="G386" s="204"/>
      <c r="H386" s="558" t="s">
        <v>1431</v>
      </c>
      <c r="I386" s="558"/>
      <c r="J386" s="558"/>
      <c r="K386" s="222">
        <f>IF(K383&gt;K384,K384,K383)-K385+0.0000105185643549158</f>
        <v>14.608930518564339</v>
      </c>
      <c r="L386" s="207"/>
    </row>
    <row r="387" spans="2:12">
      <c r="B387" s="213"/>
      <c r="C387" s="214"/>
      <c r="D387" s="214"/>
      <c r="E387" s="214"/>
      <c r="F387" s="214"/>
      <c r="G387" s="214"/>
      <c r="H387" s="559" t="s">
        <v>1224</v>
      </c>
      <c r="I387" s="559"/>
      <c r="J387" s="559"/>
      <c r="K387" s="223">
        <f>IF(K383&gt;K384,K383-K384,0)</f>
        <v>3.0710905185644322</v>
      </c>
      <c r="L387" s="209"/>
    </row>
    <row r="389" spans="2:12" ht="14.25" customHeight="1">
      <c r="B389" s="555" t="s">
        <v>1300</v>
      </c>
      <c r="C389" s="555"/>
      <c r="D389" s="555"/>
      <c r="E389" s="555"/>
      <c r="F389" s="555"/>
      <c r="G389" s="555"/>
      <c r="H389" s="555"/>
      <c r="I389" s="555"/>
      <c r="J389" s="555"/>
      <c r="K389" s="555"/>
      <c r="L389" s="555"/>
    </row>
    <row r="390" spans="2:12">
      <c r="B390" s="187" t="s">
        <v>1209</v>
      </c>
      <c r="C390" s="187"/>
      <c r="D390" s="187" t="s">
        <v>39</v>
      </c>
      <c r="E390" s="187" t="s">
        <v>1210</v>
      </c>
      <c r="F390" s="187" t="s">
        <v>1211</v>
      </c>
      <c r="G390" s="187" t="s">
        <v>1212</v>
      </c>
      <c r="H390" s="187" t="s">
        <v>1213</v>
      </c>
      <c r="I390" s="187" t="s">
        <v>1214</v>
      </c>
      <c r="J390" s="187" t="s">
        <v>1215</v>
      </c>
      <c r="K390" s="187" t="s">
        <v>1216</v>
      </c>
      <c r="L390" s="187" t="s">
        <v>1217</v>
      </c>
    </row>
    <row r="391" spans="2:12">
      <c r="B391" s="188" t="s">
        <v>1301</v>
      </c>
      <c r="C391" s="189" t="s">
        <v>1271</v>
      </c>
      <c r="D391" s="190" t="s">
        <v>1274</v>
      </c>
      <c r="E391" s="191">
        <v>646</v>
      </c>
      <c r="F391" s="243">
        <v>0.16</v>
      </c>
      <c r="G391" s="192"/>
      <c r="H391" s="191">
        <v>1.1000000000000001</v>
      </c>
      <c r="I391" s="191"/>
      <c r="J391" s="216"/>
      <c r="K391" s="217">
        <f>IF(E391*F391*G391&lt;&gt;0,E391*F391*G391,IF(E391*F391&lt;&gt;0,E391*F391,IF(F391*G391&lt;&gt;0,F391*G391,IF(E391*G391&lt;&gt;0,E391*G391,IF(E391&lt;&gt;0,E391,IF(F391&lt;&gt;0,F391,IF(G391&lt;&gt;0,G391,0)))))))*(IF(H391&lt;&gt;0,H391,1))+I391-J391</f>
        <v>113.69600000000001</v>
      </c>
      <c r="L391" s="218"/>
    </row>
    <row r="392" spans="2:12">
      <c r="B392" s="188" t="s">
        <v>1302</v>
      </c>
      <c r="C392" s="189" t="s">
        <v>1271</v>
      </c>
      <c r="D392" s="190" t="s">
        <v>1274</v>
      </c>
      <c r="E392" s="191">
        <v>348</v>
      </c>
      <c r="F392" s="243">
        <v>0.16</v>
      </c>
      <c r="G392" s="192"/>
      <c r="H392" s="191">
        <v>1.1000000000000001</v>
      </c>
      <c r="I392" s="191"/>
      <c r="J392" s="216"/>
      <c r="K392" s="217">
        <f>IF(E392*F392*G392&lt;&gt;0,E392*F392*G392,IF(E392*F392&lt;&gt;0,E392*F392,IF(F392*G392&lt;&gt;0,F392*G392,IF(E392*G392&lt;&gt;0,E392*G392,IF(E392&lt;&gt;0,E392,IF(F392&lt;&gt;0,F392,IF(G392&lt;&gt;0,G392,0)))))))*(IF(H392&lt;&gt;0,H392,1))+I392-J392</f>
        <v>61.248000000000005</v>
      </c>
      <c r="L392" s="218"/>
    </row>
    <row r="393" spans="2:12">
      <c r="B393" s="188" t="s">
        <v>1365</v>
      </c>
      <c r="C393" s="189" t="s">
        <v>1271</v>
      </c>
      <c r="D393" s="190" t="s">
        <v>1274</v>
      </c>
      <c r="E393" s="191">
        <v>43.18</v>
      </c>
      <c r="F393" s="243"/>
      <c r="G393" s="192"/>
      <c r="H393" s="191">
        <v>0.26</v>
      </c>
      <c r="I393" s="191"/>
      <c r="J393" s="216"/>
      <c r="K393" s="217">
        <f>IF(E393*F393*G393&lt;&gt;0,E393*F393*G393,IF(E393*F393&lt;&gt;0,E393*F393,IF(F393*G393&lt;&gt;0,F393*G393,IF(E393*G393&lt;&gt;0,E393*G393,IF(E393&lt;&gt;0,E393,IF(F393&lt;&gt;0,F393,IF(G393&lt;&gt;0,G393,0)))))))*(IF(H393&lt;&gt;0,H393,1))+I393-J393</f>
        <v>11.226800000000001</v>
      </c>
      <c r="L393" s="245" t="s">
        <v>1366</v>
      </c>
    </row>
    <row r="394" spans="2:12">
      <c r="B394" s="197"/>
      <c r="C394" s="189"/>
      <c r="D394" s="198"/>
      <c r="E394" s="199"/>
      <c r="F394" s="244"/>
      <c r="G394" s="199"/>
      <c r="H394" s="199"/>
      <c r="I394" s="199"/>
      <c r="J394" s="219"/>
      <c r="K394" s="217">
        <f>IF(E394*F394*G394&lt;&gt;0,E394*F394*G394,IF(E394*F394&lt;&gt;0,E394*F394,IF(F394*G394&lt;&gt;0,F394*G394,IF(E394*G394&lt;&gt;0,E394*G394,IF(E394&lt;&gt;0,E394,IF(F394&lt;&gt;0,F394,IF(G394&lt;&gt;0,G394,0)))))))*(IF(H394&lt;&gt;0,H394,1))+I394-J394</f>
        <v>0</v>
      </c>
      <c r="L394" s="218"/>
    </row>
    <row r="395" spans="2:12">
      <c r="B395" s="202"/>
      <c r="C395" s="203"/>
      <c r="D395" s="203"/>
      <c r="E395" s="203"/>
      <c r="F395" s="203"/>
      <c r="G395" s="203"/>
      <c r="H395" s="204"/>
      <c r="I395" s="556" t="s">
        <v>1221</v>
      </c>
      <c r="J395" s="556"/>
      <c r="K395" s="220">
        <f>SUM(K391:K394)</f>
        <v>186.17080000000001</v>
      </c>
      <c r="L395" s="207"/>
    </row>
    <row r="396" spans="2:12">
      <c r="B396" s="208"/>
      <c r="C396" s="204"/>
      <c r="D396" s="204"/>
      <c r="E396" s="204"/>
      <c r="F396" s="204"/>
      <c r="G396" s="204"/>
      <c r="H396" s="209"/>
      <c r="I396" s="557" t="s">
        <v>1222</v>
      </c>
      <c r="J396" s="557"/>
      <c r="K396" s="221">
        <v>185.9</v>
      </c>
      <c r="L396" s="207"/>
    </row>
    <row r="397" spans="2:12">
      <c r="B397" s="208"/>
      <c r="C397" s="204"/>
      <c r="D397" s="204"/>
      <c r="E397" s="204"/>
      <c r="F397" s="204"/>
      <c r="G397" s="204"/>
      <c r="H397" s="558" t="s">
        <v>1223</v>
      </c>
      <c r="I397" s="558"/>
      <c r="J397" s="558"/>
      <c r="K397" s="222">
        <v>163.02440000000001</v>
      </c>
      <c r="L397" s="207"/>
    </row>
    <row r="398" spans="2:12">
      <c r="B398" s="208"/>
      <c r="C398" s="204"/>
      <c r="D398" s="204"/>
      <c r="E398" s="204"/>
      <c r="F398" s="204"/>
      <c r="G398" s="204"/>
      <c r="H398" s="558" t="s">
        <v>1250</v>
      </c>
      <c r="I398" s="558"/>
      <c r="J398" s="558"/>
      <c r="K398" s="222">
        <f>IF(K395&gt;K396,K396,K395)-K397</f>
        <v>22.875599999999991</v>
      </c>
      <c r="L398" s="246">
        <f>K396-K395</f>
        <v>-0.27080000000000837</v>
      </c>
    </row>
    <row r="399" spans="2:12">
      <c r="B399" s="213"/>
      <c r="C399" s="214"/>
      <c r="D399" s="214"/>
      <c r="E399" s="214"/>
      <c r="F399" s="214"/>
      <c r="G399" s="214"/>
      <c r="H399" s="559" t="s">
        <v>1224</v>
      </c>
      <c r="I399" s="559"/>
      <c r="J399" s="559"/>
      <c r="K399" s="223">
        <f>IF(K395&gt;K396,K395-K396,0)</f>
        <v>0.27080000000000837</v>
      </c>
      <c r="L399" s="209"/>
    </row>
    <row r="401" spans="2:12" ht="14.25" customHeight="1">
      <c r="B401" s="555" t="s">
        <v>1303</v>
      </c>
      <c r="C401" s="555"/>
      <c r="D401" s="555"/>
      <c r="E401" s="555"/>
      <c r="F401" s="555"/>
      <c r="G401" s="555"/>
      <c r="H401" s="555"/>
      <c r="I401" s="555"/>
      <c r="J401" s="555"/>
      <c r="K401" s="555"/>
      <c r="L401" s="555"/>
    </row>
    <row r="402" spans="2:12">
      <c r="B402" s="187" t="s">
        <v>1209</v>
      </c>
      <c r="C402" s="187"/>
      <c r="D402" s="187" t="s">
        <v>39</v>
      </c>
      <c r="E402" s="187" t="s">
        <v>1210</v>
      </c>
      <c r="F402" s="187" t="s">
        <v>1211</v>
      </c>
      <c r="G402" s="187" t="s">
        <v>1212</v>
      </c>
      <c r="H402" s="187" t="s">
        <v>1213</v>
      </c>
      <c r="I402" s="187" t="s">
        <v>1214</v>
      </c>
      <c r="J402" s="187" t="s">
        <v>1215</v>
      </c>
      <c r="K402" s="187" t="s">
        <v>1216</v>
      </c>
      <c r="L402" s="187" t="s">
        <v>1217</v>
      </c>
    </row>
    <row r="403" spans="2:12">
      <c r="B403" s="188" t="s">
        <v>1301</v>
      </c>
      <c r="C403" s="189" t="s">
        <v>1271</v>
      </c>
      <c r="D403" s="190" t="s">
        <v>1274</v>
      </c>
      <c r="E403" s="191">
        <v>257</v>
      </c>
      <c r="F403" s="243">
        <v>0.245</v>
      </c>
      <c r="G403" s="192"/>
      <c r="H403" s="191">
        <v>1.1000000000000001</v>
      </c>
      <c r="I403" s="191"/>
      <c r="J403" s="216"/>
      <c r="K403" s="217">
        <f>IF(E403*F403*G403&lt;&gt;0,E403*F403*G403,IF(E403*F403&lt;&gt;0,E403*F403,IF(F403*G403&lt;&gt;0,F403*G403,IF(E403*G403&lt;&gt;0,E403*G403,IF(E403&lt;&gt;0,E403,IF(F403&lt;&gt;0,F403,IF(G403&lt;&gt;0,G403,0)))))))*(IF(H403&lt;&gt;0,H403,1))+I403-J403</f>
        <v>69.261499999999998</v>
      </c>
      <c r="L403" s="218"/>
    </row>
    <row r="404" spans="2:12">
      <c r="B404" s="188" t="s">
        <v>1302</v>
      </c>
      <c r="C404" s="189" t="s">
        <v>1271</v>
      </c>
      <c r="D404" s="190" t="s">
        <v>1274</v>
      </c>
      <c r="E404" s="191">
        <v>642</v>
      </c>
      <c r="F404" s="243">
        <v>0.245</v>
      </c>
      <c r="G404" s="192"/>
      <c r="H404" s="191">
        <v>1.1000000000000001</v>
      </c>
      <c r="I404" s="191"/>
      <c r="J404" s="216"/>
      <c r="K404" s="217">
        <f>IF(E404*F404*G404&lt;&gt;0,E404*F404*G404,IF(E404*F404&lt;&gt;0,E404*F404,IF(F404*G404&lt;&gt;0,F404*G404,IF(E404*G404&lt;&gt;0,E404*G404,IF(E404&lt;&gt;0,E404,IF(F404&lt;&gt;0,F404,IF(G404&lt;&gt;0,G404,0)))))))*(IF(H404&lt;&gt;0,H404,1))+I404-J404</f>
        <v>173.01900000000001</v>
      </c>
      <c r="L404" s="218"/>
    </row>
    <row r="405" spans="2:12">
      <c r="B405" s="197"/>
      <c r="C405" s="189"/>
      <c r="D405" s="198"/>
      <c r="E405" s="199"/>
      <c r="F405" s="244"/>
      <c r="G405" s="199"/>
      <c r="H405" s="199"/>
      <c r="I405" s="199"/>
      <c r="J405" s="219"/>
      <c r="K405" s="217">
        <f>IF(E405*F405*G405&lt;&gt;0,E405*F405*G405,IF(E405*F405&lt;&gt;0,E405*F405,IF(F405*G405&lt;&gt;0,F405*G405,IF(E405*G405&lt;&gt;0,E405*G405,IF(E405&lt;&gt;0,E405,IF(F405&lt;&gt;0,F405,IF(G405&lt;&gt;0,G405,0)))))))*(IF(H405&lt;&gt;0,H405,1))+I405-J405</f>
        <v>0</v>
      </c>
      <c r="L405" s="218"/>
    </row>
    <row r="406" spans="2:12">
      <c r="B406" s="202"/>
      <c r="C406" s="203"/>
      <c r="D406" s="203"/>
      <c r="E406" s="203"/>
      <c r="F406" s="203"/>
      <c r="G406" s="203"/>
      <c r="H406" s="204"/>
      <c r="I406" s="556" t="s">
        <v>1221</v>
      </c>
      <c r="J406" s="556"/>
      <c r="K406" s="220">
        <f>SUM(K403:K405)</f>
        <v>242.28050000000002</v>
      </c>
      <c r="L406" s="207"/>
    </row>
    <row r="407" spans="2:12">
      <c r="B407" s="208"/>
      <c r="C407" s="204"/>
      <c r="D407" s="204"/>
      <c r="E407" s="204"/>
      <c r="F407" s="204"/>
      <c r="G407" s="204"/>
      <c r="H407" s="209"/>
      <c r="I407" s="557" t="s">
        <v>1222</v>
      </c>
      <c r="J407" s="557"/>
      <c r="K407" s="221">
        <v>199.1</v>
      </c>
      <c r="L407" s="207"/>
    </row>
    <row r="408" spans="2:12">
      <c r="B408" s="208"/>
      <c r="C408" s="204"/>
      <c r="D408" s="204"/>
      <c r="E408" s="204"/>
      <c r="F408" s="204"/>
      <c r="G408" s="204"/>
      <c r="H408" s="558" t="s">
        <v>1223</v>
      </c>
      <c r="I408" s="558"/>
      <c r="J408" s="558"/>
      <c r="K408" s="222">
        <v>0</v>
      </c>
      <c r="L408" s="207"/>
    </row>
    <row r="409" spans="2:12">
      <c r="B409" s="208"/>
      <c r="C409" s="204"/>
      <c r="D409" s="204"/>
      <c r="E409" s="204"/>
      <c r="F409" s="204"/>
      <c r="G409" s="204"/>
      <c r="H409" s="558" t="s">
        <v>1201</v>
      </c>
      <c r="I409" s="558"/>
      <c r="J409" s="558"/>
      <c r="K409" s="222">
        <f>IF(K406&gt;K407,K407,K406)-K408</f>
        <v>199.1</v>
      </c>
      <c r="L409" s="207"/>
    </row>
    <row r="410" spans="2:12">
      <c r="B410" s="213"/>
      <c r="C410" s="214"/>
      <c r="D410" s="214"/>
      <c r="E410" s="214"/>
      <c r="F410" s="214"/>
      <c r="G410" s="214"/>
      <c r="H410" s="559" t="s">
        <v>1224</v>
      </c>
      <c r="I410" s="559"/>
      <c r="J410" s="559"/>
      <c r="K410" s="223">
        <f>IF(K406&gt;K407,K406-K407,0)</f>
        <v>43.180500000000023</v>
      </c>
      <c r="L410" s="209"/>
    </row>
    <row r="412" spans="2:12" ht="14.25" customHeight="1">
      <c r="B412" s="555" t="s">
        <v>1304</v>
      </c>
      <c r="C412" s="555"/>
      <c r="D412" s="555"/>
      <c r="E412" s="555"/>
      <c r="F412" s="555"/>
      <c r="G412" s="555"/>
      <c r="H412" s="555"/>
      <c r="I412" s="555"/>
      <c r="J412" s="555"/>
      <c r="K412" s="555"/>
      <c r="L412" s="555"/>
    </row>
    <row r="413" spans="2:12">
      <c r="B413" s="187" t="s">
        <v>1209</v>
      </c>
      <c r="C413" s="187"/>
      <c r="D413" s="187" t="s">
        <v>39</v>
      </c>
      <c r="E413" s="187" t="s">
        <v>1210</v>
      </c>
      <c r="F413" s="187" t="s">
        <v>1211</v>
      </c>
      <c r="G413" s="187" t="s">
        <v>1212</v>
      </c>
      <c r="H413" s="187" t="s">
        <v>1213</v>
      </c>
      <c r="I413" s="187" t="s">
        <v>1214</v>
      </c>
      <c r="J413" s="187" t="s">
        <v>1215</v>
      </c>
      <c r="K413" s="187" t="s">
        <v>1216</v>
      </c>
      <c r="L413" s="187" t="s">
        <v>1217</v>
      </c>
    </row>
    <row r="414" spans="2:12">
      <c r="B414" s="188" t="s">
        <v>1301</v>
      </c>
      <c r="C414" s="189" t="s">
        <v>1271</v>
      </c>
      <c r="D414" s="190" t="s">
        <v>1274</v>
      </c>
      <c r="E414" s="191">
        <v>566</v>
      </c>
      <c r="F414" s="243">
        <v>0.39500000000000002</v>
      </c>
      <c r="G414" s="192"/>
      <c r="H414" s="191">
        <v>1.1000000000000001</v>
      </c>
      <c r="I414" s="191"/>
      <c r="J414" s="216"/>
      <c r="K414" s="217">
        <f>IF(E414*F414*G414&lt;&gt;0,E414*F414*G414,IF(E414*F414&lt;&gt;0,E414*F414,IF(F414*G414&lt;&gt;0,F414*G414,IF(E414*G414&lt;&gt;0,E414*G414,IF(E414&lt;&gt;0,E414,IF(F414&lt;&gt;0,F414,IF(G414&lt;&gt;0,G414,0)))))))*(IF(H414&lt;&gt;0,H414,1))+I414-J414</f>
        <v>245.92700000000005</v>
      </c>
      <c r="L414" s="218"/>
    </row>
    <row r="415" spans="2:12">
      <c r="B415" s="188" t="s">
        <v>1302</v>
      </c>
      <c r="C415" s="189" t="s">
        <v>1271</v>
      </c>
      <c r="D415" s="190" t="s">
        <v>1274</v>
      </c>
      <c r="E415" s="191">
        <v>641</v>
      </c>
      <c r="F415" s="243">
        <v>0.39500000000000002</v>
      </c>
      <c r="G415" s="192"/>
      <c r="H415" s="191">
        <v>1.1000000000000001</v>
      </c>
      <c r="I415" s="191"/>
      <c r="J415" s="216"/>
      <c r="K415" s="217">
        <f>IF(E415*F415*G415&lt;&gt;0,E415*F415*G415,IF(E415*F415&lt;&gt;0,E415*F415,IF(F415*G415&lt;&gt;0,F415*G415,IF(E415*G415&lt;&gt;0,E415*G415,IF(E415&lt;&gt;0,E415,IF(F415&lt;&gt;0,F415,IF(G415&lt;&gt;0,G415,0)))))))*(IF(H415&lt;&gt;0,H415,1))+I415-J415</f>
        <v>278.51450000000006</v>
      </c>
      <c r="L415" s="218"/>
    </row>
    <row r="416" spans="2:12">
      <c r="B416" s="197"/>
      <c r="C416" s="189"/>
      <c r="D416" s="198"/>
      <c r="E416" s="199"/>
      <c r="F416" s="244"/>
      <c r="G416" s="199"/>
      <c r="H416" s="199"/>
      <c r="I416" s="199"/>
      <c r="J416" s="219"/>
      <c r="K416" s="217">
        <f>IF(E416*F416*G416&lt;&gt;0,E416*F416*G416,IF(E416*F416&lt;&gt;0,E416*F416,IF(F416*G416&lt;&gt;0,F416*G416,IF(E416*G416&lt;&gt;0,E416*G416,IF(E416&lt;&gt;0,E416,IF(F416&lt;&gt;0,F416,IF(G416&lt;&gt;0,G416,0)))))))*(IF(H416&lt;&gt;0,H416,1))+I416-J416</f>
        <v>0</v>
      </c>
      <c r="L416" s="218"/>
    </row>
    <row r="417" spans="2:12">
      <c r="B417" s="202"/>
      <c r="C417" s="203"/>
      <c r="D417" s="203"/>
      <c r="E417" s="203"/>
      <c r="F417" s="203"/>
      <c r="G417" s="203"/>
      <c r="H417" s="204"/>
      <c r="I417" s="556" t="s">
        <v>1221</v>
      </c>
      <c r="J417" s="556"/>
      <c r="K417" s="220">
        <f>SUM(K414:K416)</f>
        <v>524.44150000000013</v>
      </c>
      <c r="L417" s="207"/>
    </row>
    <row r="418" spans="2:12">
      <c r="B418" s="208"/>
      <c r="C418" s="204"/>
      <c r="D418" s="204"/>
      <c r="E418" s="204"/>
      <c r="F418" s="204"/>
      <c r="G418" s="204"/>
      <c r="H418" s="209"/>
      <c r="I418" s="557" t="s">
        <v>1222</v>
      </c>
      <c r="J418" s="557"/>
      <c r="K418" s="221">
        <v>378.4</v>
      </c>
      <c r="L418" s="207"/>
    </row>
    <row r="419" spans="2:12">
      <c r="B419" s="208"/>
      <c r="C419" s="204"/>
      <c r="D419" s="204"/>
      <c r="E419" s="204"/>
      <c r="F419" s="204"/>
      <c r="G419" s="204"/>
      <c r="H419" s="558" t="s">
        <v>1223</v>
      </c>
      <c r="I419" s="558"/>
      <c r="J419" s="558"/>
      <c r="K419" s="222">
        <v>0</v>
      </c>
      <c r="L419" s="207"/>
    </row>
    <row r="420" spans="2:12">
      <c r="B420" s="208"/>
      <c r="C420" s="204"/>
      <c r="D420" s="204"/>
      <c r="E420" s="204"/>
      <c r="F420" s="204"/>
      <c r="G420" s="204"/>
      <c r="H420" s="558" t="s">
        <v>1201</v>
      </c>
      <c r="I420" s="558"/>
      <c r="J420" s="558"/>
      <c r="K420" s="222">
        <f>IF(K417&gt;K418,K418,K417)-K419</f>
        <v>378.4</v>
      </c>
      <c r="L420" s="207"/>
    </row>
    <row r="421" spans="2:12">
      <c r="B421" s="213"/>
      <c r="C421" s="214"/>
      <c r="D421" s="214"/>
      <c r="E421" s="214"/>
      <c r="F421" s="214"/>
      <c r="G421" s="214"/>
      <c r="H421" s="559" t="s">
        <v>1224</v>
      </c>
      <c r="I421" s="559"/>
      <c r="J421" s="559"/>
      <c r="K421" s="223">
        <f>IF(K417&gt;K418,K417-K418,0)</f>
        <v>146.04150000000016</v>
      </c>
      <c r="L421" s="209"/>
    </row>
    <row r="423" spans="2:12" ht="14.25" customHeight="1">
      <c r="B423" s="555" t="s">
        <v>1305</v>
      </c>
      <c r="C423" s="555"/>
      <c r="D423" s="555"/>
      <c r="E423" s="555"/>
      <c r="F423" s="555"/>
      <c r="G423" s="555"/>
      <c r="H423" s="555"/>
      <c r="I423" s="555"/>
      <c r="J423" s="555"/>
      <c r="K423" s="555"/>
      <c r="L423" s="555"/>
    </row>
    <row r="424" spans="2:12">
      <c r="B424" s="187" t="s">
        <v>1209</v>
      </c>
      <c r="C424" s="187"/>
      <c r="D424" s="187" t="s">
        <v>39</v>
      </c>
      <c r="E424" s="187" t="s">
        <v>1210</v>
      </c>
      <c r="F424" s="187" t="s">
        <v>1211</v>
      </c>
      <c r="G424" s="187" t="s">
        <v>1212</v>
      </c>
      <c r="H424" s="187" t="s">
        <v>1213</v>
      </c>
      <c r="I424" s="187" t="s">
        <v>1214</v>
      </c>
      <c r="J424" s="187" t="s">
        <v>1215</v>
      </c>
      <c r="K424" s="187" t="s">
        <v>1216</v>
      </c>
      <c r="L424" s="187" t="s">
        <v>1217</v>
      </c>
    </row>
    <row r="425" spans="2:12">
      <c r="B425" s="188" t="s">
        <v>1301</v>
      </c>
      <c r="C425" s="189" t="s">
        <v>1271</v>
      </c>
      <c r="D425" s="190" t="s">
        <v>1274</v>
      </c>
      <c r="E425" s="191">
        <v>522</v>
      </c>
      <c r="F425" s="243">
        <v>0.61699999999999999</v>
      </c>
      <c r="G425" s="192"/>
      <c r="H425" s="191">
        <v>1.1000000000000001</v>
      </c>
      <c r="I425" s="191"/>
      <c r="J425" s="216"/>
      <c r="K425" s="217">
        <f>IF(E425*F425*G425&lt;&gt;0,E425*F425*G425,IF(E425*F425&lt;&gt;0,E425*F425,IF(F425*G425&lt;&gt;0,F425*G425,IF(E425*G425&lt;&gt;0,E425*G425,IF(E425&lt;&gt;0,E425,IF(F425&lt;&gt;0,F425,IF(G425&lt;&gt;0,G425,0)))))))*(IF(H425&lt;&gt;0,H425,1))+I425-J425</f>
        <v>354.28140000000002</v>
      </c>
      <c r="L425" s="218"/>
    </row>
    <row r="426" spans="2:12">
      <c r="B426" s="188" t="s">
        <v>1302</v>
      </c>
      <c r="C426" s="189" t="s">
        <v>1271</v>
      </c>
      <c r="D426" s="190" t="s">
        <v>1274</v>
      </c>
      <c r="E426" s="191">
        <v>150</v>
      </c>
      <c r="F426" s="243">
        <v>0.61699999999999999</v>
      </c>
      <c r="G426" s="192"/>
      <c r="H426" s="191">
        <v>1.1000000000000001</v>
      </c>
      <c r="I426" s="191">
        <v>1E-4</v>
      </c>
      <c r="J426" s="216"/>
      <c r="K426" s="217">
        <f>IF(E426*F426*G426&lt;&gt;0,E426*F426*G426,IF(E426*F426&lt;&gt;0,E426*F426,IF(F426*G426&lt;&gt;0,F426*G426,IF(E426*G426&lt;&gt;0,E426*G426,IF(E426&lt;&gt;0,E426,IF(F426&lt;&gt;0,F426,IF(G426&lt;&gt;0,G426,0)))))))*(IF(H426&lt;&gt;0,H426,1))+I426-J426</f>
        <v>101.80510000000001</v>
      </c>
      <c r="L426" s="218"/>
    </row>
    <row r="427" spans="2:12">
      <c r="B427" s="197"/>
      <c r="C427" s="189"/>
      <c r="D427" s="198"/>
      <c r="E427" s="199"/>
      <c r="F427" s="244"/>
      <c r="G427" s="199"/>
      <c r="H427" s="199"/>
      <c r="I427" s="199"/>
      <c r="J427" s="219"/>
      <c r="K427" s="217">
        <f>IF(E427*F427*G427&lt;&gt;0,E427*F427*G427,IF(E427*F427&lt;&gt;0,E427*F427,IF(F427*G427&lt;&gt;0,F427*G427,IF(E427*G427&lt;&gt;0,E427*G427,IF(E427&lt;&gt;0,E427,IF(F427&lt;&gt;0,F427,IF(G427&lt;&gt;0,G427,0)))))))*(IF(H427&lt;&gt;0,H427,1))+I427-J427</f>
        <v>0</v>
      </c>
      <c r="L427" s="218"/>
    </row>
    <row r="428" spans="2:12">
      <c r="B428" s="202"/>
      <c r="C428" s="203"/>
      <c r="D428" s="203"/>
      <c r="E428" s="203"/>
      <c r="F428" s="203"/>
      <c r="G428" s="203"/>
      <c r="H428" s="204"/>
      <c r="I428" s="556" t="s">
        <v>1221</v>
      </c>
      <c r="J428" s="556"/>
      <c r="K428" s="220">
        <f>SUM(K425:K427)</f>
        <v>456.0865</v>
      </c>
      <c r="L428" s="207"/>
    </row>
    <row r="429" spans="2:12">
      <c r="B429" s="208"/>
      <c r="C429" s="204"/>
      <c r="D429" s="204"/>
      <c r="E429" s="204"/>
      <c r="F429" s="204"/>
      <c r="G429" s="204"/>
      <c r="H429" s="209"/>
      <c r="I429" s="557" t="s">
        <v>1222</v>
      </c>
      <c r="J429" s="557"/>
      <c r="K429" s="221">
        <f>445.5+0.0001</f>
        <v>445.50009999999997</v>
      </c>
      <c r="L429" s="207"/>
    </row>
    <row r="430" spans="2:12">
      <c r="B430" s="208"/>
      <c r="C430" s="204"/>
      <c r="D430" s="204"/>
      <c r="E430" s="204"/>
      <c r="F430" s="204"/>
      <c r="G430" s="204"/>
      <c r="H430" s="558" t="s">
        <v>1223</v>
      </c>
      <c r="I430" s="558"/>
      <c r="J430" s="558"/>
      <c r="K430" s="222">
        <v>354.28140000000002</v>
      </c>
      <c r="L430" s="207"/>
    </row>
    <row r="431" spans="2:12">
      <c r="B431" s="208"/>
      <c r="C431" s="204"/>
      <c r="D431" s="204"/>
      <c r="E431" s="204"/>
      <c r="F431" s="204"/>
      <c r="G431" s="204"/>
      <c r="H431" s="558" t="s">
        <v>1201</v>
      </c>
      <c r="I431" s="558"/>
      <c r="J431" s="558"/>
      <c r="K431" s="222">
        <f>IF(K428&gt;K429,K429,K428)-K430</f>
        <v>91.218699999999956</v>
      </c>
      <c r="L431" s="207"/>
    </row>
    <row r="432" spans="2:12">
      <c r="B432" s="213"/>
      <c r="C432" s="214"/>
      <c r="D432" s="214"/>
      <c r="E432" s="214"/>
      <c r="F432" s="214"/>
      <c r="G432" s="214"/>
      <c r="H432" s="559" t="s">
        <v>1224</v>
      </c>
      <c r="I432" s="559"/>
      <c r="J432" s="559"/>
      <c r="K432" s="223">
        <f>IF(K428&gt;K429,K428-K429,0)</f>
        <v>10.586400000000026</v>
      </c>
      <c r="L432" s="209"/>
    </row>
    <row r="434" spans="2:12" ht="14.25" customHeight="1">
      <c r="B434" s="555" t="s">
        <v>1306</v>
      </c>
      <c r="C434" s="555"/>
      <c r="D434" s="555"/>
      <c r="E434" s="555"/>
      <c r="F434" s="555"/>
      <c r="G434" s="555"/>
      <c r="H434" s="555"/>
      <c r="I434" s="555"/>
      <c r="J434" s="555"/>
      <c r="K434" s="555"/>
      <c r="L434" s="555"/>
    </row>
    <row r="435" spans="2:12">
      <c r="B435" s="187" t="s">
        <v>1209</v>
      </c>
      <c r="C435" s="187"/>
      <c r="D435" s="187" t="s">
        <v>39</v>
      </c>
      <c r="E435" s="187" t="s">
        <v>1210</v>
      </c>
      <c r="F435" s="187" t="s">
        <v>1211</v>
      </c>
      <c r="G435" s="187" t="s">
        <v>1212</v>
      </c>
      <c r="H435" s="187" t="s">
        <v>1213</v>
      </c>
      <c r="I435" s="187" t="s">
        <v>1214</v>
      </c>
      <c r="J435" s="187" t="s">
        <v>1215</v>
      </c>
      <c r="K435" s="187" t="s">
        <v>1216</v>
      </c>
      <c r="L435" s="187" t="s">
        <v>1217</v>
      </c>
    </row>
    <row r="436" spans="2:12">
      <c r="B436" s="188" t="s">
        <v>1367</v>
      </c>
      <c r="C436" s="189" t="s">
        <v>1271</v>
      </c>
      <c r="D436" s="190" t="s">
        <v>1274</v>
      </c>
      <c r="E436" s="191"/>
      <c r="F436" s="243"/>
      <c r="G436" s="192"/>
      <c r="H436" s="191"/>
      <c r="I436" s="191"/>
      <c r="J436" s="216"/>
      <c r="K436" s="217">
        <f>IF(E436*F436*G436&lt;&gt;0,E436*F436*G436,IF(E436*F436&lt;&gt;0,E436*F436,IF(F436*G436&lt;&gt;0,F436*G436,IF(E436*G436&lt;&gt;0,E436*G436,IF(E436&lt;&gt;0,E436,IF(F436&lt;&gt;0,F436,IF(G436&lt;&gt;0,G436,0)))))))*(IF(H436&lt;&gt;0,H436,1))+I436-J436</f>
        <v>0</v>
      </c>
      <c r="L436" s="218"/>
    </row>
    <row r="437" spans="2:12">
      <c r="B437" s="188" t="s">
        <v>1302</v>
      </c>
      <c r="C437" s="189" t="s">
        <v>1271</v>
      </c>
      <c r="D437" s="190" t="s">
        <v>1274</v>
      </c>
      <c r="E437" s="191">
        <v>287</v>
      </c>
      <c r="F437" s="243">
        <v>0.96299999999999997</v>
      </c>
      <c r="G437" s="192"/>
      <c r="H437" s="191">
        <v>1.1000000000000001</v>
      </c>
      <c r="I437" s="191"/>
      <c r="J437" s="216"/>
      <c r="K437" s="217">
        <f>IF(E437*F437*G437&lt;&gt;0,E437*F437*G437,IF(E437*F437&lt;&gt;0,E437*F437,IF(F437*G437&lt;&gt;0,F437*G437,IF(E437*G437&lt;&gt;0,E437*G437,IF(E437&lt;&gt;0,E437,IF(F437&lt;&gt;0,F437,IF(G437&lt;&gt;0,G437,0)))))))*(IF(H437&lt;&gt;0,H437,1))+I437-J437</f>
        <v>304.01909999999998</v>
      </c>
      <c r="L437" s="218"/>
    </row>
    <row r="438" spans="2:12">
      <c r="B438" s="197"/>
      <c r="C438" s="189"/>
      <c r="D438" s="198"/>
      <c r="E438" s="199"/>
      <c r="F438" s="244"/>
      <c r="G438" s="199"/>
      <c r="H438" s="199"/>
      <c r="I438" s="199"/>
      <c r="J438" s="219"/>
      <c r="K438" s="217">
        <f>IF(E438*F438*G438&lt;&gt;0,E438*F438*G438,IF(E438*F438&lt;&gt;0,E438*F438,IF(F438*G438&lt;&gt;0,F438*G438,IF(E438*G438&lt;&gt;0,E438*G438,IF(E438&lt;&gt;0,E438,IF(F438&lt;&gt;0,F438,IF(G438&lt;&gt;0,G438,0)))))))*(IF(H438&lt;&gt;0,H438,1))+I438-J438</f>
        <v>0</v>
      </c>
      <c r="L438" s="218"/>
    </row>
    <row r="439" spans="2:12">
      <c r="B439" s="202"/>
      <c r="C439" s="203"/>
      <c r="D439" s="203"/>
      <c r="E439" s="203"/>
      <c r="F439" s="203"/>
      <c r="G439" s="203"/>
      <c r="H439" s="204"/>
      <c r="I439" s="556" t="s">
        <v>1221</v>
      </c>
      <c r="J439" s="556"/>
      <c r="K439" s="220">
        <f>SUM(K436:K438)</f>
        <v>304.01909999999998</v>
      </c>
      <c r="L439" s="207"/>
    </row>
    <row r="440" spans="2:12">
      <c r="B440" s="208"/>
      <c r="C440" s="204"/>
      <c r="D440" s="204"/>
      <c r="E440" s="204"/>
      <c r="F440" s="204"/>
      <c r="G440" s="204"/>
      <c r="H440" s="209"/>
      <c r="I440" s="557" t="s">
        <v>1222</v>
      </c>
      <c r="J440" s="557"/>
      <c r="K440" s="221">
        <v>177.1</v>
      </c>
      <c r="L440" s="207"/>
    </row>
    <row r="441" spans="2:12">
      <c r="B441" s="208"/>
      <c r="C441" s="204"/>
      <c r="D441" s="204"/>
      <c r="E441" s="204"/>
      <c r="F441" s="204"/>
      <c r="G441" s="204"/>
      <c r="H441" s="558" t="s">
        <v>1223</v>
      </c>
      <c r="I441" s="558"/>
      <c r="J441" s="558"/>
      <c r="K441" s="222">
        <v>0</v>
      </c>
      <c r="L441" s="207"/>
    </row>
    <row r="442" spans="2:12">
      <c r="B442" s="208"/>
      <c r="C442" s="204"/>
      <c r="D442" s="204"/>
      <c r="E442" s="204"/>
      <c r="F442" s="204"/>
      <c r="G442" s="204"/>
      <c r="H442" s="558" t="s">
        <v>1201</v>
      </c>
      <c r="I442" s="558"/>
      <c r="J442" s="558"/>
      <c r="K442" s="222">
        <f>IF(K439&gt;K440,K440,K439)-K441</f>
        <v>177.1</v>
      </c>
      <c r="L442" s="207"/>
    </row>
    <row r="443" spans="2:12">
      <c r="B443" s="213"/>
      <c r="C443" s="214"/>
      <c r="D443" s="214"/>
      <c r="E443" s="214"/>
      <c r="F443" s="214"/>
      <c r="G443" s="214"/>
      <c r="H443" s="559" t="s">
        <v>1224</v>
      </c>
      <c r="I443" s="559"/>
      <c r="J443" s="559"/>
      <c r="K443" s="223">
        <f>IF(K439&gt;K440,K439-K440,0)</f>
        <v>126.91909999999999</v>
      </c>
      <c r="L443" s="209"/>
    </row>
    <row r="445" spans="2:12" ht="14.25" customHeight="1">
      <c r="B445" s="555" t="s">
        <v>1307</v>
      </c>
      <c r="C445" s="555"/>
      <c r="D445" s="555"/>
      <c r="E445" s="555"/>
      <c r="F445" s="555"/>
      <c r="G445" s="555"/>
      <c r="H445" s="555"/>
      <c r="I445" s="555"/>
      <c r="J445" s="555"/>
      <c r="K445" s="555"/>
      <c r="L445" s="555"/>
    </row>
    <row r="446" spans="2:12">
      <c r="B446" s="187" t="s">
        <v>1209</v>
      </c>
      <c r="C446" s="187"/>
      <c r="D446" s="187" t="s">
        <v>39</v>
      </c>
      <c r="E446" s="187" t="s">
        <v>1210</v>
      </c>
      <c r="F446" s="187" t="s">
        <v>1211</v>
      </c>
      <c r="G446" s="187" t="s">
        <v>1212</v>
      </c>
      <c r="H446" s="187" t="s">
        <v>1213</v>
      </c>
      <c r="I446" s="187" t="s">
        <v>1214</v>
      </c>
      <c r="J446" s="187" t="s">
        <v>1215</v>
      </c>
      <c r="K446" s="187" t="s">
        <v>1216</v>
      </c>
      <c r="L446" s="187" t="s">
        <v>1217</v>
      </c>
    </row>
    <row r="447" spans="2:12">
      <c r="B447" s="188" t="s">
        <v>1301</v>
      </c>
      <c r="C447" s="189" t="s">
        <v>1271</v>
      </c>
      <c r="D447" s="190" t="s">
        <v>1274</v>
      </c>
      <c r="E447" s="191"/>
      <c r="F447" s="243"/>
      <c r="G447" s="192"/>
      <c r="H447" s="191"/>
      <c r="I447" s="191"/>
      <c r="J447" s="216"/>
      <c r="K447" s="217">
        <f>IF(E447*F447*G447&lt;&gt;0,E447*F447*G447,IF(E447*F447&lt;&gt;0,E447*F447,IF(F447*G447&lt;&gt;0,F447*G447,IF(E447*G447&lt;&gt;0,E447*G447,IF(E447&lt;&gt;0,E447,IF(F447&lt;&gt;0,F447,IF(G447&lt;&gt;0,G447,0)))))))*(IF(H447&lt;&gt;0,H447,1))+I447-J447</f>
        <v>0</v>
      </c>
      <c r="L447" s="218"/>
    </row>
    <row r="448" spans="2:12">
      <c r="B448" s="188" t="s">
        <v>1302</v>
      </c>
      <c r="C448" s="189" t="s">
        <v>1271</v>
      </c>
      <c r="D448" s="190" t="s">
        <v>1274</v>
      </c>
      <c r="E448" s="191">
        <v>35.5</v>
      </c>
      <c r="F448" s="243">
        <v>1.5780000000000001</v>
      </c>
      <c r="G448" s="192"/>
      <c r="H448" s="191">
        <v>1.1000000000000001</v>
      </c>
      <c r="I448" s="191"/>
      <c r="J448" s="216"/>
      <c r="K448" s="217">
        <f>IF(E448*F448*G448&lt;&gt;0,E448*F448*G448,IF(E448*F448&lt;&gt;0,E448*F448,IF(F448*G448&lt;&gt;0,F448*G448,IF(E448*G448&lt;&gt;0,E448*G448,IF(E448&lt;&gt;0,E448,IF(F448&lt;&gt;0,F448,IF(G448&lt;&gt;0,G448,0)))))))*(IF(H448&lt;&gt;0,H448,1))+I448-J448</f>
        <v>61.620900000000013</v>
      </c>
      <c r="L448" s="218"/>
    </row>
    <row r="449" spans="2:12">
      <c r="B449" s="197"/>
      <c r="C449" s="189"/>
      <c r="D449" s="198"/>
      <c r="E449" s="199"/>
      <c r="F449" s="244"/>
      <c r="G449" s="199"/>
      <c r="H449" s="199"/>
      <c r="I449" s="199"/>
      <c r="J449" s="219"/>
      <c r="K449" s="217">
        <f>IF(E449*F449*G449&lt;&gt;0,E449*F449*G449,IF(E449*F449&lt;&gt;0,E449*F449,IF(F449*G449&lt;&gt;0,F449*G449,IF(E449*G449&lt;&gt;0,E449*G449,IF(E449&lt;&gt;0,E449,IF(F449&lt;&gt;0,F449,IF(G449&lt;&gt;0,G449,0)))))))*(IF(H449&lt;&gt;0,H449,1))+I449-J449</f>
        <v>0</v>
      </c>
      <c r="L449" s="218"/>
    </row>
    <row r="450" spans="2:12">
      <c r="B450" s="202"/>
      <c r="C450" s="203"/>
      <c r="D450" s="203"/>
      <c r="E450" s="203"/>
      <c r="F450" s="203"/>
      <c r="G450" s="203"/>
      <c r="H450" s="204"/>
      <c r="I450" s="556" t="s">
        <v>1221</v>
      </c>
      <c r="J450" s="556"/>
      <c r="K450" s="220">
        <f>SUM(K447:K449)</f>
        <v>61.620900000000013</v>
      </c>
      <c r="L450" s="207"/>
    </row>
    <row r="451" spans="2:12">
      <c r="B451" s="208"/>
      <c r="C451" s="204"/>
      <c r="D451" s="204"/>
      <c r="E451" s="204"/>
      <c r="F451" s="204"/>
      <c r="G451" s="204"/>
      <c r="H451" s="209"/>
      <c r="I451" s="557" t="s">
        <v>1222</v>
      </c>
      <c r="J451" s="557"/>
      <c r="K451" s="221">
        <v>61.6</v>
      </c>
      <c r="L451" s="207"/>
    </row>
    <row r="452" spans="2:12">
      <c r="B452" s="208"/>
      <c r="C452" s="204"/>
      <c r="D452" s="204"/>
      <c r="E452" s="204"/>
      <c r="F452" s="204"/>
      <c r="G452" s="204"/>
      <c r="H452" s="558" t="s">
        <v>1223</v>
      </c>
      <c r="I452" s="558"/>
      <c r="J452" s="558"/>
      <c r="K452" s="222">
        <v>0</v>
      </c>
      <c r="L452" s="207"/>
    </row>
    <row r="453" spans="2:12">
      <c r="B453" s="208"/>
      <c r="C453" s="204"/>
      <c r="D453" s="204"/>
      <c r="E453" s="204"/>
      <c r="F453" s="204"/>
      <c r="G453" s="204"/>
      <c r="H453" s="558" t="s">
        <v>1201</v>
      </c>
      <c r="I453" s="558"/>
      <c r="J453" s="558"/>
      <c r="K453" s="222">
        <f>IF(K450&gt;K451,K451,K450)-K452</f>
        <v>61.6</v>
      </c>
      <c r="L453" s="207"/>
    </row>
    <row r="454" spans="2:12">
      <c r="B454" s="213"/>
      <c r="C454" s="214"/>
      <c r="D454" s="214"/>
      <c r="E454" s="214"/>
      <c r="F454" s="214"/>
      <c r="G454" s="214"/>
      <c r="H454" s="559" t="s">
        <v>1224</v>
      </c>
      <c r="I454" s="559"/>
      <c r="J454" s="559"/>
      <c r="K454" s="223">
        <f>IF(K450&gt;K451,K450-K451,0)</f>
        <v>2.0900000000011687E-2</v>
      </c>
      <c r="L454" s="209"/>
    </row>
    <row r="456" spans="2:12" ht="14.25" customHeight="1">
      <c r="B456" s="555" t="s">
        <v>1308</v>
      </c>
      <c r="C456" s="555"/>
      <c r="D456" s="555"/>
      <c r="E456" s="555"/>
      <c r="F456" s="555"/>
      <c r="G456" s="555"/>
      <c r="H456" s="555"/>
      <c r="I456" s="555"/>
      <c r="J456" s="555"/>
      <c r="K456" s="555"/>
      <c r="L456" s="555"/>
    </row>
    <row r="457" spans="2:12">
      <c r="B457" s="187" t="s">
        <v>1209</v>
      </c>
      <c r="C457" s="187"/>
      <c r="D457" s="187" t="s">
        <v>39</v>
      </c>
      <c r="E457" s="187" t="s">
        <v>1210</v>
      </c>
      <c r="F457" s="187" t="s">
        <v>1211</v>
      </c>
      <c r="G457" s="187" t="s">
        <v>1212</v>
      </c>
      <c r="H457" s="187" t="s">
        <v>1213</v>
      </c>
      <c r="I457" s="187" t="s">
        <v>1214</v>
      </c>
      <c r="J457" s="187" t="s">
        <v>1215</v>
      </c>
      <c r="K457" s="187" t="s">
        <v>1216</v>
      </c>
      <c r="L457" s="187" t="s">
        <v>1217</v>
      </c>
    </row>
    <row r="458" spans="2:12">
      <c r="B458" s="188" t="s">
        <v>1309</v>
      </c>
      <c r="C458" s="189" t="s">
        <v>1271</v>
      </c>
      <c r="D458" s="190" t="s">
        <v>169</v>
      </c>
      <c r="E458" s="191">
        <v>5.18</v>
      </c>
      <c r="F458" s="192">
        <v>0.7</v>
      </c>
      <c r="G458" s="192">
        <v>0.7</v>
      </c>
      <c r="H458" s="191">
        <v>1</v>
      </c>
      <c r="I458" s="191"/>
      <c r="J458" s="216"/>
      <c r="K458" s="217">
        <f t="shared" ref="K458:K492" si="7">IF(E458*F458*G458&lt;&gt;0,E458*F458*G458,IF(E458*F458&lt;&gt;0,E458*F458,IF(F458*G458&lt;&gt;0,F458*G458,IF(E458*G458&lt;&gt;0,E458*G458,IF(E458&lt;&gt;0,E458,IF(F458&lt;&gt;0,F458,IF(G458&lt;&gt;0,G458,0)))))))*(IF(H458&lt;&gt;0,H458,1))+I458-J458</f>
        <v>2.5381999999999993</v>
      </c>
      <c r="L458" s="218"/>
    </row>
    <row r="459" spans="2:12">
      <c r="B459" s="188" t="s">
        <v>1310</v>
      </c>
      <c r="C459" s="189" t="s">
        <v>1271</v>
      </c>
      <c r="D459" s="190" t="s">
        <v>169</v>
      </c>
      <c r="E459" s="191">
        <v>6.94</v>
      </c>
      <c r="F459" s="192">
        <v>0.7</v>
      </c>
      <c r="G459" s="192">
        <v>0.7</v>
      </c>
      <c r="H459" s="191">
        <v>1</v>
      </c>
      <c r="I459" s="191"/>
      <c r="J459" s="216"/>
      <c r="K459" s="217">
        <f t="shared" si="7"/>
        <v>3.4005999999999994</v>
      </c>
      <c r="L459" s="218"/>
    </row>
    <row r="460" spans="2:12">
      <c r="B460" s="188" t="s">
        <v>1311</v>
      </c>
      <c r="C460" s="189" t="s">
        <v>1271</v>
      </c>
      <c r="D460" s="190" t="s">
        <v>169</v>
      </c>
      <c r="E460" s="191">
        <v>3.89</v>
      </c>
      <c r="F460" s="192">
        <v>0.2</v>
      </c>
      <c r="G460" s="192">
        <v>0.7</v>
      </c>
      <c r="H460" s="191">
        <v>1</v>
      </c>
      <c r="I460" s="191"/>
      <c r="J460" s="216"/>
      <c r="K460" s="217">
        <f t="shared" si="7"/>
        <v>0.54459999999999997</v>
      </c>
      <c r="L460" s="218"/>
    </row>
    <row r="461" spans="2:12">
      <c r="B461" s="188" t="s">
        <v>1312</v>
      </c>
      <c r="C461" s="189" t="s">
        <v>1271</v>
      </c>
      <c r="D461" s="190" t="s">
        <v>169</v>
      </c>
      <c r="E461" s="191">
        <v>2.33</v>
      </c>
      <c r="F461" s="192">
        <v>0.2</v>
      </c>
      <c r="G461" s="192">
        <v>0.7</v>
      </c>
      <c r="H461" s="191">
        <v>1</v>
      </c>
      <c r="I461" s="191"/>
      <c r="J461" s="216"/>
      <c r="K461" s="217">
        <f t="shared" si="7"/>
        <v>0.32619999999999999</v>
      </c>
      <c r="L461" s="218"/>
    </row>
    <row r="462" spans="2:12">
      <c r="B462" s="188" t="s">
        <v>1313</v>
      </c>
      <c r="C462" s="189" t="s">
        <v>1271</v>
      </c>
      <c r="D462" s="190" t="s">
        <v>169</v>
      </c>
      <c r="E462" s="191">
        <v>2.33</v>
      </c>
      <c r="F462" s="192">
        <v>0.2</v>
      </c>
      <c r="G462" s="192">
        <v>0.7</v>
      </c>
      <c r="H462" s="191">
        <v>1</v>
      </c>
      <c r="I462" s="191"/>
      <c r="J462" s="216"/>
      <c r="K462" s="217">
        <f t="shared" si="7"/>
        <v>0.32619999999999999</v>
      </c>
      <c r="L462" s="218"/>
    </row>
    <row r="463" spans="2:12">
      <c r="B463" s="188" t="s">
        <v>1314</v>
      </c>
      <c r="C463" s="189" t="s">
        <v>1271</v>
      </c>
      <c r="D463" s="190" t="s">
        <v>169</v>
      </c>
      <c r="E463" s="191">
        <v>4.93</v>
      </c>
      <c r="F463" s="192">
        <v>0.2</v>
      </c>
      <c r="G463" s="192">
        <v>0.7</v>
      </c>
      <c r="H463" s="191">
        <v>1</v>
      </c>
      <c r="I463" s="191"/>
      <c r="J463" s="216"/>
      <c r="K463" s="217">
        <f t="shared" si="7"/>
        <v>0.69019999999999992</v>
      </c>
      <c r="L463" s="218"/>
    </row>
    <row r="464" spans="2:12">
      <c r="B464" s="188" t="s">
        <v>1315</v>
      </c>
      <c r="C464" s="189" t="s">
        <v>1271</v>
      </c>
      <c r="D464" s="190" t="s">
        <v>169</v>
      </c>
      <c r="E464" s="191">
        <v>4.33</v>
      </c>
      <c r="F464" s="192">
        <v>0.2</v>
      </c>
      <c r="G464" s="192">
        <v>0.7</v>
      </c>
      <c r="H464" s="191">
        <v>1</v>
      </c>
      <c r="I464" s="191"/>
      <c r="J464" s="216"/>
      <c r="K464" s="217">
        <f t="shared" si="7"/>
        <v>0.60620000000000007</v>
      </c>
      <c r="L464" s="218"/>
    </row>
    <row r="465" spans="2:12">
      <c r="B465" s="197" t="s">
        <v>1368</v>
      </c>
      <c r="C465" s="189" t="s">
        <v>1333</v>
      </c>
      <c r="D465" s="190" t="s">
        <v>169</v>
      </c>
      <c r="E465" s="199">
        <v>3.32</v>
      </c>
      <c r="F465" s="199">
        <v>0.2</v>
      </c>
      <c r="G465" s="199">
        <v>0.7</v>
      </c>
      <c r="H465" s="199">
        <v>1</v>
      </c>
      <c r="I465" s="199"/>
      <c r="J465" s="219"/>
      <c r="K465" s="217">
        <f t="shared" si="7"/>
        <v>0.46479999999999999</v>
      </c>
      <c r="L465" s="218"/>
    </row>
    <row r="466" spans="2:12">
      <c r="B466" s="197" t="s">
        <v>1369</v>
      </c>
      <c r="C466" s="189" t="s">
        <v>1333</v>
      </c>
      <c r="D466" s="190" t="s">
        <v>169</v>
      </c>
      <c r="E466" s="199">
        <v>4.78</v>
      </c>
      <c r="F466" s="199">
        <v>0.2</v>
      </c>
      <c r="G466" s="199">
        <v>0.7</v>
      </c>
      <c r="H466" s="199">
        <v>1</v>
      </c>
      <c r="I466" s="199"/>
      <c r="J466" s="219"/>
      <c r="K466" s="217">
        <f t="shared" si="7"/>
        <v>0.66920000000000002</v>
      </c>
      <c r="L466" s="218"/>
    </row>
    <row r="467" spans="2:12">
      <c r="B467" s="197" t="s">
        <v>1370</v>
      </c>
      <c r="C467" s="189" t="s">
        <v>1333</v>
      </c>
      <c r="D467" s="190" t="s">
        <v>169</v>
      </c>
      <c r="E467" s="199">
        <v>2.7</v>
      </c>
      <c r="F467" s="199">
        <v>0.2</v>
      </c>
      <c r="G467" s="199">
        <v>0.7</v>
      </c>
      <c r="H467" s="199">
        <v>1</v>
      </c>
      <c r="I467" s="199"/>
      <c r="J467" s="219"/>
      <c r="K467" s="217">
        <f t="shared" si="7"/>
        <v>0.378</v>
      </c>
      <c r="L467" s="218"/>
    </row>
    <row r="468" spans="2:12">
      <c r="B468" s="197" t="s">
        <v>1371</v>
      </c>
      <c r="C468" s="189" t="s">
        <v>1333</v>
      </c>
      <c r="D468" s="190" t="s">
        <v>169</v>
      </c>
      <c r="E468" s="199">
        <v>2.7</v>
      </c>
      <c r="F468" s="199">
        <v>0.2</v>
      </c>
      <c r="G468" s="199">
        <v>0.7</v>
      </c>
      <c r="H468" s="199">
        <v>1</v>
      </c>
      <c r="I468" s="199"/>
      <c r="J468" s="219"/>
      <c r="K468" s="217">
        <f t="shared" si="7"/>
        <v>0.378</v>
      </c>
      <c r="L468" s="218"/>
    </row>
    <row r="469" spans="2:12">
      <c r="B469" s="197" t="s">
        <v>1372</v>
      </c>
      <c r="C469" s="189" t="s">
        <v>1333</v>
      </c>
      <c r="D469" s="190" t="s">
        <v>169</v>
      </c>
      <c r="E469" s="199">
        <v>5.62</v>
      </c>
      <c r="F469" s="199">
        <v>0.2</v>
      </c>
      <c r="G469" s="199">
        <v>0.7</v>
      </c>
      <c r="H469" s="199">
        <v>1</v>
      </c>
      <c r="I469" s="199"/>
      <c r="J469" s="219"/>
      <c r="K469" s="217">
        <f t="shared" si="7"/>
        <v>0.78680000000000005</v>
      </c>
      <c r="L469" s="218"/>
    </row>
    <row r="470" spans="2:12">
      <c r="B470" s="197" t="s">
        <v>1373</v>
      </c>
      <c r="C470" s="189" t="s">
        <v>1333</v>
      </c>
      <c r="D470" s="190" t="s">
        <v>169</v>
      </c>
      <c r="E470" s="199">
        <v>5.62</v>
      </c>
      <c r="F470" s="199">
        <v>0.2</v>
      </c>
      <c r="G470" s="199">
        <v>0.7</v>
      </c>
      <c r="H470" s="199">
        <v>1</v>
      </c>
      <c r="I470" s="199"/>
      <c r="J470" s="219"/>
      <c r="K470" s="217">
        <f t="shared" si="7"/>
        <v>0.78680000000000005</v>
      </c>
      <c r="L470" s="218"/>
    </row>
    <row r="471" spans="2:12">
      <c r="B471" s="197" t="s">
        <v>1374</v>
      </c>
      <c r="C471" s="189" t="s">
        <v>1333</v>
      </c>
      <c r="D471" s="190" t="s">
        <v>169</v>
      </c>
      <c r="E471" s="199">
        <v>2.38</v>
      </c>
      <c r="F471" s="199">
        <v>0.2</v>
      </c>
      <c r="G471" s="199">
        <v>0.7</v>
      </c>
      <c r="H471" s="199">
        <v>1</v>
      </c>
      <c r="I471" s="199"/>
      <c r="J471" s="219"/>
      <c r="K471" s="217">
        <f t="shared" si="7"/>
        <v>0.33319999999999994</v>
      </c>
      <c r="L471" s="218"/>
    </row>
    <row r="472" spans="2:12">
      <c r="B472" s="197" t="s">
        <v>1375</v>
      </c>
      <c r="C472" s="189" t="s">
        <v>1333</v>
      </c>
      <c r="D472" s="190" t="s">
        <v>169</v>
      </c>
      <c r="E472" s="199">
        <v>3.84</v>
      </c>
      <c r="F472" s="199">
        <v>0.2</v>
      </c>
      <c r="G472" s="199">
        <v>0.7</v>
      </c>
      <c r="H472" s="199">
        <v>1</v>
      </c>
      <c r="I472" s="199"/>
      <c r="J472" s="219"/>
      <c r="K472" s="217">
        <f t="shared" si="7"/>
        <v>0.53759999999999997</v>
      </c>
      <c r="L472" s="218"/>
    </row>
    <row r="473" spans="2:12">
      <c r="B473" s="197" t="s">
        <v>1376</v>
      </c>
      <c r="C473" s="189" t="s">
        <v>1333</v>
      </c>
      <c r="D473" s="190" t="s">
        <v>169</v>
      </c>
      <c r="E473" s="199">
        <v>4.4400000000000004</v>
      </c>
      <c r="F473" s="199">
        <v>0.3</v>
      </c>
      <c r="G473" s="199">
        <v>0.7</v>
      </c>
      <c r="H473" s="199">
        <v>1</v>
      </c>
      <c r="I473" s="199"/>
      <c r="J473" s="219"/>
      <c r="K473" s="217">
        <f t="shared" si="7"/>
        <v>0.93240000000000001</v>
      </c>
      <c r="L473" s="218"/>
    </row>
    <row r="474" spans="2:12">
      <c r="B474" s="197" t="s">
        <v>1377</v>
      </c>
      <c r="C474" s="189" t="s">
        <v>1333</v>
      </c>
      <c r="D474" s="190" t="s">
        <v>169</v>
      </c>
      <c r="E474" s="199">
        <f>1.73+0.66</f>
        <v>2.39</v>
      </c>
      <c r="F474" s="199">
        <v>0.7</v>
      </c>
      <c r="G474" s="199">
        <v>0.7</v>
      </c>
      <c r="H474" s="199">
        <v>1</v>
      </c>
      <c r="I474" s="199"/>
      <c r="J474" s="219"/>
      <c r="K474" s="217">
        <f t="shared" si="7"/>
        <v>1.1711</v>
      </c>
      <c r="L474" s="218"/>
    </row>
    <row r="475" spans="2:12">
      <c r="B475" s="197" t="s">
        <v>1378</v>
      </c>
      <c r="C475" s="189" t="s">
        <v>1333</v>
      </c>
      <c r="D475" s="190" t="s">
        <v>169</v>
      </c>
      <c r="E475" s="199">
        <v>1.46</v>
      </c>
      <c r="F475" s="199">
        <v>0.2</v>
      </c>
      <c r="G475" s="199">
        <v>0.7</v>
      </c>
      <c r="H475" s="199">
        <v>1</v>
      </c>
      <c r="I475" s="199"/>
      <c r="J475" s="219"/>
      <c r="K475" s="217">
        <f t="shared" si="7"/>
        <v>0.20439999999999997</v>
      </c>
      <c r="L475" s="218"/>
    </row>
    <row r="476" spans="2:12">
      <c r="B476" s="197" t="s">
        <v>1379</v>
      </c>
      <c r="C476" s="189" t="s">
        <v>1333</v>
      </c>
      <c r="D476" s="190" t="s">
        <v>169</v>
      </c>
      <c r="E476" s="199">
        <v>0.91</v>
      </c>
      <c r="F476" s="199">
        <v>0.2</v>
      </c>
      <c r="G476" s="199">
        <v>0.7</v>
      </c>
      <c r="H476" s="199">
        <v>1</v>
      </c>
      <c r="I476" s="199"/>
      <c r="J476" s="219"/>
      <c r="K476" s="217">
        <f t="shared" si="7"/>
        <v>0.12740000000000001</v>
      </c>
      <c r="L476" s="218"/>
    </row>
    <row r="477" spans="2:12">
      <c r="B477" s="197" t="s">
        <v>1380</v>
      </c>
      <c r="C477" s="189" t="s">
        <v>1333</v>
      </c>
      <c r="D477" s="190" t="s">
        <v>169</v>
      </c>
      <c r="E477" s="199">
        <v>0.97</v>
      </c>
      <c r="F477" s="199">
        <v>0.2</v>
      </c>
      <c r="G477" s="199">
        <v>0.7</v>
      </c>
      <c r="H477" s="199">
        <v>1</v>
      </c>
      <c r="I477" s="199"/>
      <c r="J477" s="219"/>
      <c r="K477" s="217">
        <f t="shared" si="7"/>
        <v>0.1358</v>
      </c>
      <c r="L477" s="218"/>
    </row>
    <row r="478" spans="2:12">
      <c r="B478" s="197" t="s">
        <v>1381</v>
      </c>
      <c r="C478" s="189" t="s">
        <v>1333</v>
      </c>
      <c r="D478" s="190" t="s">
        <v>169</v>
      </c>
      <c r="E478" s="199">
        <v>1.37</v>
      </c>
      <c r="F478" s="199">
        <v>0.2</v>
      </c>
      <c r="G478" s="199">
        <v>0.7</v>
      </c>
      <c r="H478" s="199">
        <v>1</v>
      </c>
      <c r="I478" s="199"/>
      <c r="J478" s="219"/>
      <c r="K478" s="217">
        <f t="shared" si="7"/>
        <v>0.1918</v>
      </c>
      <c r="L478" s="218"/>
    </row>
    <row r="479" spans="2:12">
      <c r="B479" s="197" t="s">
        <v>1449</v>
      </c>
      <c r="C479" s="189" t="s">
        <v>1441</v>
      </c>
      <c r="D479" s="190" t="s">
        <v>169</v>
      </c>
      <c r="E479" s="199">
        <v>10.96</v>
      </c>
      <c r="F479" s="199">
        <v>0.2</v>
      </c>
      <c r="G479" s="199">
        <v>0.7</v>
      </c>
      <c r="H479" s="199">
        <v>1</v>
      </c>
      <c r="I479" s="199"/>
      <c r="J479" s="219"/>
      <c r="K479" s="217">
        <f t="shared" si="7"/>
        <v>1.5344</v>
      </c>
      <c r="L479" s="218"/>
    </row>
    <row r="480" spans="2:12">
      <c r="B480" s="197" t="s">
        <v>1450</v>
      </c>
      <c r="C480" s="189" t="s">
        <v>1441</v>
      </c>
      <c r="D480" s="190" t="s">
        <v>169</v>
      </c>
      <c r="E480" s="199">
        <v>8.35</v>
      </c>
      <c r="F480" s="199">
        <v>0.2</v>
      </c>
      <c r="G480" s="199">
        <v>0.7</v>
      </c>
      <c r="H480" s="199">
        <v>1</v>
      </c>
      <c r="I480" s="199"/>
      <c r="J480" s="219"/>
      <c r="K480" s="217">
        <f t="shared" si="7"/>
        <v>1.1689999999999998</v>
      </c>
      <c r="L480" s="218"/>
    </row>
    <row r="481" spans="2:12">
      <c r="B481" s="197" t="s">
        <v>1451</v>
      </c>
      <c r="C481" s="189" t="s">
        <v>1441</v>
      </c>
      <c r="D481" s="190" t="s">
        <v>169</v>
      </c>
      <c r="E481" s="199">
        <v>6.88</v>
      </c>
      <c r="F481" s="199">
        <v>0.2</v>
      </c>
      <c r="G481" s="199">
        <v>0.7</v>
      </c>
      <c r="H481" s="199">
        <v>1</v>
      </c>
      <c r="I481" s="199"/>
      <c r="J481" s="219"/>
      <c r="K481" s="217">
        <f t="shared" si="7"/>
        <v>0.96320000000000006</v>
      </c>
      <c r="L481" s="218"/>
    </row>
    <row r="482" spans="2:12">
      <c r="B482" s="197" t="s">
        <v>1452</v>
      </c>
      <c r="C482" s="189" t="s">
        <v>1441</v>
      </c>
      <c r="D482" s="190" t="s">
        <v>169</v>
      </c>
      <c r="E482" s="199">
        <v>6.93</v>
      </c>
      <c r="F482" s="199">
        <v>0.2</v>
      </c>
      <c r="G482" s="199">
        <v>0.7</v>
      </c>
      <c r="H482" s="199">
        <v>1</v>
      </c>
      <c r="I482" s="199"/>
      <c r="J482" s="219"/>
      <c r="K482" s="217">
        <f t="shared" si="7"/>
        <v>0.97020000000000006</v>
      </c>
      <c r="L482" s="218"/>
    </row>
    <row r="483" spans="2:12">
      <c r="B483" s="197" t="s">
        <v>1453</v>
      </c>
      <c r="C483" s="189" t="s">
        <v>1441</v>
      </c>
      <c r="D483" s="190" t="s">
        <v>169</v>
      </c>
      <c r="E483" s="199">
        <v>8.01</v>
      </c>
      <c r="F483" s="199">
        <v>0.2</v>
      </c>
      <c r="G483" s="199">
        <v>0.7</v>
      </c>
      <c r="H483" s="199">
        <v>1</v>
      </c>
      <c r="I483" s="199"/>
      <c r="J483" s="219"/>
      <c r="K483" s="217">
        <f t="shared" si="7"/>
        <v>1.1214</v>
      </c>
      <c r="L483" s="218"/>
    </row>
    <row r="484" spans="2:12">
      <c r="B484" s="197" t="s">
        <v>1454</v>
      </c>
      <c r="C484" s="189" t="s">
        <v>1441</v>
      </c>
      <c r="D484" s="190" t="s">
        <v>169</v>
      </c>
      <c r="E484" s="199">
        <v>3.6</v>
      </c>
      <c r="F484" s="199">
        <v>1</v>
      </c>
      <c r="G484" s="199">
        <v>0.6</v>
      </c>
      <c r="H484" s="199">
        <v>1</v>
      </c>
      <c r="I484" s="199">
        <v>1.05185643549158E-5</v>
      </c>
      <c r="J484" s="219"/>
      <c r="K484" s="217">
        <f t="shared" si="7"/>
        <v>2.1600105185643552</v>
      </c>
      <c r="L484" s="218"/>
    </row>
    <row r="485" spans="2:12">
      <c r="B485" s="197" t="s">
        <v>1523</v>
      </c>
      <c r="C485" s="189" t="s">
        <v>1521</v>
      </c>
      <c r="D485" s="190" t="s">
        <v>169</v>
      </c>
      <c r="E485" s="199">
        <v>4.71</v>
      </c>
      <c r="F485" s="199">
        <v>0.25</v>
      </c>
      <c r="G485" s="199">
        <v>1.7</v>
      </c>
      <c r="H485" s="199">
        <v>1</v>
      </c>
      <c r="I485" s="199"/>
      <c r="J485" s="219"/>
      <c r="K485" s="217">
        <f t="shared" si="7"/>
        <v>2.0017499999999999</v>
      </c>
      <c r="L485" s="245" t="s">
        <v>1524</v>
      </c>
    </row>
    <row r="486" spans="2:12">
      <c r="B486" s="197" t="s">
        <v>1525</v>
      </c>
      <c r="C486" s="189" t="s">
        <v>1521</v>
      </c>
      <c r="D486" s="190" t="s">
        <v>169</v>
      </c>
      <c r="E486" s="199">
        <v>4.71</v>
      </c>
      <c r="F486" s="199">
        <v>0.15</v>
      </c>
      <c r="G486" s="199">
        <v>1.7</v>
      </c>
      <c r="H486" s="199">
        <v>1</v>
      </c>
      <c r="I486" s="199"/>
      <c r="J486" s="219"/>
      <c r="K486" s="217">
        <f t="shared" si="7"/>
        <v>1.20105</v>
      </c>
      <c r="L486" s="245" t="s">
        <v>1524</v>
      </c>
    </row>
    <row r="487" spans="2:12">
      <c r="B487" s="197" t="s">
        <v>1526</v>
      </c>
      <c r="C487" s="189" t="s">
        <v>1521</v>
      </c>
      <c r="D487" s="190" t="s">
        <v>169</v>
      </c>
      <c r="E487" s="199">
        <v>2.54</v>
      </c>
      <c r="F487" s="199">
        <v>0.15</v>
      </c>
      <c r="G487" s="199">
        <v>1.7</v>
      </c>
      <c r="H487" s="199">
        <v>1</v>
      </c>
      <c r="I487" s="199"/>
      <c r="J487" s="219"/>
      <c r="K487" s="217">
        <f t="shared" si="7"/>
        <v>0.64769999999999994</v>
      </c>
      <c r="L487" s="245" t="s">
        <v>1524</v>
      </c>
    </row>
    <row r="488" spans="2:12">
      <c r="B488" s="197" t="s">
        <v>1527</v>
      </c>
      <c r="C488" s="189" t="s">
        <v>1521</v>
      </c>
      <c r="D488" s="190" t="s">
        <v>169</v>
      </c>
      <c r="E488" s="199">
        <v>2.2000000000000002</v>
      </c>
      <c r="F488" s="199">
        <v>0.15</v>
      </c>
      <c r="G488" s="199">
        <v>1.7</v>
      </c>
      <c r="H488" s="199">
        <v>1</v>
      </c>
      <c r="I488" s="199"/>
      <c r="J488" s="219"/>
      <c r="K488" s="217">
        <f t="shared" si="7"/>
        <v>0.56100000000000005</v>
      </c>
      <c r="L488" s="245" t="s">
        <v>1524</v>
      </c>
    </row>
    <row r="489" spans="2:12">
      <c r="B489" s="197" t="s">
        <v>1528</v>
      </c>
      <c r="C489" s="189" t="s">
        <v>1521</v>
      </c>
      <c r="D489" s="190" t="s">
        <v>169</v>
      </c>
      <c r="E489" s="199">
        <v>2.2000000000000002</v>
      </c>
      <c r="F489" s="199">
        <v>0.15</v>
      </c>
      <c r="G489" s="199">
        <v>1.7</v>
      </c>
      <c r="H489" s="199">
        <v>1</v>
      </c>
      <c r="I489" s="199"/>
      <c r="J489" s="219"/>
      <c r="K489" s="217">
        <f t="shared" si="7"/>
        <v>0.56100000000000005</v>
      </c>
      <c r="L489" s="245" t="s">
        <v>1524</v>
      </c>
    </row>
    <row r="490" spans="2:12">
      <c r="B490" s="197" t="s">
        <v>1529</v>
      </c>
      <c r="C490" s="189" t="s">
        <v>1521</v>
      </c>
      <c r="D490" s="190" t="s">
        <v>169</v>
      </c>
      <c r="E490" s="199">
        <v>1.24</v>
      </c>
      <c r="F490" s="199">
        <v>0.2</v>
      </c>
      <c r="G490" s="199">
        <v>1.7</v>
      </c>
      <c r="H490" s="199">
        <v>1</v>
      </c>
      <c r="I490" s="199"/>
      <c r="J490" s="219"/>
      <c r="K490" s="217">
        <f t="shared" si="7"/>
        <v>0.42159999999999997</v>
      </c>
      <c r="L490" s="245" t="s">
        <v>1524</v>
      </c>
    </row>
    <row r="491" spans="2:12">
      <c r="B491" s="197" t="s">
        <v>1530</v>
      </c>
      <c r="C491" s="189" t="s">
        <v>1521</v>
      </c>
      <c r="D491" s="190" t="s">
        <v>169</v>
      </c>
      <c r="E491" s="199">
        <v>1.24</v>
      </c>
      <c r="F491" s="199">
        <v>0.2</v>
      </c>
      <c r="G491" s="199">
        <v>1.7</v>
      </c>
      <c r="H491" s="199">
        <v>1</v>
      </c>
      <c r="I491" s="199"/>
      <c r="J491" s="219"/>
      <c r="K491" s="217">
        <f t="shared" si="7"/>
        <v>0.42159999999999997</v>
      </c>
      <c r="L491" s="245" t="s">
        <v>1524</v>
      </c>
    </row>
    <row r="492" spans="2:12">
      <c r="B492" s="197"/>
      <c r="C492" s="189"/>
      <c r="D492" s="198"/>
      <c r="E492" s="199"/>
      <c r="F492" s="199"/>
      <c r="G492" s="199"/>
      <c r="H492" s="199"/>
      <c r="I492" s="199"/>
      <c r="J492" s="219"/>
      <c r="K492" s="217">
        <f t="shared" si="7"/>
        <v>0</v>
      </c>
      <c r="L492" s="218"/>
    </row>
    <row r="493" spans="2:12">
      <c r="B493" s="202"/>
      <c r="C493" s="203"/>
      <c r="D493" s="203"/>
      <c r="E493" s="203"/>
      <c r="F493" s="203"/>
      <c r="G493" s="203"/>
      <c r="H493" s="204"/>
      <c r="I493" s="556" t="s">
        <v>1221</v>
      </c>
      <c r="J493" s="556"/>
      <c r="K493" s="220">
        <f>SUM(K458:K492)</f>
        <v>29.263410518564356</v>
      </c>
      <c r="L493" s="207"/>
    </row>
    <row r="494" spans="2:12">
      <c r="B494" s="208"/>
      <c r="C494" s="204"/>
      <c r="D494" s="204"/>
      <c r="E494" s="204"/>
      <c r="F494" s="204"/>
      <c r="G494" s="204"/>
      <c r="H494" s="209"/>
      <c r="I494" s="557" t="s">
        <v>1222</v>
      </c>
      <c r="J494" s="557"/>
      <c r="K494" s="221">
        <v>22.99</v>
      </c>
      <c r="L494" s="207"/>
    </row>
    <row r="495" spans="2:12">
      <c r="B495" s="208"/>
      <c r="C495" s="204"/>
      <c r="D495" s="204"/>
      <c r="E495" s="204"/>
      <c r="F495" s="204"/>
      <c r="G495" s="204"/>
      <c r="H495" s="558" t="s">
        <v>1223</v>
      </c>
      <c r="I495" s="558"/>
      <c r="J495" s="558"/>
      <c r="K495" s="222">
        <v>22.9900105185644</v>
      </c>
      <c r="L495" s="207"/>
    </row>
    <row r="496" spans="2:12">
      <c r="B496" s="208"/>
      <c r="C496" s="204"/>
      <c r="D496" s="204"/>
      <c r="E496" s="204"/>
      <c r="F496" s="204"/>
      <c r="G496" s="204"/>
      <c r="H496" s="558" t="s">
        <v>1435</v>
      </c>
      <c r="I496" s="558"/>
      <c r="J496" s="558"/>
      <c r="K496" s="222">
        <f>IF(K493&gt;K494,K494,K493)-K495+0.0000105185643549158</f>
        <v>-4.6791153715313935E-14</v>
      </c>
      <c r="L496" s="207"/>
    </row>
    <row r="497" spans="2:12">
      <c r="B497" s="213"/>
      <c r="C497" s="214"/>
      <c r="D497" s="214"/>
      <c r="E497" s="214"/>
      <c r="F497" s="214"/>
      <c r="G497" s="214"/>
      <c r="H497" s="559" t="s">
        <v>1224</v>
      </c>
      <c r="I497" s="559"/>
      <c r="J497" s="559"/>
      <c r="K497" s="223">
        <f>IF(K493&gt;K494,K493-K494,0)</f>
        <v>6.2734105185643578</v>
      </c>
      <c r="L497" s="209"/>
    </row>
    <row r="499" spans="2:12">
      <c r="B499" s="247" t="s">
        <v>195</v>
      </c>
      <c r="C499" s="565" t="str">
        <f>VLOOKUP(B499,'BM 004'!$B$27:$R$590,2,0)</f>
        <v xml:space="preserve">Fabricação, montagem e desmontagem de fôrma de viga, escoramento metálico, pé-direito duplo, em chapa de madeira resinada, 8 utilizações. </v>
      </c>
      <c r="D499" s="565"/>
      <c r="E499" s="565"/>
      <c r="F499" s="565"/>
      <c r="G499" s="565"/>
      <c r="H499" s="565"/>
      <c r="I499" s="565"/>
      <c r="J499" s="565"/>
      <c r="K499" s="565"/>
      <c r="L499" s="565"/>
    </row>
    <row r="500" spans="2:12">
      <c r="B500" s="248" t="s">
        <v>1209</v>
      </c>
      <c r="C500" s="248"/>
      <c r="D500" s="248" t="s">
        <v>39</v>
      </c>
      <c r="E500" s="248" t="s">
        <v>1210</v>
      </c>
      <c r="F500" s="248" t="s">
        <v>1388</v>
      </c>
      <c r="G500" s="248" t="s">
        <v>1212</v>
      </c>
      <c r="H500" s="248" t="s">
        <v>1455</v>
      </c>
      <c r="I500" s="248" t="s">
        <v>1214</v>
      </c>
      <c r="J500" s="248" t="s">
        <v>1385</v>
      </c>
      <c r="K500" s="248" t="s">
        <v>1216</v>
      </c>
      <c r="L500" s="248" t="s">
        <v>1217</v>
      </c>
    </row>
    <row r="501" spans="2:12">
      <c r="B501" s="249" t="s">
        <v>1456</v>
      </c>
      <c r="C501" s="250" t="s">
        <v>1441</v>
      </c>
      <c r="D501" s="205" t="s">
        <v>79</v>
      </c>
      <c r="E501" s="199">
        <v>0.64</v>
      </c>
      <c r="F501" s="199">
        <v>0.15</v>
      </c>
      <c r="G501" s="199">
        <v>1</v>
      </c>
      <c r="H501" s="199"/>
      <c r="I501" s="199">
        <f t="shared" ref="I501:I532" si="8">E501*(2*G501+F501)</f>
        <v>1.3759999999999999</v>
      </c>
      <c r="J501" s="219">
        <f t="shared" ref="J501:J532" si="9">E501*F501*G501</f>
        <v>9.6000000000000002E-2</v>
      </c>
      <c r="K501" s="220">
        <f t="shared" ref="K501:K532" si="10">IF(E501*F501*G501&lt;&gt;0,E501*F501*G501,IF(E501*F501&lt;&gt;0,E501*F501,IF(F501*G501&lt;&gt;0,F501*G501,IF(E501*G501&lt;&gt;0,E501*G501,IF(E501&lt;&gt;0,E501,IF(F501&lt;&gt;0,F501,IF(G501&lt;&gt;0,G501,0)))))))*(IF(H501&lt;&gt;0,H501,1))+I501-J501</f>
        <v>1.3759999999999999</v>
      </c>
      <c r="L501" s="255"/>
    </row>
    <row r="502" spans="2:12">
      <c r="B502" s="249" t="s">
        <v>1457</v>
      </c>
      <c r="C502" s="250" t="s">
        <v>1441</v>
      </c>
      <c r="D502" s="205" t="s">
        <v>79</v>
      </c>
      <c r="E502" s="199">
        <v>7.2</v>
      </c>
      <c r="F502" s="199">
        <v>0.15</v>
      </c>
      <c r="G502" s="199">
        <v>0.7</v>
      </c>
      <c r="H502" s="199"/>
      <c r="I502" s="199">
        <f t="shared" si="8"/>
        <v>11.159999999999998</v>
      </c>
      <c r="J502" s="219">
        <f t="shared" si="9"/>
        <v>0.75600000000000001</v>
      </c>
      <c r="K502" s="220">
        <f t="shared" si="10"/>
        <v>11.159999999999998</v>
      </c>
      <c r="L502" s="255"/>
    </row>
    <row r="503" spans="2:12">
      <c r="B503" s="249" t="s">
        <v>1458</v>
      </c>
      <c r="C503" s="250" t="s">
        <v>1441</v>
      </c>
      <c r="D503" s="205" t="s">
        <v>79</v>
      </c>
      <c r="E503" s="199">
        <v>13.07</v>
      </c>
      <c r="F503" s="199">
        <v>0.15</v>
      </c>
      <c r="G503" s="199">
        <v>0.7</v>
      </c>
      <c r="H503" s="199"/>
      <c r="I503" s="199">
        <f t="shared" si="8"/>
        <v>20.258499999999998</v>
      </c>
      <c r="J503" s="219">
        <f t="shared" si="9"/>
        <v>1.37235</v>
      </c>
      <c r="K503" s="220">
        <f t="shared" si="10"/>
        <v>20.258499999999998</v>
      </c>
      <c r="L503" s="255"/>
    </row>
    <row r="504" spans="2:12">
      <c r="B504" s="249" t="s">
        <v>1459</v>
      </c>
      <c r="C504" s="250" t="s">
        <v>1441</v>
      </c>
      <c r="D504" s="205" t="s">
        <v>79</v>
      </c>
      <c r="E504" s="199">
        <v>0.94</v>
      </c>
      <c r="F504" s="199">
        <v>0.2</v>
      </c>
      <c r="G504" s="199">
        <v>0.6</v>
      </c>
      <c r="H504" s="199"/>
      <c r="I504" s="199">
        <f t="shared" si="8"/>
        <v>1.3159999999999998</v>
      </c>
      <c r="J504" s="219">
        <f t="shared" si="9"/>
        <v>0.1128</v>
      </c>
      <c r="K504" s="220">
        <f t="shared" si="10"/>
        <v>1.3159999999999998</v>
      </c>
      <c r="L504" s="255"/>
    </row>
    <row r="505" spans="2:12">
      <c r="B505" s="249" t="s">
        <v>1460</v>
      </c>
      <c r="C505" s="250" t="s">
        <v>1441</v>
      </c>
      <c r="D505" s="205" t="s">
        <v>79</v>
      </c>
      <c r="E505" s="199">
        <v>6.7</v>
      </c>
      <c r="F505" s="199">
        <v>0.2</v>
      </c>
      <c r="G505" s="199">
        <v>0.6</v>
      </c>
      <c r="H505" s="199"/>
      <c r="I505" s="199">
        <f t="shared" si="8"/>
        <v>9.379999999999999</v>
      </c>
      <c r="J505" s="219">
        <f t="shared" si="9"/>
        <v>0.80400000000000005</v>
      </c>
      <c r="K505" s="220">
        <f t="shared" si="10"/>
        <v>9.379999999999999</v>
      </c>
      <c r="L505" s="255"/>
    </row>
    <row r="506" spans="2:12">
      <c r="B506" s="249" t="s">
        <v>1460</v>
      </c>
      <c r="C506" s="250" t="s">
        <v>1441</v>
      </c>
      <c r="D506" s="205" t="s">
        <v>79</v>
      </c>
      <c r="E506" s="199">
        <v>14.04</v>
      </c>
      <c r="F506" s="199">
        <v>0.2</v>
      </c>
      <c r="G506" s="199">
        <v>1.2</v>
      </c>
      <c r="H506" s="199"/>
      <c r="I506" s="199">
        <f t="shared" si="8"/>
        <v>36.503999999999998</v>
      </c>
      <c r="J506" s="219">
        <f t="shared" si="9"/>
        <v>3.3695999999999997</v>
      </c>
      <c r="K506" s="220">
        <f t="shared" si="10"/>
        <v>36.503999999999998</v>
      </c>
      <c r="L506" s="255"/>
    </row>
    <row r="507" spans="2:12">
      <c r="B507" s="249" t="s">
        <v>1461</v>
      </c>
      <c r="C507" s="250" t="s">
        <v>1441</v>
      </c>
      <c r="D507" s="205" t="s">
        <v>79</v>
      </c>
      <c r="E507" s="199">
        <v>7.64</v>
      </c>
      <c r="F507" s="199">
        <v>0.15</v>
      </c>
      <c r="G507" s="199">
        <v>0.8</v>
      </c>
      <c r="H507" s="199"/>
      <c r="I507" s="199">
        <f t="shared" si="8"/>
        <v>13.37</v>
      </c>
      <c r="J507" s="219">
        <f t="shared" si="9"/>
        <v>0.91679999999999995</v>
      </c>
      <c r="K507" s="220">
        <f t="shared" si="10"/>
        <v>13.37</v>
      </c>
      <c r="L507" s="255"/>
    </row>
    <row r="508" spans="2:12">
      <c r="B508" s="249" t="s">
        <v>1461</v>
      </c>
      <c r="C508" s="250" t="s">
        <v>1441</v>
      </c>
      <c r="D508" s="205" t="s">
        <v>79</v>
      </c>
      <c r="E508" s="199">
        <v>20.96</v>
      </c>
      <c r="F508" s="199">
        <v>0.15</v>
      </c>
      <c r="G508" s="199">
        <v>1.2</v>
      </c>
      <c r="H508" s="199"/>
      <c r="I508" s="199">
        <f t="shared" si="8"/>
        <v>53.448</v>
      </c>
      <c r="J508" s="219">
        <f t="shared" si="9"/>
        <v>3.7728000000000002</v>
      </c>
      <c r="K508" s="220">
        <f t="shared" si="10"/>
        <v>53.447999999999993</v>
      </c>
      <c r="L508" s="255"/>
    </row>
    <row r="509" spans="2:12">
      <c r="B509" s="249" t="s">
        <v>1462</v>
      </c>
      <c r="C509" s="250" t="s">
        <v>1441</v>
      </c>
      <c r="D509" s="205" t="s">
        <v>79</v>
      </c>
      <c r="E509" s="199">
        <v>22.34</v>
      </c>
      <c r="F509" s="199">
        <v>0.2</v>
      </c>
      <c r="G509" s="199">
        <v>0.6</v>
      </c>
      <c r="H509" s="199"/>
      <c r="I509" s="199">
        <f t="shared" si="8"/>
        <v>31.275999999999996</v>
      </c>
      <c r="J509" s="219">
        <f t="shared" si="9"/>
        <v>2.6808000000000001</v>
      </c>
      <c r="K509" s="220">
        <f t="shared" si="10"/>
        <v>31.275999999999993</v>
      </c>
      <c r="L509" s="255"/>
    </row>
    <row r="510" spans="2:12">
      <c r="B510" s="249" t="s">
        <v>1463</v>
      </c>
      <c r="C510" s="250" t="s">
        <v>1441</v>
      </c>
      <c r="D510" s="205" t="s">
        <v>79</v>
      </c>
      <c r="E510" s="199">
        <v>5.72</v>
      </c>
      <c r="F510" s="199">
        <v>0.15</v>
      </c>
      <c r="G510" s="199">
        <v>0.6</v>
      </c>
      <c r="H510" s="199"/>
      <c r="I510" s="199">
        <f t="shared" si="8"/>
        <v>7.7219999999999986</v>
      </c>
      <c r="J510" s="219">
        <f t="shared" si="9"/>
        <v>0.51479999999999992</v>
      </c>
      <c r="K510" s="220">
        <f t="shared" si="10"/>
        <v>7.7219999999999986</v>
      </c>
      <c r="L510" s="255"/>
    </row>
    <row r="511" spans="2:12">
      <c r="B511" s="249" t="s">
        <v>1464</v>
      </c>
      <c r="C511" s="250" t="s">
        <v>1441</v>
      </c>
      <c r="D511" s="205" t="s">
        <v>79</v>
      </c>
      <c r="E511" s="199">
        <v>22.34</v>
      </c>
      <c r="F511" s="199">
        <v>0.2</v>
      </c>
      <c r="G511" s="199">
        <v>0.6</v>
      </c>
      <c r="H511" s="199"/>
      <c r="I511" s="199">
        <f t="shared" si="8"/>
        <v>31.275999999999996</v>
      </c>
      <c r="J511" s="219">
        <f t="shared" si="9"/>
        <v>2.6808000000000001</v>
      </c>
      <c r="K511" s="220">
        <f t="shared" si="10"/>
        <v>31.275999999999993</v>
      </c>
      <c r="L511" s="255"/>
    </row>
    <row r="512" spans="2:12">
      <c r="B512" s="249" t="s">
        <v>1465</v>
      </c>
      <c r="C512" s="250" t="s">
        <v>1441</v>
      </c>
      <c r="D512" s="205" t="s">
        <v>79</v>
      </c>
      <c r="E512" s="199">
        <v>4.42</v>
      </c>
      <c r="F512" s="199">
        <v>0.2</v>
      </c>
      <c r="G512" s="199">
        <v>0.6</v>
      </c>
      <c r="H512" s="199"/>
      <c r="I512" s="199">
        <f t="shared" si="8"/>
        <v>6.1879999999999997</v>
      </c>
      <c r="J512" s="219">
        <f t="shared" si="9"/>
        <v>0.53039999999999998</v>
      </c>
      <c r="K512" s="220">
        <f t="shared" si="10"/>
        <v>6.1879999999999997</v>
      </c>
      <c r="L512" s="255"/>
    </row>
    <row r="513" spans="2:12">
      <c r="B513" s="249" t="s">
        <v>1466</v>
      </c>
      <c r="C513" s="250" t="s">
        <v>1441</v>
      </c>
      <c r="D513" s="205" t="s">
        <v>79</v>
      </c>
      <c r="E513" s="199">
        <v>28.84</v>
      </c>
      <c r="F513" s="199">
        <v>0.2</v>
      </c>
      <c r="G513" s="199">
        <v>0.6</v>
      </c>
      <c r="H513" s="199"/>
      <c r="I513" s="199">
        <f t="shared" si="8"/>
        <v>40.375999999999998</v>
      </c>
      <c r="J513" s="219">
        <f t="shared" si="9"/>
        <v>3.4608000000000003</v>
      </c>
      <c r="K513" s="220">
        <f t="shared" si="10"/>
        <v>40.375999999999998</v>
      </c>
      <c r="L513" s="255"/>
    </row>
    <row r="514" spans="2:12">
      <c r="B514" s="249" t="s">
        <v>1467</v>
      </c>
      <c r="C514" s="250" t="s">
        <v>1441</v>
      </c>
      <c r="D514" s="205" t="s">
        <v>79</v>
      </c>
      <c r="E514" s="199">
        <v>24.09</v>
      </c>
      <c r="F514" s="199">
        <v>0.15</v>
      </c>
      <c r="G514" s="199">
        <v>1</v>
      </c>
      <c r="H514" s="199"/>
      <c r="I514" s="199">
        <f t="shared" si="8"/>
        <v>51.793499999999995</v>
      </c>
      <c r="J514" s="219">
        <f t="shared" si="9"/>
        <v>3.6134999999999997</v>
      </c>
      <c r="K514" s="220">
        <f t="shared" si="10"/>
        <v>51.793499999999995</v>
      </c>
      <c r="L514" s="255"/>
    </row>
    <row r="515" spans="2:12">
      <c r="B515" s="249" t="s">
        <v>1468</v>
      </c>
      <c r="C515" s="250" t="s">
        <v>1441</v>
      </c>
      <c r="D515" s="205" t="s">
        <v>79</v>
      </c>
      <c r="E515" s="199">
        <v>9.8800000000000008</v>
      </c>
      <c r="F515" s="199">
        <v>0.15</v>
      </c>
      <c r="G515" s="199">
        <v>0.6</v>
      </c>
      <c r="H515" s="199"/>
      <c r="I515" s="199">
        <f t="shared" si="8"/>
        <v>13.337999999999999</v>
      </c>
      <c r="J515" s="219">
        <f t="shared" si="9"/>
        <v>0.88919999999999999</v>
      </c>
      <c r="K515" s="220">
        <f t="shared" si="10"/>
        <v>13.337999999999999</v>
      </c>
      <c r="L515" s="255"/>
    </row>
    <row r="516" spans="2:12">
      <c r="B516" s="249" t="s">
        <v>1469</v>
      </c>
      <c r="C516" s="250" t="s">
        <v>1441</v>
      </c>
      <c r="D516" s="205" t="s">
        <v>79</v>
      </c>
      <c r="E516" s="199">
        <v>12</v>
      </c>
      <c r="F516" s="199">
        <v>0.2</v>
      </c>
      <c r="G516" s="199">
        <v>0.6</v>
      </c>
      <c r="H516" s="199"/>
      <c r="I516" s="199">
        <f t="shared" si="8"/>
        <v>16.799999999999997</v>
      </c>
      <c r="J516" s="219">
        <f t="shared" si="9"/>
        <v>1.4400000000000002</v>
      </c>
      <c r="K516" s="220">
        <f t="shared" si="10"/>
        <v>16.799999999999997</v>
      </c>
      <c r="L516" s="255"/>
    </row>
    <row r="517" spans="2:12">
      <c r="B517" s="249" t="s">
        <v>1470</v>
      </c>
      <c r="C517" s="250" t="s">
        <v>1441</v>
      </c>
      <c r="D517" s="205" t="s">
        <v>79</v>
      </c>
      <c r="E517" s="199">
        <v>1.81</v>
      </c>
      <c r="F517" s="199">
        <v>0.2</v>
      </c>
      <c r="G517" s="199">
        <v>0.8</v>
      </c>
      <c r="H517" s="199"/>
      <c r="I517" s="199">
        <f t="shared" si="8"/>
        <v>3.258</v>
      </c>
      <c r="J517" s="219">
        <f t="shared" si="9"/>
        <v>0.28960000000000002</v>
      </c>
      <c r="K517" s="220">
        <f t="shared" si="10"/>
        <v>3.258</v>
      </c>
      <c r="L517" s="255"/>
    </row>
    <row r="518" spans="2:12">
      <c r="B518" s="249" t="s">
        <v>1471</v>
      </c>
      <c r="C518" s="250" t="s">
        <v>1441</v>
      </c>
      <c r="D518" s="205" t="s">
        <v>79</v>
      </c>
      <c r="E518" s="199">
        <v>5.92</v>
      </c>
      <c r="F518" s="199">
        <v>0.15</v>
      </c>
      <c r="G518" s="199">
        <v>1.2</v>
      </c>
      <c r="H518" s="199"/>
      <c r="I518" s="199">
        <f t="shared" si="8"/>
        <v>15.095999999999998</v>
      </c>
      <c r="J518" s="219">
        <f t="shared" si="9"/>
        <v>1.0655999999999999</v>
      </c>
      <c r="K518" s="220">
        <f t="shared" si="10"/>
        <v>15.096</v>
      </c>
      <c r="L518" s="255"/>
    </row>
    <row r="519" spans="2:12">
      <c r="B519" s="249" t="s">
        <v>1472</v>
      </c>
      <c r="C519" s="250" t="s">
        <v>1441</v>
      </c>
      <c r="D519" s="205" t="s">
        <v>79</v>
      </c>
      <c r="E519" s="199">
        <v>12.49</v>
      </c>
      <c r="F519" s="199">
        <v>0.15</v>
      </c>
      <c r="G519" s="199">
        <v>1</v>
      </c>
      <c r="H519" s="199"/>
      <c r="I519" s="199">
        <f t="shared" si="8"/>
        <v>26.8535</v>
      </c>
      <c r="J519" s="219">
        <f t="shared" si="9"/>
        <v>1.8734999999999999</v>
      </c>
      <c r="K519" s="220">
        <f t="shared" si="10"/>
        <v>26.8535</v>
      </c>
      <c r="L519" s="255"/>
    </row>
    <row r="520" spans="2:12">
      <c r="B520" s="249" t="s">
        <v>1472</v>
      </c>
      <c r="C520" s="250" t="s">
        <v>1441</v>
      </c>
      <c r="D520" s="205" t="s">
        <v>79</v>
      </c>
      <c r="E520" s="199">
        <v>6</v>
      </c>
      <c r="F520" s="199">
        <v>0.15</v>
      </c>
      <c r="G520" s="199">
        <v>1.2</v>
      </c>
      <c r="H520" s="199"/>
      <c r="I520" s="199">
        <f t="shared" si="8"/>
        <v>15.299999999999999</v>
      </c>
      <c r="J520" s="219">
        <f t="shared" si="9"/>
        <v>1.0799999999999998</v>
      </c>
      <c r="K520" s="220">
        <f t="shared" si="10"/>
        <v>15.299999999999999</v>
      </c>
      <c r="L520" s="255"/>
    </row>
    <row r="521" spans="2:12">
      <c r="B521" s="249" t="s">
        <v>1473</v>
      </c>
      <c r="C521" s="250" t="s">
        <v>1441</v>
      </c>
      <c r="D521" s="205" t="s">
        <v>79</v>
      </c>
      <c r="E521" s="199">
        <v>4.83</v>
      </c>
      <c r="F521" s="199">
        <v>0.15</v>
      </c>
      <c r="G521" s="199">
        <v>0.6</v>
      </c>
      <c r="H521" s="199"/>
      <c r="I521" s="199">
        <f t="shared" si="8"/>
        <v>6.5204999999999993</v>
      </c>
      <c r="J521" s="219">
        <f t="shared" si="9"/>
        <v>0.43470000000000003</v>
      </c>
      <c r="K521" s="220">
        <f t="shared" si="10"/>
        <v>6.5204999999999993</v>
      </c>
      <c r="L521" s="255"/>
    </row>
    <row r="522" spans="2:12">
      <c r="B522" s="249" t="s">
        <v>1474</v>
      </c>
      <c r="C522" s="250" t="s">
        <v>1441</v>
      </c>
      <c r="D522" s="205" t="s">
        <v>79</v>
      </c>
      <c r="E522" s="199">
        <v>13.85</v>
      </c>
      <c r="F522" s="199">
        <v>0.15</v>
      </c>
      <c r="G522" s="199">
        <v>0.7</v>
      </c>
      <c r="H522" s="199"/>
      <c r="I522" s="199">
        <f t="shared" si="8"/>
        <v>21.467499999999998</v>
      </c>
      <c r="J522" s="219">
        <f t="shared" si="9"/>
        <v>1.4542499999999996</v>
      </c>
      <c r="K522" s="220">
        <f t="shared" si="10"/>
        <v>21.467499999999998</v>
      </c>
      <c r="L522" s="255"/>
    </row>
    <row r="523" spans="2:12">
      <c r="B523" s="249" t="s">
        <v>1531</v>
      </c>
      <c r="C523" s="250" t="s">
        <v>1521</v>
      </c>
      <c r="D523" s="205" t="s">
        <v>79</v>
      </c>
      <c r="E523" s="199">
        <v>12.69</v>
      </c>
      <c r="F523" s="199">
        <v>0.15</v>
      </c>
      <c r="G523" s="199">
        <v>0.6</v>
      </c>
      <c r="H523" s="199"/>
      <c r="I523" s="199">
        <f t="shared" si="8"/>
        <v>17.131499999999999</v>
      </c>
      <c r="J523" s="219">
        <f t="shared" si="9"/>
        <v>1.1420999999999999</v>
      </c>
      <c r="K523" s="220">
        <f t="shared" si="10"/>
        <v>17.131499999999999</v>
      </c>
      <c r="L523" s="255"/>
    </row>
    <row r="524" spans="2:12">
      <c r="B524" s="249" t="s">
        <v>1532</v>
      </c>
      <c r="C524" s="250" t="s">
        <v>1521</v>
      </c>
      <c r="D524" s="205" t="s">
        <v>79</v>
      </c>
      <c r="E524" s="199">
        <v>1.83</v>
      </c>
      <c r="F524" s="199">
        <v>0.15</v>
      </c>
      <c r="G524" s="199">
        <v>0.6</v>
      </c>
      <c r="H524" s="199"/>
      <c r="I524" s="199">
        <f t="shared" si="8"/>
        <v>2.4704999999999999</v>
      </c>
      <c r="J524" s="219">
        <f t="shared" si="9"/>
        <v>0.16470000000000001</v>
      </c>
      <c r="K524" s="220">
        <f t="shared" si="10"/>
        <v>2.4704999999999999</v>
      </c>
      <c r="L524" s="255"/>
    </row>
    <row r="525" spans="2:12">
      <c r="B525" s="249" t="s">
        <v>1533</v>
      </c>
      <c r="C525" s="250" t="s">
        <v>1521</v>
      </c>
      <c r="D525" s="205" t="s">
        <v>79</v>
      </c>
      <c r="E525" s="199">
        <v>8.27</v>
      </c>
      <c r="F525" s="199">
        <v>0.15</v>
      </c>
      <c r="G525" s="199">
        <v>0.6</v>
      </c>
      <c r="H525" s="199"/>
      <c r="I525" s="199">
        <f t="shared" si="8"/>
        <v>11.164499999999999</v>
      </c>
      <c r="J525" s="219">
        <f t="shared" si="9"/>
        <v>0.74429999999999996</v>
      </c>
      <c r="K525" s="220">
        <f t="shared" si="10"/>
        <v>11.1645</v>
      </c>
      <c r="L525" s="255"/>
    </row>
    <row r="526" spans="2:12">
      <c r="B526" s="249" t="s">
        <v>1534</v>
      </c>
      <c r="C526" s="250" t="s">
        <v>1521</v>
      </c>
      <c r="D526" s="205" t="s">
        <v>79</v>
      </c>
      <c r="E526" s="199">
        <v>28.74</v>
      </c>
      <c r="F526" s="199">
        <v>0.15</v>
      </c>
      <c r="G526" s="199">
        <v>1</v>
      </c>
      <c r="H526" s="199"/>
      <c r="I526" s="199">
        <f t="shared" si="8"/>
        <v>61.790999999999997</v>
      </c>
      <c r="J526" s="219">
        <f t="shared" si="9"/>
        <v>4.3109999999999999</v>
      </c>
      <c r="K526" s="220">
        <f t="shared" si="10"/>
        <v>61.791000000000004</v>
      </c>
      <c r="L526" s="255"/>
    </row>
    <row r="527" spans="2:12">
      <c r="B527" s="249" t="s">
        <v>1535</v>
      </c>
      <c r="C527" s="250" t="s">
        <v>1521</v>
      </c>
      <c r="D527" s="205" t="s">
        <v>79</v>
      </c>
      <c r="E527" s="199">
        <v>28.53</v>
      </c>
      <c r="F527" s="199">
        <v>0.2</v>
      </c>
      <c r="G527" s="199">
        <v>0.6</v>
      </c>
      <c r="H527" s="199"/>
      <c r="I527" s="199">
        <f t="shared" si="8"/>
        <v>39.942</v>
      </c>
      <c r="J527" s="219">
        <f t="shared" si="9"/>
        <v>3.4236</v>
      </c>
      <c r="K527" s="220">
        <f t="shared" si="10"/>
        <v>39.942</v>
      </c>
      <c r="L527" s="255"/>
    </row>
    <row r="528" spans="2:12">
      <c r="B528" s="249" t="s">
        <v>1536</v>
      </c>
      <c r="C528" s="250" t="s">
        <v>1521</v>
      </c>
      <c r="D528" s="205" t="s">
        <v>79</v>
      </c>
      <c r="E528" s="199">
        <v>6.34</v>
      </c>
      <c r="F528" s="199">
        <v>0.15</v>
      </c>
      <c r="G528" s="199">
        <v>0.6</v>
      </c>
      <c r="H528" s="199"/>
      <c r="I528" s="199">
        <f t="shared" si="8"/>
        <v>8.5589999999999993</v>
      </c>
      <c r="J528" s="219">
        <f t="shared" si="9"/>
        <v>0.5706</v>
      </c>
      <c r="K528" s="220">
        <f t="shared" si="10"/>
        <v>8.5589999999999993</v>
      </c>
      <c r="L528" s="255"/>
    </row>
    <row r="529" spans="2:12">
      <c r="B529" s="249" t="s">
        <v>1537</v>
      </c>
      <c r="C529" s="250" t="s">
        <v>1521</v>
      </c>
      <c r="D529" s="205" t="s">
        <v>79</v>
      </c>
      <c r="E529" s="199">
        <v>21.99</v>
      </c>
      <c r="F529" s="199">
        <v>0.2</v>
      </c>
      <c r="G529" s="199">
        <v>0.6</v>
      </c>
      <c r="H529" s="199"/>
      <c r="I529" s="199">
        <f t="shared" si="8"/>
        <v>30.785999999999994</v>
      </c>
      <c r="J529" s="219">
        <f t="shared" si="9"/>
        <v>2.6387999999999998</v>
      </c>
      <c r="K529" s="220">
        <f t="shared" si="10"/>
        <v>30.785999999999991</v>
      </c>
      <c r="L529" s="255"/>
    </row>
    <row r="530" spans="2:12">
      <c r="B530" s="249" t="s">
        <v>1538</v>
      </c>
      <c r="C530" s="250" t="s">
        <v>1521</v>
      </c>
      <c r="D530" s="205" t="s">
        <v>79</v>
      </c>
      <c r="E530" s="199">
        <v>21.99</v>
      </c>
      <c r="F530" s="199">
        <v>0.2</v>
      </c>
      <c r="G530" s="199">
        <v>0.6</v>
      </c>
      <c r="H530" s="199"/>
      <c r="I530" s="199">
        <f t="shared" si="8"/>
        <v>30.785999999999994</v>
      </c>
      <c r="J530" s="219">
        <f t="shared" si="9"/>
        <v>2.6387999999999998</v>
      </c>
      <c r="K530" s="220">
        <f t="shared" si="10"/>
        <v>30.785999999999991</v>
      </c>
      <c r="L530" s="255"/>
    </row>
    <row r="531" spans="2:12">
      <c r="B531" s="249" t="s">
        <v>1539</v>
      </c>
      <c r="C531" s="250" t="s">
        <v>1521</v>
      </c>
      <c r="D531" s="205" t="s">
        <v>79</v>
      </c>
      <c r="E531" s="199">
        <v>3.45</v>
      </c>
      <c r="F531" s="199">
        <v>0.2</v>
      </c>
      <c r="G531" s="199">
        <v>0.6</v>
      </c>
      <c r="H531" s="199"/>
      <c r="I531" s="199">
        <f t="shared" si="8"/>
        <v>4.83</v>
      </c>
      <c r="J531" s="219">
        <f t="shared" si="9"/>
        <v>0.41400000000000003</v>
      </c>
      <c r="K531" s="220">
        <f t="shared" si="10"/>
        <v>4.83</v>
      </c>
      <c r="L531" s="255"/>
    </row>
    <row r="532" spans="2:12">
      <c r="B532" s="249" t="s">
        <v>1540</v>
      </c>
      <c r="C532" s="250" t="s">
        <v>1521</v>
      </c>
      <c r="D532" s="205" t="s">
        <v>79</v>
      </c>
      <c r="E532" s="199">
        <v>28.53</v>
      </c>
      <c r="F532" s="199">
        <v>0.2</v>
      </c>
      <c r="G532" s="199">
        <v>0.6</v>
      </c>
      <c r="H532" s="199"/>
      <c r="I532" s="199">
        <f t="shared" si="8"/>
        <v>39.942</v>
      </c>
      <c r="J532" s="219">
        <f t="shared" si="9"/>
        <v>3.4236</v>
      </c>
      <c r="K532" s="220">
        <f t="shared" si="10"/>
        <v>39.942</v>
      </c>
      <c r="L532" s="255"/>
    </row>
    <row r="533" spans="2:12">
      <c r="B533" s="249" t="s">
        <v>1541</v>
      </c>
      <c r="C533" s="250" t="s">
        <v>1521</v>
      </c>
      <c r="D533" s="205" t="s">
        <v>79</v>
      </c>
      <c r="E533" s="199">
        <v>24.09</v>
      </c>
      <c r="F533" s="199">
        <v>0.15</v>
      </c>
      <c r="G533" s="199">
        <v>1</v>
      </c>
      <c r="H533" s="199"/>
      <c r="I533" s="199">
        <f t="shared" ref="I533:I564" si="11">E533*(2*G533+F533)</f>
        <v>51.793499999999995</v>
      </c>
      <c r="J533" s="219">
        <f t="shared" ref="J533:J564" si="12">E533*F533*G533</f>
        <v>3.6134999999999997</v>
      </c>
      <c r="K533" s="220">
        <f t="shared" ref="K533:K564" si="13">IF(E533*F533*G533&lt;&gt;0,E533*F533*G533,IF(E533*F533&lt;&gt;0,E533*F533,IF(F533*G533&lt;&gt;0,F533*G533,IF(E533*G533&lt;&gt;0,E533*G533,IF(E533&lt;&gt;0,E533,IF(F533&lt;&gt;0,F533,IF(G533&lt;&gt;0,G533,0)))))))*(IF(H533&lt;&gt;0,H533,1))+I533-J533</f>
        <v>51.793499999999995</v>
      </c>
      <c r="L533" s="255"/>
    </row>
    <row r="534" spans="2:12">
      <c r="B534" s="249" t="s">
        <v>1541</v>
      </c>
      <c r="C534" s="250" t="s">
        <v>1521</v>
      </c>
      <c r="D534" s="205" t="s">
        <v>79</v>
      </c>
      <c r="E534" s="199">
        <v>0.48</v>
      </c>
      <c r="F534" s="199">
        <v>0.15</v>
      </c>
      <c r="G534" s="199">
        <v>0.6</v>
      </c>
      <c r="H534" s="199"/>
      <c r="I534" s="199">
        <f t="shared" si="11"/>
        <v>0.64799999999999991</v>
      </c>
      <c r="J534" s="219">
        <f t="shared" si="12"/>
        <v>4.3199999999999995E-2</v>
      </c>
      <c r="K534" s="220">
        <f t="shared" si="13"/>
        <v>0.64799999999999991</v>
      </c>
      <c r="L534" s="255"/>
    </row>
    <row r="535" spans="2:12">
      <c r="B535" s="249" t="s">
        <v>1542</v>
      </c>
      <c r="C535" s="250" t="s">
        <v>1521</v>
      </c>
      <c r="D535" s="205" t="s">
        <v>79</v>
      </c>
      <c r="E535" s="199">
        <v>2.7</v>
      </c>
      <c r="F535" s="199">
        <v>0.15</v>
      </c>
      <c r="G535" s="199">
        <v>0.6</v>
      </c>
      <c r="H535" s="199"/>
      <c r="I535" s="199">
        <f t="shared" si="11"/>
        <v>3.645</v>
      </c>
      <c r="J535" s="219">
        <f t="shared" si="12"/>
        <v>0.24299999999999999</v>
      </c>
      <c r="K535" s="220">
        <f t="shared" si="13"/>
        <v>3.645</v>
      </c>
      <c r="L535" s="255"/>
    </row>
    <row r="536" spans="2:12">
      <c r="B536" s="249" t="s">
        <v>1543</v>
      </c>
      <c r="C536" s="250" t="s">
        <v>1521</v>
      </c>
      <c r="D536" s="205" t="s">
        <v>79</v>
      </c>
      <c r="E536" s="199">
        <v>2.7</v>
      </c>
      <c r="F536" s="199">
        <v>0.15</v>
      </c>
      <c r="G536" s="199">
        <v>0.6</v>
      </c>
      <c r="H536" s="199"/>
      <c r="I536" s="199">
        <f t="shared" si="11"/>
        <v>3.645</v>
      </c>
      <c r="J536" s="219">
        <f t="shared" si="12"/>
        <v>0.24299999999999999</v>
      </c>
      <c r="K536" s="220">
        <f t="shared" si="13"/>
        <v>3.645</v>
      </c>
      <c r="L536" s="255"/>
    </row>
    <row r="537" spans="2:12">
      <c r="B537" s="249" t="s">
        <v>1544</v>
      </c>
      <c r="C537" s="250" t="s">
        <v>1521</v>
      </c>
      <c r="D537" s="205" t="s">
        <v>79</v>
      </c>
      <c r="E537" s="199">
        <v>9.35</v>
      </c>
      <c r="F537" s="199">
        <v>0.2</v>
      </c>
      <c r="G537" s="199">
        <v>0.7</v>
      </c>
      <c r="H537" s="199"/>
      <c r="I537" s="199">
        <f t="shared" si="11"/>
        <v>14.959999999999997</v>
      </c>
      <c r="J537" s="219">
        <f t="shared" si="12"/>
        <v>1.3089999999999999</v>
      </c>
      <c r="K537" s="220">
        <f t="shared" si="13"/>
        <v>14.959999999999999</v>
      </c>
      <c r="L537" s="255"/>
    </row>
    <row r="538" spans="2:12">
      <c r="B538" s="249" t="s">
        <v>1545</v>
      </c>
      <c r="C538" s="250" t="s">
        <v>1521</v>
      </c>
      <c r="D538" s="205" t="s">
        <v>79</v>
      </c>
      <c r="E538" s="199">
        <v>2.85</v>
      </c>
      <c r="F538" s="199">
        <v>0.15</v>
      </c>
      <c r="G538" s="199">
        <v>1</v>
      </c>
      <c r="H538" s="199"/>
      <c r="I538" s="199">
        <f t="shared" si="11"/>
        <v>6.1274999999999995</v>
      </c>
      <c r="J538" s="219">
        <f t="shared" si="12"/>
        <v>0.42749999999999999</v>
      </c>
      <c r="K538" s="220">
        <f t="shared" si="13"/>
        <v>6.1274999999999995</v>
      </c>
      <c r="L538" s="255"/>
    </row>
    <row r="539" spans="2:12">
      <c r="B539" s="249" t="s">
        <v>1546</v>
      </c>
      <c r="C539" s="250" t="s">
        <v>1521</v>
      </c>
      <c r="D539" s="205" t="s">
        <v>79</v>
      </c>
      <c r="E539" s="199">
        <v>23.39</v>
      </c>
      <c r="F539" s="199">
        <v>0.15</v>
      </c>
      <c r="G539" s="199">
        <v>1</v>
      </c>
      <c r="H539" s="199"/>
      <c r="I539" s="199">
        <f t="shared" si="11"/>
        <v>50.288499999999999</v>
      </c>
      <c r="J539" s="219">
        <f t="shared" si="12"/>
        <v>3.5085000000000002</v>
      </c>
      <c r="K539" s="220">
        <f t="shared" si="13"/>
        <v>50.288499999999999</v>
      </c>
      <c r="L539" s="255"/>
    </row>
    <row r="540" spans="2:12">
      <c r="B540" s="249" t="s">
        <v>1547</v>
      </c>
      <c r="C540" s="250" t="s">
        <v>1521</v>
      </c>
      <c r="D540" s="205" t="s">
        <v>79</v>
      </c>
      <c r="E540" s="199">
        <v>13.7</v>
      </c>
      <c r="F540" s="199">
        <v>0.15</v>
      </c>
      <c r="G540" s="199">
        <v>0.6</v>
      </c>
      <c r="H540" s="199"/>
      <c r="I540" s="199">
        <f t="shared" si="11"/>
        <v>18.494999999999997</v>
      </c>
      <c r="J540" s="219">
        <f t="shared" si="12"/>
        <v>1.2329999999999999</v>
      </c>
      <c r="K540" s="220">
        <f t="shared" si="13"/>
        <v>18.494999999999997</v>
      </c>
      <c r="L540" s="255"/>
    </row>
    <row r="541" spans="2:12">
      <c r="B541" s="249" t="s">
        <v>1548</v>
      </c>
      <c r="C541" s="250" t="s">
        <v>1521</v>
      </c>
      <c r="D541" s="205" t="s">
        <v>79</v>
      </c>
      <c r="E541" s="199">
        <v>0.48</v>
      </c>
      <c r="F541" s="199">
        <v>0.15</v>
      </c>
      <c r="G541" s="199">
        <v>0.6</v>
      </c>
      <c r="H541" s="199"/>
      <c r="I541" s="199">
        <f t="shared" si="11"/>
        <v>0.64799999999999991</v>
      </c>
      <c r="J541" s="219">
        <f t="shared" si="12"/>
        <v>4.3199999999999995E-2</v>
      </c>
      <c r="K541" s="220">
        <f t="shared" si="13"/>
        <v>0.64799999999999991</v>
      </c>
      <c r="L541" s="255"/>
    </row>
    <row r="542" spans="2:12">
      <c r="B542" s="249" t="s">
        <v>1549</v>
      </c>
      <c r="C542" s="250" t="s">
        <v>1521</v>
      </c>
      <c r="D542" s="205" t="s">
        <v>79</v>
      </c>
      <c r="E542" s="199">
        <v>12.95</v>
      </c>
      <c r="F542" s="199">
        <v>0.2</v>
      </c>
      <c r="G542" s="199">
        <v>0.6</v>
      </c>
      <c r="H542" s="199"/>
      <c r="I542" s="199">
        <f t="shared" si="11"/>
        <v>18.13</v>
      </c>
      <c r="J542" s="219">
        <f t="shared" si="12"/>
        <v>1.5539999999999998</v>
      </c>
      <c r="K542" s="220">
        <f t="shared" si="13"/>
        <v>18.13</v>
      </c>
      <c r="L542" s="255"/>
    </row>
    <row r="543" spans="2:12">
      <c r="B543" s="249" t="s">
        <v>1550</v>
      </c>
      <c r="C543" s="250" t="s">
        <v>1521</v>
      </c>
      <c r="D543" s="205" t="s">
        <v>79</v>
      </c>
      <c r="E543" s="199">
        <v>21.37</v>
      </c>
      <c r="F543" s="199">
        <v>0.15</v>
      </c>
      <c r="G543" s="199">
        <v>1</v>
      </c>
      <c r="H543" s="199"/>
      <c r="I543" s="199">
        <f t="shared" si="11"/>
        <v>45.945500000000003</v>
      </c>
      <c r="J543" s="219">
        <f t="shared" si="12"/>
        <v>3.2055000000000002</v>
      </c>
      <c r="K543" s="220">
        <f t="shared" si="13"/>
        <v>45.945500000000003</v>
      </c>
      <c r="L543" s="255"/>
    </row>
    <row r="544" spans="2:12">
      <c r="B544" s="249" t="s">
        <v>1551</v>
      </c>
      <c r="C544" s="250" t="s">
        <v>1521</v>
      </c>
      <c r="D544" s="205" t="s">
        <v>79</v>
      </c>
      <c r="E544" s="199">
        <v>2.86</v>
      </c>
      <c r="F544" s="199">
        <v>0.15</v>
      </c>
      <c r="G544" s="199">
        <v>1</v>
      </c>
      <c r="H544" s="199"/>
      <c r="I544" s="199">
        <f t="shared" si="11"/>
        <v>6.1489999999999991</v>
      </c>
      <c r="J544" s="219">
        <f t="shared" si="12"/>
        <v>0.42899999999999999</v>
      </c>
      <c r="K544" s="220">
        <f t="shared" si="13"/>
        <v>6.1489999999999991</v>
      </c>
      <c r="L544" s="255"/>
    </row>
    <row r="545" spans="2:12">
      <c r="B545" s="197" t="s">
        <v>1523</v>
      </c>
      <c r="C545" s="189" t="s">
        <v>1521</v>
      </c>
      <c r="D545" s="190" t="s">
        <v>169</v>
      </c>
      <c r="E545" s="199">
        <v>4.71</v>
      </c>
      <c r="F545" s="199">
        <v>0.25</v>
      </c>
      <c r="G545" s="199">
        <v>1.7</v>
      </c>
      <c r="H545" s="199"/>
      <c r="I545" s="199">
        <f t="shared" si="11"/>
        <v>17.191499999999998</v>
      </c>
      <c r="J545" s="219">
        <f t="shared" si="12"/>
        <v>2.0017499999999999</v>
      </c>
      <c r="K545" s="220">
        <f t="shared" si="13"/>
        <v>17.191499999999998</v>
      </c>
      <c r="L545" s="255"/>
    </row>
    <row r="546" spans="2:12">
      <c r="B546" s="197" t="s">
        <v>1525</v>
      </c>
      <c r="C546" s="189" t="s">
        <v>1521</v>
      </c>
      <c r="D546" s="190" t="s">
        <v>169</v>
      </c>
      <c r="E546" s="199">
        <v>4.71</v>
      </c>
      <c r="F546" s="199">
        <v>0.15</v>
      </c>
      <c r="G546" s="199">
        <v>1.7</v>
      </c>
      <c r="H546" s="199"/>
      <c r="I546" s="199">
        <f t="shared" si="11"/>
        <v>16.720499999999998</v>
      </c>
      <c r="J546" s="219">
        <f t="shared" si="12"/>
        <v>1.20105</v>
      </c>
      <c r="K546" s="220">
        <f t="shared" si="13"/>
        <v>16.720499999999998</v>
      </c>
      <c r="L546" s="255"/>
    </row>
    <row r="547" spans="2:12">
      <c r="B547" s="197" t="s">
        <v>1526</v>
      </c>
      <c r="C547" s="189" t="s">
        <v>1521</v>
      </c>
      <c r="D547" s="190" t="s">
        <v>169</v>
      </c>
      <c r="E547" s="199">
        <v>2.54</v>
      </c>
      <c r="F547" s="199">
        <v>0.15</v>
      </c>
      <c r="G547" s="199">
        <v>1.7</v>
      </c>
      <c r="H547" s="199"/>
      <c r="I547" s="199">
        <f t="shared" si="11"/>
        <v>9.0169999999999995</v>
      </c>
      <c r="J547" s="219">
        <f t="shared" si="12"/>
        <v>0.64769999999999994</v>
      </c>
      <c r="K547" s="220">
        <f t="shared" si="13"/>
        <v>9.0169999999999995</v>
      </c>
      <c r="L547" s="255"/>
    </row>
    <row r="548" spans="2:12">
      <c r="B548" s="197" t="s">
        <v>1527</v>
      </c>
      <c r="C548" s="189" t="s">
        <v>1521</v>
      </c>
      <c r="D548" s="190" t="s">
        <v>169</v>
      </c>
      <c r="E548" s="199">
        <v>2.2000000000000002</v>
      </c>
      <c r="F548" s="199">
        <v>0.15</v>
      </c>
      <c r="G548" s="199">
        <v>1.7</v>
      </c>
      <c r="H548" s="199"/>
      <c r="I548" s="199">
        <f t="shared" si="11"/>
        <v>7.8100000000000005</v>
      </c>
      <c r="J548" s="219">
        <f t="shared" si="12"/>
        <v>0.56100000000000005</v>
      </c>
      <c r="K548" s="220">
        <f t="shared" si="13"/>
        <v>7.8100000000000005</v>
      </c>
      <c r="L548" s="255"/>
    </row>
    <row r="549" spans="2:12">
      <c r="B549" s="197" t="s">
        <v>1528</v>
      </c>
      <c r="C549" s="189" t="s">
        <v>1521</v>
      </c>
      <c r="D549" s="190" t="s">
        <v>169</v>
      </c>
      <c r="E549" s="199">
        <v>2.2000000000000002</v>
      </c>
      <c r="F549" s="199">
        <v>0.15</v>
      </c>
      <c r="G549" s="199">
        <v>1.7</v>
      </c>
      <c r="H549" s="199"/>
      <c r="I549" s="199">
        <f t="shared" si="11"/>
        <v>7.8100000000000005</v>
      </c>
      <c r="J549" s="219">
        <f t="shared" si="12"/>
        <v>0.56100000000000005</v>
      </c>
      <c r="K549" s="220">
        <f t="shared" si="13"/>
        <v>7.8100000000000005</v>
      </c>
      <c r="L549" s="255"/>
    </row>
    <row r="550" spans="2:12">
      <c r="B550" s="197" t="s">
        <v>1529</v>
      </c>
      <c r="C550" s="189" t="s">
        <v>1521</v>
      </c>
      <c r="D550" s="190" t="s">
        <v>169</v>
      </c>
      <c r="E550" s="199">
        <v>1.24</v>
      </c>
      <c r="F550" s="199">
        <v>0.2</v>
      </c>
      <c r="G550" s="199">
        <v>1.7</v>
      </c>
      <c r="H550" s="199"/>
      <c r="I550" s="199">
        <f t="shared" si="11"/>
        <v>4.4640000000000004</v>
      </c>
      <c r="J550" s="219">
        <f t="shared" si="12"/>
        <v>0.42159999999999997</v>
      </c>
      <c r="K550" s="220">
        <f t="shared" si="13"/>
        <v>4.4640000000000004</v>
      </c>
      <c r="L550" s="255"/>
    </row>
    <row r="551" spans="2:12">
      <c r="B551" s="197" t="s">
        <v>1530</v>
      </c>
      <c r="C551" s="189" t="s">
        <v>1521</v>
      </c>
      <c r="D551" s="190" t="s">
        <v>169</v>
      </c>
      <c r="E551" s="199">
        <v>1.24</v>
      </c>
      <c r="F551" s="199">
        <v>0.2</v>
      </c>
      <c r="G551" s="199">
        <v>1.7</v>
      </c>
      <c r="H551" s="199"/>
      <c r="I551" s="199">
        <f t="shared" si="11"/>
        <v>4.4640000000000004</v>
      </c>
      <c r="J551" s="219">
        <f t="shared" si="12"/>
        <v>0.42159999999999997</v>
      </c>
      <c r="K551" s="220">
        <f t="shared" si="13"/>
        <v>4.4640000000000004</v>
      </c>
      <c r="L551" s="255"/>
    </row>
    <row r="552" spans="2:12">
      <c r="B552" s="249" t="s">
        <v>1614</v>
      </c>
      <c r="C552" s="189" t="s">
        <v>1611</v>
      </c>
      <c r="D552" s="190" t="s">
        <v>169</v>
      </c>
      <c r="E552" s="199">
        <v>3.63</v>
      </c>
      <c r="F552" s="199">
        <v>0.2</v>
      </c>
      <c r="G552" s="199">
        <v>0.7</v>
      </c>
      <c r="H552" s="199"/>
      <c r="I552" s="199">
        <f t="shared" si="11"/>
        <v>5.8079999999999989</v>
      </c>
      <c r="J552" s="219">
        <f t="shared" si="12"/>
        <v>0.50819999999999999</v>
      </c>
      <c r="K552" s="220">
        <f t="shared" si="13"/>
        <v>5.8079999999999981</v>
      </c>
      <c r="L552" s="255"/>
    </row>
    <row r="553" spans="2:12">
      <c r="B553" s="249" t="s">
        <v>1614</v>
      </c>
      <c r="C553" s="189" t="s">
        <v>1611</v>
      </c>
      <c r="D553" s="190" t="s">
        <v>169</v>
      </c>
      <c r="E553" s="199">
        <v>27.92</v>
      </c>
      <c r="F553" s="199">
        <v>0.2</v>
      </c>
      <c r="G553" s="199">
        <v>0.6</v>
      </c>
      <c r="H553" s="199"/>
      <c r="I553" s="199">
        <f t="shared" si="11"/>
        <v>39.088000000000001</v>
      </c>
      <c r="J553" s="219">
        <f t="shared" si="12"/>
        <v>3.3504</v>
      </c>
      <c r="K553" s="220">
        <f t="shared" si="13"/>
        <v>39.088000000000001</v>
      </c>
      <c r="L553" s="255"/>
    </row>
    <row r="554" spans="2:12">
      <c r="B554" s="249" t="s">
        <v>1615</v>
      </c>
      <c r="C554" s="189" t="s">
        <v>1611</v>
      </c>
      <c r="D554" s="190" t="s">
        <v>169</v>
      </c>
      <c r="E554" s="199">
        <v>2.7</v>
      </c>
      <c r="F554" s="199">
        <v>0.15</v>
      </c>
      <c r="G554" s="199">
        <v>0.6</v>
      </c>
      <c r="H554" s="199"/>
      <c r="I554" s="199">
        <f t="shared" si="11"/>
        <v>3.645</v>
      </c>
      <c r="J554" s="219">
        <f t="shared" si="12"/>
        <v>0.24299999999999999</v>
      </c>
      <c r="K554" s="220">
        <f t="shared" si="13"/>
        <v>3.645</v>
      </c>
      <c r="L554" s="255"/>
    </row>
    <row r="555" spans="2:12">
      <c r="B555" s="249" t="s">
        <v>1616</v>
      </c>
      <c r="C555" s="189" t="s">
        <v>1611</v>
      </c>
      <c r="D555" s="190" t="s">
        <v>169</v>
      </c>
      <c r="E555" s="199">
        <v>4.62</v>
      </c>
      <c r="F555" s="199">
        <v>0.15</v>
      </c>
      <c r="G555" s="199">
        <v>0.6</v>
      </c>
      <c r="H555" s="199"/>
      <c r="I555" s="199">
        <f t="shared" si="11"/>
        <v>6.2369999999999992</v>
      </c>
      <c r="J555" s="219">
        <f t="shared" si="12"/>
        <v>0.41579999999999995</v>
      </c>
      <c r="K555" s="220">
        <f t="shared" si="13"/>
        <v>6.2369999999999992</v>
      </c>
      <c r="L555" s="255"/>
    </row>
    <row r="556" spans="2:12">
      <c r="B556" s="249" t="s">
        <v>1617</v>
      </c>
      <c r="C556" s="189" t="s">
        <v>1611</v>
      </c>
      <c r="D556" s="190" t="s">
        <v>169</v>
      </c>
      <c r="E556" s="199">
        <v>1.92</v>
      </c>
      <c r="F556" s="199">
        <v>0.15</v>
      </c>
      <c r="G556" s="199">
        <v>0.7</v>
      </c>
      <c r="H556" s="199"/>
      <c r="I556" s="199">
        <f t="shared" si="11"/>
        <v>2.9759999999999995</v>
      </c>
      <c r="J556" s="219">
        <f t="shared" si="12"/>
        <v>0.20159999999999997</v>
      </c>
      <c r="K556" s="220">
        <f t="shared" si="13"/>
        <v>2.9759999999999995</v>
      </c>
      <c r="L556" s="255"/>
    </row>
    <row r="557" spans="2:12">
      <c r="B557" s="249" t="s">
        <v>1618</v>
      </c>
      <c r="C557" s="189" t="s">
        <v>1611</v>
      </c>
      <c r="D557" s="190" t="s">
        <v>169</v>
      </c>
      <c r="E557" s="199">
        <v>0.84</v>
      </c>
      <c r="F557" s="199">
        <v>0.4</v>
      </c>
      <c r="G557" s="199">
        <v>1</v>
      </c>
      <c r="H557" s="199"/>
      <c r="I557" s="199">
        <f t="shared" si="11"/>
        <v>2.016</v>
      </c>
      <c r="J557" s="219">
        <f t="shared" si="12"/>
        <v>0.33600000000000002</v>
      </c>
      <c r="K557" s="220">
        <f t="shared" si="13"/>
        <v>2.016</v>
      </c>
      <c r="L557" s="255"/>
    </row>
    <row r="558" spans="2:12">
      <c r="B558" s="249" t="s">
        <v>1618</v>
      </c>
      <c r="C558" s="189" t="s">
        <v>1611</v>
      </c>
      <c r="D558" s="190" t="s">
        <v>169</v>
      </c>
      <c r="E558" s="199">
        <v>25.92</v>
      </c>
      <c r="F558" s="199">
        <v>0.3</v>
      </c>
      <c r="G558" s="199">
        <v>0.8</v>
      </c>
      <c r="H558" s="199"/>
      <c r="I558" s="199">
        <f t="shared" si="11"/>
        <v>49.248000000000005</v>
      </c>
      <c r="J558" s="219">
        <f t="shared" si="12"/>
        <v>6.2208000000000006</v>
      </c>
      <c r="K558" s="220">
        <f t="shared" si="13"/>
        <v>49.248000000000005</v>
      </c>
      <c r="L558" s="255"/>
    </row>
    <row r="559" spans="2:12">
      <c r="B559" s="249" t="s">
        <v>1619</v>
      </c>
      <c r="C559" s="189" t="s">
        <v>1611</v>
      </c>
      <c r="D559" s="190" t="s">
        <v>169</v>
      </c>
      <c r="E559" s="199">
        <v>16.71</v>
      </c>
      <c r="F559" s="199">
        <v>0.2</v>
      </c>
      <c r="G559" s="199">
        <v>0.7</v>
      </c>
      <c r="H559" s="199"/>
      <c r="I559" s="199">
        <f t="shared" si="11"/>
        <v>26.736000000000001</v>
      </c>
      <c r="J559" s="219">
        <f t="shared" si="12"/>
        <v>2.3394000000000004</v>
      </c>
      <c r="K559" s="220">
        <f t="shared" si="13"/>
        <v>26.736000000000001</v>
      </c>
      <c r="L559" s="255"/>
    </row>
    <row r="560" spans="2:12">
      <c r="B560" s="249" t="s">
        <v>1620</v>
      </c>
      <c r="C560" s="189" t="s">
        <v>1611</v>
      </c>
      <c r="D560" s="190" t="s">
        <v>169</v>
      </c>
      <c r="E560" s="199">
        <v>9.59</v>
      </c>
      <c r="F560" s="199">
        <v>0.15</v>
      </c>
      <c r="G560" s="199">
        <v>0.7</v>
      </c>
      <c r="H560" s="199"/>
      <c r="I560" s="199">
        <f t="shared" si="11"/>
        <v>14.864499999999998</v>
      </c>
      <c r="J560" s="219">
        <f t="shared" si="12"/>
        <v>1.0069499999999998</v>
      </c>
      <c r="K560" s="220">
        <f t="shared" si="13"/>
        <v>14.864499999999998</v>
      </c>
      <c r="L560" s="255"/>
    </row>
    <row r="561" spans="2:12">
      <c r="B561" s="249" t="s">
        <v>1621</v>
      </c>
      <c r="C561" s="189" t="s">
        <v>1611</v>
      </c>
      <c r="D561" s="190" t="s">
        <v>169</v>
      </c>
      <c r="E561" s="199">
        <v>1.44</v>
      </c>
      <c r="F561" s="199">
        <v>0.15</v>
      </c>
      <c r="G561" s="199">
        <v>0.7</v>
      </c>
      <c r="H561" s="199"/>
      <c r="I561" s="199">
        <f t="shared" si="11"/>
        <v>2.2319999999999998</v>
      </c>
      <c r="J561" s="219">
        <f t="shared" si="12"/>
        <v>0.1512</v>
      </c>
      <c r="K561" s="220">
        <f t="shared" si="13"/>
        <v>2.2319999999999993</v>
      </c>
      <c r="L561" s="255"/>
    </row>
    <row r="562" spans="2:12">
      <c r="B562" s="249" t="s">
        <v>1622</v>
      </c>
      <c r="C562" s="189" t="s">
        <v>1611</v>
      </c>
      <c r="D562" s="190" t="s">
        <v>169</v>
      </c>
      <c r="E562" s="199">
        <v>6.83</v>
      </c>
      <c r="F562" s="199">
        <v>0.25</v>
      </c>
      <c r="G562" s="199">
        <v>0.6</v>
      </c>
      <c r="H562" s="199"/>
      <c r="I562" s="199">
        <f t="shared" si="11"/>
        <v>9.9034999999999993</v>
      </c>
      <c r="J562" s="219">
        <f t="shared" si="12"/>
        <v>1.0245</v>
      </c>
      <c r="K562" s="220">
        <f t="shared" si="13"/>
        <v>9.9034999999999993</v>
      </c>
      <c r="L562" s="255"/>
    </row>
    <row r="563" spans="2:12">
      <c r="B563" s="249" t="s">
        <v>1622</v>
      </c>
      <c r="C563" s="189" t="s">
        <v>1611</v>
      </c>
      <c r="D563" s="190" t="s">
        <v>169</v>
      </c>
      <c r="E563" s="199">
        <v>7.5</v>
      </c>
      <c r="F563" s="199">
        <v>0.25</v>
      </c>
      <c r="G563" s="199">
        <v>1</v>
      </c>
      <c r="H563" s="199"/>
      <c r="I563" s="199">
        <f t="shared" si="11"/>
        <v>16.875</v>
      </c>
      <c r="J563" s="219">
        <f t="shared" si="12"/>
        <v>1.875</v>
      </c>
      <c r="K563" s="220">
        <f t="shared" si="13"/>
        <v>16.875</v>
      </c>
      <c r="L563" s="255"/>
    </row>
    <row r="564" spans="2:12">
      <c r="B564" s="249" t="s">
        <v>1622</v>
      </c>
      <c r="C564" s="189" t="s">
        <v>1611</v>
      </c>
      <c r="D564" s="190" t="s">
        <v>169</v>
      </c>
      <c r="E564" s="199">
        <v>6.17</v>
      </c>
      <c r="F564" s="199">
        <v>0.25</v>
      </c>
      <c r="G564" s="199">
        <v>0.6</v>
      </c>
      <c r="H564" s="199"/>
      <c r="I564" s="199">
        <f t="shared" si="11"/>
        <v>8.9465000000000003</v>
      </c>
      <c r="J564" s="219">
        <f t="shared" si="12"/>
        <v>0.92549999999999999</v>
      </c>
      <c r="K564" s="220">
        <f t="shared" si="13"/>
        <v>8.9465000000000003</v>
      </c>
      <c r="L564" s="255"/>
    </row>
    <row r="565" spans="2:12">
      <c r="B565" s="249" t="s">
        <v>1623</v>
      </c>
      <c r="C565" s="189" t="s">
        <v>1611</v>
      </c>
      <c r="D565" s="190" t="s">
        <v>169</v>
      </c>
      <c r="E565" s="199">
        <v>11.82</v>
      </c>
      <c r="F565" s="199">
        <v>0.2</v>
      </c>
      <c r="G565" s="199">
        <v>0.8</v>
      </c>
      <c r="H565" s="199"/>
      <c r="I565" s="199">
        <f t="shared" ref="I565:I586" si="14">E565*(2*G565+F565)</f>
        <v>21.276</v>
      </c>
      <c r="J565" s="219">
        <f t="shared" ref="J565:J586" si="15">E565*F565*G565</f>
        <v>1.8912000000000004</v>
      </c>
      <c r="K565" s="220">
        <f t="shared" ref="K565:K587" si="16">IF(E565*F565*G565&lt;&gt;0,E565*F565*G565,IF(E565*F565&lt;&gt;0,E565*F565,IF(F565*G565&lt;&gt;0,F565*G565,IF(E565*G565&lt;&gt;0,E565*G565,IF(E565&lt;&gt;0,E565,IF(F565&lt;&gt;0,F565,IF(G565&lt;&gt;0,G565,0)))))))*(IF(H565&lt;&gt;0,H565,1))+I565-J565</f>
        <v>21.276</v>
      </c>
      <c r="L565" s="255"/>
    </row>
    <row r="566" spans="2:12">
      <c r="B566" s="249" t="s">
        <v>1624</v>
      </c>
      <c r="C566" s="189" t="s">
        <v>1611</v>
      </c>
      <c r="D566" s="190" t="s">
        <v>169</v>
      </c>
      <c r="E566" s="199">
        <v>19.25</v>
      </c>
      <c r="F566" s="199">
        <v>0.25</v>
      </c>
      <c r="G566" s="199">
        <v>0.7</v>
      </c>
      <c r="H566" s="199"/>
      <c r="I566" s="199">
        <f t="shared" si="14"/>
        <v>31.762499999999999</v>
      </c>
      <c r="J566" s="219">
        <f t="shared" si="15"/>
        <v>3.3687499999999999</v>
      </c>
      <c r="K566" s="220">
        <f t="shared" si="16"/>
        <v>31.762500000000003</v>
      </c>
      <c r="L566" s="255"/>
    </row>
    <row r="567" spans="2:12">
      <c r="B567" s="249" t="s">
        <v>1625</v>
      </c>
      <c r="C567" s="189" t="s">
        <v>1611</v>
      </c>
      <c r="D567" s="190" t="s">
        <v>169</v>
      </c>
      <c r="E567" s="199">
        <v>5.14</v>
      </c>
      <c r="F567" s="199">
        <v>0.15</v>
      </c>
      <c r="G567" s="199">
        <v>0.6</v>
      </c>
      <c r="H567" s="199"/>
      <c r="I567" s="199">
        <f t="shared" si="14"/>
        <v>6.9389999999999992</v>
      </c>
      <c r="J567" s="219">
        <f t="shared" si="15"/>
        <v>0.4625999999999999</v>
      </c>
      <c r="K567" s="220">
        <f t="shared" si="16"/>
        <v>6.9389999999999992</v>
      </c>
      <c r="L567" s="255"/>
    </row>
    <row r="568" spans="2:12">
      <c r="B568" s="249" t="s">
        <v>1626</v>
      </c>
      <c r="C568" s="189" t="s">
        <v>1611</v>
      </c>
      <c r="D568" s="190" t="s">
        <v>169</v>
      </c>
      <c r="E568" s="199">
        <v>6.34</v>
      </c>
      <c r="F568" s="199">
        <v>0.2</v>
      </c>
      <c r="G568" s="199">
        <v>0.6</v>
      </c>
      <c r="H568" s="199"/>
      <c r="I568" s="199">
        <f t="shared" si="14"/>
        <v>8.8759999999999994</v>
      </c>
      <c r="J568" s="219">
        <f t="shared" si="15"/>
        <v>0.76080000000000003</v>
      </c>
      <c r="K568" s="220">
        <f t="shared" si="16"/>
        <v>8.8759999999999994</v>
      </c>
      <c r="L568" s="255"/>
    </row>
    <row r="569" spans="2:12">
      <c r="B569" s="249" t="s">
        <v>1626</v>
      </c>
      <c r="C569" s="189" t="s">
        <v>1611</v>
      </c>
      <c r="D569" s="190" t="s">
        <v>169</v>
      </c>
      <c r="E569" s="199">
        <v>3.78</v>
      </c>
      <c r="F569" s="199">
        <v>0.2</v>
      </c>
      <c r="G569" s="199">
        <v>0.7</v>
      </c>
      <c r="H569" s="199"/>
      <c r="I569" s="199">
        <f t="shared" si="14"/>
        <v>6.0479999999999992</v>
      </c>
      <c r="J569" s="219">
        <f t="shared" si="15"/>
        <v>0.5292</v>
      </c>
      <c r="K569" s="220">
        <f t="shared" si="16"/>
        <v>6.0479999999999992</v>
      </c>
      <c r="L569" s="255"/>
    </row>
    <row r="570" spans="2:12">
      <c r="B570" s="249" t="s">
        <v>1627</v>
      </c>
      <c r="C570" s="189" t="s">
        <v>1611</v>
      </c>
      <c r="D570" s="190" t="s">
        <v>169</v>
      </c>
      <c r="E570" s="199">
        <v>35.049999999999997</v>
      </c>
      <c r="F570" s="199">
        <v>0.2</v>
      </c>
      <c r="G570" s="199">
        <v>0.7</v>
      </c>
      <c r="H570" s="199"/>
      <c r="I570" s="199">
        <f t="shared" si="14"/>
        <v>56.079999999999991</v>
      </c>
      <c r="J570" s="219">
        <f t="shared" si="15"/>
        <v>4.9069999999999991</v>
      </c>
      <c r="K570" s="220">
        <f t="shared" si="16"/>
        <v>56.079999999999991</v>
      </c>
      <c r="L570" s="255"/>
    </row>
    <row r="571" spans="2:12">
      <c r="B571" s="249" t="s">
        <v>1627</v>
      </c>
      <c r="C571" s="189" t="s">
        <v>1611</v>
      </c>
      <c r="D571" s="190" t="s">
        <v>169</v>
      </c>
      <c r="E571" s="199">
        <v>5.05</v>
      </c>
      <c r="F571" s="199">
        <v>0.2</v>
      </c>
      <c r="G571" s="199">
        <v>1</v>
      </c>
      <c r="H571" s="199"/>
      <c r="I571" s="199">
        <f t="shared" si="14"/>
        <v>11.110000000000001</v>
      </c>
      <c r="J571" s="219">
        <f t="shared" si="15"/>
        <v>1.01</v>
      </c>
      <c r="K571" s="220">
        <f t="shared" si="16"/>
        <v>11.110000000000001</v>
      </c>
      <c r="L571" s="255"/>
    </row>
    <row r="572" spans="2:12">
      <c r="B572" s="249" t="s">
        <v>1628</v>
      </c>
      <c r="C572" s="189" t="s">
        <v>1611</v>
      </c>
      <c r="D572" s="190" t="s">
        <v>169</v>
      </c>
      <c r="E572" s="199">
        <v>12.91</v>
      </c>
      <c r="F572" s="199">
        <v>0.25</v>
      </c>
      <c r="G572" s="199">
        <v>0.7</v>
      </c>
      <c r="H572" s="199"/>
      <c r="I572" s="199">
        <f t="shared" si="14"/>
        <v>21.301500000000001</v>
      </c>
      <c r="J572" s="219">
        <f t="shared" si="15"/>
        <v>2.2592499999999998</v>
      </c>
      <c r="K572" s="220">
        <f t="shared" si="16"/>
        <v>21.301499999999997</v>
      </c>
      <c r="L572" s="255"/>
    </row>
    <row r="573" spans="2:12">
      <c r="B573" s="249" t="s">
        <v>1629</v>
      </c>
      <c r="C573" s="189" t="s">
        <v>1611</v>
      </c>
      <c r="D573" s="190" t="s">
        <v>169</v>
      </c>
      <c r="E573" s="199">
        <v>9.65</v>
      </c>
      <c r="F573" s="199">
        <v>0.3</v>
      </c>
      <c r="G573" s="199">
        <v>0.7</v>
      </c>
      <c r="H573" s="199"/>
      <c r="I573" s="199">
        <f t="shared" si="14"/>
        <v>16.405000000000001</v>
      </c>
      <c r="J573" s="219">
        <f t="shared" si="15"/>
        <v>2.0265</v>
      </c>
      <c r="K573" s="220">
        <f t="shared" si="16"/>
        <v>16.405000000000001</v>
      </c>
      <c r="L573" s="255"/>
    </row>
    <row r="574" spans="2:12">
      <c r="B574" s="249" t="s">
        <v>1629</v>
      </c>
      <c r="C574" s="189" t="s">
        <v>1611</v>
      </c>
      <c r="D574" s="190" t="s">
        <v>169</v>
      </c>
      <c r="E574" s="199">
        <v>2.91</v>
      </c>
      <c r="F574" s="199">
        <v>0.3</v>
      </c>
      <c r="G574" s="199">
        <v>0.65</v>
      </c>
      <c r="H574" s="199"/>
      <c r="I574" s="199">
        <f t="shared" si="14"/>
        <v>4.6560000000000006</v>
      </c>
      <c r="J574" s="219">
        <f t="shared" si="15"/>
        <v>0.56745000000000001</v>
      </c>
      <c r="K574" s="220">
        <f t="shared" si="16"/>
        <v>4.6560000000000006</v>
      </c>
      <c r="L574" s="255"/>
    </row>
    <row r="575" spans="2:12">
      <c r="B575" s="249" t="s">
        <v>1630</v>
      </c>
      <c r="C575" s="189" t="s">
        <v>1611</v>
      </c>
      <c r="D575" s="190" t="s">
        <v>169</v>
      </c>
      <c r="E575" s="199">
        <v>12.35</v>
      </c>
      <c r="F575" s="199">
        <v>0.15</v>
      </c>
      <c r="G575" s="199">
        <v>0.7</v>
      </c>
      <c r="H575" s="199"/>
      <c r="I575" s="199">
        <f t="shared" si="14"/>
        <v>19.142499999999998</v>
      </c>
      <c r="J575" s="219">
        <f t="shared" si="15"/>
        <v>1.2967499999999998</v>
      </c>
      <c r="K575" s="220">
        <f t="shared" si="16"/>
        <v>19.142499999999998</v>
      </c>
      <c r="L575" s="255"/>
    </row>
    <row r="576" spans="2:12">
      <c r="B576" s="249" t="s">
        <v>1631</v>
      </c>
      <c r="C576" s="189" t="s">
        <v>1611</v>
      </c>
      <c r="D576" s="190" t="s">
        <v>169</v>
      </c>
      <c r="E576" s="199">
        <v>16.260000000000002</v>
      </c>
      <c r="F576" s="199">
        <v>0.15</v>
      </c>
      <c r="G576" s="199">
        <v>1</v>
      </c>
      <c r="H576" s="199"/>
      <c r="I576" s="199">
        <f t="shared" si="14"/>
        <v>34.959000000000003</v>
      </c>
      <c r="J576" s="219">
        <f t="shared" si="15"/>
        <v>2.4390000000000001</v>
      </c>
      <c r="K576" s="220">
        <f t="shared" si="16"/>
        <v>34.959000000000003</v>
      </c>
      <c r="L576" s="255"/>
    </row>
    <row r="577" spans="2:12">
      <c r="B577" s="249" t="s">
        <v>1632</v>
      </c>
      <c r="C577" s="189" t="s">
        <v>1611</v>
      </c>
      <c r="D577" s="190" t="s">
        <v>169</v>
      </c>
      <c r="E577" s="199">
        <v>9.77</v>
      </c>
      <c r="F577" s="199">
        <v>0.3</v>
      </c>
      <c r="G577" s="199">
        <v>0.6</v>
      </c>
      <c r="H577" s="199"/>
      <c r="I577" s="199">
        <f t="shared" si="14"/>
        <v>14.654999999999999</v>
      </c>
      <c r="J577" s="219">
        <f t="shared" si="15"/>
        <v>1.7585999999999997</v>
      </c>
      <c r="K577" s="220">
        <f t="shared" si="16"/>
        <v>14.654999999999999</v>
      </c>
      <c r="L577" s="255"/>
    </row>
    <row r="578" spans="2:12">
      <c r="B578" s="249" t="s">
        <v>1633</v>
      </c>
      <c r="C578" s="189" t="s">
        <v>1611</v>
      </c>
      <c r="D578" s="190" t="s">
        <v>169</v>
      </c>
      <c r="E578" s="199">
        <v>8.8000000000000007</v>
      </c>
      <c r="F578" s="199">
        <v>0.15</v>
      </c>
      <c r="G578" s="199">
        <v>0.8</v>
      </c>
      <c r="H578" s="199"/>
      <c r="I578" s="199">
        <f t="shared" si="14"/>
        <v>15.400000000000002</v>
      </c>
      <c r="J578" s="219">
        <f t="shared" si="15"/>
        <v>1.056</v>
      </c>
      <c r="K578" s="220">
        <f t="shared" si="16"/>
        <v>15.400000000000002</v>
      </c>
      <c r="L578" s="255"/>
    </row>
    <row r="579" spans="2:12">
      <c r="B579" s="249" t="s">
        <v>1634</v>
      </c>
      <c r="C579" s="189" t="s">
        <v>1611</v>
      </c>
      <c r="D579" s="190" t="s">
        <v>169</v>
      </c>
      <c r="E579" s="199">
        <v>3.82</v>
      </c>
      <c r="F579" s="199">
        <v>0.3</v>
      </c>
      <c r="G579" s="199">
        <v>0.6</v>
      </c>
      <c r="H579" s="199"/>
      <c r="I579" s="199">
        <f t="shared" si="14"/>
        <v>5.7299999999999995</v>
      </c>
      <c r="J579" s="219">
        <f t="shared" si="15"/>
        <v>0.68759999999999988</v>
      </c>
      <c r="K579" s="220">
        <f t="shared" si="16"/>
        <v>5.7299999999999995</v>
      </c>
      <c r="L579" s="255"/>
    </row>
    <row r="580" spans="2:12">
      <c r="B580" s="249" t="s">
        <v>1635</v>
      </c>
      <c r="C580" s="189" t="s">
        <v>1611</v>
      </c>
      <c r="D580" s="190" t="s">
        <v>169</v>
      </c>
      <c r="E580" s="199">
        <v>2.54</v>
      </c>
      <c r="F580" s="199">
        <v>0.15</v>
      </c>
      <c r="G580" s="199">
        <v>0.6</v>
      </c>
      <c r="H580" s="199"/>
      <c r="I580" s="199">
        <f t="shared" si="14"/>
        <v>3.4289999999999998</v>
      </c>
      <c r="J580" s="219">
        <f t="shared" si="15"/>
        <v>0.2286</v>
      </c>
      <c r="K580" s="220">
        <f t="shared" si="16"/>
        <v>3.4289999999999998</v>
      </c>
      <c r="L580" s="255"/>
    </row>
    <row r="581" spans="2:12">
      <c r="B581" s="249" t="s">
        <v>1636</v>
      </c>
      <c r="C581" s="189" t="s">
        <v>1611</v>
      </c>
      <c r="D581" s="190" t="s">
        <v>169</v>
      </c>
      <c r="E581" s="199">
        <v>9.4</v>
      </c>
      <c r="F581" s="199">
        <v>0.2</v>
      </c>
      <c r="G581" s="199">
        <v>0.6</v>
      </c>
      <c r="H581" s="199"/>
      <c r="I581" s="199">
        <f t="shared" si="14"/>
        <v>13.16</v>
      </c>
      <c r="J581" s="219">
        <f t="shared" si="15"/>
        <v>1.1280000000000001</v>
      </c>
      <c r="K581" s="220">
        <f t="shared" si="16"/>
        <v>13.16</v>
      </c>
      <c r="L581" s="255"/>
    </row>
    <row r="582" spans="2:12">
      <c r="B582" s="249" t="s">
        <v>1637</v>
      </c>
      <c r="C582" s="189" t="s">
        <v>1611</v>
      </c>
      <c r="D582" s="190" t="s">
        <v>169</v>
      </c>
      <c r="E582" s="199">
        <v>3.84</v>
      </c>
      <c r="F582" s="199">
        <v>0.2</v>
      </c>
      <c r="G582" s="199">
        <v>0.7</v>
      </c>
      <c r="H582" s="199"/>
      <c r="I582" s="199">
        <f t="shared" si="14"/>
        <v>6.1439999999999992</v>
      </c>
      <c r="J582" s="219">
        <f t="shared" si="15"/>
        <v>0.53759999999999997</v>
      </c>
      <c r="K582" s="220">
        <f t="shared" si="16"/>
        <v>6.1439999999999992</v>
      </c>
      <c r="L582" s="255"/>
    </row>
    <row r="583" spans="2:12">
      <c r="B583" s="249" t="s">
        <v>1638</v>
      </c>
      <c r="C583" s="189" t="s">
        <v>1611</v>
      </c>
      <c r="D583" s="190" t="s">
        <v>169</v>
      </c>
      <c r="E583" s="199">
        <v>2.84</v>
      </c>
      <c r="F583" s="199">
        <v>0.2</v>
      </c>
      <c r="G583" s="199">
        <v>0.6</v>
      </c>
      <c r="H583" s="199"/>
      <c r="I583" s="199">
        <f t="shared" si="14"/>
        <v>3.9759999999999995</v>
      </c>
      <c r="J583" s="219">
        <f t="shared" si="15"/>
        <v>0.34079999999999994</v>
      </c>
      <c r="K583" s="220">
        <f t="shared" si="16"/>
        <v>3.976</v>
      </c>
      <c r="L583" s="255"/>
    </row>
    <row r="584" spans="2:12">
      <c r="B584" s="249" t="s">
        <v>1639</v>
      </c>
      <c r="C584" s="189" t="s">
        <v>1611</v>
      </c>
      <c r="D584" s="190" t="s">
        <v>169</v>
      </c>
      <c r="E584" s="199">
        <v>9.4700000000000006</v>
      </c>
      <c r="F584" s="199">
        <v>0.15</v>
      </c>
      <c r="G584" s="199">
        <v>1</v>
      </c>
      <c r="H584" s="199"/>
      <c r="I584" s="199">
        <f t="shared" si="14"/>
        <v>20.360500000000002</v>
      </c>
      <c r="J584" s="219">
        <f t="shared" si="15"/>
        <v>1.4205000000000001</v>
      </c>
      <c r="K584" s="220">
        <f t="shared" si="16"/>
        <v>20.360500000000002</v>
      </c>
      <c r="L584" s="255"/>
    </row>
    <row r="585" spans="2:12">
      <c r="B585" s="249" t="s">
        <v>1640</v>
      </c>
      <c r="C585" s="189" t="s">
        <v>1611</v>
      </c>
      <c r="D585" s="190" t="s">
        <v>169</v>
      </c>
      <c r="E585" s="199">
        <v>21.33</v>
      </c>
      <c r="F585" s="199">
        <v>0.15</v>
      </c>
      <c r="G585" s="199">
        <v>1</v>
      </c>
      <c r="H585" s="199"/>
      <c r="I585" s="199">
        <f t="shared" si="14"/>
        <v>45.859499999999997</v>
      </c>
      <c r="J585" s="219">
        <f t="shared" si="15"/>
        <v>3.1994999999999996</v>
      </c>
      <c r="K585" s="220">
        <f t="shared" si="16"/>
        <v>45.859499999999997</v>
      </c>
      <c r="L585" s="255"/>
    </row>
    <row r="586" spans="2:12">
      <c r="B586" s="249" t="s">
        <v>1641</v>
      </c>
      <c r="C586" s="189" t="s">
        <v>1611</v>
      </c>
      <c r="D586" s="190" t="s">
        <v>169</v>
      </c>
      <c r="E586" s="199">
        <v>4.58</v>
      </c>
      <c r="F586" s="199">
        <v>0.2</v>
      </c>
      <c r="G586" s="199">
        <v>0.6</v>
      </c>
      <c r="H586" s="199"/>
      <c r="I586" s="199">
        <f t="shared" si="14"/>
        <v>6.4119999999999999</v>
      </c>
      <c r="J586" s="219">
        <f t="shared" si="15"/>
        <v>0.54959999999999998</v>
      </c>
      <c r="K586" s="220">
        <f t="shared" si="16"/>
        <v>6.4119999999999999</v>
      </c>
      <c r="L586" s="255"/>
    </row>
    <row r="587" spans="2:12">
      <c r="B587" s="249"/>
      <c r="C587" s="250"/>
      <c r="D587" s="205"/>
      <c r="E587" s="199"/>
      <c r="F587" s="199"/>
      <c r="G587" s="199"/>
      <c r="H587" s="199"/>
      <c r="I587" s="199"/>
      <c r="J587" s="219"/>
      <c r="K587" s="220">
        <f t="shared" si="16"/>
        <v>0</v>
      </c>
      <c r="L587" s="255"/>
    </row>
    <row r="588" spans="2:12">
      <c r="B588" s="208"/>
      <c r="C588" s="204"/>
      <c r="D588" s="204"/>
      <c r="E588" s="204"/>
      <c r="F588" s="204"/>
      <c r="G588" s="204"/>
      <c r="H588" s="204"/>
      <c r="I588" s="557" t="s">
        <v>1221</v>
      </c>
      <c r="J588" s="557"/>
      <c r="K588" s="262">
        <f>SUM(K501:K587)</f>
        <v>1531.6890000000005</v>
      </c>
      <c r="L588" s="207"/>
    </row>
    <row r="589" spans="2:12">
      <c r="B589" s="208"/>
      <c r="C589" s="204"/>
      <c r="D589" s="204"/>
      <c r="E589" s="204"/>
      <c r="F589" s="204"/>
      <c r="G589" s="204"/>
      <c r="H589" s="209"/>
      <c r="I589" s="557" t="s">
        <v>1222</v>
      </c>
      <c r="J589" s="557"/>
      <c r="K589" s="221">
        <f>VLOOKUP(B499,'BM 004'!$B$27:$R$590,4,0)</f>
        <v>3575</v>
      </c>
      <c r="L589" s="207"/>
    </row>
    <row r="590" spans="2:12">
      <c r="B590" s="208"/>
      <c r="C590" s="204"/>
      <c r="D590" s="204"/>
      <c r="E590" s="204"/>
      <c r="F590" s="204"/>
      <c r="G590" s="204"/>
      <c r="H590" s="558" t="s">
        <v>1223</v>
      </c>
      <c r="I590" s="558"/>
      <c r="J590" s="558"/>
      <c r="K590" s="222">
        <v>969.43200000000002</v>
      </c>
      <c r="L590" s="207"/>
    </row>
    <row r="591" spans="2:12">
      <c r="B591" s="208"/>
      <c r="C591" s="204"/>
      <c r="D591" s="204"/>
      <c r="E591" s="204"/>
      <c r="F591" s="204"/>
      <c r="G591" s="204"/>
      <c r="H591" s="558" t="s">
        <v>1579</v>
      </c>
      <c r="I591" s="558"/>
      <c r="J591" s="558"/>
      <c r="K591" s="222">
        <f>TRUNC(SUMIF(C501:C587,H591,K501:K587),2)</f>
        <v>562.25</v>
      </c>
      <c r="L591" s="207"/>
    </row>
    <row r="592" spans="2:12">
      <c r="B592" s="213"/>
      <c r="C592" s="214"/>
      <c r="D592" s="214"/>
      <c r="E592" s="214"/>
      <c r="F592" s="214"/>
      <c r="G592" s="214"/>
      <c r="H592" s="559" t="s">
        <v>1224</v>
      </c>
      <c r="I592" s="559"/>
      <c r="J592" s="559"/>
      <c r="K592" s="223">
        <f>IF(K588&gt;K589,K588-K589,0)</f>
        <v>0</v>
      </c>
      <c r="L592" s="209"/>
    </row>
    <row r="594" spans="2:12">
      <c r="B594" s="247" t="s">
        <v>197</v>
      </c>
      <c r="C594" s="565" t="str">
        <f>VLOOKUP(B594,'BM 004'!$B$27:$R$590,2,0)</f>
        <v xml:space="preserve">Armação de pilar ou viga de uma estrutura convencional de concreto armado em um edifício de múltiplos pavimentos utilizando aço ca-60 de 5,0 mm - montagem. </v>
      </c>
      <c r="D594" s="565"/>
      <c r="E594" s="565"/>
      <c r="F594" s="565"/>
      <c r="G594" s="565"/>
      <c r="H594" s="565"/>
      <c r="I594" s="565"/>
      <c r="J594" s="565"/>
      <c r="K594" s="565"/>
      <c r="L594" s="565"/>
    </row>
    <row r="595" spans="2:12">
      <c r="B595" s="248" t="s">
        <v>1209</v>
      </c>
      <c r="C595" s="248"/>
      <c r="D595" s="248" t="s">
        <v>39</v>
      </c>
      <c r="E595" s="248" t="s">
        <v>1210</v>
      </c>
      <c r="F595" s="248" t="s">
        <v>1382</v>
      </c>
      <c r="G595" s="248" t="s">
        <v>1383</v>
      </c>
      <c r="H595" s="248" t="s">
        <v>1384</v>
      </c>
      <c r="I595" s="248" t="s">
        <v>1214</v>
      </c>
      <c r="J595" s="248" t="s">
        <v>1385</v>
      </c>
      <c r="K595" s="248" t="s">
        <v>1216</v>
      </c>
      <c r="L595" s="248" t="s">
        <v>1217</v>
      </c>
    </row>
    <row r="596" spans="2:12">
      <c r="B596" s="249" t="s">
        <v>1367</v>
      </c>
      <c r="C596" s="250" t="s">
        <v>1333</v>
      </c>
      <c r="D596" s="205" t="s">
        <v>152</v>
      </c>
      <c r="E596" s="251">
        <v>661</v>
      </c>
      <c r="F596" s="252">
        <v>0.154</v>
      </c>
      <c r="G596" s="251"/>
      <c r="H596" s="251">
        <v>1.1000000000000001</v>
      </c>
      <c r="I596" s="251"/>
      <c r="J596" s="253"/>
      <c r="K596" s="254">
        <f t="shared" ref="K596:K607" si="17">IF(E596*F596*G596&lt;&gt;0,E596*F596*G596,IF(E596*F596&lt;&gt;0,E596*F596,IF(F596*G596&lt;&gt;0,F596*G596,IF(E596*G596&lt;&gt;0,E596*G596,IF(E596&lt;&gt;0,E596,IF(F596&lt;&gt;0,F596,IF(G596&lt;&gt;0,G596,0)))))))*(IF(H596&lt;&gt;0,H596,1))+I596-J596</f>
        <v>111.97340000000001</v>
      </c>
      <c r="L596" s="255"/>
    </row>
    <row r="597" spans="2:12">
      <c r="B597" s="249" t="s">
        <v>1386</v>
      </c>
      <c r="C597" s="250" t="s">
        <v>1333</v>
      </c>
      <c r="D597" s="205" t="s">
        <v>152</v>
      </c>
      <c r="E597" s="251">
        <v>433</v>
      </c>
      <c r="F597" s="252">
        <v>0.154</v>
      </c>
      <c r="G597" s="251"/>
      <c r="H597" s="251">
        <v>1.1000000000000001</v>
      </c>
      <c r="I597" s="251"/>
      <c r="J597" s="253"/>
      <c r="K597" s="254">
        <f t="shared" si="17"/>
        <v>73.350200000000015</v>
      </c>
      <c r="L597" s="255"/>
    </row>
    <row r="598" spans="2:12">
      <c r="B598" s="263" t="s">
        <v>1475</v>
      </c>
      <c r="C598" s="264" t="s">
        <v>1441</v>
      </c>
      <c r="D598" s="205" t="s">
        <v>152</v>
      </c>
      <c r="E598" s="251">
        <v>257</v>
      </c>
      <c r="F598" s="252">
        <v>0.154</v>
      </c>
      <c r="G598" s="251"/>
      <c r="H598" s="251">
        <v>1.1000000000000001</v>
      </c>
      <c r="I598" s="251"/>
      <c r="J598" s="253"/>
      <c r="K598" s="254">
        <f t="shared" si="17"/>
        <v>43.535800000000009</v>
      </c>
      <c r="L598" s="255"/>
    </row>
    <row r="599" spans="2:12">
      <c r="B599" s="263" t="s">
        <v>1476</v>
      </c>
      <c r="C599" s="264" t="s">
        <v>1441</v>
      </c>
      <c r="D599" s="205" t="s">
        <v>152</v>
      </c>
      <c r="E599" s="251">
        <v>402</v>
      </c>
      <c r="F599" s="252">
        <v>0.154</v>
      </c>
      <c r="G599" s="251"/>
      <c r="H599" s="251">
        <v>1.1000000000000001</v>
      </c>
      <c r="I599" s="251"/>
      <c r="J599" s="253"/>
      <c r="K599" s="254">
        <f t="shared" si="17"/>
        <v>68.098800000000011</v>
      </c>
      <c r="L599" s="255"/>
    </row>
    <row r="600" spans="2:12">
      <c r="B600" s="263" t="s">
        <v>1552</v>
      </c>
      <c r="C600" s="264" t="s">
        <v>1521</v>
      </c>
      <c r="D600" s="205" t="s">
        <v>152</v>
      </c>
      <c r="E600" s="251">
        <v>759</v>
      </c>
      <c r="F600" s="252">
        <v>0.154</v>
      </c>
      <c r="G600" s="251"/>
      <c r="H600" s="251">
        <v>1.1000000000000001</v>
      </c>
      <c r="I600" s="251"/>
      <c r="J600" s="253"/>
      <c r="K600" s="254">
        <f t="shared" si="17"/>
        <v>128.5746</v>
      </c>
      <c r="L600" s="266"/>
    </row>
    <row r="601" spans="2:12">
      <c r="B601" s="263" t="s">
        <v>1553</v>
      </c>
      <c r="C601" s="264" t="s">
        <v>1521</v>
      </c>
      <c r="D601" s="205" t="s">
        <v>152</v>
      </c>
      <c r="E601" s="251">
        <v>239</v>
      </c>
      <c r="F601" s="252">
        <v>0.154</v>
      </c>
      <c r="G601" s="251"/>
      <c r="H601" s="251">
        <v>1.1000000000000001</v>
      </c>
      <c r="I601" s="251"/>
      <c r="J601" s="253"/>
      <c r="K601" s="254">
        <f t="shared" si="17"/>
        <v>40.486600000000003</v>
      </c>
      <c r="L601" s="266"/>
    </row>
    <row r="602" spans="2:12">
      <c r="B602" s="263" t="s">
        <v>1642</v>
      </c>
      <c r="C602" s="264" t="s">
        <v>1611</v>
      </c>
      <c r="D602" s="205" t="s">
        <v>152</v>
      </c>
      <c r="E602" s="251">
        <v>433</v>
      </c>
      <c r="F602" s="252">
        <v>0.154</v>
      </c>
      <c r="G602" s="251"/>
      <c r="H602" s="251">
        <v>1.1000000000000001</v>
      </c>
      <c r="I602" s="251"/>
      <c r="J602" s="253"/>
      <c r="K602" s="254">
        <f t="shared" si="17"/>
        <v>73.350200000000015</v>
      </c>
      <c r="L602" s="266"/>
    </row>
    <row r="603" spans="2:12">
      <c r="B603" s="263" t="s">
        <v>1643</v>
      </c>
      <c r="C603" s="264" t="s">
        <v>1611</v>
      </c>
      <c r="D603" s="205" t="s">
        <v>152</v>
      </c>
      <c r="E603" s="251">
        <v>276</v>
      </c>
      <c r="F603" s="252">
        <v>0.154</v>
      </c>
      <c r="G603" s="251"/>
      <c r="H603" s="251">
        <v>1.1000000000000001</v>
      </c>
      <c r="I603" s="251"/>
      <c r="J603" s="253"/>
      <c r="K603" s="254">
        <f t="shared" si="17"/>
        <v>46.754400000000004</v>
      </c>
      <c r="L603" s="266"/>
    </row>
    <row r="604" spans="2:12">
      <c r="B604" s="263" t="s">
        <v>1644</v>
      </c>
      <c r="C604" s="264" t="s">
        <v>1612</v>
      </c>
      <c r="D604" s="205" t="s">
        <v>152</v>
      </c>
      <c r="E604" s="251">
        <v>214</v>
      </c>
      <c r="F604" s="252">
        <v>0.154</v>
      </c>
      <c r="G604" s="251"/>
      <c r="H604" s="251">
        <v>1.1000000000000001</v>
      </c>
      <c r="I604" s="251"/>
      <c r="J604" s="253"/>
      <c r="K604" s="254">
        <f t="shared" si="17"/>
        <v>36.251600000000003</v>
      </c>
      <c r="L604" s="266"/>
    </row>
    <row r="605" spans="2:12">
      <c r="B605" s="263" t="s">
        <v>1645</v>
      </c>
      <c r="C605" s="264" t="s">
        <v>1612</v>
      </c>
      <c r="D605" s="205" t="s">
        <v>152</v>
      </c>
      <c r="E605" s="251">
        <v>580</v>
      </c>
      <c r="F605" s="252">
        <v>0.154</v>
      </c>
      <c r="G605" s="251"/>
      <c r="H605" s="251">
        <v>1.1000000000000001</v>
      </c>
      <c r="I605" s="251"/>
      <c r="J605" s="253"/>
      <c r="K605" s="254">
        <f t="shared" si="17"/>
        <v>98.251999999999995</v>
      </c>
      <c r="L605" s="266"/>
    </row>
    <row r="606" spans="2:12">
      <c r="B606" s="263" t="s">
        <v>1646</v>
      </c>
      <c r="C606" s="264" t="s">
        <v>1612</v>
      </c>
      <c r="D606" s="205" t="s">
        <v>152</v>
      </c>
      <c r="E606" s="251">
        <v>565</v>
      </c>
      <c r="F606" s="252">
        <v>0.154</v>
      </c>
      <c r="G606" s="251"/>
      <c r="H606" s="251">
        <v>1.1000000000000001</v>
      </c>
      <c r="I606" s="251"/>
      <c r="J606" s="253"/>
      <c r="K606" s="254">
        <f t="shared" si="17"/>
        <v>95.711000000000013</v>
      </c>
      <c r="L606" s="266"/>
    </row>
    <row r="607" spans="2:12">
      <c r="B607" s="256"/>
      <c r="C607" s="210"/>
      <c r="D607" s="210"/>
      <c r="E607" s="257"/>
      <c r="F607" s="258"/>
      <c r="G607" s="257"/>
      <c r="H607" s="257"/>
      <c r="I607" s="257"/>
      <c r="J607" s="259"/>
      <c r="K607" s="260">
        <f t="shared" si="17"/>
        <v>0</v>
      </c>
      <c r="L607" s="210"/>
    </row>
    <row r="608" spans="2:12">
      <c r="B608" s="202"/>
      <c r="C608" s="203"/>
      <c r="D608" s="203"/>
      <c r="E608" s="203"/>
      <c r="F608" s="203"/>
      <c r="G608" s="203"/>
      <c r="H608" s="204"/>
      <c r="I608" s="556" t="s">
        <v>1221</v>
      </c>
      <c r="J608" s="556"/>
      <c r="K608" s="220">
        <f>SUM(K596:K607)</f>
        <v>816.33860000000016</v>
      </c>
      <c r="L608" s="207"/>
    </row>
    <row r="609" spans="2:12">
      <c r="B609" s="208"/>
      <c r="C609" s="204"/>
      <c r="D609" s="204"/>
      <c r="E609" s="204"/>
      <c r="F609" s="204"/>
      <c r="G609" s="204"/>
      <c r="H609" s="209"/>
      <c r="I609" s="557" t="s">
        <v>1222</v>
      </c>
      <c r="J609" s="557"/>
      <c r="K609" s="221">
        <f>VLOOKUP(B594,'BM 004'!$B$27:$R$590,4,0)</f>
        <v>2130.6999999999998</v>
      </c>
      <c r="L609" s="207"/>
    </row>
    <row r="610" spans="2:12">
      <c r="B610" s="208"/>
      <c r="C610" s="204"/>
      <c r="D610" s="204"/>
      <c r="E610" s="204"/>
      <c r="F610" s="204"/>
      <c r="G610" s="204"/>
      <c r="H610" s="558" t="s">
        <v>1223</v>
      </c>
      <c r="I610" s="558"/>
      <c r="J610" s="558"/>
      <c r="K610" s="222">
        <f>K608-K611</f>
        <v>586.12860000000012</v>
      </c>
      <c r="L610" s="207"/>
    </row>
    <row r="611" spans="2:12">
      <c r="B611" s="208"/>
      <c r="C611" s="204"/>
      <c r="D611" s="204"/>
      <c r="E611" s="204"/>
      <c r="F611" s="204"/>
      <c r="G611" s="204"/>
      <c r="H611" s="558" t="s">
        <v>1592</v>
      </c>
      <c r="I611" s="558"/>
      <c r="J611" s="558"/>
      <c r="K611" s="222">
        <f>TRUNC(SUMIF(C596:C607,H611,K596:K607),2)</f>
        <v>230.21</v>
      </c>
      <c r="L611" s="207"/>
    </row>
    <row r="612" spans="2:12">
      <c r="B612" s="213"/>
      <c r="C612" s="214"/>
      <c r="D612" s="214"/>
      <c r="E612" s="214"/>
      <c r="F612" s="214"/>
      <c r="G612" s="214"/>
      <c r="H612" s="559" t="s">
        <v>1224</v>
      </c>
      <c r="I612" s="559"/>
      <c r="J612" s="559"/>
      <c r="K612" s="223">
        <f>IF(K608&gt;K609,K608-K609,0)</f>
        <v>0</v>
      </c>
      <c r="L612" s="209"/>
    </row>
    <row r="614" spans="2:12">
      <c r="B614" s="247" t="s">
        <v>199</v>
      </c>
      <c r="C614" s="565" t="str">
        <f>VLOOKUP(B614,'BM 004'!$B$27:$R$590,2,0)</f>
        <v xml:space="preserve">Armação de pilar ou viga de uma estrutura convencional de concreto armado em um edifício de múltiplos pavimentos utilizando aço ca-50 de 6,3 mm - montagem.  </v>
      </c>
      <c r="D614" s="565"/>
      <c r="E614" s="565"/>
      <c r="F614" s="565"/>
      <c r="G614" s="565"/>
      <c r="H614" s="565"/>
      <c r="I614" s="565"/>
      <c r="J614" s="565"/>
      <c r="K614" s="565"/>
      <c r="L614" s="565"/>
    </row>
    <row r="615" spans="2:12">
      <c r="B615" s="248" t="s">
        <v>1209</v>
      </c>
      <c r="C615" s="248"/>
      <c r="D615" s="248" t="s">
        <v>39</v>
      </c>
      <c r="E615" s="248" t="s">
        <v>1210</v>
      </c>
      <c r="F615" s="248" t="s">
        <v>1382</v>
      </c>
      <c r="G615" s="248" t="s">
        <v>1383</v>
      </c>
      <c r="H615" s="248" t="s">
        <v>1384</v>
      </c>
      <c r="I615" s="248" t="s">
        <v>1214</v>
      </c>
      <c r="J615" s="248" t="s">
        <v>1385</v>
      </c>
      <c r="K615" s="248" t="s">
        <v>1216</v>
      </c>
      <c r="L615" s="248" t="s">
        <v>1217</v>
      </c>
    </row>
    <row r="616" spans="2:12">
      <c r="B616" s="249" t="s">
        <v>1367</v>
      </c>
      <c r="C616" s="250" t="s">
        <v>1333</v>
      </c>
      <c r="D616" s="205" t="s">
        <v>152</v>
      </c>
      <c r="E616" s="251">
        <v>510</v>
      </c>
      <c r="F616" s="252">
        <v>0.245</v>
      </c>
      <c r="G616" s="251"/>
      <c r="H616" s="251">
        <v>1.1000000000000001</v>
      </c>
      <c r="I616" s="251"/>
      <c r="J616" s="253"/>
      <c r="K616" s="254">
        <f t="shared" ref="K616:K627" si="18">IF(E616*F616*G616&lt;&gt;0,E616*F616*G616,IF(E616*F616&lt;&gt;0,E616*F616,IF(F616*G616&lt;&gt;0,F616*G616,IF(E616*G616&lt;&gt;0,E616*G616,IF(E616&lt;&gt;0,E616,IF(F616&lt;&gt;0,F616,IF(G616&lt;&gt;0,G616,0)))))))*(IF(H616&lt;&gt;0,H616,1))+I616-J616</f>
        <v>137.44500000000002</v>
      </c>
      <c r="L616" s="255"/>
    </row>
    <row r="617" spans="2:12">
      <c r="B617" s="249" t="s">
        <v>1386</v>
      </c>
      <c r="C617" s="250" t="s">
        <v>1333</v>
      </c>
      <c r="D617" s="205" t="s">
        <v>152</v>
      </c>
      <c r="E617" s="251">
        <v>363</v>
      </c>
      <c r="F617" s="252">
        <v>0.245</v>
      </c>
      <c r="G617" s="251"/>
      <c r="H617" s="251">
        <v>1.1000000000000001</v>
      </c>
      <c r="I617" s="251"/>
      <c r="J617" s="253"/>
      <c r="K617" s="254">
        <f t="shared" si="18"/>
        <v>97.828500000000005</v>
      </c>
      <c r="L617" s="255"/>
    </row>
    <row r="618" spans="2:12">
      <c r="B618" s="263" t="s">
        <v>1475</v>
      </c>
      <c r="C618" s="264" t="s">
        <v>1441</v>
      </c>
      <c r="D618" s="205" t="s">
        <v>152</v>
      </c>
      <c r="E618" s="251">
        <v>425</v>
      </c>
      <c r="F618" s="252">
        <v>0.245</v>
      </c>
      <c r="G618" s="251"/>
      <c r="H618" s="251">
        <v>1.1000000000000001</v>
      </c>
      <c r="I618" s="251"/>
      <c r="J618" s="253"/>
      <c r="K618" s="254">
        <f t="shared" si="18"/>
        <v>114.53750000000001</v>
      </c>
      <c r="L618" s="255"/>
    </row>
    <row r="619" spans="2:12">
      <c r="B619" s="263" t="s">
        <v>1476</v>
      </c>
      <c r="C619" s="264" t="s">
        <v>1441</v>
      </c>
      <c r="D619" s="205" t="s">
        <v>152</v>
      </c>
      <c r="E619" s="251">
        <v>443</v>
      </c>
      <c r="F619" s="252">
        <v>0.245</v>
      </c>
      <c r="G619" s="251"/>
      <c r="H619" s="251">
        <v>1.1000000000000001</v>
      </c>
      <c r="I619" s="251"/>
      <c r="J619" s="253"/>
      <c r="K619" s="254">
        <f t="shared" si="18"/>
        <v>119.38850000000001</v>
      </c>
      <c r="L619" s="255"/>
    </row>
    <row r="620" spans="2:12">
      <c r="B620" s="263" t="s">
        <v>1552</v>
      </c>
      <c r="C620" s="264" t="s">
        <v>1521</v>
      </c>
      <c r="D620" s="205" t="s">
        <v>152</v>
      </c>
      <c r="E620" s="251">
        <v>1139</v>
      </c>
      <c r="F620" s="252">
        <v>0.245</v>
      </c>
      <c r="G620" s="251"/>
      <c r="H620" s="251">
        <v>1.1000000000000001</v>
      </c>
      <c r="I620" s="251"/>
      <c r="J620" s="253"/>
      <c r="K620" s="254">
        <f t="shared" si="18"/>
        <v>306.96050000000002</v>
      </c>
      <c r="L620" s="266"/>
    </row>
    <row r="621" spans="2:12">
      <c r="B621" s="263" t="s">
        <v>1553</v>
      </c>
      <c r="C621" s="264" t="s">
        <v>1521</v>
      </c>
      <c r="D621" s="205" t="s">
        <v>152</v>
      </c>
      <c r="E621" s="251">
        <v>362</v>
      </c>
      <c r="F621" s="252">
        <v>0.245</v>
      </c>
      <c r="G621" s="251"/>
      <c r="H621" s="251">
        <v>1.1000000000000001</v>
      </c>
      <c r="I621" s="251"/>
      <c r="J621" s="253"/>
      <c r="K621" s="254">
        <f t="shared" si="18"/>
        <v>97.559000000000012</v>
      </c>
      <c r="L621" s="266"/>
    </row>
    <row r="622" spans="2:12">
      <c r="B622" s="263" t="s">
        <v>1642</v>
      </c>
      <c r="C622" s="264" t="s">
        <v>1611</v>
      </c>
      <c r="D622" s="205" t="s">
        <v>152</v>
      </c>
      <c r="E622" s="251">
        <v>452</v>
      </c>
      <c r="F622" s="252">
        <v>0.245</v>
      </c>
      <c r="G622" s="251"/>
      <c r="H622" s="251">
        <v>1.1000000000000001</v>
      </c>
      <c r="I622" s="251"/>
      <c r="J622" s="253"/>
      <c r="K622" s="254">
        <f t="shared" si="18"/>
        <v>121.81400000000001</v>
      </c>
      <c r="L622" s="266"/>
    </row>
    <row r="623" spans="2:12">
      <c r="B623" s="263" t="s">
        <v>1643</v>
      </c>
      <c r="C623" s="264" t="s">
        <v>1611</v>
      </c>
      <c r="D623" s="205" t="s">
        <v>152</v>
      </c>
      <c r="E623" s="251">
        <v>421</v>
      </c>
      <c r="F623" s="252">
        <v>0.245</v>
      </c>
      <c r="G623" s="251"/>
      <c r="H623" s="251">
        <v>1.1000000000000001</v>
      </c>
      <c r="I623" s="251"/>
      <c r="J623" s="253"/>
      <c r="K623" s="254">
        <f t="shared" si="18"/>
        <v>113.45950000000001</v>
      </c>
      <c r="L623" s="266"/>
    </row>
    <row r="624" spans="2:12">
      <c r="B624" s="263" t="s">
        <v>1644</v>
      </c>
      <c r="C624" s="264" t="s">
        <v>1612</v>
      </c>
      <c r="D624" s="205" t="s">
        <v>152</v>
      </c>
      <c r="E624" s="251">
        <v>376</v>
      </c>
      <c r="F624" s="252">
        <v>0.245</v>
      </c>
      <c r="G624" s="251"/>
      <c r="H624" s="251">
        <v>1.1000000000000001</v>
      </c>
      <c r="I624" s="251"/>
      <c r="J624" s="253"/>
      <c r="K624" s="254">
        <f t="shared" si="18"/>
        <v>101.33200000000001</v>
      </c>
      <c r="L624" s="266"/>
    </row>
    <row r="625" spans="2:12">
      <c r="B625" s="263" t="s">
        <v>1645</v>
      </c>
      <c r="C625" s="264" t="s">
        <v>1612</v>
      </c>
      <c r="D625" s="205" t="s">
        <v>152</v>
      </c>
      <c r="E625" s="251">
        <v>524</v>
      </c>
      <c r="F625" s="252">
        <v>0.245</v>
      </c>
      <c r="G625" s="251"/>
      <c r="H625" s="251">
        <v>1.1000000000000001</v>
      </c>
      <c r="I625" s="251"/>
      <c r="J625" s="253"/>
      <c r="K625" s="254">
        <f t="shared" si="18"/>
        <v>141.21800000000002</v>
      </c>
      <c r="L625" s="266"/>
    </row>
    <row r="626" spans="2:12">
      <c r="B626" s="263" t="s">
        <v>1646</v>
      </c>
      <c r="C626" s="264" t="s">
        <v>1612</v>
      </c>
      <c r="D626" s="205" t="s">
        <v>152</v>
      </c>
      <c r="E626" s="251">
        <v>933</v>
      </c>
      <c r="F626" s="252">
        <v>0.245</v>
      </c>
      <c r="G626" s="251"/>
      <c r="H626" s="251">
        <v>1.1000000000000001</v>
      </c>
      <c r="I626" s="251"/>
      <c r="J626" s="253"/>
      <c r="K626" s="254">
        <f t="shared" si="18"/>
        <v>251.44350000000003</v>
      </c>
      <c r="L626" s="266"/>
    </row>
    <row r="627" spans="2:12">
      <c r="B627" s="256"/>
      <c r="C627" s="210"/>
      <c r="D627" s="210"/>
      <c r="E627" s="257"/>
      <c r="F627" s="258"/>
      <c r="G627" s="257"/>
      <c r="H627" s="257"/>
      <c r="I627" s="257"/>
      <c r="J627" s="259"/>
      <c r="K627" s="260">
        <f t="shared" si="18"/>
        <v>0</v>
      </c>
      <c r="L627" s="210"/>
    </row>
    <row r="628" spans="2:12">
      <c r="B628" s="202"/>
      <c r="C628" s="203"/>
      <c r="D628" s="203"/>
      <c r="E628" s="203"/>
      <c r="F628" s="203"/>
      <c r="G628" s="203"/>
      <c r="H628" s="204"/>
      <c r="I628" s="556" t="s">
        <v>1221</v>
      </c>
      <c r="J628" s="556"/>
      <c r="K628" s="220">
        <f>SUM(K616:K627)</f>
        <v>1602.9860000000003</v>
      </c>
      <c r="L628" s="207"/>
    </row>
    <row r="629" spans="2:12">
      <c r="B629" s="208"/>
      <c r="C629" s="204"/>
      <c r="D629" s="204"/>
      <c r="E629" s="204"/>
      <c r="F629" s="204"/>
      <c r="G629" s="204"/>
      <c r="H629" s="209"/>
      <c r="I629" s="557" t="s">
        <v>1222</v>
      </c>
      <c r="J629" s="557"/>
      <c r="K629" s="221">
        <f>VLOOKUP(B614,'BM 004'!$B$27:$R$590,4,0)</f>
        <v>3031.6</v>
      </c>
      <c r="L629" s="207"/>
    </row>
    <row r="630" spans="2:12">
      <c r="B630" s="208"/>
      <c r="C630" s="204"/>
      <c r="D630" s="204"/>
      <c r="E630" s="204"/>
      <c r="F630" s="204"/>
      <c r="G630" s="204"/>
      <c r="H630" s="558" t="s">
        <v>1223</v>
      </c>
      <c r="I630" s="558"/>
      <c r="J630" s="558"/>
      <c r="K630" s="222">
        <f>K628-K631</f>
        <v>1108.9960000000003</v>
      </c>
      <c r="L630" s="207"/>
    </row>
    <row r="631" spans="2:12">
      <c r="B631" s="208"/>
      <c r="C631" s="204"/>
      <c r="D631" s="204"/>
      <c r="E631" s="204"/>
      <c r="F631" s="204"/>
      <c r="G631" s="204"/>
      <c r="H631" s="558" t="s">
        <v>1592</v>
      </c>
      <c r="I631" s="558"/>
      <c r="J631" s="558"/>
      <c r="K631" s="222">
        <f>TRUNC(SUMIF(C616:C627,H631,K616:K627),2)</f>
        <v>493.99</v>
      </c>
      <c r="L631" s="207"/>
    </row>
    <row r="632" spans="2:12">
      <c r="B632" s="213"/>
      <c r="C632" s="214"/>
      <c r="D632" s="214"/>
      <c r="E632" s="214"/>
      <c r="F632" s="214"/>
      <c r="G632" s="214"/>
      <c r="H632" s="559" t="s">
        <v>1224</v>
      </c>
      <c r="I632" s="559"/>
      <c r="J632" s="559"/>
      <c r="K632" s="223">
        <f>IF(K628&gt;K629,K628-K629,0)</f>
        <v>0</v>
      </c>
      <c r="L632" s="209"/>
    </row>
    <row r="634" spans="2:12">
      <c r="B634" s="247" t="s">
        <v>201</v>
      </c>
      <c r="C634" s="565" t="str">
        <f>VLOOKUP(B634,'BM 004'!$B$27:$R$590,2,0)</f>
        <v xml:space="preserve">Armação de pilar ou viga de uma estrutura convencional de concreto armado em um edifício de múltiplos pavimentos utilizando aço ca-50 de 8,0 mm - montagem. </v>
      </c>
      <c r="D634" s="565"/>
      <c r="E634" s="565"/>
      <c r="F634" s="565"/>
      <c r="G634" s="565"/>
      <c r="H634" s="565"/>
      <c r="I634" s="565"/>
      <c r="J634" s="565"/>
      <c r="K634" s="565"/>
      <c r="L634" s="565"/>
    </row>
    <row r="635" spans="2:12">
      <c r="B635" s="248" t="s">
        <v>1209</v>
      </c>
      <c r="C635" s="248"/>
      <c r="D635" s="248" t="s">
        <v>39</v>
      </c>
      <c r="E635" s="248" t="s">
        <v>1210</v>
      </c>
      <c r="F635" s="248" t="s">
        <v>1382</v>
      </c>
      <c r="G635" s="248" t="s">
        <v>1383</v>
      </c>
      <c r="H635" s="248" t="s">
        <v>1384</v>
      </c>
      <c r="I635" s="248" t="s">
        <v>1214</v>
      </c>
      <c r="J635" s="248" t="s">
        <v>1385</v>
      </c>
      <c r="K635" s="248" t="s">
        <v>1216</v>
      </c>
      <c r="L635" s="248" t="s">
        <v>1217</v>
      </c>
    </row>
    <row r="636" spans="2:12">
      <c r="B636" s="249" t="s">
        <v>1367</v>
      </c>
      <c r="C636" s="250" t="s">
        <v>1333</v>
      </c>
      <c r="D636" s="205" t="s">
        <v>152</v>
      </c>
      <c r="E636" s="251">
        <v>415</v>
      </c>
      <c r="F636" s="252">
        <v>0.39500000000000002</v>
      </c>
      <c r="G636" s="251"/>
      <c r="H636" s="251">
        <v>1.1000000000000001</v>
      </c>
      <c r="I636" s="251"/>
      <c r="J636" s="253"/>
      <c r="K636" s="254">
        <f t="shared" ref="K636:K648" si="19">IF(E636*F636*G636&lt;&gt;0,E636*F636*G636,IF(E636*F636&lt;&gt;0,E636*F636,IF(F636*G636&lt;&gt;0,F636*G636,IF(E636*G636&lt;&gt;0,E636*G636,IF(E636&lt;&gt;0,E636,IF(F636&lt;&gt;0,F636,IF(G636&lt;&gt;0,G636,0)))))))*(IF(H636&lt;&gt;0,H636,1))+I636-J636</f>
        <v>180.31750000000002</v>
      </c>
      <c r="L636" s="255"/>
    </row>
    <row r="637" spans="2:12">
      <c r="B637" s="249" t="s">
        <v>1386</v>
      </c>
      <c r="C637" s="250" t="s">
        <v>1333</v>
      </c>
      <c r="D637" s="205" t="s">
        <v>152</v>
      </c>
      <c r="E637" s="251">
        <v>427</v>
      </c>
      <c r="F637" s="252">
        <v>0.39500000000000002</v>
      </c>
      <c r="G637" s="251"/>
      <c r="H637" s="251">
        <v>1.1000000000000001</v>
      </c>
      <c r="I637" s="251"/>
      <c r="J637" s="253"/>
      <c r="K637" s="254">
        <f t="shared" si="19"/>
        <v>185.53150000000005</v>
      </c>
      <c r="L637" s="255"/>
    </row>
    <row r="638" spans="2:12">
      <c r="B638" s="263" t="s">
        <v>1475</v>
      </c>
      <c r="C638" s="264" t="s">
        <v>1441</v>
      </c>
      <c r="D638" s="205" t="s">
        <v>152</v>
      </c>
      <c r="E638" s="251">
        <v>851</v>
      </c>
      <c r="F638" s="252">
        <v>0.39500000000000002</v>
      </c>
      <c r="G638" s="251"/>
      <c r="H638" s="251">
        <v>1.1000000000000001</v>
      </c>
      <c r="I638" s="251"/>
      <c r="J638" s="253"/>
      <c r="K638" s="254">
        <f t="shared" si="19"/>
        <v>369.75950000000006</v>
      </c>
      <c r="L638" s="255"/>
    </row>
    <row r="639" spans="2:12">
      <c r="B639" s="263" t="s">
        <v>1476</v>
      </c>
      <c r="C639" s="264" t="s">
        <v>1441</v>
      </c>
      <c r="D639" s="205" t="s">
        <v>152</v>
      </c>
      <c r="E639" s="251">
        <v>950</v>
      </c>
      <c r="F639" s="252">
        <v>0.39500000000000002</v>
      </c>
      <c r="G639" s="251"/>
      <c r="H639" s="251">
        <v>1.1000000000000001</v>
      </c>
      <c r="I639" s="251"/>
      <c r="J639" s="253"/>
      <c r="K639" s="254">
        <f t="shared" si="19"/>
        <v>412.77500000000003</v>
      </c>
      <c r="L639" s="255"/>
    </row>
    <row r="640" spans="2:12">
      <c r="B640" s="263" t="s">
        <v>1477</v>
      </c>
      <c r="C640" s="264" t="s">
        <v>1441</v>
      </c>
      <c r="D640" s="205" t="s">
        <v>152</v>
      </c>
      <c r="E640" s="251"/>
      <c r="F640" s="252"/>
      <c r="G640" s="251"/>
      <c r="H640" s="251"/>
      <c r="I640" s="251">
        <v>146.04</v>
      </c>
      <c r="J640" s="253"/>
      <c r="K640" s="254">
        <f t="shared" si="19"/>
        <v>146.04</v>
      </c>
      <c r="L640" s="255"/>
    </row>
    <row r="641" spans="2:12">
      <c r="B641" s="263" t="s">
        <v>1552</v>
      </c>
      <c r="C641" s="264" t="s">
        <v>1521</v>
      </c>
      <c r="D641" s="205" t="s">
        <v>152</v>
      </c>
      <c r="E641" s="251">
        <v>343</v>
      </c>
      <c r="F641" s="252">
        <v>0.39500000000000002</v>
      </c>
      <c r="G641" s="251"/>
      <c r="H641" s="251">
        <v>1.1000000000000001</v>
      </c>
      <c r="I641" s="251"/>
      <c r="J641" s="253"/>
      <c r="K641" s="254">
        <f t="shared" si="19"/>
        <v>149.03350000000003</v>
      </c>
      <c r="L641" s="266"/>
    </row>
    <row r="642" spans="2:12">
      <c r="B642" s="263" t="s">
        <v>1553</v>
      </c>
      <c r="C642" s="264" t="s">
        <v>1521</v>
      </c>
      <c r="D642" s="205" t="s">
        <v>152</v>
      </c>
      <c r="E642" s="251">
        <v>313</v>
      </c>
      <c r="F642" s="252">
        <v>0.39500000000000002</v>
      </c>
      <c r="G642" s="251"/>
      <c r="H642" s="251">
        <v>1.1000000000000001</v>
      </c>
      <c r="I642" s="251"/>
      <c r="J642" s="253"/>
      <c r="K642" s="254">
        <f t="shared" si="19"/>
        <v>135.99850000000001</v>
      </c>
      <c r="L642" s="266"/>
    </row>
    <row r="643" spans="2:12">
      <c r="B643" s="263" t="s">
        <v>1642</v>
      </c>
      <c r="C643" s="264" t="s">
        <v>1611</v>
      </c>
      <c r="D643" s="205" t="s">
        <v>152</v>
      </c>
      <c r="E643" s="251">
        <v>369</v>
      </c>
      <c r="F643" s="252">
        <v>0.39500000000000002</v>
      </c>
      <c r="G643" s="251"/>
      <c r="H643" s="251">
        <v>1.1000000000000001</v>
      </c>
      <c r="I643" s="251"/>
      <c r="J643" s="253"/>
      <c r="K643" s="254">
        <f t="shared" si="19"/>
        <v>160.3305</v>
      </c>
      <c r="L643" s="266"/>
    </row>
    <row r="644" spans="2:12">
      <c r="B644" s="263" t="s">
        <v>1643</v>
      </c>
      <c r="C644" s="264" t="s">
        <v>1611</v>
      </c>
      <c r="D644" s="205" t="s">
        <v>152</v>
      </c>
      <c r="E644" s="251">
        <v>427</v>
      </c>
      <c r="F644" s="252">
        <v>0.39500000000000002</v>
      </c>
      <c r="G644" s="251"/>
      <c r="H644" s="251">
        <v>1.1000000000000001</v>
      </c>
      <c r="I644" s="251"/>
      <c r="J644" s="253"/>
      <c r="K644" s="254">
        <f t="shared" si="19"/>
        <v>185.53150000000005</v>
      </c>
      <c r="L644" s="266"/>
    </row>
    <row r="645" spans="2:12">
      <c r="B645" s="263" t="s">
        <v>1644</v>
      </c>
      <c r="C645" s="264" t="s">
        <v>1612</v>
      </c>
      <c r="D645" s="205" t="s">
        <v>152</v>
      </c>
      <c r="E645" s="251">
        <v>866</v>
      </c>
      <c r="F645" s="252">
        <v>0.39500000000000002</v>
      </c>
      <c r="G645" s="251"/>
      <c r="H645" s="251">
        <v>1.1000000000000001</v>
      </c>
      <c r="I645" s="251"/>
      <c r="J645" s="253"/>
      <c r="K645" s="254">
        <f t="shared" si="19"/>
        <v>376.27700000000004</v>
      </c>
      <c r="L645" s="266"/>
    </row>
    <row r="646" spans="2:12">
      <c r="B646" s="263" t="s">
        <v>1645</v>
      </c>
      <c r="C646" s="264" t="s">
        <v>1612</v>
      </c>
      <c r="D646" s="205" t="s">
        <v>152</v>
      </c>
      <c r="E646" s="251">
        <v>550</v>
      </c>
      <c r="F646" s="252">
        <v>0.39500000000000002</v>
      </c>
      <c r="G646" s="251"/>
      <c r="H646" s="251">
        <v>1.1000000000000001</v>
      </c>
      <c r="I646" s="251"/>
      <c r="J646" s="253"/>
      <c r="K646" s="254">
        <f t="shared" si="19"/>
        <v>238.97500000000002</v>
      </c>
      <c r="L646" s="266"/>
    </row>
    <row r="647" spans="2:12">
      <c r="B647" s="263" t="s">
        <v>1646</v>
      </c>
      <c r="C647" s="264" t="s">
        <v>1612</v>
      </c>
      <c r="D647" s="205" t="s">
        <v>152</v>
      </c>
      <c r="E647" s="251">
        <v>186</v>
      </c>
      <c r="F647" s="252">
        <v>0.39500000000000002</v>
      </c>
      <c r="G647" s="251"/>
      <c r="H647" s="251">
        <v>1.1000000000000001</v>
      </c>
      <c r="I647" s="251"/>
      <c r="J647" s="253"/>
      <c r="K647" s="254">
        <f t="shared" si="19"/>
        <v>80.817000000000007</v>
      </c>
      <c r="L647" s="266"/>
    </row>
    <row r="648" spans="2:12">
      <c r="B648" s="256"/>
      <c r="C648" s="210"/>
      <c r="D648" s="210"/>
      <c r="E648" s="257"/>
      <c r="F648" s="258"/>
      <c r="G648" s="257"/>
      <c r="H648" s="257"/>
      <c r="I648" s="257"/>
      <c r="J648" s="259"/>
      <c r="K648" s="260">
        <f t="shared" si="19"/>
        <v>0</v>
      </c>
      <c r="L648" s="210"/>
    </row>
    <row r="649" spans="2:12">
      <c r="B649" s="202"/>
      <c r="C649" s="203"/>
      <c r="D649" s="203"/>
      <c r="E649" s="203"/>
      <c r="F649" s="203"/>
      <c r="G649" s="203"/>
      <c r="H649" s="204"/>
      <c r="I649" s="556" t="s">
        <v>1221</v>
      </c>
      <c r="J649" s="556"/>
      <c r="K649" s="220">
        <f>SUM(K636:K648)</f>
        <v>2621.3865000000001</v>
      </c>
      <c r="L649" s="207"/>
    </row>
    <row r="650" spans="2:12">
      <c r="B650" s="208"/>
      <c r="C650" s="204"/>
      <c r="D650" s="204"/>
      <c r="E650" s="204"/>
      <c r="F650" s="204"/>
      <c r="G650" s="204"/>
      <c r="H650" s="209"/>
      <c r="I650" s="557" t="s">
        <v>1222</v>
      </c>
      <c r="J650" s="557"/>
      <c r="K650" s="221">
        <f>VLOOKUP(B634,'BM 004'!$B$27:$R$590,4,0)</f>
        <v>5608.9</v>
      </c>
      <c r="L650" s="207"/>
    </row>
    <row r="651" spans="2:12">
      <c r="B651" s="208"/>
      <c r="C651" s="204"/>
      <c r="D651" s="204"/>
      <c r="E651" s="204"/>
      <c r="F651" s="204"/>
      <c r="G651" s="204"/>
      <c r="H651" s="558" t="s">
        <v>1223</v>
      </c>
      <c r="I651" s="558"/>
      <c r="J651" s="558"/>
      <c r="K651" s="222">
        <f>K649-K652</f>
        <v>1925.3265000000001</v>
      </c>
      <c r="L651" s="207"/>
    </row>
    <row r="652" spans="2:12">
      <c r="B652" s="208"/>
      <c r="C652" s="204"/>
      <c r="D652" s="204"/>
      <c r="E652" s="204"/>
      <c r="F652" s="204"/>
      <c r="G652" s="204"/>
      <c r="H652" s="558" t="s">
        <v>1592</v>
      </c>
      <c r="I652" s="558"/>
      <c r="J652" s="558"/>
      <c r="K652" s="222">
        <f>TRUNC(SUMIF(C636:C648,H652,K636:K648),2)</f>
        <v>696.06</v>
      </c>
      <c r="L652" s="207"/>
    </row>
    <row r="653" spans="2:12">
      <c r="B653" s="213"/>
      <c r="C653" s="214"/>
      <c r="D653" s="214"/>
      <c r="E653" s="214"/>
      <c r="F653" s="214"/>
      <c r="G653" s="214"/>
      <c r="H653" s="559" t="s">
        <v>1224</v>
      </c>
      <c r="I653" s="559"/>
      <c r="J653" s="559"/>
      <c r="K653" s="223">
        <f>IF(K649&gt;K650,K649-K650,0)</f>
        <v>0</v>
      </c>
      <c r="L653" s="209"/>
    </row>
    <row r="655" spans="2:12">
      <c r="B655" s="247" t="s">
        <v>203</v>
      </c>
      <c r="C655" s="565" t="str">
        <f>VLOOKUP(B655,'BM 004'!$B$27:$R$590,2,0)</f>
        <v xml:space="preserve">Armação de pilar ou viga de uma estrutura convencional de concreto armado em um edifício de múltiplos pavimentos utilizando aço ca-50 de 10,0 mm - montagem. </v>
      </c>
      <c r="D655" s="565"/>
      <c r="E655" s="565"/>
      <c r="F655" s="565"/>
      <c r="G655" s="565"/>
      <c r="H655" s="565"/>
      <c r="I655" s="565"/>
      <c r="J655" s="565"/>
      <c r="K655" s="565"/>
      <c r="L655" s="565"/>
    </row>
    <row r="656" spans="2:12">
      <c r="B656" s="248" t="s">
        <v>1209</v>
      </c>
      <c r="C656" s="248"/>
      <c r="D656" s="248" t="s">
        <v>39</v>
      </c>
      <c r="E656" s="248" t="s">
        <v>1210</v>
      </c>
      <c r="F656" s="248" t="s">
        <v>1382</v>
      </c>
      <c r="G656" s="248" t="s">
        <v>1383</v>
      </c>
      <c r="H656" s="248" t="s">
        <v>1384</v>
      </c>
      <c r="I656" s="248" t="s">
        <v>1214</v>
      </c>
      <c r="J656" s="248" t="s">
        <v>1385</v>
      </c>
      <c r="K656" s="248" t="s">
        <v>1216</v>
      </c>
      <c r="L656" s="248" t="s">
        <v>1217</v>
      </c>
    </row>
    <row r="657" spans="2:12">
      <c r="B657" s="249" t="s">
        <v>1367</v>
      </c>
      <c r="C657" s="250" t="s">
        <v>1333</v>
      </c>
      <c r="D657" s="205" t="s">
        <v>152</v>
      </c>
      <c r="E657" s="251">
        <v>89</v>
      </c>
      <c r="F657" s="252">
        <v>0.61699999999999999</v>
      </c>
      <c r="G657" s="251"/>
      <c r="H657" s="251">
        <v>1.1000000000000001</v>
      </c>
      <c r="I657" s="251"/>
      <c r="J657" s="253"/>
      <c r="K657" s="254">
        <f t="shared" ref="K657:K668" si="20">IF(E657*F657*G657&lt;&gt;0,E657*F657*G657,IF(E657*F657&lt;&gt;0,E657*F657,IF(F657*G657&lt;&gt;0,F657*G657,IF(E657*G657&lt;&gt;0,E657*G657,IF(E657&lt;&gt;0,E657,IF(F657&lt;&gt;0,F657,IF(G657&lt;&gt;0,G657,0)))))))*(IF(H657&lt;&gt;0,H657,1))+I657-J657</f>
        <v>60.404299999999999</v>
      </c>
      <c r="L657" s="255"/>
    </row>
    <row r="658" spans="2:12">
      <c r="B658" s="249" t="s">
        <v>1386</v>
      </c>
      <c r="C658" s="250" t="s">
        <v>1333</v>
      </c>
      <c r="D658" s="205" t="s">
        <v>152</v>
      </c>
      <c r="E658" s="251">
        <v>92</v>
      </c>
      <c r="F658" s="252">
        <v>0.61699999999999999</v>
      </c>
      <c r="G658" s="251"/>
      <c r="H658" s="251">
        <v>1.1000000000000001</v>
      </c>
      <c r="I658" s="251"/>
      <c r="J658" s="253"/>
      <c r="K658" s="254">
        <f t="shared" si="20"/>
        <v>62.440400000000004</v>
      </c>
      <c r="L658" s="255"/>
    </row>
    <row r="659" spans="2:12">
      <c r="B659" s="263" t="s">
        <v>1475</v>
      </c>
      <c r="C659" s="264" t="s">
        <v>1441</v>
      </c>
      <c r="D659" s="205" t="s">
        <v>152</v>
      </c>
      <c r="E659" s="251">
        <v>238</v>
      </c>
      <c r="F659" s="252">
        <v>0.61699999999999999</v>
      </c>
      <c r="G659" s="251"/>
      <c r="H659" s="251">
        <v>1.1000000000000001</v>
      </c>
      <c r="I659" s="251"/>
      <c r="J659" s="253"/>
      <c r="K659" s="254">
        <f t="shared" si="20"/>
        <v>161.53060000000002</v>
      </c>
      <c r="L659" s="255"/>
    </row>
    <row r="660" spans="2:12">
      <c r="B660" s="263" t="s">
        <v>1476</v>
      </c>
      <c r="C660" s="264" t="s">
        <v>1441</v>
      </c>
      <c r="D660" s="205" t="s">
        <v>152</v>
      </c>
      <c r="E660" s="251">
        <v>167</v>
      </c>
      <c r="F660" s="252">
        <v>0.61699999999999999</v>
      </c>
      <c r="G660" s="251"/>
      <c r="H660" s="251">
        <v>1.1000000000000001</v>
      </c>
      <c r="I660" s="251"/>
      <c r="J660" s="253"/>
      <c r="K660" s="254">
        <f t="shared" si="20"/>
        <v>113.34290000000001</v>
      </c>
      <c r="L660" s="255"/>
    </row>
    <row r="661" spans="2:12">
      <c r="B661" s="263" t="s">
        <v>1552</v>
      </c>
      <c r="C661" s="264" t="s">
        <v>1521</v>
      </c>
      <c r="D661" s="205" t="s">
        <v>152</v>
      </c>
      <c r="E661" s="251">
        <v>538</v>
      </c>
      <c r="F661" s="252">
        <v>0.61699999999999999</v>
      </c>
      <c r="G661" s="251"/>
      <c r="H661" s="251">
        <v>1.1000000000000001</v>
      </c>
      <c r="I661" s="251"/>
      <c r="J661" s="253"/>
      <c r="K661" s="254">
        <f t="shared" si="20"/>
        <v>365.14060000000001</v>
      </c>
      <c r="L661" s="266"/>
    </row>
    <row r="662" spans="2:12">
      <c r="B662" s="263" t="s">
        <v>1553</v>
      </c>
      <c r="C662" s="264" t="s">
        <v>1521</v>
      </c>
      <c r="D662" s="205" t="s">
        <v>152</v>
      </c>
      <c r="E662" s="251">
        <v>109</v>
      </c>
      <c r="F662" s="252">
        <v>0.61699999999999999</v>
      </c>
      <c r="G662" s="251"/>
      <c r="H662" s="251">
        <v>1.1000000000000001</v>
      </c>
      <c r="I662" s="251"/>
      <c r="J662" s="253"/>
      <c r="K662" s="254">
        <f t="shared" si="20"/>
        <v>73.978300000000004</v>
      </c>
      <c r="L662" s="266"/>
    </row>
    <row r="663" spans="2:12">
      <c r="B663" s="263" t="s">
        <v>1642</v>
      </c>
      <c r="C663" s="264" t="s">
        <v>1611</v>
      </c>
      <c r="D663" s="205" t="s">
        <v>152</v>
      </c>
      <c r="E663" s="251">
        <v>199</v>
      </c>
      <c r="F663" s="252">
        <v>0.61699999999999999</v>
      </c>
      <c r="G663" s="251"/>
      <c r="H663" s="251">
        <v>1.1000000000000001</v>
      </c>
      <c r="I663" s="251"/>
      <c r="J663" s="253"/>
      <c r="K663" s="254">
        <f t="shared" si="20"/>
        <v>135.06130000000002</v>
      </c>
      <c r="L663" s="266"/>
    </row>
    <row r="664" spans="2:12">
      <c r="B664" s="263" t="s">
        <v>1643</v>
      </c>
      <c r="C664" s="264" t="s">
        <v>1611</v>
      </c>
      <c r="D664" s="205" t="s">
        <v>152</v>
      </c>
      <c r="E664" s="251">
        <v>150</v>
      </c>
      <c r="F664" s="252">
        <v>0.61699999999999999</v>
      </c>
      <c r="G664" s="251"/>
      <c r="H664" s="251">
        <v>1.1000000000000001</v>
      </c>
      <c r="I664" s="251"/>
      <c r="J664" s="253"/>
      <c r="K664" s="254">
        <f t="shared" si="20"/>
        <v>101.80500000000001</v>
      </c>
      <c r="L664" s="266"/>
    </row>
    <row r="665" spans="2:12">
      <c r="B665" s="263" t="s">
        <v>1644</v>
      </c>
      <c r="C665" s="264" t="s">
        <v>1612</v>
      </c>
      <c r="D665" s="205" t="s">
        <v>152</v>
      </c>
      <c r="E665" s="251">
        <v>100</v>
      </c>
      <c r="F665" s="252">
        <v>0.61699999999999999</v>
      </c>
      <c r="G665" s="251"/>
      <c r="H665" s="251">
        <v>1.1000000000000001</v>
      </c>
      <c r="I665" s="251"/>
      <c r="J665" s="253"/>
      <c r="K665" s="254">
        <f t="shared" si="20"/>
        <v>67.87</v>
      </c>
      <c r="L665" s="266"/>
    </row>
    <row r="666" spans="2:12">
      <c r="B666" s="263" t="s">
        <v>1645</v>
      </c>
      <c r="C666" s="264" t="s">
        <v>1612</v>
      </c>
      <c r="D666" s="205" t="s">
        <v>152</v>
      </c>
      <c r="E666" s="251">
        <v>346</v>
      </c>
      <c r="F666" s="252">
        <v>0.61699999999999999</v>
      </c>
      <c r="G666" s="251"/>
      <c r="H666" s="251">
        <v>1.1000000000000001</v>
      </c>
      <c r="I666" s="251"/>
      <c r="J666" s="253"/>
      <c r="K666" s="254">
        <f t="shared" si="20"/>
        <v>234.83020000000002</v>
      </c>
      <c r="L666" s="266"/>
    </row>
    <row r="667" spans="2:12">
      <c r="B667" s="263" t="s">
        <v>1646</v>
      </c>
      <c r="C667" s="264" t="s">
        <v>1612</v>
      </c>
      <c r="D667" s="205" t="s">
        <v>152</v>
      </c>
      <c r="E667" s="251">
        <v>256</v>
      </c>
      <c r="F667" s="252">
        <v>0.61699999999999999</v>
      </c>
      <c r="G667" s="251"/>
      <c r="H667" s="251">
        <v>1.1000000000000001</v>
      </c>
      <c r="I667" s="251"/>
      <c r="J667" s="253"/>
      <c r="K667" s="254">
        <f t="shared" si="20"/>
        <v>173.74720000000002</v>
      </c>
      <c r="L667" s="266"/>
    </row>
    <row r="668" spans="2:12">
      <c r="B668" s="256"/>
      <c r="C668" s="210"/>
      <c r="D668" s="210"/>
      <c r="E668" s="257"/>
      <c r="F668" s="258"/>
      <c r="G668" s="257"/>
      <c r="H668" s="257"/>
      <c r="I668" s="257"/>
      <c r="J668" s="259"/>
      <c r="K668" s="260">
        <f t="shared" si="20"/>
        <v>0</v>
      </c>
      <c r="L668" s="210"/>
    </row>
    <row r="669" spans="2:12">
      <c r="B669" s="202"/>
      <c r="C669" s="203"/>
      <c r="D669" s="203"/>
      <c r="E669" s="203"/>
      <c r="F669" s="203"/>
      <c r="G669" s="203"/>
      <c r="H669" s="204"/>
      <c r="I669" s="556" t="s">
        <v>1221</v>
      </c>
      <c r="J669" s="556"/>
      <c r="K669" s="220">
        <f>SUM(K657:K668)</f>
        <v>1550.1508000000003</v>
      </c>
      <c r="L669" s="207"/>
    </row>
    <row r="670" spans="2:12">
      <c r="B670" s="208"/>
      <c r="C670" s="204"/>
      <c r="D670" s="204"/>
      <c r="E670" s="204"/>
      <c r="F670" s="204"/>
      <c r="G670" s="204"/>
      <c r="H670" s="209"/>
      <c r="I670" s="557" t="s">
        <v>1222</v>
      </c>
      <c r="J670" s="557"/>
      <c r="K670" s="221">
        <f>VLOOKUP(B655,'BM 004'!$B$27:$R$590,4,0)</f>
        <v>4215.2</v>
      </c>
      <c r="L670" s="207"/>
    </row>
    <row r="671" spans="2:12">
      <c r="B671" s="208"/>
      <c r="C671" s="204"/>
      <c r="D671" s="204"/>
      <c r="E671" s="204"/>
      <c r="F671" s="204"/>
      <c r="G671" s="204"/>
      <c r="H671" s="558" t="s">
        <v>1223</v>
      </c>
      <c r="I671" s="558"/>
      <c r="J671" s="558"/>
      <c r="K671" s="222">
        <f>K669-K672</f>
        <v>1073.7108000000003</v>
      </c>
      <c r="L671" s="207"/>
    </row>
    <row r="672" spans="2:12">
      <c r="B672" s="208"/>
      <c r="C672" s="204"/>
      <c r="D672" s="204"/>
      <c r="E672" s="204"/>
      <c r="F672" s="204"/>
      <c r="G672" s="204"/>
      <c r="H672" s="558" t="s">
        <v>1592</v>
      </c>
      <c r="I672" s="558"/>
      <c r="J672" s="558"/>
      <c r="K672" s="222">
        <f>TRUNC(SUMIF(C657:C668,H672,K657:K668),2)</f>
        <v>476.44</v>
      </c>
      <c r="L672" s="207"/>
    </row>
    <row r="673" spans="2:12">
      <c r="B673" s="213"/>
      <c r="C673" s="214"/>
      <c r="D673" s="214"/>
      <c r="E673" s="214"/>
      <c r="F673" s="214"/>
      <c r="G673" s="214"/>
      <c r="H673" s="559" t="s">
        <v>1224</v>
      </c>
      <c r="I673" s="559"/>
      <c r="J673" s="559"/>
      <c r="K673" s="223">
        <f>IF(K669&gt;K670,K669-K670,0)</f>
        <v>0</v>
      </c>
      <c r="L673" s="209"/>
    </row>
    <row r="675" spans="2:12">
      <c r="B675" s="247" t="s">
        <v>205</v>
      </c>
      <c r="C675" s="565" t="str">
        <f>VLOOKUP(B675,'BM 004'!$B$27:$R$590,2,0)</f>
        <v xml:space="preserve">Armação de pilar ou viga de uma estrutura convencional de concreto armado em um edifício de múltiplos pavimentos utilizando aço ca-50 de 12,5 mm - montagem. </v>
      </c>
      <c r="D675" s="565"/>
      <c r="E675" s="565"/>
      <c r="F675" s="565"/>
      <c r="G675" s="565"/>
      <c r="H675" s="565"/>
      <c r="I675" s="565"/>
      <c r="J675" s="565"/>
      <c r="K675" s="565"/>
      <c r="L675" s="565"/>
    </row>
    <row r="676" spans="2:12">
      <c r="B676" s="248" t="s">
        <v>1209</v>
      </c>
      <c r="C676" s="248"/>
      <c r="D676" s="248" t="s">
        <v>39</v>
      </c>
      <c r="E676" s="248" t="s">
        <v>1210</v>
      </c>
      <c r="F676" s="248" t="s">
        <v>1382</v>
      </c>
      <c r="G676" s="248" t="s">
        <v>1383</v>
      </c>
      <c r="H676" s="248" t="s">
        <v>1384</v>
      </c>
      <c r="I676" s="248" t="s">
        <v>1214</v>
      </c>
      <c r="J676" s="248" t="s">
        <v>1385</v>
      </c>
      <c r="K676" s="248" t="s">
        <v>1216</v>
      </c>
      <c r="L676" s="248" t="s">
        <v>1217</v>
      </c>
    </row>
    <row r="677" spans="2:12">
      <c r="B677" s="249" t="s">
        <v>1367</v>
      </c>
      <c r="C677" s="250" t="s">
        <v>1333</v>
      </c>
      <c r="D677" s="205" t="s">
        <v>152</v>
      </c>
      <c r="E677" s="251">
        <v>89</v>
      </c>
      <c r="F677" s="252">
        <v>0.96299999999999997</v>
      </c>
      <c r="G677" s="251"/>
      <c r="H677" s="251">
        <v>1.1000000000000001</v>
      </c>
      <c r="I677" s="251"/>
      <c r="J677" s="253"/>
      <c r="K677" s="254">
        <f t="shared" ref="K677:K689" si="21">IF(E677*F677*G677&lt;&gt;0,E677*F677*G677,IF(E677*F677&lt;&gt;0,E677*F677,IF(F677*G677&lt;&gt;0,F677*G677,IF(E677*G677&lt;&gt;0,E677*G677,IF(E677&lt;&gt;0,E677,IF(F677&lt;&gt;0,F677,IF(G677&lt;&gt;0,G677,0)))))))*(IF(H677&lt;&gt;0,H677,1))+I677-J677</f>
        <v>94.277699999999996</v>
      </c>
      <c r="L677" s="255"/>
    </row>
    <row r="678" spans="2:12">
      <c r="B678" s="249" t="s">
        <v>1386</v>
      </c>
      <c r="C678" s="250" t="s">
        <v>1333</v>
      </c>
      <c r="D678" s="205" t="s">
        <v>152</v>
      </c>
      <c r="E678" s="251">
        <v>72</v>
      </c>
      <c r="F678" s="252">
        <v>0.96299999999999997</v>
      </c>
      <c r="G678" s="251"/>
      <c r="H678" s="251">
        <v>1.1000000000000001</v>
      </c>
      <c r="I678" s="251"/>
      <c r="J678" s="253"/>
      <c r="K678" s="254">
        <f t="shared" si="21"/>
        <v>76.269600000000011</v>
      </c>
      <c r="L678" s="255"/>
    </row>
    <row r="679" spans="2:12">
      <c r="B679" s="263" t="s">
        <v>1475</v>
      </c>
      <c r="C679" s="264" t="s">
        <v>1441</v>
      </c>
      <c r="D679" s="205" t="s">
        <v>152</v>
      </c>
      <c r="E679" s="251">
        <v>140</v>
      </c>
      <c r="F679" s="252">
        <v>0.96299999999999997</v>
      </c>
      <c r="G679" s="251"/>
      <c r="H679" s="251">
        <v>1.1000000000000001</v>
      </c>
      <c r="I679" s="251"/>
      <c r="J679" s="253"/>
      <c r="K679" s="254">
        <f t="shared" si="21"/>
        <v>148.30199999999999</v>
      </c>
      <c r="L679" s="255"/>
    </row>
    <row r="680" spans="2:12">
      <c r="B680" s="263" t="s">
        <v>1476</v>
      </c>
      <c r="C680" s="264" t="s">
        <v>1441</v>
      </c>
      <c r="D680" s="205" t="s">
        <v>152</v>
      </c>
      <c r="E680" s="251">
        <v>119</v>
      </c>
      <c r="F680" s="252">
        <v>0.96299999999999997</v>
      </c>
      <c r="G680" s="251"/>
      <c r="H680" s="251">
        <v>1.1000000000000001</v>
      </c>
      <c r="I680" s="251"/>
      <c r="J680" s="253"/>
      <c r="K680" s="254">
        <f t="shared" si="21"/>
        <v>126.05670000000001</v>
      </c>
      <c r="L680" s="255"/>
    </row>
    <row r="681" spans="2:12">
      <c r="B681" s="256" t="s">
        <v>1478</v>
      </c>
      <c r="C681" s="210" t="s">
        <v>1441</v>
      </c>
      <c r="D681" s="210" t="s">
        <v>152</v>
      </c>
      <c r="E681" s="258"/>
      <c r="F681" s="258"/>
      <c r="G681" s="257"/>
      <c r="H681" s="257"/>
      <c r="I681" s="257">
        <v>1361.5128999999999</v>
      </c>
      <c r="J681" s="259"/>
      <c r="K681" s="260">
        <f t="shared" si="21"/>
        <v>1361.5128999999999</v>
      </c>
      <c r="L681" s="210"/>
    </row>
    <row r="682" spans="2:12">
      <c r="B682" s="256" t="s">
        <v>1479</v>
      </c>
      <c r="C682" s="210" t="s">
        <v>1441</v>
      </c>
      <c r="D682" s="210" t="s">
        <v>152</v>
      </c>
      <c r="E682" s="258"/>
      <c r="F682" s="258"/>
      <c r="G682" s="257"/>
      <c r="H682" s="257"/>
      <c r="I682" s="257">
        <v>126.92</v>
      </c>
      <c r="J682" s="259"/>
      <c r="K682" s="260">
        <f t="shared" si="21"/>
        <v>126.92</v>
      </c>
      <c r="L682" s="210"/>
    </row>
    <row r="683" spans="2:12">
      <c r="B683" s="263" t="s">
        <v>1552</v>
      </c>
      <c r="C683" s="264" t="s">
        <v>1521</v>
      </c>
      <c r="D683" s="205" t="s">
        <v>152</v>
      </c>
      <c r="E683" s="251">
        <v>144</v>
      </c>
      <c r="F683" s="252">
        <v>0.96299999999999997</v>
      </c>
      <c r="G683" s="251"/>
      <c r="H683" s="251">
        <v>1.1000000000000001</v>
      </c>
      <c r="I683" s="251"/>
      <c r="J683" s="253"/>
      <c r="K683" s="254">
        <f t="shared" si="21"/>
        <v>152.53920000000002</v>
      </c>
      <c r="L683" s="266"/>
    </row>
    <row r="684" spans="2:12">
      <c r="B684" s="263" t="s">
        <v>1553</v>
      </c>
      <c r="C684" s="264" t="s">
        <v>1521</v>
      </c>
      <c r="D684" s="205" t="s">
        <v>152</v>
      </c>
      <c r="E684" s="251">
        <v>34</v>
      </c>
      <c r="F684" s="252">
        <v>0.96299999999999997</v>
      </c>
      <c r="G684" s="251"/>
      <c r="H684" s="251">
        <v>1.1000000000000001</v>
      </c>
      <c r="I684" s="251"/>
      <c r="J684" s="253"/>
      <c r="K684" s="254">
        <f t="shared" si="21"/>
        <v>36.016199999999998</v>
      </c>
      <c r="L684" s="266"/>
    </row>
    <row r="685" spans="2:12">
      <c r="B685" s="263" t="s">
        <v>1642</v>
      </c>
      <c r="C685" s="264" t="s">
        <v>1611</v>
      </c>
      <c r="D685" s="205" t="s">
        <v>152</v>
      </c>
      <c r="E685" s="251">
        <v>187</v>
      </c>
      <c r="F685" s="252">
        <v>0.96299999999999997</v>
      </c>
      <c r="G685" s="251"/>
      <c r="H685" s="251">
        <v>1.1000000000000001</v>
      </c>
      <c r="I685" s="251"/>
      <c r="J685" s="253"/>
      <c r="K685" s="254">
        <f t="shared" si="21"/>
        <v>198.0891</v>
      </c>
      <c r="L685" s="266"/>
    </row>
    <row r="686" spans="2:12">
      <c r="B686" s="263" t="s">
        <v>1643</v>
      </c>
      <c r="C686" s="264" t="s">
        <v>1611</v>
      </c>
      <c r="D686" s="205" t="s">
        <v>152</v>
      </c>
      <c r="E686" s="251">
        <v>105</v>
      </c>
      <c r="F686" s="252">
        <v>0.96299999999999997</v>
      </c>
      <c r="G686" s="251"/>
      <c r="H686" s="251">
        <v>1.1000000000000001</v>
      </c>
      <c r="I686" s="251"/>
      <c r="J686" s="253"/>
      <c r="K686" s="254">
        <f t="shared" si="21"/>
        <v>111.2265</v>
      </c>
      <c r="L686" s="266"/>
    </row>
    <row r="687" spans="2:12">
      <c r="B687" s="263" t="s">
        <v>1644</v>
      </c>
      <c r="C687" s="264" t="s">
        <v>1612</v>
      </c>
      <c r="D687" s="205" t="s">
        <v>152</v>
      </c>
      <c r="E687" s="251">
        <v>168</v>
      </c>
      <c r="F687" s="252">
        <v>0.96299999999999997</v>
      </c>
      <c r="G687" s="251"/>
      <c r="H687" s="251">
        <v>1.1000000000000001</v>
      </c>
      <c r="I687" s="251"/>
      <c r="J687" s="253"/>
      <c r="K687" s="254">
        <f t="shared" si="21"/>
        <v>177.9624</v>
      </c>
      <c r="L687" s="266"/>
    </row>
    <row r="688" spans="2:12">
      <c r="B688" s="263" t="s">
        <v>1645</v>
      </c>
      <c r="C688" s="264" t="s">
        <v>1612</v>
      </c>
      <c r="D688" s="205" t="s">
        <v>152</v>
      </c>
      <c r="E688" s="251">
        <v>94</v>
      </c>
      <c r="F688" s="252">
        <v>0.96299999999999997</v>
      </c>
      <c r="G688" s="251"/>
      <c r="H688" s="251">
        <v>1.1000000000000001</v>
      </c>
      <c r="I688" s="251"/>
      <c r="J688" s="253"/>
      <c r="K688" s="254">
        <f t="shared" si="21"/>
        <v>99.574200000000005</v>
      </c>
      <c r="L688" s="266"/>
    </row>
    <row r="689" spans="2:12">
      <c r="B689" s="263" t="s">
        <v>1646</v>
      </c>
      <c r="C689" s="264" t="s">
        <v>1612</v>
      </c>
      <c r="D689" s="205" t="s">
        <v>152</v>
      </c>
      <c r="E689" s="251">
        <v>86</v>
      </c>
      <c r="F689" s="252">
        <v>0.96299999999999997</v>
      </c>
      <c r="G689" s="251"/>
      <c r="H689" s="251">
        <v>1.1000000000000001</v>
      </c>
      <c r="I689" s="251"/>
      <c r="J689" s="253"/>
      <c r="K689" s="254">
        <f t="shared" si="21"/>
        <v>91.099800000000002</v>
      </c>
      <c r="L689" s="266"/>
    </row>
    <row r="690" spans="2:12">
      <c r="B690" s="263"/>
      <c r="C690" s="264"/>
      <c r="D690" s="210"/>
      <c r="E690" s="257"/>
      <c r="F690" s="258"/>
      <c r="G690" s="257"/>
      <c r="H690" s="257"/>
      <c r="I690" s="257"/>
      <c r="J690" s="259"/>
      <c r="K690" s="265"/>
      <c r="L690" s="266"/>
    </row>
    <row r="691" spans="2:12">
      <c r="B691" s="202"/>
      <c r="C691" s="203"/>
      <c r="D691" s="203"/>
      <c r="E691" s="203"/>
      <c r="F691" s="203"/>
      <c r="G691" s="203"/>
      <c r="H691" s="204"/>
      <c r="I691" s="556" t="s">
        <v>1221</v>
      </c>
      <c r="J691" s="556"/>
      <c r="K691" s="220">
        <f>SUM(K677:K690)</f>
        <v>2799.8463000000002</v>
      </c>
      <c r="L691" s="207"/>
    </row>
    <row r="692" spans="2:12">
      <c r="B692" s="208"/>
      <c r="C692" s="204"/>
      <c r="D692" s="204"/>
      <c r="E692" s="204"/>
      <c r="F692" s="204"/>
      <c r="G692" s="204"/>
      <c r="H692" s="209"/>
      <c r="I692" s="557" t="s">
        <v>1222</v>
      </c>
      <c r="J692" s="557"/>
      <c r="K692" s="221">
        <f>VLOOKUP(B675,'BM 004'!$B$27:$R$590,4,0)</f>
        <v>3267</v>
      </c>
      <c r="L692" s="207"/>
    </row>
    <row r="693" spans="2:12">
      <c r="B693" s="208"/>
      <c r="C693" s="204"/>
      <c r="D693" s="204"/>
      <c r="E693" s="204"/>
      <c r="F693" s="204"/>
      <c r="G693" s="204"/>
      <c r="H693" s="558" t="s">
        <v>1223</v>
      </c>
      <c r="I693" s="558"/>
      <c r="J693" s="558"/>
      <c r="K693" s="222">
        <f>K691-K694</f>
        <v>2431.2163</v>
      </c>
      <c r="L693" s="207"/>
    </row>
    <row r="694" spans="2:12">
      <c r="B694" s="208"/>
      <c r="C694" s="204"/>
      <c r="D694" s="204"/>
      <c r="E694" s="204"/>
      <c r="F694" s="204"/>
      <c r="G694" s="204"/>
      <c r="H694" s="558" t="s">
        <v>1592</v>
      </c>
      <c r="I694" s="558"/>
      <c r="J694" s="558"/>
      <c r="K694" s="222">
        <f>TRUNC(SUMIF(C677:C690,H694,K677:K690),2)</f>
        <v>368.63</v>
      </c>
      <c r="L694" s="207"/>
    </row>
    <row r="695" spans="2:12">
      <c r="B695" s="213"/>
      <c r="C695" s="214"/>
      <c r="D695" s="214"/>
      <c r="E695" s="214"/>
      <c r="F695" s="214"/>
      <c r="G695" s="214"/>
      <c r="H695" s="559" t="s">
        <v>1224</v>
      </c>
      <c r="I695" s="559"/>
      <c r="J695" s="559"/>
      <c r="K695" s="223">
        <f>IF(K691&gt;K692,K691-K692,0)</f>
        <v>0</v>
      </c>
      <c r="L695" s="209"/>
    </row>
    <row r="697" spans="2:12">
      <c r="B697" s="247" t="s">
        <v>207</v>
      </c>
      <c r="C697" s="565" t="str">
        <f>VLOOKUP(B697,'BM 004'!$B$27:$R$590,2,0)</f>
        <v xml:space="preserve">Armação de pilar ou viga de uma estrutura convencional de concreto armado em um edifício de múltiplos pavimentos utilizando aço ca-50 de 16,0 mm - montagem. </v>
      </c>
      <c r="D697" s="565"/>
      <c r="E697" s="565"/>
      <c r="F697" s="565"/>
      <c r="G697" s="565"/>
      <c r="H697" s="565"/>
      <c r="I697" s="565"/>
      <c r="J697" s="565"/>
      <c r="K697" s="565"/>
      <c r="L697" s="565"/>
    </row>
    <row r="698" spans="2:12">
      <c r="B698" s="248" t="s">
        <v>1209</v>
      </c>
      <c r="C698" s="248"/>
      <c r="D698" s="248" t="s">
        <v>39</v>
      </c>
      <c r="E698" s="248" t="s">
        <v>1210</v>
      </c>
      <c r="F698" s="248" t="s">
        <v>1382</v>
      </c>
      <c r="G698" s="248" t="s">
        <v>1383</v>
      </c>
      <c r="H698" s="248" t="s">
        <v>1384</v>
      </c>
      <c r="I698" s="248" t="s">
        <v>1214</v>
      </c>
      <c r="J698" s="248" t="s">
        <v>1385</v>
      </c>
      <c r="K698" s="248" t="s">
        <v>1216</v>
      </c>
      <c r="L698" s="248" t="s">
        <v>1217</v>
      </c>
    </row>
    <row r="699" spans="2:12">
      <c r="B699" s="249" t="s">
        <v>1367</v>
      </c>
      <c r="C699" s="250" t="s">
        <v>1333</v>
      </c>
      <c r="D699" s="205" t="s">
        <v>152</v>
      </c>
      <c r="E699" s="251">
        <v>221</v>
      </c>
      <c r="F699" s="252">
        <v>1.5780000000000001</v>
      </c>
      <c r="G699" s="251"/>
      <c r="H699" s="251">
        <v>1.1000000000000001</v>
      </c>
      <c r="I699" s="251"/>
      <c r="J699" s="253"/>
      <c r="K699" s="254">
        <f t="shared" ref="K699:K710" si="22">IF(E699*F699*G699&lt;&gt;0,E699*F699*G699,IF(E699*F699&lt;&gt;0,E699*F699,IF(F699*G699&lt;&gt;0,F699*G699,IF(E699*G699&lt;&gt;0,E699*G699,IF(E699&lt;&gt;0,E699,IF(F699&lt;&gt;0,F699,IF(G699&lt;&gt;0,G699,0)))))))*(IF(H699&lt;&gt;0,H699,1))+I699-J699</f>
        <v>383.61180000000002</v>
      </c>
      <c r="L699" s="255"/>
    </row>
    <row r="700" spans="2:12">
      <c r="B700" s="249" t="s">
        <v>1386</v>
      </c>
      <c r="C700" s="250" t="s">
        <v>1333</v>
      </c>
      <c r="D700" s="205" t="s">
        <v>152</v>
      </c>
      <c r="E700" s="251">
        <v>236</v>
      </c>
      <c r="F700" s="252">
        <v>1.5780000000000001</v>
      </c>
      <c r="G700" s="251"/>
      <c r="H700" s="251">
        <v>1.1000000000000001</v>
      </c>
      <c r="I700" s="251"/>
      <c r="J700" s="253"/>
      <c r="K700" s="254">
        <f t="shared" si="22"/>
        <v>409.64880000000005</v>
      </c>
      <c r="L700" s="255"/>
    </row>
    <row r="701" spans="2:12">
      <c r="B701" s="263" t="s">
        <v>1475</v>
      </c>
      <c r="C701" s="264" t="s">
        <v>1441</v>
      </c>
      <c r="D701" s="205" t="s">
        <v>152</v>
      </c>
      <c r="E701" s="251">
        <v>201</v>
      </c>
      <c r="F701" s="252">
        <v>1.5780000000000001</v>
      </c>
      <c r="G701" s="251"/>
      <c r="H701" s="251">
        <v>1.1000000000000001</v>
      </c>
      <c r="I701" s="251"/>
      <c r="J701" s="253"/>
      <c r="K701" s="254">
        <f t="shared" si="22"/>
        <v>348.89580000000001</v>
      </c>
      <c r="L701" s="255"/>
    </row>
    <row r="702" spans="2:12">
      <c r="B702" s="263" t="s">
        <v>1476</v>
      </c>
      <c r="C702" s="264" t="s">
        <v>1441</v>
      </c>
      <c r="D702" s="205" t="s">
        <v>152</v>
      </c>
      <c r="E702" s="251">
        <v>215</v>
      </c>
      <c r="F702" s="252">
        <v>1.5780000000000001</v>
      </c>
      <c r="G702" s="251"/>
      <c r="H702" s="251">
        <v>1.1000000000000001</v>
      </c>
      <c r="I702" s="251"/>
      <c r="J702" s="253"/>
      <c r="K702" s="254">
        <f t="shared" si="22"/>
        <v>373.19700000000006</v>
      </c>
      <c r="L702" s="255"/>
    </row>
    <row r="703" spans="2:12">
      <c r="B703" s="263" t="s">
        <v>1552</v>
      </c>
      <c r="C703" s="264" t="s">
        <v>1521</v>
      </c>
      <c r="D703" s="205" t="s">
        <v>152</v>
      </c>
      <c r="E703" s="251">
        <v>67</v>
      </c>
      <c r="F703" s="252">
        <v>1.5780000000000001</v>
      </c>
      <c r="G703" s="251"/>
      <c r="H703" s="251">
        <v>1.1000000000000001</v>
      </c>
      <c r="I703" s="251"/>
      <c r="J703" s="253"/>
      <c r="K703" s="254">
        <f t="shared" si="22"/>
        <v>116.29860000000001</v>
      </c>
      <c r="L703" s="266"/>
    </row>
    <row r="704" spans="2:12">
      <c r="B704" s="263" t="s">
        <v>1553</v>
      </c>
      <c r="C704" s="264" t="s">
        <v>1521</v>
      </c>
      <c r="D704" s="205" t="s">
        <v>152</v>
      </c>
      <c r="E704" s="251">
        <v>188</v>
      </c>
      <c r="F704" s="252">
        <v>1.5780000000000001</v>
      </c>
      <c r="G704" s="251"/>
      <c r="H704" s="251">
        <v>1.1000000000000001</v>
      </c>
      <c r="I704" s="251"/>
      <c r="J704" s="253"/>
      <c r="K704" s="254">
        <f t="shared" si="22"/>
        <v>326.3304</v>
      </c>
      <c r="L704" s="266"/>
    </row>
    <row r="705" spans="2:12">
      <c r="B705" s="263" t="s">
        <v>1642</v>
      </c>
      <c r="C705" s="264" t="s">
        <v>1611</v>
      </c>
      <c r="D705" s="205" t="s">
        <v>152</v>
      </c>
      <c r="E705" s="251">
        <v>161</v>
      </c>
      <c r="F705" s="252">
        <v>1.5780000000000001</v>
      </c>
      <c r="G705" s="251"/>
      <c r="H705" s="251">
        <v>1.1000000000000001</v>
      </c>
      <c r="I705" s="251"/>
      <c r="J705" s="253"/>
      <c r="K705" s="254">
        <f t="shared" si="22"/>
        <v>279.46380000000005</v>
      </c>
      <c r="L705" s="266"/>
    </row>
    <row r="706" spans="2:12">
      <c r="B706" s="263" t="s">
        <v>1643</v>
      </c>
      <c r="C706" s="264" t="s">
        <v>1611</v>
      </c>
      <c r="D706" s="205" t="s">
        <v>152</v>
      </c>
      <c r="E706" s="251">
        <v>205</v>
      </c>
      <c r="F706" s="252">
        <v>1.5780000000000001</v>
      </c>
      <c r="G706" s="251"/>
      <c r="H706" s="251">
        <v>1.1000000000000001</v>
      </c>
      <c r="I706" s="251"/>
      <c r="J706" s="253"/>
      <c r="K706" s="254">
        <f t="shared" si="22"/>
        <v>355.83900000000006</v>
      </c>
      <c r="L706" s="266"/>
    </row>
    <row r="707" spans="2:12">
      <c r="B707" s="263" t="s">
        <v>1644</v>
      </c>
      <c r="C707" s="264" t="s">
        <v>1612</v>
      </c>
      <c r="D707" s="205" t="s">
        <v>152</v>
      </c>
      <c r="E707" s="251">
        <v>44</v>
      </c>
      <c r="F707" s="252">
        <v>1.5780000000000001</v>
      </c>
      <c r="G707" s="251"/>
      <c r="H707" s="251">
        <v>1.1000000000000001</v>
      </c>
      <c r="I707" s="251"/>
      <c r="J707" s="253"/>
      <c r="K707" s="254">
        <f t="shared" si="22"/>
        <v>76.375200000000007</v>
      </c>
      <c r="L707" s="266"/>
    </row>
    <row r="708" spans="2:12">
      <c r="B708" s="263" t="s">
        <v>1645</v>
      </c>
      <c r="C708" s="264" t="s">
        <v>1612</v>
      </c>
      <c r="D708" s="205" t="s">
        <v>152</v>
      </c>
      <c r="E708" s="251">
        <v>141</v>
      </c>
      <c r="F708" s="252">
        <v>1.5780000000000001</v>
      </c>
      <c r="G708" s="251"/>
      <c r="H708" s="251">
        <v>1.1000000000000001</v>
      </c>
      <c r="I708" s="251"/>
      <c r="J708" s="253"/>
      <c r="K708" s="254">
        <f t="shared" si="22"/>
        <v>244.74780000000004</v>
      </c>
      <c r="L708" s="266"/>
    </row>
    <row r="709" spans="2:12">
      <c r="B709" s="263" t="s">
        <v>1646</v>
      </c>
      <c r="C709" s="264" t="s">
        <v>1612</v>
      </c>
      <c r="D709" s="205" t="s">
        <v>152</v>
      </c>
      <c r="E709" s="251">
        <v>223</v>
      </c>
      <c r="F709" s="252">
        <v>1.5780000000000001</v>
      </c>
      <c r="G709" s="251"/>
      <c r="H709" s="251">
        <v>1.1000000000000001</v>
      </c>
      <c r="I709" s="251"/>
      <c r="J709" s="253"/>
      <c r="K709" s="254">
        <f t="shared" si="22"/>
        <v>387.08340000000004</v>
      </c>
      <c r="L709" s="266"/>
    </row>
    <row r="710" spans="2:12">
      <c r="B710" s="256"/>
      <c r="C710" s="210"/>
      <c r="D710" s="210"/>
      <c r="E710" s="257"/>
      <c r="F710" s="258"/>
      <c r="G710" s="257"/>
      <c r="H710" s="257"/>
      <c r="I710" s="257"/>
      <c r="J710" s="259"/>
      <c r="K710" s="260">
        <f t="shared" si="22"/>
        <v>0</v>
      </c>
      <c r="L710" s="210"/>
    </row>
    <row r="711" spans="2:12">
      <c r="B711" s="202"/>
      <c r="C711" s="203"/>
      <c r="D711" s="203"/>
      <c r="E711" s="203"/>
      <c r="F711" s="203"/>
      <c r="G711" s="203"/>
      <c r="H711" s="204"/>
      <c r="I711" s="556" t="s">
        <v>1221</v>
      </c>
      <c r="J711" s="556"/>
      <c r="K711" s="220">
        <f>SUM(K699:K710)</f>
        <v>3301.4916000000003</v>
      </c>
      <c r="L711" s="207"/>
    </row>
    <row r="712" spans="2:12">
      <c r="B712" s="208"/>
      <c r="C712" s="204"/>
      <c r="D712" s="204"/>
      <c r="E712" s="204"/>
      <c r="F712" s="204"/>
      <c r="G712" s="204"/>
      <c r="H712" s="209"/>
      <c r="I712" s="557" t="s">
        <v>1222</v>
      </c>
      <c r="J712" s="557"/>
      <c r="K712" s="221">
        <f>VLOOKUP(B697,'BM 004'!$B$27:$R$590,4,0)</f>
        <v>8421.6</v>
      </c>
      <c r="L712" s="207"/>
    </row>
    <row r="713" spans="2:12">
      <c r="B713" s="208"/>
      <c r="C713" s="204"/>
      <c r="D713" s="204"/>
      <c r="E713" s="204"/>
      <c r="F713" s="204"/>
      <c r="G713" s="204"/>
      <c r="H713" s="558" t="s">
        <v>1223</v>
      </c>
      <c r="I713" s="558"/>
      <c r="J713" s="558"/>
      <c r="K713" s="222">
        <f>K711-K714</f>
        <v>2666.1916000000001</v>
      </c>
      <c r="L713" s="207"/>
    </row>
    <row r="714" spans="2:12">
      <c r="B714" s="208"/>
      <c r="C714" s="204"/>
      <c r="D714" s="204"/>
      <c r="E714" s="204"/>
      <c r="F714" s="204"/>
      <c r="G714" s="204"/>
      <c r="H714" s="558" t="s">
        <v>1579</v>
      </c>
      <c r="I714" s="558"/>
      <c r="J714" s="558"/>
      <c r="K714" s="222">
        <f>TRUNC(SUMIF(C699:C710,H714,K699:K710),2)</f>
        <v>635.29999999999995</v>
      </c>
      <c r="L714" s="207"/>
    </row>
    <row r="715" spans="2:12">
      <c r="B715" s="213"/>
      <c r="C715" s="214"/>
      <c r="D715" s="214"/>
      <c r="E715" s="214"/>
      <c r="F715" s="214"/>
      <c r="G715" s="214"/>
      <c r="H715" s="559" t="s">
        <v>1224</v>
      </c>
      <c r="I715" s="559"/>
      <c r="J715" s="559"/>
      <c r="K715" s="223">
        <f>IF(K711&gt;K712,K711-K712,0)</f>
        <v>0</v>
      </c>
      <c r="L715" s="209"/>
    </row>
    <row r="717" spans="2:12">
      <c r="B717" s="247" t="s">
        <v>209</v>
      </c>
      <c r="C717" s="565" t="str">
        <f>VLOOKUP(B717,'BM 004'!$B$27:$R$590,2,0)</f>
        <v xml:space="preserve">Armação de pilar ou viga de uma estrutura convencional de concreto armado em um edifício de múltiplos pavimentos utilizando aço ca-50 de 20,0 mm - montagem. </v>
      </c>
      <c r="D717" s="565"/>
      <c r="E717" s="565"/>
      <c r="F717" s="565"/>
      <c r="G717" s="565"/>
      <c r="H717" s="565"/>
      <c r="I717" s="565"/>
      <c r="J717" s="565"/>
      <c r="K717" s="565"/>
      <c r="L717" s="565"/>
    </row>
    <row r="718" spans="2:12">
      <c r="B718" s="248" t="s">
        <v>1209</v>
      </c>
      <c r="C718" s="248"/>
      <c r="D718" s="248" t="s">
        <v>39</v>
      </c>
      <c r="E718" s="248" t="s">
        <v>1210</v>
      </c>
      <c r="F718" s="248" t="s">
        <v>1382</v>
      </c>
      <c r="G718" s="248" t="s">
        <v>1383</v>
      </c>
      <c r="H718" s="248" t="s">
        <v>1384</v>
      </c>
      <c r="I718" s="248" t="s">
        <v>1214</v>
      </c>
      <c r="J718" s="248" t="s">
        <v>1385</v>
      </c>
      <c r="K718" s="248" t="s">
        <v>1216</v>
      </c>
      <c r="L718" s="248" t="s">
        <v>1217</v>
      </c>
    </row>
    <row r="719" spans="2:12">
      <c r="B719" s="249" t="s">
        <v>1367</v>
      </c>
      <c r="C719" s="250" t="s">
        <v>1333</v>
      </c>
      <c r="D719" s="205" t="s">
        <v>152</v>
      </c>
      <c r="E719" s="251">
        <v>75</v>
      </c>
      <c r="F719" s="252">
        <v>2.4660000000000002</v>
      </c>
      <c r="G719" s="251"/>
      <c r="H719" s="251">
        <v>1.1000000000000001</v>
      </c>
      <c r="I719" s="251"/>
      <c r="J719" s="253"/>
      <c r="K719" s="254">
        <f t="shared" ref="K719:K731" si="23">IF(E719*F719*G719&lt;&gt;0,E719*F719*G719,IF(E719*F719&lt;&gt;0,E719*F719,IF(F719*G719&lt;&gt;0,F719*G719,IF(E719*G719&lt;&gt;0,E719*G719,IF(E719&lt;&gt;0,E719,IF(F719&lt;&gt;0,F719,IF(G719&lt;&gt;0,G719,0)))))))*(IF(H719&lt;&gt;0,H719,1))+I719-J719</f>
        <v>203.44500000000002</v>
      </c>
      <c r="L719" s="255"/>
    </row>
    <row r="720" spans="2:12">
      <c r="B720" s="249" t="s">
        <v>1386</v>
      </c>
      <c r="C720" s="250" t="s">
        <v>1333</v>
      </c>
      <c r="D720" s="205" t="s">
        <v>152</v>
      </c>
      <c r="E720" s="251">
        <v>95</v>
      </c>
      <c r="F720" s="252">
        <v>2.4660000000000002</v>
      </c>
      <c r="G720" s="251"/>
      <c r="H720" s="251">
        <v>1.1000000000000001</v>
      </c>
      <c r="I720" s="251"/>
      <c r="J720" s="253"/>
      <c r="K720" s="254">
        <f t="shared" si="23"/>
        <v>257.69700000000006</v>
      </c>
      <c r="L720" s="255"/>
    </row>
    <row r="721" spans="2:12">
      <c r="B721" s="263" t="s">
        <v>1475</v>
      </c>
      <c r="C721" s="264" t="s">
        <v>1441</v>
      </c>
      <c r="D721" s="205" t="s">
        <v>152</v>
      </c>
      <c r="E721" s="251">
        <v>150</v>
      </c>
      <c r="F721" s="252">
        <v>2.4660000000000002</v>
      </c>
      <c r="G721" s="251"/>
      <c r="H721" s="251">
        <v>1.1000000000000001</v>
      </c>
      <c r="I721" s="251"/>
      <c r="J721" s="253"/>
      <c r="K721" s="254">
        <f t="shared" si="23"/>
        <v>406.89000000000004</v>
      </c>
      <c r="L721" s="255"/>
    </row>
    <row r="722" spans="2:12">
      <c r="B722" s="263" t="s">
        <v>1476</v>
      </c>
      <c r="C722" s="264" t="s">
        <v>1441</v>
      </c>
      <c r="D722" s="205" t="s">
        <v>152</v>
      </c>
      <c r="E722" s="251">
        <v>137</v>
      </c>
      <c r="F722" s="252">
        <v>2.4660000000000002</v>
      </c>
      <c r="G722" s="251"/>
      <c r="H722" s="251">
        <v>1.1000000000000001</v>
      </c>
      <c r="I722" s="251"/>
      <c r="J722" s="253"/>
      <c r="K722" s="254">
        <f t="shared" si="23"/>
        <v>371.6262000000001</v>
      </c>
      <c r="L722" s="255"/>
    </row>
    <row r="723" spans="2:12">
      <c r="B723" s="263" t="s">
        <v>1302</v>
      </c>
      <c r="C723" s="264" t="s">
        <v>1441</v>
      </c>
      <c r="D723" s="205" t="s">
        <v>152</v>
      </c>
      <c r="E723" s="251">
        <v>157</v>
      </c>
      <c r="F723" s="252">
        <v>2.4660000000000002</v>
      </c>
      <c r="G723" s="251"/>
      <c r="H723" s="251">
        <v>1.1000000000000001</v>
      </c>
      <c r="I723" s="251"/>
      <c r="J723" s="253"/>
      <c r="K723" s="254">
        <f t="shared" si="23"/>
        <v>425.87820000000005</v>
      </c>
      <c r="L723" s="255"/>
    </row>
    <row r="724" spans="2:12">
      <c r="B724" s="263" t="s">
        <v>1552</v>
      </c>
      <c r="C724" s="264" t="s">
        <v>1521</v>
      </c>
      <c r="D724" s="205" t="s">
        <v>152</v>
      </c>
      <c r="E724" s="251">
        <v>172</v>
      </c>
      <c r="F724" s="252">
        <v>2.4660000000000002</v>
      </c>
      <c r="G724" s="251"/>
      <c r="H724" s="251">
        <v>1.1000000000000001</v>
      </c>
      <c r="I724" s="251"/>
      <c r="J724" s="253"/>
      <c r="K724" s="254">
        <f t="shared" si="23"/>
        <v>466.56720000000007</v>
      </c>
      <c r="L724" s="266"/>
    </row>
    <row r="725" spans="2:12">
      <c r="B725" s="263" t="s">
        <v>1553</v>
      </c>
      <c r="C725" s="264" t="s">
        <v>1521</v>
      </c>
      <c r="D725" s="205" t="s">
        <v>152</v>
      </c>
      <c r="E725" s="251">
        <v>47</v>
      </c>
      <c r="F725" s="252">
        <v>2.4660000000000002</v>
      </c>
      <c r="G725" s="251"/>
      <c r="H725" s="251">
        <v>1.1000000000000001</v>
      </c>
      <c r="I725" s="251"/>
      <c r="J725" s="253"/>
      <c r="K725" s="254">
        <f t="shared" si="23"/>
        <v>127.49220000000003</v>
      </c>
      <c r="L725" s="266"/>
    </row>
    <row r="726" spans="2:12">
      <c r="B726" s="263" t="s">
        <v>1642</v>
      </c>
      <c r="C726" s="264" t="s">
        <v>1611</v>
      </c>
      <c r="D726" s="205" t="s">
        <v>152</v>
      </c>
      <c r="E726" s="251">
        <v>105</v>
      </c>
      <c r="F726" s="252">
        <v>2.4660000000000002</v>
      </c>
      <c r="G726" s="251"/>
      <c r="H726" s="251">
        <v>1.1000000000000001</v>
      </c>
      <c r="I726" s="251"/>
      <c r="J726" s="253"/>
      <c r="K726" s="254">
        <f t="shared" si="23"/>
        <v>284.82300000000004</v>
      </c>
      <c r="L726" s="266"/>
    </row>
    <row r="727" spans="2:12">
      <c r="B727" s="263" t="s">
        <v>1643</v>
      </c>
      <c r="C727" s="264" t="s">
        <v>1611</v>
      </c>
      <c r="D727" s="205" t="s">
        <v>152</v>
      </c>
      <c r="E727" s="251">
        <v>117</v>
      </c>
      <c r="F727" s="252">
        <v>2.4660000000000002</v>
      </c>
      <c r="G727" s="251"/>
      <c r="H727" s="251">
        <v>1.1000000000000001</v>
      </c>
      <c r="I727" s="251"/>
      <c r="J727" s="253"/>
      <c r="K727" s="254">
        <f t="shared" si="23"/>
        <v>317.37420000000009</v>
      </c>
      <c r="L727" s="266"/>
    </row>
    <row r="728" spans="2:12">
      <c r="B728" s="263" t="s">
        <v>1644</v>
      </c>
      <c r="C728" s="264" t="s">
        <v>1612</v>
      </c>
      <c r="D728" s="205" t="s">
        <v>152</v>
      </c>
      <c r="E728" s="251">
        <v>126</v>
      </c>
      <c r="F728" s="252">
        <v>2.4660000000000002</v>
      </c>
      <c r="G728" s="251"/>
      <c r="H728" s="251">
        <v>1.1000000000000001</v>
      </c>
      <c r="I728" s="251"/>
      <c r="J728" s="253"/>
      <c r="K728" s="254">
        <f t="shared" si="23"/>
        <v>341.78760000000005</v>
      </c>
      <c r="L728" s="266"/>
    </row>
    <row r="729" spans="2:12">
      <c r="B729" s="263" t="s">
        <v>1645</v>
      </c>
      <c r="C729" s="264" t="s">
        <v>1612</v>
      </c>
      <c r="D729" s="205" t="s">
        <v>152</v>
      </c>
      <c r="E729" s="251">
        <v>78</v>
      </c>
      <c r="F729" s="252">
        <v>2.4660000000000002</v>
      </c>
      <c r="G729" s="251"/>
      <c r="H729" s="251">
        <v>1.1000000000000001</v>
      </c>
      <c r="I729" s="251"/>
      <c r="J729" s="253"/>
      <c r="K729" s="254">
        <f t="shared" si="23"/>
        <v>211.58280000000002</v>
      </c>
      <c r="L729" s="266"/>
    </row>
    <row r="730" spans="2:12">
      <c r="B730" s="263" t="s">
        <v>1646</v>
      </c>
      <c r="C730" s="264" t="s">
        <v>1612</v>
      </c>
      <c r="D730" s="205" t="s">
        <v>152</v>
      </c>
      <c r="E730" s="251">
        <v>75</v>
      </c>
      <c r="F730" s="252">
        <v>2.4660000000000002</v>
      </c>
      <c r="G730" s="251"/>
      <c r="H730" s="251">
        <v>1.1000000000000001</v>
      </c>
      <c r="I730" s="251"/>
      <c r="J730" s="253"/>
      <c r="K730" s="254">
        <f t="shared" si="23"/>
        <v>203.44500000000002</v>
      </c>
      <c r="L730" s="266"/>
    </row>
    <row r="731" spans="2:12">
      <c r="B731" s="256"/>
      <c r="C731" s="210"/>
      <c r="D731" s="210"/>
      <c r="E731" s="257"/>
      <c r="F731" s="258"/>
      <c r="G731" s="257"/>
      <c r="H731" s="257"/>
      <c r="I731" s="257"/>
      <c r="J731" s="259"/>
      <c r="K731" s="260">
        <f t="shared" si="23"/>
        <v>0</v>
      </c>
      <c r="L731" s="210"/>
    </row>
    <row r="732" spans="2:12">
      <c r="B732" s="202"/>
      <c r="C732" s="203"/>
      <c r="D732" s="203"/>
      <c r="E732" s="203"/>
      <c r="F732" s="203"/>
      <c r="G732" s="203"/>
      <c r="H732" s="204"/>
      <c r="I732" s="556" t="s">
        <v>1221</v>
      </c>
      <c r="J732" s="556"/>
      <c r="K732" s="220">
        <f>SUM(K719:K731)</f>
        <v>3618.608400000001</v>
      </c>
      <c r="L732" s="207"/>
    </row>
    <row r="733" spans="2:12">
      <c r="B733" s="208"/>
      <c r="C733" s="204"/>
      <c r="D733" s="204"/>
      <c r="E733" s="204"/>
      <c r="F733" s="204"/>
      <c r="G733" s="204"/>
      <c r="H733" s="209"/>
      <c r="I733" s="557" t="s">
        <v>1222</v>
      </c>
      <c r="J733" s="557"/>
      <c r="K733" s="221">
        <f>VLOOKUP(B717,'BM 004'!$B$27:$R$590,4,0)</f>
        <v>7144.5</v>
      </c>
      <c r="L733" s="207"/>
    </row>
    <row r="734" spans="2:12">
      <c r="B734" s="208"/>
      <c r="C734" s="204"/>
      <c r="D734" s="204"/>
      <c r="E734" s="204"/>
      <c r="F734" s="204"/>
      <c r="G734" s="204"/>
      <c r="H734" s="558" t="s">
        <v>1223</v>
      </c>
      <c r="I734" s="558"/>
      <c r="J734" s="558"/>
      <c r="K734" s="222">
        <f>K732-K735</f>
        <v>2861.798400000001</v>
      </c>
      <c r="L734" s="207"/>
    </row>
    <row r="735" spans="2:12">
      <c r="B735" s="208"/>
      <c r="C735" s="204"/>
      <c r="D735" s="204"/>
      <c r="E735" s="204"/>
      <c r="F735" s="204"/>
      <c r="G735" s="204"/>
      <c r="H735" s="558" t="s">
        <v>1592</v>
      </c>
      <c r="I735" s="558"/>
      <c r="J735" s="558"/>
      <c r="K735" s="222">
        <f>TRUNC(SUMIF(C719:C731,H735,K719:K731),2)</f>
        <v>756.81</v>
      </c>
      <c r="L735" s="207"/>
    </row>
    <row r="736" spans="2:12">
      <c r="B736" s="213"/>
      <c r="C736" s="214"/>
      <c r="D736" s="214"/>
      <c r="E736" s="214"/>
      <c r="F736" s="214"/>
      <c r="G736" s="214"/>
      <c r="H736" s="559" t="s">
        <v>1224</v>
      </c>
      <c r="I736" s="559"/>
      <c r="J736" s="559"/>
      <c r="K736" s="223">
        <f>IF(K732&gt;K733,K732-K733,0)</f>
        <v>0</v>
      </c>
      <c r="L736" s="209"/>
    </row>
    <row r="738" spans="2:12">
      <c r="B738" s="247" t="s">
        <v>211</v>
      </c>
      <c r="C738" s="565" t="str">
        <f>VLOOKUP(B738,'BM 004'!$B$27:$R$590,2,0)</f>
        <v xml:space="preserve">Armação de pilar ou viga de uma estrutura convencional de concreto armado em um edifício de múltiplos pavimentos utilizando aço ca-50 de 25,0 mm - montagem. </v>
      </c>
      <c r="D738" s="565"/>
      <c r="E738" s="565"/>
      <c r="F738" s="565"/>
      <c r="G738" s="565"/>
      <c r="H738" s="565"/>
      <c r="I738" s="565"/>
      <c r="J738" s="565"/>
      <c r="K738" s="565"/>
      <c r="L738" s="565"/>
    </row>
    <row r="739" spans="2:12">
      <c r="B739" s="248" t="s">
        <v>1209</v>
      </c>
      <c r="C739" s="248"/>
      <c r="D739" s="248" t="s">
        <v>39</v>
      </c>
      <c r="E739" s="248" t="s">
        <v>1210</v>
      </c>
      <c r="F739" s="248" t="s">
        <v>1382</v>
      </c>
      <c r="G739" s="248" t="s">
        <v>1383</v>
      </c>
      <c r="H739" s="248" t="s">
        <v>1384</v>
      </c>
      <c r="I739" s="248" t="s">
        <v>1214</v>
      </c>
      <c r="J739" s="248" t="s">
        <v>1385</v>
      </c>
      <c r="K739" s="248" t="s">
        <v>1216</v>
      </c>
      <c r="L739" s="248" t="s">
        <v>1217</v>
      </c>
    </row>
    <row r="740" spans="2:12">
      <c r="B740" s="249" t="s">
        <v>1367</v>
      </c>
      <c r="C740" s="250" t="s">
        <v>1333</v>
      </c>
      <c r="D740" s="205" t="s">
        <v>152</v>
      </c>
      <c r="E740" s="251">
        <v>16</v>
      </c>
      <c r="F740" s="252">
        <v>3.8530000000000002</v>
      </c>
      <c r="G740" s="251"/>
      <c r="H740" s="251">
        <v>1.1000000000000001</v>
      </c>
      <c r="I740" s="251"/>
      <c r="J740" s="253"/>
      <c r="K740" s="254">
        <f t="shared" ref="K740:K752" si="24">IF(E740*F740*G740&lt;&gt;0,E740*F740*G740,IF(E740*F740&lt;&gt;0,E740*F740,IF(F740*G740&lt;&gt;0,F740*G740,IF(E740*G740&lt;&gt;0,E740*G740,IF(E740&lt;&gt;0,E740,IF(F740&lt;&gt;0,F740,IF(G740&lt;&gt;0,G740,0)))))))*(IF(H740&lt;&gt;0,H740,1))+I740-J740</f>
        <v>67.81280000000001</v>
      </c>
      <c r="L740" s="255"/>
    </row>
    <row r="741" spans="2:12">
      <c r="B741" s="249" t="s">
        <v>1386</v>
      </c>
      <c r="C741" s="250" t="s">
        <v>1333</v>
      </c>
      <c r="D741" s="205" t="s">
        <v>152</v>
      </c>
      <c r="E741" s="251">
        <v>44</v>
      </c>
      <c r="F741" s="252">
        <v>3.8530000000000002</v>
      </c>
      <c r="G741" s="251"/>
      <c r="H741" s="251">
        <v>1.1000000000000001</v>
      </c>
      <c r="I741" s="251"/>
      <c r="J741" s="253"/>
      <c r="K741" s="254">
        <f t="shared" si="24"/>
        <v>186.48520000000002</v>
      </c>
      <c r="L741" s="255"/>
    </row>
    <row r="742" spans="2:12">
      <c r="B742" s="263" t="s">
        <v>1475</v>
      </c>
      <c r="C742" s="264" t="s">
        <v>1441</v>
      </c>
      <c r="D742" s="205" t="s">
        <v>152</v>
      </c>
      <c r="E742" s="251">
        <v>148</v>
      </c>
      <c r="F742" s="252">
        <v>3.8530000000000002</v>
      </c>
      <c r="G742" s="251"/>
      <c r="H742" s="251">
        <v>1.1000000000000001</v>
      </c>
      <c r="I742" s="251"/>
      <c r="J742" s="253"/>
      <c r="K742" s="254">
        <f t="shared" si="24"/>
        <v>627.26840000000004</v>
      </c>
      <c r="L742" s="255"/>
    </row>
    <row r="743" spans="2:12">
      <c r="B743" s="263" t="s">
        <v>1476</v>
      </c>
      <c r="C743" s="264" t="s">
        <v>1441</v>
      </c>
      <c r="D743" s="205" t="s">
        <v>152</v>
      </c>
      <c r="E743" s="251">
        <v>96</v>
      </c>
      <c r="F743" s="252">
        <v>3.8530000000000002</v>
      </c>
      <c r="G743" s="251"/>
      <c r="H743" s="251">
        <v>1.1000000000000001</v>
      </c>
      <c r="I743" s="251"/>
      <c r="J743" s="253"/>
      <c r="K743" s="254">
        <f t="shared" si="24"/>
        <v>406.87680000000006</v>
      </c>
      <c r="L743" s="255"/>
    </row>
    <row r="744" spans="2:12">
      <c r="B744" s="263" t="s">
        <v>1302</v>
      </c>
      <c r="C744" s="264" t="s">
        <v>1441</v>
      </c>
      <c r="D744" s="205" t="s">
        <v>152</v>
      </c>
      <c r="E744" s="251">
        <v>222</v>
      </c>
      <c r="F744" s="252">
        <v>3.8530000000000002</v>
      </c>
      <c r="G744" s="251"/>
      <c r="H744" s="251">
        <v>1.1000000000000001</v>
      </c>
      <c r="I744" s="251"/>
      <c r="J744" s="253"/>
      <c r="K744" s="254">
        <f t="shared" si="24"/>
        <v>940.90260000000023</v>
      </c>
      <c r="L744" s="255"/>
    </row>
    <row r="745" spans="2:12">
      <c r="B745" s="263" t="s">
        <v>1552</v>
      </c>
      <c r="C745" s="264" t="s">
        <v>1521</v>
      </c>
      <c r="D745" s="205" t="s">
        <v>152</v>
      </c>
      <c r="E745" s="251">
        <v>57</v>
      </c>
      <c r="F745" s="252">
        <v>3.8530000000000002</v>
      </c>
      <c r="G745" s="251"/>
      <c r="H745" s="251">
        <v>1.1000000000000001</v>
      </c>
      <c r="I745" s="251"/>
      <c r="J745" s="253"/>
      <c r="K745" s="254">
        <f t="shared" si="24"/>
        <v>241.58310000000003</v>
      </c>
      <c r="L745" s="266"/>
    </row>
    <row r="746" spans="2:12">
      <c r="B746" s="263" t="s">
        <v>1553</v>
      </c>
      <c r="C746" s="264" t="s">
        <v>1521</v>
      </c>
      <c r="D746" s="205" t="s">
        <v>152</v>
      </c>
      <c r="E746" s="251">
        <v>34</v>
      </c>
      <c r="F746" s="252">
        <v>3.8530000000000002</v>
      </c>
      <c r="G746" s="251"/>
      <c r="H746" s="251">
        <v>1.1000000000000001</v>
      </c>
      <c r="I746" s="251"/>
      <c r="J746" s="253"/>
      <c r="K746" s="254">
        <f t="shared" si="24"/>
        <v>144.10220000000001</v>
      </c>
      <c r="L746" s="266"/>
    </row>
    <row r="747" spans="2:12">
      <c r="B747" s="263" t="s">
        <v>1642</v>
      </c>
      <c r="C747" s="264" t="s">
        <v>1611</v>
      </c>
      <c r="D747" s="205" t="s">
        <v>152</v>
      </c>
      <c r="E747" s="251">
        <v>120</v>
      </c>
      <c r="F747" s="252">
        <v>3.8530000000000002</v>
      </c>
      <c r="G747" s="251"/>
      <c r="H747" s="251">
        <v>1.1000000000000001</v>
      </c>
      <c r="I747" s="251"/>
      <c r="J747" s="253"/>
      <c r="K747" s="254">
        <f t="shared" si="24"/>
        <v>508.59600000000006</v>
      </c>
      <c r="L747" s="266"/>
    </row>
    <row r="748" spans="2:12">
      <c r="B748" s="263" t="s">
        <v>1643</v>
      </c>
      <c r="C748" s="264" t="s">
        <v>1611</v>
      </c>
      <c r="D748" s="205" t="s">
        <v>152</v>
      </c>
      <c r="E748" s="251">
        <v>118</v>
      </c>
      <c r="F748" s="252">
        <v>3.8530000000000002</v>
      </c>
      <c r="G748" s="251"/>
      <c r="H748" s="251">
        <v>1.1000000000000001</v>
      </c>
      <c r="I748" s="251"/>
      <c r="J748" s="253"/>
      <c r="K748" s="254">
        <f t="shared" si="24"/>
        <v>500.11940000000004</v>
      </c>
      <c r="L748" s="266"/>
    </row>
    <row r="749" spans="2:12">
      <c r="B749" s="263" t="s">
        <v>1644</v>
      </c>
      <c r="C749" s="264" t="s">
        <v>1612</v>
      </c>
      <c r="D749" s="205" t="s">
        <v>152</v>
      </c>
      <c r="E749" s="251">
        <v>69</v>
      </c>
      <c r="F749" s="252">
        <v>3.8530000000000002</v>
      </c>
      <c r="G749" s="251"/>
      <c r="H749" s="251">
        <v>1.1000000000000001</v>
      </c>
      <c r="I749" s="251"/>
      <c r="J749" s="253"/>
      <c r="K749" s="254">
        <f t="shared" si="24"/>
        <v>292.44270000000006</v>
      </c>
      <c r="L749" s="266"/>
    </row>
    <row r="750" spans="2:12">
      <c r="B750" s="263" t="s">
        <v>1645</v>
      </c>
      <c r="C750" s="264" t="s">
        <v>1612</v>
      </c>
      <c r="D750" s="205" t="s">
        <v>152</v>
      </c>
      <c r="E750" s="251">
        <v>20</v>
      </c>
      <c r="F750" s="252">
        <v>3.8530000000000002</v>
      </c>
      <c r="G750" s="251"/>
      <c r="H750" s="251">
        <v>1.1000000000000001</v>
      </c>
      <c r="I750" s="251"/>
      <c r="J750" s="253"/>
      <c r="K750" s="254">
        <f t="shared" si="24"/>
        <v>84.766000000000005</v>
      </c>
      <c r="L750" s="266"/>
    </row>
    <row r="751" spans="2:12">
      <c r="B751" s="263" t="s">
        <v>1646</v>
      </c>
      <c r="C751" s="264" t="s">
        <v>1612</v>
      </c>
      <c r="D751" s="205" t="s">
        <v>152</v>
      </c>
      <c r="E751" s="251">
        <v>11</v>
      </c>
      <c r="F751" s="252">
        <v>3.8530000000000002</v>
      </c>
      <c r="G751" s="251"/>
      <c r="H751" s="251">
        <v>1.1000000000000001</v>
      </c>
      <c r="I751" s="251"/>
      <c r="J751" s="253"/>
      <c r="K751" s="254">
        <f t="shared" si="24"/>
        <v>46.621300000000005</v>
      </c>
      <c r="L751" s="266"/>
    </row>
    <row r="752" spans="2:12">
      <c r="B752" s="256"/>
      <c r="C752" s="210"/>
      <c r="D752" s="210"/>
      <c r="E752" s="257"/>
      <c r="F752" s="258"/>
      <c r="G752" s="257"/>
      <c r="H752" s="257"/>
      <c r="I752" s="257"/>
      <c r="J752" s="259"/>
      <c r="K752" s="260">
        <f t="shared" si="24"/>
        <v>0</v>
      </c>
      <c r="L752" s="210"/>
    </row>
    <row r="753" spans="2:12">
      <c r="B753" s="202"/>
      <c r="C753" s="203"/>
      <c r="D753" s="203"/>
      <c r="E753" s="203"/>
      <c r="F753" s="203"/>
      <c r="G753" s="203"/>
      <c r="H753" s="204"/>
      <c r="I753" s="556" t="s">
        <v>1221</v>
      </c>
      <c r="J753" s="556"/>
      <c r="K753" s="220">
        <f>SUM(K740:K752)</f>
        <v>4047.5765000000001</v>
      </c>
      <c r="L753" s="207"/>
    </row>
    <row r="754" spans="2:12">
      <c r="B754" s="208"/>
      <c r="C754" s="204"/>
      <c r="D754" s="204"/>
      <c r="E754" s="204"/>
      <c r="F754" s="204"/>
      <c r="G754" s="204"/>
      <c r="H754" s="209"/>
      <c r="I754" s="557" t="s">
        <v>1222</v>
      </c>
      <c r="J754" s="557"/>
      <c r="K754" s="221">
        <f>VLOOKUP(B738,'BM 004'!$B$27:$R$590,4,0)</f>
        <v>6531.8</v>
      </c>
      <c r="L754" s="207"/>
    </row>
    <row r="755" spans="2:12">
      <c r="B755" s="208"/>
      <c r="C755" s="204"/>
      <c r="D755" s="204"/>
      <c r="E755" s="204"/>
      <c r="F755" s="204"/>
      <c r="G755" s="204"/>
      <c r="H755" s="558" t="s">
        <v>1223</v>
      </c>
      <c r="I755" s="558"/>
      <c r="J755" s="558"/>
      <c r="K755" s="222">
        <f>K753-K756</f>
        <v>3623.7465000000002</v>
      </c>
      <c r="L755" s="207"/>
    </row>
    <row r="756" spans="2:12">
      <c r="B756" s="208"/>
      <c r="C756" s="204"/>
      <c r="D756" s="204"/>
      <c r="E756" s="204"/>
      <c r="F756" s="204"/>
      <c r="G756" s="204"/>
      <c r="H756" s="558" t="s">
        <v>1592</v>
      </c>
      <c r="I756" s="558"/>
      <c r="J756" s="558"/>
      <c r="K756" s="222">
        <f>TRUNC(SUMIF(C740:C752,H756,K740:K752),2)</f>
        <v>423.83</v>
      </c>
      <c r="L756" s="207"/>
    </row>
    <row r="757" spans="2:12">
      <c r="B757" s="213"/>
      <c r="C757" s="214"/>
      <c r="D757" s="214"/>
      <c r="E757" s="214"/>
      <c r="F757" s="214"/>
      <c r="G757" s="214"/>
      <c r="H757" s="559" t="s">
        <v>1224</v>
      </c>
      <c r="I757" s="559"/>
      <c r="J757" s="559"/>
      <c r="K757" s="223">
        <f>IF(K753&gt;K754,K753-K754,0)</f>
        <v>0</v>
      </c>
      <c r="L757" s="209"/>
    </row>
    <row r="759" spans="2:12">
      <c r="B759" s="247" t="s">
        <v>214</v>
      </c>
      <c r="C759" s="565" t="str">
        <f>VLOOKUP(B759,'BM 004'!$B$27:$R$590,2,0)</f>
        <v xml:space="preserve">Concreto simples usinado fck=35mpa, bombeado, lançado e adensado em superestrutura </v>
      </c>
      <c r="D759" s="565"/>
      <c r="E759" s="565"/>
      <c r="F759" s="565"/>
      <c r="G759" s="565"/>
      <c r="H759" s="565"/>
      <c r="I759" s="565"/>
      <c r="J759" s="565"/>
      <c r="K759" s="565"/>
      <c r="L759" s="565"/>
    </row>
    <row r="760" spans="2:12">
      <c r="B760" s="248" t="s">
        <v>1209</v>
      </c>
      <c r="C760" s="248"/>
      <c r="D760" s="248" t="s">
        <v>39</v>
      </c>
      <c r="E760" s="248" t="s">
        <v>1210</v>
      </c>
      <c r="F760" s="248" t="s">
        <v>1388</v>
      </c>
      <c r="G760" s="248" t="s">
        <v>1212</v>
      </c>
      <c r="H760" s="248" t="s">
        <v>1455</v>
      </c>
      <c r="I760" s="248" t="s">
        <v>1214</v>
      </c>
      <c r="J760" s="248" t="s">
        <v>1385</v>
      </c>
      <c r="K760" s="248" t="s">
        <v>1216</v>
      </c>
      <c r="L760" s="248" t="s">
        <v>1217</v>
      </c>
    </row>
    <row r="761" spans="2:12">
      <c r="B761" s="249" t="s">
        <v>1456</v>
      </c>
      <c r="C761" s="250" t="s">
        <v>1441</v>
      </c>
      <c r="D761" s="205" t="s">
        <v>169</v>
      </c>
      <c r="E761" s="199">
        <v>0.64</v>
      </c>
      <c r="F761" s="199">
        <v>0.15</v>
      </c>
      <c r="G761" s="199">
        <v>1</v>
      </c>
      <c r="H761" s="199"/>
      <c r="I761" s="199"/>
      <c r="J761" s="219"/>
      <c r="K761" s="220">
        <f t="shared" ref="K761:K792" si="25">IF(E761*F761*G761&lt;&gt;0,E761*F761*G761,IF(E761*F761&lt;&gt;0,E761*F761,IF(F761*G761&lt;&gt;0,F761*G761,IF(E761*G761&lt;&gt;0,E761*G761,IF(E761&lt;&gt;0,E761,IF(F761&lt;&gt;0,F761,IF(G761&lt;&gt;0,G761,0)))))))*(IF(H761&lt;&gt;0,H761,1))+I761-J761</f>
        <v>9.6000000000000002E-2</v>
      </c>
      <c r="L761" s="255"/>
    </row>
    <row r="762" spans="2:12">
      <c r="B762" s="249" t="s">
        <v>1457</v>
      </c>
      <c r="C762" s="250" t="s">
        <v>1441</v>
      </c>
      <c r="D762" s="205" t="s">
        <v>169</v>
      </c>
      <c r="E762" s="199">
        <v>7.2</v>
      </c>
      <c r="F762" s="199">
        <v>0.15</v>
      </c>
      <c r="G762" s="199">
        <v>0.7</v>
      </c>
      <c r="H762" s="199"/>
      <c r="I762" s="199"/>
      <c r="J762" s="219"/>
      <c r="K762" s="220">
        <f t="shared" si="25"/>
        <v>0.75600000000000001</v>
      </c>
      <c r="L762" s="255"/>
    </row>
    <row r="763" spans="2:12">
      <c r="B763" s="249" t="s">
        <v>1458</v>
      </c>
      <c r="C763" s="250" t="s">
        <v>1441</v>
      </c>
      <c r="D763" s="205" t="s">
        <v>169</v>
      </c>
      <c r="E763" s="199">
        <v>13.07</v>
      </c>
      <c r="F763" s="199">
        <v>0.15</v>
      </c>
      <c r="G763" s="199">
        <v>0.7</v>
      </c>
      <c r="H763" s="199"/>
      <c r="I763" s="199"/>
      <c r="J763" s="219"/>
      <c r="K763" s="220">
        <f t="shared" si="25"/>
        <v>1.37235</v>
      </c>
      <c r="L763" s="255"/>
    </row>
    <row r="764" spans="2:12">
      <c r="B764" s="249" t="s">
        <v>1459</v>
      </c>
      <c r="C764" s="250" t="s">
        <v>1441</v>
      </c>
      <c r="D764" s="205" t="s">
        <v>169</v>
      </c>
      <c r="E764" s="199">
        <v>0.94</v>
      </c>
      <c r="F764" s="199">
        <v>0.2</v>
      </c>
      <c r="G764" s="199">
        <v>0.6</v>
      </c>
      <c r="H764" s="199"/>
      <c r="I764" s="199"/>
      <c r="J764" s="219"/>
      <c r="K764" s="220">
        <f t="shared" si="25"/>
        <v>0.1128</v>
      </c>
      <c r="L764" s="255"/>
    </row>
    <row r="765" spans="2:12">
      <c r="B765" s="249" t="s">
        <v>1460</v>
      </c>
      <c r="C765" s="250" t="s">
        <v>1441</v>
      </c>
      <c r="D765" s="205" t="s">
        <v>169</v>
      </c>
      <c r="E765" s="199">
        <v>6.7</v>
      </c>
      <c r="F765" s="199">
        <v>0.2</v>
      </c>
      <c r="G765" s="199">
        <v>0.6</v>
      </c>
      <c r="H765" s="199"/>
      <c r="I765" s="199"/>
      <c r="J765" s="219"/>
      <c r="K765" s="220">
        <f t="shared" si="25"/>
        <v>0.80400000000000005</v>
      </c>
      <c r="L765" s="255"/>
    </row>
    <row r="766" spans="2:12">
      <c r="B766" s="249" t="s">
        <v>1460</v>
      </c>
      <c r="C766" s="250" t="s">
        <v>1441</v>
      </c>
      <c r="D766" s="205" t="s">
        <v>169</v>
      </c>
      <c r="E766" s="199">
        <v>14.04</v>
      </c>
      <c r="F766" s="199">
        <v>0.2</v>
      </c>
      <c r="G766" s="199">
        <v>1.2</v>
      </c>
      <c r="H766" s="199"/>
      <c r="I766" s="199"/>
      <c r="J766" s="219"/>
      <c r="K766" s="220">
        <f t="shared" si="25"/>
        <v>3.3695999999999997</v>
      </c>
      <c r="L766" s="255"/>
    </row>
    <row r="767" spans="2:12">
      <c r="B767" s="249" t="s">
        <v>1461</v>
      </c>
      <c r="C767" s="250" t="s">
        <v>1441</v>
      </c>
      <c r="D767" s="205" t="s">
        <v>169</v>
      </c>
      <c r="E767" s="199">
        <v>7.64</v>
      </c>
      <c r="F767" s="199">
        <v>0.15</v>
      </c>
      <c r="G767" s="199">
        <v>0.8</v>
      </c>
      <c r="H767" s="199"/>
      <c r="I767" s="199"/>
      <c r="J767" s="219"/>
      <c r="K767" s="220">
        <f t="shared" si="25"/>
        <v>0.91679999999999995</v>
      </c>
      <c r="L767" s="255"/>
    </row>
    <row r="768" spans="2:12">
      <c r="B768" s="249" t="s">
        <v>1461</v>
      </c>
      <c r="C768" s="250" t="s">
        <v>1441</v>
      </c>
      <c r="D768" s="205" t="s">
        <v>169</v>
      </c>
      <c r="E768" s="199">
        <v>20.96</v>
      </c>
      <c r="F768" s="199">
        <v>0.15</v>
      </c>
      <c r="G768" s="199">
        <v>1.2</v>
      </c>
      <c r="H768" s="199"/>
      <c r="I768" s="199"/>
      <c r="J768" s="219"/>
      <c r="K768" s="220">
        <f t="shared" si="25"/>
        <v>3.7728000000000002</v>
      </c>
      <c r="L768" s="255"/>
    </row>
    <row r="769" spans="2:12">
      <c r="B769" s="249" t="s">
        <v>1462</v>
      </c>
      <c r="C769" s="250" t="s">
        <v>1441</v>
      </c>
      <c r="D769" s="205" t="s">
        <v>169</v>
      </c>
      <c r="E769" s="199">
        <v>22.34</v>
      </c>
      <c r="F769" s="199">
        <v>0.2</v>
      </c>
      <c r="G769" s="199">
        <v>0.6</v>
      </c>
      <c r="H769" s="199"/>
      <c r="I769" s="199"/>
      <c r="J769" s="219"/>
      <c r="K769" s="220">
        <f t="shared" si="25"/>
        <v>2.6808000000000001</v>
      </c>
      <c r="L769" s="255"/>
    </row>
    <row r="770" spans="2:12">
      <c r="B770" s="249" t="s">
        <v>1463</v>
      </c>
      <c r="C770" s="250" t="s">
        <v>1441</v>
      </c>
      <c r="D770" s="205" t="s">
        <v>169</v>
      </c>
      <c r="E770" s="199">
        <v>5.72</v>
      </c>
      <c r="F770" s="199">
        <v>0.15</v>
      </c>
      <c r="G770" s="199">
        <v>0.6</v>
      </c>
      <c r="H770" s="199"/>
      <c r="I770" s="199"/>
      <c r="J770" s="219"/>
      <c r="K770" s="220">
        <f t="shared" si="25"/>
        <v>0.51479999999999992</v>
      </c>
      <c r="L770" s="255"/>
    </row>
    <row r="771" spans="2:12">
      <c r="B771" s="249" t="s">
        <v>1464</v>
      </c>
      <c r="C771" s="250" t="s">
        <v>1441</v>
      </c>
      <c r="D771" s="205" t="s">
        <v>169</v>
      </c>
      <c r="E771" s="199">
        <v>22.34</v>
      </c>
      <c r="F771" s="199">
        <v>0.2</v>
      </c>
      <c r="G771" s="199">
        <v>0.6</v>
      </c>
      <c r="H771" s="199"/>
      <c r="I771" s="199"/>
      <c r="J771" s="219"/>
      <c r="K771" s="220">
        <f t="shared" si="25"/>
        <v>2.6808000000000001</v>
      </c>
      <c r="L771" s="255"/>
    </row>
    <row r="772" spans="2:12">
      <c r="B772" s="249" t="s">
        <v>1465</v>
      </c>
      <c r="C772" s="250" t="s">
        <v>1441</v>
      </c>
      <c r="D772" s="205" t="s">
        <v>169</v>
      </c>
      <c r="E772" s="199">
        <v>4.42</v>
      </c>
      <c r="F772" s="199">
        <v>0.2</v>
      </c>
      <c r="G772" s="199">
        <v>0.6</v>
      </c>
      <c r="H772" s="199"/>
      <c r="I772" s="199"/>
      <c r="J772" s="219"/>
      <c r="K772" s="220">
        <f t="shared" si="25"/>
        <v>0.53039999999999998</v>
      </c>
      <c r="L772" s="255"/>
    </row>
    <row r="773" spans="2:12">
      <c r="B773" s="249" t="s">
        <v>1466</v>
      </c>
      <c r="C773" s="250" t="s">
        <v>1441</v>
      </c>
      <c r="D773" s="205" t="s">
        <v>169</v>
      </c>
      <c r="E773" s="199">
        <v>28.84</v>
      </c>
      <c r="F773" s="199">
        <v>0.2</v>
      </c>
      <c r="G773" s="199">
        <v>0.6</v>
      </c>
      <c r="H773" s="199"/>
      <c r="I773" s="199"/>
      <c r="J773" s="219"/>
      <c r="K773" s="220">
        <f t="shared" si="25"/>
        <v>3.4608000000000003</v>
      </c>
      <c r="L773" s="255"/>
    </row>
    <row r="774" spans="2:12">
      <c r="B774" s="249" t="s">
        <v>1467</v>
      </c>
      <c r="C774" s="250" t="s">
        <v>1441</v>
      </c>
      <c r="D774" s="205" t="s">
        <v>169</v>
      </c>
      <c r="E774" s="199">
        <v>24.09</v>
      </c>
      <c r="F774" s="199">
        <v>0.15</v>
      </c>
      <c r="G774" s="199">
        <v>1</v>
      </c>
      <c r="H774" s="199"/>
      <c r="I774" s="199"/>
      <c r="J774" s="219"/>
      <c r="K774" s="220">
        <f t="shared" si="25"/>
        <v>3.6134999999999997</v>
      </c>
      <c r="L774" s="255"/>
    </row>
    <row r="775" spans="2:12">
      <c r="B775" s="249" t="s">
        <v>1468</v>
      </c>
      <c r="C775" s="250" t="s">
        <v>1441</v>
      </c>
      <c r="D775" s="205" t="s">
        <v>169</v>
      </c>
      <c r="E775" s="199">
        <v>9.8800000000000008</v>
      </c>
      <c r="F775" s="199">
        <v>0.15</v>
      </c>
      <c r="G775" s="199">
        <v>0.6</v>
      </c>
      <c r="H775" s="199"/>
      <c r="I775" s="199"/>
      <c r="J775" s="219"/>
      <c r="K775" s="220">
        <f t="shared" si="25"/>
        <v>0.88919999999999999</v>
      </c>
      <c r="L775" s="255"/>
    </row>
    <row r="776" spans="2:12">
      <c r="B776" s="249" t="s">
        <v>1469</v>
      </c>
      <c r="C776" s="250" t="s">
        <v>1441</v>
      </c>
      <c r="D776" s="205" t="s">
        <v>169</v>
      </c>
      <c r="E776" s="199">
        <v>12</v>
      </c>
      <c r="F776" s="199">
        <v>0.2</v>
      </c>
      <c r="G776" s="199">
        <v>0.6</v>
      </c>
      <c r="H776" s="199"/>
      <c r="I776" s="199"/>
      <c r="J776" s="219"/>
      <c r="K776" s="220">
        <f t="shared" si="25"/>
        <v>1.4400000000000002</v>
      </c>
      <c r="L776" s="255"/>
    </row>
    <row r="777" spans="2:12">
      <c r="B777" s="249" t="s">
        <v>1470</v>
      </c>
      <c r="C777" s="250" t="s">
        <v>1441</v>
      </c>
      <c r="D777" s="205" t="s">
        <v>169</v>
      </c>
      <c r="E777" s="199">
        <v>1.81</v>
      </c>
      <c r="F777" s="199">
        <v>0.2</v>
      </c>
      <c r="G777" s="199">
        <v>0.8</v>
      </c>
      <c r="H777" s="199"/>
      <c r="I777" s="199"/>
      <c r="J777" s="219"/>
      <c r="K777" s="220">
        <f t="shared" si="25"/>
        <v>0.28960000000000002</v>
      </c>
      <c r="L777" s="255"/>
    </row>
    <row r="778" spans="2:12">
      <c r="B778" s="249" t="s">
        <v>1471</v>
      </c>
      <c r="C778" s="250" t="s">
        <v>1441</v>
      </c>
      <c r="D778" s="205" t="s">
        <v>169</v>
      </c>
      <c r="E778" s="199">
        <v>5.92</v>
      </c>
      <c r="F778" s="199">
        <v>0.15</v>
      </c>
      <c r="G778" s="199">
        <v>1.2</v>
      </c>
      <c r="H778" s="199"/>
      <c r="I778" s="199"/>
      <c r="J778" s="219"/>
      <c r="K778" s="220">
        <f t="shared" si="25"/>
        <v>1.0655999999999999</v>
      </c>
      <c r="L778" s="255"/>
    </row>
    <row r="779" spans="2:12">
      <c r="B779" s="249" t="s">
        <v>1472</v>
      </c>
      <c r="C779" s="250" t="s">
        <v>1441</v>
      </c>
      <c r="D779" s="205" t="s">
        <v>169</v>
      </c>
      <c r="E779" s="199">
        <v>12.49</v>
      </c>
      <c r="F779" s="199">
        <v>0.15</v>
      </c>
      <c r="G779" s="199">
        <v>1</v>
      </c>
      <c r="H779" s="199"/>
      <c r="I779" s="199"/>
      <c r="J779" s="219"/>
      <c r="K779" s="220">
        <f t="shared" si="25"/>
        <v>1.8734999999999999</v>
      </c>
      <c r="L779" s="255"/>
    </row>
    <row r="780" spans="2:12">
      <c r="B780" s="249" t="s">
        <v>1472</v>
      </c>
      <c r="C780" s="250" t="s">
        <v>1441</v>
      </c>
      <c r="D780" s="205" t="s">
        <v>169</v>
      </c>
      <c r="E780" s="199">
        <v>6</v>
      </c>
      <c r="F780" s="199">
        <v>0.15</v>
      </c>
      <c r="G780" s="199">
        <v>1.2</v>
      </c>
      <c r="H780" s="199"/>
      <c r="I780" s="199"/>
      <c r="J780" s="219"/>
      <c r="K780" s="220">
        <f t="shared" si="25"/>
        <v>1.0799999999999998</v>
      </c>
      <c r="L780" s="255"/>
    </row>
    <row r="781" spans="2:12">
      <c r="B781" s="249" t="s">
        <v>1473</v>
      </c>
      <c r="C781" s="250" t="s">
        <v>1441</v>
      </c>
      <c r="D781" s="205" t="s">
        <v>169</v>
      </c>
      <c r="E781" s="199">
        <v>4.83</v>
      </c>
      <c r="F781" s="199">
        <v>0.15</v>
      </c>
      <c r="G781" s="199">
        <v>0.6</v>
      </c>
      <c r="H781" s="199"/>
      <c r="I781" s="199"/>
      <c r="J781" s="219"/>
      <c r="K781" s="220">
        <f t="shared" si="25"/>
        <v>0.43470000000000003</v>
      </c>
      <c r="L781" s="255"/>
    </row>
    <row r="782" spans="2:12">
      <c r="B782" s="249" t="s">
        <v>1474</v>
      </c>
      <c r="C782" s="250" t="s">
        <v>1441</v>
      </c>
      <c r="D782" s="205" t="s">
        <v>169</v>
      </c>
      <c r="E782" s="199">
        <v>13.85</v>
      </c>
      <c r="F782" s="199">
        <v>0.15</v>
      </c>
      <c r="G782" s="199">
        <v>0.7</v>
      </c>
      <c r="H782" s="199"/>
      <c r="I782" s="199"/>
      <c r="J782" s="219"/>
      <c r="K782" s="220">
        <f t="shared" si="25"/>
        <v>1.4542499999999996</v>
      </c>
      <c r="L782" s="255"/>
    </row>
    <row r="783" spans="2:12">
      <c r="B783" s="249" t="s">
        <v>1531</v>
      </c>
      <c r="C783" s="250" t="s">
        <v>1521</v>
      </c>
      <c r="D783" s="205" t="s">
        <v>169</v>
      </c>
      <c r="E783" s="199">
        <v>12.69</v>
      </c>
      <c r="F783" s="199">
        <v>0.15</v>
      </c>
      <c r="G783" s="199">
        <v>0.6</v>
      </c>
      <c r="H783" s="199"/>
      <c r="I783" s="199"/>
      <c r="J783" s="219"/>
      <c r="K783" s="220">
        <f t="shared" si="25"/>
        <v>1.1420999999999999</v>
      </c>
      <c r="L783" s="255"/>
    </row>
    <row r="784" spans="2:12">
      <c r="B784" s="249" t="s">
        <v>1532</v>
      </c>
      <c r="C784" s="250" t="s">
        <v>1521</v>
      </c>
      <c r="D784" s="205" t="s">
        <v>169</v>
      </c>
      <c r="E784" s="199">
        <v>1.83</v>
      </c>
      <c r="F784" s="199">
        <v>0.15</v>
      </c>
      <c r="G784" s="199">
        <v>0.6</v>
      </c>
      <c r="H784" s="199"/>
      <c r="I784" s="199"/>
      <c r="J784" s="219"/>
      <c r="K784" s="220">
        <f t="shared" si="25"/>
        <v>0.16470000000000001</v>
      </c>
      <c r="L784" s="255"/>
    </row>
    <row r="785" spans="2:12">
      <c r="B785" s="249" t="s">
        <v>1533</v>
      </c>
      <c r="C785" s="250" t="s">
        <v>1521</v>
      </c>
      <c r="D785" s="205" t="s">
        <v>169</v>
      </c>
      <c r="E785" s="199">
        <v>8.27</v>
      </c>
      <c r="F785" s="199">
        <v>0.15</v>
      </c>
      <c r="G785" s="199">
        <v>0.6</v>
      </c>
      <c r="H785" s="199"/>
      <c r="I785" s="199"/>
      <c r="J785" s="219"/>
      <c r="K785" s="220">
        <f t="shared" si="25"/>
        <v>0.74429999999999996</v>
      </c>
      <c r="L785" s="255"/>
    </row>
    <row r="786" spans="2:12">
      <c r="B786" s="249" t="s">
        <v>1534</v>
      </c>
      <c r="C786" s="250" t="s">
        <v>1521</v>
      </c>
      <c r="D786" s="205" t="s">
        <v>169</v>
      </c>
      <c r="E786" s="199">
        <v>28.74</v>
      </c>
      <c r="F786" s="199">
        <v>0.15</v>
      </c>
      <c r="G786" s="199">
        <v>1</v>
      </c>
      <c r="H786" s="199"/>
      <c r="I786" s="199"/>
      <c r="J786" s="219"/>
      <c r="K786" s="220">
        <f t="shared" si="25"/>
        <v>4.3109999999999999</v>
      </c>
      <c r="L786" s="255"/>
    </row>
    <row r="787" spans="2:12">
      <c r="B787" s="249" t="s">
        <v>1535</v>
      </c>
      <c r="C787" s="250" t="s">
        <v>1521</v>
      </c>
      <c r="D787" s="205" t="s">
        <v>169</v>
      </c>
      <c r="E787" s="199">
        <v>28.53</v>
      </c>
      <c r="F787" s="199">
        <v>0.2</v>
      </c>
      <c r="G787" s="199">
        <v>0.6</v>
      </c>
      <c r="H787" s="199"/>
      <c r="I787" s="199"/>
      <c r="J787" s="219"/>
      <c r="K787" s="220">
        <f t="shared" si="25"/>
        <v>3.4236</v>
      </c>
      <c r="L787" s="255"/>
    </row>
    <row r="788" spans="2:12">
      <c r="B788" s="249" t="s">
        <v>1536</v>
      </c>
      <c r="C788" s="250" t="s">
        <v>1521</v>
      </c>
      <c r="D788" s="205" t="s">
        <v>169</v>
      </c>
      <c r="E788" s="199">
        <v>6.34</v>
      </c>
      <c r="F788" s="199">
        <v>0.15</v>
      </c>
      <c r="G788" s="199">
        <v>0.6</v>
      </c>
      <c r="H788" s="199"/>
      <c r="I788" s="199"/>
      <c r="J788" s="219"/>
      <c r="K788" s="220">
        <f t="shared" si="25"/>
        <v>0.5706</v>
      </c>
      <c r="L788" s="255"/>
    </row>
    <row r="789" spans="2:12">
      <c r="B789" s="249" t="s">
        <v>1537</v>
      </c>
      <c r="C789" s="250" t="s">
        <v>1521</v>
      </c>
      <c r="D789" s="205" t="s">
        <v>169</v>
      </c>
      <c r="E789" s="199">
        <v>21.99</v>
      </c>
      <c r="F789" s="199">
        <v>0.2</v>
      </c>
      <c r="G789" s="199">
        <v>0.6</v>
      </c>
      <c r="H789" s="199"/>
      <c r="I789" s="199"/>
      <c r="J789" s="219"/>
      <c r="K789" s="220">
        <f t="shared" si="25"/>
        <v>2.6387999999999998</v>
      </c>
      <c r="L789" s="255"/>
    </row>
    <row r="790" spans="2:12">
      <c r="B790" s="249" t="s">
        <v>1538</v>
      </c>
      <c r="C790" s="250" t="s">
        <v>1521</v>
      </c>
      <c r="D790" s="205" t="s">
        <v>169</v>
      </c>
      <c r="E790" s="199">
        <v>21.99</v>
      </c>
      <c r="F790" s="199">
        <v>0.2</v>
      </c>
      <c r="G790" s="199">
        <v>0.6</v>
      </c>
      <c r="H790" s="199"/>
      <c r="I790" s="199"/>
      <c r="J790" s="219"/>
      <c r="K790" s="220">
        <f t="shared" si="25"/>
        <v>2.6387999999999998</v>
      </c>
      <c r="L790" s="255"/>
    </row>
    <row r="791" spans="2:12">
      <c r="B791" s="249" t="s">
        <v>1539</v>
      </c>
      <c r="C791" s="250" t="s">
        <v>1521</v>
      </c>
      <c r="D791" s="205" t="s">
        <v>169</v>
      </c>
      <c r="E791" s="199">
        <v>3.45</v>
      </c>
      <c r="F791" s="199">
        <v>0.2</v>
      </c>
      <c r="G791" s="199">
        <v>0.6</v>
      </c>
      <c r="H791" s="199"/>
      <c r="I791" s="199"/>
      <c r="J791" s="219"/>
      <c r="K791" s="220">
        <f t="shared" si="25"/>
        <v>0.41400000000000003</v>
      </c>
      <c r="L791" s="255"/>
    </row>
    <row r="792" spans="2:12">
      <c r="B792" s="249" t="s">
        <v>1540</v>
      </c>
      <c r="C792" s="250" t="s">
        <v>1521</v>
      </c>
      <c r="D792" s="205" t="s">
        <v>169</v>
      </c>
      <c r="E792" s="199">
        <v>28.53</v>
      </c>
      <c r="F792" s="199">
        <v>0.2</v>
      </c>
      <c r="G792" s="199">
        <v>0.6</v>
      </c>
      <c r="H792" s="199"/>
      <c r="I792" s="199"/>
      <c r="J792" s="219"/>
      <c r="K792" s="220">
        <f t="shared" si="25"/>
        <v>3.4236</v>
      </c>
      <c r="L792" s="255"/>
    </row>
    <row r="793" spans="2:12">
      <c r="B793" s="249" t="s">
        <v>1541</v>
      </c>
      <c r="C793" s="250" t="s">
        <v>1521</v>
      </c>
      <c r="D793" s="205" t="s">
        <v>169</v>
      </c>
      <c r="E793" s="199">
        <v>24.09</v>
      </c>
      <c r="F793" s="199">
        <v>0.15</v>
      </c>
      <c r="G793" s="199">
        <v>1</v>
      </c>
      <c r="H793" s="199"/>
      <c r="I793" s="199"/>
      <c r="J793" s="219"/>
      <c r="K793" s="220">
        <f t="shared" ref="K793:K824" si="26">IF(E793*F793*G793&lt;&gt;0,E793*F793*G793,IF(E793*F793&lt;&gt;0,E793*F793,IF(F793*G793&lt;&gt;0,F793*G793,IF(E793*G793&lt;&gt;0,E793*G793,IF(E793&lt;&gt;0,E793,IF(F793&lt;&gt;0,F793,IF(G793&lt;&gt;0,G793,0)))))))*(IF(H793&lt;&gt;0,H793,1))+I793-J793</f>
        <v>3.6134999999999997</v>
      </c>
      <c r="L793" s="255"/>
    </row>
    <row r="794" spans="2:12">
      <c r="B794" s="249" t="s">
        <v>1541</v>
      </c>
      <c r="C794" s="250" t="s">
        <v>1521</v>
      </c>
      <c r="D794" s="205" t="s">
        <v>169</v>
      </c>
      <c r="E794" s="199">
        <v>0.48</v>
      </c>
      <c r="F794" s="199">
        <v>0.15</v>
      </c>
      <c r="G794" s="199">
        <v>0.6</v>
      </c>
      <c r="H794" s="199"/>
      <c r="I794" s="199"/>
      <c r="J794" s="219"/>
      <c r="K794" s="220">
        <f t="shared" si="26"/>
        <v>4.3199999999999995E-2</v>
      </c>
      <c r="L794" s="255"/>
    </row>
    <row r="795" spans="2:12">
      <c r="B795" s="249" t="s">
        <v>1542</v>
      </c>
      <c r="C795" s="250" t="s">
        <v>1521</v>
      </c>
      <c r="D795" s="205" t="s">
        <v>169</v>
      </c>
      <c r="E795" s="199">
        <v>2.7</v>
      </c>
      <c r="F795" s="199">
        <v>0.15</v>
      </c>
      <c r="G795" s="199">
        <v>0.6</v>
      </c>
      <c r="H795" s="199"/>
      <c r="I795" s="199"/>
      <c r="J795" s="219"/>
      <c r="K795" s="220">
        <f t="shared" si="26"/>
        <v>0.24299999999999999</v>
      </c>
      <c r="L795" s="255"/>
    </row>
    <row r="796" spans="2:12">
      <c r="B796" s="249" t="s">
        <v>1543</v>
      </c>
      <c r="C796" s="250" t="s">
        <v>1521</v>
      </c>
      <c r="D796" s="205" t="s">
        <v>169</v>
      </c>
      <c r="E796" s="199">
        <v>2.7</v>
      </c>
      <c r="F796" s="199">
        <v>0.15</v>
      </c>
      <c r="G796" s="199">
        <v>0.6</v>
      </c>
      <c r="H796" s="199"/>
      <c r="I796" s="199"/>
      <c r="J796" s="219"/>
      <c r="K796" s="220">
        <f t="shared" si="26"/>
        <v>0.24299999999999999</v>
      </c>
      <c r="L796" s="255"/>
    </row>
    <row r="797" spans="2:12">
      <c r="B797" s="249" t="s">
        <v>1544</v>
      </c>
      <c r="C797" s="250" t="s">
        <v>1521</v>
      </c>
      <c r="D797" s="205" t="s">
        <v>169</v>
      </c>
      <c r="E797" s="199">
        <v>9.35</v>
      </c>
      <c r="F797" s="199">
        <v>0.2</v>
      </c>
      <c r="G797" s="199">
        <v>0.7</v>
      </c>
      <c r="H797" s="199"/>
      <c r="I797" s="199"/>
      <c r="J797" s="219"/>
      <c r="K797" s="220">
        <f t="shared" si="26"/>
        <v>1.3089999999999999</v>
      </c>
      <c r="L797" s="255"/>
    </row>
    <row r="798" spans="2:12">
      <c r="B798" s="249" t="s">
        <v>1545</v>
      </c>
      <c r="C798" s="250" t="s">
        <v>1521</v>
      </c>
      <c r="D798" s="205" t="s">
        <v>169</v>
      </c>
      <c r="E798" s="199">
        <v>2.85</v>
      </c>
      <c r="F798" s="199">
        <v>0.15</v>
      </c>
      <c r="G798" s="199">
        <v>1</v>
      </c>
      <c r="H798" s="199"/>
      <c r="I798" s="199"/>
      <c r="J798" s="219"/>
      <c r="K798" s="220">
        <f t="shared" si="26"/>
        <v>0.42749999999999999</v>
      </c>
      <c r="L798" s="255"/>
    </row>
    <row r="799" spans="2:12">
      <c r="B799" s="249" t="s">
        <v>1546</v>
      </c>
      <c r="C799" s="250" t="s">
        <v>1521</v>
      </c>
      <c r="D799" s="205" t="s">
        <v>169</v>
      </c>
      <c r="E799" s="199">
        <v>23.39</v>
      </c>
      <c r="F799" s="199">
        <v>0.15</v>
      </c>
      <c r="G799" s="199">
        <v>1</v>
      </c>
      <c r="H799" s="199"/>
      <c r="I799" s="199"/>
      <c r="J799" s="219"/>
      <c r="K799" s="220">
        <f t="shared" si="26"/>
        <v>3.5085000000000002</v>
      </c>
      <c r="L799" s="255"/>
    </row>
    <row r="800" spans="2:12">
      <c r="B800" s="249" t="s">
        <v>1547</v>
      </c>
      <c r="C800" s="250" t="s">
        <v>1521</v>
      </c>
      <c r="D800" s="205" t="s">
        <v>169</v>
      </c>
      <c r="E800" s="199">
        <v>13.7</v>
      </c>
      <c r="F800" s="199">
        <v>0.15</v>
      </c>
      <c r="G800" s="199">
        <v>0.6</v>
      </c>
      <c r="H800" s="199"/>
      <c r="I800" s="199"/>
      <c r="J800" s="219"/>
      <c r="K800" s="220">
        <f t="shared" si="26"/>
        <v>1.2329999999999999</v>
      </c>
      <c r="L800" s="255"/>
    </row>
    <row r="801" spans="2:12">
      <c r="B801" s="249" t="s">
        <v>1548</v>
      </c>
      <c r="C801" s="250" t="s">
        <v>1521</v>
      </c>
      <c r="D801" s="205" t="s">
        <v>169</v>
      </c>
      <c r="E801" s="199">
        <v>0.48</v>
      </c>
      <c r="F801" s="199">
        <v>0.15</v>
      </c>
      <c r="G801" s="199">
        <v>0.6</v>
      </c>
      <c r="H801" s="199"/>
      <c r="I801" s="199"/>
      <c r="J801" s="219"/>
      <c r="K801" s="220">
        <f t="shared" si="26"/>
        <v>4.3199999999999995E-2</v>
      </c>
      <c r="L801" s="255"/>
    </row>
    <row r="802" spans="2:12">
      <c r="B802" s="249" t="s">
        <v>1549</v>
      </c>
      <c r="C802" s="250" t="s">
        <v>1521</v>
      </c>
      <c r="D802" s="205" t="s">
        <v>169</v>
      </c>
      <c r="E802" s="199">
        <v>12.95</v>
      </c>
      <c r="F802" s="199">
        <v>0.2</v>
      </c>
      <c r="G802" s="199">
        <v>0.6</v>
      </c>
      <c r="H802" s="199"/>
      <c r="I802" s="199"/>
      <c r="J802" s="219"/>
      <c r="K802" s="220">
        <f t="shared" si="26"/>
        <v>1.5539999999999998</v>
      </c>
      <c r="L802" s="255"/>
    </row>
    <row r="803" spans="2:12">
      <c r="B803" s="249" t="s">
        <v>1550</v>
      </c>
      <c r="C803" s="250" t="s">
        <v>1521</v>
      </c>
      <c r="D803" s="205" t="s">
        <v>169</v>
      </c>
      <c r="E803" s="199">
        <v>21.37</v>
      </c>
      <c r="F803" s="199">
        <v>0.15</v>
      </c>
      <c r="G803" s="199">
        <v>1</v>
      </c>
      <c r="H803" s="199"/>
      <c r="I803" s="199"/>
      <c r="J803" s="219"/>
      <c r="K803" s="220">
        <f t="shared" si="26"/>
        <v>3.2055000000000002</v>
      </c>
      <c r="L803" s="255"/>
    </row>
    <row r="804" spans="2:12">
      <c r="B804" s="249" t="s">
        <v>1551</v>
      </c>
      <c r="C804" s="250" t="s">
        <v>1521</v>
      </c>
      <c r="D804" s="205" t="s">
        <v>169</v>
      </c>
      <c r="E804" s="199">
        <v>2.86</v>
      </c>
      <c r="F804" s="199">
        <v>0.15</v>
      </c>
      <c r="G804" s="199">
        <v>1</v>
      </c>
      <c r="H804" s="199"/>
      <c r="I804" s="199"/>
      <c r="J804" s="219"/>
      <c r="K804" s="220">
        <f t="shared" si="26"/>
        <v>0.42899999999999999</v>
      </c>
      <c r="L804" s="255"/>
    </row>
    <row r="805" spans="2:12">
      <c r="B805" s="197" t="s">
        <v>1523</v>
      </c>
      <c r="C805" s="189" t="s">
        <v>1521</v>
      </c>
      <c r="D805" s="190" t="s">
        <v>169</v>
      </c>
      <c r="E805" s="199">
        <v>4.71</v>
      </c>
      <c r="F805" s="199">
        <v>0.25</v>
      </c>
      <c r="G805" s="199">
        <v>1.7</v>
      </c>
      <c r="H805" s="199">
        <v>1</v>
      </c>
      <c r="I805" s="199"/>
      <c r="J805" s="219"/>
      <c r="K805" s="217">
        <f t="shared" si="26"/>
        <v>2.0017499999999999</v>
      </c>
      <c r="L805" s="245" t="s">
        <v>1554</v>
      </c>
    </row>
    <row r="806" spans="2:12">
      <c r="B806" s="197" t="s">
        <v>1525</v>
      </c>
      <c r="C806" s="189" t="s">
        <v>1521</v>
      </c>
      <c r="D806" s="190" t="s">
        <v>169</v>
      </c>
      <c r="E806" s="199">
        <v>4.71</v>
      </c>
      <c r="F806" s="199">
        <v>0.15</v>
      </c>
      <c r="G806" s="199">
        <v>1.7</v>
      </c>
      <c r="H806" s="199">
        <v>1</v>
      </c>
      <c r="I806" s="199"/>
      <c r="J806" s="219"/>
      <c r="K806" s="217">
        <f t="shared" si="26"/>
        <v>1.20105</v>
      </c>
      <c r="L806" s="245" t="s">
        <v>1554</v>
      </c>
    </row>
    <row r="807" spans="2:12">
      <c r="B807" s="197" t="s">
        <v>1526</v>
      </c>
      <c r="C807" s="189" t="s">
        <v>1521</v>
      </c>
      <c r="D807" s="190" t="s">
        <v>169</v>
      </c>
      <c r="E807" s="199">
        <v>2.54</v>
      </c>
      <c r="F807" s="199">
        <v>0.15</v>
      </c>
      <c r="G807" s="199">
        <v>1.7</v>
      </c>
      <c r="H807" s="199">
        <v>1</v>
      </c>
      <c r="I807" s="199"/>
      <c r="J807" s="219"/>
      <c r="K807" s="217">
        <f t="shared" si="26"/>
        <v>0.64769999999999994</v>
      </c>
      <c r="L807" s="245" t="s">
        <v>1554</v>
      </c>
    </row>
    <row r="808" spans="2:12">
      <c r="B808" s="197" t="s">
        <v>1527</v>
      </c>
      <c r="C808" s="189" t="s">
        <v>1521</v>
      </c>
      <c r="D808" s="190" t="s">
        <v>169</v>
      </c>
      <c r="E808" s="199">
        <v>2.2000000000000002</v>
      </c>
      <c r="F808" s="199">
        <v>0.15</v>
      </c>
      <c r="G808" s="199">
        <v>1.7</v>
      </c>
      <c r="H808" s="199">
        <v>1</v>
      </c>
      <c r="I808" s="199"/>
      <c r="J808" s="219"/>
      <c r="K808" s="217">
        <f t="shared" si="26"/>
        <v>0.56100000000000005</v>
      </c>
      <c r="L808" s="245" t="s">
        <v>1554</v>
      </c>
    </row>
    <row r="809" spans="2:12">
      <c r="B809" s="197" t="s">
        <v>1528</v>
      </c>
      <c r="C809" s="189" t="s">
        <v>1521</v>
      </c>
      <c r="D809" s="190" t="s">
        <v>169</v>
      </c>
      <c r="E809" s="199">
        <v>2.2000000000000002</v>
      </c>
      <c r="F809" s="199">
        <v>0.15</v>
      </c>
      <c r="G809" s="199">
        <v>1.7</v>
      </c>
      <c r="H809" s="199">
        <v>1</v>
      </c>
      <c r="I809" s="199"/>
      <c r="J809" s="219"/>
      <c r="K809" s="217">
        <f t="shared" si="26"/>
        <v>0.56100000000000005</v>
      </c>
      <c r="L809" s="245" t="s">
        <v>1554</v>
      </c>
    </row>
    <row r="810" spans="2:12">
      <c r="B810" s="197" t="s">
        <v>1529</v>
      </c>
      <c r="C810" s="189" t="s">
        <v>1521</v>
      </c>
      <c r="D810" s="190" t="s">
        <v>169</v>
      </c>
      <c r="E810" s="199">
        <v>1.24</v>
      </c>
      <c r="F810" s="199">
        <v>0.2</v>
      </c>
      <c r="G810" s="199">
        <v>1.7</v>
      </c>
      <c r="H810" s="199">
        <v>1</v>
      </c>
      <c r="I810" s="199"/>
      <c r="J810" s="219"/>
      <c r="K810" s="217">
        <f t="shared" si="26"/>
        <v>0.42159999999999997</v>
      </c>
      <c r="L810" s="245" t="s">
        <v>1554</v>
      </c>
    </row>
    <row r="811" spans="2:12">
      <c r="B811" s="197" t="s">
        <v>1530</v>
      </c>
      <c r="C811" s="189" t="s">
        <v>1521</v>
      </c>
      <c r="D811" s="190" t="s">
        <v>169</v>
      </c>
      <c r="E811" s="199">
        <v>1.24</v>
      </c>
      <c r="F811" s="199">
        <v>0.2</v>
      </c>
      <c r="G811" s="199">
        <v>1.7</v>
      </c>
      <c r="H811" s="199">
        <v>1</v>
      </c>
      <c r="I811" s="199"/>
      <c r="J811" s="219"/>
      <c r="K811" s="217">
        <f t="shared" si="26"/>
        <v>0.42159999999999997</v>
      </c>
      <c r="L811" s="245" t="s">
        <v>1554</v>
      </c>
    </row>
    <row r="812" spans="2:12">
      <c r="B812" s="197" t="s">
        <v>1614</v>
      </c>
      <c r="C812" s="189" t="s">
        <v>1611</v>
      </c>
      <c r="D812" s="190" t="s">
        <v>169</v>
      </c>
      <c r="E812" s="199">
        <v>3.63</v>
      </c>
      <c r="F812" s="199">
        <v>0.2</v>
      </c>
      <c r="G812" s="199">
        <v>0.7</v>
      </c>
      <c r="H812" s="199"/>
      <c r="I812" s="199"/>
      <c r="J812" s="219"/>
      <c r="K812" s="217">
        <f t="shared" si="26"/>
        <v>0.50819999999999999</v>
      </c>
      <c r="L812" s="218"/>
    </row>
    <row r="813" spans="2:12">
      <c r="B813" s="197" t="s">
        <v>1614</v>
      </c>
      <c r="C813" s="189" t="s">
        <v>1611</v>
      </c>
      <c r="D813" s="190" t="s">
        <v>169</v>
      </c>
      <c r="E813" s="199">
        <v>27.92</v>
      </c>
      <c r="F813" s="199">
        <v>0.2</v>
      </c>
      <c r="G813" s="199">
        <v>0.6</v>
      </c>
      <c r="H813" s="199"/>
      <c r="I813" s="199"/>
      <c r="J813" s="219"/>
      <c r="K813" s="217">
        <f t="shared" si="26"/>
        <v>3.3504</v>
      </c>
      <c r="L813" s="218"/>
    </row>
    <row r="814" spans="2:12">
      <c r="B814" s="197" t="s">
        <v>1615</v>
      </c>
      <c r="C814" s="189" t="s">
        <v>1611</v>
      </c>
      <c r="D814" s="190" t="s">
        <v>169</v>
      </c>
      <c r="E814" s="199">
        <v>2.7</v>
      </c>
      <c r="F814" s="199">
        <v>0.15</v>
      </c>
      <c r="G814" s="199">
        <v>0.6</v>
      </c>
      <c r="H814" s="199"/>
      <c r="I814" s="199"/>
      <c r="J814" s="219"/>
      <c r="K814" s="217">
        <f t="shared" si="26"/>
        <v>0.24299999999999999</v>
      </c>
      <c r="L814" s="218"/>
    </row>
    <row r="815" spans="2:12">
      <c r="B815" s="197" t="s">
        <v>1616</v>
      </c>
      <c r="C815" s="189" t="s">
        <v>1611</v>
      </c>
      <c r="D815" s="190" t="s">
        <v>169</v>
      </c>
      <c r="E815" s="199">
        <v>4.62</v>
      </c>
      <c r="F815" s="199">
        <v>0.15</v>
      </c>
      <c r="G815" s="199">
        <v>0.6</v>
      </c>
      <c r="H815" s="199"/>
      <c r="I815" s="199"/>
      <c r="J815" s="219"/>
      <c r="K815" s="217">
        <f t="shared" si="26"/>
        <v>0.41579999999999995</v>
      </c>
      <c r="L815" s="218"/>
    </row>
    <row r="816" spans="2:12">
      <c r="B816" s="197" t="s">
        <v>1617</v>
      </c>
      <c r="C816" s="189" t="s">
        <v>1611</v>
      </c>
      <c r="D816" s="190" t="s">
        <v>169</v>
      </c>
      <c r="E816" s="199">
        <v>1.92</v>
      </c>
      <c r="F816" s="199">
        <v>0.15</v>
      </c>
      <c r="G816" s="199">
        <v>0.7</v>
      </c>
      <c r="H816" s="199"/>
      <c r="I816" s="199"/>
      <c r="J816" s="219"/>
      <c r="K816" s="217">
        <f t="shared" si="26"/>
        <v>0.20159999999999997</v>
      </c>
      <c r="L816" s="218"/>
    </row>
    <row r="817" spans="2:12">
      <c r="B817" s="197" t="s">
        <v>1618</v>
      </c>
      <c r="C817" s="189" t="s">
        <v>1611</v>
      </c>
      <c r="D817" s="190" t="s">
        <v>169</v>
      </c>
      <c r="E817" s="199">
        <v>0.84</v>
      </c>
      <c r="F817" s="199">
        <v>0.4</v>
      </c>
      <c r="G817" s="199">
        <v>1</v>
      </c>
      <c r="H817" s="199"/>
      <c r="I817" s="199"/>
      <c r="J817" s="219"/>
      <c r="K817" s="217">
        <f t="shared" si="26"/>
        <v>0.33600000000000002</v>
      </c>
      <c r="L817" s="218"/>
    </row>
    <row r="818" spans="2:12">
      <c r="B818" s="197" t="s">
        <v>1618</v>
      </c>
      <c r="C818" s="189" t="s">
        <v>1611</v>
      </c>
      <c r="D818" s="190" t="s">
        <v>169</v>
      </c>
      <c r="E818" s="199">
        <v>25.92</v>
      </c>
      <c r="F818" s="199">
        <v>0.3</v>
      </c>
      <c r="G818" s="199">
        <v>0.8</v>
      </c>
      <c r="H818" s="199"/>
      <c r="I818" s="199"/>
      <c r="J818" s="219"/>
      <c r="K818" s="217">
        <f t="shared" si="26"/>
        <v>6.2208000000000006</v>
      </c>
      <c r="L818" s="218"/>
    </row>
    <row r="819" spans="2:12">
      <c r="B819" s="197" t="s">
        <v>1619</v>
      </c>
      <c r="C819" s="189" t="s">
        <v>1611</v>
      </c>
      <c r="D819" s="190" t="s">
        <v>169</v>
      </c>
      <c r="E819" s="199">
        <v>16.71</v>
      </c>
      <c r="F819" s="199">
        <v>0.2</v>
      </c>
      <c r="G819" s="199">
        <v>0.7</v>
      </c>
      <c r="H819" s="199"/>
      <c r="I819" s="199"/>
      <c r="J819" s="219"/>
      <c r="K819" s="217">
        <f t="shared" si="26"/>
        <v>2.3394000000000004</v>
      </c>
      <c r="L819" s="218"/>
    </row>
    <row r="820" spans="2:12">
      <c r="B820" s="197" t="s">
        <v>1620</v>
      </c>
      <c r="C820" s="189" t="s">
        <v>1611</v>
      </c>
      <c r="D820" s="190" t="s">
        <v>169</v>
      </c>
      <c r="E820" s="199">
        <v>9.59</v>
      </c>
      <c r="F820" s="199">
        <v>0.15</v>
      </c>
      <c r="G820" s="199">
        <v>0.7</v>
      </c>
      <c r="H820" s="199"/>
      <c r="I820" s="199"/>
      <c r="J820" s="219"/>
      <c r="K820" s="217">
        <f t="shared" si="26"/>
        <v>1.0069499999999998</v>
      </c>
      <c r="L820" s="218"/>
    </row>
    <row r="821" spans="2:12">
      <c r="B821" s="197" t="s">
        <v>1621</v>
      </c>
      <c r="C821" s="189" t="s">
        <v>1611</v>
      </c>
      <c r="D821" s="190" t="s">
        <v>169</v>
      </c>
      <c r="E821" s="199">
        <v>1.44</v>
      </c>
      <c r="F821" s="199">
        <v>0.15</v>
      </c>
      <c r="G821" s="199">
        <v>0.7</v>
      </c>
      <c r="H821" s="199"/>
      <c r="I821" s="199"/>
      <c r="J821" s="219"/>
      <c r="K821" s="217">
        <f t="shared" si="26"/>
        <v>0.1512</v>
      </c>
      <c r="L821" s="218"/>
    </row>
    <row r="822" spans="2:12">
      <c r="B822" s="197" t="s">
        <v>1622</v>
      </c>
      <c r="C822" s="189" t="s">
        <v>1611</v>
      </c>
      <c r="D822" s="190" t="s">
        <v>169</v>
      </c>
      <c r="E822" s="199">
        <v>6.83</v>
      </c>
      <c r="F822" s="199">
        <v>0.25</v>
      </c>
      <c r="G822" s="199">
        <v>0.6</v>
      </c>
      <c r="H822" s="199"/>
      <c r="I822" s="199"/>
      <c r="J822" s="219"/>
      <c r="K822" s="217">
        <f t="shared" si="26"/>
        <v>1.0245</v>
      </c>
      <c r="L822" s="218"/>
    </row>
    <row r="823" spans="2:12">
      <c r="B823" s="197" t="s">
        <v>1622</v>
      </c>
      <c r="C823" s="189" t="s">
        <v>1611</v>
      </c>
      <c r="D823" s="190" t="s">
        <v>169</v>
      </c>
      <c r="E823" s="199">
        <v>7.5</v>
      </c>
      <c r="F823" s="199">
        <v>0.25</v>
      </c>
      <c r="G823" s="199">
        <v>1</v>
      </c>
      <c r="H823" s="199"/>
      <c r="I823" s="199"/>
      <c r="J823" s="219"/>
      <c r="K823" s="217">
        <f t="shared" si="26"/>
        <v>1.875</v>
      </c>
      <c r="L823" s="218"/>
    </row>
    <row r="824" spans="2:12">
      <c r="B824" s="197" t="s">
        <v>1622</v>
      </c>
      <c r="C824" s="189" t="s">
        <v>1611</v>
      </c>
      <c r="D824" s="190" t="s">
        <v>169</v>
      </c>
      <c r="E824" s="199">
        <v>6.17</v>
      </c>
      <c r="F824" s="199">
        <v>0.25</v>
      </c>
      <c r="G824" s="199">
        <v>0.6</v>
      </c>
      <c r="H824" s="199"/>
      <c r="I824" s="199"/>
      <c r="J824" s="219"/>
      <c r="K824" s="217">
        <f t="shared" si="26"/>
        <v>0.92549999999999999</v>
      </c>
      <c r="L824" s="218"/>
    </row>
    <row r="825" spans="2:12">
      <c r="B825" s="197" t="s">
        <v>1623</v>
      </c>
      <c r="C825" s="189" t="s">
        <v>1611</v>
      </c>
      <c r="D825" s="190" t="s">
        <v>169</v>
      </c>
      <c r="E825" s="199">
        <v>11.82</v>
      </c>
      <c r="F825" s="199">
        <v>0.2</v>
      </c>
      <c r="G825" s="199">
        <v>0.8</v>
      </c>
      <c r="H825" s="199"/>
      <c r="I825" s="199"/>
      <c r="J825" s="219"/>
      <c r="K825" s="217">
        <f t="shared" ref="K825:K856" si="27">IF(E825*F825*G825&lt;&gt;0,E825*F825*G825,IF(E825*F825&lt;&gt;0,E825*F825,IF(F825*G825&lt;&gt;0,F825*G825,IF(E825*G825&lt;&gt;0,E825*G825,IF(E825&lt;&gt;0,E825,IF(F825&lt;&gt;0,F825,IF(G825&lt;&gt;0,G825,0)))))))*(IF(H825&lt;&gt;0,H825,1))+I825-J825</f>
        <v>1.8912000000000004</v>
      </c>
      <c r="L825" s="218"/>
    </row>
    <row r="826" spans="2:12">
      <c r="B826" s="197" t="s">
        <v>1624</v>
      </c>
      <c r="C826" s="189" t="s">
        <v>1611</v>
      </c>
      <c r="D826" s="190" t="s">
        <v>169</v>
      </c>
      <c r="E826" s="199">
        <v>19.25</v>
      </c>
      <c r="F826" s="199">
        <v>0.25</v>
      </c>
      <c r="G826" s="199">
        <v>0.7</v>
      </c>
      <c r="H826" s="199"/>
      <c r="I826" s="199"/>
      <c r="J826" s="219"/>
      <c r="K826" s="217">
        <f t="shared" si="27"/>
        <v>3.3687499999999999</v>
      </c>
      <c r="L826" s="218"/>
    </row>
    <row r="827" spans="2:12">
      <c r="B827" s="197" t="s">
        <v>1625</v>
      </c>
      <c r="C827" s="189" t="s">
        <v>1611</v>
      </c>
      <c r="D827" s="190" t="s">
        <v>169</v>
      </c>
      <c r="E827" s="199">
        <v>5.14</v>
      </c>
      <c r="F827" s="199">
        <v>0.15</v>
      </c>
      <c r="G827" s="199">
        <v>0.6</v>
      </c>
      <c r="H827" s="199"/>
      <c r="I827" s="199"/>
      <c r="J827" s="219"/>
      <c r="K827" s="217">
        <f t="shared" si="27"/>
        <v>0.4625999999999999</v>
      </c>
      <c r="L827" s="218"/>
    </row>
    <row r="828" spans="2:12">
      <c r="B828" s="197" t="s">
        <v>1626</v>
      </c>
      <c r="C828" s="189" t="s">
        <v>1611</v>
      </c>
      <c r="D828" s="190" t="s">
        <v>169</v>
      </c>
      <c r="E828" s="199">
        <v>6.34</v>
      </c>
      <c r="F828" s="199">
        <v>0.2</v>
      </c>
      <c r="G828" s="199">
        <v>0.6</v>
      </c>
      <c r="H828" s="199"/>
      <c r="I828" s="199"/>
      <c r="J828" s="219"/>
      <c r="K828" s="217">
        <f t="shared" si="27"/>
        <v>0.76080000000000003</v>
      </c>
      <c r="L828" s="218"/>
    </row>
    <row r="829" spans="2:12">
      <c r="B829" s="197" t="s">
        <v>1626</v>
      </c>
      <c r="C829" s="189" t="s">
        <v>1611</v>
      </c>
      <c r="D829" s="190" t="s">
        <v>169</v>
      </c>
      <c r="E829" s="199">
        <v>3.78</v>
      </c>
      <c r="F829" s="199">
        <v>0.2</v>
      </c>
      <c r="G829" s="199">
        <v>0.7</v>
      </c>
      <c r="H829" s="199"/>
      <c r="I829" s="199"/>
      <c r="J829" s="219"/>
      <c r="K829" s="217">
        <f t="shared" si="27"/>
        <v>0.5292</v>
      </c>
      <c r="L829" s="218"/>
    </row>
    <row r="830" spans="2:12">
      <c r="B830" s="197" t="s">
        <v>1627</v>
      </c>
      <c r="C830" s="189" t="s">
        <v>1611</v>
      </c>
      <c r="D830" s="190" t="s">
        <v>169</v>
      </c>
      <c r="E830" s="199">
        <v>35.049999999999997</v>
      </c>
      <c r="F830" s="199">
        <v>0.2</v>
      </c>
      <c r="G830" s="199">
        <v>0.7</v>
      </c>
      <c r="H830" s="199"/>
      <c r="I830" s="199"/>
      <c r="J830" s="219"/>
      <c r="K830" s="217">
        <f t="shared" si="27"/>
        <v>4.9069999999999991</v>
      </c>
      <c r="L830" s="218"/>
    </row>
    <row r="831" spans="2:12">
      <c r="B831" s="197" t="s">
        <v>1627</v>
      </c>
      <c r="C831" s="189" t="s">
        <v>1611</v>
      </c>
      <c r="D831" s="190" t="s">
        <v>169</v>
      </c>
      <c r="E831" s="199">
        <v>5.05</v>
      </c>
      <c r="F831" s="199">
        <v>0.2</v>
      </c>
      <c r="G831" s="199">
        <v>1</v>
      </c>
      <c r="H831" s="199"/>
      <c r="I831" s="199"/>
      <c r="J831" s="219"/>
      <c r="K831" s="217">
        <f t="shared" si="27"/>
        <v>1.01</v>
      </c>
      <c r="L831" s="218"/>
    </row>
    <row r="832" spans="2:12">
      <c r="B832" s="197" t="s">
        <v>1628</v>
      </c>
      <c r="C832" s="189" t="s">
        <v>1611</v>
      </c>
      <c r="D832" s="190" t="s">
        <v>169</v>
      </c>
      <c r="E832" s="199">
        <v>12.91</v>
      </c>
      <c r="F832" s="199">
        <v>0.25</v>
      </c>
      <c r="G832" s="199">
        <v>0.7</v>
      </c>
      <c r="H832" s="199"/>
      <c r="I832" s="199"/>
      <c r="J832" s="219"/>
      <c r="K832" s="217">
        <f t="shared" si="27"/>
        <v>2.2592499999999998</v>
      </c>
      <c r="L832" s="218"/>
    </row>
    <row r="833" spans="2:12">
      <c r="B833" s="197" t="s">
        <v>1629</v>
      </c>
      <c r="C833" s="189" t="s">
        <v>1611</v>
      </c>
      <c r="D833" s="190" t="s">
        <v>169</v>
      </c>
      <c r="E833" s="199">
        <v>9.65</v>
      </c>
      <c r="F833" s="199">
        <v>0.3</v>
      </c>
      <c r="G833" s="199">
        <v>0.7</v>
      </c>
      <c r="H833" s="199"/>
      <c r="I833" s="199"/>
      <c r="J833" s="219"/>
      <c r="K833" s="217">
        <f t="shared" si="27"/>
        <v>2.0265</v>
      </c>
      <c r="L833" s="218"/>
    </row>
    <row r="834" spans="2:12">
      <c r="B834" s="197" t="s">
        <v>1629</v>
      </c>
      <c r="C834" s="189" t="s">
        <v>1611</v>
      </c>
      <c r="D834" s="190" t="s">
        <v>169</v>
      </c>
      <c r="E834" s="199">
        <v>2.91</v>
      </c>
      <c r="F834" s="199">
        <v>0.3</v>
      </c>
      <c r="G834" s="199">
        <v>0.65</v>
      </c>
      <c r="H834" s="199"/>
      <c r="I834" s="199"/>
      <c r="J834" s="219"/>
      <c r="K834" s="217">
        <f t="shared" si="27"/>
        <v>0.56745000000000001</v>
      </c>
      <c r="L834" s="218"/>
    </row>
    <row r="835" spans="2:12">
      <c r="B835" s="197" t="s">
        <v>1630</v>
      </c>
      <c r="C835" s="189" t="s">
        <v>1611</v>
      </c>
      <c r="D835" s="190" t="s">
        <v>169</v>
      </c>
      <c r="E835" s="199">
        <v>12.35</v>
      </c>
      <c r="F835" s="199">
        <v>0.15</v>
      </c>
      <c r="G835" s="199">
        <v>0.7</v>
      </c>
      <c r="H835" s="199"/>
      <c r="I835" s="199"/>
      <c r="J835" s="219"/>
      <c r="K835" s="217">
        <f t="shared" si="27"/>
        <v>1.2967499999999998</v>
      </c>
      <c r="L835" s="218"/>
    </row>
    <row r="836" spans="2:12">
      <c r="B836" s="197" t="s">
        <v>1631</v>
      </c>
      <c r="C836" s="189" t="s">
        <v>1611</v>
      </c>
      <c r="D836" s="190" t="s">
        <v>169</v>
      </c>
      <c r="E836" s="199">
        <v>16.260000000000002</v>
      </c>
      <c r="F836" s="199">
        <v>0.15</v>
      </c>
      <c r="G836" s="199">
        <v>1</v>
      </c>
      <c r="H836" s="199"/>
      <c r="I836" s="199"/>
      <c r="J836" s="219"/>
      <c r="K836" s="217">
        <f t="shared" si="27"/>
        <v>2.4390000000000001</v>
      </c>
      <c r="L836" s="218"/>
    </row>
    <row r="837" spans="2:12">
      <c r="B837" s="197" t="s">
        <v>1632</v>
      </c>
      <c r="C837" s="189" t="s">
        <v>1611</v>
      </c>
      <c r="D837" s="190" t="s">
        <v>169</v>
      </c>
      <c r="E837" s="199">
        <v>9.77</v>
      </c>
      <c r="F837" s="199">
        <v>0.3</v>
      </c>
      <c r="G837" s="199">
        <v>0.6</v>
      </c>
      <c r="H837" s="199"/>
      <c r="I837" s="199"/>
      <c r="J837" s="219"/>
      <c r="K837" s="217">
        <f t="shared" si="27"/>
        <v>1.7585999999999997</v>
      </c>
      <c r="L837" s="218"/>
    </row>
    <row r="838" spans="2:12">
      <c r="B838" s="197" t="s">
        <v>1633</v>
      </c>
      <c r="C838" s="189" t="s">
        <v>1611</v>
      </c>
      <c r="D838" s="190" t="s">
        <v>169</v>
      </c>
      <c r="E838" s="199">
        <v>8.8000000000000007</v>
      </c>
      <c r="F838" s="199">
        <v>0.15</v>
      </c>
      <c r="G838" s="199">
        <v>0.8</v>
      </c>
      <c r="H838" s="199"/>
      <c r="I838" s="199"/>
      <c r="J838" s="219"/>
      <c r="K838" s="217">
        <f t="shared" si="27"/>
        <v>1.056</v>
      </c>
      <c r="L838" s="218"/>
    </row>
    <row r="839" spans="2:12">
      <c r="B839" s="197" t="s">
        <v>1634</v>
      </c>
      <c r="C839" s="189" t="s">
        <v>1611</v>
      </c>
      <c r="D839" s="190" t="s">
        <v>169</v>
      </c>
      <c r="E839" s="199">
        <v>3.82</v>
      </c>
      <c r="F839" s="199">
        <v>0.3</v>
      </c>
      <c r="G839" s="199">
        <v>0.6</v>
      </c>
      <c r="H839" s="199"/>
      <c r="I839" s="199"/>
      <c r="J839" s="219"/>
      <c r="K839" s="217">
        <f t="shared" si="27"/>
        <v>0.68759999999999988</v>
      </c>
      <c r="L839" s="218"/>
    </row>
    <row r="840" spans="2:12">
      <c r="B840" s="197" t="s">
        <v>1635</v>
      </c>
      <c r="C840" s="189" t="s">
        <v>1611</v>
      </c>
      <c r="D840" s="190" t="s">
        <v>169</v>
      </c>
      <c r="E840" s="199">
        <v>2.54</v>
      </c>
      <c r="F840" s="199">
        <v>0.15</v>
      </c>
      <c r="G840" s="199">
        <v>0.6</v>
      </c>
      <c r="H840" s="199"/>
      <c r="I840" s="199"/>
      <c r="J840" s="219"/>
      <c r="K840" s="217">
        <f t="shared" si="27"/>
        <v>0.2286</v>
      </c>
      <c r="L840" s="218"/>
    </row>
    <row r="841" spans="2:12">
      <c r="B841" s="197" t="s">
        <v>1636</v>
      </c>
      <c r="C841" s="189" t="s">
        <v>1611</v>
      </c>
      <c r="D841" s="190" t="s">
        <v>169</v>
      </c>
      <c r="E841" s="199">
        <v>9.4</v>
      </c>
      <c r="F841" s="199">
        <v>0.2</v>
      </c>
      <c r="G841" s="199">
        <v>0.6</v>
      </c>
      <c r="H841" s="199"/>
      <c r="I841" s="199"/>
      <c r="J841" s="219"/>
      <c r="K841" s="217">
        <f t="shared" si="27"/>
        <v>1.1280000000000001</v>
      </c>
      <c r="L841" s="218"/>
    </row>
    <row r="842" spans="2:12">
      <c r="B842" s="197" t="s">
        <v>1637</v>
      </c>
      <c r="C842" s="189" t="s">
        <v>1611</v>
      </c>
      <c r="D842" s="190" t="s">
        <v>169</v>
      </c>
      <c r="E842" s="199">
        <v>3.84</v>
      </c>
      <c r="F842" s="199">
        <v>0.2</v>
      </c>
      <c r="G842" s="199">
        <v>0.7</v>
      </c>
      <c r="H842" s="199"/>
      <c r="I842" s="199"/>
      <c r="J842" s="219"/>
      <c r="K842" s="217">
        <f t="shared" si="27"/>
        <v>0.53759999999999997</v>
      </c>
      <c r="L842" s="218"/>
    </row>
    <row r="843" spans="2:12">
      <c r="B843" s="197" t="s">
        <v>1638</v>
      </c>
      <c r="C843" s="189" t="s">
        <v>1611</v>
      </c>
      <c r="D843" s="190" t="s">
        <v>169</v>
      </c>
      <c r="E843" s="199">
        <v>2.84</v>
      </c>
      <c r="F843" s="199">
        <v>0.2</v>
      </c>
      <c r="G843" s="199">
        <v>0.6</v>
      </c>
      <c r="H843" s="199"/>
      <c r="I843" s="199"/>
      <c r="J843" s="219"/>
      <c r="K843" s="217">
        <f t="shared" si="27"/>
        <v>0.34079999999999994</v>
      </c>
      <c r="L843" s="218"/>
    </row>
    <row r="844" spans="2:12">
      <c r="B844" s="197" t="s">
        <v>1639</v>
      </c>
      <c r="C844" s="189" t="s">
        <v>1611</v>
      </c>
      <c r="D844" s="190" t="s">
        <v>169</v>
      </c>
      <c r="E844" s="199">
        <v>9.4700000000000006</v>
      </c>
      <c r="F844" s="199">
        <v>0.15</v>
      </c>
      <c r="G844" s="199">
        <v>1</v>
      </c>
      <c r="H844" s="199"/>
      <c r="I844" s="199"/>
      <c r="J844" s="219"/>
      <c r="K844" s="217">
        <f t="shared" si="27"/>
        <v>1.4205000000000001</v>
      </c>
      <c r="L844" s="218"/>
    </row>
    <row r="845" spans="2:12">
      <c r="B845" s="197" t="s">
        <v>1640</v>
      </c>
      <c r="C845" s="189" t="s">
        <v>1611</v>
      </c>
      <c r="D845" s="190" t="s">
        <v>169</v>
      </c>
      <c r="E845" s="199">
        <v>21.33</v>
      </c>
      <c r="F845" s="199">
        <v>0.15</v>
      </c>
      <c r="G845" s="199">
        <v>1</v>
      </c>
      <c r="H845" s="199"/>
      <c r="I845" s="199"/>
      <c r="J845" s="219"/>
      <c r="K845" s="217">
        <f t="shared" si="27"/>
        <v>3.1994999999999996</v>
      </c>
      <c r="L845" s="218"/>
    </row>
    <row r="846" spans="2:12">
      <c r="B846" s="197" t="s">
        <v>1641</v>
      </c>
      <c r="C846" s="189" t="s">
        <v>1611</v>
      </c>
      <c r="D846" s="190" t="s">
        <v>169</v>
      </c>
      <c r="E846" s="199">
        <v>4.58</v>
      </c>
      <c r="F846" s="199">
        <v>0.2</v>
      </c>
      <c r="G846" s="199">
        <v>0.6</v>
      </c>
      <c r="H846" s="199"/>
      <c r="I846" s="199"/>
      <c r="J846" s="219"/>
      <c r="K846" s="217">
        <f t="shared" si="27"/>
        <v>0.54959999999999998</v>
      </c>
      <c r="L846" s="218"/>
    </row>
    <row r="847" spans="2:12">
      <c r="B847" s="197" t="s">
        <v>1648</v>
      </c>
      <c r="C847" s="189" t="s">
        <v>1612</v>
      </c>
      <c r="D847" s="190" t="s">
        <v>169</v>
      </c>
      <c r="E847" s="199">
        <v>21.7</v>
      </c>
      <c r="F847" s="199">
        <v>0.15</v>
      </c>
      <c r="G847" s="199">
        <v>1</v>
      </c>
      <c r="H847" s="199"/>
      <c r="I847" s="199"/>
      <c r="J847" s="219"/>
      <c r="K847" s="217">
        <f t="shared" si="27"/>
        <v>3.2549999999999999</v>
      </c>
      <c r="L847" s="218"/>
    </row>
    <row r="848" spans="2:12">
      <c r="B848" s="197" t="s">
        <v>1649</v>
      </c>
      <c r="C848" s="189" t="s">
        <v>1612</v>
      </c>
      <c r="D848" s="190" t="s">
        <v>169</v>
      </c>
      <c r="E848" s="199">
        <v>21.4</v>
      </c>
      <c r="F848" s="199">
        <v>0.2</v>
      </c>
      <c r="G848" s="199">
        <v>0.6</v>
      </c>
      <c r="H848" s="199"/>
      <c r="I848" s="199"/>
      <c r="J848" s="219"/>
      <c r="K848" s="217">
        <f t="shared" si="27"/>
        <v>2.5680000000000001</v>
      </c>
      <c r="L848" s="218"/>
    </row>
    <row r="849" spans="2:12">
      <c r="B849" s="197" t="s">
        <v>1650</v>
      </c>
      <c r="C849" s="189" t="s">
        <v>1612</v>
      </c>
      <c r="D849" s="190" t="s">
        <v>169</v>
      </c>
      <c r="E849" s="199">
        <v>21.4</v>
      </c>
      <c r="F849" s="199">
        <v>0.2</v>
      </c>
      <c r="G849" s="199">
        <v>0.6</v>
      </c>
      <c r="H849" s="199"/>
      <c r="I849" s="199"/>
      <c r="J849" s="219"/>
      <c r="K849" s="217">
        <f t="shared" si="27"/>
        <v>2.5680000000000001</v>
      </c>
      <c r="L849" s="218"/>
    </row>
    <row r="850" spans="2:12">
      <c r="B850" s="197" t="s">
        <v>1651</v>
      </c>
      <c r="C850" s="189" t="s">
        <v>1612</v>
      </c>
      <c r="D850" s="190" t="s">
        <v>169</v>
      </c>
      <c r="E850" s="199">
        <v>21.4</v>
      </c>
      <c r="F850" s="199">
        <v>0.2</v>
      </c>
      <c r="G850" s="199">
        <v>0.6</v>
      </c>
      <c r="H850" s="199"/>
      <c r="I850" s="199"/>
      <c r="J850" s="219"/>
      <c r="K850" s="217">
        <f t="shared" si="27"/>
        <v>2.5680000000000001</v>
      </c>
      <c r="L850" s="218"/>
    </row>
    <row r="851" spans="2:12">
      <c r="B851" s="197" t="s">
        <v>1652</v>
      </c>
      <c r="C851" s="189" t="s">
        <v>1612</v>
      </c>
      <c r="D851" s="190" t="s">
        <v>169</v>
      </c>
      <c r="E851" s="199">
        <v>3.45</v>
      </c>
      <c r="F851" s="199">
        <v>0.2</v>
      </c>
      <c r="G851" s="199">
        <v>0.6</v>
      </c>
      <c r="H851" s="199"/>
      <c r="I851" s="199"/>
      <c r="J851" s="219"/>
      <c r="K851" s="217">
        <f t="shared" si="27"/>
        <v>0.41400000000000003</v>
      </c>
      <c r="L851" s="218"/>
    </row>
    <row r="852" spans="2:12">
      <c r="B852" s="197" t="s">
        <v>1653</v>
      </c>
      <c r="C852" s="189" t="s">
        <v>1612</v>
      </c>
      <c r="D852" s="190" t="s">
        <v>169</v>
      </c>
      <c r="E852" s="199">
        <v>26.12</v>
      </c>
      <c r="F852" s="199">
        <v>0.2</v>
      </c>
      <c r="G852" s="199">
        <v>0.6</v>
      </c>
      <c r="H852" s="199"/>
      <c r="I852" s="199"/>
      <c r="J852" s="219"/>
      <c r="K852" s="217">
        <f t="shared" si="27"/>
        <v>3.1343999999999999</v>
      </c>
      <c r="L852" s="218"/>
    </row>
    <row r="853" spans="2:12">
      <c r="B853" s="197" t="s">
        <v>1654</v>
      </c>
      <c r="C853" s="189" t="s">
        <v>1612</v>
      </c>
      <c r="D853" s="190" t="s">
        <v>169</v>
      </c>
      <c r="E853" s="199">
        <v>24.11</v>
      </c>
      <c r="F853" s="199">
        <v>0.15</v>
      </c>
      <c r="G853" s="199">
        <v>1</v>
      </c>
      <c r="H853" s="199"/>
      <c r="I853" s="199"/>
      <c r="J853" s="219"/>
      <c r="K853" s="217">
        <f t="shared" si="27"/>
        <v>3.6164999999999998</v>
      </c>
      <c r="L853" s="218"/>
    </row>
    <row r="854" spans="2:12">
      <c r="B854" s="197" t="s">
        <v>1655</v>
      </c>
      <c r="C854" s="189" t="s">
        <v>1612</v>
      </c>
      <c r="D854" s="190" t="s">
        <v>169</v>
      </c>
      <c r="E854" s="199">
        <v>24.09</v>
      </c>
      <c r="F854" s="199">
        <v>0.15</v>
      </c>
      <c r="G854" s="199">
        <v>1</v>
      </c>
      <c r="H854" s="199"/>
      <c r="I854" s="199"/>
      <c r="J854" s="219"/>
      <c r="K854" s="217">
        <f t="shared" si="27"/>
        <v>3.6134999999999997</v>
      </c>
      <c r="L854" s="218"/>
    </row>
    <row r="855" spans="2:12">
      <c r="B855" s="197" t="s">
        <v>1656</v>
      </c>
      <c r="C855" s="189" t="s">
        <v>1612</v>
      </c>
      <c r="D855" s="190" t="s">
        <v>169</v>
      </c>
      <c r="E855" s="199">
        <v>7.87</v>
      </c>
      <c r="F855" s="199">
        <v>0.15</v>
      </c>
      <c r="G855" s="199">
        <v>0.6</v>
      </c>
      <c r="H855" s="199"/>
      <c r="I855" s="199"/>
      <c r="J855" s="219"/>
      <c r="K855" s="217">
        <f t="shared" si="27"/>
        <v>0.70829999999999993</v>
      </c>
      <c r="L855" s="218"/>
    </row>
    <row r="856" spans="2:12">
      <c r="B856" s="197" t="s">
        <v>1657</v>
      </c>
      <c r="C856" s="189" t="s">
        <v>1612</v>
      </c>
      <c r="D856" s="190" t="s">
        <v>169</v>
      </c>
      <c r="E856" s="199">
        <v>7.77</v>
      </c>
      <c r="F856" s="199">
        <v>0.2</v>
      </c>
      <c r="G856" s="199">
        <v>0.6</v>
      </c>
      <c r="H856" s="199"/>
      <c r="I856" s="199"/>
      <c r="J856" s="219"/>
      <c r="K856" s="217">
        <f t="shared" si="27"/>
        <v>0.93240000000000001</v>
      </c>
      <c r="L856" s="218"/>
    </row>
    <row r="857" spans="2:12">
      <c r="B857" s="197" t="s">
        <v>1658</v>
      </c>
      <c r="C857" s="189" t="s">
        <v>1612</v>
      </c>
      <c r="D857" s="190" t="s">
        <v>169</v>
      </c>
      <c r="E857" s="199">
        <v>28.53</v>
      </c>
      <c r="F857" s="199">
        <v>0.2</v>
      </c>
      <c r="G857" s="199">
        <v>0.6</v>
      </c>
      <c r="H857" s="199"/>
      <c r="I857" s="199"/>
      <c r="J857" s="219"/>
      <c r="K857" s="217">
        <f t="shared" ref="K857:K885" si="28">IF(E857*F857*G857&lt;&gt;0,E857*F857*G857,IF(E857*F857&lt;&gt;0,E857*F857,IF(F857*G857&lt;&gt;0,F857*G857,IF(E857*G857&lt;&gt;0,E857*G857,IF(E857&lt;&gt;0,E857,IF(F857&lt;&gt;0,F857,IF(G857&lt;&gt;0,G857,0)))))))*(IF(H857&lt;&gt;0,H857,1))+I857-J857</f>
        <v>3.4236</v>
      </c>
      <c r="L857" s="218"/>
    </row>
    <row r="858" spans="2:12">
      <c r="B858" s="197" t="s">
        <v>1659</v>
      </c>
      <c r="C858" s="189" t="s">
        <v>1612</v>
      </c>
      <c r="D858" s="190" t="s">
        <v>169</v>
      </c>
      <c r="E858" s="199">
        <v>2.2000000000000002</v>
      </c>
      <c r="F858" s="199">
        <v>0.15</v>
      </c>
      <c r="G858" s="199">
        <v>0.6</v>
      </c>
      <c r="H858" s="199"/>
      <c r="I858" s="199"/>
      <c r="J858" s="219"/>
      <c r="K858" s="217">
        <f t="shared" si="28"/>
        <v>0.19800000000000001</v>
      </c>
      <c r="L858" s="218"/>
    </row>
    <row r="859" spans="2:12">
      <c r="B859" s="197" t="s">
        <v>1660</v>
      </c>
      <c r="C859" s="189" t="s">
        <v>1612</v>
      </c>
      <c r="D859" s="190" t="s">
        <v>169</v>
      </c>
      <c r="E859" s="199">
        <v>4.2699999999999996</v>
      </c>
      <c r="F859" s="199">
        <v>0.15</v>
      </c>
      <c r="G859" s="199">
        <v>0.6</v>
      </c>
      <c r="H859" s="199"/>
      <c r="I859" s="199"/>
      <c r="J859" s="219"/>
      <c r="K859" s="217">
        <f t="shared" si="28"/>
        <v>0.38429999999999997</v>
      </c>
      <c r="L859" s="218"/>
    </row>
    <row r="860" spans="2:12">
      <c r="B860" s="197" t="s">
        <v>1661</v>
      </c>
      <c r="C860" s="189" t="s">
        <v>1612</v>
      </c>
      <c r="D860" s="190" t="s">
        <v>169</v>
      </c>
      <c r="E860" s="199">
        <v>2.12</v>
      </c>
      <c r="F860" s="199">
        <v>0.15</v>
      </c>
      <c r="G860" s="199">
        <v>1</v>
      </c>
      <c r="H860" s="199"/>
      <c r="I860" s="199"/>
      <c r="J860" s="219"/>
      <c r="K860" s="217">
        <f t="shared" si="28"/>
        <v>0.318</v>
      </c>
      <c r="L860" s="218"/>
    </row>
    <row r="861" spans="2:12">
      <c r="B861" s="197" t="s">
        <v>1662</v>
      </c>
      <c r="C861" s="189" t="s">
        <v>1612</v>
      </c>
      <c r="D861" s="190" t="s">
        <v>169</v>
      </c>
      <c r="E861" s="199">
        <v>0.84</v>
      </c>
      <c r="F861" s="199">
        <v>0.25</v>
      </c>
      <c r="G861" s="199">
        <v>1</v>
      </c>
      <c r="H861" s="199"/>
      <c r="I861" s="199"/>
      <c r="J861" s="219"/>
      <c r="K861" s="217">
        <f t="shared" si="28"/>
        <v>0.21</v>
      </c>
      <c r="L861" s="218"/>
    </row>
    <row r="862" spans="2:12">
      <c r="B862" s="197" t="s">
        <v>1662</v>
      </c>
      <c r="C862" s="189" t="s">
        <v>1612</v>
      </c>
      <c r="D862" s="190" t="s">
        <v>169</v>
      </c>
      <c r="E862" s="199">
        <v>20.5</v>
      </c>
      <c r="F862" s="199">
        <v>0.25</v>
      </c>
      <c r="G862" s="199">
        <v>0.7</v>
      </c>
      <c r="H862" s="199"/>
      <c r="I862" s="199"/>
      <c r="J862" s="219"/>
      <c r="K862" s="217">
        <f t="shared" si="28"/>
        <v>3.5874999999999999</v>
      </c>
      <c r="L862" s="218"/>
    </row>
    <row r="863" spans="2:12">
      <c r="B863" s="197" t="s">
        <v>1662</v>
      </c>
      <c r="C863" s="189" t="s">
        <v>1612</v>
      </c>
      <c r="D863" s="190" t="s">
        <v>169</v>
      </c>
      <c r="E863" s="199">
        <v>4.0199999999999996</v>
      </c>
      <c r="F863" s="199">
        <v>0.25</v>
      </c>
      <c r="G863" s="199">
        <v>1</v>
      </c>
      <c r="H863" s="199"/>
      <c r="I863" s="199"/>
      <c r="J863" s="219"/>
      <c r="K863" s="217">
        <f t="shared" si="28"/>
        <v>1.0049999999999999</v>
      </c>
      <c r="L863" s="218"/>
    </row>
    <row r="864" spans="2:12">
      <c r="B864" s="197" t="s">
        <v>1663</v>
      </c>
      <c r="C864" s="189" t="s">
        <v>1612</v>
      </c>
      <c r="D864" s="190" t="s">
        <v>169</v>
      </c>
      <c r="E864" s="199">
        <v>11.03</v>
      </c>
      <c r="F864" s="199">
        <v>0.15</v>
      </c>
      <c r="G864" s="199">
        <v>1</v>
      </c>
      <c r="H864" s="199"/>
      <c r="I864" s="199"/>
      <c r="J864" s="219"/>
      <c r="K864" s="217">
        <f t="shared" si="28"/>
        <v>1.6544999999999999</v>
      </c>
      <c r="L864" s="218"/>
    </row>
    <row r="865" spans="2:12">
      <c r="B865" s="197" t="s">
        <v>1664</v>
      </c>
      <c r="C865" s="189" t="s">
        <v>1612</v>
      </c>
      <c r="D865" s="190" t="s">
        <v>169</v>
      </c>
      <c r="E865" s="199">
        <v>15.92</v>
      </c>
      <c r="F865" s="199">
        <v>0.25</v>
      </c>
      <c r="G865" s="199">
        <v>0.8</v>
      </c>
      <c r="H865" s="199"/>
      <c r="I865" s="199"/>
      <c r="J865" s="219"/>
      <c r="K865" s="217">
        <f t="shared" si="28"/>
        <v>3.1840000000000002</v>
      </c>
      <c r="L865" s="218"/>
    </row>
    <row r="866" spans="2:12">
      <c r="B866" s="197" t="s">
        <v>1664</v>
      </c>
      <c r="C866" s="189" t="s">
        <v>1612</v>
      </c>
      <c r="D866" s="190" t="s">
        <v>169</v>
      </c>
      <c r="E866" s="199">
        <v>2.1</v>
      </c>
      <c r="F866" s="199">
        <v>0.25</v>
      </c>
      <c r="G866" s="199">
        <v>1</v>
      </c>
      <c r="H866" s="199"/>
      <c r="I866" s="199"/>
      <c r="J866" s="219"/>
      <c r="K866" s="217">
        <f t="shared" si="28"/>
        <v>0.52500000000000002</v>
      </c>
      <c r="L866" s="218"/>
    </row>
    <row r="867" spans="2:12">
      <c r="B867" s="197" t="s">
        <v>1665</v>
      </c>
      <c r="C867" s="189" t="s">
        <v>1612</v>
      </c>
      <c r="D867" s="190" t="s">
        <v>169</v>
      </c>
      <c r="E867" s="199">
        <v>4.74</v>
      </c>
      <c r="F867" s="199">
        <v>0.15</v>
      </c>
      <c r="G867" s="199">
        <v>0.6</v>
      </c>
      <c r="H867" s="199"/>
      <c r="I867" s="199"/>
      <c r="J867" s="219"/>
      <c r="K867" s="217">
        <f t="shared" si="28"/>
        <v>0.42659999999999998</v>
      </c>
      <c r="L867" s="218"/>
    </row>
    <row r="868" spans="2:12">
      <c r="B868" s="197" t="s">
        <v>1666</v>
      </c>
      <c r="C868" s="189" t="s">
        <v>1612</v>
      </c>
      <c r="D868" s="190" t="s">
        <v>169</v>
      </c>
      <c r="E868" s="199">
        <v>6.44</v>
      </c>
      <c r="F868" s="199">
        <v>0.3</v>
      </c>
      <c r="G868" s="199">
        <v>0.6</v>
      </c>
      <c r="H868" s="199"/>
      <c r="I868" s="199"/>
      <c r="J868" s="219"/>
      <c r="K868" s="217">
        <f t="shared" si="28"/>
        <v>1.1592</v>
      </c>
      <c r="L868" s="218"/>
    </row>
    <row r="869" spans="2:12">
      <c r="B869" s="197" t="s">
        <v>1666</v>
      </c>
      <c r="C869" s="189" t="s">
        <v>1612</v>
      </c>
      <c r="D869" s="190" t="s">
        <v>169</v>
      </c>
      <c r="E869" s="199">
        <v>3.53</v>
      </c>
      <c r="F869" s="199">
        <v>0.3</v>
      </c>
      <c r="G869" s="199">
        <v>1</v>
      </c>
      <c r="H869" s="199"/>
      <c r="I869" s="199"/>
      <c r="J869" s="219"/>
      <c r="K869" s="217">
        <f t="shared" si="28"/>
        <v>1.0589999999999999</v>
      </c>
      <c r="L869" s="218"/>
    </row>
    <row r="870" spans="2:12">
      <c r="B870" s="197" t="s">
        <v>1667</v>
      </c>
      <c r="C870" s="189" t="s">
        <v>1612</v>
      </c>
      <c r="D870" s="190" t="s">
        <v>169</v>
      </c>
      <c r="E870" s="199">
        <v>1.06</v>
      </c>
      <c r="F870" s="199">
        <v>0.15</v>
      </c>
      <c r="G870" s="199">
        <v>1</v>
      </c>
      <c r="H870" s="199"/>
      <c r="I870" s="199"/>
      <c r="J870" s="219"/>
      <c r="K870" s="217">
        <f t="shared" si="28"/>
        <v>0.159</v>
      </c>
      <c r="L870" s="218"/>
    </row>
    <row r="871" spans="2:12">
      <c r="B871" s="197" t="s">
        <v>1668</v>
      </c>
      <c r="C871" s="189" t="s">
        <v>1612</v>
      </c>
      <c r="D871" s="190" t="s">
        <v>169</v>
      </c>
      <c r="E871" s="199">
        <v>14.42</v>
      </c>
      <c r="F871" s="199">
        <v>0.15</v>
      </c>
      <c r="G871" s="199">
        <v>1</v>
      </c>
      <c r="H871" s="199"/>
      <c r="I871" s="199"/>
      <c r="J871" s="219"/>
      <c r="K871" s="217">
        <f t="shared" si="28"/>
        <v>2.1629999999999998</v>
      </c>
      <c r="L871" s="218"/>
    </row>
    <row r="872" spans="2:12">
      <c r="B872" s="197" t="s">
        <v>1669</v>
      </c>
      <c r="C872" s="189" t="s">
        <v>1612</v>
      </c>
      <c r="D872" s="190" t="s">
        <v>169</v>
      </c>
      <c r="E872" s="199">
        <v>7.31</v>
      </c>
      <c r="F872" s="199">
        <v>0.15</v>
      </c>
      <c r="G872" s="199">
        <v>1</v>
      </c>
      <c r="H872" s="199"/>
      <c r="I872" s="199"/>
      <c r="J872" s="219"/>
      <c r="K872" s="217">
        <f t="shared" si="28"/>
        <v>1.0964999999999998</v>
      </c>
      <c r="L872" s="218"/>
    </row>
    <row r="873" spans="2:12">
      <c r="B873" s="197" t="s">
        <v>1670</v>
      </c>
      <c r="C873" s="189" t="s">
        <v>1612</v>
      </c>
      <c r="D873" s="190" t="s">
        <v>169</v>
      </c>
      <c r="E873" s="199">
        <v>10.97</v>
      </c>
      <c r="F873" s="199">
        <v>0.4</v>
      </c>
      <c r="G873" s="199">
        <v>0.6</v>
      </c>
      <c r="H873" s="199"/>
      <c r="I873" s="199"/>
      <c r="J873" s="219"/>
      <c r="K873" s="217">
        <f t="shared" si="28"/>
        <v>2.6328000000000005</v>
      </c>
      <c r="L873" s="218"/>
    </row>
    <row r="874" spans="2:12">
      <c r="B874" s="197" t="s">
        <v>1671</v>
      </c>
      <c r="C874" s="189" t="s">
        <v>1612</v>
      </c>
      <c r="D874" s="190" t="s">
        <v>169</v>
      </c>
      <c r="E874" s="199">
        <v>7.65</v>
      </c>
      <c r="F874" s="199">
        <v>0.15</v>
      </c>
      <c r="G874" s="199">
        <v>1</v>
      </c>
      <c r="H874" s="199"/>
      <c r="I874" s="199"/>
      <c r="J874" s="219"/>
      <c r="K874" s="217">
        <f t="shared" si="28"/>
        <v>1.1475</v>
      </c>
      <c r="L874" s="218"/>
    </row>
    <row r="875" spans="2:12">
      <c r="B875" s="197" t="s">
        <v>1672</v>
      </c>
      <c r="C875" s="189" t="s">
        <v>1612</v>
      </c>
      <c r="D875" s="190" t="s">
        <v>169</v>
      </c>
      <c r="E875" s="199">
        <v>2.54</v>
      </c>
      <c r="F875" s="199">
        <v>0.15</v>
      </c>
      <c r="G875" s="199">
        <v>0.6</v>
      </c>
      <c r="H875" s="199"/>
      <c r="I875" s="199"/>
      <c r="J875" s="219"/>
      <c r="K875" s="217">
        <f t="shared" si="28"/>
        <v>0.2286</v>
      </c>
      <c r="L875" s="218"/>
    </row>
    <row r="876" spans="2:12">
      <c r="B876" s="197" t="s">
        <v>1544</v>
      </c>
      <c r="C876" s="189" t="s">
        <v>1612</v>
      </c>
      <c r="D876" s="190" t="s">
        <v>169</v>
      </c>
      <c r="E876" s="199">
        <v>9.35</v>
      </c>
      <c r="F876" s="199">
        <v>0.2</v>
      </c>
      <c r="G876" s="199">
        <v>0.7</v>
      </c>
      <c r="H876" s="199"/>
      <c r="I876" s="199"/>
      <c r="J876" s="219"/>
      <c r="K876" s="217">
        <f t="shared" si="28"/>
        <v>1.3089999999999999</v>
      </c>
      <c r="L876" s="218"/>
    </row>
    <row r="877" spans="2:12">
      <c r="B877" s="197" t="s">
        <v>1673</v>
      </c>
      <c r="C877" s="189" t="s">
        <v>1612</v>
      </c>
      <c r="D877" s="190" t="s">
        <v>169</v>
      </c>
      <c r="E877" s="199">
        <v>1.55</v>
      </c>
      <c r="F877" s="199">
        <v>0.15</v>
      </c>
      <c r="G877" s="199">
        <v>1</v>
      </c>
      <c r="H877" s="199"/>
      <c r="I877" s="199"/>
      <c r="J877" s="219"/>
      <c r="K877" s="217">
        <f t="shared" si="28"/>
        <v>0.23249999999999998</v>
      </c>
      <c r="L877" s="218"/>
    </row>
    <row r="878" spans="2:12">
      <c r="B878" s="197" t="s">
        <v>1674</v>
      </c>
      <c r="C878" s="189" t="s">
        <v>1612</v>
      </c>
      <c r="D878" s="190" t="s">
        <v>169</v>
      </c>
      <c r="E878" s="199">
        <v>1.24</v>
      </c>
      <c r="F878" s="199">
        <v>0.2</v>
      </c>
      <c r="G878" s="199">
        <v>0.6</v>
      </c>
      <c r="H878" s="199"/>
      <c r="I878" s="199"/>
      <c r="J878" s="219"/>
      <c r="K878" s="217">
        <f t="shared" si="28"/>
        <v>0.14879999999999999</v>
      </c>
      <c r="L878" s="218"/>
    </row>
    <row r="879" spans="2:12">
      <c r="B879" s="197" t="s">
        <v>1675</v>
      </c>
      <c r="C879" s="189" t="s">
        <v>1612</v>
      </c>
      <c r="D879" s="190" t="s">
        <v>169</v>
      </c>
      <c r="E879" s="199">
        <v>8.8000000000000007</v>
      </c>
      <c r="F879" s="199">
        <v>0.2</v>
      </c>
      <c r="G879" s="199">
        <v>0.7</v>
      </c>
      <c r="H879" s="199"/>
      <c r="I879" s="199"/>
      <c r="J879" s="219"/>
      <c r="K879" s="217">
        <f t="shared" si="28"/>
        <v>1.232</v>
      </c>
      <c r="L879" s="218"/>
    </row>
    <row r="880" spans="2:12">
      <c r="B880" s="197" t="s">
        <v>1676</v>
      </c>
      <c r="C880" s="189" t="s">
        <v>1612</v>
      </c>
      <c r="D880" s="190" t="s">
        <v>169</v>
      </c>
      <c r="E880" s="199">
        <v>4.7</v>
      </c>
      <c r="F880" s="199">
        <v>0.15</v>
      </c>
      <c r="G880" s="199">
        <v>1</v>
      </c>
      <c r="H880" s="199"/>
      <c r="I880" s="199"/>
      <c r="J880" s="219"/>
      <c r="K880" s="217">
        <f t="shared" si="28"/>
        <v>0.70499999999999996</v>
      </c>
      <c r="L880" s="218"/>
    </row>
    <row r="881" spans="2:12">
      <c r="B881" s="197" t="s">
        <v>1677</v>
      </c>
      <c r="C881" s="189" t="s">
        <v>1612</v>
      </c>
      <c r="D881" s="190" t="s">
        <v>169</v>
      </c>
      <c r="E881" s="199">
        <v>2.98</v>
      </c>
      <c r="F881" s="199">
        <v>0.15</v>
      </c>
      <c r="G881" s="199">
        <v>1</v>
      </c>
      <c r="H881" s="199"/>
      <c r="I881" s="199"/>
      <c r="J881" s="219"/>
      <c r="K881" s="217">
        <f t="shared" si="28"/>
        <v>0.44700000000000001</v>
      </c>
      <c r="L881" s="218"/>
    </row>
    <row r="882" spans="2:12">
      <c r="B882" s="197" t="s">
        <v>1678</v>
      </c>
      <c r="C882" s="189" t="s">
        <v>1612</v>
      </c>
      <c r="D882" s="190" t="s">
        <v>169</v>
      </c>
      <c r="E882" s="199">
        <v>1.24</v>
      </c>
      <c r="F882" s="199">
        <v>0.2</v>
      </c>
      <c r="G882" s="199">
        <v>0.6</v>
      </c>
      <c r="H882" s="199"/>
      <c r="I882" s="199"/>
      <c r="J882" s="219"/>
      <c r="K882" s="217">
        <f t="shared" si="28"/>
        <v>0.14879999999999999</v>
      </c>
      <c r="L882" s="218"/>
    </row>
    <row r="883" spans="2:12">
      <c r="B883" s="197" t="s">
        <v>1679</v>
      </c>
      <c r="C883" s="189" t="s">
        <v>1612</v>
      </c>
      <c r="D883" s="190" t="s">
        <v>169</v>
      </c>
      <c r="E883" s="199">
        <v>1.94</v>
      </c>
      <c r="F883" s="199">
        <v>0.2</v>
      </c>
      <c r="G883" s="199">
        <v>1</v>
      </c>
      <c r="H883" s="199"/>
      <c r="I883" s="199"/>
      <c r="J883" s="219"/>
      <c r="K883" s="217">
        <f t="shared" si="28"/>
        <v>0.38800000000000001</v>
      </c>
      <c r="L883" s="218"/>
    </row>
    <row r="884" spans="2:12">
      <c r="B884" s="197" t="s">
        <v>1680</v>
      </c>
      <c r="C884" s="189" t="s">
        <v>1612</v>
      </c>
      <c r="D884" s="190" t="s">
        <v>169</v>
      </c>
      <c r="E884" s="199">
        <v>6.31</v>
      </c>
      <c r="F884" s="199">
        <v>0.15</v>
      </c>
      <c r="G884" s="199">
        <v>1</v>
      </c>
      <c r="H884" s="199"/>
      <c r="I884" s="199"/>
      <c r="J884" s="219"/>
      <c r="K884" s="217">
        <f t="shared" si="28"/>
        <v>0.9464999999999999</v>
      </c>
      <c r="L884" s="218"/>
    </row>
    <row r="885" spans="2:12">
      <c r="B885" s="197"/>
      <c r="C885" s="189"/>
      <c r="D885" s="190"/>
      <c r="E885" s="199"/>
      <c r="F885" s="199"/>
      <c r="G885" s="199"/>
      <c r="H885" s="199"/>
      <c r="I885" s="199"/>
      <c r="J885" s="219"/>
      <c r="K885" s="217">
        <f t="shared" si="28"/>
        <v>0</v>
      </c>
      <c r="L885" s="218"/>
    </row>
    <row r="886" spans="2:12">
      <c r="B886" s="208"/>
      <c r="C886" s="204"/>
      <c r="D886" s="204"/>
      <c r="E886" s="204"/>
      <c r="F886" s="204"/>
      <c r="G886" s="204"/>
      <c r="H886" s="204"/>
      <c r="I886" s="557" t="s">
        <v>1221</v>
      </c>
      <c r="J886" s="557"/>
      <c r="K886" s="262">
        <f>SUM(K761:K885)</f>
        <v>178.86935000000005</v>
      </c>
      <c r="L886" s="207"/>
    </row>
    <row r="887" spans="2:12">
      <c r="B887" s="208"/>
      <c r="C887" s="204"/>
      <c r="D887" s="204"/>
      <c r="E887" s="204"/>
      <c r="F887" s="204"/>
      <c r="G887" s="204"/>
      <c r="H887" s="209"/>
      <c r="I887" s="557" t="s">
        <v>1222</v>
      </c>
      <c r="J887" s="557"/>
      <c r="K887" s="221">
        <f>VLOOKUP(B759,'BM 004'!$B$27:$R$590,4,0)</f>
        <v>364.43</v>
      </c>
      <c r="L887" s="207"/>
    </row>
    <row r="888" spans="2:12">
      <c r="B888" s="208"/>
      <c r="C888" s="204"/>
      <c r="D888" s="204"/>
      <c r="E888" s="204"/>
      <c r="F888" s="204"/>
      <c r="G888" s="204"/>
      <c r="H888" s="558" t="s">
        <v>1223</v>
      </c>
      <c r="I888" s="558"/>
      <c r="J888" s="558"/>
      <c r="K888" s="222">
        <v>125.37155</v>
      </c>
      <c r="L888" s="207"/>
    </row>
    <row r="889" spans="2:12">
      <c r="B889" s="208"/>
      <c r="C889" s="204"/>
      <c r="D889" s="204"/>
      <c r="E889" s="204"/>
      <c r="F889" s="204"/>
      <c r="G889" s="204"/>
      <c r="H889" s="558" t="s">
        <v>1592</v>
      </c>
      <c r="I889" s="558"/>
      <c r="J889" s="558"/>
      <c r="K889" s="222">
        <f>TRUNC(SUMIF(C761:C885,H889,K761:K885),2)</f>
        <v>53.49</v>
      </c>
      <c r="L889" s="207"/>
    </row>
    <row r="890" spans="2:12">
      <c r="B890" s="213"/>
      <c r="C890" s="214"/>
      <c r="D890" s="214"/>
      <c r="E890" s="214"/>
      <c r="F890" s="214"/>
      <c r="G890" s="214"/>
      <c r="H890" s="559" t="s">
        <v>1224</v>
      </c>
      <c r="I890" s="559"/>
      <c r="J890" s="559"/>
      <c r="K890" s="223">
        <f>IF(K886&gt;K887,K886-K887,0)</f>
        <v>0</v>
      </c>
      <c r="L890" s="209"/>
    </row>
    <row r="892" spans="2:12">
      <c r="B892" s="247" t="s">
        <v>220</v>
      </c>
      <c r="C892" s="565" t="str">
        <f>VLOOKUP(B892,'BM 004'!$B$27:$R$590,2,0)</f>
        <v xml:space="preserve">Armação de pilar ou viga de uma estrutura convencional de concreto armado em um edifício de múltiplos pavimentos utilizando aço ca-60 de 5,0 mm - montagem. </v>
      </c>
      <c r="D892" s="565"/>
      <c r="E892" s="565"/>
      <c r="F892" s="565"/>
      <c r="G892" s="565"/>
      <c r="H892" s="565"/>
      <c r="I892" s="565"/>
      <c r="J892" s="565"/>
      <c r="K892" s="565"/>
      <c r="L892" s="565"/>
    </row>
    <row r="893" spans="2:12">
      <c r="B893" s="248" t="s">
        <v>1209</v>
      </c>
      <c r="C893" s="248"/>
      <c r="D893" s="248" t="s">
        <v>39</v>
      </c>
      <c r="E893" s="248" t="s">
        <v>1210</v>
      </c>
      <c r="F893" s="248" t="s">
        <v>1382</v>
      </c>
      <c r="G893" s="248" t="s">
        <v>1383</v>
      </c>
      <c r="H893" s="248" t="s">
        <v>1384</v>
      </c>
      <c r="I893" s="248" t="s">
        <v>1214</v>
      </c>
      <c r="J893" s="248" t="s">
        <v>1385</v>
      </c>
      <c r="K893" s="248" t="s">
        <v>1216</v>
      </c>
      <c r="L893" s="248" t="s">
        <v>1217</v>
      </c>
    </row>
    <row r="894" spans="2:12">
      <c r="B894" s="249" t="s">
        <v>1387</v>
      </c>
      <c r="C894" s="250" t="s">
        <v>1333</v>
      </c>
      <c r="D894" s="205" t="s">
        <v>152</v>
      </c>
      <c r="E894" s="251">
        <v>208</v>
      </c>
      <c r="F894" s="252">
        <v>0.154</v>
      </c>
      <c r="G894" s="251">
        <v>1.1000000000000001</v>
      </c>
      <c r="H894" s="251">
        <v>0.55000000000000004</v>
      </c>
      <c r="I894" s="251"/>
      <c r="J894" s="253"/>
      <c r="K894" s="254">
        <f t="shared" ref="K894:K900" si="29">IF(E894*F894*G894&lt;&gt;0,E894*F894*G894,IF(E894*F894&lt;&gt;0,E894*F894,IF(F894*G894&lt;&gt;0,F894*G894,IF(E894*G894&lt;&gt;0,E894*G894,IF(E894&lt;&gt;0,E894,IF(F894&lt;&gt;0,F894,IF(G894&lt;&gt;0,G894,0)))))))*(IF(H894&lt;&gt;0,H894,1))+I894-J894</f>
        <v>19.379360000000002</v>
      </c>
      <c r="L894" s="255"/>
    </row>
    <row r="895" spans="2:12">
      <c r="B895" s="249" t="s">
        <v>1480</v>
      </c>
      <c r="C895" s="250" t="s">
        <v>1441</v>
      </c>
      <c r="D895" s="205" t="s">
        <v>152</v>
      </c>
      <c r="E895" s="251">
        <v>1109</v>
      </c>
      <c r="F895" s="252">
        <f>F894</f>
        <v>0.154</v>
      </c>
      <c r="G895" s="251">
        <f>G894</f>
        <v>1.1000000000000001</v>
      </c>
      <c r="H895" s="251">
        <v>0.5</v>
      </c>
      <c r="I895" s="251"/>
      <c r="J895" s="253"/>
      <c r="K895" s="254">
        <f t="shared" si="29"/>
        <v>93.932300000000012</v>
      </c>
      <c r="L895" s="205"/>
    </row>
    <row r="896" spans="2:12">
      <c r="B896" s="249" t="s">
        <v>1555</v>
      </c>
      <c r="C896" s="250" t="s">
        <v>1441</v>
      </c>
      <c r="D896" s="205" t="s">
        <v>152</v>
      </c>
      <c r="E896" s="251"/>
      <c r="F896" s="252"/>
      <c r="G896" s="251"/>
      <c r="H896" s="251">
        <v>0</v>
      </c>
      <c r="I896" s="251"/>
      <c r="J896" s="253"/>
      <c r="K896" s="254">
        <f t="shared" si="29"/>
        <v>0</v>
      </c>
      <c r="L896" s="205"/>
    </row>
    <row r="897" spans="2:12">
      <c r="B897" s="249" t="s">
        <v>1681</v>
      </c>
      <c r="C897" s="250" t="s">
        <v>1611</v>
      </c>
      <c r="D897" s="205" t="s">
        <v>152</v>
      </c>
      <c r="E897" s="251">
        <v>735</v>
      </c>
      <c r="F897" s="252">
        <v>0.154</v>
      </c>
      <c r="G897" s="251">
        <v>1.1000000000000001</v>
      </c>
      <c r="H897" s="251">
        <v>0.3</v>
      </c>
      <c r="I897" s="251"/>
      <c r="J897" s="253"/>
      <c r="K897" s="254">
        <f t="shared" si="29"/>
        <v>37.352700000000006</v>
      </c>
      <c r="L897" s="205"/>
    </row>
    <row r="898" spans="2:12">
      <c r="B898" s="249" t="s">
        <v>1681</v>
      </c>
      <c r="C898" s="250" t="s">
        <v>1612</v>
      </c>
      <c r="D898" s="205" t="s">
        <v>152</v>
      </c>
      <c r="E898" s="251">
        <v>735</v>
      </c>
      <c r="F898" s="252">
        <v>0.154</v>
      </c>
      <c r="G898" s="251">
        <v>1.1000000000000001</v>
      </c>
      <c r="H898" s="251">
        <v>0.3</v>
      </c>
      <c r="I898" s="251"/>
      <c r="J898" s="253"/>
      <c r="K898" s="254">
        <f t="shared" si="29"/>
        <v>37.352700000000006</v>
      </c>
      <c r="L898" s="205"/>
    </row>
    <row r="899" spans="2:12">
      <c r="B899" s="249"/>
      <c r="C899" s="250"/>
      <c r="D899" s="205"/>
      <c r="E899" s="251"/>
      <c r="F899" s="252"/>
      <c r="G899" s="251"/>
      <c r="H899" s="251"/>
      <c r="I899" s="251"/>
      <c r="J899" s="253"/>
      <c r="K899" s="254">
        <f t="shared" si="29"/>
        <v>0</v>
      </c>
      <c r="L899" s="205"/>
    </row>
    <row r="900" spans="2:12">
      <c r="B900" s="267"/>
      <c r="C900" s="205"/>
      <c r="D900" s="205"/>
      <c r="E900" s="251"/>
      <c r="F900" s="252"/>
      <c r="G900" s="251"/>
      <c r="H900" s="251"/>
      <c r="I900" s="251"/>
      <c r="J900" s="253"/>
      <c r="K900" s="254">
        <f t="shared" si="29"/>
        <v>0</v>
      </c>
      <c r="L900" s="205"/>
    </row>
    <row r="901" spans="2:12">
      <c r="B901" s="208"/>
      <c r="C901" s="204"/>
      <c r="D901" s="204"/>
      <c r="E901" s="204"/>
      <c r="F901" s="204"/>
      <c r="G901" s="204"/>
      <c r="H901" s="204"/>
      <c r="I901" s="556" t="s">
        <v>1221</v>
      </c>
      <c r="J901" s="556"/>
      <c r="K901" s="262">
        <f>SUM(K894:K900)</f>
        <v>188.01706000000001</v>
      </c>
      <c r="L901" s="207"/>
    </row>
    <row r="902" spans="2:12">
      <c r="B902" s="208"/>
      <c r="C902" s="204"/>
      <c r="D902" s="204"/>
      <c r="E902" s="204"/>
      <c r="F902" s="204"/>
      <c r="G902" s="204"/>
      <c r="H902" s="209"/>
      <c r="I902" s="557" t="s">
        <v>1222</v>
      </c>
      <c r="J902" s="557"/>
      <c r="K902" s="221">
        <f>VLOOKUP(B892,'BM 004'!$B$27:$R$590,4,0)</f>
        <v>347.6</v>
      </c>
      <c r="L902" s="207"/>
    </row>
    <row r="903" spans="2:12">
      <c r="B903" s="208"/>
      <c r="C903" s="204"/>
      <c r="D903" s="204"/>
      <c r="E903" s="204"/>
      <c r="F903" s="204"/>
      <c r="G903" s="204"/>
      <c r="H903" s="558" t="s">
        <v>1223</v>
      </c>
      <c r="I903" s="558"/>
      <c r="J903" s="558"/>
      <c r="K903" s="222">
        <v>150.66435999999999</v>
      </c>
      <c r="L903" s="207"/>
    </row>
    <row r="904" spans="2:12">
      <c r="B904" s="208"/>
      <c r="C904" s="204"/>
      <c r="D904" s="204"/>
      <c r="E904" s="204"/>
      <c r="F904" s="204"/>
      <c r="G904" s="204"/>
      <c r="H904" s="558" t="s">
        <v>1592</v>
      </c>
      <c r="I904" s="558"/>
      <c r="J904" s="558"/>
      <c r="K904" s="222">
        <f>TRUNC(SUMIF(C894:C900,H904,K894:K900),2)</f>
        <v>37.35</v>
      </c>
      <c r="L904" s="207"/>
    </row>
    <row r="905" spans="2:12">
      <c r="B905" s="213"/>
      <c r="C905" s="214"/>
      <c r="D905" s="214"/>
      <c r="E905" s="214"/>
      <c r="F905" s="214"/>
      <c r="G905" s="214"/>
      <c r="H905" s="559" t="s">
        <v>1224</v>
      </c>
      <c r="I905" s="559"/>
      <c r="J905" s="559"/>
      <c r="K905" s="223">
        <f>IF(K901&gt;K902,K901-K902,0)</f>
        <v>0</v>
      </c>
      <c r="L905" s="209"/>
    </row>
    <row r="907" spans="2:12">
      <c r="B907" s="247" t="s">
        <v>221</v>
      </c>
      <c r="C907" s="565" t="str">
        <f>VLOOKUP(B907,'BM 004'!$B$27:$R$590,2,0)</f>
        <v>Armação de pilar ou viga de uma estrutura convencional de concreto armado em um edifício de múltiplos pavimentos utilizando aço ca-50 de 6,3 mm - montagem.</v>
      </c>
      <c r="D907" s="565"/>
      <c r="E907" s="565"/>
      <c r="F907" s="565"/>
      <c r="G907" s="565"/>
      <c r="H907" s="565"/>
      <c r="I907" s="565"/>
      <c r="J907" s="565"/>
      <c r="K907" s="565"/>
      <c r="L907" s="565"/>
    </row>
    <row r="908" spans="2:12">
      <c r="B908" s="248" t="s">
        <v>1209</v>
      </c>
      <c r="C908" s="248"/>
      <c r="D908" s="248" t="s">
        <v>39</v>
      </c>
      <c r="E908" s="248" t="s">
        <v>1210</v>
      </c>
      <c r="F908" s="248" t="s">
        <v>1382</v>
      </c>
      <c r="G908" s="248" t="s">
        <v>1383</v>
      </c>
      <c r="H908" s="248" t="s">
        <v>1384</v>
      </c>
      <c r="I908" s="248" t="s">
        <v>1214</v>
      </c>
      <c r="J908" s="248" t="s">
        <v>1385</v>
      </c>
      <c r="K908" s="248" t="s">
        <v>1216</v>
      </c>
      <c r="L908" s="248" t="s">
        <v>1217</v>
      </c>
    </row>
    <row r="909" spans="2:12">
      <c r="B909" s="249" t="s">
        <v>1387</v>
      </c>
      <c r="C909" s="250" t="s">
        <v>1333</v>
      </c>
      <c r="D909" s="205" t="s">
        <v>152</v>
      </c>
      <c r="E909" s="251">
        <v>4472</v>
      </c>
      <c r="F909" s="252">
        <v>0.245</v>
      </c>
      <c r="G909" s="251">
        <v>1.1000000000000001</v>
      </c>
      <c r="H909" s="251">
        <v>0.55000000000000004</v>
      </c>
      <c r="I909" s="251"/>
      <c r="J909" s="253"/>
      <c r="K909" s="254">
        <f t="shared" ref="K909:K915" si="30">IF(E909*F909*G909&lt;&gt;0,E909*F909*G909,IF(E909*F909&lt;&gt;0,E909*F909,IF(F909*G909&lt;&gt;0,F909*G909,IF(E909*G909&lt;&gt;0,E909*G909,IF(E909&lt;&gt;0,E909,IF(F909&lt;&gt;0,F909,IF(G909&lt;&gt;0,G909,0)))))))*(IF(H909&lt;&gt;0,H909,1))+I909-J909</f>
        <v>662.86220000000003</v>
      </c>
      <c r="L909" s="255"/>
    </row>
    <row r="910" spans="2:12">
      <c r="B910" s="249" t="s">
        <v>1480</v>
      </c>
      <c r="C910" s="250" t="s">
        <v>1441</v>
      </c>
      <c r="D910" s="205" t="s">
        <v>152</v>
      </c>
      <c r="E910" s="251">
        <v>2134</v>
      </c>
      <c r="F910" s="252">
        <f>F909</f>
        <v>0.245</v>
      </c>
      <c r="G910" s="251">
        <f>G909</f>
        <v>1.1000000000000001</v>
      </c>
      <c r="H910" s="251">
        <v>0.5</v>
      </c>
      <c r="I910" s="251"/>
      <c r="J910" s="253"/>
      <c r="K910" s="254">
        <f t="shared" si="30"/>
        <v>287.55650000000003</v>
      </c>
      <c r="L910" s="205"/>
    </row>
    <row r="911" spans="2:12">
      <c r="B911" s="249" t="s">
        <v>1555</v>
      </c>
      <c r="C911" s="250" t="s">
        <v>1521</v>
      </c>
      <c r="D911" s="205" t="s">
        <v>152</v>
      </c>
      <c r="E911" s="251">
        <v>2992</v>
      </c>
      <c r="F911" s="252">
        <f>F910</f>
        <v>0.245</v>
      </c>
      <c r="G911" s="251">
        <f>G910</f>
        <v>1.1000000000000001</v>
      </c>
      <c r="H911" s="251">
        <v>0.3</v>
      </c>
      <c r="I911" s="251"/>
      <c r="J911" s="253"/>
      <c r="K911" s="254">
        <f t="shared" si="30"/>
        <v>241.9032</v>
      </c>
      <c r="L911" s="205"/>
    </row>
    <row r="912" spans="2:12">
      <c r="B912" s="249" t="s">
        <v>1681</v>
      </c>
      <c r="C912" s="250" t="s">
        <v>1611</v>
      </c>
      <c r="D912" s="205" t="s">
        <v>152</v>
      </c>
      <c r="E912" s="251">
        <v>3859</v>
      </c>
      <c r="F912" s="252">
        <v>0.245</v>
      </c>
      <c r="G912" s="251">
        <v>1.1000000000000001</v>
      </c>
      <c r="H912" s="251">
        <v>0.3</v>
      </c>
      <c r="I912" s="251"/>
      <c r="J912" s="253"/>
      <c r="K912" s="254">
        <f t="shared" si="30"/>
        <v>312.00015000000002</v>
      </c>
      <c r="L912" s="205"/>
    </row>
    <row r="913" spans="2:12">
      <c r="B913" s="249" t="s">
        <v>1681</v>
      </c>
      <c r="C913" s="250" t="s">
        <v>1612</v>
      </c>
      <c r="D913" s="205" t="s">
        <v>152</v>
      </c>
      <c r="E913" s="251">
        <v>3859</v>
      </c>
      <c r="F913" s="252">
        <v>0.245</v>
      </c>
      <c r="G913" s="251">
        <v>1.1000000000000001</v>
      </c>
      <c r="H913" s="251">
        <v>0.3</v>
      </c>
      <c r="I913" s="251"/>
      <c r="J913" s="253"/>
      <c r="K913" s="254">
        <f t="shared" si="30"/>
        <v>312.00015000000002</v>
      </c>
      <c r="L913" s="205"/>
    </row>
    <row r="914" spans="2:12">
      <c r="B914" s="249"/>
      <c r="C914" s="250"/>
      <c r="D914" s="205"/>
      <c r="E914" s="251"/>
      <c r="F914" s="252"/>
      <c r="G914" s="251"/>
      <c r="H914" s="251"/>
      <c r="I914" s="251"/>
      <c r="J914" s="253"/>
      <c r="K914" s="254">
        <f t="shared" si="30"/>
        <v>0</v>
      </c>
      <c r="L914" s="205"/>
    </row>
    <row r="915" spans="2:12">
      <c r="B915" s="267"/>
      <c r="C915" s="205"/>
      <c r="D915" s="205"/>
      <c r="E915" s="251"/>
      <c r="F915" s="252"/>
      <c r="G915" s="251"/>
      <c r="H915" s="251"/>
      <c r="I915" s="251"/>
      <c r="J915" s="253"/>
      <c r="K915" s="254">
        <f t="shared" si="30"/>
        <v>0</v>
      </c>
      <c r="L915" s="205"/>
    </row>
    <row r="916" spans="2:12">
      <c r="B916" s="208"/>
      <c r="C916" s="204"/>
      <c r="D916" s="204"/>
      <c r="E916" s="204"/>
      <c r="F916" s="204"/>
      <c r="G916" s="204"/>
      <c r="H916" s="204"/>
      <c r="I916" s="556" t="s">
        <v>1221</v>
      </c>
      <c r="J916" s="556"/>
      <c r="K916" s="262">
        <f>SUM(K909:K915)</f>
        <v>1816.3222000000003</v>
      </c>
      <c r="L916" s="207"/>
    </row>
    <row r="917" spans="2:12">
      <c r="B917" s="208"/>
      <c r="C917" s="204"/>
      <c r="D917" s="204"/>
      <c r="E917" s="204"/>
      <c r="F917" s="204"/>
      <c r="G917" s="204"/>
      <c r="H917" s="209"/>
      <c r="I917" s="557" t="s">
        <v>1222</v>
      </c>
      <c r="J917" s="557"/>
      <c r="K917" s="221">
        <f>VLOOKUP(B907,'BM 004'!$B$27:$R$590,4,0)</f>
        <v>3626.7</v>
      </c>
      <c r="L917" s="207"/>
    </row>
    <row r="918" spans="2:12">
      <c r="B918" s="208"/>
      <c r="C918" s="204"/>
      <c r="D918" s="204"/>
      <c r="E918" s="204"/>
      <c r="F918" s="204"/>
      <c r="G918" s="204"/>
      <c r="H918" s="558" t="s">
        <v>1223</v>
      </c>
      <c r="I918" s="558"/>
      <c r="J918" s="558"/>
      <c r="K918" s="222">
        <v>1504.32205</v>
      </c>
      <c r="L918" s="207"/>
    </row>
    <row r="919" spans="2:12">
      <c r="B919" s="208"/>
      <c r="C919" s="204"/>
      <c r="D919" s="204"/>
      <c r="E919" s="204"/>
      <c r="F919" s="204"/>
      <c r="G919" s="204"/>
      <c r="H919" s="558" t="s">
        <v>1592</v>
      </c>
      <c r="I919" s="558"/>
      <c r="J919" s="558"/>
      <c r="K919" s="222">
        <f>TRUNC(SUMIF(C909:C915,H919,K909:K915),2)</f>
        <v>312</v>
      </c>
      <c r="L919" s="207"/>
    </row>
    <row r="920" spans="2:12">
      <c r="B920" s="213"/>
      <c r="C920" s="214"/>
      <c r="D920" s="214"/>
      <c r="E920" s="214"/>
      <c r="F920" s="214"/>
      <c r="G920" s="214"/>
      <c r="H920" s="559" t="s">
        <v>1224</v>
      </c>
      <c r="I920" s="559"/>
      <c r="J920" s="559"/>
      <c r="K920" s="223">
        <f>IF(K916&gt;K917,K916-K917,0)</f>
        <v>0</v>
      </c>
      <c r="L920" s="209"/>
    </row>
    <row r="922" spans="2:12">
      <c r="B922" s="247" t="s">
        <v>223</v>
      </c>
      <c r="C922" s="565" t="str">
        <f>VLOOKUP(B922,'BM 004'!$B$27:$R$590,2,0)</f>
        <v xml:space="preserve">Armação de pilar ou viga de uma estrutura convencional de concreto armado em um edifício de múltiplos pavimentos utilizando aço ca-50 de 8,0 mm - montagem. </v>
      </c>
      <c r="D922" s="565"/>
      <c r="E922" s="565"/>
      <c r="F922" s="565"/>
      <c r="G922" s="565"/>
      <c r="H922" s="565"/>
      <c r="I922" s="565"/>
      <c r="J922" s="565"/>
      <c r="K922" s="565"/>
      <c r="L922" s="565"/>
    </row>
    <row r="923" spans="2:12">
      <c r="B923" s="248" t="s">
        <v>1209</v>
      </c>
      <c r="C923" s="248"/>
      <c r="D923" s="248" t="s">
        <v>39</v>
      </c>
      <c r="E923" s="248" t="s">
        <v>1210</v>
      </c>
      <c r="F923" s="248" t="s">
        <v>1382</v>
      </c>
      <c r="G923" s="248" t="s">
        <v>1383</v>
      </c>
      <c r="H923" s="248" t="s">
        <v>1384</v>
      </c>
      <c r="I923" s="248" t="s">
        <v>1214</v>
      </c>
      <c r="J923" s="248" t="s">
        <v>1385</v>
      </c>
      <c r="K923" s="248" t="s">
        <v>1216</v>
      </c>
      <c r="L923" s="248" t="s">
        <v>1217</v>
      </c>
    </row>
    <row r="924" spans="2:12">
      <c r="B924" s="249" t="s">
        <v>1387</v>
      </c>
      <c r="C924" s="250" t="s">
        <v>1333</v>
      </c>
      <c r="D924" s="205" t="s">
        <v>152</v>
      </c>
      <c r="E924" s="251">
        <v>1288</v>
      </c>
      <c r="F924" s="252">
        <v>0.39500000000000002</v>
      </c>
      <c r="G924" s="251">
        <v>1.1000000000000001</v>
      </c>
      <c r="H924" s="251">
        <v>0.55000000000000004</v>
      </c>
      <c r="I924" s="251"/>
      <c r="J924" s="253"/>
      <c r="K924" s="254">
        <f t="shared" ref="K924:K931" si="31">IF(E924*F924*G924&lt;&gt;0,E924*F924*G924,IF(E924*F924&lt;&gt;0,E924*F924,IF(F924*G924&lt;&gt;0,F924*G924,IF(E924*G924&lt;&gt;0,E924*G924,IF(E924&lt;&gt;0,E924,IF(F924&lt;&gt;0,F924,IF(G924&lt;&gt;0,G924,0)))))))*(IF(H924&lt;&gt;0,H924,1))+I924-J924</f>
        <v>307.79980000000006</v>
      </c>
      <c r="L924" s="255"/>
    </row>
    <row r="925" spans="2:12">
      <c r="B925" s="249" t="s">
        <v>1480</v>
      </c>
      <c r="C925" s="250" t="s">
        <v>1441</v>
      </c>
      <c r="D925" s="205" t="s">
        <v>152</v>
      </c>
      <c r="E925" s="251">
        <v>203</v>
      </c>
      <c r="F925" s="252">
        <f>F924</f>
        <v>0.39500000000000002</v>
      </c>
      <c r="G925" s="251">
        <f>G924</f>
        <v>1.1000000000000001</v>
      </c>
      <c r="H925" s="251">
        <v>0.5</v>
      </c>
      <c r="I925" s="251"/>
      <c r="J925" s="253"/>
      <c r="K925" s="254">
        <f t="shared" si="31"/>
        <v>44.101750000000003</v>
      </c>
      <c r="L925" s="205"/>
    </row>
    <row r="926" spans="2:12">
      <c r="B926" s="249" t="s">
        <v>1480</v>
      </c>
      <c r="C926" s="250" t="s">
        <v>1521</v>
      </c>
      <c r="D926" s="205" t="s">
        <v>152</v>
      </c>
      <c r="E926" s="251">
        <v>1750</v>
      </c>
      <c r="F926" s="252">
        <f>F925</f>
        <v>0.39500000000000002</v>
      </c>
      <c r="G926" s="251">
        <f>G925</f>
        <v>1.1000000000000001</v>
      </c>
      <c r="H926" s="251">
        <v>0.3</v>
      </c>
      <c r="I926" s="251"/>
      <c r="J926" s="253"/>
      <c r="K926" s="254">
        <f t="shared" si="31"/>
        <v>228.11250000000004</v>
      </c>
      <c r="L926" s="205"/>
    </row>
    <row r="927" spans="2:12">
      <c r="B927" s="249" t="s">
        <v>1555</v>
      </c>
      <c r="C927" s="250" t="s">
        <v>1611</v>
      </c>
      <c r="D927" s="205" t="s">
        <v>152</v>
      </c>
      <c r="E927" s="251"/>
      <c r="F927" s="252"/>
      <c r="G927" s="251"/>
      <c r="H927" s="251"/>
      <c r="I927" s="251"/>
      <c r="J927" s="253"/>
      <c r="K927" s="254">
        <f t="shared" si="31"/>
        <v>0</v>
      </c>
      <c r="L927" s="205"/>
    </row>
    <row r="928" spans="2:12">
      <c r="B928" s="249" t="s">
        <v>1681</v>
      </c>
      <c r="C928" s="250" t="s">
        <v>1611</v>
      </c>
      <c r="D928" s="205" t="s">
        <v>152</v>
      </c>
      <c r="E928" s="251">
        <v>815</v>
      </c>
      <c r="F928" s="252">
        <v>0.39500000000000002</v>
      </c>
      <c r="G928" s="251">
        <v>1.1000000000000001</v>
      </c>
      <c r="H928" s="251">
        <v>0.3</v>
      </c>
      <c r="I928" s="251"/>
      <c r="J928" s="253"/>
      <c r="K928" s="254">
        <f t="shared" si="31"/>
        <v>106.23525000000002</v>
      </c>
      <c r="L928" s="205"/>
    </row>
    <row r="929" spans="2:12">
      <c r="B929" s="249" t="s">
        <v>1681</v>
      </c>
      <c r="C929" s="250" t="s">
        <v>1612</v>
      </c>
      <c r="D929" s="205" t="s">
        <v>152</v>
      </c>
      <c r="E929" s="251">
        <v>815</v>
      </c>
      <c r="F929" s="252">
        <v>0.39500000000000002</v>
      </c>
      <c r="G929" s="251">
        <v>1.1000000000000001</v>
      </c>
      <c r="H929" s="251">
        <v>0.3</v>
      </c>
      <c r="I929" s="251"/>
      <c r="J929" s="253"/>
      <c r="K929" s="254">
        <f t="shared" si="31"/>
        <v>106.23525000000002</v>
      </c>
      <c r="L929" s="205"/>
    </row>
    <row r="930" spans="2:12">
      <c r="B930" s="249"/>
      <c r="C930" s="250"/>
      <c r="D930" s="205"/>
      <c r="E930" s="251"/>
      <c r="F930" s="252"/>
      <c r="G930" s="251"/>
      <c r="H930" s="251"/>
      <c r="I930" s="251"/>
      <c r="J930" s="253"/>
      <c r="K930" s="254">
        <f t="shared" si="31"/>
        <v>0</v>
      </c>
      <c r="L930" s="205"/>
    </row>
    <row r="931" spans="2:12">
      <c r="B931" s="267"/>
      <c r="C931" s="205"/>
      <c r="D931" s="205"/>
      <c r="E931" s="251"/>
      <c r="F931" s="252"/>
      <c r="G931" s="251"/>
      <c r="H931" s="251"/>
      <c r="I931" s="251"/>
      <c r="J931" s="253"/>
      <c r="K931" s="254">
        <f t="shared" si="31"/>
        <v>0</v>
      </c>
      <c r="L931" s="205"/>
    </row>
    <row r="932" spans="2:12">
      <c r="B932" s="208"/>
      <c r="C932" s="204"/>
      <c r="D932" s="204"/>
      <c r="E932" s="204"/>
      <c r="F932" s="204"/>
      <c r="G932" s="204"/>
      <c r="H932" s="204"/>
      <c r="I932" s="556" t="s">
        <v>1221</v>
      </c>
      <c r="J932" s="556"/>
      <c r="K932" s="262">
        <f>SUM(K924:K931)</f>
        <v>792.48455000000024</v>
      </c>
      <c r="L932" s="207"/>
    </row>
    <row r="933" spans="2:12">
      <c r="B933" s="208"/>
      <c r="C933" s="204"/>
      <c r="D933" s="204"/>
      <c r="E933" s="204"/>
      <c r="F933" s="204"/>
      <c r="G933" s="204"/>
      <c r="H933" s="209"/>
      <c r="I933" s="557" t="s">
        <v>1222</v>
      </c>
      <c r="J933" s="557"/>
      <c r="K933" s="221">
        <f>VLOOKUP(B922,'BM 004'!$B$27:$R$590,4,0)</f>
        <v>1762.2</v>
      </c>
      <c r="L933" s="207"/>
    </row>
    <row r="934" spans="2:12">
      <c r="B934" s="208"/>
      <c r="C934" s="204"/>
      <c r="D934" s="204"/>
      <c r="E934" s="204"/>
      <c r="F934" s="204"/>
      <c r="G934" s="204"/>
      <c r="H934" s="558" t="s">
        <v>1223</v>
      </c>
      <c r="I934" s="558"/>
      <c r="J934" s="558"/>
      <c r="K934" s="222">
        <v>686.24929999999995</v>
      </c>
      <c r="L934" s="207"/>
    </row>
    <row r="935" spans="2:12">
      <c r="B935" s="208"/>
      <c r="C935" s="204"/>
      <c r="D935" s="204"/>
      <c r="E935" s="204"/>
      <c r="F935" s="204"/>
      <c r="G935" s="204"/>
      <c r="H935" s="558" t="s">
        <v>1592</v>
      </c>
      <c r="I935" s="558"/>
      <c r="J935" s="558"/>
      <c r="K935" s="222">
        <f>TRUNC(SUMIF(C924:C931,H935,K924:K931),2)</f>
        <v>106.23</v>
      </c>
      <c r="L935" s="207"/>
    </row>
    <row r="936" spans="2:12">
      <c r="B936" s="213"/>
      <c r="C936" s="214"/>
      <c r="D936" s="214"/>
      <c r="E936" s="214"/>
      <c r="F936" s="214"/>
      <c r="G936" s="214"/>
      <c r="H936" s="559" t="s">
        <v>1224</v>
      </c>
      <c r="I936" s="559"/>
      <c r="J936" s="559"/>
      <c r="K936" s="223">
        <f>IF(K932&gt;K933,K932-K933,0)</f>
        <v>0</v>
      </c>
      <c r="L936" s="209"/>
    </row>
    <row r="938" spans="2:12">
      <c r="B938" s="247" t="s">
        <v>224</v>
      </c>
      <c r="C938" s="565" t="str">
        <f>VLOOKUP(B938,'BM 004'!$B$27:$R$590,2,0)</f>
        <v xml:space="preserve">Armação de pilar ou viga de uma estrutura convencional de concreto armado em um edifício de múltiplos pavimentos utilizando aço ca-50 de 10,0 mm - montagem. </v>
      </c>
      <c r="D938" s="565"/>
      <c r="E938" s="565"/>
      <c r="F938" s="565"/>
      <c r="G938" s="565"/>
      <c r="H938" s="565"/>
      <c r="I938" s="565"/>
      <c r="J938" s="565"/>
      <c r="K938" s="565"/>
      <c r="L938" s="565"/>
    </row>
    <row r="939" spans="2:12">
      <c r="B939" s="248" t="s">
        <v>1209</v>
      </c>
      <c r="C939" s="248"/>
      <c r="D939" s="248" t="s">
        <v>39</v>
      </c>
      <c r="E939" s="248" t="s">
        <v>1210</v>
      </c>
      <c r="F939" s="248" t="s">
        <v>1382</v>
      </c>
      <c r="G939" s="248" t="s">
        <v>1383</v>
      </c>
      <c r="H939" s="248" t="s">
        <v>1384</v>
      </c>
      <c r="I939" s="248" t="s">
        <v>1214</v>
      </c>
      <c r="J939" s="248" t="s">
        <v>1385</v>
      </c>
      <c r="K939" s="248" t="s">
        <v>1216</v>
      </c>
      <c r="L939" s="248" t="s">
        <v>1217</v>
      </c>
    </row>
    <row r="940" spans="2:12">
      <c r="B940" s="249" t="s">
        <v>1387</v>
      </c>
      <c r="C940" s="250" t="s">
        <v>1333</v>
      </c>
      <c r="D940" s="205" t="s">
        <v>152</v>
      </c>
      <c r="E940" s="251">
        <v>82</v>
      </c>
      <c r="F940" s="252">
        <v>0.61699999999999999</v>
      </c>
      <c r="G940" s="251">
        <v>1.1000000000000001</v>
      </c>
      <c r="H940" s="251">
        <v>0.55000000000000004</v>
      </c>
      <c r="I940" s="251"/>
      <c r="J940" s="253"/>
      <c r="K940" s="254">
        <f t="shared" ref="K940:K946" si="32">IF(E940*F940*G940&lt;&gt;0,E940*F940*G940,IF(E940*F940&lt;&gt;0,E940*F940,IF(F940*G940&lt;&gt;0,F940*G940,IF(E940*G940&lt;&gt;0,E940*G940,IF(E940&lt;&gt;0,E940,IF(F940&lt;&gt;0,F940,IF(G940&lt;&gt;0,G940,0)))))))*(IF(H940&lt;&gt;0,H940,1))+I940-J940</f>
        <v>30.609370000000006</v>
      </c>
      <c r="L940" s="255"/>
    </row>
    <row r="941" spans="2:12">
      <c r="B941" s="249" t="s">
        <v>1480</v>
      </c>
      <c r="C941" s="250" t="s">
        <v>1441</v>
      </c>
      <c r="D941" s="205" t="s">
        <v>152</v>
      </c>
      <c r="E941" s="251">
        <v>494</v>
      </c>
      <c r="F941" s="252">
        <f>F940</f>
        <v>0.61699999999999999</v>
      </c>
      <c r="G941" s="251">
        <f>G940</f>
        <v>1.1000000000000001</v>
      </c>
      <c r="H941" s="251">
        <v>0.5</v>
      </c>
      <c r="I941" s="251"/>
      <c r="J941" s="253"/>
      <c r="K941" s="254">
        <f t="shared" si="32"/>
        <v>167.63890000000001</v>
      </c>
      <c r="L941" s="205"/>
    </row>
    <row r="942" spans="2:12">
      <c r="B942" s="249" t="s">
        <v>1555</v>
      </c>
      <c r="C942" s="250" t="s">
        <v>1611</v>
      </c>
      <c r="D942" s="205" t="s">
        <v>152</v>
      </c>
      <c r="E942" s="251"/>
      <c r="F942" s="252"/>
      <c r="G942" s="251"/>
      <c r="H942" s="251"/>
      <c r="I942" s="251"/>
      <c r="J942" s="253"/>
      <c r="K942" s="254">
        <f t="shared" si="32"/>
        <v>0</v>
      </c>
      <c r="L942" s="205"/>
    </row>
    <row r="943" spans="2:12">
      <c r="B943" s="249" t="s">
        <v>1681</v>
      </c>
      <c r="C943" s="250" t="s">
        <v>1611</v>
      </c>
      <c r="D943" s="205" t="s">
        <v>152</v>
      </c>
      <c r="E943" s="251">
        <v>222</v>
      </c>
      <c r="F943" s="252">
        <v>0.61699999999999999</v>
      </c>
      <c r="G943" s="251">
        <v>1.1000000000000001</v>
      </c>
      <c r="H943" s="251">
        <v>0.3</v>
      </c>
      <c r="I943" s="251"/>
      <c r="J943" s="253"/>
      <c r="K943" s="254">
        <f t="shared" si="32"/>
        <v>45.201419999999999</v>
      </c>
      <c r="L943" s="205"/>
    </row>
    <row r="944" spans="2:12">
      <c r="B944" s="249" t="s">
        <v>1681</v>
      </c>
      <c r="C944" s="250" t="s">
        <v>1612</v>
      </c>
      <c r="D944" s="205" t="s">
        <v>152</v>
      </c>
      <c r="E944" s="251">
        <v>222</v>
      </c>
      <c r="F944" s="252">
        <v>0.61699999999999999</v>
      </c>
      <c r="G944" s="251">
        <v>1.1000000000000001</v>
      </c>
      <c r="H944" s="251">
        <v>0.2</v>
      </c>
      <c r="I944" s="251"/>
      <c r="J944" s="253"/>
      <c r="K944" s="254">
        <f t="shared" si="32"/>
        <v>30.134280000000004</v>
      </c>
      <c r="L944" s="205"/>
    </row>
    <row r="945" spans="2:12">
      <c r="B945" s="249"/>
      <c r="C945" s="250"/>
      <c r="D945" s="205"/>
      <c r="E945" s="251"/>
      <c r="F945" s="252"/>
      <c r="G945" s="251"/>
      <c r="H945" s="251"/>
      <c r="I945" s="251"/>
      <c r="J945" s="253"/>
      <c r="K945" s="254">
        <f t="shared" si="32"/>
        <v>0</v>
      </c>
      <c r="L945" s="205"/>
    </row>
    <row r="946" spans="2:12">
      <c r="B946" s="267"/>
      <c r="C946" s="205"/>
      <c r="D946" s="205"/>
      <c r="E946" s="251"/>
      <c r="F946" s="252"/>
      <c r="G946" s="251"/>
      <c r="H946" s="251"/>
      <c r="I946" s="251"/>
      <c r="J946" s="253"/>
      <c r="K946" s="254">
        <f t="shared" si="32"/>
        <v>0</v>
      </c>
      <c r="L946" s="205"/>
    </row>
    <row r="947" spans="2:12">
      <c r="B947" s="208"/>
      <c r="C947" s="204"/>
      <c r="D947" s="204"/>
      <c r="E947" s="204"/>
      <c r="F947" s="204"/>
      <c r="G947" s="204"/>
      <c r="H947" s="204"/>
      <c r="I947" s="556" t="s">
        <v>1221</v>
      </c>
      <c r="J947" s="556"/>
      <c r="K947" s="262">
        <f>SUM(K940:K946)</f>
        <v>273.58397000000002</v>
      </c>
      <c r="L947" s="207"/>
    </row>
    <row r="948" spans="2:12">
      <c r="B948" s="208"/>
      <c r="C948" s="204"/>
      <c r="D948" s="204"/>
      <c r="E948" s="204"/>
      <c r="F948" s="204"/>
      <c r="G948" s="204"/>
      <c r="H948" s="209"/>
      <c r="I948" s="557" t="s">
        <v>1222</v>
      </c>
      <c r="J948" s="557"/>
      <c r="K948" s="221">
        <f>VLOOKUP(B938,'BM 004'!$B$27:$R$590,4,0)</f>
        <v>542.29999999999995</v>
      </c>
      <c r="L948" s="207"/>
    </row>
    <row r="949" spans="2:12">
      <c r="B949" s="208"/>
      <c r="C949" s="204"/>
      <c r="D949" s="204"/>
      <c r="E949" s="204"/>
      <c r="F949" s="204"/>
      <c r="G949" s="204"/>
      <c r="H949" s="558" t="s">
        <v>1223</v>
      </c>
      <c r="I949" s="558"/>
      <c r="J949" s="558"/>
      <c r="K949" s="222">
        <v>243.44969</v>
      </c>
      <c r="L949" s="207"/>
    </row>
    <row r="950" spans="2:12">
      <c r="B950" s="208"/>
      <c r="C950" s="204"/>
      <c r="D950" s="204"/>
      <c r="E950" s="204"/>
      <c r="F950" s="204"/>
      <c r="G950" s="204"/>
      <c r="H950" s="558" t="s">
        <v>1592</v>
      </c>
      <c r="I950" s="558"/>
      <c r="J950" s="558"/>
      <c r="K950" s="222">
        <f>TRUNC(SUMIF(C940:C946,H950,K940:K946),2)</f>
        <v>30.13</v>
      </c>
      <c r="L950" s="207"/>
    </row>
    <row r="951" spans="2:12">
      <c r="B951" s="213"/>
      <c r="C951" s="214"/>
      <c r="D951" s="214"/>
      <c r="E951" s="214"/>
      <c r="F951" s="214"/>
      <c r="G951" s="214"/>
      <c r="H951" s="559" t="s">
        <v>1224</v>
      </c>
      <c r="I951" s="559"/>
      <c r="J951" s="559"/>
      <c r="K951" s="223">
        <f>IF(K947&gt;K948,K947-K948,0)</f>
        <v>0</v>
      </c>
      <c r="L951" s="209"/>
    </row>
    <row r="953" spans="2:12">
      <c r="B953" s="247" t="s">
        <v>225</v>
      </c>
      <c r="C953" s="565" t="str">
        <f>VLOOKUP(B953,'BM 004'!$B$27:$R$590,2,0)</f>
        <v xml:space="preserve">Armação de pilar ou viga de uma estrutura convencional de concreto armado em um edifício de múltiplos pavimentos utilizando aço ca-50 de 12,5 mm - montagem. </v>
      </c>
      <c r="D953" s="565"/>
      <c r="E953" s="565"/>
      <c r="F953" s="565"/>
      <c r="G953" s="565"/>
      <c r="H953" s="565"/>
      <c r="I953" s="565"/>
      <c r="J953" s="565"/>
      <c r="K953" s="565"/>
      <c r="L953" s="565"/>
    </row>
    <row r="954" spans="2:12">
      <c r="B954" s="248" t="s">
        <v>1209</v>
      </c>
      <c r="C954" s="248"/>
      <c r="D954" s="248" t="s">
        <v>39</v>
      </c>
      <c r="E954" s="248" t="s">
        <v>1210</v>
      </c>
      <c r="F954" s="248" t="s">
        <v>1382</v>
      </c>
      <c r="G954" s="248" t="s">
        <v>1383</v>
      </c>
      <c r="H954" s="248" t="s">
        <v>1384</v>
      </c>
      <c r="I954" s="248" t="s">
        <v>1214</v>
      </c>
      <c r="J954" s="248" t="s">
        <v>1385</v>
      </c>
      <c r="K954" s="248" t="s">
        <v>1216</v>
      </c>
      <c r="L954" s="248" t="s">
        <v>1217</v>
      </c>
    </row>
    <row r="955" spans="2:12">
      <c r="B955" s="249" t="s">
        <v>1387</v>
      </c>
      <c r="C955" s="250" t="s">
        <v>1333</v>
      </c>
      <c r="D955" s="205" t="s">
        <v>152</v>
      </c>
      <c r="E955" s="251">
        <v>169</v>
      </c>
      <c r="F955" s="252">
        <v>0.96299999999999997</v>
      </c>
      <c r="G955" s="251">
        <v>1.1000000000000001</v>
      </c>
      <c r="H955" s="251">
        <v>0.55000000000000004</v>
      </c>
      <c r="I955" s="251"/>
      <c r="J955" s="253"/>
      <c r="K955" s="254">
        <f>IF(E955*F955*G955&lt;&gt;0,E955*F955*G955,IF(E955*F955&lt;&gt;0,E955*F955,IF(F955*G955&lt;&gt;0,F955*G955,IF(E955*G955&lt;&gt;0,E955*G955,IF(E955&lt;&gt;0,E955,IF(F955&lt;&gt;0,F955,IF(G955&lt;&gt;0,G955,0)))))))*(IF(H955&lt;&gt;0,H955,1))+I955-J955</f>
        <v>98.461935000000011</v>
      </c>
      <c r="L955" s="255"/>
    </row>
    <row r="956" spans="2:12">
      <c r="B956" s="249" t="s">
        <v>1480</v>
      </c>
      <c r="C956" s="250" t="s">
        <v>1441</v>
      </c>
      <c r="D956" s="205" t="s">
        <v>152</v>
      </c>
      <c r="E956" s="251">
        <v>653</v>
      </c>
      <c r="F956" s="252">
        <f>F955</f>
        <v>0.96299999999999997</v>
      </c>
      <c r="G956" s="251">
        <f>G955</f>
        <v>1.1000000000000001</v>
      </c>
      <c r="H956" s="251">
        <v>0.5</v>
      </c>
      <c r="I956" s="251"/>
      <c r="J956" s="253"/>
      <c r="K956" s="254">
        <f>IF(E956*F956*G956&lt;&gt;0,E956*F956*G956,IF(E956*F956&lt;&gt;0,E956*F956,IF(F956*G956&lt;&gt;0,F956*G956,IF(E956*G956&lt;&gt;0,E956*G956,IF(E956&lt;&gt;0,E956,IF(F956&lt;&gt;0,F956,IF(G956&lt;&gt;0,G956,0)))))))*(IF(H956&lt;&gt;0,H956,1))+I956-J956</f>
        <v>345.86144999999999</v>
      </c>
      <c r="L956" s="205"/>
    </row>
    <row r="957" spans="2:12">
      <c r="B957" s="249" t="s">
        <v>1555</v>
      </c>
      <c r="C957" s="250" t="s">
        <v>1521</v>
      </c>
      <c r="D957" s="205" t="s">
        <v>152</v>
      </c>
      <c r="E957" s="251">
        <v>1331</v>
      </c>
      <c r="F957" s="252">
        <f>F956</f>
        <v>0.96299999999999997</v>
      </c>
      <c r="G957" s="251">
        <f>G956</f>
        <v>1.1000000000000001</v>
      </c>
      <c r="H957" s="251">
        <v>0.3</v>
      </c>
      <c r="I957" s="251"/>
      <c r="J957" s="253"/>
      <c r="K957" s="254">
        <f>IF(E957*F957*G957&lt;&gt;0,E957*F957*G957,IF(E957*F957&lt;&gt;0,E957*F957,IF(F957*G957&lt;&gt;0,F957*G957,IF(E957*G957&lt;&gt;0,E957*G957,IF(E957&lt;&gt;0,E957,IF(F957&lt;&gt;0,F957,IF(G957&lt;&gt;0,G957,0)))))))*(IF(H957&lt;&gt;0,H957,1))+I957-J957</f>
        <v>422.97849000000002</v>
      </c>
      <c r="L957" s="205"/>
    </row>
    <row r="958" spans="2:12">
      <c r="B958" s="249" t="s">
        <v>1681</v>
      </c>
      <c r="C958" s="250" t="s">
        <v>1611</v>
      </c>
      <c r="D958" s="205" t="s">
        <v>152</v>
      </c>
      <c r="E958" s="251">
        <v>1181</v>
      </c>
      <c r="F958" s="252">
        <v>0.96299999999999997</v>
      </c>
      <c r="G958" s="251">
        <v>1.1000000000000001</v>
      </c>
      <c r="H958" s="251">
        <v>0.3</v>
      </c>
      <c r="I958" s="251"/>
      <c r="J958" s="253"/>
      <c r="K958" s="254">
        <f>IF(E958*F958*G958&lt;&gt;0,E958*F958*G958,IF(E958*F958&lt;&gt;0,E958*F958,IF(F958*G958&lt;&gt;0,F958*G958,IF(E958*G958&lt;&gt;0,E958*G958,IF(E958&lt;&gt;0,E958,IF(F958&lt;&gt;0,F958,IF(G958&lt;&gt;0,G958,0)))))))*(IF(H958&lt;&gt;0,H958,1))+I958-J958</f>
        <v>375.30999000000003</v>
      </c>
      <c r="L958" s="205"/>
    </row>
    <row r="959" spans="2:12">
      <c r="B959" s="249" t="s">
        <v>1555</v>
      </c>
      <c r="C959" s="250" t="s">
        <v>1612</v>
      </c>
      <c r="D959" s="205" t="s">
        <v>152</v>
      </c>
      <c r="E959" s="251">
        <v>1331</v>
      </c>
      <c r="F959" s="252">
        <f>F958</f>
        <v>0.96299999999999997</v>
      </c>
      <c r="G959" s="251">
        <f>G958</f>
        <v>1.1000000000000001</v>
      </c>
      <c r="H959" s="251">
        <v>0.2</v>
      </c>
      <c r="I959" s="251"/>
      <c r="J959" s="253"/>
      <c r="K959" s="254">
        <f>IF(E959*F959*G959&lt;&gt;0,E959*F959*G959,IF(E959*F959&lt;&gt;0,E959*F959,IF(F959*G959&lt;&gt;0,F959*G959,IF(E959*G959&lt;&gt;0,E959*G959,IF(E959&lt;&gt;0,E959,IF(F959&lt;&gt;0,F959,IF(G959&lt;&gt;0,G959,0)))))))*(IF(H959&lt;&gt;0,H959,1))+I959-J959</f>
        <v>281.98566</v>
      </c>
      <c r="L959" s="205"/>
    </row>
    <row r="960" spans="2:12">
      <c r="B960" s="249"/>
      <c r="C960" s="250"/>
      <c r="D960" s="205"/>
      <c r="E960" s="251"/>
      <c r="F960" s="252"/>
      <c r="G960" s="251"/>
      <c r="H960" s="251"/>
      <c r="I960" s="251"/>
      <c r="J960" s="253"/>
      <c r="K960" s="254"/>
      <c r="L960" s="205"/>
    </row>
    <row r="961" spans="2:12">
      <c r="B961" s="267"/>
      <c r="C961" s="205"/>
      <c r="D961" s="205"/>
      <c r="E961" s="251"/>
      <c r="F961" s="252"/>
      <c r="G961" s="251"/>
      <c r="H961" s="251"/>
      <c r="I961" s="251"/>
      <c r="J961" s="253"/>
      <c r="K961" s="254">
        <f>IF(E961*F961*G961&lt;&gt;0,E961*F961*G961,IF(E961*F961&lt;&gt;0,E961*F961,IF(F961*G961&lt;&gt;0,F961*G961,IF(E961*G961&lt;&gt;0,E961*G961,IF(E961&lt;&gt;0,E961,IF(F961&lt;&gt;0,F961,IF(G961&lt;&gt;0,G961,0)))))))*(IF(H961&lt;&gt;0,H961,1))+I961-J961</f>
        <v>0</v>
      </c>
      <c r="L961" s="205"/>
    </row>
    <row r="962" spans="2:12">
      <c r="B962" s="208"/>
      <c r="C962" s="204"/>
      <c r="D962" s="204"/>
      <c r="E962" s="204"/>
      <c r="F962" s="204"/>
      <c r="G962" s="204"/>
      <c r="H962" s="204"/>
      <c r="I962" s="556" t="s">
        <v>1221</v>
      </c>
      <c r="J962" s="556"/>
      <c r="K962" s="262">
        <f>SUM(K955:K961)</f>
        <v>1524.5975250000001</v>
      </c>
      <c r="L962" s="207"/>
    </row>
    <row r="963" spans="2:12">
      <c r="B963" s="208"/>
      <c r="C963" s="204"/>
      <c r="D963" s="204"/>
      <c r="E963" s="204"/>
      <c r="F963" s="204"/>
      <c r="G963" s="204"/>
      <c r="H963" s="209"/>
      <c r="I963" s="557" t="s">
        <v>1222</v>
      </c>
      <c r="J963" s="557"/>
      <c r="K963" s="221">
        <f>VLOOKUP(B953,'BM 004'!$B$27:$R$590,4,0)</f>
        <v>3532.1</v>
      </c>
      <c r="L963" s="207"/>
    </row>
    <row r="964" spans="2:12">
      <c r="B964" s="208"/>
      <c r="C964" s="204"/>
      <c r="D964" s="204"/>
      <c r="E964" s="204"/>
      <c r="F964" s="204"/>
      <c r="G964" s="204"/>
      <c r="H964" s="558" t="s">
        <v>1223</v>
      </c>
      <c r="I964" s="558"/>
      <c r="J964" s="558"/>
      <c r="K964" s="222">
        <v>1242.6118650000001</v>
      </c>
      <c r="L964" s="207"/>
    </row>
    <row r="965" spans="2:12">
      <c r="B965" s="208"/>
      <c r="C965" s="204"/>
      <c r="D965" s="204"/>
      <c r="E965" s="204"/>
      <c r="F965" s="204"/>
      <c r="G965" s="204"/>
      <c r="H965" s="558" t="s">
        <v>1592</v>
      </c>
      <c r="I965" s="558"/>
      <c r="J965" s="558"/>
      <c r="K965" s="222">
        <f>TRUNC(SUMIF(C955:C961,H965,K955:K961),2)</f>
        <v>281.98</v>
      </c>
      <c r="L965" s="207"/>
    </row>
    <row r="966" spans="2:12">
      <c r="B966" s="213"/>
      <c r="C966" s="214"/>
      <c r="D966" s="214"/>
      <c r="E966" s="214"/>
      <c r="F966" s="214"/>
      <c r="G966" s="214"/>
      <c r="H966" s="559" t="s">
        <v>1224</v>
      </c>
      <c r="I966" s="559"/>
      <c r="J966" s="559"/>
      <c r="K966" s="223">
        <f>IF(K962&gt;K963,K962-K963,0)</f>
        <v>0</v>
      </c>
      <c r="L966" s="209"/>
    </row>
    <row r="968" spans="2:12">
      <c r="B968" s="247" t="s">
        <v>226</v>
      </c>
      <c r="C968" s="565" t="str">
        <f>VLOOKUP(B968,'BM 004'!$B$27:$R$590,2,0)</f>
        <v xml:space="preserve">Armação de pilar ou viga de uma estrutura convencional de concreto armado em um edifício de múltiplos pavimentos utilizando aço ca-50 de 16,0 mm - montagem. </v>
      </c>
      <c r="D968" s="565"/>
      <c r="E968" s="565"/>
      <c r="F968" s="565"/>
      <c r="G968" s="565"/>
      <c r="H968" s="565"/>
      <c r="I968" s="565"/>
      <c r="J968" s="565"/>
      <c r="K968" s="565"/>
      <c r="L968" s="565"/>
    </row>
    <row r="969" spans="2:12">
      <c r="B969" s="248" t="s">
        <v>1209</v>
      </c>
      <c r="C969" s="248"/>
      <c r="D969" s="248" t="s">
        <v>39</v>
      </c>
      <c r="E969" s="248" t="s">
        <v>1210</v>
      </c>
      <c r="F969" s="248" t="s">
        <v>1382</v>
      </c>
      <c r="G969" s="248" t="s">
        <v>1383</v>
      </c>
      <c r="H969" s="248" t="s">
        <v>1384</v>
      </c>
      <c r="I969" s="248" t="s">
        <v>1214</v>
      </c>
      <c r="J969" s="248" t="s">
        <v>1385</v>
      </c>
      <c r="K969" s="248" t="s">
        <v>1216</v>
      </c>
      <c r="L969" s="248" t="s">
        <v>1217</v>
      </c>
    </row>
    <row r="970" spans="2:12">
      <c r="B970" s="249" t="s">
        <v>1387</v>
      </c>
      <c r="C970" s="250" t="s">
        <v>1333</v>
      </c>
      <c r="D970" s="205" t="s">
        <v>152</v>
      </c>
      <c r="E970" s="251">
        <v>3239</v>
      </c>
      <c r="F970" s="252">
        <v>1.5780000000000001</v>
      </c>
      <c r="G970" s="251">
        <v>1.1000000000000001</v>
      </c>
      <c r="H970" s="251">
        <v>0.55000000000000004</v>
      </c>
      <c r="I970" s="251"/>
      <c r="J970" s="253"/>
      <c r="K970" s="254">
        <f t="shared" ref="K970:K976" si="33">IF(E970*F970*G970&lt;&gt;0,E970*F970*G970,IF(E970*F970&lt;&gt;0,E970*F970,IF(F970*G970&lt;&gt;0,F970*G970,IF(E970*G970&lt;&gt;0,E970*G970,IF(E970&lt;&gt;0,E970,IF(F970&lt;&gt;0,F970,IF(G970&lt;&gt;0,G970,0)))))))*(IF(H970&lt;&gt;0,H970,1))+I970-J970</f>
        <v>3092.24091</v>
      </c>
      <c r="L970" s="255"/>
    </row>
    <row r="971" spans="2:12">
      <c r="B971" s="249" t="s">
        <v>1480</v>
      </c>
      <c r="C971" s="250" t="s">
        <v>1441</v>
      </c>
      <c r="D971" s="205" t="s">
        <v>152</v>
      </c>
      <c r="E971" s="251">
        <v>153</v>
      </c>
      <c r="F971" s="252">
        <f>F970</f>
        <v>1.5780000000000001</v>
      </c>
      <c r="G971" s="251">
        <f>G970</f>
        <v>1.1000000000000001</v>
      </c>
      <c r="H971" s="251">
        <v>0.5</v>
      </c>
      <c r="I971" s="251"/>
      <c r="J971" s="253"/>
      <c r="K971" s="254">
        <f t="shared" si="33"/>
        <v>132.78870000000001</v>
      </c>
      <c r="L971" s="205"/>
    </row>
    <row r="972" spans="2:12">
      <c r="B972" s="249" t="s">
        <v>1555</v>
      </c>
      <c r="C972" s="250" t="s">
        <v>1611</v>
      </c>
      <c r="D972" s="205" t="s">
        <v>152</v>
      </c>
      <c r="E972" s="251"/>
      <c r="F972" s="252"/>
      <c r="G972" s="251"/>
      <c r="H972" s="251"/>
      <c r="I972" s="251"/>
      <c r="J972" s="253"/>
      <c r="K972" s="254">
        <f t="shared" si="33"/>
        <v>0</v>
      </c>
      <c r="L972" s="205"/>
    </row>
    <row r="973" spans="2:12">
      <c r="B973" s="249" t="s">
        <v>1681</v>
      </c>
      <c r="C973" s="250" t="s">
        <v>1611</v>
      </c>
      <c r="D973" s="205" t="s">
        <v>152</v>
      </c>
      <c r="E973" s="251">
        <v>822</v>
      </c>
      <c r="F973" s="252">
        <v>1.5780000000000001</v>
      </c>
      <c r="G973" s="251">
        <v>1.1000000000000001</v>
      </c>
      <c r="H973" s="251">
        <v>0.3</v>
      </c>
      <c r="I973" s="251"/>
      <c r="J973" s="253"/>
      <c r="K973" s="254">
        <f t="shared" si="33"/>
        <v>428.04828000000003</v>
      </c>
      <c r="L973" s="205"/>
    </row>
    <row r="974" spans="2:12">
      <c r="B974" s="249" t="s">
        <v>1681</v>
      </c>
      <c r="C974" s="250" t="s">
        <v>1612</v>
      </c>
      <c r="D974" s="205" t="s">
        <v>152</v>
      </c>
      <c r="E974" s="251">
        <v>822</v>
      </c>
      <c r="F974" s="252">
        <v>1.5780000000000001</v>
      </c>
      <c r="G974" s="251">
        <v>1.1000000000000001</v>
      </c>
      <c r="H974" s="251">
        <v>0.3</v>
      </c>
      <c r="I974" s="251"/>
      <c r="J974" s="253"/>
      <c r="K974" s="254">
        <f t="shared" si="33"/>
        <v>428.04828000000003</v>
      </c>
      <c r="L974" s="205"/>
    </row>
    <row r="975" spans="2:12">
      <c r="B975" s="267"/>
      <c r="C975" s="205"/>
      <c r="D975" s="205"/>
      <c r="E975" s="251"/>
      <c r="F975" s="252"/>
      <c r="G975" s="251"/>
      <c r="H975" s="251"/>
      <c r="I975" s="251"/>
      <c r="J975" s="253"/>
      <c r="K975" s="254">
        <f t="shared" si="33"/>
        <v>0</v>
      </c>
      <c r="L975" s="205"/>
    </row>
    <row r="976" spans="2:12">
      <c r="B976" s="267"/>
      <c r="C976" s="205"/>
      <c r="D976" s="205"/>
      <c r="E976" s="251"/>
      <c r="F976" s="252"/>
      <c r="G976" s="251"/>
      <c r="H976" s="251"/>
      <c r="I976" s="251"/>
      <c r="J976" s="253"/>
      <c r="K976" s="254">
        <f t="shared" si="33"/>
        <v>0</v>
      </c>
      <c r="L976" s="205"/>
    </row>
    <row r="977" spans="2:12">
      <c r="B977" s="208"/>
      <c r="C977" s="204"/>
      <c r="D977" s="204"/>
      <c r="E977" s="204"/>
      <c r="F977" s="204"/>
      <c r="G977" s="204"/>
      <c r="H977" s="204"/>
      <c r="I977" s="556" t="s">
        <v>1221</v>
      </c>
      <c r="J977" s="556"/>
      <c r="K977" s="262">
        <f>SUM(K970:K976)</f>
        <v>4081.12617</v>
      </c>
      <c r="L977" s="207"/>
    </row>
    <row r="978" spans="2:12">
      <c r="B978" s="208"/>
      <c r="C978" s="204"/>
      <c r="D978" s="204"/>
      <c r="E978" s="204"/>
      <c r="F978" s="204"/>
      <c r="G978" s="204"/>
      <c r="H978" s="209"/>
      <c r="I978" s="557" t="s">
        <v>1222</v>
      </c>
      <c r="J978" s="557"/>
      <c r="K978" s="221">
        <f>VLOOKUP(B968,'BM 004'!$B$27:$R$590,4,0)</f>
        <v>7313.9</v>
      </c>
      <c r="L978" s="207"/>
    </row>
    <row r="979" spans="2:12">
      <c r="B979" s="208"/>
      <c r="C979" s="204"/>
      <c r="D979" s="204"/>
      <c r="E979" s="204"/>
      <c r="F979" s="204"/>
      <c r="G979" s="204"/>
      <c r="H979" s="558" t="s">
        <v>1223</v>
      </c>
      <c r="I979" s="558"/>
      <c r="J979" s="558"/>
      <c r="K979" s="222">
        <v>3653.07789</v>
      </c>
      <c r="L979" s="207"/>
    </row>
    <row r="980" spans="2:12">
      <c r="B980" s="208"/>
      <c r="C980" s="204"/>
      <c r="D980" s="204"/>
      <c r="E980" s="204"/>
      <c r="F980" s="204"/>
      <c r="G980" s="204"/>
      <c r="H980" s="558" t="s">
        <v>1592</v>
      </c>
      <c r="I980" s="558"/>
      <c r="J980" s="558"/>
      <c r="K980" s="222">
        <f>TRUNC(SUMIF(C970:C976,H980,K970:K976),2)</f>
        <v>428.04</v>
      </c>
      <c r="L980" s="207"/>
    </row>
    <row r="981" spans="2:12">
      <c r="B981" s="213"/>
      <c r="C981" s="214"/>
      <c r="D981" s="214"/>
      <c r="E981" s="214"/>
      <c r="F981" s="214"/>
      <c r="G981" s="214"/>
      <c r="H981" s="559" t="s">
        <v>1224</v>
      </c>
      <c r="I981" s="559"/>
      <c r="J981" s="559"/>
      <c r="K981" s="223">
        <f>IF(K977&gt;K978,K977-K978,0)</f>
        <v>0</v>
      </c>
      <c r="L981" s="209"/>
    </row>
    <row r="983" spans="2:12">
      <c r="B983" s="247" t="s">
        <v>227</v>
      </c>
      <c r="C983" s="565" t="str">
        <f>VLOOKUP(B983,'BM 004'!$B$27:$R$590,2,0)</f>
        <v xml:space="preserve">Armação de pilar ou viga de uma estrutura convencional de concreto armado em um edifício de múltiplos pavimentos utilizando aço ca-50 de 20,0 mm - montagem. </v>
      </c>
      <c r="D983" s="565"/>
      <c r="E983" s="565"/>
      <c r="F983" s="565"/>
      <c r="G983" s="565"/>
      <c r="H983" s="565"/>
      <c r="I983" s="565"/>
      <c r="J983" s="565"/>
      <c r="K983" s="565"/>
      <c r="L983" s="565"/>
    </row>
    <row r="984" spans="2:12">
      <c r="B984" s="248" t="s">
        <v>1209</v>
      </c>
      <c r="C984" s="248"/>
      <c r="D984" s="248" t="s">
        <v>39</v>
      </c>
      <c r="E984" s="248" t="s">
        <v>1210</v>
      </c>
      <c r="F984" s="248" t="s">
        <v>1382</v>
      </c>
      <c r="G984" s="248" t="s">
        <v>1383</v>
      </c>
      <c r="H984" s="248" t="s">
        <v>1384</v>
      </c>
      <c r="I984" s="248" t="s">
        <v>1214</v>
      </c>
      <c r="J984" s="248" t="s">
        <v>1385</v>
      </c>
      <c r="K984" s="248" t="s">
        <v>1216</v>
      </c>
      <c r="L984" s="248" t="s">
        <v>1217</v>
      </c>
    </row>
    <row r="985" spans="2:12">
      <c r="B985" s="249" t="s">
        <v>1387</v>
      </c>
      <c r="C985" s="250" t="s">
        <v>1333</v>
      </c>
      <c r="D985" s="205" t="s">
        <v>152</v>
      </c>
      <c r="E985" s="251">
        <v>991</v>
      </c>
      <c r="F985" s="252">
        <v>2.4660000000000002</v>
      </c>
      <c r="G985" s="251">
        <v>1.1000000000000001</v>
      </c>
      <c r="H985" s="251">
        <v>0.55000000000000004</v>
      </c>
      <c r="I985" s="251"/>
      <c r="J985" s="253"/>
      <c r="K985" s="254">
        <f>IF(E985*F985*G985&lt;&gt;0,E985*F985*G985,IF(E985*F985&lt;&gt;0,E985*F985,IF(F985*G985&lt;&gt;0,F985*G985,IF(E985*G985&lt;&gt;0,E985*G985,IF(E985&lt;&gt;0,E985,IF(F985&lt;&gt;0,F985,IF(G985&lt;&gt;0,G985,0)))))))*(IF(H985&lt;&gt;0,H985,1))+I985-J985</f>
        <v>1478.5026300000004</v>
      </c>
      <c r="L985" s="255"/>
    </row>
    <row r="986" spans="2:12">
      <c r="B986" s="249" t="s">
        <v>1480</v>
      </c>
      <c r="C986" s="250" t="s">
        <v>1441</v>
      </c>
      <c r="D986" s="205" t="s">
        <v>152</v>
      </c>
      <c r="E986" s="251">
        <v>425</v>
      </c>
      <c r="F986" s="252">
        <f>F985</f>
        <v>2.4660000000000002</v>
      </c>
      <c r="G986" s="251">
        <f>G985</f>
        <v>1.1000000000000001</v>
      </c>
      <c r="H986" s="251">
        <v>0.5</v>
      </c>
      <c r="I986" s="251"/>
      <c r="J986" s="253"/>
      <c r="K986" s="254">
        <f>IF(E986*F986*G986&lt;&gt;0,E986*F986*G986,IF(E986*F986&lt;&gt;0,E986*F986,IF(F986*G986&lt;&gt;0,F986*G986,IF(E986*G986&lt;&gt;0,E986*G986,IF(E986&lt;&gt;0,E986,IF(F986&lt;&gt;0,F986,IF(G986&lt;&gt;0,G986,0)))))))*(IF(H986&lt;&gt;0,H986,1))+I986-J986</f>
        <v>576.42750000000012</v>
      </c>
      <c r="L986" s="205"/>
    </row>
    <row r="987" spans="2:12">
      <c r="B987" s="249" t="s">
        <v>1555</v>
      </c>
      <c r="C987" s="250" t="s">
        <v>1611</v>
      </c>
      <c r="D987" s="205" t="s">
        <v>152</v>
      </c>
      <c r="E987" s="251"/>
      <c r="F987" s="252"/>
      <c r="G987" s="251"/>
      <c r="H987" s="251"/>
      <c r="I987" s="251"/>
      <c r="J987" s="253"/>
      <c r="K987" s="254">
        <f>IF(E987*F987*G987&lt;&gt;0,E987*F987*G987,IF(E987*F987&lt;&gt;0,E987*F987,IF(F987*G987&lt;&gt;0,F987*G987,IF(E987*G987&lt;&gt;0,E987*G987,IF(E987&lt;&gt;0,E987,IF(F987&lt;&gt;0,F987,IF(G987&lt;&gt;0,G987,0)))))))*(IF(H987&lt;&gt;0,H987,1))+I987-J987</f>
        <v>0</v>
      </c>
      <c r="L987" s="205"/>
    </row>
    <row r="988" spans="2:12">
      <c r="B988" s="249" t="s">
        <v>1681</v>
      </c>
      <c r="C988" s="250" t="s">
        <v>1611</v>
      </c>
      <c r="D988" s="205" t="s">
        <v>152</v>
      </c>
      <c r="E988" s="251">
        <v>247</v>
      </c>
      <c r="F988" s="252">
        <v>2.4660000000000002</v>
      </c>
      <c r="G988" s="251">
        <v>1.1000000000000001</v>
      </c>
      <c r="H988" s="251">
        <v>0.3</v>
      </c>
      <c r="I988" s="251"/>
      <c r="J988" s="253"/>
      <c r="K988" s="254">
        <f>IF(E988*F988*G988&lt;&gt;0,E988*F988*G988,IF(E988*F988&lt;&gt;0,E988*F988,IF(F988*G988&lt;&gt;0,F988*G988,IF(E988*G988&lt;&gt;0,E988*G988,IF(E988&lt;&gt;0,E988,IF(F988&lt;&gt;0,F988,IF(G988&lt;&gt;0,G988,0)))))))*(IF(H988&lt;&gt;0,H988,1))+I988-J988</f>
        <v>201.00366000000002</v>
      </c>
      <c r="L988" s="205"/>
    </row>
    <row r="989" spans="2:12">
      <c r="B989" s="249" t="s">
        <v>1681</v>
      </c>
      <c r="C989" s="250" t="s">
        <v>1612</v>
      </c>
      <c r="D989" s="205" t="s">
        <v>152</v>
      </c>
      <c r="E989" s="251">
        <v>247</v>
      </c>
      <c r="F989" s="252">
        <v>2.4660000000000002</v>
      </c>
      <c r="G989" s="251">
        <v>1.1000000000000001</v>
      </c>
      <c r="H989" s="251">
        <v>0.25</v>
      </c>
      <c r="I989" s="251"/>
      <c r="J989" s="253"/>
      <c r="K989" s="254">
        <f>IF(E989*F989*G989&lt;&gt;0,E989*F989*G989,IF(E989*F989&lt;&gt;0,E989*F989,IF(F989*G989&lt;&gt;0,F989*G989,IF(E989*G989&lt;&gt;0,E989*G989,IF(E989&lt;&gt;0,E989,IF(F989&lt;&gt;0,F989,IF(G989&lt;&gt;0,G989,0)))))))*(IF(H989&lt;&gt;0,H989,1))+I989-J989</f>
        <v>167.50305000000003</v>
      </c>
      <c r="L989" s="205"/>
    </row>
    <row r="990" spans="2:12">
      <c r="B990" s="249"/>
      <c r="C990" s="250"/>
      <c r="D990" s="205"/>
      <c r="E990" s="251"/>
      <c r="F990" s="252"/>
      <c r="G990" s="251"/>
      <c r="H990" s="251"/>
      <c r="I990" s="251"/>
      <c r="J990" s="253"/>
      <c r="K990" s="254"/>
      <c r="L990" s="205"/>
    </row>
    <row r="991" spans="2:12">
      <c r="B991" s="267"/>
      <c r="C991" s="205"/>
      <c r="D991" s="205"/>
      <c r="E991" s="251"/>
      <c r="F991" s="252"/>
      <c r="G991" s="251"/>
      <c r="H991" s="251"/>
      <c r="I991" s="251"/>
      <c r="J991" s="253"/>
      <c r="K991" s="254">
        <f>IF(E991*F991*G991&lt;&gt;0,E991*F991*G991,IF(E991*F991&lt;&gt;0,E991*F991,IF(F991*G991&lt;&gt;0,F991*G991,IF(E991*G991&lt;&gt;0,E991*G991,IF(E991&lt;&gt;0,E991,IF(F991&lt;&gt;0,F991,IF(G991&lt;&gt;0,G991,0)))))))*(IF(H991&lt;&gt;0,H991,1))+I991-J991</f>
        <v>0</v>
      </c>
      <c r="L991" s="205"/>
    </row>
    <row r="992" spans="2:12">
      <c r="B992" s="208"/>
      <c r="C992" s="204"/>
      <c r="D992" s="204"/>
      <c r="E992" s="204"/>
      <c r="F992" s="204"/>
      <c r="G992" s="204"/>
      <c r="H992" s="204"/>
      <c r="I992" s="556" t="s">
        <v>1221</v>
      </c>
      <c r="J992" s="556"/>
      <c r="K992" s="262">
        <f>SUM(K985:K991)</f>
        <v>2423.4368400000003</v>
      </c>
      <c r="L992" s="207"/>
    </row>
    <row r="993" spans="2:12">
      <c r="B993" s="208"/>
      <c r="C993" s="204"/>
      <c r="D993" s="204"/>
      <c r="E993" s="204"/>
      <c r="F993" s="204"/>
      <c r="G993" s="204"/>
      <c r="H993" s="209"/>
      <c r="I993" s="557" t="s">
        <v>1222</v>
      </c>
      <c r="J993" s="557"/>
      <c r="K993" s="221">
        <f>VLOOKUP(B983,'BM 004'!$B$27:$R$590,4,0)</f>
        <v>4513.3</v>
      </c>
      <c r="L993" s="207"/>
    </row>
    <row r="994" spans="2:12">
      <c r="B994" s="208"/>
      <c r="C994" s="204"/>
      <c r="D994" s="204"/>
      <c r="E994" s="204"/>
      <c r="F994" s="204"/>
      <c r="G994" s="204"/>
      <c r="H994" s="558" t="s">
        <v>1223</v>
      </c>
      <c r="I994" s="558"/>
      <c r="J994" s="558"/>
      <c r="K994" s="222">
        <v>2255.93379</v>
      </c>
      <c r="L994" s="207"/>
    </row>
    <row r="995" spans="2:12">
      <c r="B995" s="208"/>
      <c r="C995" s="204"/>
      <c r="D995" s="204"/>
      <c r="E995" s="204"/>
      <c r="F995" s="204"/>
      <c r="G995" s="204"/>
      <c r="H995" s="558" t="s">
        <v>1592</v>
      </c>
      <c r="I995" s="558"/>
      <c r="J995" s="558"/>
      <c r="K995" s="222">
        <f>TRUNC(SUMIF(C985:C991,H995,K985:K991),2)</f>
        <v>167.5</v>
      </c>
      <c r="L995" s="207"/>
    </row>
    <row r="996" spans="2:12">
      <c r="B996" s="213"/>
      <c r="C996" s="214"/>
      <c r="D996" s="214"/>
      <c r="E996" s="214"/>
      <c r="F996" s="214"/>
      <c r="G996" s="214"/>
      <c r="H996" s="559" t="s">
        <v>1224</v>
      </c>
      <c r="I996" s="559"/>
      <c r="J996" s="559"/>
      <c r="K996" s="223">
        <f>IF(K992&gt;K993,K992-K993,0)</f>
        <v>0</v>
      </c>
      <c r="L996" s="209"/>
    </row>
    <row r="998" spans="2:12">
      <c r="B998" s="247" t="s">
        <v>228</v>
      </c>
      <c r="C998" s="565" t="str">
        <f>VLOOKUP(B998,'BM 004'!$B$27:$R$590,2,0)</f>
        <v xml:space="preserve">Armação de pilar ou viga de uma estrutura convencional de concreto armado em um edifício de múltiplos pavimentos utilizando aço ca-50 de 25,0 mm - montagem. </v>
      </c>
      <c r="D998" s="565"/>
      <c r="E998" s="565"/>
      <c r="F998" s="565"/>
      <c r="G998" s="565"/>
      <c r="H998" s="565"/>
      <c r="I998" s="565"/>
      <c r="J998" s="565"/>
      <c r="K998" s="565"/>
      <c r="L998" s="565"/>
    </row>
    <row r="999" spans="2:12">
      <c r="B999" s="248" t="s">
        <v>1209</v>
      </c>
      <c r="C999" s="248"/>
      <c r="D999" s="248" t="s">
        <v>39</v>
      </c>
      <c r="E999" s="248" t="s">
        <v>1210</v>
      </c>
      <c r="F999" s="248" t="s">
        <v>1382</v>
      </c>
      <c r="G999" s="248" t="s">
        <v>1383</v>
      </c>
      <c r="H999" s="248" t="s">
        <v>1384</v>
      </c>
      <c r="I999" s="248" t="s">
        <v>1214</v>
      </c>
      <c r="J999" s="248" t="s">
        <v>1385</v>
      </c>
      <c r="K999" s="248" t="s">
        <v>1216</v>
      </c>
      <c r="L999" s="248" t="s">
        <v>1217</v>
      </c>
    </row>
    <row r="1000" spans="2:12">
      <c r="B1000" s="249" t="s">
        <v>1387</v>
      </c>
      <c r="C1000" s="250" t="s">
        <v>1333</v>
      </c>
      <c r="D1000" s="205" t="s">
        <v>152</v>
      </c>
      <c r="E1000" s="251">
        <v>928</v>
      </c>
      <c r="F1000" s="252">
        <v>3.8530000000000002</v>
      </c>
      <c r="G1000" s="251">
        <v>1.1000000000000001</v>
      </c>
      <c r="H1000" s="251">
        <v>0.55000000000000004</v>
      </c>
      <c r="I1000" s="251"/>
      <c r="J1000" s="253"/>
      <c r="K1000" s="254">
        <f t="shared" ref="K1000:K1006" si="34">IF(E1000*F1000*G1000&lt;&gt;0,E1000*F1000*G1000,IF(E1000*F1000&lt;&gt;0,E1000*F1000,IF(F1000*G1000&lt;&gt;0,F1000*G1000,IF(E1000*G1000&lt;&gt;0,E1000*G1000,IF(E1000&lt;&gt;0,E1000,IF(F1000&lt;&gt;0,F1000,IF(G1000&lt;&gt;0,G1000,0)))))))*(IF(H1000&lt;&gt;0,H1000,1))+I1000-J1000</f>
        <v>2163.2283200000006</v>
      </c>
      <c r="L1000" s="255"/>
    </row>
    <row r="1001" spans="2:12">
      <c r="B1001" s="249" t="s">
        <v>1480</v>
      </c>
      <c r="C1001" s="250" t="s">
        <v>1441</v>
      </c>
      <c r="D1001" s="205" t="s">
        <v>152</v>
      </c>
      <c r="E1001" s="251">
        <v>142</v>
      </c>
      <c r="F1001" s="252">
        <f>F1000</f>
        <v>3.8530000000000002</v>
      </c>
      <c r="G1001" s="251">
        <f>G1000</f>
        <v>1.1000000000000001</v>
      </c>
      <c r="H1001" s="251">
        <v>0.5</v>
      </c>
      <c r="I1001" s="251"/>
      <c r="J1001" s="253"/>
      <c r="K1001" s="254">
        <f t="shared" si="34"/>
        <v>300.91930000000002</v>
      </c>
      <c r="L1001" s="205"/>
    </row>
    <row r="1002" spans="2:12">
      <c r="B1002" s="249" t="s">
        <v>1555</v>
      </c>
      <c r="C1002" s="250" t="s">
        <v>1521</v>
      </c>
      <c r="D1002" s="205" t="s">
        <v>152</v>
      </c>
      <c r="E1002" s="251">
        <v>1728</v>
      </c>
      <c r="F1002" s="252">
        <f>F1001</f>
        <v>3.8530000000000002</v>
      </c>
      <c r="G1002" s="251">
        <f>G1001</f>
        <v>1.1000000000000001</v>
      </c>
      <c r="H1002" s="251">
        <v>0.3</v>
      </c>
      <c r="I1002" s="251"/>
      <c r="J1002" s="253"/>
      <c r="K1002" s="254">
        <f t="shared" si="34"/>
        <v>2197.13472</v>
      </c>
      <c r="L1002" s="205"/>
    </row>
    <row r="1003" spans="2:12">
      <c r="B1003" s="249" t="s">
        <v>1681</v>
      </c>
      <c r="C1003" s="250" t="s">
        <v>1611</v>
      </c>
      <c r="D1003" s="205" t="s">
        <v>152</v>
      </c>
      <c r="E1003" s="251">
        <v>653</v>
      </c>
      <c r="F1003" s="252">
        <v>3.8530000000000002</v>
      </c>
      <c r="G1003" s="251">
        <v>1.1000000000000001</v>
      </c>
      <c r="H1003" s="251">
        <v>0.3</v>
      </c>
      <c r="I1003" s="251"/>
      <c r="J1003" s="253"/>
      <c r="K1003" s="254">
        <f t="shared" si="34"/>
        <v>830.28297000000009</v>
      </c>
      <c r="L1003" s="205"/>
    </row>
    <row r="1004" spans="2:12">
      <c r="B1004" s="249" t="s">
        <v>1555</v>
      </c>
      <c r="C1004" s="250" t="s">
        <v>1612</v>
      </c>
      <c r="D1004" s="205" t="s">
        <v>152</v>
      </c>
      <c r="E1004" s="251">
        <v>1728</v>
      </c>
      <c r="F1004" s="252">
        <f>F1003</f>
        <v>3.8530000000000002</v>
      </c>
      <c r="G1004" s="251">
        <f>G1003</f>
        <v>1.1000000000000001</v>
      </c>
      <c r="H1004" s="251">
        <v>0.5</v>
      </c>
      <c r="I1004" s="251"/>
      <c r="J1004" s="253"/>
      <c r="K1004" s="254">
        <f t="shared" si="34"/>
        <v>3661.8912000000005</v>
      </c>
      <c r="L1004" s="205"/>
    </row>
    <row r="1005" spans="2:12">
      <c r="B1005" s="249" t="s">
        <v>1681</v>
      </c>
      <c r="C1005" s="250" t="s">
        <v>1612</v>
      </c>
      <c r="D1005" s="205" t="s">
        <v>152</v>
      </c>
      <c r="E1005" s="251">
        <v>653</v>
      </c>
      <c r="F1005" s="252">
        <v>3.8530000000000002</v>
      </c>
      <c r="G1005" s="251">
        <v>1.1000000000000001</v>
      </c>
      <c r="H1005" s="251">
        <v>0.1</v>
      </c>
      <c r="I1005" s="251"/>
      <c r="J1005" s="253"/>
      <c r="K1005" s="254">
        <f t="shared" si="34"/>
        <v>276.76099000000005</v>
      </c>
      <c r="L1005" s="205"/>
    </row>
    <row r="1006" spans="2:12">
      <c r="B1006" s="267"/>
      <c r="C1006" s="205"/>
      <c r="D1006" s="205"/>
      <c r="E1006" s="251"/>
      <c r="F1006" s="252"/>
      <c r="G1006" s="251"/>
      <c r="H1006" s="251"/>
      <c r="I1006" s="251"/>
      <c r="J1006" s="253"/>
      <c r="K1006" s="254">
        <f t="shared" si="34"/>
        <v>0</v>
      </c>
      <c r="L1006" s="205"/>
    </row>
    <row r="1007" spans="2:12">
      <c r="B1007" s="208"/>
      <c r="C1007" s="204"/>
      <c r="D1007" s="204"/>
      <c r="E1007" s="204"/>
      <c r="F1007" s="204"/>
      <c r="G1007" s="204"/>
      <c r="H1007" s="204"/>
      <c r="I1007" s="556" t="s">
        <v>1221</v>
      </c>
      <c r="J1007" s="556"/>
      <c r="K1007" s="262">
        <f>SUM(K1000:K1006)</f>
        <v>9430.2175000000025</v>
      </c>
      <c r="L1007" s="207"/>
    </row>
    <row r="1008" spans="2:12">
      <c r="B1008" s="208"/>
      <c r="C1008" s="204"/>
      <c r="D1008" s="204"/>
      <c r="E1008" s="204"/>
      <c r="F1008" s="204"/>
      <c r="G1008" s="204"/>
      <c r="H1008" s="209"/>
      <c r="I1008" s="557" t="s">
        <v>1222</v>
      </c>
      <c r="J1008" s="557"/>
      <c r="K1008" s="221">
        <f>VLOOKUP(B998,'BM 004'!$B$27:$R$590,4,0)</f>
        <v>14626.7</v>
      </c>
      <c r="L1008" s="207"/>
    </row>
    <row r="1009" spans="2:12">
      <c r="B1009" s="208"/>
      <c r="C1009" s="204"/>
      <c r="D1009" s="204"/>
      <c r="E1009" s="204"/>
      <c r="F1009" s="204"/>
      <c r="G1009" s="204"/>
      <c r="H1009" s="558" t="s">
        <v>1223</v>
      </c>
      <c r="I1009" s="558"/>
      <c r="J1009" s="558"/>
      <c r="K1009" s="222">
        <v>5491.56531</v>
      </c>
      <c r="L1009" s="207"/>
    </row>
    <row r="1010" spans="2:12">
      <c r="B1010" s="208"/>
      <c r="C1010" s="204"/>
      <c r="D1010" s="204"/>
      <c r="E1010" s="204"/>
      <c r="F1010" s="204"/>
      <c r="G1010" s="204"/>
      <c r="H1010" s="558" t="s">
        <v>1592</v>
      </c>
      <c r="I1010" s="558"/>
      <c r="J1010" s="558"/>
      <c r="K1010" s="222">
        <f>TRUNC(SUMIF(C1000:C1006,H1010,K1000:K1006),2)</f>
        <v>3938.65</v>
      </c>
      <c r="L1010" s="207"/>
    </row>
    <row r="1011" spans="2:12">
      <c r="B1011" s="213"/>
      <c r="C1011" s="214"/>
      <c r="D1011" s="214"/>
      <c r="E1011" s="214"/>
      <c r="F1011" s="214"/>
      <c r="G1011" s="214"/>
      <c r="H1011" s="559" t="s">
        <v>1224</v>
      </c>
      <c r="I1011" s="559"/>
      <c r="J1011" s="559"/>
      <c r="K1011" s="223">
        <f>IF(K1007&gt;K1008,K1007-K1008,0)</f>
        <v>0</v>
      </c>
      <c r="L1011" s="209"/>
    </row>
    <row r="1013" spans="2:12">
      <c r="B1013" s="247" t="s">
        <v>233</v>
      </c>
      <c r="C1013" s="565" t="str">
        <f>VLOOKUP(B1013,'BM 004'!$B$27:$R$590,2,0)</f>
        <v xml:space="preserve">Concreto simples usinado fck=35mpa, bombeado, lançado e adensado em superestrutura </v>
      </c>
      <c r="D1013" s="565"/>
      <c r="E1013" s="565"/>
      <c r="F1013" s="565"/>
      <c r="G1013" s="565"/>
      <c r="H1013" s="565"/>
      <c r="I1013" s="565"/>
      <c r="J1013" s="565"/>
      <c r="K1013" s="565"/>
      <c r="L1013" s="565"/>
    </row>
    <row r="1014" spans="2:12">
      <c r="B1014" s="248" t="s">
        <v>1209</v>
      </c>
      <c r="C1014" s="248"/>
      <c r="D1014" s="248" t="s">
        <v>39</v>
      </c>
      <c r="E1014" s="248" t="s">
        <v>1210</v>
      </c>
      <c r="F1014" s="248" t="s">
        <v>1388</v>
      </c>
      <c r="G1014" s="248" t="s">
        <v>1212</v>
      </c>
      <c r="H1014" s="248" t="s">
        <v>1213</v>
      </c>
      <c r="I1014" s="248" t="s">
        <v>1214</v>
      </c>
      <c r="J1014" s="248" t="s">
        <v>1385</v>
      </c>
      <c r="K1014" s="248" t="s">
        <v>1216</v>
      </c>
      <c r="L1014" s="248" t="s">
        <v>1217</v>
      </c>
    </row>
    <row r="1015" spans="2:12">
      <c r="B1015" s="249" t="s">
        <v>1389</v>
      </c>
      <c r="C1015" s="250" t="s">
        <v>1333</v>
      </c>
      <c r="D1015" s="205" t="s">
        <v>110</v>
      </c>
      <c r="E1015" s="199">
        <v>0.5</v>
      </c>
      <c r="F1015" s="199">
        <v>0.4</v>
      </c>
      <c r="G1015" s="199">
        <v>5.12</v>
      </c>
      <c r="H1015" s="199">
        <v>1</v>
      </c>
      <c r="I1015" s="199"/>
      <c r="J1015" s="253"/>
      <c r="K1015" s="254">
        <f t="shared" ref="K1015:K1046" si="35">IF(E1015*F1015*G1015&lt;&gt;0,E1015*F1015*G1015,IF(E1015*F1015&lt;&gt;0,E1015*F1015,IF(F1015*G1015&lt;&gt;0,F1015*G1015,IF(E1015*G1015&lt;&gt;0,E1015*G1015,IF(E1015&lt;&gt;0,E1015,IF(F1015&lt;&gt;0,F1015,IF(G1015&lt;&gt;0,G1015,0)))))))*(IF(H1015&lt;&gt;0,H1015,1))+I1015-J1015</f>
        <v>1.024</v>
      </c>
      <c r="L1015" s="255" t="s">
        <v>1556</v>
      </c>
    </row>
    <row r="1016" spans="2:12">
      <c r="B1016" s="256" t="s">
        <v>1390</v>
      </c>
      <c r="C1016" s="250" t="s">
        <v>1333</v>
      </c>
      <c r="D1016" s="205" t="s">
        <v>110</v>
      </c>
      <c r="E1016" s="261">
        <v>1</v>
      </c>
      <c r="F1016" s="261">
        <v>0.2</v>
      </c>
      <c r="G1016" s="261">
        <v>5.12</v>
      </c>
      <c r="H1016" s="261">
        <v>1</v>
      </c>
      <c r="I1016" s="261"/>
      <c r="J1016" s="259"/>
      <c r="K1016" s="260">
        <f t="shared" si="35"/>
        <v>1.024</v>
      </c>
      <c r="L1016" s="266" t="s">
        <v>1556</v>
      </c>
    </row>
    <row r="1017" spans="2:12">
      <c r="B1017" s="256" t="s">
        <v>1391</v>
      </c>
      <c r="C1017" s="250" t="s">
        <v>1333</v>
      </c>
      <c r="D1017" s="205" t="s">
        <v>110</v>
      </c>
      <c r="E1017" s="261">
        <v>1</v>
      </c>
      <c r="F1017" s="261">
        <v>0.2</v>
      </c>
      <c r="G1017" s="261">
        <v>5.12</v>
      </c>
      <c r="H1017" s="261">
        <v>1</v>
      </c>
      <c r="I1017" s="261"/>
      <c r="J1017" s="259"/>
      <c r="K1017" s="260">
        <f t="shared" si="35"/>
        <v>1.024</v>
      </c>
      <c r="L1017" s="266" t="s">
        <v>1556</v>
      </c>
    </row>
    <row r="1018" spans="2:12">
      <c r="B1018" s="256" t="s">
        <v>1392</v>
      </c>
      <c r="C1018" s="250" t="s">
        <v>1333</v>
      </c>
      <c r="D1018" s="205" t="s">
        <v>110</v>
      </c>
      <c r="E1018" s="261">
        <v>0.4</v>
      </c>
      <c r="F1018" s="261">
        <v>0.4</v>
      </c>
      <c r="G1018" s="261">
        <v>5.12</v>
      </c>
      <c r="H1018" s="261">
        <v>1</v>
      </c>
      <c r="I1018" s="261"/>
      <c r="J1018" s="259"/>
      <c r="K1018" s="260">
        <f t="shared" si="35"/>
        <v>0.81920000000000015</v>
      </c>
      <c r="L1018" s="266" t="s">
        <v>1556</v>
      </c>
    </row>
    <row r="1019" spans="2:12">
      <c r="B1019" s="256" t="s">
        <v>1393</v>
      </c>
      <c r="C1019" s="250" t="s">
        <v>1333</v>
      </c>
      <c r="D1019" s="205" t="s">
        <v>110</v>
      </c>
      <c r="E1019" s="261">
        <v>0.3</v>
      </c>
      <c r="F1019" s="261">
        <v>0.3</v>
      </c>
      <c r="G1019" s="261">
        <v>5.12</v>
      </c>
      <c r="H1019" s="261">
        <v>1</v>
      </c>
      <c r="I1019" s="261"/>
      <c r="J1019" s="259"/>
      <c r="K1019" s="260">
        <f t="shared" si="35"/>
        <v>0.46079999999999999</v>
      </c>
      <c r="L1019" s="266" t="s">
        <v>1556</v>
      </c>
    </row>
    <row r="1020" spans="2:12">
      <c r="B1020" s="256" t="s">
        <v>1394</v>
      </c>
      <c r="C1020" s="250" t="s">
        <v>1333</v>
      </c>
      <c r="D1020" s="205" t="s">
        <v>110</v>
      </c>
      <c r="E1020" s="261">
        <v>0.4</v>
      </c>
      <c r="F1020" s="261">
        <v>0.4</v>
      </c>
      <c r="G1020" s="261">
        <v>5.12</v>
      </c>
      <c r="H1020" s="261">
        <v>1</v>
      </c>
      <c r="I1020" s="261"/>
      <c r="J1020" s="259"/>
      <c r="K1020" s="260">
        <f t="shared" si="35"/>
        <v>0.81920000000000015</v>
      </c>
      <c r="L1020" s="266" t="s">
        <v>1556</v>
      </c>
    </row>
    <row r="1021" spans="2:12">
      <c r="B1021" s="256" t="s">
        <v>1395</v>
      </c>
      <c r="C1021" s="250" t="s">
        <v>1333</v>
      </c>
      <c r="D1021" s="205" t="s">
        <v>110</v>
      </c>
      <c r="E1021" s="199">
        <v>0.5</v>
      </c>
      <c r="F1021" s="199">
        <v>0.4</v>
      </c>
      <c r="G1021" s="261">
        <v>5.12</v>
      </c>
      <c r="H1021" s="261">
        <v>1</v>
      </c>
      <c r="I1021" s="261"/>
      <c r="J1021" s="259"/>
      <c r="K1021" s="260">
        <f t="shared" si="35"/>
        <v>1.024</v>
      </c>
      <c r="L1021" s="266" t="s">
        <v>1556</v>
      </c>
    </row>
    <row r="1022" spans="2:12">
      <c r="B1022" s="256" t="s">
        <v>1396</v>
      </c>
      <c r="C1022" s="250" t="s">
        <v>1333</v>
      </c>
      <c r="D1022" s="205" t="s">
        <v>110</v>
      </c>
      <c r="E1022" s="199">
        <v>0.5</v>
      </c>
      <c r="F1022" s="199">
        <v>0.4</v>
      </c>
      <c r="G1022" s="261">
        <v>5.12</v>
      </c>
      <c r="H1022" s="261">
        <v>1</v>
      </c>
      <c r="I1022" s="261"/>
      <c r="J1022" s="259"/>
      <c r="K1022" s="260">
        <f t="shared" si="35"/>
        <v>1.024</v>
      </c>
      <c r="L1022" s="266" t="s">
        <v>1556</v>
      </c>
    </row>
    <row r="1023" spans="2:12">
      <c r="B1023" s="256" t="s">
        <v>1397</v>
      </c>
      <c r="C1023" s="250" t="s">
        <v>1333</v>
      </c>
      <c r="D1023" s="205" t="s">
        <v>110</v>
      </c>
      <c r="E1023" s="261">
        <v>1</v>
      </c>
      <c r="F1023" s="261">
        <v>0.2</v>
      </c>
      <c r="G1023" s="261">
        <v>5.12</v>
      </c>
      <c r="H1023" s="261">
        <v>1</v>
      </c>
      <c r="I1023" s="261"/>
      <c r="J1023" s="259"/>
      <c r="K1023" s="260">
        <f t="shared" si="35"/>
        <v>1.024</v>
      </c>
      <c r="L1023" s="266" t="s">
        <v>1556</v>
      </c>
    </row>
    <row r="1024" spans="2:12">
      <c r="B1024" s="256" t="s">
        <v>1398</v>
      </c>
      <c r="C1024" s="250" t="s">
        <v>1333</v>
      </c>
      <c r="D1024" s="205" t="s">
        <v>110</v>
      </c>
      <c r="E1024" s="261">
        <v>0.3</v>
      </c>
      <c r="F1024" s="261">
        <v>0.3</v>
      </c>
      <c r="G1024" s="261">
        <v>5.12</v>
      </c>
      <c r="H1024" s="261">
        <v>1</v>
      </c>
      <c r="I1024" s="261"/>
      <c r="J1024" s="259"/>
      <c r="K1024" s="260">
        <f t="shared" si="35"/>
        <v>0.46079999999999999</v>
      </c>
      <c r="L1024" s="266" t="s">
        <v>1556</v>
      </c>
    </row>
    <row r="1025" spans="2:12">
      <c r="B1025" s="256" t="s">
        <v>1399</v>
      </c>
      <c r="C1025" s="250" t="s">
        <v>1333</v>
      </c>
      <c r="D1025" s="205" t="s">
        <v>110</v>
      </c>
      <c r="E1025" s="261">
        <v>0.4</v>
      </c>
      <c r="F1025" s="261">
        <v>0.4</v>
      </c>
      <c r="G1025" s="261">
        <v>5.12</v>
      </c>
      <c r="H1025" s="261">
        <v>1</v>
      </c>
      <c r="I1025" s="261"/>
      <c r="J1025" s="259"/>
      <c r="K1025" s="260">
        <f t="shared" si="35"/>
        <v>0.81920000000000015</v>
      </c>
      <c r="L1025" s="266" t="s">
        <v>1556</v>
      </c>
    </row>
    <row r="1026" spans="2:12">
      <c r="B1026" s="256" t="s">
        <v>1400</v>
      </c>
      <c r="C1026" s="250" t="s">
        <v>1333</v>
      </c>
      <c r="D1026" s="205" t="s">
        <v>110</v>
      </c>
      <c r="E1026" s="199">
        <v>0.5</v>
      </c>
      <c r="F1026" s="199">
        <v>0.4</v>
      </c>
      <c r="G1026" s="261">
        <v>5.12</v>
      </c>
      <c r="H1026" s="261">
        <v>1</v>
      </c>
      <c r="I1026" s="261"/>
      <c r="J1026" s="259"/>
      <c r="K1026" s="260">
        <f t="shared" si="35"/>
        <v>1.024</v>
      </c>
      <c r="L1026" s="266" t="s">
        <v>1556</v>
      </c>
    </row>
    <row r="1027" spans="2:12">
      <c r="B1027" s="256" t="s">
        <v>1401</v>
      </c>
      <c r="C1027" s="250" t="s">
        <v>1333</v>
      </c>
      <c r="D1027" s="205" t="s">
        <v>110</v>
      </c>
      <c r="E1027" s="199">
        <v>0.5</v>
      </c>
      <c r="F1027" s="199">
        <v>0.4</v>
      </c>
      <c r="G1027" s="261">
        <v>5.12</v>
      </c>
      <c r="H1027" s="261">
        <v>1</v>
      </c>
      <c r="I1027" s="261"/>
      <c r="J1027" s="259"/>
      <c r="K1027" s="260">
        <f t="shared" si="35"/>
        <v>1.024</v>
      </c>
      <c r="L1027" s="266" t="s">
        <v>1556</v>
      </c>
    </row>
    <row r="1028" spans="2:12">
      <c r="B1028" s="256" t="s">
        <v>1402</v>
      </c>
      <c r="C1028" s="250" t="s">
        <v>1333</v>
      </c>
      <c r="D1028" s="205" t="s">
        <v>110</v>
      </c>
      <c r="E1028" s="261">
        <v>1</v>
      </c>
      <c r="F1028" s="261">
        <v>0.2</v>
      </c>
      <c r="G1028" s="261">
        <v>5.12</v>
      </c>
      <c r="H1028" s="261">
        <v>1</v>
      </c>
      <c r="I1028" s="261"/>
      <c r="J1028" s="259"/>
      <c r="K1028" s="260">
        <f t="shared" si="35"/>
        <v>1.024</v>
      </c>
      <c r="L1028" s="266" t="s">
        <v>1556</v>
      </c>
    </row>
    <row r="1029" spans="2:12">
      <c r="B1029" s="256" t="s">
        <v>1403</v>
      </c>
      <c r="C1029" s="250" t="s">
        <v>1333</v>
      </c>
      <c r="D1029" s="205" t="s">
        <v>110</v>
      </c>
      <c r="E1029" s="261">
        <v>0.3</v>
      </c>
      <c r="F1029" s="261">
        <v>0.3</v>
      </c>
      <c r="G1029" s="261">
        <v>5.12</v>
      </c>
      <c r="H1029" s="261">
        <v>1</v>
      </c>
      <c r="I1029" s="261"/>
      <c r="J1029" s="259"/>
      <c r="K1029" s="260">
        <f t="shared" si="35"/>
        <v>0.46079999999999999</v>
      </c>
      <c r="L1029" s="266" t="s">
        <v>1556</v>
      </c>
    </row>
    <row r="1030" spans="2:12">
      <c r="B1030" s="256" t="s">
        <v>1404</v>
      </c>
      <c r="C1030" s="250" t="s">
        <v>1333</v>
      </c>
      <c r="D1030" s="205" t="s">
        <v>110</v>
      </c>
      <c r="E1030" s="261">
        <v>0.6</v>
      </c>
      <c r="F1030" s="261">
        <v>0.2</v>
      </c>
      <c r="G1030" s="261">
        <v>5.12</v>
      </c>
      <c r="H1030" s="261">
        <v>1</v>
      </c>
      <c r="I1030" s="261"/>
      <c r="J1030" s="259"/>
      <c r="K1030" s="260">
        <f t="shared" si="35"/>
        <v>0.61439999999999995</v>
      </c>
      <c r="L1030" s="266" t="s">
        <v>1556</v>
      </c>
    </row>
    <row r="1031" spans="2:12">
      <c r="B1031" s="256" t="s">
        <v>1405</v>
      </c>
      <c r="C1031" s="250" t="s">
        <v>1333</v>
      </c>
      <c r="D1031" s="205" t="s">
        <v>110</v>
      </c>
      <c r="E1031" s="261">
        <v>0.6</v>
      </c>
      <c r="F1031" s="261">
        <v>0.2</v>
      </c>
      <c r="G1031" s="261">
        <v>5.12</v>
      </c>
      <c r="H1031" s="261">
        <v>1</v>
      </c>
      <c r="I1031" s="261"/>
      <c r="J1031" s="259"/>
      <c r="K1031" s="260">
        <f t="shared" si="35"/>
        <v>0.61439999999999995</v>
      </c>
      <c r="L1031" s="266" t="s">
        <v>1556</v>
      </c>
    </row>
    <row r="1032" spans="2:12">
      <c r="B1032" s="256" t="s">
        <v>1406</v>
      </c>
      <c r="C1032" s="250" t="s">
        <v>1333</v>
      </c>
      <c r="D1032" s="205" t="s">
        <v>110</v>
      </c>
      <c r="E1032" s="261">
        <v>0.4</v>
      </c>
      <c r="F1032" s="261">
        <v>0.4</v>
      </c>
      <c r="G1032" s="261">
        <v>5.12</v>
      </c>
      <c r="H1032" s="261">
        <v>1</v>
      </c>
      <c r="I1032" s="261"/>
      <c r="J1032" s="259"/>
      <c r="K1032" s="260">
        <f t="shared" si="35"/>
        <v>0.81920000000000015</v>
      </c>
      <c r="L1032" s="266" t="s">
        <v>1556</v>
      </c>
    </row>
    <row r="1033" spans="2:12">
      <c r="B1033" s="256" t="s">
        <v>1407</v>
      </c>
      <c r="C1033" s="250" t="s">
        <v>1333</v>
      </c>
      <c r="D1033" s="205" t="s">
        <v>110</v>
      </c>
      <c r="E1033" s="199">
        <v>0.5</v>
      </c>
      <c r="F1033" s="199">
        <v>0.4</v>
      </c>
      <c r="G1033" s="261">
        <v>5.12</v>
      </c>
      <c r="H1033" s="261">
        <v>1</v>
      </c>
      <c r="I1033" s="261"/>
      <c r="J1033" s="259"/>
      <c r="K1033" s="260">
        <f t="shared" si="35"/>
        <v>1.024</v>
      </c>
      <c r="L1033" s="266" t="s">
        <v>1556</v>
      </c>
    </row>
    <row r="1034" spans="2:12">
      <c r="B1034" s="256" t="s">
        <v>1408</v>
      </c>
      <c r="C1034" s="250" t="s">
        <v>1333</v>
      </c>
      <c r="D1034" s="205" t="s">
        <v>110</v>
      </c>
      <c r="E1034" s="261">
        <v>0.5</v>
      </c>
      <c r="F1034" s="261">
        <v>0.4</v>
      </c>
      <c r="G1034" s="261">
        <v>5.12</v>
      </c>
      <c r="H1034" s="261">
        <v>1</v>
      </c>
      <c r="I1034" s="261"/>
      <c r="J1034" s="259"/>
      <c r="K1034" s="260">
        <f t="shared" si="35"/>
        <v>1.024</v>
      </c>
      <c r="L1034" s="266" t="s">
        <v>1556</v>
      </c>
    </row>
    <row r="1035" spans="2:12">
      <c r="B1035" s="256" t="s">
        <v>1409</v>
      </c>
      <c r="C1035" s="250" t="s">
        <v>1333</v>
      </c>
      <c r="D1035" s="205" t="s">
        <v>110</v>
      </c>
      <c r="E1035" s="261">
        <v>1</v>
      </c>
      <c r="F1035" s="261">
        <v>0.2</v>
      </c>
      <c r="G1035" s="261">
        <v>5.12</v>
      </c>
      <c r="H1035" s="261">
        <v>1</v>
      </c>
      <c r="I1035" s="261"/>
      <c r="J1035" s="259"/>
      <c r="K1035" s="260">
        <f t="shared" si="35"/>
        <v>1.024</v>
      </c>
      <c r="L1035" s="266" t="s">
        <v>1556</v>
      </c>
    </row>
    <row r="1036" spans="2:12">
      <c r="B1036" s="256" t="s">
        <v>1410</v>
      </c>
      <c r="C1036" s="250" t="s">
        <v>1333</v>
      </c>
      <c r="D1036" s="205" t="s">
        <v>110</v>
      </c>
      <c r="E1036" s="261">
        <v>0.45</v>
      </c>
      <c r="F1036" s="261">
        <v>0.3</v>
      </c>
      <c r="G1036" s="261">
        <v>5.12</v>
      </c>
      <c r="H1036" s="261">
        <v>1</v>
      </c>
      <c r="I1036" s="261"/>
      <c r="J1036" s="259"/>
      <c r="K1036" s="260">
        <f t="shared" si="35"/>
        <v>0.69120000000000004</v>
      </c>
      <c r="L1036" s="266" t="s">
        <v>1556</v>
      </c>
    </row>
    <row r="1037" spans="2:12">
      <c r="B1037" s="256" t="s">
        <v>1411</v>
      </c>
      <c r="C1037" s="250" t="s">
        <v>1333</v>
      </c>
      <c r="D1037" s="205" t="s">
        <v>110</v>
      </c>
      <c r="E1037" s="261">
        <v>0.45</v>
      </c>
      <c r="F1037" s="261">
        <v>0.3</v>
      </c>
      <c r="G1037" s="261">
        <v>5.12</v>
      </c>
      <c r="H1037" s="261">
        <v>1</v>
      </c>
      <c r="I1037" s="261"/>
      <c r="J1037" s="259"/>
      <c r="K1037" s="260">
        <f t="shared" si="35"/>
        <v>0.69120000000000004</v>
      </c>
      <c r="L1037" s="266" t="s">
        <v>1556</v>
      </c>
    </row>
    <row r="1038" spans="2:12">
      <c r="B1038" s="256" t="s">
        <v>1412</v>
      </c>
      <c r="C1038" s="250" t="s">
        <v>1333</v>
      </c>
      <c r="D1038" s="205" t="s">
        <v>110</v>
      </c>
      <c r="E1038" s="261">
        <v>0.55000000000000004</v>
      </c>
      <c r="F1038" s="261">
        <v>0.3</v>
      </c>
      <c r="G1038" s="261">
        <v>5.12</v>
      </c>
      <c r="H1038" s="261">
        <v>1</v>
      </c>
      <c r="I1038" s="261"/>
      <c r="J1038" s="259"/>
      <c r="K1038" s="260">
        <f t="shared" si="35"/>
        <v>0.84480000000000011</v>
      </c>
      <c r="L1038" s="266" t="s">
        <v>1556</v>
      </c>
    </row>
    <row r="1039" spans="2:12">
      <c r="B1039" s="256" t="s">
        <v>1413</v>
      </c>
      <c r="C1039" s="250" t="s">
        <v>1333</v>
      </c>
      <c r="D1039" s="205" t="s">
        <v>110</v>
      </c>
      <c r="E1039" s="261">
        <v>0.55000000000000004</v>
      </c>
      <c r="F1039" s="261">
        <v>0.3</v>
      </c>
      <c r="G1039" s="261">
        <v>5.12</v>
      </c>
      <c r="H1039" s="261">
        <v>1</v>
      </c>
      <c r="I1039" s="261"/>
      <c r="J1039" s="259"/>
      <c r="K1039" s="260">
        <f t="shared" si="35"/>
        <v>0.84480000000000011</v>
      </c>
      <c r="L1039" s="266" t="s">
        <v>1556</v>
      </c>
    </row>
    <row r="1040" spans="2:12">
      <c r="B1040" s="256" t="s">
        <v>1414</v>
      </c>
      <c r="C1040" s="250" t="s">
        <v>1333</v>
      </c>
      <c r="D1040" s="205" t="s">
        <v>110</v>
      </c>
      <c r="E1040" s="261">
        <v>0.55000000000000004</v>
      </c>
      <c r="F1040" s="261">
        <v>0.3</v>
      </c>
      <c r="G1040" s="261">
        <v>5.12</v>
      </c>
      <c r="H1040" s="261">
        <v>1</v>
      </c>
      <c r="I1040" s="261"/>
      <c r="J1040" s="259"/>
      <c r="K1040" s="260">
        <f t="shared" si="35"/>
        <v>0.84480000000000011</v>
      </c>
      <c r="L1040" s="266" t="s">
        <v>1556</v>
      </c>
    </row>
    <row r="1041" spans="2:12">
      <c r="B1041" s="256" t="s">
        <v>1415</v>
      </c>
      <c r="C1041" s="250" t="s">
        <v>1333</v>
      </c>
      <c r="D1041" s="205" t="s">
        <v>110</v>
      </c>
      <c r="E1041" s="261">
        <v>0.55000000000000004</v>
      </c>
      <c r="F1041" s="261">
        <v>0.3</v>
      </c>
      <c r="G1041" s="261">
        <v>5.12</v>
      </c>
      <c r="H1041" s="261">
        <v>1</v>
      </c>
      <c r="I1041" s="261"/>
      <c r="J1041" s="259"/>
      <c r="K1041" s="260">
        <f t="shared" si="35"/>
        <v>0.84480000000000011</v>
      </c>
      <c r="L1041" s="266" t="s">
        <v>1556</v>
      </c>
    </row>
    <row r="1042" spans="2:12">
      <c r="B1042" s="256" t="s">
        <v>1416</v>
      </c>
      <c r="C1042" s="250" t="s">
        <v>1333</v>
      </c>
      <c r="D1042" s="205" t="s">
        <v>110</v>
      </c>
      <c r="E1042" s="261">
        <v>0.45</v>
      </c>
      <c r="F1042" s="261">
        <v>0.3</v>
      </c>
      <c r="G1042" s="261">
        <v>5.12</v>
      </c>
      <c r="H1042" s="261">
        <v>1</v>
      </c>
      <c r="I1042" s="261"/>
      <c r="J1042" s="259"/>
      <c r="K1042" s="260">
        <f t="shared" si="35"/>
        <v>0.69120000000000004</v>
      </c>
      <c r="L1042" s="266" t="s">
        <v>1556</v>
      </c>
    </row>
    <row r="1043" spans="2:12">
      <c r="B1043" s="256" t="s">
        <v>1417</v>
      </c>
      <c r="C1043" s="250" t="s">
        <v>1333</v>
      </c>
      <c r="D1043" s="205" t="s">
        <v>110</v>
      </c>
      <c r="E1043" s="261">
        <v>0.45</v>
      </c>
      <c r="F1043" s="261">
        <v>0.3</v>
      </c>
      <c r="G1043" s="261">
        <v>5.12</v>
      </c>
      <c r="H1043" s="261">
        <v>1</v>
      </c>
      <c r="I1043" s="261"/>
      <c r="J1043" s="259"/>
      <c r="K1043" s="260">
        <f t="shared" si="35"/>
        <v>0.69120000000000004</v>
      </c>
      <c r="L1043" s="266" t="s">
        <v>1556</v>
      </c>
    </row>
    <row r="1044" spans="2:12">
      <c r="B1044" s="256" t="s">
        <v>1418</v>
      </c>
      <c r="C1044" s="250" t="s">
        <v>1333</v>
      </c>
      <c r="D1044" s="205" t="s">
        <v>110</v>
      </c>
      <c r="E1044" s="261">
        <v>0.8</v>
      </c>
      <c r="F1044" s="261">
        <v>0.2</v>
      </c>
      <c r="G1044" s="261">
        <v>5.12</v>
      </c>
      <c r="H1044" s="261">
        <v>1</v>
      </c>
      <c r="I1044" s="261"/>
      <c r="J1044" s="259"/>
      <c r="K1044" s="260">
        <f t="shared" si="35"/>
        <v>0.81920000000000015</v>
      </c>
      <c r="L1044" s="266" t="s">
        <v>1556</v>
      </c>
    </row>
    <row r="1045" spans="2:12">
      <c r="B1045" s="256" t="s">
        <v>1419</v>
      </c>
      <c r="C1045" s="250" t="s">
        <v>1333</v>
      </c>
      <c r="D1045" s="205" t="s">
        <v>110</v>
      </c>
      <c r="E1045" s="261">
        <v>0.8</v>
      </c>
      <c r="F1045" s="261">
        <v>0.2</v>
      </c>
      <c r="G1045" s="261">
        <v>6.62</v>
      </c>
      <c r="H1045" s="261">
        <v>1</v>
      </c>
      <c r="I1045" s="261"/>
      <c r="J1045" s="259"/>
      <c r="K1045" s="260">
        <f t="shared" si="35"/>
        <v>1.0592000000000001</v>
      </c>
      <c r="L1045" s="266" t="s">
        <v>1556</v>
      </c>
    </row>
    <row r="1046" spans="2:12">
      <c r="B1046" s="256" t="s">
        <v>1420</v>
      </c>
      <c r="C1046" s="250" t="s">
        <v>1333</v>
      </c>
      <c r="D1046" s="205" t="s">
        <v>110</v>
      </c>
      <c r="E1046" s="261">
        <v>0.8</v>
      </c>
      <c r="F1046" s="261">
        <v>0.3</v>
      </c>
      <c r="G1046" s="261">
        <v>6.62</v>
      </c>
      <c r="H1046" s="261">
        <v>1</v>
      </c>
      <c r="I1046" s="261"/>
      <c r="J1046" s="259"/>
      <c r="K1046" s="260">
        <f t="shared" si="35"/>
        <v>1.5888</v>
      </c>
      <c r="L1046" s="266" t="s">
        <v>1556</v>
      </c>
    </row>
    <row r="1047" spans="2:12">
      <c r="B1047" s="256" t="s">
        <v>1421</v>
      </c>
      <c r="C1047" s="250" t="s">
        <v>1333</v>
      </c>
      <c r="D1047" s="205" t="s">
        <v>110</v>
      </c>
      <c r="E1047" s="261">
        <v>0.8</v>
      </c>
      <c r="F1047" s="261">
        <v>0.2</v>
      </c>
      <c r="G1047" s="261">
        <v>6.62</v>
      </c>
      <c r="H1047" s="261">
        <v>1</v>
      </c>
      <c r="I1047" s="261"/>
      <c r="J1047" s="259"/>
      <c r="K1047" s="260">
        <f t="shared" ref="K1047:K1078" si="36">IF(E1047*F1047*G1047&lt;&gt;0,E1047*F1047*G1047,IF(E1047*F1047&lt;&gt;0,E1047*F1047,IF(F1047*G1047&lt;&gt;0,F1047*G1047,IF(E1047*G1047&lt;&gt;0,E1047*G1047,IF(E1047&lt;&gt;0,E1047,IF(F1047&lt;&gt;0,F1047,IF(G1047&lt;&gt;0,G1047,0)))))))*(IF(H1047&lt;&gt;0,H1047,1))+I1047-J1047</f>
        <v>1.0592000000000001</v>
      </c>
      <c r="L1047" s="266" t="s">
        <v>1556</v>
      </c>
    </row>
    <row r="1048" spans="2:12">
      <c r="B1048" s="256" t="s">
        <v>1422</v>
      </c>
      <c r="C1048" s="250" t="s">
        <v>1333</v>
      </c>
      <c r="D1048" s="205" t="s">
        <v>110</v>
      </c>
      <c r="E1048" s="261">
        <v>0.8</v>
      </c>
      <c r="F1048" s="261">
        <v>0.3</v>
      </c>
      <c r="G1048" s="261">
        <v>6.62</v>
      </c>
      <c r="H1048" s="261">
        <v>1</v>
      </c>
      <c r="I1048" s="261"/>
      <c r="J1048" s="259"/>
      <c r="K1048" s="260">
        <f t="shared" si="36"/>
        <v>1.5888</v>
      </c>
      <c r="L1048" s="266" t="s">
        <v>1556</v>
      </c>
    </row>
    <row r="1049" spans="2:12">
      <c r="B1049" s="256" t="s">
        <v>1423</v>
      </c>
      <c r="C1049" s="250" t="s">
        <v>1333</v>
      </c>
      <c r="D1049" s="205" t="s">
        <v>110</v>
      </c>
      <c r="E1049" s="261">
        <v>0.7</v>
      </c>
      <c r="F1049" s="261">
        <v>0.4</v>
      </c>
      <c r="G1049" s="261">
        <v>5.12</v>
      </c>
      <c r="H1049" s="261">
        <v>1</v>
      </c>
      <c r="I1049" s="261"/>
      <c r="J1049" s="259"/>
      <c r="K1049" s="260">
        <f t="shared" si="36"/>
        <v>1.4336</v>
      </c>
      <c r="L1049" s="266" t="s">
        <v>1556</v>
      </c>
    </row>
    <row r="1050" spans="2:12">
      <c r="B1050" s="256" t="s">
        <v>1424</v>
      </c>
      <c r="C1050" s="250" t="s">
        <v>1333</v>
      </c>
      <c r="D1050" s="205" t="s">
        <v>110</v>
      </c>
      <c r="E1050" s="261">
        <v>0.7</v>
      </c>
      <c r="F1050" s="261">
        <v>0.5</v>
      </c>
      <c r="G1050" s="261">
        <v>5.12</v>
      </c>
      <c r="H1050" s="261">
        <v>1</v>
      </c>
      <c r="I1050" s="261"/>
      <c r="J1050" s="259"/>
      <c r="K1050" s="260">
        <f t="shared" si="36"/>
        <v>1.7919999999999998</v>
      </c>
      <c r="L1050" s="266" t="s">
        <v>1556</v>
      </c>
    </row>
    <row r="1051" spans="2:12">
      <c r="B1051" s="256" t="s">
        <v>1425</v>
      </c>
      <c r="C1051" s="250" t="s">
        <v>1333</v>
      </c>
      <c r="D1051" s="205" t="s">
        <v>110</v>
      </c>
      <c r="E1051" s="261">
        <v>0.7</v>
      </c>
      <c r="F1051" s="261">
        <v>0.5</v>
      </c>
      <c r="G1051" s="261">
        <v>5.12</v>
      </c>
      <c r="H1051" s="261">
        <v>1</v>
      </c>
      <c r="I1051" s="261"/>
      <c r="J1051" s="259"/>
      <c r="K1051" s="260">
        <f t="shared" si="36"/>
        <v>1.7919999999999998</v>
      </c>
      <c r="L1051" s="266" t="s">
        <v>1556</v>
      </c>
    </row>
    <row r="1052" spans="2:12">
      <c r="B1052" s="256" t="s">
        <v>1426</v>
      </c>
      <c r="C1052" s="250" t="s">
        <v>1333</v>
      </c>
      <c r="D1052" s="205" t="s">
        <v>110</v>
      </c>
      <c r="E1052" s="261">
        <v>0.5</v>
      </c>
      <c r="F1052" s="261">
        <v>0.4</v>
      </c>
      <c r="G1052" s="261">
        <v>5.12</v>
      </c>
      <c r="H1052" s="261">
        <v>1</v>
      </c>
      <c r="I1052" s="261"/>
      <c r="J1052" s="259"/>
      <c r="K1052" s="260">
        <f t="shared" si="36"/>
        <v>1.024</v>
      </c>
      <c r="L1052" s="266" t="s">
        <v>1556</v>
      </c>
    </row>
    <row r="1053" spans="2:12">
      <c r="B1053" s="256" t="s">
        <v>1481</v>
      </c>
      <c r="C1053" s="250" t="s">
        <v>1441</v>
      </c>
      <c r="D1053" s="205" t="s">
        <v>110</v>
      </c>
      <c r="E1053" s="261">
        <v>0.25</v>
      </c>
      <c r="F1053" s="261">
        <v>0.4</v>
      </c>
      <c r="G1053" s="261">
        <v>5.12</v>
      </c>
      <c r="H1053" s="261">
        <v>1</v>
      </c>
      <c r="I1053" s="261"/>
      <c r="J1053" s="259"/>
      <c r="K1053" s="260">
        <f t="shared" si="36"/>
        <v>0.51200000000000001</v>
      </c>
      <c r="L1053" s="266" t="s">
        <v>1556</v>
      </c>
    </row>
    <row r="1054" spans="2:12">
      <c r="B1054" s="256" t="s">
        <v>1482</v>
      </c>
      <c r="C1054" s="250" t="s">
        <v>1441</v>
      </c>
      <c r="D1054" s="205" t="s">
        <v>110</v>
      </c>
      <c r="E1054" s="261">
        <v>0.3</v>
      </c>
      <c r="F1054" s="261">
        <v>0.3</v>
      </c>
      <c r="G1054" s="261">
        <v>5.12</v>
      </c>
      <c r="H1054" s="261">
        <v>1</v>
      </c>
      <c r="I1054" s="261"/>
      <c r="J1054" s="259"/>
      <c r="K1054" s="260">
        <f t="shared" si="36"/>
        <v>0.46079999999999999</v>
      </c>
      <c r="L1054" s="266" t="s">
        <v>1556</v>
      </c>
    </row>
    <row r="1055" spans="2:12">
      <c r="B1055" s="256" t="s">
        <v>1483</v>
      </c>
      <c r="C1055" s="250" t="s">
        <v>1441</v>
      </c>
      <c r="D1055" s="205" t="s">
        <v>110</v>
      </c>
      <c r="E1055" s="261">
        <v>0.3</v>
      </c>
      <c r="F1055" s="261">
        <v>0.3</v>
      </c>
      <c r="G1055" s="261">
        <v>5.12</v>
      </c>
      <c r="H1055" s="261">
        <v>1</v>
      </c>
      <c r="I1055" s="261"/>
      <c r="J1055" s="259"/>
      <c r="K1055" s="260">
        <f t="shared" si="36"/>
        <v>0.46079999999999999</v>
      </c>
      <c r="L1055" s="266" t="s">
        <v>1556</v>
      </c>
    </row>
    <row r="1056" spans="2:12">
      <c r="B1056" s="256" t="s">
        <v>1484</v>
      </c>
      <c r="C1056" s="250" t="s">
        <v>1441</v>
      </c>
      <c r="D1056" s="205" t="s">
        <v>110</v>
      </c>
      <c r="E1056" s="261">
        <v>0.4</v>
      </c>
      <c r="F1056" s="261">
        <v>0.4</v>
      </c>
      <c r="G1056" s="261">
        <v>5.12</v>
      </c>
      <c r="H1056" s="261">
        <v>1</v>
      </c>
      <c r="I1056" s="261"/>
      <c r="J1056" s="259"/>
      <c r="K1056" s="260">
        <f t="shared" si="36"/>
        <v>0.81920000000000015</v>
      </c>
      <c r="L1056" s="266" t="s">
        <v>1556</v>
      </c>
    </row>
    <row r="1057" spans="2:12">
      <c r="B1057" s="256" t="s">
        <v>1485</v>
      </c>
      <c r="C1057" s="250" t="s">
        <v>1441</v>
      </c>
      <c r="D1057" s="205" t="s">
        <v>110</v>
      </c>
      <c r="E1057" s="261">
        <v>0.4</v>
      </c>
      <c r="F1057" s="261">
        <v>0.6</v>
      </c>
      <c r="G1057" s="261">
        <v>5.12</v>
      </c>
      <c r="H1057" s="261">
        <v>1</v>
      </c>
      <c r="I1057" s="261"/>
      <c r="J1057" s="259"/>
      <c r="K1057" s="260">
        <f t="shared" si="36"/>
        <v>1.2287999999999999</v>
      </c>
      <c r="L1057" s="266" t="s">
        <v>1556</v>
      </c>
    </row>
    <row r="1058" spans="2:12">
      <c r="B1058" s="256" t="s">
        <v>1486</v>
      </c>
      <c r="C1058" s="250" t="s">
        <v>1441</v>
      </c>
      <c r="D1058" s="205" t="s">
        <v>110</v>
      </c>
      <c r="E1058" s="261">
        <v>0.2</v>
      </c>
      <c r="F1058" s="261">
        <v>2.94</v>
      </c>
      <c r="G1058" s="261">
        <f>5.12+2</f>
        <v>7.12</v>
      </c>
      <c r="H1058" s="261">
        <v>1</v>
      </c>
      <c r="I1058" s="261"/>
      <c r="J1058" s="259"/>
      <c r="K1058" s="260">
        <f t="shared" si="36"/>
        <v>4.1865600000000001</v>
      </c>
      <c r="L1058" s="266" t="s">
        <v>1556</v>
      </c>
    </row>
    <row r="1059" spans="2:12">
      <c r="B1059" s="256" t="s">
        <v>1487</v>
      </c>
      <c r="C1059" s="250" t="s">
        <v>1441</v>
      </c>
      <c r="D1059" s="205" t="s">
        <v>110</v>
      </c>
      <c r="E1059" s="261">
        <v>0.2</v>
      </c>
      <c r="F1059" s="261">
        <v>2.94</v>
      </c>
      <c r="G1059" s="261">
        <f>5.12+2</f>
        <v>7.12</v>
      </c>
      <c r="H1059" s="261">
        <v>1</v>
      </c>
      <c r="I1059" s="261"/>
      <c r="J1059" s="259"/>
      <c r="K1059" s="260">
        <f t="shared" si="36"/>
        <v>4.1865600000000001</v>
      </c>
      <c r="L1059" s="266" t="s">
        <v>1556</v>
      </c>
    </row>
    <row r="1060" spans="2:12">
      <c r="B1060" s="256" t="s">
        <v>1488</v>
      </c>
      <c r="C1060" s="250" t="s">
        <v>1441</v>
      </c>
      <c r="D1060" s="205" t="s">
        <v>110</v>
      </c>
      <c r="E1060" s="261">
        <v>0.6</v>
      </c>
      <c r="F1060" s="261">
        <v>0.5</v>
      </c>
      <c r="G1060" s="261">
        <v>5.12</v>
      </c>
      <c r="H1060" s="261">
        <v>1</v>
      </c>
      <c r="I1060" s="261"/>
      <c r="J1060" s="259"/>
      <c r="K1060" s="260">
        <f t="shared" si="36"/>
        <v>1.536</v>
      </c>
      <c r="L1060" s="266" t="s">
        <v>1556</v>
      </c>
    </row>
    <row r="1061" spans="2:12">
      <c r="B1061" s="256" t="s">
        <v>1489</v>
      </c>
      <c r="C1061" s="250" t="s">
        <v>1441</v>
      </c>
      <c r="D1061" s="205" t="s">
        <v>110</v>
      </c>
      <c r="E1061" s="261">
        <v>0.4</v>
      </c>
      <c r="F1061" s="261">
        <v>0.4</v>
      </c>
      <c r="G1061" s="261">
        <v>5.12</v>
      </c>
      <c r="H1061" s="261">
        <v>1</v>
      </c>
      <c r="I1061" s="261"/>
      <c r="J1061" s="259"/>
      <c r="K1061" s="260">
        <f t="shared" si="36"/>
        <v>0.81920000000000015</v>
      </c>
      <c r="L1061" s="266" t="s">
        <v>1556</v>
      </c>
    </row>
    <row r="1062" spans="2:12">
      <c r="B1062" s="256" t="s">
        <v>1490</v>
      </c>
      <c r="C1062" s="250" t="s">
        <v>1441</v>
      </c>
      <c r="D1062" s="205" t="s">
        <v>110</v>
      </c>
      <c r="E1062" s="261">
        <v>0.2</v>
      </c>
      <c r="F1062" s="261">
        <v>0.8</v>
      </c>
      <c r="G1062" s="261">
        <v>5.12</v>
      </c>
      <c r="H1062" s="261">
        <v>1</v>
      </c>
      <c r="I1062" s="261"/>
      <c r="J1062" s="259"/>
      <c r="K1062" s="260">
        <f t="shared" si="36"/>
        <v>0.81920000000000015</v>
      </c>
      <c r="L1062" s="266" t="s">
        <v>1556</v>
      </c>
    </row>
    <row r="1063" spans="2:12">
      <c r="B1063" s="256" t="s">
        <v>1491</v>
      </c>
      <c r="C1063" s="250" t="s">
        <v>1441</v>
      </c>
      <c r="D1063" s="205" t="s">
        <v>110</v>
      </c>
      <c r="E1063" s="261">
        <v>0.3</v>
      </c>
      <c r="F1063" s="261">
        <v>0.3</v>
      </c>
      <c r="G1063" s="261">
        <v>5.12</v>
      </c>
      <c r="H1063" s="261">
        <v>1</v>
      </c>
      <c r="I1063" s="261"/>
      <c r="J1063" s="259"/>
      <c r="K1063" s="260">
        <f t="shared" si="36"/>
        <v>0.46079999999999999</v>
      </c>
      <c r="L1063" s="266" t="s">
        <v>1556</v>
      </c>
    </row>
    <row r="1064" spans="2:12">
      <c r="B1064" s="256" t="s">
        <v>1492</v>
      </c>
      <c r="C1064" s="250" t="s">
        <v>1441</v>
      </c>
      <c r="D1064" s="205" t="s">
        <v>110</v>
      </c>
      <c r="E1064" s="261">
        <v>0.3</v>
      </c>
      <c r="F1064" s="261">
        <v>0.3</v>
      </c>
      <c r="G1064" s="261">
        <v>5.12</v>
      </c>
      <c r="H1064" s="261">
        <v>1</v>
      </c>
      <c r="I1064" s="261"/>
      <c r="J1064" s="259"/>
      <c r="K1064" s="260">
        <f t="shared" si="36"/>
        <v>0.46079999999999999</v>
      </c>
      <c r="L1064" s="266" t="s">
        <v>1556</v>
      </c>
    </row>
    <row r="1065" spans="2:12">
      <c r="B1065" s="256" t="s">
        <v>1493</v>
      </c>
      <c r="C1065" s="250" t="s">
        <v>1441</v>
      </c>
      <c r="D1065" s="205" t="s">
        <v>110</v>
      </c>
      <c r="E1065" s="261">
        <v>0.4</v>
      </c>
      <c r="F1065" s="261">
        <v>0.4</v>
      </c>
      <c r="G1065" s="261">
        <v>5.12</v>
      </c>
      <c r="H1065" s="261">
        <v>1</v>
      </c>
      <c r="I1065" s="261"/>
      <c r="J1065" s="259"/>
      <c r="K1065" s="260">
        <f t="shared" si="36"/>
        <v>0.81920000000000015</v>
      </c>
      <c r="L1065" s="266" t="s">
        <v>1556</v>
      </c>
    </row>
    <row r="1066" spans="2:12">
      <c r="B1066" s="256" t="s">
        <v>1494</v>
      </c>
      <c r="C1066" s="250" t="s">
        <v>1441</v>
      </c>
      <c r="D1066" s="205" t="s">
        <v>110</v>
      </c>
      <c r="E1066" s="261">
        <v>0.4</v>
      </c>
      <c r="F1066" s="261">
        <v>0.4</v>
      </c>
      <c r="G1066" s="261">
        <v>5.12</v>
      </c>
      <c r="H1066" s="261">
        <v>1</v>
      </c>
      <c r="I1066" s="261"/>
      <c r="J1066" s="259"/>
      <c r="K1066" s="260">
        <f t="shared" si="36"/>
        <v>0.81920000000000015</v>
      </c>
      <c r="L1066" s="266" t="s">
        <v>1556</v>
      </c>
    </row>
    <row r="1067" spans="2:12">
      <c r="B1067" s="256" t="s">
        <v>1495</v>
      </c>
      <c r="C1067" s="250" t="s">
        <v>1441</v>
      </c>
      <c r="D1067" s="205" t="s">
        <v>110</v>
      </c>
      <c r="E1067" s="261">
        <v>0.4</v>
      </c>
      <c r="F1067" s="261">
        <v>0.4</v>
      </c>
      <c r="G1067" s="261">
        <v>5.12</v>
      </c>
      <c r="H1067" s="261">
        <v>1</v>
      </c>
      <c r="I1067" s="261"/>
      <c r="J1067" s="259"/>
      <c r="K1067" s="260">
        <f t="shared" si="36"/>
        <v>0.81920000000000015</v>
      </c>
      <c r="L1067" s="266" t="s">
        <v>1556</v>
      </c>
    </row>
    <row r="1068" spans="2:12">
      <c r="B1068" s="249" t="s">
        <v>1389</v>
      </c>
      <c r="C1068" s="250" t="s">
        <v>1521</v>
      </c>
      <c r="D1068" s="205" t="s">
        <v>110</v>
      </c>
      <c r="E1068" s="199">
        <v>0.5</v>
      </c>
      <c r="F1068" s="199">
        <v>0.4</v>
      </c>
      <c r="G1068" s="199">
        <v>3.6</v>
      </c>
      <c r="H1068" s="199">
        <v>1</v>
      </c>
      <c r="I1068" s="199"/>
      <c r="J1068" s="253"/>
      <c r="K1068" s="254">
        <f t="shared" si="36"/>
        <v>0.72000000000000008</v>
      </c>
      <c r="L1068" s="255" t="s">
        <v>1557</v>
      </c>
    </row>
    <row r="1069" spans="2:12">
      <c r="B1069" s="256" t="s">
        <v>1390</v>
      </c>
      <c r="C1069" s="250" t="s">
        <v>1521</v>
      </c>
      <c r="D1069" s="205" t="s">
        <v>110</v>
      </c>
      <c r="E1069" s="261">
        <v>1</v>
      </c>
      <c r="F1069" s="261">
        <v>0.2</v>
      </c>
      <c r="G1069" s="261">
        <v>3.6</v>
      </c>
      <c r="H1069" s="261">
        <v>1</v>
      </c>
      <c r="I1069" s="261"/>
      <c r="J1069" s="259"/>
      <c r="K1069" s="260">
        <f t="shared" si="36"/>
        <v>0.72000000000000008</v>
      </c>
      <c r="L1069" s="266" t="s">
        <v>1557</v>
      </c>
    </row>
    <row r="1070" spans="2:12">
      <c r="B1070" s="256" t="s">
        <v>1391</v>
      </c>
      <c r="C1070" s="250" t="s">
        <v>1521</v>
      </c>
      <c r="D1070" s="205" t="s">
        <v>110</v>
      </c>
      <c r="E1070" s="261">
        <v>1</v>
      </c>
      <c r="F1070" s="261">
        <v>0.2</v>
      </c>
      <c r="G1070" s="261">
        <v>3.6</v>
      </c>
      <c r="H1070" s="261">
        <v>1</v>
      </c>
      <c r="I1070" s="261"/>
      <c r="J1070" s="259"/>
      <c r="K1070" s="260">
        <f t="shared" si="36"/>
        <v>0.72000000000000008</v>
      </c>
      <c r="L1070" s="266" t="s">
        <v>1557</v>
      </c>
    </row>
    <row r="1071" spans="2:12">
      <c r="B1071" s="256" t="s">
        <v>1392</v>
      </c>
      <c r="C1071" s="250" t="s">
        <v>1521</v>
      </c>
      <c r="D1071" s="205" t="s">
        <v>110</v>
      </c>
      <c r="E1071" s="261">
        <v>0.4</v>
      </c>
      <c r="F1071" s="261">
        <v>0.4</v>
      </c>
      <c r="G1071" s="261">
        <v>3.6</v>
      </c>
      <c r="H1071" s="261">
        <v>1</v>
      </c>
      <c r="I1071" s="261"/>
      <c r="J1071" s="259"/>
      <c r="K1071" s="260">
        <f t="shared" si="36"/>
        <v>0.57600000000000018</v>
      </c>
      <c r="L1071" s="266" t="s">
        <v>1557</v>
      </c>
    </row>
    <row r="1072" spans="2:12">
      <c r="B1072" s="256" t="s">
        <v>1393</v>
      </c>
      <c r="C1072" s="250" t="s">
        <v>1521</v>
      </c>
      <c r="D1072" s="205" t="s">
        <v>110</v>
      </c>
      <c r="E1072" s="261">
        <v>0.3</v>
      </c>
      <c r="F1072" s="261">
        <v>0.3</v>
      </c>
      <c r="G1072" s="261">
        <v>3.6</v>
      </c>
      <c r="H1072" s="261">
        <v>1</v>
      </c>
      <c r="I1072" s="261"/>
      <c r="J1072" s="259"/>
      <c r="K1072" s="260">
        <f t="shared" si="36"/>
        <v>0.32400000000000001</v>
      </c>
      <c r="L1072" s="266" t="s">
        <v>1557</v>
      </c>
    </row>
    <row r="1073" spans="2:12">
      <c r="B1073" s="256" t="s">
        <v>1394</v>
      </c>
      <c r="C1073" s="250" t="s">
        <v>1521</v>
      </c>
      <c r="D1073" s="205" t="s">
        <v>110</v>
      </c>
      <c r="E1073" s="261">
        <v>0.4</v>
      </c>
      <c r="F1073" s="261">
        <v>0.4</v>
      </c>
      <c r="G1073" s="261">
        <v>3.6</v>
      </c>
      <c r="H1073" s="261">
        <v>1</v>
      </c>
      <c r="I1073" s="261"/>
      <c r="J1073" s="259"/>
      <c r="K1073" s="260">
        <f t="shared" si="36"/>
        <v>0.57600000000000018</v>
      </c>
      <c r="L1073" s="266" t="s">
        <v>1557</v>
      </c>
    </row>
    <row r="1074" spans="2:12">
      <c r="B1074" s="256" t="s">
        <v>1395</v>
      </c>
      <c r="C1074" s="250" t="s">
        <v>1521</v>
      </c>
      <c r="D1074" s="205" t="s">
        <v>110</v>
      </c>
      <c r="E1074" s="199">
        <v>0.5</v>
      </c>
      <c r="F1074" s="199">
        <v>0.4</v>
      </c>
      <c r="G1074" s="261">
        <v>3.6</v>
      </c>
      <c r="H1074" s="261">
        <v>1</v>
      </c>
      <c r="I1074" s="261"/>
      <c r="J1074" s="259"/>
      <c r="K1074" s="260">
        <f t="shared" si="36"/>
        <v>0.72000000000000008</v>
      </c>
      <c r="L1074" s="266" t="s">
        <v>1557</v>
      </c>
    </row>
    <row r="1075" spans="2:12">
      <c r="B1075" s="256" t="s">
        <v>1396</v>
      </c>
      <c r="C1075" s="250" t="s">
        <v>1521</v>
      </c>
      <c r="D1075" s="205" t="s">
        <v>110</v>
      </c>
      <c r="E1075" s="199">
        <v>0.5</v>
      </c>
      <c r="F1075" s="199">
        <v>0.4</v>
      </c>
      <c r="G1075" s="261">
        <v>3.6</v>
      </c>
      <c r="H1075" s="261">
        <v>1</v>
      </c>
      <c r="I1075" s="261"/>
      <c r="J1075" s="259"/>
      <c r="K1075" s="260">
        <f t="shared" si="36"/>
        <v>0.72000000000000008</v>
      </c>
      <c r="L1075" s="266" t="s">
        <v>1557</v>
      </c>
    </row>
    <row r="1076" spans="2:12">
      <c r="B1076" s="256" t="s">
        <v>1397</v>
      </c>
      <c r="C1076" s="250" t="s">
        <v>1521</v>
      </c>
      <c r="D1076" s="205" t="s">
        <v>110</v>
      </c>
      <c r="E1076" s="261">
        <v>1</v>
      </c>
      <c r="F1076" s="261">
        <v>0.2</v>
      </c>
      <c r="G1076" s="261">
        <v>3.6</v>
      </c>
      <c r="H1076" s="261">
        <v>1</v>
      </c>
      <c r="I1076" s="261"/>
      <c r="J1076" s="259"/>
      <c r="K1076" s="260">
        <f t="shared" si="36"/>
        <v>0.72000000000000008</v>
      </c>
      <c r="L1076" s="266" t="s">
        <v>1557</v>
      </c>
    </row>
    <row r="1077" spans="2:12">
      <c r="B1077" s="256" t="s">
        <v>1398</v>
      </c>
      <c r="C1077" s="250" t="s">
        <v>1521</v>
      </c>
      <c r="D1077" s="205" t="s">
        <v>110</v>
      </c>
      <c r="E1077" s="261">
        <v>0.3</v>
      </c>
      <c r="F1077" s="261">
        <v>0.3</v>
      </c>
      <c r="G1077" s="261">
        <v>3.6</v>
      </c>
      <c r="H1077" s="261">
        <v>1</v>
      </c>
      <c r="I1077" s="261"/>
      <c r="J1077" s="259"/>
      <c r="K1077" s="260">
        <f t="shared" si="36"/>
        <v>0.32400000000000001</v>
      </c>
      <c r="L1077" s="266" t="s">
        <v>1557</v>
      </c>
    </row>
    <row r="1078" spans="2:12">
      <c r="B1078" s="256" t="s">
        <v>1399</v>
      </c>
      <c r="C1078" s="250" t="s">
        <v>1521</v>
      </c>
      <c r="D1078" s="205" t="s">
        <v>110</v>
      </c>
      <c r="E1078" s="261">
        <v>0.4</v>
      </c>
      <c r="F1078" s="261">
        <v>0.4</v>
      </c>
      <c r="G1078" s="261">
        <v>3.6</v>
      </c>
      <c r="H1078" s="261">
        <v>1</v>
      </c>
      <c r="I1078" s="261"/>
      <c r="J1078" s="259"/>
      <c r="K1078" s="260">
        <f t="shared" si="36"/>
        <v>0.57600000000000018</v>
      </c>
      <c r="L1078" s="266" t="s">
        <v>1557</v>
      </c>
    </row>
    <row r="1079" spans="2:12">
      <c r="B1079" s="256" t="s">
        <v>1400</v>
      </c>
      <c r="C1079" s="250" t="s">
        <v>1521</v>
      </c>
      <c r="D1079" s="205" t="s">
        <v>110</v>
      </c>
      <c r="E1079" s="199">
        <v>0.5</v>
      </c>
      <c r="F1079" s="199">
        <v>0.4</v>
      </c>
      <c r="G1079" s="261">
        <v>3.6</v>
      </c>
      <c r="H1079" s="261">
        <v>1</v>
      </c>
      <c r="I1079" s="261"/>
      <c r="J1079" s="259"/>
      <c r="K1079" s="260">
        <f t="shared" ref="K1079:K1110" si="37">IF(E1079*F1079*G1079&lt;&gt;0,E1079*F1079*G1079,IF(E1079*F1079&lt;&gt;0,E1079*F1079,IF(F1079*G1079&lt;&gt;0,F1079*G1079,IF(E1079*G1079&lt;&gt;0,E1079*G1079,IF(E1079&lt;&gt;0,E1079,IF(F1079&lt;&gt;0,F1079,IF(G1079&lt;&gt;0,G1079,0)))))))*(IF(H1079&lt;&gt;0,H1079,1))+I1079-J1079</f>
        <v>0.72000000000000008</v>
      </c>
      <c r="L1079" s="266" t="s">
        <v>1557</v>
      </c>
    </row>
    <row r="1080" spans="2:12">
      <c r="B1080" s="256" t="s">
        <v>1401</v>
      </c>
      <c r="C1080" s="250" t="s">
        <v>1521</v>
      </c>
      <c r="D1080" s="205" t="s">
        <v>110</v>
      </c>
      <c r="E1080" s="199">
        <v>0.5</v>
      </c>
      <c r="F1080" s="199">
        <v>0.4</v>
      </c>
      <c r="G1080" s="261">
        <v>3.6</v>
      </c>
      <c r="H1080" s="261">
        <v>1</v>
      </c>
      <c r="I1080" s="261"/>
      <c r="J1080" s="259"/>
      <c r="K1080" s="260">
        <f t="shared" si="37"/>
        <v>0.72000000000000008</v>
      </c>
      <c r="L1080" s="266" t="s">
        <v>1557</v>
      </c>
    </row>
    <row r="1081" spans="2:12">
      <c r="B1081" s="256" t="s">
        <v>1402</v>
      </c>
      <c r="C1081" s="250" t="s">
        <v>1521</v>
      </c>
      <c r="D1081" s="205" t="s">
        <v>110</v>
      </c>
      <c r="E1081" s="261">
        <v>1</v>
      </c>
      <c r="F1081" s="261">
        <v>0.2</v>
      </c>
      <c r="G1081" s="261">
        <v>3.6</v>
      </c>
      <c r="H1081" s="261">
        <v>1</v>
      </c>
      <c r="I1081" s="261"/>
      <c r="J1081" s="259"/>
      <c r="K1081" s="260">
        <f t="shared" si="37"/>
        <v>0.72000000000000008</v>
      </c>
      <c r="L1081" s="266" t="s">
        <v>1557</v>
      </c>
    </row>
    <row r="1082" spans="2:12">
      <c r="B1082" s="256" t="s">
        <v>1403</v>
      </c>
      <c r="C1082" s="250" t="s">
        <v>1521</v>
      </c>
      <c r="D1082" s="205" t="s">
        <v>110</v>
      </c>
      <c r="E1082" s="261">
        <v>0.3</v>
      </c>
      <c r="F1082" s="261">
        <v>0.3</v>
      </c>
      <c r="G1082" s="261">
        <v>3.6</v>
      </c>
      <c r="H1082" s="261">
        <v>1</v>
      </c>
      <c r="I1082" s="261"/>
      <c r="J1082" s="259"/>
      <c r="K1082" s="260">
        <f t="shared" si="37"/>
        <v>0.32400000000000001</v>
      </c>
      <c r="L1082" s="266" t="s">
        <v>1557</v>
      </c>
    </row>
    <row r="1083" spans="2:12">
      <c r="B1083" s="256" t="s">
        <v>1404</v>
      </c>
      <c r="C1083" s="250" t="s">
        <v>1521</v>
      </c>
      <c r="D1083" s="205" t="s">
        <v>110</v>
      </c>
      <c r="E1083" s="261">
        <v>0.6</v>
      </c>
      <c r="F1083" s="261">
        <v>0.2</v>
      </c>
      <c r="G1083" s="261">
        <v>3.6</v>
      </c>
      <c r="H1083" s="261">
        <v>1</v>
      </c>
      <c r="I1083" s="261"/>
      <c r="J1083" s="259"/>
      <c r="K1083" s="260">
        <f t="shared" si="37"/>
        <v>0.432</v>
      </c>
      <c r="L1083" s="266" t="s">
        <v>1557</v>
      </c>
    </row>
    <row r="1084" spans="2:12">
      <c r="B1084" s="256" t="s">
        <v>1405</v>
      </c>
      <c r="C1084" s="250" t="s">
        <v>1521</v>
      </c>
      <c r="D1084" s="205" t="s">
        <v>110</v>
      </c>
      <c r="E1084" s="261">
        <v>0.6</v>
      </c>
      <c r="F1084" s="261">
        <v>0.2</v>
      </c>
      <c r="G1084" s="261">
        <v>3.6</v>
      </c>
      <c r="H1084" s="261">
        <v>1</v>
      </c>
      <c r="I1084" s="261"/>
      <c r="J1084" s="259"/>
      <c r="K1084" s="260">
        <f t="shared" si="37"/>
        <v>0.432</v>
      </c>
      <c r="L1084" s="266" t="s">
        <v>1557</v>
      </c>
    </row>
    <row r="1085" spans="2:12">
      <c r="B1085" s="256" t="s">
        <v>1406</v>
      </c>
      <c r="C1085" s="250" t="s">
        <v>1521</v>
      </c>
      <c r="D1085" s="205" t="s">
        <v>110</v>
      </c>
      <c r="E1085" s="261">
        <v>0.4</v>
      </c>
      <c r="F1085" s="261">
        <v>0.4</v>
      </c>
      <c r="G1085" s="261">
        <v>3.6</v>
      </c>
      <c r="H1085" s="261">
        <v>1</v>
      </c>
      <c r="I1085" s="261"/>
      <c r="J1085" s="259"/>
      <c r="K1085" s="260">
        <f t="shared" si="37"/>
        <v>0.57600000000000018</v>
      </c>
      <c r="L1085" s="266" t="s">
        <v>1557</v>
      </c>
    </row>
    <row r="1086" spans="2:12">
      <c r="B1086" s="256" t="s">
        <v>1407</v>
      </c>
      <c r="C1086" s="250" t="s">
        <v>1521</v>
      </c>
      <c r="D1086" s="205" t="s">
        <v>110</v>
      </c>
      <c r="E1086" s="199">
        <v>0.5</v>
      </c>
      <c r="F1086" s="199">
        <v>0.4</v>
      </c>
      <c r="G1086" s="261">
        <v>3.6</v>
      </c>
      <c r="H1086" s="261">
        <v>1</v>
      </c>
      <c r="I1086" s="261"/>
      <c r="J1086" s="259"/>
      <c r="K1086" s="260">
        <f t="shared" si="37"/>
        <v>0.72000000000000008</v>
      </c>
      <c r="L1086" s="266" t="s">
        <v>1557</v>
      </c>
    </row>
    <row r="1087" spans="2:12">
      <c r="B1087" s="256" t="s">
        <v>1408</v>
      </c>
      <c r="C1087" s="250" t="s">
        <v>1521</v>
      </c>
      <c r="D1087" s="205" t="s">
        <v>110</v>
      </c>
      <c r="E1087" s="261">
        <v>0.5</v>
      </c>
      <c r="F1087" s="261">
        <v>0.4</v>
      </c>
      <c r="G1087" s="261">
        <v>3.6</v>
      </c>
      <c r="H1087" s="261">
        <v>1</v>
      </c>
      <c r="I1087" s="261"/>
      <c r="J1087" s="259"/>
      <c r="K1087" s="260">
        <f t="shared" si="37"/>
        <v>0.72000000000000008</v>
      </c>
      <c r="L1087" s="266" t="s">
        <v>1557</v>
      </c>
    </row>
    <row r="1088" spans="2:12">
      <c r="B1088" s="256" t="s">
        <v>1409</v>
      </c>
      <c r="C1088" s="250" t="s">
        <v>1521</v>
      </c>
      <c r="D1088" s="205" t="s">
        <v>110</v>
      </c>
      <c r="E1088" s="261">
        <v>1</v>
      </c>
      <c r="F1088" s="261">
        <v>0.2</v>
      </c>
      <c r="G1088" s="261">
        <v>3.6</v>
      </c>
      <c r="H1088" s="261">
        <v>1</v>
      </c>
      <c r="I1088" s="261"/>
      <c r="J1088" s="259"/>
      <c r="K1088" s="260">
        <f t="shared" si="37"/>
        <v>0.72000000000000008</v>
      </c>
      <c r="L1088" s="266" t="s">
        <v>1557</v>
      </c>
    </row>
    <row r="1089" spans="2:12">
      <c r="B1089" s="256" t="s">
        <v>1410</v>
      </c>
      <c r="C1089" s="250" t="s">
        <v>1521</v>
      </c>
      <c r="D1089" s="205" t="s">
        <v>110</v>
      </c>
      <c r="E1089" s="261">
        <v>0.45</v>
      </c>
      <c r="F1089" s="261">
        <v>0.3</v>
      </c>
      <c r="G1089" s="261">
        <v>3.6</v>
      </c>
      <c r="H1089" s="261">
        <v>1</v>
      </c>
      <c r="I1089" s="261"/>
      <c r="J1089" s="259"/>
      <c r="K1089" s="260">
        <f t="shared" si="37"/>
        <v>0.48600000000000004</v>
      </c>
      <c r="L1089" s="266" t="s">
        <v>1557</v>
      </c>
    </row>
    <row r="1090" spans="2:12">
      <c r="B1090" s="256" t="s">
        <v>1411</v>
      </c>
      <c r="C1090" s="250" t="s">
        <v>1521</v>
      </c>
      <c r="D1090" s="205" t="s">
        <v>110</v>
      </c>
      <c r="E1090" s="261">
        <v>0.45</v>
      </c>
      <c r="F1090" s="261">
        <v>0.3</v>
      </c>
      <c r="G1090" s="261">
        <v>3.6</v>
      </c>
      <c r="H1090" s="261">
        <v>1</v>
      </c>
      <c r="I1090" s="261"/>
      <c r="J1090" s="259"/>
      <c r="K1090" s="260">
        <f t="shared" si="37"/>
        <v>0.48600000000000004</v>
      </c>
      <c r="L1090" s="266" t="s">
        <v>1557</v>
      </c>
    </row>
    <row r="1091" spans="2:12">
      <c r="B1091" s="256" t="s">
        <v>1412</v>
      </c>
      <c r="C1091" s="250" t="s">
        <v>1521</v>
      </c>
      <c r="D1091" s="205" t="s">
        <v>110</v>
      </c>
      <c r="E1091" s="261">
        <v>0.55000000000000004</v>
      </c>
      <c r="F1091" s="261">
        <v>0.3</v>
      </c>
      <c r="G1091" s="261">
        <v>3.6</v>
      </c>
      <c r="H1091" s="261">
        <v>1</v>
      </c>
      <c r="I1091" s="261"/>
      <c r="J1091" s="259"/>
      <c r="K1091" s="260">
        <f t="shared" si="37"/>
        <v>0.59400000000000008</v>
      </c>
      <c r="L1091" s="266" t="s">
        <v>1557</v>
      </c>
    </row>
    <row r="1092" spans="2:12">
      <c r="B1092" s="256" t="s">
        <v>1413</v>
      </c>
      <c r="C1092" s="250" t="s">
        <v>1521</v>
      </c>
      <c r="D1092" s="205" t="s">
        <v>110</v>
      </c>
      <c r="E1092" s="261">
        <v>0.55000000000000004</v>
      </c>
      <c r="F1092" s="261">
        <v>0.3</v>
      </c>
      <c r="G1092" s="261">
        <v>3.6</v>
      </c>
      <c r="H1092" s="261">
        <v>1</v>
      </c>
      <c r="I1092" s="261"/>
      <c r="J1092" s="259"/>
      <c r="K1092" s="260">
        <f t="shared" si="37"/>
        <v>0.59400000000000008</v>
      </c>
      <c r="L1092" s="266" t="s">
        <v>1557</v>
      </c>
    </row>
    <row r="1093" spans="2:12">
      <c r="B1093" s="256" t="s">
        <v>1414</v>
      </c>
      <c r="C1093" s="250" t="s">
        <v>1521</v>
      </c>
      <c r="D1093" s="205" t="s">
        <v>110</v>
      </c>
      <c r="E1093" s="261">
        <v>0.55000000000000004</v>
      </c>
      <c r="F1093" s="261">
        <v>0.3</v>
      </c>
      <c r="G1093" s="261">
        <v>3.6</v>
      </c>
      <c r="H1093" s="261">
        <v>1</v>
      </c>
      <c r="I1093" s="261"/>
      <c r="J1093" s="259"/>
      <c r="K1093" s="260">
        <f t="shared" si="37"/>
        <v>0.59400000000000008</v>
      </c>
      <c r="L1093" s="266" t="s">
        <v>1557</v>
      </c>
    </row>
    <row r="1094" spans="2:12">
      <c r="B1094" s="256" t="s">
        <v>1415</v>
      </c>
      <c r="C1094" s="250" t="s">
        <v>1521</v>
      </c>
      <c r="D1094" s="205" t="s">
        <v>110</v>
      </c>
      <c r="E1094" s="261">
        <v>0.55000000000000004</v>
      </c>
      <c r="F1094" s="261">
        <v>0.3</v>
      </c>
      <c r="G1094" s="261">
        <v>3.6</v>
      </c>
      <c r="H1094" s="261">
        <v>1</v>
      </c>
      <c r="I1094" s="261"/>
      <c r="J1094" s="259"/>
      <c r="K1094" s="260">
        <f t="shared" si="37"/>
        <v>0.59400000000000008</v>
      </c>
      <c r="L1094" s="266" t="s">
        <v>1557</v>
      </c>
    </row>
    <row r="1095" spans="2:12">
      <c r="B1095" s="256" t="s">
        <v>1416</v>
      </c>
      <c r="C1095" s="250" t="s">
        <v>1521</v>
      </c>
      <c r="D1095" s="205" t="s">
        <v>110</v>
      </c>
      <c r="E1095" s="261">
        <v>0.45</v>
      </c>
      <c r="F1095" s="261">
        <v>0.3</v>
      </c>
      <c r="G1095" s="261">
        <v>3.6</v>
      </c>
      <c r="H1095" s="261">
        <v>1</v>
      </c>
      <c r="I1095" s="261"/>
      <c r="J1095" s="259"/>
      <c r="K1095" s="260">
        <f t="shared" si="37"/>
        <v>0.48600000000000004</v>
      </c>
      <c r="L1095" s="266" t="s">
        <v>1557</v>
      </c>
    </row>
    <row r="1096" spans="2:12">
      <c r="B1096" s="256" t="s">
        <v>1417</v>
      </c>
      <c r="C1096" s="250" t="s">
        <v>1521</v>
      </c>
      <c r="D1096" s="205" t="s">
        <v>110</v>
      </c>
      <c r="E1096" s="261">
        <v>0.45</v>
      </c>
      <c r="F1096" s="261">
        <v>0.3</v>
      </c>
      <c r="G1096" s="261">
        <v>3.6</v>
      </c>
      <c r="H1096" s="261">
        <v>1</v>
      </c>
      <c r="I1096" s="261"/>
      <c r="J1096" s="259"/>
      <c r="K1096" s="260">
        <f t="shared" si="37"/>
        <v>0.48600000000000004</v>
      </c>
      <c r="L1096" s="266" t="s">
        <v>1557</v>
      </c>
    </row>
    <row r="1097" spans="2:12">
      <c r="B1097" s="256" t="s">
        <v>1418</v>
      </c>
      <c r="C1097" s="250" t="s">
        <v>1521</v>
      </c>
      <c r="D1097" s="205" t="s">
        <v>110</v>
      </c>
      <c r="E1097" s="261">
        <v>0.8</v>
      </c>
      <c r="F1097" s="261">
        <v>0.2</v>
      </c>
      <c r="G1097" s="261">
        <v>3.6</v>
      </c>
      <c r="H1097" s="261">
        <v>1</v>
      </c>
      <c r="I1097" s="261"/>
      <c r="J1097" s="259"/>
      <c r="K1097" s="260">
        <f t="shared" si="37"/>
        <v>0.57600000000000018</v>
      </c>
      <c r="L1097" s="266" t="s">
        <v>1557</v>
      </c>
    </row>
    <row r="1098" spans="2:12">
      <c r="B1098" s="249" t="s">
        <v>1389</v>
      </c>
      <c r="C1098" s="250" t="s">
        <v>1521</v>
      </c>
      <c r="D1098" s="205" t="s">
        <v>110</v>
      </c>
      <c r="E1098" s="199">
        <v>0.5</v>
      </c>
      <c r="F1098" s="199">
        <v>0.4</v>
      </c>
      <c r="G1098" s="199">
        <v>3.6</v>
      </c>
      <c r="H1098" s="199">
        <v>1</v>
      </c>
      <c r="I1098" s="199"/>
      <c r="J1098" s="253"/>
      <c r="K1098" s="254">
        <f t="shared" si="37"/>
        <v>0.72000000000000008</v>
      </c>
      <c r="L1098" s="255" t="s">
        <v>1558</v>
      </c>
    </row>
    <row r="1099" spans="2:12">
      <c r="B1099" s="256" t="s">
        <v>1390</v>
      </c>
      <c r="C1099" s="250" t="s">
        <v>1521</v>
      </c>
      <c r="D1099" s="205" t="s">
        <v>110</v>
      </c>
      <c r="E1099" s="261">
        <v>1</v>
      </c>
      <c r="F1099" s="261">
        <v>0.2</v>
      </c>
      <c r="G1099" s="261">
        <v>3.6</v>
      </c>
      <c r="H1099" s="261">
        <v>1</v>
      </c>
      <c r="I1099" s="261"/>
      <c r="J1099" s="259"/>
      <c r="K1099" s="260">
        <f t="shared" si="37"/>
        <v>0.72000000000000008</v>
      </c>
      <c r="L1099" s="266" t="s">
        <v>1558</v>
      </c>
    </row>
    <row r="1100" spans="2:12">
      <c r="B1100" s="256" t="s">
        <v>1391</v>
      </c>
      <c r="C1100" s="250" t="s">
        <v>1521</v>
      </c>
      <c r="D1100" s="205" t="s">
        <v>110</v>
      </c>
      <c r="E1100" s="261">
        <v>1</v>
      </c>
      <c r="F1100" s="261">
        <v>0.2</v>
      </c>
      <c r="G1100" s="261">
        <v>3.6</v>
      </c>
      <c r="H1100" s="261">
        <v>1</v>
      </c>
      <c r="I1100" s="261"/>
      <c r="J1100" s="259"/>
      <c r="K1100" s="260">
        <f t="shared" si="37"/>
        <v>0.72000000000000008</v>
      </c>
      <c r="L1100" s="266" t="s">
        <v>1558</v>
      </c>
    </row>
    <row r="1101" spans="2:12">
      <c r="B1101" s="256" t="s">
        <v>1392</v>
      </c>
      <c r="C1101" s="250" t="s">
        <v>1521</v>
      </c>
      <c r="D1101" s="205" t="s">
        <v>110</v>
      </c>
      <c r="E1101" s="261">
        <v>0.4</v>
      </c>
      <c r="F1101" s="261">
        <v>0.4</v>
      </c>
      <c r="G1101" s="261">
        <v>3.6</v>
      </c>
      <c r="H1101" s="261">
        <v>1</v>
      </c>
      <c r="I1101" s="261"/>
      <c r="J1101" s="259"/>
      <c r="K1101" s="260">
        <f t="shared" si="37"/>
        <v>0.57600000000000018</v>
      </c>
      <c r="L1101" s="266" t="s">
        <v>1558</v>
      </c>
    </row>
    <row r="1102" spans="2:12">
      <c r="B1102" s="256" t="s">
        <v>1394</v>
      </c>
      <c r="C1102" s="250" t="s">
        <v>1521</v>
      </c>
      <c r="D1102" s="205" t="s">
        <v>110</v>
      </c>
      <c r="E1102" s="261">
        <v>0.4</v>
      </c>
      <c r="F1102" s="261">
        <v>0.4</v>
      </c>
      <c r="G1102" s="261">
        <v>3.6</v>
      </c>
      <c r="H1102" s="261">
        <v>1</v>
      </c>
      <c r="I1102" s="261"/>
      <c r="J1102" s="259"/>
      <c r="K1102" s="260">
        <f t="shared" si="37"/>
        <v>0.57600000000000018</v>
      </c>
      <c r="L1102" s="266" t="s">
        <v>1558</v>
      </c>
    </row>
    <row r="1103" spans="2:12">
      <c r="B1103" s="256" t="s">
        <v>1395</v>
      </c>
      <c r="C1103" s="250" t="s">
        <v>1521</v>
      </c>
      <c r="D1103" s="205" t="s">
        <v>110</v>
      </c>
      <c r="E1103" s="199">
        <v>0.5</v>
      </c>
      <c r="F1103" s="199">
        <v>0.4</v>
      </c>
      <c r="G1103" s="261">
        <v>3.6</v>
      </c>
      <c r="H1103" s="261">
        <v>1</v>
      </c>
      <c r="I1103" s="261"/>
      <c r="J1103" s="259"/>
      <c r="K1103" s="260">
        <f t="shared" si="37"/>
        <v>0.72000000000000008</v>
      </c>
      <c r="L1103" s="266" t="s">
        <v>1558</v>
      </c>
    </row>
    <row r="1104" spans="2:12">
      <c r="B1104" s="256" t="s">
        <v>1396</v>
      </c>
      <c r="C1104" s="250" t="s">
        <v>1521</v>
      </c>
      <c r="D1104" s="205" t="s">
        <v>110</v>
      </c>
      <c r="E1104" s="199">
        <v>0.5</v>
      </c>
      <c r="F1104" s="199">
        <v>0.4</v>
      </c>
      <c r="G1104" s="261">
        <v>3.6</v>
      </c>
      <c r="H1104" s="261">
        <v>1</v>
      </c>
      <c r="I1104" s="261"/>
      <c r="J1104" s="259"/>
      <c r="K1104" s="260">
        <f t="shared" si="37"/>
        <v>0.72000000000000008</v>
      </c>
      <c r="L1104" s="266" t="s">
        <v>1558</v>
      </c>
    </row>
    <row r="1105" spans="2:12">
      <c r="B1105" s="256" t="s">
        <v>1397</v>
      </c>
      <c r="C1105" s="250" t="s">
        <v>1521</v>
      </c>
      <c r="D1105" s="205" t="s">
        <v>110</v>
      </c>
      <c r="E1105" s="261">
        <v>1</v>
      </c>
      <c r="F1105" s="261">
        <v>0.2</v>
      </c>
      <c r="G1105" s="261">
        <v>3.6</v>
      </c>
      <c r="H1105" s="261">
        <v>1</v>
      </c>
      <c r="I1105" s="261"/>
      <c r="J1105" s="259"/>
      <c r="K1105" s="260">
        <f t="shared" si="37"/>
        <v>0.72000000000000008</v>
      </c>
      <c r="L1105" s="266" t="s">
        <v>1558</v>
      </c>
    </row>
    <row r="1106" spans="2:12">
      <c r="B1106" s="256" t="s">
        <v>1399</v>
      </c>
      <c r="C1106" s="250" t="s">
        <v>1521</v>
      </c>
      <c r="D1106" s="205" t="s">
        <v>110</v>
      </c>
      <c r="E1106" s="261">
        <v>0.4</v>
      </c>
      <c r="F1106" s="261">
        <v>0.4</v>
      </c>
      <c r="G1106" s="261">
        <v>3.6</v>
      </c>
      <c r="H1106" s="261">
        <v>1</v>
      </c>
      <c r="I1106" s="261"/>
      <c r="J1106" s="259"/>
      <c r="K1106" s="260">
        <f t="shared" si="37"/>
        <v>0.57600000000000018</v>
      </c>
      <c r="L1106" s="266" t="s">
        <v>1558</v>
      </c>
    </row>
    <row r="1107" spans="2:12">
      <c r="B1107" s="256" t="s">
        <v>1400</v>
      </c>
      <c r="C1107" s="250" t="s">
        <v>1521</v>
      </c>
      <c r="D1107" s="205" t="s">
        <v>110</v>
      </c>
      <c r="E1107" s="199">
        <v>0.5</v>
      </c>
      <c r="F1107" s="199">
        <v>0.4</v>
      </c>
      <c r="G1107" s="261">
        <v>3.6</v>
      </c>
      <c r="H1107" s="261">
        <v>1</v>
      </c>
      <c r="I1107" s="261"/>
      <c r="J1107" s="259"/>
      <c r="K1107" s="260">
        <f t="shared" si="37"/>
        <v>0.72000000000000008</v>
      </c>
      <c r="L1107" s="266" t="s">
        <v>1558</v>
      </c>
    </row>
    <row r="1108" spans="2:12">
      <c r="B1108" s="256" t="s">
        <v>1401</v>
      </c>
      <c r="C1108" s="250" t="s">
        <v>1521</v>
      </c>
      <c r="D1108" s="205" t="s">
        <v>110</v>
      </c>
      <c r="E1108" s="199">
        <v>0.5</v>
      </c>
      <c r="F1108" s="199">
        <v>0.4</v>
      </c>
      <c r="G1108" s="261">
        <v>3.6</v>
      </c>
      <c r="H1108" s="261">
        <v>1</v>
      </c>
      <c r="I1108" s="261"/>
      <c r="J1108" s="259"/>
      <c r="K1108" s="260">
        <f t="shared" si="37"/>
        <v>0.72000000000000008</v>
      </c>
      <c r="L1108" s="266" t="s">
        <v>1558</v>
      </c>
    </row>
    <row r="1109" spans="2:12">
      <c r="B1109" s="256" t="s">
        <v>1402</v>
      </c>
      <c r="C1109" s="250" t="s">
        <v>1521</v>
      </c>
      <c r="D1109" s="205" t="s">
        <v>110</v>
      </c>
      <c r="E1109" s="261">
        <v>1</v>
      </c>
      <c r="F1109" s="261">
        <v>0.2</v>
      </c>
      <c r="G1109" s="261">
        <v>3.6</v>
      </c>
      <c r="H1109" s="261">
        <v>1</v>
      </c>
      <c r="I1109" s="261"/>
      <c r="J1109" s="259"/>
      <c r="K1109" s="260">
        <f t="shared" si="37"/>
        <v>0.72000000000000008</v>
      </c>
      <c r="L1109" s="266" t="s">
        <v>1558</v>
      </c>
    </row>
    <row r="1110" spans="2:12">
      <c r="B1110" s="256" t="s">
        <v>1404</v>
      </c>
      <c r="C1110" s="250" t="s">
        <v>1611</v>
      </c>
      <c r="D1110" s="205" t="s">
        <v>110</v>
      </c>
      <c r="E1110" s="261">
        <v>0.2</v>
      </c>
      <c r="F1110" s="261">
        <v>0.6</v>
      </c>
      <c r="G1110" s="261">
        <v>3.6</v>
      </c>
      <c r="H1110" s="261">
        <v>1</v>
      </c>
      <c r="I1110" s="261"/>
      <c r="J1110" s="259"/>
      <c r="K1110" s="260">
        <f t="shared" si="37"/>
        <v>0.432</v>
      </c>
      <c r="L1110" s="266" t="s">
        <v>1558</v>
      </c>
    </row>
    <row r="1111" spans="2:12">
      <c r="B1111" s="256" t="s">
        <v>1405</v>
      </c>
      <c r="C1111" s="250" t="s">
        <v>1611</v>
      </c>
      <c r="D1111" s="205" t="s">
        <v>110</v>
      </c>
      <c r="E1111" s="261">
        <v>0.2</v>
      </c>
      <c r="F1111" s="261">
        <v>0.6</v>
      </c>
      <c r="G1111" s="261">
        <v>3.6</v>
      </c>
      <c r="H1111" s="261">
        <v>1</v>
      </c>
      <c r="I1111" s="261"/>
      <c r="J1111" s="259"/>
      <c r="K1111" s="260">
        <f t="shared" ref="K1111:K1142" si="38">IF(E1111*F1111*G1111&lt;&gt;0,E1111*F1111*G1111,IF(E1111*F1111&lt;&gt;0,E1111*F1111,IF(F1111*G1111&lt;&gt;0,F1111*G1111,IF(E1111*G1111&lt;&gt;0,E1111*G1111,IF(E1111&lt;&gt;0,E1111,IF(F1111&lt;&gt;0,F1111,IF(G1111&lt;&gt;0,G1111,0)))))))*(IF(H1111&lt;&gt;0,H1111,1))+I1111-J1111</f>
        <v>0.432</v>
      </c>
      <c r="L1111" s="266" t="s">
        <v>1558</v>
      </c>
    </row>
    <row r="1112" spans="2:12">
      <c r="B1112" s="256" t="s">
        <v>1406</v>
      </c>
      <c r="C1112" s="250" t="s">
        <v>1611</v>
      </c>
      <c r="D1112" s="205" t="s">
        <v>110</v>
      </c>
      <c r="E1112" s="261">
        <v>0.4</v>
      </c>
      <c r="F1112" s="261">
        <v>0.4</v>
      </c>
      <c r="G1112" s="261">
        <v>3.6</v>
      </c>
      <c r="H1112" s="261">
        <v>1</v>
      </c>
      <c r="I1112" s="261"/>
      <c r="J1112" s="259"/>
      <c r="K1112" s="260">
        <f t="shared" si="38"/>
        <v>0.57600000000000018</v>
      </c>
      <c r="L1112" s="266" t="s">
        <v>1558</v>
      </c>
    </row>
    <row r="1113" spans="2:12">
      <c r="B1113" s="256" t="s">
        <v>1407</v>
      </c>
      <c r="C1113" s="250" t="s">
        <v>1611</v>
      </c>
      <c r="D1113" s="205" t="s">
        <v>110</v>
      </c>
      <c r="E1113" s="261">
        <v>0.5</v>
      </c>
      <c r="F1113" s="261">
        <v>0.4</v>
      </c>
      <c r="G1113" s="261">
        <v>3.6</v>
      </c>
      <c r="H1113" s="261">
        <v>1</v>
      </c>
      <c r="I1113" s="261"/>
      <c r="J1113" s="259"/>
      <c r="K1113" s="260">
        <f t="shared" si="38"/>
        <v>0.72000000000000008</v>
      </c>
      <c r="L1113" s="266" t="s">
        <v>1558</v>
      </c>
    </row>
    <row r="1114" spans="2:12">
      <c r="B1114" s="256" t="s">
        <v>1408</v>
      </c>
      <c r="C1114" s="250" t="s">
        <v>1611</v>
      </c>
      <c r="D1114" s="205" t="s">
        <v>110</v>
      </c>
      <c r="E1114" s="261">
        <v>0.5</v>
      </c>
      <c r="F1114" s="261">
        <v>0.4</v>
      </c>
      <c r="G1114" s="261">
        <v>3.6</v>
      </c>
      <c r="H1114" s="261">
        <v>1</v>
      </c>
      <c r="I1114" s="261"/>
      <c r="J1114" s="259"/>
      <c r="K1114" s="260">
        <f t="shared" si="38"/>
        <v>0.72000000000000008</v>
      </c>
      <c r="L1114" s="266" t="s">
        <v>1558</v>
      </c>
    </row>
    <row r="1115" spans="2:12">
      <c r="B1115" s="256" t="s">
        <v>1409</v>
      </c>
      <c r="C1115" s="250" t="s">
        <v>1611</v>
      </c>
      <c r="D1115" s="205" t="s">
        <v>110</v>
      </c>
      <c r="E1115" s="261">
        <v>0.2</v>
      </c>
      <c r="F1115" s="261">
        <v>1</v>
      </c>
      <c r="G1115" s="261">
        <v>3.6</v>
      </c>
      <c r="H1115" s="261">
        <v>1</v>
      </c>
      <c r="I1115" s="261"/>
      <c r="J1115" s="259"/>
      <c r="K1115" s="260">
        <f t="shared" si="38"/>
        <v>0.72000000000000008</v>
      </c>
      <c r="L1115" s="266" t="s">
        <v>1558</v>
      </c>
    </row>
    <row r="1116" spans="2:12">
      <c r="B1116" s="256" t="s">
        <v>1410</v>
      </c>
      <c r="C1116" s="250" t="s">
        <v>1611</v>
      </c>
      <c r="D1116" s="205" t="s">
        <v>110</v>
      </c>
      <c r="E1116" s="261">
        <v>0.45</v>
      </c>
      <c r="F1116" s="261">
        <v>0.3</v>
      </c>
      <c r="G1116" s="261">
        <v>3.6</v>
      </c>
      <c r="H1116" s="261">
        <v>1</v>
      </c>
      <c r="I1116" s="261"/>
      <c r="J1116" s="259"/>
      <c r="K1116" s="260">
        <f t="shared" si="38"/>
        <v>0.48600000000000004</v>
      </c>
      <c r="L1116" s="266" t="s">
        <v>1558</v>
      </c>
    </row>
    <row r="1117" spans="2:12">
      <c r="B1117" s="256" t="s">
        <v>1412</v>
      </c>
      <c r="C1117" s="250" t="s">
        <v>1611</v>
      </c>
      <c r="D1117" s="205" t="s">
        <v>110</v>
      </c>
      <c r="E1117" s="261">
        <v>0.55000000000000004</v>
      </c>
      <c r="F1117" s="261">
        <v>0.3</v>
      </c>
      <c r="G1117" s="261">
        <v>3.6</v>
      </c>
      <c r="H1117" s="261">
        <v>1</v>
      </c>
      <c r="I1117" s="261"/>
      <c r="J1117" s="259"/>
      <c r="K1117" s="260">
        <f t="shared" si="38"/>
        <v>0.59400000000000008</v>
      </c>
      <c r="L1117" s="266" t="s">
        <v>1558</v>
      </c>
    </row>
    <row r="1118" spans="2:12">
      <c r="B1118" s="256" t="s">
        <v>1414</v>
      </c>
      <c r="C1118" s="250" t="s">
        <v>1611</v>
      </c>
      <c r="D1118" s="205" t="s">
        <v>110</v>
      </c>
      <c r="E1118" s="261">
        <v>0.55000000000000004</v>
      </c>
      <c r="F1118" s="261">
        <v>0.3</v>
      </c>
      <c r="G1118" s="261">
        <v>3.6</v>
      </c>
      <c r="H1118" s="261">
        <v>1</v>
      </c>
      <c r="I1118" s="261"/>
      <c r="J1118" s="259"/>
      <c r="K1118" s="260">
        <f t="shared" si="38"/>
        <v>0.59400000000000008</v>
      </c>
      <c r="L1118" s="266" t="s">
        <v>1558</v>
      </c>
    </row>
    <row r="1119" spans="2:12">
      <c r="B1119" s="256" t="s">
        <v>1416</v>
      </c>
      <c r="C1119" s="250" t="s">
        <v>1611</v>
      </c>
      <c r="D1119" s="205" t="s">
        <v>110</v>
      </c>
      <c r="E1119" s="261">
        <v>0.45</v>
      </c>
      <c r="F1119" s="261">
        <v>0.3</v>
      </c>
      <c r="G1119" s="261">
        <v>3.6</v>
      </c>
      <c r="H1119" s="261">
        <v>1</v>
      </c>
      <c r="I1119" s="261"/>
      <c r="J1119" s="259"/>
      <c r="K1119" s="260">
        <f t="shared" si="38"/>
        <v>0.48600000000000004</v>
      </c>
      <c r="L1119" s="266" t="s">
        <v>1558</v>
      </c>
    </row>
    <row r="1120" spans="2:12">
      <c r="B1120" s="256" t="s">
        <v>1418</v>
      </c>
      <c r="C1120" s="250" t="s">
        <v>1611</v>
      </c>
      <c r="D1120" s="205" t="s">
        <v>110</v>
      </c>
      <c r="E1120" s="261">
        <v>0.2</v>
      </c>
      <c r="F1120" s="261">
        <v>0.8</v>
      </c>
      <c r="G1120" s="261">
        <v>3.6</v>
      </c>
      <c r="H1120" s="261">
        <v>1</v>
      </c>
      <c r="I1120" s="261"/>
      <c r="J1120" s="259"/>
      <c r="K1120" s="260">
        <f t="shared" si="38"/>
        <v>0.57600000000000018</v>
      </c>
      <c r="L1120" s="266" t="s">
        <v>1558</v>
      </c>
    </row>
    <row r="1121" spans="2:12">
      <c r="B1121" s="256" t="s">
        <v>1411</v>
      </c>
      <c r="C1121" s="250" t="s">
        <v>1611</v>
      </c>
      <c r="D1121" s="205" t="s">
        <v>110</v>
      </c>
      <c r="E1121" s="261">
        <v>0.45</v>
      </c>
      <c r="F1121" s="261">
        <v>0.3</v>
      </c>
      <c r="G1121" s="261">
        <v>3.6</v>
      </c>
      <c r="H1121" s="261">
        <v>1</v>
      </c>
      <c r="I1121" s="261"/>
      <c r="J1121" s="259"/>
      <c r="K1121" s="260">
        <f t="shared" si="38"/>
        <v>0.48600000000000004</v>
      </c>
      <c r="L1121" s="266" t="s">
        <v>1682</v>
      </c>
    </row>
    <row r="1122" spans="2:12">
      <c r="B1122" s="256" t="s">
        <v>1413</v>
      </c>
      <c r="C1122" s="250" t="s">
        <v>1611</v>
      </c>
      <c r="D1122" s="205" t="s">
        <v>110</v>
      </c>
      <c r="E1122" s="261">
        <v>0.55000000000000004</v>
      </c>
      <c r="F1122" s="261">
        <v>0.3</v>
      </c>
      <c r="G1122" s="261">
        <v>3.6</v>
      </c>
      <c r="H1122" s="261">
        <v>1</v>
      </c>
      <c r="I1122" s="261"/>
      <c r="J1122" s="259"/>
      <c r="K1122" s="260">
        <f t="shared" si="38"/>
        <v>0.59400000000000008</v>
      </c>
      <c r="L1122" s="266" t="s">
        <v>1682</v>
      </c>
    </row>
    <row r="1123" spans="2:12">
      <c r="B1123" s="256" t="s">
        <v>1415</v>
      </c>
      <c r="C1123" s="250" t="s">
        <v>1611</v>
      </c>
      <c r="D1123" s="205" t="s">
        <v>110</v>
      </c>
      <c r="E1123" s="261">
        <v>0.55000000000000004</v>
      </c>
      <c r="F1123" s="261">
        <v>0.3</v>
      </c>
      <c r="G1123" s="261">
        <v>3.6</v>
      </c>
      <c r="H1123" s="261">
        <v>1</v>
      </c>
      <c r="I1123" s="261"/>
      <c r="J1123" s="259"/>
      <c r="K1123" s="260">
        <f t="shared" si="38"/>
        <v>0.59400000000000008</v>
      </c>
      <c r="L1123" s="266" t="s">
        <v>1682</v>
      </c>
    </row>
    <row r="1124" spans="2:12">
      <c r="B1124" s="256" t="s">
        <v>1417</v>
      </c>
      <c r="C1124" s="250" t="s">
        <v>1611</v>
      </c>
      <c r="D1124" s="205" t="s">
        <v>110</v>
      </c>
      <c r="E1124" s="261">
        <v>0.45</v>
      </c>
      <c r="F1124" s="261">
        <v>0.3</v>
      </c>
      <c r="G1124" s="261">
        <v>3.6</v>
      </c>
      <c r="H1124" s="261">
        <v>1</v>
      </c>
      <c r="I1124" s="261"/>
      <c r="J1124" s="259"/>
      <c r="K1124" s="260">
        <f t="shared" si="38"/>
        <v>0.48600000000000004</v>
      </c>
      <c r="L1124" s="266" t="s">
        <v>1682</v>
      </c>
    </row>
    <row r="1125" spans="2:12">
      <c r="B1125" s="256" t="s">
        <v>1419</v>
      </c>
      <c r="C1125" s="250" t="s">
        <v>1611</v>
      </c>
      <c r="D1125" s="205" t="s">
        <v>110</v>
      </c>
      <c r="E1125" s="261">
        <v>0.2</v>
      </c>
      <c r="F1125" s="261">
        <v>0.8</v>
      </c>
      <c r="G1125" s="261">
        <v>3.6</v>
      </c>
      <c r="H1125" s="261">
        <v>1</v>
      </c>
      <c r="I1125" s="261"/>
      <c r="J1125" s="259"/>
      <c r="K1125" s="260">
        <f t="shared" si="38"/>
        <v>0.57600000000000018</v>
      </c>
      <c r="L1125" s="266" t="s">
        <v>1682</v>
      </c>
    </row>
    <row r="1126" spans="2:12">
      <c r="B1126" s="256" t="s">
        <v>1420</v>
      </c>
      <c r="C1126" s="250" t="s">
        <v>1611</v>
      </c>
      <c r="D1126" s="205" t="s">
        <v>110</v>
      </c>
      <c r="E1126" s="261">
        <v>0.3</v>
      </c>
      <c r="F1126" s="261">
        <v>0.8</v>
      </c>
      <c r="G1126" s="261">
        <v>3.6</v>
      </c>
      <c r="H1126" s="261">
        <v>1</v>
      </c>
      <c r="I1126" s="261"/>
      <c r="J1126" s="259"/>
      <c r="K1126" s="260">
        <f t="shared" si="38"/>
        <v>0.86399999999999999</v>
      </c>
      <c r="L1126" s="266" t="s">
        <v>1682</v>
      </c>
    </row>
    <row r="1127" spans="2:12">
      <c r="B1127" s="256" t="s">
        <v>1421</v>
      </c>
      <c r="C1127" s="250" t="s">
        <v>1611</v>
      </c>
      <c r="D1127" s="205" t="s">
        <v>110</v>
      </c>
      <c r="E1127" s="261">
        <v>0.2</v>
      </c>
      <c r="F1127" s="261">
        <v>0.8</v>
      </c>
      <c r="G1127" s="261">
        <v>3.6</v>
      </c>
      <c r="H1127" s="261">
        <v>1</v>
      </c>
      <c r="I1127" s="261"/>
      <c r="J1127" s="259"/>
      <c r="K1127" s="260">
        <f t="shared" si="38"/>
        <v>0.57600000000000018</v>
      </c>
      <c r="L1127" s="266" t="s">
        <v>1682</v>
      </c>
    </row>
    <row r="1128" spans="2:12">
      <c r="B1128" s="256" t="s">
        <v>1422</v>
      </c>
      <c r="C1128" s="250" t="s">
        <v>1611</v>
      </c>
      <c r="D1128" s="205" t="s">
        <v>110</v>
      </c>
      <c r="E1128" s="261">
        <v>0.3</v>
      </c>
      <c r="F1128" s="261">
        <v>0.8</v>
      </c>
      <c r="G1128" s="261">
        <v>3.6</v>
      </c>
      <c r="H1128" s="261">
        <v>1</v>
      </c>
      <c r="I1128" s="261"/>
      <c r="J1128" s="259"/>
      <c r="K1128" s="260">
        <f t="shared" si="38"/>
        <v>0.86399999999999999</v>
      </c>
      <c r="L1128" s="266" t="s">
        <v>1682</v>
      </c>
    </row>
    <row r="1129" spans="2:12">
      <c r="B1129" s="256" t="s">
        <v>1423</v>
      </c>
      <c r="C1129" s="250" t="s">
        <v>1611</v>
      </c>
      <c r="D1129" s="205" t="s">
        <v>110</v>
      </c>
      <c r="E1129" s="261">
        <v>0.4</v>
      </c>
      <c r="F1129" s="261">
        <v>0.7</v>
      </c>
      <c r="G1129" s="261">
        <v>3.6</v>
      </c>
      <c r="H1129" s="261">
        <v>1</v>
      </c>
      <c r="I1129" s="261"/>
      <c r="J1129" s="259"/>
      <c r="K1129" s="260">
        <f t="shared" si="38"/>
        <v>1.008</v>
      </c>
      <c r="L1129" s="266" t="s">
        <v>1682</v>
      </c>
    </row>
    <row r="1130" spans="2:12">
      <c r="B1130" s="256" t="s">
        <v>1424</v>
      </c>
      <c r="C1130" s="250" t="s">
        <v>1611</v>
      </c>
      <c r="D1130" s="205" t="s">
        <v>110</v>
      </c>
      <c r="E1130" s="261">
        <v>0.5</v>
      </c>
      <c r="F1130" s="261">
        <v>0.7</v>
      </c>
      <c r="G1130" s="261">
        <v>3.6</v>
      </c>
      <c r="H1130" s="261">
        <v>1</v>
      </c>
      <c r="I1130" s="261"/>
      <c r="J1130" s="259"/>
      <c r="K1130" s="260">
        <f t="shared" si="38"/>
        <v>1.26</v>
      </c>
      <c r="L1130" s="266" t="s">
        <v>1682</v>
      </c>
    </row>
    <row r="1131" spans="2:12">
      <c r="B1131" s="256" t="s">
        <v>1425</v>
      </c>
      <c r="C1131" s="250" t="s">
        <v>1611</v>
      </c>
      <c r="D1131" s="205" t="s">
        <v>110</v>
      </c>
      <c r="E1131" s="261">
        <v>0.5</v>
      </c>
      <c r="F1131" s="261">
        <v>0.7</v>
      </c>
      <c r="G1131" s="261">
        <v>3.6</v>
      </c>
      <c r="H1131" s="261">
        <v>1</v>
      </c>
      <c r="I1131" s="261"/>
      <c r="J1131" s="259"/>
      <c r="K1131" s="260">
        <f t="shared" si="38"/>
        <v>1.26</v>
      </c>
      <c r="L1131" s="266" t="s">
        <v>1682</v>
      </c>
    </row>
    <row r="1132" spans="2:12">
      <c r="B1132" s="256" t="s">
        <v>1426</v>
      </c>
      <c r="C1132" s="250" t="s">
        <v>1611</v>
      </c>
      <c r="D1132" s="205" t="s">
        <v>110</v>
      </c>
      <c r="E1132" s="261">
        <v>0.4</v>
      </c>
      <c r="F1132" s="261">
        <v>0.5</v>
      </c>
      <c r="G1132" s="261">
        <v>3.6</v>
      </c>
      <c r="H1132" s="261">
        <v>1</v>
      </c>
      <c r="I1132" s="261"/>
      <c r="J1132" s="259"/>
      <c r="K1132" s="260">
        <f t="shared" si="38"/>
        <v>0.72000000000000008</v>
      </c>
      <c r="L1132" s="266" t="s">
        <v>1682</v>
      </c>
    </row>
    <row r="1133" spans="2:12">
      <c r="B1133" s="256" t="s">
        <v>1485</v>
      </c>
      <c r="C1133" s="250" t="s">
        <v>1611</v>
      </c>
      <c r="D1133" s="205" t="s">
        <v>110</v>
      </c>
      <c r="E1133" s="261">
        <v>0.6</v>
      </c>
      <c r="F1133" s="261">
        <v>0.4</v>
      </c>
      <c r="G1133" s="261">
        <v>3.6</v>
      </c>
      <c r="H1133" s="261">
        <v>1</v>
      </c>
      <c r="I1133" s="261"/>
      <c r="J1133" s="259"/>
      <c r="K1133" s="260">
        <f t="shared" si="38"/>
        <v>0.86399999999999999</v>
      </c>
      <c r="L1133" s="266" t="s">
        <v>1682</v>
      </c>
    </row>
    <row r="1134" spans="2:12">
      <c r="B1134" s="256" t="s">
        <v>1486</v>
      </c>
      <c r="C1134" s="250" t="s">
        <v>1611</v>
      </c>
      <c r="D1134" s="205" t="s">
        <v>110</v>
      </c>
      <c r="E1134" s="261">
        <v>0.2</v>
      </c>
      <c r="F1134" s="261">
        <v>2.94</v>
      </c>
      <c r="G1134" s="261">
        <v>3.6</v>
      </c>
      <c r="H1134" s="261">
        <v>1</v>
      </c>
      <c r="I1134" s="261"/>
      <c r="J1134" s="259"/>
      <c r="K1134" s="260">
        <f t="shared" si="38"/>
        <v>2.1168</v>
      </c>
      <c r="L1134" s="266" t="s">
        <v>1682</v>
      </c>
    </row>
    <row r="1135" spans="2:12">
      <c r="B1135" s="256" t="s">
        <v>1487</v>
      </c>
      <c r="C1135" s="250" t="s">
        <v>1611</v>
      </c>
      <c r="D1135" s="205" t="s">
        <v>110</v>
      </c>
      <c r="E1135" s="261">
        <v>0.2</v>
      </c>
      <c r="F1135" s="261">
        <v>2.94</v>
      </c>
      <c r="G1135" s="261">
        <v>3.6</v>
      </c>
      <c r="H1135" s="261">
        <v>1</v>
      </c>
      <c r="I1135" s="261"/>
      <c r="J1135" s="259"/>
      <c r="K1135" s="260">
        <f t="shared" si="38"/>
        <v>2.1168</v>
      </c>
      <c r="L1135" s="266" t="s">
        <v>1682</v>
      </c>
    </row>
    <row r="1136" spans="2:12">
      <c r="B1136" s="256" t="s">
        <v>1488</v>
      </c>
      <c r="C1136" s="250" t="s">
        <v>1611</v>
      </c>
      <c r="D1136" s="205" t="s">
        <v>110</v>
      </c>
      <c r="E1136" s="261">
        <v>0.6</v>
      </c>
      <c r="F1136" s="261">
        <v>0.5</v>
      </c>
      <c r="G1136" s="261">
        <v>3.6</v>
      </c>
      <c r="H1136" s="261">
        <v>1</v>
      </c>
      <c r="I1136" s="261"/>
      <c r="J1136" s="259"/>
      <c r="K1136" s="260">
        <f t="shared" si="38"/>
        <v>1.08</v>
      </c>
      <c r="L1136" s="266" t="s">
        <v>1682</v>
      </c>
    </row>
    <row r="1137" spans="2:12">
      <c r="B1137" s="256" t="s">
        <v>1489</v>
      </c>
      <c r="C1137" s="250" t="s">
        <v>1611</v>
      </c>
      <c r="D1137" s="205" t="s">
        <v>110</v>
      </c>
      <c r="E1137" s="261">
        <v>0.4</v>
      </c>
      <c r="F1137" s="261">
        <v>0.4</v>
      </c>
      <c r="G1137" s="261">
        <v>3.6</v>
      </c>
      <c r="H1137" s="261">
        <v>1</v>
      </c>
      <c r="I1137" s="261"/>
      <c r="J1137" s="259"/>
      <c r="K1137" s="260">
        <f t="shared" si="38"/>
        <v>0.57600000000000018</v>
      </c>
      <c r="L1137" s="266" t="s">
        <v>1682</v>
      </c>
    </row>
    <row r="1138" spans="2:12">
      <c r="B1138" s="256" t="s">
        <v>1490</v>
      </c>
      <c r="C1138" s="250" t="s">
        <v>1611</v>
      </c>
      <c r="D1138" s="205" t="s">
        <v>110</v>
      </c>
      <c r="E1138" s="261">
        <v>0.2</v>
      </c>
      <c r="F1138" s="261">
        <v>0.8</v>
      </c>
      <c r="G1138" s="261">
        <v>3.6</v>
      </c>
      <c r="H1138" s="261">
        <v>1</v>
      </c>
      <c r="I1138" s="261"/>
      <c r="J1138" s="259"/>
      <c r="K1138" s="260">
        <f t="shared" si="38"/>
        <v>0.57600000000000018</v>
      </c>
      <c r="L1138" s="266" t="s">
        <v>1682</v>
      </c>
    </row>
    <row r="1139" spans="2:12">
      <c r="B1139" s="256" t="s">
        <v>1493</v>
      </c>
      <c r="C1139" s="250" t="s">
        <v>1611</v>
      </c>
      <c r="D1139" s="205" t="s">
        <v>110</v>
      </c>
      <c r="E1139" s="261">
        <v>0.4</v>
      </c>
      <c r="F1139" s="261">
        <v>0.4</v>
      </c>
      <c r="G1139" s="261">
        <v>3.6</v>
      </c>
      <c r="H1139" s="261">
        <v>1</v>
      </c>
      <c r="I1139" s="261"/>
      <c r="J1139" s="259"/>
      <c r="K1139" s="260">
        <f t="shared" si="38"/>
        <v>0.57600000000000018</v>
      </c>
      <c r="L1139" s="266" t="s">
        <v>1682</v>
      </c>
    </row>
    <row r="1140" spans="2:12">
      <c r="B1140" s="256" t="s">
        <v>1494</v>
      </c>
      <c r="C1140" s="250" t="s">
        <v>1611</v>
      </c>
      <c r="D1140" s="205" t="s">
        <v>110</v>
      </c>
      <c r="E1140" s="261">
        <v>0.4</v>
      </c>
      <c r="F1140" s="261">
        <v>0.4</v>
      </c>
      <c r="G1140" s="261">
        <v>3.6</v>
      </c>
      <c r="H1140" s="261">
        <v>1</v>
      </c>
      <c r="I1140" s="261"/>
      <c r="J1140" s="259"/>
      <c r="K1140" s="260">
        <f t="shared" si="38"/>
        <v>0.57600000000000018</v>
      </c>
      <c r="L1140" s="266" t="s">
        <v>1682</v>
      </c>
    </row>
    <row r="1141" spans="2:12">
      <c r="B1141" s="256" t="s">
        <v>1495</v>
      </c>
      <c r="C1141" s="250" t="s">
        <v>1611</v>
      </c>
      <c r="D1141" s="205" t="s">
        <v>110</v>
      </c>
      <c r="E1141" s="261">
        <v>0.4</v>
      </c>
      <c r="F1141" s="261">
        <v>0.4</v>
      </c>
      <c r="G1141" s="261">
        <v>3.6</v>
      </c>
      <c r="H1141" s="261">
        <v>1</v>
      </c>
      <c r="I1141" s="261"/>
      <c r="J1141" s="259"/>
      <c r="K1141" s="260">
        <f t="shared" si="38"/>
        <v>0.57600000000000018</v>
      </c>
      <c r="L1141" s="266" t="s">
        <v>1682</v>
      </c>
    </row>
    <row r="1142" spans="2:12">
      <c r="B1142" s="256" t="s">
        <v>1389</v>
      </c>
      <c r="C1142" s="264" t="s">
        <v>1612</v>
      </c>
      <c r="D1142" s="210" t="s">
        <v>110</v>
      </c>
      <c r="E1142" s="261">
        <v>0.5</v>
      </c>
      <c r="F1142" s="261">
        <v>0.4</v>
      </c>
      <c r="G1142" s="261">
        <v>3.6</v>
      </c>
      <c r="H1142" s="261">
        <v>1</v>
      </c>
      <c r="I1142" s="261"/>
      <c r="J1142" s="259"/>
      <c r="K1142" s="260">
        <f t="shared" si="38"/>
        <v>0.72000000000000008</v>
      </c>
      <c r="L1142" s="266" t="s">
        <v>1683</v>
      </c>
    </row>
    <row r="1143" spans="2:12">
      <c r="B1143" s="256" t="s">
        <v>1390</v>
      </c>
      <c r="C1143" s="264" t="s">
        <v>1612</v>
      </c>
      <c r="D1143" s="210" t="s">
        <v>110</v>
      </c>
      <c r="E1143" s="261">
        <v>1</v>
      </c>
      <c r="F1143" s="261">
        <v>0.2</v>
      </c>
      <c r="G1143" s="261">
        <v>3.6</v>
      </c>
      <c r="H1143" s="261">
        <v>1</v>
      </c>
      <c r="I1143" s="261"/>
      <c r="J1143" s="259"/>
      <c r="K1143" s="260">
        <f t="shared" ref="K1143:K1174" si="39">IF(E1143*F1143*G1143&lt;&gt;0,E1143*F1143*G1143,IF(E1143*F1143&lt;&gt;0,E1143*F1143,IF(F1143*G1143&lt;&gt;0,F1143*G1143,IF(E1143*G1143&lt;&gt;0,E1143*G1143,IF(E1143&lt;&gt;0,E1143,IF(F1143&lt;&gt;0,F1143,IF(G1143&lt;&gt;0,G1143,0)))))))*(IF(H1143&lt;&gt;0,H1143,1))+I1143-J1143</f>
        <v>0.72000000000000008</v>
      </c>
      <c r="L1143" s="266" t="s">
        <v>1683</v>
      </c>
    </row>
    <row r="1144" spans="2:12">
      <c r="B1144" s="256" t="s">
        <v>1391</v>
      </c>
      <c r="C1144" s="264" t="s">
        <v>1612</v>
      </c>
      <c r="D1144" s="210" t="s">
        <v>110</v>
      </c>
      <c r="E1144" s="261">
        <v>1</v>
      </c>
      <c r="F1144" s="261">
        <v>0.2</v>
      </c>
      <c r="G1144" s="261">
        <v>3.6</v>
      </c>
      <c r="H1144" s="261">
        <v>1</v>
      </c>
      <c r="I1144" s="261"/>
      <c r="J1144" s="259"/>
      <c r="K1144" s="260">
        <f t="shared" si="39"/>
        <v>0.72000000000000008</v>
      </c>
      <c r="L1144" s="266" t="s">
        <v>1683</v>
      </c>
    </row>
    <row r="1145" spans="2:12">
      <c r="B1145" s="256" t="s">
        <v>1392</v>
      </c>
      <c r="C1145" s="264" t="s">
        <v>1612</v>
      </c>
      <c r="D1145" s="210" t="s">
        <v>110</v>
      </c>
      <c r="E1145" s="261">
        <v>0.4</v>
      </c>
      <c r="F1145" s="261">
        <v>0.4</v>
      </c>
      <c r="G1145" s="261">
        <v>3.6</v>
      </c>
      <c r="H1145" s="261">
        <v>1</v>
      </c>
      <c r="I1145" s="261"/>
      <c r="J1145" s="259"/>
      <c r="K1145" s="260">
        <f t="shared" si="39"/>
        <v>0.57600000000000018</v>
      </c>
      <c r="L1145" s="266" t="s">
        <v>1683</v>
      </c>
    </row>
    <row r="1146" spans="2:12">
      <c r="B1146" s="256" t="s">
        <v>1394</v>
      </c>
      <c r="C1146" s="264" t="s">
        <v>1612</v>
      </c>
      <c r="D1146" s="210" t="s">
        <v>110</v>
      </c>
      <c r="E1146" s="261">
        <v>0.4</v>
      </c>
      <c r="F1146" s="261">
        <v>0.4</v>
      </c>
      <c r="G1146" s="261">
        <v>3.6</v>
      </c>
      <c r="H1146" s="261">
        <v>1</v>
      </c>
      <c r="I1146" s="261"/>
      <c r="J1146" s="259"/>
      <c r="K1146" s="260">
        <f t="shared" si="39"/>
        <v>0.57600000000000018</v>
      </c>
      <c r="L1146" s="266" t="s">
        <v>1683</v>
      </c>
    </row>
    <row r="1147" spans="2:12">
      <c r="B1147" s="256" t="s">
        <v>1395</v>
      </c>
      <c r="C1147" s="264" t="s">
        <v>1612</v>
      </c>
      <c r="D1147" s="210" t="s">
        <v>110</v>
      </c>
      <c r="E1147" s="261">
        <v>0.5</v>
      </c>
      <c r="F1147" s="261">
        <v>0.4</v>
      </c>
      <c r="G1147" s="261">
        <v>3.6</v>
      </c>
      <c r="H1147" s="261">
        <v>1</v>
      </c>
      <c r="I1147" s="261"/>
      <c r="J1147" s="259"/>
      <c r="K1147" s="260">
        <f t="shared" si="39"/>
        <v>0.72000000000000008</v>
      </c>
      <c r="L1147" s="266" t="s">
        <v>1683</v>
      </c>
    </row>
    <row r="1148" spans="2:12">
      <c r="B1148" s="256" t="s">
        <v>1396</v>
      </c>
      <c r="C1148" s="264" t="s">
        <v>1612</v>
      </c>
      <c r="D1148" s="210" t="s">
        <v>110</v>
      </c>
      <c r="E1148" s="261">
        <v>0.5</v>
      </c>
      <c r="F1148" s="261">
        <v>0.4</v>
      </c>
      <c r="G1148" s="261">
        <v>3.6</v>
      </c>
      <c r="H1148" s="261">
        <v>1</v>
      </c>
      <c r="I1148" s="261"/>
      <c r="J1148" s="259"/>
      <c r="K1148" s="260">
        <f t="shared" si="39"/>
        <v>0.72000000000000008</v>
      </c>
      <c r="L1148" s="266" t="s">
        <v>1683</v>
      </c>
    </row>
    <row r="1149" spans="2:12">
      <c r="B1149" s="256" t="s">
        <v>1397</v>
      </c>
      <c r="C1149" s="264" t="s">
        <v>1612</v>
      </c>
      <c r="D1149" s="210" t="s">
        <v>110</v>
      </c>
      <c r="E1149" s="261">
        <v>1</v>
      </c>
      <c r="F1149" s="261">
        <v>0.2</v>
      </c>
      <c r="G1149" s="261">
        <v>3.6</v>
      </c>
      <c r="H1149" s="261">
        <v>1</v>
      </c>
      <c r="I1149" s="261"/>
      <c r="J1149" s="259"/>
      <c r="K1149" s="260">
        <f t="shared" si="39"/>
        <v>0.72000000000000008</v>
      </c>
      <c r="L1149" s="266" t="s">
        <v>1683</v>
      </c>
    </row>
    <row r="1150" spans="2:12">
      <c r="B1150" s="256" t="s">
        <v>1399</v>
      </c>
      <c r="C1150" s="264" t="s">
        <v>1612</v>
      </c>
      <c r="D1150" s="210" t="s">
        <v>110</v>
      </c>
      <c r="E1150" s="261">
        <v>0.4</v>
      </c>
      <c r="F1150" s="261">
        <v>0.4</v>
      </c>
      <c r="G1150" s="261">
        <v>3.6</v>
      </c>
      <c r="H1150" s="261">
        <v>1</v>
      </c>
      <c r="I1150" s="261"/>
      <c r="J1150" s="259"/>
      <c r="K1150" s="260">
        <f t="shared" si="39"/>
        <v>0.57600000000000018</v>
      </c>
      <c r="L1150" s="266" t="s">
        <v>1683</v>
      </c>
    </row>
    <row r="1151" spans="2:12">
      <c r="B1151" s="256" t="s">
        <v>1400</v>
      </c>
      <c r="C1151" s="264" t="s">
        <v>1612</v>
      </c>
      <c r="D1151" s="210" t="s">
        <v>110</v>
      </c>
      <c r="E1151" s="261">
        <v>0.5</v>
      </c>
      <c r="F1151" s="261">
        <v>0.4</v>
      </c>
      <c r="G1151" s="261">
        <v>3.6</v>
      </c>
      <c r="H1151" s="261">
        <v>1</v>
      </c>
      <c r="I1151" s="261"/>
      <c r="J1151" s="259"/>
      <c r="K1151" s="260">
        <f t="shared" si="39"/>
        <v>0.72000000000000008</v>
      </c>
      <c r="L1151" s="266" t="s">
        <v>1683</v>
      </c>
    </row>
    <row r="1152" spans="2:12">
      <c r="B1152" s="256" t="s">
        <v>1401</v>
      </c>
      <c r="C1152" s="264" t="s">
        <v>1612</v>
      </c>
      <c r="D1152" s="210" t="s">
        <v>110</v>
      </c>
      <c r="E1152" s="261">
        <v>0.5</v>
      </c>
      <c r="F1152" s="261">
        <v>0.4</v>
      </c>
      <c r="G1152" s="261">
        <v>3.6</v>
      </c>
      <c r="H1152" s="261">
        <v>1</v>
      </c>
      <c r="I1152" s="261"/>
      <c r="J1152" s="259"/>
      <c r="K1152" s="260">
        <f t="shared" si="39"/>
        <v>0.72000000000000008</v>
      </c>
      <c r="L1152" s="266" t="s">
        <v>1683</v>
      </c>
    </row>
    <row r="1153" spans="2:12">
      <c r="B1153" s="256" t="s">
        <v>1402</v>
      </c>
      <c r="C1153" s="264" t="s">
        <v>1612</v>
      </c>
      <c r="D1153" s="210" t="s">
        <v>110</v>
      </c>
      <c r="E1153" s="261">
        <v>1</v>
      </c>
      <c r="F1153" s="261">
        <v>0.2</v>
      </c>
      <c r="G1153" s="261">
        <v>3.6</v>
      </c>
      <c r="H1153" s="261">
        <v>1</v>
      </c>
      <c r="I1153" s="261"/>
      <c r="J1153" s="259"/>
      <c r="K1153" s="260">
        <f t="shared" si="39"/>
        <v>0.72000000000000008</v>
      </c>
      <c r="L1153" s="266" t="s">
        <v>1683</v>
      </c>
    </row>
    <row r="1154" spans="2:12">
      <c r="B1154" s="256" t="s">
        <v>1404</v>
      </c>
      <c r="C1154" s="264" t="s">
        <v>1612</v>
      </c>
      <c r="D1154" s="210" t="s">
        <v>110</v>
      </c>
      <c r="E1154" s="261">
        <v>0.2</v>
      </c>
      <c r="F1154" s="261">
        <v>0.6</v>
      </c>
      <c r="G1154" s="261">
        <v>3.6</v>
      </c>
      <c r="H1154" s="261">
        <v>1</v>
      </c>
      <c r="I1154" s="261"/>
      <c r="J1154" s="259"/>
      <c r="K1154" s="260">
        <f t="shared" si="39"/>
        <v>0.432</v>
      </c>
      <c r="L1154" s="266" t="s">
        <v>1683</v>
      </c>
    </row>
    <row r="1155" spans="2:12">
      <c r="B1155" s="256" t="s">
        <v>1405</v>
      </c>
      <c r="C1155" s="264" t="s">
        <v>1612</v>
      </c>
      <c r="D1155" s="210" t="s">
        <v>110</v>
      </c>
      <c r="E1155" s="261">
        <v>0.2</v>
      </c>
      <c r="F1155" s="261">
        <v>0.6</v>
      </c>
      <c r="G1155" s="261">
        <v>3.6</v>
      </c>
      <c r="H1155" s="261">
        <v>1</v>
      </c>
      <c r="I1155" s="261"/>
      <c r="J1155" s="259"/>
      <c r="K1155" s="260">
        <f t="shared" si="39"/>
        <v>0.432</v>
      </c>
      <c r="L1155" s="266" t="s">
        <v>1683</v>
      </c>
    </row>
    <row r="1156" spans="2:12">
      <c r="B1156" s="256" t="s">
        <v>1406</v>
      </c>
      <c r="C1156" s="264" t="s">
        <v>1612</v>
      </c>
      <c r="D1156" s="210" t="s">
        <v>110</v>
      </c>
      <c r="E1156" s="261">
        <v>0.4</v>
      </c>
      <c r="F1156" s="261">
        <v>0.4</v>
      </c>
      <c r="G1156" s="261">
        <v>3.6</v>
      </c>
      <c r="H1156" s="261">
        <v>1</v>
      </c>
      <c r="I1156" s="261"/>
      <c r="J1156" s="259"/>
      <c r="K1156" s="260">
        <f t="shared" si="39"/>
        <v>0.57600000000000018</v>
      </c>
      <c r="L1156" s="266" t="s">
        <v>1683</v>
      </c>
    </row>
    <row r="1157" spans="2:12">
      <c r="B1157" s="256" t="s">
        <v>1407</v>
      </c>
      <c r="C1157" s="264" t="s">
        <v>1612</v>
      </c>
      <c r="D1157" s="210" t="s">
        <v>110</v>
      </c>
      <c r="E1157" s="261">
        <v>0.5</v>
      </c>
      <c r="F1157" s="261">
        <v>0.4</v>
      </c>
      <c r="G1157" s="261">
        <v>3.6</v>
      </c>
      <c r="H1157" s="261">
        <v>1</v>
      </c>
      <c r="I1157" s="261"/>
      <c r="J1157" s="259"/>
      <c r="K1157" s="260">
        <f t="shared" si="39"/>
        <v>0.72000000000000008</v>
      </c>
      <c r="L1157" s="266" t="s">
        <v>1683</v>
      </c>
    </row>
    <row r="1158" spans="2:12">
      <c r="B1158" s="256" t="s">
        <v>1408</v>
      </c>
      <c r="C1158" s="264" t="s">
        <v>1612</v>
      </c>
      <c r="D1158" s="210" t="s">
        <v>110</v>
      </c>
      <c r="E1158" s="261">
        <v>0.5</v>
      </c>
      <c r="F1158" s="261">
        <v>0.4</v>
      </c>
      <c r="G1158" s="261">
        <v>3.6</v>
      </c>
      <c r="H1158" s="261">
        <v>1</v>
      </c>
      <c r="I1158" s="261"/>
      <c r="J1158" s="259"/>
      <c r="K1158" s="260">
        <f t="shared" si="39"/>
        <v>0.72000000000000008</v>
      </c>
      <c r="L1158" s="266" t="s">
        <v>1683</v>
      </c>
    </row>
    <row r="1159" spans="2:12">
      <c r="B1159" s="256" t="s">
        <v>1409</v>
      </c>
      <c r="C1159" s="264" t="s">
        <v>1612</v>
      </c>
      <c r="D1159" s="210" t="s">
        <v>110</v>
      </c>
      <c r="E1159" s="261">
        <v>0.2</v>
      </c>
      <c r="F1159" s="261">
        <v>1</v>
      </c>
      <c r="G1159" s="261">
        <v>3.6</v>
      </c>
      <c r="H1159" s="261">
        <v>1</v>
      </c>
      <c r="I1159" s="261"/>
      <c r="J1159" s="259"/>
      <c r="K1159" s="260">
        <f t="shared" si="39"/>
        <v>0.72000000000000008</v>
      </c>
      <c r="L1159" s="266" t="s">
        <v>1683</v>
      </c>
    </row>
    <row r="1160" spans="2:12">
      <c r="B1160" s="256" t="s">
        <v>1410</v>
      </c>
      <c r="C1160" s="264" t="s">
        <v>1612</v>
      </c>
      <c r="D1160" s="210" t="s">
        <v>110</v>
      </c>
      <c r="E1160" s="261">
        <v>0.45</v>
      </c>
      <c r="F1160" s="261">
        <v>0.3</v>
      </c>
      <c r="G1160" s="261">
        <v>3.6</v>
      </c>
      <c r="H1160" s="261">
        <v>1</v>
      </c>
      <c r="I1160" s="261"/>
      <c r="J1160" s="259"/>
      <c r="K1160" s="260">
        <f t="shared" si="39"/>
        <v>0.48600000000000004</v>
      </c>
      <c r="L1160" s="266" t="s">
        <v>1683</v>
      </c>
    </row>
    <row r="1161" spans="2:12">
      <c r="B1161" s="256" t="s">
        <v>1412</v>
      </c>
      <c r="C1161" s="264" t="s">
        <v>1612</v>
      </c>
      <c r="D1161" s="210" t="s">
        <v>110</v>
      </c>
      <c r="E1161" s="261">
        <v>0.55000000000000004</v>
      </c>
      <c r="F1161" s="261">
        <v>0.3</v>
      </c>
      <c r="G1161" s="261">
        <v>3.6</v>
      </c>
      <c r="H1161" s="261">
        <v>1</v>
      </c>
      <c r="I1161" s="261"/>
      <c r="J1161" s="259"/>
      <c r="K1161" s="260">
        <f t="shared" si="39"/>
        <v>0.59400000000000008</v>
      </c>
      <c r="L1161" s="266" t="s">
        <v>1683</v>
      </c>
    </row>
    <row r="1162" spans="2:12">
      <c r="B1162" s="256" t="s">
        <v>1414</v>
      </c>
      <c r="C1162" s="264" t="s">
        <v>1612</v>
      </c>
      <c r="D1162" s="210" t="s">
        <v>110</v>
      </c>
      <c r="E1162" s="261">
        <v>0.55000000000000004</v>
      </c>
      <c r="F1162" s="261">
        <v>0.3</v>
      </c>
      <c r="G1162" s="261">
        <v>3.6</v>
      </c>
      <c r="H1162" s="261">
        <v>1</v>
      </c>
      <c r="I1162" s="261"/>
      <c r="J1162" s="259"/>
      <c r="K1162" s="260">
        <f t="shared" si="39"/>
        <v>0.59400000000000008</v>
      </c>
      <c r="L1162" s="266" t="s">
        <v>1683</v>
      </c>
    </row>
    <row r="1163" spans="2:12">
      <c r="B1163" s="256" t="s">
        <v>1416</v>
      </c>
      <c r="C1163" s="264" t="s">
        <v>1612</v>
      </c>
      <c r="D1163" s="210" t="s">
        <v>110</v>
      </c>
      <c r="E1163" s="261">
        <v>0.45</v>
      </c>
      <c r="F1163" s="261">
        <v>0.3</v>
      </c>
      <c r="G1163" s="261">
        <v>3.6</v>
      </c>
      <c r="H1163" s="261">
        <v>1</v>
      </c>
      <c r="I1163" s="261"/>
      <c r="J1163" s="259"/>
      <c r="K1163" s="260">
        <f t="shared" si="39"/>
        <v>0.48600000000000004</v>
      </c>
      <c r="L1163" s="266" t="s">
        <v>1683</v>
      </c>
    </row>
    <row r="1164" spans="2:12">
      <c r="B1164" s="256" t="s">
        <v>1418</v>
      </c>
      <c r="C1164" s="264" t="s">
        <v>1612</v>
      </c>
      <c r="D1164" s="210" t="s">
        <v>110</v>
      </c>
      <c r="E1164" s="261">
        <v>0.2</v>
      </c>
      <c r="F1164" s="261">
        <v>0.8</v>
      </c>
      <c r="G1164" s="261">
        <v>3.6</v>
      </c>
      <c r="H1164" s="261">
        <v>1</v>
      </c>
      <c r="I1164" s="261"/>
      <c r="J1164" s="259"/>
      <c r="K1164" s="260">
        <f t="shared" si="39"/>
        <v>0.57600000000000018</v>
      </c>
      <c r="L1164" s="266" t="s">
        <v>1683</v>
      </c>
    </row>
    <row r="1165" spans="2:12">
      <c r="B1165" s="256" t="s">
        <v>1411</v>
      </c>
      <c r="C1165" s="264" t="s">
        <v>1612</v>
      </c>
      <c r="D1165" s="205" t="s">
        <v>110</v>
      </c>
      <c r="E1165" s="261">
        <v>0.45</v>
      </c>
      <c r="F1165" s="261">
        <v>0.3</v>
      </c>
      <c r="G1165" s="261">
        <v>3.6</v>
      </c>
      <c r="H1165" s="261">
        <v>1</v>
      </c>
      <c r="I1165" s="261"/>
      <c r="J1165" s="259"/>
      <c r="K1165" s="260">
        <f t="shared" si="39"/>
        <v>0.48600000000000004</v>
      </c>
      <c r="L1165" s="266" t="s">
        <v>1682</v>
      </c>
    </row>
    <row r="1166" spans="2:12">
      <c r="B1166" s="256" t="s">
        <v>1413</v>
      </c>
      <c r="C1166" s="264" t="s">
        <v>1612</v>
      </c>
      <c r="D1166" s="205" t="s">
        <v>110</v>
      </c>
      <c r="E1166" s="261">
        <v>0.55000000000000004</v>
      </c>
      <c r="F1166" s="261">
        <v>0.3</v>
      </c>
      <c r="G1166" s="261">
        <v>3.6</v>
      </c>
      <c r="H1166" s="261">
        <v>1</v>
      </c>
      <c r="I1166" s="261"/>
      <c r="J1166" s="259"/>
      <c r="K1166" s="260">
        <f t="shared" si="39"/>
        <v>0.59400000000000008</v>
      </c>
      <c r="L1166" s="266" t="s">
        <v>1682</v>
      </c>
    </row>
    <row r="1167" spans="2:12">
      <c r="B1167" s="256" t="s">
        <v>1415</v>
      </c>
      <c r="C1167" s="264" t="s">
        <v>1612</v>
      </c>
      <c r="D1167" s="205" t="s">
        <v>110</v>
      </c>
      <c r="E1167" s="261">
        <v>0.55000000000000004</v>
      </c>
      <c r="F1167" s="261">
        <v>0.3</v>
      </c>
      <c r="G1167" s="261">
        <v>3.6</v>
      </c>
      <c r="H1167" s="261">
        <v>1</v>
      </c>
      <c r="I1167" s="261"/>
      <c r="J1167" s="259"/>
      <c r="K1167" s="260">
        <f t="shared" si="39"/>
        <v>0.59400000000000008</v>
      </c>
      <c r="L1167" s="266" t="s">
        <v>1682</v>
      </c>
    </row>
    <row r="1168" spans="2:12">
      <c r="B1168" s="256" t="s">
        <v>1417</v>
      </c>
      <c r="C1168" s="264" t="s">
        <v>1612</v>
      </c>
      <c r="D1168" s="205" t="s">
        <v>110</v>
      </c>
      <c r="E1168" s="261">
        <v>0.45</v>
      </c>
      <c r="F1168" s="261">
        <v>0.3</v>
      </c>
      <c r="G1168" s="261">
        <v>3.6</v>
      </c>
      <c r="H1168" s="261">
        <v>1</v>
      </c>
      <c r="I1168" s="261"/>
      <c r="J1168" s="259"/>
      <c r="K1168" s="260">
        <f t="shared" si="39"/>
        <v>0.48600000000000004</v>
      </c>
      <c r="L1168" s="266" t="s">
        <v>1682</v>
      </c>
    </row>
    <row r="1169" spans="2:12">
      <c r="B1169" s="256" t="s">
        <v>1419</v>
      </c>
      <c r="C1169" s="264" t="s">
        <v>1612</v>
      </c>
      <c r="D1169" s="205" t="s">
        <v>110</v>
      </c>
      <c r="E1169" s="261">
        <v>0.2</v>
      </c>
      <c r="F1169" s="261">
        <v>0.8</v>
      </c>
      <c r="G1169" s="261">
        <v>3.6</v>
      </c>
      <c r="H1169" s="261">
        <v>1</v>
      </c>
      <c r="I1169" s="261"/>
      <c r="J1169" s="259"/>
      <c r="K1169" s="260">
        <f t="shared" si="39"/>
        <v>0.57600000000000018</v>
      </c>
      <c r="L1169" s="266" t="s">
        <v>1682</v>
      </c>
    </row>
    <row r="1170" spans="2:12">
      <c r="B1170" s="256" t="s">
        <v>1420</v>
      </c>
      <c r="C1170" s="264" t="s">
        <v>1612</v>
      </c>
      <c r="D1170" s="205" t="s">
        <v>110</v>
      </c>
      <c r="E1170" s="261">
        <v>0.3</v>
      </c>
      <c r="F1170" s="261">
        <v>0.8</v>
      </c>
      <c r="G1170" s="261">
        <v>3.6</v>
      </c>
      <c r="H1170" s="261">
        <v>1</v>
      </c>
      <c r="I1170" s="261"/>
      <c r="J1170" s="259"/>
      <c r="K1170" s="260">
        <f t="shared" si="39"/>
        <v>0.86399999999999999</v>
      </c>
      <c r="L1170" s="266" t="s">
        <v>1682</v>
      </c>
    </row>
    <row r="1171" spans="2:12">
      <c r="B1171" s="256" t="s">
        <v>1421</v>
      </c>
      <c r="C1171" s="264" t="s">
        <v>1612</v>
      </c>
      <c r="D1171" s="205" t="s">
        <v>110</v>
      </c>
      <c r="E1171" s="261">
        <v>0.2</v>
      </c>
      <c r="F1171" s="261">
        <v>0.8</v>
      </c>
      <c r="G1171" s="261">
        <v>3.6</v>
      </c>
      <c r="H1171" s="261">
        <v>1</v>
      </c>
      <c r="I1171" s="261"/>
      <c r="J1171" s="259"/>
      <c r="K1171" s="260">
        <f t="shared" si="39"/>
        <v>0.57600000000000018</v>
      </c>
      <c r="L1171" s="266" t="s">
        <v>1682</v>
      </c>
    </row>
    <row r="1172" spans="2:12">
      <c r="B1172" s="256" t="s">
        <v>1422</v>
      </c>
      <c r="C1172" s="264" t="s">
        <v>1612</v>
      </c>
      <c r="D1172" s="205" t="s">
        <v>110</v>
      </c>
      <c r="E1172" s="261">
        <v>0.3</v>
      </c>
      <c r="F1172" s="261">
        <v>0.8</v>
      </c>
      <c r="G1172" s="261">
        <v>3.6</v>
      </c>
      <c r="H1172" s="261">
        <v>1</v>
      </c>
      <c r="I1172" s="261"/>
      <c r="J1172" s="259"/>
      <c r="K1172" s="260">
        <f t="shared" si="39"/>
        <v>0.86399999999999999</v>
      </c>
      <c r="L1172" s="266" t="s">
        <v>1682</v>
      </c>
    </row>
    <row r="1173" spans="2:12">
      <c r="B1173" s="256" t="s">
        <v>1423</v>
      </c>
      <c r="C1173" s="264" t="s">
        <v>1612</v>
      </c>
      <c r="D1173" s="205" t="s">
        <v>110</v>
      </c>
      <c r="E1173" s="261">
        <v>0.4</v>
      </c>
      <c r="F1173" s="261">
        <v>0.7</v>
      </c>
      <c r="G1173" s="261">
        <v>3.6</v>
      </c>
      <c r="H1173" s="261">
        <v>1</v>
      </c>
      <c r="I1173" s="261"/>
      <c r="J1173" s="259"/>
      <c r="K1173" s="260">
        <f t="shared" si="39"/>
        <v>1.008</v>
      </c>
      <c r="L1173" s="266" t="s">
        <v>1682</v>
      </c>
    </row>
    <row r="1174" spans="2:12">
      <c r="B1174" s="256" t="s">
        <v>1424</v>
      </c>
      <c r="C1174" s="264" t="s">
        <v>1612</v>
      </c>
      <c r="D1174" s="205" t="s">
        <v>110</v>
      </c>
      <c r="E1174" s="261">
        <v>0.5</v>
      </c>
      <c r="F1174" s="261">
        <v>0.7</v>
      </c>
      <c r="G1174" s="261">
        <v>3.6</v>
      </c>
      <c r="H1174" s="261">
        <v>1</v>
      </c>
      <c r="I1174" s="261"/>
      <c r="J1174" s="259"/>
      <c r="K1174" s="260">
        <f t="shared" si="39"/>
        <v>1.26</v>
      </c>
      <c r="L1174" s="266" t="s">
        <v>1682</v>
      </c>
    </row>
    <row r="1175" spans="2:12">
      <c r="B1175" s="256" t="s">
        <v>1425</v>
      </c>
      <c r="C1175" s="264" t="s">
        <v>1612</v>
      </c>
      <c r="D1175" s="205" t="s">
        <v>110</v>
      </c>
      <c r="E1175" s="261">
        <v>0.5</v>
      </c>
      <c r="F1175" s="261">
        <v>0.7</v>
      </c>
      <c r="G1175" s="261">
        <v>3.6</v>
      </c>
      <c r="H1175" s="261">
        <v>1</v>
      </c>
      <c r="I1175" s="261"/>
      <c r="J1175" s="259"/>
      <c r="K1175" s="260">
        <f t="shared" ref="K1175:K1177" si="40">IF(E1175*F1175*G1175&lt;&gt;0,E1175*F1175*G1175,IF(E1175*F1175&lt;&gt;0,E1175*F1175,IF(F1175*G1175&lt;&gt;0,F1175*G1175,IF(E1175*G1175&lt;&gt;0,E1175*G1175,IF(E1175&lt;&gt;0,E1175,IF(F1175&lt;&gt;0,F1175,IF(G1175&lt;&gt;0,G1175,0)))))))*(IF(H1175&lt;&gt;0,H1175,1))+I1175-J1175</f>
        <v>1.26</v>
      </c>
      <c r="L1175" s="266" t="s">
        <v>1682</v>
      </c>
    </row>
    <row r="1176" spans="2:12">
      <c r="B1176" s="256" t="s">
        <v>1426</v>
      </c>
      <c r="C1176" s="264" t="s">
        <v>1612</v>
      </c>
      <c r="D1176" s="205" t="s">
        <v>110</v>
      </c>
      <c r="E1176" s="261">
        <v>0.4</v>
      </c>
      <c r="F1176" s="261">
        <v>0.5</v>
      </c>
      <c r="G1176" s="261">
        <v>3.6</v>
      </c>
      <c r="H1176" s="261">
        <v>1</v>
      </c>
      <c r="I1176" s="261"/>
      <c r="J1176" s="259"/>
      <c r="K1176" s="260">
        <f t="shared" si="40"/>
        <v>0.72000000000000008</v>
      </c>
      <c r="L1176" s="266" t="s">
        <v>1682</v>
      </c>
    </row>
    <row r="1177" spans="2:12">
      <c r="B1177" s="256"/>
      <c r="C1177" s="210"/>
      <c r="D1177" s="210"/>
      <c r="E1177" s="261"/>
      <c r="F1177" s="261"/>
      <c r="G1177" s="261"/>
      <c r="H1177" s="261"/>
      <c r="I1177" s="261"/>
      <c r="J1177" s="259"/>
      <c r="K1177" s="260">
        <f t="shared" si="40"/>
        <v>0</v>
      </c>
      <c r="L1177" s="210"/>
    </row>
    <row r="1178" spans="2:12">
      <c r="B1178" s="202"/>
      <c r="C1178" s="203"/>
      <c r="D1178" s="203"/>
      <c r="E1178" s="203"/>
      <c r="F1178" s="203"/>
      <c r="G1178" s="203"/>
      <c r="H1178" s="204"/>
      <c r="I1178" s="556" t="s">
        <v>1221</v>
      </c>
      <c r="J1178" s="556"/>
      <c r="K1178" s="220">
        <f>SUM(K1015:K1177)</f>
        <v>129.28271999999984</v>
      </c>
      <c r="L1178" s="207"/>
    </row>
    <row r="1179" spans="2:12">
      <c r="B1179" s="208"/>
      <c r="C1179" s="204"/>
      <c r="D1179" s="204"/>
      <c r="E1179" s="204"/>
      <c r="F1179" s="204"/>
      <c r="G1179" s="204"/>
      <c r="H1179" s="209"/>
      <c r="I1179" s="556" t="s">
        <v>1222</v>
      </c>
      <c r="J1179" s="556"/>
      <c r="K1179" s="221">
        <f>VLOOKUP(B1013,'BM 004'!$B$27:$R$590,4,0)</f>
        <v>226.93</v>
      </c>
      <c r="L1179" s="207"/>
    </row>
    <row r="1180" spans="2:12">
      <c r="B1180" s="208"/>
      <c r="C1180" s="204"/>
      <c r="D1180" s="204"/>
      <c r="E1180" s="204"/>
      <c r="F1180" s="204"/>
      <c r="G1180" s="204"/>
      <c r="H1180" s="558" t="s">
        <v>1223</v>
      </c>
      <c r="I1180" s="558"/>
      <c r="J1180" s="558"/>
      <c r="K1180" s="222">
        <v>105.45471999999999</v>
      </c>
      <c r="L1180" s="207"/>
    </row>
    <row r="1181" spans="2:12">
      <c r="B1181" s="208"/>
      <c r="C1181" s="204"/>
      <c r="D1181" s="204"/>
      <c r="E1181" s="204"/>
      <c r="F1181" s="204"/>
      <c r="G1181" s="204"/>
      <c r="H1181" s="558" t="s">
        <v>1592</v>
      </c>
      <c r="I1181" s="558"/>
      <c r="J1181" s="558"/>
      <c r="K1181" s="222">
        <f>TRUNC(SUMIF(C1015:C1177,H1181,K1015:K1177),2)</f>
        <v>23.83</v>
      </c>
      <c r="L1181" s="246"/>
    </row>
    <row r="1182" spans="2:12">
      <c r="B1182" s="213"/>
      <c r="C1182" s="214"/>
      <c r="D1182" s="214"/>
      <c r="E1182" s="214"/>
      <c r="F1182" s="214"/>
      <c r="G1182" s="214"/>
      <c r="H1182" s="566" t="s">
        <v>1224</v>
      </c>
      <c r="I1182" s="566"/>
      <c r="J1182" s="566"/>
      <c r="K1182" s="223">
        <f>IF(K1178&gt;K1179,K1178-K1179,0)</f>
        <v>0</v>
      </c>
      <c r="L1182" s="209"/>
    </row>
    <row r="1184" spans="2:12">
      <c r="B1184" s="247" t="s">
        <v>240</v>
      </c>
      <c r="C1184" s="565" t="str">
        <f>VLOOKUP(B1184,'BM 004'!$B$27:$R$590,2,0)</f>
        <v xml:space="preserve">Armação de laje de uma estrutura convencional de concreto armado em um edifício de múltiplos pavimentos utilizando aço ca-50 de 6,3 mm - montagem. </v>
      </c>
      <c r="D1184" s="565"/>
      <c r="E1184" s="565"/>
      <c r="F1184" s="565"/>
      <c r="G1184" s="565"/>
      <c r="H1184" s="565"/>
      <c r="I1184" s="565"/>
      <c r="J1184" s="565"/>
      <c r="K1184" s="565"/>
      <c r="L1184" s="565"/>
    </row>
    <row r="1185" spans="2:12">
      <c r="B1185" s="248" t="s">
        <v>1209</v>
      </c>
      <c r="C1185" s="248"/>
      <c r="D1185" s="248" t="s">
        <v>39</v>
      </c>
      <c r="E1185" s="248" t="s">
        <v>1210</v>
      </c>
      <c r="F1185" s="248" t="s">
        <v>1388</v>
      </c>
      <c r="G1185" s="248" t="s">
        <v>1212</v>
      </c>
      <c r="H1185" s="248" t="s">
        <v>1213</v>
      </c>
      <c r="I1185" s="248" t="s">
        <v>1214</v>
      </c>
      <c r="J1185" s="248" t="s">
        <v>1385</v>
      </c>
      <c r="K1185" s="248" t="s">
        <v>1216</v>
      </c>
      <c r="L1185" s="248" t="s">
        <v>1217</v>
      </c>
    </row>
    <row r="1186" spans="2:12">
      <c r="B1186" s="205" t="s">
        <v>1510</v>
      </c>
      <c r="C1186" s="250" t="s">
        <v>1441</v>
      </c>
      <c r="D1186" s="205" t="s">
        <v>1274</v>
      </c>
      <c r="E1186" s="251">
        <v>1148.82</v>
      </c>
      <c r="F1186" s="252">
        <v>0.245</v>
      </c>
      <c r="G1186" s="251">
        <v>0.45</v>
      </c>
      <c r="H1186" s="251">
        <v>1.1000000000000001</v>
      </c>
      <c r="I1186" s="251"/>
      <c r="J1186" s="253"/>
      <c r="K1186" s="254">
        <f t="shared" ref="K1186:K1196" si="41">IF(E1186*F1186*G1186&lt;&gt;0,E1186*F1186*G1186,IF(E1186*F1186&lt;&gt;0,E1186*F1186,IF(F1186*G1186&lt;&gt;0,F1186*G1186,IF(E1186*G1186&lt;&gt;0,E1186*G1186,IF(E1186&lt;&gt;0,E1186,IF(F1186&lt;&gt;0,F1186,IF(G1186&lt;&gt;0,G1186,0)))))))*(IF(H1186&lt;&gt;0,H1186,1))+I1186-J1186</f>
        <v>139.32314550000001</v>
      </c>
      <c r="L1186" s="255" t="s">
        <v>1511</v>
      </c>
    </row>
    <row r="1187" spans="2:12">
      <c r="B1187" s="205" t="s">
        <v>1512</v>
      </c>
      <c r="C1187" s="250" t="s">
        <v>1441</v>
      </c>
      <c r="D1187" s="205" t="s">
        <v>1274</v>
      </c>
      <c r="E1187" s="251">
        <v>764.81</v>
      </c>
      <c r="F1187" s="252">
        <v>0.245</v>
      </c>
      <c r="G1187" s="251">
        <v>0.45</v>
      </c>
      <c r="H1187" s="251">
        <v>1.1000000000000001</v>
      </c>
      <c r="I1187" s="251"/>
      <c r="J1187" s="253"/>
      <c r="K1187" s="254">
        <f t="shared" si="41"/>
        <v>92.752332750000008</v>
      </c>
      <c r="L1187" s="255" t="s">
        <v>1511</v>
      </c>
    </row>
    <row r="1188" spans="2:12">
      <c r="B1188" s="205" t="s">
        <v>1513</v>
      </c>
      <c r="C1188" s="250" t="s">
        <v>1441</v>
      </c>
      <c r="D1188" s="205" t="s">
        <v>1274</v>
      </c>
      <c r="E1188" s="251">
        <v>803</v>
      </c>
      <c r="F1188" s="252">
        <v>0.245</v>
      </c>
      <c r="G1188" s="251"/>
      <c r="H1188" s="251">
        <v>1.1000000000000001</v>
      </c>
      <c r="I1188" s="251"/>
      <c r="J1188" s="253"/>
      <c r="K1188" s="254">
        <f t="shared" si="41"/>
        <v>216.4085</v>
      </c>
      <c r="L1188" s="255" t="s">
        <v>1511</v>
      </c>
    </row>
    <row r="1189" spans="2:12">
      <c r="B1189" s="205" t="s">
        <v>1514</v>
      </c>
      <c r="C1189" s="250" t="s">
        <v>1441</v>
      </c>
      <c r="D1189" s="205" t="s">
        <v>1274</v>
      </c>
      <c r="E1189" s="251">
        <v>329</v>
      </c>
      <c r="F1189" s="252">
        <v>0.245</v>
      </c>
      <c r="G1189" s="251"/>
      <c r="H1189" s="251">
        <v>1.1000000000000001</v>
      </c>
      <c r="I1189" s="251"/>
      <c r="J1189" s="253"/>
      <c r="K1189" s="254">
        <f t="shared" si="41"/>
        <v>88.665500000000009</v>
      </c>
      <c r="L1189" s="255" t="s">
        <v>1511</v>
      </c>
    </row>
    <row r="1190" spans="2:12">
      <c r="B1190" s="205" t="s">
        <v>1513</v>
      </c>
      <c r="C1190" s="250" t="s">
        <v>1441</v>
      </c>
      <c r="D1190" s="205" t="s">
        <v>1274</v>
      </c>
      <c r="E1190" s="251">
        <v>8265</v>
      </c>
      <c r="F1190" s="252">
        <v>0.154</v>
      </c>
      <c r="G1190" s="251"/>
      <c r="H1190" s="251">
        <v>1.1000000000000001</v>
      </c>
      <c r="I1190" s="251"/>
      <c r="J1190" s="253"/>
      <c r="K1190" s="254">
        <f t="shared" si="41"/>
        <v>1400.0910000000001</v>
      </c>
      <c r="L1190" s="266" t="s">
        <v>1515</v>
      </c>
    </row>
    <row r="1191" spans="2:12">
      <c r="B1191" s="205" t="s">
        <v>1516</v>
      </c>
      <c r="C1191" s="250" t="s">
        <v>1441</v>
      </c>
      <c r="D1191" s="205" t="s">
        <v>1274</v>
      </c>
      <c r="E1191" s="251">
        <v>43.18</v>
      </c>
      <c r="F1191" s="252"/>
      <c r="G1191" s="251"/>
      <c r="H1191" s="251">
        <v>0.74</v>
      </c>
      <c r="I1191" s="251"/>
      <c r="J1191" s="253"/>
      <c r="K1191" s="254">
        <f t="shared" si="41"/>
        <v>31.953199999999999</v>
      </c>
      <c r="L1191" s="266"/>
    </row>
    <row r="1192" spans="2:12">
      <c r="B1192" s="205" t="s">
        <v>1572</v>
      </c>
      <c r="C1192" s="250" t="s">
        <v>1521</v>
      </c>
      <c r="D1192" s="205" t="s">
        <v>1274</v>
      </c>
      <c r="E1192" s="251">
        <v>1237.52</v>
      </c>
      <c r="F1192" s="252">
        <v>0.245</v>
      </c>
      <c r="G1192" s="251">
        <v>0.5</v>
      </c>
      <c r="H1192" s="251">
        <v>1.1000000000000001</v>
      </c>
      <c r="I1192" s="251"/>
      <c r="J1192" s="253"/>
      <c r="K1192" s="254">
        <f t="shared" si="41"/>
        <v>166.75582</v>
      </c>
      <c r="L1192" s="255" t="s">
        <v>1511</v>
      </c>
    </row>
    <row r="1193" spans="2:12">
      <c r="B1193" s="205" t="s">
        <v>1573</v>
      </c>
      <c r="C1193" s="250" t="s">
        <v>1521</v>
      </c>
      <c r="D1193" s="205" t="s">
        <v>1274</v>
      </c>
      <c r="E1193" s="251">
        <v>749</v>
      </c>
      <c r="F1193" s="252">
        <v>0.245</v>
      </c>
      <c r="G1193" s="251">
        <v>0.5</v>
      </c>
      <c r="H1193" s="251">
        <v>1.1000000000000001</v>
      </c>
      <c r="I1193" s="251"/>
      <c r="J1193" s="253"/>
      <c r="K1193" s="254">
        <f t="shared" si="41"/>
        <v>100.92775</v>
      </c>
      <c r="L1193" s="255" t="s">
        <v>1511</v>
      </c>
    </row>
    <row r="1194" spans="2:12">
      <c r="B1194" s="205" t="s">
        <v>1510</v>
      </c>
      <c r="C1194" s="250" t="s">
        <v>1611</v>
      </c>
      <c r="D1194" s="205" t="s">
        <v>1274</v>
      </c>
      <c r="E1194" s="251">
        <v>1148.82</v>
      </c>
      <c r="F1194" s="252">
        <v>0.245</v>
      </c>
      <c r="G1194" s="251">
        <v>0.55000000000000004</v>
      </c>
      <c r="H1194" s="251">
        <v>1.1000000000000001</v>
      </c>
      <c r="I1194" s="251"/>
      <c r="J1194" s="253"/>
      <c r="K1194" s="254">
        <f t="shared" si="41"/>
        <v>170.28384450000001</v>
      </c>
      <c r="L1194" s="255" t="s">
        <v>1511</v>
      </c>
    </row>
    <row r="1195" spans="2:12">
      <c r="B1195" s="205" t="s">
        <v>1512</v>
      </c>
      <c r="C1195" s="250" t="s">
        <v>1611</v>
      </c>
      <c r="D1195" s="205" t="s">
        <v>1274</v>
      </c>
      <c r="E1195" s="251">
        <v>764.81</v>
      </c>
      <c r="F1195" s="252">
        <v>0.245</v>
      </c>
      <c r="G1195" s="251">
        <v>0.55000000000000004</v>
      </c>
      <c r="H1195" s="251">
        <v>1.1000000000000001</v>
      </c>
      <c r="I1195" s="251">
        <v>4.15206487694044E-4</v>
      </c>
      <c r="J1195" s="253"/>
      <c r="K1195" s="254">
        <f t="shared" si="41"/>
        <v>113.3643774564877</v>
      </c>
      <c r="L1195" s="255" t="s">
        <v>1511</v>
      </c>
    </row>
    <row r="1196" spans="2:12">
      <c r="B1196" s="256"/>
      <c r="C1196" s="210"/>
      <c r="D1196" s="210"/>
      <c r="E1196" s="257"/>
      <c r="F1196" s="258"/>
      <c r="G1196" s="257"/>
      <c r="H1196" s="257"/>
      <c r="I1196" s="257"/>
      <c r="J1196" s="259"/>
      <c r="K1196" s="260">
        <f t="shared" si="41"/>
        <v>0</v>
      </c>
      <c r="L1196" s="210"/>
    </row>
    <row r="1197" spans="2:12">
      <c r="B1197" s="202"/>
      <c r="C1197" s="203"/>
      <c r="D1197" s="203"/>
      <c r="E1197" s="203"/>
      <c r="F1197" s="203"/>
      <c r="G1197" s="203"/>
      <c r="H1197" s="204"/>
      <c r="I1197" s="556" t="s">
        <v>1221</v>
      </c>
      <c r="J1197" s="556"/>
      <c r="K1197" s="220">
        <f>SUM(K1186:K1196)</f>
        <v>2520.5254702064876</v>
      </c>
      <c r="L1197" s="207"/>
    </row>
    <row r="1198" spans="2:12">
      <c r="B1198" s="208"/>
      <c r="C1198" s="204"/>
      <c r="D1198" s="204"/>
      <c r="E1198" s="204"/>
      <c r="F1198" s="204"/>
      <c r="G1198" s="204"/>
      <c r="H1198" s="209"/>
      <c r="I1198" s="557" t="s">
        <v>1222</v>
      </c>
      <c r="J1198" s="557"/>
      <c r="K1198" s="221">
        <f>VLOOKUP(B1184,'BM 004'!$B$27:$R$590,4,0)</f>
        <v>2362.8000000000002</v>
      </c>
      <c r="L1198" s="207"/>
    </row>
    <row r="1199" spans="2:12">
      <c r="B1199" s="208"/>
      <c r="C1199" s="204"/>
      <c r="D1199" s="204"/>
      <c r="E1199" s="204"/>
      <c r="F1199" s="204"/>
      <c r="G1199" s="204"/>
      <c r="H1199" s="558" t="s">
        <v>1223</v>
      </c>
      <c r="I1199" s="558"/>
      <c r="J1199" s="558"/>
      <c r="K1199" s="222">
        <v>2236.87</v>
      </c>
      <c r="L1199" s="207"/>
    </row>
    <row r="1200" spans="2:12">
      <c r="B1200" s="208"/>
      <c r="C1200" s="204"/>
      <c r="D1200" s="204"/>
      <c r="E1200" s="204"/>
      <c r="F1200" s="204"/>
      <c r="G1200" s="204"/>
      <c r="H1200" s="558" t="s">
        <v>1579</v>
      </c>
      <c r="I1200" s="558"/>
      <c r="J1200" s="558"/>
      <c r="K1200" s="222">
        <f>IF(K1197&gt;K1198,K1198,K1197)-K1199+0.000415206487694044</f>
        <v>125.93041520648798</v>
      </c>
      <c r="L1200" s="207"/>
    </row>
    <row r="1201" spans="2:12">
      <c r="B1201" s="213"/>
      <c r="C1201" s="214"/>
      <c r="D1201" s="214"/>
      <c r="E1201" s="214"/>
      <c r="F1201" s="214"/>
      <c r="G1201" s="214"/>
      <c r="H1201" s="559" t="s">
        <v>1224</v>
      </c>
      <c r="I1201" s="559"/>
      <c r="J1201" s="559"/>
      <c r="K1201" s="223">
        <f>IF(K1197&gt;K1198,K1197-K1198,0)</f>
        <v>157.72547020648744</v>
      </c>
      <c r="L1201" s="209"/>
    </row>
    <row r="1203" spans="2:12">
      <c r="B1203" s="247" t="s">
        <v>242</v>
      </c>
      <c r="C1203" s="565" t="str">
        <f>VLOOKUP(B1203,'BM 004'!$B$27:$R$590,2,0)</f>
        <v>Armação de laje de uma estrutura convencional de concreto armado em um edifício de múltiplos pavimentos utilizando aço ca-50 de 8,0 mm - montagem.</v>
      </c>
      <c r="D1203" s="565"/>
      <c r="E1203" s="565"/>
      <c r="F1203" s="565"/>
      <c r="G1203" s="565"/>
      <c r="H1203" s="565"/>
      <c r="I1203" s="565"/>
      <c r="J1203" s="565"/>
      <c r="K1203" s="565"/>
      <c r="L1203" s="565"/>
    </row>
    <row r="1204" spans="2:12">
      <c r="B1204" s="248" t="s">
        <v>1209</v>
      </c>
      <c r="C1204" s="248"/>
      <c r="D1204" s="248" t="s">
        <v>39</v>
      </c>
      <c r="E1204" s="248" t="s">
        <v>1210</v>
      </c>
      <c r="F1204" s="248" t="s">
        <v>1388</v>
      </c>
      <c r="G1204" s="248" t="s">
        <v>1212</v>
      </c>
      <c r="H1204" s="248" t="s">
        <v>1213</v>
      </c>
      <c r="I1204" s="248" t="s">
        <v>1214</v>
      </c>
      <c r="J1204" s="248" t="s">
        <v>1385</v>
      </c>
      <c r="K1204" s="248" t="s">
        <v>1216</v>
      </c>
      <c r="L1204" s="248" t="s">
        <v>1217</v>
      </c>
    </row>
    <row r="1205" spans="2:12">
      <c r="B1205" s="205" t="s">
        <v>1510</v>
      </c>
      <c r="C1205" s="250" t="s">
        <v>1441</v>
      </c>
      <c r="D1205" s="205" t="s">
        <v>1274</v>
      </c>
      <c r="E1205" s="251">
        <v>224.4</v>
      </c>
      <c r="F1205" s="252">
        <v>0.39500000000000002</v>
      </c>
      <c r="G1205" s="251">
        <v>0.45</v>
      </c>
      <c r="H1205" s="251">
        <v>1.1000000000000001</v>
      </c>
      <c r="I1205" s="251"/>
      <c r="J1205" s="253"/>
      <c r="K1205" s="254">
        <f t="shared" ref="K1205:K1211" si="42">IF(E1205*F1205*G1205&lt;&gt;0,E1205*F1205*G1205,IF(E1205*F1205&lt;&gt;0,E1205*F1205,IF(F1205*G1205&lt;&gt;0,F1205*G1205,IF(E1205*G1205&lt;&gt;0,E1205*G1205,IF(E1205&lt;&gt;0,E1205,IF(F1205&lt;&gt;0,F1205,IF(G1205&lt;&gt;0,G1205,0)))))))*(IF(H1205&lt;&gt;0,H1205,1))+I1205-J1205</f>
        <v>43.875810000000008</v>
      </c>
      <c r="L1205" s="255"/>
    </row>
    <row r="1206" spans="2:12">
      <c r="B1206" s="205" t="s">
        <v>1512</v>
      </c>
      <c r="C1206" s="250" t="s">
        <v>1441</v>
      </c>
      <c r="D1206" s="205" t="s">
        <v>1274</v>
      </c>
      <c r="E1206" s="251">
        <v>322.89999999999998</v>
      </c>
      <c r="F1206" s="252">
        <v>0.39500000000000002</v>
      </c>
      <c r="G1206" s="251">
        <v>0.45</v>
      </c>
      <c r="H1206" s="251">
        <v>1.1000000000000001</v>
      </c>
      <c r="I1206" s="251"/>
      <c r="J1206" s="253"/>
      <c r="K1206" s="254">
        <f t="shared" si="42"/>
        <v>63.135022500000005</v>
      </c>
      <c r="L1206" s="255"/>
    </row>
    <row r="1207" spans="2:12">
      <c r="B1207" s="205" t="s">
        <v>1513</v>
      </c>
      <c r="C1207" s="250" t="s">
        <v>1441</v>
      </c>
      <c r="D1207" s="205" t="s">
        <v>1274</v>
      </c>
      <c r="E1207" s="251">
        <v>99</v>
      </c>
      <c r="F1207" s="252">
        <v>0.39500000000000002</v>
      </c>
      <c r="G1207" s="251"/>
      <c r="H1207" s="251">
        <v>1.1000000000000001</v>
      </c>
      <c r="I1207" s="251"/>
      <c r="J1207" s="253"/>
      <c r="K1207" s="254">
        <f t="shared" si="42"/>
        <v>43.01550000000001</v>
      </c>
      <c r="L1207" s="255"/>
    </row>
    <row r="1208" spans="2:12">
      <c r="B1208" s="205" t="s">
        <v>1514</v>
      </c>
      <c r="C1208" s="250" t="s">
        <v>1441</v>
      </c>
      <c r="D1208" s="205" t="s">
        <v>1274</v>
      </c>
      <c r="E1208" s="251">
        <v>1170</v>
      </c>
      <c r="F1208" s="252">
        <v>0.39500000000000002</v>
      </c>
      <c r="G1208" s="251"/>
      <c r="H1208" s="251">
        <v>1.1000000000000001</v>
      </c>
      <c r="I1208" s="251"/>
      <c r="J1208" s="253"/>
      <c r="K1208" s="254">
        <f t="shared" si="42"/>
        <v>508.36500000000007</v>
      </c>
      <c r="L1208" s="255"/>
    </row>
    <row r="1209" spans="2:12">
      <c r="B1209" s="205" t="s">
        <v>1572</v>
      </c>
      <c r="C1209" s="250" t="s">
        <v>1521</v>
      </c>
      <c r="D1209" s="205" t="s">
        <v>1274</v>
      </c>
      <c r="E1209" s="251">
        <v>224.54</v>
      </c>
      <c r="F1209" s="252">
        <v>0.39500000000000002</v>
      </c>
      <c r="G1209" s="251">
        <v>0.5</v>
      </c>
      <c r="H1209" s="251">
        <v>1.1000000000000001</v>
      </c>
      <c r="I1209" s="251"/>
      <c r="J1209" s="253"/>
      <c r="K1209" s="254">
        <f t="shared" si="42"/>
        <v>48.781315000000006</v>
      </c>
      <c r="L1209" s="255"/>
    </row>
    <row r="1210" spans="2:12">
      <c r="B1210" s="205" t="s">
        <v>1573</v>
      </c>
      <c r="C1210" s="250" t="s">
        <v>1521</v>
      </c>
      <c r="D1210" s="205" t="s">
        <v>1274</v>
      </c>
      <c r="E1210" s="251">
        <v>163</v>
      </c>
      <c r="F1210" s="252">
        <v>0.39500000000000002</v>
      </c>
      <c r="G1210" s="251">
        <v>0.5</v>
      </c>
      <c r="H1210" s="251">
        <v>1.1000000000000001</v>
      </c>
      <c r="I1210" s="251"/>
      <c r="J1210" s="253"/>
      <c r="K1210" s="254">
        <f t="shared" si="42"/>
        <v>35.411750000000005</v>
      </c>
      <c r="L1210" s="255"/>
    </row>
    <row r="1211" spans="2:12">
      <c r="B1211" s="256"/>
      <c r="C1211" s="210"/>
      <c r="D1211" s="210"/>
      <c r="E1211" s="257"/>
      <c r="F1211" s="258"/>
      <c r="G1211" s="257"/>
      <c r="H1211" s="257"/>
      <c r="I1211" s="257"/>
      <c r="J1211" s="259"/>
      <c r="K1211" s="260">
        <f t="shared" si="42"/>
        <v>0</v>
      </c>
      <c r="L1211" s="210"/>
    </row>
    <row r="1212" spans="2:12">
      <c r="B1212" s="202"/>
      <c r="C1212" s="203"/>
      <c r="D1212" s="203"/>
      <c r="E1212" s="203"/>
      <c r="F1212" s="203"/>
      <c r="G1212" s="203"/>
      <c r="H1212" s="204"/>
      <c r="I1212" s="556" t="s">
        <v>1221</v>
      </c>
      <c r="J1212" s="556"/>
      <c r="K1212" s="220">
        <f>SUM(K1205:K1211)</f>
        <v>742.58439750000002</v>
      </c>
      <c r="L1212" s="207"/>
    </row>
    <row r="1213" spans="2:12">
      <c r="B1213" s="208"/>
      <c r="C1213" s="204"/>
      <c r="D1213" s="204"/>
      <c r="E1213" s="204"/>
      <c r="F1213" s="204"/>
      <c r="G1213" s="204"/>
      <c r="H1213" s="209"/>
      <c r="I1213" s="557" t="s">
        <v>1222</v>
      </c>
      <c r="J1213" s="557"/>
      <c r="K1213" s="221">
        <f>VLOOKUP(B1203,'BM 004'!$B$27:$R$590,4,0)</f>
        <v>602.79999999999995</v>
      </c>
      <c r="L1213" s="207"/>
    </row>
    <row r="1214" spans="2:12">
      <c r="B1214" s="208"/>
      <c r="C1214" s="204"/>
      <c r="D1214" s="204"/>
      <c r="E1214" s="204"/>
      <c r="F1214" s="204"/>
      <c r="G1214" s="204"/>
      <c r="H1214" s="558" t="s">
        <v>1223</v>
      </c>
      <c r="I1214" s="558"/>
      <c r="J1214" s="558"/>
      <c r="K1214" s="222">
        <v>602.79999999999995</v>
      </c>
      <c r="L1214" s="207"/>
    </row>
    <row r="1215" spans="2:12">
      <c r="B1215" s="208"/>
      <c r="C1215" s="204"/>
      <c r="D1215" s="204"/>
      <c r="E1215" s="204"/>
      <c r="F1215" s="204"/>
      <c r="G1215" s="204"/>
      <c r="H1215" s="558" t="s">
        <v>1435</v>
      </c>
      <c r="I1215" s="558"/>
      <c r="J1215" s="558"/>
      <c r="K1215" s="222">
        <f>IF(K1212&gt;K1213,0,TRUNC(SUMIF(C1205:C1211,H1215,K1205:K1211),L9599))</f>
        <v>0</v>
      </c>
      <c r="L1215" s="207"/>
    </row>
    <row r="1216" spans="2:12">
      <c r="B1216" s="213"/>
      <c r="C1216" s="214"/>
      <c r="D1216" s="214"/>
      <c r="E1216" s="214"/>
      <c r="F1216" s="214"/>
      <c r="G1216" s="214"/>
      <c r="H1216" s="559" t="s">
        <v>1224</v>
      </c>
      <c r="I1216" s="559"/>
      <c r="J1216" s="559"/>
      <c r="K1216" s="223">
        <f>IF(K1212&gt;K1213,K1212-K1213,0)</f>
        <v>139.78439750000007</v>
      </c>
      <c r="L1216" s="209"/>
    </row>
    <row r="1218" spans="2:12">
      <c r="B1218" s="247" t="s">
        <v>244</v>
      </c>
      <c r="C1218" s="565" t="str">
        <f>VLOOKUP(B1218,'BM 004'!$B$27:$R$590,2,0)</f>
        <v xml:space="preserve">Armação de laje de uma estrutura convencional de concreto armado em um edifício de múltiplos pavimentos utilizando aço ca-50 de 10,0 mm - montagem. </v>
      </c>
      <c r="D1218" s="565"/>
      <c r="E1218" s="565"/>
      <c r="F1218" s="565"/>
      <c r="G1218" s="565"/>
      <c r="H1218" s="565"/>
      <c r="I1218" s="565"/>
      <c r="J1218" s="565"/>
      <c r="K1218" s="565"/>
      <c r="L1218" s="565"/>
    </row>
    <row r="1219" spans="2:12">
      <c r="B1219" s="248" t="s">
        <v>1209</v>
      </c>
      <c r="C1219" s="248"/>
      <c r="D1219" s="248" t="s">
        <v>39</v>
      </c>
      <c r="E1219" s="248" t="s">
        <v>1210</v>
      </c>
      <c r="F1219" s="248" t="s">
        <v>1388</v>
      </c>
      <c r="G1219" s="248" t="s">
        <v>1212</v>
      </c>
      <c r="H1219" s="248" t="s">
        <v>1213</v>
      </c>
      <c r="I1219" s="248" t="s">
        <v>1214</v>
      </c>
      <c r="J1219" s="248" t="s">
        <v>1385</v>
      </c>
      <c r="K1219" s="248" t="s">
        <v>1216</v>
      </c>
      <c r="L1219" s="248" t="s">
        <v>1217</v>
      </c>
    </row>
    <row r="1220" spans="2:12">
      <c r="B1220" s="205" t="s">
        <v>1510</v>
      </c>
      <c r="C1220" s="250" t="s">
        <v>1441</v>
      </c>
      <c r="D1220" s="205" t="s">
        <v>1274</v>
      </c>
      <c r="E1220" s="251">
        <v>922.65</v>
      </c>
      <c r="F1220" s="252">
        <v>0.61699999999999999</v>
      </c>
      <c r="G1220" s="251">
        <v>0.45</v>
      </c>
      <c r="H1220" s="251">
        <v>1.1000000000000001</v>
      </c>
      <c r="I1220" s="251"/>
      <c r="J1220" s="253"/>
      <c r="K1220" s="254">
        <f t="shared" ref="K1220:K1233" si="43">IF(E1220*F1220*G1220&lt;&gt;0,E1220*F1220*G1220,IF(E1220*F1220&lt;&gt;0,E1220*F1220,IF(F1220*G1220&lt;&gt;0,F1220*G1220,IF(E1220*G1220&lt;&gt;0,E1220*G1220,IF(E1220&lt;&gt;0,E1220,IF(F1220&lt;&gt;0,F1220,IF(G1220&lt;&gt;0,G1220,0)))))))*(IF(H1220&lt;&gt;0,H1220,1))+I1220-J1220</f>
        <v>281.79114974999999</v>
      </c>
      <c r="L1220" s="255"/>
    </row>
    <row r="1221" spans="2:12">
      <c r="B1221" s="205" t="s">
        <v>1512</v>
      </c>
      <c r="C1221" s="250" t="s">
        <v>1441</v>
      </c>
      <c r="D1221" s="205" t="s">
        <v>1274</v>
      </c>
      <c r="E1221" s="251">
        <v>886.9</v>
      </c>
      <c r="F1221" s="252">
        <v>0.61699999999999999</v>
      </c>
      <c r="G1221" s="251">
        <v>0.45</v>
      </c>
      <c r="H1221" s="251">
        <v>1.1000000000000001</v>
      </c>
      <c r="I1221" s="251"/>
      <c r="J1221" s="253"/>
      <c r="K1221" s="254">
        <f t="shared" si="43"/>
        <v>270.87256350000007</v>
      </c>
      <c r="L1221" s="255"/>
    </row>
    <row r="1222" spans="2:12">
      <c r="B1222" s="205" t="s">
        <v>1513</v>
      </c>
      <c r="C1222" s="250" t="s">
        <v>1441</v>
      </c>
      <c r="D1222" s="205" t="s">
        <v>1274</v>
      </c>
      <c r="E1222" s="251">
        <v>459</v>
      </c>
      <c r="F1222" s="252">
        <v>0.61699999999999999</v>
      </c>
      <c r="G1222" s="251"/>
      <c r="H1222" s="251">
        <v>1.1000000000000001</v>
      </c>
      <c r="I1222" s="251"/>
      <c r="J1222" s="253"/>
      <c r="K1222" s="254">
        <f t="shared" si="43"/>
        <v>311.52330000000001</v>
      </c>
      <c r="L1222" s="255"/>
    </row>
    <row r="1223" spans="2:12">
      <c r="B1223" s="205" t="s">
        <v>1514</v>
      </c>
      <c r="C1223" s="250" t="s">
        <v>1441</v>
      </c>
      <c r="D1223" s="205" t="s">
        <v>1274</v>
      </c>
      <c r="E1223" s="251">
        <v>332</v>
      </c>
      <c r="F1223" s="252">
        <v>0.61699999999999999</v>
      </c>
      <c r="G1223" s="251"/>
      <c r="H1223" s="251">
        <v>1.1000000000000001</v>
      </c>
      <c r="I1223" s="251"/>
      <c r="J1223" s="253"/>
      <c r="K1223" s="254">
        <f t="shared" si="43"/>
        <v>225.32840000000002</v>
      </c>
      <c r="L1223" s="255"/>
    </row>
    <row r="1224" spans="2:12">
      <c r="B1224" s="205" t="s">
        <v>1517</v>
      </c>
      <c r="C1224" s="250" t="s">
        <v>1441</v>
      </c>
      <c r="D1224" s="205" t="s">
        <v>1274</v>
      </c>
      <c r="E1224" s="251">
        <v>55.59</v>
      </c>
      <c r="F1224" s="252"/>
      <c r="G1224" s="251"/>
      <c r="H1224" s="251"/>
      <c r="I1224" s="251"/>
      <c r="J1224" s="253"/>
      <c r="K1224" s="254">
        <f t="shared" si="43"/>
        <v>55.59</v>
      </c>
      <c r="L1224" s="255"/>
    </row>
    <row r="1225" spans="2:12">
      <c r="B1225" s="205" t="s">
        <v>1572</v>
      </c>
      <c r="C1225" s="250" t="s">
        <v>1521</v>
      </c>
      <c r="D1225" s="205" t="s">
        <v>1274</v>
      </c>
      <c r="E1225" s="251">
        <v>1476.23</v>
      </c>
      <c r="F1225" s="252">
        <v>0.61699999999999999</v>
      </c>
      <c r="G1225" s="251">
        <v>0.5</v>
      </c>
      <c r="H1225" s="251">
        <v>1.1000000000000001</v>
      </c>
      <c r="I1225" s="251"/>
      <c r="J1225" s="253"/>
      <c r="K1225" s="254">
        <f t="shared" si="43"/>
        <v>500.95865050000003</v>
      </c>
      <c r="L1225" s="255"/>
    </row>
    <row r="1226" spans="2:12">
      <c r="B1226" s="205" t="s">
        <v>1573</v>
      </c>
      <c r="C1226" s="250" t="s">
        <v>1521</v>
      </c>
      <c r="D1226" s="205" t="s">
        <v>1274</v>
      </c>
      <c r="E1226" s="251">
        <v>1207</v>
      </c>
      <c r="F1226" s="252">
        <v>0.61699999999999999</v>
      </c>
      <c r="G1226" s="251">
        <v>0.5</v>
      </c>
      <c r="H1226" s="251">
        <v>1.1000000000000001</v>
      </c>
      <c r="I1226" s="251"/>
      <c r="J1226" s="253"/>
      <c r="K1226" s="254">
        <f t="shared" si="43"/>
        <v>409.59544999999997</v>
      </c>
      <c r="L1226" s="255"/>
    </row>
    <row r="1227" spans="2:12">
      <c r="B1227" s="205" t="s">
        <v>1510</v>
      </c>
      <c r="C1227" s="250" t="s">
        <v>1611</v>
      </c>
      <c r="D1227" s="205" t="s">
        <v>1274</v>
      </c>
      <c r="E1227" s="251">
        <v>922.65</v>
      </c>
      <c r="F1227" s="252">
        <v>0.61699999999999999</v>
      </c>
      <c r="G1227" s="251">
        <v>0.55000000000000004</v>
      </c>
      <c r="H1227" s="251">
        <v>1.1000000000000001</v>
      </c>
      <c r="I1227" s="251"/>
      <c r="J1227" s="253"/>
      <c r="K1227" s="254">
        <f t="shared" si="43"/>
        <v>344.41140525000003</v>
      </c>
      <c r="L1227" s="255"/>
    </row>
    <row r="1228" spans="2:12">
      <c r="B1228" s="205" t="s">
        <v>1512</v>
      </c>
      <c r="C1228" s="250" t="s">
        <v>1611</v>
      </c>
      <c r="D1228" s="205" t="s">
        <v>1274</v>
      </c>
      <c r="E1228" s="251">
        <v>886.9</v>
      </c>
      <c r="F1228" s="252">
        <v>0.61699999999999999</v>
      </c>
      <c r="G1228" s="251">
        <v>0.55000000000000004</v>
      </c>
      <c r="H1228" s="251">
        <v>1.1000000000000001</v>
      </c>
      <c r="I1228" s="251"/>
      <c r="J1228" s="253"/>
      <c r="K1228" s="254">
        <f t="shared" si="43"/>
        <v>331.0664665000001</v>
      </c>
      <c r="L1228" s="255"/>
    </row>
    <row r="1229" spans="2:12">
      <c r="B1229" s="205" t="s">
        <v>1572</v>
      </c>
      <c r="C1229" s="250" t="s">
        <v>1612</v>
      </c>
      <c r="D1229" s="205" t="s">
        <v>1274</v>
      </c>
      <c r="E1229" s="251">
        <v>1476.23</v>
      </c>
      <c r="F1229" s="252">
        <v>0.61699999999999999</v>
      </c>
      <c r="G1229" s="251">
        <v>0.3</v>
      </c>
      <c r="H1229" s="251">
        <v>1.1000000000000001</v>
      </c>
      <c r="I1229" s="251"/>
      <c r="J1229" s="253"/>
      <c r="K1229" s="254">
        <f t="shared" si="43"/>
        <v>300.57519029999997</v>
      </c>
      <c r="L1229" s="255"/>
    </row>
    <row r="1230" spans="2:12">
      <c r="B1230" s="205" t="s">
        <v>1573</v>
      </c>
      <c r="C1230" s="250" t="s">
        <v>1612</v>
      </c>
      <c r="D1230" s="205" t="s">
        <v>1274</v>
      </c>
      <c r="E1230" s="251">
        <v>1207</v>
      </c>
      <c r="F1230" s="252">
        <v>0.61699999999999999</v>
      </c>
      <c r="G1230" s="251">
        <v>0.3</v>
      </c>
      <c r="H1230" s="251">
        <v>1.1000000000000001</v>
      </c>
      <c r="I1230" s="251"/>
      <c r="J1230" s="253"/>
      <c r="K1230" s="254">
        <f t="shared" si="43"/>
        <v>245.75727000000001</v>
      </c>
      <c r="L1230" s="255"/>
    </row>
    <row r="1231" spans="2:12">
      <c r="B1231" s="256"/>
      <c r="C1231" s="210"/>
      <c r="D1231" s="210"/>
      <c r="E1231" s="257"/>
      <c r="F1231" s="258"/>
      <c r="G1231" s="257"/>
      <c r="H1231" s="257"/>
      <c r="I1231" s="257"/>
      <c r="J1231" s="259"/>
      <c r="K1231" s="254">
        <f t="shared" si="43"/>
        <v>0</v>
      </c>
      <c r="L1231" s="210"/>
    </row>
    <row r="1232" spans="2:12">
      <c r="B1232" s="256"/>
      <c r="C1232" s="210"/>
      <c r="D1232" s="210"/>
      <c r="E1232" s="257"/>
      <c r="F1232" s="258"/>
      <c r="G1232" s="257"/>
      <c r="H1232" s="257"/>
      <c r="I1232" s="257"/>
      <c r="J1232" s="259"/>
      <c r="K1232" s="260">
        <f t="shared" si="43"/>
        <v>0</v>
      </c>
      <c r="L1232" s="210"/>
    </row>
    <row r="1233" spans="2:12">
      <c r="B1233" s="256"/>
      <c r="C1233" s="210"/>
      <c r="D1233" s="210"/>
      <c r="E1233" s="257"/>
      <c r="F1233" s="258"/>
      <c r="G1233" s="257"/>
      <c r="H1233" s="257"/>
      <c r="I1233" s="257"/>
      <c r="J1233" s="259"/>
      <c r="K1233" s="260">
        <f t="shared" si="43"/>
        <v>0</v>
      </c>
      <c r="L1233" s="210"/>
    </row>
    <row r="1234" spans="2:12">
      <c r="B1234" s="202"/>
      <c r="C1234" s="203"/>
      <c r="D1234" s="203"/>
      <c r="E1234" s="203"/>
      <c r="F1234" s="203"/>
      <c r="G1234" s="203"/>
      <c r="H1234" s="204"/>
      <c r="I1234" s="556" t="s">
        <v>1221</v>
      </c>
      <c r="J1234" s="556"/>
      <c r="K1234" s="220">
        <f>SUM(K1220:K1233)</f>
        <v>3277.4698457999998</v>
      </c>
      <c r="L1234" s="207"/>
    </row>
    <row r="1235" spans="2:12">
      <c r="B1235" s="208"/>
      <c r="C1235" s="204"/>
      <c r="D1235" s="204"/>
      <c r="E1235" s="204"/>
      <c r="F1235" s="204"/>
      <c r="G1235" s="204"/>
      <c r="H1235" s="209"/>
      <c r="I1235" s="557" t="s">
        <v>1222</v>
      </c>
      <c r="J1235" s="557"/>
      <c r="K1235" s="221">
        <f>VLOOKUP(B1218,'BM 004'!$B$27:$R$590,4,0)</f>
        <v>3562.9</v>
      </c>
      <c r="L1235" s="207"/>
    </row>
    <row r="1236" spans="2:12">
      <c r="B1236" s="208"/>
      <c r="C1236" s="204"/>
      <c r="D1236" s="204"/>
      <c r="E1236" s="204"/>
      <c r="F1236" s="204"/>
      <c r="G1236" s="204"/>
      <c r="H1236" s="558" t="s">
        <v>1223</v>
      </c>
      <c r="I1236" s="558"/>
      <c r="J1236" s="558"/>
      <c r="K1236" s="222">
        <v>2731.1373855000002</v>
      </c>
      <c r="L1236" s="207"/>
    </row>
    <row r="1237" spans="2:12">
      <c r="B1237" s="208"/>
      <c r="C1237" s="204"/>
      <c r="D1237" s="204"/>
      <c r="E1237" s="204"/>
      <c r="F1237" s="204"/>
      <c r="G1237" s="204"/>
      <c r="H1237" s="558" t="s">
        <v>1592</v>
      </c>
      <c r="I1237" s="558"/>
      <c r="J1237" s="558"/>
      <c r="K1237" s="222">
        <f>TRUNC(SUMIF(C1220:C1233,H1237,K1220:K1233),2)-K1238</f>
        <v>546.33000000000004</v>
      </c>
      <c r="L1237" s="207"/>
    </row>
    <row r="1238" spans="2:12">
      <c r="B1238" s="213"/>
      <c r="C1238" s="214"/>
      <c r="D1238" s="214"/>
      <c r="E1238" s="214"/>
      <c r="F1238" s="214"/>
      <c r="G1238" s="214"/>
      <c r="H1238" s="559" t="s">
        <v>1224</v>
      </c>
      <c r="I1238" s="559"/>
      <c r="J1238" s="559"/>
      <c r="K1238" s="223">
        <f>IF(K1234&gt;K1235,K1234-K1235,0)</f>
        <v>0</v>
      </c>
      <c r="L1238" s="209"/>
    </row>
    <row r="1240" spans="2:12">
      <c r="B1240" s="247" t="s">
        <v>246</v>
      </c>
      <c r="C1240" s="565" t="str">
        <f>VLOOKUP(B1240,'BM 004'!$B$27:$R$590,2,0)</f>
        <v xml:space="preserve">Armação de laje de uma estrutura convencional de concreto armado em um edifício de múltiplos pavimentos utilizando aço ca-50 de 12,5 mm - montagem. </v>
      </c>
      <c r="D1240" s="565"/>
      <c r="E1240" s="565"/>
      <c r="F1240" s="565"/>
      <c r="G1240" s="565"/>
      <c r="H1240" s="565"/>
      <c r="I1240" s="565"/>
      <c r="J1240" s="565"/>
      <c r="K1240" s="565"/>
      <c r="L1240" s="565"/>
    </row>
    <row r="1241" spans="2:12">
      <c r="B1241" s="248" t="s">
        <v>1209</v>
      </c>
      <c r="C1241" s="248"/>
      <c r="D1241" s="248" t="s">
        <v>39</v>
      </c>
      <c r="E1241" s="248" t="s">
        <v>1210</v>
      </c>
      <c r="F1241" s="248" t="s">
        <v>1388</v>
      </c>
      <c r="G1241" s="248" t="s">
        <v>1212</v>
      </c>
      <c r="H1241" s="248" t="s">
        <v>1213</v>
      </c>
      <c r="I1241" s="248" t="s">
        <v>1214</v>
      </c>
      <c r="J1241" s="248" t="s">
        <v>1385</v>
      </c>
      <c r="K1241" s="248" t="s">
        <v>1216</v>
      </c>
      <c r="L1241" s="248" t="s">
        <v>1217</v>
      </c>
    </row>
    <row r="1242" spans="2:12">
      <c r="B1242" s="205" t="s">
        <v>1510</v>
      </c>
      <c r="C1242" s="250" t="s">
        <v>1441</v>
      </c>
      <c r="D1242" s="205" t="s">
        <v>1274</v>
      </c>
      <c r="E1242" s="251">
        <v>815.6</v>
      </c>
      <c r="F1242" s="252">
        <v>0.96299999999999997</v>
      </c>
      <c r="G1242" s="251">
        <v>0.45</v>
      </c>
      <c r="H1242" s="251">
        <v>1.1000000000000001</v>
      </c>
      <c r="I1242" s="251"/>
      <c r="J1242" s="253"/>
      <c r="K1242" s="254">
        <f t="shared" ref="K1242:K1255" si="44">IF(E1242*F1242*G1242&lt;&gt;0,E1242*F1242*G1242,IF(E1242*F1242&lt;&gt;0,E1242*F1242,IF(F1242*G1242&lt;&gt;0,F1242*G1242,IF(E1242*G1242&lt;&gt;0,E1242*G1242,IF(E1242&lt;&gt;0,E1242,IF(F1242&lt;&gt;0,F1242,IF(G1242&lt;&gt;0,G1242,0)))))))*(IF(H1242&lt;&gt;0,H1242,1))+I1242-J1242</f>
        <v>388.78428600000001</v>
      </c>
      <c r="L1242" s="255"/>
    </row>
    <row r="1243" spans="2:12">
      <c r="B1243" s="205" t="s">
        <v>1512</v>
      </c>
      <c r="C1243" s="250" t="s">
        <v>1441</v>
      </c>
      <c r="D1243" s="205" t="s">
        <v>1274</v>
      </c>
      <c r="E1243" s="251">
        <v>760.5</v>
      </c>
      <c r="F1243" s="252">
        <v>0.96299999999999997</v>
      </c>
      <c r="G1243" s="251">
        <v>0.45</v>
      </c>
      <c r="H1243" s="251">
        <v>1.1000000000000001</v>
      </c>
      <c r="I1243" s="251"/>
      <c r="J1243" s="253"/>
      <c r="K1243" s="254">
        <f t="shared" si="44"/>
        <v>362.51894250000004</v>
      </c>
      <c r="L1243" s="255"/>
    </row>
    <row r="1244" spans="2:12">
      <c r="B1244" s="205" t="s">
        <v>1513</v>
      </c>
      <c r="C1244" s="250" t="s">
        <v>1441</v>
      </c>
      <c r="D1244" s="205" t="s">
        <v>1274</v>
      </c>
      <c r="E1244" s="251">
        <v>1053</v>
      </c>
      <c r="F1244" s="252">
        <v>0.96299999999999997</v>
      </c>
      <c r="G1244" s="251">
        <v>1</v>
      </c>
      <c r="H1244" s="251">
        <v>1.1000000000000001</v>
      </c>
      <c r="I1244" s="251"/>
      <c r="J1244" s="253"/>
      <c r="K1244" s="254">
        <f t="shared" si="44"/>
        <v>1115.4429</v>
      </c>
      <c r="L1244" s="255"/>
    </row>
    <row r="1245" spans="2:12">
      <c r="B1245" s="205" t="s">
        <v>1514</v>
      </c>
      <c r="C1245" s="250" t="s">
        <v>1441</v>
      </c>
      <c r="D1245" s="205" t="s">
        <v>1274</v>
      </c>
      <c r="E1245" s="251">
        <v>165</v>
      </c>
      <c r="F1245" s="252">
        <v>0.96299999999999997</v>
      </c>
      <c r="G1245" s="251">
        <v>1</v>
      </c>
      <c r="H1245" s="251">
        <v>1.1000000000000001</v>
      </c>
      <c r="I1245" s="251"/>
      <c r="J1245" s="253"/>
      <c r="K1245" s="254">
        <f t="shared" si="44"/>
        <v>174.78449999999998</v>
      </c>
      <c r="L1245" s="255"/>
    </row>
    <row r="1246" spans="2:12">
      <c r="B1246" s="205" t="s">
        <v>1572</v>
      </c>
      <c r="C1246" s="250" t="s">
        <v>1521</v>
      </c>
      <c r="D1246" s="205" t="s">
        <v>1274</v>
      </c>
      <c r="E1246" s="251">
        <v>1210.6500000000001</v>
      </c>
      <c r="F1246" s="252">
        <v>0.96299999999999997</v>
      </c>
      <c r="G1246" s="251">
        <v>0.5</v>
      </c>
      <c r="H1246" s="251">
        <v>1.1000000000000001</v>
      </c>
      <c r="I1246" s="251"/>
      <c r="J1246" s="253"/>
      <c r="K1246" s="254">
        <f t="shared" si="44"/>
        <v>641.22077250000007</v>
      </c>
      <c r="L1246" s="255"/>
    </row>
    <row r="1247" spans="2:12">
      <c r="B1247" s="205" t="s">
        <v>1573</v>
      </c>
      <c r="C1247" s="250" t="s">
        <v>1521</v>
      </c>
      <c r="D1247" s="205" t="s">
        <v>1274</v>
      </c>
      <c r="E1247" s="251">
        <v>1168.92</v>
      </c>
      <c r="F1247" s="252">
        <v>0.96299999999999997</v>
      </c>
      <c r="G1247" s="251">
        <v>0.5</v>
      </c>
      <c r="H1247" s="251">
        <v>1.1000000000000001</v>
      </c>
      <c r="I1247" s="251"/>
      <c r="J1247" s="253"/>
      <c r="K1247" s="254">
        <f t="shared" si="44"/>
        <v>619.11847799999998</v>
      </c>
      <c r="L1247" s="255"/>
    </row>
    <row r="1248" spans="2:12">
      <c r="B1248" s="205" t="s">
        <v>1510</v>
      </c>
      <c r="C1248" s="250" t="s">
        <v>1611</v>
      </c>
      <c r="D1248" s="205" t="s">
        <v>1274</v>
      </c>
      <c r="E1248" s="251">
        <v>815.6</v>
      </c>
      <c r="F1248" s="252">
        <v>0.96299999999999997</v>
      </c>
      <c r="G1248" s="251">
        <v>0.55000000000000004</v>
      </c>
      <c r="H1248" s="251">
        <v>1.1000000000000001</v>
      </c>
      <c r="I1248" s="251"/>
      <c r="J1248" s="253"/>
      <c r="K1248" s="254">
        <f t="shared" si="44"/>
        <v>475.18079400000005</v>
      </c>
      <c r="L1248" s="255"/>
    </row>
    <row r="1249" spans="2:12">
      <c r="B1249" s="205" t="s">
        <v>1512</v>
      </c>
      <c r="C1249" s="250" t="s">
        <v>1611</v>
      </c>
      <c r="D1249" s="205" t="s">
        <v>1274</v>
      </c>
      <c r="E1249" s="251">
        <v>760.5</v>
      </c>
      <c r="F1249" s="252">
        <v>0.96299999999999997</v>
      </c>
      <c r="G1249" s="251">
        <v>0.55000000000000004</v>
      </c>
      <c r="H1249" s="251">
        <v>1.1000000000000001</v>
      </c>
      <c r="I1249" s="251"/>
      <c r="J1249" s="253"/>
      <c r="K1249" s="254">
        <f t="shared" si="44"/>
        <v>443.07870750000006</v>
      </c>
      <c r="L1249" s="255"/>
    </row>
    <row r="1250" spans="2:12">
      <c r="B1250" s="205" t="s">
        <v>1572</v>
      </c>
      <c r="C1250" s="250" t="s">
        <v>1612</v>
      </c>
      <c r="D1250" s="205" t="s">
        <v>1274</v>
      </c>
      <c r="E1250" s="251">
        <v>1210.6500000000001</v>
      </c>
      <c r="F1250" s="252">
        <v>0.96299999999999997</v>
      </c>
      <c r="G1250" s="251">
        <v>0.5</v>
      </c>
      <c r="H1250" s="251">
        <v>1.1000000000000001</v>
      </c>
      <c r="I1250" s="251"/>
      <c r="J1250" s="253"/>
      <c r="K1250" s="254">
        <f t="shared" si="44"/>
        <v>641.22077250000007</v>
      </c>
      <c r="L1250" s="255"/>
    </row>
    <row r="1251" spans="2:12">
      <c r="B1251" s="205" t="s">
        <v>1573</v>
      </c>
      <c r="C1251" s="250" t="s">
        <v>1612</v>
      </c>
      <c r="D1251" s="205" t="s">
        <v>1274</v>
      </c>
      <c r="E1251" s="251">
        <v>1168.92</v>
      </c>
      <c r="F1251" s="252">
        <v>0.96299999999999997</v>
      </c>
      <c r="G1251" s="251">
        <v>0.5</v>
      </c>
      <c r="H1251" s="251">
        <v>1.1000000000000001</v>
      </c>
      <c r="I1251" s="251"/>
      <c r="J1251" s="253"/>
      <c r="K1251" s="254">
        <f t="shared" si="44"/>
        <v>619.11847799999998</v>
      </c>
      <c r="L1251" s="255"/>
    </row>
    <row r="1252" spans="2:12">
      <c r="B1252" s="256"/>
      <c r="C1252" s="210"/>
      <c r="D1252" s="210"/>
      <c r="E1252" s="257"/>
      <c r="F1252" s="258"/>
      <c r="G1252" s="257"/>
      <c r="H1252" s="257"/>
      <c r="I1252" s="257"/>
      <c r="J1252" s="259"/>
      <c r="K1252" s="260">
        <f t="shared" si="44"/>
        <v>0</v>
      </c>
      <c r="L1252" s="210"/>
    </row>
    <row r="1253" spans="2:12">
      <c r="B1253" s="256"/>
      <c r="C1253" s="210"/>
      <c r="D1253" s="210"/>
      <c r="E1253" s="257"/>
      <c r="F1253" s="258"/>
      <c r="G1253" s="257"/>
      <c r="H1253" s="257"/>
      <c r="I1253" s="257"/>
      <c r="J1253" s="259"/>
      <c r="K1253" s="260">
        <f t="shared" si="44"/>
        <v>0</v>
      </c>
      <c r="L1253" s="210"/>
    </row>
    <row r="1254" spans="2:12">
      <c r="B1254" s="256"/>
      <c r="C1254" s="210"/>
      <c r="D1254" s="210"/>
      <c r="E1254" s="257"/>
      <c r="F1254" s="258"/>
      <c r="G1254" s="257"/>
      <c r="H1254" s="257"/>
      <c r="I1254" s="257"/>
      <c r="J1254" s="259"/>
      <c r="K1254" s="260">
        <f t="shared" si="44"/>
        <v>0</v>
      </c>
      <c r="L1254" s="210"/>
    </row>
    <row r="1255" spans="2:12">
      <c r="B1255" s="256"/>
      <c r="C1255" s="210"/>
      <c r="D1255" s="210"/>
      <c r="E1255" s="257"/>
      <c r="F1255" s="258"/>
      <c r="G1255" s="257"/>
      <c r="H1255" s="257"/>
      <c r="I1255" s="257"/>
      <c r="J1255" s="259"/>
      <c r="K1255" s="260">
        <f t="shared" si="44"/>
        <v>0</v>
      </c>
      <c r="L1255" s="210"/>
    </row>
    <row r="1256" spans="2:12">
      <c r="B1256" s="202"/>
      <c r="C1256" s="203"/>
      <c r="D1256" s="203"/>
      <c r="E1256" s="203"/>
      <c r="F1256" s="203"/>
      <c r="G1256" s="203"/>
      <c r="H1256" s="204"/>
      <c r="I1256" s="556" t="s">
        <v>1221</v>
      </c>
      <c r="J1256" s="556"/>
      <c r="K1256" s="220">
        <f>SUM(K1242:K1255)</f>
        <v>5480.4686309999997</v>
      </c>
      <c r="L1256" s="207"/>
    </row>
    <row r="1257" spans="2:12">
      <c r="B1257" s="208"/>
      <c r="C1257" s="204"/>
      <c r="D1257" s="204"/>
      <c r="E1257" s="204"/>
      <c r="F1257" s="204"/>
      <c r="G1257" s="204"/>
      <c r="H1257" s="209"/>
      <c r="I1257" s="557" t="s">
        <v>1222</v>
      </c>
      <c r="J1257" s="557"/>
      <c r="K1257" s="221">
        <f>VLOOKUP(B1240,'BM 004'!$B$27:$R$590,4,0)</f>
        <v>8278.6</v>
      </c>
      <c r="L1257" s="207"/>
    </row>
    <row r="1258" spans="2:12">
      <c r="B1258" s="208"/>
      <c r="C1258" s="204"/>
      <c r="D1258" s="204"/>
      <c r="E1258" s="204"/>
      <c r="F1258" s="204"/>
      <c r="G1258" s="204"/>
      <c r="H1258" s="558" t="s">
        <v>1223</v>
      </c>
      <c r="I1258" s="558"/>
      <c r="J1258" s="558"/>
      <c r="K1258" s="222">
        <f>K1256-K1259</f>
        <v>4220.4686309999997</v>
      </c>
      <c r="L1258" s="207"/>
    </row>
    <row r="1259" spans="2:12">
      <c r="B1259" s="208"/>
      <c r="C1259" s="204"/>
      <c r="D1259" s="204"/>
      <c r="E1259" s="204"/>
      <c r="F1259" s="204"/>
      <c r="G1259" s="204"/>
      <c r="H1259" s="558" t="s">
        <v>1592</v>
      </c>
      <c r="I1259" s="558"/>
      <c r="J1259" s="558"/>
      <c r="K1259" s="222">
        <f>IF(K1256&gt;K1257,0,TRUNC(SUMIF(C1242:C1255,H1259,K1242:K1255),L9630))</f>
        <v>1260</v>
      </c>
      <c r="L1259" s="207"/>
    </row>
    <row r="1260" spans="2:12">
      <c r="B1260" s="213"/>
      <c r="C1260" s="214"/>
      <c r="D1260" s="214"/>
      <c r="E1260" s="214"/>
      <c r="F1260" s="214"/>
      <c r="G1260" s="214"/>
      <c r="H1260" s="559" t="s">
        <v>1224</v>
      </c>
      <c r="I1260" s="559"/>
      <c r="J1260" s="559"/>
      <c r="K1260" s="223">
        <f>IF(K1256&gt;K1257,K1256-K1257,0)</f>
        <v>0</v>
      </c>
      <c r="L1260" s="209"/>
    </row>
    <row r="1262" spans="2:12">
      <c r="B1262" s="247" t="s">
        <v>248</v>
      </c>
      <c r="C1262" s="565" t="str">
        <f>VLOOKUP(B1262,'BM 004'!$B$27:$R$590,2,0)</f>
        <v xml:space="preserve">Armação de laje de uma estrutura convencional de concreto armado em um edifício de múltiplos pavimentos utilizando aço ca-50 de 16,0 mm - montagem. </v>
      </c>
      <c r="D1262" s="565"/>
      <c r="E1262" s="565"/>
      <c r="F1262" s="565"/>
      <c r="G1262" s="565"/>
      <c r="H1262" s="565"/>
      <c r="I1262" s="565"/>
      <c r="J1262" s="565"/>
      <c r="K1262" s="565"/>
      <c r="L1262" s="565"/>
    </row>
    <row r="1263" spans="2:12">
      <c r="B1263" s="248" t="s">
        <v>1209</v>
      </c>
      <c r="C1263" s="248"/>
      <c r="D1263" s="248" t="s">
        <v>39</v>
      </c>
      <c r="E1263" s="248" t="s">
        <v>1210</v>
      </c>
      <c r="F1263" s="248" t="s">
        <v>1388</v>
      </c>
      <c r="G1263" s="248" t="s">
        <v>1212</v>
      </c>
      <c r="H1263" s="248" t="s">
        <v>1213</v>
      </c>
      <c r="I1263" s="248" t="s">
        <v>1214</v>
      </c>
      <c r="J1263" s="248" t="s">
        <v>1385</v>
      </c>
      <c r="K1263" s="248" t="s">
        <v>1216</v>
      </c>
      <c r="L1263" s="248" t="s">
        <v>1217</v>
      </c>
    </row>
    <row r="1264" spans="2:12">
      <c r="B1264" s="205" t="s">
        <v>1510</v>
      </c>
      <c r="C1264" s="250" t="s">
        <v>1441</v>
      </c>
      <c r="D1264" s="205" t="s">
        <v>1274</v>
      </c>
      <c r="E1264" s="251">
        <v>758.1</v>
      </c>
      <c r="F1264" s="252">
        <v>1.5780000000000001</v>
      </c>
      <c r="G1264" s="251">
        <v>0.45</v>
      </c>
      <c r="H1264" s="251">
        <v>1.1000000000000001</v>
      </c>
      <c r="I1264" s="251"/>
      <c r="J1264" s="253"/>
      <c r="K1264" s="254">
        <f t="shared" ref="K1264:K1270" si="45">IF(E1264*F1264*G1264&lt;&gt;0,E1264*F1264*G1264,IF(E1264*F1264&lt;&gt;0,E1264*F1264,IF(F1264*G1264&lt;&gt;0,F1264*G1264,IF(E1264*G1264&lt;&gt;0,E1264*G1264,IF(E1264&lt;&gt;0,E1264,IF(F1264&lt;&gt;0,F1264,IF(G1264&lt;&gt;0,G1264,0)))))))*(IF(H1264&lt;&gt;0,H1264,1))+I1264-J1264</f>
        <v>592.15949100000012</v>
      </c>
      <c r="L1264" s="255"/>
    </row>
    <row r="1265" spans="2:12">
      <c r="B1265" s="205" t="s">
        <v>1512</v>
      </c>
      <c r="C1265" s="250" t="s">
        <v>1441</v>
      </c>
      <c r="D1265" s="205" t="s">
        <v>1274</v>
      </c>
      <c r="E1265" s="251">
        <v>365.1</v>
      </c>
      <c r="F1265" s="252">
        <v>1.5780000000000001</v>
      </c>
      <c r="G1265" s="251">
        <v>0.45</v>
      </c>
      <c r="H1265" s="251">
        <v>1.1000000000000001</v>
      </c>
      <c r="I1265" s="251"/>
      <c r="J1265" s="253"/>
      <c r="K1265" s="254">
        <f t="shared" si="45"/>
        <v>285.18326100000007</v>
      </c>
      <c r="L1265" s="255"/>
    </row>
    <row r="1266" spans="2:12">
      <c r="B1266" s="205" t="s">
        <v>1513</v>
      </c>
      <c r="C1266" s="250" t="s">
        <v>1441</v>
      </c>
      <c r="D1266" s="205" t="s">
        <v>1274</v>
      </c>
      <c r="E1266" s="251">
        <v>584</v>
      </c>
      <c r="F1266" s="252">
        <v>1.5780000000000001</v>
      </c>
      <c r="G1266" s="251"/>
      <c r="H1266" s="251">
        <v>1.1000000000000001</v>
      </c>
      <c r="I1266" s="251"/>
      <c r="J1266" s="253"/>
      <c r="K1266" s="254">
        <f t="shared" si="45"/>
        <v>1013.7072000000001</v>
      </c>
      <c r="L1266" s="255"/>
    </row>
    <row r="1267" spans="2:12">
      <c r="B1267" s="205" t="s">
        <v>1514</v>
      </c>
      <c r="C1267" s="250" t="s">
        <v>1441</v>
      </c>
      <c r="D1267" s="205" t="s">
        <v>1274</v>
      </c>
      <c r="E1267" s="251">
        <v>722</v>
      </c>
      <c r="F1267" s="252">
        <v>1.5780000000000001</v>
      </c>
      <c r="G1267" s="251"/>
      <c r="H1267" s="251">
        <v>1.1000000000000001</v>
      </c>
      <c r="I1267" s="251"/>
      <c r="J1267" s="253"/>
      <c r="K1267" s="254">
        <f t="shared" si="45"/>
        <v>1253.2476000000001</v>
      </c>
      <c r="L1267" s="255"/>
    </row>
    <row r="1268" spans="2:12">
      <c r="B1268" s="205" t="s">
        <v>1572</v>
      </c>
      <c r="C1268" s="250" t="s">
        <v>1521</v>
      </c>
      <c r="D1268" s="205" t="s">
        <v>1274</v>
      </c>
      <c r="E1268" s="251">
        <v>1168.92</v>
      </c>
      <c r="F1268" s="252">
        <v>1.5780000000000001</v>
      </c>
      <c r="G1268" s="251">
        <v>0.5</v>
      </c>
      <c r="H1268" s="251">
        <v>1.1000000000000001</v>
      </c>
      <c r="I1268" s="251"/>
      <c r="J1268" s="253"/>
      <c r="K1268" s="254">
        <f t="shared" si="45"/>
        <v>1014.5056680000002</v>
      </c>
      <c r="L1268" s="255"/>
    </row>
    <row r="1269" spans="2:12">
      <c r="B1269" s="205" t="s">
        <v>1573</v>
      </c>
      <c r="C1269" s="250" t="s">
        <v>1521</v>
      </c>
      <c r="D1269" s="205" t="s">
        <v>1274</v>
      </c>
      <c r="E1269" s="251">
        <v>5626</v>
      </c>
      <c r="F1269" s="252">
        <v>1.5780000000000001</v>
      </c>
      <c r="G1269" s="251">
        <v>0.5</v>
      </c>
      <c r="H1269" s="251">
        <v>1.1000000000000001</v>
      </c>
      <c r="I1269" s="251"/>
      <c r="J1269" s="253"/>
      <c r="K1269" s="254">
        <f t="shared" si="45"/>
        <v>4882.8054000000002</v>
      </c>
      <c r="L1269" s="255"/>
    </row>
    <row r="1270" spans="2:12">
      <c r="B1270" s="256"/>
      <c r="C1270" s="210"/>
      <c r="D1270" s="210"/>
      <c r="E1270" s="257"/>
      <c r="F1270" s="258"/>
      <c r="G1270" s="257"/>
      <c r="H1270" s="257"/>
      <c r="I1270" s="257"/>
      <c r="J1270" s="259"/>
      <c r="K1270" s="260">
        <f t="shared" si="45"/>
        <v>0</v>
      </c>
      <c r="L1270" s="210"/>
    </row>
    <row r="1271" spans="2:12">
      <c r="B1271" s="202"/>
      <c r="C1271" s="203"/>
      <c r="D1271" s="203"/>
      <c r="E1271" s="203"/>
      <c r="F1271" s="203"/>
      <c r="G1271" s="203"/>
      <c r="H1271" s="204"/>
      <c r="I1271" s="556" t="s">
        <v>1221</v>
      </c>
      <c r="J1271" s="556"/>
      <c r="K1271" s="220">
        <f>SUM(K1264:K1270)</f>
        <v>9041.6086200000009</v>
      </c>
      <c r="L1271" s="207"/>
    </row>
    <row r="1272" spans="2:12">
      <c r="B1272" s="208"/>
      <c r="C1272" s="204"/>
      <c r="D1272" s="204"/>
      <c r="E1272" s="204"/>
      <c r="F1272" s="204"/>
      <c r="G1272" s="204"/>
      <c r="H1272" s="209"/>
      <c r="I1272" s="557" t="s">
        <v>1222</v>
      </c>
      <c r="J1272" s="557"/>
      <c r="K1272" s="221">
        <f>VLOOKUP(B1262,'BM 004'!$B$27:$R$590,4,0)</f>
        <v>8114.7</v>
      </c>
      <c r="L1272" s="207"/>
    </row>
    <row r="1273" spans="2:12">
      <c r="B1273" s="208"/>
      <c r="C1273" s="204"/>
      <c r="D1273" s="204"/>
      <c r="E1273" s="204"/>
      <c r="F1273" s="204"/>
      <c r="G1273" s="204"/>
      <c r="H1273" s="558" t="s">
        <v>1223</v>
      </c>
      <c r="I1273" s="558"/>
      <c r="J1273" s="558"/>
      <c r="K1273" s="222">
        <f>VLOOKUP(B1262,'BM 007'!$B$27:$R$590,6,0)</f>
        <v>0</v>
      </c>
      <c r="L1273" s="207"/>
    </row>
    <row r="1274" spans="2:12">
      <c r="B1274" s="208"/>
      <c r="C1274" s="204"/>
      <c r="D1274" s="204"/>
      <c r="E1274" s="204"/>
      <c r="F1274" s="204"/>
      <c r="G1274" s="204"/>
      <c r="H1274" s="558" t="s">
        <v>1592</v>
      </c>
      <c r="I1274" s="558"/>
      <c r="J1274" s="558"/>
      <c r="K1274" s="222">
        <f>IF(K1271&gt;K1272,K1272-K1273,K1271-K1273)</f>
        <v>8114.7</v>
      </c>
      <c r="L1274" s="207"/>
    </row>
    <row r="1275" spans="2:12">
      <c r="B1275" s="213"/>
      <c r="C1275" s="214"/>
      <c r="D1275" s="214"/>
      <c r="E1275" s="214"/>
      <c r="F1275" s="214"/>
      <c r="G1275" s="214"/>
      <c r="H1275" s="559" t="s">
        <v>1224</v>
      </c>
      <c r="I1275" s="559"/>
      <c r="J1275" s="559"/>
      <c r="K1275" s="223">
        <f>IF(K1271&gt;K1272,K1271-K1272,0)</f>
        <v>926.90862000000106</v>
      </c>
      <c r="L1275" s="209"/>
    </row>
    <row r="1277" spans="2:12">
      <c r="B1277" s="247" t="s">
        <v>250</v>
      </c>
      <c r="C1277" s="565" t="str">
        <f>VLOOKUP(B1277,'BM 004'!$B$27:$R$590,2,0)</f>
        <v xml:space="preserve">Armação de laje de uma estrutura convencional de concreto armado em um edifício de múltiplos pavimentos utilizando aço ca-50 de 20,0 mm - montagem. </v>
      </c>
      <c r="D1277" s="565"/>
      <c r="E1277" s="565"/>
      <c r="F1277" s="565"/>
      <c r="G1277" s="565"/>
      <c r="H1277" s="565"/>
      <c r="I1277" s="565"/>
      <c r="J1277" s="565"/>
      <c r="K1277" s="565"/>
      <c r="L1277" s="565"/>
    </row>
    <row r="1278" spans="2:12">
      <c r="B1278" s="248" t="s">
        <v>1209</v>
      </c>
      <c r="C1278" s="248"/>
      <c r="D1278" s="248" t="s">
        <v>39</v>
      </c>
      <c r="E1278" s="248" t="s">
        <v>1210</v>
      </c>
      <c r="F1278" s="248" t="s">
        <v>1388</v>
      </c>
      <c r="G1278" s="248" t="s">
        <v>1212</v>
      </c>
      <c r="H1278" s="248" t="s">
        <v>1213</v>
      </c>
      <c r="I1278" s="248" t="s">
        <v>1214</v>
      </c>
      <c r="J1278" s="248" t="s">
        <v>1385</v>
      </c>
      <c r="K1278" s="248" t="s">
        <v>1216</v>
      </c>
      <c r="L1278" s="248" t="s">
        <v>1217</v>
      </c>
    </row>
    <row r="1279" spans="2:12">
      <c r="B1279" s="205" t="s">
        <v>1510</v>
      </c>
      <c r="C1279" s="250" t="s">
        <v>1441</v>
      </c>
      <c r="D1279" s="205" t="s">
        <v>1274</v>
      </c>
      <c r="E1279" s="251">
        <v>156.41999999999999</v>
      </c>
      <c r="F1279" s="252">
        <v>2.4660000000000002</v>
      </c>
      <c r="G1279" s="251">
        <v>0.45</v>
      </c>
      <c r="H1279" s="251">
        <v>1.1000000000000001</v>
      </c>
      <c r="I1279" s="251"/>
      <c r="J1279" s="253"/>
      <c r="K1279" s="254">
        <f t="shared" ref="K1279:K1294" si="46">IF(E1279*F1279*G1279&lt;&gt;0,E1279*F1279*G1279,IF(E1279*F1279&lt;&gt;0,E1279*F1279,IF(F1279*G1279&lt;&gt;0,F1279*G1279,IF(E1279*G1279&lt;&gt;0,E1279*G1279,IF(E1279&lt;&gt;0,E1279,IF(F1279&lt;&gt;0,F1279,IF(G1279&lt;&gt;0,G1279,0)))))))*(IF(H1279&lt;&gt;0,H1279,1))+I1279-J1279</f>
        <v>190.93720140000002</v>
      </c>
      <c r="L1279" s="255"/>
    </row>
    <row r="1280" spans="2:12">
      <c r="B1280" s="205" t="s">
        <v>1512</v>
      </c>
      <c r="C1280" s="250" t="s">
        <v>1441</v>
      </c>
      <c r="D1280" s="205" t="s">
        <v>1274</v>
      </c>
      <c r="E1280" s="251">
        <v>154.41999999999999</v>
      </c>
      <c r="F1280" s="252">
        <v>2.4660000000000002</v>
      </c>
      <c r="G1280" s="251">
        <v>0.45</v>
      </c>
      <c r="H1280" s="251">
        <v>1.1000000000000001</v>
      </c>
      <c r="I1280" s="251"/>
      <c r="J1280" s="253"/>
      <c r="K1280" s="254">
        <f t="shared" si="46"/>
        <v>188.4958614</v>
      </c>
      <c r="L1280" s="255"/>
    </row>
    <row r="1281" spans="2:12">
      <c r="B1281" s="205" t="s">
        <v>1513</v>
      </c>
      <c r="C1281" s="250" t="s">
        <v>1441</v>
      </c>
      <c r="D1281" s="205" t="s">
        <v>1274</v>
      </c>
      <c r="E1281" s="251">
        <v>51</v>
      </c>
      <c r="F1281" s="252">
        <v>2.4660000000000002</v>
      </c>
      <c r="G1281" s="251"/>
      <c r="H1281" s="251">
        <v>1.1000000000000001</v>
      </c>
      <c r="I1281" s="251"/>
      <c r="J1281" s="253"/>
      <c r="K1281" s="254">
        <f t="shared" si="46"/>
        <v>138.3426</v>
      </c>
      <c r="L1281" s="255"/>
    </row>
    <row r="1282" spans="2:12">
      <c r="B1282" s="205" t="s">
        <v>1514</v>
      </c>
      <c r="C1282" s="250" t="s">
        <v>1441</v>
      </c>
      <c r="D1282" s="205" t="s">
        <v>1274</v>
      </c>
      <c r="E1282" s="251">
        <v>298</v>
      </c>
      <c r="F1282" s="252">
        <v>2.4660000000000002</v>
      </c>
      <c r="G1282" s="251"/>
      <c r="H1282" s="251">
        <v>1.1000000000000001</v>
      </c>
      <c r="I1282" s="251"/>
      <c r="J1282" s="253"/>
      <c r="K1282" s="254">
        <f t="shared" si="46"/>
        <v>808.35480000000007</v>
      </c>
      <c r="L1282" s="255"/>
    </row>
    <row r="1283" spans="2:12">
      <c r="B1283" s="205" t="s">
        <v>1572</v>
      </c>
      <c r="C1283" s="250" t="s">
        <v>1521</v>
      </c>
      <c r="D1283" s="205" t="s">
        <v>1274</v>
      </c>
      <c r="E1283" s="251">
        <v>1019.89</v>
      </c>
      <c r="F1283" s="252">
        <v>2.4660000000000002</v>
      </c>
      <c r="G1283" s="251">
        <v>0.5</v>
      </c>
      <c r="H1283" s="251">
        <v>1.1000000000000001</v>
      </c>
      <c r="I1283" s="251"/>
      <c r="J1283" s="253"/>
      <c r="K1283" s="254">
        <f t="shared" si="46"/>
        <v>1383.2768070000002</v>
      </c>
      <c r="L1283" s="255"/>
    </row>
    <row r="1284" spans="2:12">
      <c r="B1284" s="205" t="s">
        <v>1573</v>
      </c>
      <c r="C1284" s="250" t="s">
        <v>1521</v>
      </c>
      <c r="D1284" s="205" t="s">
        <v>1274</v>
      </c>
      <c r="E1284" s="251">
        <v>804</v>
      </c>
      <c r="F1284" s="252">
        <v>2.4660000000000002</v>
      </c>
      <c r="G1284" s="251">
        <v>0.5</v>
      </c>
      <c r="H1284" s="251">
        <v>1.1000000000000001</v>
      </c>
      <c r="I1284" s="251"/>
      <c r="J1284" s="253"/>
      <c r="K1284" s="254">
        <f t="shared" si="46"/>
        <v>1090.4652000000001</v>
      </c>
      <c r="L1284" s="255"/>
    </row>
    <row r="1285" spans="2:12">
      <c r="B1285" s="205" t="s">
        <v>1510</v>
      </c>
      <c r="C1285" s="250" t="s">
        <v>1611</v>
      </c>
      <c r="D1285" s="205" t="s">
        <v>1274</v>
      </c>
      <c r="E1285" s="251">
        <v>156.41999999999999</v>
      </c>
      <c r="F1285" s="252">
        <v>2.4660000000000002</v>
      </c>
      <c r="G1285" s="251">
        <v>0.55000000000000004</v>
      </c>
      <c r="H1285" s="251">
        <v>1.1000000000000001</v>
      </c>
      <c r="I1285" s="251"/>
      <c r="J1285" s="253"/>
      <c r="K1285" s="254">
        <f t="shared" si="46"/>
        <v>233.36769060000006</v>
      </c>
      <c r="L1285" s="255"/>
    </row>
    <row r="1286" spans="2:12">
      <c r="B1286" s="205" t="s">
        <v>1512</v>
      </c>
      <c r="C1286" s="250" t="s">
        <v>1611</v>
      </c>
      <c r="D1286" s="205" t="s">
        <v>1274</v>
      </c>
      <c r="E1286" s="251">
        <v>154.41999999999999</v>
      </c>
      <c r="F1286" s="252">
        <v>2.4660000000000002</v>
      </c>
      <c r="G1286" s="251">
        <v>0.55000000000000004</v>
      </c>
      <c r="H1286" s="251">
        <v>1.1000000000000001</v>
      </c>
      <c r="I1286" s="251"/>
      <c r="J1286" s="253"/>
      <c r="K1286" s="254">
        <f t="shared" si="46"/>
        <v>230.38383060000004</v>
      </c>
      <c r="L1286" s="255"/>
    </row>
    <row r="1287" spans="2:12">
      <c r="B1287" s="205" t="s">
        <v>1687</v>
      </c>
      <c r="C1287" s="264" t="s">
        <v>1611</v>
      </c>
      <c r="D1287" s="210" t="s">
        <v>1274</v>
      </c>
      <c r="E1287" s="257">
        <f>954+522</f>
        <v>1476</v>
      </c>
      <c r="F1287" s="258">
        <f>(45.8/(6*2.45))</f>
        <v>3.1156462585034008</v>
      </c>
      <c r="G1287" s="257"/>
      <c r="H1287" s="257">
        <v>1</v>
      </c>
      <c r="I1287" s="257"/>
      <c r="J1287" s="253"/>
      <c r="K1287" s="254">
        <f t="shared" si="46"/>
        <v>4598.6938775510198</v>
      </c>
      <c r="L1287" s="255"/>
    </row>
    <row r="1288" spans="2:12">
      <c r="B1288" s="205" t="s">
        <v>1572</v>
      </c>
      <c r="C1288" s="250" t="s">
        <v>1612</v>
      </c>
      <c r="D1288" s="205" t="s">
        <v>1274</v>
      </c>
      <c r="E1288" s="251">
        <v>1019.89</v>
      </c>
      <c r="F1288" s="252">
        <v>2.4660000000000002</v>
      </c>
      <c r="G1288" s="251">
        <v>0.5</v>
      </c>
      <c r="H1288" s="251">
        <v>1.1000000000000001</v>
      </c>
      <c r="I1288" s="251"/>
      <c r="J1288" s="253"/>
      <c r="K1288" s="254">
        <f t="shared" si="46"/>
        <v>1383.2768070000002</v>
      </c>
      <c r="L1288" s="255"/>
    </row>
    <row r="1289" spans="2:12">
      <c r="B1289" s="256"/>
      <c r="C1289" s="210"/>
      <c r="D1289" s="210"/>
      <c r="E1289" s="257"/>
      <c r="F1289" s="258"/>
      <c r="G1289" s="257"/>
      <c r="H1289" s="257"/>
      <c r="I1289" s="257"/>
      <c r="J1289" s="259"/>
      <c r="K1289" s="260">
        <f t="shared" si="46"/>
        <v>0</v>
      </c>
      <c r="L1289" s="210"/>
    </row>
    <row r="1290" spans="2:12">
      <c r="B1290" s="256"/>
      <c r="C1290" s="210"/>
      <c r="D1290" s="210"/>
      <c r="E1290" s="257"/>
      <c r="F1290" s="258"/>
      <c r="G1290" s="257"/>
      <c r="H1290" s="257"/>
      <c r="I1290" s="257"/>
      <c r="J1290" s="259"/>
      <c r="K1290" s="260">
        <f t="shared" si="46"/>
        <v>0</v>
      </c>
      <c r="L1290" s="210"/>
    </row>
    <row r="1291" spans="2:12">
      <c r="B1291" s="256"/>
      <c r="C1291" s="210"/>
      <c r="D1291" s="210"/>
      <c r="E1291" s="257"/>
      <c r="F1291" s="258"/>
      <c r="G1291" s="257"/>
      <c r="H1291" s="257"/>
      <c r="I1291" s="257"/>
      <c r="J1291" s="259"/>
      <c r="K1291" s="260">
        <f t="shared" si="46"/>
        <v>0</v>
      </c>
      <c r="L1291" s="210"/>
    </row>
    <row r="1292" spans="2:12">
      <c r="B1292" s="256"/>
      <c r="C1292" s="210"/>
      <c r="D1292" s="210"/>
      <c r="E1292" s="257"/>
      <c r="F1292" s="258"/>
      <c r="G1292" s="257"/>
      <c r="H1292" s="257"/>
      <c r="I1292" s="257"/>
      <c r="J1292" s="259"/>
      <c r="K1292" s="260">
        <f t="shared" si="46"/>
        <v>0</v>
      </c>
      <c r="L1292" s="210"/>
    </row>
    <row r="1293" spans="2:12">
      <c r="B1293" s="256"/>
      <c r="C1293" s="210"/>
      <c r="D1293" s="210"/>
      <c r="E1293" s="257"/>
      <c r="F1293" s="258"/>
      <c r="G1293" s="257"/>
      <c r="H1293" s="257"/>
      <c r="I1293" s="257"/>
      <c r="J1293" s="259"/>
      <c r="K1293" s="260">
        <f t="shared" si="46"/>
        <v>0</v>
      </c>
      <c r="L1293" s="210"/>
    </row>
    <row r="1294" spans="2:12">
      <c r="B1294" s="256"/>
      <c r="C1294" s="210"/>
      <c r="D1294" s="210"/>
      <c r="E1294" s="257"/>
      <c r="F1294" s="258"/>
      <c r="G1294" s="257"/>
      <c r="H1294" s="257"/>
      <c r="I1294" s="257"/>
      <c r="J1294" s="259"/>
      <c r="K1294" s="260">
        <f t="shared" si="46"/>
        <v>0</v>
      </c>
      <c r="L1294" s="210"/>
    </row>
    <row r="1295" spans="2:12">
      <c r="B1295" s="202"/>
      <c r="C1295" s="203"/>
      <c r="D1295" s="203"/>
      <c r="E1295" s="203"/>
      <c r="F1295" s="203"/>
      <c r="G1295" s="203"/>
      <c r="H1295" s="204"/>
      <c r="I1295" s="556" t="s">
        <v>1221</v>
      </c>
      <c r="J1295" s="556"/>
      <c r="K1295" s="220">
        <f>SUM(K1279:K1294)</f>
        <v>10245.594675551021</v>
      </c>
      <c r="L1295" s="207"/>
    </row>
    <row r="1296" spans="2:12">
      <c r="B1296" s="208"/>
      <c r="C1296" s="204"/>
      <c r="D1296" s="204"/>
      <c r="E1296" s="204"/>
      <c r="F1296" s="204"/>
      <c r="G1296" s="204"/>
      <c r="H1296" s="209"/>
      <c r="I1296" s="557" t="s">
        <v>1222</v>
      </c>
      <c r="J1296" s="557"/>
      <c r="K1296" s="221">
        <f>VLOOKUP(B1277,'BM 004'!$B$27:$R$590,4,0)</f>
        <v>11554.4</v>
      </c>
      <c r="L1296" s="207"/>
    </row>
    <row r="1297" spans="2:12">
      <c r="B1297" s="208"/>
      <c r="C1297" s="204"/>
      <c r="D1297" s="204"/>
      <c r="E1297" s="204"/>
      <c r="F1297" s="204"/>
      <c r="G1297" s="204"/>
      <c r="H1297" s="558" t="s">
        <v>1223</v>
      </c>
      <c r="I1297" s="558"/>
      <c r="J1297" s="558"/>
      <c r="K1297" s="222">
        <f>K1295-K1298</f>
        <v>8862.3246755510208</v>
      </c>
      <c r="L1297" s="207"/>
    </row>
    <row r="1298" spans="2:12">
      <c r="B1298" s="208"/>
      <c r="C1298" s="204"/>
      <c r="D1298" s="204"/>
      <c r="E1298" s="204"/>
      <c r="F1298" s="204"/>
      <c r="G1298" s="204"/>
      <c r="H1298" s="558" t="s">
        <v>1592</v>
      </c>
      <c r="I1298" s="558"/>
      <c r="J1298" s="558"/>
      <c r="K1298" s="222">
        <f>TRUNC(SUMIF(C1279:C1294,H1298,K1279:K1294),2)</f>
        <v>1383.27</v>
      </c>
      <c r="L1298" s="207"/>
    </row>
    <row r="1299" spans="2:12">
      <c r="B1299" s="213"/>
      <c r="C1299" s="214"/>
      <c r="D1299" s="214"/>
      <c r="E1299" s="214"/>
      <c r="F1299" s="214"/>
      <c r="G1299" s="214"/>
      <c r="H1299" s="559" t="s">
        <v>1224</v>
      </c>
      <c r="I1299" s="559"/>
      <c r="J1299" s="559"/>
      <c r="K1299" s="223">
        <f>IF(K1295&gt;K1296,K1295-K1296,0)</f>
        <v>0</v>
      </c>
      <c r="L1299" s="209"/>
    </row>
    <row r="1301" spans="2:12">
      <c r="B1301" s="247" t="s">
        <v>252</v>
      </c>
      <c r="C1301" s="565" t="str">
        <f>VLOOKUP(B1301,'BM 004'!$B$27:$R$590,2,0)</f>
        <v>ARMAÇÃO DE LAJE DE UMA ESTRUTURA CONVENCIONAL DE CONCRETO ARMADO EM UM EDIFÍCIO DE MÚLTIPLOS PAVIMENTOS UTILIZANDO AÇO CA-50 DE 25,0 MM - MONTAGEM.</v>
      </c>
      <c r="D1301" s="565"/>
      <c r="E1301" s="565"/>
      <c r="F1301" s="565"/>
      <c r="G1301" s="565"/>
      <c r="H1301" s="565"/>
      <c r="I1301" s="565"/>
      <c r="J1301" s="565"/>
      <c r="K1301" s="565"/>
      <c r="L1301" s="565"/>
    </row>
    <row r="1302" spans="2:12">
      <c r="B1302" s="248" t="s">
        <v>1209</v>
      </c>
      <c r="C1302" s="248"/>
      <c r="D1302" s="248" t="s">
        <v>39</v>
      </c>
      <c r="E1302" s="248" t="s">
        <v>1210</v>
      </c>
      <c r="F1302" s="248" t="s">
        <v>1388</v>
      </c>
      <c r="G1302" s="248" t="s">
        <v>1212</v>
      </c>
      <c r="H1302" s="248" t="s">
        <v>1213</v>
      </c>
      <c r="I1302" s="248" t="s">
        <v>1214</v>
      </c>
      <c r="J1302" s="248" t="s">
        <v>1385</v>
      </c>
      <c r="K1302" s="248" t="s">
        <v>1216</v>
      </c>
      <c r="L1302" s="248" t="s">
        <v>1217</v>
      </c>
    </row>
    <row r="1303" spans="2:12">
      <c r="B1303" s="205" t="s">
        <v>1510</v>
      </c>
      <c r="C1303" s="250" t="s">
        <v>1441</v>
      </c>
      <c r="D1303" s="205" t="s">
        <v>1274</v>
      </c>
      <c r="E1303" s="251">
        <v>372.94</v>
      </c>
      <c r="F1303" s="252">
        <v>3.8530000000000002</v>
      </c>
      <c r="G1303" s="251">
        <v>0.45</v>
      </c>
      <c r="H1303" s="251">
        <v>1.1000000000000001</v>
      </c>
      <c r="I1303" s="251"/>
      <c r="J1303" s="253"/>
      <c r="K1303" s="254">
        <f t="shared" ref="K1303:K1317" si="47">IF(E1303*F1303*G1303&lt;&gt;0,E1303*F1303*G1303,IF(E1303*F1303&lt;&gt;0,E1303*F1303,IF(F1303*G1303&lt;&gt;0,F1303*G1303,IF(E1303*G1303&lt;&gt;0,E1303*G1303,IF(E1303&lt;&gt;0,E1303,IF(F1303&lt;&gt;0,F1303,IF(G1303&lt;&gt;0,G1303,0)))))))*(IF(H1303&lt;&gt;0,H1303,1))+I1303-J1303</f>
        <v>711.28422090000004</v>
      </c>
      <c r="L1303" s="255"/>
    </row>
    <row r="1304" spans="2:12">
      <c r="B1304" s="205" t="s">
        <v>1512</v>
      </c>
      <c r="C1304" s="250" t="s">
        <v>1441</v>
      </c>
      <c r="D1304" s="205" t="s">
        <v>1274</v>
      </c>
      <c r="E1304" s="251">
        <v>47.06</v>
      </c>
      <c r="F1304" s="252">
        <v>3.8530000000000002</v>
      </c>
      <c r="G1304" s="251">
        <v>0.45</v>
      </c>
      <c r="H1304" s="251">
        <v>1.1000000000000001</v>
      </c>
      <c r="I1304" s="251"/>
      <c r="J1304" s="253"/>
      <c r="K1304" s="254">
        <f t="shared" si="47"/>
        <v>89.754479100000026</v>
      </c>
      <c r="L1304" s="255"/>
    </row>
    <row r="1305" spans="2:12">
      <c r="B1305" s="205" t="s">
        <v>1513</v>
      </c>
      <c r="C1305" s="250" t="s">
        <v>1441</v>
      </c>
      <c r="D1305" s="205" t="s">
        <v>1274</v>
      </c>
      <c r="E1305" s="251">
        <v>6</v>
      </c>
      <c r="F1305" s="252">
        <v>3.8530000000000002</v>
      </c>
      <c r="G1305" s="251"/>
      <c r="H1305" s="251">
        <v>1.1000000000000001</v>
      </c>
      <c r="I1305" s="251"/>
      <c r="J1305" s="253"/>
      <c r="K1305" s="254">
        <f t="shared" si="47"/>
        <v>25.429800000000004</v>
      </c>
      <c r="L1305" s="255"/>
    </row>
    <row r="1306" spans="2:12">
      <c r="B1306" s="205" t="s">
        <v>1514</v>
      </c>
      <c r="C1306" s="250" t="s">
        <v>1441</v>
      </c>
      <c r="D1306" s="205" t="s">
        <v>1274</v>
      </c>
      <c r="E1306" s="251">
        <v>3</v>
      </c>
      <c r="F1306" s="252">
        <v>3.8530000000000002</v>
      </c>
      <c r="G1306" s="251"/>
      <c r="H1306" s="251">
        <v>1.1000000000000001</v>
      </c>
      <c r="I1306" s="251"/>
      <c r="J1306" s="253"/>
      <c r="K1306" s="254">
        <f t="shared" si="47"/>
        <v>12.714900000000002</v>
      </c>
      <c r="L1306" s="255"/>
    </row>
    <row r="1307" spans="2:12">
      <c r="B1307" s="205" t="s">
        <v>1572</v>
      </c>
      <c r="C1307" s="250" t="s">
        <v>1521</v>
      </c>
      <c r="D1307" s="205" t="s">
        <v>1274</v>
      </c>
      <c r="E1307" s="251">
        <v>37.869999999999997</v>
      </c>
      <c r="F1307" s="252">
        <v>3.8530000000000002</v>
      </c>
      <c r="G1307" s="251">
        <v>0.5</v>
      </c>
      <c r="H1307" s="251">
        <v>1.1000000000000001</v>
      </c>
      <c r="I1307" s="251"/>
      <c r="J1307" s="253"/>
      <c r="K1307" s="254">
        <f t="shared" si="47"/>
        <v>80.252210500000004</v>
      </c>
      <c r="L1307" s="255"/>
    </row>
    <row r="1308" spans="2:12">
      <c r="B1308" s="205" t="s">
        <v>1573</v>
      </c>
      <c r="C1308" s="250" t="s">
        <v>1521</v>
      </c>
      <c r="D1308" s="205" t="s">
        <v>1274</v>
      </c>
      <c r="E1308" s="251">
        <v>5</v>
      </c>
      <c r="F1308" s="252">
        <v>3.8530000000000002</v>
      </c>
      <c r="G1308" s="251">
        <v>0.5</v>
      </c>
      <c r="H1308" s="251">
        <v>1.1000000000000001</v>
      </c>
      <c r="I1308" s="251"/>
      <c r="J1308" s="253"/>
      <c r="K1308" s="254">
        <f t="shared" si="47"/>
        <v>10.595750000000001</v>
      </c>
      <c r="L1308" s="255"/>
    </row>
    <row r="1309" spans="2:12">
      <c r="B1309" s="205" t="s">
        <v>1510</v>
      </c>
      <c r="C1309" s="250" t="s">
        <v>1611</v>
      </c>
      <c r="D1309" s="205" t="s">
        <v>1274</v>
      </c>
      <c r="E1309" s="251">
        <v>372.94</v>
      </c>
      <c r="F1309" s="252">
        <v>3.8530000000000002</v>
      </c>
      <c r="G1309" s="251">
        <v>0.55000000000000004</v>
      </c>
      <c r="H1309" s="251">
        <v>1.1000000000000001</v>
      </c>
      <c r="I1309" s="251"/>
      <c r="J1309" s="253"/>
      <c r="K1309" s="254">
        <f t="shared" si="47"/>
        <v>869.34738110000012</v>
      </c>
      <c r="L1309" s="255"/>
    </row>
    <row r="1310" spans="2:12">
      <c r="B1310" s="205" t="s">
        <v>1512</v>
      </c>
      <c r="C1310" s="250" t="s">
        <v>1611</v>
      </c>
      <c r="D1310" s="205" t="s">
        <v>1274</v>
      </c>
      <c r="E1310" s="251">
        <v>47.06</v>
      </c>
      <c r="F1310" s="252">
        <v>3.8530000000000002</v>
      </c>
      <c r="G1310" s="251">
        <v>0.55000000000000004</v>
      </c>
      <c r="H1310" s="251">
        <v>1.1000000000000001</v>
      </c>
      <c r="I1310" s="251"/>
      <c r="J1310" s="253"/>
      <c r="K1310" s="254">
        <f t="shared" si="47"/>
        <v>109.69991890000004</v>
      </c>
      <c r="L1310" s="255"/>
    </row>
    <row r="1311" spans="2:12">
      <c r="B1311" s="205" t="s">
        <v>1572</v>
      </c>
      <c r="C1311" s="250" t="s">
        <v>1612</v>
      </c>
      <c r="D1311" s="205" t="s">
        <v>1274</v>
      </c>
      <c r="E1311" s="251">
        <v>37.869999999999997</v>
      </c>
      <c r="F1311" s="252">
        <v>3.8530000000000002</v>
      </c>
      <c r="G1311" s="251">
        <v>0.5</v>
      </c>
      <c r="H1311" s="251">
        <v>1.1000000000000001</v>
      </c>
      <c r="I1311" s="251"/>
      <c r="J1311" s="253"/>
      <c r="K1311" s="254">
        <f t="shared" si="47"/>
        <v>80.252210500000004</v>
      </c>
      <c r="L1311" s="255"/>
    </row>
    <row r="1312" spans="2:12">
      <c r="B1312" s="205" t="s">
        <v>1573</v>
      </c>
      <c r="C1312" s="250" t="s">
        <v>1612</v>
      </c>
      <c r="D1312" s="205" t="s">
        <v>1274</v>
      </c>
      <c r="E1312" s="251">
        <v>5</v>
      </c>
      <c r="F1312" s="252">
        <v>3.8530000000000002</v>
      </c>
      <c r="G1312" s="251">
        <v>0.5</v>
      </c>
      <c r="H1312" s="251">
        <v>1.1000000000000001</v>
      </c>
      <c r="I1312" s="251"/>
      <c r="J1312" s="253"/>
      <c r="K1312" s="254">
        <f t="shared" si="47"/>
        <v>10.595750000000001</v>
      </c>
      <c r="L1312" s="255"/>
    </row>
    <row r="1313" spans="2:12">
      <c r="B1313" s="205" t="s">
        <v>1686</v>
      </c>
      <c r="C1313" s="250" t="s">
        <v>1612</v>
      </c>
      <c r="D1313" s="205" t="s">
        <v>1274</v>
      </c>
      <c r="E1313" s="251">
        <v>709</v>
      </c>
      <c r="F1313" s="252">
        <v>3.8530000000000002</v>
      </c>
      <c r="G1313" s="251">
        <v>0.4</v>
      </c>
      <c r="H1313" s="251">
        <v>1.1000000000000001</v>
      </c>
      <c r="I1313" s="251"/>
      <c r="J1313" s="253"/>
      <c r="K1313" s="254">
        <f t="shared" si="47"/>
        <v>1201.9818800000003</v>
      </c>
      <c r="L1313" s="255"/>
    </row>
    <row r="1314" spans="2:12">
      <c r="B1314" s="256"/>
      <c r="C1314" s="210"/>
      <c r="D1314" s="210"/>
      <c r="E1314" s="257"/>
      <c r="F1314" s="258"/>
      <c r="G1314" s="257"/>
      <c r="H1314" s="257"/>
      <c r="I1314" s="257"/>
      <c r="J1314" s="259"/>
      <c r="K1314" s="260">
        <f t="shared" si="47"/>
        <v>0</v>
      </c>
      <c r="L1314" s="210"/>
    </row>
    <row r="1315" spans="2:12">
      <c r="B1315" s="256"/>
      <c r="C1315" s="210"/>
      <c r="D1315" s="210"/>
      <c r="E1315" s="257"/>
      <c r="F1315" s="258"/>
      <c r="G1315" s="257"/>
      <c r="H1315" s="257"/>
      <c r="I1315" s="257"/>
      <c r="J1315" s="259"/>
      <c r="K1315" s="260">
        <f t="shared" si="47"/>
        <v>0</v>
      </c>
      <c r="L1315" s="210"/>
    </row>
    <row r="1316" spans="2:12">
      <c r="B1316" s="256"/>
      <c r="C1316" s="210"/>
      <c r="D1316" s="210"/>
      <c r="E1316" s="257"/>
      <c r="F1316" s="258"/>
      <c r="G1316" s="257"/>
      <c r="H1316" s="257"/>
      <c r="I1316" s="257"/>
      <c r="J1316" s="259"/>
      <c r="K1316" s="260">
        <f t="shared" si="47"/>
        <v>0</v>
      </c>
      <c r="L1316" s="210"/>
    </row>
    <row r="1317" spans="2:12">
      <c r="B1317" s="256"/>
      <c r="C1317" s="210"/>
      <c r="D1317" s="210"/>
      <c r="E1317" s="257"/>
      <c r="F1317" s="258"/>
      <c r="G1317" s="257"/>
      <c r="H1317" s="257"/>
      <c r="I1317" s="257"/>
      <c r="J1317" s="259"/>
      <c r="K1317" s="260">
        <f t="shared" si="47"/>
        <v>0</v>
      </c>
      <c r="L1317" s="210"/>
    </row>
    <row r="1318" spans="2:12">
      <c r="B1318" s="202"/>
      <c r="C1318" s="203"/>
      <c r="D1318" s="203"/>
      <c r="E1318" s="203"/>
      <c r="F1318" s="203"/>
      <c r="G1318" s="203"/>
      <c r="H1318" s="204"/>
      <c r="I1318" s="556" t="s">
        <v>1221</v>
      </c>
      <c r="J1318" s="556"/>
      <c r="K1318" s="220">
        <f>SUM(K1303:K1317)</f>
        <v>3201.9085010000008</v>
      </c>
      <c r="L1318" s="207"/>
    </row>
    <row r="1319" spans="2:12">
      <c r="B1319" s="208"/>
      <c r="C1319" s="204"/>
      <c r="D1319" s="204"/>
      <c r="E1319" s="204"/>
      <c r="F1319" s="204"/>
      <c r="G1319" s="204"/>
      <c r="H1319" s="209"/>
      <c r="I1319" s="557" t="s">
        <v>1222</v>
      </c>
      <c r="J1319" s="557"/>
      <c r="K1319" s="221">
        <f>VLOOKUP(B1301,'BM 004'!$B$27:$R$590,4,0)</f>
        <v>5166.7</v>
      </c>
      <c r="L1319" s="207"/>
    </row>
    <row r="1320" spans="2:12">
      <c r="B1320" s="208"/>
      <c r="C1320" s="204"/>
      <c r="D1320" s="204"/>
      <c r="E1320" s="204"/>
      <c r="F1320" s="204"/>
      <c r="G1320" s="204"/>
      <c r="H1320" s="558" t="s">
        <v>1223</v>
      </c>
      <c r="I1320" s="558"/>
      <c r="J1320" s="558"/>
      <c r="K1320" s="222">
        <f>K1318-K1321</f>
        <v>1909.0885010000009</v>
      </c>
      <c r="L1320" s="207"/>
    </row>
    <row r="1321" spans="2:12">
      <c r="B1321" s="208"/>
      <c r="C1321" s="204"/>
      <c r="D1321" s="204"/>
      <c r="E1321" s="204"/>
      <c r="F1321" s="204"/>
      <c r="G1321" s="204"/>
      <c r="H1321" s="558" t="s">
        <v>1592</v>
      </c>
      <c r="I1321" s="558"/>
      <c r="J1321" s="558"/>
      <c r="K1321" s="222">
        <f>TRUNC(SUMIF(C1303:C1317,H1321,K1303:K1317),2)</f>
        <v>1292.82</v>
      </c>
      <c r="L1321" s="207"/>
    </row>
    <row r="1322" spans="2:12">
      <c r="B1322" s="213"/>
      <c r="C1322" s="214"/>
      <c r="D1322" s="214"/>
      <c r="E1322" s="214"/>
      <c r="F1322" s="214"/>
      <c r="G1322" s="214"/>
      <c r="H1322" s="559" t="s">
        <v>1224</v>
      </c>
      <c r="I1322" s="559"/>
      <c r="J1322" s="559"/>
      <c r="K1322" s="223">
        <f>IF(K1318&gt;K1319,K1318-K1319,0)</f>
        <v>0</v>
      </c>
      <c r="L1322" s="209"/>
    </row>
    <row r="1324" spans="2:12">
      <c r="B1324" s="247" t="s">
        <v>254</v>
      </c>
      <c r="C1324" s="565" t="str">
        <f>VLOOKUP(B1324,'BM 004'!$B$27:$R$590,2,0)</f>
        <v xml:space="preserve">Concreto simples usinado fck=35mpa, bombeado, lançado e adensado em superestrutura </v>
      </c>
      <c r="D1324" s="565"/>
      <c r="E1324" s="565"/>
      <c r="F1324" s="565"/>
      <c r="G1324" s="565"/>
      <c r="H1324" s="565"/>
      <c r="I1324" s="565"/>
      <c r="J1324" s="565"/>
      <c r="K1324" s="565"/>
      <c r="L1324" s="565"/>
    </row>
    <row r="1325" spans="2:12">
      <c r="B1325" s="248" t="s">
        <v>1209</v>
      </c>
      <c r="C1325" s="248"/>
      <c r="D1325" s="248" t="s">
        <v>39</v>
      </c>
      <c r="E1325" s="248" t="s">
        <v>1210</v>
      </c>
      <c r="F1325" s="248" t="s">
        <v>1388</v>
      </c>
      <c r="G1325" s="248" t="s">
        <v>1212</v>
      </c>
      <c r="H1325" s="248" t="s">
        <v>1213</v>
      </c>
      <c r="I1325" s="248" t="s">
        <v>1214</v>
      </c>
      <c r="J1325" s="248" t="s">
        <v>1385</v>
      </c>
      <c r="K1325" s="248" t="s">
        <v>1216</v>
      </c>
      <c r="L1325" s="248" t="s">
        <v>1217</v>
      </c>
    </row>
    <row r="1326" spans="2:12">
      <c r="B1326" s="255" t="s">
        <v>1501</v>
      </c>
      <c r="C1326" s="250" t="s">
        <v>1441</v>
      </c>
      <c r="D1326" s="205" t="s">
        <v>169</v>
      </c>
      <c r="E1326" s="251">
        <v>1</v>
      </c>
      <c r="F1326" s="252">
        <v>7</v>
      </c>
      <c r="G1326" s="251">
        <v>5.91</v>
      </c>
      <c r="H1326" s="251">
        <v>0.3</v>
      </c>
      <c r="I1326" s="251"/>
      <c r="J1326" s="253">
        <v>6.3423999999999996</v>
      </c>
      <c r="K1326" s="254">
        <f t="shared" ref="K1326:K1357" si="48">IF(E1326*F1326*G1326&lt;&gt;0,E1326*F1326*G1326,IF(E1326*F1326&lt;&gt;0,E1326*F1326,IF(F1326*G1326&lt;&gt;0,F1326*G1326,IF(E1326*G1326&lt;&gt;0,E1326*G1326,IF(E1326&lt;&gt;0,E1326,IF(F1326&lt;&gt;0,F1326,IF(G1326&lt;&gt;0,G1326,0)))))))*(IF(H1326&lt;&gt;0,H1326,1))+I1326-J1326</f>
        <v>6.0686000000000018</v>
      </c>
      <c r="L1326" s="255" t="s">
        <v>1518</v>
      </c>
    </row>
    <row r="1327" spans="2:12">
      <c r="B1327" s="255" t="s">
        <v>1502</v>
      </c>
      <c r="C1327" s="250" t="s">
        <v>1441</v>
      </c>
      <c r="D1327" s="205" t="s">
        <v>169</v>
      </c>
      <c r="E1327" s="251">
        <v>1</v>
      </c>
      <c r="F1327" s="252">
        <v>13.72</v>
      </c>
      <c r="G1327" s="251">
        <v>5.91</v>
      </c>
      <c r="H1327" s="251">
        <v>0.3</v>
      </c>
      <c r="I1327" s="251"/>
      <c r="J1327" s="253">
        <v>12.56235</v>
      </c>
      <c r="K1327" s="254">
        <f t="shared" si="48"/>
        <v>11.763209999999999</v>
      </c>
      <c r="L1327" s="255" t="s">
        <v>1518</v>
      </c>
    </row>
    <row r="1328" spans="2:12">
      <c r="B1328" s="255" t="s">
        <v>1503</v>
      </c>
      <c r="C1328" s="250" t="s">
        <v>1441</v>
      </c>
      <c r="D1328" s="205" t="s">
        <v>169</v>
      </c>
      <c r="E1328" s="251">
        <v>1</v>
      </c>
      <c r="F1328" s="252">
        <v>14.35</v>
      </c>
      <c r="G1328" s="251">
        <v>3.73</v>
      </c>
      <c r="H1328" s="251">
        <v>0.25</v>
      </c>
      <c r="I1328" s="251"/>
      <c r="J1328" s="253">
        <v>6.8421599999999998</v>
      </c>
      <c r="K1328" s="254">
        <f t="shared" si="48"/>
        <v>6.5392150000000004</v>
      </c>
      <c r="L1328" s="255" t="s">
        <v>1519</v>
      </c>
    </row>
    <row r="1329" spans="2:12">
      <c r="B1329" s="255" t="s">
        <v>1504</v>
      </c>
      <c r="C1329" s="250" t="s">
        <v>1441</v>
      </c>
      <c r="D1329" s="205" t="s">
        <v>169</v>
      </c>
      <c r="E1329" s="251">
        <v>1</v>
      </c>
      <c r="F1329" s="252">
        <v>6.49</v>
      </c>
      <c r="G1329" s="251">
        <v>3.73</v>
      </c>
      <c r="H1329" s="251">
        <v>0.25</v>
      </c>
      <c r="I1329" s="251"/>
      <c r="J1329" s="253">
        <v>2.8173599999999999</v>
      </c>
      <c r="K1329" s="254">
        <f t="shared" si="48"/>
        <v>3.2345649999999999</v>
      </c>
      <c r="L1329" s="255" t="s">
        <v>1519</v>
      </c>
    </row>
    <row r="1330" spans="2:12">
      <c r="B1330" s="255" t="s">
        <v>1505</v>
      </c>
      <c r="C1330" s="250" t="s">
        <v>1441</v>
      </c>
      <c r="D1330" s="205" t="s">
        <v>169</v>
      </c>
      <c r="E1330" s="251">
        <v>1</v>
      </c>
      <c r="F1330" s="252">
        <v>7.49</v>
      </c>
      <c r="G1330" s="251">
        <v>1.81</v>
      </c>
      <c r="H1330" s="251">
        <v>0.25</v>
      </c>
      <c r="I1330" s="251"/>
      <c r="J1330" s="253">
        <v>1.55844</v>
      </c>
      <c r="K1330" s="254">
        <f t="shared" si="48"/>
        <v>1.8307850000000001</v>
      </c>
      <c r="L1330" s="255" t="s">
        <v>1519</v>
      </c>
    </row>
    <row r="1331" spans="2:12">
      <c r="B1331" s="255" t="s">
        <v>1506</v>
      </c>
      <c r="C1331" s="250" t="s">
        <v>1441</v>
      </c>
      <c r="D1331" s="205" t="s">
        <v>169</v>
      </c>
      <c r="E1331" s="251">
        <v>1</v>
      </c>
      <c r="F1331" s="252">
        <v>7.1</v>
      </c>
      <c r="G1331" s="251">
        <v>1.81</v>
      </c>
      <c r="H1331" s="251">
        <v>0.25</v>
      </c>
      <c r="I1331" s="251"/>
      <c r="J1331" s="253">
        <v>1.3852800000000001</v>
      </c>
      <c r="K1331" s="254">
        <f t="shared" si="48"/>
        <v>1.8274699999999997</v>
      </c>
      <c r="L1331" s="255" t="s">
        <v>1519</v>
      </c>
    </row>
    <row r="1332" spans="2:12">
      <c r="B1332" s="255" t="s">
        <v>1507</v>
      </c>
      <c r="C1332" s="250" t="s">
        <v>1441</v>
      </c>
      <c r="D1332" s="205" t="s">
        <v>169</v>
      </c>
      <c r="E1332" s="251">
        <v>1</v>
      </c>
      <c r="F1332" s="252">
        <v>7.05</v>
      </c>
      <c r="G1332" s="251">
        <v>1.81</v>
      </c>
      <c r="H1332" s="251">
        <v>0.25</v>
      </c>
      <c r="I1332" s="251"/>
      <c r="J1332" s="253">
        <v>1.3852800000000001</v>
      </c>
      <c r="K1332" s="254">
        <f t="shared" si="48"/>
        <v>1.804845</v>
      </c>
      <c r="L1332" s="255" t="s">
        <v>1519</v>
      </c>
    </row>
    <row r="1333" spans="2:12">
      <c r="B1333" s="255" t="s">
        <v>1508</v>
      </c>
      <c r="C1333" s="250" t="s">
        <v>1441</v>
      </c>
      <c r="D1333" s="205" t="s">
        <v>169</v>
      </c>
      <c r="E1333" s="251">
        <v>1</v>
      </c>
      <c r="F1333" s="252">
        <v>22.04</v>
      </c>
      <c r="G1333" s="251">
        <v>5.8</v>
      </c>
      <c r="H1333" s="251">
        <v>0.25</v>
      </c>
      <c r="I1333" s="251"/>
      <c r="J1333" s="253">
        <v>16.595279999999999</v>
      </c>
      <c r="K1333" s="254">
        <f t="shared" si="48"/>
        <v>15.362719999999999</v>
      </c>
      <c r="L1333" s="255" t="s">
        <v>1519</v>
      </c>
    </row>
    <row r="1334" spans="2:12">
      <c r="B1334" s="255" t="s">
        <v>1509</v>
      </c>
      <c r="C1334" s="250" t="s">
        <v>1441</v>
      </c>
      <c r="D1334" s="205" t="s">
        <v>169</v>
      </c>
      <c r="E1334" s="251">
        <v>1</v>
      </c>
      <c r="F1334" s="252">
        <v>22.04</v>
      </c>
      <c r="G1334" s="251">
        <v>5.69</v>
      </c>
      <c r="H1334" s="251">
        <v>0.25</v>
      </c>
      <c r="I1334" s="251"/>
      <c r="J1334" s="253">
        <v>15.54228</v>
      </c>
      <c r="K1334" s="254">
        <f t="shared" si="48"/>
        <v>15.809620000000001</v>
      </c>
      <c r="L1334" s="255" t="s">
        <v>1519</v>
      </c>
    </row>
    <row r="1335" spans="2:12">
      <c r="B1335" s="255" t="s">
        <v>1496</v>
      </c>
      <c r="C1335" s="250" t="s">
        <v>1441</v>
      </c>
      <c r="D1335" s="205" t="s">
        <v>169</v>
      </c>
      <c r="E1335" s="251">
        <v>1</v>
      </c>
      <c r="F1335" s="252">
        <v>5.85</v>
      </c>
      <c r="G1335" s="251">
        <v>0.49</v>
      </c>
      <c r="H1335" s="251">
        <v>0.12</v>
      </c>
      <c r="I1335" s="251"/>
      <c r="J1335" s="253"/>
      <c r="K1335" s="254">
        <f t="shared" si="48"/>
        <v>0.34397999999999995</v>
      </c>
      <c r="L1335" s="255"/>
    </row>
    <row r="1336" spans="2:12">
      <c r="B1336" s="255" t="s">
        <v>1497</v>
      </c>
      <c r="C1336" s="250" t="s">
        <v>1441</v>
      </c>
      <c r="D1336" s="205" t="s">
        <v>169</v>
      </c>
      <c r="E1336" s="251">
        <v>1</v>
      </c>
      <c r="F1336" s="252">
        <v>3.83</v>
      </c>
      <c r="G1336" s="251">
        <v>0.49</v>
      </c>
      <c r="H1336" s="251">
        <v>0.12</v>
      </c>
      <c r="I1336" s="251"/>
      <c r="J1336" s="253"/>
      <c r="K1336" s="254">
        <f t="shared" si="48"/>
        <v>0.22520399999999999</v>
      </c>
      <c r="L1336" s="255"/>
    </row>
    <row r="1337" spans="2:12">
      <c r="B1337" s="255" t="s">
        <v>1498</v>
      </c>
      <c r="C1337" s="250" t="s">
        <v>1441</v>
      </c>
      <c r="D1337" s="205" t="s">
        <v>169</v>
      </c>
      <c r="E1337" s="251">
        <v>1</v>
      </c>
      <c r="F1337" s="252">
        <v>5.93</v>
      </c>
      <c r="G1337" s="251">
        <v>1.92</v>
      </c>
      <c r="H1337" s="251">
        <v>0.15</v>
      </c>
      <c r="I1337" s="251"/>
      <c r="J1337" s="253"/>
      <c r="K1337" s="254">
        <f t="shared" si="48"/>
        <v>1.7078399999999998</v>
      </c>
      <c r="L1337" s="255"/>
    </row>
    <row r="1338" spans="2:12">
      <c r="B1338" s="255" t="s">
        <v>1499</v>
      </c>
      <c r="C1338" s="250" t="s">
        <v>1441</v>
      </c>
      <c r="D1338" s="205" t="s">
        <v>169</v>
      </c>
      <c r="E1338" s="251">
        <v>1</v>
      </c>
      <c r="F1338" s="252">
        <v>7.62</v>
      </c>
      <c r="G1338" s="251">
        <v>1.92</v>
      </c>
      <c r="H1338" s="251">
        <v>0.15</v>
      </c>
      <c r="I1338" s="251"/>
      <c r="J1338" s="253"/>
      <c r="K1338" s="254">
        <f t="shared" si="48"/>
        <v>2.1945600000000001</v>
      </c>
      <c r="L1338" s="255"/>
    </row>
    <row r="1339" spans="2:12">
      <c r="B1339" s="255" t="s">
        <v>1500</v>
      </c>
      <c r="C1339" s="250" t="s">
        <v>1441</v>
      </c>
      <c r="D1339" s="205" t="s">
        <v>169</v>
      </c>
      <c r="E1339" s="251">
        <v>1</v>
      </c>
      <c r="F1339" s="252">
        <v>4.42</v>
      </c>
      <c r="G1339" s="251">
        <v>2.74</v>
      </c>
      <c r="H1339" s="251">
        <v>0.15</v>
      </c>
      <c r="I1339" s="251"/>
      <c r="J1339" s="253"/>
      <c r="K1339" s="254">
        <f t="shared" si="48"/>
        <v>1.8166200000000001</v>
      </c>
      <c r="L1339" s="255"/>
    </row>
    <row r="1340" spans="2:12">
      <c r="B1340" s="256" t="s">
        <v>1565</v>
      </c>
      <c r="C1340" s="250" t="s">
        <v>1521</v>
      </c>
      <c r="D1340" s="205" t="s">
        <v>169</v>
      </c>
      <c r="E1340" s="257">
        <v>1</v>
      </c>
      <c r="F1340" s="258">
        <v>12.39</v>
      </c>
      <c r="G1340" s="257">
        <v>2.5499999999999998</v>
      </c>
      <c r="H1340" s="257">
        <v>0.25</v>
      </c>
      <c r="I1340" s="257"/>
      <c r="J1340" s="259">
        <v>4.048476</v>
      </c>
      <c r="K1340" s="260">
        <f t="shared" si="48"/>
        <v>3.850149</v>
      </c>
      <c r="L1340" s="266" t="s">
        <v>1574</v>
      </c>
    </row>
    <row r="1341" spans="2:12">
      <c r="B1341" s="256" t="s">
        <v>1559</v>
      </c>
      <c r="C1341" s="250" t="s">
        <v>1521</v>
      </c>
      <c r="D1341" s="205" t="s">
        <v>169</v>
      </c>
      <c r="E1341" s="257">
        <v>1</v>
      </c>
      <c r="F1341" s="258">
        <v>1.68</v>
      </c>
      <c r="G1341" s="257">
        <v>0.33</v>
      </c>
      <c r="H1341" s="257">
        <v>0.15</v>
      </c>
      <c r="I1341" s="257"/>
      <c r="J1341" s="259">
        <v>0</v>
      </c>
      <c r="K1341" s="260">
        <f t="shared" si="48"/>
        <v>8.3159999999999998E-2</v>
      </c>
      <c r="L1341" s="266"/>
    </row>
    <row r="1342" spans="2:12">
      <c r="B1342" s="256" t="s">
        <v>1560</v>
      </c>
      <c r="C1342" s="250" t="s">
        <v>1521</v>
      </c>
      <c r="D1342" s="205" t="s">
        <v>169</v>
      </c>
      <c r="E1342" s="257">
        <v>1</v>
      </c>
      <c r="F1342" s="258">
        <v>7.67</v>
      </c>
      <c r="G1342" s="257">
        <v>0.33</v>
      </c>
      <c r="H1342" s="257">
        <v>0.15</v>
      </c>
      <c r="I1342" s="257"/>
      <c r="J1342" s="259">
        <v>0</v>
      </c>
      <c r="K1342" s="260">
        <f t="shared" si="48"/>
        <v>0.37966499999999997</v>
      </c>
      <c r="L1342" s="266"/>
    </row>
    <row r="1343" spans="2:12">
      <c r="B1343" s="256" t="s">
        <v>1561</v>
      </c>
      <c r="C1343" s="250" t="s">
        <v>1521</v>
      </c>
      <c r="D1343" s="205" t="s">
        <v>169</v>
      </c>
      <c r="E1343" s="257">
        <v>1</v>
      </c>
      <c r="F1343" s="258">
        <v>0.31</v>
      </c>
      <c r="G1343" s="257">
        <v>0.33</v>
      </c>
      <c r="H1343" s="257">
        <v>0.15</v>
      </c>
      <c r="I1343" s="257"/>
      <c r="J1343" s="259">
        <v>0</v>
      </c>
      <c r="K1343" s="260">
        <f t="shared" si="48"/>
        <v>1.5344999999999999E-2</v>
      </c>
      <c r="L1343" s="266"/>
    </row>
    <row r="1344" spans="2:12">
      <c r="B1344" s="256" t="s">
        <v>1566</v>
      </c>
      <c r="C1344" s="250" t="s">
        <v>1521</v>
      </c>
      <c r="D1344" s="205" t="s">
        <v>169</v>
      </c>
      <c r="E1344" s="257">
        <v>1</v>
      </c>
      <c r="F1344" s="258">
        <v>22.04</v>
      </c>
      <c r="G1344" s="257">
        <v>5.85</v>
      </c>
      <c r="H1344" s="257">
        <v>0.25</v>
      </c>
      <c r="I1344" s="257"/>
      <c r="J1344" s="259">
        <v>3.4898359999999999</v>
      </c>
      <c r="K1344" s="260">
        <f t="shared" si="48"/>
        <v>28.743663999999999</v>
      </c>
      <c r="L1344" s="266" t="s">
        <v>1574</v>
      </c>
    </row>
    <row r="1345" spans="2:12">
      <c r="B1345" s="256" t="s">
        <v>1567</v>
      </c>
      <c r="C1345" s="250" t="s">
        <v>1521</v>
      </c>
      <c r="D1345" s="205" t="s">
        <v>169</v>
      </c>
      <c r="E1345" s="257">
        <v>1</v>
      </c>
      <c r="F1345" s="258">
        <v>6.24</v>
      </c>
      <c r="G1345" s="257">
        <v>5.85</v>
      </c>
      <c r="H1345" s="257">
        <v>0.25</v>
      </c>
      <c r="I1345" s="257"/>
      <c r="J1345" s="259">
        <v>4.6484759999999996</v>
      </c>
      <c r="K1345" s="260">
        <f t="shared" si="48"/>
        <v>4.4775239999999998</v>
      </c>
      <c r="L1345" s="266" t="s">
        <v>1574</v>
      </c>
    </row>
    <row r="1346" spans="2:12">
      <c r="B1346" s="256" t="s">
        <v>1568</v>
      </c>
      <c r="C1346" s="250" t="s">
        <v>1521</v>
      </c>
      <c r="D1346" s="205" t="s">
        <v>169</v>
      </c>
      <c r="E1346" s="257">
        <v>1</v>
      </c>
      <c r="F1346" s="258">
        <v>6.34</v>
      </c>
      <c r="G1346" s="257">
        <v>3.83</v>
      </c>
      <c r="H1346" s="257">
        <v>0.25</v>
      </c>
      <c r="I1346" s="257"/>
      <c r="J1346" s="259">
        <v>2.6242380000000001</v>
      </c>
      <c r="K1346" s="260">
        <f t="shared" si="48"/>
        <v>3.4463119999999998</v>
      </c>
      <c r="L1346" s="266" t="s">
        <v>1574</v>
      </c>
    </row>
    <row r="1347" spans="2:12">
      <c r="B1347" s="256" t="s">
        <v>1569</v>
      </c>
      <c r="C1347" s="250" t="s">
        <v>1521</v>
      </c>
      <c r="D1347" s="205" t="s">
        <v>169</v>
      </c>
      <c r="E1347" s="257">
        <v>1</v>
      </c>
      <c r="F1347" s="258">
        <v>22.04</v>
      </c>
      <c r="G1347" s="257">
        <v>5.8</v>
      </c>
      <c r="H1347" s="257">
        <v>0.25</v>
      </c>
      <c r="I1347" s="257"/>
      <c r="J1347" s="259">
        <v>16.849836</v>
      </c>
      <c r="K1347" s="260">
        <f t="shared" si="48"/>
        <v>15.108163999999999</v>
      </c>
      <c r="L1347" s="266" t="s">
        <v>1574</v>
      </c>
    </row>
    <row r="1348" spans="2:12">
      <c r="B1348" s="256" t="s">
        <v>1570</v>
      </c>
      <c r="C1348" s="250" t="s">
        <v>1521</v>
      </c>
      <c r="D1348" s="205" t="s">
        <v>169</v>
      </c>
      <c r="E1348" s="257">
        <v>1</v>
      </c>
      <c r="F1348" s="258">
        <v>22.04</v>
      </c>
      <c r="G1348" s="257">
        <v>5.8</v>
      </c>
      <c r="H1348" s="257">
        <v>0.25</v>
      </c>
      <c r="I1348" s="257"/>
      <c r="J1348" s="259">
        <v>16.849836</v>
      </c>
      <c r="K1348" s="260">
        <f t="shared" si="48"/>
        <v>15.108163999999999</v>
      </c>
      <c r="L1348" s="266" t="s">
        <v>1574</v>
      </c>
    </row>
    <row r="1349" spans="2:12">
      <c r="B1349" s="256" t="s">
        <v>1562</v>
      </c>
      <c r="C1349" s="250" t="s">
        <v>1521</v>
      </c>
      <c r="D1349" s="205" t="s">
        <v>169</v>
      </c>
      <c r="E1349" s="257">
        <v>1</v>
      </c>
      <c r="F1349" s="258">
        <v>13.7</v>
      </c>
      <c r="G1349" s="257">
        <v>0.77</v>
      </c>
      <c r="H1349" s="257">
        <v>0.15</v>
      </c>
      <c r="I1349" s="257"/>
      <c r="J1349" s="259">
        <v>0</v>
      </c>
      <c r="K1349" s="260">
        <f t="shared" si="48"/>
        <v>1.5823499999999999</v>
      </c>
      <c r="L1349" s="266"/>
    </row>
    <row r="1350" spans="2:12">
      <c r="B1350" s="256" t="s">
        <v>1563</v>
      </c>
      <c r="C1350" s="250" t="s">
        <v>1521</v>
      </c>
      <c r="D1350" s="205" t="s">
        <v>169</v>
      </c>
      <c r="E1350" s="257">
        <v>1</v>
      </c>
      <c r="F1350" s="258">
        <v>13.7</v>
      </c>
      <c r="G1350" s="257">
        <v>1.77</v>
      </c>
      <c r="H1350" s="257">
        <v>0.15</v>
      </c>
      <c r="I1350" s="257"/>
      <c r="J1350" s="259">
        <v>0</v>
      </c>
      <c r="K1350" s="260">
        <f t="shared" si="48"/>
        <v>3.6373499999999996</v>
      </c>
      <c r="L1350" s="266"/>
    </row>
    <row r="1351" spans="2:12">
      <c r="B1351" s="256" t="s">
        <v>1571</v>
      </c>
      <c r="C1351" s="250" t="s">
        <v>1521</v>
      </c>
      <c r="D1351" s="205" t="s">
        <v>169</v>
      </c>
      <c r="E1351" s="257">
        <v>1</v>
      </c>
      <c r="F1351" s="258">
        <v>22.04</v>
      </c>
      <c r="G1351" s="257">
        <v>5.69</v>
      </c>
      <c r="H1351" s="257">
        <v>0.25</v>
      </c>
      <c r="I1351" s="257"/>
      <c r="J1351" s="259">
        <v>15.769836</v>
      </c>
      <c r="K1351" s="260">
        <f t="shared" si="48"/>
        <v>15.582064000000001</v>
      </c>
      <c r="L1351" s="266" t="s">
        <v>1574</v>
      </c>
    </row>
    <row r="1352" spans="2:12">
      <c r="B1352" s="256" t="s">
        <v>1564</v>
      </c>
      <c r="C1352" s="250" t="s">
        <v>1521</v>
      </c>
      <c r="D1352" s="205" t="s">
        <v>169</v>
      </c>
      <c r="E1352" s="257">
        <v>1</v>
      </c>
      <c r="F1352" s="258">
        <v>3.45</v>
      </c>
      <c r="G1352" s="257">
        <v>2.74</v>
      </c>
      <c r="H1352" s="257">
        <v>0.15</v>
      </c>
      <c r="I1352" s="257"/>
      <c r="J1352" s="259"/>
      <c r="K1352" s="260">
        <f t="shared" si="48"/>
        <v>1.41795</v>
      </c>
      <c r="L1352" s="266"/>
    </row>
    <row r="1353" spans="2:12">
      <c r="B1353" s="256" t="s">
        <v>1688</v>
      </c>
      <c r="C1353" s="250" t="s">
        <v>1611</v>
      </c>
      <c r="D1353" s="205" t="s">
        <v>169</v>
      </c>
      <c r="E1353" s="257">
        <v>4.58</v>
      </c>
      <c r="F1353" s="258">
        <v>1.92</v>
      </c>
      <c r="G1353" s="257">
        <v>0.15</v>
      </c>
      <c r="H1353" s="257">
        <v>1</v>
      </c>
      <c r="I1353" s="257"/>
      <c r="J1353" s="259"/>
      <c r="K1353" s="260">
        <f t="shared" si="48"/>
        <v>1.31904</v>
      </c>
      <c r="L1353" s="266"/>
    </row>
    <row r="1354" spans="2:12">
      <c r="B1354" s="256" t="s">
        <v>1689</v>
      </c>
      <c r="C1354" s="250" t="s">
        <v>1611</v>
      </c>
      <c r="D1354" s="205" t="s">
        <v>169</v>
      </c>
      <c r="E1354" s="257">
        <v>25.45</v>
      </c>
      <c r="F1354" s="258">
        <v>6.84</v>
      </c>
      <c r="G1354" s="257">
        <v>0.3</v>
      </c>
      <c r="H1354" s="257">
        <v>1</v>
      </c>
      <c r="I1354" s="257"/>
      <c r="J1354" s="259">
        <v>27.54</v>
      </c>
      <c r="K1354" s="260">
        <f t="shared" si="48"/>
        <v>24.683399999999999</v>
      </c>
      <c r="L1354" s="266"/>
    </row>
    <row r="1355" spans="2:12">
      <c r="B1355" s="256" t="s">
        <v>1690</v>
      </c>
      <c r="C1355" s="250" t="s">
        <v>1611</v>
      </c>
      <c r="D1355" s="205" t="s">
        <v>169</v>
      </c>
      <c r="E1355" s="257">
        <v>1.92</v>
      </c>
      <c r="F1355" s="258">
        <v>1.38</v>
      </c>
      <c r="G1355" s="257">
        <v>0.15</v>
      </c>
      <c r="H1355" s="257">
        <v>1</v>
      </c>
      <c r="I1355" s="257"/>
      <c r="J1355" s="259">
        <v>0</v>
      </c>
      <c r="K1355" s="260">
        <f t="shared" si="48"/>
        <v>0.3974399999999999</v>
      </c>
      <c r="L1355" s="266"/>
    </row>
    <row r="1356" spans="2:12">
      <c r="B1356" s="256" t="s">
        <v>1691</v>
      </c>
      <c r="C1356" s="250" t="s">
        <v>1611</v>
      </c>
      <c r="D1356" s="205" t="s">
        <v>169</v>
      </c>
      <c r="E1356" s="257">
        <v>0.81</v>
      </c>
      <c r="F1356" s="258">
        <v>1.99</v>
      </c>
      <c r="G1356" s="257">
        <v>0.15</v>
      </c>
      <c r="H1356" s="257">
        <v>1</v>
      </c>
      <c r="I1356" s="257"/>
      <c r="J1356" s="259">
        <v>0</v>
      </c>
      <c r="K1356" s="260">
        <f t="shared" si="48"/>
        <v>0.241785</v>
      </c>
      <c r="L1356" s="266"/>
    </row>
    <row r="1357" spans="2:12">
      <c r="B1357" s="256" t="s">
        <v>1692</v>
      </c>
      <c r="C1357" s="250" t="s">
        <v>1611</v>
      </c>
      <c r="D1357" s="205" t="s">
        <v>169</v>
      </c>
      <c r="E1357" s="257">
        <v>17.421875</v>
      </c>
      <c r="F1357" s="258">
        <v>2.56</v>
      </c>
      <c r="G1357" s="257">
        <v>0.12</v>
      </c>
      <c r="H1357" s="257">
        <v>1</v>
      </c>
      <c r="I1357" s="257"/>
      <c r="J1357" s="259">
        <v>0</v>
      </c>
      <c r="K1357" s="260">
        <f t="shared" si="48"/>
        <v>5.3520000000000003</v>
      </c>
      <c r="L1357" s="266"/>
    </row>
    <row r="1358" spans="2:12">
      <c r="B1358" s="256" t="s">
        <v>1693</v>
      </c>
      <c r="C1358" s="250" t="s">
        <v>1611</v>
      </c>
      <c r="D1358" s="205" t="s">
        <v>169</v>
      </c>
      <c r="E1358" s="257">
        <v>3.94</v>
      </c>
      <c r="F1358" s="258">
        <v>3.82</v>
      </c>
      <c r="G1358" s="257">
        <v>0.25</v>
      </c>
      <c r="H1358" s="257">
        <v>1</v>
      </c>
      <c r="I1358" s="257"/>
      <c r="J1358" s="259">
        <v>1.71</v>
      </c>
      <c r="K1358" s="260">
        <f t="shared" ref="K1358:K1386" si="49">IF(E1358*F1358*G1358&lt;&gt;0,E1358*F1358*G1358,IF(E1358*F1358&lt;&gt;0,E1358*F1358,IF(F1358*G1358&lt;&gt;0,F1358*G1358,IF(E1358*G1358&lt;&gt;0,E1358*G1358,IF(E1358&lt;&gt;0,E1358,IF(F1358&lt;&gt;0,F1358,IF(G1358&lt;&gt;0,G1358,0)))))))*(IF(H1358&lt;&gt;0,H1358,1))+I1358-J1358</f>
        <v>2.0526999999999997</v>
      </c>
      <c r="L1358" s="266"/>
    </row>
    <row r="1359" spans="2:12">
      <c r="B1359" s="256" t="s">
        <v>1694</v>
      </c>
      <c r="C1359" s="250" t="s">
        <v>1611</v>
      </c>
      <c r="D1359" s="205" t="s">
        <v>169</v>
      </c>
      <c r="E1359" s="257">
        <v>6.13</v>
      </c>
      <c r="F1359" s="258">
        <v>3.82</v>
      </c>
      <c r="G1359" s="257">
        <v>0.25</v>
      </c>
      <c r="H1359" s="257">
        <v>1</v>
      </c>
      <c r="I1359" s="257"/>
      <c r="J1359" s="259">
        <v>2.72</v>
      </c>
      <c r="K1359" s="260">
        <f t="shared" si="49"/>
        <v>3.1341499999999995</v>
      </c>
      <c r="L1359" s="266"/>
    </row>
    <row r="1360" spans="2:12">
      <c r="B1360" s="256" t="s">
        <v>1695</v>
      </c>
      <c r="C1360" s="250" t="s">
        <v>1611</v>
      </c>
      <c r="D1360" s="205" t="s">
        <v>169</v>
      </c>
      <c r="E1360" s="257">
        <v>16.71</v>
      </c>
      <c r="F1360" s="258">
        <v>4.9000000000000004</v>
      </c>
      <c r="G1360" s="257">
        <v>0.3</v>
      </c>
      <c r="H1360" s="257">
        <v>1</v>
      </c>
      <c r="I1360" s="257"/>
      <c r="J1360" s="259">
        <v>13.52</v>
      </c>
      <c r="K1360" s="260">
        <f t="shared" si="49"/>
        <v>11.043700000000001</v>
      </c>
      <c r="L1360" s="266"/>
    </row>
    <row r="1361" spans="2:12">
      <c r="B1361" s="256" t="s">
        <v>1696</v>
      </c>
      <c r="C1361" s="250" t="s">
        <v>1611</v>
      </c>
      <c r="D1361" s="205" t="s">
        <v>169</v>
      </c>
      <c r="E1361" s="257">
        <v>9.09</v>
      </c>
      <c r="F1361" s="258">
        <v>2.91</v>
      </c>
      <c r="G1361" s="257">
        <v>0.12</v>
      </c>
      <c r="H1361" s="257">
        <v>1</v>
      </c>
      <c r="I1361" s="257"/>
      <c r="J1361" s="259">
        <v>0</v>
      </c>
      <c r="K1361" s="260">
        <f t="shared" si="49"/>
        <v>3.1742280000000003</v>
      </c>
      <c r="L1361" s="266"/>
    </row>
    <row r="1362" spans="2:12">
      <c r="B1362" s="256" t="s">
        <v>1697</v>
      </c>
      <c r="C1362" s="250" t="s">
        <v>1611</v>
      </c>
      <c r="D1362" s="205" t="s">
        <v>169</v>
      </c>
      <c r="E1362" s="257">
        <v>7.0864197530864201</v>
      </c>
      <c r="F1362" s="258">
        <v>3.24</v>
      </c>
      <c r="G1362" s="257">
        <v>0.15</v>
      </c>
      <c r="H1362" s="257">
        <v>1</v>
      </c>
      <c r="I1362" s="257"/>
      <c r="J1362" s="259">
        <v>0</v>
      </c>
      <c r="K1362" s="260">
        <f t="shared" si="49"/>
        <v>3.4440000000000004</v>
      </c>
      <c r="L1362" s="266"/>
    </row>
    <row r="1363" spans="2:12">
      <c r="B1363" s="256" t="s">
        <v>1698</v>
      </c>
      <c r="C1363" s="250" t="s">
        <v>1611</v>
      </c>
      <c r="D1363" s="205" t="s">
        <v>169</v>
      </c>
      <c r="E1363" s="257">
        <v>10.119999999999999</v>
      </c>
      <c r="F1363" s="258">
        <v>4.1500000000000004</v>
      </c>
      <c r="G1363" s="257">
        <v>0.25</v>
      </c>
      <c r="H1363" s="257">
        <v>1</v>
      </c>
      <c r="I1363" s="257"/>
      <c r="J1363" s="259">
        <v>5.29</v>
      </c>
      <c r="K1363" s="260">
        <f t="shared" si="49"/>
        <v>5.2094999999999994</v>
      </c>
      <c r="L1363" s="266"/>
    </row>
    <row r="1364" spans="2:12">
      <c r="B1364" s="256" t="s">
        <v>1699</v>
      </c>
      <c r="C1364" s="250" t="s">
        <v>1611</v>
      </c>
      <c r="D1364" s="205" t="s">
        <v>169</v>
      </c>
      <c r="E1364" s="257">
        <v>9.09</v>
      </c>
      <c r="F1364" s="258">
        <v>9.4</v>
      </c>
      <c r="G1364" s="257">
        <v>0.35</v>
      </c>
      <c r="H1364" s="257">
        <v>1</v>
      </c>
      <c r="I1364" s="257"/>
      <c r="J1364" s="259">
        <v>15.35</v>
      </c>
      <c r="K1364" s="260">
        <f t="shared" si="49"/>
        <v>14.556099999999999</v>
      </c>
      <c r="L1364" s="266"/>
    </row>
    <row r="1365" spans="2:12">
      <c r="B1365" s="256" t="s">
        <v>1700</v>
      </c>
      <c r="C1365" s="250" t="s">
        <v>1611</v>
      </c>
      <c r="D1365" s="205" t="s">
        <v>169</v>
      </c>
      <c r="E1365" s="257">
        <v>11.23</v>
      </c>
      <c r="F1365" s="258">
        <v>9.4</v>
      </c>
      <c r="G1365" s="257">
        <v>0.35</v>
      </c>
      <c r="H1365" s="257">
        <v>1</v>
      </c>
      <c r="I1365" s="257"/>
      <c r="J1365" s="259">
        <v>18.670000000000002</v>
      </c>
      <c r="K1365" s="260">
        <f t="shared" si="49"/>
        <v>18.276699999999998</v>
      </c>
      <c r="L1365" s="266"/>
    </row>
    <row r="1366" spans="2:12">
      <c r="B1366" s="256" t="s">
        <v>1701</v>
      </c>
      <c r="C1366" s="250" t="s">
        <v>1611</v>
      </c>
      <c r="D1366" s="205" t="s">
        <v>169</v>
      </c>
      <c r="E1366" s="257">
        <v>7.2202127659574504</v>
      </c>
      <c r="F1366" s="258">
        <v>9.4</v>
      </c>
      <c r="G1366" s="257">
        <v>0.18</v>
      </c>
      <c r="H1366" s="257">
        <v>1</v>
      </c>
      <c r="I1366" s="257"/>
      <c r="J1366" s="259">
        <v>0</v>
      </c>
      <c r="K1366" s="260">
        <f t="shared" si="49"/>
        <v>12.216600000000005</v>
      </c>
      <c r="L1366" s="266"/>
    </row>
    <row r="1367" spans="2:12">
      <c r="B1367" s="256" t="s">
        <v>1702</v>
      </c>
      <c r="C1367" s="250" t="s">
        <v>1611</v>
      </c>
      <c r="D1367" s="205" t="s">
        <v>169</v>
      </c>
      <c r="E1367" s="257">
        <v>10.119999999999999</v>
      </c>
      <c r="F1367" s="258">
        <v>5.05</v>
      </c>
      <c r="G1367" s="257">
        <v>0.25</v>
      </c>
      <c r="H1367" s="257">
        <v>1</v>
      </c>
      <c r="I1367" s="257"/>
      <c r="J1367" s="259">
        <v>6.31</v>
      </c>
      <c r="K1367" s="260">
        <f t="shared" si="49"/>
        <v>6.466499999999999</v>
      </c>
      <c r="L1367" s="266"/>
    </row>
    <row r="1368" spans="2:12">
      <c r="B1368" s="256" t="s">
        <v>1703</v>
      </c>
      <c r="C1368" s="250" t="s">
        <v>1612</v>
      </c>
      <c r="D1368" s="205" t="s">
        <v>169</v>
      </c>
      <c r="E1368" s="257">
        <v>4.43</v>
      </c>
      <c r="F1368" s="258">
        <v>1.87</v>
      </c>
      <c r="G1368" s="257">
        <v>0.15</v>
      </c>
      <c r="H1368" s="257">
        <v>1</v>
      </c>
      <c r="I1368" s="257"/>
      <c r="J1368" s="259">
        <v>0</v>
      </c>
      <c r="K1368" s="260">
        <f t="shared" si="49"/>
        <v>1.242615</v>
      </c>
      <c r="L1368" s="266" t="s">
        <v>1682</v>
      </c>
    </row>
    <row r="1369" spans="2:12">
      <c r="B1369" s="256" t="s">
        <v>1704</v>
      </c>
      <c r="C1369" s="250" t="s">
        <v>1612</v>
      </c>
      <c r="D1369" s="205" t="s">
        <v>169</v>
      </c>
      <c r="E1369" s="257">
        <v>26.41</v>
      </c>
      <c r="F1369" s="258">
        <v>6.86</v>
      </c>
      <c r="G1369" s="257">
        <v>0.3</v>
      </c>
      <c r="H1369" s="257">
        <v>1</v>
      </c>
      <c r="I1369" s="257"/>
      <c r="J1369" s="259">
        <v>25.665299999999998</v>
      </c>
      <c r="K1369" s="260">
        <f t="shared" si="49"/>
        <v>28.686480000000007</v>
      </c>
      <c r="L1369" s="266" t="s">
        <v>1682</v>
      </c>
    </row>
    <row r="1370" spans="2:12">
      <c r="B1370" s="256" t="s">
        <v>1705</v>
      </c>
      <c r="C1370" s="250" t="s">
        <v>1612</v>
      </c>
      <c r="D1370" s="205" t="s">
        <v>169</v>
      </c>
      <c r="E1370" s="257">
        <v>1.97</v>
      </c>
      <c r="F1370" s="258">
        <v>1.38</v>
      </c>
      <c r="G1370" s="257">
        <v>0.15</v>
      </c>
      <c r="H1370" s="257">
        <v>1</v>
      </c>
      <c r="I1370" s="257"/>
      <c r="J1370" s="259">
        <v>0</v>
      </c>
      <c r="K1370" s="260">
        <f t="shared" si="49"/>
        <v>0.40778999999999999</v>
      </c>
      <c r="L1370" s="266" t="s">
        <v>1682</v>
      </c>
    </row>
    <row r="1371" spans="2:12">
      <c r="B1371" s="256" t="s">
        <v>1706</v>
      </c>
      <c r="C1371" s="250" t="s">
        <v>1612</v>
      </c>
      <c r="D1371" s="205" t="s">
        <v>169</v>
      </c>
      <c r="E1371" s="257">
        <v>3.95</v>
      </c>
      <c r="F1371" s="258">
        <v>0.15</v>
      </c>
      <c r="G1371" s="257">
        <v>0.15</v>
      </c>
      <c r="H1371" s="257">
        <v>1</v>
      </c>
      <c r="I1371" s="257"/>
      <c r="J1371" s="259">
        <v>0</v>
      </c>
      <c r="K1371" s="260">
        <f t="shared" si="49"/>
        <v>8.8874999999999996E-2</v>
      </c>
      <c r="L1371" s="266" t="s">
        <v>1682</v>
      </c>
    </row>
    <row r="1372" spans="2:12">
      <c r="B1372" s="256" t="s">
        <v>1707</v>
      </c>
      <c r="C1372" s="250" t="s">
        <v>1612</v>
      </c>
      <c r="D1372" s="205" t="s">
        <v>169</v>
      </c>
      <c r="E1372" s="257">
        <v>19.21</v>
      </c>
      <c r="F1372" s="258">
        <v>8.9499999999999993</v>
      </c>
      <c r="G1372" s="257">
        <v>0.35</v>
      </c>
      <c r="H1372" s="257">
        <v>1</v>
      </c>
      <c r="I1372" s="257"/>
      <c r="J1372" s="259">
        <v>28.693059999999999</v>
      </c>
      <c r="K1372" s="260">
        <f t="shared" si="49"/>
        <v>31.482264999999995</v>
      </c>
      <c r="L1372" s="266" t="s">
        <v>1682</v>
      </c>
    </row>
    <row r="1373" spans="2:12">
      <c r="B1373" s="256" t="s">
        <v>1708</v>
      </c>
      <c r="C1373" s="250" t="s">
        <v>1612</v>
      </c>
      <c r="D1373" s="205" t="s">
        <v>169</v>
      </c>
      <c r="E1373" s="257">
        <v>10.61</v>
      </c>
      <c r="F1373" s="258">
        <v>0.83</v>
      </c>
      <c r="G1373" s="257">
        <v>0.15</v>
      </c>
      <c r="H1373" s="257">
        <v>1</v>
      </c>
      <c r="I1373" s="257"/>
      <c r="J1373" s="259">
        <v>0</v>
      </c>
      <c r="K1373" s="260">
        <f t="shared" si="49"/>
        <v>1.3209449999999998</v>
      </c>
      <c r="L1373" s="266" t="s">
        <v>1682</v>
      </c>
    </row>
    <row r="1374" spans="2:12">
      <c r="B1374" s="256" t="s">
        <v>1709</v>
      </c>
      <c r="C1374" s="250" t="s">
        <v>1612</v>
      </c>
      <c r="D1374" s="205" t="s">
        <v>169</v>
      </c>
      <c r="E1374" s="257">
        <v>3</v>
      </c>
      <c r="F1374" s="258">
        <v>0.15</v>
      </c>
      <c r="G1374" s="257">
        <v>0.15</v>
      </c>
      <c r="H1374" s="257">
        <v>1</v>
      </c>
      <c r="I1374" s="257"/>
      <c r="J1374" s="259">
        <v>0</v>
      </c>
      <c r="K1374" s="260">
        <f t="shared" si="49"/>
        <v>6.7499999999999991E-2</v>
      </c>
      <c r="L1374" s="266" t="s">
        <v>1682</v>
      </c>
    </row>
    <row r="1375" spans="2:12">
      <c r="B1375" s="256" t="s">
        <v>1710</v>
      </c>
      <c r="C1375" s="250" t="s">
        <v>1612</v>
      </c>
      <c r="D1375" s="205" t="s">
        <v>169</v>
      </c>
      <c r="E1375" s="257">
        <v>10.02</v>
      </c>
      <c r="F1375" s="258">
        <v>4.1500000000000004</v>
      </c>
      <c r="G1375" s="257">
        <v>0.25</v>
      </c>
      <c r="H1375" s="257">
        <v>1</v>
      </c>
      <c r="I1375" s="257"/>
      <c r="J1375" s="259">
        <v>4.9834800000000001</v>
      </c>
      <c r="K1375" s="260">
        <f t="shared" si="49"/>
        <v>5.4122699999999995</v>
      </c>
      <c r="L1375" s="266" t="s">
        <v>1682</v>
      </c>
    </row>
    <row r="1376" spans="2:12">
      <c r="B1376" s="256" t="s">
        <v>1711</v>
      </c>
      <c r="C1376" s="250" t="s">
        <v>1612</v>
      </c>
      <c r="D1376" s="205" t="s">
        <v>169</v>
      </c>
      <c r="E1376" s="257">
        <v>8.0399999999999991</v>
      </c>
      <c r="F1376" s="258">
        <v>9.35</v>
      </c>
      <c r="G1376" s="257">
        <v>0.18</v>
      </c>
      <c r="H1376" s="257">
        <v>1</v>
      </c>
      <c r="I1376" s="257"/>
      <c r="J1376" s="259">
        <v>0</v>
      </c>
      <c r="K1376" s="260">
        <f t="shared" si="49"/>
        <v>13.531319999999997</v>
      </c>
      <c r="L1376" s="266" t="s">
        <v>1682</v>
      </c>
    </row>
    <row r="1377" spans="2:12">
      <c r="B1377" s="256" t="s">
        <v>1712</v>
      </c>
      <c r="C1377" s="250" t="s">
        <v>1612</v>
      </c>
      <c r="D1377" s="205" t="s">
        <v>169</v>
      </c>
      <c r="E1377" s="257">
        <v>5.57</v>
      </c>
      <c r="F1377" s="258">
        <v>4.95</v>
      </c>
      <c r="G1377" s="257">
        <v>0.25</v>
      </c>
      <c r="H1377" s="257">
        <v>1</v>
      </c>
      <c r="I1377" s="257"/>
      <c r="J1377" s="259">
        <v>3.3962699999999999</v>
      </c>
      <c r="K1377" s="260">
        <f t="shared" si="49"/>
        <v>3.4966050000000011</v>
      </c>
      <c r="L1377" s="266" t="s">
        <v>1682</v>
      </c>
    </row>
    <row r="1378" spans="2:12">
      <c r="B1378" s="256" t="s">
        <v>1713</v>
      </c>
      <c r="C1378" s="250" t="s">
        <v>1612</v>
      </c>
      <c r="D1378" s="205" t="s">
        <v>169</v>
      </c>
      <c r="E1378" s="257">
        <v>17.97</v>
      </c>
      <c r="F1378" s="258">
        <v>0.55000000000000004</v>
      </c>
      <c r="G1378" s="257">
        <v>0.1</v>
      </c>
      <c r="H1378" s="257">
        <v>1</v>
      </c>
      <c r="I1378" s="257"/>
      <c r="J1378" s="259">
        <v>0</v>
      </c>
      <c r="K1378" s="260">
        <f t="shared" si="49"/>
        <v>0.98835000000000006</v>
      </c>
      <c r="L1378" s="266" t="s">
        <v>1714</v>
      </c>
    </row>
    <row r="1379" spans="2:12">
      <c r="B1379" s="256" t="s">
        <v>1715</v>
      </c>
      <c r="C1379" s="250" t="s">
        <v>1612</v>
      </c>
      <c r="D1379" s="205" t="s">
        <v>169</v>
      </c>
      <c r="E1379" s="257">
        <v>21.4</v>
      </c>
      <c r="F1379" s="258">
        <v>5.85</v>
      </c>
      <c r="G1379" s="257">
        <v>0.25</v>
      </c>
      <c r="H1379" s="257">
        <v>1</v>
      </c>
      <c r="I1379" s="257"/>
      <c r="J1379" s="259">
        <v>14.8062</v>
      </c>
      <c r="K1379" s="260">
        <f t="shared" si="49"/>
        <v>16.491299999999995</v>
      </c>
      <c r="L1379" s="266" t="s">
        <v>1714</v>
      </c>
    </row>
    <row r="1380" spans="2:12">
      <c r="B1380" s="256" t="s">
        <v>1716</v>
      </c>
      <c r="C1380" s="250" t="s">
        <v>1612</v>
      </c>
      <c r="D1380" s="205" t="s">
        <v>169</v>
      </c>
      <c r="E1380" s="257">
        <v>21.4</v>
      </c>
      <c r="F1380" s="258">
        <v>5.8</v>
      </c>
      <c r="G1380" s="257">
        <v>0.25</v>
      </c>
      <c r="H1380" s="257">
        <v>1</v>
      </c>
      <c r="I1380" s="257"/>
      <c r="J1380" s="259">
        <v>14.8062</v>
      </c>
      <c r="K1380" s="260">
        <f t="shared" si="49"/>
        <v>16.223799999999997</v>
      </c>
      <c r="L1380" s="266" t="s">
        <v>1714</v>
      </c>
    </row>
    <row r="1381" spans="2:12">
      <c r="B1381" s="256" t="s">
        <v>1717</v>
      </c>
      <c r="C1381" s="250" t="s">
        <v>1612</v>
      </c>
      <c r="D1381" s="205" t="s">
        <v>169</v>
      </c>
      <c r="E1381" s="257">
        <v>24.49</v>
      </c>
      <c r="F1381" s="258">
        <v>0.55000000000000004</v>
      </c>
      <c r="G1381" s="257">
        <v>0.1</v>
      </c>
      <c r="H1381" s="257">
        <v>1</v>
      </c>
      <c r="I1381" s="257"/>
      <c r="J1381" s="259">
        <v>0</v>
      </c>
      <c r="K1381" s="260">
        <f t="shared" si="49"/>
        <v>1.3469500000000001</v>
      </c>
      <c r="L1381" s="266" t="s">
        <v>1714</v>
      </c>
    </row>
    <row r="1382" spans="2:12">
      <c r="B1382" s="256" t="s">
        <v>1718</v>
      </c>
      <c r="C1382" s="250" t="s">
        <v>1612</v>
      </c>
      <c r="D1382" s="205" t="s">
        <v>169</v>
      </c>
      <c r="E1382" s="257">
        <v>21.4</v>
      </c>
      <c r="F1382" s="258">
        <v>5.8</v>
      </c>
      <c r="G1382" s="257">
        <v>0.25</v>
      </c>
      <c r="H1382" s="257">
        <v>1</v>
      </c>
      <c r="I1382" s="257"/>
      <c r="J1382" s="259">
        <v>14.76966</v>
      </c>
      <c r="K1382" s="260">
        <f t="shared" si="49"/>
        <v>16.260339999999999</v>
      </c>
      <c r="L1382" s="266" t="s">
        <v>1714</v>
      </c>
    </row>
    <row r="1383" spans="2:12">
      <c r="B1383" s="256" t="s">
        <v>1719</v>
      </c>
      <c r="C1383" s="250" t="s">
        <v>1612</v>
      </c>
      <c r="D1383" s="205" t="s">
        <v>169</v>
      </c>
      <c r="E1383" s="257">
        <v>7.77</v>
      </c>
      <c r="F1383" s="258">
        <v>0.18</v>
      </c>
      <c r="G1383" s="257">
        <v>0.12</v>
      </c>
      <c r="H1383" s="257">
        <v>1</v>
      </c>
      <c r="I1383" s="257"/>
      <c r="J1383" s="259">
        <v>0</v>
      </c>
      <c r="K1383" s="260">
        <f t="shared" si="49"/>
        <v>0.16783199999999998</v>
      </c>
      <c r="L1383" s="266" t="s">
        <v>1714</v>
      </c>
    </row>
    <row r="1384" spans="2:12">
      <c r="B1384" s="256" t="s">
        <v>1720</v>
      </c>
      <c r="C1384" s="250" t="s">
        <v>1612</v>
      </c>
      <c r="D1384" s="205" t="s">
        <v>169</v>
      </c>
      <c r="E1384" s="257">
        <v>21.4</v>
      </c>
      <c r="F1384" s="258">
        <v>5.69</v>
      </c>
      <c r="G1384" s="257">
        <v>0.25</v>
      </c>
      <c r="H1384" s="257">
        <v>1</v>
      </c>
      <c r="I1384" s="257"/>
      <c r="J1384" s="259">
        <v>13.92924</v>
      </c>
      <c r="K1384" s="260">
        <f t="shared" si="49"/>
        <v>16.512260000000001</v>
      </c>
      <c r="L1384" s="266" t="s">
        <v>1714</v>
      </c>
    </row>
    <row r="1385" spans="2:12">
      <c r="B1385" s="256" t="s">
        <v>1721</v>
      </c>
      <c r="C1385" s="250" t="s">
        <v>1612</v>
      </c>
      <c r="D1385" s="205" t="s">
        <v>169</v>
      </c>
      <c r="E1385" s="257">
        <v>3.45</v>
      </c>
      <c r="F1385" s="258">
        <v>2.74</v>
      </c>
      <c r="G1385" s="257">
        <v>0.15</v>
      </c>
      <c r="H1385" s="257">
        <v>1</v>
      </c>
      <c r="I1385" s="257"/>
      <c r="J1385" s="259">
        <v>0</v>
      </c>
      <c r="K1385" s="260">
        <f t="shared" si="49"/>
        <v>1.41795</v>
      </c>
      <c r="L1385" s="266" t="s">
        <v>1714</v>
      </c>
    </row>
    <row r="1386" spans="2:12">
      <c r="B1386" s="256"/>
      <c r="C1386" s="210"/>
      <c r="D1386" s="210"/>
      <c r="E1386" s="257"/>
      <c r="F1386" s="258"/>
      <c r="G1386" s="257"/>
      <c r="H1386" s="257"/>
      <c r="I1386" s="257"/>
      <c r="J1386" s="259"/>
      <c r="K1386" s="260">
        <f t="shared" si="49"/>
        <v>0</v>
      </c>
      <c r="L1386" s="210"/>
    </row>
    <row r="1387" spans="2:12">
      <c r="B1387" s="202"/>
      <c r="C1387" s="203"/>
      <c r="D1387" s="203"/>
      <c r="E1387" s="203"/>
      <c r="F1387" s="203"/>
      <c r="G1387" s="203"/>
      <c r="H1387" s="204"/>
      <c r="I1387" s="556" t="s">
        <v>1221</v>
      </c>
      <c r="J1387" s="556"/>
      <c r="K1387" s="220">
        <f>SUM(K1326:K1386)</f>
        <v>430.67438499999992</v>
      </c>
      <c r="L1387" s="207"/>
    </row>
    <row r="1388" spans="2:12">
      <c r="B1388" s="208"/>
      <c r="C1388" s="204"/>
      <c r="D1388" s="204"/>
      <c r="E1388" s="204"/>
      <c r="F1388" s="204"/>
      <c r="G1388" s="204"/>
      <c r="H1388" s="209"/>
      <c r="I1388" s="557" t="s">
        <v>1222</v>
      </c>
      <c r="J1388" s="557"/>
      <c r="K1388" s="221">
        <f>VLOOKUP(B1324,'BM 004'!$B$27:$R$590,4,0)</f>
        <v>803.99</v>
      </c>
      <c r="L1388" s="246"/>
    </row>
    <row r="1389" spans="2:12">
      <c r="B1389" s="208"/>
      <c r="C1389" s="204"/>
      <c r="D1389" s="204"/>
      <c r="E1389" s="204"/>
      <c r="F1389" s="204"/>
      <c r="G1389" s="204"/>
      <c r="H1389" s="558" t="s">
        <v>1223</v>
      </c>
      <c r="I1389" s="558"/>
      <c r="J1389" s="558"/>
      <c r="K1389" s="222">
        <v>275.52893799999998</v>
      </c>
      <c r="L1389" s="207"/>
    </row>
    <row r="1390" spans="2:12">
      <c r="B1390" s="208"/>
      <c r="C1390" s="204"/>
      <c r="D1390" s="204"/>
      <c r="E1390" s="204"/>
      <c r="F1390" s="204"/>
      <c r="G1390" s="204"/>
      <c r="H1390" s="558" t="s">
        <v>1592</v>
      </c>
      <c r="I1390" s="558"/>
      <c r="J1390" s="558"/>
      <c r="K1390" s="222">
        <f>TRUNC(SUMIF(C1326:C1386,H1390,K1326:K1386),2)</f>
        <v>155.13999999999999</v>
      </c>
      <c r="L1390" s="207"/>
    </row>
    <row r="1391" spans="2:12">
      <c r="B1391" s="213"/>
      <c r="C1391" s="214"/>
      <c r="D1391" s="214"/>
      <c r="E1391" s="214"/>
      <c r="F1391" s="214"/>
      <c r="G1391" s="214"/>
      <c r="H1391" s="559" t="s">
        <v>1224</v>
      </c>
      <c r="I1391" s="559"/>
      <c r="J1391" s="559"/>
      <c r="K1391" s="223">
        <f>IF(K1387&gt;K1388,K1387-K1388,0)</f>
        <v>0</v>
      </c>
      <c r="L1391" s="209"/>
    </row>
    <row r="1393" spans="2:12">
      <c r="B1393" s="247" t="s">
        <v>261</v>
      </c>
      <c r="C1393" s="565" t="str">
        <f>VLOOKUP(B1393,'BM 004'!$B$27:$R$590,2,0)</f>
        <v xml:space="preserve">ALVENARIA DE EMBASAMENTO COM BLOCO ESTRUTURAL DE CONCRETO, DE 14X19X29CM E ARGAMASSA DE ASSENTAMENTO COM PREPARO EM BETONEIRA. </v>
      </c>
      <c r="D1393" s="565"/>
      <c r="E1393" s="565"/>
      <c r="F1393" s="565"/>
      <c r="G1393" s="565"/>
      <c r="H1393" s="565"/>
      <c r="I1393" s="565"/>
      <c r="J1393" s="565"/>
      <c r="K1393" s="565"/>
      <c r="L1393" s="565"/>
    </row>
    <row r="1394" spans="2:12">
      <c r="B1394" s="248" t="s">
        <v>1209</v>
      </c>
      <c r="C1394" s="248"/>
      <c r="D1394" s="248" t="s">
        <v>39</v>
      </c>
      <c r="E1394" s="248" t="s">
        <v>1210</v>
      </c>
      <c r="F1394" s="248" t="s">
        <v>1388</v>
      </c>
      <c r="G1394" s="248" t="s">
        <v>1212</v>
      </c>
      <c r="H1394" s="248" t="s">
        <v>1213</v>
      </c>
      <c r="I1394" s="248" t="s">
        <v>1214</v>
      </c>
      <c r="J1394" s="248" t="s">
        <v>1385</v>
      </c>
      <c r="K1394" s="248" t="s">
        <v>1216</v>
      </c>
      <c r="L1394" s="248" t="s">
        <v>1217</v>
      </c>
    </row>
    <row r="1395" spans="2:12">
      <c r="B1395" s="256" t="s">
        <v>1722</v>
      </c>
      <c r="C1395" s="250" t="s">
        <v>1612</v>
      </c>
      <c r="D1395" s="205" t="s">
        <v>79</v>
      </c>
      <c r="E1395" s="261">
        <v>26.18</v>
      </c>
      <c r="F1395" s="261">
        <v>0.19</v>
      </c>
      <c r="G1395" s="261">
        <v>0.4</v>
      </c>
      <c r="H1395" s="261">
        <v>1</v>
      </c>
      <c r="I1395" s="261"/>
      <c r="J1395" s="275"/>
      <c r="K1395" s="260">
        <f>IF(E1395*F1395*G1395&lt;&gt;0,E1395*F1395*G1395,IF(E1395*F1395&lt;&gt;0,E1395*F1395,IF(F1395*G1395&lt;&gt;0,F1395*G1395,IF(E1395*G1395&lt;&gt;0,E1395*G1395,IF(E1395&lt;&gt;0,E1395,IF(F1395&lt;&gt;0,F1395,IF(G1395&lt;&gt;0,G1395,0)))))))*(IF(H1395&lt;&gt;0,H1395,1))+I1395-J1395</f>
        <v>1.9896799999999999</v>
      </c>
      <c r="L1395" s="266" t="s">
        <v>1723</v>
      </c>
    </row>
    <row r="1396" spans="2:12">
      <c r="B1396" s="256" t="s">
        <v>1724</v>
      </c>
      <c r="C1396" s="250" t="s">
        <v>1612</v>
      </c>
      <c r="D1396" s="205" t="s">
        <v>79</v>
      </c>
      <c r="E1396" s="261">
        <v>8.84</v>
      </c>
      <c r="F1396" s="261">
        <v>0.19</v>
      </c>
      <c r="G1396" s="261">
        <v>0.4</v>
      </c>
      <c r="H1396" s="261">
        <v>1</v>
      </c>
      <c r="I1396" s="261"/>
      <c r="J1396" s="275"/>
      <c r="K1396" s="260">
        <f>IF(E1396*F1396*G1396&lt;&gt;0,E1396*F1396*G1396,IF(E1396*F1396&lt;&gt;0,E1396*F1396,IF(F1396*G1396&lt;&gt;0,F1396*G1396,IF(E1396*G1396&lt;&gt;0,E1396*G1396,IF(E1396&lt;&gt;0,E1396,IF(F1396&lt;&gt;0,F1396,IF(G1396&lt;&gt;0,G1396,0)))))))*(IF(H1396&lt;&gt;0,H1396,1))+I1396-J1396</f>
        <v>0.67183999999999999</v>
      </c>
      <c r="L1396" s="266"/>
    </row>
    <row r="1397" spans="2:12">
      <c r="B1397" s="256"/>
      <c r="C1397" s="210"/>
      <c r="D1397" s="210"/>
      <c r="E1397" s="261"/>
      <c r="F1397" s="261"/>
      <c r="G1397" s="261"/>
      <c r="H1397" s="261"/>
      <c r="I1397" s="261"/>
      <c r="J1397" s="275"/>
      <c r="K1397" s="260">
        <f>IF(E1397*F1397*G1397&lt;&gt;0,E1397*F1397*G1397,IF(E1397*F1397&lt;&gt;0,E1397*F1397,IF(F1397*G1397&lt;&gt;0,F1397*G1397,IF(E1397*G1397&lt;&gt;0,E1397*G1397,IF(E1397&lt;&gt;0,E1397,IF(F1397&lt;&gt;0,F1397,IF(G1397&lt;&gt;0,G1397,0)))))))*(IF(H1397&lt;&gt;0,H1397,1))+I1397-J1397</f>
        <v>0</v>
      </c>
      <c r="L1397" s="210"/>
    </row>
    <row r="1398" spans="2:12">
      <c r="B1398" s="202"/>
      <c r="C1398" s="203"/>
      <c r="D1398" s="203"/>
      <c r="E1398" s="203"/>
      <c r="F1398" s="203"/>
      <c r="G1398" s="203"/>
      <c r="H1398" s="204"/>
      <c r="I1398" s="556" t="s">
        <v>1221</v>
      </c>
      <c r="J1398" s="556"/>
      <c r="K1398" s="220">
        <f>SUM(K1395:K1397)</f>
        <v>2.6615199999999999</v>
      </c>
      <c r="L1398" s="207"/>
    </row>
    <row r="1399" spans="2:12">
      <c r="B1399" s="208"/>
      <c r="C1399" s="204"/>
      <c r="D1399" s="204"/>
      <c r="E1399" s="204"/>
      <c r="F1399" s="204"/>
      <c r="G1399" s="204"/>
      <c r="H1399" s="209"/>
      <c r="I1399" s="556" t="s">
        <v>1222</v>
      </c>
      <c r="J1399" s="556"/>
      <c r="K1399" s="221">
        <f>VLOOKUP(B1393,'BM 004'!$B$27:$R$590,4,0)</f>
        <v>112</v>
      </c>
      <c r="L1399" s="246"/>
    </row>
    <row r="1400" spans="2:12">
      <c r="B1400" s="208"/>
      <c r="C1400" s="204"/>
      <c r="D1400" s="204"/>
      <c r="E1400" s="204"/>
      <c r="F1400" s="204"/>
      <c r="G1400" s="204"/>
      <c r="H1400" s="558" t="s">
        <v>1223</v>
      </c>
      <c r="I1400" s="558"/>
      <c r="J1400" s="558"/>
      <c r="K1400" s="222">
        <v>0</v>
      </c>
      <c r="L1400" s="207"/>
    </row>
    <row r="1401" spans="2:12">
      <c r="B1401" s="208"/>
      <c r="C1401" s="204"/>
      <c r="D1401" s="204"/>
      <c r="E1401" s="204"/>
      <c r="F1401" s="204"/>
      <c r="G1401" s="204"/>
      <c r="H1401" s="558" t="s">
        <v>1592</v>
      </c>
      <c r="I1401" s="558"/>
      <c r="J1401" s="558"/>
      <c r="K1401" s="222">
        <f>TRUNC(SUMIF(C1395:C1397,H1401,K1395:K1397),2)</f>
        <v>2.66</v>
      </c>
      <c r="L1401" s="207"/>
    </row>
    <row r="1402" spans="2:12">
      <c r="B1402" s="213"/>
      <c r="C1402" s="214"/>
      <c r="D1402" s="214"/>
      <c r="E1402" s="214"/>
      <c r="F1402" s="214"/>
      <c r="G1402" s="214"/>
      <c r="H1402" s="566" t="s">
        <v>1224</v>
      </c>
      <c r="I1402" s="566"/>
      <c r="J1402" s="566"/>
      <c r="K1402" s="223">
        <f>IF(K1398&gt;K1399,K1398-K1399,0)</f>
        <v>0</v>
      </c>
      <c r="L1402" s="209"/>
    </row>
    <row r="1404" spans="2:12">
      <c r="B1404" s="247" t="s">
        <v>263</v>
      </c>
      <c r="C1404" s="565" t="str">
        <f>VLOOKUP(B1404,'BM 004'!$B$27:$R$590,2,0)</f>
        <v xml:space="preserve">ALVENARIA DE VEDAÇÃO DE BLOCOS CERÂMICOS FURADOS NA HORIZONTAL DE 9X19X19CM (ESPESSURA 9CM) DE PAREDES COM ÁREA LÍQUIDA MAIOR OU IGUAL A 6M² COM VÃOS E ARGAMASSA DE ASSENTAMENTO COM PREPARO EM BETONEIRA. </v>
      </c>
      <c r="D1404" s="565"/>
      <c r="E1404" s="565"/>
      <c r="F1404" s="565"/>
      <c r="G1404" s="565"/>
      <c r="H1404" s="565"/>
      <c r="I1404" s="565"/>
      <c r="J1404" s="565"/>
      <c r="K1404" s="565"/>
      <c r="L1404" s="565"/>
    </row>
    <row r="1405" spans="2:12">
      <c r="B1405" s="248" t="s">
        <v>1209</v>
      </c>
      <c r="C1405" s="248"/>
      <c r="D1405" s="248" t="s">
        <v>39</v>
      </c>
      <c r="E1405" s="248" t="s">
        <v>1210</v>
      </c>
      <c r="F1405" s="248" t="s">
        <v>1388</v>
      </c>
      <c r="G1405" s="248" t="s">
        <v>1212</v>
      </c>
      <c r="H1405" s="248" t="s">
        <v>1213</v>
      </c>
      <c r="I1405" s="248" t="s">
        <v>1214</v>
      </c>
      <c r="J1405" s="248" t="s">
        <v>1385</v>
      </c>
      <c r="K1405" s="248" t="s">
        <v>1216</v>
      </c>
      <c r="L1405" s="248" t="s">
        <v>1217</v>
      </c>
    </row>
    <row r="1406" spans="2:12">
      <c r="B1406" s="256" t="s">
        <v>1722</v>
      </c>
      <c r="C1406" s="250" t="s">
        <v>1612</v>
      </c>
      <c r="D1406" s="205" t="s">
        <v>79</v>
      </c>
      <c r="E1406" s="261">
        <v>26.18</v>
      </c>
      <c r="F1406" s="261"/>
      <c r="G1406" s="261">
        <v>1.8</v>
      </c>
      <c r="H1406" s="261">
        <v>1</v>
      </c>
      <c r="I1406" s="261"/>
      <c r="J1406" s="275"/>
      <c r="K1406" s="260">
        <f t="shared" ref="K1406:K1421" si="50">IF(E1406*F1406*G1406&lt;&gt;0,E1406*F1406*G1406,IF(E1406*F1406&lt;&gt;0,E1406*F1406,IF(F1406*G1406&lt;&gt;0,F1406*G1406,IF(E1406*G1406&lt;&gt;0,E1406*G1406,IF(E1406&lt;&gt;0,E1406,IF(F1406&lt;&gt;0,F1406,IF(G1406&lt;&gt;0,G1406,0)))))))*(IF(H1406&lt;&gt;0,H1406,1))+I1406-J1406</f>
        <v>47.124000000000002</v>
      </c>
      <c r="L1406" s="266"/>
    </row>
    <row r="1407" spans="2:12">
      <c r="B1407" s="256" t="s">
        <v>1725</v>
      </c>
      <c r="C1407" s="250" t="s">
        <v>1612</v>
      </c>
      <c r="D1407" s="205" t="s">
        <v>79</v>
      </c>
      <c r="E1407" s="261">
        <v>4.1500000000000004</v>
      </c>
      <c r="F1407" s="261"/>
      <c r="G1407" s="261">
        <v>1.8</v>
      </c>
      <c r="H1407" s="261">
        <v>2</v>
      </c>
      <c r="I1407" s="261"/>
      <c r="J1407" s="275"/>
      <c r="K1407" s="260">
        <f t="shared" si="50"/>
        <v>14.940000000000001</v>
      </c>
      <c r="L1407" s="266"/>
    </row>
    <row r="1408" spans="2:12">
      <c r="B1408" s="256" t="s">
        <v>1725</v>
      </c>
      <c r="C1408" s="250" t="s">
        <v>1612</v>
      </c>
      <c r="D1408" s="205" t="s">
        <v>79</v>
      </c>
      <c r="E1408" s="261">
        <v>3.08</v>
      </c>
      <c r="F1408" s="261"/>
      <c r="G1408" s="261">
        <v>1.8</v>
      </c>
      <c r="H1408" s="261">
        <v>2</v>
      </c>
      <c r="I1408" s="261"/>
      <c r="J1408" s="275"/>
      <c r="K1408" s="260">
        <f t="shared" si="50"/>
        <v>11.088000000000001</v>
      </c>
      <c r="L1408" s="266"/>
    </row>
    <row r="1409" spans="2:12">
      <c r="B1409" s="256" t="s">
        <v>1726</v>
      </c>
      <c r="C1409" s="250" t="s">
        <v>1612</v>
      </c>
      <c r="D1409" s="205" t="s">
        <v>79</v>
      </c>
      <c r="E1409" s="261">
        <v>1.84</v>
      </c>
      <c r="F1409" s="261"/>
      <c r="G1409" s="261">
        <v>1.8</v>
      </c>
      <c r="H1409" s="261">
        <v>2</v>
      </c>
      <c r="I1409" s="261"/>
      <c r="J1409" s="275"/>
      <c r="K1409" s="260">
        <f t="shared" si="50"/>
        <v>6.6240000000000006</v>
      </c>
      <c r="L1409" s="266"/>
    </row>
    <row r="1410" spans="2:12">
      <c r="B1410" s="256" t="s">
        <v>1726</v>
      </c>
      <c r="C1410" s="250" t="s">
        <v>1612</v>
      </c>
      <c r="D1410" s="205" t="s">
        <v>79</v>
      </c>
      <c r="E1410" s="261">
        <v>2.15</v>
      </c>
      <c r="F1410" s="261"/>
      <c r="G1410" s="261">
        <v>1.8</v>
      </c>
      <c r="H1410" s="261">
        <v>2</v>
      </c>
      <c r="I1410" s="261"/>
      <c r="J1410" s="275"/>
      <c r="K1410" s="260">
        <f t="shared" si="50"/>
        <v>7.74</v>
      </c>
      <c r="L1410" s="266"/>
    </row>
    <row r="1411" spans="2:12">
      <c r="B1411" s="256" t="s">
        <v>1727</v>
      </c>
      <c r="C1411" s="250" t="s">
        <v>1612</v>
      </c>
      <c r="D1411" s="205" t="s">
        <v>79</v>
      </c>
      <c r="E1411" s="261">
        <v>4.1500000000000004</v>
      </c>
      <c r="F1411" s="261"/>
      <c r="G1411" s="261">
        <v>1.8</v>
      </c>
      <c r="H1411" s="261">
        <v>1</v>
      </c>
      <c r="I1411" s="261"/>
      <c r="J1411" s="275"/>
      <c r="K1411" s="260">
        <f t="shared" si="50"/>
        <v>7.4700000000000006</v>
      </c>
      <c r="L1411" s="266"/>
    </row>
    <row r="1412" spans="2:12">
      <c r="B1412" s="256" t="s">
        <v>1727</v>
      </c>
      <c r="C1412" s="250" t="s">
        <v>1612</v>
      </c>
      <c r="D1412" s="205" t="s">
        <v>79</v>
      </c>
      <c r="E1412" s="261">
        <v>3.25</v>
      </c>
      <c r="F1412" s="261"/>
      <c r="G1412" s="261">
        <v>1.8</v>
      </c>
      <c r="H1412" s="261">
        <v>1</v>
      </c>
      <c r="I1412" s="261"/>
      <c r="J1412" s="275"/>
      <c r="K1412" s="260">
        <f t="shared" si="50"/>
        <v>5.8500000000000005</v>
      </c>
      <c r="L1412" s="266"/>
    </row>
    <row r="1413" spans="2:12">
      <c r="B1413" s="256" t="s">
        <v>1728</v>
      </c>
      <c r="C1413" s="250" t="s">
        <v>1612</v>
      </c>
      <c r="D1413" s="205" t="s">
        <v>79</v>
      </c>
      <c r="E1413" s="261">
        <v>4.1500000000000004</v>
      </c>
      <c r="F1413" s="261"/>
      <c r="G1413" s="261">
        <v>1.8</v>
      </c>
      <c r="H1413" s="261">
        <v>1</v>
      </c>
      <c r="I1413" s="261"/>
      <c r="J1413" s="275"/>
      <c r="K1413" s="260">
        <f t="shared" si="50"/>
        <v>7.4700000000000006</v>
      </c>
      <c r="L1413" s="266"/>
    </row>
    <row r="1414" spans="2:12">
      <c r="B1414" s="256" t="s">
        <v>1728</v>
      </c>
      <c r="C1414" s="250" t="s">
        <v>1612</v>
      </c>
      <c r="D1414" s="205" t="s">
        <v>79</v>
      </c>
      <c r="E1414" s="261">
        <v>3.25</v>
      </c>
      <c r="F1414" s="261"/>
      <c r="G1414" s="261">
        <v>1.8</v>
      </c>
      <c r="H1414" s="261">
        <v>1</v>
      </c>
      <c r="I1414" s="261"/>
      <c r="J1414" s="275"/>
      <c r="K1414" s="260">
        <f t="shared" si="50"/>
        <v>5.8500000000000005</v>
      </c>
      <c r="L1414" s="266"/>
    </row>
    <row r="1415" spans="2:12">
      <c r="B1415" s="256" t="s">
        <v>1729</v>
      </c>
      <c r="C1415" s="250" t="s">
        <v>1612</v>
      </c>
      <c r="D1415" s="205" t="s">
        <v>79</v>
      </c>
      <c r="E1415" s="261">
        <v>1.79</v>
      </c>
      <c r="F1415" s="261"/>
      <c r="G1415" s="261">
        <v>1.8</v>
      </c>
      <c r="H1415" s="261">
        <v>2</v>
      </c>
      <c r="I1415" s="261"/>
      <c r="J1415" s="275"/>
      <c r="K1415" s="260">
        <f t="shared" si="50"/>
        <v>6.444</v>
      </c>
      <c r="L1415" s="266"/>
    </row>
    <row r="1416" spans="2:12">
      <c r="B1416" s="256" t="s">
        <v>1729</v>
      </c>
      <c r="C1416" s="250" t="s">
        <v>1612</v>
      </c>
      <c r="D1416" s="205" t="s">
        <v>79</v>
      </c>
      <c r="E1416" s="261">
        <v>2.15</v>
      </c>
      <c r="F1416" s="261"/>
      <c r="G1416" s="261">
        <v>1.8</v>
      </c>
      <c r="H1416" s="261">
        <v>2</v>
      </c>
      <c r="I1416" s="261"/>
      <c r="J1416" s="275"/>
      <c r="K1416" s="260">
        <f t="shared" si="50"/>
        <v>7.74</v>
      </c>
      <c r="L1416" s="266"/>
    </row>
    <row r="1417" spans="2:12">
      <c r="B1417" s="256" t="s">
        <v>1730</v>
      </c>
      <c r="C1417" s="250" t="s">
        <v>1612</v>
      </c>
      <c r="D1417" s="205" t="s">
        <v>79</v>
      </c>
      <c r="E1417" s="261">
        <v>4.1500000000000004</v>
      </c>
      <c r="F1417" s="261"/>
      <c r="G1417" s="261">
        <v>1.8</v>
      </c>
      <c r="H1417" s="261">
        <v>2</v>
      </c>
      <c r="I1417" s="261"/>
      <c r="J1417" s="275"/>
      <c r="K1417" s="260">
        <f t="shared" si="50"/>
        <v>14.940000000000001</v>
      </c>
      <c r="L1417" s="266"/>
    </row>
    <row r="1418" spans="2:12">
      <c r="B1418" s="256" t="s">
        <v>1730</v>
      </c>
      <c r="C1418" s="250" t="s">
        <v>1612</v>
      </c>
      <c r="D1418" s="205" t="s">
        <v>79</v>
      </c>
      <c r="E1418" s="261">
        <v>3.43</v>
      </c>
      <c r="F1418" s="261"/>
      <c r="G1418" s="261">
        <v>1.8</v>
      </c>
      <c r="H1418" s="261">
        <v>2</v>
      </c>
      <c r="I1418" s="261"/>
      <c r="J1418" s="275"/>
      <c r="K1418" s="260">
        <f t="shared" si="50"/>
        <v>12.348000000000001</v>
      </c>
      <c r="L1418" s="266"/>
    </row>
    <row r="1419" spans="2:12">
      <c r="B1419" s="256" t="s">
        <v>1731</v>
      </c>
      <c r="C1419" s="250" t="s">
        <v>1612</v>
      </c>
      <c r="D1419" s="205" t="s">
        <v>79</v>
      </c>
      <c r="E1419" s="261">
        <v>8.31</v>
      </c>
      <c r="F1419" s="261"/>
      <c r="G1419" s="261">
        <v>1.8</v>
      </c>
      <c r="H1419" s="261">
        <v>1</v>
      </c>
      <c r="I1419" s="261"/>
      <c r="J1419" s="275"/>
      <c r="K1419" s="260">
        <f t="shared" si="50"/>
        <v>14.958000000000002</v>
      </c>
      <c r="L1419" s="266"/>
    </row>
    <row r="1420" spans="2:12">
      <c r="B1420" s="256" t="s">
        <v>1731</v>
      </c>
      <c r="C1420" s="250" t="s">
        <v>1612</v>
      </c>
      <c r="D1420" s="205" t="s">
        <v>79</v>
      </c>
      <c r="E1420" s="261">
        <v>6.03</v>
      </c>
      <c r="F1420" s="261"/>
      <c r="G1420" s="261">
        <v>1.8</v>
      </c>
      <c r="H1420" s="261">
        <v>1</v>
      </c>
      <c r="I1420" s="261"/>
      <c r="J1420" s="275"/>
      <c r="K1420" s="260">
        <f t="shared" si="50"/>
        <v>10.854000000000001</v>
      </c>
      <c r="L1420" s="266"/>
    </row>
    <row r="1421" spans="2:12">
      <c r="B1421" s="256"/>
      <c r="C1421" s="210"/>
      <c r="D1421" s="210"/>
      <c r="E1421" s="261"/>
      <c r="F1421" s="261"/>
      <c r="G1421" s="261"/>
      <c r="H1421" s="261"/>
      <c r="I1421" s="261"/>
      <c r="J1421" s="275"/>
      <c r="K1421" s="260">
        <f t="shared" si="50"/>
        <v>0</v>
      </c>
      <c r="L1421" s="210"/>
    </row>
    <row r="1422" spans="2:12">
      <c r="B1422" s="202"/>
      <c r="C1422" s="203"/>
      <c r="D1422" s="203"/>
      <c r="E1422" s="203"/>
      <c r="F1422" s="203"/>
      <c r="G1422" s="203"/>
      <c r="H1422" s="204"/>
      <c r="I1422" s="556" t="s">
        <v>1221</v>
      </c>
      <c r="J1422" s="556"/>
      <c r="K1422" s="220">
        <f>SUM(K1406:K1421)</f>
        <v>181.44000000000003</v>
      </c>
      <c r="L1422" s="207"/>
    </row>
    <row r="1423" spans="2:12">
      <c r="B1423" s="208"/>
      <c r="C1423" s="204"/>
      <c r="D1423" s="204"/>
      <c r="E1423" s="204"/>
      <c r="F1423" s="204"/>
      <c r="G1423" s="204"/>
      <c r="H1423" s="209"/>
      <c r="I1423" s="557" t="s">
        <v>1222</v>
      </c>
      <c r="J1423" s="557"/>
      <c r="K1423" s="221">
        <f>VLOOKUP(B1404,'BM 004'!$B$27:$R$590,4,0)</f>
        <v>15102.2</v>
      </c>
      <c r="L1423" s="246"/>
    </row>
    <row r="1424" spans="2:12">
      <c r="B1424" s="208"/>
      <c r="C1424" s="204"/>
      <c r="D1424" s="204"/>
      <c r="E1424" s="204"/>
      <c r="F1424" s="204"/>
      <c r="G1424" s="204"/>
      <c r="H1424" s="558" t="s">
        <v>1223</v>
      </c>
      <c r="I1424" s="558"/>
      <c r="J1424" s="558"/>
      <c r="K1424" s="222">
        <v>0</v>
      </c>
      <c r="L1424" s="207"/>
    </row>
    <row r="1425" spans="2:12">
      <c r="B1425" s="208"/>
      <c r="C1425" s="204"/>
      <c r="D1425" s="204"/>
      <c r="E1425" s="204"/>
      <c r="F1425" s="204"/>
      <c r="G1425" s="204"/>
      <c r="H1425" s="558" t="s">
        <v>1592</v>
      </c>
      <c r="I1425" s="558"/>
      <c r="J1425" s="558"/>
      <c r="K1425" s="222">
        <f>TRUNC(SUMIF(C1406:C1421,H1425,K1406:K1421),2)</f>
        <v>181.44</v>
      </c>
      <c r="L1425" s="207"/>
    </row>
    <row r="1426" spans="2:12">
      <c r="B1426" s="213"/>
      <c r="C1426" s="214"/>
      <c r="D1426" s="214"/>
      <c r="E1426" s="214"/>
      <c r="F1426" s="214"/>
      <c r="G1426" s="214"/>
      <c r="H1426" s="559" t="s">
        <v>1224</v>
      </c>
      <c r="I1426" s="559"/>
      <c r="J1426" s="559"/>
      <c r="K1426" s="223">
        <f>IF(K1422&gt;K1423,K1422-K1423,0)</f>
        <v>0</v>
      </c>
      <c r="L1426" s="209"/>
    </row>
    <row r="1428" spans="2:12">
      <c r="B1428" s="247" t="s">
        <v>664</v>
      </c>
      <c r="C1428" s="565" t="str">
        <f>VLOOKUP(B1428,'BM 004'!$B$27:$R$590,2,0)</f>
        <v xml:space="preserve">Tubo pvc rígido soldável marrom p/ água, d = 75 mm (2 1/2")	</v>
      </c>
      <c r="D1428" s="565"/>
      <c r="E1428" s="565"/>
      <c r="F1428" s="565"/>
      <c r="G1428" s="565"/>
      <c r="H1428" s="565"/>
      <c r="I1428" s="565"/>
      <c r="J1428" s="565"/>
      <c r="K1428" s="565"/>
      <c r="L1428" s="565"/>
    </row>
    <row r="1429" spans="2:12">
      <c r="B1429" s="248" t="s">
        <v>1209</v>
      </c>
      <c r="C1429" s="248"/>
      <c r="D1429" s="248" t="s">
        <v>39</v>
      </c>
      <c r="E1429" s="248" t="s">
        <v>1210</v>
      </c>
      <c r="F1429" s="248" t="s">
        <v>1388</v>
      </c>
      <c r="G1429" s="248" t="s">
        <v>1212</v>
      </c>
      <c r="H1429" s="248" t="s">
        <v>1213</v>
      </c>
      <c r="I1429" s="248" t="s">
        <v>1214</v>
      </c>
      <c r="J1429" s="248" t="s">
        <v>1385</v>
      </c>
      <c r="K1429" s="248" t="s">
        <v>1216</v>
      </c>
      <c r="L1429" s="248" t="s">
        <v>1217</v>
      </c>
    </row>
    <row r="1430" spans="2:12">
      <c r="B1430" s="256" t="s">
        <v>1575</v>
      </c>
      <c r="C1430" s="250" t="s">
        <v>1521</v>
      </c>
      <c r="D1430" s="205" t="s">
        <v>82</v>
      </c>
      <c r="E1430" s="257">
        <v>30</v>
      </c>
      <c r="F1430" s="258"/>
      <c r="G1430" s="257"/>
      <c r="H1430" s="257"/>
      <c r="I1430" s="257"/>
      <c r="J1430" s="259"/>
      <c r="K1430" s="260">
        <f>IF(E1430*F1430*G1430&lt;&gt;0,E1430*F1430*G1430,IF(E1430*F1430&lt;&gt;0,E1430*F1430,IF(F1430*G1430&lt;&gt;0,F1430*G1430,IF(E1430*G1430&lt;&gt;0,E1430*G1430,IF(E1430&lt;&gt;0,E1430,IF(F1430&lt;&gt;0,F1430,IF(G1430&lt;&gt;0,G1430,0)))))))*(IF(H1430&lt;&gt;0,H1430,1))+I1430-J1430</f>
        <v>30</v>
      </c>
      <c r="L1430" s="266"/>
    </row>
    <row r="1431" spans="2:12">
      <c r="B1431" s="256"/>
      <c r="C1431" s="210"/>
      <c r="D1431" s="210"/>
      <c r="E1431" s="257"/>
      <c r="F1431" s="258"/>
      <c r="G1431" s="257"/>
      <c r="H1431" s="257"/>
      <c r="I1431" s="257"/>
      <c r="J1431" s="259"/>
      <c r="K1431" s="260">
        <f>IF(E1431*F1431*G1431&lt;&gt;0,E1431*F1431*G1431,IF(E1431*F1431&lt;&gt;0,E1431*F1431,IF(F1431*G1431&lt;&gt;0,F1431*G1431,IF(E1431*G1431&lt;&gt;0,E1431*G1431,IF(E1431&lt;&gt;0,E1431,IF(F1431&lt;&gt;0,F1431,IF(G1431&lt;&gt;0,G1431,0)))))))*(IF(H1431&lt;&gt;0,H1431,1))+I1431-J1431</f>
        <v>0</v>
      </c>
      <c r="L1431" s="210"/>
    </row>
    <row r="1432" spans="2:12">
      <c r="B1432" s="202"/>
      <c r="C1432" s="203"/>
      <c r="D1432" s="203"/>
      <c r="E1432" s="203"/>
      <c r="F1432" s="203"/>
      <c r="G1432" s="203"/>
      <c r="H1432" s="204"/>
      <c r="I1432" s="556" t="s">
        <v>1221</v>
      </c>
      <c r="J1432" s="556"/>
      <c r="K1432" s="220">
        <f>SUM(K1430:K1431)</f>
        <v>30</v>
      </c>
      <c r="L1432" s="207"/>
    </row>
    <row r="1433" spans="2:12">
      <c r="B1433" s="208"/>
      <c r="C1433" s="204"/>
      <c r="D1433" s="204"/>
      <c r="E1433" s="204"/>
      <c r="F1433" s="204"/>
      <c r="G1433" s="204"/>
      <c r="H1433" s="209"/>
      <c r="I1433" s="557" t="s">
        <v>1222</v>
      </c>
      <c r="J1433" s="557"/>
      <c r="K1433" s="221">
        <f>VLOOKUP(B1428,'BM 004'!$B$27:$R$590,4,0)</f>
        <v>162.16999999999999</v>
      </c>
      <c r="L1433" s="246"/>
    </row>
    <row r="1434" spans="2:12">
      <c r="B1434" s="208"/>
      <c r="C1434" s="204"/>
      <c r="D1434" s="204"/>
      <c r="E1434" s="204"/>
      <c r="F1434" s="204"/>
      <c r="G1434" s="204"/>
      <c r="H1434" s="558" t="s">
        <v>1223</v>
      </c>
      <c r="I1434" s="558"/>
      <c r="J1434" s="558"/>
      <c r="K1434" s="222">
        <v>0</v>
      </c>
      <c r="L1434" s="207"/>
    </row>
    <row r="1435" spans="2:12">
      <c r="B1435" s="208"/>
      <c r="C1435" s="204"/>
      <c r="D1435" s="204"/>
      <c r="E1435" s="204"/>
      <c r="F1435" s="204"/>
      <c r="G1435" s="204"/>
      <c r="H1435" s="558" t="s">
        <v>1435</v>
      </c>
      <c r="I1435" s="558"/>
      <c r="J1435" s="558"/>
      <c r="K1435" s="222">
        <f>TRUNC(SUMIF(C1430:C1431,H1435,K1430:K1431),2)</f>
        <v>30</v>
      </c>
      <c r="L1435" s="207"/>
    </row>
    <row r="1436" spans="2:12">
      <c r="B1436" s="213"/>
      <c r="C1436" s="214"/>
      <c r="D1436" s="214"/>
      <c r="E1436" s="214"/>
      <c r="F1436" s="214"/>
      <c r="G1436" s="214"/>
      <c r="H1436" s="559" t="s">
        <v>1224</v>
      </c>
      <c r="I1436" s="559"/>
      <c r="J1436" s="559"/>
      <c r="K1436" s="223">
        <f>IF(K1432&gt;K1433,K1432-K1433,0)</f>
        <v>0</v>
      </c>
      <c r="L1436" s="209"/>
    </row>
  </sheetData>
  <mergeCells count="376">
    <mergeCell ref="H1426:J1426"/>
    <mergeCell ref="C1428:L1428"/>
    <mergeCell ref="I1432:J1432"/>
    <mergeCell ref="I1433:J1433"/>
    <mergeCell ref="H1434:J1434"/>
    <mergeCell ref="H1435:J1435"/>
    <mergeCell ref="H1436:J1436"/>
    <mergeCell ref="I1399:J1399"/>
    <mergeCell ref="H1400:J1400"/>
    <mergeCell ref="H1401:J1401"/>
    <mergeCell ref="H1402:J1402"/>
    <mergeCell ref="C1404:L1404"/>
    <mergeCell ref="I1422:J1422"/>
    <mergeCell ref="I1423:J1423"/>
    <mergeCell ref="H1424:J1424"/>
    <mergeCell ref="H1425:J1425"/>
    <mergeCell ref="H1322:J1322"/>
    <mergeCell ref="C1324:L1324"/>
    <mergeCell ref="I1387:J1387"/>
    <mergeCell ref="I1388:J1388"/>
    <mergeCell ref="H1389:J1389"/>
    <mergeCell ref="H1390:J1390"/>
    <mergeCell ref="H1391:J1391"/>
    <mergeCell ref="C1393:L1393"/>
    <mergeCell ref="I1398:J1398"/>
    <mergeCell ref="I1296:J1296"/>
    <mergeCell ref="H1297:J1297"/>
    <mergeCell ref="H1298:J1298"/>
    <mergeCell ref="H1299:J1299"/>
    <mergeCell ref="C1301:L1301"/>
    <mergeCell ref="I1318:J1318"/>
    <mergeCell ref="I1319:J1319"/>
    <mergeCell ref="H1320:J1320"/>
    <mergeCell ref="H1321:J1321"/>
    <mergeCell ref="H1260:J1260"/>
    <mergeCell ref="C1262:L1262"/>
    <mergeCell ref="I1271:J1271"/>
    <mergeCell ref="I1272:J1272"/>
    <mergeCell ref="H1273:J1273"/>
    <mergeCell ref="H1274:J1274"/>
    <mergeCell ref="H1275:J1275"/>
    <mergeCell ref="C1277:L1277"/>
    <mergeCell ref="I1295:J1295"/>
    <mergeCell ref="I1235:J1235"/>
    <mergeCell ref="H1236:J1236"/>
    <mergeCell ref="H1237:J1237"/>
    <mergeCell ref="H1238:J1238"/>
    <mergeCell ref="C1240:L1240"/>
    <mergeCell ref="I1256:J1256"/>
    <mergeCell ref="I1257:J1257"/>
    <mergeCell ref="H1258:J1258"/>
    <mergeCell ref="H1259:J1259"/>
    <mergeCell ref="H1201:J1201"/>
    <mergeCell ref="C1203:L1203"/>
    <mergeCell ref="I1212:J1212"/>
    <mergeCell ref="I1213:J1213"/>
    <mergeCell ref="H1214:J1214"/>
    <mergeCell ref="H1215:J1215"/>
    <mergeCell ref="H1216:J1216"/>
    <mergeCell ref="C1218:L1218"/>
    <mergeCell ref="I1234:J1234"/>
    <mergeCell ref="I1179:J1179"/>
    <mergeCell ref="H1180:J1180"/>
    <mergeCell ref="H1181:J1181"/>
    <mergeCell ref="H1182:J1182"/>
    <mergeCell ref="C1184:L1184"/>
    <mergeCell ref="I1197:J1197"/>
    <mergeCell ref="I1198:J1198"/>
    <mergeCell ref="H1199:J1199"/>
    <mergeCell ref="H1200:J1200"/>
    <mergeCell ref="H996:J996"/>
    <mergeCell ref="C998:L998"/>
    <mergeCell ref="I1007:J1007"/>
    <mergeCell ref="I1008:J1008"/>
    <mergeCell ref="H1009:J1009"/>
    <mergeCell ref="H1010:J1010"/>
    <mergeCell ref="H1011:J1011"/>
    <mergeCell ref="C1013:L1013"/>
    <mergeCell ref="I1178:J1178"/>
    <mergeCell ref="I978:J978"/>
    <mergeCell ref="H979:J979"/>
    <mergeCell ref="H980:J980"/>
    <mergeCell ref="H981:J981"/>
    <mergeCell ref="C983:L983"/>
    <mergeCell ref="I992:J992"/>
    <mergeCell ref="I993:J993"/>
    <mergeCell ref="H994:J994"/>
    <mergeCell ref="H995:J995"/>
    <mergeCell ref="H951:J951"/>
    <mergeCell ref="C953:L953"/>
    <mergeCell ref="I962:J962"/>
    <mergeCell ref="I963:J963"/>
    <mergeCell ref="H964:J964"/>
    <mergeCell ref="H965:J965"/>
    <mergeCell ref="H966:J966"/>
    <mergeCell ref="C968:L968"/>
    <mergeCell ref="I977:J977"/>
    <mergeCell ref="I933:J933"/>
    <mergeCell ref="H934:J934"/>
    <mergeCell ref="H935:J935"/>
    <mergeCell ref="H936:J936"/>
    <mergeCell ref="C938:L938"/>
    <mergeCell ref="I947:J947"/>
    <mergeCell ref="I948:J948"/>
    <mergeCell ref="H949:J949"/>
    <mergeCell ref="H950:J950"/>
    <mergeCell ref="H905:J905"/>
    <mergeCell ref="C907:L907"/>
    <mergeCell ref="I916:J916"/>
    <mergeCell ref="I917:J917"/>
    <mergeCell ref="H918:J918"/>
    <mergeCell ref="H919:J919"/>
    <mergeCell ref="H920:J920"/>
    <mergeCell ref="C922:L922"/>
    <mergeCell ref="I932:J932"/>
    <mergeCell ref="I887:J887"/>
    <mergeCell ref="H888:J888"/>
    <mergeCell ref="H889:J889"/>
    <mergeCell ref="H890:J890"/>
    <mergeCell ref="C892:L892"/>
    <mergeCell ref="I901:J901"/>
    <mergeCell ref="I902:J902"/>
    <mergeCell ref="H903:J903"/>
    <mergeCell ref="H904:J904"/>
    <mergeCell ref="H736:J736"/>
    <mergeCell ref="C738:L738"/>
    <mergeCell ref="I753:J753"/>
    <mergeCell ref="I754:J754"/>
    <mergeCell ref="H755:J755"/>
    <mergeCell ref="H756:J756"/>
    <mergeCell ref="H757:J757"/>
    <mergeCell ref="C759:L759"/>
    <mergeCell ref="I886:J886"/>
    <mergeCell ref="I712:J712"/>
    <mergeCell ref="H713:J713"/>
    <mergeCell ref="H714:J714"/>
    <mergeCell ref="H715:J715"/>
    <mergeCell ref="C717:L717"/>
    <mergeCell ref="I732:J732"/>
    <mergeCell ref="I733:J733"/>
    <mergeCell ref="H734:J734"/>
    <mergeCell ref="H735:J735"/>
    <mergeCell ref="H673:J673"/>
    <mergeCell ref="C675:L675"/>
    <mergeCell ref="I691:J691"/>
    <mergeCell ref="I692:J692"/>
    <mergeCell ref="H693:J693"/>
    <mergeCell ref="H694:J694"/>
    <mergeCell ref="H695:J695"/>
    <mergeCell ref="C697:L697"/>
    <mergeCell ref="I711:J711"/>
    <mergeCell ref="I650:J650"/>
    <mergeCell ref="H651:J651"/>
    <mergeCell ref="H652:J652"/>
    <mergeCell ref="H653:J653"/>
    <mergeCell ref="C655:L655"/>
    <mergeCell ref="I669:J669"/>
    <mergeCell ref="I670:J670"/>
    <mergeCell ref="H671:J671"/>
    <mergeCell ref="H672:J672"/>
    <mergeCell ref="H612:J612"/>
    <mergeCell ref="C614:L614"/>
    <mergeCell ref="I628:J628"/>
    <mergeCell ref="I629:J629"/>
    <mergeCell ref="H630:J630"/>
    <mergeCell ref="H631:J631"/>
    <mergeCell ref="H632:J632"/>
    <mergeCell ref="C634:L634"/>
    <mergeCell ref="I649:J649"/>
    <mergeCell ref="I589:J589"/>
    <mergeCell ref="H590:J590"/>
    <mergeCell ref="H591:J591"/>
    <mergeCell ref="H592:J592"/>
    <mergeCell ref="C594:L594"/>
    <mergeCell ref="I608:J608"/>
    <mergeCell ref="I609:J609"/>
    <mergeCell ref="H610:J610"/>
    <mergeCell ref="H611:J611"/>
    <mergeCell ref="H454:J454"/>
    <mergeCell ref="B456:L456"/>
    <mergeCell ref="I493:J493"/>
    <mergeCell ref="I494:J494"/>
    <mergeCell ref="H495:J495"/>
    <mergeCell ref="H496:J496"/>
    <mergeCell ref="H497:J497"/>
    <mergeCell ref="C499:L499"/>
    <mergeCell ref="I588:J588"/>
    <mergeCell ref="I440:J440"/>
    <mergeCell ref="H441:J441"/>
    <mergeCell ref="H442:J442"/>
    <mergeCell ref="H443:J443"/>
    <mergeCell ref="B445:L445"/>
    <mergeCell ref="I450:J450"/>
    <mergeCell ref="I451:J451"/>
    <mergeCell ref="H452:J452"/>
    <mergeCell ref="H453:J453"/>
    <mergeCell ref="H421:J421"/>
    <mergeCell ref="B423:L423"/>
    <mergeCell ref="I428:J428"/>
    <mergeCell ref="I429:J429"/>
    <mergeCell ref="H430:J430"/>
    <mergeCell ref="H431:J431"/>
    <mergeCell ref="H432:J432"/>
    <mergeCell ref="B434:L434"/>
    <mergeCell ref="I439:J439"/>
    <mergeCell ref="I407:J407"/>
    <mergeCell ref="H408:J408"/>
    <mergeCell ref="H409:J409"/>
    <mergeCell ref="H410:J410"/>
    <mergeCell ref="B412:L412"/>
    <mergeCell ref="I417:J417"/>
    <mergeCell ref="I418:J418"/>
    <mergeCell ref="H419:J419"/>
    <mergeCell ref="H420:J420"/>
    <mergeCell ref="H387:J387"/>
    <mergeCell ref="B389:L389"/>
    <mergeCell ref="I395:J395"/>
    <mergeCell ref="I396:J396"/>
    <mergeCell ref="H397:J397"/>
    <mergeCell ref="H398:J398"/>
    <mergeCell ref="H399:J399"/>
    <mergeCell ref="B401:L401"/>
    <mergeCell ref="I406:J406"/>
    <mergeCell ref="I330:J330"/>
    <mergeCell ref="H331:J331"/>
    <mergeCell ref="H332:J332"/>
    <mergeCell ref="H333:J333"/>
    <mergeCell ref="B335:L335"/>
    <mergeCell ref="I383:J383"/>
    <mergeCell ref="I384:J384"/>
    <mergeCell ref="H385:J385"/>
    <mergeCell ref="H386:J386"/>
    <mergeCell ref="H310:J310"/>
    <mergeCell ref="B312:L312"/>
    <mergeCell ref="I317:J317"/>
    <mergeCell ref="I318:J318"/>
    <mergeCell ref="H319:J319"/>
    <mergeCell ref="H320:J320"/>
    <mergeCell ref="H321:J321"/>
    <mergeCell ref="B323:L323"/>
    <mergeCell ref="I329:J329"/>
    <mergeCell ref="I296:J296"/>
    <mergeCell ref="H297:J297"/>
    <mergeCell ref="H298:J298"/>
    <mergeCell ref="H299:J299"/>
    <mergeCell ref="B301:L301"/>
    <mergeCell ref="I306:J306"/>
    <mergeCell ref="I307:J307"/>
    <mergeCell ref="H308:J308"/>
    <mergeCell ref="H309:J309"/>
    <mergeCell ref="H276:J276"/>
    <mergeCell ref="B278:L278"/>
    <mergeCell ref="I284:J284"/>
    <mergeCell ref="I285:J285"/>
    <mergeCell ref="H286:J286"/>
    <mergeCell ref="H287:J287"/>
    <mergeCell ref="H288:J288"/>
    <mergeCell ref="B290:L290"/>
    <mergeCell ref="I295:J295"/>
    <mergeCell ref="I262:J262"/>
    <mergeCell ref="H263:J263"/>
    <mergeCell ref="H264:J264"/>
    <mergeCell ref="H265:J265"/>
    <mergeCell ref="B267:L267"/>
    <mergeCell ref="I272:J272"/>
    <mergeCell ref="I273:J273"/>
    <mergeCell ref="H274:J274"/>
    <mergeCell ref="H275:J275"/>
    <mergeCell ref="H192:J192"/>
    <mergeCell ref="B194:L194"/>
    <mergeCell ref="I249:J249"/>
    <mergeCell ref="I250:J250"/>
    <mergeCell ref="H251:J251"/>
    <mergeCell ref="H252:J252"/>
    <mergeCell ref="H253:J253"/>
    <mergeCell ref="B255:L255"/>
    <mergeCell ref="I261:J261"/>
    <mergeCell ref="I178:J178"/>
    <mergeCell ref="H179:J179"/>
    <mergeCell ref="H180:J180"/>
    <mergeCell ref="H181:J181"/>
    <mergeCell ref="B183:L183"/>
    <mergeCell ref="I188:J188"/>
    <mergeCell ref="I189:J189"/>
    <mergeCell ref="H190:J190"/>
    <mergeCell ref="H191:J191"/>
    <mergeCell ref="H160:J160"/>
    <mergeCell ref="B162:L162"/>
    <mergeCell ref="I166:J166"/>
    <mergeCell ref="I167:J167"/>
    <mergeCell ref="H168:J168"/>
    <mergeCell ref="H169:J169"/>
    <mergeCell ref="H170:J170"/>
    <mergeCell ref="B172:L172"/>
    <mergeCell ref="I177:J177"/>
    <mergeCell ref="I147:J147"/>
    <mergeCell ref="H148:J148"/>
    <mergeCell ref="H149:J149"/>
    <mergeCell ref="H150:J150"/>
    <mergeCell ref="B152:L152"/>
    <mergeCell ref="I156:J156"/>
    <mergeCell ref="I157:J157"/>
    <mergeCell ref="H158:J158"/>
    <mergeCell ref="H159:J159"/>
    <mergeCell ref="H125:J125"/>
    <mergeCell ref="B127:L127"/>
    <mergeCell ref="I135:J135"/>
    <mergeCell ref="I136:J136"/>
    <mergeCell ref="H137:J137"/>
    <mergeCell ref="H138:J138"/>
    <mergeCell ref="H139:J139"/>
    <mergeCell ref="B141:L141"/>
    <mergeCell ref="I146:J146"/>
    <mergeCell ref="I108:J108"/>
    <mergeCell ref="H109:J109"/>
    <mergeCell ref="H110:J110"/>
    <mergeCell ref="H111:J111"/>
    <mergeCell ref="B113:L113"/>
    <mergeCell ref="I121:J121"/>
    <mergeCell ref="I122:J122"/>
    <mergeCell ref="H123:J123"/>
    <mergeCell ref="H124:J124"/>
    <mergeCell ref="H90:J90"/>
    <mergeCell ref="B92:L92"/>
    <mergeCell ref="I96:J96"/>
    <mergeCell ref="I97:J97"/>
    <mergeCell ref="H98:J98"/>
    <mergeCell ref="H99:J99"/>
    <mergeCell ref="H100:J100"/>
    <mergeCell ref="B102:L102"/>
    <mergeCell ref="I107:J107"/>
    <mergeCell ref="I77:J77"/>
    <mergeCell ref="H78:J78"/>
    <mergeCell ref="H79:J79"/>
    <mergeCell ref="H80:J80"/>
    <mergeCell ref="B82:L82"/>
    <mergeCell ref="I86:J86"/>
    <mergeCell ref="I87:J87"/>
    <mergeCell ref="H88:J88"/>
    <mergeCell ref="H89:J89"/>
    <mergeCell ref="H60:J60"/>
    <mergeCell ref="B62:L62"/>
    <mergeCell ref="I66:J66"/>
    <mergeCell ref="I67:J67"/>
    <mergeCell ref="H68:J68"/>
    <mergeCell ref="H69:J69"/>
    <mergeCell ref="H70:J70"/>
    <mergeCell ref="B72:L72"/>
    <mergeCell ref="I76:J76"/>
    <mergeCell ref="I47:J47"/>
    <mergeCell ref="H48:J48"/>
    <mergeCell ref="H49:J49"/>
    <mergeCell ref="H50:J50"/>
    <mergeCell ref="B52:L52"/>
    <mergeCell ref="I56:J56"/>
    <mergeCell ref="I57:J57"/>
    <mergeCell ref="H58:J58"/>
    <mergeCell ref="H59:J59"/>
    <mergeCell ref="H23:J23"/>
    <mergeCell ref="B25:L25"/>
    <mergeCell ref="I36:J36"/>
    <mergeCell ref="I37:J37"/>
    <mergeCell ref="H38:J38"/>
    <mergeCell ref="H39:J39"/>
    <mergeCell ref="H40:J40"/>
    <mergeCell ref="B42:L42"/>
    <mergeCell ref="I46:J46"/>
    <mergeCell ref="B2:L2"/>
    <mergeCell ref="B3:L3"/>
    <mergeCell ref="B4:L4"/>
    <mergeCell ref="B6:L6"/>
    <mergeCell ref="B8:L8"/>
    <mergeCell ref="I19:J19"/>
    <mergeCell ref="I20:J20"/>
    <mergeCell ref="H21:J21"/>
    <mergeCell ref="H22:J22"/>
  </mergeCells>
  <printOptions horizontalCentered="1"/>
  <pageMargins left="0.51180555555555596" right="0.51180555555555596" top="0.78749999999999998" bottom="0.98402777777777795" header="0.511811023622047" footer="0.511811023622047"/>
  <pageSetup paperSize="9" scale="50" fitToHeight="16"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L1312"/>
  <sheetViews>
    <sheetView view="pageBreakPreview" zoomScale="75" zoomScaleNormal="80" zoomScalePageLayoutView="75" workbookViewId="0">
      <selection activeCell="N1" sqref="N1"/>
    </sheetView>
  </sheetViews>
  <sheetFormatPr defaultColWidth="8.88671875" defaultRowHeight="14.4"/>
  <cols>
    <col min="1" max="1" width="2.44140625" customWidth="1"/>
    <col min="2" max="2" width="32.88671875" customWidth="1"/>
    <col min="3" max="3" width="13.5546875" customWidth="1"/>
    <col min="4" max="4" width="9.44140625" customWidth="1"/>
    <col min="5" max="5" width="10.109375" customWidth="1"/>
    <col min="6" max="6" width="10.6640625" customWidth="1"/>
    <col min="7" max="8" width="9.44140625" customWidth="1"/>
    <col min="9" max="9" width="14.5546875" customWidth="1"/>
    <col min="10" max="10" width="10.88671875" customWidth="1"/>
    <col min="11" max="11" width="16.88671875" customWidth="1"/>
    <col min="12" max="12" width="25" customWidth="1"/>
    <col min="13" max="13" width="2.5546875" customWidth="1"/>
    <col min="15" max="15" width="10.109375" customWidth="1"/>
  </cols>
  <sheetData>
    <row r="1" spans="2:12" ht="6" customHeight="1"/>
    <row r="2" spans="2:12" ht="29.25" customHeight="1">
      <c r="B2" s="551"/>
      <c r="C2" s="551"/>
      <c r="D2" s="551"/>
      <c r="E2" s="551"/>
      <c r="F2" s="551"/>
      <c r="G2" s="551"/>
      <c r="H2" s="551"/>
      <c r="I2" s="551"/>
      <c r="J2" s="551"/>
      <c r="K2" s="551"/>
      <c r="L2" s="551"/>
    </row>
    <row r="3" spans="2:12" ht="29.25" customHeight="1">
      <c r="B3" s="552" t="s">
        <v>4</v>
      </c>
      <c r="C3" s="552"/>
      <c r="D3" s="552"/>
      <c r="E3" s="552"/>
      <c r="F3" s="552"/>
      <c r="G3" s="552"/>
      <c r="H3" s="552"/>
      <c r="I3" s="552"/>
      <c r="J3" s="552"/>
      <c r="K3" s="552"/>
      <c r="L3" s="552"/>
    </row>
    <row r="4" spans="2:12" ht="29.25" customHeight="1">
      <c r="B4" s="553"/>
      <c r="C4" s="553"/>
      <c r="D4" s="553"/>
      <c r="E4" s="553"/>
      <c r="F4" s="553"/>
      <c r="G4" s="553"/>
      <c r="H4" s="553"/>
      <c r="I4" s="553"/>
      <c r="J4" s="553"/>
      <c r="K4" s="553"/>
      <c r="L4" s="553"/>
    </row>
    <row r="5" spans="2:12" ht="6" customHeight="1">
      <c r="B5" s="186"/>
      <c r="C5" s="186"/>
      <c r="D5" s="186"/>
      <c r="E5" s="186"/>
      <c r="F5" s="186"/>
      <c r="G5" s="186"/>
      <c r="H5" s="186"/>
      <c r="I5" s="186"/>
      <c r="J5" s="186"/>
      <c r="K5" s="186"/>
      <c r="L5" s="186"/>
    </row>
    <row r="6" spans="2:12" ht="22.8">
      <c r="B6" s="554" t="s">
        <v>1734</v>
      </c>
      <c r="C6" s="554"/>
      <c r="D6" s="554"/>
      <c r="E6" s="554"/>
      <c r="F6" s="554"/>
      <c r="G6" s="554"/>
      <c r="H6" s="554"/>
      <c r="I6" s="554"/>
      <c r="J6" s="554"/>
      <c r="K6" s="554"/>
      <c r="L6" s="554"/>
    </row>
    <row r="8" spans="2:12" ht="14.25" customHeight="1">
      <c r="B8" s="555" t="s">
        <v>1208</v>
      </c>
      <c r="C8" s="555"/>
      <c r="D8" s="555"/>
      <c r="E8" s="555"/>
      <c r="F8" s="555"/>
      <c r="G8" s="555"/>
      <c r="H8" s="555"/>
      <c r="I8" s="555"/>
      <c r="J8" s="555"/>
      <c r="K8" s="555"/>
      <c r="L8" s="555"/>
    </row>
    <row r="9" spans="2:12">
      <c r="B9" s="187" t="s">
        <v>1209</v>
      </c>
      <c r="C9" s="187"/>
      <c r="D9" s="187" t="s">
        <v>39</v>
      </c>
      <c r="E9" s="187" t="s">
        <v>1210</v>
      </c>
      <c r="F9" s="187" t="s">
        <v>1211</v>
      </c>
      <c r="G9" s="187" t="s">
        <v>1212</v>
      </c>
      <c r="H9" s="187" t="s">
        <v>1213</v>
      </c>
      <c r="I9" s="187" t="s">
        <v>1214</v>
      </c>
      <c r="J9" s="187" t="s">
        <v>1215</v>
      </c>
      <c r="K9" s="187" t="s">
        <v>1216</v>
      </c>
      <c r="L9" s="187" t="s">
        <v>1217</v>
      </c>
    </row>
    <row r="10" spans="2:12">
      <c r="B10" s="188" t="s">
        <v>1218</v>
      </c>
      <c r="C10" s="189" t="s">
        <v>1219</v>
      </c>
      <c r="D10" s="190" t="s">
        <v>1220</v>
      </c>
      <c r="E10" s="191"/>
      <c r="F10" s="192"/>
      <c r="G10" s="192"/>
      <c r="H10" s="191"/>
      <c r="I10" s="193">
        <f>20*0.0206</f>
        <v>0.41200000000000003</v>
      </c>
      <c r="J10" s="194"/>
      <c r="K10" s="195">
        <f t="shared" ref="K10:K17" si="0">IF(E10*F10*G10&lt;&gt;0,E10*F10*G10,IF(E10*F10&lt;&gt;0,E10*F10,IF(F10*G10&lt;&gt;0,F10*G10,IF(E10*G10&lt;&gt;0,E10*G10,IF(E10&lt;&gt;0,E10,IF(F10&lt;&gt;0,F10,IF(G10&lt;&gt;0,G10,0)))))))*(IF(H10&lt;&gt;0,H10,1))+I10-J10</f>
        <v>0.41200000000000003</v>
      </c>
      <c r="L10" s="196"/>
    </row>
    <row r="11" spans="2:12">
      <c r="B11" s="197" t="s">
        <v>1218</v>
      </c>
      <c r="C11" s="189" t="s">
        <v>1240</v>
      </c>
      <c r="D11" s="190" t="s">
        <v>1226</v>
      </c>
      <c r="E11" s="199"/>
      <c r="F11" s="199"/>
      <c r="G11" s="199"/>
      <c r="H11" s="199"/>
      <c r="I11" s="193">
        <f>20*0.0358</f>
        <v>0.71599999999999997</v>
      </c>
      <c r="J11" s="201"/>
      <c r="K11" s="195">
        <f t="shared" si="0"/>
        <v>0.71599999999999997</v>
      </c>
      <c r="L11" s="196"/>
    </row>
    <row r="12" spans="2:12">
      <c r="B12" s="197" t="s">
        <v>1218</v>
      </c>
      <c r="C12" s="189" t="s">
        <v>1271</v>
      </c>
      <c r="D12" s="190" t="s">
        <v>1226</v>
      </c>
      <c r="E12" s="199"/>
      <c r="F12" s="199"/>
      <c r="G12" s="199"/>
      <c r="H12" s="199"/>
      <c r="I12" s="193">
        <f>20*0.0216</f>
        <v>0.43200000000000005</v>
      </c>
      <c r="J12" s="201"/>
      <c r="K12" s="195">
        <f t="shared" si="0"/>
        <v>0.43200000000000005</v>
      </c>
      <c r="L12" s="196"/>
    </row>
    <row r="13" spans="2:12">
      <c r="B13" s="197" t="s">
        <v>1218</v>
      </c>
      <c r="C13" s="189" t="s">
        <v>1333</v>
      </c>
      <c r="D13" s="190" t="s">
        <v>1226</v>
      </c>
      <c r="E13" s="199"/>
      <c r="F13" s="199"/>
      <c r="G13" s="199"/>
      <c r="H13" s="199"/>
      <c r="I13" s="193">
        <f>20*0.0268</f>
        <v>0.53600000000000003</v>
      </c>
      <c r="J13" s="201"/>
      <c r="K13" s="195">
        <f t="shared" si="0"/>
        <v>0.53600000000000003</v>
      </c>
      <c r="L13" s="196"/>
    </row>
    <row r="14" spans="2:12">
      <c r="B14" s="197" t="s">
        <v>1218</v>
      </c>
      <c r="C14" s="189" t="s">
        <v>1441</v>
      </c>
      <c r="D14" s="190" t="s">
        <v>1226</v>
      </c>
      <c r="E14" s="199"/>
      <c r="F14" s="199"/>
      <c r="G14" s="199"/>
      <c r="H14" s="199"/>
      <c r="I14" s="193">
        <f>20*(0.0278+0.0055)</f>
        <v>0.66599999999999993</v>
      </c>
      <c r="J14" s="201"/>
      <c r="K14" s="195">
        <f t="shared" si="0"/>
        <v>0.66599999999999993</v>
      </c>
      <c r="L14" s="196"/>
    </row>
    <row r="15" spans="2:12">
      <c r="B15" s="197" t="s">
        <v>1218</v>
      </c>
      <c r="C15" s="189" t="s">
        <v>1521</v>
      </c>
      <c r="D15" s="190" t="s">
        <v>1226</v>
      </c>
      <c r="E15" s="199"/>
      <c r="F15" s="199"/>
      <c r="G15" s="199"/>
      <c r="H15" s="199"/>
      <c r="I15" s="193">
        <f>I31*20</f>
        <v>0.59399999999999997</v>
      </c>
      <c r="J15" s="201"/>
      <c r="K15" s="195">
        <f t="shared" si="0"/>
        <v>0.59399999999999997</v>
      </c>
      <c r="L15" s="196"/>
    </row>
    <row r="16" spans="2:12">
      <c r="B16" s="197" t="s">
        <v>1218</v>
      </c>
      <c r="C16" s="189" t="s">
        <v>1611</v>
      </c>
      <c r="D16" s="190" t="s">
        <v>1226</v>
      </c>
      <c r="E16" s="199"/>
      <c r="F16" s="199"/>
      <c r="G16" s="199"/>
      <c r="H16" s="199"/>
      <c r="I16" s="193">
        <f>I32*20</f>
        <v>0.59799999999999998</v>
      </c>
      <c r="J16" s="201"/>
      <c r="K16" s="195">
        <f t="shared" si="0"/>
        <v>0.59799999999999998</v>
      </c>
      <c r="L16" s="196"/>
    </row>
    <row r="17" spans="2:12">
      <c r="B17" s="197"/>
      <c r="C17" s="189"/>
      <c r="D17" s="190"/>
      <c r="E17" s="199"/>
      <c r="F17" s="199"/>
      <c r="G17" s="199"/>
      <c r="H17" s="199"/>
      <c r="I17" s="193"/>
      <c r="J17" s="201"/>
      <c r="K17" s="195">
        <f t="shared" si="0"/>
        <v>0</v>
      </c>
      <c r="L17" s="196"/>
    </row>
    <row r="18" spans="2:12">
      <c r="B18" s="202"/>
      <c r="C18" s="203"/>
      <c r="D18" s="203"/>
      <c r="E18" s="203"/>
      <c r="F18" s="203"/>
      <c r="G18" s="203"/>
      <c r="H18" s="204"/>
      <c r="I18" s="556" t="s">
        <v>1221</v>
      </c>
      <c r="J18" s="556"/>
      <c r="K18" s="206">
        <f>SUM(K10:K17)</f>
        <v>3.9539999999999997</v>
      </c>
      <c r="L18" s="207"/>
    </row>
    <row r="19" spans="2:12">
      <c r="B19" s="208"/>
      <c r="C19" s="204"/>
      <c r="D19" s="204"/>
      <c r="E19" s="204"/>
      <c r="F19" s="204"/>
      <c r="G19" s="204"/>
      <c r="H19" s="209"/>
      <c r="I19" s="557" t="s">
        <v>1222</v>
      </c>
      <c r="J19" s="557"/>
      <c r="K19" s="211">
        <v>20</v>
      </c>
      <c r="L19" s="207"/>
    </row>
    <row r="20" spans="2:12">
      <c r="B20" s="208"/>
      <c r="C20" s="204"/>
      <c r="D20" s="204"/>
      <c r="E20" s="204"/>
      <c r="F20" s="204"/>
      <c r="G20" s="204"/>
      <c r="H20" s="558" t="s">
        <v>1223</v>
      </c>
      <c r="I20" s="558"/>
      <c r="J20" s="558"/>
      <c r="K20" s="212">
        <v>3.3559999999999999</v>
      </c>
      <c r="L20" s="207"/>
    </row>
    <row r="21" spans="2:12">
      <c r="B21" s="208"/>
      <c r="C21" s="204"/>
      <c r="D21" s="204"/>
      <c r="E21" s="204"/>
      <c r="F21" s="204"/>
      <c r="G21" s="204"/>
      <c r="H21" s="558" t="s">
        <v>1579</v>
      </c>
      <c r="I21" s="558"/>
      <c r="J21" s="558"/>
      <c r="K21" s="212">
        <f>IF(K18&gt;K19,K19,K18)-K20</f>
        <v>0.59799999999999986</v>
      </c>
      <c r="L21" s="207"/>
    </row>
    <row r="22" spans="2:12">
      <c r="B22" s="213"/>
      <c r="C22" s="214"/>
      <c r="D22" s="214"/>
      <c r="E22" s="214"/>
      <c r="F22" s="214"/>
      <c r="G22" s="214"/>
      <c r="H22" s="559" t="s">
        <v>1224</v>
      </c>
      <c r="I22" s="559"/>
      <c r="J22" s="559"/>
      <c r="K22" s="215">
        <f>IF(K18&gt;K19,K18-K19,0)</f>
        <v>0</v>
      </c>
      <c r="L22" s="209"/>
    </row>
    <row r="24" spans="2:12" ht="58.35" customHeight="1">
      <c r="B24" s="555" t="s">
        <v>1225</v>
      </c>
      <c r="C24" s="555"/>
      <c r="D24" s="555"/>
      <c r="E24" s="555"/>
      <c r="F24" s="555"/>
      <c r="G24" s="555"/>
      <c r="H24" s="555"/>
      <c r="I24" s="555"/>
      <c r="J24" s="555"/>
      <c r="K24" s="555"/>
      <c r="L24" s="555"/>
    </row>
    <row r="25" spans="2:12">
      <c r="B25" s="187" t="s">
        <v>1209</v>
      </c>
      <c r="C25" s="187"/>
      <c r="D25" s="187" t="s">
        <v>39</v>
      </c>
      <c r="E25" s="187" t="s">
        <v>1210</v>
      </c>
      <c r="F25" s="187" t="s">
        <v>1211</v>
      </c>
      <c r="G25" s="187" t="s">
        <v>1212</v>
      </c>
      <c r="H25" s="187" t="s">
        <v>1213</v>
      </c>
      <c r="I25" s="187" t="s">
        <v>1214</v>
      </c>
      <c r="J25" s="187" t="s">
        <v>1215</v>
      </c>
      <c r="K25" s="187" t="s">
        <v>1216</v>
      </c>
      <c r="L25" s="187" t="s">
        <v>1217</v>
      </c>
    </row>
    <row r="26" spans="2:12">
      <c r="B26" s="188" t="s">
        <v>1218</v>
      </c>
      <c r="C26" s="189" t="s">
        <v>1219</v>
      </c>
      <c r="D26" s="190" t="s">
        <v>1226</v>
      </c>
      <c r="E26" s="191"/>
      <c r="F26" s="192"/>
      <c r="G26" s="192"/>
      <c r="H26" s="191"/>
      <c r="I26" s="193">
        <v>2.06E-2</v>
      </c>
      <c r="J26" s="194"/>
      <c r="K26" s="195">
        <f t="shared" ref="K26:K32" si="1">IF(E26*F26*G26&lt;&gt;0,E26*F26*G26,IF(E26*F26&lt;&gt;0,E26*F26,IF(F26*G26&lt;&gt;0,F26*G26,IF(E26*G26&lt;&gt;0,E26*G26,IF(E26&lt;&gt;0,E26,IF(F26&lt;&gt;0,F26,IF(G26&lt;&gt;0,G26,0)))))))*(IF(H26&lt;&gt;0,H26,1))+I26-J26</f>
        <v>2.06E-2</v>
      </c>
      <c r="L26" s="196"/>
    </row>
    <row r="27" spans="2:12">
      <c r="B27" s="197" t="s">
        <v>1218</v>
      </c>
      <c r="C27" s="189" t="s">
        <v>1240</v>
      </c>
      <c r="D27" s="190" t="s">
        <v>1226</v>
      </c>
      <c r="E27" s="199"/>
      <c r="F27" s="199"/>
      <c r="G27" s="199"/>
      <c r="H27" s="199"/>
      <c r="I27" s="193">
        <f>0.0239-0.004+0.0159</f>
        <v>3.5799999999999998E-2</v>
      </c>
      <c r="J27" s="201"/>
      <c r="K27" s="195">
        <f t="shared" si="1"/>
        <v>3.5799999999999998E-2</v>
      </c>
      <c r="L27" s="196"/>
    </row>
    <row r="28" spans="2:12">
      <c r="B28" s="197" t="s">
        <v>1218</v>
      </c>
      <c r="C28" s="189" t="s">
        <v>1271</v>
      </c>
      <c r="D28" s="190" t="s">
        <v>1226</v>
      </c>
      <c r="E28" s="199"/>
      <c r="F28" s="199"/>
      <c r="G28" s="199"/>
      <c r="H28" s="199"/>
      <c r="I28" s="193">
        <f>0.0166+0.005</f>
        <v>2.1600000000000001E-2</v>
      </c>
      <c r="J28" s="201"/>
      <c r="K28" s="195">
        <f t="shared" si="1"/>
        <v>2.1600000000000001E-2</v>
      </c>
      <c r="L28" s="196"/>
    </row>
    <row r="29" spans="2:12">
      <c r="B29" s="197" t="s">
        <v>1218</v>
      </c>
      <c r="C29" s="189" t="s">
        <v>1333</v>
      </c>
      <c r="D29" s="190" t="s">
        <v>1226</v>
      </c>
      <c r="E29" s="199"/>
      <c r="F29" s="199"/>
      <c r="G29" s="199"/>
      <c r="H29" s="199"/>
      <c r="I29" s="193">
        <v>2.6800000000000001E-2</v>
      </c>
      <c r="J29" s="201"/>
      <c r="K29" s="195">
        <f t="shared" si="1"/>
        <v>2.6800000000000001E-2</v>
      </c>
      <c r="L29" s="196"/>
    </row>
    <row r="30" spans="2:12">
      <c r="B30" s="197" t="s">
        <v>1218</v>
      </c>
      <c r="C30" s="189" t="s">
        <v>1441</v>
      </c>
      <c r="D30" s="190" t="s">
        <v>1226</v>
      </c>
      <c r="E30" s="199"/>
      <c r="F30" s="199"/>
      <c r="G30" s="199"/>
      <c r="H30" s="199"/>
      <c r="I30" s="193">
        <f>0.0278+0.0055</f>
        <v>3.3299999999999996E-2</v>
      </c>
      <c r="J30" s="201"/>
      <c r="K30" s="195">
        <f t="shared" si="1"/>
        <v>3.3299999999999996E-2</v>
      </c>
      <c r="L30" s="196"/>
    </row>
    <row r="31" spans="2:12">
      <c r="B31" s="197" t="s">
        <v>1218</v>
      </c>
      <c r="C31" s="189" t="s">
        <v>1521</v>
      </c>
      <c r="D31" s="190" t="s">
        <v>1226</v>
      </c>
      <c r="E31" s="199"/>
      <c r="F31" s="199"/>
      <c r="G31" s="199"/>
      <c r="H31" s="199"/>
      <c r="I31" s="193">
        <v>2.9700000000000001E-2</v>
      </c>
      <c r="J31" s="201"/>
      <c r="K31" s="195">
        <f t="shared" si="1"/>
        <v>2.9700000000000001E-2</v>
      </c>
      <c r="L31" s="196"/>
    </row>
    <row r="32" spans="2:12">
      <c r="B32" s="197" t="s">
        <v>1218</v>
      </c>
      <c r="C32" s="189" t="s">
        <v>1611</v>
      </c>
      <c r="D32" s="190" t="s">
        <v>1226</v>
      </c>
      <c r="E32" s="199"/>
      <c r="F32" s="199"/>
      <c r="G32" s="199"/>
      <c r="H32" s="199"/>
      <c r="I32" s="193">
        <v>2.9899999999999999E-2</v>
      </c>
      <c r="J32" s="201"/>
      <c r="K32" s="195">
        <f t="shared" si="1"/>
        <v>2.9899999999999999E-2</v>
      </c>
      <c r="L32" s="196"/>
    </row>
    <row r="33" spans="2:12">
      <c r="B33" s="197"/>
      <c r="C33" s="189"/>
      <c r="D33" s="190"/>
      <c r="E33" s="199"/>
      <c r="F33" s="199"/>
      <c r="G33" s="199"/>
      <c r="H33" s="199"/>
      <c r="I33" s="193"/>
      <c r="J33" s="201"/>
      <c r="K33" s="195"/>
      <c r="L33" s="196"/>
    </row>
    <row r="34" spans="2:12">
      <c r="B34" s="202"/>
      <c r="C34" s="203"/>
      <c r="D34" s="203"/>
      <c r="E34" s="203"/>
      <c r="F34" s="203"/>
      <c r="G34" s="203"/>
      <c r="H34" s="204"/>
      <c r="I34" s="556" t="s">
        <v>1221</v>
      </c>
      <c r="J34" s="556"/>
      <c r="K34" s="206">
        <f>SUM(K26:K33)</f>
        <v>0.19770000000000001</v>
      </c>
      <c r="L34" s="207"/>
    </row>
    <row r="35" spans="2:12">
      <c r="B35" s="208"/>
      <c r="C35" s="204"/>
      <c r="D35" s="204"/>
      <c r="E35" s="204"/>
      <c r="F35" s="204"/>
      <c r="G35" s="204"/>
      <c r="H35" s="209"/>
      <c r="I35" s="557" t="s">
        <v>1222</v>
      </c>
      <c r="J35" s="557"/>
      <c r="K35" s="211">
        <v>1</v>
      </c>
      <c r="L35" s="207"/>
    </row>
    <row r="36" spans="2:12">
      <c r="B36" s="208"/>
      <c r="C36" s="204"/>
      <c r="D36" s="204"/>
      <c r="E36" s="204"/>
      <c r="F36" s="204"/>
      <c r="G36" s="204"/>
      <c r="H36" s="558" t="s">
        <v>1223</v>
      </c>
      <c r="I36" s="558"/>
      <c r="J36" s="558"/>
      <c r="K36" s="212">
        <v>0.1678</v>
      </c>
      <c r="L36" s="207"/>
    </row>
    <row r="37" spans="2:12">
      <c r="B37" s="208"/>
      <c r="C37" s="204"/>
      <c r="D37" s="204"/>
      <c r="E37" s="204"/>
      <c r="F37" s="204"/>
      <c r="G37" s="204"/>
      <c r="H37" s="558" t="s">
        <v>1579</v>
      </c>
      <c r="I37" s="558"/>
      <c r="J37" s="558"/>
      <c r="K37" s="212">
        <f>IF(K34&gt;K35,K35,K34)-K36</f>
        <v>2.990000000000001E-2</v>
      </c>
      <c r="L37" s="207"/>
    </row>
    <row r="38" spans="2:12">
      <c r="B38" s="213"/>
      <c r="C38" s="214"/>
      <c r="D38" s="214"/>
      <c r="E38" s="214"/>
      <c r="F38" s="214"/>
      <c r="G38" s="214"/>
      <c r="H38" s="559" t="s">
        <v>1224</v>
      </c>
      <c r="I38" s="559"/>
      <c r="J38" s="559"/>
      <c r="K38" s="215">
        <f>IF(K34&gt;K35,K34-K35,0)</f>
        <v>0</v>
      </c>
      <c r="L38" s="209"/>
    </row>
    <row r="40" spans="2:12" ht="14.25" customHeight="1">
      <c r="B40" s="555" t="s">
        <v>1227</v>
      </c>
      <c r="C40" s="555"/>
      <c r="D40" s="555"/>
      <c r="E40" s="555"/>
      <c r="F40" s="555"/>
      <c r="G40" s="555"/>
      <c r="H40" s="555"/>
      <c r="I40" s="555"/>
      <c r="J40" s="555"/>
      <c r="K40" s="555"/>
      <c r="L40" s="555"/>
    </row>
    <row r="41" spans="2:12">
      <c r="B41" s="187" t="s">
        <v>1209</v>
      </c>
      <c r="C41" s="187"/>
      <c r="D41" s="187" t="s">
        <v>39</v>
      </c>
      <c r="E41" s="187" t="s">
        <v>1210</v>
      </c>
      <c r="F41" s="187" t="s">
        <v>1211</v>
      </c>
      <c r="G41" s="187" t="s">
        <v>1212</v>
      </c>
      <c r="H41" s="187" t="s">
        <v>1213</v>
      </c>
      <c r="I41" s="187" t="s">
        <v>1214</v>
      </c>
      <c r="J41" s="187" t="s">
        <v>1215</v>
      </c>
      <c r="K41" s="187" t="s">
        <v>1216</v>
      </c>
      <c r="L41" s="187" t="s">
        <v>1217</v>
      </c>
    </row>
    <row r="42" spans="2:12">
      <c r="B42" s="188" t="s">
        <v>1228</v>
      </c>
      <c r="C42" s="189" t="s">
        <v>1219</v>
      </c>
      <c r="D42" s="190" t="s">
        <v>39</v>
      </c>
      <c r="E42" s="191">
        <v>64</v>
      </c>
      <c r="F42" s="192"/>
      <c r="G42" s="192">
        <v>2</v>
      </c>
      <c r="H42" s="191"/>
      <c r="I42" s="191"/>
      <c r="J42" s="216"/>
      <c r="K42" s="217">
        <f>IF(E42*F42*G42&lt;&gt;0,E42*F42*G42,IF(E42*F42&lt;&gt;0,E42*F42,IF(F42*G42&lt;&gt;0,F42*G42,IF(E42*G42&lt;&gt;0,E42*G42,IF(E42&lt;&gt;0,E42,IF(F42&lt;&gt;0,F42,IF(G42&lt;&gt;0,G42,0)))))))*(IF(H42&lt;&gt;0,H42,1))+I42-J42</f>
        <v>128</v>
      </c>
      <c r="L42" s="218"/>
    </row>
    <row r="43" spans="2:12">
      <c r="B43" s="197"/>
      <c r="C43" s="189"/>
      <c r="D43" s="198"/>
      <c r="E43" s="199"/>
      <c r="F43" s="199"/>
      <c r="G43" s="199"/>
      <c r="H43" s="199"/>
      <c r="I43" s="199"/>
      <c r="J43" s="219"/>
      <c r="K43" s="217">
        <f>IF(E43*F43*G43&lt;&gt;0,E43*F43*G43,IF(E43*F43&lt;&gt;0,E43*F43,IF(F43*G43&lt;&gt;0,F43*G43,IF(E43*G43&lt;&gt;0,E43*G43,IF(E43&lt;&gt;0,E43,IF(F43&lt;&gt;0,F43,IF(G43&lt;&gt;0,G43,0)))))))*(IF(H43&lt;&gt;0,H43,1))+I43-J43</f>
        <v>0</v>
      </c>
      <c r="L43" s="218"/>
    </row>
    <row r="44" spans="2:12">
      <c r="B44" s="202"/>
      <c r="C44" s="203"/>
      <c r="D44" s="203"/>
      <c r="E44" s="203"/>
      <c r="F44" s="203"/>
      <c r="G44" s="203"/>
      <c r="H44" s="204"/>
      <c r="I44" s="556" t="s">
        <v>1221</v>
      </c>
      <c r="J44" s="556"/>
      <c r="K44" s="220">
        <f>SUM(K42:K43)</f>
        <v>128</v>
      </c>
      <c r="L44" s="207"/>
    </row>
    <row r="45" spans="2:12">
      <c r="B45" s="208"/>
      <c r="C45" s="204"/>
      <c r="D45" s="204"/>
      <c r="E45" s="204"/>
      <c r="F45" s="204"/>
      <c r="G45" s="204"/>
      <c r="H45" s="209"/>
      <c r="I45" s="557" t="s">
        <v>1222</v>
      </c>
      <c r="J45" s="557"/>
      <c r="K45" s="221">
        <v>128</v>
      </c>
      <c r="L45" s="207"/>
    </row>
    <row r="46" spans="2:12">
      <c r="B46" s="208"/>
      <c r="C46" s="204"/>
      <c r="D46" s="204"/>
      <c r="E46" s="204"/>
      <c r="F46" s="204"/>
      <c r="G46" s="204"/>
      <c r="H46" s="558" t="s">
        <v>1223</v>
      </c>
      <c r="I46" s="558"/>
      <c r="J46" s="558"/>
      <c r="K46" s="222"/>
      <c r="L46" s="207"/>
    </row>
    <row r="47" spans="2:12">
      <c r="B47" s="208"/>
      <c r="C47" s="204"/>
      <c r="D47" s="204"/>
      <c r="E47" s="204"/>
      <c r="F47" s="204"/>
      <c r="G47" s="204"/>
      <c r="H47" s="558" t="s">
        <v>1190</v>
      </c>
      <c r="I47" s="558"/>
      <c r="J47" s="558"/>
      <c r="K47" s="222">
        <f>IF(K44&gt;K45,K45,K44)-K46</f>
        <v>128</v>
      </c>
      <c r="L47" s="207"/>
    </row>
    <row r="48" spans="2:12">
      <c r="B48" s="213"/>
      <c r="C48" s="214"/>
      <c r="D48" s="214"/>
      <c r="E48" s="214"/>
      <c r="F48" s="214"/>
      <c r="G48" s="214"/>
      <c r="H48" s="559" t="s">
        <v>1224</v>
      </c>
      <c r="I48" s="559"/>
      <c r="J48" s="559"/>
      <c r="K48" s="223">
        <f>IF(K44&gt;K45,K44-K45,0)</f>
        <v>0</v>
      </c>
      <c r="L48" s="209"/>
    </row>
    <row r="50" spans="2:12" ht="14.25" customHeight="1">
      <c r="B50" s="555" t="s">
        <v>1229</v>
      </c>
      <c r="C50" s="555"/>
      <c r="D50" s="555"/>
      <c r="E50" s="555"/>
      <c r="F50" s="555"/>
      <c r="G50" s="555"/>
      <c r="H50" s="555"/>
      <c r="I50" s="555"/>
      <c r="J50" s="555"/>
      <c r="K50" s="555"/>
      <c r="L50" s="555"/>
    </row>
    <row r="51" spans="2:12">
      <c r="B51" s="187" t="s">
        <v>1209</v>
      </c>
      <c r="C51" s="187"/>
      <c r="D51" s="187" t="s">
        <v>39</v>
      </c>
      <c r="E51" s="187" t="s">
        <v>1210</v>
      </c>
      <c r="F51" s="187" t="s">
        <v>1211</v>
      </c>
      <c r="G51" s="187" t="s">
        <v>1212</v>
      </c>
      <c r="H51" s="187" t="s">
        <v>1213</v>
      </c>
      <c r="I51" s="187" t="s">
        <v>1214</v>
      </c>
      <c r="J51" s="187" t="s">
        <v>1215</v>
      </c>
      <c r="K51" s="187" t="s">
        <v>1216</v>
      </c>
      <c r="L51" s="187" t="s">
        <v>1217</v>
      </c>
    </row>
    <row r="52" spans="2:12">
      <c r="B52" s="188" t="s">
        <v>1228</v>
      </c>
      <c r="C52" s="189" t="s">
        <v>1219</v>
      </c>
      <c r="D52" s="190" t="s">
        <v>79</v>
      </c>
      <c r="E52" s="191">
        <f>30/4</f>
        <v>7.5</v>
      </c>
      <c r="F52" s="192">
        <v>4</v>
      </c>
      <c r="G52" s="192"/>
      <c r="H52" s="191"/>
      <c r="I52" s="191"/>
      <c r="J52" s="216"/>
      <c r="K52" s="217">
        <f>IF(E52*F52*G52&lt;&gt;0,E52*F52*G52,IF(E52*F52&lt;&gt;0,E52*F52,IF(F52*G52&lt;&gt;0,F52*G52,IF(E52*G52&lt;&gt;0,E52*G52,IF(E52&lt;&gt;0,E52,IF(F52&lt;&gt;0,F52,IF(G52&lt;&gt;0,G52,0)))))))*(IF(H52&lt;&gt;0,H52,1))+I52-J52</f>
        <v>30</v>
      </c>
      <c r="L52" s="218"/>
    </row>
    <row r="53" spans="2:12">
      <c r="B53" s="188" t="s">
        <v>1228</v>
      </c>
      <c r="C53" s="189" t="s">
        <v>1240</v>
      </c>
      <c r="D53" s="190" t="s">
        <v>79</v>
      </c>
      <c r="E53" s="191">
        <v>2.5</v>
      </c>
      <c r="F53" s="192">
        <v>4</v>
      </c>
      <c r="G53" s="192"/>
      <c r="H53" s="191"/>
      <c r="I53" s="191"/>
      <c r="J53" s="216"/>
      <c r="K53" s="217">
        <f>IF(E53*F53*G53&lt;&gt;0,E53*F53*G53,IF(E53*F53&lt;&gt;0,E53*F53,IF(F53*G53&lt;&gt;0,F53*G53,IF(E53*G53&lt;&gt;0,E53*G53,IF(E53&lt;&gt;0,E53,IF(F53&lt;&gt;0,F53,IF(G53&lt;&gt;0,G53,0)))))))*(IF(H53&lt;&gt;0,H53,1))+I53-J53</f>
        <v>10</v>
      </c>
      <c r="L53" s="218"/>
    </row>
    <row r="54" spans="2:12">
      <c r="B54" s="202"/>
      <c r="C54" s="203"/>
      <c r="D54" s="203"/>
      <c r="E54" s="203"/>
      <c r="F54" s="203"/>
      <c r="G54" s="203"/>
      <c r="H54" s="204"/>
      <c r="I54" s="556" t="s">
        <v>1221</v>
      </c>
      <c r="J54" s="556"/>
      <c r="K54" s="220">
        <f>SUM(K52:K53)</f>
        <v>40</v>
      </c>
      <c r="L54" s="207"/>
    </row>
    <row r="55" spans="2:12">
      <c r="B55" s="208"/>
      <c r="C55" s="204"/>
      <c r="D55" s="204"/>
      <c r="E55" s="204"/>
      <c r="F55" s="204"/>
      <c r="G55" s="204"/>
      <c r="H55" s="209"/>
      <c r="I55" s="557" t="s">
        <v>1222</v>
      </c>
      <c r="J55" s="557"/>
      <c r="K55" s="221">
        <v>40</v>
      </c>
      <c r="L55" s="207"/>
    </row>
    <row r="56" spans="2:12">
      <c r="B56" s="208"/>
      <c r="C56" s="204"/>
      <c r="D56" s="204"/>
      <c r="E56" s="204"/>
      <c r="F56" s="204"/>
      <c r="G56" s="204"/>
      <c r="H56" s="558" t="s">
        <v>1223</v>
      </c>
      <c r="I56" s="558"/>
      <c r="J56" s="558"/>
      <c r="K56" s="222">
        <v>30</v>
      </c>
      <c r="L56" s="207"/>
    </row>
    <row r="57" spans="2:12">
      <c r="B57" s="208"/>
      <c r="C57" s="204"/>
      <c r="D57" s="204"/>
      <c r="E57" s="204"/>
      <c r="F57" s="204"/>
      <c r="G57" s="204"/>
      <c r="H57" s="558" t="s">
        <v>1199</v>
      </c>
      <c r="I57" s="558"/>
      <c r="J57" s="558"/>
      <c r="K57" s="222">
        <f>IF(K54&gt;K55,K55,K54)-K56</f>
        <v>10</v>
      </c>
      <c r="L57" s="207"/>
    </row>
    <row r="58" spans="2:12">
      <c r="B58" s="213"/>
      <c r="C58" s="214"/>
      <c r="D58" s="214"/>
      <c r="E58" s="214"/>
      <c r="F58" s="214"/>
      <c r="G58" s="214"/>
      <c r="H58" s="559" t="s">
        <v>1224</v>
      </c>
      <c r="I58" s="559"/>
      <c r="J58" s="559"/>
      <c r="K58" s="223">
        <f>IF(K54&gt;K55,K54-K55,0)</f>
        <v>0</v>
      </c>
      <c r="L58" s="209"/>
    </row>
    <row r="60" spans="2:12" ht="14.25" customHeight="1">
      <c r="B60" s="555" t="s">
        <v>1230</v>
      </c>
      <c r="C60" s="555"/>
      <c r="D60" s="555"/>
      <c r="E60" s="555"/>
      <c r="F60" s="555"/>
      <c r="G60" s="555"/>
      <c r="H60" s="555"/>
      <c r="I60" s="555"/>
      <c r="J60" s="555"/>
      <c r="K60" s="555"/>
      <c r="L60" s="555"/>
    </row>
    <row r="61" spans="2:12">
      <c r="B61" s="187" t="s">
        <v>1209</v>
      </c>
      <c r="C61" s="187"/>
      <c r="D61" s="187" t="s">
        <v>39</v>
      </c>
      <c r="E61" s="187" t="s">
        <v>1210</v>
      </c>
      <c r="F61" s="187" t="s">
        <v>1211</v>
      </c>
      <c r="G61" s="187" t="s">
        <v>1212</v>
      </c>
      <c r="H61" s="187" t="s">
        <v>1213</v>
      </c>
      <c r="I61" s="187" t="s">
        <v>1214</v>
      </c>
      <c r="J61" s="187" t="s">
        <v>1215</v>
      </c>
      <c r="K61" s="187" t="s">
        <v>1216</v>
      </c>
      <c r="L61" s="187" t="s">
        <v>1217</v>
      </c>
    </row>
    <row r="62" spans="2:12">
      <c r="B62" s="188" t="s">
        <v>1228</v>
      </c>
      <c r="C62" s="189" t="s">
        <v>1219</v>
      </c>
      <c r="D62" s="190" t="s">
        <v>39</v>
      </c>
      <c r="E62" s="191">
        <f>48/4</f>
        <v>12</v>
      </c>
      <c r="F62" s="192">
        <v>4</v>
      </c>
      <c r="G62" s="192"/>
      <c r="H62" s="191"/>
      <c r="I62" s="191"/>
      <c r="J62" s="216"/>
      <c r="K62" s="217">
        <f>IF(E62*F62*G62&lt;&gt;0,E62*F62*G62,IF(E62*F62&lt;&gt;0,E62*F62,IF(F62*G62&lt;&gt;0,F62*G62,IF(E62*G62&lt;&gt;0,E62*G62,IF(E62&lt;&gt;0,E62,IF(F62&lt;&gt;0,F62,IF(G62&lt;&gt;0,G62,0)))))))*(IF(H62&lt;&gt;0,H62,1))+I62-J62</f>
        <v>48</v>
      </c>
      <c r="L62" s="218"/>
    </row>
    <row r="63" spans="2:12">
      <c r="B63" s="188" t="s">
        <v>1228</v>
      </c>
      <c r="C63" s="189" t="s">
        <v>1240</v>
      </c>
      <c r="D63" s="190" t="s">
        <v>39</v>
      </c>
      <c r="E63" s="191">
        <v>5</v>
      </c>
      <c r="F63" s="192">
        <v>4</v>
      </c>
      <c r="G63" s="192"/>
      <c r="H63" s="191"/>
      <c r="I63" s="191"/>
      <c r="J63" s="219"/>
      <c r="K63" s="217">
        <f>IF(E63*F63*G63&lt;&gt;0,E63*F63*G63,IF(E63*F63&lt;&gt;0,E63*F63,IF(F63*G63&lt;&gt;0,F63*G63,IF(E63*G63&lt;&gt;0,E63*G63,IF(E63&lt;&gt;0,E63,IF(F63&lt;&gt;0,F63,IF(G63&lt;&gt;0,G63,0)))))))*(IF(H63&lt;&gt;0,H63,1))+I63-J63</f>
        <v>20</v>
      </c>
      <c r="L63" s="218"/>
    </row>
    <row r="64" spans="2:12">
      <c r="B64" s="202"/>
      <c r="C64" s="203"/>
      <c r="D64" s="203"/>
      <c r="E64" s="203"/>
      <c r="F64" s="203"/>
      <c r="G64" s="203"/>
      <c r="H64" s="204"/>
      <c r="I64" s="556" t="s">
        <v>1221</v>
      </c>
      <c r="J64" s="556"/>
      <c r="K64" s="220">
        <f>SUM(K62:K63)</f>
        <v>68</v>
      </c>
      <c r="L64" s="207"/>
    </row>
    <row r="65" spans="2:12">
      <c r="B65" s="208"/>
      <c r="C65" s="204"/>
      <c r="D65" s="204"/>
      <c r="E65" s="204"/>
      <c r="F65" s="204"/>
      <c r="G65" s="204"/>
      <c r="H65" s="209"/>
      <c r="I65" s="557" t="s">
        <v>1222</v>
      </c>
      <c r="J65" s="557"/>
      <c r="K65" s="221">
        <v>68</v>
      </c>
      <c r="L65" s="207"/>
    </row>
    <row r="66" spans="2:12">
      <c r="B66" s="208"/>
      <c r="C66" s="204"/>
      <c r="D66" s="204"/>
      <c r="E66" s="204"/>
      <c r="F66" s="204"/>
      <c r="G66" s="204"/>
      <c r="H66" s="558" t="s">
        <v>1223</v>
      </c>
      <c r="I66" s="558"/>
      <c r="J66" s="558"/>
      <c r="K66" s="222">
        <v>48</v>
      </c>
      <c r="L66" s="207"/>
    </row>
    <row r="67" spans="2:12">
      <c r="B67" s="208"/>
      <c r="C67" s="204"/>
      <c r="D67" s="204"/>
      <c r="E67" s="204"/>
      <c r="F67" s="204"/>
      <c r="G67" s="204"/>
      <c r="H67" s="558" t="s">
        <v>1199</v>
      </c>
      <c r="I67" s="558"/>
      <c r="J67" s="558"/>
      <c r="K67" s="222">
        <f>IF(K64&gt;K65,K65,K64)-K66</f>
        <v>20</v>
      </c>
      <c r="L67" s="207"/>
    </row>
    <row r="68" spans="2:12">
      <c r="B68" s="213"/>
      <c r="C68" s="214"/>
      <c r="D68" s="214"/>
      <c r="E68" s="214"/>
      <c r="F68" s="214"/>
      <c r="G68" s="214"/>
      <c r="H68" s="559" t="s">
        <v>1224</v>
      </c>
      <c r="I68" s="559"/>
      <c r="J68" s="559"/>
      <c r="K68" s="223">
        <f>IF(K64&gt;K65,K64-K65,0)</f>
        <v>0</v>
      </c>
      <c r="L68" s="209"/>
    </row>
    <row r="70" spans="2:12" ht="14.25" customHeight="1">
      <c r="B70" s="555" t="s">
        <v>1231</v>
      </c>
      <c r="C70" s="555"/>
      <c r="D70" s="555"/>
      <c r="E70" s="555"/>
      <c r="F70" s="555"/>
      <c r="G70" s="555"/>
      <c r="H70" s="555"/>
      <c r="I70" s="555"/>
      <c r="J70" s="555"/>
      <c r="K70" s="555"/>
      <c r="L70" s="555"/>
    </row>
    <row r="71" spans="2:12">
      <c r="B71" s="187" t="s">
        <v>1209</v>
      </c>
      <c r="C71" s="187"/>
      <c r="D71" s="187" t="s">
        <v>39</v>
      </c>
      <c r="E71" s="187" t="s">
        <v>1210</v>
      </c>
      <c r="F71" s="187" t="s">
        <v>1211</v>
      </c>
      <c r="G71" s="187" t="s">
        <v>1212</v>
      </c>
      <c r="H71" s="187" t="s">
        <v>1213</v>
      </c>
      <c r="I71" s="187" t="s">
        <v>1214</v>
      </c>
      <c r="J71" s="187" t="s">
        <v>1215</v>
      </c>
      <c r="K71" s="187" t="s">
        <v>1216</v>
      </c>
      <c r="L71" s="187" t="s">
        <v>1217</v>
      </c>
    </row>
    <row r="72" spans="2:12">
      <c r="B72" s="188" t="s">
        <v>1228</v>
      </c>
      <c r="C72" s="189" t="s">
        <v>1219</v>
      </c>
      <c r="D72" s="190" t="s">
        <v>39</v>
      </c>
      <c r="E72" s="191">
        <v>15</v>
      </c>
      <c r="F72" s="192">
        <v>4</v>
      </c>
      <c r="G72" s="192"/>
      <c r="H72" s="191"/>
      <c r="I72" s="191"/>
      <c r="J72" s="216"/>
      <c r="K72" s="217">
        <f>IF(E72*F72*G72&lt;&gt;0,E72*F72*G72,IF(E72*F72&lt;&gt;0,E72*F72,IF(F72*G72&lt;&gt;0,F72*G72,IF(E72*G72&lt;&gt;0,E72*G72,IF(E72&lt;&gt;0,E72,IF(F72&lt;&gt;0,F72,IF(G72&lt;&gt;0,G72,0)))))))*(IF(H72&lt;&gt;0,H72,1))+I72-J72</f>
        <v>60</v>
      </c>
      <c r="L72" s="218"/>
    </row>
    <row r="73" spans="2:12">
      <c r="B73" s="197"/>
      <c r="C73" s="189"/>
      <c r="D73" s="198"/>
      <c r="E73" s="199"/>
      <c r="F73" s="199"/>
      <c r="G73" s="199"/>
      <c r="H73" s="199"/>
      <c r="I73" s="199"/>
      <c r="J73" s="219"/>
      <c r="K73" s="217">
        <f>IF(E73*F73*G73&lt;&gt;0,E73*F73*G73,IF(E73*F73&lt;&gt;0,E73*F73,IF(F73*G73&lt;&gt;0,F73*G73,IF(E73*G73&lt;&gt;0,E73*G73,IF(E73&lt;&gt;0,E73,IF(F73&lt;&gt;0,F73,IF(G73&lt;&gt;0,G73,0)))))))*(IF(H73&lt;&gt;0,H73,1))+I73-J73</f>
        <v>0</v>
      </c>
      <c r="L73" s="218"/>
    </row>
    <row r="74" spans="2:12">
      <c r="B74" s="202"/>
      <c r="C74" s="203"/>
      <c r="D74" s="203"/>
      <c r="E74" s="203"/>
      <c r="F74" s="203"/>
      <c r="G74" s="203"/>
      <c r="H74" s="204"/>
      <c r="I74" s="556" t="s">
        <v>1221</v>
      </c>
      <c r="J74" s="556"/>
      <c r="K74" s="220">
        <f>SUM(K72:K73)</f>
        <v>60</v>
      </c>
      <c r="L74" s="207"/>
    </row>
    <row r="75" spans="2:12">
      <c r="B75" s="208"/>
      <c r="C75" s="204"/>
      <c r="D75" s="204"/>
      <c r="E75" s="204"/>
      <c r="F75" s="204"/>
      <c r="G75" s="204"/>
      <c r="H75" s="209"/>
      <c r="I75" s="557" t="s">
        <v>1222</v>
      </c>
      <c r="J75" s="557"/>
      <c r="K75" s="221">
        <v>60</v>
      </c>
      <c r="L75" s="207"/>
    </row>
    <row r="76" spans="2:12">
      <c r="B76" s="208"/>
      <c r="C76" s="204"/>
      <c r="D76" s="204"/>
      <c r="E76" s="204"/>
      <c r="F76" s="204"/>
      <c r="G76" s="204"/>
      <c r="H76" s="558" t="s">
        <v>1223</v>
      </c>
      <c r="I76" s="558"/>
      <c r="J76" s="558"/>
      <c r="K76" s="222"/>
      <c r="L76" s="207"/>
    </row>
    <row r="77" spans="2:12">
      <c r="B77" s="208"/>
      <c r="C77" s="204"/>
      <c r="D77" s="204"/>
      <c r="E77" s="204"/>
      <c r="F77" s="204"/>
      <c r="G77" s="204"/>
      <c r="H77" s="558" t="s">
        <v>1190</v>
      </c>
      <c r="I77" s="558"/>
      <c r="J77" s="558"/>
      <c r="K77" s="222">
        <f>IF(K74&gt;K75,K75,K74)-K76</f>
        <v>60</v>
      </c>
      <c r="L77" s="207"/>
    </row>
    <row r="78" spans="2:12">
      <c r="B78" s="213"/>
      <c r="C78" s="214"/>
      <c r="D78" s="214"/>
      <c r="E78" s="214"/>
      <c r="F78" s="214"/>
      <c r="G78" s="214"/>
      <c r="H78" s="559" t="s">
        <v>1224</v>
      </c>
      <c r="I78" s="559"/>
      <c r="J78" s="559"/>
      <c r="K78" s="223">
        <f>IF(K74&gt;K75,K74-K75,0)</f>
        <v>0</v>
      </c>
      <c r="L78" s="209"/>
    </row>
    <row r="80" spans="2:12" ht="14.25" customHeight="1">
      <c r="B80" s="555" t="s">
        <v>1232</v>
      </c>
      <c r="C80" s="555"/>
      <c r="D80" s="555"/>
      <c r="E80" s="555"/>
      <c r="F80" s="555"/>
      <c r="G80" s="555"/>
      <c r="H80" s="555"/>
      <c r="I80" s="555"/>
      <c r="J80" s="555"/>
      <c r="K80" s="555"/>
      <c r="L80" s="555"/>
    </row>
    <row r="81" spans="2:12">
      <c r="B81" s="187" t="s">
        <v>1209</v>
      </c>
      <c r="C81" s="187"/>
      <c r="D81" s="187" t="s">
        <v>39</v>
      </c>
      <c r="E81" s="187" t="s">
        <v>1210</v>
      </c>
      <c r="F81" s="187" t="s">
        <v>1211</v>
      </c>
      <c r="G81" s="187" t="s">
        <v>1212</v>
      </c>
      <c r="H81" s="187" t="s">
        <v>1213</v>
      </c>
      <c r="I81" s="187" t="s">
        <v>1214</v>
      </c>
      <c r="J81" s="187" t="s">
        <v>1215</v>
      </c>
      <c r="K81" s="187" t="s">
        <v>1216</v>
      </c>
      <c r="L81" s="187" t="s">
        <v>1217</v>
      </c>
    </row>
    <row r="82" spans="2:12">
      <c r="B82" s="188" t="s">
        <v>1228</v>
      </c>
      <c r="C82" s="189" t="s">
        <v>1219</v>
      </c>
      <c r="D82" s="190" t="s">
        <v>39</v>
      </c>
      <c r="E82" s="191">
        <v>5</v>
      </c>
      <c r="F82" s="192">
        <v>4</v>
      </c>
      <c r="G82" s="192"/>
      <c r="H82" s="191"/>
      <c r="I82" s="191"/>
      <c r="J82" s="216"/>
      <c r="K82" s="217">
        <f>IF(E82*F82*G82&lt;&gt;0,E82*F82*G82,IF(E82*F82&lt;&gt;0,E82*F82,IF(F82*G82&lt;&gt;0,F82*G82,IF(E82*G82&lt;&gt;0,E82*G82,IF(E82&lt;&gt;0,E82,IF(F82&lt;&gt;0,F82,IF(G82&lt;&gt;0,G82,0)))))))*(IF(H82&lt;&gt;0,H82,1))+I82-J82</f>
        <v>20</v>
      </c>
      <c r="L82" s="218"/>
    </row>
    <row r="83" spans="2:12">
      <c r="B83" s="188" t="s">
        <v>1228</v>
      </c>
      <c r="C83" s="189" t="s">
        <v>1240</v>
      </c>
      <c r="D83" s="190" t="s">
        <v>39</v>
      </c>
      <c r="E83" s="191">
        <v>10</v>
      </c>
      <c r="F83" s="192">
        <v>4</v>
      </c>
      <c r="G83" s="192"/>
      <c r="H83" s="191"/>
      <c r="I83" s="191"/>
      <c r="J83" s="219"/>
      <c r="K83" s="217">
        <f>IF(E83*F83*G83&lt;&gt;0,E83*F83*G83,IF(E83*F83&lt;&gt;0,E83*F83,IF(F83*G83&lt;&gt;0,F83*G83,IF(E83*G83&lt;&gt;0,E83*G83,IF(E83&lt;&gt;0,E83,IF(F83&lt;&gt;0,F83,IF(G83&lt;&gt;0,G83,0)))))))*(IF(H83&lt;&gt;0,H83,1))+I83-J83</f>
        <v>40</v>
      </c>
      <c r="L83" s="218"/>
    </row>
    <row r="84" spans="2:12">
      <c r="B84" s="202"/>
      <c r="C84" s="203"/>
      <c r="D84" s="203"/>
      <c r="E84" s="203"/>
      <c r="F84" s="203"/>
      <c r="G84" s="203"/>
      <c r="H84" s="204"/>
      <c r="I84" s="556" t="s">
        <v>1221</v>
      </c>
      <c r="J84" s="556"/>
      <c r="K84" s="220">
        <f>SUM(K82:K83)</f>
        <v>60</v>
      </c>
      <c r="L84" s="207"/>
    </row>
    <row r="85" spans="2:12">
      <c r="B85" s="208"/>
      <c r="C85" s="204"/>
      <c r="D85" s="204"/>
      <c r="E85" s="204"/>
      <c r="F85" s="204"/>
      <c r="G85" s="204"/>
      <c r="H85" s="209"/>
      <c r="I85" s="557" t="s">
        <v>1222</v>
      </c>
      <c r="J85" s="557"/>
      <c r="K85" s="221">
        <v>60</v>
      </c>
      <c r="L85" s="207"/>
    </row>
    <row r="86" spans="2:12">
      <c r="B86" s="208"/>
      <c r="C86" s="204"/>
      <c r="D86" s="204"/>
      <c r="E86" s="204"/>
      <c r="F86" s="204"/>
      <c r="G86" s="204"/>
      <c r="H86" s="558" t="s">
        <v>1223</v>
      </c>
      <c r="I86" s="558"/>
      <c r="J86" s="558"/>
      <c r="K86" s="222">
        <v>20</v>
      </c>
      <c r="L86" s="207"/>
    </row>
    <row r="87" spans="2:12">
      <c r="B87" s="208"/>
      <c r="C87" s="204"/>
      <c r="D87" s="204"/>
      <c r="E87" s="204"/>
      <c r="F87" s="204"/>
      <c r="G87" s="204"/>
      <c r="H87" s="558" t="s">
        <v>1199</v>
      </c>
      <c r="I87" s="558"/>
      <c r="J87" s="558"/>
      <c r="K87" s="222">
        <f>IF(K84&gt;K85,K85,K84)-K86</f>
        <v>40</v>
      </c>
      <c r="L87" s="207"/>
    </row>
    <row r="88" spans="2:12">
      <c r="B88" s="213"/>
      <c r="C88" s="214"/>
      <c r="D88" s="214"/>
      <c r="E88" s="214"/>
      <c r="F88" s="214"/>
      <c r="G88" s="214"/>
      <c r="H88" s="559" t="s">
        <v>1224</v>
      </c>
      <c r="I88" s="559"/>
      <c r="J88" s="559"/>
      <c r="K88" s="223">
        <f>IF(K84&gt;K85,K84-K85,0)</f>
        <v>0</v>
      </c>
      <c r="L88" s="209"/>
    </row>
    <row r="90" spans="2:12" ht="14.25" customHeight="1">
      <c r="B90" s="555" t="s">
        <v>1233</v>
      </c>
      <c r="C90" s="555"/>
      <c r="D90" s="555"/>
      <c r="E90" s="555"/>
      <c r="F90" s="555"/>
      <c r="G90" s="555"/>
      <c r="H90" s="555"/>
      <c r="I90" s="555"/>
      <c r="J90" s="555"/>
      <c r="K90" s="555"/>
      <c r="L90" s="555"/>
    </row>
    <row r="91" spans="2:12">
      <c r="B91" s="187" t="s">
        <v>1209</v>
      </c>
      <c r="C91" s="187"/>
      <c r="D91" s="187" t="s">
        <v>39</v>
      </c>
      <c r="E91" s="187" t="s">
        <v>1210</v>
      </c>
      <c r="F91" s="187" t="s">
        <v>1211</v>
      </c>
      <c r="G91" s="187" t="s">
        <v>1212</v>
      </c>
      <c r="H91" s="187" t="s">
        <v>1213</v>
      </c>
      <c r="I91" s="187" t="s">
        <v>1214</v>
      </c>
      <c r="J91" s="187" t="s">
        <v>1215</v>
      </c>
      <c r="K91" s="187" t="s">
        <v>1216</v>
      </c>
      <c r="L91" s="187" t="s">
        <v>1217</v>
      </c>
    </row>
    <row r="92" spans="2:12">
      <c r="B92" s="188" t="s">
        <v>1228</v>
      </c>
      <c r="C92" s="189" t="s">
        <v>1219</v>
      </c>
      <c r="D92" s="190" t="s">
        <v>39</v>
      </c>
      <c r="E92" s="191">
        <v>5</v>
      </c>
      <c r="F92" s="192">
        <v>4</v>
      </c>
      <c r="G92" s="192"/>
      <c r="H92" s="191"/>
      <c r="I92" s="191"/>
      <c r="J92" s="216"/>
      <c r="K92" s="217">
        <f>IF(E92*F92*G92&lt;&gt;0,E92*F92*G92,IF(E92*F92&lt;&gt;0,E92*F92,IF(F92*G92&lt;&gt;0,F92*G92,IF(E92*G92&lt;&gt;0,E92*G92,IF(E92&lt;&gt;0,E92,IF(F92&lt;&gt;0,F92,IF(G92&lt;&gt;0,G92,0)))))))*(IF(H92&lt;&gt;0,H92,1))+I92-J92</f>
        <v>20</v>
      </c>
      <c r="L92" s="218"/>
    </row>
    <row r="93" spans="2:12">
      <c r="B93" s="188" t="s">
        <v>1228</v>
      </c>
      <c r="C93" s="189" t="s">
        <v>1219</v>
      </c>
      <c r="D93" s="190" t="s">
        <v>39</v>
      </c>
      <c r="E93" s="191">
        <v>7.5</v>
      </c>
      <c r="F93" s="192">
        <v>4</v>
      </c>
      <c r="G93" s="192"/>
      <c r="H93" s="191"/>
      <c r="I93" s="191"/>
      <c r="J93" s="216"/>
      <c r="K93" s="217">
        <f>IF(E93*F93*G93&lt;&gt;0,E93*F93*G93,IF(E93*F93&lt;&gt;0,E93*F93,IF(F93*G93&lt;&gt;0,F93*G93,IF(E93*G93&lt;&gt;0,E93*G93,IF(E93&lt;&gt;0,E93,IF(F93&lt;&gt;0,F93,IF(G93&lt;&gt;0,G93,0)))))))*(IF(H93&lt;&gt;0,H93,1))+I93-J93</f>
        <v>30</v>
      </c>
      <c r="L93" s="218"/>
    </row>
    <row r="94" spans="2:12">
      <c r="B94" s="202"/>
      <c r="C94" s="203"/>
      <c r="D94" s="203"/>
      <c r="E94" s="203"/>
      <c r="F94" s="203"/>
      <c r="G94" s="203"/>
      <c r="H94" s="204"/>
      <c r="I94" s="556" t="s">
        <v>1221</v>
      </c>
      <c r="J94" s="556"/>
      <c r="K94" s="220">
        <f>SUM(K92:K93)</f>
        <v>50</v>
      </c>
      <c r="L94" s="207"/>
    </row>
    <row r="95" spans="2:12">
      <c r="B95" s="208"/>
      <c r="C95" s="204"/>
      <c r="D95" s="204"/>
      <c r="E95" s="204"/>
      <c r="F95" s="204"/>
      <c r="G95" s="204"/>
      <c r="H95" s="209"/>
      <c r="I95" s="557" t="s">
        <v>1222</v>
      </c>
      <c r="J95" s="557"/>
      <c r="K95" s="221">
        <v>50</v>
      </c>
      <c r="L95" s="207"/>
    </row>
    <row r="96" spans="2:12">
      <c r="B96" s="208"/>
      <c r="C96" s="204"/>
      <c r="D96" s="204"/>
      <c r="E96" s="204"/>
      <c r="F96" s="204"/>
      <c r="G96" s="204"/>
      <c r="H96" s="558" t="s">
        <v>1223</v>
      </c>
      <c r="I96" s="558"/>
      <c r="J96" s="558"/>
      <c r="K96" s="222">
        <v>20</v>
      </c>
      <c r="L96" s="207"/>
    </row>
    <row r="97" spans="2:12">
      <c r="B97" s="208"/>
      <c r="C97" s="204"/>
      <c r="D97" s="204"/>
      <c r="E97" s="204"/>
      <c r="F97" s="204"/>
      <c r="G97" s="204"/>
      <c r="H97" s="558" t="s">
        <v>1199</v>
      </c>
      <c r="I97" s="558"/>
      <c r="J97" s="558"/>
      <c r="K97" s="222">
        <f>IF(K94&gt;K95,K95,K94)-K96</f>
        <v>30</v>
      </c>
      <c r="L97" s="207"/>
    </row>
    <row r="98" spans="2:12">
      <c r="B98" s="213"/>
      <c r="C98" s="214"/>
      <c r="D98" s="214"/>
      <c r="E98" s="214"/>
      <c r="F98" s="214"/>
      <c r="G98" s="214"/>
      <c r="H98" s="559" t="s">
        <v>1224</v>
      </c>
      <c r="I98" s="559"/>
      <c r="J98" s="559"/>
      <c r="K98" s="223">
        <f>IF(K94&gt;K95,K94-K95,0)</f>
        <v>0</v>
      </c>
      <c r="L98" s="209"/>
    </row>
    <row r="100" spans="2:12" ht="15" customHeight="1">
      <c r="B100" s="555" t="s">
        <v>1234</v>
      </c>
      <c r="C100" s="555"/>
      <c r="D100" s="555"/>
      <c r="E100" s="555"/>
      <c r="F100" s="555"/>
      <c r="G100" s="555"/>
      <c r="H100" s="555"/>
      <c r="I100" s="555"/>
      <c r="J100" s="555"/>
      <c r="K100" s="555"/>
      <c r="L100" s="555"/>
    </row>
    <row r="101" spans="2:12">
      <c r="B101" s="187" t="s">
        <v>1209</v>
      </c>
      <c r="C101" s="187"/>
      <c r="D101" s="187" t="s">
        <v>39</v>
      </c>
      <c r="E101" s="187" t="s">
        <v>1210</v>
      </c>
      <c r="F101" s="187" t="s">
        <v>1211</v>
      </c>
      <c r="G101" s="187" t="s">
        <v>1212</v>
      </c>
      <c r="H101" s="187" t="s">
        <v>1213</v>
      </c>
      <c r="I101" s="187" t="s">
        <v>1214</v>
      </c>
      <c r="J101" s="187" t="s">
        <v>1215</v>
      </c>
      <c r="K101" s="187" t="s">
        <v>1216</v>
      </c>
      <c r="L101" s="187" t="s">
        <v>1217</v>
      </c>
    </row>
    <row r="102" spans="2:12">
      <c r="B102" s="188" t="s">
        <v>1235</v>
      </c>
      <c r="C102" s="189" t="s">
        <v>1219</v>
      </c>
      <c r="D102" s="190" t="s">
        <v>169</v>
      </c>
      <c r="E102" s="191">
        <v>1616.87</v>
      </c>
      <c r="F102" s="192"/>
      <c r="G102" s="192">
        <v>0.75</v>
      </c>
      <c r="H102" s="191"/>
      <c r="I102" s="191"/>
      <c r="J102" s="216"/>
      <c r="K102" s="217">
        <f>IF(E102*F102*G102&lt;&gt;0,E102*F102*G102,IF(E102*F102&lt;&gt;0,E102*F102,IF(F102*G102&lt;&gt;0,F102*G102,IF(E102*G102&lt;&gt;0,E102*G102,IF(E102&lt;&gt;0,E102,IF(F102&lt;&gt;0,F102,IF(G102&lt;&gt;0,G102,0)))))))*(IF(H102&lt;&gt;0,H102,1))+I102-J102</f>
        <v>1212.6524999999999</v>
      </c>
      <c r="L102" s="218"/>
    </row>
    <row r="103" spans="2:12">
      <c r="B103" s="188" t="s">
        <v>1235</v>
      </c>
      <c r="C103" s="189" t="s">
        <v>1271</v>
      </c>
      <c r="D103" s="190" t="s">
        <v>169</v>
      </c>
      <c r="E103" s="199">
        <v>1616.87</v>
      </c>
      <c r="F103" s="199"/>
      <c r="G103" s="199">
        <v>0.25</v>
      </c>
      <c r="H103" s="199"/>
      <c r="I103" s="199"/>
      <c r="J103" s="219"/>
      <c r="K103" s="217">
        <f>IF(E103*F103*G103&lt;&gt;0,E103*F103*G103,IF(E103*F103&lt;&gt;0,E103*F103,IF(F103*G103&lt;&gt;0,F103*G103,IF(E103*G103&lt;&gt;0,E103*G103,IF(E103&lt;&gt;0,E103,IF(F103&lt;&gt;0,F103,IF(G103&lt;&gt;0,G103,0)))))))*(IF(H103&lt;&gt;0,H103,1))+I103-J103</f>
        <v>404.21749999999997</v>
      </c>
      <c r="L103" s="218"/>
    </row>
    <row r="104" spans="2:12">
      <c r="B104" s="197"/>
      <c r="C104" s="189"/>
      <c r="D104" s="198"/>
      <c r="E104" s="199"/>
      <c r="F104" s="199"/>
      <c r="G104" s="199"/>
      <c r="H104" s="199"/>
      <c r="I104" s="199"/>
      <c r="J104" s="219"/>
      <c r="K104" s="217">
        <f>IF(E104*F104*G104&lt;&gt;0,E104*F104*G104,IF(E104*F104&lt;&gt;0,E104*F104,IF(F104*G104&lt;&gt;0,F104*G104,IF(E104*G104&lt;&gt;0,E104*G104,IF(E104&lt;&gt;0,E104,IF(F104&lt;&gt;0,F104,IF(G104&lt;&gt;0,G104,0)))))))*(IF(H104&lt;&gt;0,H104,1))+I104-J104</f>
        <v>0</v>
      </c>
      <c r="L104" s="218"/>
    </row>
    <row r="105" spans="2:12">
      <c r="B105" s="202"/>
      <c r="C105" s="203"/>
      <c r="D105" s="203"/>
      <c r="E105" s="203"/>
      <c r="F105" s="203"/>
      <c r="G105" s="203"/>
      <c r="H105" s="204"/>
      <c r="I105" s="556" t="s">
        <v>1221</v>
      </c>
      <c r="J105" s="556"/>
      <c r="K105" s="220">
        <f>SUM(K102:K104)</f>
        <v>1616.87</v>
      </c>
      <c r="L105" s="207"/>
    </row>
    <row r="106" spans="2:12">
      <c r="B106" s="208"/>
      <c r="C106" s="204"/>
      <c r="D106" s="204"/>
      <c r="E106" s="204"/>
      <c r="F106" s="204"/>
      <c r="G106" s="204"/>
      <c r="H106" s="209"/>
      <c r="I106" s="557" t="s">
        <v>1222</v>
      </c>
      <c r="J106" s="557"/>
      <c r="K106" s="221">
        <v>4350</v>
      </c>
      <c r="L106" s="207"/>
    </row>
    <row r="107" spans="2:12">
      <c r="B107" s="208"/>
      <c r="C107" s="204"/>
      <c r="D107" s="204"/>
      <c r="E107" s="204"/>
      <c r="F107" s="204"/>
      <c r="G107" s="204"/>
      <c r="H107" s="558" t="s">
        <v>1223</v>
      </c>
      <c r="I107" s="558"/>
      <c r="J107" s="558"/>
      <c r="K107" s="222">
        <v>1616.87</v>
      </c>
      <c r="L107" s="207"/>
    </row>
    <row r="108" spans="2:12">
      <c r="B108" s="208"/>
      <c r="C108" s="204"/>
      <c r="D108" s="204"/>
      <c r="E108" s="204"/>
      <c r="F108" s="204"/>
      <c r="G108" s="204"/>
      <c r="H108" s="558" t="s">
        <v>1431</v>
      </c>
      <c r="I108" s="558"/>
      <c r="J108" s="558"/>
      <c r="K108" s="222">
        <f>IF(K105&gt;K106,K106,K105)-K107</f>
        <v>0</v>
      </c>
      <c r="L108" s="207"/>
    </row>
    <row r="109" spans="2:12">
      <c r="B109" s="213"/>
      <c r="C109" s="214"/>
      <c r="D109" s="214"/>
      <c r="E109" s="214"/>
      <c r="F109" s="214"/>
      <c r="G109" s="214"/>
      <c r="H109" s="559" t="s">
        <v>1224</v>
      </c>
      <c r="I109" s="559"/>
      <c r="J109" s="559"/>
      <c r="K109" s="223">
        <f>IF(K105&gt;K106,K105-K106,0)</f>
        <v>0</v>
      </c>
      <c r="L109" s="209"/>
    </row>
    <row r="110" spans="2:12" ht="15" customHeight="1"/>
    <row r="111" spans="2:12" ht="24" customHeight="1">
      <c r="B111" s="555" t="s">
        <v>1236</v>
      </c>
      <c r="C111" s="555"/>
      <c r="D111" s="555"/>
      <c r="E111" s="555"/>
      <c r="F111" s="555"/>
      <c r="G111" s="555"/>
      <c r="H111" s="555"/>
      <c r="I111" s="555"/>
      <c r="J111" s="555"/>
      <c r="K111" s="555"/>
      <c r="L111" s="555"/>
    </row>
    <row r="112" spans="2:12">
      <c r="B112" s="187" t="s">
        <v>1209</v>
      </c>
      <c r="C112" s="187"/>
      <c r="D112" s="187" t="s">
        <v>39</v>
      </c>
      <c r="E112" s="187" t="s">
        <v>1210</v>
      </c>
      <c r="F112" s="187" t="s">
        <v>1211</v>
      </c>
      <c r="G112" s="187" t="s">
        <v>1212</v>
      </c>
      <c r="H112" s="187" t="s">
        <v>1213</v>
      </c>
      <c r="I112" s="187" t="s">
        <v>1214</v>
      </c>
      <c r="J112" s="187" t="s">
        <v>1215</v>
      </c>
      <c r="K112" s="187" t="s">
        <v>1216</v>
      </c>
      <c r="L112" s="187" t="s">
        <v>1217</v>
      </c>
    </row>
    <row r="113" spans="2:12">
      <c r="B113" s="188" t="s">
        <v>1235</v>
      </c>
      <c r="C113" s="189" t="s">
        <v>1219</v>
      </c>
      <c r="D113" s="190" t="s">
        <v>169</v>
      </c>
      <c r="E113" s="191">
        <v>1616.87</v>
      </c>
      <c r="F113" s="192"/>
      <c r="G113" s="192">
        <v>0.75</v>
      </c>
      <c r="H113" s="191"/>
      <c r="I113" s="191"/>
      <c r="J113" s="216"/>
      <c r="K113" s="217">
        <f t="shared" ref="K113:K118" si="2">IF(E113*F113*G113&lt;&gt;0,E113*F113*G113,IF(E113*F113&lt;&gt;0,E113*F113,IF(F113*G113&lt;&gt;0,F113*G113,IF(E113*G113&lt;&gt;0,E113*G113,IF(E113&lt;&gt;0,E113,IF(F113&lt;&gt;0,F113,IF(G113&lt;&gt;0,G113,0)))))))*(IF(H113&lt;&gt;0,H113,1))+I113-J113</f>
        <v>1212.6524999999999</v>
      </c>
      <c r="L113" s="218"/>
    </row>
    <row r="114" spans="2:12">
      <c r="B114" s="188" t="s">
        <v>1235</v>
      </c>
      <c r="C114" s="189" t="s">
        <v>1271</v>
      </c>
      <c r="D114" s="190" t="s">
        <v>169</v>
      </c>
      <c r="E114" s="199">
        <v>1616.87</v>
      </c>
      <c r="F114" s="199"/>
      <c r="G114" s="199">
        <v>0.25</v>
      </c>
      <c r="H114" s="199"/>
      <c r="I114" s="199"/>
      <c r="J114" s="219"/>
      <c r="K114" s="217">
        <f t="shared" si="2"/>
        <v>404.21749999999997</v>
      </c>
      <c r="L114" s="218"/>
    </row>
    <row r="115" spans="2:12">
      <c r="B115" s="188" t="s">
        <v>1235</v>
      </c>
      <c r="C115" s="189" t="s">
        <v>1271</v>
      </c>
      <c r="D115" s="190" t="s">
        <v>169</v>
      </c>
      <c r="E115" s="199">
        <v>922</v>
      </c>
      <c r="F115" s="199"/>
      <c r="G115" s="199">
        <v>0.5</v>
      </c>
      <c r="H115" s="199"/>
      <c r="I115" s="199"/>
      <c r="J115" s="219"/>
      <c r="K115" s="217">
        <f t="shared" si="2"/>
        <v>461</v>
      </c>
      <c r="L115" s="218"/>
    </row>
    <row r="116" spans="2:12">
      <c r="B116" s="188" t="s">
        <v>1522</v>
      </c>
      <c r="C116" s="189" t="s">
        <v>1521</v>
      </c>
      <c r="D116" s="190" t="s">
        <v>169</v>
      </c>
      <c r="E116" s="199">
        <v>15</v>
      </c>
      <c r="F116" s="199"/>
      <c r="G116" s="199">
        <v>25</v>
      </c>
      <c r="H116" s="199"/>
      <c r="I116" s="199"/>
      <c r="J116" s="219"/>
      <c r="K116" s="217">
        <f t="shared" si="2"/>
        <v>375</v>
      </c>
      <c r="L116" s="218"/>
    </row>
    <row r="117" spans="2:12">
      <c r="B117" s="188" t="s">
        <v>1522</v>
      </c>
      <c r="C117" s="189" t="s">
        <v>1521</v>
      </c>
      <c r="D117" s="190" t="s">
        <v>169</v>
      </c>
      <c r="E117" s="199">
        <v>15</v>
      </c>
      <c r="F117" s="199"/>
      <c r="G117" s="199">
        <v>25</v>
      </c>
      <c r="H117" s="199"/>
      <c r="I117" s="199"/>
      <c r="J117" s="219"/>
      <c r="K117" s="217">
        <f t="shared" si="2"/>
        <v>375</v>
      </c>
      <c r="L117" s="218"/>
    </row>
    <row r="118" spans="2:12">
      <c r="B118" s="197"/>
      <c r="C118" s="189"/>
      <c r="D118" s="198"/>
      <c r="E118" s="199"/>
      <c r="F118" s="199"/>
      <c r="G118" s="199"/>
      <c r="H118" s="199"/>
      <c r="I118" s="199"/>
      <c r="J118" s="219"/>
      <c r="K118" s="217">
        <f t="shared" si="2"/>
        <v>0</v>
      </c>
      <c r="L118" s="218"/>
    </row>
    <row r="119" spans="2:12">
      <c r="B119" s="202"/>
      <c r="C119" s="203"/>
      <c r="D119" s="203"/>
      <c r="E119" s="203"/>
      <c r="F119" s="203"/>
      <c r="G119" s="203"/>
      <c r="H119" s="204"/>
      <c r="I119" s="556" t="s">
        <v>1221</v>
      </c>
      <c r="J119" s="556"/>
      <c r="K119" s="220">
        <f>SUM(K113:K118)</f>
        <v>2827.87</v>
      </c>
      <c r="L119" s="207"/>
    </row>
    <row r="120" spans="2:12">
      <c r="B120" s="208"/>
      <c r="C120" s="204"/>
      <c r="D120" s="204"/>
      <c r="E120" s="204"/>
      <c r="F120" s="204"/>
      <c r="G120" s="204"/>
      <c r="H120" s="209"/>
      <c r="I120" s="557" t="s">
        <v>1222</v>
      </c>
      <c r="J120" s="557"/>
      <c r="K120" s="221">
        <v>3985</v>
      </c>
      <c r="L120" s="207"/>
    </row>
    <row r="121" spans="2:12">
      <c r="B121" s="208"/>
      <c r="C121" s="204"/>
      <c r="D121" s="204"/>
      <c r="E121" s="204"/>
      <c r="F121" s="204"/>
      <c r="G121" s="204"/>
      <c r="H121" s="558" t="s">
        <v>1223</v>
      </c>
      <c r="I121" s="558"/>
      <c r="J121" s="558"/>
      <c r="K121" s="222">
        <v>2452.87</v>
      </c>
      <c r="L121" s="207"/>
    </row>
    <row r="122" spans="2:12">
      <c r="B122" s="208"/>
      <c r="C122" s="204"/>
      <c r="D122" s="204"/>
      <c r="E122" s="204"/>
      <c r="F122" s="204"/>
      <c r="G122" s="204"/>
      <c r="H122" s="558" t="s">
        <v>1579</v>
      </c>
      <c r="I122" s="558"/>
      <c r="J122" s="558"/>
      <c r="K122" s="222">
        <f>IF(K119&gt;K120,K120,K119)-K121</f>
        <v>375</v>
      </c>
      <c r="L122" s="207"/>
    </row>
    <row r="123" spans="2:12" ht="15" customHeight="1">
      <c r="B123" s="213"/>
      <c r="C123" s="214"/>
      <c r="D123" s="214"/>
      <c r="E123" s="214"/>
      <c r="F123" s="214"/>
      <c r="G123" s="214"/>
      <c r="H123" s="559" t="s">
        <v>1224</v>
      </c>
      <c r="I123" s="559"/>
      <c r="J123" s="559"/>
      <c r="K123" s="223">
        <f>IF(K119&gt;K120,K119-K120,0)</f>
        <v>0</v>
      </c>
      <c r="L123" s="209"/>
    </row>
    <row r="125" spans="2:12" ht="14.25" customHeight="1">
      <c r="B125" s="555" t="s">
        <v>1237</v>
      </c>
      <c r="C125" s="555"/>
      <c r="D125" s="555"/>
      <c r="E125" s="555"/>
      <c r="F125" s="555"/>
      <c r="G125" s="555"/>
      <c r="H125" s="555"/>
      <c r="I125" s="555"/>
      <c r="J125" s="555"/>
      <c r="K125" s="555"/>
      <c r="L125" s="555"/>
    </row>
    <row r="126" spans="2:12">
      <c r="B126" s="187" t="s">
        <v>1209</v>
      </c>
      <c r="C126" s="187"/>
      <c r="D126" s="187" t="s">
        <v>39</v>
      </c>
      <c r="E126" s="187" t="s">
        <v>1210</v>
      </c>
      <c r="F126" s="187" t="s">
        <v>1211</v>
      </c>
      <c r="G126" s="187" t="s">
        <v>1212</v>
      </c>
      <c r="H126" s="187" t="s">
        <v>1213</v>
      </c>
      <c r="I126" s="187" t="s">
        <v>1214</v>
      </c>
      <c r="J126" s="187" t="s">
        <v>1215</v>
      </c>
      <c r="K126" s="187" t="s">
        <v>1216</v>
      </c>
      <c r="L126" s="187" t="s">
        <v>1217</v>
      </c>
    </row>
    <row r="127" spans="2:12">
      <c r="B127" s="188" t="s">
        <v>1238</v>
      </c>
      <c r="C127" s="189" t="s">
        <v>1219</v>
      </c>
      <c r="D127" s="190" t="s">
        <v>113</v>
      </c>
      <c r="E127" s="191"/>
      <c r="F127" s="192"/>
      <c r="G127" s="192"/>
      <c r="H127" s="191"/>
      <c r="I127" s="191">
        <v>8200</v>
      </c>
      <c r="J127" s="216"/>
      <c r="K127" s="217">
        <f t="shared" ref="K127:K132" si="3">IF(E127*F127*G127&lt;&gt;0,E127*F127*G127,IF(E127*F127&lt;&gt;0,E127*F127,IF(F127*G127&lt;&gt;0,F127*G127,IF(E127*G127&lt;&gt;0,E127*G127,IF(E127&lt;&gt;0,E127,IF(F127&lt;&gt;0,F127,IF(G127&lt;&gt;0,G127,0)))))))*(IF(H127&lt;&gt;0,H127,1))+I127-J127</f>
        <v>8200</v>
      </c>
      <c r="L127" s="218"/>
    </row>
    <row r="128" spans="2:12">
      <c r="B128" s="188" t="s">
        <v>1235</v>
      </c>
      <c r="C128" s="189" t="s">
        <v>1271</v>
      </c>
      <c r="D128" s="190" t="s">
        <v>169</v>
      </c>
      <c r="E128" s="199">
        <v>1616.87</v>
      </c>
      <c r="F128" s="199"/>
      <c r="G128" s="199">
        <v>0.25</v>
      </c>
      <c r="H128" s="199">
        <v>30</v>
      </c>
      <c r="I128" s="199"/>
      <c r="J128" s="219"/>
      <c r="K128" s="217">
        <f t="shared" si="3"/>
        <v>12126.525</v>
      </c>
      <c r="L128" s="218"/>
    </row>
    <row r="129" spans="2:12">
      <c r="B129" s="188" t="s">
        <v>1235</v>
      </c>
      <c r="C129" s="189" t="s">
        <v>1271</v>
      </c>
      <c r="D129" s="190" t="s">
        <v>169</v>
      </c>
      <c r="E129" s="199">
        <v>922</v>
      </c>
      <c r="F129" s="199"/>
      <c r="G129" s="199">
        <v>0.5</v>
      </c>
      <c r="H129" s="199">
        <v>30</v>
      </c>
      <c r="I129" s="199"/>
      <c r="J129" s="219"/>
      <c r="K129" s="217">
        <f t="shared" si="3"/>
        <v>13830</v>
      </c>
      <c r="L129" s="218"/>
    </row>
    <row r="130" spans="2:12">
      <c r="B130" s="188" t="s">
        <v>1522</v>
      </c>
      <c r="C130" s="189" t="s">
        <v>1521</v>
      </c>
      <c r="D130" s="190" t="s">
        <v>169</v>
      </c>
      <c r="E130" s="199">
        <v>15</v>
      </c>
      <c r="F130" s="199"/>
      <c r="G130" s="199">
        <v>25</v>
      </c>
      <c r="H130" s="199">
        <v>30</v>
      </c>
      <c r="I130" s="199"/>
      <c r="J130" s="219"/>
      <c r="K130" s="217">
        <f t="shared" si="3"/>
        <v>11250</v>
      </c>
      <c r="L130" s="218"/>
    </row>
    <row r="131" spans="2:12">
      <c r="B131" s="188" t="s">
        <v>1522</v>
      </c>
      <c r="C131" s="189" t="s">
        <v>1521</v>
      </c>
      <c r="D131" s="190" t="s">
        <v>169</v>
      </c>
      <c r="E131" s="199">
        <v>15</v>
      </c>
      <c r="F131" s="199"/>
      <c r="G131" s="199">
        <v>25</v>
      </c>
      <c r="H131" s="199">
        <v>30</v>
      </c>
      <c r="I131" s="199"/>
      <c r="J131" s="219"/>
      <c r="K131" s="217">
        <f t="shared" si="3"/>
        <v>11250</v>
      </c>
      <c r="L131" s="218"/>
    </row>
    <row r="132" spans="2:12">
      <c r="B132" s="197"/>
      <c r="C132" s="189"/>
      <c r="D132" s="198"/>
      <c r="E132" s="199"/>
      <c r="F132" s="199"/>
      <c r="G132" s="199"/>
      <c r="H132" s="199"/>
      <c r="I132" s="199"/>
      <c r="J132" s="219"/>
      <c r="K132" s="217">
        <f t="shared" si="3"/>
        <v>0</v>
      </c>
      <c r="L132" s="218"/>
    </row>
    <row r="133" spans="2:12">
      <c r="B133" s="202"/>
      <c r="C133" s="203"/>
      <c r="D133" s="203"/>
      <c r="E133" s="203"/>
      <c r="F133" s="203"/>
      <c r="G133" s="203"/>
      <c r="H133" s="204"/>
      <c r="I133" s="556" t="s">
        <v>1221</v>
      </c>
      <c r="J133" s="556"/>
      <c r="K133" s="220">
        <f>SUM(K127:K132)</f>
        <v>56656.525000000001</v>
      </c>
      <c r="L133" s="207"/>
    </row>
    <row r="134" spans="2:12">
      <c r="B134" s="208"/>
      <c r="C134" s="204"/>
      <c r="D134" s="204"/>
      <c r="E134" s="204"/>
      <c r="F134" s="204"/>
      <c r="G134" s="204"/>
      <c r="H134" s="209"/>
      <c r="I134" s="557" t="s">
        <v>1222</v>
      </c>
      <c r="J134" s="557"/>
      <c r="K134" s="221">
        <v>119550</v>
      </c>
      <c r="L134" s="207"/>
    </row>
    <row r="135" spans="2:12">
      <c r="B135" s="208"/>
      <c r="C135" s="204"/>
      <c r="D135" s="204"/>
      <c r="E135" s="204"/>
      <c r="F135" s="204"/>
      <c r="G135" s="204"/>
      <c r="H135" s="558" t="s">
        <v>1223</v>
      </c>
      <c r="I135" s="558"/>
      <c r="J135" s="558"/>
      <c r="K135" s="222">
        <v>45406.525000000001</v>
      </c>
      <c r="L135" s="207"/>
    </row>
    <row r="136" spans="2:12">
      <c r="B136" s="208"/>
      <c r="C136" s="204"/>
      <c r="D136" s="204"/>
      <c r="E136" s="204"/>
      <c r="F136" s="204"/>
      <c r="G136" s="204"/>
      <c r="H136" s="558" t="s">
        <v>1579</v>
      </c>
      <c r="I136" s="558"/>
      <c r="J136" s="558"/>
      <c r="K136" s="222">
        <f>IF(K133&gt;K134,K134,K133)-K135</f>
        <v>11250</v>
      </c>
      <c r="L136" s="207"/>
    </row>
    <row r="137" spans="2:12">
      <c r="B137" s="213"/>
      <c r="C137" s="214"/>
      <c r="D137" s="214"/>
      <c r="E137" s="214"/>
      <c r="F137" s="214"/>
      <c r="G137" s="214"/>
      <c r="H137" s="559" t="s">
        <v>1224</v>
      </c>
      <c r="I137" s="559"/>
      <c r="J137" s="559"/>
      <c r="K137" s="223">
        <f>IF(K133&gt;K134,K133-K134,0)</f>
        <v>0</v>
      </c>
      <c r="L137" s="209"/>
    </row>
    <row r="139" spans="2:12" ht="14.25" customHeight="1">
      <c r="B139" s="555" t="s">
        <v>1241</v>
      </c>
      <c r="C139" s="555"/>
      <c r="D139" s="555"/>
      <c r="E139" s="555"/>
      <c r="F139" s="555"/>
      <c r="G139" s="555"/>
      <c r="H139" s="555"/>
      <c r="I139" s="555"/>
      <c r="J139" s="555"/>
      <c r="K139" s="555"/>
      <c r="L139" s="555"/>
    </row>
    <row r="140" spans="2:12">
      <c r="B140" s="187" t="s">
        <v>1209</v>
      </c>
      <c r="C140" s="187"/>
      <c r="D140" s="187" t="s">
        <v>39</v>
      </c>
      <c r="E140" s="187" t="s">
        <v>1210</v>
      </c>
      <c r="F140" s="187" t="s">
        <v>1211</v>
      </c>
      <c r="G140" s="187" t="s">
        <v>1212</v>
      </c>
      <c r="H140" s="187" t="s">
        <v>1213</v>
      </c>
      <c r="I140" s="187" t="s">
        <v>1214</v>
      </c>
      <c r="J140" s="187" t="s">
        <v>1215</v>
      </c>
      <c r="K140" s="187" t="s">
        <v>1216</v>
      </c>
      <c r="L140" s="187" t="s">
        <v>1217</v>
      </c>
    </row>
    <row r="141" spans="2:12">
      <c r="B141" s="188" t="s">
        <v>117</v>
      </c>
      <c r="C141" s="189" t="s">
        <v>1240</v>
      </c>
      <c r="D141" s="190" t="s">
        <v>82</v>
      </c>
      <c r="E141" s="191">
        <v>10</v>
      </c>
      <c r="F141" s="192">
        <f>45/40</f>
        <v>1.125</v>
      </c>
      <c r="G141" s="192"/>
      <c r="H141" s="191">
        <v>147</v>
      </c>
      <c r="I141" s="191"/>
      <c r="J141" s="216"/>
      <c r="K141" s="217">
        <f>IF(E141*F141*G141&lt;&gt;0,E141*F141*G141,IF(E141*F141&lt;&gt;0,E141*F141,IF(F141*G141&lt;&gt;0,F141*G141,IF(E141*G141&lt;&gt;0,E141*G141,IF(E141&lt;&gt;0,E141,IF(F141&lt;&gt;0,F141,IF(G141&lt;&gt;0,G141,0)))))))*(IF(H141&lt;&gt;0,H141,1))+I141-J141</f>
        <v>1653.75</v>
      </c>
      <c r="L141" s="218"/>
    </row>
    <row r="142" spans="2:12">
      <c r="B142" s="188" t="s">
        <v>117</v>
      </c>
      <c r="C142" s="189" t="s">
        <v>1271</v>
      </c>
      <c r="D142" s="190" t="s">
        <v>82</v>
      </c>
      <c r="E142" s="191">
        <v>10</v>
      </c>
      <c r="F142" s="192">
        <f>45/40</f>
        <v>1.125</v>
      </c>
      <c r="G142" s="192"/>
      <c r="H142" s="191">
        <f>173-147</f>
        <v>26</v>
      </c>
      <c r="I142" s="191"/>
      <c r="J142" s="216"/>
      <c r="K142" s="217">
        <f>IF(E142*F142*G142&lt;&gt;0,E142*F142*G142,IF(E142*F142&lt;&gt;0,E142*F142,IF(F142*G142&lt;&gt;0,F142*G142,IF(E142*G142&lt;&gt;0,E142*G142,IF(E142&lt;&gt;0,E142,IF(F142&lt;&gt;0,F142,IF(G142&lt;&gt;0,G142,0)))))))*(IF(H142&lt;&gt;0,H142,1))+I142-J142</f>
        <v>292.5</v>
      </c>
      <c r="L142" s="218"/>
    </row>
    <row r="143" spans="2:12">
      <c r="B143" s="197"/>
      <c r="C143" s="189"/>
      <c r="D143" s="198"/>
      <c r="E143" s="199"/>
      <c r="F143" s="199"/>
      <c r="G143" s="199"/>
      <c r="H143" s="199"/>
      <c r="I143" s="199"/>
      <c r="J143" s="219"/>
      <c r="K143" s="217">
        <f>IF(E143*F143*G143&lt;&gt;0,E143*F143*G143,IF(E143*F143&lt;&gt;0,E143*F143,IF(F143*G143&lt;&gt;0,F143*G143,IF(E143*G143&lt;&gt;0,E143*G143,IF(E143&lt;&gt;0,E143,IF(F143&lt;&gt;0,F143,IF(G143&lt;&gt;0,G143,0)))))))*(IF(H143&lt;&gt;0,H143,1))+I143-J143</f>
        <v>0</v>
      </c>
      <c r="L143" s="218"/>
    </row>
    <row r="144" spans="2:12">
      <c r="B144" s="202"/>
      <c r="C144" s="203"/>
      <c r="D144" s="203"/>
      <c r="E144" s="203"/>
      <c r="F144" s="203"/>
      <c r="G144" s="203"/>
      <c r="H144" s="204"/>
      <c r="I144" s="556" t="s">
        <v>1221</v>
      </c>
      <c r="J144" s="556"/>
      <c r="K144" s="220">
        <f>SUM(K141:K143)</f>
        <v>1946.25</v>
      </c>
      <c r="L144" s="207"/>
    </row>
    <row r="145" spans="2:12">
      <c r="B145" s="208"/>
      <c r="C145" s="204"/>
      <c r="D145" s="204"/>
      <c r="E145" s="204"/>
      <c r="F145" s="204"/>
      <c r="G145" s="204"/>
      <c r="H145" s="209"/>
      <c r="I145" s="557" t="s">
        <v>1222</v>
      </c>
      <c r="J145" s="557"/>
      <c r="K145" s="221">
        <v>1837</v>
      </c>
      <c r="L145" s="207"/>
    </row>
    <row r="146" spans="2:12">
      <c r="B146" s="208"/>
      <c r="C146" s="204"/>
      <c r="D146" s="204"/>
      <c r="E146" s="204"/>
      <c r="F146" s="204"/>
      <c r="G146" s="204"/>
      <c r="H146" s="558" t="s">
        <v>1223</v>
      </c>
      <c r="I146" s="558"/>
      <c r="J146" s="558"/>
      <c r="K146" s="222">
        <v>1653.75</v>
      </c>
      <c r="L146" s="207"/>
    </row>
    <row r="147" spans="2:12">
      <c r="B147" s="208"/>
      <c r="C147" s="204"/>
      <c r="D147" s="204"/>
      <c r="E147" s="204"/>
      <c r="F147" s="204"/>
      <c r="G147" s="204"/>
      <c r="H147" s="558" t="s">
        <v>1199</v>
      </c>
      <c r="I147" s="558"/>
      <c r="J147" s="558"/>
      <c r="K147" s="222">
        <f>IF(K144&gt;K145,K145,K144)-K146</f>
        <v>183.25</v>
      </c>
      <c r="L147" s="207"/>
    </row>
    <row r="148" spans="2:12">
      <c r="B148" s="213"/>
      <c r="C148" s="214"/>
      <c r="D148" s="214"/>
      <c r="E148" s="214"/>
      <c r="F148" s="214"/>
      <c r="G148" s="214"/>
      <c r="H148" s="559" t="s">
        <v>1224</v>
      </c>
      <c r="I148" s="559"/>
      <c r="J148" s="559"/>
      <c r="K148" s="223">
        <f>IF(K144&gt;K145,K144-K145,0)</f>
        <v>109.25</v>
      </c>
      <c r="L148" s="209"/>
    </row>
    <row r="150" spans="2:12" ht="14.25" customHeight="1">
      <c r="B150" s="555" t="s">
        <v>1242</v>
      </c>
      <c r="C150" s="555"/>
      <c r="D150" s="555"/>
      <c r="E150" s="555"/>
      <c r="F150" s="555"/>
      <c r="G150" s="555"/>
      <c r="H150" s="555"/>
      <c r="I150" s="555"/>
      <c r="J150" s="555"/>
      <c r="K150" s="555"/>
      <c r="L150" s="555"/>
    </row>
    <row r="151" spans="2:12">
      <c r="B151" s="187" t="s">
        <v>1209</v>
      </c>
      <c r="C151" s="187"/>
      <c r="D151" s="187" t="s">
        <v>39</v>
      </c>
      <c r="E151" s="187" t="s">
        <v>1210</v>
      </c>
      <c r="F151" s="187" t="s">
        <v>1211</v>
      </c>
      <c r="G151" s="187" t="s">
        <v>1212</v>
      </c>
      <c r="H151" s="187" t="s">
        <v>1213</v>
      </c>
      <c r="I151" s="187" t="s">
        <v>1214</v>
      </c>
      <c r="J151" s="187" t="s">
        <v>1215</v>
      </c>
      <c r="K151" s="187" t="s">
        <v>1216</v>
      </c>
      <c r="L151" s="187" t="s">
        <v>1217</v>
      </c>
    </row>
    <row r="152" spans="2:12">
      <c r="B152" s="188" t="s">
        <v>117</v>
      </c>
      <c r="C152" s="189" t="s">
        <v>1240</v>
      </c>
      <c r="D152" s="190" t="s">
        <v>110</v>
      </c>
      <c r="E152" s="191">
        <f>K147</f>
        <v>183.25</v>
      </c>
      <c r="F152" s="192">
        <v>0.16</v>
      </c>
      <c r="G152" s="192"/>
      <c r="H152" s="191"/>
      <c r="I152" s="191"/>
      <c r="J152" s="216"/>
      <c r="K152" s="217">
        <f>IF(E152*F152*G152&lt;&gt;0,E152*F152*G152,IF(E152*F152&lt;&gt;0,E152*F152,IF(F152*G152&lt;&gt;0,F152*G152,IF(E152*G152&lt;&gt;0,E152*G152,IF(E152&lt;&gt;0,E152,IF(F152&lt;&gt;0,F152,IF(G152&lt;&gt;0,G152,0)))))))*(IF(H152&lt;&gt;0,H152,1))+I152-J152</f>
        <v>29.32</v>
      </c>
      <c r="L152" s="218"/>
    </row>
    <row r="153" spans="2:12">
      <c r="B153" s="197"/>
      <c r="C153" s="189"/>
      <c r="D153" s="198"/>
      <c r="E153" s="199"/>
      <c r="F153" s="199"/>
      <c r="G153" s="199"/>
      <c r="H153" s="199"/>
      <c r="I153" s="199"/>
      <c r="J153" s="219"/>
      <c r="K153" s="217">
        <f>IF(E153*F153*G153&lt;&gt;0,E153*F153*G153,IF(E153*F153&lt;&gt;0,E153*F153,IF(F153*G153&lt;&gt;0,F153*G153,IF(E153*G153&lt;&gt;0,E153*G153,IF(E153&lt;&gt;0,E153,IF(F153&lt;&gt;0,F153,IF(G153&lt;&gt;0,G153,0)))))))*(IF(H153&lt;&gt;0,H153,1))+I153-J153</f>
        <v>0</v>
      </c>
      <c r="L153" s="218"/>
    </row>
    <row r="154" spans="2:12">
      <c r="B154" s="202"/>
      <c r="C154" s="203"/>
      <c r="D154" s="203"/>
      <c r="E154" s="203"/>
      <c r="F154" s="203"/>
      <c r="G154" s="203"/>
      <c r="H154" s="204"/>
      <c r="I154" s="556" t="s">
        <v>1221</v>
      </c>
      <c r="J154" s="556"/>
      <c r="K154" s="220">
        <f>SUM(K152:K153)</f>
        <v>29.32</v>
      </c>
      <c r="L154" s="207"/>
    </row>
    <row r="155" spans="2:12">
      <c r="B155" s="208"/>
      <c r="C155" s="204"/>
      <c r="D155" s="204"/>
      <c r="E155" s="204"/>
      <c r="F155" s="204"/>
      <c r="G155" s="204"/>
      <c r="H155" s="209"/>
      <c r="I155" s="557" t="s">
        <v>1222</v>
      </c>
      <c r="J155" s="557"/>
      <c r="K155" s="221">
        <v>293.92</v>
      </c>
      <c r="L155" s="207"/>
    </row>
    <row r="156" spans="2:12">
      <c r="B156" s="208"/>
      <c r="C156" s="204"/>
      <c r="D156" s="204"/>
      <c r="E156" s="204"/>
      <c r="F156" s="204"/>
      <c r="G156" s="204"/>
      <c r="H156" s="558" t="s">
        <v>1223</v>
      </c>
      <c r="I156" s="558"/>
      <c r="J156" s="558"/>
      <c r="K156" s="222"/>
      <c r="L156" s="207"/>
    </row>
    <row r="157" spans="2:12">
      <c r="B157" s="208"/>
      <c r="C157" s="204"/>
      <c r="D157" s="204"/>
      <c r="E157" s="204"/>
      <c r="F157" s="204"/>
      <c r="G157" s="204"/>
      <c r="H157" s="558" t="s">
        <v>1199</v>
      </c>
      <c r="I157" s="558"/>
      <c r="J157" s="558"/>
      <c r="K157" s="222">
        <f>IF(K154&gt;K155,K155,K154)-K156</f>
        <v>29.32</v>
      </c>
      <c r="L157" s="207"/>
    </row>
    <row r="158" spans="2:12">
      <c r="B158" s="213"/>
      <c r="C158" s="214"/>
      <c r="D158" s="214"/>
      <c r="E158" s="214"/>
      <c r="F158" s="214"/>
      <c r="G158" s="214"/>
      <c r="H158" s="559" t="s">
        <v>1224</v>
      </c>
      <c r="I158" s="559"/>
      <c r="J158" s="559"/>
      <c r="K158" s="223">
        <f>IF(K154&gt;K155,K154-K155,0)</f>
        <v>0</v>
      </c>
      <c r="L158" s="209"/>
    </row>
    <row r="160" spans="2:12" ht="14.25" customHeight="1">
      <c r="B160" s="555" t="s">
        <v>1243</v>
      </c>
      <c r="C160" s="555"/>
      <c r="D160" s="555"/>
      <c r="E160" s="555"/>
      <c r="F160" s="555"/>
      <c r="G160" s="555"/>
      <c r="H160" s="555"/>
      <c r="I160" s="555"/>
      <c r="J160" s="555"/>
      <c r="K160" s="555"/>
      <c r="L160" s="555"/>
    </row>
    <row r="161" spans="2:12">
      <c r="B161" s="187" t="s">
        <v>1209</v>
      </c>
      <c r="C161" s="187"/>
      <c r="D161" s="187" t="s">
        <v>39</v>
      </c>
      <c r="E161" s="187" t="s">
        <v>1210</v>
      </c>
      <c r="F161" s="187" t="s">
        <v>1211</v>
      </c>
      <c r="G161" s="187" t="s">
        <v>1212</v>
      </c>
      <c r="H161" s="187" t="s">
        <v>1213</v>
      </c>
      <c r="I161" s="187" t="s">
        <v>1214</v>
      </c>
      <c r="J161" s="187" t="s">
        <v>1215</v>
      </c>
      <c r="K161" s="187" t="s">
        <v>1216</v>
      </c>
      <c r="L161" s="187" t="s">
        <v>1217</v>
      </c>
    </row>
    <row r="162" spans="2:12">
      <c r="B162" s="188" t="s">
        <v>117</v>
      </c>
      <c r="C162" s="189" t="s">
        <v>1240</v>
      </c>
      <c r="D162" s="190" t="s">
        <v>113</v>
      </c>
      <c r="E162" s="191">
        <f>K147</f>
        <v>183.25</v>
      </c>
      <c r="F162" s="192">
        <v>0.16</v>
      </c>
      <c r="G162" s="192"/>
      <c r="H162" s="191">
        <v>30</v>
      </c>
      <c r="I162" s="191"/>
      <c r="J162" s="216"/>
      <c r="K162" s="217">
        <f>IF(E162*F162*G162&lt;&gt;0,E162*F162*G162,IF(E162*F162&lt;&gt;0,E162*F162,IF(F162*G162&lt;&gt;0,F162*G162,IF(E162*G162&lt;&gt;0,E162*G162,IF(E162&lt;&gt;0,E162,IF(F162&lt;&gt;0,F162,IF(G162&lt;&gt;0,G162,0)))))))*(IF(H162&lt;&gt;0,H162,1))+I162-J162</f>
        <v>879.6</v>
      </c>
      <c r="L162" s="218"/>
    </row>
    <row r="163" spans="2:12">
      <c r="B163" s="197"/>
      <c r="C163" s="189"/>
      <c r="D163" s="198"/>
      <c r="E163" s="199"/>
      <c r="F163" s="199"/>
      <c r="G163" s="199"/>
      <c r="H163" s="199"/>
      <c r="I163" s="199"/>
      <c r="J163" s="219"/>
      <c r="K163" s="217">
        <f>IF(E163*F163*G163&lt;&gt;0,E163*F163*G163,IF(E163*F163&lt;&gt;0,E163*F163,IF(F163*G163&lt;&gt;0,F163*G163,IF(E163*G163&lt;&gt;0,E163*G163,IF(E163&lt;&gt;0,E163,IF(F163&lt;&gt;0,F163,IF(G163&lt;&gt;0,G163,0)))))))*(IF(H163&lt;&gt;0,H163,1))+I163-J163</f>
        <v>0</v>
      </c>
      <c r="L163" s="218"/>
    </row>
    <row r="164" spans="2:12">
      <c r="B164" s="202"/>
      <c r="C164" s="203"/>
      <c r="D164" s="203"/>
      <c r="E164" s="203"/>
      <c r="F164" s="203"/>
      <c r="G164" s="203"/>
      <c r="H164" s="204"/>
      <c r="I164" s="556" t="s">
        <v>1221</v>
      </c>
      <c r="J164" s="556"/>
      <c r="K164" s="220">
        <f>SUM(K162:K163)</f>
        <v>879.6</v>
      </c>
      <c r="L164" s="207"/>
    </row>
    <row r="165" spans="2:12">
      <c r="B165" s="208"/>
      <c r="C165" s="204"/>
      <c r="D165" s="204"/>
      <c r="E165" s="204"/>
      <c r="F165" s="204"/>
      <c r="G165" s="204"/>
      <c r="H165" s="209"/>
      <c r="I165" s="557" t="s">
        <v>1222</v>
      </c>
      <c r="J165" s="557"/>
      <c r="K165" s="221">
        <v>8817.6</v>
      </c>
      <c r="L165" s="207"/>
    </row>
    <row r="166" spans="2:12">
      <c r="B166" s="208"/>
      <c r="C166" s="204"/>
      <c r="D166" s="204"/>
      <c r="E166" s="204"/>
      <c r="F166" s="204"/>
      <c r="G166" s="204"/>
      <c r="H166" s="558" t="s">
        <v>1223</v>
      </c>
      <c r="I166" s="558"/>
      <c r="J166" s="558"/>
      <c r="K166" s="222"/>
      <c r="L166" s="207"/>
    </row>
    <row r="167" spans="2:12">
      <c r="B167" s="208"/>
      <c r="C167" s="204"/>
      <c r="D167" s="204"/>
      <c r="E167" s="204"/>
      <c r="F167" s="204"/>
      <c r="G167" s="204"/>
      <c r="H167" s="558" t="s">
        <v>1199</v>
      </c>
      <c r="I167" s="558"/>
      <c r="J167" s="558"/>
      <c r="K167" s="222">
        <f>IF(K164&gt;K165,K165,K164)-K166</f>
        <v>879.6</v>
      </c>
      <c r="L167" s="207"/>
    </row>
    <row r="168" spans="2:12">
      <c r="B168" s="213"/>
      <c r="C168" s="214"/>
      <c r="D168" s="214"/>
      <c r="E168" s="214"/>
      <c r="F168" s="214"/>
      <c r="G168" s="214"/>
      <c r="H168" s="559" t="s">
        <v>1224</v>
      </c>
      <c r="I168" s="559"/>
      <c r="J168" s="559"/>
      <c r="K168" s="223">
        <f>IF(K164&gt;K165,K164-K165,0)</f>
        <v>0</v>
      </c>
      <c r="L168" s="209"/>
    </row>
    <row r="170" spans="2:12" ht="14.25" customHeight="1">
      <c r="B170" s="555" t="s">
        <v>1244</v>
      </c>
      <c r="C170" s="555"/>
      <c r="D170" s="555"/>
      <c r="E170" s="555"/>
      <c r="F170" s="555"/>
      <c r="G170" s="555"/>
      <c r="H170" s="555"/>
      <c r="I170" s="555"/>
      <c r="J170" s="555"/>
      <c r="K170" s="555"/>
      <c r="L170" s="555"/>
    </row>
    <row r="171" spans="2:12">
      <c r="B171" s="187" t="s">
        <v>1209</v>
      </c>
      <c r="C171" s="187"/>
      <c r="D171" s="187" t="s">
        <v>39</v>
      </c>
      <c r="E171" s="187" t="s">
        <v>1210</v>
      </c>
      <c r="F171" s="187" t="s">
        <v>1211</v>
      </c>
      <c r="G171" s="187" t="s">
        <v>1212</v>
      </c>
      <c r="H171" s="187" t="s">
        <v>1213</v>
      </c>
      <c r="I171" s="187" t="s">
        <v>1214</v>
      </c>
      <c r="J171" s="187" t="s">
        <v>1215</v>
      </c>
      <c r="K171" s="187" t="s">
        <v>1216</v>
      </c>
      <c r="L171" s="187" t="s">
        <v>1217</v>
      </c>
    </row>
    <row r="172" spans="2:12">
      <c r="B172" s="188" t="s">
        <v>117</v>
      </c>
      <c r="C172" s="189" t="s">
        <v>1240</v>
      </c>
      <c r="D172" s="190" t="s">
        <v>39</v>
      </c>
      <c r="E172" s="191"/>
      <c r="F172" s="192"/>
      <c r="G172" s="192"/>
      <c r="H172" s="191"/>
      <c r="I172" s="191">
        <v>40</v>
      </c>
      <c r="J172" s="216"/>
      <c r="K172" s="217">
        <f>IF(E172*F172*G172&lt;&gt;0,E172*F172*G172,IF(E172*F172&lt;&gt;0,E172*F172,IF(F172*G172&lt;&gt;0,F172*G172,IF(E172*G172&lt;&gt;0,E172*G172,IF(E172&lt;&gt;0,E172,IF(F172&lt;&gt;0,F172,IF(G172&lt;&gt;0,G172,0)))))))*(IF(H172&lt;&gt;0,H172,1))+I172-J172</f>
        <v>40</v>
      </c>
      <c r="L172" s="218"/>
    </row>
    <row r="173" spans="2:12">
      <c r="B173" s="188" t="s">
        <v>117</v>
      </c>
      <c r="C173" s="189" t="s">
        <v>1271</v>
      </c>
      <c r="D173" s="190" t="s">
        <v>39</v>
      </c>
      <c r="E173" s="191"/>
      <c r="F173" s="192"/>
      <c r="G173" s="192"/>
      <c r="H173" s="191"/>
      <c r="I173" s="191">
        <f>133</f>
        <v>133</v>
      </c>
      <c r="J173" s="216"/>
      <c r="K173" s="217">
        <f>IF(E173*F173*G173&lt;&gt;0,E173*F173*G173,IF(E173*F173&lt;&gt;0,E173*F173,IF(F173*G173&lt;&gt;0,F173*G173,IF(E173*G173&lt;&gt;0,E173*G173,IF(E173&lt;&gt;0,E173,IF(F173&lt;&gt;0,F173,IF(G173&lt;&gt;0,G173,0)))))))*(IF(H173&lt;&gt;0,H173,1))+I173-J173</f>
        <v>133</v>
      </c>
      <c r="L173" s="218"/>
    </row>
    <row r="174" spans="2:12">
      <c r="B174" s="197"/>
      <c r="C174" s="189"/>
      <c r="D174" s="198"/>
      <c r="E174" s="199"/>
      <c r="F174" s="199"/>
      <c r="G174" s="199"/>
      <c r="H174" s="199"/>
      <c r="I174" s="199"/>
      <c r="J174" s="219"/>
      <c r="K174" s="217">
        <f>IF(E174*F174*G174&lt;&gt;0,E174*F174*G174,IF(E174*F174&lt;&gt;0,E174*F174,IF(F174*G174&lt;&gt;0,F174*G174,IF(E174*G174&lt;&gt;0,E174*G174,IF(E174&lt;&gt;0,E174,IF(F174&lt;&gt;0,F174,IF(G174&lt;&gt;0,G174,0)))))))*(IF(H174&lt;&gt;0,H174,1))+I174-J174</f>
        <v>0</v>
      </c>
      <c r="L174" s="218"/>
    </row>
    <row r="175" spans="2:12">
      <c r="B175" s="202"/>
      <c r="C175" s="203"/>
      <c r="D175" s="203"/>
      <c r="E175" s="203"/>
      <c r="F175" s="203"/>
      <c r="G175" s="203"/>
      <c r="H175" s="204"/>
      <c r="I175" s="556" t="s">
        <v>1221</v>
      </c>
      <c r="J175" s="556"/>
      <c r="K175" s="220">
        <f>SUM(K172:K174)</f>
        <v>173</v>
      </c>
      <c r="L175" s="207"/>
    </row>
    <row r="176" spans="2:12">
      <c r="B176" s="208"/>
      <c r="C176" s="204"/>
      <c r="D176" s="204"/>
      <c r="E176" s="204"/>
      <c r="F176" s="204"/>
      <c r="G176" s="204"/>
      <c r="H176" s="209"/>
      <c r="I176" s="557" t="s">
        <v>1222</v>
      </c>
      <c r="J176" s="557"/>
      <c r="K176" s="221">
        <v>167</v>
      </c>
      <c r="L176" s="207"/>
    </row>
    <row r="177" spans="2:12">
      <c r="B177" s="208"/>
      <c r="C177" s="204"/>
      <c r="D177" s="204"/>
      <c r="E177" s="204"/>
      <c r="F177" s="204"/>
      <c r="G177" s="204"/>
      <c r="H177" s="558" t="s">
        <v>1223</v>
      </c>
      <c r="I177" s="558"/>
      <c r="J177" s="558"/>
      <c r="K177" s="222">
        <v>40</v>
      </c>
      <c r="L177" s="207"/>
    </row>
    <row r="178" spans="2:12">
      <c r="B178" s="208"/>
      <c r="C178" s="204"/>
      <c r="D178" s="204"/>
      <c r="E178" s="204"/>
      <c r="F178" s="204"/>
      <c r="G178" s="204"/>
      <c r="H178" s="558" t="s">
        <v>1199</v>
      </c>
      <c r="I178" s="558"/>
      <c r="J178" s="558"/>
      <c r="K178" s="222">
        <f>IF(K175&gt;K176,K176,K175)-K177</f>
        <v>127</v>
      </c>
      <c r="L178" s="207"/>
    </row>
    <row r="179" spans="2:12">
      <c r="B179" s="213"/>
      <c r="C179" s="214"/>
      <c r="D179" s="214"/>
      <c r="E179" s="214"/>
      <c r="F179" s="214"/>
      <c r="G179" s="214"/>
      <c r="H179" s="559" t="s">
        <v>1224</v>
      </c>
      <c r="I179" s="559"/>
      <c r="J179" s="559"/>
      <c r="K179" s="223">
        <f>IF(K175&gt;K176,K175-K176,0)</f>
        <v>6</v>
      </c>
      <c r="L179" s="209"/>
    </row>
    <row r="181" spans="2:12" ht="14.25" customHeight="1">
      <c r="B181" s="555" t="s">
        <v>1245</v>
      </c>
      <c r="C181" s="555"/>
      <c r="D181" s="555"/>
      <c r="E181" s="555"/>
      <c r="F181" s="555"/>
      <c r="G181" s="555"/>
      <c r="H181" s="555"/>
      <c r="I181" s="555"/>
      <c r="J181" s="555"/>
      <c r="K181" s="555"/>
      <c r="L181" s="555"/>
    </row>
    <row r="182" spans="2:12">
      <c r="B182" s="187" t="s">
        <v>1209</v>
      </c>
      <c r="C182" s="187"/>
      <c r="D182" s="187" t="s">
        <v>39</v>
      </c>
      <c r="E182" s="187" t="s">
        <v>1210</v>
      </c>
      <c r="F182" s="187" t="s">
        <v>1211</v>
      </c>
      <c r="G182" s="187" t="s">
        <v>1212</v>
      </c>
      <c r="H182" s="187" t="s">
        <v>1213</v>
      </c>
      <c r="I182" s="187" t="s">
        <v>1214</v>
      </c>
      <c r="J182" s="187" t="s">
        <v>1215</v>
      </c>
      <c r="K182" s="187" t="s">
        <v>1216</v>
      </c>
      <c r="L182" s="187" t="s">
        <v>1217</v>
      </c>
    </row>
    <row r="183" spans="2:12">
      <c r="B183" s="188" t="s">
        <v>1246</v>
      </c>
      <c r="C183" s="189" t="s">
        <v>1240</v>
      </c>
      <c r="D183" s="190" t="s">
        <v>39</v>
      </c>
      <c r="E183" s="191"/>
      <c r="F183" s="192"/>
      <c r="G183" s="192"/>
      <c r="H183" s="191"/>
      <c r="I183" s="191">
        <v>1</v>
      </c>
      <c r="J183" s="216"/>
      <c r="K183" s="217">
        <f>IF(E183*F183*G183&lt;&gt;0,E183*F183*G183,IF(E183*F183&lt;&gt;0,E183*F183,IF(F183*G183&lt;&gt;0,F183*G183,IF(E183*G183&lt;&gt;0,E183*G183,IF(E183&lt;&gt;0,E183,IF(F183&lt;&gt;0,F183,IF(G183&lt;&gt;0,G183,0)))))))*(IF(H183&lt;&gt;0,H183,1))+I183-J183</f>
        <v>1</v>
      </c>
      <c r="L183" s="218"/>
    </row>
    <row r="184" spans="2:12">
      <c r="B184" s="188" t="s">
        <v>1246</v>
      </c>
      <c r="C184" s="189" t="s">
        <v>1271</v>
      </c>
      <c r="D184" s="190" t="s">
        <v>39</v>
      </c>
      <c r="E184" s="191"/>
      <c r="F184" s="192"/>
      <c r="G184" s="192"/>
      <c r="H184" s="191"/>
      <c r="I184" s="191">
        <v>1</v>
      </c>
      <c r="J184" s="216"/>
      <c r="K184" s="217">
        <f>IF(E184*F184*G184&lt;&gt;0,E184*F184*G184,IF(E184*F184&lt;&gt;0,E184*F184,IF(F184*G184&lt;&gt;0,F184*G184,IF(E184*G184&lt;&gt;0,E184*G184,IF(E184&lt;&gt;0,E184,IF(F184&lt;&gt;0,F184,IF(G184&lt;&gt;0,G184,0)))))))*(IF(H184&lt;&gt;0,H184,1))+I184-J184</f>
        <v>1</v>
      </c>
      <c r="L184" s="218"/>
    </row>
    <row r="185" spans="2:12">
      <c r="B185" s="197"/>
      <c r="C185" s="189"/>
      <c r="D185" s="198"/>
      <c r="E185" s="199"/>
      <c r="F185" s="199"/>
      <c r="G185" s="199"/>
      <c r="H185" s="199"/>
      <c r="I185" s="199"/>
      <c r="J185" s="219"/>
      <c r="K185" s="217">
        <f>IF(E185*F185*G185&lt;&gt;0,E185*F185*G185,IF(E185*F185&lt;&gt;0,E185*F185,IF(F185*G185&lt;&gt;0,F185*G185,IF(E185*G185&lt;&gt;0,E185*G185,IF(E185&lt;&gt;0,E185,IF(F185&lt;&gt;0,F185,IF(G185&lt;&gt;0,G185,0)))))))*(IF(H185&lt;&gt;0,H185,1))+I185-J185</f>
        <v>0</v>
      </c>
      <c r="L185" s="218"/>
    </row>
    <row r="186" spans="2:12">
      <c r="B186" s="202"/>
      <c r="C186" s="203"/>
      <c r="D186" s="203"/>
      <c r="E186" s="203"/>
      <c r="F186" s="203"/>
      <c r="G186" s="203"/>
      <c r="H186" s="204"/>
      <c r="I186" s="556" t="s">
        <v>1221</v>
      </c>
      <c r="J186" s="556"/>
      <c r="K186" s="220">
        <f>SUM(K183:K185)</f>
        <v>2</v>
      </c>
      <c r="L186" s="207"/>
    </row>
    <row r="187" spans="2:12">
      <c r="B187" s="208"/>
      <c r="C187" s="204"/>
      <c r="D187" s="204"/>
      <c r="E187" s="204"/>
      <c r="F187" s="204"/>
      <c r="G187" s="204"/>
      <c r="H187" s="209"/>
      <c r="I187" s="557" t="s">
        <v>1222</v>
      </c>
      <c r="J187" s="557"/>
      <c r="K187" s="221">
        <v>2</v>
      </c>
      <c r="L187" s="207"/>
    </row>
    <row r="188" spans="2:12">
      <c r="B188" s="208"/>
      <c r="C188" s="204"/>
      <c r="D188" s="204"/>
      <c r="E188" s="204"/>
      <c r="F188" s="204"/>
      <c r="G188" s="204"/>
      <c r="H188" s="558" t="s">
        <v>1223</v>
      </c>
      <c r="I188" s="558"/>
      <c r="J188" s="558"/>
      <c r="K188" s="222">
        <v>1</v>
      </c>
      <c r="L188" s="207"/>
    </row>
    <row r="189" spans="2:12">
      <c r="B189" s="208"/>
      <c r="C189" s="204"/>
      <c r="D189" s="204"/>
      <c r="E189" s="204"/>
      <c r="F189" s="204"/>
      <c r="G189" s="204"/>
      <c r="H189" s="558" t="s">
        <v>1199</v>
      </c>
      <c r="I189" s="558"/>
      <c r="J189" s="558"/>
      <c r="K189" s="222">
        <f>IF(K186&gt;K187,K187,K186)-K188</f>
        <v>1</v>
      </c>
      <c r="L189" s="207"/>
    </row>
    <row r="190" spans="2:12">
      <c r="B190" s="213"/>
      <c r="C190" s="214"/>
      <c r="D190" s="214"/>
      <c r="E190" s="214"/>
      <c r="F190" s="214"/>
      <c r="G190" s="214"/>
      <c r="H190" s="559" t="s">
        <v>1224</v>
      </c>
      <c r="I190" s="559"/>
      <c r="J190" s="559"/>
      <c r="K190" s="223">
        <f>IF(K186&gt;K187,K186-K187,0)</f>
        <v>0</v>
      </c>
      <c r="L190" s="209"/>
    </row>
    <row r="192" spans="2:12" ht="14.25" customHeight="1">
      <c r="B192" s="555" t="s">
        <v>1334</v>
      </c>
      <c r="C192" s="555"/>
      <c r="D192" s="555"/>
      <c r="E192" s="555"/>
      <c r="F192" s="555"/>
      <c r="G192" s="555"/>
      <c r="H192" s="555"/>
      <c r="I192" s="555"/>
      <c r="J192" s="555"/>
      <c r="K192" s="555"/>
      <c r="L192" s="555"/>
    </row>
    <row r="193" spans="2:12">
      <c r="B193" s="187" t="s">
        <v>1209</v>
      </c>
      <c r="C193" s="187"/>
      <c r="D193" s="187" t="s">
        <v>39</v>
      </c>
      <c r="E193" s="187" t="s">
        <v>1210</v>
      </c>
      <c r="F193" s="187" t="s">
        <v>1211</v>
      </c>
      <c r="G193" s="187" t="s">
        <v>1212</v>
      </c>
      <c r="H193" s="187" t="s">
        <v>1213</v>
      </c>
      <c r="I193" s="187" t="s">
        <v>1214</v>
      </c>
      <c r="J193" s="187" t="s">
        <v>1215</v>
      </c>
      <c r="K193" s="187" t="s">
        <v>1216</v>
      </c>
      <c r="L193" s="187" t="s">
        <v>1217</v>
      </c>
    </row>
    <row r="194" spans="2:12">
      <c r="B194" s="197" t="s">
        <v>1285</v>
      </c>
      <c r="C194" s="189" t="s">
        <v>1271</v>
      </c>
      <c r="D194" s="198" t="s">
        <v>1335</v>
      </c>
      <c r="E194" s="199">
        <v>2.2999999999999998</v>
      </c>
      <c r="F194" s="199">
        <v>1.3</v>
      </c>
      <c r="G194" s="199"/>
      <c r="H194" s="199"/>
      <c r="I194" s="199"/>
      <c r="J194" s="219"/>
      <c r="K194" s="217">
        <f t="shared" ref="K194:K225" si="4">IF(E194*F194*G194&lt;&gt;0,E194*F194*G194,IF(E194*F194&lt;&gt;0,E194*F194,IF(F194*G194&lt;&gt;0,F194*G194,IF(E194*G194&lt;&gt;0,E194*G194,IF(E194&lt;&gt;0,E194,IF(F194&lt;&gt;0,F194,IF(G194&lt;&gt;0,G194,0)))))))*(IF(H194&lt;&gt;0,H194,1))+I194-J194</f>
        <v>2.9899999999999998</v>
      </c>
      <c r="L194" s="218"/>
    </row>
    <row r="195" spans="2:12">
      <c r="B195" s="197" t="s">
        <v>1286</v>
      </c>
      <c r="C195" s="189" t="s">
        <v>1271</v>
      </c>
      <c r="D195" s="198" t="s">
        <v>1335</v>
      </c>
      <c r="E195" s="199">
        <v>2.6</v>
      </c>
      <c r="F195" s="199">
        <v>2.6</v>
      </c>
      <c r="G195" s="199"/>
      <c r="H195" s="199"/>
      <c r="I195" s="199"/>
      <c r="J195" s="219"/>
      <c r="K195" s="217">
        <f t="shared" si="4"/>
        <v>6.7600000000000007</v>
      </c>
      <c r="L195" s="218"/>
    </row>
    <row r="196" spans="2:12">
      <c r="B196" s="197" t="s">
        <v>1287</v>
      </c>
      <c r="C196" s="189" t="s">
        <v>1271</v>
      </c>
      <c r="D196" s="198" t="s">
        <v>1335</v>
      </c>
      <c r="E196" s="199">
        <v>2.6</v>
      </c>
      <c r="F196" s="199">
        <v>2.6</v>
      </c>
      <c r="G196" s="199"/>
      <c r="H196" s="199"/>
      <c r="I196" s="199"/>
      <c r="J196" s="219"/>
      <c r="K196" s="217">
        <f t="shared" si="4"/>
        <v>6.7600000000000007</v>
      </c>
      <c r="L196" s="218"/>
    </row>
    <row r="197" spans="2:12">
      <c r="B197" s="197" t="s">
        <v>1288</v>
      </c>
      <c r="C197" s="189" t="s">
        <v>1271</v>
      </c>
      <c r="D197" s="198" t="s">
        <v>1335</v>
      </c>
      <c r="E197" s="199">
        <v>2.2999999999999998</v>
      </c>
      <c r="F197" s="199">
        <v>1.3</v>
      </c>
      <c r="G197" s="199"/>
      <c r="H197" s="199"/>
      <c r="I197" s="199"/>
      <c r="J197" s="219"/>
      <c r="K197" s="217">
        <f t="shared" si="4"/>
        <v>2.9899999999999998</v>
      </c>
      <c r="L197" s="218"/>
    </row>
    <row r="198" spans="2:12">
      <c r="B198" s="197" t="s">
        <v>1289</v>
      </c>
      <c r="C198" s="189" t="s">
        <v>1271</v>
      </c>
      <c r="D198" s="198" t="s">
        <v>1335</v>
      </c>
      <c r="E198" s="199">
        <v>1.4</v>
      </c>
      <c r="F198" s="199">
        <v>1.4</v>
      </c>
      <c r="G198" s="199"/>
      <c r="H198" s="199"/>
      <c r="I198" s="199"/>
      <c r="J198" s="219"/>
      <c r="K198" s="217">
        <f t="shared" si="4"/>
        <v>1.9599999999999997</v>
      </c>
      <c r="L198" s="218"/>
    </row>
    <row r="199" spans="2:12">
      <c r="B199" s="197" t="s">
        <v>1290</v>
      </c>
      <c r="C199" s="189" t="s">
        <v>1271</v>
      </c>
      <c r="D199" s="198" t="s">
        <v>1335</v>
      </c>
      <c r="E199" s="199"/>
      <c r="F199" s="199"/>
      <c r="G199" s="199"/>
      <c r="H199" s="199"/>
      <c r="I199" s="199">
        <v>3.29</v>
      </c>
      <c r="J199" s="219"/>
      <c r="K199" s="217">
        <f t="shared" si="4"/>
        <v>3.29</v>
      </c>
      <c r="L199" s="218"/>
    </row>
    <row r="200" spans="2:12">
      <c r="B200" s="197" t="s">
        <v>1291</v>
      </c>
      <c r="C200" s="189" t="s">
        <v>1271</v>
      </c>
      <c r="D200" s="198" t="s">
        <v>1335</v>
      </c>
      <c r="E200" s="199">
        <v>2.6</v>
      </c>
      <c r="F200" s="199">
        <v>2.6</v>
      </c>
      <c r="G200" s="199"/>
      <c r="H200" s="199"/>
      <c r="I200" s="199"/>
      <c r="J200" s="219"/>
      <c r="K200" s="217">
        <f t="shared" si="4"/>
        <v>6.7600000000000007</v>
      </c>
      <c r="L200" s="218"/>
    </row>
    <row r="201" spans="2:12">
      <c r="B201" s="197" t="s">
        <v>1292</v>
      </c>
      <c r="C201" s="189" t="s">
        <v>1271</v>
      </c>
      <c r="D201" s="198" t="s">
        <v>1335</v>
      </c>
      <c r="E201" s="199">
        <v>2.6</v>
      </c>
      <c r="F201" s="199">
        <v>2.6</v>
      </c>
      <c r="G201" s="199"/>
      <c r="H201" s="199"/>
      <c r="I201" s="199"/>
      <c r="J201" s="219"/>
      <c r="K201" s="217">
        <f t="shared" si="4"/>
        <v>6.7600000000000007</v>
      </c>
      <c r="L201" s="218"/>
    </row>
    <row r="202" spans="2:12">
      <c r="B202" s="197" t="s">
        <v>1293</v>
      </c>
      <c r="C202" s="189" t="s">
        <v>1271</v>
      </c>
      <c r="D202" s="198" t="s">
        <v>1335</v>
      </c>
      <c r="E202" s="199">
        <v>2.6</v>
      </c>
      <c r="F202" s="199">
        <v>2.6</v>
      </c>
      <c r="G202" s="199"/>
      <c r="H202" s="199"/>
      <c r="I202" s="199"/>
      <c r="J202" s="219"/>
      <c r="K202" s="217">
        <f t="shared" si="4"/>
        <v>6.7600000000000007</v>
      </c>
      <c r="L202" s="218"/>
    </row>
    <row r="203" spans="2:12">
      <c r="B203" s="197" t="s">
        <v>1294</v>
      </c>
      <c r="C203" s="189" t="s">
        <v>1271</v>
      </c>
      <c r="D203" s="198" t="s">
        <v>1335</v>
      </c>
      <c r="E203" s="199">
        <v>1.4</v>
      </c>
      <c r="F203" s="199">
        <v>1.4</v>
      </c>
      <c r="G203" s="199"/>
      <c r="H203" s="199"/>
      <c r="I203" s="199"/>
      <c r="J203" s="219"/>
      <c r="K203" s="217">
        <f t="shared" si="4"/>
        <v>1.9599999999999997</v>
      </c>
      <c r="L203" s="218"/>
    </row>
    <row r="204" spans="2:12">
      <c r="B204" s="197" t="s">
        <v>1295</v>
      </c>
      <c r="C204" s="189" t="s">
        <v>1271</v>
      </c>
      <c r="D204" s="198" t="s">
        <v>1335</v>
      </c>
      <c r="E204" s="199"/>
      <c r="F204" s="199"/>
      <c r="G204" s="199"/>
      <c r="H204" s="199"/>
      <c r="I204" s="199">
        <v>3.29</v>
      </c>
      <c r="J204" s="219"/>
      <c r="K204" s="217">
        <f t="shared" si="4"/>
        <v>3.29</v>
      </c>
      <c r="L204" s="218"/>
    </row>
    <row r="205" spans="2:12">
      <c r="B205" s="197" t="s">
        <v>1336</v>
      </c>
      <c r="C205" s="189" t="s">
        <v>1271</v>
      </c>
      <c r="D205" s="198" t="s">
        <v>1335</v>
      </c>
      <c r="E205" s="199">
        <v>2.6</v>
      </c>
      <c r="F205" s="199">
        <v>2.6</v>
      </c>
      <c r="G205" s="199"/>
      <c r="H205" s="199"/>
      <c r="I205" s="199"/>
      <c r="J205" s="219"/>
      <c r="K205" s="217">
        <f t="shared" si="4"/>
        <v>6.7600000000000007</v>
      </c>
      <c r="L205" s="218"/>
    </row>
    <row r="206" spans="2:12">
      <c r="B206" s="197" t="s">
        <v>1337</v>
      </c>
      <c r="C206" s="189" t="s">
        <v>1271</v>
      </c>
      <c r="D206" s="198" t="s">
        <v>1335</v>
      </c>
      <c r="E206" s="199">
        <v>2.6</v>
      </c>
      <c r="F206" s="199">
        <v>2.6</v>
      </c>
      <c r="G206" s="199"/>
      <c r="H206" s="199"/>
      <c r="I206" s="199"/>
      <c r="J206" s="219"/>
      <c r="K206" s="217">
        <f t="shared" si="4"/>
        <v>6.7600000000000007</v>
      </c>
      <c r="L206" s="218"/>
    </row>
    <row r="207" spans="2:12">
      <c r="B207" s="197" t="s">
        <v>1338</v>
      </c>
      <c r="C207" s="189" t="s">
        <v>1271</v>
      </c>
      <c r="D207" s="198" t="s">
        <v>1335</v>
      </c>
      <c r="E207" s="199">
        <v>2.6</v>
      </c>
      <c r="F207" s="199">
        <v>2.6</v>
      </c>
      <c r="G207" s="199"/>
      <c r="H207" s="199"/>
      <c r="I207" s="199"/>
      <c r="J207" s="219"/>
      <c r="K207" s="217">
        <f t="shared" si="4"/>
        <v>6.7600000000000007</v>
      </c>
      <c r="L207" s="218"/>
    </row>
    <row r="208" spans="2:12">
      <c r="B208" s="197" t="s">
        <v>1339</v>
      </c>
      <c r="C208" s="189" t="s">
        <v>1271</v>
      </c>
      <c r="D208" s="198" t="s">
        <v>1335</v>
      </c>
      <c r="E208" s="199">
        <v>1.4</v>
      </c>
      <c r="F208" s="199">
        <v>1.4</v>
      </c>
      <c r="G208" s="199"/>
      <c r="H208" s="199"/>
      <c r="I208" s="199"/>
      <c r="J208" s="219"/>
      <c r="K208" s="217">
        <f t="shared" si="4"/>
        <v>1.9599999999999997</v>
      </c>
      <c r="L208" s="218"/>
    </row>
    <row r="209" spans="2:12">
      <c r="B209" s="197" t="s">
        <v>1340</v>
      </c>
      <c r="C209" s="189" t="s">
        <v>1271</v>
      </c>
      <c r="D209" s="198" t="s">
        <v>1335</v>
      </c>
      <c r="E209" s="199">
        <v>2.2999999999999998</v>
      </c>
      <c r="F209" s="199">
        <v>1.3</v>
      </c>
      <c r="G209" s="199"/>
      <c r="H209" s="199"/>
      <c r="I209" s="199"/>
      <c r="J209" s="219"/>
      <c r="K209" s="217">
        <f t="shared" si="4"/>
        <v>2.9899999999999998</v>
      </c>
      <c r="L209" s="218"/>
    </row>
    <row r="210" spans="2:12">
      <c r="B210" s="197" t="s">
        <v>1296</v>
      </c>
      <c r="C210" s="189" t="s">
        <v>1271</v>
      </c>
      <c r="D210" s="198" t="s">
        <v>1335</v>
      </c>
      <c r="E210" s="199">
        <v>2.2999999999999998</v>
      </c>
      <c r="F210" s="199">
        <v>1.3</v>
      </c>
      <c r="G210" s="199"/>
      <c r="H210" s="199"/>
      <c r="I210" s="199"/>
      <c r="J210" s="219"/>
      <c r="K210" s="217">
        <f t="shared" si="4"/>
        <v>2.9899999999999998</v>
      </c>
      <c r="L210" s="218"/>
    </row>
    <row r="211" spans="2:12">
      <c r="B211" s="197" t="s">
        <v>1341</v>
      </c>
      <c r="C211" s="189" t="s">
        <v>1271</v>
      </c>
      <c r="D211" s="198" t="s">
        <v>1335</v>
      </c>
      <c r="E211" s="199"/>
      <c r="F211" s="199"/>
      <c r="G211" s="199"/>
      <c r="H211" s="199"/>
      <c r="I211" s="199">
        <v>3.29</v>
      </c>
      <c r="J211" s="219"/>
      <c r="K211" s="217">
        <f t="shared" si="4"/>
        <v>3.29</v>
      </c>
      <c r="L211" s="218"/>
    </row>
    <row r="212" spans="2:12">
      <c r="B212" s="197" t="s">
        <v>1342</v>
      </c>
      <c r="C212" s="189" t="s">
        <v>1333</v>
      </c>
      <c r="D212" s="198" t="s">
        <v>1335</v>
      </c>
      <c r="E212" s="199">
        <v>3.54</v>
      </c>
      <c r="F212" s="199">
        <v>3.54</v>
      </c>
      <c r="G212" s="199"/>
      <c r="H212" s="199"/>
      <c r="I212" s="199"/>
      <c r="J212" s="219"/>
      <c r="K212" s="217">
        <f t="shared" si="4"/>
        <v>12.531600000000001</v>
      </c>
      <c r="L212" s="218"/>
    </row>
    <row r="213" spans="2:12">
      <c r="B213" s="197" t="s">
        <v>1343</v>
      </c>
      <c r="C213" s="189" t="s">
        <v>1333</v>
      </c>
      <c r="D213" s="198" t="s">
        <v>1335</v>
      </c>
      <c r="E213" s="199">
        <v>2.6</v>
      </c>
      <c r="F213" s="199">
        <v>2.6</v>
      </c>
      <c r="G213" s="199"/>
      <c r="H213" s="199"/>
      <c r="I213" s="199"/>
      <c r="J213" s="219"/>
      <c r="K213" s="217">
        <f t="shared" si="4"/>
        <v>6.7600000000000007</v>
      </c>
      <c r="L213" s="218"/>
    </row>
    <row r="214" spans="2:12">
      <c r="B214" s="197" t="s">
        <v>1297</v>
      </c>
      <c r="C214" s="189" t="s">
        <v>1333</v>
      </c>
      <c r="D214" s="198" t="s">
        <v>1335</v>
      </c>
      <c r="E214" s="199">
        <v>3.8</v>
      </c>
      <c r="F214" s="199">
        <v>1.4</v>
      </c>
      <c r="G214" s="199"/>
      <c r="H214" s="199"/>
      <c r="I214" s="199"/>
      <c r="J214" s="219"/>
      <c r="K214" s="217">
        <f t="shared" si="4"/>
        <v>5.3199999999999994</v>
      </c>
      <c r="L214" s="218"/>
    </row>
    <row r="215" spans="2:12">
      <c r="B215" s="197" t="s">
        <v>1344</v>
      </c>
      <c r="C215" s="189" t="s">
        <v>1333</v>
      </c>
      <c r="D215" s="198" t="s">
        <v>1335</v>
      </c>
      <c r="E215" s="199">
        <v>2.6</v>
      </c>
      <c r="F215" s="199">
        <v>2.6</v>
      </c>
      <c r="G215" s="199"/>
      <c r="H215" s="199"/>
      <c r="I215" s="199"/>
      <c r="J215" s="219"/>
      <c r="K215" s="217">
        <f t="shared" si="4"/>
        <v>6.7600000000000007</v>
      </c>
      <c r="L215" s="218"/>
    </row>
    <row r="216" spans="2:12">
      <c r="B216" s="197" t="s">
        <v>1345</v>
      </c>
      <c r="C216" s="189" t="s">
        <v>1333</v>
      </c>
      <c r="D216" s="198" t="s">
        <v>1335</v>
      </c>
      <c r="E216" s="199">
        <v>2.6</v>
      </c>
      <c r="F216" s="199">
        <v>2.6</v>
      </c>
      <c r="G216" s="199"/>
      <c r="H216" s="199"/>
      <c r="I216" s="199"/>
      <c r="J216" s="219"/>
      <c r="K216" s="217">
        <f t="shared" si="4"/>
        <v>6.7600000000000007</v>
      </c>
      <c r="L216" s="218"/>
    </row>
    <row r="217" spans="2:12">
      <c r="B217" s="197" t="s">
        <v>1298</v>
      </c>
      <c r="C217" s="189" t="s">
        <v>1333</v>
      </c>
      <c r="D217" s="198" t="s">
        <v>1335</v>
      </c>
      <c r="E217" s="199">
        <v>3.8</v>
      </c>
      <c r="F217" s="199">
        <v>2.6</v>
      </c>
      <c r="G217" s="199"/>
      <c r="H217" s="199"/>
      <c r="I217" s="199"/>
      <c r="J217" s="219"/>
      <c r="K217" s="217">
        <f t="shared" si="4"/>
        <v>9.879999999999999</v>
      </c>
      <c r="L217" s="218"/>
    </row>
    <row r="218" spans="2:12">
      <c r="B218" s="197" t="s">
        <v>1346</v>
      </c>
      <c r="C218" s="189" t="s">
        <v>1333</v>
      </c>
      <c r="D218" s="198" t="s">
        <v>1335</v>
      </c>
      <c r="E218" s="199">
        <v>2.6</v>
      </c>
      <c r="F218" s="199">
        <v>2.6</v>
      </c>
      <c r="G218" s="199"/>
      <c r="H218" s="199"/>
      <c r="I218" s="199"/>
      <c r="J218" s="219"/>
      <c r="K218" s="217">
        <f t="shared" si="4"/>
        <v>6.7600000000000007</v>
      </c>
      <c r="L218" s="218"/>
    </row>
    <row r="219" spans="2:12">
      <c r="B219" s="197" t="s">
        <v>1347</v>
      </c>
      <c r="C219" s="189" t="s">
        <v>1333</v>
      </c>
      <c r="D219" s="198" t="s">
        <v>1335</v>
      </c>
      <c r="E219" s="199"/>
      <c r="F219" s="199"/>
      <c r="G219" s="199"/>
      <c r="H219" s="199"/>
      <c r="I219" s="199">
        <v>3.29</v>
      </c>
      <c r="J219" s="219"/>
      <c r="K219" s="217">
        <f t="shared" si="4"/>
        <v>3.29</v>
      </c>
      <c r="L219" s="218"/>
    </row>
    <row r="220" spans="2:12">
      <c r="B220" s="197" t="s">
        <v>1348</v>
      </c>
      <c r="C220" s="189" t="s">
        <v>1333</v>
      </c>
      <c r="D220" s="198" t="s">
        <v>1335</v>
      </c>
      <c r="E220" s="199">
        <v>3.54</v>
      </c>
      <c r="F220" s="199">
        <v>3.54</v>
      </c>
      <c r="G220" s="199"/>
      <c r="H220" s="199"/>
      <c r="I220" s="199"/>
      <c r="J220" s="219"/>
      <c r="K220" s="217">
        <f t="shared" si="4"/>
        <v>12.531600000000001</v>
      </c>
      <c r="L220" s="218"/>
    </row>
    <row r="221" spans="2:12">
      <c r="B221" s="197" t="s">
        <v>1349</v>
      </c>
      <c r="C221" s="189" t="s">
        <v>1333</v>
      </c>
      <c r="D221" s="198" t="s">
        <v>1335</v>
      </c>
      <c r="E221" s="199">
        <v>3.8</v>
      </c>
      <c r="F221" s="199">
        <v>2.6</v>
      </c>
      <c r="G221" s="199"/>
      <c r="H221" s="199"/>
      <c r="I221" s="199"/>
      <c r="J221" s="219"/>
      <c r="K221" s="217">
        <f t="shared" si="4"/>
        <v>9.879999999999999</v>
      </c>
      <c r="L221" s="218"/>
    </row>
    <row r="222" spans="2:12">
      <c r="B222" s="197" t="s">
        <v>1350</v>
      </c>
      <c r="C222" s="189" t="s">
        <v>1333</v>
      </c>
      <c r="D222" s="198" t="s">
        <v>1335</v>
      </c>
      <c r="E222" s="199">
        <v>3.8</v>
      </c>
      <c r="F222" s="199">
        <v>2.6</v>
      </c>
      <c r="G222" s="199"/>
      <c r="H222" s="199"/>
      <c r="I222" s="199"/>
      <c r="J222" s="219"/>
      <c r="K222" s="217">
        <f t="shared" si="4"/>
        <v>9.879999999999999</v>
      </c>
      <c r="L222" s="218"/>
    </row>
    <row r="223" spans="2:12">
      <c r="B223" s="197" t="s">
        <v>1351</v>
      </c>
      <c r="C223" s="189" t="s">
        <v>1333</v>
      </c>
      <c r="D223" s="198" t="s">
        <v>1335</v>
      </c>
      <c r="E223" s="199">
        <v>2.6</v>
      </c>
      <c r="F223" s="199">
        <v>2.6</v>
      </c>
      <c r="G223" s="199"/>
      <c r="H223" s="199"/>
      <c r="I223" s="199"/>
      <c r="J223" s="219"/>
      <c r="K223" s="217">
        <f t="shared" si="4"/>
        <v>6.7600000000000007</v>
      </c>
      <c r="L223" s="218"/>
    </row>
    <row r="224" spans="2:12">
      <c r="B224" s="197" t="s">
        <v>1352</v>
      </c>
      <c r="C224" s="189" t="s">
        <v>1333</v>
      </c>
      <c r="D224" s="198" t="s">
        <v>1335</v>
      </c>
      <c r="E224" s="199">
        <v>1.4</v>
      </c>
      <c r="F224" s="199">
        <v>1.4</v>
      </c>
      <c r="G224" s="199"/>
      <c r="H224" s="199"/>
      <c r="I224" s="199"/>
      <c r="J224" s="219"/>
      <c r="K224" s="217">
        <f t="shared" si="4"/>
        <v>1.9599999999999997</v>
      </c>
      <c r="L224" s="218"/>
    </row>
    <row r="225" spans="2:12">
      <c r="B225" s="197" t="s">
        <v>1353</v>
      </c>
      <c r="C225" s="189" t="s">
        <v>1333</v>
      </c>
      <c r="D225" s="198" t="s">
        <v>1335</v>
      </c>
      <c r="E225" s="199">
        <v>1.4</v>
      </c>
      <c r="F225" s="199">
        <v>1.4</v>
      </c>
      <c r="G225" s="199"/>
      <c r="H225" s="199"/>
      <c r="I225" s="199"/>
      <c r="J225" s="219"/>
      <c r="K225" s="217">
        <f t="shared" si="4"/>
        <v>1.9599999999999997</v>
      </c>
      <c r="L225" s="218"/>
    </row>
    <row r="226" spans="2:12">
      <c r="B226" s="197" t="s">
        <v>1354</v>
      </c>
      <c r="C226" s="189" t="s">
        <v>1333</v>
      </c>
      <c r="D226" s="198" t="s">
        <v>1335</v>
      </c>
      <c r="E226" s="199">
        <v>1.4</v>
      </c>
      <c r="F226" s="199">
        <v>1.4</v>
      </c>
      <c r="G226" s="199"/>
      <c r="H226" s="199"/>
      <c r="I226" s="199"/>
      <c r="J226" s="219"/>
      <c r="K226" s="217">
        <f t="shared" ref="K226:K246" si="5">IF(E226*F226*G226&lt;&gt;0,E226*F226*G226,IF(E226*F226&lt;&gt;0,E226*F226,IF(F226*G226&lt;&gt;0,F226*G226,IF(E226*G226&lt;&gt;0,E226*G226,IF(E226&lt;&gt;0,E226,IF(F226&lt;&gt;0,F226,IF(G226&lt;&gt;0,G226,0)))))))*(IF(H226&lt;&gt;0,H226,1))+I226-J226</f>
        <v>1.9599999999999997</v>
      </c>
      <c r="L226" s="218"/>
    </row>
    <row r="227" spans="2:12">
      <c r="B227" s="197" t="s">
        <v>1355</v>
      </c>
      <c r="C227" s="189" t="s">
        <v>1333</v>
      </c>
      <c r="D227" s="198" t="s">
        <v>1335</v>
      </c>
      <c r="E227" s="199">
        <v>1.4</v>
      </c>
      <c r="F227" s="199">
        <v>1.4</v>
      </c>
      <c r="G227" s="199"/>
      <c r="H227" s="199"/>
      <c r="I227" s="199"/>
      <c r="J227" s="219"/>
      <c r="K227" s="217">
        <f t="shared" si="5"/>
        <v>1.9599999999999997</v>
      </c>
      <c r="L227" s="218"/>
    </row>
    <row r="228" spans="2:12">
      <c r="B228" s="197" t="s">
        <v>1356</v>
      </c>
      <c r="C228" s="189" t="s">
        <v>1333</v>
      </c>
      <c r="D228" s="198" t="s">
        <v>1335</v>
      </c>
      <c r="E228" s="199">
        <v>2.6</v>
      </c>
      <c r="F228" s="199">
        <v>2.6</v>
      </c>
      <c r="G228" s="199"/>
      <c r="H228" s="199"/>
      <c r="I228" s="199"/>
      <c r="J228" s="219"/>
      <c r="K228" s="217">
        <f t="shared" si="5"/>
        <v>6.7600000000000007</v>
      </c>
      <c r="L228" s="218"/>
    </row>
    <row r="229" spans="2:12">
      <c r="B229" s="197" t="s">
        <v>1357</v>
      </c>
      <c r="C229" s="189" t="s">
        <v>1333</v>
      </c>
      <c r="D229" s="198" t="s">
        <v>1335</v>
      </c>
      <c r="E229" s="199">
        <v>2.6</v>
      </c>
      <c r="F229" s="199">
        <v>2.6</v>
      </c>
      <c r="G229" s="199"/>
      <c r="H229" s="199"/>
      <c r="I229" s="199"/>
      <c r="J229" s="219"/>
      <c r="K229" s="217">
        <f t="shared" si="5"/>
        <v>6.7600000000000007</v>
      </c>
      <c r="L229" s="218"/>
    </row>
    <row r="230" spans="2:12">
      <c r="B230" s="197" t="s">
        <v>1358</v>
      </c>
      <c r="C230" s="189" t="s">
        <v>1333</v>
      </c>
      <c r="D230" s="198" t="s">
        <v>1335</v>
      </c>
      <c r="E230" s="199">
        <v>2.6</v>
      </c>
      <c r="F230" s="199">
        <v>2.6</v>
      </c>
      <c r="G230" s="199"/>
      <c r="H230" s="199"/>
      <c r="I230" s="199"/>
      <c r="J230" s="219"/>
      <c r="K230" s="217">
        <f t="shared" si="5"/>
        <v>6.7600000000000007</v>
      </c>
      <c r="L230" s="218"/>
    </row>
    <row r="231" spans="2:12">
      <c r="B231" s="197" t="s">
        <v>1359</v>
      </c>
      <c r="C231" s="189" t="s">
        <v>1333</v>
      </c>
      <c r="D231" s="198" t="s">
        <v>1335</v>
      </c>
      <c r="E231" s="199">
        <v>2.6</v>
      </c>
      <c r="F231" s="199">
        <v>2.6</v>
      </c>
      <c r="G231" s="199"/>
      <c r="H231" s="199"/>
      <c r="I231" s="199"/>
      <c r="J231" s="219"/>
      <c r="K231" s="217">
        <f t="shared" si="5"/>
        <v>6.7600000000000007</v>
      </c>
      <c r="L231" s="218"/>
    </row>
    <row r="232" spans="2:12">
      <c r="B232" s="197" t="s">
        <v>1360</v>
      </c>
      <c r="C232" s="189" t="s">
        <v>1333</v>
      </c>
      <c r="D232" s="198" t="s">
        <v>1335</v>
      </c>
      <c r="E232" s="199">
        <v>1.4</v>
      </c>
      <c r="F232" s="199">
        <v>1.4</v>
      </c>
      <c r="G232" s="199"/>
      <c r="H232" s="199"/>
      <c r="I232" s="199"/>
      <c r="J232" s="219"/>
      <c r="K232" s="217">
        <f t="shared" si="5"/>
        <v>1.9599999999999997</v>
      </c>
      <c r="L232" s="218"/>
    </row>
    <row r="233" spans="2:12">
      <c r="B233" s="197" t="s">
        <v>1361</v>
      </c>
      <c r="C233" s="189" t="s">
        <v>1333</v>
      </c>
      <c r="D233" s="198" t="s">
        <v>1335</v>
      </c>
      <c r="E233" s="199">
        <v>1.4</v>
      </c>
      <c r="F233" s="199">
        <v>1.4</v>
      </c>
      <c r="G233" s="199"/>
      <c r="H233" s="199"/>
      <c r="I233" s="199"/>
      <c r="J233" s="219"/>
      <c r="K233" s="217">
        <f t="shared" si="5"/>
        <v>1.9599999999999997</v>
      </c>
      <c r="L233" s="218"/>
    </row>
    <row r="234" spans="2:12">
      <c r="B234" s="197" t="s">
        <v>1362</v>
      </c>
      <c r="C234" s="189" t="s">
        <v>1333</v>
      </c>
      <c r="D234" s="198" t="s">
        <v>1335</v>
      </c>
      <c r="E234" s="199">
        <v>2.6</v>
      </c>
      <c r="F234" s="199">
        <v>2.6</v>
      </c>
      <c r="G234" s="199"/>
      <c r="H234" s="199"/>
      <c r="I234" s="199"/>
      <c r="J234" s="219"/>
      <c r="K234" s="217">
        <f t="shared" si="5"/>
        <v>6.7600000000000007</v>
      </c>
      <c r="L234" s="218"/>
    </row>
    <row r="235" spans="2:12">
      <c r="B235" s="197" t="s">
        <v>1363</v>
      </c>
      <c r="C235" s="189" t="s">
        <v>1333</v>
      </c>
      <c r="D235" s="198" t="s">
        <v>1335</v>
      </c>
      <c r="E235" s="199">
        <v>2.6</v>
      </c>
      <c r="F235" s="199">
        <v>2.6</v>
      </c>
      <c r="G235" s="199"/>
      <c r="H235" s="199"/>
      <c r="I235" s="199"/>
      <c r="J235" s="219"/>
      <c r="K235" s="217">
        <f t="shared" si="5"/>
        <v>6.7600000000000007</v>
      </c>
      <c r="L235" s="218"/>
    </row>
    <row r="236" spans="2:12">
      <c r="B236" s="197" t="s">
        <v>1364</v>
      </c>
      <c r="C236" s="189" t="s">
        <v>1333</v>
      </c>
      <c r="D236" s="198" t="s">
        <v>1335</v>
      </c>
      <c r="E236" s="199">
        <v>2.2999999999999998</v>
      </c>
      <c r="F236" s="199">
        <v>1.3</v>
      </c>
      <c r="G236" s="199"/>
      <c r="H236" s="199"/>
      <c r="I236" s="199"/>
      <c r="J236" s="219"/>
      <c r="K236" s="217">
        <f t="shared" si="5"/>
        <v>2.9899999999999998</v>
      </c>
      <c r="L236" s="218"/>
    </row>
    <row r="237" spans="2:12">
      <c r="B237" s="197" t="s">
        <v>1442</v>
      </c>
      <c r="C237" s="189" t="s">
        <v>1441</v>
      </c>
      <c r="D237" s="198" t="s">
        <v>1335</v>
      </c>
      <c r="E237" s="199">
        <v>3.8</v>
      </c>
      <c r="F237" s="199">
        <v>2.4</v>
      </c>
      <c r="G237" s="199"/>
      <c r="H237" s="199"/>
      <c r="I237" s="199"/>
      <c r="J237" s="219"/>
      <c r="K237" s="217">
        <f t="shared" si="5"/>
        <v>9.1199999999999992</v>
      </c>
      <c r="L237" s="218"/>
    </row>
    <row r="238" spans="2:12">
      <c r="B238" s="197" t="s">
        <v>1443</v>
      </c>
      <c r="C238" s="189" t="s">
        <v>1441</v>
      </c>
      <c r="D238" s="198" t="s">
        <v>1335</v>
      </c>
      <c r="E238" s="199">
        <v>3.8</v>
      </c>
      <c r="F238" s="199">
        <v>2.4</v>
      </c>
      <c r="G238" s="199"/>
      <c r="H238" s="199"/>
      <c r="I238" s="199"/>
      <c r="J238" s="219"/>
      <c r="K238" s="217">
        <f t="shared" si="5"/>
        <v>9.1199999999999992</v>
      </c>
      <c r="L238" s="218"/>
    </row>
    <row r="239" spans="2:12">
      <c r="B239" s="197" t="s">
        <v>1444</v>
      </c>
      <c r="C239" s="189" t="s">
        <v>1441</v>
      </c>
      <c r="D239" s="198" t="s">
        <v>1335</v>
      </c>
      <c r="E239" s="199">
        <v>2.2999999999999998</v>
      </c>
      <c r="F239" s="199">
        <v>1.3</v>
      </c>
      <c r="G239" s="199"/>
      <c r="H239" s="199"/>
      <c r="I239" s="199"/>
      <c r="J239" s="219"/>
      <c r="K239" s="217">
        <f t="shared" si="5"/>
        <v>2.9899999999999998</v>
      </c>
      <c r="L239" s="218"/>
    </row>
    <row r="240" spans="2:12">
      <c r="B240" s="197" t="s">
        <v>1445</v>
      </c>
      <c r="C240" s="189" t="s">
        <v>1441</v>
      </c>
      <c r="D240" s="198" t="s">
        <v>1335</v>
      </c>
      <c r="E240" s="199">
        <v>2.2999999999999998</v>
      </c>
      <c r="F240" s="199">
        <v>1.3</v>
      </c>
      <c r="G240" s="199"/>
      <c r="H240" s="199"/>
      <c r="I240" s="199"/>
      <c r="J240" s="219"/>
      <c r="K240" s="217">
        <f t="shared" si="5"/>
        <v>2.9899999999999998</v>
      </c>
      <c r="L240" s="218"/>
    </row>
    <row r="241" spans="2:12">
      <c r="B241" s="197" t="s">
        <v>1446</v>
      </c>
      <c r="C241" s="189" t="s">
        <v>1441</v>
      </c>
      <c r="D241" s="198" t="s">
        <v>1335</v>
      </c>
      <c r="E241" s="199"/>
      <c r="F241" s="199"/>
      <c r="G241" s="199"/>
      <c r="H241" s="199"/>
      <c r="I241" s="199">
        <v>4.8499999999999996</v>
      </c>
      <c r="J241" s="219"/>
      <c r="K241" s="217">
        <f t="shared" si="5"/>
        <v>4.8499999999999996</v>
      </c>
      <c r="L241" s="218"/>
    </row>
    <row r="242" spans="2:12">
      <c r="B242" s="197" t="s">
        <v>1447</v>
      </c>
      <c r="C242" s="189" t="s">
        <v>1441</v>
      </c>
      <c r="D242" s="198" t="s">
        <v>1335</v>
      </c>
      <c r="E242" s="199"/>
      <c r="F242" s="199"/>
      <c r="G242" s="199"/>
      <c r="H242" s="199"/>
      <c r="I242" s="199">
        <v>4.8499999999999996</v>
      </c>
      <c r="J242" s="219"/>
      <c r="K242" s="217">
        <f t="shared" si="5"/>
        <v>4.8499999999999996</v>
      </c>
      <c r="L242" s="218"/>
    </row>
    <row r="243" spans="2:12">
      <c r="B243" s="197"/>
      <c r="C243" s="189" t="s">
        <v>1441</v>
      </c>
      <c r="D243" s="198" t="s">
        <v>1335</v>
      </c>
      <c r="E243" s="199"/>
      <c r="F243" s="199"/>
      <c r="G243" s="199"/>
      <c r="H243" s="199"/>
      <c r="I243" s="199">
        <v>2.2537750732476899E-4</v>
      </c>
      <c r="J243" s="219"/>
      <c r="K243" s="217">
        <f t="shared" si="5"/>
        <v>2.2537750732476899E-4</v>
      </c>
      <c r="L243" s="218"/>
    </row>
    <row r="244" spans="2:12">
      <c r="B244" s="197"/>
      <c r="C244" s="189" t="s">
        <v>1441</v>
      </c>
      <c r="D244" s="198" t="s">
        <v>1335</v>
      </c>
      <c r="E244" s="199"/>
      <c r="F244" s="199"/>
      <c r="G244" s="199"/>
      <c r="H244" s="199"/>
      <c r="I244" s="199"/>
      <c r="J244" s="219"/>
      <c r="K244" s="217">
        <f t="shared" si="5"/>
        <v>0</v>
      </c>
      <c r="L244" s="218"/>
    </row>
    <row r="245" spans="2:12">
      <c r="B245" s="197"/>
      <c r="C245" s="189" t="s">
        <v>1441</v>
      </c>
      <c r="D245" s="198" t="s">
        <v>1335</v>
      </c>
      <c r="E245" s="199"/>
      <c r="F245" s="199"/>
      <c r="G245" s="199"/>
      <c r="H245" s="199"/>
      <c r="I245" s="199"/>
      <c r="J245" s="219"/>
      <c r="K245" s="217">
        <f t="shared" si="5"/>
        <v>0</v>
      </c>
      <c r="L245" s="218"/>
    </row>
    <row r="246" spans="2:12">
      <c r="B246" s="197"/>
      <c r="C246" s="189"/>
      <c r="D246" s="198"/>
      <c r="E246" s="199"/>
      <c r="F246" s="199"/>
      <c r="G246" s="199"/>
      <c r="H246" s="199"/>
      <c r="I246" s="199"/>
      <c r="J246" s="219"/>
      <c r="K246" s="217">
        <f t="shared" si="5"/>
        <v>0</v>
      </c>
      <c r="L246" s="218"/>
    </row>
    <row r="247" spans="2:12">
      <c r="B247" s="202"/>
      <c r="C247" s="203"/>
      <c r="D247" s="203"/>
      <c r="E247" s="203"/>
      <c r="F247" s="203"/>
      <c r="G247" s="203"/>
      <c r="H247" s="204"/>
      <c r="I247" s="556" t="s">
        <v>1221</v>
      </c>
      <c r="J247" s="556"/>
      <c r="K247" s="220">
        <f>SUM(K194:K246)</f>
        <v>268.13342537750736</v>
      </c>
      <c r="L247" s="207"/>
    </row>
    <row r="248" spans="2:12">
      <c r="B248" s="208"/>
      <c r="C248" s="204"/>
      <c r="D248" s="204"/>
      <c r="E248" s="204"/>
      <c r="F248" s="204"/>
      <c r="G248" s="204"/>
      <c r="H248" s="209"/>
      <c r="I248" s="557" t="s">
        <v>1222</v>
      </c>
      <c r="J248" s="557"/>
      <c r="K248" s="221">
        <v>233.48</v>
      </c>
      <c r="L248" s="207"/>
    </row>
    <row r="249" spans="2:12">
      <c r="B249" s="208"/>
      <c r="C249" s="204"/>
      <c r="D249" s="204"/>
      <c r="E249" s="204"/>
      <c r="F249" s="204"/>
      <c r="G249" s="204"/>
      <c r="H249" s="558" t="s">
        <v>1223</v>
      </c>
      <c r="I249" s="558"/>
      <c r="J249" s="558"/>
      <c r="K249" s="222">
        <v>168.22919999999999</v>
      </c>
      <c r="L249" s="207"/>
    </row>
    <row r="250" spans="2:12">
      <c r="B250" s="208"/>
      <c r="C250" s="204"/>
      <c r="D250" s="204"/>
      <c r="E250" s="204"/>
      <c r="F250" s="204"/>
      <c r="G250" s="204"/>
      <c r="H250" s="558" t="s">
        <v>1431</v>
      </c>
      <c r="I250" s="558"/>
      <c r="J250" s="558"/>
      <c r="K250" s="222">
        <f>IF(K247&gt;K248,K248,K247)-K249+0.000225377507324769</f>
        <v>65.251025377507318</v>
      </c>
      <c r="L250" s="207"/>
    </row>
    <row r="251" spans="2:12">
      <c r="B251" s="213"/>
      <c r="C251" s="214"/>
      <c r="D251" s="214"/>
      <c r="E251" s="214"/>
      <c r="F251" s="214"/>
      <c r="G251" s="214"/>
      <c r="H251" s="559" t="s">
        <v>1224</v>
      </c>
      <c r="I251" s="559"/>
      <c r="J251" s="559"/>
      <c r="K251" s="223">
        <f>IF(K247&gt;K248,K247-K248,0)</f>
        <v>34.653425377507375</v>
      </c>
      <c r="L251" s="209"/>
    </row>
    <row r="253" spans="2:12" ht="14.25" customHeight="1">
      <c r="B253" s="555" t="s">
        <v>1272</v>
      </c>
      <c r="C253" s="555"/>
      <c r="D253" s="555"/>
      <c r="E253" s="555"/>
      <c r="F253" s="555"/>
      <c r="G253" s="555"/>
      <c r="H253" s="555"/>
      <c r="I253" s="555"/>
      <c r="J253" s="555"/>
      <c r="K253" s="555"/>
      <c r="L253" s="555"/>
    </row>
    <row r="254" spans="2:12">
      <c r="B254" s="187" t="s">
        <v>1209</v>
      </c>
      <c r="C254" s="187"/>
      <c r="D254" s="187" t="s">
        <v>39</v>
      </c>
      <c r="E254" s="187" t="s">
        <v>1210</v>
      </c>
      <c r="F254" s="187" t="s">
        <v>1211</v>
      </c>
      <c r="G254" s="187" t="s">
        <v>1212</v>
      </c>
      <c r="H254" s="187" t="s">
        <v>1213</v>
      </c>
      <c r="I254" s="187" t="s">
        <v>1214</v>
      </c>
      <c r="J254" s="187" t="s">
        <v>1215</v>
      </c>
      <c r="K254" s="187" t="s">
        <v>1216</v>
      </c>
      <c r="L254" s="187" t="s">
        <v>1217</v>
      </c>
    </row>
    <row r="255" spans="2:12">
      <c r="B255" s="188" t="s">
        <v>1273</v>
      </c>
      <c r="C255" s="189" t="s">
        <v>1271</v>
      </c>
      <c r="D255" s="190" t="s">
        <v>1274</v>
      </c>
      <c r="E255" s="191">
        <v>1014</v>
      </c>
      <c r="F255" s="243">
        <v>0.154</v>
      </c>
      <c r="G255" s="192">
        <v>1.1000000000000001</v>
      </c>
      <c r="H255" s="191"/>
      <c r="I255" s="191"/>
      <c r="J255" s="216"/>
      <c r="K255" s="217">
        <f>IF(E255*F255*G255&lt;&gt;0,E255*F255*G255,IF(E255*F255&lt;&gt;0,E255*F255,IF(F255*G255&lt;&gt;0,F255*G255,IF(E255*G255&lt;&gt;0,E255*G255,IF(E255&lt;&gt;0,E255,IF(F255&lt;&gt;0,F255,IF(G255&lt;&gt;0,G255,0)))))))*(IF(H255&lt;&gt;0,H255,1))+I255-J255</f>
        <v>171.77160000000001</v>
      </c>
      <c r="L255" s="218"/>
    </row>
    <row r="256" spans="2:12">
      <c r="B256" s="188" t="s">
        <v>1275</v>
      </c>
      <c r="C256" s="189" t="s">
        <v>1333</v>
      </c>
      <c r="D256" s="190" t="s">
        <v>1274</v>
      </c>
      <c r="E256" s="191"/>
      <c r="F256" s="243"/>
      <c r="G256" s="192"/>
      <c r="H256" s="191"/>
      <c r="I256" s="191"/>
      <c r="J256" s="216"/>
      <c r="K256" s="217">
        <f>IF(E256*F256*G256&lt;&gt;0,E256*F256*G256,IF(E256*F256&lt;&gt;0,E256*F256,IF(F256*G256&lt;&gt;0,F256*G256,IF(E256*G256&lt;&gt;0,E256*G256,IF(E256&lt;&gt;0,E256,IF(F256&lt;&gt;0,F256,IF(G256&lt;&gt;0,G256,0)))))))*(IF(H256&lt;&gt;0,H256,1))+I256-J256</f>
        <v>0</v>
      </c>
      <c r="L256" s="218"/>
    </row>
    <row r="257" spans="2:12">
      <c r="B257" s="188" t="s">
        <v>1448</v>
      </c>
      <c r="C257" s="189" t="s">
        <v>1441</v>
      </c>
      <c r="D257" s="190" t="s">
        <v>1274</v>
      </c>
      <c r="E257" s="191">
        <v>123.508</v>
      </c>
      <c r="F257" s="243"/>
      <c r="G257" s="192"/>
      <c r="H257" s="191">
        <v>0.25</v>
      </c>
      <c r="I257" s="191"/>
      <c r="J257" s="216"/>
      <c r="K257" s="217">
        <f>IF(E257*F257*G257&lt;&gt;0,E257*F257*G257,IF(E257*F257&lt;&gt;0,E257*F257,IF(F257*G257&lt;&gt;0,F257*G257,IF(E257*G257&lt;&gt;0,E257*G257,IF(E257&lt;&gt;0,E257,IF(F257&lt;&gt;0,F257,IF(G257&lt;&gt;0,G257,0)))))))*(IF(H257&lt;&gt;0,H257,1))+I257-J257</f>
        <v>30.876999999999999</v>
      </c>
      <c r="L257" s="218"/>
    </row>
    <row r="258" spans="2:12">
      <c r="B258" s="197"/>
      <c r="C258" s="189"/>
      <c r="D258" s="198"/>
      <c r="E258" s="199"/>
      <c r="F258" s="244"/>
      <c r="G258" s="199"/>
      <c r="H258" s="199"/>
      <c r="I258" s="199"/>
      <c r="J258" s="219"/>
      <c r="K258" s="217">
        <f>IF(E258*F258*G258&lt;&gt;0,E258*F258*G258,IF(E258*F258&lt;&gt;0,E258*F258,IF(F258*G258&lt;&gt;0,F258*G258,IF(E258*G258&lt;&gt;0,E258*G258,IF(E258&lt;&gt;0,E258,IF(F258&lt;&gt;0,F258,IF(G258&lt;&gt;0,G258,0)))))))*(IF(H258&lt;&gt;0,H258,1))+I258-J258</f>
        <v>0</v>
      </c>
      <c r="L258" s="218"/>
    </row>
    <row r="259" spans="2:12">
      <c r="B259" s="202"/>
      <c r="C259" s="203"/>
      <c r="D259" s="203"/>
      <c r="E259" s="203"/>
      <c r="F259" s="203"/>
      <c r="G259" s="203"/>
      <c r="H259" s="204"/>
      <c r="I259" s="556" t="s">
        <v>1221</v>
      </c>
      <c r="J259" s="556"/>
      <c r="K259" s="220">
        <f>SUM(K255:K258)</f>
        <v>202.64860000000002</v>
      </c>
      <c r="L259" s="207"/>
    </row>
    <row r="260" spans="2:12">
      <c r="B260" s="208"/>
      <c r="C260" s="204"/>
      <c r="D260" s="204"/>
      <c r="E260" s="204"/>
      <c r="F260" s="204"/>
      <c r="G260" s="204"/>
      <c r="H260" s="209"/>
      <c r="I260" s="557" t="s">
        <v>1222</v>
      </c>
      <c r="J260" s="557"/>
      <c r="K260" s="221">
        <v>190.3</v>
      </c>
      <c r="L260" s="207"/>
    </row>
    <row r="261" spans="2:12">
      <c r="B261" s="208"/>
      <c r="C261" s="204"/>
      <c r="D261" s="204"/>
      <c r="E261" s="204"/>
      <c r="F261" s="204"/>
      <c r="G261" s="204"/>
      <c r="H261" s="558" t="s">
        <v>1223</v>
      </c>
      <c r="I261" s="558"/>
      <c r="J261" s="558"/>
      <c r="K261" s="222">
        <v>171.77160000000001</v>
      </c>
      <c r="L261" s="207"/>
    </row>
    <row r="262" spans="2:12">
      <c r="B262" s="208"/>
      <c r="C262" s="204"/>
      <c r="D262" s="204"/>
      <c r="E262" s="204"/>
      <c r="F262" s="204"/>
      <c r="G262" s="204"/>
      <c r="H262" s="558" t="s">
        <v>1250</v>
      </c>
      <c r="I262" s="558"/>
      <c r="J262" s="558"/>
      <c r="K262" s="222">
        <f>IF(K259&gt;K260,K260,K259)-K261</f>
        <v>18.528400000000005</v>
      </c>
      <c r="L262" s="207"/>
    </row>
    <row r="263" spans="2:12">
      <c r="B263" s="213"/>
      <c r="C263" s="214"/>
      <c r="D263" s="214"/>
      <c r="E263" s="214"/>
      <c r="F263" s="214"/>
      <c r="G263" s="214"/>
      <c r="H263" s="559" t="s">
        <v>1224</v>
      </c>
      <c r="I263" s="559"/>
      <c r="J263" s="559"/>
      <c r="K263" s="223">
        <f>IF(K259&gt;K260,K259-K260,0)</f>
        <v>12.348600000000005</v>
      </c>
      <c r="L263" s="209"/>
    </row>
    <row r="265" spans="2:12" ht="14.25" customHeight="1">
      <c r="B265" s="555" t="s">
        <v>1276</v>
      </c>
      <c r="C265" s="555"/>
      <c r="D265" s="555"/>
      <c r="E265" s="555"/>
      <c r="F265" s="555"/>
      <c r="G265" s="555"/>
      <c r="H265" s="555"/>
      <c r="I265" s="555"/>
      <c r="J265" s="555"/>
      <c r="K265" s="555"/>
      <c r="L265" s="555"/>
    </row>
    <row r="266" spans="2:12">
      <c r="B266" s="187" t="s">
        <v>1209</v>
      </c>
      <c r="C266" s="187"/>
      <c r="D266" s="187" t="s">
        <v>39</v>
      </c>
      <c r="E266" s="187" t="s">
        <v>1210</v>
      </c>
      <c r="F266" s="187" t="s">
        <v>1211</v>
      </c>
      <c r="G266" s="187" t="s">
        <v>1212</v>
      </c>
      <c r="H266" s="187" t="s">
        <v>1213</v>
      </c>
      <c r="I266" s="187" t="s">
        <v>1214</v>
      </c>
      <c r="J266" s="187" t="s">
        <v>1215</v>
      </c>
      <c r="K266" s="187" t="s">
        <v>1216</v>
      </c>
      <c r="L266" s="187" t="s">
        <v>1217</v>
      </c>
    </row>
    <row r="267" spans="2:12">
      <c r="B267" s="188" t="s">
        <v>1273</v>
      </c>
      <c r="C267" s="189" t="s">
        <v>1271</v>
      </c>
      <c r="D267" s="190" t="s">
        <v>1274</v>
      </c>
      <c r="E267" s="191">
        <v>333</v>
      </c>
      <c r="F267" s="243">
        <v>0.245</v>
      </c>
      <c r="G267" s="192">
        <v>1.1000000000000001</v>
      </c>
      <c r="H267" s="191"/>
      <c r="I267" s="191"/>
      <c r="J267" s="216"/>
      <c r="K267" s="217">
        <f>IF(E267*F267*G267&lt;&gt;0,E267*F267*G267,IF(E267*F267&lt;&gt;0,E267*F267,IF(F267*G267&lt;&gt;0,F267*G267,IF(E267*G267&lt;&gt;0,E267*G267,IF(E267&lt;&gt;0,E267,IF(F267&lt;&gt;0,F267,IF(G267&lt;&gt;0,G267,0)))))))*(IF(H267&lt;&gt;0,H267,1))+I267-J267</f>
        <v>89.743499999999997</v>
      </c>
      <c r="L267" s="218"/>
    </row>
    <row r="268" spans="2:12">
      <c r="B268" s="188" t="s">
        <v>1275</v>
      </c>
      <c r="C268" s="189" t="s">
        <v>1333</v>
      </c>
      <c r="D268" s="190" t="s">
        <v>1274</v>
      </c>
      <c r="E268" s="191">
        <v>411</v>
      </c>
      <c r="F268" s="243">
        <v>0.245</v>
      </c>
      <c r="G268" s="192">
        <v>1.1000000000000001</v>
      </c>
      <c r="H268" s="191"/>
      <c r="I268" s="191"/>
      <c r="J268" s="216"/>
      <c r="K268" s="217">
        <f>IF(E268*F268*G268&lt;&gt;0,E268*F268*G268,IF(E268*F268&lt;&gt;0,E268*F268,IF(F268*G268&lt;&gt;0,F268*G268,IF(E268*G268&lt;&gt;0,E268*G268,IF(E268&lt;&gt;0,E268,IF(F268&lt;&gt;0,F268,IF(G268&lt;&gt;0,G268,0)))))))*(IF(H268&lt;&gt;0,H268,1))+I268-J268</f>
        <v>110.7645</v>
      </c>
      <c r="L268" s="218"/>
    </row>
    <row r="269" spans="2:12">
      <c r="B269" s="197"/>
      <c r="C269" s="189"/>
      <c r="D269" s="198"/>
      <c r="E269" s="199"/>
      <c r="F269" s="199"/>
      <c r="G269" s="199"/>
      <c r="H269" s="199"/>
      <c r="I269" s="199"/>
      <c r="J269" s="219"/>
      <c r="K269" s="217">
        <f>IF(E269*F269*G269&lt;&gt;0,E269*F269*G269,IF(E269*F269&lt;&gt;0,E269*F269,IF(F269*G269&lt;&gt;0,F269*G269,IF(E269*G269&lt;&gt;0,E269*G269,IF(E269&lt;&gt;0,E269,IF(F269&lt;&gt;0,F269,IF(G269&lt;&gt;0,G269,0)))))))*(IF(H269&lt;&gt;0,H269,1))+I269-J269</f>
        <v>0</v>
      </c>
      <c r="L269" s="218"/>
    </row>
    <row r="270" spans="2:12">
      <c r="B270" s="202"/>
      <c r="C270" s="203"/>
      <c r="D270" s="203"/>
      <c r="E270" s="203"/>
      <c r="F270" s="203"/>
      <c r="G270" s="203"/>
      <c r="H270" s="204"/>
      <c r="I270" s="556" t="s">
        <v>1221</v>
      </c>
      <c r="J270" s="556"/>
      <c r="K270" s="220">
        <f>SUM(K267:K269)</f>
        <v>200.50799999999998</v>
      </c>
      <c r="L270" s="207"/>
    </row>
    <row r="271" spans="2:12">
      <c r="B271" s="208"/>
      <c r="C271" s="204"/>
      <c r="D271" s="204"/>
      <c r="E271" s="204"/>
      <c r="F271" s="204"/>
      <c r="G271" s="204"/>
      <c r="H271" s="209"/>
      <c r="I271" s="557" t="s">
        <v>1222</v>
      </c>
      <c r="J271" s="557"/>
      <c r="K271" s="221">
        <v>77</v>
      </c>
      <c r="L271" s="207"/>
    </row>
    <row r="272" spans="2:12">
      <c r="B272" s="208"/>
      <c r="C272" s="204"/>
      <c r="D272" s="204"/>
      <c r="E272" s="204"/>
      <c r="F272" s="204"/>
      <c r="G272" s="204"/>
      <c r="H272" s="558" t="s">
        <v>1223</v>
      </c>
      <c r="I272" s="558"/>
      <c r="J272" s="558"/>
      <c r="K272" s="222">
        <v>77</v>
      </c>
      <c r="L272" s="207"/>
    </row>
    <row r="273" spans="2:12">
      <c r="B273" s="208"/>
      <c r="C273" s="204"/>
      <c r="D273" s="204"/>
      <c r="E273" s="204"/>
      <c r="F273" s="204"/>
      <c r="G273" s="204"/>
      <c r="H273" s="558" t="s">
        <v>1250</v>
      </c>
      <c r="I273" s="558"/>
      <c r="J273" s="558"/>
      <c r="K273" s="222">
        <f>IF(K270&gt;K271,K271,K270)-K272</f>
        <v>0</v>
      </c>
      <c r="L273" s="207"/>
    </row>
    <row r="274" spans="2:12">
      <c r="B274" s="213"/>
      <c r="C274" s="214"/>
      <c r="D274" s="214"/>
      <c r="E274" s="214"/>
      <c r="F274" s="214"/>
      <c r="G274" s="214"/>
      <c r="H274" s="559" t="s">
        <v>1224</v>
      </c>
      <c r="I274" s="559"/>
      <c r="J274" s="559"/>
      <c r="K274" s="223">
        <f>IF(K270&gt;K271,K270-K271,0)</f>
        <v>123.50799999999998</v>
      </c>
      <c r="L274" s="209"/>
    </row>
    <row r="276" spans="2:12" ht="14.25" customHeight="1">
      <c r="B276" s="555" t="s">
        <v>1277</v>
      </c>
      <c r="C276" s="555"/>
      <c r="D276" s="555"/>
      <c r="E276" s="555"/>
      <c r="F276" s="555"/>
      <c r="G276" s="555"/>
      <c r="H276" s="555"/>
      <c r="I276" s="555"/>
      <c r="J276" s="555"/>
      <c r="K276" s="555"/>
      <c r="L276" s="555"/>
    </row>
    <row r="277" spans="2:12">
      <c r="B277" s="187" t="s">
        <v>1209</v>
      </c>
      <c r="C277" s="187"/>
      <c r="D277" s="187" t="s">
        <v>39</v>
      </c>
      <c r="E277" s="187" t="s">
        <v>1210</v>
      </c>
      <c r="F277" s="187" t="s">
        <v>1211</v>
      </c>
      <c r="G277" s="187" t="s">
        <v>1212</v>
      </c>
      <c r="H277" s="187" t="s">
        <v>1213</v>
      </c>
      <c r="I277" s="187" t="s">
        <v>1214</v>
      </c>
      <c r="J277" s="187" t="s">
        <v>1215</v>
      </c>
      <c r="K277" s="187" t="s">
        <v>1216</v>
      </c>
      <c r="L277" s="187" t="s">
        <v>1217</v>
      </c>
    </row>
    <row r="278" spans="2:12">
      <c r="B278" s="188" t="s">
        <v>1273</v>
      </c>
      <c r="C278" s="189" t="s">
        <v>1271</v>
      </c>
      <c r="D278" s="190" t="s">
        <v>1274</v>
      </c>
      <c r="E278" s="191">
        <v>938</v>
      </c>
      <c r="F278" s="243">
        <v>0.39500000000000002</v>
      </c>
      <c r="G278" s="192">
        <v>1.1000000000000001</v>
      </c>
      <c r="H278" s="191"/>
      <c r="I278" s="191"/>
      <c r="J278" s="216"/>
      <c r="K278" s="217">
        <f>IF(E278*F278*G278&lt;&gt;0,E278*F278*G278,IF(E278*F278&lt;&gt;0,E278*F278,IF(F278*G278&lt;&gt;0,F278*G278,IF(E278*G278&lt;&gt;0,E278*G278,IF(E278&lt;&gt;0,E278,IF(F278&lt;&gt;0,F278,IF(G278&lt;&gt;0,G278,0)))))))*(IF(H278&lt;&gt;0,H278,1))+I278-J278</f>
        <v>407.56100000000004</v>
      </c>
      <c r="L278" s="218"/>
    </row>
    <row r="279" spans="2:12">
      <c r="B279" s="188" t="s">
        <v>1275</v>
      </c>
      <c r="C279" s="189" t="s">
        <v>1333</v>
      </c>
      <c r="D279" s="190" t="s">
        <v>1274</v>
      </c>
      <c r="E279" s="191">
        <v>197</v>
      </c>
      <c r="F279" s="243">
        <v>0.39500000000000002</v>
      </c>
      <c r="G279" s="192">
        <v>1.1000000000000001</v>
      </c>
      <c r="H279" s="191"/>
      <c r="I279" s="191"/>
      <c r="J279" s="216"/>
      <c r="K279" s="217">
        <f>IF(E279*F279*G279&lt;&gt;0,E279*F279*G279,IF(E279*F279&lt;&gt;0,E279*F279,IF(F279*G279&lt;&gt;0,F279*G279,IF(E279*G279&lt;&gt;0,E279*G279,IF(E279&lt;&gt;0,E279,IF(F279&lt;&gt;0,F279,IF(G279&lt;&gt;0,G279,0)))))))*(IF(H279&lt;&gt;0,H279,1))+I279-J279</f>
        <v>85.596500000000006</v>
      </c>
      <c r="L279" s="218"/>
    </row>
    <row r="280" spans="2:12">
      <c r="B280" s="188" t="s">
        <v>1448</v>
      </c>
      <c r="C280" s="189" t="s">
        <v>1441</v>
      </c>
      <c r="D280" s="190" t="s">
        <v>1274</v>
      </c>
      <c r="E280" s="191">
        <v>123.508</v>
      </c>
      <c r="F280" s="243"/>
      <c r="G280" s="192"/>
      <c r="H280" s="191">
        <v>0.75</v>
      </c>
      <c r="I280" s="191"/>
      <c r="J280" s="216"/>
      <c r="K280" s="217">
        <f>IF(E280*F280*G280&lt;&gt;0,E280*F280*G280,IF(E280*F280&lt;&gt;0,E280*F280,IF(F280*G280&lt;&gt;0,F280*G280,IF(E280*G280&lt;&gt;0,E280*G280,IF(E280&lt;&gt;0,E280,IF(F280&lt;&gt;0,F280,IF(G280&lt;&gt;0,G280,0)))))))*(IF(H280&lt;&gt;0,H280,1))+I280-J280</f>
        <v>92.631</v>
      </c>
      <c r="L280" s="218"/>
    </row>
    <row r="281" spans="2:12">
      <c r="B281" s="197"/>
      <c r="C281" s="189"/>
      <c r="D281" s="198"/>
      <c r="E281" s="199"/>
      <c r="F281" s="199"/>
      <c r="G281" s="199"/>
      <c r="H281" s="199"/>
      <c r="I281" s="199"/>
      <c r="J281" s="219"/>
      <c r="K281" s="217">
        <f>IF(E281*F281*G281&lt;&gt;0,E281*F281*G281,IF(E281*F281&lt;&gt;0,E281*F281,IF(F281*G281&lt;&gt;0,F281*G281,IF(E281*G281&lt;&gt;0,E281*G281,IF(E281&lt;&gt;0,E281,IF(F281&lt;&gt;0,F281,IF(G281&lt;&gt;0,G281,0)))))))*(IF(H281&lt;&gt;0,H281,1))+I281-J281</f>
        <v>0</v>
      </c>
      <c r="L281" s="218"/>
    </row>
    <row r="282" spans="2:12">
      <c r="B282" s="202"/>
      <c r="C282" s="203"/>
      <c r="D282" s="203"/>
      <c r="E282" s="203"/>
      <c r="F282" s="203"/>
      <c r="G282" s="203"/>
      <c r="H282" s="204"/>
      <c r="I282" s="556" t="s">
        <v>1221</v>
      </c>
      <c r="J282" s="556"/>
      <c r="K282" s="220">
        <f>SUM(K278:K281)</f>
        <v>585.7885</v>
      </c>
      <c r="L282" s="207"/>
    </row>
    <row r="283" spans="2:12">
      <c r="B283" s="208"/>
      <c r="C283" s="204"/>
      <c r="D283" s="204"/>
      <c r="E283" s="204"/>
      <c r="F283" s="204"/>
      <c r="G283" s="204"/>
      <c r="H283" s="209"/>
      <c r="I283" s="557" t="s">
        <v>1222</v>
      </c>
      <c r="J283" s="557"/>
      <c r="K283" s="221">
        <v>566.5</v>
      </c>
      <c r="L283" s="207"/>
    </row>
    <row r="284" spans="2:12">
      <c r="B284" s="208"/>
      <c r="C284" s="204"/>
      <c r="D284" s="204"/>
      <c r="E284" s="204"/>
      <c r="F284" s="204"/>
      <c r="G284" s="204"/>
      <c r="H284" s="558" t="s">
        <v>1223</v>
      </c>
      <c r="I284" s="558"/>
      <c r="J284" s="558"/>
      <c r="K284" s="222">
        <v>493.15750000000003</v>
      </c>
      <c r="L284" s="207"/>
    </row>
    <row r="285" spans="2:12">
      <c r="B285" s="208"/>
      <c r="C285" s="204"/>
      <c r="D285" s="204"/>
      <c r="E285" s="204"/>
      <c r="F285" s="204"/>
      <c r="G285" s="204"/>
      <c r="H285" s="558" t="s">
        <v>1250</v>
      </c>
      <c r="I285" s="558"/>
      <c r="J285" s="558"/>
      <c r="K285" s="222">
        <f>IF(K282&gt;K283,K283,K282)-K284</f>
        <v>73.342499999999973</v>
      </c>
      <c r="L285" s="207"/>
    </row>
    <row r="286" spans="2:12">
      <c r="B286" s="213"/>
      <c r="C286" s="214"/>
      <c r="D286" s="214"/>
      <c r="E286" s="214"/>
      <c r="F286" s="214"/>
      <c r="G286" s="214"/>
      <c r="H286" s="559" t="s">
        <v>1224</v>
      </c>
      <c r="I286" s="559"/>
      <c r="J286" s="559"/>
      <c r="K286" s="223">
        <f>IF(K282&gt;K283,K282-K283,0)</f>
        <v>19.288499999999999</v>
      </c>
      <c r="L286" s="209"/>
    </row>
    <row r="288" spans="2:12" ht="14.25" customHeight="1">
      <c r="B288" s="555" t="s">
        <v>1278</v>
      </c>
      <c r="C288" s="555"/>
      <c r="D288" s="555"/>
      <c r="E288" s="555"/>
      <c r="F288" s="555"/>
      <c r="G288" s="555"/>
      <c r="H288" s="555"/>
      <c r="I288" s="555"/>
      <c r="J288" s="555"/>
      <c r="K288" s="555"/>
      <c r="L288" s="555"/>
    </row>
    <row r="289" spans="2:12">
      <c r="B289" s="187" t="s">
        <v>1209</v>
      </c>
      <c r="C289" s="187"/>
      <c r="D289" s="187" t="s">
        <v>39</v>
      </c>
      <c r="E289" s="187" t="s">
        <v>1210</v>
      </c>
      <c r="F289" s="187" t="s">
        <v>1211</v>
      </c>
      <c r="G289" s="187" t="s">
        <v>1212</v>
      </c>
      <c r="H289" s="187" t="s">
        <v>1213</v>
      </c>
      <c r="I289" s="187" t="s">
        <v>1214</v>
      </c>
      <c r="J289" s="187" t="s">
        <v>1215</v>
      </c>
      <c r="K289" s="187" t="s">
        <v>1216</v>
      </c>
      <c r="L289" s="187" t="s">
        <v>1217</v>
      </c>
    </row>
    <row r="290" spans="2:12">
      <c r="B290" s="188" t="s">
        <v>1273</v>
      </c>
      <c r="C290" s="189" t="s">
        <v>1271</v>
      </c>
      <c r="D290" s="190" t="s">
        <v>1274</v>
      </c>
      <c r="E290" s="191">
        <v>737</v>
      </c>
      <c r="F290" s="243">
        <v>0.61699999999999999</v>
      </c>
      <c r="G290" s="192">
        <v>1.1000000000000001</v>
      </c>
      <c r="H290" s="191"/>
      <c r="I290" s="191"/>
      <c r="J290" s="216"/>
      <c r="K290" s="217">
        <f>IF(E290*F290*G290&lt;&gt;0,E290*F290*G290,IF(E290*F290&lt;&gt;0,E290*F290,IF(F290*G290&lt;&gt;0,F290*G290,IF(E290*G290&lt;&gt;0,E290*G290,IF(E290&lt;&gt;0,E290,IF(F290&lt;&gt;0,F290,IF(G290&lt;&gt;0,G290,0)))))))*(IF(H290&lt;&gt;0,H290,1))+I290-J290</f>
        <v>500.20190000000002</v>
      </c>
      <c r="L290" s="218"/>
    </row>
    <row r="291" spans="2:12">
      <c r="B291" s="188" t="s">
        <v>1275</v>
      </c>
      <c r="C291" s="189" t="s">
        <v>1333</v>
      </c>
      <c r="D291" s="190" t="s">
        <v>1274</v>
      </c>
      <c r="E291" s="191">
        <v>1837</v>
      </c>
      <c r="F291" s="243">
        <v>0.61699999999999999</v>
      </c>
      <c r="G291" s="192">
        <v>1.1000000000000001</v>
      </c>
      <c r="H291" s="191"/>
      <c r="I291" s="191"/>
      <c r="J291" s="216"/>
      <c r="K291" s="217">
        <f>IF(E291*F291*G291&lt;&gt;0,E291*F291*G291,IF(E291*F291&lt;&gt;0,E291*F291,IF(F291*G291&lt;&gt;0,F291*G291,IF(E291*G291&lt;&gt;0,E291*G291,IF(E291&lt;&gt;0,E291,IF(F291&lt;&gt;0,F291,IF(G291&lt;&gt;0,G291,0)))))))*(IF(H291&lt;&gt;0,H291,1))+I291-J291</f>
        <v>1246.7719000000002</v>
      </c>
      <c r="L291" s="218"/>
    </row>
    <row r="292" spans="2:12">
      <c r="B292" s="197"/>
      <c r="C292" s="189"/>
      <c r="D292" s="198"/>
      <c r="E292" s="199"/>
      <c r="F292" s="244"/>
      <c r="G292" s="199"/>
      <c r="H292" s="199"/>
      <c r="I292" s="199"/>
      <c r="J292" s="219"/>
      <c r="K292" s="217">
        <f>IF(E292*F292*G292&lt;&gt;0,E292*F292*G292,IF(E292*F292&lt;&gt;0,E292*F292,IF(F292*G292&lt;&gt;0,F292*G292,IF(E292*G292&lt;&gt;0,E292*G292,IF(E292&lt;&gt;0,E292,IF(F292&lt;&gt;0,F292,IF(G292&lt;&gt;0,G292,0)))))))*(IF(H292&lt;&gt;0,H292,1))+I292-J292</f>
        <v>0</v>
      </c>
      <c r="L292" s="218"/>
    </row>
    <row r="293" spans="2:12">
      <c r="B293" s="202"/>
      <c r="C293" s="203"/>
      <c r="D293" s="203"/>
      <c r="E293" s="203"/>
      <c r="F293" s="203"/>
      <c r="G293" s="203"/>
      <c r="H293" s="204"/>
      <c r="I293" s="556" t="s">
        <v>1221</v>
      </c>
      <c r="J293" s="556"/>
      <c r="K293" s="220">
        <f>SUM(K290:K292)</f>
        <v>1746.9738000000002</v>
      </c>
      <c r="L293" s="207"/>
    </row>
    <row r="294" spans="2:12">
      <c r="B294" s="208"/>
      <c r="C294" s="204"/>
      <c r="D294" s="204"/>
      <c r="E294" s="204"/>
      <c r="F294" s="204"/>
      <c r="G294" s="204"/>
      <c r="H294" s="209"/>
      <c r="I294" s="557" t="s">
        <v>1222</v>
      </c>
      <c r="J294" s="557"/>
      <c r="K294" s="221">
        <v>1663.2</v>
      </c>
      <c r="L294" s="207"/>
    </row>
    <row r="295" spans="2:12">
      <c r="B295" s="208"/>
      <c r="C295" s="204"/>
      <c r="D295" s="204"/>
      <c r="E295" s="204"/>
      <c r="F295" s="204"/>
      <c r="G295" s="204"/>
      <c r="H295" s="558" t="s">
        <v>1223</v>
      </c>
      <c r="I295" s="558"/>
      <c r="J295" s="558"/>
      <c r="K295" s="222">
        <v>500.20190000000002</v>
      </c>
      <c r="L295" s="207"/>
    </row>
    <row r="296" spans="2:12">
      <c r="B296" s="208"/>
      <c r="C296" s="204"/>
      <c r="D296" s="204"/>
      <c r="E296" s="204"/>
      <c r="F296" s="204"/>
      <c r="G296" s="204"/>
      <c r="H296" s="558" t="s">
        <v>1250</v>
      </c>
      <c r="I296" s="558"/>
      <c r="J296" s="558"/>
      <c r="K296" s="222">
        <f>IF(K293&gt;K294,K294,K293)-K295</f>
        <v>1162.9981</v>
      </c>
      <c r="L296" s="207"/>
    </row>
    <row r="297" spans="2:12">
      <c r="B297" s="213"/>
      <c r="C297" s="214"/>
      <c r="D297" s="214"/>
      <c r="E297" s="214"/>
      <c r="F297" s="214"/>
      <c r="G297" s="214"/>
      <c r="H297" s="559" t="s">
        <v>1224</v>
      </c>
      <c r="I297" s="559"/>
      <c r="J297" s="559"/>
      <c r="K297" s="223">
        <f>IF(K293&gt;K294,K293-K294,0)</f>
        <v>83.773800000000165</v>
      </c>
      <c r="L297" s="209"/>
    </row>
    <row r="299" spans="2:12" ht="14.25" customHeight="1">
      <c r="B299" s="555" t="s">
        <v>1279</v>
      </c>
      <c r="C299" s="555"/>
      <c r="D299" s="555"/>
      <c r="E299" s="555"/>
      <c r="F299" s="555"/>
      <c r="G299" s="555"/>
      <c r="H299" s="555"/>
      <c r="I299" s="555"/>
      <c r="J299" s="555"/>
      <c r="K299" s="555"/>
      <c r="L299" s="555"/>
    </row>
    <row r="300" spans="2:12">
      <c r="B300" s="187" t="s">
        <v>1209</v>
      </c>
      <c r="C300" s="187"/>
      <c r="D300" s="187" t="s">
        <v>39</v>
      </c>
      <c r="E300" s="187" t="s">
        <v>1210</v>
      </c>
      <c r="F300" s="187" t="s">
        <v>1211</v>
      </c>
      <c r="G300" s="187" t="s">
        <v>1212</v>
      </c>
      <c r="H300" s="187" t="s">
        <v>1213</v>
      </c>
      <c r="I300" s="187" t="s">
        <v>1214</v>
      </c>
      <c r="J300" s="187" t="s">
        <v>1215</v>
      </c>
      <c r="K300" s="187" t="s">
        <v>1216</v>
      </c>
      <c r="L300" s="187" t="s">
        <v>1217</v>
      </c>
    </row>
    <row r="301" spans="2:12">
      <c r="B301" s="188" t="s">
        <v>1273</v>
      </c>
      <c r="C301" s="189" t="s">
        <v>1271</v>
      </c>
      <c r="D301" s="190" t="s">
        <v>1274</v>
      </c>
      <c r="E301" s="191">
        <v>3329</v>
      </c>
      <c r="F301" s="243">
        <v>0.96299999999999997</v>
      </c>
      <c r="G301" s="192">
        <v>1.1000000000000001</v>
      </c>
      <c r="H301" s="191"/>
      <c r="I301" s="191"/>
      <c r="J301" s="216"/>
      <c r="K301" s="217">
        <f>IF(E301*F301*G301&lt;&gt;0,E301*F301*G301,IF(E301*F301&lt;&gt;0,E301*F301,IF(F301*G301&lt;&gt;0,F301*G301,IF(E301*G301&lt;&gt;0,E301*G301,IF(E301&lt;&gt;0,E301,IF(F301&lt;&gt;0,F301,IF(G301&lt;&gt;0,G301,0)))))))*(IF(H301&lt;&gt;0,H301,1))+I301-J301</f>
        <v>3526.4097000000002</v>
      </c>
      <c r="L301" s="218"/>
    </row>
    <row r="302" spans="2:12">
      <c r="B302" s="188" t="s">
        <v>1275</v>
      </c>
      <c r="C302" s="189" t="s">
        <v>1333</v>
      </c>
      <c r="D302" s="190" t="s">
        <v>1274</v>
      </c>
      <c r="E302" s="191">
        <v>2624</v>
      </c>
      <c r="F302" s="243">
        <v>0.96299999999999997</v>
      </c>
      <c r="G302" s="192">
        <v>1.1000000000000001</v>
      </c>
      <c r="H302" s="191"/>
      <c r="I302" s="191"/>
      <c r="J302" s="216"/>
      <c r="K302" s="217">
        <f>IF(E302*F302*G302&lt;&gt;0,E302*F302*G302,IF(E302*F302&lt;&gt;0,E302*F302,IF(F302*G302&lt;&gt;0,F302*G302,IF(E302*G302&lt;&gt;0,E302*G302,IF(E302&lt;&gt;0,E302,IF(F302&lt;&gt;0,F302,IF(G302&lt;&gt;0,G302,0)))))))*(IF(H302&lt;&gt;0,H302,1))+I302-J302</f>
        <v>2779.6032</v>
      </c>
      <c r="L302" s="218"/>
    </row>
    <row r="303" spans="2:12">
      <c r="B303" s="197"/>
      <c r="C303" s="189"/>
      <c r="D303" s="198"/>
      <c r="E303" s="199"/>
      <c r="F303" s="244"/>
      <c r="G303" s="199"/>
      <c r="H303" s="199"/>
      <c r="I303" s="199"/>
      <c r="J303" s="219"/>
      <c r="K303" s="217">
        <f>IF(E303*F303*G303&lt;&gt;0,E303*F303*G303,IF(E303*F303&lt;&gt;0,E303*F303,IF(F303*G303&lt;&gt;0,F303*G303,IF(E303*G303&lt;&gt;0,E303*G303,IF(E303&lt;&gt;0,E303,IF(F303&lt;&gt;0,F303,IF(G303&lt;&gt;0,G303,0)))))))*(IF(H303&lt;&gt;0,H303,1))+I303-J303</f>
        <v>0</v>
      </c>
      <c r="L303" s="218"/>
    </row>
    <row r="304" spans="2:12">
      <c r="B304" s="202"/>
      <c r="C304" s="203"/>
      <c r="D304" s="203"/>
      <c r="E304" s="203"/>
      <c r="F304" s="203"/>
      <c r="G304" s="203"/>
      <c r="H304" s="204"/>
      <c r="I304" s="556" t="s">
        <v>1221</v>
      </c>
      <c r="J304" s="556"/>
      <c r="K304" s="220">
        <f>SUM(K301:K303)</f>
        <v>6306.0128999999997</v>
      </c>
      <c r="L304" s="207"/>
    </row>
    <row r="305" spans="2:12">
      <c r="B305" s="208"/>
      <c r="C305" s="204"/>
      <c r="D305" s="204"/>
      <c r="E305" s="204"/>
      <c r="F305" s="204"/>
      <c r="G305" s="204"/>
      <c r="H305" s="209"/>
      <c r="I305" s="557" t="s">
        <v>1222</v>
      </c>
      <c r="J305" s="557"/>
      <c r="K305" s="221">
        <v>4944.5</v>
      </c>
      <c r="L305" s="207"/>
    </row>
    <row r="306" spans="2:12">
      <c r="B306" s="208"/>
      <c r="C306" s="204"/>
      <c r="D306" s="204"/>
      <c r="E306" s="204"/>
      <c r="F306" s="204"/>
      <c r="G306" s="204"/>
      <c r="H306" s="558" t="s">
        <v>1223</v>
      </c>
      <c r="I306" s="558"/>
      <c r="J306" s="558"/>
      <c r="K306" s="222">
        <v>3541.0572999999999</v>
      </c>
      <c r="L306" s="207"/>
    </row>
    <row r="307" spans="2:12">
      <c r="B307" s="208"/>
      <c r="C307" s="204"/>
      <c r="D307" s="204"/>
      <c r="E307" s="204"/>
      <c r="F307" s="204"/>
      <c r="G307" s="204"/>
      <c r="H307" s="558" t="s">
        <v>1250</v>
      </c>
      <c r="I307" s="558"/>
      <c r="J307" s="558"/>
      <c r="K307" s="222">
        <f>IF(K304&gt;K305,K305,K304)-K306</f>
        <v>1403.4427000000001</v>
      </c>
      <c r="L307" s="207"/>
    </row>
    <row r="308" spans="2:12">
      <c r="B308" s="213"/>
      <c r="C308" s="214"/>
      <c r="D308" s="214"/>
      <c r="E308" s="214"/>
      <c r="F308" s="214"/>
      <c r="G308" s="214"/>
      <c r="H308" s="559" t="s">
        <v>1224</v>
      </c>
      <c r="I308" s="559"/>
      <c r="J308" s="559"/>
      <c r="K308" s="223">
        <f>IF(K304&gt;K305,K304-K305,0)</f>
        <v>1361.5128999999997</v>
      </c>
      <c r="L308" s="209"/>
    </row>
    <row r="310" spans="2:12" ht="14.25" customHeight="1">
      <c r="B310" s="555" t="s">
        <v>1280</v>
      </c>
      <c r="C310" s="555"/>
      <c r="D310" s="555"/>
      <c r="E310" s="555"/>
      <c r="F310" s="555"/>
      <c r="G310" s="555"/>
      <c r="H310" s="555"/>
      <c r="I310" s="555"/>
      <c r="J310" s="555"/>
      <c r="K310" s="555"/>
      <c r="L310" s="555"/>
    </row>
    <row r="311" spans="2:12">
      <c r="B311" s="187" t="s">
        <v>1209</v>
      </c>
      <c r="C311" s="187"/>
      <c r="D311" s="187" t="s">
        <v>39</v>
      </c>
      <c r="E311" s="187" t="s">
        <v>1210</v>
      </c>
      <c r="F311" s="187" t="s">
        <v>1211</v>
      </c>
      <c r="G311" s="187" t="s">
        <v>1212</v>
      </c>
      <c r="H311" s="187" t="s">
        <v>1213</v>
      </c>
      <c r="I311" s="187" t="s">
        <v>1214</v>
      </c>
      <c r="J311" s="187" t="s">
        <v>1215</v>
      </c>
      <c r="K311" s="187" t="s">
        <v>1216</v>
      </c>
      <c r="L311" s="187" t="s">
        <v>1217</v>
      </c>
    </row>
    <row r="312" spans="2:12">
      <c r="B312" s="188" t="s">
        <v>1273</v>
      </c>
      <c r="C312" s="189" t="s">
        <v>1271</v>
      </c>
      <c r="D312" s="190" t="s">
        <v>1274</v>
      </c>
      <c r="E312" s="191"/>
      <c r="F312" s="243"/>
      <c r="G312" s="192"/>
      <c r="H312" s="191"/>
      <c r="I312" s="191"/>
      <c r="J312" s="216"/>
      <c r="K312" s="217">
        <f>IF(E312*F312*G312&lt;&gt;0,E312*F312*G312,IF(E312*F312&lt;&gt;0,E312*F312,IF(F312*G312&lt;&gt;0,F312*G312,IF(E312*G312&lt;&gt;0,E312*G312,IF(E312&lt;&gt;0,E312,IF(F312&lt;&gt;0,F312,IF(G312&lt;&gt;0,G312,0)))))))*(IF(H312&lt;&gt;0,H312,1))+I312-J312</f>
        <v>0</v>
      </c>
      <c r="L312" s="218"/>
    </row>
    <row r="313" spans="2:12">
      <c r="B313" s="188" t="s">
        <v>1275</v>
      </c>
      <c r="C313" s="189" t="s">
        <v>1333</v>
      </c>
      <c r="D313" s="190" t="s">
        <v>1274</v>
      </c>
      <c r="E313" s="191">
        <v>67</v>
      </c>
      <c r="F313" s="243">
        <v>1.5780000000000001</v>
      </c>
      <c r="G313" s="192">
        <v>1.1000000000000001</v>
      </c>
      <c r="H313" s="191"/>
      <c r="I313" s="191"/>
      <c r="J313" s="216"/>
      <c r="K313" s="217">
        <f>IF(E313*F313*G313&lt;&gt;0,E313*F313*G313,IF(E313*F313&lt;&gt;0,E313*F313,IF(F313*G313&lt;&gt;0,F313*G313,IF(E313*G313&lt;&gt;0,E313*G313,IF(E313&lt;&gt;0,E313,IF(F313&lt;&gt;0,F313,IF(G313&lt;&gt;0,G313,0)))))))*(IF(H313&lt;&gt;0,H313,1))+I313-J313</f>
        <v>116.29860000000001</v>
      </c>
      <c r="L313" s="218"/>
    </row>
    <row r="314" spans="2:12">
      <c r="B314" s="197"/>
      <c r="C314" s="189"/>
      <c r="D314" s="198"/>
      <c r="E314" s="199"/>
      <c r="F314" s="199"/>
      <c r="G314" s="199"/>
      <c r="H314" s="199"/>
      <c r="I314" s="199"/>
      <c r="J314" s="219"/>
      <c r="K314" s="217">
        <f>IF(E314*F314*G314&lt;&gt;0,E314*F314*G314,IF(E314*F314&lt;&gt;0,E314*F314,IF(F314*G314&lt;&gt;0,F314*G314,IF(E314*G314&lt;&gt;0,E314*G314,IF(E314&lt;&gt;0,E314,IF(F314&lt;&gt;0,F314,IF(G314&lt;&gt;0,G314,0)))))))*(IF(H314&lt;&gt;0,H314,1))+I314-J314</f>
        <v>0</v>
      </c>
      <c r="L314" s="218"/>
    </row>
    <row r="315" spans="2:12">
      <c r="B315" s="202"/>
      <c r="C315" s="203"/>
      <c r="D315" s="203"/>
      <c r="E315" s="203"/>
      <c r="F315" s="203"/>
      <c r="G315" s="203"/>
      <c r="H315" s="204"/>
      <c r="I315" s="556" t="s">
        <v>1221</v>
      </c>
      <c r="J315" s="556"/>
      <c r="K315" s="220">
        <f>SUM(K312:K314)</f>
        <v>116.29860000000001</v>
      </c>
      <c r="L315" s="207"/>
    </row>
    <row r="316" spans="2:12">
      <c r="B316" s="208"/>
      <c r="C316" s="204"/>
      <c r="D316" s="204"/>
      <c r="E316" s="204"/>
      <c r="F316" s="204"/>
      <c r="G316" s="204"/>
      <c r="H316" s="209"/>
      <c r="I316" s="557" t="s">
        <v>1222</v>
      </c>
      <c r="J316" s="557"/>
      <c r="K316" s="221">
        <v>115.5</v>
      </c>
      <c r="L316" s="207"/>
    </row>
    <row r="317" spans="2:12">
      <c r="B317" s="208"/>
      <c r="C317" s="204"/>
      <c r="D317" s="204"/>
      <c r="E317" s="204"/>
      <c r="F317" s="204"/>
      <c r="G317" s="204"/>
      <c r="H317" s="558" t="s">
        <v>1223</v>
      </c>
      <c r="I317" s="558"/>
      <c r="J317" s="558"/>
      <c r="K317" s="222">
        <v>115.5</v>
      </c>
      <c r="L317" s="207"/>
    </row>
    <row r="318" spans="2:12">
      <c r="B318" s="208"/>
      <c r="C318" s="204"/>
      <c r="D318" s="204"/>
      <c r="E318" s="204"/>
      <c r="F318" s="204"/>
      <c r="G318" s="204"/>
      <c r="H318" s="558" t="s">
        <v>1250</v>
      </c>
      <c r="I318" s="558"/>
      <c r="J318" s="558"/>
      <c r="K318" s="222">
        <f>IF(K315&gt;K316,K316,K315)-K317</f>
        <v>0</v>
      </c>
      <c r="L318" s="207"/>
    </row>
    <row r="319" spans="2:12">
      <c r="B319" s="213"/>
      <c r="C319" s="214"/>
      <c r="D319" s="214"/>
      <c r="E319" s="214"/>
      <c r="F319" s="214"/>
      <c r="G319" s="214"/>
      <c r="H319" s="559" t="s">
        <v>1224</v>
      </c>
      <c r="I319" s="559"/>
      <c r="J319" s="559"/>
      <c r="K319" s="223">
        <f>IF(K315&gt;K316,K315-K316,0)</f>
        <v>0.79860000000000753</v>
      </c>
      <c r="L319" s="209"/>
    </row>
    <row r="321" spans="2:12" ht="14.25" customHeight="1">
      <c r="B321" s="555" t="s">
        <v>1281</v>
      </c>
      <c r="C321" s="555"/>
      <c r="D321" s="555"/>
      <c r="E321" s="555"/>
      <c r="F321" s="555"/>
      <c r="G321" s="555"/>
      <c r="H321" s="555"/>
      <c r="I321" s="555"/>
      <c r="J321" s="555"/>
      <c r="K321" s="555"/>
      <c r="L321" s="555"/>
    </row>
    <row r="322" spans="2:12">
      <c r="B322" s="187" t="s">
        <v>1209</v>
      </c>
      <c r="C322" s="187"/>
      <c r="D322" s="187" t="s">
        <v>39</v>
      </c>
      <c r="E322" s="187" t="s">
        <v>1210</v>
      </c>
      <c r="F322" s="187" t="s">
        <v>1211</v>
      </c>
      <c r="G322" s="187" t="s">
        <v>1212</v>
      </c>
      <c r="H322" s="187" t="s">
        <v>1213</v>
      </c>
      <c r="I322" s="187" t="s">
        <v>1214</v>
      </c>
      <c r="J322" s="187" t="s">
        <v>1215</v>
      </c>
      <c r="K322" s="187" t="s">
        <v>1216</v>
      </c>
      <c r="L322" s="187" t="s">
        <v>1217</v>
      </c>
    </row>
    <row r="323" spans="2:12">
      <c r="B323" s="188" t="s">
        <v>1273</v>
      </c>
      <c r="C323" s="189" t="s">
        <v>1271</v>
      </c>
      <c r="D323" s="190" t="s">
        <v>1274</v>
      </c>
      <c r="E323" s="191">
        <v>369</v>
      </c>
      <c r="F323" s="243">
        <v>2.4660000000000002</v>
      </c>
      <c r="G323" s="192">
        <v>1.1000000000000001</v>
      </c>
      <c r="H323" s="191"/>
      <c r="I323" s="191"/>
      <c r="J323" s="216"/>
      <c r="K323" s="217">
        <f>IF(E323*F323*G323&lt;&gt;0,E323*F323*G323,IF(E323*F323&lt;&gt;0,E323*F323,IF(F323*G323&lt;&gt;0,F323*G323,IF(E323*G323&lt;&gt;0,E323*G323,IF(E323&lt;&gt;0,E323,IF(F323&lt;&gt;0,F323,IF(G323&lt;&gt;0,G323,0)))))))*(IF(H323&lt;&gt;0,H323,1))+I323-J323</f>
        <v>1000.9494000000002</v>
      </c>
      <c r="L323" s="245" t="s">
        <v>1282</v>
      </c>
    </row>
    <row r="324" spans="2:12">
      <c r="B324" s="188" t="s">
        <v>1273</v>
      </c>
      <c r="C324" s="189" t="s">
        <v>1271</v>
      </c>
      <c r="D324" s="190" t="s">
        <v>1274</v>
      </c>
      <c r="E324" s="191">
        <v>623</v>
      </c>
      <c r="F324" s="243">
        <v>3.8530000000000002</v>
      </c>
      <c r="G324" s="192">
        <v>1.1000000000000001</v>
      </c>
      <c r="H324" s="191"/>
      <c r="I324" s="191"/>
      <c r="J324" s="216"/>
      <c r="K324" s="217">
        <f>IF(E324*F324*G324&lt;&gt;0,E324*F324*G324,IF(E324*F324&lt;&gt;0,E324*F324,IF(F324*G324&lt;&gt;0,F324*G324,IF(E324*G324&lt;&gt;0,E324*G324,IF(E324&lt;&gt;0,E324,IF(F324&lt;&gt;0,F324,IF(G324&lt;&gt;0,G324,0)))))))*(IF(H324&lt;&gt;0,H324,1))+I324-J324</f>
        <v>2640.4609000000005</v>
      </c>
      <c r="L324" s="245" t="s">
        <v>1283</v>
      </c>
    </row>
    <row r="325" spans="2:12">
      <c r="B325" s="188" t="s">
        <v>1275</v>
      </c>
      <c r="C325" s="189" t="s">
        <v>1333</v>
      </c>
      <c r="D325" s="190" t="s">
        <v>1274</v>
      </c>
      <c r="E325" s="191">
        <v>1522</v>
      </c>
      <c r="F325" s="243">
        <v>2.4660000000000002</v>
      </c>
      <c r="G325" s="192">
        <v>1.1000000000000001</v>
      </c>
      <c r="H325" s="191"/>
      <c r="I325" s="191"/>
      <c r="J325" s="216"/>
      <c r="K325" s="217">
        <f>IF(E325*F325*G325&lt;&gt;0,E325*F325*G325,IF(E325*F325&lt;&gt;0,E325*F325,IF(F325*G325&lt;&gt;0,F325*G325,IF(E325*G325&lt;&gt;0,E325*G325,IF(E325&lt;&gt;0,E325,IF(F325&lt;&gt;0,F325,IF(G325&lt;&gt;0,G325,0)))))))*(IF(H325&lt;&gt;0,H325,1))+I325-J325</f>
        <v>4128.5772000000006</v>
      </c>
      <c r="L325" s="245" t="s">
        <v>1282</v>
      </c>
    </row>
    <row r="326" spans="2:12">
      <c r="B326" s="197"/>
      <c r="C326" s="189"/>
      <c r="D326" s="198"/>
      <c r="E326" s="199"/>
      <c r="F326" s="244"/>
      <c r="G326" s="199"/>
      <c r="H326" s="199"/>
      <c r="I326" s="199"/>
      <c r="J326" s="219"/>
      <c r="K326" s="217">
        <f>IF(E326*F326*G326&lt;&gt;0,E326*F326*G326,IF(E326*F326&lt;&gt;0,E326*F326,IF(F326*G326&lt;&gt;0,F326*G326,IF(E326*G326&lt;&gt;0,E326*G326,IF(E326&lt;&gt;0,E326,IF(F326&lt;&gt;0,F326,IF(G326&lt;&gt;0,G326,0)))))))*(IF(H326&lt;&gt;0,H326,1))+I326-J326</f>
        <v>0</v>
      </c>
      <c r="L326" s="218"/>
    </row>
    <row r="327" spans="2:12">
      <c r="B327" s="202"/>
      <c r="C327" s="203"/>
      <c r="D327" s="203"/>
      <c r="E327" s="203"/>
      <c r="F327" s="203"/>
      <c r="G327" s="203"/>
      <c r="H327" s="204"/>
      <c r="I327" s="556" t="s">
        <v>1221</v>
      </c>
      <c r="J327" s="556"/>
      <c r="K327" s="220">
        <f>SUM(K323:K326)</f>
        <v>7769.9875000000011</v>
      </c>
      <c r="L327" s="207"/>
    </row>
    <row r="328" spans="2:12">
      <c r="B328" s="208"/>
      <c r="C328" s="204"/>
      <c r="D328" s="204"/>
      <c r="E328" s="204"/>
      <c r="F328" s="204"/>
      <c r="G328" s="204"/>
      <c r="H328" s="209"/>
      <c r="I328" s="557" t="s">
        <v>1222</v>
      </c>
      <c r="J328" s="557"/>
      <c r="K328" s="221">
        <v>7195.1</v>
      </c>
      <c r="L328" s="207"/>
    </row>
    <row r="329" spans="2:12">
      <c r="B329" s="208"/>
      <c r="C329" s="204"/>
      <c r="D329" s="204"/>
      <c r="E329" s="204"/>
      <c r="F329" s="204"/>
      <c r="G329" s="204"/>
      <c r="H329" s="558" t="s">
        <v>1223</v>
      </c>
      <c r="I329" s="558"/>
      <c r="J329" s="558"/>
      <c r="K329" s="222">
        <v>3641.4103</v>
      </c>
      <c r="L329" s="207"/>
    </row>
    <row r="330" spans="2:12">
      <c r="B330" s="208"/>
      <c r="C330" s="204"/>
      <c r="D330" s="204"/>
      <c r="E330" s="204"/>
      <c r="F330" s="204"/>
      <c r="G330" s="204"/>
      <c r="H330" s="558" t="s">
        <v>1250</v>
      </c>
      <c r="I330" s="558"/>
      <c r="J330" s="558"/>
      <c r="K330" s="222">
        <f>IF(K327&gt;K328,K328,K327)-K329</f>
        <v>3553.6897000000004</v>
      </c>
      <c r="L330" s="207"/>
    </row>
    <row r="331" spans="2:12">
      <c r="B331" s="213"/>
      <c r="C331" s="214"/>
      <c r="D331" s="214"/>
      <c r="E331" s="214"/>
      <c r="F331" s="214"/>
      <c r="G331" s="214"/>
      <c r="H331" s="559" t="s">
        <v>1224</v>
      </c>
      <c r="I331" s="559"/>
      <c r="J331" s="559"/>
      <c r="K331" s="223">
        <f>IF(K327&gt;K328,K327-K328,0)</f>
        <v>574.88750000000073</v>
      </c>
      <c r="L331" s="209"/>
    </row>
    <row r="333" spans="2:12" ht="14.25" customHeight="1">
      <c r="B333" s="555" t="s">
        <v>1284</v>
      </c>
      <c r="C333" s="555"/>
      <c r="D333" s="555"/>
      <c r="E333" s="555"/>
      <c r="F333" s="555"/>
      <c r="G333" s="555"/>
      <c r="H333" s="555"/>
      <c r="I333" s="555"/>
      <c r="J333" s="555"/>
      <c r="K333" s="555"/>
      <c r="L333" s="555"/>
    </row>
    <row r="334" spans="2:12">
      <c r="B334" s="187" t="s">
        <v>1209</v>
      </c>
      <c r="C334" s="187"/>
      <c r="D334" s="187" t="s">
        <v>39</v>
      </c>
      <c r="E334" s="187" t="s">
        <v>1210</v>
      </c>
      <c r="F334" s="187" t="s">
        <v>1211</v>
      </c>
      <c r="G334" s="187" t="s">
        <v>1212</v>
      </c>
      <c r="H334" s="187" t="s">
        <v>1213</v>
      </c>
      <c r="I334" s="187" t="s">
        <v>1214</v>
      </c>
      <c r="J334" s="187" t="s">
        <v>1215</v>
      </c>
      <c r="K334" s="187" t="s">
        <v>1216</v>
      </c>
      <c r="L334" s="187" t="s">
        <v>1217</v>
      </c>
    </row>
    <row r="335" spans="2:12">
      <c r="B335" s="197" t="s">
        <v>1285</v>
      </c>
      <c r="C335" s="189" t="s">
        <v>1271</v>
      </c>
      <c r="D335" s="198" t="s">
        <v>169</v>
      </c>
      <c r="E335" s="199">
        <v>1.9</v>
      </c>
      <c r="F335" s="244">
        <v>0.9</v>
      </c>
      <c r="G335" s="199">
        <v>0.7</v>
      </c>
      <c r="H335" s="199"/>
      <c r="I335" s="199"/>
      <c r="J335" s="219"/>
      <c r="K335" s="217">
        <f t="shared" ref="K335:K380" si="6">IF(E335*F335*G335&lt;&gt;0,E335*F335*G335,IF(E335*F335&lt;&gt;0,E335*F335,IF(F335*G335&lt;&gt;0,F335*G335,IF(E335*G335&lt;&gt;0,E335*G335,IF(E335&lt;&gt;0,E335,IF(F335&lt;&gt;0,F335,IF(G335&lt;&gt;0,G335,0)))))))*(IF(H335&lt;&gt;0,H335,1))+I335-J335</f>
        <v>1.1969999999999998</v>
      </c>
      <c r="L335" s="218"/>
    </row>
    <row r="336" spans="2:12">
      <c r="B336" s="197" t="s">
        <v>1286</v>
      </c>
      <c r="C336" s="189" t="s">
        <v>1271</v>
      </c>
      <c r="D336" s="198" t="s">
        <v>169</v>
      </c>
      <c r="E336" s="199">
        <v>2.2000000000000002</v>
      </c>
      <c r="F336" s="244">
        <v>2.2000000000000002</v>
      </c>
      <c r="G336" s="199">
        <v>1.1000000000000001</v>
      </c>
      <c r="H336" s="199"/>
      <c r="I336" s="199"/>
      <c r="J336" s="219"/>
      <c r="K336" s="217">
        <f t="shared" si="6"/>
        <v>5.3240000000000016</v>
      </c>
      <c r="L336" s="218"/>
    </row>
    <row r="337" spans="2:12">
      <c r="B337" s="197" t="s">
        <v>1287</v>
      </c>
      <c r="C337" s="189" t="s">
        <v>1271</v>
      </c>
      <c r="D337" s="198" t="s">
        <v>169</v>
      </c>
      <c r="E337" s="199">
        <v>2.2000000000000002</v>
      </c>
      <c r="F337" s="244">
        <v>2.2000000000000002</v>
      </c>
      <c r="G337" s="199">
        <v>1.1000000000000001</v>
      </c>
      <c r="H337" s="199"/>
      <c r="I337" s="199"/>
      <c r="J337" s="219"/>
      <c r="K337" s="217">
        <f t="shared" si="6"/>
        <v>5.3240000000000016</v>
      </c>
      <c r="L337" s="218"/>
    </row>
    <row r="338" spans="2:12">
      <c r="B338" s="197" t="s">
        <v>1288</v>
      </c>
      <c r="C338" s="189" t="s">
        <v>1271</v>
      </c>
      <c r="D338" s="198" t="s">
        <v>169</v>
      </c>
      <c r="E338" s="199">
        <v>1.9</v>
      </c>
      <c r="F338" s="244">
        <v>0.9</v>
      </c>
      <c r="G338" s="199">
        <v>1</v>
      </c>
      <c r="H338" s="199"/>
      <c r="I338" s="199"/>
      <c r="J338" s="219"/>
      <c r="K338" s="217">
        <f t="shared" si="6"/>
        <v>1.71</v>
      </c>
      <c r="L338" s="218"/>
    </row>
    <row r="339" spans="2:12">
      <c r="B339" s="197" t="s">
        <v>1289</v>
      </c>
      <c r="C339" s="189" t="s">
        <v>1271</v>
      </c>
      <c r="D339" s="198" t="s">
        <v>169</v>
      </c>
      <c r="E339" s="199">
        <v>1</v>
      </c>
      <c r="F339" s="244">
        <v>1</v>
      </c>
      <c r="G339" s="199">
        <v>0.9</v>
      </c>
      <c r="H339" s="199"/>
      <c r="I339" s="199"/>
      <c r="J339" s="219"/>
      <c r="K339" s="217">
        <f t="shared" si="6"/>
        <v>0.9</v>
      </c>
      <c r="L339" s="218"/>
    </row>
    <row r="340" spans="2:12">
      <c r="B340" s="197" t="s">
        <v>1290</v>
      </c>
      <c r="C340" s="189" t="s">
        <v>1271</v>
      </c>
      <c r="D340" s="198" t="s">
        <v>169</v>
      </c>
      <c r="E340" s="199"/>
      <c r="F340" s="244"/>
      <c r="G340" s="199"/>
      <c r="H340" s="199"/>
      <c r="I340" s="199">
        <v>2.95614</v>
      </c>
      <c r="J340" s="219"/>
      <c r="K340" s="217">
        <f t="shared" si="6"/>
        <v>2.95614</v>
      </c>
      <c r="L340" s="218"/>
    </row>
    <row r="341" spans="2:12">
      <c r="B341" s="197" t="s">
        <v>1291</v>
      </c>
      <c r="C341" s="189" t="s">
        <v>1271</v>
      </c>
      <c r="D341" s="198" t="s">
        <v>169</v>
      </c>
      <c r="E341" s="199">
        <v>2.2000000000000002</v>
      </c>
      <c r="F341" s="244">
        <v>2.2000000000000002</v>
      </c>
      <c r="G341" s="199">
        <v>1.1000000000000001</v>
      </c>
      <c r="H341" s="199"/>
      <c r="I341" s="199"/>
      <c r="J341" s="219"/>
      <c r="K341" s="217">
        <f t="shared" si="6"/>
        <v>5.3240000000000016</v>
      </c>
      <c r="L341" s="218"/>
    </row>
    <row r="342" spans="2:12">
      <c r="B342" s="197" t="s">
        <v>1292</v>
      </c>
      <c r="C342" s="189" t="s">
        <v>1271</v>
      </c>
      <c r="D342" s="198" t="s">
        <v>169</v>
      </c>
      <c r="E342" s="199">
        <v>2.2000000000000002</v>
      </c>
      <c r="F342" s="244">
        <v>2.2000000000000002</v>
      </c>
      <c r="G342" s="199">
        <v>1.1000000000000001</v>
      </c>
      <c r="H342" s="199"/>
      <c r="I342" s="199"/>
      <c r="J342" s="219"/>
      <c r="K342" s="217">
        <f t="shared" si="6"/>
        <v>5.3240000000000016</v>
      </c>
      <c r="L342" s="218"/>
    </row>
    <row r="343" spans="2:12">
      <c r="B343" s="197" t="s">
        <v>1293</v>
      </c>
      <c r="C343" s="189" t="s">
        <v>1271</v>
      </c>
      <c r="D343" s="198" t="s">
        <v>169</v>
      </c>
      <c r="E343" s="199">
        <v>2.2000000000000002</v>
      </c>
      <c r="F343" s="244">
        <v>2.2000000000000002</v>
      </c>
      <c r="G343" s="199">
        <v>1.1000000000000001</v>
      </c>
      <c r="H343" s="199"/>
      <c r="I343" s="199"/>
      <c r="J343" s="219"/>
      <c r="K343" s="217">
        <f t="shared" si="6"/>
        <v>5.3240000000000016</v>
      </c>
      <c r="L343" s="218"/>
    </row>
    <row r="344" spans="2:12">
      <c r="B344" s="197" t="s">
        <v>1294</v>
      </c>
      <c r="C344" s="189" t="s">
        <v>1271</v>
      </c>
      <c r="D344" s="198" t="s">
        <v>169</v>
      </c>
      <c r="E344" s="199">
        <v>1</v>
      </c>
      <c r="F344" s="244">
        <v>1</v>
      </c>
      <c r="G344" s="199">
        <v>0.7</v>
      </c>
      <c r="H344" s="199"/>
      <c r="I344" s="199"/>
      <c r="J344" s="219"/>
      <c r="K344" s="217">
        <f t="shared" si="6"/>
        <v>0.7</v>
      </c>
      <c r="L344" s="218"/>
    </row>
    <row r="345" spans="2:12">
      <c r="B345" s="197" t="s">
        <v>1295</v>
      </c>
      <c r="C345" s="189" t="s">
        <v>1271</v>
      </c>
      <c r="D345" s="198" t="s">
        <v>169</v>
      </c>
      <c r="E345" s="199"/>
      <c r="F345" s="244"/>
      <c r="G345" s="199"/>
      <c r="H345" s="199"/>
      <c r="I345" s="199">
        <v>2.95614</v>
      </c>
      <c r="J345" s="219"/>
      <c r="K345" s="217">
        <f t="shared" si="6"/>
        <v>2.95614</v>
      </c>
      <c r="L345" s="218"/>
    </row>
    <row r="346" spans="2:12">
      <c r="B346" s="197" t="s">
        <v>1336</v>
      </c>
      <c r="C346" s="189" t="s">
        <v>1271</v>
      </c>
      <c r="D346" s="198" t="s">
        <v>169</v>
      </c>
      <c r="E346" s="199">
        <v>2.2000000000000002</v>
      </c>
      <c r="F346" s="244">
        <v>2.2000000000000002</v>
      </c>
      <c r="G346" s="199">
        <v>1.1000000000000001</v>
      </c>
      <c r="H346" s="199"/>
      <c r="I346" s="199"/>
      <c r="J346" s="219"/>
      <c r="K346" s="217">
        <f t="shared" si="6"/>
        <v>5.3240000000000016</v>
      </c>
      <c r="L346" s="218"/>
    </row>
    <row r="347" spans="2:12">
      <c r="B347" s="197" t="s">
        <v>1337</v>
      </c>
      <c r="C347" s="189" t="s">
        <v>1271</v>
      </c>
      <c r="D347" s="198" t="s">
        <v>169</v>
      </c>
      <c r="E347" s="199">
        <v>2.2000000000000002</v>
      </c>
      <c r="F347" s="244">
        <v>2.2000000000000002</v>
      </c>
      <c r="G347" s="199">
        <v>1.1000000000000001</v>
      </c>
      <c r="H347" s="199"/>
      <c r="I347" s="199"/>
      <c r="J347" s="219"/>
      <c r="K347" s="217">
        <f t="shared" si="6"/>
        <v>5.3240000000000016</v>
      </c>
      <c r="L347" s="218"/>
    </row>
    <row r="348" spans="2:12">
      <c r="B348" s="197" t="s">
        <v>1338</v>
      </c>
      <c r="C348" s="189" t="s">
        <v>1271</v>
      </c>
      <c r="D348" s="198" t="s">
        <v>169</v>
      </c>
      <c r="E348" s="199">
        <v>2.2000000000000002</v>
      </c>
      <c r="F348" s="244">
        <v>2.2000000000000002</v>
      </c>
      <c r="G348" s="199">
        <v>1.1000000000000001</v>
      </c>
      <c r="H348" s="199"/>
      <c r="I348" s="199"/>
      <c r="J348" s="219"/>
      <c r="K348" s="217">
        <f t="shared" si="6"/>
        <v>5.3240000000000016</v>
      </c>
      <c r="L348" s="218"/>
    </row>
    <row r="349" spans="2:12">
      <c r="B349" s="197" t="s">
        <v>1339</v>
      </c>
      <c r="C349" s="189" t="s">
        <v>1271</v>
      </c>
      <c r="D349" s="198" t="s">
        <v>169</v>
      </c>
      <c r="E349" s="199">
        <v>1</v>
      </c>
      <c r="F349" s="244">
        <v>1</v>
      </c>
      <c r="G349" s="199">
        <v>0.7</v>
      </c>
      <c r="H349" s="199"/>
      <c r="I349" s="199"/>
      <c r="J349" s="219"/>
      <c r="K349" s="217">
        <f t="shared" si="6"/>
        <v>0.7</v>
      </c>
      <c r="L349" s="218"/>
    </row>
    <row r="350" spans="2:12">
      <c r="B350" s="197" t="s">
        <v>1340</v>
      </c>
      <c r="C350" s="189" t="s">
        <v>1271</v>
      </c>
      <c r="D350" s="198" t="s">
        <v>169</v>
      </c>
      <c r="E350" s="199">
        <v>1.9</v>
      </c>
      <c r="F350" s="244">
        <v>0.9</v>
      </c>
      <c r="G350" s="199">
        <v>0.7</v>
      </c>
      <c r="H350" s="199"/>
      <c r="I350" s="199"/>
      <c r="J350" s="219"/>
      <c r="K350" s="217">
        <f t="shared" si="6"/>
        <v>1.1969999999999998</v>
      </c>
      <c r="L350" s="218"/>
    </row>
    <row r="351" spans="2:12">
      <c r="B351" s="197" t="s">
        <v>1296</v>
      </c>
      <c r="C351" s="189" t="s">
        <v>1271</v>
      </c>
      <c r="D351" s="198" t="s">
        <v>169</v>
      </c>
      <c r="E351" s="199">
        <v>1.9</v>
      </c>
      <c r="F351" s="244">
        <v>0.9</v>
      </c>
      <c r="G351" s="199">
        <v>0.7</v>
      </c>
      <c r="H351" s="199"/>
      <c r="I351" s="199"/>
      <c r="J351" s="219"/>
      <c r="K351" s="217">
        <f t="shared" si="6"/>
        <v>1.1969999999999998</v>
      </c>
      <c r="L351" s="218"/>
    </row>
    <row r="352" spans="2:12">
      <c r="B352" s="197" t="s">
        <v>1341</v>
      </c>
      <c r="C352" s="189" t="s">
        <v>1271</v>
      </c>
      <c r="D352" s="198" t="s">
        <v>169</v>
      </c>
      <c r="E352" s="199"/>
      <c r="F352" s="244"/>
      <c r="G352" s="199"/>
      <c r="H352" s="199"/>
      <c r="I352" s="199">
        <v>2.95614</v>
      </c>
      <c r="J352" s="219"/>
      <c r="K352" s="217">
        <f t="shared" si="6"/>
        <v>2.95614</v>
      </c>
      <c r="L352" s="218"/>
    </row>
    <row r="353" spans="2:12">
      <c r="B353" s="197" t="s">
        <v>1342</v>
      </c>
      <c r="C353" s="189" t="s">
        <v>1333</v>
      </c>
      <c r="D353" s="198" t="s">
        <v>169</v>
      </c>
      <c r="E353" s="199">
        <v>3.14</v>
      </c>
      <c r="F353" s="244">
        <v>3.14</v>
      </c>
      <c r="G353" s="199">
        <v>2.1</v>
      </c>
      <c r="H353" s="199"/>
      <c r="I353" s="199"/>
      <c r="J353" s="219"/>
      <c r="K353" s="217">
        <f t="shared" si="6"/>
        <v>20.705160000000003</v>
      </c>
      <c r="L353" s="218"/>
    </row>
    <row r="354" spans="2:12">
      <c r="B354" s="197" t="s">
        <v>1343</v>
      </c>
      <c r="C354" s="189" t="s">
        <v>1333</v>
      </c>
      <c r="D354" s="198" t="s">
        <v>169</v>
      </c>
      <c r="E354" s="199">
        <v>2.2000000000000002</v>
      </c>
      <c r="F354" s="244">
        <v>2.2000000000000002</v>
      </c>
      <c r="G354" s="199">
        <v>1.1000000000000001</v>
      </c>
      <c r="H354" s="199"/>
      <c r="I354" s="199"/>
      <c r="J354" s="219"/>
      <c r="K354" s="217">
        <f t="shared" si="6"/>
        <v>5.3240000000000016</v>
      </c>
      <c r="L354" s="218"/>
    </row>
    <row r="355" spans="2:12">
      <c r="B355" s="197" t="s">
        <v>1297</v>
      </c>
      <c r="C355" s="189" t="s">
        <v>1333</v>
      </c>
      <c r="D355" s="198" t="s">
        <v>169</v>
      </c>
      <c r="E355" s="199">
        <v>3.4</v>
      </c>
      <c r="F355" s="244">
        <v>1</v>
      </c>
      <c r="G355" s="199">
        <v>1.2</v>
      </c>
      <c r="H355" s="199"/>
      <c r="I355" s="199"/>
      <c r="J355" s="219"/>
      <c r="K355" s="217">
        <f t="shared" si="6"/>
        <v>4.08</v>
      </c>
      <c r="L355" s="218"/>
    </row>
    <row r="356" spans="2:12">
      <c r="B356" s="197" t="s">
        <v>1344</v>
      </c>
      <c r="C356" s="189" t="s">
        <v>1333</v>
      </c>
      <c r="D356" s="198" t="s">
        <v>169</v>
      </c>
      <c r="E356" s="199">
        <v>2.2000000000000002</v>
      </c>
      <c r="F356" s="244">
        <v>2.2000000000000002</v>
      </c>
      <c r="G356" s="199">
        <v>1.1000000000000001</v>
      </c>
      <c r="H356" s="199"/>
      <c r="I356" s="199"/>
      <c r="J356" s="219"/>
      <c r="K356" s="217">
        <f t="shared" si="6"/>
        <v>5.3240000000000016</v>
      </c>
      <c r="L356" s="218"/>
    </row>
    <row r="357" spans="2:12">
      <c r="B357" s="197" t="s">
        <v>1345</v>
      </c>
      <c r="C357" s="189" t="s">
        <v>1333</v>
      </c>
      <c r="D357" s="198" t="s">
        <v>169</v>
      </c>
      <c r="E357" s="199">
        <v>2.2000000000000002</v>
      </c>
      <c r="F357" s="244">
        <v>2.2000000000000002</v>
      </c>
      <c r="G357" s="199">
        <v>1.1000000000000001</v>
      </c>
      <c r="H357" s="199"/>
      <c r="I357" s="199"/>
      <c r="J357" s="219"/>
      <c r="K357" s="217">
        <f t="shared" si="6"/>
        <v>5.3240000000000016</v>
      </c>
      <c r="L357" s="218"/>
    </row>
    <row r="358" spans="2:12">
      <c r="B358" s="197" t="s">
        <v>1298</v>
      </c>
      <c r="C358" s="189" t="s">
        <v>1333</v>
      </c>
      <c r="D358" s="198" t="s">
        <v>169</v>
      </c>
      <c r="E358" s="199">
        <v>3.4</v>
      </c>
      <c r="F358" s="244">
        <v>2.2000000000000002</v>
      </c>
      <c r="G358" s="199">
        <v>1.34</v>
      </c>
      <c r="H358" s="199"/>
      <c r="I358" s="199"/>
      <c r="J358" s="219"/>
      <c r="K358" s="217">
        <f t="shared" si="6"/>
        <v>10.023200000000001</v>
      </c>
      <c r="L358" s="218"/>
    </row>
    <row r="359" spans="2:12">
      <c r="B359" s="197" t="s">
        <v>1346</v>
      </c>
      <c r="C359" s="189" t="s">
        <v>1333</v>
      </c>
      <c r="D359" s="198" t="s">
        <v>169</v>
      </c>
      <c r="E359" s="199">
        <v>2.2000000000000002</v>
      </c>
      <c r="F359" s="244">
        <v>2.2000000000000002</v>
      </c>
      <c r="G359" s="199">
        <v>1.1000000000000001</v>
      </c>
      <c r="H359" s="199"/>
      <c r="I359" s="199"/>
      <c r="J359" s="219"/>
      <c r="K359" s="217">
        <f t="shared" si="6"/>
        <v>5.3240000000000016</v>
      </c>
      <c r="L359" s="218"/>
    </row>
    <row r="360" spans="2:12">
      <c r="B360" s="197" t="s">
        <v>1347</v>
      </c>
      <c r="C360" s="189" t="s">
        <v>1333</v>
      </c>
      <c r="D360" s="198" t="s">
        <v>169</v>
      </c>
      <c r="E360" s="199"/>
      <c r="F360" s="244"/>
      <c r="G360" s="199"/>
      <c r="H360" s="199"/>
      <c r="I360" s="199">
        <v>2.95614</v>
      </c>
      <c r="J360" s="219"/>
      <c r="K360" s="217">
        <f t="shared" si="6"/>
        <v>2.95614</v>
      </c>
      <c r="L360" s="218"/>
    </row>
    <row r="361" spans="2:12">
      <c r="B361" s="197" t="s">
        <v>1348</v>
      </c>
      <c r="C361" s="189" t="s">
        <v>1333</v>
      </c>
      <c r="D361" s="198" t="s">
        <v>169</v>
      </c>
      <c r="E361" s="199">
        <v>3.14</v>
      </c>
      <c r="F361" s="244">
        <v>3.14</v>
      </c>
      <c r="G361" s="199">
        <v>2.1</v>
      </c>
      <c r="H361" s="199"/>
      <c r="I361" s="199"/>
      <c r="J361" s="219"/>
      <c r="K361" s="217">
        <f t="shared" si="6"/>
        <v>20.705160000000003</v>
      </c>
      <c r="L361" s="218"/>
    </row>
    <row r="362" spans="2:12">
      <c r="B362" s="197" t="s">
        <v>1349</v>
      </c>
      <c r="C362" s="189" t="s">
        <v>1333</v>
      </c>
      <c r="D362" s="198" t="s">
        <v>169</v>
      </c>
      <c r="E362" s="199">
        <v>3.4</v>
      </c>
      <c r="F362" s="244">
        <v>2.2000000000000002</v>
      </c>
      <c r="G362" s="199">
        <v>1.1000000000000001</v>
      </c>
      <c r="H362" s="199"/>
      <c r="I362" s="199"/>
      <c r="J362" s="219"/>
      <c r="K362" s="217">
        <f t="shared" si="6"/>
        <v>8.2280000000000015</v>
      </c>
      <c r="L362" s="218"/>
    </row>
    <row r="363" spans="2:12">
      <c r="B363" s="197" t="s">
        <v>1350</v>
      </c>
      <c r="C363" s="189" t="s">
        <v>1333</v>
      </c>
      <c r="D363" s="198" t="s">
        <v>169</v>
      </c>
      <c r="E363" s="199">
        <v>3.4</v>
      </c>
      <c r="F363" s="244">
        <v>2.2000000000000002</v>
      </c>
      <c r="G363" s="199">
        <v>1.1000000000000001</v>
      </c>
      <c r="H363" s="199"/>
      <c r="I363" s="199"/>
      <c r="J363" s="219"/>
      <c r="K363" s="217">
        <f t="shared" si="6"/>
        <v>8.2280000000000015</v>
      </c>
      <c r="L363" s="218"/>
    </row>
    <row r="364" spans="2:12">
      <c r="B364" s="197" t="s">
        <v>1351</v>
      </c>
      <c r="C364" s="189" t="s">
        <v>1333</v>
      </c>
      <c r="D364" s="198" t="s">
        <v>169</v>
      </c>
      <c r="E364" s="199">
        <v>2.2000000000000002</v>
      </c>
      <c r="F364" s="244">
        <v>2.2000000000000002</v>
      </c>
      <c r="G364" s="199">
        <v>1.1000000000000001</v>
      </c>
      <c r="H364" s="199"/>
      <c r="I364" s="199"/>
      <c r="J364" s="219"/>
      <c r="K364" s="217">
        <f t="shared" si="6"/>
        <v>5.3240000000000016</v>
      </c>
      <c r="L364" s="218"/>
    </row>
    <row r="365" spans="2:12">
      <c r="B365" s="197" t="s">
        <v>1352</v>
      </c>
      <c r="C365" s="189" t="s">
        <v>1333</v>
      </c>
      <c r="D365" s="198" t="s">
        <v>169</v>
      </c>
      <c r="E365" s="199">
        <v>1</v>
      </c>
      <c r="F365" s="244">
        <v>1</v>
      </c>
      <c r="G365" s="199">
        <v>0.7</v>
      </c>
      <c r="H365" s="199"/>
      <c r="I365" s="199"/>
      <c r="J365" s="219"/>
      <c r="K365" s="217">
        <f t="shared" si="6"/>
        <v>0.7</v>
      </c>
      <c r="L365" s="218"/>
    </row>
    <row r="366" spans="2:12">
      <c r="B366" s="197" t="s">
        <v>1353</v>
      </c>
      <c r="C366" s="189" t="s">
        <v>1333</v>
      </c>
      <c r="D366" s="198" t="s">
        <v>169</v>
      </c>
      <c r="E366" s="199">
        <v>1</v>
      </c>
      <c r="F366" s="244">
        <v>1</v>
      </c>
      <c r="G366" s="199">
        <v>0.7</v>
      </c>
      <c r="H366" s="199"/>
      <c r="I366" s="199"/>
      <c r="J366" s="219"/>
      <c r="K366" s="217">
        <f t="shared" si="6"/>
        <v>0.7</v>
      </c>
      <c r="L366" s="218"/>
    </row>
    <row r="367" spans="2:12">
      <c r="B367" s="197" t="s">
        <v>1354</v>
      </c>
      <c r="C367" s="189" t="s">
        <v>1333</v>
      </c>
      <c r="D367" s="198" t="s">
        <v>169</v>
      </c>
      <c r="E367" s="199">
        <v>1</v>
      </c>
      <c r="F367" s="244">
        <v>1</v>
      </c>
      <c r="G367" s="199">
        <v>0.7</v>
      </c>
      <c r="H367" s="199"/>
      <c r="I367" s="199"/>
      <c r="J367" s="219"/>
      <c r="K367" s="217">
        <f t="shared" si="6"/>
        <v>0.7</v>
      </c>
      <c r="L367" s="218"/>
    </row>
    <row r="368" spans="2:12">
      <c r="B368" s="197" t="s">
        <v>1355</v>
      </c>
      <c r="C368" s="189" t="s">
        <v>1333</v>
      </c>
      <c r="D368" s="198" t="s">
        <v>169</v>
      </c>
      <c r="E368" s="199">
        <v>1</v>
      </c>
      <c r="F368" s="244">
        <v>1</v>
      </c>
      <c r="G368" s="199">
        <v>0.7</v>
      </c>
      <c r="H368" s="199"/>
      <c r="I368" s="199"/>
      <c r="J368" s="219"/>
      <c r="K368" s="217">
        <f t="shared" si="6"/>
        <v>0.7</v>
      </c>
      <c r="L368" s="218"/>
    </row>
    <row r="369" spans="2:12">
      <c r="B369" s="197" t="s">
        <v>1356</v>
      </c>
      <c r="C369" s="189" t="s">
        <v>1333</v>
      </c>
      <c r="D369" s="198" t="s">
        <v>169</v>
      </c>
      <c r="E369" s="199">
        <v>2.2000000000000002</v>
      </c>
      <c r="F369" s="244">
        <v>2.2000000000000002</v>
      </c>
      <c r="G369" s="199">
        <v>1.1000000000000001</v>
      </c>
      <c r="H369" s="199"/>
      <c r="I369" s="199"/>
      <c r="J369" s="219"/>
      <c r="K369" s="217">
        <f t="shared" si="6"/>
        <v>5.3240000000000016</v>
      </c>
      <c r="L369" s="218"/>
    </row>
    <row r="370" spans="2:12">
      <c r="B370" s="197" t="s">
        <v>1357</v>
      </c>
      <c r="C370" s="189" t="s">
        <v>1333</v>
      </c>
      <c r="D370" s="198" t="s">
        <v>169</v>
      </c>
      <c r="E370" s="199">
        <v>2.2000000000000002</v>
      </c>
      <c r="F370" s="244">
        <v>2.2000000000000002</v>
      </c>
      <c r="G370" s="199">
        <v>1.1000000000000001</v>
      </c>
      <c r="H370" s="199"/>
      <c r="I370" s="199"/>
      <c r="J370" s="219"/>
      <c r="K370" s="217">
        <f t="shared" si="6"/>
        <v>5.3240000000000016</v>
      </c>
      <c r="L370" s="218"/>
    </row>
    <row r="371" spans="2:12">
      <c r="B371" s="197" t="s">
        <v>1358</v>
      </c>
      <c r="C371" s="189" t="s">
        <v>1333</v>
      </c>
      <c r="D371" s="198" t="s">
        <v>169</v>
      </c>
      <c r="E371" s="199">
        <v>2.2000000000000002</v>
      </c>
      <c r="F371" s="244">
        <v>2.2000000000000002</v>
      </c>
      <c r="G371" s="199">
        <v>1.1000000000000001</v>
      </c>
      <c r="H371" s="199"/>
      <c r="I371" s="199"/>
      <c r="J371" s="219"/>
      <c r="K371" s="217">
        <f t="shared" si="6"/>
        <v>5.3240000000000016</v>
      </c>
      <c r="L371" s="218"/>
    </row>
    <row r="372" spans="2:12">
      <c r="B372" s="197" t="s">
        <v>1359</v>
      </c>
      <c r="C372" s="189" t="s">
        <v>1333</v>
      </c>
      <c r="D372" s="198" t="s">
        <v>169</v>
      </c>
      <c r="E372" s="199">
        <v>2.2000000000000002</v>
      </c>
      <c r="F372" s="244">
        <v>2.2000000000000002</v>
      </c>
      <c r="G372" s="199">
        <v>1.1000000000000001</v>
      </c>
      <c r="H372" s="199"/>
      <c r="I372" s="199"/>
      <c r="J372" s="219"/>
      <c r="K372" s="217">
        <f t="shared" si="6"/>
        <v>5.3240000000000016</v>
      </c>
      <c r="L372" s="218"/>
    </row>
    <row r="373" spans="2:12">
      <c r="B373" s="197" t="s">
        <v>1360</v>
      </c>
      <c r="C373" s="189" t="s">
        <v>1333</v>
      </c>
      <c r="D373" s="198" t="s">
        <v>169</v>
      </c>
      <c r="E373" s="199">
        <v>1</v>
      </c>
      <c r="F373" s="244">
        <v>1</v>
      </c>
      <c r="G373" s="199">
        <v>0.7</v>
      </c>
      <c r="H373" s="199"/>
      <c r="I373" s="199"/>
      <c r="J373" s="219"/>
      <c r="K373" s="217">
        <f t="shared" si="6"/>
        <v>0.7</v>
      </c>
      <c r="L373" s="218"/>
    </row>
    <row r="374" spans="2:12">
      <c r="B374" s="197" t="s">
        <v>1361</v>
      </c>
      <c r="C374" s="189" t="s">
        <v>1333</v>
      </c>
      <c r="D374" s="198" t="s">
        <v>169</v>
      </c>
      <c r="E374" s="199">
        <v>1</v>
      </c>
      <c r="F374" s="244">
        <v>1</v>
      </c>
      <c r="G374" s="199">
        <v>0.7</v>
      </c>
      <c r="H374" s="199"/>
      <c r="I374" s="199"/>
      <c r="J374" s="219"/>
      <c r="K374" s="217">
        <f t="shared" si="6"/>
        <v>0.7</v>
      </c>
      <c r="L374" s="218"/>
    </row>
    <row r="375" spans="2:12">
      <c r="B375" s="197" t="s">
        <v>1362</v>
      </c>
      <c r="C375" s="189" t="s">
        <v>1333</v>
      </c>
      <c r="D375" s="198" t="s">
        <v>169</v>
      </c>
      <c r="E375" s="199">
        <v>2.2000000000000002</v>
      </c>
      <c r="F375" s="244">
        <v>2.2000000000000002</v>
      </c>
      <c r="G375" s="199">
        <v>1.1000000000000001</v>
      </c>
      <c r="H375" s="199"/>
      <c r="I375" s="199"/>
      <c r="J375" s="219"/>
      <c r="K375" s="217">
        <f t="shared" si="6"/>
        <v>5.3240000000000016</v>
      </c>
      <c r="L375" s="218"/>
    </row>
    <row r="376" spans="2:12">
      <c r="B376" s="197" t="s">
        <v>1363</v>
      </c>
      <c r="C376" s="189" t="s">
        <v>1333</v>
      </c>
      <c r="D376" s="198" t="s">
        <v>169</v>
      </c>
      <c r="E376" s="199">
        <v>2.2000000000000002</v>
      </c>
      <c r="F376" s="244">
        <v>2.2000000000000002</v>
      </c>
      <c r="G376" s="199">
        <v>1.1000000000000001</v>
      </c>
      <c r="H376" s="199"/>
      <c r="I376" s="199"/>
      <c r="J376" s="219"/>
      <c r="K376" s="217">
        <f t="shared" si="6"/>
        <v>5.3240000000000016</v>
      </c>
      <c r="L376" s="218"/>
    </row>
    <row r="377" spans="2:12">
      <c r="B377" s="197" t="s">
        <v>1364</v>
      </c>
      <c r="C377" s="189" t="s">
        <v>1333</v>
      </c>
      <c r="D377" s="198" t="s">
        <v>169</v>
      </c>
      <c r="E377" s="199">
        <v>1.9</v>
      </c>
      <c r="F377" s="244">
        <v>0.9</v>
      </c>
      <c r="G377" s="199">
        <v>1</v>
      </c>
      <c r="H377" s="199"/>
      <c r="I377" s="199"/>
      <c r="J377" s="219"/>
      <c r="K377" s="217">
        <f t="shared" si="6"/>
        <v>1.71</v>
      </c>
      <c r="L377" s="218"/>
    </row>
    <row r="378" spans="2:12">
      <c r="B378" s="197" t="s">
        <v>1442</v>
      </c>
      <c r="C378" s="189" t="s">
        <v>1441</v>
      </c>
      <c r="D378" s="198" t="s">
        <v>169</v>
      </c>
      <c r="E378" s="199">
        <v>3.4</v>
      </c>
      <c r="F378" s="244">
        <v>2</v>
      </c>
      <c r="G378" s="199">
        <v>1.3</v>
      </c>
      <c r="H378" s="199"/>
      <c r="I378" s="199"/>
      <c r="J378" s="219"/>
      <c r="K378" s="217">
        <f t="shared" si="6"/>
        <v>8.84</v>
      </c>
      <c r="L378" s="218"/>
    </row>
    <row r="379" spans="2:12">
      <c r="B379" s="197" t="s">
        <v>1443</v>
      </c>
      <c r="C379" s="189" t="s">
        <v>1441</v>
      </c>
      <c r="D379" s="198" t="s">
        <v>169</v>
      </c>
      <c r="E379" s="199">
        <v>3.4</v>
      </c>
      <c r="F379" s="244">
        <v>2</v>
      </c>
      <c r="G379" s="199">
        <v>1.3</v>
      </c>
      <c r="H379" s="199"/>
      <c r="I379" s="199">
        <f>0.01/'BM 005'!L78</f>
        <v>1.051856435491579E-5</v>
      </c>
      <c r="J379" s="219"/>
      <c r="K379" s="217">
        <f t="shared" si="6"/>
        <v>8.8400105185643554</v>
      </c>
      <c r="L379" s="218"/>
    </row>
    <row r="380" spans="2:12">
      <c r="B380" s="197"/>
      <c r="C380" s="189"/>
      <c r="D380" s="198"/>
      <c r="E380" s="199"/>
      <c r="F380" s="244"/>
      <c r="G380" s="199"/>
      <c r="H380" s="199"/>
      <c r="I380" s="199"/>
      <c r="J380" s="219"/>
      <c r="K380" s="217">
        <f t="shared" si="6"/>
        <v>0</v>
      </c>
      <c r="L380" s="218"/>
    </row>
    <row r="381" spans="2:12">
      <c r="B381" s="202"/>
      <c r="C381" s="203"/>
      <c r="D381" s="203"/>
      <c r="E381" s="203"/>
      <c r="F381" s="203"/>
      <c r="G381" s="203"/>
      <c r="H381" s="204"/>
      <c r="I381" s="556" t="s">
        <v>1221</v>
      </c>
      <c r="J381" s="556"/>
      <c r="K381" s="220">
        <f>SUM(K335:K380)</f>
        <v>216.14109051856443</v>
      </c>
      <c r="L381" s="207"/>
    </row>
    <row r="382" spans="2:12">
      <c r="B382" s="208"/>
      <c r="C382" s="204"/>
      <c r="D382" s="204"/>
      <c r="E382" s="204"/>
      <c r="F382" s="204"/>
      <c r="G382" s="204"/>
      <c r="H382" s="209"/>
      <c r="I382" s="557" t="s">
        <v>1222</v>
      </c>
      <c r="J382" s="557"/>
      <c r="K382" s="221">
        <v>213.07</v>
      </c>
      <c r="L382" s="207"/>
    </row>
    <row r="383" spans="2:12">
      <c r="B383" s="208"/>
      <c r="C383" s="204"/>
      <c r="D383" s="204"/>
      <c r="E383" s="204"/>
      <c r="F383" s="204"/>
      <c r="G383" s="204"/>
      <c r="H383" s="558" t="s">
        <v>1223</v>
      </c>
      <c r="I383" s="558"/>
      <c r="J383" s="558"/>
      <c r="K383" s="222">
        <v>198.46108000000001</v>
      </c>
      <c r="L383" s="207"/>
    </row>
    <row r="384" spans="2:12">
      <c r="B384" s="208"/>
      <c r="C384" s="204"/>
      <c r="D384" s="204"/>
      <c r="E384" s="204"/>
      <c r="F384" s="204"/>
      <c r="G384" s="204"/>
      <c r="H384" s="558" t="s">
        <v>1431</v>
      </c>
      <c r="I384" s="558"/>
      <c r="J384" s="558"/>
      <c r="K384" s="222">
        <f>IF(K381&gt;K382,K382,K381)-K383+0.0000105185643549158</f>
        <v>14.608930518564339</v>
      </c>
      <c r="L384" s="207"/>
    </row>
    <row r="385" spans="2:12">
      <c r="B385" s="213"/>
      <c r="C385" s="214"/>
      <c r="D385" s="214"/>
      <c r="E385" s="214"/>
      <c r="F385" s="214"/>
      <c r="G385" s="214"/>
      <c r="H385" s="559" t="s">
        <v>1224</v>
      </c>
      <c r="I385" s="559"/>
      <c r="J385" s="559"/>
      <c r="K385" s="223">
        <f>IF(K381&gt;K382,K381-K382,0)</f>
        <v>3.0710905185644322</v>
      </c>
      <c r="L385" s="209"/>
    </row>
    <row r="387" spans="2:12" ht="14.25" customHeight="1">
      <c r="B387" s="555" t="s">
        <v>1300</v>
      </c>
      <c r="C387" s="555"/>
      <c r="D387" s="555"/>
      <c r="E387" s="555"/>
      <c r="F387" s="555"/>
      <c r="G387" s="555"/>
      <c r="H387" s="555"/>
      <c r="I387" s="555"/>
      <c r="J387" s="555"/>
      <c r="K387" s="555"/>
      <c r="L387" s="555"/>
    </row>
    <row r="388" spans="2:12">
      <c r="B388" s="187" t="s">
        <v>1209</v>
      </c>
      <c r="C388" s="187"/>
      <c r="D388" s="187" t="s">
        <v>39</v>
      </c>
      <c r="E388" s="187" t="s">
        <v>1210</v>
      </c>
      <c r="F388" s="187" t="s">
        <v>1211</v>
      </c>
      <c r="G388" s="187" t="s">
        <v>1212</v>
      </c>
      <c r="H388" s="187" t="s">
        <v>1213</v>
      </c>
      <c r="I388" s="187" t="s">
        <v>1214</v>
      </c>
      <c r="J388" s="187" t="s">
        <v>1215</v>
      </c>
      <c r="K388" s="187" t="s">
        <v>1216</v>
      </c>
      <c r="L388" s="187" t="s">
        <v>1217</v>
      </c>
    </row>
    <row r="389" spans="2:12">
      <c r="B389" s="188" t="s">
        <v>1301</v>
      </c>
      <c r="C389" s="189" t="s">
        <v>1271</v>
      </c>
      <c r="D389" s="190" t="s">
        <v>1274</v>
      </c>
      <c r="E389" s="191">
        <v>646</v>
      </c>
      <c r="F389" s="243">
        <v>0.16</v>
      </c>
      <c r="G389" s="192"/>
      <c r="H389" s="191">
        <v>1.1000000000000001</v>
      </c>
      <c r="I389" s="191"/>
      <c r="J389" s="216"/>
      <c r="K389" s="217">
        <f>IF(E389*F389*G389&lt;&gt;0,E389*F389*G389,IF(E389*F389&lt;&gt;0,E389*F389,IF(F389*G389&lt;&gt;0,F389*G389,IF(E389*G389&lt;&gt;0,E389*G389,IF(E389&lt;&gt;0,E389,IF(F389&lt;&gt;0,F389,IF(G389&lt;&gt;0,G389,0)))))))*(IF(H389&lt;&gt;0,H389,1))+I389-J389</f>
        <v>113.69600000000001</v>
      </c>
      <c r="L389" s="218"/>
    </row>
    <row r="390" spans="2:12">
      <c r="B390" s="188" t="s">
        <v>1302</v>
      </c>
      <c r="C390" s="189" t="s">
        <v>1271</v>
      </c>
      <c r="D390" s="190" t="s">
        <v>1274</v>
      </c>
      <c r="E390" s="191">
        <v>348</v>
      </c>
      <c r="F390" s="243">
        <v>0.16</v>
      </c>
      <c r="G390" s="192"/>
      <c r="H390" s="191">
        <v>1.1000000000000001</v>
      </c>
      <c r="I390" s="191"/>
      <c r="J390" s="216"/>
      <c r="K390" s="217">
        <f>IF(E390*F390*G390&lt;&gt;0,E390*F390*G390,IF(E390*F390&lt;&gt;0,E390*F390,IF(F390*G390&lt;&gt;0,F390*G390,IF(E390*G390&lt;&gt;0,E390*G390,IF(E390&lt;&gt;0,E390,IF(F390&lt;&gt;0,F390,IF(G390&lt;&gt;0,G390,0)))))))*(IF(H390&lt;&gt;0,H390,1))+I390-J390</f>
        <v>61.248000000000005</v>
      </c>
      <c r="L390" s="218"/>
    </row>
    <row r="391" spans="2:12">
      <c r="B391" s="188" t="s">
        <v>1365</v>
      </c>
      <c r="C391" s="189" t="s">
        <v>1271</v>
      </c>
      <c r="D391" s="190" t="s">
        <v>1274</v>
      </c>
      <c r="E391" s="191">
        <v>43.18</v>
      </c>
      <c r="F391" s="243"/>
      <c r="G391" s="192"/>
      <c r="H391" s="191">
        <v>0.26</v>
      </c>
      <c r="I391" s="191"/>
      <c r="J391" s="216"/>
      <c r="K391" s="217">
        <f>IF(E391*F391*G391&lt;&gt;0,E391*F391*G391,IF(E391*F391&lt;&gt;0,E391*F391,IF(F391*G391&lt;&gt;0,F391*G391,IF(E391*G391&lt;&gt;0,E391*G391,IF(E391&lt;&gt;0,E391,IF(F391&lt;&gt;0,F391,IF(G391&lt;&gt;0,G391,0)))))))*(IF(H391&lt;&gt;0,H391,1))+I391-J391</f>
        <v>11.226800000000001</v>
      </c>
      <c r="L391" s="245" t="s">
        <v>1366</v>
      </c>
    </row>
    <row r="392" spans="2:12">
      <c r="B392" s="197"/>
      <c r="C392" s="189"/>
      <c r="D392" s="198"/>
      <c r="E392" s="199"/>
      <c r="F392" s="244"/>
      <c r="G392" s="199"/>
      <c r="H392" s="199"/>
      <c r="I392" s="199"/>
      <c r="J392" s="219"/>
      <c r="K392" s="217">
        <f>IF(E392*F392*G392&lt;&gt;0,E392*F392*G392,IF(E392*F392&lt;&gt;0,E392*F392,IF(F392*G392&lt;&gt;0,F392*G392,IF(E392*G392&lt;&gt;0,E392*G392,IF(E392&lt;&gt;0,E392,IF(F392&lt;&gt;0,F392,IF(G392&lt;&gt;0,G392,0)))))))*(IF(H392&lt;&gt;0,H392,1))+I392-J392</f>
        <v>0</v>
      </c>
      <c r="L392" s="218"/>
    </row>
    <row r="393" spans="2:12">
      <c r="B393" s="202"/>
      <c r="C393" s="203"/>
      <c r="D393" s="203"/>
      <c r="E393" s="203"/>
      <c r="F393" s="203"/>
      <c r="G393" s="203"/>
      <c r="H393" s="204"/>
      <c r="I393" s="556" t="s">
        <v>1221</v>
      </c>
      <c r="J393" s="556"/>
      <c r="K393" s="220">
        <f>SUM(K389:K392)</f>
        <v>186.17080000000001</v>
      </c>
      <c r="L393" s="207"/>
    </row>
    <row r="394" spans="2:12">
      <c r="B394" s="208"/>
      <c r="C394" s="204"/>
      <c r="D394" s="204"/>
      <c r="E394" s="204"/>
      <c r="F394" s="204"/>
      <c r="G394" s="204"/>
      <c r="H394" s="209"/>
      <c r="I394" s="557" t="s">
        <v>1222</v>
      </c>
      <c r="J394" s="557"/>
      <c r="K394" s="221">
        <v>185.9</v>
      </c>
      <c r="L394" s="207"/>
    </row>
    <row r="395" spans="2:12">
      <c r="B395" s="208"/>
      <c r="C395" s="204"/>
      <c r="D395" s="204"/>
      <c r="E395" s="204"/>
      <c r="F395" s="204"/>
      <c r="G395" s="204"/>
      <c r="H395" s="558" t="s">
        <v>1223</v>
      </c>
      <c r="I395" s="558"/>
      <c r="J395" s="558"/>
      <c r="K395" s="222">
        <v>163.02440000000001</v>
      </c>
      <c r="L395" s="207"/>
    </row>
    <row r="396" spans="2:12">
      <c r="B396" s="208"/>
      <c r="C396" s="204"/>
      <c r="D396" s="204"/>
      <c r="E396" s="204"/>
      <c r="F396" s="204"/>
      <c r="G396" s="204"/>
      <c r="H396" s="558" t="s">
        <v>1250</v>
      </c>
      <c r="I396" s="558"/>
      <c r="J396" s="558"/>
      <c r="K396" s="222">
        <f>IF(K393&gt;K394,K394,K393)-K395</f>
        <v>22.875599999999991</v>
      </c>
      <c r="L396" s="246">
        <f>K394-K393</f>
        <v>-0.27080000000000837</v>
      </c>
    </row>
    <row r="397" spans="2:12">
      <c r="B397" s="213"/>
      <c r="C397" s="214"/>
      <c r="D397" s="214"/>
      <c r="E397" s="214"/>
      <c r="F397" s="214"/>
      <c r="G397" s="214"/>
      <c r="H397" s="559" t="s">
        <v>1224</v>
      </c>
      <c r="I397" s="559"/>
      <c r="J397" s="559"/>
      <c r="K397" s="223">
        <f>IF(K393&gt;K394,K393-K394,0)</f>
        <v>0.27080000000000837</v>
      </c>
      <c r="L397" s="209"/>
    </row>
    <row r="399" spans="2:12" ht="14.25" customHeight="1">
      <c r="B399" s="555" t="s">
        <v>1303</v>
      </c>
      <c r="C399" s="555"/>
      <c r="D399" s="555"/>
      <c r="E399" s="555"/>
      <c r="F399" s="555"/>
      <c r="G399" s="555"/>
      <c r="H399" s="555"/>
      <c r="I399" s="555"/>
      <c r="J399" s="555"/>
      <c r="K399" s="555"/>
      <c r="L399" s="555"/>
    </row>
    <row r="400" spans="2:12">
      <c r="B400" s="187" t="s">
        <v>1209</v>
      </c>
      <c r="C400" s="187"/>
      <c r="D400" s="187" t="s">
        <v>39</v>
      </c>
      <c r="E400" s="187" t="s">
        <v>1210</v>
      </c>
      <c r="F400" s="187" t="s">
        <v>1211</v>
      </c>
      <c r="G400" s="187" t="s">
        <v>1212</v>
      </c>
      <c r="H400" s="187" t="s">
        <v>1213</v>
      </c>
      <c r="I400" s="187" t="s">
        <v>1214</v>
      </c>
      <c r="J400" s="187" t="s">
        <v>1215</v>
      </c>
      <c r="K400" s="187" t="s">
        <v>1216</v>
      </c>
      <c r="L400" s="187" t="s">
        <v>1217</v>
      </c>
    </row>
    <row r="401" spans="2:12">
      <c r="B401" s="188" t="s">
        <v>1301</v>
      </c>
      <c r="C401" s="189" t="s">
        <v>1271</v>
      </c>
      <c r="D401" s="190" t="s">
        <v>1274</v>
      </c>
      <c r="E401" s="191">
        <v>257</v>
      </c>
      <c r="F401" s="243">
        <v>0.245</v>
      </c>
      <c r="G401" s="192"/>
      <c r="H401" s="191">
        <v>1.1000000000000001</v>
      </c>
      <c r="I401" s="191"/>
      <c r="J401" s="216"/>
      <c r="K401" s="217">
        <f>IF(E401*F401*G401&lt;&gt;0,E401*F401*G401,IF(E401*F401&lt;&gt;0,E401*F401,IF(F401*G401&lt;&gt;0,F401*G401,IF(E401*G401&lt;&gt;0,E401*G401,IF(E401&lt;&gt;0,E401,IF(F401&lt;&gt;0,F401,IF(G401&lt;&gt;0,G401,0)))))))*(IF(H401&lt;&gt;0,H401,1))+I401-J401</f>
        <v>69.261499999999998</v>
      </c>
      <c r="L401" s="218"/>
    </row>
    <row r="402" spans="2:12">
      <c r="B402" s="188" t="s">
        <v>1302</v>
      </c>
      <c r="C402" s="189" t="s">
        <v>1271</v>
      </c>
      <c r="D402" s="190" t="s">
        <v>1274</v>
      </c>
      <c r="E402" s="191">
        <v>642</v>
      </c>
      <c r="F402" s="243">
        <v>0.245</v>
      </c>
      <c r="G402" s="192"/>
      <c r="H402" s="191">
        <v>1.1000000000000001</v>
      </c>
      <c r="I402" s="191"/>
      <c r="J402" s="216"/>
      <c r="K402" s="217">
        <f>IF(E402*F402*G402&lt;&gt;0,E402*F402*G402,IF(E402*F402&lt;&gt;0,E402*F402,IF(F402*G402&lt;&gt;0,F402*G402,IF(E402*G402&lt;&gt;0,E402*G402,IF(E402&lt;&gt;0,E402,IF(F402&lt;&gt;0,F402,IF(G402&lt;&gt;0,G402,0)))))))*(IF(H402&lt;&gt;0,H402,1))+I402-J402</f>
        <v>173.01900000000001</v>
      </c>
      <c r="L402" s="218"/>
    </row>
    <row r="403" spans="2:12">
      <c r="B403" s="197"/>
      <c r="C403" s="189"/>
      <c r="D403" s="198"/>
      <c r="E403" s="199"/>
      <c r="F403" s="244"/>
      <c r="G403" s="199"/>
      <c r="H403" s="199"/>
      <c r="I403" s="199"/>
      <c r="J403" s="219"/>
      <c r="K403" s="217">
        <f>IF(E403*F403*G403&lt;&gt;0,E403*F403*G403,IF(E403*F403&lt;&gt;0,E403*F403,IF(F403*G403&lt;&gt;0,F403*G403,IF(E403*G403&lt;&gt;0,E403*G403,IF(E403&lt;&gt;0,E403,IF(F403&lt;&gt;0,F403,IF(G403&lt;&gt;0,G403,0)))))))*(IF(H403&lt;&gt;0,H403,1))+I403-J403</f>
        <v>0</v>
      </c>
      <c r="L403" s="218"/>
    </row>
    <row r="404" spans="2:12">
      <c r="B404" s="202"/>
      <c r="C404" s="203"/>
      <c r="D404" s="203"/>
      <c r="E404" s="203"/>
      <c r="F404" s="203"/>
      <c r="G404" s="203"/>
      <c r="H404" s="204"/>
      <c r="I404" s="556" t="s">
        <v>1221</v>
      </c>
      <c r="J404" s="556"/>
      <c r="K404" s="220">
        <f>SUM(K401:K403)</f>
        <v>242.28050000000002</v>
      </c>
      <c r="L404" s="207"/>
    </row>
    <row r="405" spans="2:12">
      <c r="B405" s="208"/>
      <c r="C405" s="204"/>
      <c r="D405" s="204"/>
      <c r="E405" s="204"/>
      <c r="F405" s="204"/>
      <c r="G405" s="204"/>
      <c r="H405" s="209"/>
      <c r="I405" s="557" t="s">
        <v>1222</v>
      </c>
      <c r="J405" s="557"/>
      <c r="K405" s="221">
        <v>199.1</v>
      </c>
      <c r="L405" s="207"/>
    </row>
    <row r="406" spans="2:12">
      <c r="B406" s="208"/>
      <c r="C406" s="204"/>
      <c r="D406" s="204"/>
      <c r="E406" s="204"/>
      <c r="F406" s="204"/>
      <c r="G406" s="204"/>
      <c r="H406" s="558" t="s">
        <v>1223</v>
      </c>
      <c r="I406" s="558"/>
      <c r="J406" s="558"/>
      <c r="K406" s="222">
        <v>0</v>
      </c>
      <c r="L406" s="207"/>
    </row>
    <row r="407" spans="2:12">
      <c r="B407" s="208"/>
      <c r="C407" s="204"/>
      <c r="D407" s="204"/>
      <c r="E407" s="204"/>
      <c r="F407" s="204"/>
      <c r="G407" s="204"/>
      <c r="H407" s="558" t="s">
        <v>1201</v>
      </c>
      <c r="I407" s="558"/>
      <c r="J407" s="558"/>
      <c r="K407" s="222">
        <f>IF(K404&gt;K405,K405,K404)-K406</f>
        <v>199.1</v>
      </c>
      <c r="L407" s="207"/>
    </row>
    <row r="408" spans="2:12">
      <c r="B408" s="213"/>
      <c r="C408" s="214"/>
      <c r="D408" s="214"/>
      <c r="E408" s="214"/>
      <c r="F408" s="214"/>
      <c r="G408" s="214"/>
      <c r="H408" s="559" t="s">
        <v>1224</v>
      </c>
      <c r="I408" s="559"/>
      <c r="J408" s="559"/>
      <c r="K408" s="223">
        <f>IF(K404&gt;K405,K404-K405,0)</f>
        <v>43.180500000000023</v>
      </c>
      <c r="L408" s="209"/>
    </row>
    <row r="410" spans="2:12" ht="14.25" customHeight="1">
      <c r="B410" s="555" t="s">
        <v>1304</v>
      </c>
      <c r="C410" s="555"/>
      <c r="D410" s="555"/>
      <c r="E410" s="555"/>
      <c r="F410" s="555"/>
      <c r="G410" s="555"/>
      <c r="H410" s="555"/>
      <c r="I410" s="555"/>
      <c r="J410" s="555"/>
      <c r="K410" s="555"/>
      <c r="L410" s="555"/>
    </row>
    <row r="411" spans="2:12">
      <c r="B411" s="187" t="s">
        <v>1209</v>
      </c>
      <c r="C411" s="187"/>
      <c r="D411" s="187" t="s">
        <v>39</v>
      </c>
      <c r="E411" s="187" t="s">
        <v>1210</v>
      </c>
      <c r="F411" s="187" t="s">
        <v>1211</v>
      </c>
      <c r="G411" s="187" t="s">
        <v>1212</v>
      </c>
      <c r="H411" s="187" t="s">
        <v>1213</v>
      </c>
      <c r="I411" s="187" t="s">
        <v>1214</v>
      </c>
      <c r="J411" s="187" t="s">
        <v>1215</v>
      </c>
      <c r="K411" s="187" t="s">
        <v>1216</v>
      </c>
      <c r="L411" s="187" t="s">
        <v>1217</v>
      </c>
    </row>
    <row r="412" spans="2:12">
      <c r="B412" s="188" t="s">
        <v>1301</v>
      </c>
      <c r="C412" s="189" t="s">
        <v>1271</v>
      </c>
      <c r="D412" s="190" t="s">
        <v>1274</v>
      </c>
      <c r="E412" s="191">
        <v>566</v>
      </c>
      <c r="F412" s="243">
        <v>0.39500000000000002</v>
      </c>
      <c r="G412" s="192"/>
      <c r="H412" s="191">
        <v>1.1000000000000001</v>
      </c>
      <c r="I412" s="191"/>
      <c r="J412" s="216"/>
      <c r="K412" s="217">
        <f>IF(E412*F412*G412&lt;&gt;0,E412*F412*G412,IF(E412*F412&lt;&gt;0,E412*F412,IF(F412*G412&lt;&gt;0,F412*G412,IF(E412*G412&lt;&gt;0,E412*G412,IF(E412&lt;&gt;0,E412,IF(F412&lt;&gt;0,F412,IF(G412&lt;&gt;0,G412,0)))))))*(IF(H412&lt;&gt;0,H412,1))+I412-J412</f>
        <v>245.92700000000005</v>
      </c>
      <c r="L412" s="218"/>
    </row>
    <row r="413" spans="2:12">
      <c r="B413" s="188" t="s">
        <v>1302</v>
      </c>
      <c r="C413" s="189" t="s">
        <v>1271</v>
      </c>
      <c r="D413" s="190" t="s">
        <v>1274</v>
      </c>
      <c r="E413" s="191">
        <v>641</v>
      </c>
      <c r="F413" s="243">
        <v>0.39500000000000002</v>
      </c>
      <c r="G413" s="192"/>
      <c r="H413" s="191">
        <v>1.1000000000000001</v>
      </c>
      <c r="I413" s="191"/>
      <c r="J413" s="216"/>
      <c r="K413" s="217">
        <f>IF(E413*F413*G413&lt;&gt;0,E413*F413*G413,IF(E413*F413&lt;&gt;0,E413*F413,IF(F413*G413&lt;&gt;0,F413*G413,IF(E413*G413&lt;&gt;0,E413*G413,IF(E413&lt;&gt;0,E413,IF(F413&lt;&gt;0,F413,IF(G413&lt;&gt;0,G413,0)))))))*(IF(H413&lt;&gt;0,H413,1))+I413-J413</f>
        <v>278.51450000000006</v>
      </c>
      <c r="L413" s="218"/>
    </row>
    <row r="414" spans="2:12">
      <c r="B414" s="197"/>
      <c r="C414" s="189"/>
      <c r="D414" s="198"/>
      <c r="E414" s="199"/>
      <c r="F414" s="244"/>
      <c r="G414" s="199"/>
      <c r="H414" s="199"/>
      <c r="I414" s="199"/>
      <c r="J414" s="219"/>
      <c r="K414" s="217">
        <f>IF(E414*F414*G414&lt;&gt;0,E414*F414*G414,IF(E414*F414&lt;&gt;0,E414*F414,IF(F414*G414&lt;&gt;0,F414*G414,IF(E414*G414&lt;&gt;0,E414*G414,IF(E414&lt;&gt;0,E414,IF(F414&lt;&gt;0,F414,IF(G414&lt;&gt;0,G414,0)))))))*(IF(H414&lt;&gt;0,H414,1))+I414-J414</f>
        <v>0</v>
      </c>
      <c r="L414" s="218"/>
    </row>
    <row r="415" spans="2:12">
      <c r="B415" s="202"/>
      <c r="C415" s="203"/>
      <c r="D415" s="203"/>
      <c r="E415" s="203"/>
      <c r="F415" s="203"/>
      <c r="G415" s="203"/>
      <c r="H415" s="204"/>
      <c r="I415" s="556" t="s">
        <v>1221</v>
      </c>
      <c r="J415" s="556"/>
      <c r="K415" s="220">
        <f>SUM(K412:K414)</f>
        <v>524.44150000000013</v>
      </c>
      <c r="L415" s="207"/>
    </row>
    <row r="416" spans="2:12">
      <c r="B416" s="208"/>
      <c r="C416" s="204"/>
      <c r="D416" s="204"/>
      <c r="E416" s="204"/>
      <c r="F416" s="204"/>
      <c r="G416" s="204"/>
      <c r="H416" s="209"/>
      <c r="I416" s="557" t="s">
        <v>1222</v>
      </c>
      <c r="J416" s="557"/>
      <c r="K416" s="221">
        <v>378.4</v>
      </c>
      <c r="L416" s="207"/>
    </row>
    <row r="417" spans="2:12">
      <c r="B417" s="208"/>
      <c r="C417" s="204"/>
      <c r="D417" s="204"/>
      <c r="E417" s="204"/>
      <c r="F417" s="204"/>
      <c r="G417" s="204"/>
      <c r="H417" s="558" t="s">
        <v>1223</v>
      </c>
      <c r="I417" s="558"/>
      <c r="J417" s="558"/>
      <c r="K417" s="222">
        <v>0</v>
      </c>
      <c r="L417" s="207"/>
    </row>
    <row r="418" spans="2:12">
      <c r="B418" s="208"/>
      <c r="C418" s="204"/>
      <c r="D418" s="204"/>
      <c r="E418" s="204"/>
      <c r="F418" s="204"/>
      <c r="G418" s="204"/>
      <c r="H418" s="558" t="s">
        <v>1201</v>
      </c>
      <c r="I418" s="558"/>
      <c r="J418" s="558"/>
      <c r="K418" s="222">
        <f>IF(K415&gt;K416,K416,K415)-K417</f>
        <v>378.4</v>
      </c>
      <c r="L418" s="207"/>
    </row>
    <row r="419" spans="2:12">
      <c r="B419" s="213"/>
      <c r="C419" s="214"/>
      <c r="D419" s="214"/>
      <c r="E419" s="214"/>
      <c r="F419" s="214"/>
      <c r="G419" s="214"/>
      <c r="H419" s="559" t="s">
        <v>1224</v>
      </c>
      <c r="I419" s="559"/>
      <c r="J419" s="559"/>
      <c r="K419" s="223">
        <f>IF(K415&gt;K416,K415-K416,0)</f>
        <v>146.04150000000016</v>
      </c>
      <c r="L419" s="209"/>
    </row>
    <row r="421" spans="2:12" ht="14.25" customHeight="1">
      <c r="B421" s="555" t="s">
        <v>1305</v>
      </c>
      <c r="C421" s="555"/>
      <c r="D421" s="555"/>
      <c r="E421" s="555"/>
      <c r="F421" s="555"/>
      <c r="G421" s="555"/>
      <c r="H421" s="555"/>
      <c r="I421" s="555"/>
      <c r="J421" s="555"/>
      <c r="K421" s="555"/>
      <c r="L421" s="555"/>
    </row>
    <row r="422" spans="2:12">
      <c r="B422" s="187" t="s">
        <v>1209</v>
      </c>
      <c r="C422" s="187"/>
      <c r="D422" s="187" t="s">
        <v>39</v>
      </c>
      <c r="E422" s="187" t="s">
        <v>1210</v>
      </c>
      <c r="F422" s="187" t="s">
        <v>1211</v>
      </c>
      <c r="G422" s="187" t="s">
        <v>1212</v>
      </c>
      <c r="H422" s="187" t="s">
        <v>1213</v>
      </c>
      <c r="I422" s="187" t="s">
        <v>1214</v>
      </c>
      <c r="J422" s="187" t="s">
        <v>1215</v>
      </c>
      <c r="K422" s="187" t="s">
        <v>1216</v>
      </c>
      <c r="L422" s="187" t="s">
        <v>1217</v>
      </c>
    </row>
    <row r="423" spans="2:12">
      <c r="B423" s="188" t="s">
        <v>1301</v>
      </c>
      <c r="C423" s="189" t="s">
        <v>1271</v>
      </c>
      <c r="D423" s="190" t="s">
        <v>1274</v>
      </c>
      <c r="E423" s="191">
        <v>522</v>
      </c>
      <c r="F423" s="243">
        <v>0.61699999999999999</v>
      </c>
      <c r="G423" s="192"/>
      <c r="H423" s="191">
        <v>1.1000000000000001</v>
      </c>
      <c r="I423" s="191"/>
      <c r="J423" s="216"/>
      <c r="K423" s="217">
        <f>IF(E423*F423*G423&lt;&gt;0,E423*F423*G423,IF(E423*F423&lt;&gt;0,E423*F423,IF(F423*G423&lt;&gt;0,F423*G423,IF(E423*G423&lt;&gt;0,E423*G423,IF(E423&lt;&gt;0,E423,IF(F423&lt;&gt;0,F423,IF(G423&lt;&gt;0,G423,0)))))))*(IF(H423&lt;&gt;0,H423,1))+I423-J423</f>
        <v>354.28140000000002</v>
      </c>
      <c r="L423" s="218"/>
    </row>
    <row r="424" spans="2:12">
      <c r="B424" s="188" t="s">
        <v>1302</v>
      </c>
      <c r="C424" s="189" t="s">
        <v>1271</v>
      </c>
      <c r="D424" s="190" t="s">
        <v>1274</v>
      </c>
      <c r="E424" s="191">
        <v>150</v>
      </c>
      <c r="F424" s="243">
        <v>0.61699999999999999</v>
      </c>
      <c r="G424" s="192"/>
      <c r="H424" s="191">
        <v>1.1000000000000001</v>
      </c>
      <c r="I424" s="191">
        <v>1E-4</v>
      </c>
      <c r="J424" s="216"/>
      <c r="K424" s="217">
        <f>IF(E424*F424*G424&lt;&gt;0,E424*F424*G424,IF(E424*F424&lt;&gt;0,E424*F424,IF(F424*G424&lt;&gt;0,F424*G424,IF(E424*G424&lt;&gt;0,E424*G424,IF(E424&lt;&gt;0,E424,IF(F424&lt;&gt;0,F424,IF(G424&lt;&gt;0,G424,0)))))))*(IF(H424&lt;&gt;0,H424,1))+I424-J424</f>
        <v>101.80510000000001</v>
      </c>
      <c r="L424" s="218"/>
    </row>
    <row r="425" spans="2:12">
      <c r="B425" s="197"/>
      <c r="C425" s="189"/>
      <c r="D425" s="198"/>
      <c r="E425" s="199"/>
      <c r="F425" s="244"/>
      <c r="G425" s="199"/>
      <c r="H425" s="199"/>
      <c r="I425" s="199"/>
      <c r="J425" s="219"/>
      <c r="K425" s="217">
        <f>IF(E425*F425*G425&lt;&gt;0,E425*F425*G425,IF(E425*F425&lt;&gt;0,E425*F425,IF(F425*G425&lt;&gt;0,F425*G425,IF(E425*G425&lt;&gt;0,E425*G425,IF(E425&lt;&gt;0,E425,IF(F425&lt;&gt;0,F425,IF(G425&lt;&gt;0,G425,0)))))))*(IF(H425&lt;&gt;0,H425,1))+I425-J425</f>
        <v>0</v>
      </c>
      <c r="L425" s="218"/>
    </row>
    <row r="426" spans="2:12">
      <c r="B426" s="202"/>
      <c r="C426" s="203"/>
      <c r="D426" s="203"/>
      <c r="E426" s="203"/>
      <c r="F426" s="203"/>
      <c r="G426" s="203"/>
      <c r="H426" s="204"/>
      <c r="I426" s="556" t="s">
        <v>1221</v>
      </c>
      <c r="J426" s="556"/>
      <c r="K426" s="220">
        <f>SUM(K423:K425)</f>
        <v>456.0865</v>
      </c>
      <c r="L426" s="207"/>
    </row>
    <row r="427" spans="2:12">
      <c r="B427" s="208"/>
      <c r="C427" s="204"/>
      <c r="D427" s="204"/>
      <c r="E427" s="204"/>
      <c r="F427" s="204"/>
      <c r="G427" s="204"/>
      <c r="H427" s="209"/>
      <c r="I427" s="557" t="s">
        <v>1222</v>
      </c>
      <c r="J427" s="557"/>
      <c r="K427" s="221">
        <f>445.5+0.0001</f>
        <v>445.50009999999997</v>
      </c>
      <c r="L427" s="207"/>
    </row>
    <row r="428" spans="2:12">
      <c r="B428" s="208"/>
      <c r="C428" s="204"/>
      <c r="D428" s="204"/>
      <c r="E428" s="204"/>
      <c r="F428" s="204"/>
      <c r="G428" s="204"/>
      <c r="H428" s="558" t="s">
        <v>1223</v>
      </c>
      <c r="I428" s="558"/>
      <c r="J428" s="558"/>
      <c r="K428" s="222">
        <v>354.28140000000002</v>
      </c>
      <c r="L428" s="207"/>
    </row>
    <row r="429" spans="2:12">
      <c r="B429" s="208"/>
      <c r="C429" s="204"/>
      <c r="D429" s="204"/>
      <c r="E429" s="204"/>
      <c r="F429" s="204"/>
      <c r="G429" s="204"/>
      <c r="H429" s="558" t="s">
        <v>1201</v>
      </c>
      <c r="I429" s="558"/>
      <c r="J429" s="558"/>
      <c r="K429" s="222">
        <f>IF(K426&gt;K427,K427,K426)-K428</f>
        <v>91.218699999999956</v>
      </c>
      <c r="L429" s="207"/>
    </row>
    <row r="430" spans="2:12">
      <c r="B430" s="213"/>
      <c r="C430" s="214"/>
      <c r="D430" s="214"/>
      <c r="E430" s="214"/>
      <c r="F430" s="214"/>
      <c r="G430" s="214"/>
      <c r="H430" s="559" t="s">
        <v>1224</v>
      </c>
      <c r="I430" s="559"/>
      <c r="J430" s="559"/>
      <c r="K430" s="223">
        <f>IF(K426&gt;K427,K426-K427,0)</f>
        <v>10.586400000000026</v>
      </c>
      <c r="L430" s="209"/>
    </row>
    <row r="432" spans="2:12" ht="14.25" customHeight="1">
      <c r="B432" s="555" t="s">
        <v>1306</v>
      </c>
      <c r="C432" s="555"/>
      <c r="D432" s="555"/>
      <c r="E432" s="555"/>
      <c r="F432" s="555"/>
      <c r="G432" s="555"/>
      <c r="H432" s="555"/>
      <c r="I432" s="555"/>
      <c r="J432" s="555"/>
      <c r="K432" s="555"/>
      <c r="L432" s="555"/>
    </row>
    <row r="433" spans="2:12">
      <c r="B433" s="187" t="s">
        <v>1209</v>
      </c>
      <c r="C433" s="187"/>
      <c r="D433" s="187" t="s">
        <v>39</v>
      </c>
      <c r="E433" s="187" t="s">
        <v>1210</v>
      </c>
      <c r="F433" s="187" t="s">
        <v>1211</v>
      </c>
      <c r="G433" s="187" t="s">
        <v>1212</v>
      </c>
      <c r="H433" s="187" t="s">
        <v>1213</v>
      </c>
      <c r="I433" s="187" t="s">
        <v>1214</v>
      </c>
      <c r="J433" s="187" t="s">
        <v>1215</v>
      </c>
      <c r="K433" s="187" t="s">
        <v>1216</v>
      </c>
      <c r="L433" s="187" t="s">
        <v>1217</v>
      </c>
    </row>
    <row r="434" spans="2:12">
      <c r="B434" s="188" t="s">
        <v>1367</v>
      </c>
      <c r="C434" s="189" t="s">
        <v>1271</v>
      </c>
      <c r="D434" s="190" t="s">
        <v>1274</v>
      </c>
      <c r="E434" s="191"/>
      <c r="F434" s="243"/>
      <c r="G434" s="192"/>
      <c r="H434" s="191"/>
      <c r="I434" s="191"/>
      <c r="J434" s="216"/>
      <c r="K434" s="217">
        <f>IF(E434*F434*G434&lt;&gt;0,E434*F434*G434,IF(E434*F434&lt;&gt;0,E434*F434,IF(F434*G434&lt;&gt;0,F434*G434,IF(E434*G434&lt;&gt;0,E434*G434,IF(E434&lt;&gt;0,E434,IF(F434&lt;&gt;0,F434,IF(G434&lt;&gt;0,G434,0)))))))*(IF(H434&lt;&gt;0,H434,1))+I434-J434</f>
        <v>0</v>
      </c>
      <c r="L434" s="218"/>
    </row>
    <row r="435" spans="2:12">
      <c r="B435" s="188" t="s">
        <v>1302</v>
      </c>
      <c r="C435" s="189" t="s">
        <v>1271</v>
      </c>
      <c r="D435" s="190" t="s">
        <v>1274</v>
      </c>
      <c r="E435" s="191">
        <v>287</v>
      </c>
      <c r="F435" s="243">
        <v>0.96299999999999997</v>
      </c>
      <c r="G435" s="192"/>
      <c r="H435" s="191">
        <v>1.1000000000000001</v>
      </c>
      <c r="I435" s="191"/>
      <c r="J435" s="216"/>
      <c r="K435" s="217">
        <f>IF(E435*F435*G435&lt;&gt;0,E435*F435*G435,IF(E435*F435&lt;&gt;0,E435*F435,IF(F435*G435&lt;&gt;0,F435*G435,IF(E435*G435&lt;&gt;0,E435*G435,IF(E435&lt;&gt;0,E435,IF(F435&lt;&gt;0,F435,IF(G435&lt;&gt;0,G435,0)))))))*(IF(H435&lt;&gt;0,H435,1))+I435-J435</f>
        <v>304.01909999999998</v>
      </c>
      <c r="L435" s="218"/>
    </row>
    <row r="436" spans="2:12">
      <c r="B436" s="197"/>
      <c r="C436" s="189"/>
      <c r="D436" s="198"/>
      <c r="E436" s="199"/>
      <c r="F436" s="244"/>
      <c r="G436" s="199"/>
      <c r="H436" s="199"/>
      <c r="I436" s="199"/>
      <c r="J436" s="219"/>
      <c r="K436" s="217">
        <f>IF(E436*F436*G436&lt;&gt;0,E436*F436*G436,IF(E436*F436&lt;&gt;0,E436*F436,IF(F436*G436&lt;&gt;0,F436*G436,IF(E436*G436&lt;&gt;0,E436*G436,IF(E436&lt;&gt;0,E436,IF(F436&lt;&gt;0,F436,IF(G436&lt;&gt;0,G436,0)))))))*(IF(H436&lt;&gt;0,H436,1))+I436-J436</f>
        <v>0</v>
      </c>
      <c r="L436" s="218"/>
    </row>
    <row r="437" spans="2:12">
      <c r="B437" s="202"/>
      <c r="C437" s="203"/>
      <c r="D437" s="203"/>
      <c r="E437" s="203"/>
      <c r="F437" s="203"/>
      <c r="G437" s="203"/>
      <c r="H437" s="204"/>
      <c r="I437" s="556" t="s">
        <v>1221</v>
      </c>
      <c r="J437" s="556"/>
      <c r="K437" s="220">
        <f>SUM(K434:K436)</f>
        <v>304.01909999999998</v>
      </c>
      <c r="L437" s="207"/>
    </row>
    <row r="438" spans="2:12">
      <c r="B438" s="208"/>
      <c r="C438" s="204"/>
      <c r="D438" s="204"/>
      <c r="E438" s="204"/>
      <c r="F438" s="204"/>
      <c r="G438" s="204"/>
      <c r="H438" s="209"/>
      <c r="I438" s="557" t="s">
        <v>1222</v>
      </c>
      <c r="J438" s="557"/>
      <c r="K438" s="221">
        <v>177.1</v>
      </c>
      <c r="L438" s="207"/>
    </row>
    <row r="439" spans="2:12">
      <c r="B439" s="208"/>
      <c r="C439" s="204"/>
      <c r="D439" s="204"/>
      <c r="E439" s="204"/>
      <c r="F439" s="204"/>
      <c r="G439" s="204"/>
      <c r="H439" s="558" t="s">
        <v>1223</v>
      </c>
      <c r="I439" s="558"/>
      <c r="J439" s="558"/>
      <c r="K439" s="222">
        <v>0</v>
      </c>
      <c r="L439" s="207"/>
    </row>
    <row r="440" spans="2:12">
      <c r="B440" s="208"/>
      <c r="C440" s="204"/>
      <c r="D440" s="204"/>
      <c r="E440" s="204"/>
      <c r="F440" s="204"/>
      <c r="G440" s="204"/>
      <c r="H440" s="558" t="s">
        <v>1201</v>
      </c>
      <c r="I440" s="558"/>
      <c r="J440" s="558"/>
      <c r="K440" s="222">
        <f>IF(K437&gt;K438,K438,K437)-K439</f>
        <v>177.1</v>
      </c>
      <c r="L440" s="207"/>
    </row>
    <row r="441" spans="2:12">
      <c r="B441" s="213"/>
      <c r="C441" s="214"/>
      <c r="D441" s="214"/>
      <c r="E441" s="214"/>
      <c r="F441" s="214"/>
      <c r="G441" s="214"/>
      <c r="H441" s="559" t="s">
        <v>1224</v>
      </c>
      <c r="I441" s="559"/>
      <c r="J441" s="559"/>
      <c r="K441" s="223">
        <f>IF(K437&gt;K438,K437-K438,0)</f>
        <v>126.91909999999999</v>
      </c>
      <c r="L441" s="209"/>
    </row>
    <row r="443" spans="2:12" ht="14.25" customHeight="1">
      <c r="B443" s="555" t="s">
        <v>1307</v>
      </c>
      <c r="C443" s="555"/>
      <c r="D443" s="555"/>
      <c r="E443" s="555"/>
      <c r="F443" s="555"/>
      <c r="G443" s="555"/>
      <c r="H443" s="555"/>
      <c r="I443" s="555"/>
      <c r="J443" s="555"/>
      <c r="K443" s="555"/>
      <c r="L443" s="555"/>
    </row>
    <row r="444" spans="2:12">
      <c r="B444" s="187" t="s">
        <v>1209</v>
      </c>
      <c r="C444" s="187"/>
      <c r="D444" s="187" t="s">
        <v>39</v>
      </c>
      <c r="E444" s="187" t="s">
        <v>1210</v>
      </c>
      <c r="F444" s="187" t="s">
        <v>1211</v>
      </c>
      <c r="G444" s="187" t="s">
        <v>1212</v>
      </c>
      <c r="H444" s="187" t="s">
        <v>1213</v>
      </c>
      <c r="I444" s="187" t="s">
        <v>1214</v>
      </c>
      <c r="J444" s="187" t="s">
        <v>1215</v>
      </c>
      <c r="K444" s="187" t="s">
        <v>1216</v>
      </c>
      <c r="L444" s="187" t="s">
        <v>1217</v>
      </c>
    </row>
    <row r="445" spans="2:12">
      <c r="B445" s="188" t="s">
        <v>1301</v>
      </c>
      <c r="C445" s="189" t="s">
        <v>1271</v>
      </c>
      <c r="D445" s="190" t="s">
        <v>1274</v>
      </c>
      <c r="E445" s="191"/>
      <c r="F445" s="243"/>
      <c r="G445" s="192"/>
      <c r="H445" s="191"/>
      <c r="I445" s="191"/>
      <c r="J445" s="216"/>
      <c r="K445" s="217">
        <f>IF(E445*F445*G445&lt;&gt;0,E445*F445*G445,IF(E445*F445&lt;&gt;0,E445*F445,IF(F445*G445&lt;&gt;0,F445*G445,IF(E445*G445&lt;&gt;0,E445*G445,IF(E445&lt;&gt;0,E445,IF(F445&lt;&gt;0,F445,IF(G445&lt;&gt;0,G445,0)))))))*(IF(H445&lt;&gt;0,H445,1))+I445-J445</f>
        <v>0</v>
      </c>
      <c r="L445" s="218"/>
    </row>
    <row r="446" spans="2:12">
      <c r="B446" s="188" t="s">
        <v>1302</v>
      </c>
      <c r="C446" s="189" t="s">
        <v>1271</v>
      </c>
      <c r="D446" s="190" t="s">
        <v>1274</v>
      </c>
      <c r="E446" s="191">
        <v>35.5</v>
      </c>
      <c r="F446" s="243">
        <v>1.5780000000000001</v>
      </c>
      <c r="G446" s="192"/>
      <c r="H446" s="191">
        <v>1.1000000000000001</v>
      </c>
      <c r="I446" s="191"/>
      <c r="J446" s="216"/>
      <c r="K446" s="217">
        <f>IF(E446*F446*G446&lt;&gt;0,E446*F446*G446,IF(E446*F446&lt;&gt;0,E446*F446,IF(F446*G446&lt;&gt;0,F446*G446,IF(E446*G446&lt;&gt;0,E446*G446,IF(E446&lt;&gt;0,E446,IF(F446&lt;&gt;0,F446,IF(G446&lt;&gt;0,G446,0)))))))*(IF(H446&lt;&gt;0,H446,1))+I446-J446</f>
        <v>61.620900000000013</v>
      </c>
      <c r="L446" s="218"/>
    </row>
    <row r="447" spans="2:12">
      <c r="B447" s="197"/>
      <c r="C447" s="189"/>
      <c r="D447" s="198"/>
      <c r="E447" s="199"/>
      <c r="F447" s="244"/>
      <c r="G447" s="199"/>
      <c r="H447" s="199"/>
      <c r="I447" s="199"/>
      <c r="J447" s="219"/>
      <c r="K447" s="217">
        <f>IF(E447*F447*G447&lt;&gt;0,E447*F447*G447,IF(E447*F447&lt;&gt;0,E447*F447,IF(F447*G447&lt;&gt;0,F447*G447,IF(E447*G447&lt;&gt;0,E447*G447,IF(E447&lt;&gt;0,E447,IF(F447&lt;&gt;0,F447,IF(G447&lt;&gt;0,G447,0)))))))*(IF(H447&lt;&gt;0,H447,1))+I447-J447</f>
        <v>0</v>
      </c>
      <c r="L447" s="218"/>
    </row>
    <row r="448" spans="2:12">
      <c r="B448" s="202"/>
      <c r="C448" s="203"/>
      <c r="D448" s="203"/>
      <c r="E448" s="203"/>
      <c r="F448" s="203"/>
      <c r="G448" s="203"/>
      <c r="H448" s="204"/>
      <c r="I448" s="556" t="s">
        <v>1221</v>
      </c>
      <c r="J448" s="556"/>
      <c r="K448" s="220">
        <f>SUM(K445:K447)</f>
        <v>61.620900000000013</v>
      </c>
      <c r="L448" s="207"/>
    </row>
    <row r="449" spans="2:12">
      <c r="B449" s="208"/>
      <c r="C449" s="204"/>
      <c r="D449" s="204"/>
      <c r="E449" s="204"/>
      <c r="F449" s="204"/>
      <c r="G449" s="204"/>
      <c r="H449" s="209"/>
      <c r="I449" s="557" t="s">
        <v>1222</v>
      </c>
      <c r="J449" s="557"/>
      <c r="K449" s="221">
        <v>61.6</v>
      </c>
      <c r="L449" s="207"/>
    </row>
    <row r="450" spans="2:12">
      <c r="B450" s="208"/>
      <c r="C450" s="204"/>
      <c r="D450" s="204"/>
      <c r="E450" s="204"/>
      <c r="F450" s="204"/>
      <c r="G450" s="204"/>
      <c r="H450" s="558" t="s">
        <v>1223</v>
      </c>
      <c r="I450" s="558"/>
      <c r="J450" s="558"/>
      <c r="K450" s="222">
        <v>0</v>
      </c>
      <c r="L450" s="207"/>
    </row>
    <row r="451" spans="2:12">
      <c r="B451" s="208"/>
      <c r="C451" s="204"/>
      <c r="D451" s="204"/>
      <c r="E451" s="204"/>
      <c r="F451" s="204"/>
      <c r="G451" s="204"/>
      <c r="H451" s="558" t="s">
        <v>1201</v>
      </c>
      <c r="I451" s="558"/>
      <c r="J451" s="558"/>
      <c r="K451" s="222">
        <f>IF(K448&gt;K449,K449,K448)-K450</f>
        <v>61.6</v>
      </c>
      <c r="L451" s="207"/>
    </row>
    <row r="452" spans="2:12">
      <c r="B452" s="213"/>
      <c r="C452" s="214"/>
      <c r="D452" s="214"/>
      <c r="E452" s="214"/>
      <c r="F452" s="214"/>
      <c r="G452" s="214"/>
      <c r="H452" s="559" t="s">
        <v>1224</v>
      </c>
      <c r="I452" s="559"/>
      <c r="J452" s="559"/>
      <c r="K452" s="223">
        <f>IF(K448&gt;K449,K448-K449,0)</f>
        <v>2.0900000000011687E-2</v>
      </c>
      <c r="L452" s="209"/>
    </row>
    <row r="454" spans="2:12" ht="14.25" customHeight="1">
      <c r="B454" s="555" t="s">
        <v>1308</v>
      </c>
      <c r="C454" s="555"/>
      <c r="D454" s="555"/>
      <c r="E454" s="555"/>
      <c r="F454" s="555"/>
      <c r="G454" s="555"/>
      <c r="H454" s="555"/>
      <c r="I454" s="555"/>
      <c r="J454" s="555"/>
      <c r="K454" s="555"/>
      <c r="L454" s="555"/>
    </row>
    <row r="455" spans="2:12">
      <c r="B455" s="187" t="s">
        <v>1209</v>
      </c>
      <c r="C455" s="187"/>
      <c r="D455" s="187" t="s">
        <v>39</v>
      </c>
      <c r="E455" s="187" t="s">
        <v>1210</v>
      </c>
      <c r="F455" s="187" t="s">
        <v>1211</v>
      </c>
      <c r="G455" s="187" t="s">
        <v>1212</v>
      </c>
      <c r="H455" s="187" t="s">
        <v>1213</v>
      </c>
      <c r="I455" s="187" t="s">
        <v>1214</v>
      </c>
      <c r="J455" s="187" t="s">
        <v>1215</v>
      </c>
      <c r="K455" s="187" t="s">
        <v>1216</v>
      </c>
      <c r="L455" s="187" t="s">
        <v>1217</v>
      </c>
    </row>
    <row r="456" spans="2:12">
      <c r="B456" s="188" t="s">
        <v>1309</v>
      </c>
      <c r="C456" s="189" t="s">
        <v>1271</v>
      </c>
      <c r="D456" s="190" t="s">
        <v>169</v>
      </c>
      <c r="E456" s="191">
        <v>5.18</v>
      </c>
      <c r="F456" s="192">
        <v>0.7</v>
      </c>
      <c r="G456" s="192">
        <v>0.7</v>
      </c>
      <c r="H456" s="191">
        <v>1</v>
      </c>
      <c r="I456" s="191"/>
      <c r="J456" s="216"/>
      <c r="K456" s="217">
        <f t="shared" ref="K456:K490" si="7">IF(E456*F456*G456&lt;&gt;0,E456*F456*G456,IF(E456*F456&lt;&gt;0,E456*F456,IF(F456*G456&lt;&gt;0,F456*G456,IF(E456*G456&lt;&gt;0,E456*G456,IF(E456&lt;&gt;0,E456,IF(F456&lt;&gt;0,F456,IF(G456&lt;&gt;0,G456,0)))))))*(IF(H456&lt;&gt;0,H456,1))+I456-J456</f>
        <v>2.5381999999999993</v>
      </c>
      <c r="L456" s="218"/>
    </row>
    <row r="457" spans="2:12">
      <c r="B457" s="188" t="s">
        <v>1310</v>
      </c>
      <c r="C457" s="189" t="s">
        <v>1271</v>
      </c>
      <c r="D457" s="190" t="s">
        <v>169</v>
      </c>
      <c r="E457" s="191">
        <v>6.94</v>
      </c>
      <c r="F457" s="192">
        <v>0.7</v>
      </c>
      <c r="G457" s="192">
        <v>0.7</v>
      </c>
      <c r="H457" s="191">
        <v>1</v>
      </c>
      <c r="I457" s="191"/>
      <c r="J457" s="216"/>
      <c r="K457" s="217">
        <f t="shared" si="7"/>
        <v>3.4005999999999994</v>
      </c>
      <c r="L457" s="218"/>
    </row>
    <row r="458" spans="2:12">
      <c r="B458" s="188" t="s">
        <v>1311</v>
      </c>
      <c r="C458" s="189" t="s">
        <v>1271</v>
      </c>
      <c r="D458" s="190" t="s">
        <v>169</v>
      </c>
      <c r="E458" s="191">
        <v>3.89</v>
      </c>
      <c r="F458" s="192">
        <v>0.2</v>
      </c>
      <c r="G458" s="192">
        <v>0.7</v>
      </c>
      <c r="H458" s="191">
        <v>1</v>
      </c>
      <c r="I458" s="191"/>
      <c r="J458" s="216"/>
      <c r="K458" s="217">
        <f t="shared" si="7"/>
        <v>0.54459999999999997</v>
      </c>
      <c r="L458" s="218"/>
    </row>
    <row r="459" spans="2:12">
      <c r="B459" s="188" t="s">
        <v>1312</v>
      </c>
      <c r="C459" s="189" t="s">
        <v>1271</v>
      </c>
      <c r="D459" s="190" t="s">
        <v>169</v>
      </c>
      <c r="E459" s="191">
        <v>2.33</v>
      </c>
      <c r="F459" s="192">
        <v>0.2</v>
      </c>
      <c r="G459" s="192">
        <v>0.7</v>
      </c>
      <c r="H459" s="191">
        <v>1</v>
      </c>
      <c r="I459" s="191"/>
      <c r="J459" s="216"/>
      <c r="K459" s="217">
        <f t="shared" si="7"/>
        <v>0.32619999999999999</v>
      </c>
      <c r="L459" s="218"/>
    </row>
    <row r="460" spans="2:12">
      <c r="B460" s="188" t="s">
        <v>1313</v>
      </c>
      <c r="C460" s="189" t="s">
        <v>1271</v>
      </c>
      <c r="D460" s="190" t="s">
        <v>169</v>
      </c>
      <c r="E460" s="191">
        <v>2.33</v>
      </c>
      <c r="F460" s="192">
        <v>0.2</v>
      </c>
      <c r="G460" s="192">
        <v>0.7</v>
      </c>
      <c r="H460" s="191">
        <v>1</v>
      </c>
      <c r="I460" s="191"/>
      <c r="J460" s="216"/>
      <c r="K460" s="217">
        <f t="shared" si="7"/>
        <v>0.32619999999999999</v>
      </c>
      <c r="L460" s="218"/>
    </row>
    <row r="461" spans="2:12">
      <c r="B461" s="188" t="s">
        <v>1314</v>
      </c>
      <c r="C461" s="189" t="s">
        <v>1271</v>
      </c>
      <c r="D461" s="190" t="s">
        <v>169</v>
      </c>
      <c r="E461" s="191">
        <v>4.93</v>
      </c>
      <c r="F461" s="192">
        <v>0.2</v>
      </c>
      <c r="G461" s="192">
        <v>0.7</v>
      </c>
      <c r="H461" s="191">
        <v>1</v>
      </c>
      <c r="I461" s="191"/>
      <c r="J461" s="216"/>
      <c r="K461" s="217">
        <f t="shared" si="7"/>
        <v>0.69019999999999992</v>
      </c>
      <c r="L461" s="218"/>
    </row>
    <row r="462" spans="2:12">
      <c r="B462" s="188" t="s">
        <v>1315</v>
      </c>
      <c r="C462" s="189" t="s">
        <v>1271</v>
      </c>
      <c r="D462" s="190" t="s">
        <v>169</v>
      </c>
      <c r="E462" s="191">
        <v>4.33</v>
      </c>
      <c r="F462" s="192">
        <v>0.2</v>
      </c>
      <c r="G462" s="192">
        <v>0.7</v>
      </c>
      <c r="H462" s="191">
        <v>1</v>
      </c>
      <c r="I462" s="191"/>
      <c r="J462" s="216"/>
      <c r="K462" s="217">
        <f t="shared" si="7"/>
        <v>0.60620000000000007</v>
      </c>
      <c r="L462" s="218"/>
    </row>
    <row r="463" spans="2:12">
      <c r="B463" s="197" t="s">
        <v>1368</v>
      </c>
      <c r="C463" s="189" t="s">
        <v>1333</v>
      </c>
      <c r="D463" s="190" t="s">
        <v>169</v>
      </c>
      <c r="E463" s="199">
        <v>3.32</v>
      </c>
      <c r="F463" s="199">
        <v>0.2</v>
      </c>
      <c r="G463" s="199">
        <v>0.7</v>
      </c>
      <c r="H463" s="199">
        <v>1</v>
      </c>
      <c r="I463" s="199"/>
      <c r="J463" s="219"/>
      <c r="K463" s="217">
        <f t="shared" si="7"/>
        <v>0.46479999999999999</v>
      </c>
      <c r="L463" s="218"/>
    </row>
    <row r="464" spans="2:12">
      <c r="B464" s="197" t="s">
        <v>1369</v>
      </c>
      <c r="C464" s="189" t="s">
        <v>1333</v>
      </c>
      <c r="D464" s="190" t="s">
        <v>169</v>
      </c>
      <c r="E464" s="199">
        <v>4.78</v>
      </c>
      <c r="F464" s="199">
        <v>0.2</v>
      </c>
      <c r="G464" s="199">
        <v>0.7</v>
      </c>
      <c r="H464" s="199">
        <v>1</v>
      </c>
      <c r="I464" s="199"/>
      <c r="J464" s="219"/>
      <c r="K464" s="217">
        <f t="shared" si="7"/>
        <v>0.66920000000000002</v>
      </c>
      <c r="L464" s="218"/>
    </row>
    <row r="465" spans="2:12">
      <c r="B465" s="197" t="s">
        <v>1370</v>
      </c>
      <c r="C465" s="189" t="s">
        <v>1333</v>
      </c>
      <c r="D465" s="190" t="s">
        <v>169</v>
      </c>
      <c r="E465" s="199">
        <v>2.7</v>
      </c>
      <c r="F465" s="199">
        <v>0.2</v>
      </c>
      <c r="G465" s="199">
        <v>0.7</v>
      </c>
      <c r="H465" s="199">
        <v>1</v>
      </c>
      <c r="I465" s="199"/>
      <c r="J465" s="219"/>
      <c r="K465" s="217">
        <f t="shared" si="7"/>
        <v>0.378</v>
      </c>
      <c r="L465" s="218"/>
    </row>
    <row r="466" spans="2:12">
      <c r="B466" s="197" t="s">
        <v>1371</v>
      </c>
      <c r="C466" s="189" t="s">
        <v>1333</v>
      </c>
      <c r="D466" s="190" t="s">
        <v>169</v>
      </c>
      <c r="E466" s="199">
        <v>2.7</v>
      </c>
      <c r="F466" s="199">
        <v>0.2</v>
      </c>
      <c r="G466" s="199">
        <v>0.7</v>
      </c>
      <c r="H466" s="199">
        <v>1</v>
      </c>
      <c r="I466" s="199"/>
      <c r="J466" s="219"/>
      <c r="K466" s="217">
        <f t="shared" si="7"/>
        <v>0.378</v>
      </c>
      <c r="L466" s="218"/>
    </row>
    <row r="467" spans="2:12">
      <c r="B467" s="197" t="s">
        <v>1372</v>
      </c>
      <c r="C467" s="189" t="s">
        <v>1333</v>
      </c>
      <c r="D467" s="190" t="s">
        <v>169</v>
      </c>
      <c r="E467" s="199">
        <v>5.62</v>
      </c>
      <c r="F467" s="199">
        <v>0.2</v>
      </c>
      <c r="G467" s="199">
        <v>0.7</v>
      </c>
      <c r="H467" s="199">
        <v>1</v>
      </c>
      <c r="I467" s="199"/>
      <c r="J467" s="219"/>
      <c r="K467" s="217">
        <f t="shared" si="7"/>
        <v>0.78680000000000005</v>
      </c>
      <c r="L467" s="218"/>
    </row>
    <row r="468" spans="2:12">
      <c r="B468" s="197" t="s">
        <v>1373</v>
      </c>
      <c r="C468" s="189" t="s">
        <v>1333</v>
      </c>
      <c r="D468" s="190" t="s">
        <v>169</v>
      </c>
      <c r="E468" s="199">
        <v>5.62</v>
      </c>
      <c r="F468" s="199">
        <v>0.2</v>
      </c>
      <c r="G468" s="199">
        <v>0.7</v>
      </c>
      <c r="H468" s="199">
        <v>1</v>
      </c>
      <c r="I468" s="199"/>
      <c r="J468" s="219"/>
      <c r="K468" s="217">
        <f t="shared" si="7"/>
        <v>0.78680000000000005</v>
      </c>
      <c r="L468" s="218"/>
    </row>
    <row r="469" spans="2:12">
      <c r="B469" s="197" t="s">
        <v>1374</v>
      </c>
      <c r="C469" s="189" t="s">
        <v>1333</v>
      </c>
      <c r="D469" s="190" t="s">
        <v>169</v>
      </c>
      <c r="E469" s="199">
        <v>2.38</v>
      </c>
      <c r="F469" s="199">
        <v>0.2</v>
      </c>
      <c r="G469" s="199">
        <v>0.7</v>
      </c>
      <c r="H469" s="199">
        <v>1</v>
      </c>
      <c r="I469" s="199"/>
      <c r="J469" s="219"/>
      <c r="K469" s="217">
        <f t="shared" si="7"/>
        <v>0.33319999999999994</v>
      </c>
      <c r="L469" s="218"/>
    </row>
    <row r="470" spans="2:12">
      <c r="B470" s="197" t="s">
        <v>1375</v>
      </c>
      <c r="C470" s="189" t="s">
        <v>1333</v>
      </c>
      <c r="D470" s="190" t="s">
        <v>169</v>
      </c>
      <c r="E470" s="199">
        <v>3.84</v>
      </c>
      <c r="F470" s="199">
        <v>0.2</v>
      </c>
      <c r="G470" s="199">
        <v>0.7</v>
      </c>
      <c r="H470" s="199">
        <v>1</v>
      </c>
      <c r="I470" s="199"/>
      <c r="J470" s="219"/>
      <c r="K470" s="217">
        <f t="shared" si="7"/>
        <v>0.53759999999999997</v>
      </c>
      <c r="L470" s="218"/>
    </row>
    <row r="471" spans="2:12">
      <c r="B471" s="197" t="s">
        <v>1376</v>
      </c>
      <c r="C471" s="189" t="s">
        <v>1333</v>
      </c>
      <c r="D471" s="190" t="s">
        <v>169</v>
      </c>
      <c r="E471" s="199">
        <v>4.4400000000000004</v>
      </c>
      <c r="F471" s="199">
        <v>0.3</v>
      </c>
      <c r="G471" s="199">
        <v>0.7</v>
      </c>
      <c r="H471" s="199">
        <v>1</v>
      </c>
      <c r="I471" s="199"/>
      <c r="J471" s="219"/>
      <c r="K471" s="217">
        <f t="shared" si="7"/>
        <v>0.93240000000000001</v>
      </c>
      <c r="L471" s="218"/>
    </row>
    <row r="472" spans="2:12">
      <c r="B472" s="197" t="s">
        <v>1377</v>
      </c>
      <c r="C472" s="189" t="s">
        <v>1333</v>
      </c>
      <c r="D472" s="190" t="s">
        <v>169</v>
      </c>
      <c r="E472" s="199">
        <f>1.73+0.66</f>
        <v>2.39</v>
      </c>
      <c r="F472" s="199">
        <v>0.7</v>
      </c>
      <c r="G472" s="199">
        <v>0.7</v>
      </c>
      <c r="H472" s="199">
        <v>1</v>
      </c>
      <c r="I472" s="199"/>
      <c r="J472" s="219"/>
      <c r="K472" s="217">
        <f t="shared" si="7"/>
        <v>1.1711</v>
      </c>
      <c r="L472" s="218"/>
    </row>
    <row r="473" spans="2:12">
      <c r="B473" s="197" t="s">
        <v>1378</v>
      </c>
      <c r="C473" s="189" t="s">
        <v>1333</v>
      </c>
      <c r="D473" s="190" t="s">
        <v>169</v>
      </c>
      <c r="E473" s="199">
        <v>1.46</v>
      </c>
      <c r="F473" s="199">
        <v>0.2</v>
      </c>
      <c r="G473" s="199">
        <v>0.7</v>
      </c>
      <c r="H473" s="199">
        <v>1</v>
      </c>
      <c r="I473" s="199"/>
      <c r="J473" s="219"/>
      <c r="K473" s="217">
        <f t="shared" si="7"/>
        <v>0.20439999999999997</v>
      </c>
      <c r="L473" s="218"/>
    </row>
    <row r="474" spans="2:12">
      <c r="B474" s="197" t="s">
        <v>1379</v>
      </c>
      <c r="C474" s="189" t="s">
        <v>1333</v>
      </c>
      <c r="D474" s="190" t="s">
        <v>169</v>
      </c>
      <c r="E474" s="199">
        <v>0.91</v>
      </c>
      <c r="F474" s="199">
        <v>0.2</v>
      </c>
      <c r="G474" s="199">
        <v>0.7</v>
      </c>
      <c r="H474" s="199">
        <v>1</v>
      </c>
      <c r="I474" s="199"/>
      <c r="J474" s="219"/>
      <c r="K474" s="217">
        <f t="shared" si="7"/>
        <v>0.12740000000000001</v>
      </c>
      <c r="L474" s="218"/>
    </row>
    <row r="475" spans="2:12">
      <c r="B475" s="197" t="s">
        <v>1380</v>
      </c>
      <c r="C475" s="189" t="s">
        <v>1333</v>
      </c>
      <c r="D475" s="190" t="s">
        <v>169</v>
      </c>
      <c r="E475" s="199">
        <v>0.97</v>
      </c>
      <c r="F475" s="199">
        <v>0.2</v>
      </c>
      <c r="G475" s="199">
        <v>0.7</v>
      </c>
      <c r="H475" s="199">
        <v>1</v>
      </c>
      <c r="I475" s="199"/>
      <c r="J475" s="219"/>
      <c r="K475" s="217">
        <f t="shared" si="7"/>
        <v>0.1358</v>
      </c>
      <c r="L475" s="218"/>
    </row>
    <row r="476" spans="2:12">
      <c r="B476" s="197" t="s">
        <v>1381</v>
      </c>
      <c r="C476" s="189" t="s">
        <v>1333</v>
      </c>
      <c r="D476" s="190" t="s">
        <v>169</v>
      </c>
      <c r="E476" s="199">
        <v>1.37</v>
      </c>
      <c r="F476" s="199">
        <v>0.2</v>
      </c>
      <c r="G476" s="199">
        <v>0.7</v>
      </c>
      <c r="H476" s="199">
        <v>1</v>
      </c>
      <c r="I476" s="199"/>
      <c r="J476" s="219"/>
      <c r="K476" s="217">
        <f t="shared" si="7"/>
        <v>0.1918</v>
      </c>
      <c r="L476" s="218"/>
    </row>
    <row r="477" spans="2:12">
      <c r="B477" s="197" t="s">
        <v>1449</v>
      </c>
      <c r="C477" s="189" t="s">
        <v>1441</v>
      </c>
      <c r="D477" s="190" t="s">
        <v>169</v>
      </c>
      <c r="E477" s="199">
        <v>10.96</v>
      </c>
      <c r="F477" s="199">
        <v>0.2</v>
      </c>
      <c r="G477" s="199">
        <v>0.7</v>
      </c>
      <c r="H477" s="199">
        <v>1</v>
      </c>
      <c r="I477" s="199"/>
      <c r="J477" s="219"/>
      <c r="K477" s="217">
        <f t="shared" si="7"/>
        <v>1.5344</v>
      </c>
      <c r="L477" s="218"/>
    </row>
    <row r="478" spans="2:12">
      <c r="B478" s="197" t="s">
        <v>1450</v>
      </c>
      <c r="C478" s="189" t="s">
        <v>1441</v>
      </c>
      <c r="D478" s="190" t="s">
        <v>169</v>
      </c>
      <c r="E478" s="199">
        <v>8.35</v>
      </c>
      <c r="F478" s="199">
        <v>0.2</v>
      </c>
      <c r="G478" s="199">
        <v>0.7</v>
      </c>
      <c r="H478" s="199">
        <v>1</v>
      </c>
      <c r="I478" s="199"/>
      <c r="J478" s="219"/>
      <c r="K478" s="217">
        <f t="shared" si="7"/>
        <v>1.1689999999999998</v>
      </c>
      <c r="L478" s="218"/>
    </row>
    <row r="479" spans="2:12">
      <c r="B479" s="197" t="s">
        <v>1451</v>
      </c>
      <c r="C479" s="189" t="s">
        <v>1441</v>
      </c>
      <c r="D479" s="190" t="s">
        <v>169</v>
      </c>
      <c r="E479" s="199">
        <v>6.88</v>
      </c>
      <c r="F479" s="199">
        <v>0.2</v>
      </c>
      <c r="G479" s="199">
        <v>0.7</v>
      </c>
      <c r="H479" s="199">
        <v>1</v>
      </c>
      <c r="I479" s="199"/>
      <c r="J479" s="219"/>
      <c r="K479" s="217">
        <f t="shared" si="7"/>
        <v>0.96320000000000006</v>
      </c>
      <c r="L479" s="218"/>
    </row>
    <row r="480" spans="2:12">
      <c r="B480" s="197" t="s">
        <v>1452</v>
      </c>
      <c r="C480" s="189" t="s">
        <v>1441</v>
      </c>
      <c r="D480" s="190" t="s">
        <v>169</v>
      </c>
      <c r="E480" s="199">
        <v>6.93</v>
      </c>
      <c r="F480" s="199">
        <v>0.2</v>
      </c>
      <c r="G480" s="199">
        <v>0.7</v>
      </c>
      <c r="H480" s="199">
        <v>1</v>
      </c>
      <c r="I480" s="199"/>
      <c r="J480" s="219"/>
      <c r="K480" s="217">
        <f t="shared" si="7"/>
        <v>0.97020000000000006</v>
      </c>
      <c r="L480" s="218"/>
    </row>
    <row r="481" spans="2:12">
      <c r="B481" s="197" t="s">
        <v>1453</v>
      </c>
      <c r="C481" s="189" t="s">
        <v>1441</v>
      </c>
      <c r="D481" s="190" t="s">
        <v>169</v>
      </c>
      <c r="E481" s="199">
        <v>8.01</v>
      </c>
      <c r="F481" s="199">
        <v>0.2</v>
      </c>
      <c r="G481" s="199">
        <v>0.7</v>
      </c>
      <c r="H481" s="199">
        <v>1</v>
      </c>
      <c r="I481" s="199"/>
      <c r="J481" s="219"/>
      <c r="K481" s="217">
        <f t="shared" si="7"/>
        <v>1.1214</v>
      </c>
      <c r="L481" s="218"/>
    </row>
    <row r="482" spans="2:12">
      <c r="B482" s="197" t="s">
        <v>1454</v>
      </c>
      <c r="C482" s="189" t="s">
        <v>1441</v>
      </c>
      <c r="D482" s="190" t="s">
        <v>169</v>
      </c>
      <c r="E482" s="199">
        <v>3.6</v>
      </c>
      <c r="F482" s="199">
        <v>1</v>
      </c>
      <c r="G482" s="199">
        <v>0.6</v>
      </c>
      <c r="H482" s="199">
        <v>1</v>
      </c>
      <c r="I482" s="199">
        <v>1.05185643549158E-5</v>
      </c>
      <c r="J482" s="219"/>
      <c r="K482" s="217">
        <f t="shared" si="7"/>
        <v>2.1600105185643552</v>
      </c>
      <c r="L482" s="218"/>
    </row>
    <row r="483" spans="2:12">
      <c r="B483" s="197" t="s">
        <v>1523</v>
      </c>
      <c r="C483" s="189" t="s">
        <v>1521</v>
      </c>
      <c r="D483" s="190" t="s">
        <v>169</v>
      </c>
      <c r="E483" s="199">
        <v>4.71</v>
      </c>
      <c r="F483" s="199">
        <v>0.25</v>
      </c>
      <c r="G483" s="199">
        <v>1.7</v>
      </c>
      <c r="H483" s="199">
        <v>1</v>
      </c>
      <c r="I483" s="199"/>
      <c r="J483" s="219"/>
      <c r="K483" s="217">
        <f t="shared" si="7"/>
        <v>2.0017499999999999</v>
      </c>
      <c r="L483" s="245" t="s">
        <v>1524</v>
      </c>
    </row>
    <row r="484" spans="2:12">
      <c r="B484" s="197" t="s">
        <v>1525</v>
      </c>
      <c r="C484" s="189" t="s">
        <v>1521</v>
      </c>
      <c r="D484" s="190" t="s">
        <v>169</v>
      </c>
      <c r="E484" s="199">
        <v>4.71</v>
      </c>
      <c r="F484" s="199">
        <v>0.15</v>
      </c>
      <c r="G484" s="199">
        <v>1.7</v>
      </c>
      <c r="H484" s="199">
        <v>1</v>
      </c>
      <c r="I484" s="199"/>
      <c r="J484" s="219"/>
      <c r="K484" s="217">
        <f t="shared" si="7"/>
        <v>1.20105</v>
      </c>
      <c r="L484" s="245" t="s">
        <v>1524</v>
      </c>
    </row>
    <row r="485" spans="2:12">
      <c r="B485" s="197" t="s">
        <v>1526</v>
      </c>
      <c r="C485" s="189" t="s">
        <v>1521</v>
      </c>
      <c r="D485" s="190" t="s">
        <v>169</v>
      </c>
      <c r="E485" s="199">
        <v>2.54</v>
      </c>
      <c r="F485" s="199">
        <v>0.15</v>
      </c>
      <c r="G485" s="199">
        <v>1.7</v>
      </c>
      <c r="H485" s="199">
        <v>1</v>
      </c>
      <c r="I485" s="199"/>
      <c r="J485" s="219"/>
      <c r="K485" s="217">
        <f t="shared" si="7"/>
        <v>0.64769999999999994</v>
      </c>
      <c r="L485" s="245" t="s">
        <v>1524</v>
      </c>
    </row>
    <row r="486" spans="2:12">
      <c r="B486" s="197" t="s">
        <v>1527</v>
      </c>
      <c r="C486" s="189" t="s">
        <v>1521</v>
      </c>
      <c r="D486" s="190" t="s">
        <v>169</v>
      </c>
      <c r="E486" s="199">
        <v>2.2000000000000002</v>
      </c>
      <c r="F486" s="199">
        <v>0.15</v>
      </c>
      <c r="G486" s="199">
        <v>1.7</v>
      </c>
      <c r="H486" s="199">
        <v>1</v>
      </c>
      <c r="I486" s="199"/>
      <c r="J486" s="219"/>
      <c r="K486" s="217">
        <f t="shared" si="7"/>
        <v>0.56100000000000005</v>
      </c>
      <c r="L486" s="245" t="s">
        <v>1524</v>
      </c>
    </row>
    <row r="487" spans="2:12">
      <c r="B487" s="197" t="s">
        <v>1528</v>
      </c>
      <c r="C487" s="189" t="s">
        <v>1521</v>
      </c>
      <c r="D487" s="190" t="s">
        <v>169</v>
      </c>
      <c r="E487" s="199">
        <v>2.2000000000000002</v>
      </c>
      <c r="F487" s="199">
        <v>0.15</v>
      </c>
      <c r="G487" s="199">
        <v>1.7</v>
      </c>
      <c r="H487" s="199">
        <v>1</v>
      </c>
      <c r="I487" s="199"/>
      <c r="J487" s="219"/>
      <c r="K487" s="217">
        <f t="shared" si="7"/>
        <v>0.56100000000000005</v>
      </c>
      <c r="L487" s="245" t="s">
        <v>1524</v>
      </c>
    </row>
    <row r="488" spans="2:12">
      <c r="B488" s="197" t="s">
        <v>1529</v>
      </c>
      <c r="C488" s="189" t="s">
        <v>1521</v>
      </c>
      <c r="D488" s="190" t="s">
        <v>169</v>
      </c>
      <c r="E488" s="199">
        <v>1.24</v>
      </c>
      <c r="F488" s="199">
        <v>0.2</v>
      </c>
      <c r="G488" s="199">
        <v>1.7</v>
      </c>
      <c r="H488" s="199">
        <v>1</v>
      </c>
      <c r="I488" s="199"/>
      <c r="J488" s="219"/>
      <c r="K488" s="217">
        <f t="shared" si="7"/>
        <v>0.42159999999999997</v>
      </c>
      <c r="L488" s="245" t="s">
        <v>1524</v>
      </c>
    </row>
    <row r="489" spans="2:12">
      <c r="B489" s="197" t="s">
        <v>1530</v>
      </c>
      <c r="C489" s="189" t="s">
        <v>1521</v>
      </c>
      <c r="D489" s="190" t="s">
        <v>169</v>
      </c>
      <c r="E489" s="199">
        <v>1.24</v>
      </c>
      <c r="F489" s="199">
        <v>0.2</v>
      </c>
      <c r="G489" s="199">
        <v>1.7</v>
      </c>
      <c r="H489" s="199">
        <v>1</v>
      </c>
      <c r="I489" s="199"/>
      <c r="J489" s="219"/>
      <c r="K489" s="217">
        <f t="shared" si="7"/>
        <v>0.42159999999999997</v>
      </c>
      <c r="L489" s="245" t="s">
        <v>1524</v>
      </c>
    </row>
    <row r="490" spans="2:12">
      <c r="B490" s="197"/>
      <c r="C490" s="189"/>
      <c r="D490" s="198"/>
      <c r="E490" s="199"/>
      <c r="F490" s="199"/>
      <c r="G490" s="199"/>
      <c r="H490" s="199"/>
      <c r="I490" s="199"/>
      <c r="J490" s="219"/>
      <c r="K490" s="217">
        <f t="shared" si="7"/>
        <v>0</v>
      </c>
      <c r="L490" s="218"/>
    </row>
    <row r="491" spans="2:12">
      <c r="B491" s="202"/>
      <c r="C491" s="203"/>
      <c r="D491" s="203"/>
      <c r="E491" s="203"/>
      <c r="F491" s="203"/>
      <c r="G491" s="203"/>
      <c r="H491" s="204"/>
      <c r="I491" s="556" t="s">
        <v>1221</v>
      </c>
      <c r="J491" s="556"/>
      <c r="K491" s="220">
        <f>SUM(K456:K490)</f>
        <v>29.263410518564356</v>
      </c>
      <c r="L491" s="207"/>
    </row>
    <row r="492" spans="2:12">
      <c r="B492" s="208"/>
      <c r="C492" s="204"/>
      <c r="D492" s="204"/>
      <c r="E492" s="204"/>
      <c r="F492" s="204"/>
      <c r="G492" s="204"/>
      <c r="H492" s="209"/>
      <c r="I492" s="557" t="s">
        <v>1222</v>
      </c>
      <c r="J492" s="557"/>
      <c r="K492" s="221">
        <v>22.99</v>
      </c>
      <c r="L492" s="207"/>
    </row>
    <row r="493" spans="2:12">
      <c r="B493" s="208"/>
      <c r="C493" s="204"/>
      <c r="D493" s="204"/>
      <c r="E493" s="204"/>
      <c r="F493" s="204"/>
      <c r="G493" s="204"/>
      <c r="H493" s="558" t="s">
        <v>1223</v>
      </c>
      <c r="I493" s="558"/>
      <c r="J493" s="558"/>
      <c r="K493" s="222">
        <v>22.9900105185644</v>
      </c>
      <c r="L493" s="207"/>
    </row>
    <row r="494" spans="2:12">
      <c r="B494" s="208"/>
      <c r="C494" s="204"/>
      <c r="D494" s="204"/>
      <c r="E494" s="204"/>
      <c r="F494" s="204"/>
      <c r="G494" s="204"/>
      <c r="H494" s="558" t="s">
        <v>1435</v>
      </c>
      <c r="I494" s="558"/>
      <c r="J494" s="558"/>
      <c r="K494" s="222">
        <f>IF(K491&gt;K492,K492,K491)-K493+0.0000105185643549158</f>
        <v>-4.6791153715313935E-14</v>
      </c>
      <c r="L494" s="207"/>
    </row>
    <row r="495" spans="2:12">
      <c r="B495" s="213"/>
      <c r="C495" s="214"/>
      <c r="D495" s="214"/>
      <c r="E495" s="214"/>
      <c r="F495" s="214"/>
      <c r="G495" s="214"/>
      <c r="H495" s="559" t="s">
        <v>1224</v>
      </c>
      <c r="I495" s="559"/>
      <c r="J495" s="559"/>
      <c r="K495" s="223">
        <f>IF(K491&gt;K492,K491-K492,0)</f>
        <v>6.2734105185643578</v>
      </c>
      <c r="L495" s="209"/>
    </row>
    <row r="497" spans="2:12">
      <c r="B497" s="247" t="s">
        <v>195</v>
      </c>
      <c r="C497" s="565" t="str">
        <f>VLOOKUP(B497,'BM 004'!$B$27:$R$590,2,0)</f>
        <v xml:space="preserve">Fabricação, montagem e desmontagem de fôrma de viga, escoramento metálico, pé-direito duplo, em chapa de madeira resinada, 8 utilizações. </v>
      </c>
      <c r="D497" s="565"/>
      <c r="E497" s="565"/>
      <c r="F497" s="565"/>
      <c r="G497" s="565"/>
      <c r="H497" s="565"/>
      <c r="I497" s="565"/>
      <c r="J497" s="565"/>
      <c r="K497" s="565"/>
      <c r="L497" s="565"/>
    </row>
    <row r="498" spans="2:12">
      <c r="B498" s="248" t="s">
        <v>1209</v>
      </c>
      <c r="C498" s="248"/>
      <c r="D498" s="248" t="s">
        <v>39</v>
      </c>
      <c r="E498" s="248" t="s">
        <v>1210</v>
      </c>
      <c r="F498" s="248" t="s">
        <v>1388</v>
      </c>
      <c r="G498" s="248" t="s">
        <v>1212</v>
      </c>
      <c r="H498" s="248" t="s">
        <v>1455</v>
      </c>
      <c r="I498" s="248" t="s">
        <v>1214</v>
      </c>
      <c r="J498" s="248" t="s">
        <v>1385</v>
      </c>
      <c r="K498" s="248" t="s">
        <v>1216</v>
      </c>
      <c r="L498" s="248" t="s">
        <v>1217</v>
      </c>
    </row>
    <row r="499" spans="2:12">
      <c r="B499" s="249" t="s">
        <v>1456</v>
      </c>
      <c r="C499" s="250" t="s">
        <v>1441</v>
      </c>
      <c r="D499" s="205" t="s">
        <v>79</v>
      </c>
      <c r="E499" s="199">
        <v>0.64</v>
      </c>
      <c r="F499" s="199">
        <v>0.15</v>
      </c>
      <c r="G499" s="199">
        <v>1</v>
      </c>
      <c r="H499" s="199"/>
      <c r="I499" s="199">
        <f t="shared" ref="I499:I530" si="8">E499*(2*G499+F499)</f>
        <v>1.3759999999999999</v>
      </c>
      <c r="J499" s="219">
        <f t="shared" ref="J499:J530" si="9">E499*F499*G499</f>
        <v>9.6000000000000002E-2</v>
      </c>
      <c r="K499" s="220">
        <f t="shared" ref="K499:K530" si="10">IF(E499*F499*G499&lt;&gt;0,E499*F499*G499,IF(E499*F499&lt;&gt;0,E499*F499,IF(F499*G499&lt;&gt;0,F499*G499,IF(E499*G499&lt;&gt;0,E499*G499,IF(E499&lt;&gt;0,E499,IF(F499&lt;&gt;0,F499,IF(G499&lt;&gt;0,G499,0)))))))*(IF(H499&lt;&gt;0,H499,1))+I499-J499</f>
        <v>1.3759999999999999</v>
      </c>
      <c r="L499" s="255"/>
    </row>
    <row r="500" spans="2:12">
      <c r="B500" s="249" t="s">
        <v>1457</v>
      </c>
      <c r="C500" s="250" t="s">
        <v>1441</v>
      </c>
      <c r="D500" s="205" t="s">
        <v>79</v>
      </c>
      <c r="E500" s="199">
        <v>7.2</v>
      </c>
      <c r="F500" s="199">
        <v>0.15</v>
      </c>
      <c r="G500" s="199">
        <v>0.7</v>
      </c>
      <c r="H500" s="199"/>
      <c r="I500" s="199">
        <f t="shared" si="8"/>
        <v>11.159999999999998</v>
      </c>
      <c r="J500" s="219">
        <f t="shared" si="9"/>
        <v>0.75600000000000001</v>
      </c>
      <c r="K500" s="220">
        <f t="shared" si="10"/>
        <v>11.159999999999998</v>
      </c>
      <c r="L500" s="255"/>
    </row>
    <row r="501" spans="2:12">
      <c r="B501" s="249" t="s">
        <v>1458</v>
      </c>
      <c r="C501" s="250" t="s">
        <v>1441</v>
      </c>
      <c r="D501" s="205" t="s">
        <v>79</v>
      </c>
      <c r="E501" s="199">
        <v>13.07</v>
      </c>
      <c r="F501" s="199">
        <v>0.15</v>
      </c>
      <c r="G501" s="199">
        <v>0.7</v>
      </c>
      <c r="H501" s="199"/>
      <c r="I501" s="199">
        <f t="shared" si="8"/>
        <v>20.258499999999998</v>
      </c>
      <c r="J501" s="219">
        <f t="shared" si="9"/>
        <v>1.37235</v>
      </c>
      <c r="K501" s="220">
        <f t="shared" si="10"/>
        <v>20.258499999999998</v>
      </c>
      <c r="L501" s="255"/>
    </row>
    <row r="502" spans="2:12">
      <c r="B502" s="249" t="s">
        <v>1459</v>
      </c>
      <c r="C502" s="250" t="s">
        <v>1441</v>
      </c>
      <c r="D502" s="205" t="s">
        <v>79</v>
      </c>
      <c r="E502" s="199">
        <v>0.94</v>
      </c>
      <c r="F502" s="199">
        <v>0.2</v>
      </c>
      <c r="G502" s="199">
        <v>0.6</v>
      </c>
      <c r="H502" s="199"/>
      <c r="I502" s="199">
        <f t="shared" si="8"/>
        <v>1.3159999999999998</v>
      </c>
      <c r="J502" s="219">
        <f t="shared" si="9"/>
        <v>0.1128</v>
      </c>
      <c r="K502" s="220">
        <f t="shared" si="10"/>
        <v>1.3159999999999998</v>
      </c>
      <c r="L502" s="255"/>
    </row>
    <row r="503" spans="2:12">
      <c r="B503" s="249" t="s">
        <v>1460</v>
      </c>
      <c r="C503" s="250" t="s">
        <v>1441</v>
      </c>
      <c r="D503" s="205" t="s">
        <v>79</v>
      </c>
      <c r="E503" s="199">
        <v>6.7</v>
      </c>
      <c r="F503" s="199">
        <v>0.2</v>
      </c>
      <c r="G503" s="199">
        <v>0.6</v>
      </c>
      <c r="H503" s="199"/>
      <c r="I503" s="199">
        <f t="shared" si="8"/>
        <v>9.379999999999999</v>
      </c>
      <c r="J503" s="219">
        <f t="shared" si="9"/>
        <v>0.80400000000000005</v>
      </c>
      <c r="K503" s="220">
        <f t="shared" si="10"/>
        <v>9.379999999999999</v>
      </c>
      <c r="L503" s="255"/>
    </row>
    <row r="504" spans="2:12">
      <c r="B504" s="249" t="s">
        <v>1460</v>
      </c>
      <c r="C504" s="250" t="s">
        <v>1441</v>
      </c>
      <c r="D504" s="205" t="s">
        <v>79</v>
      </c>
      <c r="E504" s="199">
        <v>14.04</v>
      </c>
      <c r="F504" s="199">
        <v>0.2</v>
      </c>
      <c r="G504" s="199">
        <v>1.2</v>
      </c>
      <c r="H504" s="199"/>
      <c r="I504" s="199">
        <f t="shared" si="8"/>
        <v>36.503999999999998</v>
      </c>
      <c r="J504" s="219">
        <f t="shared" si="9"/>
        <v>3.3695999999999997</v>
      </c>
      <c r="K504" s="220">
        <f t="shared" si="10"/>
        <v>36.503999999999998</v>
      </c>
      <c r="L504" s="255"/>
    </row>
    <row r="505" spans="2:12">
      <c r="B505" s="249" t="s">
        <v>1461</v>
      </c>
      <c r="C505" s="250" t="s">
        <v>1441</v>
      </c>
      <c r="D505" s="205" t="s">
        <v>79</v>
      </c>
      <c r="E505" s="199">
        <v>7.64</v>
      </c>
      <c r="F505" s="199">
        <v>0.15</v>
      </c>
      <c r="G505" s="199">
        <v>0.8</v>
      </c>
      <c r="H505" s="199"/>
      <c r="I505" s="199">
        <f t="shared" si="8"/>
        <v>13.37</v>
      </c>
      <c r="J505" s="219">
        <f t="shared" si="9"/>
        <v>0.91679999999999995</v>
      </c>
      <c r="K505" s="220">
        <f t="shared" si="10"/>
        <v>13.37</v>
      </c>
      <c r="L505" s="255"/>
    </row>
    <row r="506" spans="2:12">
      <c r="B506" s="249" t="s">
        <v>1461</v>
      </c>
      <c r="C506" s="250" t="s">
        <v>1441</v>
      </c>
      <c r="D506" s="205" t="s">
        <v>79</v>
      </c>
      <c r="E506" s="199">
        <v>20.96</v>
      </c>
      <c r="F506" s="199">
        <v>0.15</v>
      </c>
      <c r="G506" s="199">
        <v>1.2</v>
      </c>
      <c r="H506" s="199"/>
      <c r="I506" s="199">
        <f t="shared" si="8"/>
        <v>53.448</v>
      </c>
      <c r="J506" s="219">
        <f t="shared" si="9"/>
        <v>3.7728000000000002</v>
      </c>
      <c r="K506" s="220">
        <f t="shared" si="10"/>
        <v>53.447999999999993</v>
      </c>
      <c r="L506" s="255"/>
    </row>
    <row r="507" spans="2:12">
      <c r="B507" s="249" t="s">
        <v>1462</v>
      </c>
      <c r="C507" s="250" t="s">
        <v>1441</v>
      </c>
      <c r="D507" s="205" t="s">
        <v>79</v>
      </c>
      <c r="E507" s="199">
        <v>22.34</v>
      </c>
      <c r="F507" s="199">
        <v>0.2</v>
      </c>
      <c r="G507" s="199">
        <v>0.6</v>
      </c>
      <c r="H507" s="199"/>
      <c r="I507" s="199">
        <f t="shared" si="8"/>
        <v>31.275999999999996</v>
      </c>
      <c r="J507" s="219">
        <f t="shared" si="9"/>
        <v>2.6808000000000001</v>
      </c>
      <c r="K507" s="220">
        <f t="shared" si="10"/>
        <v>31.275999999999993</v>
      </c>
      <c r="L507" s="255"/>
    </row>
    <row r="508" spans="2:12">
      <c r="B508" s="249" t="s">
        <v>1463</v>
      </c>
      <c r="C508" s="250" t="s">
        <v>1441</v>
      </c>
      <c r="D508" s="205" t="s">
        <v>79</v>
      </c>
      <c r="E508" s="199">
        <v>5.72</v>
      </c>
      <c r="F508" s="199">
        <v>0.15</v>
      </c>
      <c r="G508" s="199">
        <v>0.6</v>
      </c>
      <c r="H508" s="199"/>
      <c r="I508" s="199">
        <f t="shared" si="8"/>
        <v>7.7219999999999986</v>
      </c>
      <c r="J508" s="219">
        <f t="shared" si="9"/>
        <v>0.51479999999999992</v>
      </c>
      <c r="K508" s="220">
        <f t="shared" si="10"/>
        <v>7.7219999999999986</v>
      </c>
      <c r="L508" s="255"/>
    </row>
    <row r="509" spans="2:12">
      <c r="B509" s="249" t="s">
        <v>1464</v>
      </c>
      <c r="C509" s="250" t="s">
        <v>1441</v>
      </c>
      <c r="D509" s="205" t="s">
        <v>79</v>
      </c>
      <c r="E509" s="199">
        <v>22.34</v>
      </c>
      <c r="F509" s="199">
        <v>0.2</v>
      </c>
      <c r="G509" s="199">
        <v>0.6</v>
      </c>
      <c r="H509" s="199"/>
      <c r="I509" s="199">
        <f t="shared" si="8"/>
        <v>31.275999999999996</v>
      </c>
      <c r="J509" s="219">
        <f t="shared" si="9"/>
        <v>2.6808000000000001</v>
      </c>
      <c r="K509" s="220">
        <f t="shared" si="10"/>
        <v>31.275999999999993</v>
      </c>
      <c r="L509" s="255"/>
    </row>
    <row r="510" spans="2:12">
      <c r="B510" s="249" t="s">
        <v>1465</v>
      </c>
      <c r="C510" s="250" t="s">
        <v>1441</v>
      </c>
      <c r="D510" s="205" t="s">
        <v>79</v>
      </c>
      <c r="E510" s="199">
        <v>4.42</v>
      </c>
      <c r="F510" s="199">
        <v>0.2</v>
      </c>
      <c r="G510" s="199">
        <v>0.6</v>
      </c>
      <c r="H510" s="199"/>
      <c r="I510" s="199">
        <f t="shared" si="8"/>
        <v>6.1879999999999997</v>
      </c>
      <c r="J510" s="219">
        <f t="shared" si="9"/>
        <v>0.53039999999999998</v>
      </c>
      <c r="K510" s="220">
        <f t="shared" si="10"/>
        <v>6.1879999999999997</v>
      </c>
      <c r="L510" s="255"/>
    </row>
    <row r="511" spans="2:12">
      <c r="B511" s="249" t="s">
        <v>1466</v>
      </c>
      <c r="C511" s="250" t="s">
        <v>1441</v>
      </c>
      <c r="D511" s="205" t="s">
        <v>79</v>
      </c>
      <c r="E511" s="199">
        <v>28.84</v>
      </c>
      <c r="F511" s="199">
        <v>0.2</v>
      </c>
      <c r="G511" s="199">
        <v>0.6</v>
      </c>
      <c r="H511" s="199"/>
      <c r="I511" s="199">
        <f t="shared" si="8"/>
        <v>40.375999999999998</v>
      </c>
      <c r="J511" s="219">
        <f t="shared" si="9"/>
        <v>3.4608000000000003</v>
      </c>
      <c r="K511" s="220">
        <f t="shared" si="10"/>
        <v>40.375999999999998</v>
      </c>
      <c r="L511" s="255"/>
    </row>
    <row r="512" spans="2:12">
      <c r="B512" s="249" t="s">
        <v>1467</v>
      </c>
      <c r="C512" s="250" t="s">
        <v>1441</v>
      </c>
      <c r="D512" s="205" t="s">
        <v>79</v>
      </c>
      <c r="E512" s="199">
        <v>24.09</v>
      </c>
      <c r="F512" s="199">
        <v>0.15</v>
      </c>
      <c r="G512" s="199">
        <v>1</v>
      </c>
      <c r="H512" s="199"/>
      <c r="I512" s="199">
        <f t="shared" si="8"/>
        <v>51.793499999999995</v>
      </c>
      <c r="J512" s="219">
        <f t="shared" si="9"/>
        <v>3.6134999999999997</v>
      </c>
      <c r="K512" s="220">
        <f t="shared" si="10"/>
        <v>51.793499999999995</v>
      </c>
      <c r="L512" s="255"/>
    </row>
    <row r="513" spans="2:12">
      <c r="B513" s="249" t="s">
        <v>1468</v>
      </c>
      <c r="C513" s="250" t="s">
        <v>1441</v>
      </c>
      <c r="D513" s="205" t="s">
        <v>79</v>
      </c>
      <c r="E513" s="199">
        <v>9.8800000000000008</v>
      </c>
      <c r="F513" s="199">
        <v>0.15</v>
      </c>
      <c r="G513" s="199">
        <v>0.6</v>
      </c>
      <c r="H513" s="199"/>
      <c r="I513" s="199">
        <f t="shared" si="8"/>
        <v>13.337999999999999</v>
      </c>
      <c r="J513" s="219">
        <f t="shared" si="9"/>
        <v>0.88919999999999999</v>
      </c>
      <c r="K513" s="220">
        <f t="shared" si="10"/>
        <v>13.337999999999999</v>
      </c>
      <c r="L513" s="255"/>
    </row>
    <row r="514" spans="2:12">
      <c r="B514" s="249" t="s">
        <v>1469</v>
      </c>
      <c r="C514" s="250" t="s">
        <v>1441</v>
      </c>
      <c r="D514" s="205" t="s">
        <v>79</v>
      </c>
      <c r="E514" s="199">
        <v>12</v>
      </c>
      <c r="F514" s="199">
        <v>0.2</v>
      </c>
      <c r="G514" s="199">
        <v>0.6</v>
      </c>
      <c r="H514" s="199"/>
      <c r="I514" s="199">
        <f t="shared" si="8"/>
        <v>16.799999999999997</v>
      </c>
      <c r="J514" s="219">
        <f t="shared" si="9"/>
        <v>1.4400000000000002</v>
      </c>
      <c r="K514" s="220">
        <f t="shared" si="10"/>
        <v>16.799999999999997</v>
      </c>
      <c r="L514" s="255"/>
    </row>
    <row r="515" spans="2:12">
      <c r="B515" s="249" t="s">
        <v>1470</v>
      </c>
      <c r="C515" s="250" t="s">
        <v>1441</v>
      </c>
      <c r="D515" s="205" t="s">
        <v>79</v>
      </c>
      <c r="E515" s="199">
        <v>1.81</v>
      </c>
      <c r="F515" s="199">
        <v>0.2</v>
      </c>
      <c r="G515" s="199">
        <v>0.8</v>
      </c>
      <c r="H515" s="199"/>
      <c r="I515" s="199">
        <f t="shared" si="8"/>
        <v>3.258</v>
      </c>
      <c r="J515" s="219">
        <f t="shared" si="9"/>
        <v>0.28960000000000002</v>
      </c>
      <c r="K515" s="220">
        <f t="shared" si="10"/>
        <v>3.258</v>
      </c>
      <c r="L515" s="255"/>
    </row>
    <row r="516" spans="2:12">
      <c r="B516" s="249" t="s">
        <v>1471</v>
      </c>
      <c r="C516" s="250" t="s">
        <v>1441</v>
      </c>
      <c r="D516" s="205" t="s">
        <v>79</v>
      </c>
      <c r="E516" s="199">
        <v>5.92</v>
      </c>
      <c r="F516" s="199">
        <v>0.15</v>
      </c>
      <c r="G516" s="199">
        <v>1.2</v>
      </c>
      <c r="H516" s="199"/>
      <c r="I516" s="199">
        <f t="shared" si="8"/>
        <v>15.095999999999998</v>
      </c>
      <c r="J516" s="219">
        <f t="shared" si="9"/>
        <v>1.0655999999999999</v>
      </c>
      <c r="K516" s="220">
        <f t="shared" si="10"/>
        <v>15.096</v>
      </c>
      <c r="L516" s="255"/>
    </row>
    <row r="517" spans="2:12">
      <c r="B517" s="249" t="s">
        <v>1472</v>
      </c>
      <c r="C517" s="250" t="s">
        <v>1441</v>
      </c>
      <c r="D517" s="205" t="s">
        <v>79</v>
      </c>
      <c r="E517" s="199">
        <v>12.49</v>
      </c>
      <c r="F517" s="199">
        <v>0.15</v>
      </c>
      <c r="G517" s="199">
        <v>1</v>
      </c>
      <c r="H517" s="199"/>
      <c r="I517" s="199">
        <f t="shared" si="8"/>
        <v>26.8535</v>
      </c>
      <c r="J517" s="219">
        <f t="shared" si="9"/>
        <v>1.8734999999999999</v>
      </c>
      <c r="K517" s="220">
        <f t="shared" si="10"/>
        <v>26.8535</v>
      </c>
      <c r="L517" s="255"/>
    </row>
    <row r="518" spans="2:12">
      <c r="B518" s="249" t="s">
        <v>1472</v>
      </c>
      <c r="C518" s="250" t="s">
        <v>1441</v>
      </c>
      <c r="D518" s="205" t="s">
        <v>79</v>
      </c>
      <c r="E518" s="199">
        <v>6</v>
      </c>
      <c r="F518" s="199">
        <v>0.15</v>
      </c>
      <c r="G518" s="199">
        <v>1.2</v>
      </c>
      <c r="H518" s="199"/>
      <c r="I518" s="199">
        <f t="shared" si="8"/>
        <v>15.299999999999999</v>
      </c>
      <c r="J518" s="219">
        <f t="shared" si="9"/>
        <v>1.0799999999999998</v>
      </c>
      <c r="K518" s="220">
        <f t="shared" si="10"/>
        <v>15.299999999999999</v>
      </c>
      <c r="L518" s="255"/>
    </row>
    <row r="519" spans="2:12">
      <c r="B519" s="249" t="s">
        <v>1473</v>
      </c>
      <c r="C519" s="250" t="s">
        <v>1441</v>
      </c>
      <c r="D519" s="205" t="s">
        <v>79</v>
      </c>
      <c r="E519" s="199">
        <v>4.83</v>
      </c>
      <c r="F519" s="199">
        <v>0.15</v>
      </c>
      <c r="G519" s="199">
        <v>0.6</v>
      </c>
      <c r="H519" s="199"/>
      <c r="I519" s="199">
        <f t="shared" si="8"/>
        <v>6.5204999999999993</v>
      </c>
      <c r="J519" s="219">
        <f t="shared" si="9"/>
        <v>0.43470000000000003</v>
      </c>
      <c r="K519" s="220">
        <f t="shared" si="10"/>
        <v>6.5204999999999993</v>
      </c>
      <c r="L519" s="255"/>
    </row>
    <row r="520" spans="2:12">
      <c r="B520" s="249" t="s">
        <v>1474</v>
      </c>
      <c r="C520" s="250" t="s">
        <v>1441</v>
      </c>
      <c r="D520" s="205" t="s">
        <v>79</v>
      </c>
      <c r="E520" s="199">
        <v>13.85</v>
      </c>
      <c r="F520" s="199">
        <v>0.15</v>
      </c>
      <c r="G520" s="199">
        <v>0.7</v>
      </c>
      <c r="H520" s="199"/>
      <c r="I520" s="199">
        <f t="shared" si="8"/>
        <v>21.467499999999998</v>
      </c>
      <c r="J520" s="219">
        <f t="shared" si="9"/>
        <v>1.4542499999999996</v>
      </c>
      <c r="K520" s="220">
        <f t="shared" si="10"/>
        <v>21.467499999999998</v>
      </c>
      <c r="L520" s="255"/>
    </row>
    <row r="521" spans="2:12">
      <c r="B521" s="249" t="s">
        <v>1531</v>
      </c>
      <c r="C521" s="250" t="s">
        <v>1521</v>
      </c>
      <c r="D521" s="205" t="s">
        <v>79</v>
      </c>
      <c r="E521" s="199">
        <v>12.69</v>
      </c>
      <c r="F521" s="199">
        <v>0.15</v>
      </c>
      <c r="G521" s="199">
        <v>0.6</v>
      </c>
      <c r="H521" s="199"/>
      <c r="I521" s="199">
        <f t="shared" si="8"/>
        <v>17.131499999999999</v>
      </c>
      <c r="J521" s="219">
        <f t="shared" si="9"/>
        <v>1.1420999999999999</v>
      </c>
      <c r="K521" s="220">
        <f t="shared" si="10"/>
        <v>17.131499999999999</v>
      </c>
      <c r="L521" s="255"/>
    </row>
    <row r="522" spans="2:12">
      <c r="B522" s="249" t="s">
        <v>1532</v>
      </c>
      <c r="C522" s="250" t="s">
        <v>1521</v>
      </c>
      <c r="D522" s="205" t="s">
        <v>79</v>
      </c>
      <c r="E522" s="199">
        <v>1.83</v>
      </c>
      <c r="F522" s="199">
        <v>0.15</v>
      </c>
      <c r="G522" s="199">
        <v>0.6</v>
      </c>
      <c r="H522" s="199"/>
      <c r="I522" s="199">
        <f t="shared" si="8"/>
        <v>2.4704999999999999</v>
      </c>
      <c r="J522" s="219">
        <f t="shared" si="9"/>
        <v>0.16470000000000001</v>
      </c>
      <c r="K522" s="220">
        <f t="shared" si="10"/>
        <v>2.4704999999999999</v>
      </c>
      <c r="L522" s="255"/>
    </row>
    <row r="523" spans="2:12">
      <c r="B523" s="249" t="s">
        <v>1533</v>
      </c>
      <c r="C523" s="250" t="s">
        <v>1521</v>
      </c>
      <c r="D523" s="205" t="s">
        <v>79</v>
      </c>
      <c r="E523" s="199">
        <v>8.27</v>
      </c>
      <c r="F523" s="199">
        <v>0.15</v>
      </c>
      <c r="G523" s="199">
        <v>0.6</v>
      </c>
      <c r="H523" s="199"/>
      <c r="I523" s="199">
        <f t="shared" si="8"/>
        <v>11.164499999999999</v>
      </c>
      <c r="J523" s="219">
        <f t="shared" si="9"/>
        <v>0.74429999999999996</v>
      </c>
      <c r="K523" s="220">
        <f t="shared" si="10"/>
        <v>11.1645</v>
      </c>
      <c r="L523" s="255"/>
    </row>
    <row r="524" spans="2:12">
      <c r="B524" s="249" t="s">
        <v>1534</v>
      </c>
      <c r="C524" s="250" t="s">
        <v>1521</v>
      </c>
      <c r="D524" s="205" t="s">
        <v>79</v>
      </c>
      <c r="E524" s="199">
        <v>28.74</v>
      </c>
      <c r="F524" s="199">
        <v>0.15</v>
      </c>
      <c r="G524" s="199">
        <v>1</v>
      </c>
      <c r="H524" s="199"/>
      <c r="I524" s="199">
        <f t="shared" si="8"/>
        <v>61.790999999999997</v>
      </c>
      <c r="J524" s="219">
        <f t="shared" si="9"/>
        <v>4.3109999999999999</v>
      </c>
      <c r="K524" s="220">
        <f t="shared" si="10"/>
        <v>61.791000000000004</v>
      </c>
      <c r="L524" s="255"/>
    </row>
    <row r="525" spans="2:12">
      <c r="B525" s="249" t="s">
        <v>1535</v>
      </c>
      <c r="C525" s="250" t="s">
        <v>1521</v>
      </c>
      <c r="D525" s="205" t="s">
        <v>79</v>
      </c>
      <c r="E525" s="199">
        <v>28.53</v>
      </c>
      <c r="F525" s="199">
        <v>0.2</v>
      </c>
      <c r="G525" s="199">
        <v>0.6</v>
      </c>
      <c r="H525" s="199"/>
      <c r="I525" s="199">
        <f t="shared" si="8"/>
        <v>39.942</v>
      </c>
      <c r="J525" s="219">
        <f t="shared" si="9"/>
        <v>3.4236</v>
      </c>
      <c r="K525" s="220">
        <f t="shared" si="10"/>
        <v>39.942</v>
      </c>
      <c r="L525" s="255"/>
    </row>
    <row r="526" spans="2:12">
      <c r="B526" s="249" t="s">
        <v>1536</v>
      </c>
      <c r="C526" s="250" t="s">
        <v>1521</v>
      </c>
      <c r="D526" s="205" t="s">
        <v>79</v>
      </c>
      <c r="E526" s="199">
        <v>6.34</v>
      </c>
      <c r="F526" s="199">
        <v>0.15</v>
      </c>
      <c r="G526" s="199">
        <v>0.6</v>
      </c>
      <c r="H526" s="199"/>
      <c r="I526" s="199">
        <f t="shared" si="8"/>
        <v>8.5589999999999993</v>
      </c>
      <c r="J526" s="219">
        <f t="shared" si="9"/>
        <v>0.5706</v>
      </c>
      <c r="K526" s="220">
        <f t="shared" si="10"/>
        <v>8.5589999999999993</v>
      </c>
      <c r="L526" s="255"/>
    </row>
    <row r="527" spans="2:12">
      <c r="B527" s="249" t="s">
        <v>1537</v>
      </c>
      <c r="C527" s="250" t="s">
        <v>1521</v>
      </c>
      <c r="D527" s="205" t="s">
        <v>79</v>
      </c>
      <c r="E527" s="199">
        <v>21.99</v>
      </c>
      <c r="F527" s="199">
        <v>0.2</v>
      </c>
      <c r="G527" s="199">
        <v>0.6</v>
      </c>
      <c r="H527" s="199"/>
      <c r="I527" s="199">
        <f t="shared" si="8"/>
        <v>30.785999999999994</v>
      </c>
      <c r="J527" s="219">
        <f t="shared" si="9"/>
        <v>2.6387999999999998</v>
      </c>
      <c r="K527" s="220">
        <f t="shared" si="10"/>
        <v>30.785999999999991</v>
      </c>
      <c r="L527" s="255"/>
    </row>
    <row r="528" spans="2:12">
      <c r="B528" s="249" t="s">
        <v>1538</v>
      </c>
      <c r="C528" s="250" t="s">
        <v>1521</v>
      </c>
      <c r="D528" s="205" t="s">
        <v>79</v>
      </c>
      <c r="E528" s="199">
        <v>21.99</v>
      </c>
      <c r="F528" s="199">
        <v>0.2</v>
      </c>
      <c r="G528" s="199">
        <v>0.6</v>
      </c>
      <c r="H528" s="199"/>
      <c r="I528" s="199">
        <f t="shared" si="8"/>
        <v>30.785999999999994</v>
      </c>
      <c r="J528" s="219">
        <f t="shared" si="9"/>
        <v>2.6387999999999998</v>
      </c>
      <c r="K528" s="220">
        <f t="shared" si="10"/>
        <v>30.785999999999991</v>
      </c>
      <c r="L528" s="255"/>
    </row>
    <row r="529" spans="2:12">
      <c r="B529" s="249" t="s">
        <v>1539</v>
      </c>
      <c r="C529" s="250" t="s">
        <v>1521</v>
      </c>
      <c r="D529" s="205" t="s">
        <v>79</v>
      </c>
      <c r="E529" s="199">
        <v>3.45</v>
      </c>
      <c r="F529" s="199">
        <v>0.2</v>
      </c>
      <c r="G529" s="199">
        <v>0.6</v>
      </c>
      <c r="H529" s="199"/>
      <c r="I529" s="199">
        <f t="shared" si="8"/>
        <v>4.83</v>
      </c>
      <c r="J529" s="219">
        <f t="shared" si="9"/>
        <v>0.41400000000000003</v>
      </c>
      <c r="K529" s="220">
        <f t="shared" si="10"/>
        <v>4.83</v>
      </c>
      <c r="L529" s="255"/>
    </row>
    <row r="530" spans="2:12">
      <c r="B530" s="249" t="s">
        <v>1540</v>
      </c>
      <c r="C530" s="250" t="s">
        <v>1521</v>
      </c>
      <c r="D530" s="205" t="s">
        <v>79</v>
      </c>
      <c r="E530" s="199">
        <v>28.53</v>
      </c>
      <c r="F530" s="199">
        <v>0.2</v>
      </c>
      <c r="G530" s="199">
        <v>0.6</v>
      </c>
      <c r="H530" s="199"/>
      <c r="I530" s="199">
        <f t="shared" si="8"/>
        <v>39.942</v>
      </c>
      <c r="J530" s="219">
        <f t="shared" si="9"/>
        <v>3.4236</v>
      </c>
      <c r="K530" s="220">
        <f t="shared" si="10"/>
        <v>39.942</v>
      </c>
      <c r="L530" s="255"/>
    </row>
    <row r="531" spans="2:12">
      <c r="B531" s="249" t="s">
        <v>1541</v>
      </c>
      <c r="C531" s="250" t="s">
        <v>1521</v>
      </c>
      <c r="D531" s="205" t="s">
        <v>79</v>
      </c>
      <c r="E531" s="199">
        <v>24.09</v>
      </c>
      <c r="F531" s="199">
        <v>0.15</v>
      </c>
      <c r="G531" s="199">
        <v>1</v>
      </c>
      <c r="H531" s="199"/>
      <c r="I531" s="199">
        <f t="shared" ref="I531:I562" si="11">E531*(2*G531+F531)</f>
        <v>51.793499999999995</v>
      </c>
      <c r="J531" s="219">
        <f t="shared" ref="J531:J562" si="12">E531*F531*G531</f>
        <v>3.6134999999999997</v>
      </c>
      <c r="K531" s="220">
        <f t="shared" ref="K531:K562" si="13">IF(E531*F531*G531&lt;&gt;0,E531*F531*G531,IF(E531*F531&lt;&gt;0,E531*F531,IF(F531*G531&lt;&gt;0,F531*G531,IF(E531*G531&lt;&gt;0,E531*G531,IF(E531&lt;&gt;0,E531,IF(F531&lt;&gt;0,F531,IF(G531&lt;&gt;0,G531,0)))))))*(IF(H531&lt;&gt;0,H531,1))+I531-J531</f>
        <v>51.793499999999995</v>
      </c>
      <c r="L531" s="255"/>
    </row>
    <row r="532" spans="2:12">
      <c r="B532" s="249" t="s">
        <v>1541</v>
      </c>
      <c r="C532" s="250" t="s">
        <v>1521</v>
      </c>
      <c r="D532" s="205" t="s">
        <v>79</v>
      </c>
      <c r="E532" s="199">
        <v>0.48</v>
      </c>
      <c r="F532" s="199">
        <v>0.15</v>
      </c>
      <c r="G532" s="199">
        <v>0.6</v>
      </c>
      <c r="H532" s="199"/>
      <c r="I532" s="199">
        <f t="shared" si="11"/>
        <v>0.64799999999999991</v>
      </c>
      <c r="J532" s="219">
        <f t="shared" si="12"/>
        <v>4.3199999999999995E-2</v>
      </c>
      <c r="K532" s="220">
        <f t="shared" si="13"/>
        <v>0.64799999999999991</v>
      </c>
      <c r="L532" s="255"/>
    </row>
    <row r="533" spans="2:12">
      <c r="B533" s="249" t="s">
        <v>1542</v>
      </c>
      <c r="C533" s="250" t="s">
        <v>1521</v>
      </c>
      <c r="D533" s="205" t="s">
        <v>79</v>
      </c>
      <c r="E533" s="199">
        <v>2.7</v>
      </c>
      <c r="F533" s="199">
        <v>0.15</v>
      </c>
      <c r="G533" s="199">
        <v>0.6</v>
      </c>
      <c r="H533" s="199"/>
      <c r="I533" s="199">
        <f t="shared" si="11"/>
        <v>3.645</v>
      </c>
      <c r="J533" s="219">
        <f t="shared" si="12"/>
        <v>0.24299999999999999</v>
      </c>
      <c r="K533" s="220">
        <f t="shared" si="13"/>
        <v>3.645</v>
      </c>
      <c r="L533" s="255"/>
    </row>
    <row r="534" spans="2:12">
      <c r="B534" s="249" t="s">
        <v>1543</v>
      </c>
      <c r="C534" s="250" t="s">
        <v>1521</v>
      </c>
      <c r="D534" s="205" t="s">
        <v>79</v>
      </c>
      <c r="E534" s="199">
        <v>2.7</v>
      </c>
      <c r="F534" s="199">
        <v>0.15</v>
      </c>
      <c r="G534" s="199">
        <v>0.6</v>
      </c>
      <c r="H534" s="199"/>
      <c r="I534" s="199">
        <f t="shared" si="11"/>
        <v>3.645</v>
      </c>
      <c r="J534" s="219">
        <f t="shared" si="12"/>
        <v>0.24299999999999999</v>
      </c>
      <c r="K534" s="220">
        <f t="shared" si="13"/>
        <v>3.645</v>
      </c>
      <c r="L534" s="255"/>
    </row>
    <row r="535" spans="2:12">
      <c r="B535" s="249" t="s">
        <v>1544</v>
      </c>
      <c r="C535" s="250" t="s">
        <v>1521</v>
      </c>
      <c r="D535" s="205" t="s">
        <v>79</v>
      </c>
      <c r="E535" s="199">
        <v>9.35</v>
      </c>
      <c r="F535" s="199">
        <v>0.2</v>
      </c>
      <c r="G535" s="199">
        <v>0.7</v>
      </c>
      <c r="H535" s="199"/>
      <c r="I535" s="199">
        <f t="shared" si="11"/>
        <v>14.959999999999997</v>
      </c>
      <c r="J535" s="219">
        <f t="shared" si="12"/>
        <v>1.3089999999999999</v>
      </c>
      <c r="K535" s="220">
        <f t="shared" si="13"/>
        <v>14.959999999999999</v>
      </c>
      <c r="L535" s="255"/>
    </row>
    <row r="536" spans="2:12">
      <c r="B536" s="249" t="s">
        <v>1545</v>
      </c>
      <c r="C536" s="250" t="s">
        <v>1521</v>
      </c>
      <c r="D536" s="205" t="s">
        <v>79</v>
      </c>
      <c r="E536" s="199">
        <v>2.85</v>
      </c>
      <c r="F536" s="199">
        <v>0.15</v>
      </c>
      <c r="G536" s="199">
        <v>1</v>
      </c>
      <c r="H536" s="199"/>
      <c r="I536" s="199">
        <f t="shared" si="11"/>
        <v>6.1274999999999995</v>
      </c>
      <c r="J536" s="219">
        <f t="shared" si="12"/>
        <v>0.42749999999999999</v>
      </c>
      <c r="K536" s="220">
        <f t="shared" si="13"/>
        <v>6.1274999999999995</v>
      </c>
      <c r="L536" s="255"/>
    </row>
    <row r="537" spans="2:12">
      <c r="B537" s="249" t="s">
        <v>1546</v>
      </c>
      <c r="C537" s="250" t="s">
        <v>1521</v>
      </c>
      <c r="D537" s="205" t="s">
        <v>79</v>
      </c>
      <c r="E537" s="199">
        <v>23.39</v>
      </c>
      <c r="F537" s="199">
        <v>0.15</v>
      </c>
      <c r="G537" s="199">
        <v>1</v>
      </c>
      <c r="H537" s="199"/>
      <c r="I537" s="199">
        <f t="shared" si="11"/>
        <v>50.288499999999999</v>
      </c>
      <c r="J537" s="219">
        <f t="shared" si="12"/>
        <v>3.5085000000000002</v>
      </c>
      <c r="K537" s="220">
        <f t="shared" si="13"/>
        <v>50.288499999999999</v>
      </c>
      <c r="L537" s="255"/>
    </row>
    <row r="538" spans="2:12">
      <c r="B538" s="249" t="s">
        <v>1547</v>
      </c>
      <c r="C538" s="250" t="s">
        <v>1521</v>
      </c>
      <c r="D538" s="205" t="s">
        <v>79</v>
      </c>
      <c r="E538" s="199">
        <v>13.7</v>
      </c>
      <c r="F538" s="199">
        <v>0.15</v>
      </c>
      <c r="G538" s="199">
        <v>0.6</v>
      </c>
      <c r="H538" s="199"/>
      <c r="I538" s="199">
        <f t="shared" si="11"/>
        <v>18.494999999999997</v>
      </c>
      <c r="J538" s="219">
        <f t="shared" si="12"/>
        <v>1.2329999999999999</v>
      </c>
      <c r="K538" s="220">
        <f t="shared" si="13"/>
        <v>18.494999999999997</v>
      </c>
      <c r="L538" s="255"/>
    </row>
    <row r="539" spans="2:12">
      <c r="B539" s="249" t="s">
        <v>1548</v>
      </c>
      <c r="C539" s="250" t="s">
        <v>1521</v>
      </c>
      <c r="D539" s="205" t="s">
        <v>79</v>
      </c>
      <c r="E539" s="199">
        <v>0.48</v>
      </c>
      <c r="F539" s="199">
        <v>0.15</v>
      </c>
      <c r="G539" s="199">
        <v>0.6</v>
      </c>
      <c r="H539" s="199"/>
      <c r="I539" s="199">
        <f t="shared" si="11"/>
        <v>0.64799999999999991</v>
      </c>
      <c r="J539" s="219">
        <f t="shared" si="12"/>
        <v>4.3199999999999995E-2</v>
      </c>
      <c r="K539" s="220">
        <f t="shared" si="13"/>
        <v>0.64799999999999991</v>
      </c>
      <c r="L539" s="255"/>
    </row>
    <row r="540" spans="2:12">
      <c r="B540" s="249" t="s">
        <v>1549</v>
      </c>
      <c r="C540" s="250" t="s">
        <v>1521</v>
      </c>
      <c r="D540" s="205" t="s">
        <v>79</v>
      </c>
      <c r="E540" s="199">
        <v>12.95</v>
      </c>
      <c r="F540" s="199">
        <v>0.2</v>
      </c>
      <c r="G540" s="199">
        <v>0.6</v>
      </c>
      <c r="H540" s="199"/>
      <c r="I540" s="199">
        <f t="shared" si="11"/>
        <v>18.13</v>
      </c>
      <c r="J540" s="219">
        <f t="shared" si="12"/>
        <v>1.5539999999999998</v>
      </c>
      <c r="K540" s="220">
        <f t="shared" si="13"/>
        <v>18.13</v>
      </c>
      <c r="L540" s="255"/>
    </row>
    <row r="541" spans="2:12">
      <c r="B541" s="249" t="s">
        <v>1550</v>
      </c>
      <c r="C541" s="250" t="s">
        <v>1521</v>
      </c>
      <c r="D541" s="205" t="s">
        <v>79</v>
      </c>
      <c r="E541" s="199">
        <v>21.37</v>
      </c>
      <c r="F541" s="199">
        <v>0.15</v>
      </c>
      <c r="G541" s="199">
        <v>1</v>
      </c>
      <c r="H541" s="199"/>
      <c r="I541" s="199">
        <f t="shared" si="11"/>
        <v>45.945500000000003</v>
      </c>
      <c r="J541" s="219">
        <f t="shared" si="12"/>
        <v>3.2055000000000002</v>
      </c>
      <c r="K541" s="220">
        <f t="shared" si="13"/>
        <v>45.945500000000003</v>
      </c>
      <c r="L541" s="255"/>
    </row>
    <row r="542" spans="2:12">
      <c r="B542" s="249" t="s">
        <v>1551</v>
      </c>
      <c r="C542" s="250" t="s">
        <v>1521</v>
      </c>
      <c r="D542" s="205" t="s">
        <v>79</v>
      </c>
      <c r="E542" s="199">
        <v>2.86</v>
      </c>
      <c r="F542" s="199">
        <v>0.15</v>
      </c>
      <c r="G542" s="199">
        <v>1</v>
      </c>
      <c r="H542" s="199"/>
      <c r="I542" s="199">
        <f t="shared" si="11"/>
        <v>6.1489999999999991</v>
      </c>
      <c r="J542" s="219">
        <f t="shared" si="12"/>
        <v>0.42899999999999999</v>
      </c>
      <c r="K542" s="220">
        <f t="shared" si="13"/>
        <v>6.1489999999999991</v>
      </c>
      <c r="L542" s="255"/>
    </row>
    <row r="543" spans="2:12">
      <c r="B543" s="197" t="s">
        <v>1523</v>
      </c>
      <c r="C543" s="189" t="s">
        <v>1521</v>
      </c>
      <c r="D543" s="190" t="s">
        <v>169</v>
      </c>
      <c r="E543" s="199">
        <v>4.71</v>
      </c>
      <c r="F543" s="199">
        <v>0.25</v>
      </c>
      <c r="G543" s="199">
        <v>1.7</v>
      </c>
      <c r="H543" s="199"/>
      <c r="I543" s="199">
        <f t="shared" si="11"/>
        <v>17.191499999999998</v>
      </c>
      <c r="J543" s="219">
        <f t="shared" si="12"/>
        <v>2.0017499999999999</v>
      </c>
      <c r="K543" s="220">
        <f t="shared" si="13"/>
        <v>17.191499999999998</v>
      </c>
      <c r="L543" s="255"/>
    </row>
    <row r="544" spans="2:12">
      <c r="B544" s="197" t="s">
        <v>1525</v>
      </c>
      <c r="C544" s="189" t="s">
        <v>1521</v>
      </c>
      <c r="D544" s="190" t="s">
        <v>169</v>
      </c>
      <c r="E544" s="199">
        <v>4.71</v>
      </c>
      <c r="F544" s="199">
        <v>0.15</v>
      </c>
      <c r="G544" s="199">
        <v>1.7</v>
      </c>
      <c r="H544" s="199"/>
      <c r="I544" s="199">
        <f t="shared" si="11"/>
        <v>16.720499999999998</v>
      </c>
      <c r="J544" s="219">
        <f t="shared" si="12"/>
        <v>1.20105</v>
      </c>
      <c r="K544" s="220">
        <f t="shared" si="13"/>
        <v>16.720499999999998</v>
      </c>
      <c r="L544" s="255"/>
    </row>
    <row r="545" spans="2:12">
      <c r="B545" s="197" t="s">
        <v>1526</v>
      </c>
      <c r="C545" s="189" t="s">
        <v>1521</v>
      </c>
      <c r="D545" s="190" t="s">
        <v>169</v>
      </c>
      <c r="E545" s="199">
        <v>2.54</v>
      </c>
      <c r="F545" s="199">
        <v>0.15</v>
      </c>
      <c r="G545" s="199">
        <v>1.7</v>
      </c>
      <c r="H545" s="199"/>
      <c r="I545" s="199">
        <f t="shared" si="11"/>
        <v>9.0169999999999995</v>
      </c>
      <c r="J545" s="219">
        <f t="shared" si="12"/>
        <v>0.64769999999999994</v>
      </c>
      <c r="K545" s="220">
        <f t="shared" si="13"/>
        <v>9.0169999999999995</v>
      </c>
      <c r="L545" s="255"/>
    </row>
    <row r="546" spans="2:12">
      <c r="B546" s="197" t="s">
        <v>1527</v>
      </c>
      <c r="C546" s="189" t="s">
        <v>1521</v>
      </c>
      <c r="D546" s="190" t="s">
        <v>169</v>
      </c>
      <c r="E546" s="199">
        <v>2.2000000000000002</v>
      </c>
      <c r="F546" s="199">
        <v>0.15</v>
      </c>
      <c r="G546" s="199">
        <v>1.7</v>
      </c>
      <c r="H546" s="199"/>
      <c r="I546" s="199">
        <f t="shared" si="11"/>
        <v>7.8100000000000005</v>
      </c>
      <c r="J546" s="219">
        <f t="shared" si="12"/>
        <v>0.56100000000000005</v>
      </c>
      <c r="K546" s="220">
        <f t="shared" si="13"/>
        <v>7.8100000000000005</v>
      </c>
      <c r="L546" s="255"/>
    </row>
    <row r="547" spans="2:12">
      <c r="B547" s="197" t="s">
        <v>1528</v>
      </c>
      <c r="C547" s="189" t="s">
        <v>1521</v>
      </c>
      <c r="D547" s="190" t="s">
        <v>169</v>
      </c>
      <c r="E547" s="199">
        <v>2.2000000000000002</v>
      </c>
      <c r="F547" s="199">
        <v>0.15</v>
      </c>
      <c r="G547" s="199">
        <v>1.7</v>
      </c>
      <c r="H547" s="199"/>
      <c r="I547" s="199">
        <f t="shared" si="11"/>
        <v>7.8100000000000005</v>
      </c>
      <c r="J547" s="219">
        <f t="shared" si="12"/>
        <v>0.56100000000000005</v>
      </c>
      <c r="K547" s="220">
        <f t="shared" si="13"/>
        <v>7.8100000000000005</v>
      </c>
      <c r="L547" s="255"/>
    </row>
    <row r="548" spans="2:12">
      <c r="B548" s="197" t="s">
        <v>1529</v>
      </c>
      <c r="C548" s="189" t="s">
        <v>1521</v>
      </c>
      <c r="D548" s="190" t="s">
        <v>169</v>
      </c>
      <c r="E548" s="199">
        <v>1.24</v>
      </c>
      <c r="F548" s="199">
        <v>0.2</v>
      </c>
      <c r="G548" s="199">
        <v>1.7</v>
      </c>
      <c r="H548" s="199"/>
      <c r="I548" s="199">
        <f t="shared" si="11"/>
        <v>4.4640000000000004</v>
      </c>
      <c r="J548" s="219">
        <f t="shared" si="12"/>
        <v>0.42159999999999997</v>
      </c>
      <c r="K548" s="220">
        <f t="shared" si="13"/>
        <v>4.4640000000000004</v>
      </c>
      <c r="L548" s="255"/>
    </row>
    <row r="549" spans="2:12">
      <c r="B549" s="197" t="s">
        <v>1530</v>
      </c>
      <c r="C549" s="189" t="s">
        <v>1521</v>
      </c>
      <c r="D549" s="190" t="s">
        <v>169</v>
      </c>
      <c r="E549" s="199">
        <v>1.24</v>
      </c>
      <c r="F549" s="199">
        <v>0.2</v>
      </c>
      <c r="G549" s="199">
        <v>1.7</v>
      </c>
      <c r="H549" s="199"/>
      <c r="I549" s="199">
        <f t="shared" si="11"/>
        <v>4.4640000000000004</v>
      </c>
      <c r="J549" s="219">
        <f t="shared" si="12"/>
        <v>0.42159999999999997</v>
      </c>
      <c r="K549" s="220">
        <f t="shared" si="13"/>
        <v>4.4640000000000004</v>
      </c>
      <c r="L549" s="255"/>
    </row>
    <row r="550" spans="2:12">
      <c r="B550" s="249" t="s">
        <v>1614</v>
      </c>
      <c r="C550" s="189" t="s">
        <v>1611</v>
      </c>
      <c r="D550" s="190" t="s">
        <v>169</v>
      </c>
      <c r="E550" s="199">
        <v>3.63</v>
      </c>
      <c r="F550" s="199">
        <v>0.2</v>
      </c>
      <c r="G550" s="199">
        <v>0.7</v>
      </c>
      <c r="H550" s="199"/>
      <c r="I550" s="199">
        <f t="shared" si="11"/>
        <v>5.8079999999999989</v>
      </c>
      <c r="J550" s="219">
        <f t="shared" si="12"/>
        <v>0.50819999999999999</v>
      </c>
      <c r="K550" s="220">
        <f t="shared" si="13"/>
        <v>5.8079999999999981</v>
      </c>
      <c r="L550" s="255"/>
    </row>
    <row r="551" spans="2:12">
      <c r="B551" s="249" t="s">
        <v>1614</v>
      </c>
      <c r="C551" s="189" t="s">
        <v>1611</v>
      </c>
      <c r="D551" s="190" t="s">
        <v>169</v>
      </c>
      <c r="E551" s="199">
        <v>27.92</v>
      </c>
      <c r="F551" s="199">
        <v>0.2</v>
      </c>
      <c r="G551" s="199">
        <v>0.6</v>
      </c>
      <c r="H551" s="199"/>
      <c r="I551" s="199">
        <f t="shared" si="11"/>
        <v>39.088000000000001</v>
      </c>
      <c r="J551" s="219">
        <f t="shared" si="12"/>
        <v>3.3504</v>
      </c>
      <c r="K551" s="220">
        <f t="shared" si="13"/>
        <v>39.088000000000001</v>
      </c>
      <c r="L551" s="255"/>
    </row>
    <row r="552" spans="2:12">
      <c r="B552" s="249" t="s">
        <v>1615</v>
      </c>
      <c r="C552" s="189" t="s">
        <v>1611</v>
      </c>
      <c r="D552" s="190" t="s">
        <v>169</v>
      </c>
      <c r="E552" s="199">
        <v>2.7</v>
      </c>
      <c r="F552" s="199">
        <v>0.15</v>
      </c>
      <c r="G552" s="199">
        <v>0.6</v>
      </c>
      <c r="H552" s="199"/>
      <c r="I552" s="199">
        <f t="shared" si="11"/>
        <v>3.645</v>
      </c>
      <c r="J552" s="219">
        <f t="shared" si="12"/>
        <v>0.24299999999999999</v>
      </c>
      <c r="K552" s="220">
        <f t="shared" si="13"/>
        <v>3.645</v>
      </c>
      <c r="L552" s="255"/>
    </row>
    <row r="553" spans="2:12">
      <c r="B553" s="249" t="s">
        <v>1616</v>
      </c>
      <c r="C553" s="189" t="s">
        <v>1611</v>
      </c>
      <c r="D553" s="190" t="s">
        <v>169</v>
      </c>
      <c r="E553" s="199">
        <v>4.62</v>
      </c>
      <c r="F553" s="199">
        <v>0.15</v>
      </c>
      <c r="G553" s="199">
        <v>0.6</v>
      </c>
      <c r="H553" s="199"/>
      <c r="I553" s="199">
        <f t="shared" si="11"/>
        <v>6.2369999999999992</v>
      </c>
      <c r="J553" s="219">
        <f t="shared" si="12"/>
        <v>0.41579999999999995</v>
      </c>
      <c r="K553" s="220">
        <f t="shared" si="13"/>
        <v>6.2369999999999992</v>
      </c>
      <c r="L553" s="255"/>
    </row>
    <row r="554" spans="2:12">
      <c r="B554" s="249" t="s">
        <v>1617</v>
      </c>
      <c r="C554" s="189" t="s">
        <v>1611</v>
      </c>
      <c r="D554" s="190" t="s">
        <v>169</v>
      </c>
      <c r="E554" s="199">
        <v>1.92</v>
      </c>
      <c r="F554" s="199">
        <v>0.15</v>
      </c>
      <c r="G554" s="199">
        <v>0.7</v>
      </c>
      <c r="H554" s="199"/>
      <c r="I554" s="199">
        <f t="shared" si="11"/>
        <v>2.9759999999999995</v>
      </c>
      <c r="J554" s="219">
        <f t="shared" si="12"/>
        <v>0.20159999999999997</v>
      </c>
      <c r="K554" s="220">
        <f t="shared" si="13"/>
        <v>2.9759999999999995</v>
      </c>
      <c r="L554" s="255"/>
    </row>
    <row r="555" spans="2:12">
      <c r="B555" s="249" t="s">
        <v>1618</v>
      </c>
      <c r="C555" s="189" t="s">
        <v>1611</v>
      </c>
      <c r="D555" s="190" t="s">
        <v>169</v>
      </c>
      <c r="E555" s="199">
        <v>0.84</v>
      </c>
      <c r="F555" s="199">
        <v>0.4</v>
      </c>
      <c r="G555" s="199">
        <v>1</v>
      </c>
      <c r="H555" s="199"/>
      <c r="I555" s="199">
        <f t="shared" si="11"/>
        <v>2.016</v>
      </c>
      <c r="J555" s="219">
        <f t="shared" si="12"/>
        <v>0.33600000000000002</v>
      </c>
      <c r="K555" s="220">
        <f t="shared" si="13"/>
        <v>2.016</v>
      </c>
      <c r="L555" s="255"/>
    </row>
    <row r="556" spans="2:12">
      <c r="B556" s="249" t="s">
        <v>1618</v>
      </c>
      <c r="C556" s="189" t="s">
        <v>1611</v>
      </c>
      <c r="D556" s="190" t="s">
        <v>169</v>
      </c>
      <c r="E556" s="199">
        <v>25.92</v>
      </c>
      <c r="F556" s="199">
        <v>0.3</v>
      </c>
      <c r="G556" s="199">
        <v>0.8</v>
      </c>
      <c r="H556" s="199"/>
      <c r="I556" s="199">
        <f t="shared" si="11"/>
        <v>49.248000000000005</v>
      </c>
      <c r="J556" s="219">
        <f t="shared" si="12"/>
        <v>6.2208000000000006</v>
      </c>
      <c r="K556" s="220">
        <f t="shared" si="13"/>
        <v>49.248000000000005</v>
      </c>
      <c r="L556" s="255"/>
    </row>
    <row r="557" spans="2:12">
      <c r="B557" s="249" t="s">
        <v>1619</v>
      </c>
      <c r="C557" s="189" t="s">
        <v>1611</v>
      </c>
      <c r="D557" s="190" t="s">
        <v>169</v>
      </c>
      <c r="E557" s="199">
        <v>16.71</v>
      </c>
      <c r="F557" s="199">
        <v>0.2</v>
      </c>
      <c r="G557" s="199">
        <v>0.7</v>
      </c>
      <c r="H557" s="199"/>
      <c r="I557" s="199">
        <f t="shared" si="11"/>
        <v>26.736000000000001</v>
      </c>
      <c r="J557" s="219">
        <f t="shared" si="12"/>
        <v>2.3394000000000004</v>
      </c>
      <c r="K557" s="220">
        <f t="shared" si="13"/>
        <v>26.736000000000001</v>
      </c>
      <c r="L557" s="255"/>
    </row>
    <row r="558" spans="2:12">
      <c r="B558" s="249" t="s">
        <v>1620</v>
      </c>
      <c r="C558" s="189" t="s">
        <v>1611</v>
      </c>
      <c r="D558" s="190" t="s">
        <v>169</v>
      </c>
      <c r="E558" s="199">
        <v>9.59</v>
      </c>
      <c r="F558" s="199">
        <v>0.15</v>
      </c>
      <c r="G558" s="199">
        <v>0.7</v>
      </c>
      <c r="H558" s="199"/>
      <c r="I558" s="199">
        <f t="shared" si="11"/>
        <v>14.864499999999998</v>
      </c>
      <c r="J558" s="219">
        <f t="shared" si="12"/>
        <v>1.0069499999999998</v>
      </c>
      <c r="K558" s="220">
        <f t="shared" si="13"/>
        <v>14.864499999999998</v>
      </c>
      <c r="L558" s="255"/>
    </row>
    <row r="559" spans="2:12">
      <c r="B559" s="249" t="s">
        <v>1621</v>
      </c>
      <c r="C559" s="189" t="s">
        <v>1611</v>
      </c>
      <c r="D559" s="190" t="s">
        <v>169</v>
      </c>
      <c r="E559" s="199">
        <v>1.44</v>
      </c>
      <c r="F559" s="199">
        <v>0.15</v>
      </c>
      <c r="G559" s="199">
        <v>0.7</v>
      </c>
      <c r="H559" s="199"/>
      <c r="I559" s="199">
        <f t="shared" si="11"/>
        <v>2.2319999999999998</v>
      </c>
      <c r="J559" s="219">
        <f t="shared" si="12"/>
        <v>0.1512</v>
      </c>
      <c r="K559" s="220">
        <f t="shared" si="13"/>
        <v>2.2319999999999993</v>
      </c>
      <c r="L559" s="255"/>
    </row>
    <row r="560" spans="2:12">
      <c r="B560" s="249" t="s">
        <v>1622</v>
      </c>
      <c r="C560" s="189" t="s">
        <v>1611</v>
      </c>
      <c r="D560" s="190" t="s">
        <v>169</v>
      </c>
      <c r="E560" s="199">
        <v>6.83</v>
      </c>
      <c r="F560" s="199">
        <v>0.25</v>
      </c>
      <c r="G560" s="199">
        <v>0.6</v>
      </c>
      <c r="H560" s="199"/>
      <c r="I560" s="199">
        <f t="shared" si="11"/>
        <v>9.9034999999999993</v>
      </c>
      <c r="J560" s="219">
        <f t="shared" si="12"/>
        <v>1.0245</v>
      </c>
      <c r="K560" s="220">
        <f t="shared" si="13"/>
        <v>9.9034999999999993</v>
      </c>
      <c r="L560" s="255"/>
    </row>
    <row r="561" spans="2:12">
      <c r="B561" s="249" t="s">
        <v>1622</v>
      </c>
      <c r="C561" s="189" t="s">
        <v>1611</v>
      </c>
      <c r="D561" s="190" t="s">
        <v>169</v>
      </c>
      <c r="E561" s="199">
        <v>7.5</v>
      </c>
      <c r="F561" s="199">
        <v>0.25</v>
      </c>
      <c r="G561" s="199">
        <v>1</v>
      </c>
      <c r="H561" s="199"/>
      <c r="I561" s="199">
        <f t="shared" si="11"/>
        <v>16.875</v>
      </c>
      <c r="J561" s="219">
        <f t="shared" si="12"/>
        <v>1.875</v>
      </c>
      <c r="K561" s="220">
        <f t="shared" si="13"/>
        <v>16.875</v>
      </c>
      <c r="L561" s="255"/>
    </row>
    <row r="562" spans="2:12">
      <c r="B562" s="249" t="s">
        <v>1622</v>
      </c>
      <c r="C562" s="189" t="s">
        <v>1611</v>
      </c>
      <c r="D562" s="190" t="s">
        <v>169</v>
      </c>
      <c r="E562" s="199">
        <v>6.17</v>
      </c>
      <c r="F562" s="199">
        <v>0.25</v>
      </c>
      <c r="G562" s="199">
        <v>0.6</v>
      </c>
      <c r="H562" s="199"/>
      <c r="I562" s="199">
        <f t="shared" si="11"/>
        <v>8.9465000000000003</v>
      </c>
      <c r="J562" s="219">
        <f t="shared" si="12"/>
        <v>0.92549999999999999</v>
      </c>
      <c r="K562" s="220">
        <f t="shared" si="13"/>
        <v>8.9465000000000003</v>
      </c>
      <c r="L562" s="255"/>
    </row>
    <row r="563" spans="2:12">
      <c r="B563" s="249" t="s">
        <v>1623</v>
      </c>
      <c r="C563" s="189" t="s">
        <v>1611</v>
      </c>
      <c r="D563" s="190" t="s">
        <v>169</v>
      </c>
      <c r="E563" s="199">
        <v>11.82</v>
      </c>
      <c r="F563" s="199">
        <v>0.2</v>
      </c>
      <c r="G563" s="199">
        <v>0.8</v>
      </c>
      <c r="H563" s="199"/>
      <c r="I563" s="199">
        <f t="shared" ref="I563:I584" si="14">E563*(2*G563+F563)</f>
        <v>21.276</v>
      </c>
      <c r="J563" s="219">
        <f t="shared" ref="J563:J584" si="15">E563*F563*G563</f>
        <v>1.8912000000000004</v>
      </c>
      <c r="K563" s="220">
        <f t="shared" ref="K563:K585" si="16">IF(E563*F563*G563&lt;&gt;0,E563*F563*G563,IF(E563*F563&lt;&gt;0,E563*F563,IF(F563*G563&lt;&gt;0,F563*G563,IF(E563*G563&lt;&gt;0,E563*G563,IF(E563&lt;&gt;0,E563,IF(F563&lt;&gt;0,F563,IF(G563&lt;&gt;0,G563,0)))))))*(IF(H563&lt;&gt;0,H563,1))+I563-J563</f>
        <v>21.276</v>
      </c>
      <c r="L563" s="255"/>
    </row>
    <row r="564" spans="2:12">
      <c r="B564" s="249" t="s">
        <v>1624</v>
      </c>
      <c r="C564" s="189" t="s">
        <v>1611</v>
      </c>
      <c r="D564" s="190" t="s">
        <v>169</v>
      </c>
      <c r="E564" s="199">
        <v>19.25</v>
      </c>
      <c r="F564" s="199">
        <v>0.25</v>
      </c>
      <c r="G564" s="199">
        <v>0.7</v>
      </c>
      <c r="H564" s="199"/>
      <c r="I564" s="199">
        <f t="shared" si="14"/>
        <v>31.762499999999999</v>
      </c>
      <c r="J564" s="219">
        <f t="shared" si="15"/>
        <v>3.3687499999999999</v>
      </c>
      <c r="K564" s="220">
        <f t="shared" si="16"/>
        <v>31.762500000000003</v>
      </c>
      <c r="L564" s="255"/>
    </row>
    <row r="565" spans="2:12">
      <c r="B565" s="249" t="s">
        <v>1625</v>
      </c>
      <c r="C565" s="189" t="s">
        <v>1611</v>
      </c>
      <c r="D565" s="190" t="s">
        <v>169</v>
      </c>
      <c r="E565" s="199">
        <v>5.14</v>
      </c>
      <c r="F565" s="199">
        <v>0.15</v>
      </c>
      <c r="G565" s="199">
        <v>0.6</v>
      </c>
      <c r="H565" s="199"/>
      <c r="I565" s="199">
        <f t="shared" si="14"/>
        <v>6.9389999999999992</v>
      </c>
      <c r="J565" s="219">
        <f t="shared" si="15"/>
        <v>0.4625999999999999</v>
      </c>
      <c r="K565" s="220">
        <f t="shared" si="16"/>
        <v>6.9389999999999992</v>
      </c>
      <c r="L565" s="255"/>
    </row>
    <row r="566" spans="2:12">
      <c r="B566" s="249" t="s">
        <v>1626</v>
      </c>
      <c r="C566" s="189" t="s">
        <v>1611</v>
      </c>
      <c r="D566" s="190" t="s">
        <v>169</v>
      </c>
      <c r="E566" s="199">
        <v>6.34</v>
      </c>
      <c r="F566" s="199">
        <v>0.2</v>
      </c>
      <c r="G566" s="199">
        <v>0.6</v>
      </c>
      <c r="H566" s="199"/>
      <c r="I566" s="199">
        <f t="shared" si="14"/>
        <v>8.8759999999999994</v>
      </c>
      <c r="J566" s="219">
        <f t="shared" si="15"/>
        <v>0.76080000000000003</v>
      </c>
      <c r="K566" s="220">
        <f t="shared" si="16"/>
        <v>8.8759999999999994</v>
      </c>
      <c r="L566" s="255"/>
    </row>
    <row r="567" spans="2:12">
      <c r="B567" s="249" t="s">
        <v>1626</v>
      </c>
      <c r="C567" s="189" t="s">
        <v>1611</v>
      </c>
      <c r="D567" s="190" t="s">
        <v>169</v>
      </c>
      <c r="E567" s="199">
        <v>3.78</v>
      </c>
      <c r="F567" s="199">
        <v>0.2</v>
      </c>
      <c r="G567" s="199">
        <v>0.7</v>
      </c>
      <c r="H567" s="199"/>
      <c r="I567" s="199">
        <f t="shared" si="14"/>
        <v>6.0479999999999992</v>
      </c>
      <c r="J567" s="219">
        <f t="shared" si="15"/>
        <v>0.5292</v>
      </c>
      <c r="K567" s="220">
        <f t="shared" si="16"/>
        <v>6.0479999999999992</v>
      </c>
      <c r="L567" s="255"/>
    </row>
    <row r="568" spans="2:12">
      <c r="B568" s="249" t="s">
        <v>1627</v>
      </c>
      <c r="C568" s="189" t="s">
        <v>1611</v>
      </c>
      <c r="D568" s="190" t="s">
        <v>169</v>
      </c>
      <c r="E568" s="199">
        <v>35.049999999999997</v>
      </c>
      <c r="F568" s="199">
        <v>0.2</v>
      </c>
      <c r="G568" s="199">
        <v>0.7</v>
      </c>
      <c r="H568" s="199"/>
      <c r="I568" s="199">
        <f t="shared" si="14"/>
        <v>56.079999999999991</v>
      </c>
      <c r="J568" s="219">
        <f t="shared" si="15"/>
        <v>4.9069999999999991</v>
      </c>
      <c r="K568" s="220">
        <f t="shared" si="16"/>
        <v>56.079999999999991</v>
      </c>
      <c r="L568" s="255"/>
    </row>
    <row r="569" spans="2:12">
      <c r="B569" s="249" t="s">
        <v>1627</v>
      </c>
      <c r="C569" s="189" t="s">
        <v>1611</v>
      </c>
      <c r="D569" s="190" t="s">
        <v>169</v>
      </c>
      <c r="E569" s="199">
        <v>5.05</v>
      </c>
      <c r="F569" s="199">
        <v>0.2</v>
      </c>
      <c r="G569" s="199">
        <v>1</v>
      </c>
      <c r="H569" s="199"/>
      <c r="I569" s="199">
        <f t="shared" si="14"/>
        <v>11.110000000000001</v>
      </c>
      <c r="J569" s="219">
        <f t="shared" si="15"/>
        <v>1.01</v>
      </c>
      <c r="K569" s="220">
        <f t="shared" si="16"/>
        <v>11.110000000000001</v>
      </c>
      <c r="L569" s="255"/>
    </row>
    <row r="570" spans="2:12">
      <c r="B570" s="249" t="s">
        <v>1628</v>
      </c>
      <c r="C570" s="189" t="s">
        <v>1611</v>
      </c>
      <c r="D570" s="190" t="s">
        <v>169</v>
      </c>
      <c r="E570" s="199">
        <v>12.91</v>
      </c>
      <c r="F570" s="199">
        <v>0.25</v>
      </c>
      <c r="G570" s="199">
        <v>0.7</v>
      </c>
      <c r="H570" s="199"/>
      <c r="I570" s="199">
        <f t="shared" si="14"/>
        <v>21.301500000000001</v>
      </c>
      <c r="J570" s="219">
        <f t="shared" si="15"/>
        <v>2.2592499999999998</v>
      </c>
      <c r="K570" s="220">
        <f t="shared" si="16"/>
        <v>21.301499999999997</v>
      </c>
      <c r="L570" s="255"/>
    </row>
    <row r="571" spans="2:12">
      <c r="B571" s="249" t="s">
        <v>1629</v>
      </c>
      <c r="C571" s="189" t="s">
        <v>1611</v>
      </c>
      <c r="D571" s="190" t="s">
        <v>169</v>
      </c>
      <c r="E571" s="199">
        <v>9.65</v>
      </c>
      <c r="F571" s="199">
        <v>0.3</v>
      </c>
      <c r="G571" s="199">
        <v>0.7</v>
      </c>
      <c r="H571" s="199"/>
      <c r="I571" s="199">
        <f t="shared" si="14"/>
        <v>16.405000000000001</v>
      </c>
      <c r="J571" s="219">
        <f t="shared" si="15"/>
        <v>2.0265</v>
      </c>
      <c r="K571" s="220">
        <f t="shared" si="16"/>
        <v>16.405000000000001</v>
      </c>
      <c r="L571" s="255"/>
    </row>
    <row r="572" spans="2:12">
      <c r="B572" s="249" t="s">
        <v>1629</v>
      </c>
      <c r="C572" s="189" t="s">
        <v>1611</v>
      </c>
      <c r="D572" s="190" t="s">
        <v>169</v>
      </c>
      <c r="E572" s="199">
        <v>2.91</v>
      </c>
      <c r="F572" s="199">
        <v>0.3</v>
      </c>
      <c r="G572" s="199">
        <v>0.65</v>
      </c>
      <c r="H572" s="199"/>
      <c r="I572" s="199">
        <f t="shared" si="14"/>
        <v>4.6560000000000006</v>
      </c>
      <c r="J572" s="219">
        <f t="shared" si="15"/>
        <v>0.56745000000000001</v>
      </c>
      <c r="K572" s="220">
        <f t="shared" si="16"/>
        <v>4.6560000000000006</v>
      </c>
      <c r="L572" s="255"/>
    </row>
    <row r="573" spans="2:12">
      <c r="B573" s="249" t="s">
        <v>1630</v>
      </c>
      <c r="C573" s="189" t="s">
        <v>1611</v>
      </c>
      <c r="D573" s="190" t="s">
        <v>169</v>
      </c>
      <c r="E573" s="199">
        <v>12.35</v>
      </c>
      <c r="F573" s="199">
        <v>0.15</v>
      </c>
      <c r="G573" s="199">
        <v>0.7</v>
      </c>
      <c r="H573" s="199"/>
      <c r="I573" s="199">
        <f t="shared" si="14"/>
        <v>19.142499999999998</v>
      </c>
      <c r="J573" s="219">
        <f t="shared" si="15"/>
        <v>1.2967499999999998</v>
      </c>
      <c r="K573" s="220">
        <f t="shared" si="16"/>
        <v>19.142499999999998</v>
      </c>
      <c r="L573" s="255"/>
    </row>
    <row r="574" spans="2:12">
      <c r="B574" s="249" t="s">
        <v>1631</v>
      </c>
      <c r="C574" s="189" t="s">
        <v>1611</v>
      </c>
      <c r="D574" s="190" t="s">
        <v>169</v>
      </c>
      <c r="E574" s="199">
        <v>16.260000000000002</v>
      </c>
      <c r="F574" s="199">
        <v>0.15</v>
      </c>
      <c r="G574" s="199">
        <v>1</v>
      </c>
      <c r="H574" s="199"/>
      <c r="I574" s="199">
        <f t="shared" si="14"/>
        <v>34.959000000000003</v>
      </c>
      <c r="J574" s="219">
        <f t="shared" si="15"/>
        <v>2.4390000000000001</v>
      </c>
      <c r="K574" s="220">
        <f t="shared" si="16"/>
        <v>34.959000000000003</v>
      </c>
      <c r="L574" s="255"/>
    </row>
    <row r="575" spans="2:12">
      <c r="B575" s="249" t="s">
        <v>1632</v>
      </c>
      <c r="C575" s="189" t="s">
        <v>1611</v>
      </c>
      <c r="D575" s="190" t="s">
        <v>169</v>
      </c>
      <c r="E575" s="199">
        <v>9.77</v>
      </c>
      <c r="F575" s="199">
        <v>0.3</v>
      </c>
      <c r="G575" s="199">
        <v>0.6</v>
      </c>
      <c r="H575" s="199"/>
      <c r="I575" s="199">
        <f t="shared" si="14"/>
        <v>14.654999999999999</v>
      </c>
      <c r="J575" s="219">
        <f t="shared" si="15"/>
        <v>1.7585999999999997</v>
      </c>
      <c r="K575" s="220">
        <f t="shared" si="16"/>
        <v>14.654999999999999</v>
      </c>
      <c r="L575" s="255"/>
    </row>
    <row r="576" spans="2:12">
      <c r="B576" s="249" t="s">
        <v>1633</v>
      </c>
      <c r="C576" s="189" t="s">
        <v>1611</v>
      </c>
      <c r="D576" s="190" t="s">
        <v>169</v>
      </c>
      <c r="E576" s="199">
        <v>8.8000000000000007</v>
      </c>
      <c r="F576" s="199">
        <v>0.15</v>
      </c>
      <c r="G576" s="199">
        <v>0.8</v>
      </c>
      <c r="H576" s="199"/>
      <c r="I576" s="199">
        <f t="shared" si="14"/>
        <v>15.400000000000002</v>
      </c>
      <c r="J576" s="219">
        <f t="shared" si="15"/>
        <v>1.056</v>
      </c>
      <c r="K576" s="220">
        <f t="shared" si="16"/>
        <v>15.400000000000002</v>
      </c>
      <c r="L576" s="255"/>
    </row>
    <row r="577" spans="2:12">
      <c r="B577" s="249" t="s">
        <v>1634</v>
      </c>
      <c r="C577" s="189" t="s">
        <v>1611</v>
      </c>
      <c r="D577" s="190" t="s">
        <v>169</v>
      </c>
      <c r="E577" s="199">
        <v>3.82</v>
      </c>
      <c r="F577" s="199">
        <v>0.3</v>
      </c>
      <c r="G577" s="199">
        <v>0.6</v>
      </c>
      <c r="H577" s="199"/>
      <c r="I577" s="199">
        <f t="shared" si="14"/>
        <v>5.7299999999999995</v>
      </c>
      <c r="J577" s="219">
        <f t="shared" si="15"/>
        <v>0.68759999999999988</v>
      </c>
      <c r="K577" s="220">
        <f t="shared" si="16"/>
        <v>5.7299999999999995</v>
      </c>
      <c r="L577" s="255"/>
    </row>
    <row r="578" spans="2:12">
      <c r="B578" s="249" t="s">
        <v>1635</v>
      </c>
      <c r="C578" s="189" t="s">
        <v>1611</v>
      </c>
      <c r="D578" s="190" t="s">
        <v>169</v>
      </c>
      <c r="E578" s="199">
        <v>2.54</v>
      </c>
      <c r="F578" s="199">
        <v>0.15</v>
      </c>
      <c r="G578" s="199">
        <v>0.6</v>
      </c>
      <c r="H578" s="199"/>
      <c r="I578" s="199">
        <f t="shared" si="14"/>
        <v>3.4289999999999998</v>
      </c>
      <c r="J578" s="219">
        <f t="shared" si="15"/>
        <v>0.2286</v>
      </c>
      <c r="K578" s="220">
        <f t="shared" si="16"/>
        <v>3.4289999999999998</v>
      </c>
      <c r="L578" s="255"/>
    </row>
    <row r="579" spans="2:12">
      <c r="B579" s="249" t="s">
        <v>1636</v>
      </c>
      <c r="C579" s="189" t="s">
        <v>1611</v>
      </c>
      <c r="D579" s="190" t="s">
        <v>169</v>
      </c>
      <c r="E579" s="199">
        <v>9.4</v>
      </c>
      <c r="F579" s="199">
        <v>0.2</v>
      </c>
      <c r="G579" s="199">
        <v>0.6</v>
      </c>
      <c r="H579" s="199"/>
      <c r="I579" s="199">
        <f t="shared" si="14"/>
        <v>13.16</v>
      </c>
      <c r="J579" s="219">
        <f t="shared" si="15"/>
        <v>1.1280000000000001</v>
      </c>
      <c r="K579" s="220">
        <f t="shared" si="16"/>
        <v>13.16</v>
      </c>
      <c r="L579" s="255"/>
    </row>
    <row r="580" spans="2:12">
      <c r="B580" s="249" t="s">
        <v>1637</v>
      </c>
      <c r="C580" s="189" t="s">
        <v>1611</v>
      </c>
      <c r="D580" s="190" t="s">
        <v>169</v>
      </c>
      <c r="E580" s="199">
        <v>3.84</v>
      </c>
      <c r="F580" s="199">
        <v>0.2</v>
      </c>
      <c r="G580" s="199">
        <v>0.7</v>
      </c>
      <c r="H580" s="199"/>
      <c r="I580" s="199">
        <f t="shared" si="14"/>
        <v>6.1439999999999992</v>
      </c>
      <c r="J580" s="219">
        <f t="shared" si="15"/>
        <v>0.53759999999999997</v>
      </c>
      <c r="K580" s="220">
        <f t="shared" si="16"/>
        <v>6.1439999999999992</v>
      </c>
      <c r="L580" s="255"/>
    </row>
    <row r="581" spans="2:12">
      <c r="B581" s="249" t="s">
        <v>1638</v>
      </c>
      <c r="C581" s="189" t="s">
        <v>1611</v>
      </c>
      <c r="D581" s="190" t="s">
        <v>169</v>
      </c>
      <c r="E581" s="199">
        <v>2.84</v>
      </c>
      <c r="F581" s="199">
        <v>0.2</v>
      </c>
      <c r="G581" s="199">
        <v>0.6</v>
      </c>
      <c r="H581" s="199"/>
      <c r="I581" s="199">
        <f t="shared" si="14"/>
        <v>3.9759999999999995</v>
      </c>
      <c r="J581" s="219">
        <f t="shared" si="15"/>
        <v>0.34079999999999994</v>
      </c>
      <c r="K581" s="220">
        <f t="shared" si="16"/>
        <v>3.976</v>
      </c>
      <c r="L581" s="255"/>
    </row>
    <row r="582" spans="2:12">
      <c r="B582" s="249" t="s">
        <v>1639</v>
      </c>
      <c r="C582" s="189" t="s">
        <v>1611</v>
      </c>
      <c r="D582" s="190" t="s">
        <v>169</v>
      </c>
      <c r="E582" s="199">
        <v>9.4700000000000006</v>
      </c>
      <c r="F582" s="199">
        <v>0.15</v>
      </c>
      <c r="G582" s="199">
        <v>1</v>
      </c>
      <c r="H582" s="199"/>
      <c r="I582" s="199">
        <f t="shared" si="14"/>
        <v>20.360500000000002</v>
      </c>
      <c r="J582" s="219">
        <f t="shared" si="15"/>
        <v>1.4205000000000001</v>
      </c>
      <c r="K582" s="220">
        <f t="shared" si="16"/>
        <v>20.360500000000002</v>
      </c>
      <c r="L582" s="255"/>
    </row>
    <row r="583" spans="2:12">
      <c r="B583" s="249" t="s">
        <v>1640</v>
      </c>
      <c r="C583" s="189" t="s">
        <v>1611</v>
      </c>
      <c r="D583" s="190" t="s">
        <v>169</v>
      </c>
      <c r="E583" s="199">
        <v>21.33</v>
      </c>
      <c r="F583" s="199">
        <v>0.15</v>
      </c>
      <c r="G583" s="199">
        <v>1</v>
      </c>
      <c r="H583" s="199"/>
      <c r="I583" s="199">
        <f t="shared" si="14"/>
        <v>45.859499999999997</v>
      </c>
      <c r="J583" s="219">
        <f t="shared" si="15"/>
        <v>3.1994999999999996</v>
      </c>
      <c r="K583" s="220">
        <f t="shared" si="16"/>
        <v>45.859499999999997</v>
      </c>
      <c r="L583" s="255"/>
    </row>
    <row r="584" spans="2:12">
      <c r="B584" s="249" t="s">
        <v>1641</v>
      </c>
      <c r="C584" s="189" t="s">
        <v>1611</v>
      </c>
      <c r="D584" s="190" t="s">
        <v>169</v>
      </c>
      <c r="E584" s="199">
        <v>4.58</v>
      </c>
      <c r="F584" s="199">
        <v>0.2</v>
      </c>
      <c r="G584" s="199">
        <v>0.6</v>
      </c>
      <c r="H584" s="199"/>
      <c r="I584" s="199">
        <f t="shared" si="14"/>
        <v>6.4119999999999999</v>
      </c>
      <c r="J584" s="219">
        <f t="shared" si="15"/>
        <v>0.54959999999999998</v>
      </c>
      <c r="K584" s="220">
        <f t="shared" si="16"/>
        <v>6.4119999999999999</v>
      </c>
      <c r="L584" s="255"/>
    </row>
    <row r="585" spans="2:12">
      <c r="B585" s="249"/>
      <c r="C585" s="250"/>
      <c r="D585" s="205"/>
      <c r="E585" s="199"/>
      <c r="F585" s="199"/>
      <c r="G585" s="199"/>
      <c r="H585" s="199"/>
      <c r="I585" s="199"/>
      <c r="J585" s="219"/>
      <c r="K585" s="220">
        <f t="shared" si="16"/>
        <v>0</v>
      </c>
      <c r="L585" s="255"/>
    </row>
    <row r="586" spans="2:12">
      <c r="B586" s="208"/>
      <c r="C586" s="204"/>
      <c r="D586" s="204"/>
      <c r="E586" s="204"/>
      <c r="F586" s="204"/>
      <c r="G586" s="204"/>
      <c r="H586" s="204"/>
      <c r="I586" s="557" t="s">
        <v>1221</v>
      </c>
      <c r="J586" s="557"/>
      <c r="K586" s="262">
        <f>SUM(K499:K585)</f>
        <v>1531.6890000000005</v>
      </c>
      <c r="L586" s="207"/>
    </row>
    <row r="587" spans="2:12">
      <c r="B587" s="208"/>
      <c r="C587" s="204"/>
      <c r="D587" s="204"/>
      <c r="E587" s="204"/>
      <c r="F587" s="204"/>
      <c r="G587" s="204"/>
      <c r="H587" s="209"/>
      <c r="I587" s="557" t="s">
        <v>1222</v>
      </c>
      <c r="J587" s="557"/>
      <c r="K587" s="221">
        <f>VLOOKUP(B497,'BM 004'!$B$27:$R$590,4,0)</f>
        <v>3575</v>
      </c>
      <c r="L587" s="207"/>
    </row>
    <row r="588" spans="2:12">
      <c r="B588" s="208"/>
      <c r="C588" s="204"/>
      <c r="D588" s="204"/>
      <c r="E588" s="204"/>
      <c r="F588" s="204"/>
      <c r="G588" s="204"/>
      <c r="H588" s="558" t="s">
        <v>1223</v>
      </c>
      <c r="I588" s="558"/>
      <c r="J588" s="558"/>
      <c r="K588" s="222">
        <v>969.43200000000002</v>
      </c>
      <c r="L588" s="207"/>
    </row>
    <row r="589" spans="2:12">
      <c r="B589" s="208"/>
      <c r="C589" s="204"/>
      <c r="D589" s="204"/>
      <c r="E589" s="204"/>
      <c r="F589" s="204"/>
      <c r="G589" s="204"/>
      <c r="H589" s="558" t="s">
        <v>1579</v>
      </c>
      <c r="I589" s="558"/>
      <c r="J589" s="558"/>
      <c r="K589" s="222">
        <f>TRUNC(SUMIF(C499:C585,H589,K499:K585),2)</f>
        <v>562.25</v>
      </c>
      <c r="L589" s="207"/>
    </row>
    <row r="590" spans="2:12">
      <c r="B590" s="213"/>
      <c r="C590" s="214"/>
      <c r="D590" s="214"/>
      <c r="E590" s="214"/>
      <c r="F590" s="214"/>
      <c r="G590" s="214"/>
      <c r="H590" s="559" t="s">
        <v>1224</v>
      </c>
      <c r="I590" s="559"/>
      <c r="J590" s="559"/>
      <c r="K590" s="223">
        <f>IF(K586&gt;K587,K586-K587,0)</f>
        <v>0</v>
      </c>
      <c r="L590" s="209"/>
    </row>
    <row r="592" spans="2:12">
      <c r="B592" s="247" t="s">
        <v>197</v>
      </c>
      <c r="C592" s="565" t="str">
        <f>VLOOKUP(B592,'BM 004'!$B$27:$R$590,2,0)</f>
        <v xml:space="preserve">Armação de pilar ou viga de uma estrutura convencional de concreto armado em um edifício de múltiplos pavimentos utilizando aço ca-60 de 5,0 mm - montagem. </v>
      </c>
      <c r="D592" s="565"/>
      <c r="E592" s="565"/>
      <c r="F592" s="565"/>
      <c r="G592" s="565"/>
      <c r="H592" s="565"/>
      <c r="I592" s="565"/>
      <c r="J592" s="565"/>
      <c r="K592" s="565"/>
      <c r="L592" s="565"/>
    </row>
    <row r="593" spans="2:12">
      <c r="B593" s="248" t="s">
        <v>1209</v>
      </c>
      <c r="C593" s="248"/>
      <c r="D593" s="248" t="s">
        <v>39</v>
      </c>
      <c r="E593" s="248" t="s">
        <v>1210</v>
      </c>
      <c r="F593" s="248" t="s">
        <v>1382</v>
      </c>
      <c r="G593" s="248" t="s">
        <v>1383</v>
      </c>
      <c r="H593" s="248" t="s">
        <v>1384</v>
      </c>
      <c r="I593" s="248" t="s">
        <v>1214</v>
      </c>
      <c r="J593" s="248" t="s">
        <v>1385</v>
      </c>
      <c r="K593" s="248" t="s">
        <v>1216</v>
      </c>
      <c r="L593" s="248" t="s">
        <v>1217</v>
      </c>
    </row>
    <row r="594" spans="2:12">
      <c r="B594" s="249" t="s">
        <v>1367</v>
      </c>
      <c r="C594" s="250" t="s">
        <v>1333</v>
      </c>
      <c r="D594" s="205" t="s">
        <v>152</v>
      </c>
      <c r="E594" s="251">
        <v>661</v>
      </c>
      <c r="F594" s="252">
        <v>0.154</v>
      </c>
      <c r="G594" s="251"/>
      <c r="H594" s="251">
        <v>1.1000000000000001</v>
      </c>
      <c r="I594" s="251"/>
      <c r="J594" s="253"/>
      <c r="K594" s="254">
        <f t="shared" ref="K594:K603" si="17">IF(E594*F594*G594&lt;&gt;0,E594*F594*G594,IF(E594*F594&lt;&gt;0,E594*F594,IF(F594*G594&lt;&gt;0,F594*G594,IF(E594*G594&lt;&gt;0,E594*G594,IF(E594&lt;&gt;0,E594,IF(F594&lt;&gt;0,F594,IF(G594&lt;&gt;0,G594,0)))))))*(IF(H594&lt;&gt;0,H594,1))+I594-J594</f>
        <v>111.97340000000001</v>
      </c>
      <c r="L594" s="255"/>
    </row>
    <row r="595" spans="2:12">
      <c r="B595" s="249" t="s">
        <v>1386</v>
      </c>
      <c r="C595" s="250" t="s">
        <v>1333</v>
      </c>
      <c r="D595" s="205" t="s">
        <v>152</v>
      </c>
      <c r="E595" s="251">
        <v>433</v>
      </c>
      <c r="F595" s="252">
        <v>0.154</v>
      </c>
      <c r="G595" s="251"/>
      <c r="H595" s="251">
        <v>1.1000000000000001</v>
      </c>
      <c r="I595" s="251"/>
      <c r="J595" s="253"/>
      <c r="K595" s="254">
        <f t="shared" si="17"/>
        <v>73.350200000000015</v>
      </c>
      <c r="L595" s="255"/>
    </row>
    <row r="596" spans="2:12">
      <c r="B596" s="263" t="s">
        <v>1475</v>
      </c>
      <c r="C596" s="264" t="s">
        <v>1441</v>
      </c>
      <c r="D596" s="205" t="s">
        <v>152</v>
      </c>
      <c r="E596" s="251">
        <v>257</v>
      </c>
      <c r="F596" s="252">
        <v>0.154</v>
      </c>
      <c r="G596" s="251"/>
      <c r="H596" s="251">
        <v>1.1000000000000001</v>
      </c>
      <c r="I596" s="251"/>
      <c r="J596" s="253"/>
      <c r="K596" s="254">
        <f t="shared" si="17"/>
        <v>43.535800000000009</v>
      </c>
      <c r="L596" s="255"/>
    </row>
    <row r="597" spans="2:12">
      <c r="B597" s="263" t="s">
        <v>1476</v>
      </c>
      <c r="C597" s="264" t="s">
        <v>1441</v>
      </c>
      <c r="D597" s="205" t="s">
        <v>152</v>
      </c>
      <c r="E597" s="251">
        <v>402</v>
      </c>
      <c r="F597" s="252">
        <v>0.154</v>
      </c>
      <c r="G597" s="251"/>
      <c r="H597" s="251">
        <v>1.1000000000000001</v>
      </c>
      <c r="I597" s="251"/>
      <c r="J597" s="253"/>
      <c r="K597" s="254">
        <f t="shared" si="17"/>
        <v>68.098800000000011</v>
      </c>
      <c r="L597" s="255"/>
    </row>
    <row r="598" spans="2:12">
      <c r="B598" s="263" t="s">
        <v>1552</v>
      </c>
      <c r="C598" s="264" t="s">
        <v>1521</v>
      </c>
      <c r="D598" s="205" t="s">
        <v>152</v>
      </c>
      <c r="E598" s="251">
        <v>759</v>
      </c>
      <c r="F598" s="252">
        <v>0.154</v>
      </c>
      <c r="G598" s="251"/>
      <c r="H598" s="251">
        <v>1.1000000000000001</v>
      </c>
      <c r="I598" s="251"/>
      <c r="J598" s="253"/>
      <c r="K598" s="254">
        <f t="shared" si="17"/>
        <v>128.5746</v>
      </c>
      <c r="L598" s="266"/>
    </row>
    <row r="599" spans="2:12">
      <c r="B599" s="263" t="s">
        <v>1553</v>
      </c>
      <c r="C599" s="264" t="s">
        <v>1521</v>
      </c>
      <c r="D599" s="205" t="s">
        <v>152</v>
      </c>
      <c r="E599" s="251">
        <v>239</v>
      </c>
      <c r="F599" s="252">
        <v>0.154</v>
      </c>
      <c r="G599" s="251"/>
      <c r="H599" s="251">
        <v>1.1000000000000001</v>
      </c>
      <c r="I599" s="251"/>
      <c r="J599" s="253"/>
      <c r="K599" s="254">
        <f t="shared" si="17"/>
        <v>40.486600000000003</v>
      </c>
      <c r="L599" s="266"/>
    </row>
    <row r="600" spans="2:12">
      <c r="B600" s="263" t="s">
        <v>1642</v>
      </c>
      <c r="C600" s="264" t="s">
        <v>1611</v>
      </c>
      <c r="D600" s="205" t="s">
        <v>152</v>
      </c>
      <c r="E600" s="251">
        <v>433</v>
      </c>
      <c r="F600" s="252">
        <v>0.154</v>
      </c>
      <c r="G600" s="251"/>
      <c r="H600" s="251">
        <v>1.1000000000000001</v>
      </c>
      <c r="I600" s="251"/>
      <c r="J600" s="253"/>
      <c r="K600" s="254">
        <f t="shared" si="17"/>
        <v>73.350200000000015</v>
      </c>
      <c r="L600" s="266"/>
    </row>
    <row r="601" spans="2:12">
      <c r="B601" s="263" t="s">
        <v>1643</v>
      </c>
      <c r="C601" s="264" t="s">
        <v>1611</v>
      </c>
      <c r="D601" s="205" t="s">
        <v>152</v>
      </c>
      <c r="E601" s="251">
        <v>276</v>
      </c>
      <c r="F601" s="252">
        <v>0.154</v>
      </c>
      <c r="G601" s="251"/>
      <c r="H601" s="251">
        <v>1.1000000000000001</v>
      </c>
      <c r="I601" s="251"/>
      <c r="J601" s="253"/>
      <c r="K601" s="254">
        <f t="shared" si="17"/>
        <v>46.754400000000004</v>
      </c>
      <c r="L601" s="266"/>
    </row>
    <row r="602" spans="2:12">
      <c r="B602" s="263"/>
      <c r="C602" s="264"/>
      <c r="D602" s="205"/>
      <c r="E602" s="251"/>
      <c r="F602" s="252"/>
      <c r="G602" s="251"/>
      <c r="H602" s="251"/>
      <c r="I602" s="251"/>
      <c r="J602" s="253"/>
      <c r="K602" s="254">
        <f t="shared" si="17"/>
        <v>0</v>
      </c>
      <c r="L602" s="266"/>
    </row>
    <row r="603" spans="2:12">
      <c r="B603" s="256"/>
      <c r="C603" s="210"/>
      <c r="D603" s="210"/>
      <c r="E603" s="257"/>
      <c r="F603" s="258"/>
      <c r="G603" s="257"/>
      <c r="H603" s="257"/>
      <c r="I603" s="257"/>
      <c r="J603" s="259"/>
      <c r="K603" s="260">
        <f t="shared" si="17"/>
        <v>0</v>
      </c>
      <c r="L603" s="210"/>
    </row>
    <row r="604" spans="2:12">
      <c r="B604" s="202"/>
      <c r="C604" s="203"/>
      <c r="D604" s="203"/>
      <c r="E604" s="203"/>
      <c r="F604" s="203"/>
      <c r="G604" s="203"/>
      <c r="H604" s="204"/>
      <c r="I604" s="556" t="s">
        <v>1221</v>
      </c>
      <c r="J604" s="556"/>
      <c r="K604" s="220">
        <f>SUM(K594:K603)</f>
        <v>586.12400000000014</v>
      </c>
      <c r="L604" s="207"/>
    </row>
    <row r="605" spans="2:12">
      <c r="B605" s="208"/>
      <c r="C605" s="204"/>
      <c r="D605" s="204"/>
      <c r="E605" s="204"/>
      <c r="F605" s="204"/>
      <c r="G605" s="204"/>
      <c r="H605" s="209"/>
      <c r="I605" s="557" t="s">
        <v>1222</v>
      </c>
      <c r="J605" s="557"/>
      <c r="K605" s="221">
        <f>VLOOKUP(B592,'BM 004'!$B$27:$R$590,4,0)</f>
        <v>2130.6999999999998</v>
      </c>
      <c r="L605" s="207"/>
    </row>
    <row r="606" spans="2:12">
      <c r="B606" s="208"/>
      <c r="C606" s="204"/>
      <c r="D606" s="204"/>
      <c r="E606" s="204"/>
      <c r="F606" s="204"/>
      <c r="G606" s="204"/>
      <c r="H606" s="558" t="s">
        <v>1223</v>
      </c>
      <c r="I606" s="558"/>
      <c r="J606" s="558"/>
      <c r="K606" s="222">
        <f>K604-K607</f>
        <v>466.02400000000011</v>
      </c>
      <c r="L606" s="207"/>
    </row>
    <row r="607" spans="2:12">
      <c r="B607" s="208"/>
      <c r="C607" s="204"/>
      <c r="D607" s="204"/>
      <c r="E607" s="204"/>
      <c r="F607" s="204"/>
      <c r="G607" s="204"/>
      <c r="H607" s="558" t="s">
        <v>1579</v>
      </c>
      <c r="I607" s="558"/>
      <c r="J607" s="558"/>
      <c r="K607" s="222">
        <f>TRUNC(SUMIF(C594:C603,H607,K594:K603),2)</f>
        <v>120.1</v>
      </c>
      <c r="L607" s="207"/>
    </row>
    <row r="608" spans="2:12">
      <c r="B608" s="213"/>
      <c r="C608" s="214"/>
      <c r="D608" s="214"/>
      <c r="E608" s="214"/>
      <c r="F608" s="214"/>
      <c r="G608" s="214"/>
      <c r="H608" s="559" t="s">
        <v>1224</v>
      </c>
      <c r="I608" s="559"/>
      <c r="J608" s="559"/>
      <c r="K608" s="223">
        <f>IF(K604&gt;K605,K604-K605,0)</f>
        <v>0</v>
      </c>
      <c r="L608" s="209"/>
    </row>
    <row r="610" spans="2:12">
      <c r="B610" s="247" t="s">
        <v>199</v>
      </c>
      <c r="C610" s="565" t="str">
        <f>VLOOKUP(B610,'BM 004'!$B$27:$R$590,2,0)</f>
        <v xml:space="preserve">Armação de pilar ou viga de uma estrutura convencional de concreto armado em um edifício de múltiplos pavimentos utilizando aço ca-50 de 6,3 mm - montagem.  </v>
      </c>
      <c r="D610" s="565"/>
      <c r="E610" s="565"/>
      <c r="F610" s="565"/>
      <c r="G610" s="565"/>
      <c r="H610" s="565"/>
      <c r="I610" s="565"/>
      <c r="J610" s="565"/>
      <c r="K610" s="565"/>
      <c r="L610" s="565"/>
    </row>
    <row r="611" spans="2:12">
      <c r="B611" s="248" t="s">
        <v>1209</v>
      </c>
      <c r="C611" s="248"/>
      <c r="D611" s="248" t="s">
        <v>39</v>
      </c>
      <c r="E611" s="248" t="s">
        <v>1210</v>
      </c>
      <c r="F611" s="248" t="s">
        <v>1382</v>
      </c>
      <c r="G611" s="248" t="s">
        <v>1383</v>
      </c>
      <c r="H611" s="248" t="s">
        <v>1384</v>
      </c>
      <c r="I611" s="248" t="s">
        <v>1214</v>
      </c>
      <c r="J611" s="248" t="s">
        <v>1385</v>
      </c>
      <c r="K611" s="248" t="s">
        <v>1216</v>
      </c>
      <c r="L611" s="248" t="s">
        <v>1217</v>
      </c>
    </row>
    <row r="612" spans="2:12">
      <c r="B612" s="249" t="s">
        <v>1367</v>
      </c>
      <c r="C612" s="250" t="s">
        <v>1333</v>
      </c>
      <c r="D612" s="205" t="s">
        <v>152</v>
      </c>
      <c r="E612" s="251">
        <v>510</v>
      </c>
      <c r="F612" s="252">
        <v>0.245</v>
      </c>
      <c r="G612" s="251"/>
      <c r="H612" s="251">
        <v>1.1000000000000001</v>
      </c>
      <c r="I612" s="251"/>
      <c r="J612" s="253"/>
      <c r="K612" s="254">
        <f t="shared" ref="K612:K620" si="18">IF(E612*F612*G612&lt;&gt;0,E612*F612*G612,IF(E612*F612&lt;&gt;0,E612*F612,IF(F612*G612&lt;&gt;0,F612*G612,IF(E612*G612&lt;&gt;0,E612*G612,IF(E612&lt;&gt;0,E612,IF(F612&lt;&gt;0,F612,IF(G612&lt;&gt;0,G612,0)))))))*(IF(H612&lt;&gt;0,H612,1))+I612-J612</f>
        <v>137.44500000000002</v>
      </c>
      <c r="L612" s="255"/>
    </row>
    <row r="613" spans="2:12">
      <c r="B613" s="249" t="s">
        <v>1386</v>
      </c>
      <c r="C613" s="250" t="s">
        <v>1333</v>
      </c>
      <c r="D613" s="205" t="s">
        <v>152</v>
      </c>
      <c r="E613" s="251">
        <v>363</v>
      </c>
      <c r="F613" s="252">
        <v>0.245</v>
      </c>
      <c r="G613" s="251"/>
      <c r="H613" s="251">
        <v>1.1000000000000001</v>
      </c>
      <c r="I613" s="251"/>
      <c r="J613" s="253"/>
      <c r="K613" s="254">
        <f t="shared" si="18"/>
        <v>97.828500000000005</v>
      </c>
      <c r="L613" s="255"/>
    </row>
    <row r="614" spans="2:12">
      <c r="B614" s="263" t="s">
        <v>1475</v>
      </c>
      <c r="C614" s="264" t="s">
        <v>1441</v>
      </c>
      <c r="D614" s="205" t="s">
        <v>152</v>
      </c>
      <c r="E614" s="251">
        <v>425</v>
      </c>
      <c r="F614" s="252">
        <v>0.245</v>
      </c>
      <c r="G614" s="251"/>
      <c r="H614" s="251">
        <v>1.1000000000000001</v>
      </c>
      <c r="I614" s="251"/>
      <c r="J614" s="253"/>
      <c r="K614" s="254">
        <f t="shared" si="18"/>
        <v>114.53750000000001</v>
      </c>
      <c r="L614" s="255"/>
    </row>
    <row r="615" spans="2:12">
      <c r="B615" s="263" t="s">
        <v>1476</v>
      </c>
      <c r="C615" s="264" t="s">
        <v>1441</v>
      </c>
      <c r="D615" s="205" t="s">
        <v>152</v>
      </c>
      <c r="E615" s="251">
        <v>443</v>
      </c>
      <c r="F615" s="252">
        <v>0.245</v>
      </c>
      <c r="G615" s="251"/>
      <c r="H615" s="251">
        <v>1.1000000000000001</v>
      </c>
      <c r="I615" s="251"/>
      <c r="J615" s="253"/>
      <c r="K615" s="254">
        <f t="shared" si="18"/>
        <v>119.38850000000001</v>
      </c>
      <c r="L615" s="255"/>
    </row>
    <row r="616" spans="2:12">
      <c r="B616" s="263" t="s">
        <v>1552</v>
      </c>
      <c r="C616" s="264" t="s">
        <v>1521</v>
      </c>
      <c r="D616" s="205" t="s">
        <v>152</v>
      </c>
      <c r="E616" s="251">
        <v>1139</v>
      </c>
      <c r="F616" s="252">
        <v>0.245</v>
      </c>
      <c r="G616" s="251"/>
      <c r="H616" s="251">
        <v>1.1000000000000001</v>
      </c>
      <c r="I616" s="251"/>
      <c r="J616" s="253"/>
      <c r="K616" s="254">
        <f t="shared" si="18"/>
        <v>306.96050000000002</v>
      </c>
      <c r="L616" s="266"/>
    </row>
    <row r="617" spans="2:12">
      <c r="B617" s="263" t="s">
        <v>1553</v>
      </c>
      <c r="C617" s="264" t="s">
        <v>1521</v>
      </c>
      <c r="D617" s="205" t="s">
        <v>152</v>
      </c>
      <c r="E617" s="251">
        <v>362</v>
      </c>
      <c r="F617" s="252">
        <v>0.245</v>
      </c>
      <c r="G617" s="251"/>
      <c r="H617" s="251">
        <v>1.1000000000000001</v>
      </c>
      <c r="I617" s="251"/>
      <c r="J617" s="253"/>
      <c r="K617" s="254">
        <f t="shared" si="18"/>
        <v>97.559000000000012</v>
      </c>
      <c r="L617" s="266"/>
    </row>
    <row r="618" spans="2:12">
      <c r="B618" s="263" t="s">
        <v>1642</v>
      </c>
      <c r="C618" s="264" t="s">
        <v>1611</v>
      </c>
      <c r="D618" s="205" t="s">
        <v>152</v>
      </c>
      <c r="E618" s="251">
        <v>452</v>
      </c>
      <c r="F618" s="252">
        <v>0.245</v>
      </c>
      <c r="G618" s="251"/>
      <c r="H618" s="251">
        <v>1.1000000000000001</v>
      </c>
      <c r="I618" s="251"/>
      <c r="J618" s="253"/>
      <c r="K618" s="254">
        <f t="shared" si="18"/>
        <v>121.81400000000001</v>
      </c>
      <c r="L618" s="266"/>
    </row>
    <row r="619" spans="2:12">
      <c r="B619" s="263" t="s">
        <v>1643</v>
      </c>
      <c r="C619" s="264" t="s">
        <v>1611</v>
      </c>
      <c r="D619" s="205" t="s">
        <v>152</v>
      </c>
      <c r="E619" s="251">
        <v>421</v>
      </c>
      <c r="F619" s="252">
        <v>0.245</v>
      </c>
      <c r="G619" s="251"/>
      <c r="H619" s="251">
        <v>1.1000000000000001</v>
      </c>
      <c r="I619" s="251"/>
      <c r="J619" s="253"/>
      <c r="K619" s="254">
        <f t="shared" si="18"/>
        <v>113.45950000000001</v>
      </c>
      <c r="L619" s="266"/>
    </row>
    <row r="620" spans="2:12">
      <c r="B620" s="256"/>
      <c r="C620" s="210"/>
      <c r="D620" s="210"/>
      <c r="E620" s="257"/>
      <c r="F620" s="258"/>
      <c r="G620" s="257"/>
      <c r="H620" s="257"/>
      <c r="I620" s="257"/>
      <c r="J620" s="259"/>
      <c r="K620" s="260">
        <f t="shared" si="18"/>
        <v>0</v>
      </c>
      <c r="L620" s="210"/>
    </row>
    <row r="621" spans="2:12">
      <c r="B621" s="202"/>
      <c r="C621" s="203"/>
      <c r="D621" s="203"/>
      <c r="E621" s="203"/>
      <c r="F621" s="203"/>
      <c r="G621" s="203"/>
      <c r="H621" s="204"/>
      <c r="I621" s="556" t="s">
        <v>1221</v>
      </c>
      <c r="J621" s="556"/>
      <c r="K621" s="220">
        <f>SUM(K612:K620)</f>
        <v>1108.9925000000001</v>
      </c>
      <c r="L621" s="207"/>
    </row>
    <row r="622" spans="2:12">
      <c r="B622" s="208"/>
      <c r="C622" s="204"/>
      <c r="D622" s="204"/>
      <c r="E622" s="204"/>
      <c r="F622" s="204"/>
      <c r="G622" s="204"/>
      <c r="H622" s="209"/>
      <c r="I622" s="557" t="s">
        <v>1222</v>
      </c>
      <c r="J622" s="557"/>
      <c r="K622" s="221">
        <f>VLOOKUP(B610,'BM 004'!$B$27:$R$590,4,0)</f>
        <v>3031.6</v>
      </c>
      <c r="L622" s="207"/>
    </row>
    <row r="623" spans="2:12">
      <c r="B623" s="208"/>
      <c r="C623" s="204"/>
      <c r="D623" s="204"/>
      <c r="E623" s="204"/>
      <c r="F623" s="204"/>
      <c r="G623" s="204"/>
      <c r="H623" s="558" t="s">
        <v>1223</v>
      </c>
      <c r="I623" s="558"/>
      <c r="J623" s="558"/>
      <c r="K623" s="222">
        <f>K621-K624</f>
        <v>873.72250000000008</v>
      </c>
      <c r="L623" s="207"/>
    </row>
    <row r="624" spans="2:12">
      <c r="B624" s="208"/>
      <c r="C624" s="204"/>
      <c r="D624" s="204"/>
      <c r="E624" s="204"/>
      <c r="F624" s="204"/>
      <c r="G624" s="204"/>
      <c r="H624" s="558" t="s">
        <v>1579</v>
      </c>
      <c r="I624" s="558"/>
      <c r="J624" s="558"/>
      <c r="K624" s="222">
        <f>TRUNC(SUMIF(C612:C620,H624,K612:K620),2)</f>
        <v>235.27</v>
      </c>
      <c r="L624" s="207"/>
    </row>
    <row r="625" spans="2:12">
      <c r="B625" s="213"/>
      <c r="C625" s="214"/>
      <c r="D625" s="214"/>
      <c r="E625" s="214"/>
      <c r="F625" s="214"/>
      <c r="G625" s="214"/>
      <c r="H625" s="559" t="s">
        <v>1224</v>
      </c>
      <c r="I625" s="559"/>
      <c r="J625" s="559"/>
      <c r="K625" s="223">
        <f>IF(K621&gt;K622,K621-K622,0)</f>
        <v>0</v>
      </c>
      <c r="L625" s="209"/>
    </row>
    <row r="627" spans="2:12">
      <c r="B627" s="247" t="s">
        <v>201</v>
      </c>
      <c r="C627" s="565" t="str">
        <f>VLOOKUP(B627,'BM 004'!$B$27:$R$590,2,0)</f>
        <v xml:space="preserve">Armação de pilar ou viga de uma estrutura convencional de concreto armado em um edifício de múltiplos pavimentos utilizando aço ca-50 de 8,0 mm - montagem. </v>
      </c>
      <c r="D627" s="565"/>
      <c r="E627" s="565"/>
      <c r="F627" s="565"/>
      <c r="G627" s="565"/>
      <c r="H627" s="565"/>
      <c r="I627" s="565"/>
      <c r="J627" s="565"/>
      <c r="K627" s="565"/>
      <c r="L627" s="565"/>
    </row>
    <row r="628" spans="2:12">
      <c r="B628" s="248" t="s">
        <v>1209</v>
      </c>
      <c r="C628" s="248"/>
      <c r="D628" s="248" t="s">
        <v>39</v>
      </c>
      <c r="E628" s="248" t="s">
        <v>1210</v>
      </c>
      <c r="F628" s="248" t="s">
        <v>1382</v>
      </c>
      <c r="G628" s="248" t="s">
        <v>1383</v>
      </c>
      <c r="H628" s="248" t="s">
        <v>1384</v>
      </c>
      <c r="I628" s="248" t="s">
        <v>1214</v>
      </c>
      <c r="J628" s="248" t="s">
        <v>1385</v>
      </c>
      <c r="K628" s="248" t="s">
        <v>1216</v>
      </c>
      <c r="L628" s="248" t="s">
        <v>1217</v>
      </c>
    </row>
    <row r="629" spans="2:12">
      <c r="B629" s="249" t="s">
        <v>1367</v>
      </c>
      <c r="C629" s="250" t="s">
        <v>1333</v>
      </c>
      <c r="D629" s="205" t="s">
        <v>152</v>
      </c>
      <c r="E629" s="251">
        <v>415</v>
      </c>
      <c r="F629" s="252">
        <v>0.39500000000000002</v>
      </c>
      <c r="G629" s="251"/>
      <c r="H629" s="251">
        <v>1.1000000000000001</v>
      </c>
      <c r="I629" s="251"/>
      <c r="J629" s="253"/>
      <c r="K629" s="254">
        <f t="shared" ref="K629:K638" si="19">IF(E629*F629*G629&lt;&gt;0,E629*F629*G629,IF(E629*F629&lt;&gt;0,E629*F629,IF(F629*G629&lt;&gt;0,F629*G629,IF(E629*G629&lt;&gt;0,E629*G629,IF(E629&lt;&gt;0,E629,IF(F629&lt;&gt;0,F629,IF(G629&lt;&gt;0,G629,0)))))))*(IF(H629&lt;&gt;0,H629,1))+I629-J629</f>
        <v>180.31750000000002</v>
      </c>
      <c r="L629" s="255"/>
    </row>
    <row r="630" spans="2:12">
      <c r="B630" s="249" t="s">
        <v>1386</v>
      </c>
      <c r="C630" s="250" t="s">
        <v>1333</v>
      </c>
      <c r="D630" s="205" t="s">
        <v>152</v>
      </c>
      <c r="E630" s="251">
        <v>427</v>
      </c>
      <c r="F630" s="252">
        <v>0.39500000000000002</v>
      </c>
      <c r="G630" s="251"/>
      <c r="H630" s="251">
        <v>1.1000000000000001</v>
      </c>
      <c r="I630" s="251"/>
      <c r="J630" s="253"/>
      <c r="K630" s="254">
        <f t="shared" si="19"/>
        <v>185.53150000000005</v>
      </c>
      <c r="L630" s="255"/>
    </row>
    <row r="631" spans="2:12">
      <c r="B631" s="263" t="s">
        <v>1475</v>
      </c>
      <c r="C631" s="264" t="s">
        <v>1441</v>
      </c>
      <c r="D631" s="205" t="s">
        <v>152</v>
      </c>
      <c r="E631" s="251">
        <v>851</v>
      </c>
      <c r="F631" s="252">
        <v>0.39500000000000002</v>
      </c>
      <c r="G631" s="251"/>
      <c r="H631" s="251">
        <v>1.1000000000000001</v>
      </c>
      <c r="I631" s="251"/>
      <c r="J631" s="253"/>
      <c r="K631" s="254">
        <f t="shared" si="19"/>
        <v>369.75950000000006</v>
      </c>
      <c r="L631" s="255"/>
    </row>
    <row r="632" spans="2:12">
      <c r="B632" s="263" t="s">
        <v>1476</v>
      </c>
      <c r="C632" s="264" t="s">
        <v>1441</v>
      </c>
      <c r="D632" s="205" t="s">
        <v>152</v>
      </c>
      <c r="E632" s="251">
        <v>950</v>
      </c>
      <c r="F632" s="252">
        <v>0.39500000000000002</v>
      </c>
      <c r="G632" s="251"/>
      <c r="H632" s="251">
        <v>1.1000000000000001</v>
      </c>
      <c r="I632" s="251"/>
      <c r="J632" s="253"/>
      <c r="K632" s="254">
        <f t="shared" si="19"/>
        <v>412.77500000000003</v>
      </c>
      <c r="L632" s="255"/>
    </row>
    <row r="633" spans="2:12">
      <c r="B633" s="263" t="s">
        <v>1477</v>
      </c>
      <c r="C633" s="264" t="s">
        <v>1441</v>
      </c>
      <c r="D633" s="205" t="s">
        <v>152</v>
      </c>
      <c r="E633" s="251"/>
      <c r="F633" s="252"/>
      <c r="G633" s="251"/>
      <c r="H633" s="251"/>
      <c r="I633" s="251">
        <v>146.04</v>
      </c>
      <c r="J633" s="253"/>
      <c r="K633" s="254">
        <f t="shared" si="19"/>
        <v>146.04</v>
      </c>
      <c r="L633" s="255"/>
    </row>
    <row r="634" spans="2:12">
      <c r="B634" s="263" t="s">
        <v>1552</v>
      </c>
      <c r="C634" s="264" t="s">
        <v>1521</v>
      </c>
      <c r="D634" s="205" t="s">
        <v>152</v>
      </c>
      <c r="E634" s="251">
        <v>343</v>
      </c>
      <c r="F634" s="252">
        <v>0.39500000000000002</v>
      </c>
      <c r="G634" s="251"/>
      <c r="H634" s="251">
        <v>1.1000000000000001</v>
      </c>
      <c r="I634" s="251"/>
      <c r="J634" s="253"/>
      <c r="K634" s="254">
        <f t="shared" si="19"/>
        <v>149.03350000000003</v>
      </c>
      <c r="L634" s="266"/>
    </row>
    <row r="635" spans="2:12">
      <c r="B635" s="263" t="s">
        <v>1553</v>
      </c>
      <c r="C635" s="264" t="s">
        <v>1521</v>
      </c>
      <c r="D635" s="205" t="s">
        <v>152</v>
      </c>
      <c r="E635" s="251">
        <v>313</v>
      </c>
      <c r="F635" s="252">
        <v>0.39500000000000002</v>
      </c>
      <c r="G635" s="251"/>
      <c r="H635" s="251">
        <v>1.1000000000000001</v>
      </c>
      <c r="I635" s="251"/>
      <c r="J635" s="253"/>
      <c r="K635" s="254">
        <f t="shared" si="19"/>
        <v>135.99850000000001</v>
      </c>
      <c r="L635" s="266"/>
    </row>
    <row r="636" spans="2:12">
      <c r="B636" s="263" t="s">
        <v>1642</v>
      </c>
      <c r="C636" s="264" t="s">
        <v>1611</v>
      </c>
      <c r="D636" s="205" t="s">
        <v>152</v>
      </c>
      <c r="E636" s="251">
        <v>369</v>
      </c>
      <c r="F636" s="252">
        <v>0.39500000000000002</v>
      </c>
      <c r="G636" s="251"/>
      <c r="H636" s="251">
        <v>1.1000000000000001</v>
      </c>
      <c r="I636" s="251"/>
      <c r="J636" s="253"/>
      <c r="K636" s="254">
        <f t="shared" si="19"/>
        <v>160.3305</v>
      </c>
      <c r="L636" s="266"/>
    </row>
    <row r="637" spans="2:12">
      <c r="B637" s="263" t="s">
        <v>1643</v>
      </c>
      <c r="C637" s="264" t="s">
        <v>1611</v>
      </c>
      <c r="D637" s="205" t="s">
        <v>152</v>
      </c>
      <c r="E637" s="251">
        <v>427</v>
      </c>
      <c r="F637" s="252">
        <v>0.39500000000000002</v>
      </c>
      <c r="G637" s="251"/>
      <c r="H637" s="251">
        <v>1.1000000000000001</v>
      </c>
      <c r="I637" s="251"/>
      <c r="J637" s="253"/>
      <c r="K637" s="254">
        <f t="shared" si="19"/>
        <v>185.53150000000005</v>
      </c>
      <c r="L637" s="266"/>
    </row>
    <row r="638" spans="2:12">
      <c r="B638" s="256"/>
      <c r="C638" s="210"/>
      <c r="D638" s="210"/>
      <c r="E638" s="257"/>
      <c r="F638" s="258"/>
      <c r="G638" s="257"/>
      <c r="H638" s="257"/>
      <c r="I638" s="257"/>
      <c r="J638" s="259"/>
      <c r="K638" s="260">
        <f t="shared" si="19"/>
        <v>0</v>
      </c>
      <c r="L638" s="210"/>
    </row>
    <row r="639" spans="2:12">
      <c r="B639" s="202"/>
      <c r="C639" s="203"/>
      <c r="D639" s="203"/>
      <c r="E639" s="203"/>
      <c r="F639" s="203"/>
      <c r="G639" s="203"/>
      <c r="H639" s="204"/>
      <c r="I639" s="556" t="s">
        <v>1221</v>
      </c>
      <c r="J639" s="556"/>
      <c r="K639" s="220">
        <f>SUM(K629:K638)</f>
        <v>1925.3175000000001</v>
      </c>
      <c r="L639" s="207"/>
    </row>
    <row r="640" spans="2:12">
      <c r="B640" s="208"/>
      <c r="C640" s="204"/>
      <c r="D640" s="204"/>
      <c r="E640" s="204"/>
      <c r="F640" s="204"/>
      <c r="G640" s="204"/>
      <c r="H640" s="209"/>
      <c r="I640" s="557" t="s">
        <v>1222</v>
      </c>
      <c r="J640" s="557"/>
      <c r="K640" s="221">
        <f>VLOOKUP(B627,'BM 004'!$B$27:$R$590,4,0)</f>
        <v>5608.9</v>
      </c>
      <c r="L640" s="207"/>
    </row>
    <row r="641" spans="2:12">
      <c r="B641" s="208"/>
      <c r="C641" s="204"/>
      <c r="D641" s="204"/>
      <c r="E641" s="204"/>
      <c r="F641" s="204"/>
      <c r="G641" s="204"/>
      <c r="H641" s="558" t="s">
        <v>1223</v>
      </c>
      <c r="I641" s="558"/>
      <c r="J641" s="558"/>
      <c r="K641" s="222">
        <f>K639-K642</f>
        <v>1579.4575</v>
      </c>
      <c r="L641" s="207"/>
    </row>
    <row r="642" spans="2:12">
      <c r="B642" s="208"/>
      <c r="C642" s="204"/>
      <c r="D642" s="204"/>
      <c r="E642" s="204"/>
      <c r="F642" s="204"/>
      <c r="G642" s="204"/>
      <c r="H642" s="558" t="s">
        <v>1579</v>
      </c>
      <c r="I642" s="558"/>
      <c r="J642" s="558"/>
      <c r="K642" s="222">
        <f>TRUNC(SUMIF(C629:C638,H642,K629:K638),2)</f>
        <v>345.86</v>
      </c>
      <c r="L642" s="207"/>
    </row>
    <row r="643" spans="2:12">
      <c r="B643" s="213"/>
      <c r="C643" s="214"/>
      <c r="D643" s="214"/>
      <c r="E643" s="214"/>
      <c r="F643" s="214"/>
      <c r="G643" s="214"/>
      <c r="H643" s="559" t="s">
        <v>1224</v>
      </c>
      <c r="I643" s="559"/>
      <c r="J643" s="559"/>
      <c r="K643" s="223">
        <f>IF(K639&gt;K640,K639-K640,0)</f>
        <v>0</v>
      </c>
      <c r="L643" s="209"/>
    </row>
    <row r="645" spans="2:12">
      <c r="B645" s="247" t="s">
        <v>203</v>
      </c>
      <c r="C645" s="565" t="str">
        <f>VLOOKUP(B645,'BM 004'!$B$27:$R$590,2,0)</f>
        <v xml:space="preserve">Armação de pilar ou viga de uma estrutura convencional de concreto armado em um edifício de múltiplos pavimentos utilizando aço ca-50 de 10,0 mm - montagem. </v>
      </c>
      <c r="D645" s="565"/>
      <c r="E645" s="565"/>
      <c r="F645" s="565"/>
      <c r="G645" s="565"/>
      <c r="H645" s="565"/>
      <c r="I645" s="565"/>
      <c r="J645" s="565"/>
      <c r="K645" s="565"/>
      <c r="L645" s="565"/>
    </row>
    <row r="646" spans="2:12">
      <c r="B646" s="248" t="s">
        <v>1209</v>
      </c>
      <c r="C646" s="248"/>
      <c r="D646" s="248" t="s">
        <v>39</v>
      </c>
      <c r="E646" s="248" t="s">
        <v>1210</v>
      </c>
      <c r="F646" s="248" t="s">
        <v>1382</v>
      </c>
      <c r="G646" s="248" t="s">
        <v>1383</v>
      </c>
      <c r="H646" s="248" t="s">
        <v>1384</v>
      </c>
      <c r="I646" s="248" t="s">
        <v>1214</v>
      </c>
      <c r="J646" s="248" t="s">
        <v>1385</v>
      </c>
      <c r="K646" s="248" t="s">
        <v>1216</v>
      </c>
      <c r="L646" s="248" t="s">
        <v>1217</v>
      </c>
    </row>
    <row r="647" spans="2:12">
      <c r="B647" s="249" t="s">
        <v>1367</v>
      </c>
      <c r="C647" s="250" t="s">
        <v>1333</v>
      </c>
      <c r="D647" s="205" t="s">
        <v>152</v>
      </c>
      <c r="E647" s="251">
        <v>89</v>
      </c>
      <c r="F647" s="252">
        <v>0.61699999999999999</v>
      </c>
      <c r="G647" s="251"/>
      <c r="H647" s="251">
        <v>1.1000000000000001</v>
      </c>
      <c r="I647" s="251"/>
      <c r="J647" s="253"/>
      <c r="K647" s="254">
        <f t="shared" ref="K647:K655" si="20">IF(E647*F647*G647&lt;&gt;0,E647*F647*G647,IF(E647*F647&lt;&gt;0,E647*F647,IF(F647*G647&lt;&gt;0,F647*G647,IF(E647*G647&lt;&gt;0,E647*G647,IF(E647&lt;&gt;0,E647,IF(F647&lt;&gt;0,F647,IF(G647&lt;&gt;0,G647,0)))))))*(IF(H647&lt;&gt;0,H647,1))+I647-J647</f>
        <v>60.404299999999999</v>
      </c>
      <c r="L647" s="255"/>
    </row>
    <row r="648" spans="2:12">
      <c r="B648" s="249" t="s">
        <v>1386</v>
      </c>
      <c r="C648" s="250" t="s">
        <v>1333</v>
      </c>
      <c r="D648" s="205" t="s">
        <v>152</v>
      </c>
      <c r="E648" s="251">
        <v>92</v>
      </c>
      <c r="F648" s="252">
        <v>0.61699999999999999</v>
      </c>
      <c r="G648" s="251"/>
      <c r="H648" s="251">
        <v>1.1000000000000001</v>
      </c>
      <c r="I648" s="251"/>
      <c r="J648" s="253"/>
      <c r="K648" s="254">
        <f t="shared" si="20"/>
        <v>62.440400000000004</v>
      </c>
      <c r="L648" s="255"/>
    </row>
    <row r="649" spans="2:12">
      <c r="B649" s="263" t="s">
        <v>1475</v>
      </c>
      <c r="C649" s="264" t="s">
        <v>1441</v>
      </c>
      <c r="D649" s="205" t="s">
        <v>152</v>
      </c>
      <c r="E649" s="251">
        <v>238</v>
      </c>
      <c r="F649" s="252">
        <v>0.61699999999999999</v>
      </c>
      <c r="G649" s="251"/>
      <c r="H649" s="251">
        <v>1.1000000000000001</v>
      </c>
      <c r="I649" s="251"/>
      <c r="J649" s="253"/>
      <c r="K649" s="254">
        <f t="shared" si="20"/>
        <v>161.53060000000002</v>
      </c>
      <c r="L649" s="255"/>
    </row>
    <row r="650" spans="2:12">
      <c r="B650" s="263" t="s">
        <v>1476</v>
      </c>
      <c r="C650" s="264" t="s">
        <v>1441</v>
      </c>
      <c r="D650" s="205" t="s">
        <v>152</v>
      </c>
      <c r="E650" s="251">
        <v>167</v>
      </c>
      <c r="F650" s="252">
        <v>0.61699999999999999</v>
      </c>
      <c r="G650" s="251"/>
      <c r="H650" s="251">
        <v>1.1000000000000001</v>
      </c>
      <c r="I650" s="251"/>
      <c r="J650" s="253"/>
      <c r="K650" s="254">
        <f t="shared" si="20"/>
        <v>113.34290000000001</v>
      </c>
      <c r="L650" s="255"/>
    </row>
    <row r="651" spans="2:12">
      <c r="B651" s="263" t="s">
        <v>1552</v>
      </c>
      <c r="C651" s="264" t="s">
        <v>1521</v>
      </c>
      <c r="D651" s="205" t="s">
        <v>152</v>
      </c>
      <c r="E651" s="251">
        <v>538</v>
      </c>
      <c r="F651" s="252">
        <v>0.61699999999999999</v>
      </c>
      <c r="G651" s="251"/>
      <c r="H651" s="251">
        <v>1.1000000000000001</v>
      </c>
      <c r="I651" s="251"/>
      <c r="J651" s="253"/>
      <c r="K651" s="254">
        <f t="shared" si="20"/>
        <v>365.14060000000001</v>
      </c>
      <c r="L651" s="266"/>
    </row>
    <row r="652" spans="2:12">
      <c r="B652" s="263" t="s">
        <v>1553</v>
      </c>
      <c r="C652" s="264" t="s">
        <v>1521</v>
      </c>
      <c r="D652" s="205" t="s">
        <v>152</v>
      </c>
      <c r="E652" s="251">
        <v>109</v>
      </c>
      <c r="F652" s="252">
        <v>0.61699999999999999</v>
      </c>
      <c r="G652" s="251"/>
      <c r="H652" s="251">
        <v>1.1000000000000001</v>
      </c>
      <c r="I652" s="251"/>
      <c r="J652" s="253"/>
      <c r="K652" s="254">
        <f t="shared" si="20"/>
        <v>73.978300000000004</v>
      </c>
      <c r="L652" s="266"/>
    </row>
    <row r="653" spans="2:12">
      <c r="B653" s="263" t="s">
        <v>1642</v>
      </c>
      <c r="C653" s="264" t="s">
        <v>1611</v>
      </c>
      <c r="D653" s="205" t="s">
        <v>152</v>
      </c>
      <c r="E653" s="251">
        <v>199</v>
      </c>
      <c r="F653" s="252">
        <v>0.61699999999999999</v>
      </c>
      <c r="G653" s="251"/>
      <c r="H653" s="251">
        <v>1.1000000000000001</v>
      </c>
      <c r="I653" s="251"/>
      <c r="J653" s="253"/>
      <c r="K653" s="254">
        <f t="shared" si="20"/>
        <v>135.06130000000002</v>
      </c>
      <c r="L653" s="266"/>
    </row>
    <row r="654" spans="2:12">
      <c r="B654" s="263" t="s">
        <v>1643</v>
      </c>
      <c r="C654" s="264" t="s">
        <v>1611</v>
      </c>
      <c r="D654" s="205" t="s">
        <v>152</v>
      </c>
      <c r="E654" s="251">
        <v>150</v>
      </c>
      <c r="F654" s="252">
        <v>0.61699999999999999</v>
      </c>
      <c r="G654" s="251"/>
      <c r="H654" s="251">
        <v>1.1000000000000001</v>
      </c>
      <c r="I654" s="251"/>
      <c r="J654" s="253"/>
      <c r="K654" s="254">
        <f t="shared" si="20"/>
        <v>101.80500000000001</v>
      </c>
      <c r="L654" s="266"/>
    </row>
    <row r="655" spans="2:12">
      <c r="B655" s="256"/>
      <c r="C655" s="210"/>
      <c r="D655" s="210"/>
      <c r="E655" s="257"/>
      <c r="F655" s="258"/>
      <c r="G655" s="257"/>
      <c r="H655" s="257"/>
      <c r="I655" s="257"/>
      <c r="J655" s="259"/>
      <c r="K655" s="260">
        <f t="shared" si="20"/>
        <v>0</v>
      </c>
      <c r="L655" s="210"/>
    </row>
    <row r="656" spans="2:12">
      <c r="B656" s="202"/>
      <c r="C656" s="203"/>
      <c r="D656" s="203"/>
      <c r="E656" s="203"/>
      <c r="F656" s="203"/>
      <c r="G656" s="203"/>
      <c r="H656" s="204"/>
      <c r="I656" s="556" t="s">
        <v>1221</v>
      </c>
      <c r="J656" s="556"/>
      <c r="K656" s="220">
        <f>SUM(K647:K655)</f>
        <v>1073.7034000000001</v>
      </c>
      <c r="L656" s="207"/>
    </row>
    <row r="657" spans="2:12">
      <c r="B657" s="208"/>
      <c r="C657" s="204"/>
      <c r="D657" s="204"/>
      <c r="E657" s="204"/>
      <c r="F657" s="204"/>
      <c r="G657" s="204"/>
      <c r="H657" s="209"/>
      <c r="I657" s="557" t="s">
        <v>1222</v>
      </c>
      <c r="J657" s="557"/>
      <c r="K657" s="221">
        <f>VLOOKUP(B645,'BM 004'!$B$27:$R$590,4,0)</f>
        <v>4215.2</v>
      </c>
      <c r="L657" s="207"/>
    </row>
    <row r="658" spans="2:12">
      <c r="B658" s="208"/>
      <c r="C658" s="204"/>
      <c r="D658" s="204"/>
      <c r="E658" s="204"/>
      <c r="F658" s="204"/>
      <c r="G658" s="204"/>
      <c r="H658" s="558" t="s">
        <v>1223</v>
      </c>
      <c r="I658" s="558"/>
      <c r="J658" s="558"/>
      <c r="K658" s="222">
        <f>K656-K659</f>
        <v>836.84340000000009</v>
      </c>
      <c r="L658" s="207"/>
    </row>
    <row r="659" spans="2:12">
      <c r="B659" s="208"/>
      <c r="C659" s="204"/>
      <c r="D659" s="204"/>
      <c r="E659" s="204"/>
      <c r="F659" s="204"/>
      <c r="G659" s="204"/>
      <c r="H659" s="558" t="s">
        <v>1579</v>
      </c>
      <c r="I659" s="558"/>
      <c r="J659" s="558"/>
      <c r="K659" s="222">
        <f>TRUNC(SUMIF(C647:C655,H659,K647:K655),2)</f>
        <v>236.86</v>
      </c>
      <c r="L659" s="207"/>
    </row>
    <row r="660" spans="2:12">
      <c r="B660" s="213"/>
      <c r="C660" s="214"/>
      <c r="D660" s="214"/>
      <c r="E660" s="214"/>
      <c r="F660" s="214"/>
      <c r="G660" s="214"/>
      <c r="H660" s="559" t="s">
        <v>1224</v>
      </c>
      <c r="I660" s="559"/>
      <c r="J660" s="559"/>
      <c r="K660" s="223">
        <f>IF(K656&gt;K657,K656-K657,0)</f>
        <v>0</v>
      </c>
      <c r="L660" s="209"/>
    </row>
    <row r="662" spans="2:12">
      <c r="B662" s="247" t="s">
        <v>205</v>
      </c>
      <c r="C662" s="565" t="str">
        <f>VLOOKUP(B662,'BM 004'!$B$27:$R$590,2,0)</f>
        <v xml:space="preserve">Armação de pilar ou viga de uma estrutura convencional de concreto armado em um edifício de múltiplos pavimentos utilizando aço ca-50 de 12,5 mm - montagem. </v>
      </c>
      <c r="D662" s="565"/>
      <c r="E662" s="565"/>
      <c r="F662" s="565"/>
      <c r="G662" s="565"/>
      <c r="H662" s="565"/>
      <c r="I662" s="565"/>
      <c r="J662" s="565"/>
      <c r="K662" s="565"/>
      <c r="L662" s="565"/>
    </row>
    <row r="663" spans="2:12">
      <c r="B663" s="248" t="s">
        <v>1209</v>
      </c>
      <c r="C663" s="248"/>
      <c r="D663" s="248" t="s">
        <v>39</v>
      </c>
      <c r="E663" s="248" t="s">
        <v>1210</v>
      </c>
      <c r="F663" s="248" t="s">
        <v>1382</v>
      </c>
      <c r="G663" s="248" t="s">
        <v>1383</v>
      </c>
      <c r="H663" s="248" t="s">
        <v>1384</v>
      </c>
      <c r="I663" s="248" t="s">
        <v>1214</v>
      </c>
      <c r="J663" s="248" t="s">
        <v>1385</v>
      </c>
      <c r="K663" s="248" t="s">
        <v>1216</v>
      </c>
      <c r="L663" s="248" t="s">
        <v>1217</v>
      </c>
    </row>
    <row r="664" spans="2:12">
      <c r="B664" s="249" t="s">
        <v>1367</v>
      </c>
      <c r="C664" s="250" t="s">
        <v>1333</v>
      </c>
      <c r="D664" s="205" t="s">
        <v>152</v>
      </c>
      <c r="E664" s="251">
        <v>89</v>
      </c>
      <c r="F664" s="252">
        <v>0.96299999999999997</v>
      </c>
      <c r="G664" s="251"/>
      <c r="H664" s="251">
        <v>1.1000000000000001</v>
      </c>
      <c r="I664" s="251"/>
      <c r="J664" s="253"/>
      <c r="K664" s="254">
        <f t="shared" ref="K664:K673" si="21">IF(E664*F664*G664&lt;&gt;0,E664*F664*G664,IF(E664*F664&lt;&gt;0,E664*F664,IF(F664*G664&lt;&gt;0,F664*G664,IF(E664*G664&lt;&gt;0,E664*G664,IF(E664&lt;&gt;0,E664,IF(F664&lt;&gt;0,F664,IF(G664&lt;&gt;0,G664,0)))))))*(IF(H664&lt;&gt;0,H664,1))+I664-J664</f>
        <v>94.277699999999996</v>
      </c>
      <c r="L664" s="255"/>
    </row>
    <row r="665" spans="2:12">
      <c r="B665" s="249" t="s">
        <v>1386</v>
      </c>
      <c r="C665" s="250" t="s">
        <v>1333</v>
      </c>
      <c r="D665" s="205" t="s">
        <v>152</v>
      </c>
      <c r="E665" s="251">
        <v>72</v>
      </c>
      <c r="F665" s="252">
        <v>0.96299999999999997</v>
      </c>
      <c r="G665" s="251"/>
      <c r="H665" s="251">
        <v>1.1000000000000001</v>
      </c>
      <c r="I665" s="251"/>
      <c r="J665" s="253"/>
      <c r="K665" s="254">
        <f t="shared" si="21"/>
        <v>76.269600000000011</v>
      </c>
      <c r="L665" s="255"/>
    </row>
    <row r="666" spans="2:12">
      <c r="B666" s="263" t="s">
        <v>1475</v>
      </c>
      <c r="C666" s="264" t="s">
        <v>1441</v>
      </c>
      <c r="D666" s="205" t="s">
        <v>152</v>
      </c>
      <c r="E666" s="251">
        <v>140</v>
      </c>
      <c r="F666" s="252">
        <v>0.96299999999999997</v>
      </c>
      <c r="G666" s="251"/>
      <c r="H666" s="251">
        <v>1.1000000000000001</v>
      </c>
      <c r="I666" s="251"/>
      <c r="J666" s="253"/>
      <c r="K666" s="254">
        <f t="shared" si="21"/>
        <v>148.30199999999999</v>
      </c>
      <c r="L666" s="255"/>
    </row>
    <row r="667" spans="2:12">
      <c r="B667" s="263" t="s">
        <v>1476</v>
      </c>
      <c r="C667" s="264" t="s">
        <v>1441</v>
      </c>
      <c r="D667" s="205" t="s">
        <v>152</v>
      </c>
      <c r="E667" s="251">
        <v>119</v>
      </c>
      <c r="F667" s="252">
        <v>0.96299999999999997</v>
      </c>
      <c r="G667" s="251"/>
      <c r="H667" s="251">
        <v>1.1000000000000001</v>
      </c>
      <c r="I667" s="251"/>
      <c r="J667" s="253"/>
      <c r="K667" s="254">
        <f t="shared" si="21"/>
        <v>126.05670000000001</v>
      </c>
      <c r="L667" s="255"/>
    </row>
    <row r="668" spans="2:12">
      <c r="B668" s="256" t="s">
        <v>1478</v>
      </c>
      <c r="C668" s="210" t="s">
        <v>1441</v>
      </c>
      <c r="D668" s="210" t="s">
        <v>152</v>
      </c>
      <c r="E668" s="258"/>
      <c r="F668" s="258"/>
      <c r="G668" s="257"/>
      <c r="H668" s="257"/>
      <c r="I668" s="257">
        <v>1361.5128999999999</v>
      </c>
      <c r="J668" s="259"/>
      <c r="K668" s="260">
        <f t="shared" si="21"/>
        <v>1361.5128999999999</v>
      </c>
      <c r="L668" s="210"/>
    </row>
    <row r="669" spans="2:12">
      <c r="B669" s="256" t="s">
        <v>1479</v>
      </c>
      <c r="C669" s="210" t="s">
        <v>1441</v>
      </c>
      <c r="D669" s="210" t="s">
        <v>152</v>
      </c>
      <c r="E669" s="258"/>
      <c r="F669" s="258"/>
      <c r="G669" s="257"/>
      <c r="H669" s="257"/>
      <c r="I669" s="257">
        <v>126.92</v>
      </c>
      <c r="J669" s="259"/>
      <c r="K669" s="260">
        <f t="shared" si="21"/>
        <v>126.92</v>
      </c>
      <c r="L669" s="210"/>
    </row>
    <row r="670" spans="2:12">
      <c r="B670" s="263" t="s">
        <v>1552</v>
      </c>
      <c r="C670" s="264" t="s">
        <v>1521</v>
      </c>
      <c r="D670" s="205" t="s">
        <v>152</v>
      </c>
      <c r="E670" s="251">
        <v>144</v>
      </c>
      <c r="F670" s="252">
        <v>0.96299999999999997</v>
      </c>
      <c r="G670" s="251"/>
      <c r="H670" s="251">
        <v>1.1000000000000001</v>
      </c>
      <c r="I670" s="251"/>
      <c r="J670" s="253"/>
      <c r="K670" s="254">
        <f t="shared" si="21"/>
        <v>152.53920000000002</v>
      </c>
      <c r="L670" s="266"/>
    </row>
    <row r="671" spans="2:12">
      <c r="B671" s="263" t="s">
        <v>1553</v>
      </c>
      <c r="C671" s="264" t="s">
        <v>1521</v>
      </c>
      <c r="D671" s="205" t="s">
        <v>152</v>
      </c>
      <c r="E671" s="251">
        <v>34</v>
      </c>
      <c r="F671" s="252">
        <v>0.96299999999999997</v>
      </c>
      <c r="G671" s="251"/>
      <c r="H671" s="251">
        <v>1.1000000000000001</v>
      </c>
      <c r="I671" s="251"/>
      <c r="J671" s="253"/>
      <c r="K671" s="254">
        <f t="shared" si="21"/>
        <v>36.016199999999998</v>
      </c>
      <c r="L671" s="266"/>
    </row>
    <row r="672" spans="2:12">
      <c r="B672" s="263" t="s">
        <v>1642</v>
      </c>
      <c r="C672" s="264" t="s">
        <v>1611</v>
      </c>
      <c r="D672" s="205" t="s">
        <v>152</v>
      </c>
      <c r="E672" s="251">
        <v>187</v>
      </c>
      <c r="F672" s="252">
        <v>0.96299999999999997</v>
      </c>
      <c r="G672" s="251"/>
      <c r="H672" s="251">
        <v>1.1000000000000001</v>
      </c>
      <c r="I672" s="251"/>
      <c r="J672" s="253"/>
      <c r="K672" s="254">
        <f t="shared" si="21"/>
        <v>198.0891</v>
      </c>
      <c r="L672" s="266"/>
    </row>
    <row r="673" spans="2:12">
      <c r="B673" s="263" t="s">
        <v>1643</v>
      </c>
      <c r="C673" s="264" t="s">
        <v>1611</v>
      </c>
      <c r="D673" s="205" t="s">
        <v>152</v>
      </c>
      <c r="E673" s="251">
        <v>105</v>
      </c>
      <c r="F673" s="252">
        <v>0.96299999999999997</v>
      </c>
      <c r="G673" s="251"/>
      <c r="H673" s="251">
        <v>1.1000000000000001</v>
      </c>
      <c r="I673" s="251"/>
      <c r="J673" s="253"/>
      <c r="K673" s="254">
        <f t="shared" si="21"/>
        <v>111.2265</v>
      </c>
      <c r="L673" s="266"/>
    </row>
    <row r="674" spans="2:12">
      <c r="B674" s="263"/>
      <c r="C674" s="264"/>
      <c r="D674" s="210"/>
      <c r="E674" s="257"/>
      <c r="F674" s="258"/>
      <c r="G674" s="257"/>
      <c r="H674" s="257"/>
      <c r="I674" s="257"/>
      <c r="J674" s="259"/>
      <c r="K674" s="265"/>
      <c r="L674" s="266"/>
    </row>
    <row r="675" spans="2:12">
      <c r="B675" s="202"/>
      <c r="C675" s="203"/>
      <c r="D675" s="203"/>
      <c r="E675" s="203"/>
      <c r="F675" s="203"/>
      <c r="G675" s="203"/>
      <c r="H675" s="204"/>
      <c r="I675" s="556" t="s">
        <v>1221</v>
      </c>
      <c r="J675" s="556"/>
      <c r="K675" s="220">
        <f>SUM(K664:K674)</f>
        <v>2431.2099000000003</v>
      </c>
      <c r="L675" s="207"/>
    </row>
    <row r="676" spans="2:12">
      <c r="B676" s="208"/>
      <c r="C676" s="204"/>
      <c r="D676" s="204"/>
      <c r="E676" s="204"/>
      <c r="F676" s="204"/>
      <c r="G676" s="204"/>
      <c r="H676" s="209"/>
      <c r="I676" s="557" t="s">
        <v>1222</v>
      </c>
      <c r="J676" s="557"/>
      <c r="K676" s="221">
        <f>VLOOKUP(B662,'BM 004'!$B$27:$R$590,4,0)</f>
        <v>3267</v>
      </c>
      <c r="L676" s="207"/>
    </row>
    <row r="677" spans="2:12">
      <c r="B677" s="208"/>
      <c r="C677" s="204"/>
      <c r="D677" s="204"/>
      <c r="E677" s="204"/>
      <c r="F677" s="204"/>
      <c r="G677" s="204"/>
      <c r="H677" s="558" t="s">
        <v>1223</v>
      </c>
      <c r="I677" s="558"/>
      <c r="J677" s="558"/>
      <c r="K677" s="222">
        <f>K675-K678</f>
        <v>2121.8999000000003</v>
      </c>
      <c r="L677" s="207"/>
    </row>
    <row r="678" spans="2:12">
      <c r="B678" s="208"/>
      <c r="C678" s="204"/>
      <c r="D678" s="204"/>
      <c r="E678" s="204"/>
      <c r="F678" s="204"/>
      <c r="G678" s="204"/>
      <c r="H678" s="558" t="s">
        <v>1579</v>
      </c>
      <c r="I678" s="558"/>
      <c r="J678" s="558"/>
      <c r="K678" s="222">
        <f>TRUNC(SUMIF(C664:C674,H678,K664:K674),2)</f>
        <v>309.31</v>
      </c>
      <c r="L678" s="207"/>
    </row>
    <row r="679" spans="2:12">
      <c r="B679" s="213"/>
      <c r="C679" s="214"/>
      <c r="D679" s="214"/>
      <c r="E679" s="214"/>
      <c r="F679" s="214"/>
      <c r="G679" s="214"/>
      <c r="H679" s="559" t="s">
        <v>1224</v>
      </c>
      <c r="I679" s="559"/>
      <c r="J679" s="559"/>
      <c r="K679" s="223">
        <f>IF(K675&gt;K676,K675-K676,0)</f>
        <v>0</v>
      </c>
      <c r="L679" s="209"/>
    </row>
    <row r="681" spans="2:12">
      <c r="B681" s="247" t="s">
        <v>207</v>
      </c>
      <c r="C681" s="565" t="str">
        <f>VLOOKUP(B681,'BM 004'!$B$27:$R$590,2,0)</f>
        <v xml:space="preserve">Armação de pilar ou viga de uma estrutura convencional de concreto armado em um edifício de múltiplos pavimentos utilizando aço ca-50 de 16,0 mm - montagem. </v>
      </c>
      <c r="D681" s="565"/>
      <c r="E681" s="565"/>
      <c r="F681" s="565"/>
      <c r="G681" s="565"/>
      <c r="H681" s="565"/>
      <c r="I681" s="565"/>
      <c r="J681" s="565"/>
      <c r="K681" s="565"/>
      <c r="L681" s="565"/>
    </row>
    <row r="682" spans="2:12">
      <c r="B682" s="248" t="s">
        <v>1209</v>
      </c>
      <c r="C682" s="248"/>
      <c r="D682" s="248" t="s">
        <v>39</v>
      </c>
      <c r="E682" s="248" t="s">
        <v>1210</v>
      </c>
      <c r="F682" s="248" t="s">
        <v>1382</v>
      </c>
      <c r="G682" s="248" t="s">
        <v>1383</v>
      </c>
      <c r="H682" s="248" t="s">
        <v>1384</v>
      </c>
      <c r="I682" s="248" t="s">
        <v>1214</v>
      </c>
      <c r="J682" s="248" t="s">
        <v>1385</v>
      </c>
      <c r="K682" s="248" t="s">
        <v>1216</v>
      </c>
      <c r="L682" s="248" t="s">
        <v>1217</v>
      </c>
    </row>
    <row r="683" spans="2:12">
      <c r="B683" s="249" t="s">
        <v>1367</v>
      </c>
      <c r="C683" s="250" t="s">
        <v>1333</v>
      </c>
      <c r="D683" s="205" t="s">
        <v>152</v>
      </c>
      <c r="E683" s="251">
        <v>221</v>
      </c>
      <c r="F683" s="252">
        <v>1.5780000000000001</v>
      </c>
      <c r="G683" s="251"/>
      <c r="H683" s="251">
        <v>1.1000000000000001</v>
      </c>
      <c r="I683" s="251"/>
      <c r="J683" s="253"/>
      <c r="K683" s="254">
        <f t="shared" ref="K683:K691" si="22">IF(E683*F683*G683&lt;&gt;0,E683*F683*G683,IF(E683*F683&lt;&gt;0,E683*F683,IF(F683*G683&lt;&gt;0,F683*G683,IF(E683*G683&lt;&gt;0,E683*G683,IF(E683&lt;&gt;0,E683,IF(F683&lt;&gt;0,F683,IF(G683&lt;&gt;0,G683,0)))))))*(IF(H683&lt;&gt;0,H683,1))+I683-J683</f>
        <v>383.61180000000002</v>
      </c>
      <c r="L683" s="255"/>
    </row>
    <row r="684" spans="2:12">
      <c r="B684" s="249" t="s">
        <v>1386</v>
      </c>
      <c r="C684" s="250" t="s">
        <v>1333</v>
      </c>
      <c r="D684" s="205" t="s">
        <v>152</v>
      </c>
      <c r="E684" s="251">
        <v>236</v>
      </c>
      <c r="F684" s="252">
        <v>1.5780000000000001</v>
      </c>
      <c r="G684" s="251"/>
      <c r="H684" s="251">
        <v>1.1000000000000001</v>
      </c>
      <c r="I684" s="251"/>
      <c r="J684" s="253"/>
      <c r="K684" s="254">
        <f t="shared" si="22"/>
        <v>409.64880000000005</v>
      </c>
      <c r="L684" s="255"/>
    </row>
    <row r="685" spans="2:12">
      <c r="B685" s="263" t="s">
        <v>1475</v>
      </c>
      <c r="C685" s="264" t="s">
        <v>1441</v>
      </c>
      <c r="D685" s="205" t="s">
        <v>152</v>
      </c>
      <c r="E685" s="251">
        <v>201</v>
      </c>
      <c r="F685" s="252">
        <v>1.5780000000000001</v>
      </c>
      <c r="G685" s="251"/>
      <c r="H685" s="251">
        <v>1.1000000000000001</v>
      </c>
      <c r="I685" s="251"/>
      <c r="J685" s="253"/>
      <c r="K685" s="254">
        <f t="shared" si="22"/>
        <v>348.89580000000001</v>
      </c>
      <c r="L685" s="255"/>
    </row>
    <row r="686" spans="2:12">
      <c r="B686" s="263" t="s">
        <v>1476</v>
      </c>
      <c r="C686" s="264" t="s">
        <v>1441</v>
      </c>
      <c r="D686" s="205" t="s">
        <v>152</v>
      </c>
      <c r="E686" s="251">
        <v>215</v>
      </c>
      <c r="F686" s="252">
        <v>1.5780000000000001</v>
      </c>
      <c r="G686" s="251"/>
      <c r="H686" s="251">
        <v>1.1000000000000001</v>
      </c>
      <c r="I686" s="251"/>
      <c r="J686" s="253"/>
      <c r="K686" s="254">
        <f t="shared" si="22"/>
        <v>373.19700000000006</v>
      </c>
      <c r="L686" s="255"/>
    </row>
    <row r="687" spans="2:12">
      <c r="B687" s="263" t="s">
        <v>1552</v>
      </c>
      <c r="C687" s="264" t="s">
        <v>1521</v>
      </c>
      <c r="D687" s="205" t="s">
        <v>152</v>
      </c>
      <c r="E687" s="251">
        <v>67</v>
      </c>
      <c r="F687" s="252">
        <v>1.5780000000000001</v>
      </c>
      <c r="G687" s="251"/>
      <c r="H687" s="251">
        <v>1.1000000000000001</v>
      </c>
      <c r="I687" s="251"/>
      <c r="J687" s="253"/>
      <c r="K687" s="254">
        <f t="shared" si="22"/>
        <v>116.29860000000001</v>
      </c>
      <c r="L687" s="266"/>
    </row>
    <row r="688" spans="2:12">
      <c r="B688" s="263" t="s">
        <v>1553</v>
      </c>
      <c r="C688" s="264" t="s">
        <v>1521</v>
      </c>
      <c r="D688" s="205" t="s">
        <v>152</v>
      </c>
      <c r="E688" s="251">
        <v>188</v>
      </c>
      <c r="F688" s="252">
        <v>1.5780000000000001</v>
      </c>
      <c r="G688" s="251"/>
      <c r="H688" s="251">
        <v>1.1000000000000001</v>
      </c>
      <c r="I688" s="251"/>
      <c r="J688" s="253"/>
      <c r="K688" s="254">
        <f t="shared" si="22"/>
        <v>326.3304</v>
      </c>
      <c r="L688" s="266"/>
    </row>
    <row r="689" spans="2:12">
      <c r="B689" s="263" t="s">
        <v>1642</v>
      </c>
      <c r="C689" s="264" t="s">
        <v>1611</v>
      </c>
      <c r="D689" s="205" t="s">
        <v>152</v>
      </c>
      <c r="E689" s="251">
        <v>161</v>
      </c>
      <c r="F689" s="252">
        <v>1.5780000000000001</v>
      </c>
      <c r="G689" s="251"/>
      <c r="H689" s="251">
        <v>1.1000000000000001</v>
      </c>
      <c r="I689" s="251"/>
      <c r="J689" s="253"/>
      <c r="K689" s="254">
        <f t="shared" si="22"/>
        <v>279.46380000000005</v>
      </c>
      <c r="L689" s="266"/>
    </row>
    <row r="690" spans="2:12">
      <c r="B690" s="263" t="s">
        <v>1643</v>
      </c>
      <c r="C690" s="264" t="s">
        <v>1611</v>
      </c>
      <c r="D690" s="205" t="s">
        <v>152</v>
      </c>
      <c r="E690" s="251">
        <v>205</v>
      </c>
      <c r="F690" s="252">
        <v>1.5780000000000001</v>
      </c>
      <c r="G690" s="251"/>
      <c r="H690" s="251">
        <v>1.1000000000000001</v>
      </c>
      <c r="I690" s="251"/>
      <c r="J690" s="253"/>
      <c r="K690" s="254">
        <f t="shared" si="22"/>
        <v>355.83900000000006</v>
      </c>
      <c r="L690" s="266"/>
    </row>
    <row r="691" spans="2:12">
      <c r="B691" s="256"/>
      <c r="C691" s="210"/>
      <c r="D691" s="210"/>
      <c r="E691" s="257"/>
      <c r="F691" s="258"/>
      <c r="G691" s="257"/>
      <c r="H691" s="257"/>
      <c r="I691" s="257"/>
      <c r="J691" s="259"/>
      <c r="K691" s="260">
        <f t="shared" si="22"/>
        <v>0</v>
      </c>
      <c r="L691" s="210"/>
    </row>
    <row r="692" spans="2:12">
      <c r="B692" s="202"/>
      <c r="C692" s="203"/>
      <c r="D692" s="203"/>
      <c r="E692" s="203"/>
      <c r="F692" s="203"/>
      <c r="G692" s="203"/>
      <c r="H692" s="204"/>
      <c r="I692" s="556" t="s">
        <v>1221</v>
      </c>
      <c r="J692" s="556"/>
      <c r="K692" s="220">
        <f>SUM(K683:K691)</f>
        <v>2593.2852000000003</v>
      </c>
      <c r="L692" s="207"/>
    </row>
    <row r="693" spans="2:12">
      <c r="B693" s="208"/>
      <c r="C693" s="204"/>
      <c r="D693" s="204"/>
      <c r="E693" s="204"/>
      <c r="F693" s="204"/>
      <c r="G693" s="204"/>
      <c r="H693" s="209"/>
      <c r="I693" s="557" t="s">
        <v>1222</v>
      </c>
      <c r="J693" s="557"/>
      <c r="K693" s="221">
        <f>VLOOKUP(B681,'BM 004'!$B$27:$R$590,4,0)</f>
        <v>8421.6</v>
      </c>
      <c r="L693" s="207"/>
    </row>
    <row r="694" spans="2:12">
      <c r="B694" s="208"/>
      <c r="C694" s="204"/>
      <c r="D694" s="204"/>
      <c r="E694" s="204"/>
      <c r="F694" s="204"/>
      <c r="G694" s="204"/>
      <c r="H694" s="558" t="s">
        <v>1223</v>
      </c>
      <c r="I694" s="558"/>
      <c r="J694" s="558"/>
      <c r="K694" s="222">
        <f>K692-K695</f>
        <v>1957.9852000000003</v>
      </c>
      <c r="L694" s="207"/>
    </row>
    <row r="695" spans="2:12">
      <c r="B695" s="208"/>
      <c r="C695" s="204"/>
      <c r="D695" s="204"/>
      <c r="E695" s="204"/>
      <c r="F695" s="204"/>
      <c r="G695" s="204"/>
      <c r="H695" s="558" t="s">
        <v>1579</v>
      </c>
      <c r="I695" s="558"/>
      <c r="J695" s="558"/>
      <c r="K695" s="222">
        <f>TRUNC(SUMIF(C683:C691,H695,K683:K691),2)</f>
        <v>635.29999999999995</v>
      </c>
      <c r="L695" s="207"/>
    </row>
    <row r="696" spans="2:12">
      <c r="B696" s="213"/>
      <c r="C696" s="214"/>
      <c r="D696" s="214"/>
      <c r="E696" s="214"/>
      <c r="F696" s="214"/>
      <c r="G696" s="214"/>
      <c r="H696" s="559" t="s">
        <v>1224</v>
      </c>
      <c r="I696" s="559"/>
      <c r="J696" s="559"/>
      <c r="K696" s="223">
        <f>IF(K692&gt;K693,K692-K693,0)</f>
        <v>0</v>
      </c>
      <c r="L696" s="209"/>
    </row>
    <row r="698" spans="2:12">
      <c r="B698" s="247" t="s">
        <v>209</v>
      </c>
      <c r="C698" s="565" t="str">
        <f>VLOOKUP(B698,'BM 004'!$B$27:$R$590,2,0)</f>
        <v xml:space="preserve">Armação de pilar ou viga de uma estrutura convencional de concreto armado em um edifício de múltiplos pavimentos utilizando aço ca-50 de 20,0 mm - montagem. </v>
      </c>
      <c r="D698" s="565"/>
      <c r="E698" s="565"/>
      <c r="F698" s="565"/>
      <c r="G698" s="565"/>
      <c r="H698" s="565"/>
      <c r="I698" s="565"/>
      <c r="J698" s="565"/>
      <c r="K698" s="565"/>
      <c r="L698" s="565"/>
    </row>
    <row r="699" spans="2:12">
      <c r="B699" s="248" t="s">
        <v>1209</v>
      </c>
      <c r="C699" s="248"/>
      <c r="D699" s="248" t="s">
        <v>39</v>
      </c>
      <c r="E699" s="248" t="s">
        <v>1210</v>
      </c>
      <c r="F699" s="248" t="s">
        <v>1382</v>
      </c>
      <c r="G699" s="248" t="s">
        <v>1383</v>
      </c>
      <c r="H699" s="248" t="s">
        <v>1384</v>
      </c>
      <c r="I699" s="248" t="s">
        <v>1214</v>
      </c>
      <c r="J699" s="248" t="s">
        <v>1385</v>
      </c>
      <c r="K699" s="248" t="s">
        <v>1216</v>
      </c>
      <c r="L699" s="248" t="s">
        <v>1217</v>
      </c>
    </row>
    <row r="700" spans="2:12">
      <c r="B700" s="249" t="s">
        <v>1367</v>
      </c>
      <c r="C700" s="250" t="s">
        <v>1333</v>
      </c>
      <c r="D700" s="205" t="s">
        <v>152</v>
      </c>
      <c r="E700" s="251">
        <v>75</v>
      </c>
      <c r="F700" s="252">
        <v>2.4660000000000002</v>
      </c>
      <c r="G700" s="251"/>
      <c r="H700" s="251">
        <v>1.1000000000000001</v>
      </c>
      <c r="I700" s="251"/>
      <c r="J700" s="253"/>
      <c r="K700" s="254">
        <f t="shared" ref="K700:K709" si="23">IF(E700*F700*G700&lt;&gt;0,E700*F700*G700,IF(E700*F700&lt;&gt;0,E700*F700,IF(F700*G700&lt;&gt;0,F700*G700,IF(E700*G700&lt;&gt;0,E700*G700,IF(E700&lt;&gt;0,E700,IF(F700&lt;&gt;0,F700,IF(G700&lt;&gt;0,G700,0)))))))*(IF(H700&lt;&gt;0,H700,1))+I700-J700</f>
        <v>203.44500000000002</v>
      </c>
      <c r="L700" s="255"/>
    </row>
    <row r="701" spans="2:12">
      <c r="B701" s="249" t="s">
        <v>1386</v>
      </c>
      <c r="C701" s="250" t="s">
        <v>1333</v>
      </c>
      <c r="D701" s="205" t="s">
        <v>152</v>
      </c>
      <c r="E701" s="251">
        <v>95</v>
      </c>
      <c r="F701" s="252">
        <v>2.4660000000000002</v>
      </c>
      <c r="G701" s="251"/>
      <c r="H701" s="251">
        <v>1.1000000000000001</v>
      </c>
      <c r="I701" s="251"/>
      <c r="J701" s="253"/>
      <c r="K701" s="254">
        <f t="shared" si="23"/>
        <v>257.69700000000006</v>
      </c>
      <c r="L701" s="255"/>
    </row>
    <row r="702" spans="2:12">
      <c r="B702" s="263" t="s">
        <v>1475</v>
      </c>
      <c r="C702" s="264" t="s">
        <v>1441</v>
      </c>
      <c r="D702" s="205" t="s">
        <v>152</v>
      </c>
      <c r="E702" s="251">
        <v>150</v>
      </c>
      <c r="F702" s="252">
        <v>2.4660000000000002</v>
      </c>
      <c r="G702" s="251"/>
      <c r="H702" s="251">
        <v>1.1000000000000001</v>
      </c>
      <c r="I702" s="251"/>
      <c r="J702" s="253"/>
      <c r="K702" s="254">
        <f t="shared" si="23"/>
        <v>406.89000000000004</v>
      </c>
      <c r="L702" s="255"/>
    </row>
    <row r="703" spans="2:12">
      <c r="B703" s="263" t="s">
        <v>1476</v>
      </c>
      <c r="C703" s="264" t="s">
        <v>1441</v>
      </c>
      <c r="D703" s="205" t="s">
        <v>152</v>
      </c>
      <c r="E703" s="251">
        <v>137</v>
      </c>
      <c r="F703" s="252">
        <v>2.4660000000000002</v>
      </c>
      <c r="G703" s="251"/>
      <c r="H703" s="251">
        <v>1.1000000000000001</v>
      </c>
      <c r="I703" s="251"/>
      <c r="J703" s="253"/>
      <c r="K703" s="254">
        <f t="shared" si="23"/>
        <v>371.6262000000001</v>
      </c>
      <c r="L703" s="255"/>
    </row>
    <row r="704" spans="2:12">
      <c r="B704" s="263" t="s">
        <v>1302</v>
      </c>
      <c r="C704" s="264" t="s">
        <v>1441</v>
      </c>
      <c r="D704" s="205" t="s">
        <v>152</v>
      </c>
      <c r="E704" s="251">
        <v>157</v>
      </c>
      <c r="F704" s="252">
        <v>2.4660000000000002</v>
      </c>
      <c r="G704" s="251"/>
      <c r="H704" s="251">
        <v>1.1000000000000001</v>
      </c>
      <c r="I704" s="251"/>
      <c r="J704" s="253"/>
      <c r="K704" s="254">
        <f t="shared" si="23"/>
        <v>425.87820000000005</v>
      </c>
      <c r="L704" s="255"/>
    </row>
    <row r="705" spans="2:12">
      <c r="B705" s="263" t="s">
        <v>1552</v>
      </c>
      <c r="C705" s="264" t="s">
        <v>1521</v>
      </c>
      <c r="D705" s="205" t="s">
        <v>152</v>
      </c>
      <c r="E705" s="251">
        <v>172</v>
      </c>
      <c r="F705" s="252">
        <v>2.4660000000000002</v>
      </c>
      <c r="G705" s="251"/>
      <c r="H705" s="251">
        <v>1.1000000000000001</v>
      </c>
      <c r="I705" s="251"/>
      <c r="J705" s="253"/>
      <c r="K705" s="254">
        <f t="shared" si="23"/>
        <v>466.56720000000007</v>
      </c>
      <c r="L705" s="266"/>
    </row>
    <row r="706" spans="2:12">
      <c r="B706" s="263" t="s">
        <v>1553</v>
      </c>
      <c r="C706" s="264" t="s">
        <v>1521</v>
      </c>
      <c r="D706" s="205" t="s">
        <v>152</v>
      </c>
      <c r="E706" s="251">
        <v>47</v>
      </c>
      <c r="F706" s="252">
        <v>2.4660000000000002</v>
      </c>
      <c r="G706" s="251"/>
      <c r="H706" s="251">
        <v>1.1000000000000001</v>
      </c>
      <c r="I706" s="251"/>
      <c r="J706" s="253"/>
      <c r="K706" s="254">
        <f t="shared" si="23"/>
        <v>127.49220000000003</v>
      </c>
      <c r="L706" s="266"/>
    </row>
    <row r="707" spans="2:12">
      <c r="B707" s="263" t="s">
        <v>1642</v>
      </c>
      <c r="C707" s="264" t="s">
        <v>1611</v>
      </c>
      <c r="D707" s="205" t="s">
        <v>152</v>
      </c>
      <c r="E707" s="251">
        <v>105</v>
      </c>
      <c r="F707" s="252">
        <v>2.4660000000000002</v>
      </c>
      <c r="G707" s="251"/>
      <c r="H707" s="251">
        <v>1.1000000000000001</v>
      </c>
      <c r="I707" s="251"/>
      <c r="J707" s="253"/>
      <c r="K707" s="254">
        <f t="shared" si="23"/>
        <v>284.82300000000004</v>
      </c>
      <c r="L707" s="266"/>
    </row>
    <row r="708" spans="2:12">
      <c r="B708" s="263" t="s">
        <v>1643</v>
      </c>
      <c r="C708" s="264" t="s">
        <v>1611</v>
      </c>
      <c r="D708" s="205" t="s">
        <v>152</v>
      </c>
      <c r="E708" s="251">
        <v>117</v>
      </c>
      <c r="F708" s="252">
        <v>2.4660000000000002</v>
      </c>
      <c r="G708" s="251"/>
      <c r="H708" s="251">
        <v>1.1000000000000001</v>
      </c>
      <c r="I708" s="251"/>
      <c r="J708" s="253"/>
      <c r="K708" s="254">
        <f t="shared" si="23"/>
        <v>317.37420000000009</v>
      </c>
      <c r="L708" s="266"/>
    </row>
    <row r="709" spans="2:12">
      <c r="B709" s="256"/>
      <c r="C709" s="210"/>
      <c r="D709" s="210"/>
      <c r="E709" s="257"/>
      <c r="F709" s="258"/>
      <c r="G709" s="257"/>
      <c r="H709" s="257"/>
      <c r="I709" s="257"/>
      <c r="J709" s="259"/>
      <c r="K709" s="260">
        <f t="shared" si="23"/>
        <v>0</v>
      </c>
      <c r="L709" s="210"/>
    </row>
    <row r="710" spans="2:12">
      <c r="B710" s="202"/>
      <c r="C710" s="203"/>
      <c r="D710" s="203"/>
      <c r="E710" s="203"/>
      <c r="F710" s="203"/>
      <c r="G710" s="203"/>
      <c r="H710" s="204"/>
      <c r="I710" s="556" t="s">
        <v>1221</v>
      </c>
      <c r="J710" s="556"/>
      <c r="K710" s="220">
        <f>SUM(K700:K709)</f>
        <v>2861.7930000000006</v>
      </c>
      <c r="L710" s="207"/>
    </row>
    <row r="711" spans="2:12">
      <c r="B711" s="208"/>
      <c r="C711" s="204"/>
      <c r="D711" s="204"/>
      <c r="E711" s="204"/>
      <c r="F711" s="204"/>
      <c r="G711" s="204"/>
      <c r="H711" s="209"/>
      <c r="I711" s="557" t="s">
        <v>1222</v>
      </c>
      <c r="J711" s="557"/>
      <c r="K711" s="221">
        <f>VLOOKUP(B698,'BM 004'!$B$27:$R$590,4,0)</f>
        <v>7144.5</v>
      </c>
      <c r="L711" s="207"/>
    </row>
    <row r="712" spans="2:12">
      <c r="B712" s="208"/>
      <c r="C712" s="204"/>
      <c r="D712" s="204"/>
      <c r="E712" s="204"/>
      <c r="F712" s="204"/>
      <c r="G712" s="204"/>
      <c r="H712" s="558" t="s">
        <v>1223</v>
      </c>
      <c r="I712" s="558"/>
      <c r="J712" s="558"/>
      <c r="K712" s="222">
        <f>K710-K713</f>
        <v>2259.6030000000005</v>
      </c>
      <c r="L712" s="207"/>
    </row>
    <row r="713" spans="2:12">
      <c r="B713" s="208"/>
      <c r="C713" s="204"/>
      <c r="D713" s="204"/>
      <c r="E713" s="204"/>
      <c r="F713" s="204"/>
      <c r="G713" s="204"/>
      <c r="H713" s="558" t="s">
        <v>1579</v>
      </c>
      <c r="I713" s="558"/>
      <c r="J713" s="558"/>
      <c r="K713" s="222">
        <f>TRUNC(SUMIF(C700:C709,H713,K700:K709),2)</f>
        <v>602.19000000000005</v>
      </c>
      <c r="L713" s="207"/>
    </row>
    <row r="714" spans="2:12">
      <c r="B714" s="213"/>
      <c r="C714" s="214"/>
      <c r="D714" s="214"/>
      <c r="E714" s="214"/>
      <c r="F714" s="214"/>
      <c r="G714" s="214"/>
      <c r="H714" s="559" t="s">
        <v>1224</v>
      </c>
      <c r="I714" s="559"/>
      <c r="J714" s="559"/>
      <c r="K714" s="223">
        <f>IF(K710&gt;K711,K710-K711,0)</f>
        <v>0</v>
      </c>
      <c r="L714" s="209"/>
    </row>
    <row r="716" spans="2:12">
      <c r="B716" s="247" t="s">
        <v>211</v>
      </c>
      <c r="C716" s="565" t="str">
        <f>VLOOKUP(B716,'BM 004'!$B$27:$R$590,2,0)</f>
        <v xml:space="preserve">Armação de pilar ou viga de uma estrutura convencional de concreto armado em um edifício de múltiplos pavimentos utilizando aço ca-50 de 25,0 mm - montagem. </v>
      </c>
      <c r="D716" s="565"/>
      <c r="E716" s="565"/>
      <c r="F716" s="565"/>
      <c r="G716" s="565"/>
      <c r="H716" s="565"/>
      <c r="I716" s="565"/>
      <c r="J716" s="565"/>
      <c r="K716" s="565"/>
      <c r="L716" s="565"/>
    </row>
    <row r="717" spans="2:12">
      <c r="B717" s="248" t="s">
        <v>1209</v>
      </c>
      <c r="C717" s="248"/>
      <c r="D717" s="248" t="s">
        <v>39</v>
      </c>
      <c r="E717" s="248" t="s">
        <v>1210</v>
      </c>
      <c r="F717" s="248" t="s">
        <v>1382</v>
      </c>
      <c r="G717" s="248" t="s">
        <v>1383</v>
      </c>
      <c r="H717" s="248" t="s">
        <v>1384</v>
      </c>
      <c r="I717" s="248" t="s">
        <v>1214</v>
      </c>
      <c r="J717" s="248" t="s">
        <v>1385</v>
      </c>
      <c r="K717" s="248" t="s">
        <v>1216</v>
      </c>
      <c r="L717" s="248" t="s">
        <v>1217</v>
      </c>
    </row>
    <row r="718" spans="2:12">
      <c r="B718" s="249" t="s">
        <v>1367</v>
      </c>
      <c r="C718" s="250" t="s">
        <v>1333</v>
      </c>
      <c r="D718" s="205" t="s">
        <v>152</v>
      </c>
      <c r="E718" s="251">
        <v>16</v>
      </c>
      <c r="F718" s="252">
        <v>3.8530000000000002</v>
      </c>
      <c r="G718" s="251"/>
      <c r="H718" s="251">
        <v>1.1000000000000001</v>
      </c>
      <c r="I718" s="251"/>
      <c r="J718" s="253"/>
      <c r="K718" s="254">
        <f t="shared" ref="K718:K727" si="24">IF(E718*F718*G718&lt;&gt;0,E718*F718*G718,IF(E718*F718&lt;&gt;0,E718*F718,IF(F718*G718&lt;&gt;0,F718*G718,IF(E718*G718&lt;&gt;0,E718*G718,IF(E718&lt;&gt;0,E718,IF(F718&lt;&gt;0,F718,IF(G718&lt;&gt;0,G718,0)))))))*(IF(H718&lt;&gt;0,H718,1))+I718-J718</f>
        <v>67.81280000000001</v>
      </c>
      <c r="L718" s="255"/>
    </row>
    <row r="719" spans="2:12">
      <c r="B719" s="249" t="s">
        <v>1386</v>
      </c>
      <c r="C719" s="250" t="s">
        <v>1333</v>
      </c>
      <c r="D719" s="205" t="s">
        <v>152</v>
      </c>
      <c r="E719" s="251">
        <v>44</v>
      </c>
      <c r="F719" s="252">
        <v>3.8530000000000002</v>
      </c>
      <c r="G719" s="251"/>
      <c r="H719" s="251">
        <v>1.1000000000000001</v>
      </c>
      <c r="I719" s="251"/>
      <c r="J719" s="253"/>
      <c r="K719" s="254">
        <f t="shared" si="24"/>
        <v>186.48520000000002</v>
      </c>
      <c r="L719" s="255"/>
    </row>
    <row r="720" spans="2:12">
      <c r="B720" s="263" t="s">
        <v>1475</v>
      </c>
      <c r="C720" s="264" t="s">
        <v>1441</v>
      </c>
      <c r="D720" s="205" t="s">
        <v>152</v>
      </c>
      <c r="E720" s="251">
        <v>148</v>
      </c>
      <c r="F720" s="252">
        <v>3.8530000000000002</v>
      </c>
      <c r="G720" s="251"/>
      <c r="H720" s="251">
        <v>1.1000000000000001</v>
      </c>
      <c r="I720" s="251"/>
      <c r="J720" s="253"/>
      <c r="K720" s="254">
        <f t="shared" si="24"/>
        <v>627.26840000000004</v>
      </c>
      <c r="L720" s="255"/>
    </row>
    <row r="721" spans="2:12">
      <c r="B721" s="263" t="s">
        <v>1476</v>
      </c>
      <c r="C721" s="264" t="s">
        <v>1441</v>
      </c>
      <c r="D721" s="205" t="s">
        <v>152</v>
      </c>
      <c r="E721" s="251">
        <v>96</v>
      </c>
      <c r="F721" s="252">
        <v>3.8530000000000002</v>
      </c>
      <c r="G721" s="251"/>
      <c r="H721" s="251">
        <v>1.1000000000000001</v>
      </c>
      <c r="I721" s="251"/>
      <c r="J721" s="253"/>
      <c r="K721" s="254">
        <f t="shared" si="24"/>
        <v>406.87680000000006</v>
      </c>
      <c r="L721" s="255"/>
    </row>
    <row r="722" spans="2:12">
      <c r="B722" s="263" t="s">
        <v>1302</v>
      </c>
      <c r="C722" s="264" t="s">
        <v>1441</v>
      </c>
      <c r="D722" s="205" t="s">
        <v>152</v>
      </c>
      <c r="E722" s="251">
        <v>222</v>
      </c>
      <c r="F722" s="252">
        <v>3.8530000000000002</v>
      </c>
      <c r="G722" s="251"/>
      <c r="H722" s="251">
        <v>1.1000000000000001</v>
      </c>
      <c r="I722" s="251"/>
      <c r="J722" s="253"/>
      <c r="K722" s="254">
        <f t="shared" si="24"/>
        <v>940.90260000000023</v>
      </c>
      <c r="L722" s="255"/>
    </row>
    <row r="723" spans="2:12">
      <c r="B723" s="263" t="s">
        <v>1552</v>
      </c>
      <c r="C723" s="264" t="s">
        <v>1521</v>
      </c>
      <c r="D723" s="205" t="s">
        <v>152</v>
      </c>
      <c r="E723" s="251">
        <v>57</v>
      </c>
      <c r="F723" s="252">
        <v>3.8530000000000002</v>
      </c>
      <c r="G723" s="251"/>
      <c r="H723" s="251">
        <v>1.1000000000000001</v>
      </c>
      <c r="I723" s="251"/>
      <c r="J723" s="253"/>
      <c r="K723" s="254">
        <f t="shared" si="24"/>
        <v>241.58310000000003</v>
      </c>
      <c r="L723" s="266"/>
    </row>
    <row r="724" spans="2:12">
      <c r="B724" s="263" t="s">
        <v>1553</v>
      </c>
      <c r="C724" s="264" t="s">
        <v>1521</v>
      </c>
      <c r="D724" s="205" t="s">
        <v>152</v>
      </c>
      <c r="E724" s="251">
        <v>34</v>
      </c>
      <c r="F724" s="252">
        <v>3.8530000000000002</v>
      </c>
      <c r="G724" s="251"/>
      <c r="H724" s="251">
        <v>1.1000000000000001</v>
      </c>
      <c r="I724" s="251"/>
      <c r="J724" s="253"/>
      <c r="K724" s="254">
        <f t="shared" si="24"/>
        <v>144.10220000000001</v>
      </c>
      <c r="L724" s="266"/>
    </row>
    <row r="725" spans="2:12">
      <c r="B725" s="263" t="s">
        <v>1642</v>
      </c>
      <c r="C725" s="264" t="s">
        <v>1611</v>
      </c>
      <c r="D725" s="205" t="s">
        <v>152</v>
      </c>
      <c r="E725" s="251">
        <v>120</v>
      </c>
      <c r="F725" s="252">
        <v>3.8530000000000002</v>
      </c>
      <c r="G725" s="251"/>
      <c r="H725" s="251">
        <v>1.1000000000000001</v>
      </c>
      <c r="I725" s="251"/>
      <c r="J725" s="253"/>
      <c r="K725" s="254">
        <f t="shared" si="24"/>
        <v>508.59600000000006</v>
      </c>
      <c r="L725" s="266"/>
    </row>
    <row r="726" spans="2:12">
      <c r="B726" s="263" t="s">
        <v>1643</v>
      </c>
      <c r="C726" s="264" t="s">
        <v>1611</v>
      </c>
      <c r="D726" s="205" t="s">
        <v>152</v>
      </c>
      <c r="E726" s="251">
        <v>118</v>
      </c>
      <c r="F726" s="252">
        <v>3.8530000000000002</v>
      </c>
      <c r="G726" s="251"/>
      <c r="H726" s="251">
        <v>1.1000000000000001</v>
      </c>
      <c r="I726" s="251"/>
      <c r="J726" s="253"/>
      <c r="K726" s="254">
        <f t="shared" si="24"/>
        <v>500.11940000000004</v>
      </c>
      <c r="L726" s="266"/>
    </row>
    <row r="727" spans="2:12">
      <c r="B727" s="256"/>
      <c r="C727" s="210"/>
      <c r="D727" s="210"/>
      <c r="E727" s="257"/>
      <c r="F727" s="258"/>
      <c r="G727" s="257"/>
      <c r="H727" s="257"/>
      <c r="I727" s="257"/>
      <c r="J727" s="259"/>
      <c r="K727" s="260">
        <f t="shared" si="24"/>
        <v>0</v>
      </c>
      <c r="L727" s="210"/>
    </row>
    <row r="728" spans="2:12">
      <c r="B728" s="202"/>
      <c r="C728" s="203"/>
      <c r="D728" s="203"/>
      <c r="E728" s="203"/>
      <c r="F728" s="203"/>
      <c r="G728" s="203"/>
      <c r="H728" s="204"/>
      <c r="I728" s="556" t="s">
        <v>1221</v>
      </c>
      <c r="J728" s="556"/>
      <c r="K728" s="220">
        <f>SUM(K718:K727)</f>
        <v>3623.7465000000002</v>
      </c>
      <c r="L728" s="207"/>
    </row>
    <row r="729" spans="2:12">
      <c r="B729" s="208"/>
      <c r="C729" s="204"/>
      <c r="D729" s="204"/>
      <c r="E729" s="204"/>
      <c r="F729" s="204"/>
      <c r="G729" s="204"/>
      <c r="H729" s="209"/>
      <c r="I729" s="557" t="s">
        <v>1222</v>
      </c>
      <c r="J729" s="557"/>
      <c r="K729" s="221">
        <f>VLOOKUP(B716,'BM 004'!$B$27:$R$590,4,0)</f>
        <v>6531.8</v>
      </c>
      <c r="L729" s="207"/>
    </row>
    <row r="730" spans="2:12">
      <c r="B730" s="208"/>
      <c r="C730" s="204"/>
      <c r="D730" s="204"/>
      <c r="E730" s="204"/>
      <c r="F730" s="204"/>
      <c r="G730" s="204"/>
      <c r="H730" s="558" t="s">
        <v>1223</v>
      </c>
      <c r="I730" s="558"/>
      <c r="J730" s="558"/>
      <c r="K730" s="222">
        <f>K728-K731</f>
        <v>2615.0365000000002</v>
      </c>
      <c r="L730" s="207"/>
    </row>
    <row r="731" spans="2:12">
      <c r="B731" s="208"/>
      <c r="C731" s="204"/>
      <c r="D731" s="204"/>
      <c r="E731" s="204"/>
      <c r="F731" s="204"/>
      <c r="G731" s="204"/>
      <c r="H731" s="558" t="s">
        <v>1579</v>
      </c>
      <c r="I731" s="558"/>
      <c r="J731" s="558"/>
      <c r="K731" s="222">
        <f>TRUNC(SUMIF(C718:C727,H731,K718:K727),2)</f>
        <v>1008.71</v>
      </c>
      <c r="L731" s="207"/>
    </row>
    <row r="732" spans="2:12">
      <c r="B732" s="213"/>
      <c r="C732" s="214"/>
      <c r="D732" s="214"/>
      <c r="E732" s="214"/>
      <c r="F732" s="214"/>
      <c r="G732" s="214"/>
      <c r="H732" s="559" t="s">
        <v>1224</v>
      </c>
      <c r="I732" s="559"/>
      <c r="J732" s="559"/>
      <c r="K732" s="223">
        <f>IF(K728&gt;K729,K728-K729,0)</f>
        <v>0</v>
      </c>
      <c r="L732" s="209"/>
    </row>
    <row r="734" spans="2:12">
      <c r="B734" s="247" t="s">
        <v>214</v>
      </c>
      <c r="C734" s="565" t="str">
        <f>VLOOKUP(B734,'BM 004'!$B$27:$R$590,2,0)</f>
        <v xml:space="preserve">Concreto simples usinado fck=35mpa, bombeado, lançado e adensado em superestrutura </v>
      </c>
      <c r="D734" s="565"/>
      <c r="E734" s="565"/>
      <c r="F734" s="565"/>
      <c r="G734" s="565"/>
      <c r="H734" s="565"/>
      <c r="I734" s="565"/>
      <c r="J734" s="565"/>
      <c r="K734" s="565"/>
      <c r="L734" s="565"/>
    </row>
    <row r="735" spans="2:12">
      <c r="B735" s="248" t="s">
        <v>1209</v>
      </c>
      <c r="C735" s="248"/>
      <c r="D735" s="248" t="s">
        <v>39</v>
      </c>
      <c r="E735" s="248" t="s">
        <v>1210</v>
      </c>
      <c r="F735" s="248" t="s">
        <v>1388</v>
      </c>
      <c r="G735" s="248" t="s">
        <v>1212</v>
      </c>
      <c r="H735" s="248" t="s">
        <v>1455</v>
      </c>
      <c r="I735" s="248" t="s">
        <v>1214</v>
      </c>
      <c r="J735" s="248" t="s">
        <v>1385</v>
      </c>
      <c r="K735" s="248" t="s">
        <v>1216</v>
      </c>
      <c r="L735" s="248" t="s">
        <v>1217</v>
      </c>
    </row>
    <row r="736" spans="2:12">
      <c r="B736" s="249" t="s">
        <v>1456</v>
      </c>
      <c r="C736" s="250" t="s">
        <v>1441</v>
      </c>
      <c r="D736" s="205" t="s">
        <v>169</v>
      </c>
      <c r="E736" s="199">
        <v>0.64</v>
      </c>
      <c r="F736" s="199">
        <v>0.15</v>
      </c>
      <c r="G736" s="199">
        <v>1</v>
      </c>
      <c r="H736" s="199"/>
      <c r="I736" s="199"/>
      <c r="J736" s="219"/>
      <c r="K736" s="220">
        <f t="shared" ref="K736:K767" si="25">IF(E736*F736*G736&lt;&gt;0,E736*F736*G736,IF(E736*F736&lt;&gt;0,E736*F736,IF(F736*G736&lt;&gt;0,F736*G736,IF(E736*G736&lt;&gt;0,E736*G736,IF(E736&lt;&gt;0,E736,IF(F736&lt;&gt;0,F736,IF(G736&lt;&gt;0,G736,0)))))))*(IF(H736&lt;&gt;0,H736,1))+I736-J736</f>
        <v>9.6000000000000002E-2</v>
      </c>
      <c r="L736" s="255"/>
    </row>
    <row r="737" spans="2:12">
      <c r="B737" s="249" t="s">
        <v>1457</v>
      </c>
      <c r="C737" s="250" t="s">
        <v>1441</v>
      </c>
      <c r="D737" s="205" t="s">
        <v>169</v>
      </c>
      <c r="E737" s="199">
        <v>7.2</v>
      </c>
      <c r="F737" s="199">
        <v>0.15</v>
      </c>
      <c r="G737" s="199">
        <v>0.7</v>
      </c>
      <c r="H737" s="199"/>
      <c r="I737" s="199"/>
      <c r="J737" s="219"/>
      <c r="K737" s="220">
        <f t="shared" si="25"/>
        <v>0.75600000000000001</v>
      </c>
      <c r="L737" s="255"/>
    </row>
    <row r="738" spans="2:12">
      <c r="B738" s="249" t="s">
        <v>1458</v>
      </c>
      <c r="C738" s="250" t="s">
        <v>1441</v>
      </c>
      <c r="D738" s="205" t="s">
        <v>169</v>
      </c>
      <c r="E738" s="199">
        <v>13.07</v>
      </c>
      <c r="F738" s="199">
        <v>0.15</v>
      </c>
      <c r="G738" s="199">
        <v>0.7</v>
      </c>
      <c r="H738" s="199"/>
      <c r="I738" s="199"/>
      <c r="J738" s="219"/>
      <c r="K738" s="220">
        <f t="shared" si="25"/>
        <v>1.37235</v>
      </c>
      <c r="L738" s="255"/>
    </row>
    <row r="739" spans="2:12">
      <c r="B739" s="249" t="s">
        <v>1459</v>
      </c>
      <c r="C739" s="250" t="s">
        <v>1441</v>
      </c>
      <c r="D739" s="205" t="s">
        <v>169</v>
      </c>
      <c r="E739" s="199">
        <v>0.94</v>
      </c>
      <c r="F739" s="199">
        <v>0.2</v>
      </c>
      <c r="G739" s="199">
        <v>0.6</v>
      </c>
      <c r="H739" s="199"/>
      <c r="I739" s="199"/>
      <c r="J739" s="219"/>
      <c r="K739" s="220">
        <f t="shared" si="25"/>
        <v>0.1128</v>
      </c>
      <c r="L739" s="255"/>
    </row>
    <row r="740" spans="2:12">
      <c r="B740" s="249" t="s">
        <v>1460</v>
      </c>
      <c r="C740" s="250" t="s">
        <v>1441</v>
      </c>
      <c r="D740" s="205" t="s">
        <v>169</v>
      </c>
      <c r="E740" s="199">
        <v>6.7</v>
      </c>
      <c r="F740" s="199">
        <v>0.2</v>
      </c>
      <c r="G740" s="199">
        <v>0.6</v>
      </c>
      <c r="H740" s="199"/>
      <c r="I740" s="199"/>
      <c r="J740" s="219"/>
      <c r="K740" s="220">
        <f t="shared" si="25"/>
        <v>0.80400000000000005</v>
      </c>
      <c r="L740" s="255"/>
    </row>
    <row r="741" spans="2:12">
      <c r="B741" s="249" t="s">
        <v>1460</v>
      </c>
      <c r="C741" s="250" t="s">
        <v>1441</v>
      </c>
      <c r="D741" s="205" t="s">
        <v>169</v>
      </c>
      <c r="E741" s="199">
        <v>14.04</v>
      </c>
      <c r="F741" s="199">
        <v>0.2</v>
      </c>
      <c r="G741" s="199">
        <v>1.2</v>
      </c>
      <c r="H741" s="199"/>
      <c r="I741" s="199"/>
      <c r="J741" s="219"/>
      <c r="K741" s="220">
        <f t="shared" si="25"/>
        <v>3.3695999999999997</v>
      </c>
      <c r="L741" s="255"/>
    </row>
    <row r="742" spans="2:12">
      <c r="B742" s="249" t="s">
        <v>1461</v>
      </c>
      <c r="C742" s="250" t="s">
        <v>1441</v>
      </c>
      <c r="D742" s="205" t="s">
        <v>169</v>
      </c>
      <c r="E742" s="199">
        <v>7.64</v>
      </c>
      <c r="F742" s="199">
        <v>0.15</v>
      </c>
      <c r="G742" s="199">
        <v>0.8</v>
      </c>
      <c r="H742" s="199"/>
      <c r="I742" s="199"/>
      <c r="J742" s="219"/>
      <c r="K742" s="220">
        <f t="shared" si="25"/>
        <v>0.91679999999999995</v>
      </c>
      <c r="L742" s="255"/>
    </row>
    <row r="743" spans="2:12">
      <c r="B743" s="249" t="s">
        <v>1461</v>
      </c>
      <c r="C743" s="250" t="s">
        <v>1441</v>
      </c>
      <c r="D743" s="205" t="s">
        <v>169</v>
      </c>
      <c r="E743" s="199">
        <v>20.96</v>
      </c>
      <c r="F743" s="199">
        <v>0.15</v>
      </c>
      <c r="G743" s="199">
        <v>1.2</v>
      </c>
      <c r="H743" s="199"/>
      <c r="I743" s="199"/>
      <c r="J743" s="219"/>
      <c r="K743" s="220">
        <f t="shared" si="25"/>
        <v>3.7728000000000002</v>
      </c>
      <c r="L743" s="255"/>
    </row>
    <row r="744" spans="2:12">
      <c r="B744" s="249" t="s">
        <v>1462</v>
      </c>
      <c r="C744" s="250" t="s">
        <v>1441</v>
      </c>
      <c r="D744" s="205" t="s">
        <v>169</v>
      </c>
      <c r="E744" s="199">
        <v>22.34</v>
      </c>
      <c r="F744" s="199">
        <v>0.2</v>
      </c>
      <c r="G744" s="199">
        <v>0.6</v>
      </c>
      <c r="H744" s="199"/>
      <c r="I744" s="199"/>
      <c r="J744" s="219"/>
      <c r="K744" s="220">
        <f t="shared" si="25"/>
        <v>2.6808000000000001</v>
      </c>
      <c r="L744" s="255"/>
    </row>
    <row r="745" spans="2:12">
      <c r="B745" s="249" t="s">
        <v>1463</v>
      </c>
      <c r="C745" s="250" t="s">
        <v>1441</v>
      </c>
      <c r="D745" s="205" t="s">
        <v>169</v>
      </c>
      <c r="E745" s="199">
        <v>5.72</v>
      </c>
      <c r="F745" s="199">
        <v>0.15</v>
      </c>
      <c r="G745" s="199">
        <v>0.6</v>
      </c>
      <c r="H745" s="199"/>
      <c r="I745" s="199"/>
      <c r="J745" s="219"/>
      <c r="K745" s="220">
        <f t="shared" si="25"/>
        <v>0.51479999999999992</v>
      </c>
      <c r="L745" s="255"/>
    </row>
    <row r="746" spans="2:12">
      <c r="B746" s="249" t="s">
        <v>1464</v>
      </c>
      <c r="C746" s="250" t="s">
        <v>1441</v>
      </c>
      <c r="D746" s="205" t="s">
        <v>169</v>
      </c>
      <c r="E746" s="199">
        <v>22.34</v>
      </c>
      <c r="F746" s="199">
        <v>0.2</v>
      </c>
      <c r="G746" s="199">
        <v>0.6</v>
      </c>
      <c r="H746" s="199"/>
      <c r="I746" s="199"/>
      <c r="J746" s="219"/>
      <c r="K746" s="220">
        <f t="shared" si="25"/>
        <v>2.6808000000000001</v>
      </c>
      <c r="L746" s="255"/>
    </row>
    <row r="747" spans="2:12">
      <c r="B747" s="249" t="s">
        <v>1465</v>
      </c>
      <c r="C747" s="250" t="s">
        <v>1441</v>
      </c>
      <c r="D747" s="205" t="s">
        <v>169</v>
      </c>
      <c r="E747" s="199">
        <v>4.42</v>
      </c>
      <c r="F747" s="199">
        <v>0.2</v>
      </c>
      <c r="G747" s="199">
        <v>0.6</v>
      </c>
      <c r="H747" s="199"/>
      <c r="I747" s="199"/>
      <c r="J747" s="219"/>
      <c r="K747" s="220">
        <f t="shared" si="25"/>
        <v>0.53039999999999998</v>
      </c>
      <c r="L747" s="255"/>
    </row>
    <row r="748" spans="2:12">
      <c r="B748" s="249" t="s">
        <v>1466</v>
      </c>
      <c r="C748" s="250" t="s">
        <v>1441</v>
      </c>
      <c r="D748" s="205" t="s">
        <v>169</v>
      </c>
      <c r="E748" s="199">
        <v>28.84</v>
      </c>
      <c r="F748" s="199">
        <v>0.2</v>
      </c>
      <c r="G748" s="199">
        <v>0.6</v>
      </c>
      <c r="H748" s="199"/>
      <c r="I748" s="199"/>
      <c r="J748" s="219"/>
      <c r="K748" s="220">
        <f t="shared" si="25"/>
        <v>3.4608000000000003</v>
      </c>
      <c r="L748" s="255"/>
    </row>
    <row r="749" spans="2:12">
      <c r="B749" s="249" t="s">
        <v>1467</v>
      </c>
      <c r="C749" s="250" t="s">
        <v>1441</v>
      </c>
      <c r="D749" s="205" t="s">
        <v>169</v>
      </c>
      <c r="E749" s="199">
        <v>24.09</v>
      </c>
      <c r="F749" s="199">
        <v>0.15</v>
      </c>
      <c r="G749" s="199">
        <v>1</v>
      </c>
      <c r="H749" s="199"/>
      <c r="I749" s="199"/>
      <c r="J749" s="219"/>
      <c r="K749" s="220">
        <f t="shared" si="25"/>
        <v>3.6134999999999997</v>
      </c>
      <c r="L749" s="255"/>
    </row>
    <row r="750" spans="2:12">
      <c r="B750" s="249" t="s">
        <v>1468</v>
      </c>
      <c r="C750" s="250" t="s">
        <v>1441</v>
      </c>
      <c r="D750" s="205" t="s">
        <v>169</v>
      </c>
      <c r="E750" s="199">
        <v>9.8800000000000008</v>
      </c>
      <c r="F750" s="199">
        <v>0.15</v>
      </c>
      <c r="G750" s="199">
        <v>0.6</v>
      </c>
      <c r="H750" s="199"/>
      <c r="I750" s="199"/>
      <c r="J750" s="219"/>
      <c r="K750" s="220">
        <f t="shared" si="25"/>
        <v>0.88919999999999999</v>
      </c>
      <c r="L750" s="255"/>
    </row>
    <row r="751" spans="2:12">
      <c r="B751" s="249" t="s">
        <v>1469</v>
      </c>
      <c r="C751" s="250" t="s">
        <v>1441</v>
      </c>
      <c r="D751" s="205" t="s">
        <v>169</v>
      </c>
      <c r="E751" s="199">
        <v>12</v>
      </c>
      <c r="F751" s="199">
        <v>0.2</v>
      </c>
      <c r="G751" s="199">
        <v>0.6</v>
      </c>
      <c r="H751" s="199"/>
      <c r="I751" s="199"/>
      <c r="J751" s="219"/>
      <c r="K751" s="220">
        <f t="shared" si="25"/>
        <v>1.4400000000000002</v>
      </c>
      <c r="L751" s="255"/>
    </row>
    <row r="752" spans="2:12">
      <c r="B752" s="249" t="s">
        <v>1470</v>
      </c>
      <c r="C752" s="250" t="s">
        <v>1441</v>
      </c>
      <c r="D752" s="205" t="s">
        <v>169</v>
      </c>
      <c r="E752" s="199">
        <v>1.81</v>
      </c>
      <c r="F752" s="199">
        <v>0.2</v>
      </c>
      <c r="G752" s="199">
        <v>0.8</v>
      </c>
      <c r="H752" s="199"/>
      <c r="I752" s="199"/>
      <c r="J752" s="219"/>
      <c r="K752" s="220">
        <f t="shared" si="25"/>
        <v>0.28960000000000002</v>
      </c>
      <c r="L752" s="255"/>
    </row>
    <row r="753" spans="2:12">
      <c r="B753" s="249" t="s">
        <v>1471</v>
      </c>
      <c r="C753" s="250" t="s">
        <v>1441</v>
      </c>
      <c r="D753" s="205" t="s">
        <v>169</v>
      </c>
      <c r="E753" s="199">
        <v>5.92</v>
      </c>
      <c r="F753" s="199">
        <v>0.15</v>
      </c>
      <c r="G753" s="199">
        <v>1.2</v>
      </c>
      <c r="H753" s="199"/>
      <c r="I753" s="199"/>
      <c r="J753" s="219"/>
      <c r="K753" s="220">
        <f t="shared" si="25"/>
        <v>1.0655999999999999</v>
      </c>
      <c r="L753" s="255"/>
    </row>
    <row r="754" spans="2:12">
      <c r="B754" s="249" t="s">
        <v>1472</v>
      </c>
      <c r="C754" s="250" t="s">
        <v>1441</v>
      </c>
      <c r="D754" s="205" t="s">
        <v>169</v>
      </c>
      <c r="E754" s="199">
        <v>12.49</v>
      </c>
      <c r="F754" s="199">
        <v>0.15</v>
      </c>
      <c r="G754" s="199">
        <v>1</v>
      </c>
      <c r="H754" s="199"/>
      <c r="I754" s="199"/>
      <c r="J754" s="219"/>
      <c r="K754" s="220">
        <f t="shared" si="25"/>
        <v>1.8734999999999999</v>
      </c>
      <c r="L754" s="255"/>
    </row>
    <row r="755" spans="2:12">
      <c r="B755" s="249" t="s">
        <v>1472</v>
      </c>
      <c r="C755" s="250" t="s">
        <v>1441</v>
      </c>
      <c r="D755" s="205" t="s">
        <v>169</v>
      </c>
      <c r="E755" s="199">
        <v>6</v>
      </c>
      <c r="F755" s="199">
        <v>0.15</v>
      </c>
      <c r="G755" s="199">
        <v>1.2</v>
      </c>
      <c r="H755" s="199"/>
      <c r="I755" s="199"/>
      <c r="J755" s="219"/>
      <c r="K755" s="220">
        <f t="shared" si="25"/>
        <v>1.0799999999999998</v>
      </c>
      <c r="L755" s="255"/>
    </row>
    <row r="756" spans="2:12">
      <c r="B756" s="249" t="s">
        <v>1473</v>
      </c>
      <c r="C756" s="250" t="s">
        <v>1441</v>
      </c>
      <c r="D756" s="205" t="s">
        <v>169</v>
      </c>
      <c r="E756" s="199">
        <v>4.83</v>
      </c>
      <c r="F756" s="199">
        <v>0.15</v>
      </c>
      <c r="G756" s="199">
        <v>0.6</v>
      </c>
      <c r="H756" s="199"/>
      <c r="I756" s="199"/>
      <c r="J756" s="219"/>
      <c r="K756" s="220">
        <f t="shared" si="25"/>
        <v>0.43470000000000003</v>
      </c>
      <c r="L756" s="255"/>
    </row>
    <row r="757" spans="2:12">
      <c r="B757" s="249" t="s">
        <v>1474</v>
      </c>
      <c r="C757" s="250" t="s">
        <v>1441</v>
      </c>
      <c r="D757" s="205" t="s">
        <v>169</v>
      </c>
      <c r="E757" s="199">
        <v>13.85</v>
      </c>
      <c r="F757" s="199">
        <v>0.15</v>
      </c>
      <c r="G757" s="199">
        <v>0.7</v>
      </c>
      <c r="H757" s="199"/>
      <c r="I757" s="199"/>
      <c r="J757" s="219"/>
      <c r="K757" s="220">
        <f t="shared" si="25"/>
        <v>1.4542499999999996</v>
      </c>
      <c r="L757" s="255"/>
    </row>
    <row r="758" spans="2:12">
      <c r="B758" s="249" t="s">
        <v>1531</v>
      </c>
      <c r="C758" s="250" t="s">
        <v>1521</v>
      </c>
      <c r="D758" s="205" t="s">
        <v>169</v>
      </c>
      <c r="E758" s="199">
        <v>12.69</v>
      </c>
      <c r="F758" s="199">
        <v>0.15</v>
      </c>
      <c r="G758" s="199">
        <v>0.6</v>
      </c>
      <c r="H758" s="199"/>
      <c r="I758" s="199"/>
      <c r="J758" s="219"/>
      <c r="K758" s="220">
        <f t="shared" si="25"/>
        <v>1.1420999999999999</v>
      </c>
      <c r="L758" s="255"/>
    </row>
    <row r="759" spans="2:12">
      <c r="B759" s="249" t="s">
        <v>1532</v>
      </c>
      <c r="C759" s="250" t="s">
        <v>1521</v>
      </c>
      <c r="D759" s="205" t="s">
        <v>169</v>
      </c>
      <c r="E759" s="199">
        <v>1.83</v>
      </c>
      <c r="F759" s="199">
        <v>0.15</v>
      </c>
      <c r="G759" s="199">
        <v>0.6</v>
      </c>
      <c r="H759" s="199"/>
      <c r="I759" s="199"/>
      <c r="J759" s="219"/>
      <c r="K759" s="220">
        <f t="shared" si="25"/>
        <v>0.16470000000000001</v>
      </c>
      <c r="L759" s="255"/>
    </row>
    <row r="760" spans="2:12">
      <c r="B760" s="249" t="s">
        <v>1533</v>
      </c>
      <c r="C760" s="250" t="s">
        <v>1521</v>
      </c>
      <c r="D760" s="205" t="s">
        <v>169</v>
      </c>
      <c r="E760" s="199">
        <v>8.27</v>
      </c>
      <c r="F760" s="199">
        <v>0.15</v>
      </c>
      <c r="G760" s="199">
        <v>0.6</v>
      </c>
      <c r="H760" s="199"/>
      <c r="I760" s="199"/>
      <c r="J760" s="219"/>
      <c r="K760" s="220">
        <f t="shared" si="25"/>
        <v>0.74429999999999996</v>
      </c>
      <c r="L760" s="255"/>
    </row>
    <row r="761" spans="2:12">
      <c r="B761" s="249" t="s">
        <v>1534</v>
      </c>
      <c r="C761" s="250" t="s">
        <v>1521</v>
      </c>
      <c r="D761" s="205" t="s">
        <v>169</v>
      </c>
      <c r="E761" s="199">
        <v>28.74</v>
      </c>
      <c r="F761" s="199">
        <v>0.15</v>
      </c>
      <c r="G761" s="199">
        <v>1</v>
      </c>
      <c r="H761" s="199"/>
      <c r="I761" s="199"/>
      <c r="J761" s="219"/>
      <c r="K761" s="220">
        <f t="shared" si="25"/>
        <v>4.3109999999999999</v>
      </c>
      <c r="L761" s="255"/>
    </row>
    <row r="762" spans="2:12">
      <c r="B762" s="249" t="s">
        <v>1535</v>
      </c>
      <c r="C762" s="250" t="s">
        <v>1521</v>
      </c>
      <c r="D762" s="205" t="s">
        <v>169</v>
      </c>
      <c r="E762" s="199">
        <v>28.53</v>
      </c>
      <c r="F762" s="199">
        <v>0.2</v>
      </c>
      <c r="G762" s="199">
        <v>0.6</v>
      </c>
      <c r="H762" s="199"/>
      <c r="I762" s="199"/>
      <c r="J762" s="219"/>
      <c r="K762" s="220">
        <f t="shared" si="25"/>
        <v>3.4236</v>
      </c>
      <c r="L762" s="255"/>
    </row>
    <row r="763" spans="2:12">
      <c r="B763" s="249" t="s">
        <v>1536</v>
      </c>
      <c r="C763" s="250" t="s">
        <v>1521</v>
      </c>
      <c r="D763" s="205" t="s">
        <v>169</v>
      </c>
      <c r="E763" s="199">
        <v>6.34</v>
      </c>
      <c r="F763" s="199">
        <v>0.15</v>
      </c>
      <c r="G763" s="199">
        <v>0.6</v>
      </c>
      <c r="H763" s="199"/>
      <c r="I763" s="199"/>
      <c r="J763" s="219"/>
      <c r="K763" s="220">
        <f t="shared" si="25"/>
        <v>0.5706</v>
      </c>
      <c r="L763" s="255"/>
    </row>
    <row r="764" spans="2:12">
      <c r="B764" s="249" t="s">
        <v>1537</v>
      </c>
      <c r="C764" s="250" t="s">
        <v>1521</v>
      </c>
      <c r="D764" s="205" t="s">
        <v>169</v>
      </c>
      <c r="E764" s="199">
        <v>21.99</v>
      </c>
      <c r="F764" s="199">
        <v>0.2</v>
      </c>
      <c r="G764" s="199">
        <v>0.6</v>
      </c>
      <c r="H764" s="199"/>
      <c r="I764" s="199"/>
      <c r="J764" s="219"/>
      <c r="K764" s="220">
        <f t="shared" si="25"/>
        <v>2.6387999999999998</v>
      </c>
      <c r="L764" s="255"/>
    </row>
    <row r="765" spans="2:12">
      <c r="B765" s="249" t="s">
        <v>1538</v>
      </c>
      <c r="C765" s="250" t="s">
        <v>1521</v>
      </c>
      <c r="D765" s="205" t="s">
        <v>169</v>
      </c>
      <c r="E765" s="199">
        <v>21.99</v>
      </c>
      <c r="F765" s="199">
        <v>0.2</v>
      </c>
      <c r="G765" s="199">
        <v>0.6</v>
      </c>
      <c r="H765" s="199"/>
      <c r="I765" s="199"/>
      <c r="J765" s="219"/>
      <c r="K765" s="220">
        <f t="shared" si="25"/>
        <v>2.6387999999999998</v>
      </c>
      <c r="L765" s="255"/>
    </row>
    <row r="766" spans="2:12">
      <c r="B766" s="249" t="s">
        <v>1539</v>
      </c>
      <c r="C766" s="250" t="s">
        <v>1521</v>
      </c>
      <c r="D766" s="205" t="s">
        <v>169</v>
      </c>
      <c r="E766" s="199">
        <v>3.45</v>
      </c>
      <c r="F766" s="199">
        <v>0.2</v>
      </c>
      <c r="G766" s="199">
        <v>0.6</v>
      </c>
      <c r="H766" s="199"/>
      <c r="I766" s="199"/>
      <c r="J766" s="219"/>
      <c r="K766" s="220">
        <f t="shared" si="25"/>
        <v>0.41400000000000003</v>
      </c>
      <c r="L766" s="255"/>
    </row>
    <row r="767" spans="2:12">
      <c r="B767" s="249" t="s">
        <v>1540</v>
      </c>
      <c r="C767" s="250" t="s">
        <v>1521</v>
      </c>
      <c r="D767" s="205" t="s">
        <v>169</v>
      </c>
      <c r="E767" s="199">
        <v>28.53</v>
      </c>
      <c r="F767" s="199">
        <v>0.2</v>
      </c>
      <c r="G767" s="199">
        <v>0.6</v>
      </c>
      <c r="H767" s="199"/>
      <c r="I767" s="199"/>
      <c r="J767" s="219"/>
      <c r="K767" s="220">
        <f t="shared" si="25"/>
        <v>3.4236</v>
      </c>
      <c r="L767" s="255"/>
    </row>
    <row r="768" spans="2:12">
      <c r="B768" s="249" t="s">
        <v>1541</v>
      </c>
      <c r="C768" s="250" t="s">
        <v>1521</v>
      </c>
      <c r="D768" s="205" t="s">
        <v>169</v>
      </c>
      <c r="E768" s="199">
        <v>24.09</v>
      </c>
      <c r="F768" s="199">
        <v>0.15</v>
      </c>
      <c r="G768" s="199">
        <v>1</v>
      </c>
      <c r="H768" s="199"/>
      <c r="I768" s="199"/>
      <c r="J768" s="219"/>
      <c r="K768" s="220">
        <f t="shared" ref="K768:K799" si="26">IF(E768*F768*G768&lt;&gt;0,E768*F768*G768,IF(E768*F768&lt;&gt;0,E768*F768,IF(F768*G768&lt;&gt;0,F768*G768,IF(E768*G768&lt;&gt;0,E768*G768,IF(E768&lt;&gt;0,E768,IF(F768&lt;&gt;0,F768,IF(G768&lt;&gt;0,G768,0)))))))*(IF(H768&lt;&gt;0,H768,1))+I768-J768</f>
        <v>3.6134999999999997</v>
      </c>
      <c r="L768" s="255"/>
    </row>
    <row r="769" spans="2:12">
      <c r="B769" s="249" t="s">
        <v>1541</v>
      </c>
      <c r="C769" s="250" t="s">
        <v>1521</v>
      </c>
      <c r="D769" s="205" t="s">
        <v>169</v>
      </c>
      <c r="E769" s="199">
        <v>0.48</v>
      </c>
      <c r="F769" s="199">
        <v>0.15</v>
      </c>
      <c r="G769" s="199">
        <v>0.6</v>
      </c>
      <c r="H769" s="199"/>
      <c r="I769" s="199"/>
      <c r="J769" s="219"/>
      <c r="K769" s="220">
        <f t="shared" si="26"/>
        <v>4.3199999999999995E-2</v>
      </c>
      <c r="L769" s="255"/>
    </row>
    <row r="770" spans="2:12">
      <c r="B770" s="249" t="s">
        <v>1542</v>
      </c>
      <c r="C770" s="250" t="s">
        <v>1521</v>
      </c>
      <c r="D770" s="205" t="s">
        <v>169</v>
      </c>
      <c r="E770" s="199">
        <v>2.7</v>
      </c>
      <c r="F770" s="199">
        <v>0.15</v>
      </c>
      <c r="G770" s="199">
        <v>0.6</v>
      </c>
      <c r="H770" s="199"/>
      <c r="I770" s="199"/>
      <c r="J770" s="219"/>
      <c r="K770" s="220">
        <f t="shared" si="26"/>
        <v>0.24299999999999999</v>
      </c>
      <c r="L770" s="255"/>
    </row>
    <row r="771" spans="2:12">
      <c r="B771" s="249" t="s">
        <v>1543</v>
      </c>
      <c r="C771" s="250" t="s">
        <v>1521</v>
      </c>
      <c r="D771" s="205" t="s">
        <v>169</v>
      </c>
      <c r="E771" s="199">
        <v>2.7</v>
      </c>
      <c r="F771" s="199">
        <v>0.15</v>
      </c>
      <c r="G771" s="199">
        <v>0.6</v>
      </c>
      <c r="H771" s="199"/>
      <c r="I771" s="199"/>
      <c r="J771" s="219"/>
      <c r="K771" s="220">
        <f t="shared" si="26"/>
        <v>0.24299999999999999</v>
      </c>
      <c r="L771" s="255"/>
    </row>
    <row r="772" spans="2:12">
      <c r="B772" s="249" t="s">
        <v>1544</v>
      </c>
      <c r="C772" s="250" t="s">
        <v>1521</v>
      </c>
      <c r="D772" s="205" t="s">
        <v>169</v>
      </c>
      <c r="E772" s="199">
        <v>9.35</v>
      </c>
      <c r="F772" s="199">
        <v>0.2</v>
      </c>
      <c r="G772" s="199">
        <v>0.7</v>
      </c>
      <c r="H772" s="199"/>
      <c r="I772" s="199"/>
      <c r="J772" s="219"/>
      <c r="K772" s="220">
        <f t="shared" si="26"/>
        <v>1.3089999999999999</v>
      </c>
      <c r="L772" s="255"/>
    </row>
    <row r="773" spans="2:12">
      <c r="B773" s="249" t="s">
        <v>1545</v>
      </c>
      <c r="C773" s="250" t="s">
        <v>1521</v>
      </c>
      <c r="D773" s="205" t="s">
        <v>169</v>
      </c>
      <c r="E773" s="199">
        <v>2.85</v>
      </c>
      <c r="F773" s="199">
        <v>0.15</v>
      </c>
      <c r="G773" s="199">
        <v>1</v>
      </c>
      <c r="H773" s="199"/>
      <c r="I773" s="199"/>
      <c r="J773" s="219"/>
      <c r="K773" s="220">
        <f t="shared" si="26"/>
        <v>0.42749999999999999</v>
      </c>
      <c r="L773" s="255"/>
    </row>
    <row r="774" spans="2:12">
      <c r="B774" s="249" t="s">
        <v>1546</v>
      </c>
      <c r="C774" s="250" t="s">
        <v>1521</v>
      </c>
      <c r="D774" s="205" t="s">
        <v>169</v>
      </c>
      <c r="E774" s="199">
        <v>23.39</v>
      </c>
      <c r="F774" s="199">
        <v>0.15</v>
      </c>
      <c r="G774" s="199">
        <v>1</v>
      </c>
      <c r="H774" s="199"/>
      <c r="I774" s="199"/>
      <c r="J774" s="219"/>
      <c r="K774" s="220">
        <f t="shared" si="26"/>
        <v>3.5085000000000002</v>
      </c>
      <c r="L774" s="255"/>
    </row>
    <row r="775" spans="2:12">
      <c r="B775" s="249" t="s">
        <v>1547</v>
      </c>
      <c r="C775" s="250" t="s">
        <v>1521</v>
      </c>
      <c r="D775" s="205" t="s">
        <v>169</v>
      </c>
      <c r="E775" s="199">
        <v>13.7</v>
      </c>
      <c r="F775" s="199">
        <v>0.15</v>
      </c>
      <c r="G775" s="199">
        <v>0.6</v>
      </c>
      <c r="H775" s="199"/>
      <c r="I775" s="199"/>
      <c r="J775" s="219"/>
      <c r="K775" s="220">
        <f t="shared" si="26"/>
        <v>1.2329999999999999</v>
      </c>
      <c r="L775" s="255"/>
    </row>
    <row r="776" spans="2:12">
      <c r="B776" s="249" t="s">
        <v>1548</v>
      </c>
      <c r="C776" s="250" t="s">
        <v>1521</v>
      </c>
      <c r="D776" s="205" t="s">
        <v>169</v>
      </c>
      <c r="E776" s="199">
        <v>0.48</v>
      </c>
      <c r="F776" s="199">
        <v>0.15</v>
      </c>
      <c r="G776" s="199">
        <v>0.6</v>
      </c>
      <c r="H776" s="199"/>
      <c r="I776" s="199"/>
      <c r="J776" s="219"/>
      <c r="K776" s="220">
        <f t="shared" si="26"/>
        <v>4.3199999999999995E-2</v>
      </c>
      <c r="L776" s="255"/>
    </row>
    <row r="777" spans="2:12">
      <c r="B777" s="249" t="s">
        <v>1549</v>
      </c>
      <c r="C777" s="250" t="s">
        <v>1521</v>
      </c>
      <c r="D777" s="205" t="s">
        <v>169</v>
      </c>
      <c r="E777" s="199">
        <v>12.95</v>
      </c>
      <c r="F777" s="199">
        <v>0.2</v>
      </c>
      <c r="G777" s="199">
        <v>0.6</v>
      </c>
      <c r="H777" s="199"/>
      <c r="I777" s="199"/>
      <c r="J777" s="219"/>
      <c r="K777" s="220">
        <f t="shared" si="26"/>
        <v>1.5539999999999998</v>
      </c>
      <c r="L777" s="255"/>
    </row>
    <row r="778" spans="2:12">
      <c r="B778" s="249" t="s">
        <v>1550</v>
      </c>
      <c r="C778" s="250" t="s">
        <v>1521</v>
      </c>
      <c r="D778" s="205" t="s">
        <v>169</v>
      </c>
      <c r="E778" s="199">
        <v>21.37</v>
      </c>
      <c r="F778" s="199">
        <v>0.15</v>
      </c>
      <c r="G778" s="199">
        <v>1</v>
      </c>
      <c r="H778" s="199"/>
      <c r="I778" s="199"/>
      <c r="J778" s="219"/>
      <c r="K778" s="220">
        <f t="shared" si="26"/>
        <v>3.2055000000000002</v>
      </c>
      <c r="L778" s="255"/>
    </row>
    <row r="779" spans="2:12">
      <c r="B779" s="249" t="s">
        <v>1551</v>
      </c>
      <c r="C779" s="250" t="s">
        <v>1521</v>
      </c>
      <c r="D779" s="205" t="s">
        <v>169</v>
      </c>
      <c r="E779" s="199">
        <v>2.86</v>
      </c>
      <c r="F779" s="199">
        <v>0.15</v>
      </c>
      <c r="G779" s="199">
        <v>1</v>
      </c>
      <c r="H779" s="199"/>
      <c r="I779" s="199"/>
      <c r="J779" s="219"/>
      <c r="K779" s="220">
        <f t="shared" si="26"/>
        <v>0.42899999999999999</v>
      </c>
      <c r="L779" s="255"/>
    </row>
    <row r="780" spans="2:12">
      <c r="B780" s="197" t="s">
        <v>1523</v>
      </c>
      <c r="C780" s="189" t="s">
        <v>1521</v>
      </c>
      <c r="D780" s="190" t="s">
        <v>169</v>
      </c>
      <c r="E780" s="199">
        <v>4.71</v>
      </c>
      <c r="F780" s="199">
        <v>0.25</v>
      </c>
      <c r="G780" s="199">
        <v>1.7</v>
      </c>
      <c r="H780" s="199">
        <v>1</v>
      </c>
      <c r="I780" s="199"/>
      <c r="J780" s="219"/>
      <c r="K780" s="217">
        <f t="shared" si="26"/>
        <v>2.0017499999999999</v>
      </c>
      <c r="L780" s="245" t="s">
        <v>1554</v>
      </c>
    </row>
    <row r="781" spans="2:12">
      <c r="B781" s="197" t="s">
        <v>1525</v>
      </c>
      <c r="C781" s="189" t="s">
        <v>1521</v>
      </c>
      <c r="D781" s="190" t="s">
        <v>169</v>
      </c>
      <c r="E781" s="199">
        <v>4.71</v>
      </c>
      <c r="F781" s="199">
        <v>0.15</v>
      </c>
      <c r="G781" s="199">
        <v>1.7</v>
      </c>
      <c r="H781" s="199">
        <v>1</v>
      </c>
      <c r="I781" s="199"/>
      <c r="J781" s="219"/>
      <c r="K781" s="217">
        <f t="shared" si="26"/>
        <v>1.20105</v>
      </c>
      <c r="L781" s="245" t="s">
        <v>1554</v>
      </c>
    </row>
    <row r="782" spans="2:12">
      <c r="B782" s="197" t="s">
        <v>1526</v>
      </c>
      <c r="C782" s="189" t="s">
        <v>1521</v>
      </c>
      <c r="D782" s="190" t="s">
        <v>169</v>
      </c>
      <c r="E782" s="199">
        <v>2.54</v>
      </c>
      <c r="F782" s="199">
        <v>0.15</v>
      </c>
      <c r="G782" s="199">
        <v>1.7</v>
      </c>
      <c r="H782" s="199">
        <v>1</v>
      </c>
      <c r="I782" s="199"/>
      <c r="J782" s="219"/>
      <c r="K782" s="217">
        <f t="shared" si="26"/>
        <v>0.64769999999999994</v>
      </c>
      <c r="L782" s="245" t="s">
        <v>1554</v>
      </c>
    </row>
    <row r="783" spans="2:12">
      <c r="B783" s="197" t="s">
        <v>1527</v>
      </c>
      <c r="C783" s="189" t="s">
        <v>1521</v>
      </c>
      <c r="D783" s="190" t="s">
        <v>169</v>
      </c>
      <c r="E783" s="199">
        <v>2.2000000000000002</v>
      </c>
      <c r="F783" s="199">
        <v>0.15</v>
      </c>
      <c r="G783" s="199">
        <v>1.7</v>
      </c>
      <c r="H783" s="199">
        <v>1</v>
      </c>
      <c r="I783" s="199"/>
      <c r="J783" s="219"/>
      <c r="K783" s="217">
        <f t="shared" si="26"/>
        <v>0.56100000000000005</v>
      </c>
      <c r="L783" s="245" t="s">
        <v>1554</v>
      </c>
    </row>
    <row r="784" spans="2:12">
      <c r="B784" s="197" t="s">
        <v>1528</v>
      </c>
      <c r="C784" s="189" t="s">
        <v>1521</v>
      </c>
      <c r="D784" s="190" t="s">
        <v>169</v>
      </c>
      <c r="E784" s="199">
        <v>2.2000000000000002</v>
      </c>
      <c r="F784" s="199">
        <v>0.15</v>
      </c>
      <c r="G784" s="199">
        <v>1.7</v>
      </c>
      <c r="H784" s="199">
        <v>1</v>
      </c>
      <c r="I784" s="199"/>
      <c r="J784" s="219"/>
      <c r="K784" s="217">
        <f t="shared" si="26"/>
        <v>0.56100000000000005</v>
      </c>
      <c r="L784" s="245" t="s">
        <v>1554</v>
      </c>
    </row>
    <row r="785" spans="2:12">
      <c r="B785" s="197" t="s">
        <v>1529</v>
      </c>
      <c r="C785" s="189" t="s">
        <v>1521</v>
      </c>
      <c r="D785" s="190" t="s">
        <v>169</v>
      </c>
      <c r="E785" s="199">
        <v>1.24</v>
      </c>
      <c r="F785" s="199">
        <v>0.2</v>
      </c>
      <c r="G785" s="199">
        <v>1.7</v>
      </c>
      <c r="H785" s="199">
        <v>1</v>
      </c>
      <c r="I785" s="199"/>
      <c r="J785" s="219"/>
      <c r="K785" s="217">
        <f t="shared" si="26"/>
        <v>0.42159999999999997</v>
      </c>
      <c r="L785" s="245" t="s">
        <v>1554</v>
      </c>
    </row>
    <row r="786" spans="2:12">
      <c r="B786" s="197" t="s">
        <v>1530</v>
      </c>
      <c r="C786" s="189" t="s">
        <v>1521</v>
      </c>
      <c r="D786" s="190" t="s">
        <v>169</v>
      </c>
      <c r="E786" s="199">
        <v>1.24</v>
      </c>
      <c r="F786" s="199">
        <v>0.2</v>
      </c>
      <c r="G786" s="199">
        <v>1.7</v>
      </c>
      <c r="H786" s="199">
        <v>1</v>
      </c>
      <c r="I786" s="199"/>
      <c r="J786" s="219"/>
      <c r="K786" s="217">
        <f t="shared" si="26"/>
        <v>0.42159999999999997</v>
      </c>
      <c r="L786" s="245" t="s">
        <v>1554</v>
      </c>
    </row>
    <row r="787" spans="2:12">
      <c r="B787" s="197" t="s">
        <v>1614</v>
      </c>
      <c r="C787" s="189" t="s">
        <v>1611</v>
      </c>
      <c r="D787" s="190" t="s">
        <v>169</v>
      </c>
      <c r="E787" s="199">
        <v>3.63</v>
      </c>
      <c r="F787" s="199">
        <v>0.2</v>
      </c>
      <c r="G787" s="199">
        <v>0.7</v>
      </c>
      <c r="H787" s="199"/>
      <c r="I787" s="199"/>
      <c r="J787" s="219"/>
      <c r="K787" s="217">
        <f t="shared" si="26"/>
        <v>0.50819999999999999</v>
      </c>
      <c r="L787" s="218"/>
    </row>
    <row r="788" spans="2:12">
      <c r="B788" s="197" t="s">
        <v>1614</v>
      </c>
      <c r="C788" s="189" t="s">
        <v>1611</v>
      </c>
      <c r="D788" s="190" t="s">
        <v>169</v>
      </c>
      <c r="E788" s="199">
        <v>27.92</v>
      </c>
      <c r="F788" s="199">
        <v>0.2</v>
      </c>
      <c r="G788" s="199">
        <v>0.6</v>
      </c>
      <c r="H788" s="199"/>
      <c r="I788" s="199"/>
      <c r="J788" s="219"/>
      <c r="K788" s="217">
        <f t="shared" si="26"/>
        <v>3.3504</v>
      </c>
      <c r="L788" s="218"/>
    </row>
    <row r="789" spans="2:12">
      <c r="B789" s="197" t="s">
        <v>1615</v>
      </c>
      <c r="C789" s="189" t="s">
        <v>1611</v>
      </c>
      <c r="D789" s="190" t="s">
        <v>169</v>
      </c>
      <c r="E789" s="199">
        <v>2.7</v>
      </c>
      <c r="F789" s="199">
        <v>0.15</v>
      </c>
      <c r="G789" s="199">
        <v>0.6</v>
      </c>
      <c r="H789" s="199"/>
      <c r="I789" s="199"/>
      <c r="J789" s="219"/>
      <c r="K789" s="217">
        <f t="shared" si="26"/>
        <v>0.24299999999999999</v>
      </c>
      <c r="L789" s="218"/>
    </row>
    <row r="790" spans="2:12">
      <c r="B790" s="197" t="s">
        <v>1616</v>
      </c>
      <c r="C790" s="189" t="s">
        <v>1611</v>
      </c>
      <c r="D790" s="190" t="s">
        <v>169</v>
      </c>
      <c r="E790" s="199">
        <v>4.62</v>
      </c>
      <c r="F790" s="199">
        <v>0.15</v>
      </c>
      <c r="G790" s="199">
        <v>0.6</v>
      </c>
      <c r="H790" s="199"/>
      <c r="I790" s="199"/>
      <c r="J790" s="219"/>
      <c r="K790" s="217">
        <f t="shared" si="26"/>
        <v>0.41579999999999995</v>
      </c>
      <c r="L790" s="218"/>
    </row>
    <row r="791" spans="2:12">
      <c r="B791" s="197" t="s">
        <v>1617</v>
      </c>
      <c r="C791" s="189" t="s">
        <v>1611</v>
      </c>
      <c r="D791" s="190" t="s">
        <v>169</v>
      </c>
      <c r="E791" s="199">
        <v>1.92</v>
      </c>
      <c r="F791" s="199">
        <v>0.15</v>
      </c>
      <c r="G791" s="199">
        <v>0.7</v>
      </c>
      <c r="H791" s="199"/>
      <c r="I791" s="199"/>
      <c r="J791" s="219"/>
      <c r="K791" s="217">
        <f t="shared" si="26"/>
        <v>0.20159999999999997</v>
      </c>
      <c r="L791" s="218"/>
    </row>
    <row r="792" spans="2:12">
      <c r="B792" s="197" t="s">
        <v>1618</v>
      </c>
      <c r="C792" s="189" t="s">
        <v>1611</v>
      </c>
      <c r="D792" s="190" t="s">
        <v>169</v>
      </c>
      <c r="E792" s="199">
        <v>0.84</v>
      </c>
      <c r="F792" s="199">
        <v>0.4</v>
      </c>
      <c r="G792" s="199">
        <v>1</v>
      </c>
      <c r="H792" s="199"/>
      <c r="I792" s="199"/>
      <c r="J792" s="219"/>
      <c r="K792" s="217">
        <f t="shared" si="26"/>
        <v>0.33600000000000002</v>
      </c>
      <c r="L792" s="218"/>
    </row>
    <row r="793" spans="2:12">
      <c r="B793" s="197" t="s">
        <v>1618</v>
      </c>
      <c r="C793" s="189" t="s">
        <v>1611</v>
      </c>
      <c r="D793" s="190" t="s">
        <v>169</v>
      </c>
      <c r="E793" s="199">
        <v>25.92</v>
      </c>
      <c r="F793" s="199">
        <v>0.3</v>
      </c>
      <c r="G793" s="199">
        <v>0.8</v>
      </c>
      <c r="H793" s="199"/>
      <c r="I793" s="199"/>
      <c r="J793" s="219"/>
      <c r="K793" s="217">
        <f t="shared" si="26"/>
        <v>6.2208000000000006</v>
      </c>
      <c r="L793" s="218"/>
    </row>
    <row r="794" spans="2:12">
      <c r="B794" s="197" t="s">
        <v>1619</v>
      </c>
      <c r="C794" s="189" t="s">
        <v>1611</v>
      </c>
      <c r="D794" s="190" t="s">
        <v>169</v>
      </c>
      <c r="E794" s="199">
        <v>16.71</v>
      </c>
      <c r="F794" s="199">
        <v>0.2</v>
      </c>
      <c r="G794" s="199">
        <v>0.7</v>
      </c>
      <c r="H794" s="199"/>
      <c r="I794" s="199"/>
      <c r="J794" s="219"/>
      <c r="K794" s="217">
        <f t="shared" si="26"/>
        <v>2.3394000000000004</v>
      </c>
      <c r="L794" s="218"/>
    </row>
    <row r="795" spans="2:12">
      <c r="B795" s="197" t="s">
        <v>1620</v>
      </c>
      <c r="C795" s="189" t="s">
        <v>1611</v>
      </c>
      <c r="D795" s="190" t="s">
        <v>169</v>
      </c>
      <c r="E795" s="199">
        <v>9.59</v>
      </c>
      <c r="F795" s="199">
        <v>0.15</v>
      </c>
      <c r="G795" s="199">
        <v>0.7</v>
      </c>
      <c r="H795" s="199"/>
      <c r="I795" s="199"/>
      <c r="J795" s="219"/>
      <c r="K795" s="217">
        <f t="shared" si="26"/>
        <v>1.0069499999999998</v>
      </c>
      <c r="L795" s="218"/>
    </row>
    <row r="796" spans="2:12">
      <c r="B796" s="197" t="s">
        <v>1621</v>
      </c>
      <c r="C796" s="189" t="s">
        <v>1611</v>
      </c>
      <c r="D796" s="190" t="s">
        <v>169</v>
      </c>
      <c r="E796" s="199">
        <v>1.44</v>
      </c>
      <c r="F796" s="199">
        <v>0.15</v>
      </c>
      <c r="G796" s="199">
        <v>0.7</v>
      </c>
      <c r="H796" s="199"/>
      <c r="I796" s="199"/>
      <c r="J796" s="219"/>
      <c r="K796" s="217">
        <f t="shared" si="26"/>
        <v>0.1512</v>
      </c>
      <c r="L796" s="218"/>
    </row>
    <row r="797" spans="2:12">
      <c r="B797" s="197" t="s">
        <v>1622</v>
      </c>
      <c r="C797" s="189" t="s">
        <v>1611</v>
      </c>
      <c r="D797" s="190" t="s">
        <v>169</v>
      </c>
      <c r="E797" s="199">
        <v>6.83</v>
      </c>
      <c r="F797" s="199">
        <v>0.25</v>
      </c>
      <c r="G797" s="199">
        <v>0.6</v>
      </c>
      <c r="H797" s="199"/>
      <c r="I797" s="199"/>
      <c r="J797" s="219"/>
      <c r="K797" s="217">
        <f t="shared" si="26"/>
        <v>1.0245</v>
      </c>
      <c r="L797" s="218"/>
    </row>
    <row r="798" spans="2:12">
      <c r="B798" s="197" t="s">
        <v>1622</v>
      </c>
      <c r="C798" s="189" t="s">
        <v>1611</v>
      </c>
      <c r="D798" s="190" t="s">
        <v>169</v>
      </c>
      <c r="E798" s="199">
        <v>7.5</v>
      </c>
      <c r="F798" s="199">
        <v>0.25</v>
      </c>
      <c r="G798" s="199">
        <v>1</v>
      </c>
      <c r="H798" s="199"/>
      <c r="I798" s="199"/>
      <c r="J798" s="219"/>
      <c r="K798" s="217">
        <f t="shared" si="26"/>
        <v>1.875</v>
      </c>
      <c r="L798" s="218"/>
    </row>
    <row r="799" spans="2:12">
      <c r="B799" s="197" t="s">
        <v>1622</v>
      </c>
      <c r="C799" s="189" t="s">
        <v>1611</v>
      </c>
      <c r="D799" s="190" t="s">
        <v>169</v>
      </c>
      <c r="E799" s="199">
        <v>6.17</v>
      </c>
      <c r="F799" s="199">
        <v>0.25</v>
      </c>
      <c r="G799" s="199">
        <v>0.6</v>
      </c>
      <c r="H799" s="199"/>
      <c r="I799" s="199"/>
      <c r="J799" s="219"/>
      <c r="K799" s="217">
        <f t="shared" si="26"/>
        <v>0.92549999999999999</v>
      </c>
      <c r="L799" s="218"/>
    </row>
    <row r="800" spans="2:12">
      <c r="B800" s="197" t="s">
        <v>1623</v>
      </c>
      <c r="C800" s="189" t="s">
        <v>1611</v>
      </c>
      <c r="D800" s="190" t="s">
        <v>169</v>
      </c>
      <c r="E800" s="199">
        <v>11.82</v>
      </c>
      <c r="F800" s="199">
        <v>0.2</v>
      </c>
      <c r="G800" s="199">
        <v>0.8</v>
      </c>
      <c r="H800" s="199"/>
      <c r="I800" s="199"/>
      <c r="J800" s="219"/>
      <c r="K800" s="217">
        <f t="shared" ref="K800:K822" si="27">IF(E800*F800*G800&lt;&gt;0,E800*F800*G800,IF(E800*F800&lt;&gt;0,E800*F800,IF(F800*G800&lt;&gt;0,F800*G800,IF(E800*G800&lt;&gt;0,E800*G800,IF(E800&lt;&gt;0,E800,IF(F800&lt;&gt;0,F800,IF(G800&lt;&gt;0,G800,0)))))))*(IF(H800&lt;&gt;0,H800,1))+I800-J800</f>
        <v>1.8912000000000004</v>
      </c>
      <c r="L800" s="218"/>
    </row>
    <row r="801" spans="2:12">
      <c r="B801" s="197" t="s">
        <v>1624</v>
      </c>
      <c r="C801" s="189" t="s">
        <v>1611</v>
      </c>
      <c r="D801" s="190" t="s">
        <v>169</v>
      </c>
      <c r="E801" s="199">
        <v>19.25</v>
      </c>
      <c r="F801" s="199">
        <v>0.25</v>
      </c>
      <c r="G801" s="199">
        <v>0.7</v>
      </c>
      <c r="H801" s="199"/>
      <c r="I801" s="199"/>
      <c r="J801" s="219"/>
      <c r="K801" s="217">
        <f t="shared" si="27"/>
        <v>3.3687499999999999</v>
      </c>
      <c r="L801" s="218"/>
    </row>
    <row r="802" spans="2:12">
      <c r="B802" s="197" t="s">
        <v>1625</v>
      </c>
      <c r="C802" s="189" t="s">
        <v>1611</v>
      </c>
      <c r="D802" s="190" t="s">
        <v>169</v>
      </c>
      <c r="E802" s="199">
        <v>5.14</v>
      </c>
      <c r="F802" s="199">
        <v>0.15</v>
      </c>
      <c r="G802" s="199">
        <v>0.6</v>
      </c>
      <c r="H802" s="199"/>
      <c r="I802" s="199"/>
      <c r="J802" s="219"/>
      <c r="K802" s="217">
        <f t="shared" si="27"/>
        <v>0.4625999999999999</v>
      </c>
      <c r="L802" s="218"/>
    </row>
    <row r="803" spans="2:12">
      <c r="B803" s="197" t="s">
        <v>1626</v>
      </c>
      <c r="C803" s="189" t="s">
        <v>1611</v>
      </c>
      <c r="D803" s="190" t="s">
        <v>169</v>
      </c>
      <c r="E803" s="199">
        <v>6.34</v>
      </c>
      <c r="F803" s="199">
        <v>0.2</v>
      </c>
      <c r="G803" s="199">
        <v>0.6</v>
      </c>
      <c r="H803" s="199"/>
      <c r="I803" s="199"/>
      <c r="J803" s="219"/>
      <c r="K803" s="217">
        <f t="shared" si="27"/>
        <v>0.76080000000000003</v>
      </c>
      <c r="L803" s="218"/>
    </row>
    <row r="804" spans="2:12">
      <c r="B804" s="197" t="s">
        <v>1626</v>
      </c>
      <c r="C804" s="189" t="s">
        <v>1611</v>
      </c>
      <c r="D804" s="190" t="s">
        <v>169</v>
      </c>
      <c r="E804" s="199">
        <v>3.78</v>
      </c>
      <c r="F804" s="199">
        <v>0.2</v>
      </c>
      <c r="G804" s="199">
        <v>0.7</v>
      </c>
      <c r="H804" s="199"/>
      <c r="I804" s="199"/>
      <c r="J804" s="219"/>
      <c r="K804" s="217">
        <f t="shared" si="27"/>
        <v>0.5292</v>
      </c>
      <c r="L804" s="218"/>
    </row>
    <row r="805" spans="2:12">
      <c r="B805" s="197" t="s">
        <v>1627</v>
      </c>
      <c r="C805" s="189" t="s">
        <v>1611</v>
      </c>
      <c r="D805" s="190" t="s">
        <v>169</v>
      </c>
      <c r="E805" s="199">
        <v>35.049999999999997</v>
      </c>
      <c r="F805" s="199">
        <v>0.2</v>
      </c>
      <c r="G805" s="199">
        <v>0.7</v>
      </c>
      <c r="H805" s="199"/>
      <c r="I805" s="199"/>
      <c r="J805" s="219"/>
      <c r="K805" s="217">
        <f t="shared" si="27"/>
        <v>4.9069999999999991</v>
      </c>
      <c r="L805" s="218"/>
    </row>
    <row r="806" spans="2:12">
      <c r="B806" s="197" t="s">
        <v>1627</v>
      </c>
      <c r="C806" s="189" t="s">
        <v>1611</v>
      </c>
      <c r="D806" s="190" t="s">
        <v>169</v>
      </c>
      <c r="E806" s="199">
        <v>5.05</v>
      </c>
      <c r="F806" s="199">
        <v>0.2</v>
      </c>
      <c r="G806" s="199">
        <v>1</v>
      </c>
      <c r="H806" s="199"/>
      <c r="I806" s="199"/>
      <c r="J806" s="219"/>
      <c r="K806" s="217">
        <f t="shared" si="27"/>
        <v>1.01</v>
      </c>
      <c r="L806" s="218"/>
    </row>
    <row r="807" spans="2:12">
      <c r="B807" s="197" t="s">
        <v>1628</v>
      </c>
      <c r="C807" s="189" t="s">
        <v>1611</v>
      </c>
      <c r="D807" s="190" t="s">
        <v>169</v>
      </c>
      <c r="E807" s="199">
        <v>12.91</v>
      </c>
      <c r="F807" s="199">
        <v>0.25</v>
      </c>
      <c r="G807" s="199">
        <v>0.7</v>
      </c>
      <c r="H807" s="199"/>
      <c r="I807" s="199"/>
      <c r="J807" s="219"/>
      <c r="K807" s="217">
        <f t="shared" si="27"/>
        <v>2.2592499999999998</v>
      </c>
      <c r="L807" s="218"/>
    </row>
    <row r="808" spans="2:12">
      <c r="B808" s="197" t="s">
        <v>1629</v>
      </c>
      <c r="C808" s="189" t="s">
        <v>1611</v>
      </c>
      <c r="D808" s="190" t="s">
        <v>169</v>
      </c>
      <c r="E808" s="199">
        <v>9.65</v>
      </c>
      <c r="F808" s="199">
        <v>0.3</v>
      </c>
      <c r="G808" s="199">
        <v>0.7</v>
      </c>
      <c r="H808" s="199"/>
      <c r="I808" s="199"/>
      <c r="J808" s="219"/>
      <c r="K808" s="217">
        <f t="shared" si="27"/>
        <v>2.0265</v>
      </c>
      <c r="L808" s="218"/>
    </row>
    <row r="809" spans="2:12">
      <c r="B809" s="197" t="s">
        <v>1629</v>
      </c>
      <c r="C809" s="189" t="s">
        <v>1611</v>
      </c>
      <c r="D809" s="190" t="s">
        <v>169</v>
      </c>
      <c r="E809" s="199">
        <v>2.91</v>
      </c>
      <c r="F809" s="199">
        <v>0.3</v>
      </c>
      <c r="G809" s="199">
        <v>0.65</v>
      </c>
      <c r="H809" s="199"/>
      <c r="I809" s="199"/>
      <c r="J809" s="219"/>
      <c r="K809" s="217">
        <f t="shared" si="27"/>
        <v>0.56745000000000001</v>
      </c>
      <c r="L809" s="218"/>
    </row>
    <row r="810" spans="2:12">
      <c r="B810" s="197" t="s">
        <v>1630</v>
      </c>
      <c r="C810" s="189" t="s">
        <v>1611</v>
      </c>
      <c r="D810" s="190" t="s">
        <v>169</v>
      </c>
      <c r="E810" s="199">
        <v>12.35</v>
      </c>
      <c r="F810" s="199">
        <v>0.15</v>
      </c>
      <c r="G810" s="199">
        <v>0.7</v>
      </c>
      <c r="H810" s="199"/>
      <c r="I810" s="199"/>
      <c r="J810" s="219"/>
      <c r="K810" s="217">
        <f t="shared" si="27"/>
        <v>1.2967499999999998</v>
      </c>
      <c r="L810" s="218"/>
    </row>
    <row r="811" spans="2:12">
      <c r="B811" s="197" t="s">
        <v>1631</v>
      </c>
      <c r="C811" s="189" t="s">
        <v>1611</v>
      </c>
      <c r="D811" s="190" t="s">
        <v>169</v>
      </c>
      <c r="E811" s="199">
        <v>16.260000000000002</v>
      </c>
      <c r="F811" s="199">
        <v>0.15</v>
      </c>
      <c r="G811" s="199">
        <v>1</v>
      </c>
      <c r="H811" s="199"/>
      <c r="I811" s="199"/>
      <c r="J811" s="219"/>
      <c r="K811" s="217">
        <f t="shared" si="27"/>
        <v>2.4390000000000001</v>
      </c>
      <c r="L811" s="218"/>
    </row>
    <row r="812" spans="2:12">
      <c r="B812" s="197" t="s">
        <v>1632</v>
      </c>
      <c r="C812" s="189" t="s">
        <v>1611</v>
      </c>
      <c r="D812" s="190" t="s">
        <v>169</v>
      </c>
      <c r="E812" s="199">
        <v>9.77</v>
      </c>
      <c r="F812" s="199">
        <v>0.3</v>
      </c>
      <c r="G812" s="199">
        <v>0.6</v>
      </c>
      <c r="H812" s="199"/>
      <c r="I812" s="199"/>
      <c r="J812" s="219"/>
      <c r="K812" s="217">
        <f t="shared" si="27"/>
        <v>1.7585999999999997</v>
      </c>
      <c r="L812" s="218"/>
    </row>
    <row r="813" spans="2:12">
      <c r="B813" s="197" t="s">
        <v>1633</v>
      </c>
      <c r="C813" s="189" t="s">
        <v>1611</v>
      </c>
      <c r="D813" s="190" t="s">
        <v>169</v>
      </c>
      <c r="E813" s="199">
        <v>8.8000000000000007</v>
      </c>
      <c r="F813" s="199">
        <v>0.15</v>
      </c>
      <c r="G813" s="199">
        <v>0.8</v>
      </c>
      <c r="H813" s="199"/>
      <c r="I813" s="199"/>
      <c r="J813" s="219"/>
      <c r="K813" s="217">
        <f t="shared" si="27"/>
        <v>1.056</v>
      </c>
      <c r="L813" s="218"/>
    </row>
    <row r="814" spans="2:12">
      <c r="B814" s="197" t="s">
        <v>1634</v>
      </c>
      <c r="C814" s="189" t="s">
        <v>1611</v>
      </c>
      <c r="D814" s="190" t="s">
        <v>169</v>
      </c>
      <c r="E814" s="199">
        <v>3.82</v>
      </c>
      <c r="F814" s="199">
        <v>0.3</v>
      </c>
      <c r="G814" s="199">
        <v>0.6</v>
      </c>
      <c r="H814" s="199"/>
      <c r="I814" s="199"/>
      <c r="J814" s="219"/>
      <c r="K814" s="217">
        <f t="shared" si="27"/>
        <v>0.68759999999999988</v>
      </c>
      <c r="L814" s="218"/>
    </row>
    <row r="815" spans="2:12">
      <c r="B815" s="197" t="s">
        <v>1635</v>
      </c>
      <c r="C815" s="189" t="s">
        <v>1611</v>
      </c>
      <c r="D815" s="190" t="s">
        <v>169</v>
      </c>
      <c r="E815" s="199">
        <v>2.54</v>
      </c>
      <c r="F815" s="199">
        <v>0.15</v>
      </c>
      <c r="G815" s="199">
        <v>0.6</v>
      </c>
      <c r="H815" s="199"/>
      <c r="I815" s="199"/>
      <c r="J815" s="219"/>
      <c r="K815" s="217">
        <f t="shared" si="27"/>
        <v>0.2286</v>
      </c>
      <c r="L815" s="218"/>
    </row>
    <row r="816" spans="2:12">
      <c r="B816" s="197" t="s">
        <v>1636</v>
      </c>
      <c r="C816" s="189" t="s">
        <v>1611</v>
      </c>
      <c r="D816" s="190" t="s">
        <v>169</v>
      </c>
      <c r="E816" s="199">
        <v>9.4</v>
      </c>
      <c r="F816" s="199">
        <v>0.2</v>
      </c>
      <c r="G816" s="199">
        <v>0.6</v>
      </c>
      <c r="H816" s="199"/>
      <c r="I816" s="199"/>
      <c r="J816" s="219"/>
      <c r="K816" s="217">
        <f t="shared" si="27"/>
        <v>1.1280000000000001</v>
      </c>
      <c r="L816" s="218"/>
    </row>
    <row r="817" spans="2:12">
      <c r="B817" s="197" t="s">
        <v>1637</v>
      </c>
      <c r="C817" s="189" t="s">
        <v>1611</v>
      </c>
      <c r="D817" s="190" t="s">
        <v>169</v>
      </c>
      <c r="E817" s="199">
        <v>3.84</v>
      </c>
      <c r="F817" s="199">
        <v>0.2</v>
      </c>
      <c r="G817" s="199">
        <v>0.7</v>
      </c>
      <c r="H817" s="199"/>
      <c r="I817" s="199"/>
      <c r="J817" s="219"/>
      <c r="K817" s="217">
        <f t="shared" si="27"/>
        <v>0.53759999999999997</v>
      </c>
      <c r="L817" s="218"/>
    </row>
    <row r="818" spans="2:12">
      <c r="B818" s="197" t="s">
        <v>1638</v>
      </c>
      <c r="C818" s="189" t="s">
        <v>1611</v>
      </c>
      <c r="D818" s="190" t="s">
        <v>169</v>
      </c>
      <c r="E818" s="199">
        <v>2.84</v>
      </c>
      <c r="F818" s="199">
        <v>0.2</v>
      </c>
      <c r="G818" s="199">
        <v>0.6</v>
      </c>
      <c r="H818" s="199"/>
      <c r="I818" s="199"/>
      <c r="J818" s="219"/>
      <c r="K818" s="217">
        <f t="shared" si="27"/>
        <v>0.34079999999999994</v>
      </c>
      <c r="L818" s="218"/>
    </row>
    <row r="819" spans="2:12">
      <c r="B819" s="197" t="s">
        <v>1639</v>
      </c>
      <c r="C819" s="189" t="s">
        <v>1611</v>
      </c>
      <c r="D819" s="190" t="s">
        <v>169</v>
      </c>
      <c r="E819" s="199">
        <v>9.4700000000000006</v>
      </c>
      <c r="F819" s="199">
        <v>0.15</v>
      </c>
      <c r="G819" s="199">
        <v>1</v>
      </c>
      <c r="H819" s="199"/>
      <c r="I819" s="199"/>
      <c r="J819" s="219"/>
      <c r="K819" s="217">
        <f t="shared" si="27"/>
        <v>1.4205000000000001</v>
      </c>
      <c r="L819" s="218"/>
    </row>
    <row r="820" spans="2:12">
      <c r="B820" s="197" t="s">
        <v>1640</v>
      </c>
      <c r="C820" s="189" t="s">
        <v>1611</v>
      </c>
      <c r="D820" s="190" t="s">
        <v>169</v>
      </c>
      <c r="E820" s="199">
        <v>21.33</v>
      </c>
      <c r="F820" s="199">
        <v>0.15</v>
      </c>
      <c r="G820" s="199">
        <v>1</v>
      </c>
      <c r="H820" s="199"/>
      <c r="I820" s="199"/>
      <c r="J820" s="219"/>
      <c r="K820" s="217">
        <f t="shared" si="27"/>
        <v>3.1994999999999996</v>
      </c>
      <c r="L820" s="218"/>
    </row>
    <row r="821" spans="2:12">
      <c r="B821" s="197" t="s">
        <v>1641</v>
      </c>
      <c r="C821" s="189" t="s">
        <v>1611</v>
      </c>
      <c r="D821" s="190" t="s">
        <v>169</v>
      </c>
      <c r="E821" s="199">
        <v>4.58</v>
      </c>
      <c r="F821" s="199">
        <v>0.2</v>
      </c>
      <c r="G821" s="199">
        <v>0.6</v>
      </c>
      <c r="H821" s="199"/>
      <c r="I821" s="199"/>
      <c r="J821" s="219"/>
      <c r="K821" s="217">
        <f t="shared" si="27"/>
        <v>0.54959999999999998</v>
      </c>
      <c r="L821" s="218"/>
    </row>
    <row r="822" spans="2:12">
      <c r="B822" s="249"/>
      <c r="C822" s="250"/>
      <c r="D822" s="205"/>
      <c r="E822" s="199"/>
      <c r="F822" s="199"/>
      <c r="G822" s="199"/>
      <c r="H822" s="199"/>
      <c r="I822" s="199"/>
      <c r="J822" s="219"/>
      <c r="K822" s="220">
        <f t="shared" si="27"/>
        <v>0</v>
      </c>
      <c r="L822" s="255"/>
    </row>
    <row r="823" spans="2:12">
      <c r="B823" s="208"/>
      <c r="C823" s="204"/>
      <c r="D823" s="204"/>
      <c r="E823" s="204"/>
      <c r="F823" s="204"/>
      <c r="G823" s="204"/>
      <c r="H823" s="204"/>
      <c r="I823" s="557" t="s">
        <v>1221</v>
      </c>
      <c r="J823" s="557"/>
      <c r="K823" s="262">
        <f>SUM(K736:K822)</f>
        <v>125.37155000000001</v>
      </c>
      <c r="L823" s="207"/>
    </row>
    <row r="824" spans="2:12">
      <c r="B824" s="208"/>
      <c r="C824" s="204"/>
      <c r="D824" s="204"/>
      <c r="E824" s="204"/>
      <c r="F824" s="204"/>
      <c r="G824" s="204"/>
      <c r="H824" s="209"/>
      <c r="I824" s="557" t="s">
        <v>1222</v>
      </c>
      <c r="J824" s="557"/>
      <c r="K824" s="221">
        <f>VLOOKUP(B734,'BM 004'!$B$27:$R$590,4,0)</f>
        <v>364.43</v>
      </c>
      <c r="L824" s="207"/>
    </row>
    <row r="825" spans="2:12">
      <c r="B825" s="208"/>
      <c r="C825" s="204"/>
      <c r="D825" s="204"/>
      <c r="E825" s="204"/>
      <c r="F825" s="204"/>
      <c r="G825" s="204"/>
      <c r="H825" s="558" t="s">
        <v>1223</v>
      </c>
      <c r="I825" s="558"/>
      <c r="J825" s="558"/>
      <c r="K825" s="222">
        <v>33.200000000000003</v>
      </c>
      <c r="L825" s="207"/>
    </row>
    <row r="826" spans="2:12">
      <c r="B826" s="208"/>
      <c r="C826" s="204"/>
      <c r="D826" s="204"/>
      <c r="E826" s="204"/>
      <c r="F826" s="204"/>
      <c r="G826" s="204"/>
      <c r="H826" s="558" t="s">
        <v>1579</v>
      </c>
      <c r="I826" s="558"/>
      <c r="J826" s="558"/>
      <c r="K826" s="222">
        <f>TRUNC(SUMIF(C736:C822,H826,K736:K822),2)</f>
        <v>51.02</v>
      </c>
      <c r="L826" s="207"/>
    </row>
    <row r="827" spans="2:12">
      <c r="B827" s="213"/>
      <c r="C827" s="214"/>
      <c r="D827" s="214"/>
      <c r="E827" s="214"/>
      <c r="F827" s="214"/>
      <c r="G827" s="214"/>
      <c r="H827" s="559" t="s">
        <v>1224</v>
      </c>
      <c r="I827" s="559"/>
      <c r="J827" s="559"/>
      <c r="K827" s="223">
        <f>IF(K823&gt;K824,K823-K824,0)</f>
        <v>0</v>
      </c>
      <c r="L827" s="209"/>
    </row>
    <row r="829" spans="2:12">
      <c r="B829" s="247" t="s">
        <v>220</v>
      </c>
      <c r="C829" s="565" t="str">
        <f>VLOOKUP(B829,'BM 004'!$B$27:$R$590,2,0)</f>
        <v xml:space="preserve">Armação de pilar ou viga de uma estrutura convencional de concreto armado em um edifício de múltiplos pavimentos utilizando aço ca-60 de 5,0 mm - montagem. </v>
      </c>
      <c r="D829" s="565"/>
      <c r="E829" s="565"/>
      <c r="F829" s="565"/>
      <c r="G829" s="565"/>
      <c r="H829" s="565"/>
      <c r="I829" s="565"/>
      <c r="J829" s="565"/>
      <c r="K829" s="565"/>
      <c r="L829" s="565"/>
    </row>
    <row r="830" spans="2:12">
      <c r="B830" s="248" t="s">
        <v>1209</v>
      </c>
      <c r="C830" s="248"/>
      <c r="D830" s="248" t="s">
        <v>39</v>
      </c>
      <c r="E830" s="248" t="s">
        <v>1210</v>
      </c>
      <c r="F830" s="248" t="s">
        <v>1382</v>
      </c>
      <c r="G830" s="248" t="s">
        <v>1383</v>
      </c>
      <c r="H830" s="248" t="s">
        <v>1384</v>
      </c>
      <c r="I830" s="248" t="s">
        <v>1214</v>
      </c>
      <c r="J830" s="248" t="s">
        <v>1385</v>
      </c>
      <c r="K830" s="248" t="s">
        <v>1216</v>
      </c>
      <c r="L830" s="248" t="s">
        <v>1217</v>
      </c>
    </row>
    <row r="831" spans="2:12">
      <c r="B831" s="249" t="s">
        <v>1387</v>
      </c>
      <c r="C831" s="250" t="s">
        <v>1333</v>
      </c>
      <c r="D831" s="205" t="s">
        <v>152</v>
      </c>
      <c r="E831" s="251">
        <v>208</v>
      </c>
      <c r="F831" s="252">
        <v>0.154</v>
      </c>
      <c r="G831" s="251">
        <v>1.1000000000000001</v>
      </c>
      <c r="H831" s="251">
        <v>0.55000000000000004</v>
      </c>
      <c r="I831" s="251"/>
      <c r="J831" s="253"/>
      <c r="K831" s="254">
        <f>IF(E831*F831*G831&lt;&gt;0,E831*F831*G831,IF(E831*F831&lt;&gt;0,E831*F831,IF(F831*G831&lt;&gt;0,F831*G831,IF(E831*G831&lt;&gt;0,E831*G831,IF(E831&lt;&gt;0,E831,IF(F831&lt;&gt;0,F831,IF(G831&lt;&gt;0,G831,0)))))))*(IF(H831&lt;&gt;0,H831,1))+I831-J831</f>
        <v>19.379360000000002</v>
      </c>
      <c r="L831" s="255"/>
    </row>
    <row r="832" spans="2:12">
      <c r="B832" s="249" t="s">
        <v>1480</v>
      </c>
      <c r="C832" s="250" t="s">
        <v>1441</v>
      </c>
      <c r="D832" s="205" t="s">
        <v>152</v>
      </c>
      <c r="E832" s="251">
        <v>1109</v>
      </c>
      <c r="F832" s="252">
        <f>F831</f>
        <v>0.154</v>
      </c>
      <c r="G832" s="251">
        <f>G831</f>
        <v>1.1000000000000001</v>
      </c>
      <c r="H832" s="251">
        <v>0.5</v>
      </c>
      <c r="I832" s="251"/>
      <c r="J832" s="253"/>
      <c r="K832" s="254">
        <f>IF(E832*F832*G832&lt;&gt;0,E832*F832*G832,IF(E832*F832&lt;&gt;0,E832*F832,IF(F832*G832&lt;&gt;0,F832*G832,IF(E832*G832&lt;&gt;0,E832*G832,IF(E832&lt;&gt;0,E832,IF(F832&lt;&gt;0,F832,IF(G832&lt;&gt;0,G832,0)))))))*(IF(H832&lt;&gt;0,H832,1))+I832-J832</f>
        <v>93.932300000000012</v>
      </c>
      <c r="L832" s="205"/>
    </row>
    <row r="833" spans="2:12">
      <c r="B833" s="249" t="s">
        <v>1555</v>
      </c>
      <c r="C833" s="250" t="s">
        <v>1441</v>
      </c>
      <c r="D833" s="205" t="s">
        <v>152</v>
      </c>
      <c r="E833" s="251"/>
      <c r="F833" s="252"/>
      <c r="G833" s="251"/>
      <c r="H833" s="251">
        <v>0</v>
      </c>
      <c r="I833" s="251"/>
      <c r="J833" s="253"/>
      <c r="K833" s="254">
        <f>IF(E833*F833*G833&lt;&gt;0,E833*F833*G833,IF(E833*F833&lt;&gt;0,E833*F833,IF(F833*G833&lt;&gt;0,F833*G833,IF(E833*G833&lt;&gt;0,E833*G833,IF(E833&lt;&gt;0,E833,IF(F833&lt;&gt;0,F833,IF(G833&lt;&gt;0,G833,0)))))))*(IF(H833&lt;&gt;0,H833,1))+I833-J833</f>
        <v>0</v>
      </c>
      <c r="L833" s="205"/>
    </row>
    <row r="834" spans="2:12">
      <c r="B834" s="249" t="s">
        <v>1681</v>
      </c>
      <c r="C834" s="250" t="s">
        <v>1611</v>
      </c>
      <c r="D834" s="205" t="s">
        <v>152</v>
      </c>
      <c r="E834" s="251">
        <v>735</v>
      </c>
      <c r="F834" s="252">
        <v>0.154</v>
      </c>
      <c r="G834" s="251">
        <v>1.1000000000000001</v>
      </c>
      <c r="H834" s="251">
        <v>0.3</v>
      </c>
      <c r="I834" s="251"/>
      <c r="J834" s="253"/>
      <c r="K834" s="254">
        <f>IF(E834*F834*G834&lt;&gt;0,E834*F834*G834,IF(E834*F834&lt;&gt;0,E834*F834,IF(F834*G834&lt;&gt;0,F834*G834,IF(E834*G834&lt;&gt;0,E834*G834,IF(E834&lt;&gt;0,E834,IF(F834&lt;&gt;0,F834,IF(G834&lt;&gt;0,G834,0)))))))*(IF(H834&lt;&gt;0,H834,1))+I834-J834</f>
        <v>37.352700000000006</v>
      </c>
      <c r="L834" s="205"/>
    </row>
    <row r="835" spans="2:12">
      <c r="B835" s="267"/>
      <c r="C835" s="205"/>
      <c r="D835" s="205"/>
      <c r="E835" s="251"/>
      <c r="F835" s="252"/>
      <c r="G835" s="251"/>
      <c r="H835" s="251"/>
      <c r="I835" s="251"/>
      <c r="J835" s="253"/>
      <c r="K835" s="254">
        <f>IF(E835*F835*G835&lt;&gt;0,E835*F835*G835,IF(E835*F835&lt;&gt;0,E835*F835,IF(F835*G835&lt;&gt;0,F835*G835,IF(E835*G835&lt;&gt;0,E835*G835,IF(E835&lt;&gt;0,E835,IF(F835&lt;&gt;0,F835,IF(G835&lt;&gt;0,G835,0)))))))*(IF(H835&lt;&gt;0,H835,1))+I835-J835</f>
        <v>0</v>
      </c>
      <c r="L835" s="205"/>
    </row>
    <row r="836" spans="2:12">
      <c r="B836" s="208"/>
      <c r="C836" s="204"/>
      <c r="D836" s="204"/>
      <c r="E836" s="204"/>
      <c r="F836" s="204"/>
      <c r="G836" s="204"/>
      <c r="H836" s="204"/>
      <c r="I836" s="556" t="s">
        <v>1221</v>
      </c>
      <c r="J836" s="556"/>
      <c r="K836" s="262">
        <f>SUM(K831:K835)</f>
        <v>150.66436000000002</v>
      </c>
      <c r="L836" s="207"/>
    </row>
    <row r="837" spans="2:12">
      <c r="B837" s="208"/>
      <c r="C837" s="204"/>
      <c r="D837" s="204"/>
      <c r="E837" s="204"/>
      <c r="F837" s="204"/>
      <c r="G837" s="204"/>
      <c r="H837" s="209"/>
      <c r="I837" s="557" t="s">
        <v>1222</v>
      </c>
      <c r="J837" s="557"/>
      <c r="K837" s="221">
        <f>VLOOKUP(B829,'BM 004'!$B$27:$R$590,4,0)</f>
        <v>347.6</v>
      </c>
      <c r="L837" s="207"/>
    </row>
    <row r="838" spans="2:12">
      <c r="B838" s="208"/>
      <c r="C838" s="204"/>
      <c r="D838" s="204"/>
      <c r="E838" s="204"/>
      <c r="F838" s="204"/>
      <c r="G838" s="204"/>
      <c r="H838" s="558" t="s">
        <v>1223</v>
      </c>
      <c r="I838" s="558"/>
      <c r="J838" s="558"/>
      <c r="K838" s="222">
        <v>113.3</v>
      </c>
      <c r="L838" s="207"/>
    </row>
    <row r="839" spans="2:12">
      <c r="B839" s="208"/>
      <c r="C839" s="204"/>
      <c r="D839" s="204"/>
      <c r="E839" s="204"/>
      <c r="F839" s="204"/>
      <c r="G839" s="204"/>
      <c r="H839" s="558" t="s">
        <v>1579</v>
      </c>
      <c r="I839" s="558"/>
      <c r="J839" s="558"/>
      <c r="K839" s="222">
        <f>TRUNC(SUMIF(C831:C835,H839,K831:K835),2)</f>
        <v>37.35</v>
      </c>
      <c r="L839" s="207"/>
    </row>
    <row r="840" spans="2:12">
      <c r="B840" s="213"/>
      <c r="C840" s="214"/>
      <c r="D840" s="214"/>
      <c r="E840" s="214"/>
      <c r="F840" s="214"/>
      <c r="G840" s="214"/>
      <c r="H840" s="559" t="s">
        <v>1224</v>
      </c>
      <c r="I840" s="559"/>
      <c r="J840" s="559"/>
      <c r="K840" s="223">
        <f>IF(K836&gt;K837,K836-K837,0)</f>
        <v>0</v>
      </c>
      <c r="L840" s="209"/>
    </row>
    <row r="842" spans="2:12">
      <c r="B842" s="247" t="s">
        <v>221</v>
      </c>
      <c r="C842" s="565" t="str">
        <f>VLOOKUP(B842,'BM 004'!$B$27:$R$590,2,0)</f>
        <v>Armação de pilar ou viga de uma estrutura convencional de concreto armado em um edifício de múltiplos pavimentos utilizando aço ca-50 de 6,3 mm - montagem.</v>
      </c>
      <c r="D842" s="565"/>
      <c r="E842" s="565"/>
      <c r="F842" s="565"/>
      <c r="G842" s="565"/>
      <c r="H842" s="565"/>
      <c r="I842" s="565"/>
      <c r="J842" s="565"/>
      <c r="K842" s="565"/>
      <c r="L842" s="565"/>
    </row>
    <row r="843" spans="2:12">
      <c r="B843" s="248" t="s">
        <v>1209</v>
      </c>
      <c r="C843" s="248"/>
      <c r="D843" s="248" t="s">
        <v>39</v>
      </c>
      <c r="E843" s="248" t="s">
        <v>1210</v>
      </c>
      <c r="F843" s="248" t="s">
        <v>1382</v>
      </c>
      <c r="G843" s="248" t="s">
        <v>1383</v>
      </c>
      <c r="H843" s="248" t="s">
        <v>1384</v>
      </c>
      <c r="I843" s="248" t="s">
        <v>1214</v>
      </c>
      <c r="J843" s="248" t="s">
        <v>1385</v>
      </c>
      <c r="K843" s="248" t="s">
        <v>1216</v>
      </c>
      <c r="L843" s="248" t="s">
        <v>1217</v>
      </c>
    </row>
    <row r="844" spans="2:12">
      <c r="B844" s="249" t="s">
        <v>1387</v>
      </c>
      <c r="C844" s="250" t="s">
        <v>1333</v>
      </c>
      <c r="D844" s="205" t="s">
        <v>152</v>
      </c>
      <c r="E844" s="251">
        <v>4472</v>
      </c>
      <c r="F844" s="252">
        <v>0.245</v>
      </c>
      <c r="G844" s="251">
        <v>1.1000000000000001</v>
      </c>
      <c r="H844" s="251">
        <v>0.55000000000000004</v>
      </c>
      <c r="I844" s="251"/>
      <c r="J844" s="253"/>
      <c r="K844" s="254">
        <f>IF(E844*F844*G844&lt;&gt;0,E844*F844*G844,IF(E844*F844&lt;&gt;0,E844*F844,IF(F844*G844&lt;&gt;0,F844*G844,IF(E844*G844&lt;&gt;0,E844*G844,IF(E844&lt;&gt;0,E844,IF(F844&lt;&gt;0,F844,IF(G844&lt;&gt;0,G844,0)))))))*(IF(H844&lt;&gt;0,H844,1))+I844-J844</f>
        <v>662.86220000000003</v>
      </c>
      <c r="L844" s="255"/>
    </row>
    <row r="845" spans="2:12">
      <c r="B845" s="249" t="s">
        <v>1480</v>
      </c>
      <c r="C845" s="250" t="s">
        <v>1441</v>
      </c>
      <c r="D845" s="205" t="s">
        <v>152</v>
      </c>
      <c r="E845" s="251">
        <v>2134</v>
      </c>
      <c r="F845" s="252">
        <f>F844</f>
        <v>0.245</v>
      </c>
      <c r="G845" s="251">
        <f>G844</f>
        <v>1.1000000000000001</v>
      </c>
      <c r="H845" s="251">
        <v>0.5</v>
      </c>
      <c r="I845" s="251"/>
      <c r="J845" s="253"/>
      <c r="K845" s="254">
        <f>IF(E845*F845*G845&lt;&gt;0,E845*F845*G845,IF(E845*F845&lt;&gt;0,E845*F845,IF(F845*G845&lt;&gt;0,F845*G845,IF(E845*G845&lt;&gt;0,E845*G845,IF(E845&lt;&gt;0,E845,IF(F845&lt;&gt;0,F845,IF(G845&lt;&gt;0,G845,0)))))))*(IF(H845&lt;&gt;0,H845,1))+I845-J845</f>
        <v>287.55650000000003</v>
      </c>
      <c r="L845" s="205"/>
    </row>
    <row r="846" spans="2:12">
      <c r="B846" s="249" t="s">
        <v>1555</v>
      </c>
      <c r="C846" s="250" t="s">
        <v>1521</v>
      </c>
      <c r="D846" s="205" t="s">
        <v>152</v>
      </c>
      <c r="E846" s="251">
        <v>2992</v>
      </c>
      <c r="F846" s="252">
        <f>F845</f>
        <v>0.245</v>
      </c>
      <c r="G846" s="251">
        <f>G845</f>
        <v>1.1000000000000001</v>
      </c>
      <c r="H846" s="251">
        <v>0.3</v>
      </c>
      <c r="I846" s="251"/>
      <c r="J846" s="253"/>
      <c r="K846" s="254">
        <f>IF(E846*F846*G846&lt;&gt;0,E846*F846*G846,IF(E846*F846&lt;&gt;0,E846*F846,IF(F846*G846&lt;&gt;0,F846*G846,IF(E846*G846&lt;&gt;0,E846*G846,IF(E846&lt;&gt;0,E846,IF(F846&lt;&gt;0,F846,IF(G846&lt;&gt;0,G846,0)))))))*(IF(H846&lt;&gt;0,H846,1))+I846-J846</f>
        <v>241.9032</v>
      </c>
      <c r="L846" s="205"/>
    </row>
    <row r="847" spans="2:12">
      <c r="B847" s="249" t="s">
        <v>1681</v>
      </c>
      <c r="C847" s="250" t="s">
        <v>1611</v>
      </c>
      <c r="D847" s="205" t="s">
        <v>152</v>
      </c>
      <c r="E847" s="251">
        <v>3859</v>
      </c>
      <c r="F847" s="252">
        <v>0.245</v>
      </c>
      <c r="G847" s="251">
        <v>1.1000000000000001</v>
      </c>
      <c r="H847" s="251">
        <v>0.3</v>
      </c>
      <c r="I847" s="251"/>
      <c r="J847" s="253"/>
      <c r="K847" s="254">
        <f>IF(E847*F847*G847&lt;&gt;0,E847*F847*G847,IF(E847*F847&lt;&gt;0,E847*F847,IF(F847*G847&lt;&gt;0,F847*G847,IF(E847*G847&lt;&gt;0,E847*G847,IF(E847&lt;&gt;0,E847,IF(F847&lt;&gt;0,F847,IF(G847&lt;&gt;0,G847,0)))))))*(IF(H847&lt;&gt;0,H847,1))+I847-J847</f>
        <v>312.00015000000002</v>
      </c>
      <c r="L847" s="205"/>
    </row>
    <row r="848" spans="2:12">
      <c r="B848" s="267"/>
      <c r="C848" s="205"/>
      <c r="D848" s="205"/>
      <c r="E848" s="251"/>
      <c r="F848" s="252"/>
      <c r="G848" s="251"/>
      <c r="H848" s="251"/>
      <c r="I848" s="251"/>
      <c r="J848" s="253"/>
      <c r="K848" s="254">
        <f>IF(E848*F848*G848&lt;&gt;0,E848*F848*G848,IF(E848*F848&lt;&gt;0,E848*F848,IF(F848*G848&lt;&gt;0,F848*G848,IF(E848*G848&lt;&gt;0,E848*G848,IF(E848&lt;&gt;0,E848,IF(F848&lt;&gt;0,F848,IF(G848&lt;&gt;0,G848,0)))))))*(IF(H848&lt;&gt;0,H848,1))+I848-J848</f>
        <v>0</v>
      </c>
      <c r="L848" s="205"/>
    </row>
    <row r="849" spans="2:12">
      <c r="B849" s="208"/>
      <c r="C849" s="204"/>
      <c r="D849" s="204"/>
      <c r="E849" s="204"/>
      <c r="F849" s="204"/>
      <c r="G849" s="204"/>
      <c r="H849" s="204"/>
      <c r="I849" s="556" t="s">
        <v>1221</v>
      </c>
      <c r="J849" s="556"/>
      <c r="K849" s="262">
        <f>SUM(K844:K848)</f>
        <v>1504.3220500000002</v>
      </c>
      <c r="L849" s="207"/>
    </row>
    <row r="850" spans="2:12">
      <c r="B850" s="208"/>
      <c r="C850" s="204"/>
      <c r="D850" s="204"/>
      <c r="E850" s="204"/>
      <c r="F850" s="204"/>
      <c r="G850" s="204"/>
      <c r="H850" s="209"/>
      <c r="I850" s="557" t="s">
        <v>1222</v>
      </c>
      <c r="J850" s="557"/>
      <c r="K850" s="221">
        <f>VLOOKUP(B842,'BM 004'!$B$27:$R$590,4,0)</f>
        <v>3626.7</v>
      </c>
      <c r="L850" s="207"/>
    </row>
    <row r="851" spans="2:12">
      <c r="B851" s="208"/>
      <c r="C851" s="204"/>
      <c r="D851" s="204"/>
      <c r="E851" s="204"/>
      <c r="F851" s="204"/>
      <c r="G851" s="204"/>
      <c r="H851" s="558" t="s">
        <v>1223</v>
      </c>
      <c r="I851" s="558"/>
      <c r="J851" s="558"/>
      <c r="K851" s="222">
        <v>1192.3218999999999</v>
      </c>
      <c r="L851" s="207"/>
    </row>
    <row r="852" spans="2:12">
      <c r="B852" s="208"/>
      <c r="C852" s="204"/>
      <c r="D852" s="204"/>
      <c r="E852" s="204"/>
      <c r="F852" s="204"/>
      <c r="G852" s="204"/>
      <c r="H852" s="558" t="s">
        <v>1579</v>
      </c>
      <c r="I852" s="558"/>
      <c r="J852" s="558"/>
      <c r="K852" s="222">
        <f>TRUNC(SUMIF(C844:C848,H852,K844:K848),2)</f>
        <v>312</v>
      </c>
      <c r="L852" s="207"/>
    </row>
    <row r="853" spans="2:12">
      <c r="B853" s="213"/>
      <c r="C853" s="214"/>
      <c r="D853" s="214"/>
      <c r="E853" s="214"/>
      <c r="F853" s="214"/>
      <c r="G853" s="214"/>
      <c r="H853" s="559" t="s">
        <v>1224</v>
      </c>
      <c r="I853" s="559"/>
      <c r="J853" s="559"/>
      <c r="K853" s="223">
        <f>IF(K849&gt;K850,K849-K850,0)</f>
        <v>0</v>
      </c>
      <c r="L853" s="209"/>
    </row>
    <row r="855" spans="2:12">
      <c r="B855" s="247" t="s">
        <v>223</v>
      </c>
      <c r="C855" s="565" t="str">
        <f>VLOOKUP(B855,'BM 004'!$B$27:$R$590,2,0)</f>
        <v xml:space="preserve">Armação de pilar ou viga de uma estrutura convencional de concreto armado em um edifício de múltiplos pavimentos utilizando aço ca-50 de 8,0 mm - montagem. </v>
      </c>
      <c r="D855" s="565"/>
      <c r="E855" s="565"/>
      <c r="F855" s="565"/>
      <c r="G855" s="565"/>
      <c r="H855" s="565"/>
      <c r="I855" s="565"/>
      <c r="J855" s="565"/>
      <c r="K855" s="565"/>
      <c r="L855" s="565"/>
    </row>
    <row r="856" spans="2:12">
      <c r="B856" s="248" t="s">
        <v>1209</v>
      </c>
      <c r="C856" s="248"/>
      <c r="D856" s="248" t="s">
        <v>39</v>
      </c>
      <c r="E856" s="248" t="s">
        <v>1210</v>
      </c>
      <c r="F856" s="248" t="s">
        <v>1382</v>
      </c>
      <c r="G856" s="248" t="s">
        <v>1383</v>
      </c>
      <c r="H856" s="248" t="s">
        <v>1384</v>
      </c>
      <c r="I856" s="248" t="s">
        <v>1214</v>
      </c>
      <c r="J856" s="248" t="s">
        <v>1385</v>
      </c>
      <c r="K856" s="248" t="s">
        <v>1216</v>
      </c>
      <c r="L856" s="248" t="s">
        <v>1217</v>
      </c>
    </row>
    <row r="857" spans="2:12">
      <c r="B857" s="249" t="s">
        <v>1387</v>
      </c>
      <c r="C857" s="250" t="s">
        <v>1333</v>
      </c>
      <c r="D857" s="205" t="s">
        <v>152</v>
      </c>
      <c r="E857" s="251">
        <v>1288</v>
      </c>
      <c r="F857" s="252">
        <v>0.39500000000000002</v>
      </c>
      <c r="G857" s="251">
        <v>1.1000000000000001</v>
      </c>
      <c r="H857" s="251">
        <v>0.55000000000000004</v>
      </c>
      <c r="I857" s="251"/>
      <c r="J857" s="253"/>
      <c r="K857" s="254">
        <f t="shared" ref="K857:K862" si="28">IF(E857*F857*G857&lt;&gt;0,E857*F857*G857,IF(E857*F857&lt;&gt;0,E857*F857,IF(F857*G857&lt;&gt;0,F857*G857,IF(E857*G857&lt;&gt;0,E857*G857,IF(E857&lt;&gt;0,E857,IF(F857&lt;&gt;0,F857,IF(G857&lt;&gt;0,G857,0)))))))*(IF(H857&lt;&gt;0,H857,1))+I857-J857</f>
        <v>307.79980000000006</v>
      </c>
      <c r="L857" s="255"/>
    </row>
    <row r="858" spans="2:12">
      <c r="B858" s="249" t="s">
        <v>1480</v>
      </c>
      <c r="C858" s="250" t="s">
        <v>1441</v>
      </c>
      <c r="D858" s="205" t="s">
        <v>152</v>
      </c>
      <c r="E858" s="251">
        <v>203</v>
      </c>
      <c r="F858" s="252">
        <f>F857</f>
        <v>0.39500000000000002</v>
      </c>
      <c r="G858" s="251">
        <f>G857</f>
        <v>1.1000000000000001</v>
      </c>
      <c r="H858" s="251">
        <v>0.5</v>
      </c>
      <c r="I858" s="251"/>
      <c r="J858" s="253"/>
      <c r="K858" s="254">
        <f t="shared" si="28"/>
        <v>44.101750000000003</v>
      </c>
      <c r="L858" s="205"/>
    </row>
    <row r="859" spans="2:12">
      <c r="B859" s="249" t="s">
        <v>1480</v>
      </c>
      <c r="C859" s="250" t="s">
        <v>1521</v>
      </c>
      <c r="D859" s="205" t="s">
        <v>152</v>
      </c>
      <c r="E859" s="251">
        <v>1750</v>
      </c>
      <c r="F859" s="252">
        <f>F858</f>
        <v>0.39500000000000002</v>
      </c>
      <c r="G859" s="251">
        <f>G858</f>
        <v>1.1000000000000001</v>
      </c>
      <c r="H859" s="251">
        <v>0.3</v>
      </c>
      <c r="I859" s="251"/>
      <c r="J859" s="253"/>
      <c r="K859" s="254">
        <f t="shared" si="28"/>
        <v>228.11250000000004</v>
      </c>
      <c r="L859" s="205"/>
    </row>
    <row r="860" spans="2:12">
      <c r="B860" s="249" t="s">
        <v>1555</v>
      </c>
      <c r="C860" s="250" t="s">
        <v>1611</v>
      </c>
      <c r="D860" s="205" t="s">
        <v>152</v>
      </c>
      <c r="E860" s="251"/>
      <c r="F860" s="252"/>
      <c r="G860" s="251"/>
      <c r="H860" s="251"/>
      <c r="I860" s="251"/>
      <c r="J860" s="253"/>
      <c r="K860" s="254">
        <f t="shared" si="28"/>
        <v>0</v>
      </c>
      <c r="L860" s="205"/>
    </row>
    <row r="861" spans="2:12">
      <c r="B861" s="249" t="s">
        <v>1681</v>
      </c>
      <c r="C861" s="250" t="s">
        <v>1611</v>
      </c>
      <c r="D861" s="205" t="s">
        <v>152</v>
      </c>
      <c r="E861" s="251">
        <v>815</v>
      </c>
      <c r="F861" s="252">
        <v>0.39500000000000002</v>
      </c>
      <c r="G861" s="251">
        <v>1.1000000000000001</v>
      </c>
      <c r="H861" s="251">
        <v>0.3</v>
      </c>
      <c r="I861" s="251"/>
      <c r="J861" s="253"/>
      <c r="K861" s="254">
        <f t="shared" si="28"/>
        <v>106.23525000000002</v>
      </c>
      <c r="L861" s="205"/>
    </row>
    <row r="862" spans="2:12">
      <c r="B862" s="267"/>
      <c r="C862" s="205"/>
      <c r="D862" s="205"/>
      <c r="E862" s="251"/>
      <c r="F862" s="252"/>
      <c r="G862" s="251"/>
      <c r="H862" s="251"/>
      <c r="I862" s="251"/>
      <c r="J862" s="253"/>
      <c r="K862" s="254">
        <f t="shared" si="28"/>
        <v>0</v>
      </c>
      <c r="L862" s="205"/>
    </row>
    <row r="863" spans="2:12">
      <c r="B863" s="208"/>
      <c r="C863" s="204"/>
      <c r="D863" s="204"/>
      <c r="E863" s="204"/>
      <c r="F863" s="204"/>
      <c r="G863" s="204"/>
      <c r="H863" s="204"/>
      <c r="I863" s="556" t="s">
        <v>1221</v>
      </c>
      <c r="J863" s="556"/>
      <c r="K863" s="262">
        <f>SUM(K857:K862)</f>
        <v>686.24930000000018</v>
      </c>
      <c r="L863" s="207"/>
    </row>
    <row r="864" spans="2:12">
      <c r="B864" s="208"/>
      <c r="C864" s="204"/>
      <c r="D864" s="204"/>
      <c r="E864" s="204"/>
      <c r="F864" s="204"/>
      <c r="G864" s="204"/>
      <c r="H864" s="209"/>
      <c r="I864" s="557" t="s">
        <v>1222</v>
      </c>
      <c r="J864" s="557"/>
      <c r="K864" s="221">
        <f>VLOOKUP(B855,'BM 004'!$B$27:$R$590,4,0)</f>
        <v>1762.2</v>
      </c>
      <c r="L864" s="207"/>
    </row>
    <row r="865" spans="2:12">
      <c r="B865" s="208"/>
      <c r="C865" s="204"/>
      <c r="D865" s="204"/>
      <c r="E865" s="204"/>
      <c r="F865" s="204"/>
      <c r="G865" s="204"/>
      <c r="H865" s="558" t="s">
        <v>1223</v>
      </c>
      <c r="I865" s="558"/>
      <c r="J865" s="558"/>
      <c r="K865" s="222">
        <v>580.01405</v>
      </c>
      <c r="L865" s="207"/>
    </row>
    <row r="866" spans="2:12">
      <c r="B866" s="208"/>
      <c r="C866" s="204"/>
      <c r="D866" s="204"/>
      <c r="E866" s="204"/>
      <c r="F866" s="204"/>
      <c r="G866" s="204"/>
      <c r="H866" s="558" t="s">
        <v>1579</v>
      </c>
      <c r="I866" s="558"/>
      <c r="J866" s="558"/>
      <c r="K866" s="222">
        <f>TRUNC(SUMIF(C857:C862,H866,K857:K862),2)</f>
        <v>106.23</v>
      </c>
      <c r="L866" s="207"/>
    </row>
    <row r="867" spans="2:12">
      <c r="B867" s="213"/>
      <c r="C867" s="214"/>
      <c r="D867" s="214"/>
      <c r="E867" s="214"/>
      <c r="F867" s="214"/>
      <c r="G867" s="214"/>
      <c r="H867" s="559" t="s">
        <v>1224</v>
      </c>
      <c r="I867" s="559"/>
      <c r="J867" s="559"/>
      <c r="K867" s="223">
        <f>IF(K863&gt;K864,K863-K864,0)</f>
        <v>0</v>
      </c>
      <c r="L867" s="209"/>
    </row>
    <row r="869" spans="2:12">
      <c r="B869" s="247" t="s">
        <v>224</v>
      </c>
      <c r="C869" s="565" t="str">
        <f>VLOOKUP(B869,'BM 004'!$B$27:$R$590,2,0)</f>
        <v xml:space="preserve">Armação de pilar ou viga de uma estrutura convencional de concreto armado em um edifício de múltiplos pavimentos utilizando aço ca-50 de 10,0 mm - montagem. </v>
      </c>
      <c r="D869" s="565"/>
      <c r="E869" s="565"/>
      <c r="F869" s="565"/>
      <c r="G869" s="565"/>
      <c r="H869" s="565"/>
      <c r="I869" s="565"/>
      <c r="J869" s="565"/>
      <c r="K869" s="565"/>
      <c r="L869" s="565"/>
    </row>
    <row r="870" spans="2:12">
      <c r="B870" s="248" t="s">
        <v>1209</v>
      </c>
      <c r="C870" s="248"/>
      <c r="D870" s="248" t="s">
        <v>39</v>
      </c>
      <c r="E870" s="248" t="s">
        <v>1210</v>
      </c>
      <c r="F870" s="248" t="s">
        <v>1382</v>
      </c>
      <c r="G870" s="248" t="s">
        <v>1383</v>
      </c>
      <c r="H870" s="248" t="s">
        <v>1384</v>
      </c>
      <c r="I870" s="248" t="s">
        <v>1214</v>
      </c>
      <c r="J870" s="248" t="s">
        <v>1385</v>
      </c>
      <c r="K870" s="248" t="s">
        <v>1216</v>
      </c>
      <c r="L870" s="248" t="s">
        <v>1217</v>
      </c>
    </row>
    <row r="871" spans="2:12">
      <c r="B871" s="249" t="s">
        <v>1387</v>
      </c>
      <c r="C871" s="250" t="s">
        <v>1333</v>
      </c>
      <c r="D871" s="205" t="s">
        <v>152</v>
      </c>
      <c r="E871" s="251">
        <v>82</v>
      </c>
      <c r="F871" s="252">
        <v>0.61699999999999999</v>
      </c>
      <c r="G871" s="251">
        <v>1.1000000000000001</v>
      </c>
      <c r="H871" s="251">
        <v>0.55000000000000004</v>
      </c>
      <c r="I871" s="251"/>
      <c r="J871" s="253"/>
      <c r="K871" s="254">
        <f>IF(E871*F871*G871&lt;&gt;0,E871*F871*G871,IF(E871*F871&lt;&gt;0,E871*F871,IF(F871*G871&lt;&gt;0,F871*G871,IF(E871*G871&lt;&gt;0,E871*G871,IF(E871&lt;&gt;0,E871,IF(F871&lt;&gt;0,F871,IF(G871&lt;&gt;0,G871,0)))))))*(IF(H871&lt;&gt;0,H871,1))+I871-J871</f>
        <v>30.609370000000006</v>
      </c>
      <c r="L871" s="255"/>
    </row>
    <row r="872" spans="2:12">
      <c r="B872" s="249" t="s">
        <v>1480</v>
      </c>
      <c r="C872" s="250" t="s">
        <v>1441</v>
      </c>
      <c r="D872" s="205" t="s">
        <v>152</v>
      </c>
      <c r="E872" s="251">
        <v>494</v>
      </c>
      <c r="F872" s="252">
        <f>F871</f>
        <v>0.61699999999999999</v>
      </c>
      <c r="G872" s="251">
        <f>G871</f>
        <v>1.1000000000000001</v>
      </c>
      <c r="H872" s="251">
        <v>0.5</v>
      </c>
      <c r="I872" s="251"/>
      <c r="J872" s="253"/>
      <c r="K872" s="254">
        <f>IF(E872*F872*G872&lt;&gt;0,E872*F872*G872,IF(E872*F872&lt;&gt;0,E872*F872,IF(F872*G872&lt;&gt;0,F872*G872,IF(E872*G872&lt;&gt;0,E872*G872,IF(E872&lt;&gt;0,E872,IF(F872&lt;&gt;0,F872,IF(G872&lt;&gt;0,G872,0)))))))*(IF(H872&lt;&gt;0,H872,1))+I872-J872</f>
        <v>167.63890000000001</v>
      </c>
      <c r="L872" s="205"/>
    </row>
    <row r="873" spans="2:12">
      <c r="B873" s="249" t="s">
        <v>1555</v>
      </c>
      <c r="C873" s="250" t="s">
        <v>1611</v>
      </c>
      <c r="D873" s="205" t="s">
        <v>152</v>
      </c>
      <c r="E873" s="251"/>
      <c r="F873" s="252"/>
      <c r="G873" s="251"/>
      <c r="H873" s="251"/>
      <c r="I873" s="251"/>
      <c r="J873" s="253"/>
      <c r="K873" s="254">
        <f>IF(E873*F873*G873&lt;&gt;0,E873*F873*G873,IF(E873*F873&lt;&gt;0,E873*F873,IF(F873*G873&lt;&gt;0,F873*G873,IF(E873*G873&lt;&gt;0,E873*G873,IF(E873&lt;&gt;0,E873,IF(F873&lt;&gt;0,F873,IF(G873&lt;&gt;0,G873,0)))))))*(IF(H873&lt;&gt;0,H873,1))+I873-J873</f>
        <v>0</v>
      </c>
      <c r="L873" s="205"/>
    </row>
    <row r="874" spans="2:12">
      <c r="B874" s="249" t="s">
        <v>1681</v>
      </c>
      <c r="C874" s="250" t="s">
        <v>1611</v>
      </c>
      <c r="D874" s="205" t="s">
        <v>152</v>
      </c>
      <c r="E874" s="251">
        <v>222</v>
      </c>
      <c r="F874" s="252">
        <v>0.61699999999999999</v>
      </c>
      <c r="G874" s="251">
        <v>1.1000000000000001</v>
      </c>
      <c r="H874" s="251">
        <v>0.3</v>
      </c>
      <c r="I874" s="251"/>
      <c r="J874" s="253"/>
      <c r="K874" s="254">
        <f>IF(E874*F874*G874&lt;&gt;0,E874*F874*G874,IF(E874*F874&lt;&gt;0,E874*F874,IF(F874*G874&lt;&gt;0,F874*G874,IF(E874*G874&lt;&gt;0,E874*G874,IF(E874&lt;&gt;0,E874,IF(F874&lt;&gt;0,F874,IF(G874&lt;&gt;0,G874,0)))))))*(IF(H874&lt;&gt;0,H874,1))+I874-J874</f>
        <v>45.201419999999999</v>
      </c>
      <c r="L874" s="205"/>
    </row>
    <row r="875" spans="2:12">
      <c r="B875" s="267"/>
      <c r="C875" s="205"/>
      <c r="D875" s="205"/>
      <c r="E875" s="251"/>
      <c r="F875" s="252"/>
      <c r="G875" s="251"/>
      <c r="H875" s="251"/>
      <c r="I875" s="251"/>
      <c r="J875" s="253"/>
      <c r="K875" s="254">
        <f>IF(E875*F875*G875&lt;&gt;0,E875*F875*G875,IF(E875*F875&lt;&gt;0,E875*F875,IF(F875*G875&lt;&gt;0,F875*G875,IF(E875*G875&lt;&gt;0,E875*G875,IF(E875&lt;&gt;0,E875,IF(F875&lt;&gt;0,F875,IF(G875&lt;&gt;0,G875,0)))))))*(IF(H875&lt;&gt;0,H875,1))+I875-J875</f>
        <v>0</v>
      </c>
      <c r="L875" s="205"/>
    </row>
    <row r="876" spans="2:12">
      <c r="B876" s="208"/>
      <c r="C876" s="204"/>
      <c r="D876" s="204"/>
      <c r="E876" s="204"/>
      <c r="F876" s="204"/>
      <c r="G876" s="204"/>
      <c r="H876" s="204"/>
      <c r="I876" s="556" t="s">
        <v>1221</v>
      </c>
      <c r="J876" s="556"/>
      <c r="K876" s="262">
        <f>SUM(K871:K875)</f>
        <v>243.44969000000003</v>
      </c>
      <c r="L876" s="207"/>
    </row>
    <row r="877" spans="2:12">
      <c r="B877" s="208"/>
      <c r="C877" s="204"/>
      <c r="D877" s="204"/>
      <c r="E877" s="204"/>
      <c r="F877" s="204"/>
      <c r="G877" s="204"/>
      <c r="H877" s="209"/>
      <c r="I877" s="557" t="s">
        <v>1222</v>
      </c>
      <c r="J877" s="557"/>
      <c r="K877" s="221">
        <f>VLOOKUP(B869,'BM 004'!$B$27:$R$590,4,0)</f>
        <v>542.29999999999995</v>
      </c>
      <c r="L877" s="207"/>
    </row>
    <row r="878" spans="2:12">
      <c r="B878" s="208"/>
      <c r="C878" s="204"/>
      <c r="D878" s="204"/>
      <c r="E878" s="204"/>
      <c r="F878" s="204"/>
      <c r="G878" s="204"/>
      <c r="H878" s="558" t="s">
        <v>1223</v>
      </c>
      <c r="I878" s="558"/>
      <c r="J878" s="558"/>
      <c r="K878" s="222">
        <v>198.23</v>
      </c>
      <c r="L878" s="207"/>
    </row>
    <row r="879" spans="2:12">
      <c r="B879" s="208"/>
      <c r="C879" s="204"/>
      <c r="D879" s="204"/>
      <c r="E879" s="204"/>
      <c r="F879" s="204"/>
      <c r="G879" s="204"/>
      <c r="H879" s="558" t="s">
        <v>1579</v>
      </c>
      <c r="I879" s="558"/>
      <c r="J879" s="558"/>
      <c r="K879" s="222">
        <f>TRUNC(SUMIF(C871:C875,H879,K871:K875),2)</f>
        <v>45.2</v>
      </c>
      <c r="L879" s="207"/>
    </row>
    <row r="880" spans="2:12">
      <c r="B880" s="213"/>
      <c r="C880" s="214"/>
      <c r="D880" s="214"/>
      <c r="E880" s="214"/>
      <c r="F880" s="214"/>
      <c r="G880" s="214"/>
      <c r="H880" s="559" t="s">
        <v>1224</v>
      </c>
      <c r="I880" s="559"/>
      <c r="J880" s="559"/>
      <c r="K880" s="223">
        <f>IF(K876&gt;K877,K876-K877,0)</f>
        <v>0</v>
      </c>
      <c r="L880" s="209"/>
    </row>
    <row r="882" spans="2:12">
      <c r="B882" s="247" t="s">
        <v>225</v>
      </c>
      <c r="C882" s="565" t="str">
        <f>VLOOKUP(B882,'BM 004'!$B$27:$R$590,2,0)</f>
        <v xml:space="preserve">Armação de pilar ou viga de uma estrutura convencional de concreto armado em um edifício de múltiplos pavimentos utilizando aço ca-50 de 12,5 mm - montagem. </v>
      </c>
      <c r="D882" s="565"/>
      <c r="E882" s="565"/>
      <c r="F882" s="565"/>
      <c r="G882" s="565"/>
      <c r="H882" s="565"/>
      <c r="I882" s="565"/>
      <c r="J882" s="565"/>
      <c r="K882" s="565"/>
      <c r="L882" s="565"/>
    </row>
    <row r="883" spans="2:12">
      <c r="B883" s="248" t="s">
        <v>1209</v>
      </c>
      <c r="C883" s="248"/>
      <c r="D883" s="248" t="s">
        <v>39</v>
      </c>
      <c r="E883" s="248" t="s">
        <v>1210</v>
      </c>
      <c r="F883" s="248" t="s">
        <v>1382</v>
      </c>
      <c r="G883" s="248" t="s">
        <v>1383</v>
      </c>
      <c r="H883" s="248" t="s">
        <v>1384</v>
      </c>
      <c r="I883" s="248" t="s">
        <v>1214</v>
      </c>
      <c r="J883" s="248" t="s">
        <v>1385</v>
      </c>
      <c r="K883" s="248" t="s">
        <v>1216</v>
      </c>
      <c r="L883" s="248" t="s">
        <v>1217</v>
      </c>
    </row>
    <row r="884" spans="2:12">
      <c r="B884" s="249" t="s">
        <v>1387</v>
      </c>
      <c r="C884" s="250" t="s">
        <v>1333</v>
      </c>
      <c r="D884" s="205" t="s">
        <v>152</v>
      </c>
      <c r="E884" s="251">
        <v>169</v>
      </c>
      <c r="F884" s="252">
        <v>0.96299999999999997</v>
      </c>
      <c r="G884" s="251">
        <v>1.1000000000000001</v>
      </c>
      <c r="H884" s="251">
        <v>0.55000000000000004</v>
      </c>
      <c r="I884" s="251"/>
      <c r="J884" s="253"/>
      <c r="K884" s="254">
        <f>IF(E884*F884*G884&lt;&gt;0,E884*F884*G884,IF(E884*F884&lt;&gt;0,E884*F884,IF(F884*G884&lt;&gt;0,F884*G884,IF(E884*G884&lt;&gt;0,E884*G884,IF(E884&lt;&gt;0,E884,IF(F884&lt;&gt;0,F884,IF(G884&lt;&gt;0,G884,0)))))))*(IF(H884&lt;&gt;0,H884,1))+I884-J884</f>
        <v>98.461935000000011</v>
      </c>
      <c r="L884" s="255"/>
    </row>
    <row r="885" spans="2:12">
      <c r="B885" s="249" t="s">
        <v>1480</v>
      </c>
      <c r="C885" s="250" t="s">
        <v>1441</v>
      </c>
      <c r="D885" s="205" t="s">
        <v>152</v>
      </c>
      <c r="E885" s="251">
        <v>653</v>
      </c>
      <c r="F885" s="252">
        <f>F884</f>
        <v>0.96299999999999997</v>
      </c>
      <c r="G885" s="251">
        <f>G884</f>
        <v>1.1000000000000001</v>
      </c>
      <c r="H885" s="251">
        <v>0.5</v>
      </c>
      <c r="I885" s="251"/>
      <c r="J885" s="253"/>
      <c r="K885" s="254">
        <f>IF(E885*F885*G885&lt;&gt;0,E885*F885*G885,IF(E885*F885&lt;&gt;0,E885*F885,IF(F885*G885&lt;&gt;0,F885*G885,IF(E885*G885&lt;&gt;0,E885*G885,IF(E885&lt;&gt;0,E885,IF(F885&lt;&gt;0,F885,IF(G885&lt;&gt;0,G885,0)))))))*(IF(H885&lt;&gt;0,H885,1))+I885-J885</f>
        <v>345.86144999999999</v>
      </c>
      <c r="L885" s="205"/>
    </row>
    <row r="886" spans="2:12">
      <c r="B886" s="249" t="s">
        <v>1555</v>
      </c>
      <c r="C886" s="250" t="s">
        <v>1521</v>
      </c>
      <c r="D886" s="205" t="s">
        <v>152</v>
      </c>
      <c r="E886" s="251">
        <v>1331</v>
      </c>
      <c r="F886" s="252">
        <f>F885</f>
        <v>0.96299999999999997</v>
      </c>
      <c r="G886" s="251">
        <f>G885</f>
        <v>1.1000000000000001</v>
      </c>
      <c r="H886" s="251">
        <v>0.3</v>
      </c>
      <c r="I886" s="251"/>
      <c r="J886" s="253"/>
      <c r="K886" s="254">
        <f>IF(E886*F886*G886&lt;&gt;0,E886*F886*G886,IF(E886*F886&lt;&gt;0,E886*F886,IF(F886*G886&lt;&gt;0,F886*G886,IF(E886*G886&lt;&gt;0,E886*G886,IF(E886&lt;&gt;0,E886,IF(F886&lt;&gt;0,F886,IF(G886&lt;&gt;0,G886,0)))))))*(IF(H886&lt;&gt;0,H886,1))+I886-J886</f>
        <v>422.97849000000002</v>
      </c>
      <c r="L886" s="205"/>
    </row>
    <row r="887" spans="2:12">
      <c r="B887" s="249" t="s">
        <v>1681</v>
      </c>
      <c r="C887" s="250" t="s">
        <v>1611</v>
      </c>
      <c r="D887" s="205" t="s">
        <v>152</v>
      </c>
      <c r="E887" s="251">
        <v>1181</v>
      </c>
      <c r="F887" s="252">
        <v>0.96299999999999997</v>
      </c>
      <c r="G887" s="251">
        <v>1.1000000000000001</v>
      </c>
      <c r="H887" s="251">
        <v>0.3</v>
      </c>
      <c r="I887" s="251"/>
      <c r="J887" s="253"/>
      <c r="K887" s="254">
        <f>IF(E887*F887*G887&lt;&gt;0,E887*F887*G887,IF(E887*F887&lt;&gt;0,E887*F887,IF(F887*G887&lt;&gt;0,F887*G887,IF(E887*G887&lt;&gt;0,E887*G887,IF(E887&lt;&gt;0,E887,IF(F887&lt;&gt;0,F887,IF(G887&lt;&gt;0,G887,0)))))))*(IF(H887&lt;&gt;0,H887,1))+I887-J887</f>
        <v>375.30999000000003</v>
      </c>
      <c r="L887" s="205"/>
    </row>
    <row r="888" spans="2:12">
      <c r="B888" s="267"/>
      <c r="C888" s="205"/>
      <c r="D888" s="205"/>
      <c r="E888" s="251"/>
      <c r="F888" s="252"/>
      <c r="G888" s="251"/>
      <c r="H888" s="251"/>
      <c r="I888" s="251"/>
      <c r="J888" s="253"/>
      <c r="K888" s="254">
        <f>IF(E888*F888*G888&lt;&gt;0,E888*F888*G888,IF(E888*F888&lt;&gt;0,E888*F888,IF(F888*G888&lt;&gt;0,F888*G888,IF(E888*G888&lt;&gt;0,E888*G888,IF(E888&lt;&gt;0,E888,IF(F888&lt;&gt;0,F888,IF(G888&lt;&gt;0,G888,0)))))))*(IF(H888&lt;&gt;0,H888,1))+I888-J888</f>
        <v>0</v>
      </c>
      <c r="L888" s="205"/>
    </row>
    <row r="889" spans="2:12">
      <c r="B889" s="208"/>
      <c r="C889" s="204"/>
      <c r="D889" s="204"/>
      <c r="E889" s="204"/>
      <c r="F889" s="204"/>
      <c r="G889" s="204"/>
      <c r="H889" s="204"/>
      <c r="I889" s="556" t="s">
        <v>1221</v>
      </c>
      <c r="J889" s="556"/>
      <c r="K889" s="262">
        <f>SUM(K884:K888)</f>
        <v>1242.6118650000001</v>
      </c>
      <c r="L889" s="207"/>
    </row>
    <row r="890" spans="2:12">
      <c r="B890" s="208"/>
      <c r="C890" s="204"/>
      <c r="D890" s="204"/>
      <c r="E890" s="204"/>
      <c r="F890" s="204"/>
      <c r="G890" s="204"/>
      <c r="H890" s="209"/>
      <c r="I890" s="557" t="s">
        <v>1222</v>
      </c>
      <c r="J890" s="557"/>
      <c r="K890" s="221">
        <f>VLOOKUP(B882,'BM 004'!$B$27:$R$590,4,0)</f>
        <v>3532.1</v>
      </c>
      <c r="L890" s="207"/>
    </row>
    <row r="891" spans="2:12">
      <c r="B891" s="208"/>
      <c r="C891" s="204"/>
      <c r="D891" s="204"/>
      <c r="E891" s="204"/>
      <c r="F891" s="204"/>
      <c r="G891" s="204"/>
      <c r="H891" s="558" t="s">
        <v>1223</v>
      </c>
      <c r="I891" s="558"/>
      <c r="J891" s="558"/>
      <c r="K891" s="222">
        <v>867.301875</v>
      </c>
      <c r="L891" s="207"/>
    </row>
    <row r="892" spans="2:12">
      <c r="B892" s="208"/>
      <c r="C892" s="204"/>
      <c r="D892" s="204"/>
      <c r="E892" s="204"/>
      <c r="F892" s="204"/>
      <c r="G892" s="204"/>
      <c r="H892" s="558" t="s">
        <v>1579</v>
      </c>
      <c r="I892" s="558"/>
      <c r="J892" s="558"/>
      <c r="K892" s="222">
        <f>TRUNC(SUMIF(C884:C888,H892,K884:K888),2)</f>
        <v>375.3</v>
      </c>
      <c r="L892" s="207"/>
    </row>
    <row r="893" spans="2:12">
      <c r="B893" s="213"/>
      <c r="C893" s="214"/>
      <c r="D893" s="214"/>
      <c r="E893" s="214"/>
      <c r="F893" s="214"/>
      <c r="G893" s="214"/>
      <c r="H893" s="559" t="s">
        <v>1224</v>
      </c>
      <c r="I893" s="559"/>
      <c r="J893" s="559"/>
      <c r="K893" s="223">
        <f>IF(K889&gt;K890,K889-K890,0)</f>
        <v>0</v>
      </c>
      <c r="L893" s="209"/>
    </row>
    <row r="895" spans="2:12">
      <c r="B895" s="247" t="s">
        <v>226</v>
      </c>
      <c r="C895" s="565" t="str">
        <f>VLOOKUP(B895,'BM 004'!$B$27:$R$590,2,0)</f>
        <v xml:space="preserve">Armação de pilar ou viga de uma estrutura convencional de concreto armado em um edifício de múltiplos pavimentos utilizando aço ca-50 de 16,0 mm - montagem. </v>
      </c>
      <c r="D895" s="565"/>
      <c r="E895" s="565"/>
      <c r="F895" s="565"/>
      <c r="G895" s="565"/>
      <c r="H895" s="565"/>
      <c r="I895" s="565"/>
      <c r="J895" s="565"/>
      <c r="K895" s="565"/>
      <c r="L895" s="565"/>
    </row>
    <row r="896" spans="2:12">
      <c r="B896" s="248" t="s">
        <v>1209</v>
      </c>
      <c r="C896" s="248"/>
      <c r="D896" s="248" t="s">
        <v>39</v>
      </c>
      <c r="E896" s="248" t="s">
        <v>1210</v>
      </c>
      <c r="F896" s="248" t="s">
        <v>1382</v>
      </c>
      <c r="G896" s="248" t="s">
        <v>1383</v>
      </c>
      <c r="H896" s="248" t="s">
        <v>1384</v>
      </c>
      <c r="I896" s="248" t="s">
        <v>1214</v>
      </c>
      <c r="J896" s="248" t="s">
        <v>1385</v>
      </c>
      <c r="K896" s="248" t="s">
        <v>1216</v>
      </c>
      <c r="L896" s="248" t="s">
        <v>1217</v>
      </c>
    </row>
    <row r="897" spans="2:12">
      <c r="B897" s="249" t="s">
        <v>1387</v>
      </c>
      <c r="C897" s="250" t="s">
        <v>1333</v>
      </c>
      <c r="D897" s="205" t="s">
        <v>152</v>
      </c>
      <c r="E897" s="251">
        <v>3239</v>
      </c>
      <c r="F897" s="252">
        <v>1.5780000000000001</v>
      </c>
      <c r="G897" s="251">
        <v>1.1000000000000001</v>
      </c>
      <c r="H897" s="251">
        <v>0.55000000000000004</v>
      </c>
      <c r="I897" s="251"/>
      <c r="J897" s="253"/>
      <c r="K897" s="254">
        <f>IF(E897*F897*G897&lt;&gt;0,E897*F897*G897,IF(E897*F897&lt;&gt;0,E897*F897,IF(F897*G897&lt;&gt;0,F897*G897,IF(E897*G897&lt;&gt;0,E897*G897,IF(E897&lt;&gt;0,E897,IF(F897&lt;&gt;0,F897,IF(G897&lt;&gt;0,G897,0)))))))*(IF(H897&lt;&gt;0,H897,1))+I897-J897</f>
        <v>3092.24091</v>
      </c>
      <c r="L897" s="255"/>
    </row>
    <row r="898" spans="2:12">
      <c r="B898" s="249" t="s">
        <v>1480</v>
      </c>
      <c r="C898" s="250" t="s">
        <v>1441</v>
      </c>
      <c r="D898" s="205" t="s">
        <v>152</v>
      </c>
      <c r="E898" s="251">
        <v>153</v>
      </c>
      <c r="F898" s="252">
        <f>F897</f>
        <v>1.5780000000000001</v>
      </c>
      <c r="G898" s="251">
        <f>G897</f>
        <v>1.1000000000000001</v>
      </c>
      <c r="H898" s="251">
        <v>0.5</v>
      </c>
      <c r="I898" s="251"/>
      <c r="J898" s="253"/>
      <c r="K898" s="254">
        <f>IF(E898*F898*G898&lt;&gt;0,E898*F898*G898,IF(E898*F898&lt;&gt;0,E898*F898,IF(F898*G898&lt;&gt;0,F898*G898,IF(E898*G898&lt;&gt;0,E898*G898,IF(E898&lt;&gt;0,E898,IF(F898&lt;&gt;0,F898,IF(G898&lt;&gt;0,G898,0)))))))*(IF(H898&lt;&gt;0,H898,1))+I898-J898</f>
        <v>132.78870000000001</v>
      </c>
      <c r="L898" s="205"/>
    </row>
    <row r="899" spans="2:12">
      <c r="B899" s="249" t="s">
        <v>1555</v>
      </c>
      <c r="C899" s="250" t="s">
        <v>1611</v>
      </c>
      <c r="D899" s="205" t="s">
        <v>152</v>
      </c>
      <c r="E899" s="251"/>
      <c r="F899" s="252"/>
      <c r="G899" s="251"/>
      <c r="H899" s="251"/>
      <c r="I899" s="251"/>
      <c r="J899" s="253"/>
      <c r="K899" s="254">
        <f>IF(E899*F899*G899&lt;&gt;0,E899*F899*G899,IF(E899*F899&lt;&gt;0,E899*F899,IF(F899*G899&lt;&gt;0,F899*G899,IF(E899*G899&lt;&gt;0,E899*G899,IF(E899&lt;&gt;0,E899,IF(F899&lt;&gt;0,F899,IF(G899&lt;&gt;0,G899,0)))))))*(IF(H899&lt;&gt;0,H899,1))+I899-J899</f>
        <v>0</v>
      </c>
      <c r="L899" s="205"/>
    </row>
    <row r="900" spans="2:12">
      <c r="B900" s="249" t="s">
        <v>1681</v>
      </c>
      <c r="C900" s="250" t="s">
        <v>1611</v>
      </c>
      <c r="D900" s="205" t="s">
        <v>152</v>
      </c>
      <c r="E900" s="251">
        <v>822</v>
      </c>
      <c r="F900" s="252">
        <v>1.5780000000000001</v>
      </c>
      <c r="G900" s="251">
        <v>1.1000000000000001</v>
      </c>
      <c r="H900" s="251">
        <v>0.3</v>
      </c>
      <c r="I900" s="251"/>
      <c r="J900" s="253"/>
      <c r="K900" s="254">
        <f>IF(E900*F900*G900&lt;&gt;0,E900*F900*G900,IF(E900*F900&lt;&gt;0,E900*F900,IF(F900*G900&lt;&gt;0,F900*G900,IF(E900*G900&lt;&gt;0,E900*G900,IF(E900&lt;&gt;0,E900,IF(F900&lt;&gt;0,F900,IF(G900&lt;&gt;0,G900,0)))))))*(IF(H900&lt;&gt;0,H900,1))+I900-J900</f>
        <v>428.04828000000003</v>
      </c>
      <c r="L900" s="205"/>
    </row>
    <row r="901" spans="2:12">
      <c r="B901" s="267"/>
      <c r="C901" s="205"/>
      <c r="D901" s="205"/>
      <c r="E901" s="251"/>
      <c r="F901" s="252"/>
      <c r="G901" s="251"/>
      <c r="H901" s="251"/>
      <c r="I901" s="251"/>
      <c r="J901" s="253"/>
      <c r="K901" s="254">
        <f>IF(E901*F901*G901&lt;&gt;0,E901*F901*G901,IF(E901*F901&lt;&gt;0,E901*F901,IF(F901*G901&lt;&gt;0,F901*G901,IF(E901*G901&lt;&gt;0,E901*G901,IF(E901&lt;&gt;0,E901,IF(F901&lt;&gt;0,F901,IF(G901&lt;&gt;0,G901,0)))))))*(IF(H901&lt;&gt;0,H901,1))+I901-J901</f>
        <v>0</v>
      </c>
      <c r="L901" s="205"/>
    </row>
    <row r="902" spans="2:12">
      <c r="B902" s="208"/>
      <c r="C902" s="204"/>
      <c r="D902" s="204"/>
      <c r="E902" s="204"/>
      <c r="F902" s="204"/>
      <c r="G902" s="204"/>
      <c r="H902" s="204"/>
      <c r="I902" s="556" t="s">
        <v>1221</v>
      </c>
      <c r="J902" s="556"/>
      <c r="K902" s="262">
        <f>SUM(K897:K901)</f>
        <v>3653.07789</v>
      </c>
      <c r="L902" s="207"/>
    </row>
    <row r="903" spans="2:12">
      <c r="B903" s="208"/>
      <c r="C903" s="204"/>
      <c r="D903" s="204"/>
      <c r="E903" s="204"/>
      <c r="F903" s="204"/>
      <c r="G903" s="204"/>
      <c r="H903" s="209"/>
      <c r="I903" s="557" t="s">
        <v>1222</v>
      </c>
      <c r="J903" s="557"/>
      <c r="K903" s="221">
        <f>VLOOKUP(B895,'BM 004'!$B$27:$R$590,4,0)</f>
        <v>7313.9</v>
      </c>
      <c r="L903" s="207"/>
    </row>
    <row r="904" spans="2:12">
      <c r="B904" s="208"/>
      <c r="C904" s="204"/>
      <c r="D904" s="204"/>
      <c r="E904" s="204"/>
      <c r="F904" s="204"/>
      <c r="G904" s="204"/>
      <c r="H904" s="558" t="s">
        <v>1223</v>
      </c>
      <c r="I904" s="558"/>
      <c r="J904" s="558"/>
      <c r="K904" s="222">
        <v>3225.02</v>
      </c>
      <c r="L904" s="207"/>
    </row>
    <row r="905" spans="2:12">
      <c r="B905" s="208"/>
      <c r="C905" s="204"/>
      <c r="D905" s="204"/>
      <c r="E905" s="204"/>
      <c r="F905" s="204"/>
      <c r="G905" s="204"/>
      <c r="H905" s="558" t="s">
        <v>1579</v>
      </c>
      <c r="I905" s="558"/>
      <c r="J905" s="558"/>
      <c r="K905" s="222">
        <f>TRUNC(SUMIF(C897:C901,H905,K897:K901),2)</f>
        <v>428.04</v>
      </c>
      <c r="L905" s="207"/>
    </row>
    <row r="906" spans="2:12">
      <c r="B906" s="213"/>
      <c r="C906" s="214"/>
      <c r="D906" s="214"/>
      <c r="E906" s="214"/>
      <c r="F906" s="214"/>
      <c r="G906" s="214"/>
      <c r="H906" s="559" t="s">
        <v>1224</v>
      </c>
      <c r="I906" s="559"/>
      <c r="J906" s="559"/>
      <c r="K906" s="223">
        <f>IF(K902&gt;K903,K902-K903,0)</f>
        <v>0</v>
      </c>
      <c r="L906" s="209"/>
    </row>
    <row r="908" spans="2:12">
      <c r="B908" s="247" t="s">
        <v>227</v>
      </c>
      <c r="C908" s="565" t="str">
        <f>VLOOKUP(B908,'BM 004'!$B$27:$R$590,2,0)</f>
        <v xml:space="preserve">Armação de pilar ou viga de uma estrutura convencional de concreto armado em um edifício de múltiplos pavimentos utilizando aço ca-50 de 20,0 mm - montagem. </v>
      </c>
      <c r="D908" s="565"/>
      <c r="E908" s="565"/>
      <c r="F908" s="565"/>
      <c r="G908" s="565"/>
      <c r="H908" s="565"/>
      <c r="I908" s="565"/>
      <c r="J908" s="565"/>
      <c r="K908" s="565"/>
      <c r="L908" s="565"/>
    </row>
    <row r="909" spans="2:12">
      <c r="B909" s="248" t="s">
        <v>1209</v>
      </c>
      <c r="C909" s="248"/>
      <c r="D909" s="248" t="s">
        <v>39</v>
      </c>
      <c r="E909" s="248" t="s">
        <v>1210</v>
      </c>
      <c r="F909" s="248" t="s">
        <v>1382</v>
      </c>
      <c r="G909" s="248" t="s">
        <v>1383</v>
      </c>
      <c r="H909" s="248" t="s">
        <v>1384</v>
      </c>
      <c r="I909" s="248" t="s">
        <v>1214</v>
      </c>
      <c r="J909" s="248" t="s">
        <v>1385</v>
      </c>
      <c r="K909" s="248" t="s">
        <v>1216</v>
      </c>
      <c r="L909" s="248" t="s">
        <v>1217</v>
      </c>
    </row>
    <row r="910" spans="2:12">
      <c r="B910" s="249" t="s">
        <v>1387</v>
      </c>
      <c r="C910" s="250" t="s">
        <v>1333</v>
      </c>
      <c r="D910" s="205" t="s">
        <v>152</v>
      </c>
      <c r="E910" s="251">
        <v>991</v>
      </c>
      <c r="F910" s="252">
        <v>2.4660000000000002</v>
      </c>
      <c r="G910" s="251">
        <v>1.1000000000000001</v>
      </c>
      <c r="H910" s="251">
        <v>0.55000000000000004</v>
      </c>
      <c r="I910" s="251"/>
      <c r="J910" s="253"/>
      <c r="K910" s="254">
        <f>IF(E910*F910*G910&lt;&gt;0,E910*F910*G910,IF(E910*F910&lt;&gt;0,E910*F910,IF(F910*G910&lt;&gt;0,F910*G910,IF(E910*G910&lt;&gt;0,E910*G910,IF(E910&lt;&gt;0,E910,IF(F910&lt;&gt;0,F910,IF(G910&lt;&gt;0,G910,0)))))))*(IF(H910&lt;&gt;0,H910,1))+I910-J910</f>
        <v>1478.5026300000004</v>
      </c>
      <c r="L910" s="255"/>
    </row>
    <row r="911" spans="2:12">
      <c r="B911" s="249" t="s">
        <v>1480</v>
      </c>
      <c r="C911" s="250" t="s">
        <v>1441</v>
      </c>
      <c r="D911" s="205" t="s">
        <v>152</v>
      </c>
      <c r="E911" s="251">
        <v>425</v>
      </c>
      <c r="F911" s="252">
        <f>F910</f>
        <v>2.4660000000000002</v>
      </c>
      <c r="G911" s="251">
        <f>G910</f>
        <v>1.1000000000000001</v>
      </c>
      <c r="H911" s="251">
        <v>0.5</v>
      </c>
      <c r="I911" s="251"/>
      <c r="J911" s="253"/>
      <c r="K911" s="254">
        <f>IF(E911*F911*G911&lt;&gt;0,E911*F911*G911,IF(E911*F911&lt;&gt;0,E911*F911,IF(F911*G911&lt;&gt;0,F911*G911,IF(E911*G911&lt;&gt;0,E911*G911,IF(E911&lt;&gt;0,E911,IF(F911&lt;&gt;0,F911,IF(G911&lt;&gt;0,G911,0)))))))*(IF(H911&lt;&gt;0,H911,1))+I911-J911</f>
        <v>576.42750000000012</v>
      </c>
      <c r="L911" s="205"/>
    </row>
    <row r="912" spans="2:12">
      <c r="B912" s="249" t="s">
        <v>1555</v>
      </c>
      <c r="C912" s="250" t="s">
        <v>1611</v>
      </c>
      <c r="D912" s="205" t="s">
        <v>152</v>
      </c>
      <c r="E912" s="251"/>
      <c r="F912" s="252"/>
      <c r="G912" s="251"/>
      <c r="H912" s="251"/>
      <c r="I912" s="251"/>
      <c r="J912" s="253"/>
      <c r="K912" s="254">
        <f>IF(E912*F912*G912&lt;&gt;0,E912*F912*G912,IF(E912*F912&lt;&gt;0,E912*F912,IF(F912*G912&lt;&gt;0,F912*G912,IF(E912*G912&lt;&gt;0,E912*G912,IF(E912&lt;&gt;0,E912,IF(F912&lt;&gt;0,F912,IF(G912&lt;&gt;0,G912,0)))))))*(IF(H912&lt;&gt;0,H912,1))+I912-J912</f>
        <v>0</v>
      </c>
      <c r="L912" s="205"/>
    </row>
    <row r="913" spans="2:12">
      <c r="B913" s="249" t="s">
        <v>1681</v>
      </c>
      <c r="C913" s="250" t="s">
        <v>1611</v>
      </c>
      <c r="D913" s="205" t="s">
        <v>152</v>
      </c>
      <c r="E913" s="251">
        <v>247</v>
      </c>
      <c r="F913" s="252">
        <v>2.4660000000000002</v>
      </c>
      <c r="G913" s="251">
        <v>1.1000000000000001</v>
      </c>
      <c r="H913" s="251">
        <v>0.3</v>
      </c>
      <c r="I913" s="251"/>
      <c r="J913" s="253"/>
      <c r="K913" s="254">
        <f>IF(E913*F913*G913&lt;&gt;0,E913*F913*G913,IF(E913*F913&lt;&gt;0,E913*F913,IF(F913*G913&lt;&gt;0,F913*G913,IF(E913*G913&lt;&gt;0,E913*G913,IF(E913&lt;&gt;0,E913,IF(F913&lt;&gt;0,F913,IF(G913&lt;&gt;0,G913,0)))))))*(IF(H913&lt;&gt;0,H913,1))+I913-J913</f>
        <v>201.00366000000002</v>
      </c>
      <c r="L913" s="205"/>
    </row>
    <row r="914" spans="2:12">
      <c r="B914" s="267"/>
      <c r="C914" s="205"/>
      <c r="D914" s="205"/>
      <c r="E914" s="251"/>
      <c r="F914" s="252"/>
      <c r="G914" s="251"/>
      <c r="H914" s="251"/>
      <c r="I914" s="251"/>
      <c r="J914" s="253"/>
      <c r="K914" s="254">
        <f>IF(E914*F914*G914&lt;&gt;0,E914*F914*G914,IF(E914*F914&lt;&gt;0,E914*F914,IF(F914*G914&lt;&gt;0,F914*G914,IF(E914*G914&lt;&gt;0,E914*G914,IF(E914&lt;&gt;0,E914,IF(F914&lt;&gt;0,F914,IF(G914&lt;&gt;0,G914,0)))))))*(IF(H914&lt;&gt;0,H914,1))+I914-J914</f>
        <v>0</v>
      </c>
      <c r="L914" s="205"/>
    </row>
    <row r="915" spans="2:12">
      <c r="B915" s="208"/>
      <c r="C915" s="204"/>
      <c r="D915" s="204"/>
      <c r="E915" s="204"/>
      <c r="F915" s="204"/>
      <c r="G915" s="204"/>
      <c r="H915" s="204"/>
      <c r="I915" s="556" t="s">
        <v>1221</v>
      </c>
      <c r="J915" s="556"/>
      <c r="K915" s="262">
        <f>SUM(K910:K914)</f>
        <v>2255.9337900000005</v>
      </c>
      <c r="L915" s="207"/>
    </row>
    <row r="916" spans="2:12">
      <c r="B916" s="208"/>
      <c r="C916" s="204"/>
      <c r="D916" s="204"/>
      <c r="E916" s="204"/>
      <c r="F916" s="204"/>
      <c r="G916" s="204"/>
      <c r="H916" s="209"/>
      <c r="I916" s="557" t="s">
        <v>1222</v>
      </c>
      <c r="J916" s="557"/>
      <c r="K916" s="221">
        <f>VLOOKUP(B908,'BM 004'!$B$27:$R$590,4,0)</f>
        <v>4513.3</v>
      </c>
      <c r="L916" s="207"/>
    </row>
    <row r="917" spans="2:12">
      <c r="B917" s="208"/>
      <c r="C917" s="204"/>
      <c r="D917" s="204"/>
      <c r="E917" s="204"/>
      <c r="F917" s="204"/>
      <c r="G917" s="204"/>
      <c r="H917" s="558" t="s">
        <v>1223</v>
      </c>
      <c r="I917" s="558"/>
      <c r="J917" s="558"/>
      <c r="K917" s="222">
        <v>2054.92</v>
      </c>
      <c r="L917" s="207"/>
    </row>
    <row r="918" spans="2:12">
      <c r="B918" s="208"/>
      <c r="C918" s="204"/>
      <c r="D918" s="204"/>
      <c r="E918" s="204"/>
      <c r="F918" s="204"/>
      <c r="G918" s="204"/>
      <c r="H918" s="558" t="s">
        <v>1579</v>
      </c>
      <c r="I918" s="558"/>
      <c r="J918" s="558"/>
      <c r="K918" s="222">
        <f>TRUNC(SUMIF(C910:C914,H918,K910:K914),2)</f>
        <v>201</v>
      </c>
      <c r="L918" s="207"/>
    </row>
    <row r="919" spans="2:12">
      <c r="B919" s="213"/>
      <c r="C919" s="214"/>
      <c r="D919" s="214"/>
      <c r="E919" s="214"/>
      <c r="F919" s="214"/>
      <c r="G919" s="214"/>
      <c r="H919" s="559" t="s">
        <v>1224</v>
      </c>
      <c r="I919" s="559"/>
      <c r="J919" s="559"/>
      <c r="K919" s="223">
        <f>IF(K915&gt;K916,K915-K916,0)</f>
        <v>0</v>
      </c>
      <c r="L919" s="209"/>
    </row>
    <row r="921" spans="2:12">
      <c r="B921" s="247" t="s">
        <v>228</v>
      </c>
      <c r="C921" s="565" t="str">
        <f>VLOOKUP(B921,'BM 004'!$B$27:$R$590,2,0)</f>
        <v xml:space="preserve">Armação de pilar ou viga de uma estrutura convencional de concreto armado em um edifício de múltiplos pavimentos utilizando aço ca-50 de 25,0 mm - montagem. </v>
      </c>
      <c r="D921" s="565"/>
      <c r="E921" s="565"/>
      <c r="F921" s="565"/>
      <c r="G921" s="565"/>
      <c r="H921" s="565"/>
      <c r="I921" s="565"/>
      <c r="J921" s="565"/>
      <c r="K921" s="565"/>
      <c r="L921" s="565"/>
    </row>
    <row r="922" spans="2:12">
      <c r="B922" s="248" t="s">
        <v>1209</v>
      </c>
      <c r="C922" s="248"/>
      <c r="D922" s="248" t="s">
        <v>39</v>
      </c>
      <c r="E922" s="248" t="s">
        <v>1210</v>
      </c>
      <c r="F922" s="248" t="s">
        <v>1382</v>
      </c>
      <c r="G922" s="248" t="s">
        <v>1383</v>
      </c>
      <c r="H922" s="248" t="s">
        <v>1384</v>
      </c>
      <c r="I922" s="248" t="s">
        <v>1214</v>
      </c>
      <c r="J922" s="248" t="s">
        <v>1385</v>
      </c>
      <c r="K922" s="248" t="s">
        <v>1216</v>
      </c>
      <c r="L922" s="248" t="s">
        <v>1217</v>
      </c>
    </row>
    <row r="923" spans="2:12">
      <c r="B923" s="249" t="s">
        <v>1387</v>
      </c>
      <c r="C923" s="250" t="s">
        <v>1333</v>
      </c>
      <c r="D923" s="205" t="s">
        <v>152</v>
      </c>
      <c r="E923" s="251">
        <v>928</v>
      </c>
      <c r="F923" s="252">
        <v>3.8530000000000002</v>
      </c>
      <c r="G923" s="251">
        <v>1.1000000000000001</v>
      </c>
      <c r="H923" s="251">
        <v>0.55000000000000004</v>
      </c>
      <c r="I923" s="251"/>
      <c r="J923" s="253"/>
      <c r="K923" s="254">
        <f>IF(E923*F923*G923&lt;&gt;0,E923*F923*G923,IF(E923*F923&lt;&gt;0,E923*F923,IF(F923*G923&lt;&gt;0,F923*G923,IF(E923*G923&lt;&gt;0,E923*G923,IF(E923&lt;&gt;0,E923,IF(F923&lt;&gt;0,F923,IF(G923&lt;&gt;0,G923,0)))))))*(IF(H923&lt;&gt;0,H923,1))+I923-J923</f>
        <v>2163.2283200000006</v>
      </c>
      <c r="L923" s="255"/>
    </row>
    <row r="924" spans="2:12">
      <c r="B924" s="249" t="s">
        <v>1480</v>
      </c>
      <c r="C924" s="250" t="s">
        <v>1441</v>
      </c>
      <c r="D924" s="205" t="s">
        <v>152</v>
      </c>
      <c r="E924" s="251">
        <v>142</v>
      </c>
      <c r="F924" s="252">
        <f>F923</f>
        <v>3.8530000000000002</v>
      </c>
      <c r="G924" s="251">
        <f>G923</f>
        <v>1.1000000000000001</v>
      </c>
      <c r="H924" s="251">
        <v>0.5</v>
      </c>
      <c r="I924" s="251"/>
      <c r="J924" s="253"/>
      <c r="K924" s="254">
        <f>IF(E924*F924*G924&lt;&gt;0,E924*F924*G924,IF(E924*F924&lt;&gt;0,E924*F924,IF(F924*G924&lt;&gt;0,F924*G924,IF(E924*G924&lt;&gt;0,E924*G924,IF(E924&lt;&gt;0,E924,IF(F924&lt;&gt;0,F924,IF(G924&lt;&gt;0,G924,0)))))))*(IF(H924&lt;&gt;0,H924,1))+I924-J924</f>
        <v>300.91930000000002</v>
      </c>
      <c r="L924" s="205"/>
    </row>
    <row r="925" spans="2:12">
      <c r="B925" s="249" t="s">
        <v>1555</v>
      </c>
      <c r="C925" s="250" t="s">
        <v>1521</v>
      </c>
      <c r="D925" s="205" t="s">
        <v>152</v>
      </c>
      <c r="E925" s="251">
        <v>1728</v>
      </c>
      <c r="F925" s="252">
        <f>F924</f>
        <v>3.8530000000000002</v>
      </c>
      <c r="G925" s="251">
        <f>G924</f>
        <v>1.1000000000000001</v>
      </c>
      <c r="H925" s="251">
        <v>0.3</v>
      </c>
      <c r="I925" s="251"/>
      <c r="J925" s="253"/>
      <c r="K925" s="254">
        <f>IF(E925*F925*G925&lt;&gt;0,E925*F925*G925,IF(E925*F925&lt;&gt;0,E925*F925,IF(F925*G925&lt;&gt;0,F925*G925,IF(E925*G925&lt;&gt;0,E925*G925,IF(E925&lt;&gt;0,E925,IF(F925&lt;&gt;0,F925,IF(G925&lt;&gt;0,G925,0)))))))*(IF(H925&lt;&gt;0,H925,1))+I925-J925</f>
        <v>2197.13472</v>
      </c>
      <c r="L925" s="205"/>
    </row>
    <row r="926" spans="2:12">
      <c r="B926" s="249" t="s">
        <v>1681</v>
      </c>
      <c r="C926" s="250" t="s">
        <v>1611</v>
      </c>
      <c r="D926" s="205" t="s">
        <v>152</v>
      </c>
      <c r="E926" s="251">
        <v>653</v>
      </c>
      <c r="F926" s="252">
        <v>3.8530000000000002</v>
      </c>
      <c r="G926" s="251">
        <v>1.1000000000000001</v>
      </c>
      <c r="H926" s="251">
        <v>0.3</v>
      </c>
      <c r="I926" s="251"/>
      <c r="J926" s="253"/>
      <c r="K926" s="254">
        <f>IF(E926*F926*G926&lt;&gt;0,E926*F926*G926,IF(E926*F926&lt;&gt;0,E926*F926,IF(F926*G926&lt;&gt;0,F926*G926,IF(E926*G926&lt;&gt;0,E926*G926,IF(E926&lt;&gt;0,E926,IF(F926&lt;&gt;0,F926,IF(G926&lt;&gt;0,G926,0)))))))*(IF(H926&lt;&gt;0,H926,1))+I926-J926</f>
        <v>830.28297000000009</v>
      </c>
      <c r="L926" s="205"/>
    </row>
    <row r="927" spans="2:12">
      <c r="B927" s="267"/>
      <c r="C927" s="205"/>
      <c r="D927" s="205"/>
      <c r="E927" s="251"/>
      <c r="F927" s="252"/>
      <c r="G927" s="251"/>
      <c r="H927" s="251"/>
      <c r="I927" s="251"/>
      <c r="J927" s="253"/>
      <c r="K927" s="254">
        <f>IF(E927*F927*G927&lt;&gt;0,E927*F927*G927,IF(E927*F927&lt;&gt;0,E927*F927,IF(F927*G927&lt;&gt;0,F927*G927,IF(E927*G927&lt;&gt;0,E927*G927,IF(E927&lt;&gt;0,E927,IF(F927&lt;&gt;0,F927,IF(G927&lt;&gt;0,G927,0)))))))*(IF(H927&lt;&gt;0,H927,1))+I927-J927</f>
        <v>0</v>
      </c>
      <c r="L927" s="205"/>
    </row>
    <row r="928" spans="2:12">
      <c r="B928" s="208"/>
      <c r="C928" s="204"/>
      <c r="D928" s="204"/>
      <c r="E928" s="204"/>
      <c r="F928" s="204"/>
      <c r="G928" s="204"/>
      <c r="H928" s="204"/>
      <c r="I928" s="556" t="s">
        <v>1221</v>
      </c>
      <c r="J928" s="556"/>
      <c r="K928" s="262">
        <f>SUM(K923:K927)</f>
        <v>5491.5653100000009</v>
      </c>
      <c r="L928" s="207"/>
    </row>
    <row r="929" spans="2:12">
      <c r="B929" s="208"/>
      <c r="C929" s="204"/>
      <c r="D929" s="204"/>
      <c r="E929" s="204"/>
      <c r="F929" s="204"/>
      <c r="G929" s="204"/>
      <c r="H929" s="209"/>
      <c r="I929" s="557" t="s">
        <v>1222</v>
      </c>
      <c r="J929" s="557"/>
      <c r="K929" s="221">
        <f>VLOOKUP(B921,'BM 004'!$B$27:$R$590,4,0)</f>
        <v>14626.7</v>
      </c>
      <c r="L929" s="207"/>
    </row>
    <row r="930" spans="2:12">
      <c r="B930" s="208"/>
      <c r="C930" s="204"/>
      <c r="D930" s="204"/>
      <c r="E930" s="204"/>
      <c r="F930" s="204"/>
      <c r="G930" s="204"/>
      <c r="H930" s="558" t="s">
        <v>1223</v>
      </c>
      <c r="I930" s="558"/>
      <c r="J930" s="558"/>
      <c r="K930" s="222">
        <v>4661.2823399999997</v>
      </c>
      <c r="L930" s="207"/>
    </row>
    <row r="931" spans="2:12">
      <c r="B931" s="208"/>
      <c r="C931" s="204"/>
      <c r="D931" s="204"/>
      <c r="E931" s="204"/>
      <c r="F931" s="204"/>
      <c r="G931" s="204"/>
      <c r="H931" s="558" t="s">
        <v>1579</v>
      </c>
      <c r="I931" s="558"/>
      <c r="J931" s="558"/>
      <c r="K931" s="222">
        <f>TRUNC(SUMIF(C923:C927,H931,K923:K927),2)</f>
        <v>830.28</v>
      </c>
      <c r="L931" s="207"/>
    </row>
    <row r="932" spans="2:12">
      <c r="B932" s="213"/>
      <c r="C932" s="214"/>
      <c r="D932" s="214"/>
      <c r="E932" s="214"/>
      <c r="F932" s="214"/>
      <c r="G932" s="214"/>
      <c r="H932" s="559" t="s">
        <v>1224</v>
      </c>
      <c r="I932" s="559"/>
      <c r="J932" s="559"/>
      <c r="K932" s="223">
        <f>IF(K928&gt;K929,K928-K929,0)</f>
        <v>0</v>
      </c>
      <c r="L932" s="209"/>
    </row>
    <row r="934" spans="2:12">
      <c r="B934" s="247" t="s">
        <v>233</v>
      </c>
      <c r="C934" s="565" t="str">
        <f>VLOOKUP(B934,'BM 004'!$B$27:$R$590,2,0)</f>
        <v xml:space="preserve">Concreto simples usinado fck=35mpa, bombeado, lançado e adensado em superestrutura </v>
      </c>
      <c r="D934" s="565"/>
      <c r="E934" s="565"/>
      <c r="F934" s="565"/>
      <c r="G934" s="565"/>
      <c r="H934" s="565"/>
      <c r="I934" s="565"/>
      <c r="J934" s="565"/>
      <c r="K934" s="565"/>
      <c r="L934" s="565"/>
    </row>
    <row r="935" spans="2:12">
      <c r="B935" s="248" t="s">
        <v>1209</v>
      </c>
      <c r="C935" s="248"/>
      <c r="D935" s="248" t="s">
        <v>39</v>
      </c>
      <c r="E935" s="248" t="s">
        <v>1210</v>
      </c>
      <c r="F935" s="248" t="s">
        <v>1388</v>
      </c>
      <c r="G935" s="248" t="s">
        <v>1212</v>
      </c>
      <c r="H935" s="248" t="s">
        <v>1213</v>
      </c>
      <c r="I935" s="248" t="s">
        <v>1214</v>
      </c>
      <c r="J935" s="248" t="s">
        <v>1385</v>
      </c>
      <c r="K935" s="248" t="s">
        <v>1216</v>
      </c>
      <c r="L935" s="248" t="s">
        <v>1217</v>
      </c>
    </row>
    <row r="936" spans="2:12">
      <c r="B936" s="249" t="s">
        <v>1389</v>
      </c>
      <c r="C936" s="250" t="s">
        <v>1333</v>
      </c>
      <c r="D936" s="205" t="s">
        <v>110</v>
      </c>
      <c r="E936" s="199">
        <v>0.5</v>
      </c>
      <c r="F936" s="199">
        <v>0.4</v>
      </c>
      <c r="G936" s="199">
        <v>5.12</v>
      </c>
      <c r="H936" s="199">
        <v>1</v>
      </c>
      <c r="I936" s="199"/>
      <c r="J936" s="253"/>
      <c r="K936" s="254">
        <f t="shared" ref="K936:K967" si="29">IF(E936*F936*G936&lt;&gt;0,E936*F936*G936,IF(E936*F936&lt;&gt;0,E936*F936,IF(F936*G936&lt;&gt;0,F936*G936,IF(E936*G936&lt;&gt;0,E936*G936,IF(E936&lt;&gt;0,E936,IF(F936&lt;&gt;0,F936,IF(G936&lt;&gt;0,G936,0)))))))*(IF(H936&lt;&gt;0,H936,1))+I936-J936</f>
        <v>1.024</v>
      </c>
      <c r="L936" s="255" t="s">
        <v>1556</v>
      </c>
    </row>
    <row r="937" spans="2:12">
      <c r="B937" s="256" t="s">
        <v>1390</v>
      </c>
      <c r="C937" s="250" t="s">
        <v>1333</v>
      </c>
      <c r="D937" s="205" t="s">
        <v>110</v>
      </c>
      <c r="E937" s="261">
        <v>1</v>
      </c>
      <c r="F937" s="261">
        <v>0.2</v>
      </c>
      <c r="G937" s="261">
        <v>5.12</v>
      </c>
      <c r="H937" s="261">
        <v>1</v>
      </c>
      <c r="I937" s="261"/>
      <c r="J937" s="259"/>
      <c r="K937" s="260">
        <f t="shared" si="29"/>
        <v>1.024</v>
      </c>
      <c r="L937" s="266" t="s">
        <v>1556</v>
      </c>
    </row>
    <row r="938" spans="2:12">
      <c r="B938" s="256" t="s">
        <v>1391</v>
      </c>
      <c r="C938" s="250" t="s">
        <v>1333</v>
      </c>
      <c r="D938" s="205" t="s">
        <v>110</v>
      </c>
      <c r="E938" s="261">
        <v>1</v>
      </c>
      <c r="F938" s="261">
        <v>0.2</v>
      </c>
      <c r="G938" s="261">
        <v>5.12</v>
      </c>
      <c r="H938" s="261">
        <v>1</v>
      </c>
      <c r="I938" s="261"/>
      <c r="J938" s="259"/>
      <c r="K938" s="260">
        <f t="shared" si="29"/>
        <v>1.024</v>
      </c>
      <c r="L938" s="266" t="s">
        <v>1556</v>
      </c>
    </row>
    <row r="939" spans="2:12">
      <c r="B939" s="256" t="s">
        <v>1392</v>
      </c>
      <c r="C939" s="250" t="s">
        <v>1333</v>
      </c>
      <c r="D939" s="205" t="s">
        <v>110</v>
      </c>
      <c r="E939" s="261">
        <v>0.4</v>
      </c>
      <c r="F939" s="261">
        <v>0.4</v>
      </c>
      <c r="G939" s="261">
        <v>5.12</v>
      </c>
      <c r="H939" s="261">
        <v>1</v>
      </c>
      <c r="I939" s="261"/>
      <c r="J939" s="259"/>
      <c r="K939" s="260">
        <f t="shared" si="29"/>
        <v>0.81920000000000015</v>
      </c>
      <c r="L939" s="266" t="s">
        <v>1556</v>
      </c>
    </row>
    <row r="940" spans="2:12">
      <c r="B940" s="256" t="s">
        <v>1393</v>
      </c>
      <c r="C940" s="250" t="s">
        <v>1333</v>
      </c>
      <c r="D940" s="205" t="s">
        <v>110</v>
      </c>
      <c r="E940" s="261">
        <v>0.3</v>
      </c>
      <c r="F940" s="261">
        <v>0.3</v>
      </c>
      <c r="G940" s="261">
        <v>5.12</v>
      </c>
      <c r="H940" s="261">
        <v>1</v>
      </c>
      <c r="I940" s="261"/>
      <c r="J940" s="259"/>
      <c r="K940" s="260">
        <f t="shared" si="29"/>
        <v>0.46079999999999999</v>
      </c>
      <c r="L940" s="266" t="s">
        <v>1556</v>
      </c>
    </row>
    <row r="941" spans="2:12">
      <c r="B941" s="256" t="s">
        <v>1394</v>
      </c>
      <c r="C941" s="250" t="s">
        <v>1333</v>
      </c>
      <c r="D941" s="205" t="s">
        <v>110</v>
      </c>
      <c r="E941" s="261">
        <v>0.4</v>
      </c>
      <c r="F941" s="261">
        <v>0.4</v>
      </c>
      <c r="G941" s="261">
        <v>5.12</v>
      </c>
      <c r="H941" s="261">
        <v>1</v>
      </c>
      <c r="I941" s="261"/>
      <c r="J941" s="259"/>
      <c r="K941" s="260">
        <f t="shared" si="29"/>
        <v>0.81920000000000015</v>
      </c>
      <c r="L941" s="266" t="s">
        <v>1556</v>
      </c>
    </row>
    <row r="942" spans="2:12">
      <c r="B942" s="256" t="s">
        <v>1395</v>
      </c>
      <c r="C942" s="250" t="s">
        <v>1333</v>
      </c>
      <c r="D942" s="205" t="s">
        <v>110</v>
      </c>
      <c r="E942" s="199">
        <v>0.5</v>
      </c>
      <c r="F942" s="199">
        <v>0.4</v>
      </c>
      <c r="G942" s="261">
        <v>5.12</v>
      </c>
      <c r="H942" s="261">
        <v>1</v>
      </c>
      <c r="I942" s="261"/>
      <c r="J942" s="259"/>
      <c r="K942" s="260">
        <f t="shared" si="29"/>
        <v>1.024</v>
      </c>
      <c r="L942" s="266" t="s">
        <v>1556</v>
      </c>
    </row>
    <row r="943" spans="2:12">
      <c r="B943" s="256" t="s">
        <v>1396</v>
      </c>
      <c r="C943" s="250" t="s">
        <v>1333</v>
      </c>
      <c r="D943" s="205" t="s">
        <v>110</v>
      </c>
      <c r="E943" s="199">
        <v>0.5</v>
      </c>
      <c r="F943" s="199">
        <v>0.4</v>
      </c>
      <c r="G943" s="261">
        <v>5.12</v>
      </c>
      <c r="H943" s="261">
        <v>1</v>
      </c>
      <c r="I943" s="261"/>
      <c r="J943" s="259"/>
      <c r="K943" s="260">
        <f t="shared" si="29"/>
        <v>1.024</v>
      </c>
      <c r="L943" s="266" t="s">
        <v>1556</v>
      </c>
    </row>
    <row r="944" spans="2:12">
      <c r="B944" s="256" t="s">
        <v>1397</v>
      </c>
      <c r="C944" s="250" t="s">
        <v>1333</v>
      </c>
      <c r="D944" s="205" t="s">
        <v>110</v>
      </c>
      <c r="E944" s="261">
        <v>1</v>
      </c>
      <c r="F944" s="261">
        <v>0.2</v>
      </c>
      <c r="G944" s="261">
        <v>5.12</v>
      </c>
      <c r="H944" s="261">
        <v>1</v>
      </c>
      <c r="I944" s="261"/>
      <c r="J944" s="259"/>
      <c r="K944" s="260">
        <f t="shared" si="29"/>
        <v>1.024</v>
      </c>
      <c r="L944" s="266" t="s">
        <v>1556</v>
      </c>
    </row>
    <row r="945" spans="2:12">
      <c r="B945" s="256" t="s">
        <v>1398</v>
      </c>
      <c r="C945" s="250" t="s">
        <v>1333</v>
      </c>
      <c r="D945" s="205" t="s">
        <v>110</v>
      </c>
      <c r="E945" s="261">
        <v>0.3</v>
      </c>
      <c r="F945" s="261">
        <v>0.3</v>
      </c>
      <c r="G945" s="261">
        <v>5.12</v>
      </c>
      <c r="H945" s="261">
        <v>1</v>
      </c>
      <c r="I945" s="261"/>
      <c r="J945" s="259"/>
      <c r="K945" s="260">
        <f t="shared" si="29"/>
        <v>0.46079999999999999</v>
      </c>
      <c r="L945" s="266" t="s">
        <v>1556</v>
      </c>
    </row>
    <row r="946" spans="2:12">
      <c r="B946" s="256" t="s">
        <v>1399</v>
      </c>
      <c r="C946" s="250" t="s">
        <v>1333</v>
      </c>
      <c r="D946" s="205" t="s">
        <v>110</v>
      </c>
      <c r="E946" s="261">
        <v>0.4</v>
      </c>
      <c r="F946" s="261">
        <v>0.4</v>
      </c>
      <c r="G946" s="261">
        <v>5.12</v>
      </c>
      <c r="H946" s="261">
        <v>1</v>
      </c>
      <c r="I946" s="261"/>
      <c r="J946" s="259"/>
      <c r="K946" s="260">
        <f t="shared" si="29"/>
        <v>0.81920000000000015</v>
      </c>
      <c r="L946" s="266" t="s">
        <v>1556</v>
      </c>
    </row>
    <row r="947" spans="2:12">
      <c r="B947" s="256" t="s">
        <v>1400</v>
      </c>
      <c r="C947" s="250" t="s">
        <v>1333</v>
      </c>
      <c r="D947" s="205" t="s">
        <v>110</v>
      </c>
      <c r="E947" s="199">
        <v>0.5</v>
      </c>
      <c r="F947" s="199">
        <v>0.4</v>
      </c>
      <c r="G947" s="261">
        <v>5.12</v>
      </c>
      <c r="H947" s="261">
        <v>1</v>
      </c>
      <c r="I947" s="261"/>
      <c r="J947" s="259"/>
      <c r="K947" s="260">
        <f t="shared" si="29"/>
        <v>1.024</v>
      </c>
      <c r="L947" s="266" t="s">
        <v>1556</v>
      </c>
    </row>
    <row r="948" spans="2:12">
      <c r="B948" s="256" t="s">
        <v>1401</v>
      </c>
      <c r="C948" s="250" t="s">
        <v>1333</v>
      </c>
      <c r="D948" s="205" t="s">
        <v>110</v>
      </c>
      <c r="E948" s="199">
        <v>0.5</v>
      </c>
      <c r="F948" s="199">
        <v>0.4</v>
      </c>
      <c r="G948" s="261">
        <v>5.12</v>
      </c>
      <c r="H948" s="261">
        <v>1</v>
      </c>
      <c r="I948" s="261"/>
      <c r="J948" s="259"/>
      <c r="K948" s="260">
        <f t="shared" si="29"/>
        <v>1.024</v>
      </c>
      <c r="L948" s="266" t="s">
        <v>1556</v>
      </c>
    </row>
    <row r="949" spans="2:12">
      <c r="B949" s="256" t="s">
        <v>1402</v>
      </c>
      <c r="C949" s="250" t="s">
        <v>1333</v>
      </c>
      <c r="D949" s="205" t="s">
        <v>110</v>
      </c>
      <c r="E949" s="261">
        <v>1</v>
      </c>
      <c r="F949" s="261">
        <v>0.2</v>
      </c>
      <c r="G949" s="261">
        <v>5.12</v>
      </c>
      <c r="H949" s="261">
        <v>1</v>
      </c>
      <c r="I949" s="261"/>
      <c r="J949" s="259"/>
      <c r="K949" s="260">
        <f t="shared" si="29"/>
        <v>1.024</v>
      </c>
      <c r="L949" s="266" t="s">
        <v>1556</v>
      </c>
    </row>
    <row r="950" spans="2:12">
      <c r="B950" s="256" t="s">
        <v>1403</v>
      </c>
      <c r="C950" s="250" t="s">
        <v>1333</v>
      </c>
      <c r="D950" s="205" t="s">
        <v>110</v>
      </c>
      <c r="E950" s="261">
        <v>0.3</v>
      </c>
      <c r="F950" s="261">
        <v>0.3</v>
      </c>
      <c r="G950" s="261">
        <v>5.12</v>
      </c>
      <c r="H950" s="261">
        <v>1</v>
      </c>
      <c r="I950" s="261"/>
      <c r="J950" s="259"/>
      <c r="K950" s="260">
        <f t="shared" si="29"/>
        <v>0.46079999999999999</v>
      </c>
      <c r="L950" s="266" t="s">
        <v>1556</v>
      </c>
    </row>
    <row r="951" spans="2:12">
      <c r="B951" s="256" t="s">
        <v>1404</v>
      </c>
      <c r="C951" s="250" t="s">
        <v>1333</v>
      </c>
      <c r="D951" s="205" t="s">
        <v>110</v>
      </c>
      <c r="E951" s="261">
        <v>0.6</v>
      </c>
      <c r="F951" s="261">
        <v>0.2</v>
      </c>
      <c r="G951" s="261">
        <v>5.12</v>
      </c>
      <c r="H951" s="261">
        <v>1</v>
      </c>
      <c r="I951" s="261"/>
      <c r="J951" s="259"/>
      <c r="K951" s="260">
        <f t="shared" si="29"/>
        <v>0.61439999999999995</v>
      </c>
      <c r="L951" s="266" t="s">
        <v>1556</v>
      </c>
    </row>
    <row r="952" spans="2:12">
      <c r="B952" s="256" t="s">
        <v>1405</v>
      </c>
      <c r="C952" s="250" t="s">
        <v>1333</v>
      </c>
      <c r="D952" s="205" t="s">
        <v>110</v>
      </c>
      <c r="E952" s="261">
        <v>0.6</v>
      </c>
      <c r="F952" s="261">
        <v>0.2</v>
      </c>
      <c r="G952" s="261">
        <v>5.12</v>
      </c>
      <c r="H952" s="261">
        <v>1</v>
      </c>
      <c r="I952" s="261"/>
      <c r="J952" s="259"/>
      <c r="K952" s="260">
        <f t="shared" si="29"/>
        <v>0.61439999999999995</v>
      </c>
      <c r="L952" s="266" t="s">
        <v>1556</v>
      </c>
    </row>
    <row r="953" spans="2:12">
      <c r="B953" s="256" t="s">
        <v>1406</v>
      </c>
      <c r="C953" s="250" t="s">
        <v>1333</v>
      </c>
      <c r="D953" s="205" t="s">
        <v>110</v>
      </c>
      <c r="E953" s="261">
        <v>0.4</v>
      </c>
      <c r="F953" s="261">
        <v>0.4</v>
      </c>
      <c r="G953" s="261">
        <v>5.12</v>
      </c>
      <c r="H953" s="261">
        <v>1</v>
      </c>
      <c r="I953" s="261"/>
      <c r="J953" s="259"/>
      <c r="K953" s="260">
        <f t="shared" si="29"/>
        <v>0.81920000000000015</v>
      </c>
      <c r="L953" s="266" t="s">
        <v>1556</v>
      </c>
    </row>
    <row r="954" spans="2:12">
      <c r="B954" s="256" t="s">
        <v>1407</v>
      </c>
      <c r="C954" s="250" t="s">
        <v>1333</v>
      </c>
      <c r="D954" s="205" t="s">
        <v>110</v>
      </c>
      <c r="E954" s="199">
        <v>0.5</v>
      </c>
      <c r="F954" s="199">
        <v>0.4</v>
      </c>
      <c r="G954" s="261">
        <v>5.12</v>
      </c>
      <c r="H954" s="261">
        <v>1</v>
      </c>
      <c r="I954" s="261"/>
      <c r="J954" s="259"/>
      <c r="K954" s="260">
        <f t="shared" si="29"/>
        <v>1.024</v>
      </c>
      <c r="L954" s="266" t="s">
        <v>1556</v>
      </c>
    </row>
    <row r="955" spans="2:12">
      <c r="B955" s="256" t="s">
        <v>1408</v>
      </c>
      <c r="C955" s="250" t="s">
        <v>1333</v>
      </c>
      <c r="D955" s="205" t="s">
        <v>110</v>
      </c>
      <c r="E955" s="261">
        <v>0.5</v>
      </c>
      <c r="F955" s="261">
        <v>0.4</v>
      </c>
      <c r="G955" s="261">
        <v>5.12</v>
      </c>
      <c r="H955" s="261">
        <v>1</v>
      </c>
      <c r="I955" s="261"/>
      <c r="J955" s="259"/>
      <c r="K955" s="260">
        <f t="shared" si="29"/>
        <v>1.024</v>
      </c>
      <c r="L955" s="266" t="s">
        <v>1556</v>
      </c>
    </row>
    <row r="956" spans="2:12">
      <c r="B956" s="256" t="s">
        <v>1409</v>
      </c>
      <c r="C956" s="250" t="s">
        <v>1333</v>
      </c>
      <c r="D956" s="205" t="s">
        <v>110</v>
      </c>
      <c r="E956" s="261">
        <v>1</v>
      </c>
      <c r="F956" s="261">
        <v>0.2</v>
      </c>
      <c r="G956" s="261">
        <v>5.12</v>
      </c>
      <c r="H956" s="261">
        <v>1</v>
      </c>
      <c r="I956" s="261"/>
      <c r="J956" s="259"/>
      <c r="K956" s="260">
        <f t="shared" si="29"/>
        <v>1.024</v>
      </c>
      <c r="L956" s="266" t="s">
        <v>1556</v>
      </c>
    </row>
    <row r="957" spans="2:12">
      <c r="B957" s="256" t="s">
        <v>1410</v>
      </c>
      <c r="C957" s="250" t="s">
        <v>1333</v>
      </c>
      <c r="D957" s="205" t="s">
        <v>110</v>
      </c>
      <c r="E957" s="261">
        <v>0.45</v>
      </c>
      <c r="F957" s="261">
        <v>0.3</v>
      </c>
      <c r="G957" s="261">
        <v>5.12</v>
      </c>
      <c r="H957" s="261">
        <v>1</v>
      </c>
      <c r="I957" s="261"/>
      <c r="J957" s="259"/>
      <c r="K957" s="260">
        <f t="shared" si="29"/>
        <v>0.69120000000000004</v>
      </c>
      <c r="L957" s="266" t="s">
        <v>1556</v>
      </c>
    </row>
    <row r="958" spans="2:12">
      <c r="B958" s="256" t="s">
        <v>1411</v>
      </c>
      <c r="C958" s="250" t="s">
        <v>1333</v>
      </c>
      <c r="D958" s="205" t="s">
        <v>110</v>
      </c>
      <c r="E958" s="261">
        <v>0.45</v>
      </c>
      <c r="F958" s="261">
        <v>0.3</v>
      </c>
      <c r="G958" s="261">
        <v>5.12</v>
      </c>
      <c r="H958" s="261">
        <v>1</v>
      </c>
      <c r="I958" s="261"/>
      <c r="J958" s="259"/>
      <c r="K958" s="260">
        <f t="shared" si="29"/>
        <v>0.69120000000000004</v>
      </c>
      <c r="L958" s="266" t="s">
        <v>1556</v>
      </c>
    </row>
    <row r="959" spans="2:12">
      <c r="B959" s="256" t="s">
        <v>1412</v>
      </c>
      <c r="C959" s="250" t="s">
        <v>1333</v>
      </c>
      <c r="D959" s="205" t="s">
        <v>110</v>
      </c>
      <c r="E959" s="261">
        <v>0.55000000000000004</v>
      </c>
      <c r="F959" s="261">
        <v>0.3</v>
      </c>
      <c r="G959" s="261">
        <v>5.12</v>
      </c>
      <c r="H959" s="261">
        <v>1</v>
      </c>
      <c r="I959" s="261"/>
      <c r="J959" s="259"/>
      <c r="K959" s="260">
        <f t="shared" si="29"/>
        <v>0.84480000000000011</v>
      </c>
      <c r="L959" s="266" t="s">
        <v>1556</v>
      </c>
    </row>
    <row r="960" spans="2:12">
      <c r="B960" s="256" t="s">
        <v>1413</v>
      </c>
      <c r="C960" s="250" t="s">
        <v>1333</v>
      </c>
      <c r="D960" s="205" t="s">
        <v>110</v>
      </c>
      <c r="E960" s="261">
        <v>0.55000000000000004</v>
      </c>
      <c r="F960" s="261">
        <v>0.3</v>
      </c>
      <c r="G960" s="261">
        <v>5.12</v>
      </c>
      <c r="H960" s="261">
        <v>1</v>
      </c>
      <c r="I960" s="261"/>
      <c r="J960" s="259"/>
      <c r="K960" s="260">
        <f t="shared" si="29"/>
        <v>0.84480000000000011</v>
      </c>
      <c r="L960" s="266" t="s">
        <v>1556</v>
      </c>
    </row>
    <row r="961" spans="2:12">
      <c r="B961" s="256" t="s">
        <v>1414</v>
      </c>
      <c r="C961" s="250" t="s">
        <v>1333</v>
      </c>
      <c r="D961" s="205" t="s">
        <v>110</v>
      </c>
      <c r="E961" s="261">
        <v>0.55000000000000004</v>
      </c>
      <c r="F961" s="261">
        <v>0.3</v>
      </c>
      <c r="G961" s="261">
        <v>5.12</v>
      </c>
      <c r="H961" s="261">
        <v>1</v>
      </c>
      <c r="I961" s="261"/>
      <c r="J961" s="259"/>
      <c r="K961" s="260">
        <f t="shared" si="29"/>
        <v>0.84480000000000011</v>
      </c>
      <c r="L961" s="266" t="s">
        <v>1556</v>
      </c>
    </row>
    <row r="962" spans="2:12">
      <c r="B962" s="256" t="s">
        <v>1415</v>
      </c>
      <c r="C962" s="250" t="s">
        <v>1333</v>
      </c>
      <c r="D962" s="205" t="s">
        <v>110</v>
      </c>
      <c r="E962" s="261">
        <v>0.55000000000000004</v>
      </c>
      <c r="F962" s="261">
        <v>0.3</v>
      </c>
      <c r="G962" s="261">
        <v>5.12</v>
      </c>
      <c r="H962" s="261">
        <v>1</v>
      </c>
      <c r="I962" s="261"/>
      <c r="J962" s="259"/>
      <c r="K962" s="260">
        <f t="shared" si="29"/>
        <v>0.84480000000000011</v>
      </c>
      <c r="L962" s="266" t="s">
        <v>1556</v>
      </c>
    </row>
    <row r="963" spans="2:12">
      <c r="B963" s="256" t="s">
        <v>1416</v>
      </c>
      <c r="C963" s="250" t="s">
        <v>1333</v>
      </c>
      <c r="D963" s="205" t="s">
        <v>110</v>
      </c>
      <c r="E963" s="261">
        <v>0.45</v>
      </c>
      <c r="F963" s="261">
        <v>0.3</v>
      </c>
      <c r="G963" s="261">
        <v>5.12</v>
      </c>
      <c r="H963" s="261">
        <v>1</v>
      </c>
      <c r="I963" s="261"/>
      <c r="J963" s="259"/>
      <c r="K963" s="260">
        <f t="shared" si="29"/>
        <v>0.69120000000000004</v>
      </c>
      <c r="L963" s="266" t="s">
        <v>1556</v>
      </c>
    </row>
    <row r="964" spans="2:12">
      <c r="B964" s="256" t="s">
        <v>1417</v>
      </c>
      <c r="C964" s="250" t="s">
        <v>1333</v>
      </c>
      <c r="D964" s="205" t="s">
        <v>110</v>
      </c>
      <c r="E964" s="261">
        <v>0.45</v>
      </c>
      <c r="F964" s="261">
        <v>0.3</v>
      </c>
      <c r="G964" s="261">
        <v>5.12</v>
      </c>
      <c r="H964" s="261">
        <v>1</v>
      </c>
      <c r="I964" s="261"/>
      <c r="J964" s="259"/>
      <c r="K964" s="260">
        <f t="shared" si="29"/>
        <v>0.69120000000000004</v>
      </c>
      <c r="L964" s="266" t="s">
        <v>1556</v>
      </c>
    </row>
    <row r="965" spans="2:12">
      <c r="B965" s="256" t="s">
        <v>1418</v>
      </c>
      <c r="C965" s="250" t="s">
        <v>1333</v>
      </c>
      <c r="D965" s="205" t="s">
        <v>110</v>
      </c>
      <c r="E965" s="261">
        <v>0.8</v>
      </c>
      <c r="F965" s="261">
        <v>0.2</v>
      </c>
      <c r="G965" s="261">
        <v>5.12</v>
      </c>
      <c r="H965" s="261">
        <v>1</v>
      </c>
      <c r="I965" s="261"/>
      <c r="J965" s="259"/>
      <c r="K965" s="260">
        <f t="shared" si="29"/>
        <v>0.81920000000000015</v>
      </c>
      <c r="L965" s="266" t="s">
        <v>1556</v>
      </c>
    </row>
    <row r="966" spans="2:12">
      <c r="B966" s="256" t="s">
        <v>1419</v>
      </c>
      <c r="C966" s="250" t="s">
        <v>1333</v>
      </c>
      <c r="D966" s="205" t="s">
        <v>110</v>
      </c>
      <c r="E966" s="261">
        <v>0.8</v>
      </c>
      <c r="F966" s="261">
        <v>0.2</v>
      </c>
      <c r="G966" s="261">
        <v>6.62</v>
      </c>
      <c r="H966" s="261">
        <v>1</v>
      </c>
      <c r="I966" s="261"/>
      <c r="J966" s="259"/>
      <c r="K966" s="260">
        <f t="shared" si="29"/>
        <v>1.0592000000000001</v>
      </c>
      <c r="L966" s="266" t="s">
        <v>1556</v>
      </c>
    </row>
    <row r="967" spans="2:12">
      <c r="B967" s="256" t="s">
        <v>1420</v>
      </c>
      <c r="C967" s="250" t="s">
        <v>1333</v>
      </c>
      <c r="D967" s="205" t="s">
        <v>110</v>
      </c>
      <c r="E967" s="261">
        <v>0.8</v>
      </c>
      <c r="F967" s="261">
        <v>0.3</v>
      </c>
      <c r="G967" s="261">
        <v>6.62</v>
      </c>
      <c r="H967" s="261">
        <v>1</v>
      </c>
      <c r="I967" s="261"/>
      <c r="J967" s="259"/>
      <c r="K967" s="260">
        <f t="shared" si="29"/>
        <v>1.5888</v>
      </c>
      <c r="L967" s="266" t="s">
        <v>1556</v>
      </c>
    </row>
    <row r="968" spans="2:12">
      <c r="B968" s="256" t="s">
        <v>1421</v>
      </c>
      <c r="C968" s="250" t="s">
        <v>1333</v>
      </c>
      <c r="D968" s="205" t="s">
        <v>110</v>
      </c>
      <c r="E968" s="261">
        <v>0.8</v>
      </c>
      <c r="F968" s="261">
        <v>0.2</v>
      </c>
      <c r="G968" s="261">
        <v>6.62</v>
      </c>
      <c r="H968" s="261">
        <v>1</v>
      </c>
      <c r="I968" s="261"/>
      <c r="J968" s="259"/>
      <c r="K968" s="260">
        <f t="shared" ref="K968:K999" si="30">IF(E968*F968*G968&lt;&gt;0,E968*F968*G968,IF(E968*F968&lt;&gt;0,E968*F968,IF(F968*G968&lt;&gt;0,F968*G968,IF(E968*G968&lt;&gt;0,E968*G968,IF(E968&lt;&gt;0,E968,IF(F968&lt;&gt;0,F968,IF(G968&lt;&gt;0,G968,0)))))))*(IF(H968&lt;&gt;0,H968,1))+I968-J968</f>
        <v>1.0592000000000001</v>
      </c>
      <c r="L968" s="266" t="s">
        <v>1556</v>
      </c>
    </row>
    <row r="969" spans="2:12">
      <c r="B969" s="256" t="s">
        <v>1422</v>
      </c>
      <c r="C969" s="250" t="s">
        <v>1333</v>
      </c>
      <c r="D969" s="205" t="s">
        <v>110</v>
      </c>
      <c r="E969" s="261">
        <v>0.8</v>
      </c>
      <c r="F969" s="261">
        <v>0.3</v>
      </c>
      <c r="G969" s="261">
        <v>6.62</v>
      </c>
      <c r="H969" s="261">
        <v>1</v>
      </c>
      <c r="I969" s="261"/>
      <c r="J969" s="259"/>
      <c r="K969" s="260">
        <f t="shared" si="30"/>
        <v>1.5888</v>
      </c>
      <c r="L969" s="266" t="s">
        <v>1556</v>
      </c>
    </row>
    <row r="970" spans="2:12">
      <c r="B970" s="256" t="s">
        <v>1423</v>
      </c>
      <c r="C970" s="250" t="s">
        <v>1333</v>
      </c>
      <c r="D970" s="205" t="s">
        <v>110</v>
      </c>
      <c r="E970" s="261">
        <v>0.7</v>
      </c>
      <c r="F970" s="261">
        <v>0.4</v>
      </c>
      <c r="G970" s="261">
        <v>5.12</v>
      </c>
      <c r="H970" s="261">
        <v>1</v>
      </c>
      <c r="I970" s="261"/>
      <c r="J970" s="259"/>
      <c r="K970" s="260">
        <f t="shared" si="30"/>
        <v>1.4336</v>
      </c>
      <c r="L970" s="266" t="s">
        <v>1556</v>
      </c>
    </row>
    <row r="971" spans="2:12">
      <c r="B971" s="256" t="s">
        <v>1424</v>
      </c>
      <c r="C971" s="250" t="s">
        <v>1333</v>
      </c>
      <c r="D971" s="205" t="s">
        <v>110</v>
      </c>
      <c r="E971" s="261">
        <v>0.7</v>
      </c>
      <c r="F971" s="261">
        <v>0.5</v>
      </c>
      <c r="G971" s="261">
        <v>5.12</v>
      </c>
      <c r="H971" s="261">
        <v>1</v>
      </c>
      <c r="I971" s="261"/>
      <c r="J971" s="259"/>
      <c r="K971" s="260">
        <f t="shared" si="30"/>
        <v>1.7919999999999998</v>
      </c>
      <c r="L971" s="266" t="s">
        <v>1556</v>
      </c>
    </row>
    <row r="972" spans="2:12">
      <c r="B972" s="256" t="s">
        <v>1425</v>
      </c>
      <c r="C972" s="250" t="s">
        <v>1333</v>
      </c>
      <c r="D972" s="205" t="s">
        <v>110</v>
      </c>
      <c r="E972" s="261">
        <v>0.7</v>
      </c>
      <c r="F972" s="261">
        <v>0.5</v>
      </c>
      <c r="G972" s="261">
        <v>5.12</v>
      </c>
      <c r="H972" s="261">
        <v>1</v>
      </c>
      <c r="I972" s="261"/>
      <c r="J972" s="259"/>
      <c r="K972" s="260">
        <f t="shared" si="30"/>
        <v>1.7919999999999998</v>
      </c>
      <c r="L972" s="266" t="s">
        <v>1556</v>
      </c>
    </row>
    <row r="973" spans="2:12">
      <c r="B973" s="256" t="s">
        <v>1426</v>
      </c>
      <c r="C973" s="250" t="s">
        <v>1333</v>
      </c>
      <c r="D973" s="205" t="s">
        <v>110</v>
      </c>
      <c r="E973" s="261">
        <v>0.5</v>
      </c>
      <c r="F973" s="261">
        <v>0.4</v>
      </c>
      <c r="G973" s="261">
        <v>5.12</v>
      </c>
      <c r="H973" s="261">
        <v>1</v>
      </c>
      <c r="I973" s="261"/>
      <c r="J973" s="259"/>
      <c r="K973" s="260">
        <f t="shared" si="30"/>
        <v>1.024</v>
      </c>
      <c r="L973" s="266" t="s">
        <v>1556</v>
      </c>
    </row>
    <row r="974" spans="2:12">
      <c r="B974" s="256" t="s">
        <v>1481</v>
      </c>
      <c r="C974" s="250" t="s">
        <v>1441</v>
      </c>
      <c r="D974" s="205" t="s">
        <v>110</v>
      </c>
      <c r="E974" s="261">
        <v>0.25</v>
      </c>
      <c r="F974" s="261">
        <v>0.4</v>
      </c>
      <c r="G974" s="261">
        <v>5.12</v>
      </c>
      <c r="H974" s="261">
        <v>1</v>
      </c>
      <c r="I974" s="261"/>
      <c r="J974" s="259"/>
      <c r="K974" s="260">
        <f t="shared" si="30"/>
        <v>0.51200000000000001</v>
      </c>
      <c r="L974" s="266" t="s">
        <v>1556</v>
      </c>
    </row>
    <row r="975" spans="2:12">
      <c r="B975" s="256" t="s">
        <v>1482</v>
      </c>
      <c r="C975" s="250" t="s">
        <v>1441</v>
      </c>
      <c r="D975" s="205" t="s">
        <v>110</v>
      </c>
      <c r="E975" s="261">
        <v>0.3</v>
      </c>
      <c r="F975" s="261">
        <v>0.3</v>
      </c>
      <c r="G975" s="261">
        <v>5.12</v>
      </c>
      <c r="H975" s="261">
        <v>1</v>
      </c>
      <c r="I975" s="261"/>
      <c r="J975" s="259"/>
      <c r="K975" s="260">
        <f t="shared" si="30"/>
        <v>0.46079999999999999</v>
      </c>
      <c r="L975" s="266" t="s">
        <v>1556</v>
      </c>
    </row>
    <row r="976" spans="2:12">
      <c r="B976" s="256" t="s">
        <v>1483</v>
      </c>
      <c r="C976" s="250" t="s">
        <v>1441</v>
      </c>
      <c r="D976" s="205" t="s">
        <v>110</v>
      </c>
      <c r="E976" s="261">
        <v>0.3</v>
      </c>
      <c r="F976" s="261">
        <v>0.3</v>
      </c>
      <c r="G976" s="261">
        <v>5.12</v>
      </c>
      <c r="H976" s="261">
        <v>1</v>
      </c>
      <c r="I976" s="261"/>
      <c r="J976" s="259"/>
      <c r="K976" s="260">
        <f t="shared" si="30"/>
        <v>0.46079999999999999</v>
      </c>
      <c r="L976" s="266" t="s">
        <v>1556</v>
      </c>
    </row>
    <row r="977" spans="2:12">
      <c r="B977" s="256" t="s">
        <v>1484</v>
      </c>
      <c r="C977" s="250" t="s">
        <v>1441</v>
      </c>
      <c r="D977" s="205" t="s">
        <v>110</v>
      </c>
      <c r="E977" s="261">
        <v>0.4</v>
      </c>
      <c r="F977" s="261">
        <v>0.4</v>
      </c>
      <c r="G977" s="261">
        <v>5.12</v>
      </c>
      <c r="H977" s="261">
        <v>1</v>
      </c>
      <c r="I977" s="261"/>
      <c r="J977" s="259"/>
      <c r="K977" s="260">
        <f t="shared" si="30"/>
        <v>0.81920000000000015</v>
      </c>
      <c r="L977" s="266" t="s">
        <v>1556</v>
      </c>
    </row>
    <row r="978" spans="2:12">
      <c r="B978" s="256" t="s">
        <v>1485</v>
      </c>
      <c r="C978" s="250" t="s">
        <v>1441</v>
      </c>
      <c r="D978" s="205" t="s">
        <v>110</v>
      </c>
      <c r="E978" s="261">
        <v>0.4</v>
      </c>
      <c r="F978" s="261">
        <v>0.6</v>
      </c>
      <c r="G978" s="261">
        <v>5.12</v>
      </c>
      <c r="H978" s="261">
        <v>1</v>
      </c>
      <c r="I978" s="261"/>
      <c r="J978" s="259"/>
      <c r="K978" s="260">
        <f t="shared" si="30"/>
        <v>1.2287999999999999</v>
      </c>
      <c r="L978" s="266" t="s">
        <v>1556</v>
      </c>
    </row>
    <row r="979" spans="2:12">
      <c r="B979" s="256" t="s">
        <v>1486</v>
      </c>
      <c r="C979" s="250" t="s">
        <v>1441</v>
      </c>
      <c r="D979" s="205" t="s">
        <v>110</v>
      </c>
      <c r="E979" s="261">
        <v>0.2</v>
      </c>
      <c r="F979" s="261">
        <v>2.94</v>
      </c>
      <c r="G979" s="261">
        <f>5.12+2</f>
        <v>7.12</v>
      </c>
      <c r="H979" s="261">
        <v>1</v>
      </c>
      <c r="I979" s="261"/>
      <c r="J979" s="259"/>
      <c r="K979" s="260">
        <f t="shared" si="30"/>
        <v>4.1865600000000001</v>
      </c>
      <c r="L979" s="266" t="s">
        <v>1556</v>
      </c>
    </row>
    <row r="980" spans="2:12">
      <c r="B980" s="256" t="s">
        <v>1487</v>
      </c>
      <c r="C980" s="250" t="s">
        <v>1441</v>
      </c>
      <c r="D980" s="205" t="s">
        <v>110</v>
      </c>
      <c r="E980" s="261">
        <v>0.2</v>
      </c>
      <c r="F980" s="261">
        <v>2.94</v>
      </c>
      <c r="G980" s="261">
        <f>5.12+2</f>
        <v>7.12</v>
      </c>
      <c r="H980" s="261">
        <v>1</v>
      </c>
      <c r="I980" s="261"/>
      <c r="J980" s="259"/>
      <c r="K980" s="260">
        <f t="shared" si="30"/>
        <v>4.1865600000000001</v>
      </c>
      <c r="L980" s="266" t="s">
        <v>1556</v>
      </c>
    </row>
    <row r="981" spans="2:12">
      <c r="B981" s="256" t="s">
        <v>1488</v>
      </c>
      <c r="C981" s="250" t="s">
        <v>1441</v>
      </c>
      <c r="D981" s="205" t="s">
        <v>110</v>
      </c>
      <c r="E981" s="261">
        <v>0.6</v>
      </c>
      <c r="F981" s="261">
        <v>0.5</v>
      </c>
      <c r="G981" s="261">
        <v>5.12</v>
      </c>
      <c r="H981" s="261">
        <v>1</v>
      </c>
      <c r="I981" s="261"/>
      <c r="J981" s="259"/>
      <c r="K981" s="260">
        <f t="shared" si="30"/>
        <v>1.536</v>
      </c>
      <c r="L981" s="266" t="s">
        <v>1556</v>
      </c>
    </row>
    <row r="982" spans="2:12">
      <c r="B982" s="256" t="s">
        <v>1489</v>
      </c>
      <c r="C982" s="250" t="s">
        <v>1441</v>
      </c>
      <c r="D982" s="205" t="s">
        <v>110</v>
      </c>
      <c r="E982" s="261">
        <v>0.4</v>
      </c>
      <c r="F982" s="261">
        <v>0.4</v>
      </c>
      <c r="G982" s="261">
        <v>5.12</v>
      </c>
      <c r="H982" s="261">
        <v>1</v>
      </c>
      <c r="I982" s="261"/>
      <c r="J982" s="259"/>
      <c r="K982" s="260">
        <f t="shared" si="30"/>
        <v>0.81920000000000015</v>
      </c>
      <c r="L982" s="266" t="s">
        <v>1556</v>
      </c>
    </row>
    <row r="983" spans="2:12">
      <c r="B983" s="256" t="s">
        <v>1490</v>
      </c>
      <c r="C983" s="250" t="s">
        <v>1441</v>
      </c>
      <c r="D983" s="205" t="s">
        <v>110</v>
      </c>
      <c r="E983" s="261">
        <v>0.2</v>
      </c>
      <c r="F983" s="261">
        <v>0.8</v>
      </c>
      <c r="G983" s="261">
        <v>5.12</v>
      </c>
      <c r="H983" s="261">
        <v>1</v>
      </c>
      <c r="I983" s="261"/>
      <c r="J983" s="259"/>
      <c r="K983" s="260">
        <f t="shared" si="30"/>
        <v>0.81920000000000015</v>
      </c>
      <c r="L983" s="266" t="s">
        <v>1556</v>
      </c>
    </row>
    <row r="984" spans="2:12">
      <c r="B984" s="256" t="s">
        <v>1491</v>
      </c>
      <c r="C984" s="250" t="s">
        <v>1441</v>
      </c>
      <c r="D984" s="205" t="s">
        <v>110</v>
      </c>
      <c r="E984" s="261">
        <v>0.3</v>
      </c>
      <c r="F984" s="261">
        <v>0.3</v>
      </c>
      <c r="G984" s="261">
        <v>5.12</v>
      </c>
      <c r="H984" s="261">
        <v>1</v>
      </c>
      <c r="I984" s="261"/>
      <c r="J984" s="259"/>
      <c r="K984" s="260">
        <f t="shared" si="30"/>
        <v>0.46079999999999999</v>
      </c>
      <c r="L984" s="266" t="s">
        <v>1556</v>
      </c>
    </row>
    <row r="985" spans="2:12">
      <c r="B985" s="256" t="s">
        <v>1492</v>
      </c>
      <c r="C985" s="250" t="s">
        <v>1441</v>
      </c>
      <c r="D985" s="205" t="s">
        <v>110</v>
      </c>
      <c r="E985" s="261">
        <v>0.3</v>
      </c>
      <c r="F985" s="261">
        <v>0.3</v>
      </c>
      <c r="G985" s="261">
        <v>5.12</v>
      </c>
      <c r="H985" s="261">
        <v>1</v>
      </c>
      <c r="I985" s="261"/>
      <c r="J985" s="259"/>
      <c r="K985" s="260">
        <f t="shared" si="30"/>
        <v>0.46079999999999999</v>
      </c>
      <c r="L985" s="266" t="s">
        <v>1556</v>
      </c>
    </row>
    <row r="986" spans="2:12">
      <c r="B986" s="256" t="s">
        <v>1493</v>
      </c>
      <c r="C986" s="250" t="s">
        <v>1441</v>
      </c>
      <c r="D986" s="205" t="s">
        <v>110</v>
      </c>
      <c r="E986" s="261">
        <v>0.4</v>
      </c>
      <c r="F986" s="261">
        <v>0.4</v>
      </c>
      <c r="G986" s="261">
        <v>5.12</v>
      </c>
      <c r="H986" s="261">
        <v>1</v>
      </c>
      <c r="I986" s="261"/>
      <c r="J986" s="259"/>
      <c r="K986" s="260">
        <f t="shared" si="30"/>
        <v>0.81920000000000015</v>
      </c>
      <c r="L986" s="266" t="s">
        <v>1556</v>
      </c>
    </row>
    <row r="987" spans="2:12">
      <c r="B987" s="256" t="s">
        <v>1494</v>
      </c>
      <c r="C987" s="250" t="s">
        <v>1441</v>
      </c>
      <c r="D987" s="205" t="s">
        <v>110</v>
      </c>
      <c r="E987" s="261">
        <v>0.4</v>
      </c>
      <c r="F987" s="261">
        <v>0.4</v>
      </c>
      <c r="G987" s="261">
        <v>5.12</v>
      </c>
      <c r="H987" s="261">
        <v>1</v>
      </c>
      <c r="I987" s="261"/>
      <c r="J987" s="259"/>
      <c r="K987" s="260">
        <f t="shared" si="30"/>
        <v>0.81920000000000015</v>
      </c>
      <c r="L987" s="266" t="s">
        <v>1556</v>
      </c>
    </row>
    <row r="988" spans="2:12">
      <c r="B988" s="256" t="s">
        <v>1495</v>
      </c>
      <c r="C988" s="250" t="s">
        <v>1441</v>
      </c>
      <c r="D988" s="205" t="s">
        <v>110</v>
      </c>
      <c r="E988" s="261">
        <v>0.4</v>
      </c>
      <c r="F988" s="261">
        <v>0.4</v>
      </c>
      <c r="G988" s="261">
        <v>5.12</v>
      </c>
      <c r="H988" s="261">
        <v>1</v>
      </c>
      <c r="I988" s="261"/>
      <c r="J988" s="259"/>
      <c r="K988" s="260">
        <f t="shared" si="30"/>
        <v>0.81920000000000015</v>
      </c>
      <c r="L988" s="266" t="s">
        <v>1556</v>
      </c>
    </row>
    <row r="989" spans="2:12">
      <c r="B989" s="249" t="s">
        <v>1389</v>
      </c>
      <c r="C989" s="250" t="s">
        <v>1521</v>
      </c>
      <c r="D989" s="205" t="s">
        <v>110</v>
      </c>
      <c r="E989" s="199">
        <v>0.5</v>
      </c>
      <c r="F989" s="199">
        <v>0.4</v>
      </c>
      <c r="G989" s="199">
        <v>3.6</v>
      </c>
      <c r="H989" s="199">
        <v>1</v>
      </c>
      <c r="I989" s="199"/>
      <c r="J989" s="253"/>
      <c r="K989" s="254">
        <f t="shared" si="30"/>
        <v>0.72000000000000008</v>
      </c>
      <c r="L989" s="255" t="s">
        <v>1557</v>
      </c>
    </row>
    <row r="990" spans="2:12">
      <c r="B990" s="256" t="s">
        <v>1390</v>
      </c>
      <c r="C990" s="250" t="s">
        <v>1521</v>
      </c>
      <c r="D990" s="205" t="s">
        <v>110</v>
      </c>
      <c r="E990" s="261">
        <v>1</v>
      </c>
      <c r="F990" s="261">
        <v>0.2</v>
      </c>
      <c r="G990" s="261">
        <v>3.6</v>
      </c>
      <c r="H990" s="261">
        <v>1</v>
      </c>
      <c r="I990" s="261"/>
      <c r="J990" s="259"/>
      <c r="K990" s="260">
        <f t="shared" si="30"/>
        <v>0.72000000000000008</v>
      </c>
      <c r="L990" s="266" t="s">
        <v>1557</v>
      </c>
    </row>
    <row r="991" spans="2:12">
      <c r="B991" s="256" t="s">
        <v>1391</v>
      </c>
      <c r="C991" s="250" t="s">
        <v>1521</v>
      </c>
      <c r="D991" s="205" t="s">
        <v>110</v>
      </c>
      <c r="E991" s="261">
        <v>1</v>
      </c>
      <c r="F991" s="261">
        <v>0.2</v>
      </c>
      <c r="G991" s="261">
        <v>3.6</v>
      </c>
      <c r="H991" s="261">
        <v>1</v>
      </c>
      <c r="I991" s="261"/>
      <c r="J991" s="259"/>
      <c r="K991" s="260">
        <f t="shared" si="30"/>
        <v>0.72000000000000008</v>
      </c>
      <c r="L991" s="266" t="s">
        <v>1557</v>
      </c>
    </row>
    <row r="992" spans="2:12">
      <c r="B992" s="256" t="s">
        <v>1392</v>
      </c>
      <c r="C992" s="250" t="s">
        <v>1521</v>
      </c>
      <c r="D992" s="205" t="s">
        <v>110</v>
      </c>
      <c r="E992" s="261">
        <v>0.4</v>
      </c>
      <c r="F992" s="261">
        <v>0.4</v>
      </c>
      <c r="G992" s="261">
        <v>3.6</v>
      </c>
      <c r="H992" s="261">
        <v>1</v>
      </c>
      <c r="I992" s="261"/>
      <c r="J992" s="259"/>
      <c r="K992" s="260">
        <f t="shared" si="30"/>
        <v>0.57600000000000018</v>
      </c>
      <c r="L992" s="266" t="s">
        <v>1557</v>
      </c>
    </row>
    <row r="993" spans="2:12">
      <c r="B993" s="256" t="s">
        <v>1393</v>
      </c>
      <c r="C993" s="250" t="s">
        <v>1521</v>
      </c>
      <c r="D993" s="205" t="s">
        <v>110</v>
      </c>
      <c r="E993" s="261">
        <v>0.3</v>
      </c>
      <c r="F993" s="261">
        <v>0.3</v>
      </c>
      <c r="G993" s="261">
        <v>3.6</v>
      </c>
      <c r="H993" s="261">
        <v>1</v>
      </c>
      <c r="I993" s="261"/>
      <c r="J993" s="259"/>
      <c r="K993" s="260">
        <f t="shared" si="30"/>
        <v>0.32400000000000001</v>
      </c>
      <c r="L993" s="266" t="s">
        <v>1557</v>
      </c>
    </row>
    <row r="994" spans="2:12">
      <c r="B994" s="256" t="s">
        <v>1394</v>
      </c>
      <c r="C994" s="250" t="s">
        <v>1521</v>
      </c>
      <c r="D994" s="205" t="s">
        <v>110</v>
      </c>
      <c r="E994" s="261">
        <v>0.4</v>
      </c>
      <c r="F994" s="261">
        <v>0.4</v>
      </c>
      <c r="G994" s="261">
        <v>3.6</v>
      </c>
      <c r="H994" s="261">
        <v>1</v>
      </c>
      <c r="I994" s="261"/>
      <c r="J994" s="259"/>
      <c r="K994" s="260">
        <f t="shared" si="30"/>
        <v>0.57600000000000018</v>
      </c>
      <c r="L994" s="266" t="s">
        <v>1557</v>
      </c>
    </row>
    <row r="995" spans="2:12">
      <c r="B995" s="256" t="s">
        <v>1395</v>
      </c>
      <c r="C995" s="250" t="s">
        <v>1521</v>
      </c>
      <c r="D995" s="205" t="s">
        <v>110</v>
      </c>
      <c r="E995" s="199">
        <v>0.5</v>
      </c>
      <c r="F995" s="199">
        <v>0.4</v>
      </c>
      <c r="G995" s="261">
        <v>3.6</v>
      </c>
      <c r="H995" s="261">
        <v>1</v>
      </c>
      <c r="I995" s="261"/>
      <c r="J995" s="259"/>
      <c r="K995" s="260">
        <f t="shared" si="30"/>
        <v>0.72000000000000008</v>
      </c>
      <c r="L995" s="266" t="s">
        <v>1557</v>
      </c>
    </row>
    <row r="996" spans="2:12">
      <c r="B996" s="256" t="s">
        <v>1396</v>
      </c>
      <c r="C996" s="250" t="s">
        <v>1521</v>
      </c>
      <c r="D996" s="205" t="s">
        <v>110</v>
      </c>
      <c r="E996" s="199">
        <v>0.5</v>
      </c>
      <c r="F996" s="199">
        <v>0.4</v>
      </c>
      <c r="G996" s="261">
        <v>3.6</v>
      </c>
      <c r="H996" s="261">
        <v>1</v>
      </c>
      <c r="I996" s="261"/>
      <c r="J996" s="259"/>
      <c r="K996" s="260">
        <f t="shared" si="30"/>
        <v>0.72000000000000008</v>
      </c>
      <c r="L996" s="266" t="s">
        <v>1557</v>
      </c>
    </row>
    <row r="997" spans="2:12">
      <c r="B997" s="256" t="s">
        <v>1397</v>
      </c>
      <c r="C997" s="250" t="s">
        <v>1521</v>
      </c>
      <c r="D997" s="205" t="s">
        <v>110</v>
      </c>
      <c r="E997" s="261">
        <v>1</v>
      </c>
      <c r="F997" s="261">
        <v>0.2</v>
      </c>
      <c r="G997" s="261">
        <v>3.6</v>
      </c>
      <c r="H997" s="261">
        <v>1</v>
      </c>
      <c r="I997" s="261"/>
      <c r="J997" s="259"/>
      <c r="K997" s="260">
        <f t="shared" si="30"/>
        <v>0.72000000000000008</v>
      </c>
      <c r="L997" s="266" t="s">
        <v>1557</v>
      </c>
    </row>
    <row r="998" spans="2:12">
      <c r="B998" s="256" t="s">
        <v>1398</v>
      </c>
      <c r="C998" s="250" t="s">
        <v>1521</v>
      </c>
      <c r="D998" s="205" t="s">
        <v>110</v>
      </c>
      <c r="E998" s="261">
        <v>0.3</v>
      </c>
      <c r="F998" s="261">
        <v>0.3</v>
      </c>
      <c r="G998" s="261">
        <v>3.6</v>
      </c>
      <c r="H998" s="261">
        <v>1</v>
      </c>
      <c r="I998" s="261"/>
      <c r="J998" s="259"/>
      <c r="K998" s="260">
        <f t="shared" si="30"/>
        <v>0.32400000000000001</v>
      </c>
      <c r="L998" s="266" t="s">
        <v>1557</v>
      </c>
    </row>
    <row r="999" spans="2:12">
      <c r="B999" s="256" t="s">
        <v>1399</v>
      </c>
      <c r="C999" s="250" t="s">
        <v>1521</v>
      </c>
      <c r="D999" s="205" t="s">
        <v>110</v>
      </c>
      <c r="E999" s="261">
        <v>0.4</v>
      </c>
      <c r="F999" s="261">
        <v>0.4</v>
      </c>
      <c r="G999" s="261">
        <v>3.6</v>
      </c>
      <c r="H999" s="261">
        <v>1</v>
      </c>
      <c r="I999" s="261"/>
      <c r="J999" s="259"/>
      <c r="K999" s="260">
        <f t="shared" si="30"/>
        <v>0.57600000000000018</v>
      </c>
      <c r="L999" s="266" t="s">
        <v>1557</v>
      </c>
    </row>
    <row r="1000" spans="2:12">
      <c r="B1000" s="256" t="s">
        <v>1400</v>
      </c>
      <c r="C1000" s="250" t="s">
        <v>1521</v>
      </c>
      <c r="D1000" s="205" t="s">
        <v>110</v>
      </c>
      <c r="E1000" s="199">
        <v>0.5</v>
      </c>
      <c r="F1000" s="199">
        <v>0.4</v>
      </c>
      <c r="G1000" s="261">
        <v>3.6</v>
      </c>
      <c r="H1000" s="261">
        <v>1</v>
      </c>
      <c r="I1000" s="261"/>
      <c r="J1000" s="259"/>
      <c r="K1000" s="260">
        <f t="shared" ref="K1000:K1031" si="31">IF(E1000*F1000*G1000&lt;&gt;0,E1000*F1000*G1000,IF(E1000*F1000&lt;&gt;0,E1000*F1000,IF(F1000*G1000&lt;&gt;0,F1000*G1000,IF(E1000*G1000&lt;&gt;0,E1000*G1000,IF(E1000&lt;&gt;0,E1000,IF(F1000&lt;&gt;0,F1000,IF(G1000&lt;&gt;0,G1000,0)))))))*(IF(H1000&lt;&gt;0,H1000,1))+I1000-J1000</f>
        <v>0.72000000000000008</v>
      </c>
      <c r="L1000" s="266" t="s">
        <v>1557</v>
      </c>
    </row>
    <row r="1001" spans="2:12">
      <c r="B1001" s="256" t="s">
        <v>1401</v>
      </c>
      <c r="C1001" s="250" t="s">
        <v>1521</v>
      </c>
      <c r="D1001" s="205" t="s">
        <v>110</v>
      </c>
      <c r="E1001" s="199">
        <v>0.5</v>
      </c>
      <c r="F1001" s="199">
        <v>0.4</v>
      </c>
      <c r="G1001" s="261">
        <v>3.6</v>
      </c>
      <c r="H1001" s="261">
        <v>1</v>
      </c>
      <c r="I1001" s="261"/>
      <c r="J1001" s="259"/>
      <c r="K1001" s="260">
        <f t="shared" si="31"/>
        <v>0.72000000000000008</v>
      </c>
      <c r="L1001" s="266" t="s">
        <v>1557</v>
      </c>
    </row>
    <row r="1002" spans="2:12">
      <c r="B1002" s="256" t="s">
        <v>1402</v>
      </c>
      <c r="C1002" s="250" t="s">
        <v>1521</v>
      </c>
      <c r="D1002" s="205" t="s">
        <v>110</v>
      </c>
      <c r="E1002" s="261">
        <v>1</v>
      </c>
      <c r="F1002" s="261">
        <v>0.2</v>
      </c>
      <c r="G1002" s="261">
        <v>3.6</v>
      </c>
      <c r="H1002" s="261">
        <v>1</v>
      </c>
      <c r="I1002" s="261"/>
      <c r="J1002" s="259"/>
      <c r="K1002" s="260">
        <f t="shared" si="31"/>
        <v>0.72000000000000008</v>
      </c>
      <c r="L1002" s="266" t="s">
        <v>1557</v>
      </c>
    </row>
    <row r="1003" spans="2:12">
      <c r="B1003" s="256" t="s">
        <v>1403</v>
      </c>
      <c r="C1003" s="250" t="s">
        <v>1521</v>
      </c>
      <c r="D1003" s="205" t="s">
        <v>110</v>
      </c>
      <c r="E1003" s="261">
        <v>0.3</v>
      </c>
      <c r="F1003" s="261">
        <v>0.3</v>
      </c>
      <c r="G1003" s="261">
        <v>3.6</v>
      </c>
      <c r="H1003" s="261">
        <v>1</v>
      </c>
      <c r="I1003" s="261"/>
      <c r="J1003" s="259"/>
      <c r="K1003" s="260">
        <f t="shared" si="31"/>
        <v>0.32400000000000001</v>
      </c>
      <c r="L1003" s="266" t="s">
        <v>1557</v>
      </c>
    </row>
    <row r="1004" spans="2:12">
      <c r="B1004" s="256" t="s">
        <v>1404</v>
      </c>
      <c r="C1004" s="250" t="s">
        <v>1521</v>
      </c>
      <c r="D1004" s="205" t="s">
        <v>110</v>
      </c>
      <c r="E1004" s="261">
        <v>0.6</v>
      </c>
      <c r="F1004" s="261">
        <v>0.2</v>
      </c>
      <c r="G1004" s="261">
        <v>3.6</v>
      </c>
      <c r="H1004" s="261">
        <v>1</v>
      </c>
      <c r="I1004" s="261"/>
      <c r="J1004" s="259"/>
      <c r="K1004" s="260">
        <f t="shared" si="31"/>
        <v>0.432</v>
      </c>
      <c r="L1004" s="266" t="s">
        <v>1557</v>
      </c>
    </row>
    <row r="1005" spans="2:12">
      <c r="B1005" s="256" t="s">
        <v>1405</v>
      </c>
      <c r="C1005" s="250" t="s">
        <v>1521</v>
      </c>
      <c r="D1005" s="205" t="s">
        <v>110</v>
      </c>
      <c r="E1005" s="261">
        <v>0.6</v>
      </c>
      <c r="F1005" s="261">
        <v>0.2</v>
      </c>
      <c r="G1005" s="261">
        <v>3.6</v>
      </c>
      <c r="H1005" s="261">
        <v>1</v>
      </c>
      <c r="I1005" s="261"/>
      <c r="J1005" s="259"/>
      <c r="K1005" s="260">
        <f t="shared" si="31"/>
        <v>0.432</v>
      </c>
      <c r="L1005" s="266" t="s">
        <v>1557</v>
      </c>
    </row>
    <row r="1006" spans="2:12">
      <c r="B1006" s="256" t="s">
        <v>1406</v>
      </c>
      <c r="C1006" s="250" t="s">
        <v>1521</v>
      </c>
      <c r="D1006" s="205" t="s">
        <v>110</v>
      </c>
      <c r="E1006" s="261">
        <v>0.4</v>
      </c>
      <c r="F1006" s="261">
        <v>0.4</v>
      </c>
      <c r="G1006" s="261">
        <v>3.6</v>
      </c>
      <c r="H1006" s="261">
        <v>1</v>
      </c>
      <c r="I1006" s="261"/>
      <c r="J1006" s="259"/>
      <c r="K1006" s="260">
        <f t="shared" si="31"/>
        <v>0.57600000000000018</v>
      </c>
      <c r="L1006" s="266" t="s">
        <v>1557</v>
      </c>
    </row>
    <row r="1007" spans="2:12">
      <c r="B1007" s="256" t="s">
        <v>1407</v>
      </c>
      <c r="C1007" s="250" t="s">
        <v>1521</v>
      </c>
      <c r="D1007" s="205" t="s">
        <v>110</v>
      </c>
      <c r="E1007" s="199">
        <v>0.5</v>
      </c>
      <c r="F1007" s="199">
        <v>0.4</v>
      </c>
      <c r="G1007" s="261">
        <v>3.6</v>
      </c>
      <c r="H1007" s="261">
        <v>1</v>
      </c>
      <c r="I1007" s="261"/>
      <c r="J1007" s="259"/>
      <c r="K1007" s="260">
        <f t="shared" si="31"/>
        <v>0.72000000000000008</v>
      </c>
      <c r="L1007" s="266" t="s">
        <v>1557</v>
      </c>
    </row>
    <row r="1008" spans="2:12">
      <c r="B1008" s="256" t="s">
        <v>1408</v>
      </c>
      <c r="C1008" s="250" t="s">
        <v>1521</v>
      </c>
      <c r="D1008" s="205" t="s">
        <v>110</v>
      </c>
      <c r="E1008" s="261">
        <v>0.5</v>
      </c>
      <c r="F1008" s="261">
        <v>0.4</v>
      </c>
      <c r="G1008" s="261">
        <v>3.6</v>
      </c>
      <c r="H1008" s="261">
        <v>1</v>
      </c>
      <c r="I1008" s="261"/>
      <c r="J1008" s="259"/>
      <c r="K1008" s="260">
        <f t="shared" si="31"/>
        <v>0.72000000000000008</v>
      </c>
      <c r="L1008" s="266" t="s">
        <v>1557</v>
      </c>
    </row>
    <row r="1009" spans="2:12">
      <c r="B1009" s="256" t="s">
        <v>1409</v>
      </c>
      <c r="C1009" s="250" t="s">
        <v>1521</v>
      </c>
      <c r="D1009" s="205" t="s">
        <v>110</v>
      </c>
      <c r="E1009" s="261">
        <v>1</v>
      </c>
      <c r="F1009" s="261">
        <v>0.2</v>
      </c>
      <c r="G1009" s="261">
        <v>3.6</v>
      </c>
      <c r="H1009" s="261">
        <v>1</v>
      </c>
      <c r="I1009" s="261"/>
      <c r="J1009" s="259"/>
      <c r="K1009" s="260">
        <f t="shared" si="31"/>
        <v>0.72000000000000008</v>
      </c>
      <c r="L1009" s="266" t="s">
        <v>1557</v>
      </c>
    </row>
    <row r="1010" spans="2:12">
      <c r="B1010" s="256" t="s">
        <v>1410</v>
      </c>
      <c r="C1010" s="250" t="s">
        <v>1521</v>
      </c>
      <c r="D1010" s="205" t="s">
        <v>110</v>
      </c>
      <c r="E1010" s="261">
        <v>0.45</v>
      </c>
      <c r="F1010" s="261">
        <v>0.3</v>
      </c>
      <c r="G1010" s="261">
        <v>3.6</v>
      </c>
      <c r="H1010" s="261">
        <v>1</v>
      </c>
      <c r="I1010" s="261"/>
      <c r="J1010" s="259"/>
      <c r="K1010" s="260">
        <f t="shared" si="31"/>
        <v>0.48600000000000004</v>
      </c>
      <c r="L1010" s="266" t="s">
        <v>1557</v>
      </c>
    </row>
    <row r="1011" spans="2:12">
      <c r="B1011" s="256" t="s">
        <v>1411</v>
      </c>
      <c r="C1011" s="250" t="s">
        <v>1521</v>
      </c>
      <c r="D1011" s="205" t="s">
        <v>110</v>
      </c>
      <c r="E1011" s="261">
        <v>0.45</v>
      </c>
      <c r="F1011" s="261">
        <v>0.3</v>
      </c>
      <c r="G1011" s="261">
        <v>3.6</v>
      </c>
      <c r="H1011" s="261">
        <v>1</v>
      </c>
      <c r="I1011" s="261"/>
      <c r="J1011" s="259"/>
      <c r="K1011" s="260">
        <f t="shared" si="31"/>
        <v>0.48600000000000004</v>
      </c>
      <c r="L1011" s="266" t="s">
        <v>1557</v>
      </c>
    </row>
    <row r="1012" spans="2:12">
      <c r="B1012" s="256" t="s">
        <v>1412</v>
      </c>
      <c r="C1012" s="250" t="s">
        <v>1521</v>
      </c>
      <c r="D1012" s="205" t="s">
        <v>110</v>
      </c>
      <c r="E1012" s="261">
        <v>0.55000000000000004</v>
      </c>
      <c r="F1012" s="261">
        <v>0.3</v>
      </c>
      <c r="G1012" s="261">
        <v>3.6</v>
      </c>
      <c r="H1012" s="261">
        <v>1</v>
      </c>
      <c r="I1012" s="261"/>
      <c r="J1012" s="259"/>
      <c r="K1012" s="260">
        <f t="shared" si="31"/>
        <v>0.59400000000000008</v>
      </c>
      <c r="L1012" s="266" t="s">
        <v>1557</v>
      </c>
    </row>
    <row r="1013" spans="2:12">
      <c r="B1013" s="256" t="s">
        <v>1413</v>
      </c>
      <c r="C1013" s="250" t="s">
        <v>1521</v>
      </c>
      <c r="D1013" s="205" t="s">
        <v>110</v>
      </c>
      <c r="E1013" s="261">
        <v>0.55000000000000004</v>
      </c>
      <c r="F1013" s="261">
        <v>0.3</v>
      </c>
      <c r="G1013" s="261">
        <v>3.6</v>
      </c>
      <c r="H1013" s="261">
        <v>1</v>
      </c>
      <c r="I1013" s="261"/>
      <c r="J1013" s="259"/>
      <c r="K1013" s="260">
        <f t="shared" si="31"/>
        <v>0.59400000000000008</v>
      </c>
      <c r="L1013" s="266" t="s">
        <v>1557</v>
      </c>
    </row>
    <row r="1014" spans="2:12">
      <c r="B1014" s="256" t="s">
        <v>1414</v>
      </c>
      <c r="C1014" s="250" t="s">
        <v>1521</v>
      </c>
      <c r="D1014" s="205" t="s">
        <v>110</v>
      </c>
      <c r="E1014" s="261">
        <v>0.55000000000000004</v>
      </c>
      <c r="F1014" s="261">
        <v>0.3</v>
      </c>
      <c r="G1014" s="261">
        <v>3.6</v>
      </c>
      <c r="H1014" s="261">
        <v>1</v>
      </c>
      <c r="I1014" s="261"/>
      <c r="J1014" s="259"/>
      <c r="K1014" s="260">
        <f t="shared" si="31"/>
        <v>0.59400000000000008</v>
      </c>
      <c r="L1014" s="266" t="s">
        <v>1557</v>
      </c>
    </row>
    <row r="1015" spans="2:12">
      <c r="B1015" s="256" t="s">
        <v>1415</v>
      </c>
      <c r="C1015" s="250" t="s">
        <v>1521</v>
      </c>
      <c r="D1015" s="205" t="s">
        <v>110</v>
      </c>
      <c r="E1015" s="261">
        <v>0.55000000000000004</v>
      </c>
      <c r="F1015" s="261">
        <v>0.3</v>
      </c>
      <c r="G1015" s="261">
        <v>3.6</v>
      </c>
      <c r="H1015" s="261">
        <v>1</v>
      </c>
      <c r="I1015" s="261"/>
      <c r="J1015" s="259"/>
      <c r="K1015" s="260">
        <f t="shared" si="31"/>
        <v>0.59400000000000008</v>
      </c>
      <c r="L1015" s="266" t="s">
        <v>1557</v>
      </c>
    </row>
    <row r="1016" spans="2:12">
      <c r="B1016" s="256" t="s">
        <v>1416</v>
      </c>
      <c r="C1016" s="250" t="s">
        <v>1521</v>
      </c>
      <c r="D1016" s="205" t="s">
        <v>110</v>
      </c>
      <c r="E1016" s="261">
        <v>0.45</v>
      </c>
      <c r="F1016" s="261">
        <v>0.3</v>
      </c>
      <c r="G1016" s="261">
        <v>3.6</v>
      </c>
      <c r="H1016" s="261">
        <v>1</v>
      </c>
      <c r="I1016" s="261"/>
      <c r="J1016" s="259"/>
      <c r="K1016" s="260">
        <f t="shared" si="31"/>
        <v>0.48600000000000004</v>
      </c>
      <c r="L1016" s="266" t="s">
        <v>1557</v>
      </c>
    </row>
    <row r="1017" spans="2:12">
      <c r="B1017" s="256" t="s">
        <v>1417</v>
      </c>
      <c r="C1017" s="250" t="s">
        <v>1521</v>
      </c>
      <c r="D1017" s="205" t="s">
        <v>110</v>
      </c>
      <c r="E1017" s="261">
        <v>0.45</v>
      </c>
      <c r="F1017" s="261">
        <v>0.3</v>
      </c>
      <c r="G1017" s="261">
        <v>3.6</v>
      </c>
      <c r="H1017" s="261">
        <v>1</v>
      </c>
      <c r="I1017" s="261"/>
      <c r="J1017" s="259"/>
      <c r="K1017" s="260">
        <f t="shared" si="31"/>
        <v>0.48600000000000004</v>
      </c>
      <c r="L1017" s="266" t="s">
        <v>1557</v>
      </c>
    </row>
    <row r="1018" spans="2:12">
      <c r="B1018" s="256" t="s">
        <v>1418</v>
      </c>
      <c r="C1018" s="250" t="s">
        <v>1521</v>
      </c>
      <c r="D1018" s="205" t="s">
        <v>110</v>
      </c>
      <c r="E1018" s="261">
        <v>0.8</v>
      </c>
      <c r="F1018" s="261">
        <v>0.2</v>
      </c>
      <c r="G1018" s="261">
        <v>3.6</v>
      </c>
      <c r="H1018" s="261">
        <v>1</v>
      </c>
      <c r="I1018" s="261"/>
      <c r="J1018" s="259"/>
      <c r="K1018" s="260">
        <f t="shared" si="31"/>
        <v>0.57600000000000018</v>
      </c>
      <c r="L1018" s="266" t="s">
        <v>1557</v>
      </c>
    </row>
    <row r="1019" spans="2:12">
      <c r="B1019" s="249" t="s">
        <v>1389</v>
      </c>
      <c r="C1019" s="250" t="s">
        <v>1521</v>
      </c>
      <c r="D1019" s="205" t="s">
        <v>110</v>
      </c>
      <c r="E1019" s="199">
        <v>0.5</v>
      </c>
      <c r="F1019" s="199">
        <v>0.4</v>
      </c>
      <c r="G1019" s="199">
        <v>3.6</v>
      </c>
      <c r="H1019" s="199">
        <v>1</v>
      </c>
      <c r="I1019" s="199"/>
      <c r="J1019" s="253"/>
      <c r="K1019" s="254">
        <f t="shared" si="31"/>
        <v>0.72000000000000008</v>
      </c>
      <c r="L1019" s="255" t="s">
        <v>1558</v>
      </c>
    </row>
    <row r="1020" spans="2:12">
      <c r="B1020" s="256" t="s">
        <v>1390</v>
      </c>
      <c r="C1020" s="250" t="s">
        <v>1521</v>
      </c>
      <c r="D1020" s="205" t="s">
        <v>110</v>
      </c>
      <c r="E1020" s="261">
        <v>1</v>
      </c>
      <c r="F1020" s="261">
        <v>0.2</v>
      </c>
      <c r="G1020" s="261">
        <v>3.6</v>
      </c>
      <c r="H1020" s="261">
        <v>1</v>
      </c>
      <c r="I1020" s="261"/>
      <c r="J1020" s="259"/>
      <c r="K1020" s="260">
        <f t="shared" si="31"/>
        <v>0.72000000000000008</v>
      </c>
      <c r="L1020" s="266" t="s">
        <v>1558</v>
      </c>
    </row>
    <row r="1021" spans="2:12">
      <c r="B1021" s="256" t="s">
        <v>1391</v>
      </c>
      <c r="C1021" s="250" t="s">
        <v>1521</v>
      </c>
      <c r="D1021" s="205" t="s">
        <v>110</v>
      </c>
      <c r="E1021" s="261">
        <v>1</v>
      </c>
      <c r="F1021" s="261">
        <v>0.2</v>
      </c>
      <c r="G1021" s="261">
        <v>3.6</v>
      </c>
      <c r="H1021" s="261">
        <v>1</v>
      </c>
      <c r="I1021" s="261"/>
      <c r="J1021" s="259"/>
      <c r="K1021" s="260">
        <f t="shared" si="31"/>
        <v>0.72000000000000008</v>
      </c>
      <c r="L1021" s="266" t="s">
        <v>1558</v>
      </c>
    </row>
    <row r="1022" spans="2:12">
      <c r="B1022" s="256" t="s">
        <v>1392</v>
      </c>
      <c r="C1022" s="250" t="s">
        <v>1521</v>
      </c>
      <c r="D1022" s="205" t="s">
        <v>110</v>
      </c>
      <c r="E1022" s="261">
        <v>0.4</v>
      </c>
      <c r="F1022" s="261">
        <v>0.4</v>
      </c>
      <c r="G1022" s="261">
        <v>3.6</v>
      </c>
      <c r="H1022" s="261">
        <v>1</v>
      </c>
      <c r="I1022" s="261"/>
      <c r="J1022" s="259"/>
      <c r="K1022" s="260">
        <f t="shared" si="31"/>
        <v>0.57600000000000018</v>
      </c>
      <c r="L1022" s="266" t="s">
        <v>1558</v>
      </c>
    </row>
    <row r="1023" spans="2:12">
      <c r="B1023" s="256" t="s">
        <v>1394</v>
      </c>
      <c r="C1023" s="250" t="s">
        <v>1521</v>
      </c>
      <c r="D1023" s="205" t="s">
        <v>110</v>
      </c>
      <c r="E1023" s="261">
        <v>0.4</v>
      </c>
      <c r="F1023" s="261">
        <v>0.4</v>
      </c>
      <c r="G1023" s="261">
        <v>3.6</v>
      </c>
      <c r="H1023" s="261">
        <v>1</v>
      </c>
      <c r="I1023" s="261"/>
      <c r="J1023" s="259"/>
      <c r="K1023" s="260">
        <f t="shared" si="31"/>
        <v>0.57600000000000018</v>
      </c>
      <c r="L1023" s="266" t="s">
        <v>1558</v>
      </c>
    </row>
    <row r="1024" spans="2:12">
      <c r="B1024" s="256" t="s">
        <v>1395</v>
      </c>
      <c r="C1024" s="250" t="s">
        <v>1521</v>
      </c>
      <c r="D1024" s="205" t="s">
        <v>110</v>
      </c>
      <c r="E1024" s="199">
        <v>0.5</v>
      </c>
      <c r="F1024" s="199">
        <v>0.4</v>
      </c>
      <c r="G1024" s="261">
        <v>3.6</v>
      </c>
      <c r="H1024" s="261">
        <v>1</v>
      </c>
      <c r="I1024" s="261"/>
      <c r="J1024" s="259"/>
      <c r="K1024" s="260">
        <f t="shared" si="31"/>
        <v>0.72000000000000008</v>
      </c>
      <c r="L1024" s="266" t="s">
        <v>1558</v>
      </c>
    </row>
    <row r="1025" spans="2:12">
      <c r="B1025" s="256" t="s">
        <v>1396</v>
      </c>
      <c r="C1025" s="250" t="s">
        <v>1521</v>
      </c>
      <c r="D1025" s="205" t="s">
        <v>110</v>
      </c>
      <c r="E1025" s="199">
        <v>0.5</v>
      </c>
      <c r="F1025" s="199">
        <v>0.4</v>
      </c>
      <c r="G1025" s="261">
        <v>3.6</v>
      </c>
      <c r="H1025" s="261">
        <v>1</v>
      </c>
      <c r="I1025" s="261"/>
      <c r="J1025" s="259"/>
      <c r="K1025" s="260">
        <f t="shared" si="31"/>
        <v>0.72000000000000008</v>
      </c>
      <c r="L1025" s="266" t="s">
        <v>1558</v>
      </c>
    </row>
    <row r="1026" spans="2:12">
      <c r="B1026" s="256" t="s">
        <v>1397</v>
      </c>
      <c r="C1026" s="250" t="s">
        <v>1521</v>
      </c>
      <c r="D1026" s="205" t="s">
        <v>110</v>
      </c>
      <c r="E1026" s="261">
        <v>1</v>
      </c>
      <c r="F1026" s="261">
        <v>0.2</v>
      </c>
      <c r="G1026" s="261">
        <v>3.6</v>
      </c>
      <c r="H1026" s="261">
        <v>1</v>
      </c>
      <c r="I1026" s="261"/>
      <c r="J1026" s="259"/>
      <c r="K1026" s="260">
        <f t="shared" si="31"/>
        <v>0.72000000000000008</v>
      </c>
      <c r="L1026" s="266" t="s">
        <v>1558</v>
      </c>
    </row>
    <row r="1027" spans="2:12">
      <c r="B1027" s="256" t="s">
        <v>1399</v>
      </c>
      <c r="C1027" s="250" t="s">
        <v>1521</v>
      </c>
      <c r="D1027" s="205" t="s">
        <v>110</v>
      </c>
      <c r="E1027" s="261">
        <v>0.4</v>
      </c>
      <c r="F1027" s="261">
        <v>0.4</v>
      </c>
      <c r="G1027" s="261">
        <v>3.6</v>
      </c>
      <c r="H1027" s="261">
        <v>1</v>
      </c>
      <c r="I1027" s="261"/>
      <c r="J1027" s="259"/>
      <c r="K1027" s="260">
        <f t="shared" si="31"/>
        <v>0.57600000000000018</v>
      </c>
      <c r="L1027" s="266" t="s">
        <v>1558</v>
      </c>
    </row>
    <row r="1028" spans="2:12">
      <c r="B1028" s="256" t="s">
        <v>1400</v>
      </c>
      <c r="C1028" s="250" t="s">
        <v>1521</v>
      </c>
      <c r="D1028" s="205" t="s">
        <v>110</v>
      </c>
      <c r="E1028" s="199">
        <v>0.5</v>
      </c>
      <c r="F1028" s="199">
        <v>0.4</v>
      </c>
      <c r="G1028" s="261">
        <v>3.6</v>
      </c>
      <c r="H1028" s="261">
        <v>1</v>
      </c>
      <c r="I1028" s="261"/>
      <c r="J1028" s="259"/>
      <c r="K1028" s="260">
        <f t="shared" si="31"/>
        <v>0.72000000000000008</v>
      </c>
      <c r="L1028" s="266" t="s">
        <v>1558</v>
      </c>
    </row>
    <row r="1029" spans="2:12">
      <c r="B1029" s="256" t="s">
        <v>1401</v>
      </c>
      <c r="C1029" s="250" t="s">
        <v>1521</v>
      </c>
      <c r="D1029" s="205" t="s">
        <v>110</v>
      </c>
      <c r="E1029" s="199">
        <v>0.5</v>
      </c>
      <c r="F1029" s="199">
        <v>0.4</v>
      </c>
      <c r="G1029" s="261">
        <v>3.6</v>
      </c>
      <c r="H1029" s="261">
        <v>1</v>
      </c>
      <c r="I1029" s="261"/>
      <c r="J1029" s="259"/>
      <c r="K1029" s="260">
        <f t="shared" si="31"/>
        <v>0.72000000000000008</v>
      </c>
      <c r="L1029" s="266" t="s">
        <v>1558</v>
      </c>
    </row>
    <row r="1030" spans="2:12">
      <c r="B1030" s="256" t="s">
        <v>1402</v>
      </c>
      <c r="C1030" s="250" t="s">
        <v>1521</v>
      </c>
      <c r="D1030" s="205" t="s">
        <v>110</v>
      </c>
      <c r="E1030" s="261">
        <v>1</v>
      </c>
      <c r="F1030" s="261">
        <v>0.2</v>
      </c>
      <c r="G1030" s="261">
        <v>3.6</v>
      </c>
      <c r="H1030" s="261">
        <v>1</v>
      </c>
      <c r="I1030" s="261"/>
      <c r="J1030" s="259"/>
      <c r="K1030" s="260">
        <f t="shared" si="31"/>
        <v>0.72000000000000008</v>
      </c>
      <c r="L1030" s="266" t="s">
        <v>1558</v>
      </c>
    </row>
    <row r="1031" spans="2:12">
      <c r="B1031" s="256" t="s">
        <v>1404</v>
      </c>
      <c r="C1031" s="250" t="s">
        <v>1611</v>
      </c>
      <c r="D1031" s="205" t="s">
        <v>110</v>
      </c>
      <c r="E1031" s="261">
        <v>0.2</v>
      </c>
      <c r="F1031" s="261">
        <v>0.6</v>
      </c>
      <c r="G1031" s="261">
        <v>3.6</v>
      </c>
      <c r="H1031" s="261">
        <v>1</v>
      </c>
      <c r="I1031" s="261"/>
      <c r="J1031" s="259"/>
      <c r="K1031" s="260">
        <f t="shared" si="31"/>
        <v>0.432</v>
      </c>
      <c r="L1031" s="266" t="s">
        <v>1558</v>
      </c>
    </row>
    <row r="1032" spans="2:12">
      <c r="B1032" s="256" t="s">
        <v>1405</v>
      </c>
      <c r="C1032" s="250" t="s">
        <v>1611</v>
      </c>
      <c r="D1032" s="205" t="s">
        <v>110</v>
      </c>
      <c r="E1032" s="261">
        <v>0.2</v>
      </c>
      <c r="F1032" s="261">
        <v>0.6</v>
      </c>
      <c r="G1032" s="261">
        <v>3.6</v>
      </c>
      <c r="H1032" s="261">
        <v>1</v>
      </c>
      <c r="I1032" s="261"/>
      <c r="J1032" s="259"/>
      <c r="K1032" s="260">
        <f t="shared" ref="K1032:K1063" si="32">IF(E1032*F1032*G1032&lt;&gt;0,E1032*F1032*G1032,IF(E1032*F1032&lt;&gt;0,E1032*F1032,IF(F1032*G1032&lt;&gt;0,F1032*G1032,IF(E1032*G1032&lt;&gt;0,E1032*G1032,IF(E1032&lt;&gt;0,E1032,IF(F1032&lt;&gt;0,F1032,IF(G1032&lt;&gt;0,G1032,0)))))))*(IF(H1032&lt;&gt;0,H1032,1))+I1032-J1032</f>
        <v>0.432</v>
      </c>
      <c r="L1032" s="266" t="s">
        <v>1558</v>
      </c>
    </row>
    <row r="1033" spans="2:12">
      <c r="B1033" s="256" t="s">
        <v>1406</v>
      </c>
      <c r="C1033" s="250" t="s">
        <v>1611</v>
      </c>
      <c r="D1033" s="205" t="s">
        <v>110</v>
      </c>
      <c r="E1033" s="261">
        <v>0.4</v>
      </c>
      <c r="F1033" s="261">
        <v>0.4</v>
      </c>
      <c r="G1033" s="261">
        <v>3.6</v>
      </c>
      <c r="H1033" s="261">
        <v>1</v>
      </c>
      <c r="I1033" s="261"/>
      <c r="J1033" s="259"/>
      <c r="K1033" s="260">
        <f t="shared" si="32"/>
        <v>0.57600000000000018</v>
      </c>
      <c r="L1033" s="266" t="s">
        <v>1558</v>
      </c>
    </row>
    <row r="1034" spans="2:12">
      <c r="B1034" s="256" t="s">
        <v>1407</v>
      </c>
      <c r="C1034" s="250" t="s">
        <v>1611</v>
      </c>
      <c r="D1034" s="205" t="s">
        <v>110</v>
      </c>
      <c r="E1034" s="261">
        <v>0.5</v>
      </c>
      <c r="F1034" s="261">
        <v>0.4</v>
      </c>
      <c r="G1034" s="261">
        <v>3.6</v>
      </c>
      <c r="H1034" s="261">
        <v>1</v>
      </c>
      <c r="I1034" s="261"/>
      <c r="J1034" s="259"/>
      <c r="K1034" s="260">
        <f t="shared" si="32"/>
        <v>0.72000000000000008</v>
      </c>
      <c r="L1034" s="266" t="s">
        <v>1558</v>
      </c>
    </row>
    <row r="1035" spans="2:12">
      <c r="B1035" s="256" t="s">
        <v>1408</v>
      </c>
      <c r="C1035" s="250" t="s">
        <v>1611</v>
      </c>
      <c r="D1035" s="205" t="s">
        <v>110</v>
      </c>
      <c r="E1035" s="261">
        <v>0.5</v>
      </c>
      <c r="F1035" s="261">
        <v>0.4</v>
      </c>
      <c r="G1035" s="261">
        <v>3.6</v>
      </c>
      <c r="H1035" s="261">
        <v>1</v>
      </c>
      <c r="I1035" s="261"/>
      <c r="J1035" s="259"/>
      <c r="K1035" s="260">
        <f t="shared" si="32"/>
        <v>0.72000000000000008</v>
      </c>
      <c r="L1035" s="266" t="s">
        <v>1558</v>
      </c>
    </row>
    <row r="1036" spans="2:12">
      <c r="B1036" s="256" t="s">
        <v>1409</v>
      </c>
      <c r="C1036" s="250" t="s">
        <v>1611</v>
      </c>
      <c r="D1036" s="205" t="s">
        <v>110</v>
      </c>
      <c r="E1036" s="261">
        <v>0.2</v>
      </c>
      <c r="F1036" s="261">
        <v>1</v>
      </c>
      <c r="G1036" s="261">
        <v>3.6</v>
      </c>
      <c r="H1036" s="261">
        <v>1</v>
      </c>
      <c r="I1036" s="261"/>
      <c r="J1036" s="259"/>
      <c r="K1036" s="260">
        <f t="shared" si="32"/>
        <v>0.72000000000000008</v>
      </c>
      <c r="L1036" s="266" t="s">
        <v>1558</v>
      </c>
    </row>
    <row r="1037" spans="2:12">
      <c r="B1037" s="256" t="s">
        <v>1410</v>
      </c>
      <c r="C1037" s="250" t="s">
        <v>1611</v>
      </c>
      <c r="D1037" s="205" t="s">
        <v>110</v>
      </c>
      <c r="E1037" s="261">
        <v>0.45</v>
      </c>
      <c r="F1037" s="261">
        <v>0.3</v>
      </c>
      <c r="G1037" s="261">
        <v>3.6</v>
      </c>
      <c r="H1037" s="261">
        <v>1</v>
      </c>
      <c r="I1037" s="261"/>
      <c r="J1037" s="259"/>
      <c r="K1037" s="260">
        <f t="shared" si="32"/>
        <v>0.48600000000000004</v>
      </c>
      <c r="L1037" s="266" t="s">
        <v>1558</v>
      </c>
    </row>
    <row r="1038" spans="2:12">
      <c r="B1038" s="256" t="s">
        <v>1412</v>
      </c>
      <c r="C1038" s="250" t="s">
        <v>1611</v>
      </c>
      <c r="D1038" s="205" t="s">
        <v>110</v>
      </c>
      <c r="E1038" s="261">
        <v>0.55000000000000004</v>
      </c>
      <c r="F1038" s="261">
        <v>0.3</v>
      </c>
      <c r="G1038" s="261">
        <v>3.6</v>
      </c>
      <c r="H1038" s="261">
        <v>1</v>
      </c>
      <c r="I1038" s="261"/>
      <c r="J1038" s="259"/>
      <c r="K1038" s="260">
        <f t="shared" si="32"/>
        <v>0.59400000000000008</v>
      </c>
      <c r="L1038" s="266" t="s">
        <v>1558</v>
      </c>
    </row>
    <row r="1039" spans="2:12">
      <c r="B1039" s="256" t="s">
        <v>1414</v>
      </c>
      <c r="C1039" s="250" t="s">
        <v>1611</v>
      </c>
      <c r="D1039" s="205" t="s">
        <v>110</v>
      </c>
      <c r="E1039" s="261">
        <v>0.55000000000000004</v>
      </c>
      <c r="F1039" s="261">
        <v>0.3</v>
      </c>
      <c r="G1039" s="261">
        <v>3.6</v>
      </c>
      <c r="H1039" s="261">
        <v>1</v>
      </c>
      <c r="I1039" s="261"/>
      <c r="J1039" s="259"/>
      <c r="K1039" s="260">
        <f t="shared" si="32"/>
        <v>0.59400000000000008</v>
      </c>
      <c r="L1039" s="266" t="s">
        <v>1558</v>
      </c>
    </row>
    <row r="1040" spans="2:12">
      <c r="B1040" s="256" t="s">
        <v>1416</v>
      </c>
      <c r="C1040" s="250" t="s">
        <v>1611</v>
      </c>
      <c r="D1040" s="205" t="s">
        <v>110</v>
      </c>
      <c r="E1040" s="261">
        <v>0.45</v>
      </c>
      <c r="F1040" s="261">
        <v>0.3</v>
      </c>
      <c r="G1040" s="261">
        <v>3.6</v>
      </c>
      <c r="H1040" s="261">
        <v>1</v>
      </c>
      <c r="I1040" s="261"/>
      <c r="J1040" s="259"/>
      <c r="K1040" s="260">
        <f t="shared" si="32"/>
        <v>0.48600000000000004</v>
      </c>
      <c r="L1040" s="266" t="s">
        <v>1558</v>
      </c>
    </row>
    <row r="1041" spans="2:12">
      <c r="B1041" s="256" t="s">
        <v>1418</v>
      </c>
      <c r="C1041" s="250" t="s">
        <v>1611</v>
      </c>
      <c r="D1041" s="205" t="s">
        <v>110</v>
      </c>
      <c r="E1041" s="261">
        <v>0.2</v>
      </c>
      <c r="F1041" s="261">
        <v>0.8</v>
      </c>
      <c r="G1041" s="261">
        <v>3.6</v>
      </c>
      <c r="H1041" s="261">
        <v>1</v>
      </c>
      <c r="I1041" s="261"/>
      <c r="J1041" s="259"/>
      <c r="K1041" s="260">
        <f t="shared" si="32"/>
        <v>0.57600000000000018</v>
      </c>
      <c r="L1041" s="266" t="s">
        <v>1558</v>
      </c>
    </row>
    <row r="1042" spans="2:12">
      <c r="B1042" s="256" t="s">
        <v>1411</v>
      </c>
      <c r="C1042" s="250" t="s">
        <v>1611</v>
      </c>
      <c r="D1042" s="205" t="s">
        <v>110</v>
      </c>
      <c r="E1042" s="261">
        <v>0.45</v>
      </c>
      <c r="F1042" s="261">
        <v>0.3</v>
      </c>
      <c r="G1042" s="261">
        <v>3.6</v>
      </c>
      <c r="H1042" s="261">
        <v>1</v>
      </c>
      <c r="I1042" s="261"/>
      <c r="J1042" s="259"/>
      <c r="K1042" s="260">
        <f t="shared" si="32"/>
        <v>0.48600000000000004</v>
      </c>
      <c r="L1042" s="266" t="s">
        <v>1557</v>
      </c>
    </row>
    <row r="1043" spans="2:12">
      <c r="B1043" s="256" t="s">
        <v>1413</v>
      </c>
      <c r="C1043" s="250" t="s">
        <v>1611</v>
      </c>
      <c r="D1043" s="205" t="s">
        <v>110</v>
      </c>
      <c r="E1043" s="261">
        <v>0.55000000000000004</v>
      </c>
      <c r="F1043" s="261">
        <v>0.3</v>
      </c>
      <c r="G1043" s="261">
        <v>3.6</v>
      </c>
      <c r="H1043" s="261">
        <v>1</v>
      </c>
      <c r="I1043" s="261"/>
      <c r="J1043" s="259"/>
      <c r="K1043" s="260">
        <f t="shared" si="32"/>
        <v>0.59400000000000008</v>
      </c>
      <c r="L1043" s="266" t="s">
        <v>1557</v>
      </c>
    </row>
    <row r="1044" spans="2:12">
      <c r="B1044" s="256" t="s">
        <v>1415</v>
      </c>
      <c r="C1044" s="250" t="s">
        <v>1611</v>
      </c>
      <c r="D1044" s="205" t="s">
        <v>110</v>
      </c>
      <c r="E1044" s="261">
        <v>0.55000000000000004</v>
      </c>
      <c r="F1044" s="261">
        <v>0.3</v>
      </c>
      <c r="G1044" s="261">
        <v>3.6</v>
      </c>
      <c r="H1044" s="261">
        <v>1</v>
      </c>
      <c r="I1044" s="261"/>
      <c r="J1044" s="259"/>
      <c r="K1044" s="260">
        <f t="shared" si="32"/>
        <v>0.59400000000000008</v>
      </c>
      <c r="L1044" s="266" t="s">
        <v>1557</v>
      </c>
    </row>
    <row r="1045" spans="2:12">
      <c r="B1045" s="256" t="s">
        <v>1417</v>
      </c>
      <c r="C1045" s="250" t="s">
        <v>1611</v>
      </c>
      <c r="D1045" s="205" t="s">
        <v>110</v>
      </c>
      <c r="E1045" s="261">
        <v>0.45</v>
      </c>
      <c r="F1045" s="261">
        <v>0.3</v>
      </c>
      <c r="G1045" s="261">
        <v>3.6</v>
      </c>
      <c r="H1045" s="261">
        <v>1</v>
      </c>
      <c r="I1045" s="261"/>
      <c r="J1045" s="259"/>
      <c r="K1045" s="260">
        <f t="shared" si="32"/>
        <v>0.48600000000000004</v>
      </c>
      <c r="L1045" s="266" t="s">
        <v>1557</v>
      </c>
    </row>
    <row r="1046" spans="2:12">
      <c r="B1046" s="256" t="s">
        <v>1419</v>
      </c>
      <c r="C1046" s="250" t="s">
        <v>1611</v>
      </c>
      <c r="D1046" s="205" t="s">
        <v>110</v>
      </c>
      <c r="E1046" s="261">
        <v>0.2</v>
      </c>
      <c r="F1046" s="261">
        <v>0.8</v>
      </c>
      <c r="G1046" s="261">
        <v>3.6</v>
      </c>
      <c r="H1046" s="261">
        <v>1</v>
      </c>
      <c r="I1046" s="261"/>
      <c r="J1046" s="259"/>
      <c r="K1046" s="260">
        <f t="shared" si="32"/>
        <v>0.57600000000000018</v>
      </c>
      <c r="L1046" s="266" t="s">
        <v>1557</v>
      </c>
    </row>
    <row r="1047" spans="2:12">
      <c r="B1047" s="256" t="s">
        <v>1420</v>
      </c>
      <c r="C1047" s="250" t="s">
        <v>1611</v>
      </c>
      <c r="D1047" s="205" t="s">
        <v>110</v>
      </c>
      <c r="E1047" s="261">
        <v>0.3</v>
      </c>
      <c r="F1047" s="261">
        <v>0.8</v>
      </c>
      <c r="G1047" s="261">
        <v>3.6</v>
      </c>
      <c r="H1047" s="261">
        <v>1</v>
      </c>
      <c r="I1047" s="261"/>
      <c r="J1047" s="259"/>
      <c r="K1047" s="260">
        <f t="shared" si="32"/>
        <v>0.86399999999999999</v>
      </c>
      <c r="L1047" s="266" t="s">
        <v>1557</v>
      </c>
    </row>
    <row r="1048" spans="2:12">
      <c r="B1048" s="256" t="s">
        <v>1421</v>
      </c>
      <c r="C1048" s="250" t="s">
        <v>1611</v>
      </c>
      <c r="D1048" s="205" t="s">
        <v>110</v>
      </c>
      <c r="E1048" s="261">
        <v>0.2</v>
      </c>
      <c r="F1048" s="261">
        <v>0.8</v>
      </c>
      <c r="G1048" s="261">
        <v>3.6</v>
      </c>
      <c r="H1048" s="261">
        <v>1</v>
      </c>
      <c r="I1048" s="261"/>
      <c r="J1048" s="259"/>
      <c r="K1048" s="260">
        <f t="shared" si="32"/>
        <v>0.57600000000000018</v>
      </c>
      <c r="L1048" s="266" t="s">
        <v>1557</v>
      </c>
    </row>
    <row r="1049" spans="2:12">
      <c r="B1049" s="256" t="s">
        <v>1422</v>
      </c>
      <c r="C1049" s="250" t="s">
        <v>1611</v>
      </c>
      <c r="D1049" s="205" t="s">
        <v>110</v>
      </c>
      <c r="E1049" s="261">
        <v>0.3</v>
      </c>
      <c r="F1049" s="261">
        <v>0.8</v>
      </c>
      <c r="G1049" s="261">
        <v>3.6</v>
      </c>
      <c r="H1049" s="261">
        <v>1</v>
      </c>
      <c r="I1049" s="261"/>
      <c r="J1049" s="259"/>
      <c r="K1049" s="260">
        <f t="shared" si="32"/>
        <v>0.86399999999999999</v>
      </c>
      <c r="L1049" s="266" t="s">
        <v>1557</v>
      </c>
    </row>
    <row r="1050" spans="2:12">
      <c r="B1050" s="256" t="s">
        <v>1423</v>
      </c>
      <c r="C1050" s="250" t="s">
        <v>1611</v>
      </c>
      <c r="D1050" s="205" t="s">
        <v>110</v>
      </c>
      <c r="E1050" s="261">
        <v>0.4</v>
      </c>
      <c r="F1050" s="261">
        <v>0.7</v>
      </c>
      <c r="G1050" s="261">
        <v>3.6</v>
      </c>
      <c r="H1050" s="261">
        <v>1</v>
      </c>
      <c r="I1050" s="261"/>
      <c r="J1050" s="259"/>
      <c r="K1050" s="260">
        <f t="shared" si="32"/>
        <v>1.008</v>
      </c>
      <c r="L1050" s="266" t="s">
        <v>1557</v>
      </c>
    </row>
    <row r="1051" spans="2:12">
      <c r="B1051" s="256" t="s">
        <v>1424</v>
      </c>
      <c r="C1051" s="250" t="s">
        <v>1611</v>
      </c>
      <c r="D1051" s="205" t="s">
        <v>110</v>
      </c>
      <c r="E1051" s="261">
        <v>0.5</v>
      </c>
      <c r="F1051" s="261">
        <v>0.7</v>
      </c>
      <c r="G1051" s="261">
        <v>3.6</v>
      </c>
      <c r="H1051" s="261">
        <v>1</v>
      </c>
      <c r="I1051" s="261"/>
      <c r="J1051" s="259"/>
      <c r="K1051" s="260">
        <f t="shared" si="32"/>
        <v>1.26</v>
      </c>
      <c r="L1051" s="266" t="s">
        <v>1557</v>
      </c>
    </row>
    <row r="1052" spans="2:12">
      <c r="B1052" s="256" t="s">
        <v>1425</v>
      </c>
      <c r="C1052" s="250" t="s">
        <v>1611</v>
      </c>
      <c r="D1052" s="205" t="s">
        <v>110</v>
      </c>
      <c r="E1052" s="261">
        <v>0.5</v>
      </c>
      <c r="F1052" s="261">
        <v>0.7</v>
      </c>
      <c r="G1052" s="261">
        <v>3.6</v>
      </c>
      <c r="H1052" s="261">
        <v>1</v>
      </c>
      <c r="I1052" s="261"/>
      <c r="J1052" s="259"/>
      <c r="K1052" s="260">
        <f t="shared" si="32"/>
        <v>1.26</v>
      </c>
      <c r="L1052" s="266" t="s">
        <v>1557</v>
      </c>
    </row>
    <row r="1053" spans="2:12">
      <c r="B1053" s="256" t="s">
        <v>1426</v>
      </c>
      <c r="C1053" s="250" t="s">
        <v>1611</v>
      </c>
      <c r="D1053" s="205" t="s">
        <v>110</v>
      </c>
      <c r="E1053" s="261">
        <v>0.4</v>
      </c>
      <c r="F1053" s="261">
        <v>0.5</v>
      </c>
      <c r="G1053" s="261">
        <v>3.6</v>
      </c>
      <c r="H1053" s="261">
        <v>1</v>
      </c>
      <c r="I1053" s="261"/>
      <c r="J1053" s="259"/>
      <c r="K1053" s="260">
        <f t="shared" si="32"/>
        <v>0.72000000000000008</v>
      </c>
      <c r="L1053" s="266" t="s">
        <v>1557</v>
      </c>
    </row>
    <row r="1054" spans="2:12">
      <c r="B1054" s="256" t="s">
        <v>1485</v>
      </c>
      <c r="C1054" s="250" t="s">
        <v>1611</v>
      </c>
      <c r="D1054" s="205" t="s">
        <v>110</v>
      </c>
      <c r="E1054" s="261">
        <v>0.6</v>
      </c>
      <c r="F1054" s="261">
        <v>0.4</v>
      </c>
      <c r="G1054" s="261">
        <v>3.6</v>
      </c>
      <c r="H1054" s="261">
        <v>1</v>
      </c>
      <c r="I1054" s="261"/>
      <c r="J1054" s="259"/>
      <c r="K1054" s="260">
        <f t="shared" si="32"/>
        <v>0.86399999999999999</v>
      </c>
      <c r="L1054" s="266" t="s">
        <v>1557</v>
      </c>
    </row>
    <row r="1055" spans="2:12">
      <c r="B1055" s="256" t="s">
        <v>1486</v>
      </c>
      <c r="C1055" s="250" t="s">
        <v>1611</v>
      </c>
      <c r="D1055" s="205" t="s">
        <v>110</v>
      </c>
      <c r="E1055" s="261">
        <v>0.2</v>
      </c>
      <c r="F1055" s="261">
        <v>2.94</v>
      </c>
      <c r="G1055" s="261">
        <v>3.6</v>
      </c>
      <c r="H1055" s="261">
        <v>1</v>
      </c>
      <c r="I1055" s="261"/>
      <c r="J1055" s="259"/>
      <c r="K1055" s="260">
        <f t="shared" si="32"/>
        <v>2.1168</v>
      </c>
      <c r="L1055" s="266" t="s">
        <v>1557</v>
      </c>
    </row>
    <row r="1056" spans="2:12">
      <c r="B1056" s="256" t="s">
        <v>1487</v>
      </c>
      <c r="C1056" s="250" t="s">
        <v>1611</v>
      </c>
      <c r="D1056" s="205" t="s">
        <v>110</v>
      </c>
      <c r="E1056" s="261">
        <v>0.2</v>
      </c>
      <c r="F1056" s="261">
        <v>2.94</v>
      </c>
      <c r="G1056" s="261">
        <v>3.6</v>
      </c>
      <c r="H1056" s="261">
        <v>1</v>
      </c>
      <c r="I1056" s="261"/>
      <c r="J1056" s="259"/>
      <c r="K1056" s="260">
        <f t="shared" si="32"/>
        <v>2.1168</v>
      </c>
      <c r="L1056" s="266" t="s">
        <v>1557</v>
      </c>
    </row>
    <row r="1057" spans="2:12">
      <c r="B1057" s="256" t="s">
        <v>1488</v>
      </c>
      <c r="C1057" s="250" t="s">
        <v>1611</v>
      </c>
      <c r="D1057" s="205" t="s">
        <v>110</v>
      </c>
      <c r="E1057" s="261">
        <v>0.6</v>
      </c>
      <c r="F1057" s="261">
        <v>0.5</v>
      </c>
      <c r="G1057" s="261">
        <v>3.6</v>
      </c>
      <c r="H1057" s="261">
        <v>1</v>
      </c>
      <c r="I1057" s="261"/>
      <c r="J1057" s="259"/>
      <c r="K1057" s="260">
        <f t="shared" si="32"/>
        <v>1.08</v>
      </c>
      <c r="L1057" s="266" t="s">
        <v>1557</v>
      </c>
    </row>
    <row r="1058" spans="2:12">
      <c r="B1058" s="256" t="s">
        <v>1489</v>
      </c>
      <c r="C1058" s="250" t="s">
        <v>1611</v>
      </c>
      <c r="D1058" s="205" t="s">
        <v>110</v>
      </c>
      <c r="E1058" s="261">
        <v>0.4</v>
      </c>
      <c r="F1058" s="261">
        <v>0.4</v>
      </c>
      <c r="G1058" s="261">
        <v>3.6</v>
      </c>
      <c r="H1058" s="261">
        <v>1</v>
      </c>
      <c r="I1058" s="261"/>
      <c r="J1058" s="259"/>
      <c r="K1058" s="260">
        <f t="shared" si="32"/>
        <v>0.57600000000000018</v>
      </c>
      <c r="L1058" s="266" t="s">
        <v>1557</v>
      </c>
    </row>
    <row r="1059" spans="2:12">
      <c r="B1059" s="256" t="s">
        <v>1490</v>
      </c>
      <c r="C1059" s="250" t="s">
        <v>1611</v>
      </c>
      <c r="D1059" s="205" t="s">
        <v>110</v>
      </c>
      <c r="E1059" s="261">
        <v>0.2</v>
      </c>
      <c r="F1059" s="261">
        <v>0.8</v>
      </c>
      <c r="G1059" s="261">
        <v>3.6</v>
      </c>
      <c r="H1059" s="261">
        <v>1</v>
      </c>
      <c r="I1059" s="261"/>
      <c r="J1059" s="259"/>
      <c r="K1059" s="260">
        <f t="shared" si="32"/>
        <v>0.57600000000000018</v>
      </c>
      <c r="L1059" s="266" t="s">
        <v>1557</v>
      </c>
    </row>
    <row r="1060" spans="2:12">
      <c r="B1060" s="256" t="s">
        <v>1493</v>
      </c>
      <c r="C1060" s="250" t="s">
        <v>1611</v>
      </c>
      <c r="D1060" s="205" t="s">
        <v>110</v>
      </c>
      <c r="E1060" s="261">
        <v>0.4</v>
      </c>
      <c r="F1060" s="261">
        <v>0.4</v>
      </c>
      <c r="G1060" s="261">
        <v>3.6</v>
      </c>
      <c r="H1060" s="261">
        <v>1</v>
      </c>
      <c r="I1060" s="261"/>
      <c r="J1060" s="259"/>
      <c r="K1060" s="260">
        <f t="shared" si="32"/>
        <v>0.57600000000000018</v>
      </c>
      <c r="L1060" s="266" t="s">
        <v>1557</v>
      </c>
    </row>
    <row r="1061" spans="2:12">
      <c r="B1061" s="256" t="s">
        <v>1494</v>
      </c>
      <c r="C1061" s="250" t="s">
        <v>1611</v>
      </c>
      <c r="D1061" s="205" t="s">
        <v>110</v>
      </c>
      <c r="E1061" s="261">
        <v>0.4</v>
      </c>
      <c r="F1061" s="261">
        <v>0.4</v>
      </c>
      <c r="G1061" s="261">
        <v>3.6</v>
      </c>
      <c r="H1061" s="261">
        <v>1</v>
      </c>
      <c r="I1061" s="261"/>
      <c r="J1061" s="259"/>
      <c r="K1061" s="260">
        <f t="shared" si="32"/>
        <v>0.57600000000000018</v>
      </c>
      <c r="L1061" s="266" t="s">
        <v>1557</v>
      </c>
    </row>
    <row r="1062" spans="2:12">
      <c r="B1062" s="256" t="s">
        <v>1495</v>
      </c>
      <c r="C1062" s="250" t="s">
        <v>1611</v>
      </c>
      <c r="D1062" s="205" t="s">
        <v>110</v>
      </c>
      <c r="E1062" s="261">
        <v>0.4</v>
      </c>
      <c r="F1062" s="261">
        <v>0.4</v>
      </c>
      <c r="G1062" s="261">
        <v>3.6</v>
      </c>
      <c r="H1062" s="261">
        <v>1</v>
      </c>
      <c r="I1062" s="261"/>
      <c r="J1062" s="259"/>
      <c r="K1062" s="260">
        <f t="shared" si="32"/>
        <v>0.57600000000000018</v>
      </c>
      <c r="L1062" s="266" t="s">
        <v>1557</v>
      </c>
    </row>
    <row r="1063" spans="2:12">
      <c r="B1063" s="256"/>
      <c r="C1063" s="210"/>
      <c r="D1063" s="210"/>
      <c r="E1063" s="261"/>
      <c r="F1063" s="261"/>
      <c r="G1063" s="261"/>
      <c r="H1063" s="261"/>
      <c r="I1063" s="261"/>
      <c r="J1063" s="259"/>
      <c r="K1063" s="260">
        <f t="shared" si="32"/>
        <v>0</v>
      </c>
      <c r="L1063" s="210"/>
    </row>
    <row r="1064" spans="2:12">
      <c r="B1064" s="202"/>
      <c r="C1064" s="203"/>
      <c r="D1064" s="203"/>
      <c r="E1064" s="203"/>
      <c r="F1064" s="203"/>
      <c r="G1064" s="203"/>
      <c r="H1064" s="204"/>
      <c r="I1064" s="556" t="s">
        <v>1221</v>
      </c>
      <c r="J1064" s="556"/>
      <c r="K1064" s="220">
        <f>SUM(K936:K1063)</f>
        <v>105.45071999999989</v>
      </c>
      <c r="L1064" s="207"/>
    </row>
    <row r="1065" spans="2:12">
      <c r="B1065" s="208"/>
      <c r="C1065" s="204"/>
      <c r="D1065" s="204"/>
      <c r="E1065" s="204"/>
      <c r="F1065" s="204"/>
      <c r="G1065" s="204"/>
      <c r="H1065" s="209"/>
      <c r="I1065" s="556" t="s">
        <v>1222</v>
      </c>
      <c r="J1065" s="556"/>
      <c r="K1065" s="221">
        <f>VLOOKUP(B934,'BM 004'!$B$27:$R$590,4,0)</f>
        <v>226.93</v>
      </c>
      <c r="L1065" s="207"/>
    </row>
    <row r="1066" spans="2:12">
      <c r="B1066" s="208"/>
      <c r="C1066" s="204"/>
      <c r="D1066" s="204"/>
      <c r="E1066" s="204"/>
      <c r="F1066" s="204"/>
      <c r="G1066" s="204"/>
      <c r="H1066" s="558" t="s">
        <v>1223</v>
      </c>
      <c r="I1066" s="558"/>
      <c r="J1066" s="558"/>
      <c r="K1066" s="222">
        <v>80.769119999999901</v>
      </c>
      <c r="L1066" s="207"/>
    </row>
    <row r="1067" spans="2:12">
      <c r="B1067" s="208"/>
      <c r="C1067" s="204"/>
      <c r="D1067" s="204"/>
      <c r="E1067" s="204"/>
      <c r="F1067" s="204"/>
      <c r="G1067" s="204"/>
      <c r="H1067" s="558" t="s">
        <v>1579</v>
      </c>
      <c r="I1067" s="558"/>
      <c r="J1067" s="558"/>
      <c r="K1067" s="222">
        <f>TRUNC(SUMIF(C936:C1063,H1067,K936:K1063),2)</f>
        <v>24.68</v>
      </c>
      <c r="L1067" s="207"/>
    </row>
    <row r="1068" spans="2:12">
      <c r="B1068" s="213"/>
      <c r="C1068" s="214"/>
      <c r="D1068" s="214"/>
      <c r="E1068" s="214"/>
      <c r="F1068" s="214"/>
      <c r="G1068" s="214"/>
      <c r="H1068" s="566" t="s">
        <v>1224</v>
      </c>
      <c r="I1068" s="566"/>
      <c r="J1068" s="566"/>
      <c r="K1068" s="223">
        <f>IF(K1064&gt;K1065,K1064-K1065,0)</f>
        <v>0</v>
      </c>
      <c r="L1068" s="209"/>
    </row>
    <row r="1070" spans="2:12">
      <c r="B1070" s="247" t="s">
        <v>236</v>
      </c>
      <c r="C1070" s="565" t="str">
        <f>VLOOKUP(B1070,'BM 004'!$B$27:$R$590,2,0)</f>
        <v xml:space="preserve">FABRICAÇÃO, MONTAGEM E DESMONTAGEM DE FÔRMA DE LAJE MACIÇA, PÉ-DIREITO DUPLO, EM CHAPA DE MADEIRA COMPENSADA RESINADA, INCLUSIVE ESCORAMENTO h=3,00 à 4,50 m, 6 UTILIZAÇÕES. </v>
      </c>
      <c r="D1070" s="565"/>
      <c r="E1070" s="565"/>
      <c r="F1070" s="565"/>
      <c r="G1070" s="565"/>
      <c r="H1070" s="565"/>
      <c r="I1070" s="565"/>
      <c r="J1070" s="565"/>
      <c r="K1070" s="565"/>
      <c r="L1070" s="565"/>
    </row>
    <row r="1071" spans="2:12">
      <c r="B1071" s="248" t="s">
        <v>1209</v>
      </c>
      <c r="C1071" s="248"/>
      <c r="D1071" s="248" t="s">
        <v>39</v>
      </c>
      <c r="E1071" s="248" t="s">
        <v>1210</v>
      </c>
      <c r="F1071" s="248" t="s">
        <v>1388</v>
      </c>
      <c r="G1071" s="248" t="s">
        <v>1212</v>
      </c>
      <c r="H1071" s="248" t="s">
        <v>1213</v>
      </c>
      <c r="I1071" s="248" t="s">
        <v>1214</v>
      </c>
      <c r="J1071" s="248" t="s">
        <v>1385</v>
      </c>
      <c r="K1071" s="248" t="s">
        <v>1216</v>
      </c>
      <c r="L1071" s="248" t="s">
        <v>1217</v>
      </c>
    </row>
    <row r="1072" spans="2:12">
      <c r="B1072" s="249" t="s">
        <v>1496</v>
      </c>
      <c r="C1072" s="250" t="s">
        <v>1441</v>
      </c>
      <c r="D1072" s="205" t="s">
        <v>79</v>
      </c>
      <c r="E1072" s="251">
        <v>5.85</v>
      </c>
      <c r="F1072" s="252">
        <v>0.49</v>
      </c>
      <c r="G1072" s="251"/>
      <c r="H1072" s="251"/>
      <c r="I1072" s="251"/>
      <c r="J1072" s="253"/>
      <c r="K1072" s="254">
        <f t="shared" ref="K1072:K1092" si="33">IF(E1072*F1072*G1072&lt;&gt;0,E1072*F1072*G1072,IF(E1072*F1072&lt;&gt;0,E1072*F1072,IF(F1072*G1072&lt;&gt;0,F1072*G1072,IF(E1072*G1072&lt;&gt;0,E1072*G1072,IF(E1072&lt;&gt;0,E1072,IF(F1072&lt;&gt;0,F1072,IF(G1072&lt;&gt;0,G1072,0)))))))*(IF(H1072&lt;&gt;0,H1072,1))+I1072-J1072</f>
        <v>2.8664999999999998</v>
      </c>
      <c r="L1072" s="255"/>
    </row>
    <row r="1073" spans="2:12">
      <c r="B1073" s="256" t="s">
        <v>1497</v>
      </c>
      <c r="C1073" s="250" t="s">
        <v>1441</v>
      </c>
      <c r="D1073" s="205" t="s">
        <v>79</v>
      </c>
      <c r="E1073" s="257">
        <v>3.83</v>
      </c>
      <c r="F1073" s="258">
        <v>0.49</v>
      </c>
      <c r="G1073" s="257"/>
      <c r="H1073" s="257"/>
      <c r="I1073" s="257"/>
      <c r="J1073" s="259"/>
      <c r="K1073" s="260">
        <f t="shared" si="33"/>
        <v>1.8767</v>
      </c>
      <c r="L1073" s="210"/>
    </row>
    <row r="1074" spans="2:12">
      <c r="B1074" s="256" t="s">
        <v>1498</v>
      </c>
      <c r="C1074" s="250" t="s">
        <v>1441</v>
      </c>
      <c r="D1074" s="205" t="s">
        <v>79</v>
      </c>
      <c r="E1074" s="257">
        <v>5.93</v>
      </c>
      <c r="F1074" s="258">
        <v>1.92</v>
      </c>
      <c r="G1074" s="257"/>
      <c r="H1074" s="257"/>
      <c r="I1074" s="257"/>
      <c r="J1074" s="259"/>
      <c r="K1074" s="260">
        <f t="shared" si="33"/>
        <v>11.385599999999998</v>
      </c>
      <c r="L1074" s="210"/>
    </row>
    <row r="1075" spans="2:12">
      <c r="B1075" s="256" t="s">
        <v>1499</v>
      </c>
      <c r="C1075" s="250" t="s">
        <v>1441</v>
      </c>
      <c r="D1075" s="205" t="s">
        <v>79</v>
      </c>
      <c r="E1075" s="257">
        <v>7.62</v>
      </c>
      <c r="F1075" s="258">
        <v>1.92</v>
      </c>
      <c r="G1075" s="257"/>
      <c r="H1075" s="257"/>
      <c r="I1075" s="257"/>
      <c r="J1075" s="259"/>
      <c r="K1075" s="260">
        <f t="shared" si="33"/>
        <v>14.6304</v>
      </c>
      <c r="L1075" s="210"/>
    </row>
    <row r="1076" spans="2:12">
      <c r="B1076" s="256" t="s">
        <v>1500</v>
      </c>
      <c r="C1076" s="250" t="s">
        <v>1441</v>
      </c>
      <c r="D1076" s="205" t="s">
        <v>79</v>
      </c>
      <c r="E1076" s="257">
        <v>4.42</v>
      </c>
      <c r="F1076" s="258">
        <v>2.74</v>
      </c>
      <c r="G1076" s="257"/>
      <c r="H1076" s="257"/>
      <c r="I1076" s="257"/>
      <c r="J1076" s="259"/>
      <c r="K1076" s="260">
        <f t="shared" si="33"/>
        <v>12.110800000000001</v>
      </c>
      <c r="L1076" s="210"/>
    </row>
    <row r="1077" spans="2:12">
      <c r="B1077" s="256" t="s">
        <v>1559</v>
      </c>
      <c r="C1077" s="250" t="s">
        <v>1521</v>
      </c>
      <c r="D1077" s="205" t="s">
        <v>79</v>
      </c>
      <c r="E1077" s="257">
        <v>1.68</v>
      </c>
      <c r="F1077" s="258">
        <v>0.33</v>
      </c>
      <c r="G1077" s="257"/>
      <c r="H1077" s="257"/>
      <c r="I1077" s="257"/>
      <c r="J1077" s="259"/>
      <c r="K1077" s="260">
        <f t="shared" si="33"/>
        <v>0.5544</v>
      </c>
      <c r="L1077" s="210"/>
    </row>
    <row r="1078" spans="2:12">
      <c r="B1078" s="256" t="s">
        <v>1560</v>
      </c>
      <c r="C1078" s="250" t="s">
        <v>1521</v>
      </c>
      <c r="D1078" s="205" t="s">
        <v>79</v>
      </c>
      <c r="E1078" s="257">
        <v>7.67</v>
      </c>
      <c r="F1078" s="258">
        <v>0.33</v>
      </c>
      <c r="G1078" s="257"/>
      <c r="H1078" s="257"/>
      <c r="I1078" s="257"/>
      <c r="J1078" s="259"/>
      <c r="K1078" s="260">
        <f t="shared" si="33"/>
        <v>2.5310999999999999</v>
      </c>
      <c r="L1078" s="210"/>
    </row>
    <row r="1079" spans="2:12">
      <c r="B1079" s="256" t="s">
        <v>1561</v>
      </c>
      <c r="C1079" s="250" t="s">
        <v>1521</v>
      </c>
      <c r="D1079" s="205" t="s">
        <v>79</v>
      </c>
      <c r="E1079" s="257">
        <v>0.31</v>
      </c>
      <c r="F1079" s="258">
        <v>0.33</v>
      </c>
      <c r="G1079" s="257"/>
      <c r="H1079" s="257"/>
      <c r="I1079" s="257"/>
      <c r="J1079" s="259"/>
      <c r="K1079" s="260">
        <f t="shared" si="33"/>
        <v>0.1023</v>
      </c>
      <c r="L1079" s="210"/>
    </row>
    <row r="1080" spans="2:12">
      <c r="B1080" s="256" t="s">
        <v>1562</v>
      </c>
      <c r="C1080" s="250" t="s">
        <v>1521</v>
      </c>
      <c r="D1080" s="205" t="s">
        <v>79</v>
      </c>
      <c r="E1080" s="257">
        <v>13.7</v>
      </c>
      <c r="F1080" s="258">
        <v>0.77</v>
      </c>
      <c r="G1080" s="257"/>
      <c r="H1080" s="257"/>
      <c r="I1080" s="257"/>
      <c r="J1080" s="259"/>
      <c r="K1080" s="260">
        <f t="shared" si="33"/>
        <v>10.548999999999999</v>
      </c>
      <c r="L1080" s="210"/>
    </row>
    <row r="1081" spans="2:12">
      <c r="B1081" s="256" t="s">
        <v>1563</v>
      </c>
      <c r="C1081" s="250" t="s">
        <v>1521</v>
      </c>
      <c r="D1081" s="205" t="s">
        <v>79</v>
      </c>
      <c r="E1081" s="257">
        <v>13.7</v>
      </c>
      <c r="F1081" s="258">
        <v>1.77</v>
      </c>
      <c r="G1081" s="257"/>
      <c r="H1081" s="257"/>
      <c r="I1081" s="257"/>
      <c r="J1081" s="259"/>
      <c r="K1081" s="260">
        <f t="shared" si="33"/>
        <v>24.248999999999999</v>
      </c>
      <c r="L1081" s="210"/>
    </row>
    <row r="1082" spans="2:12">
      <c r="B1082" s="256" t="s">
        <v>1564</v>
      </c>
      <c r="C1082" s="250" t="s">
        <v>1521</v>
      </c>
      <c r="D1082" s="205" t="s">
        <v>79</v>
      </c>
      <c r="E1082" s="257">
        <v>3.45</v>
      </c>
      <c r="F1082" s="258">
        <v>2.74</v>
      </c>
      <c r="G1082" s="257"/>
      <c r="H1082" s="257"/>
      <c r="I1082" s="257"/>
      <c r="J1082" s="259"/>
      <c r="K1082" s="260">
        <f t="shared" si="33"/>
        <v>9.4530000000000012</v>
      </c>
      <c r="L1082" s="210"/>
    </row>
    <row r="1083" spans="2:12">
      <c r="B1083" s="256" t="s">
        <v>1688</v>
      </c>
      <c r="C1083" s="250" t="s">
        <v>1611</v>
      </c>
      <c r="D1083" s="205" t="s">
        <v>79</v>
      </c>
      <c r="E1083" s="257">
        <v>4.58</v>
      </c>
      <c r="F1083" s="258">
        <v>1.92</v>
      </c>
      <c r="G1083" s="257"/>
      <c r="H1083" s="257">
        <v>1.1000000000000001</v>
      </c>
      <c r="I1083" s="257"/>
      <c r="J1083" s="259"/>
      <c r="K1083" s="260">
        <f t="shared" si="33"/>
        <v>9.6729599999999998</v>
      </c>
      <c r="L1083" s="210"/>
    </row>
    <row r="1084" spans="2:12">
      <c r="B1084" s="256" t="s">
        <v>1690</v>
      </c>
      <c r="C1084" s="250" t="s">
        <v>1611</v>
      </c>
      <c r="D1084" s="205" t="s">
        <v>79</v>
      </c>
      <c r="E1084" s="257">
        <v>1.92</v>
      </c>
      <c r="F1084" s="258">
        <v>1.38</v>
      </c>
      <c r="G1084" s="257"/>
      <c r="H1084" s="257">
        <v>1.1000000000000001</v>
      </c>
      <c r="I1084" s="257"/>
      <c r="J1084" s="259"/>
      <c r="K1084" s="260">
        <f t="shared" si="33"/>
        <v>2.9145599999999998</v>
      </c>
      <c r="L1084" s="210"/>
    </row>
    <row r="1085" spans="2:12">
      <c r="B1085" s="256" t="s">
        <v>1691</v>
      </c>
      <c r="C1085" s="250" t="s">
        <v>1611</v>
      </c>
      <c r="D1085" s="205" t="s">
        <v>79</v>
      </c>
      <c r="E1085" s="257">
        <v>0.81</v>
      </c>
      <c r="F1085" s="258">
        <v>1.99</v>
      </c>
      <c r="G1085" s="257"/>
      <c r="H1085" s="257">
        <v>1.1000000000000001</v>
      </c>
      <c r="I1085" s="257"/>
      <c r="J1085" s="259"/>
      <c r="K1085" s="260">
        <f t="shared" si="33"/>
        <v>1.7730900000000003</v>
      </c>
      <c r="L1085" s="210"/>
    </row>
    <row r="1086" spans="2:12">
      <c r="B1086" s="256" t="s">
        <v>1692</v>
      </c>
      <c r="C1086" s="250" t="s">
        <v>1611</v>
      </c>
      <c r="D1086" s="205" t="s">
        <v>79</v>
      </c>
      <c r="E1086" s="257">
        <v>17.420000000000002</v>
      </c>
      <c r="F1086" s="258">
        <v>2.56</v>
      </c>
      <c r="G1086" s="257"/>
      <c r="H1086" s="257">
        <v>1.1000000000000001</v>
      </c>
      <c r="I1086" s="257"/>
      <c r="J1086" s="259"/>
      <c r="K1086" s="260">
        <f t="shared" si="33"/>
        <v>49.05472000000001</v>
      </c>
      <c r="L1086" s="210"/>
    </row>
    <row r="1087" spans="2:12">
      <c r="B1087" s="256" t="s">
        <v>1696</v>
      </c>
      <c r="C1087" s="250" t="s">
        <v>1611</v>
      </c>
      <c r="D1087" s="205" t="s">
        <v>79</v>
      </c>
      <c r="E1087" s="257">
        <v>9.09</v>
      </c>
      <c r="F1087" s="258">
        <v>2.91</v>
      </c>
      <c r="G1087" s="257"/>
      <c r="H1087" s="257">
        <v>1.1000000000000001</v>
      </c>
      <c r="I1087" s="257"/>
      <c r="J1087" s="259"/>
      <c r="K1087" s="260">
        <f t="shared" si="33"/>
        <v>29.097090000000005</v>
      </c>
      <c r="L1087" s="210"/>
    </row>
    <row r="1088" spans="2:12">
      <c r="B1088" s="256" t="s">
        <v>1697</v>
      </c>
      <c r="C1088" s="250" t="s">
        <v>1611</v>
      </c>
      <c r="D1088" s="205" t="s">
        <v>79</v>
      </c>
      <c r="E1088" s="257">
        <v>7.09</v>
      </c>
      <c r="F1088" s="258">
        <v>3.24</v>
      </c>
      <c r="G1088" s="257"/>
      <c r="H1088" s="257">
        <v>1.1000000000000001</v>
      </c>
      <c r="I1088" s="257"/>
      <c r="J1088" s="259"/>
      <c r="K1088" s="260">
        <f t="shared" si="33"/>
        <v>25.268760000000004</v>
      </c>
      <c r="L1088" s="210"/>
    </row>
    <row r="1089" spans="2:12">
      <c r="B1089" s="256" t="s">
        <v>1701</v>
      </c>
      <c r="C1089" s="250" t="s">
        <v>1611</v>
      </c>
      <c r="D1089" s="205" t="s">
        <v>79</v>
      </c>
      <c r="E1089" s="257">
        <v>7.23</v>
      </c>
      <c r="F1089" s="258">
        <v>9.4</v>
      </c>
      <c r="G1089" s="257"/>
      <c r="H1089" s="257">
        <v>1.1000000000000001</v>
      </c>
      <c r="I1089" s="257"/>
      <c r="J1089" s="259"/>
      <c r="K1089" s="260">
        <f t="shared" si="33"/>
        <v>74.758200000000016</v>
      </c>
      <c r="L1089" s="210"/>
    </row>
    <row r="1090" spans="2:12">
      <c r="B1090" s="256"/>
      <c r="C1090" s="210"/>
      <c r="D1090" s="210"/>
      <c r="E1090" s="257"/>
      <c r="F1090" s="258"/>
      <c r="G1090" s="257"/>
      <c r="H1090" s="257"/>
      <c r="I1090" s="257"/>
      <c r="J1090" s="259"/>
      <c r="K1090" s="260">
        <f t="shared" si="33"/>
        <v>0</v>
      </c>
      <c r="L1090" s="210"/>
    </row>
    <row r="1091" spans="2:12">
      <c r="B1091" s="256"/>
      <c r="C1091" s="210"/>
      <c r="D1091" s="210"/>
      <c r="E1091" s="257"/>
      <c r="F1091" s="258"/>
      <c r="G1091" s="257"/>
      <c r="H1091" s="257"/>
      <c r="I1091" s="257"/>
      <c r="J1091" s="259"/>
      <c r="K1091" s="260">
        <f t="shared" si="33"/>
        <v>0</v>
      </c>
      <c r="L1091" s="210"/>
    </row>
    <row r="1092" spans="2:12">
      <c r="B1092" s="256"/>
      <c r="C1092" s="210"/>
      <c r="D1092" s="210"/>
      <c r="E1092" s="257"/>
      <c r="F1092" s="258"/>
      <c r="G1092" s="257"/>
      <c r="H1092" s="257"/>
      <c r="I1092" s="257"/>
      <c r="J1092" s="259"/>
      <c r="K1092" s="260">
        <f t="shared" si="33"/>
        <v>0</v>
      </c>
      <c r="L1092" s="210"/>
    </row>
    <row r="1093" spans="2:12">
      <c r="B1093" s="202"/>
      <c r="C1093" s="203"/>
      <c r="D1093" s="203"/>
      <c r="E1093" s="203"/>
      <c r="F1093" s="203"/>
      <c r="G1093" s="203"/>
      <c r="H1093" s="204"/>
      <c r="I1093" s="556" t="s">
        <v>1221</v>
      </c>
      <c r="J1093" s="556"/>
      <c r="K1093" s="220">
        <f>SUM(K1072:K1092)</f>
        <v>282.84818000000007</v>
      </c>
      <c r="L1093" s="207"/>
    </row>
    <row r="1094" spans="2:12">
      <c r="B1094" s="208"/>
      <c r="C1094" s="204"/>
      <c r="D1094" s="204"/>
      <c r="E1094" s="204"/>
      <c r="F1094" s="204"/>
      <c r="G1094" s="204"/>
      <c r="H1094" s="209"/>
      <c r="I1094" s="557" t="s">
        <v>1222</v>
      </c>
      <c r="J1094" s="557"/>
      <c r="K1094" s="221">
        <f>VLOOKUP(B1070,'BM 004'!$B$27:$R$590,4,0)</f>
        <v>770.47</v>
      </c>
      <c r="L1094" s="207"/>
    </row>
    <row r="1095" spans="2:12">
      <c r="B1095" s="208"/>
      <c r="C1095" s="204"/>
      <c r="D1095" s="204"/>
      <c r="E1095" s="204"/>
      <c r="F1095" s="204"/>
      <c r="G1095" s="204"/>
      <c r="H1095" s="558" t="s">
        <v>1223</v>
      </c>
      <c r="I1095" s="558"/>
      <c r="J1095" s="558"/>
      <c r="K1095" s="222">
        <v>90.308800000000005</v>
      </c>
      <c r="L1095" s="207"/>
    </row>
    <row r="1096" spans="2:12">
      <c r="B1096" s="208"/>
      <c r="C1096" s="204"/>
      <c r="D1096" s="204"/>
      <c r="E1096" s="204"/>
      <c r="F1096" s="204"/>
      <c r="G1096" s="204"/>
      <c r="H1096" s="558" t="s">
        <v>1579</v>
      </c>
      <c r="I1096" s="558"/>
      <c r="J1096" s="558"/>
      <c r="K1096" s="222">
        <f>TRUNC(SUMIF(C1072:C1092,H1096,K1072:K1092),2)</f>
        <v>192.53</v>
      </c>
      <c r="L1096" s="207"/>
    </row>
    <row r="1097" spans="2:12">
      <c r="B1097" s="213"/>
      <c r="C1097" s="214"/>
      <c r="D1097" s="214"/>
      <c r="E1097" s="214"/>
      <c r="F1097" s="214"/>
      <c r="G1097" s="214"/>
      <c r="H1097" s="559" t="s">
        <v>1224</v>
      </c>
      <c r="I1097" s="559"/>
      <c r="J1097" s="559"/>
      <c r="K1097" s="223">
        <f>IF(K1093&gt;K1094,K1093-K1094,0)</f>
        <v>0</v>
      </c>
      <c r="L1097" s="209"/>
    </row>
    <row r="1099" spans="2:12">
      <c r="B1099" s="247" t="s">
        <v>238</v>
      </c>
      <c r="C1099" s="565" t="str">
        <f>VLOOKUP(B1099,'BM 004'!$B$27:$R$590,2,0)</f>
        <v>FABRICAÇÃO, MONTAGEM E DESMONTAGEM DE FÔRMA DE LAJE NERVURADA COM CUBETA E ASSOALHO, PÉ-DIREITO DUPLO, EM CHAPA DE MADEIRA COMPENSADA RESINADA, INCLUSIVE ESCORAMENTO h=3,00 à 4,50 m, 06 UTILIZAÇÕES.</v>
      </c>
      <c r="D1099" s="565"/>
      <c r="E1099" s="565"/>
      <c r="F1099" s="565"/>
      <c r="G1099" s="565"/>
      <c r="H1099" s="565"/>
      <c r="I1099" s="565"/>
      <c r="J1099" s="565"/>
      <c r="K1099" s="565"/>
      <c r="L1099" s="565"/>
    </row>
    <row r="1100" spans="2:12">
      <c r="B1100" s="248" t="s">
        <v>1209</v>
      </c>
      <c r="C1100" s="248"/>
      <c r="D1100" s="248" t="s">
        <v>39</v>
      </c>
      <c r="E1100" s="248" t="s">
        <v>1210</v>
      </c>
      <c r="F1100" s="248" t="s">
        <v>1388</v>
      </c>
      <c r="G1100" s="248" t="s">
        <v>1212</v>
      </c>
      <c r="H1100" s="248" t="s">
        <v>1213</v>
      </c>
      <c r="I1100" s="248" t="s">
        <v>1214</v>
      </c>
      <c r="J1100" s="248" t="s">
        <v>1385</v>
      </c>
      <c r="K1100" s="248" t="s">
        <v>1216</v>
      </c>
      <c r="L1100" s="248" t="s">
        <v>1217</v>
      </c>
    </row>
    <row r="1101" spans="2:12">
      <c r="B1101" s="255" t="s">
        <v>1501</v>
      </c>
      <c r="C1101" s="250" t="s">
        <v>1441</v>
      </c>
      <c r="D1101" s="205" t="s">
        <v>79</v>
      </c>
      <c r="E1101" s="251">
        <v>7</v>
      </c>
      <c r="F1101" s="252">
        <v>5.91</v>
      </c>
      <c r="G1101" s="251"/>
      <c r="H1101" s="251">
        <v>1</v>
      </c>
      <c r="I1101" s="251"/>
      <c r="J1101" s="253"/>
      <c r="K1101" s="254">
        <f t="shared" ref="K1101:K1126" si="34">IF(E1101*F1101*G1101&lt;&gt;0,E1101*F1101*G1101,IF(E1101*F1101&lt;&gt;0,E1101*F1101,IF(F1101*G1101&lt;&gt;0,F1101*G1101,IF(E1101*G1101&lt;&gt;0,E1101*G1101,IF(E1101&lt;&gt;0,E1101,IF(F1101&lt;&gt;0,F1101,IF(G1101&lt;&gt;0,G1101,0)))))))*(IF(H1101&lt;&gt;0,H1101,1))+I1101-J1101</f>
        <v>41.370000000000005</v>
      </c>
      <c r="L1101" s="255"/>
    </row>
    <row r="1102" spans="2:12">
      <c r="B1102" s="255" t="s">
        <v>1502</v>
      </c>
      <c r="C1102" s="250" t="s">
        <v>1441</v>
      </c>
      <c r="D1102" s="205" t="s">
        <v>79</v>
      </c>
      <c r="E1102" s="251">
        <v>13.72</v>
      </c>
      <c r="F1102" s="252">
        <v>5.91</v>
      </c>
      <c r="G1102" s="251"/>
      <c r="H1102" s="251">
        <v>1</v>
      </c>
      <c r="I1102" s="251"/>
      <c r="J1102" s="253"/>
      <c r="K1102" s="254">
        <f t="shared" si="34"/>
        <v>81.0852</v>
      </c>
      <c r="L1102" s="255"/>
    </row>
    <row r="1103" spans="2:12">
      <c r="B1103" s="255" t="s">
        <v>1503</v>
      </c>
      <c r="C1103" s="250" t="s">
        <v>1441</v>
      </c>
      <c r="D1103" s="205" t="s">
        <v>79</v>
      </c>
      <c r="E1103" s="251">
        <v>14.35</v>
      </c>
      <c r="F1103" s="252">
        <v>3.73</v>
      </c>
      <c r="G1103" s="251"/>
      <c r="H1103" s="251">
        <v>1</v>
      </c>
      <c r="I1103" s="251"/>
      <c r="J1103" s="253"/>
      <c r="K1103" s="254">
        <f t="shared" si="34"/>
        <v>53.525500000000001</v>
      </c>
      <c r="L1103" s="255"/>
    </row>
    <row r="1104" spans="2:12">
      <c r="B1104" s="255" t="s">
        <v>1504</v>
      </c>
      <c r="C1104" s="250" t="s">
        <v>1441</v>
      </c>
      <c r="D1104" s="205" t="s">
        <v>79</v>
      </c>
      <c r="E1104" s="251">
        <v>6.49</v>
      </c>
      <c r="F1104" s="252">
        <v>3.73</v>
      </c>
      <c r="G1104" s="251"/>
      <c r="H1104" s="251">
        <v>1</v>
      </c>
      <c r="I1104" s="251"/>
      <c r="J1104" s="253"/>
      <c r="K1104" s="254">
        <f t="shared" si="34"/>
        <v>24.207699999999999</v>
      </c>
      <c r="L1104" s="255"/>
    </row>
    <row r="1105" spans="2:12">
      <c r="B1105" s="255" t="s">
        <v>1505</v>
      </c>
      <c r="C1105" s="250" t="s">
        <v>1441</v>
      </c>
      <c r="D1105" s="205" t="s">
        <v>79</v>
      </c>
      <c r="E1105" s="251">
        <v>7.49</v>
      </c>
      <c r="F1105" s="252">
        <v>1.81</v>
      </c>
      <c r="G1105" s="251"/>
      <c r="H1105" s="251">
        <v>1</v>
      </c>
      <c r="I1105" s="251"/>
      <c r="J1105" s="253"/>
      <c r="K1105" s="254">
        <f t="shared" si="34"/>
        <v>13.556900000000001</v>
      </c>
      <c r="L1105" s="255"/>
    </row>
    <row r="1106" spans="2:12">
      <c r="B1106" s="255" t="s">
        <v>1506</v>
      </c>
      <c r="C1106" s="250" t="s">
        <v>1441</v>
      </c>
      <c r="D1106" s="205" t="s">
        <v>79</v>
      </c>
      <c r="E1106" s="251">
        <v>7.1</v>
      </c>
      <c r="F1106" s="252">
        <v>1.81</v>
      </c>
      <c r="G1106" s="251"/>
      <c r="H1106" s="251">
        <v>1</v>
      </c>
      <c r="I1106" s="251"/>
      <c r="J1106" s="253"/>
      <c r="K1106" s="254">
        <f t="shared" si="34"/>
        <v>12.850999999999999</v>
      </c>
      <c r="L1106" s="255"/>
    </row>
    <row r="1107" spans="2:12">
      <c r="B1107" s="255" t="s">
        <v>1507</v>
      </c>
      <c r="C1107" s="250" t="s">
        <v>1441</v>
      </c>
      <c r="D1107" s="205" t="s">
        <v>79</v>
      </c>
      <c r="E1107" s="251">
        <v>7.05</v>
      </c>
      <c r="F1107" s="252">
        <v>1.81</v>
      </c>
      <c r="G1107" s="251"/>
      <c r="H1107" s="251">
        <v>1</v>
      </c>
      <c r="I1107" s="251"/>
      <c r="J1107" s="253"/>
      <c r="K1107" s="254">
        <f t="shared" si="34"/>
        <v>12.7605</v>
      </c>
      <c r="L1107" s="255"/>
    </row>
    <row r="1108" spans="2:12">
      <c r="B1108" s="255" t="s">
        <v>1508</v>
      </c>
      <c r="C1108" s="250" t="s">
        <v>1441</v>
      </c>
      <c r="D1108" s="205" t="s">
        <v>79</v>
      </c>
      <c r="E1108" s="251">
        <v>22.04</v>
      </c>
      <c r="F1108" s="252">
        <v>5.8</v>
      </c>
      <c r="G1108" s="251"/>
      <c r="H1108" s="251">
        <v>1</v>
      </c>
      <c r="I1108" s="251"/>
      <c r="J1108" s="253"/>
      <c r="K1108" s="254">
        <f t="shared" si="34"/>
        <v>127.83199999999999</v>
      </c>
      <c r="L1108" s="255"/>
    </row>
    <row r="1109" spans="2:12">
      <c r="B1109" s="255" t="s">
        <v>1509</v>
      </c>
      <c r="C1109" s="250" t="s">
        <v>1441</v>
      </c>
      <c r="D1109" s="205" t="s">
        <v>79</v>
      </c>
      <c r="E1109" s="251">
        <v>22.04</v>
      </c>
      <c r="F1109" s="252">
        <v>5.69</v>
      </c>
      <c r="G1109" s="251"/>
      <c r="H1109" s="251">
        <v>1</v>
      </c>
      <c r="I1109" s="251"/>
      <c r="J1109" s="253"/>
      <c r="K1109" s="254">
        <f t="shared" si="34"/>
        <v>125.4076</v>
      </c>
      <c r="L1109" s="255"/>
    </row>
    <row r="1110" spans="2:12">
      <c r="B1110" s="249" t="s">
        <v>1565</v>
      </c>
      <c r="C1110" s="250" t="s">
        <v>1521</v>
      </c>
      <c r="D1110" s="205" t="s">
        <v>79</v>
      </c>
      <c r="E1110" s="251">
        <v>12.39</v>
      </c>
      <c r="F1110" s="252">
        <v>2.5499999999999998</v>
      </c>
      <c r="G1110" s="251"/>
      <c r="H1110" s="251">
        <v>1</v>
      </c>
      <c r="I1110" s="251"/>
      <c r="J1110" s="253"/>
      <c r="K1110" s="254">
        <f t="shared" si="34"/>
        <v>31.5945</v>
      </c>
      <c r="L1110" s="255"/>
    </row>
    <row r="1111" spans="2:12">
      <c r="B1111" s="249" t="s">
        <v>1566</v>
      </c>
      <c r="C1111" s="250" t="s">
        <v>1521</v>
      </c>
      <c r="D1111" s="205" t="s">
        <v>79</v>
      </c>
      <c r="E1111" s="251">
        <v>22.04</v>
      </c>
      <c r="F1111" s="252">
        <v>5.85</v>
      </c>
      <c r="G1111" s="251"/>
      <c r="H1111" s="251">
        <v>1</v>
      </c>
      <c r="I1111" s="251"/>
      <c r="J1111" s="253"/>
      <c r="K1111" s="254">
        <f t="shared" si="34"/>
        <v>128.934</v>
      </c>
      <c r="L1111" s="255"/>
    </row>
    <row r="1112" spans="2:12">
      <c r="B1112" s="249" t="s">
        <v>1567</v>
      </c>
      <c r="C1112" s="250" t="s">
        <v>1521</v>
      </c>
      <c r="D1112" s="205" t="s">
        <v>79</v>
      </c>
      <c r="E1112" s="251">
        <v>6.24</v>
      </c>
      <c r="F1112" s="252">
        <v>5.85</v>
      </c>
      <c r="G1112" s="251"/>
      <c r="H1112" s="251">
        <v>1</v>
      </c>
      <c r="I1112" s="251"/>
      <c r="J1112" s="253"/>
      <c r="K1112" s="254">
        <f t="shared" si="34"/>
        <v>36.503999999999998</v>
      </c>
      <c r="L1112" s="255"/>
    </row>
    <row r="1113" spans="2:12">
      <c r="B1113" s="249" t="s">
        <v>1568</v>
      </c>
      <c r="C1113" s="250" t="s">
        <v>1521</v>
      </c>
      <c r="D1113" s="205" t="s">
        <v>79</v>
      </c>
      <c r="E1113" s="251">
        <v>6.34</v>
      </c>
      <c r="F1113" s="252">
        <v>3.83</v>
      </c>
      <c r="G1113" s="251"/>
      <c r="H1113" s="251">
        <v>1</v>
      </c>
      <c r="I1113" s="251"/>
      <c r="J1113" s="253"/>
      <c r="K1113" s="254">
        <f t="shared" si="34"/>
        <v>24.2822</v>
      </c>
      <c r="L1113" s="255"/>
    </row>
    <row r="1114" spans="2:12">
      <c r="B1114" s="249" t="s">
        <v>1569</v>
      </c>
      <c r="C1114" s="250" t="s">
        <v>1521</v>
      </c>
      <c r="D1114" s="205" t="s">
        <v>79</v>
      </c>
      <c r="E1114" s="251">
        <v>22.04</v>
      </c>
      <c r="F1114" s="252">
        <v>5.8</v>
      </c>
      <c r="G1114" s="251"/>
      <c r="H1114" s="251">
        <v>1</v>
      </c>
      <c r="I1114" s="251"/>
      <c r="J1114" s="253"/>
      <c r="K1114" s="254">
        <f t="shared" si="34"/>
        <v>127.83199999999999</v>
      </c>
      <c r="L1114" s="255"/>
    </row>
    <row r="1115" spans="2:12">
      <c r="B1115" s="249" t="s">
        <v>1570</v>
      </c>
      <c r="C1115" s="250" t="s">
        <v>1521</v>
      </c>
      <c r="D1115" s="205" t="s">
        <v>79</v>
      </c>
      <c r="E1115" s="251">
        <v>22.04</v>
      </c>
      <c r="F1115" s="252">
        <v>5.8</v>
      </c>
      <c r="G1115" s="251"/>
      <c r="H1115" s="251">
        <v>1</v>
      </c>
      <c r="I1115" s="251"/>
      <c r="J1115" s="253"/>
      <c r="K1115" s="254">
        <f t="shared" si="34"/>
        <v>127.83199999999999</v>
      </c>
      <c r="L1115" s="255"/>
    </row>
    <row r="1116" spans="2:12">
      <c r="B1116" s="249" t="s">
        <v>1571</v>
      </c>
      <c r="C1116" s="250" t="s">
        <v>1521</v>
      </c>
      <c r="D1116" s="205" t="s">
        <v>79</v>
      </c>
      <c r="E1116" s="251">
        <v>22.04</v>
      </c>
      <c r="F1116" s="252">
        <v>5.69</v>
      </c>
      <c r="G1116" s="251"/>
      <c r="H1116" s="251">
        <v>1</v>
      </c>
      <c r="I1116" s="251"/>
      <c r="J1116" s="253"/>
      <c r="K1116" s="254">
        <f t="shared" si="34"/>
        <v>125.4076</v>
      </c>
      <c r="L1116" s="255"/>
    </row>
    <row r="1117" spans="2:12">
      <c r="B1117" s="249" t="s">
        <v>1689</v>
      </c>
      <c r="C1117" s="250" t="s">
        <v>1611</v>
      </c>
      <c r="D1117" s="205" t="s">
        <v>79</v>
      </c>
      <c r="E1117" s="251">
        <v>26.62</v>
      </c>
      <c r="F1117" s="252">
        <v>6.79</v>
      </c>
      <c r="G1117" s="251"/>
      <c r="H1117" s="251">
        <v>1.1000000000000001</v>
      </c>
      <c r="I1117" s="251"/>
      <c r="J1117" s="253"/>
      <c r="K1117" s="254">
        <f t="shared" si="34"/>
        <v>198.82478000000003</v>
      </c>
      <c r="L1117" s="255"/>
    </row>
    <row r="1118" spans="2:12">
      <c r="B1118" s="249" t="s">
        <v>1691</v>
      </c>
      <c r="C1118" s="250" t="s">
        <v>1611</v>
      </c>
      <c r="D1118" s="205" t="s">
        <v>79</v>
      </c>
      <c r="E1118" s="251">
        <v>0.81</v>
      </c>
      <c r="F1118" s="252">
        <v>1.99</v>
      </c>
      <c r="G1118" s="251"/>
      <c r="H1118" s="251">
        <v>1.1000000000000001</v>
      </c>
      <c r="I1118" s="251"/>
      <c r="J1118" s="253"/>
      <c r="K1118" s="254">
        <f t="shared" si="34"/>
        <v>1.7730900000000003</v>
      </c>
      <c r="L1118" s="255"/>
    </row>
    <row r="1119" spans="2:12">
      <c r="B1119" s="249" t="s">
        <v>1693</v>
      </c>
      <c r="C1119" s="250" t="s">
        <v>1611</v>
      </c>
      <c r="D1119" s="205" t="s">
        <v>79</v>
      </c>
      <c r="E1119" s="251">
        <v>3.94</v>
      </c>
      <c r="F1119" s="252">
        <v>3.82</v>
      </c>
      <c r="G1119" s="251"/>
      <c r="H1119" s="251">
        <v>1.1000000000000001</v>
      </c>
      <c r="I1119" s="251"/>
      <c r="J1119" s="253"/>
      <c r="K1119" s="254">
        <f t="shared" si="34"/>
        <v>16.555879999999998</v>
      </c>
      <c r="L1119" s="255"/>
    </row>
    <row r="1120" spans="2:12">
      <c r="B1120" s="249" t="s">
        <v>1694</v>
      </c>
      <c r="C1120" s="250" t="s">
        <v>1611</v>
      </c>
      <c r="D1120" s="205" t="s">
        <v>79</v>
      </c>
      <c r="E1120" s="251">
        <v>6.58</v>
      </c>
      <c r="F1120" s="252">
        <v>3.82</v>
      </c>
      <c r="G1120" s="251"/>
      <c r="H1120" s="251">
        <v>1.1000000000000001</v>
      </c>
      <c r="I1120" s="251"/>
      <c r="J1120" s="253"/>
      <c r="K1120" s="254">
        <f t="shared" si="34"/>
        <v>27.649160000000002</v>
      </c>
      <c r="L1120" s="255"/>
    </row>
    <row r="1121" spans="2:12">
      <c r="B1121" s="249" t="s">
        <v>1695</v>
      </c>
      <c r="C1121" s="250" t="s">
        <v>1611</v>
      </c>
      <c r="D1121" s="205" t="s">
        <v>79</v>
      </c>
      <c r="E1121" s="251">
        <v>16.71</v>
      </c>
      <c r="F1121" s="252">
        <v>4.9000000000000004</v>
      </c>
      <c r="G1121" s="251"/>
      <c r="H1121" s="251">
        <v>1.1000000000000001</v>
      </c>
      <c r="I1121" s="251"/>
      <c r="J1121" s="253"/>
      <c r="K1121" s="254">
        <f t="shared" si="34"/>
        <v>90.066900000000018</v>
      </c>
      <c r="L1121" s="255"/>
    </row>
    <row r="1122" spans="2:12">
      <c r="B1122" s="249" t="s">
        <v>1698</v>
      </c>
      <c r="C1122" s="250" t="s">
        <v>1611</v>
      </c>
      <c r="D1122" s="205" t="s">
        <v>79</v>
      </c>
      <c r="E1122" s="251">
        <v>10.119999999999999</v>
      </c>
      <c r="F1122" s="252">
        <v>4.1500000000000004</v>
      </c>
      <c r="G1122" s="251"/>
      <c r="H1122" s="251">
        <v>1.1000000000000001</v>
      </c>
      <c r="I1122" s="251"/>
      <c r="J1122" s="253"/>
      <c r="K1122" s="254">
        <f t="shared" si="34"/>
        <v>46.197800000000001</v>
      </c>
      <c r="L1122" s="255"/>
    </row>
    <row r="1123" spans="2:12">
      <c r="B1123" s="249" t="s">
        <v>1699</v>
      </c>
      <c r="C1123" s="250" t="s">
        <v>1611</v>
      </c>
      <c r="D1123" s="205" t="s">
        <v>79</v>
      </c>
      <c r="E1123" s="251">
        <v>9.09</v>
      </c>
      <c r="F1123" s="252">
        <v>9.4</v>
      </c>
      <c r="G1123" s="251"/>
      <c r="H1123" s="251">
        <v>1.1000000000000001</v>
      </c>
      <c r="I1123" s="251"/>
      <c r="J1123" s="253"/>
      <c r="K1123" s="254">
        <f t="shared" si="34"/>
        <v>93.990600000000001</v>
      </c>
      <c r="L1123" s="255"/>
    </row>
    <row r="1124" spans="2:12">
      <c r="B1124" s="249" t="s">
        <v>1700</v>
      </c>
      <c r="C1124" s="250" t="s">
        <v>1611</v>
      </c>
      <c r="D1124" s="205" t="s">
        <v>79</v>
      </c>
      <c r="E1124" s="251">
        <v>11.23</v>
      </c>
      <c r="F1124" s="252">
        <v>9.4</v>
      </c>
      <c r="G1124" s="251"/>
      <c r="H1124" s="251">
        <v>1.1000000000000001</v>
      </c>
      <c r="I1124" s="251"/>
      <c r="J1124" s="253"/>
      <c r="K1124" s="254">
        <f t="shared" si="34"/>
        <v>116.11820000000002</v>
      </c>
      <c r="L1124" s="255"/>
    </row>
    <row r="1125" spans="2:12">
      <c r="B1125" s="249" t="s">
        <v>1702</v>
      </c>
      <c r="C1125" s="250" t="s">
        <v>1611</v>
      </c>
      <c r="D1125" s="205" t="s">
        <v>79</v>
      </c>
      <c r="E1125" s="251">
        <v>10.119999999999999</v>
      </c>
      <c r="F1125" s="252">
        <v>5.05</v>
      </c>
      <c r="G1125" s="251"/>
      <c r="H1125" s="251">
        <v>1.1000000000000001</v>
      </c>
      <c r="I1125" s="251"/>
      <c r="J1125" s="253"/>
      <c r="K1125" s="254">
        <f t="shared" si="34"/>
        <v>56.2166</v>
      </c>
      <c r="L1125" s="255"/>
    </row>
    <row r="1126" spans="2:12">
      <c r="B1126" s="249"/>
      <c r="C1126" s="250"/>
      <c r="D1126" s="205" t="s">
        <v>79</v>
      </c>
      <c r="E1126" s="251"/>
      <c r="F1126" s="252"/>
      <c r="G1126" s="251"/>
      <c r="H1126" s="251"/>
      <c r="I1126" s="251"/>
      <c r="J1126" s="253"/>
      <c r="K1126" s="254">
        <f t="shared" si="34"/>
        <v>0</v>
      </c>
      <c r="L1126" s="255"/>
    </row>
    <row r="1127" spans="2:12">
      <c r="B1127" s="202"/>
      <c r="C1127" s="203"/>
      <c r="D1127" s="203"/>
      <c r="E1127" s="203"/>
      <c r="F1127" s="203"/>
      <c r="G1127" s="203"/>
      <c r="H1127" s="204"/>
      <c r="I1127" s="556" t="s">
        <v>1221</v>
      </c>
      <c r="J1127" s="556"/>
      <c r="K1127" s="220">
        <f>SUM(K1101:K1126)</f>
        <v>1742.3757099999998</v>
      </c>
      <c r="L1127" s="207"/>
    </row>
    <row r="1128" spans="2:12">
      <c r="B1128" s="208"/>
      <c r="C1128" s="204"/>
      <c r="D1128" s="204"/>
      <c r="E1128" s="204"/>
      <c r="F1128" s="204"/>
      <c r="G1128" s="204"/>
      <c r="H1128" s="209"/>
      <c r="I1128" s="557" t="s">
        <v>1222</v>
      </c>
      <c r="J1128" s="557"/>
      <c r="K1128" s="221">
        <f>VLOOKUP(B1099,'BM 004'!$B$27:$R$590,4,0)</f>
        <v>7163.62</v>
      </c>
      <c r="L1128" s="207"/>
    </row>
    <row r="1129" spans="2:12">
      <c r="B1129" s="208"/>
      <c r="C1129" s="204"/>
      <c r="D1129" s="204"/>
      <c r="E1129" s="204"/>
      <c r="F1129" s="204"/>
      <c r="G1129" s="204"/>
      <c r="H1129" s="558" t="s">
        <v>1223</v>
      </c>
      <c r="I1129" s="558"/>
      <c r="J1129" s="558"/>
      <c r="K1129" s="222">
        <v>1094.9827</v>
      </c>
      <c r="L1129" s="207"/>
    </row>
    <row r="1130" spans="2:12">
      <c r="B1130" s="208"/>
      <c r="C1130" s="204"/>
      <c r="D1130" s="204"/>
      <c r="E1130" s="204"/>
      <c r="F1130" s="204"/>
      <c r="G1130" s="204"/>
      <c r="H1130" s="558" t="s">
        <v>1579</v>
      </c>
      <c r="I1130" s="558"/>
      <c r="J1130" s="558"/>
      <c r="K1130" s="222">
        <f>TRUNC(SUMIF(C1101:C1126,H1130,K1101:K1126),2)</f>
        <v>647.39</v>
      </c>
      <c r="L1130" s="207"/>
    </row>
    <row r="1131" spans="2:12">
      <c r="B1131" s="213"/>
      <c r="C1131" s="214"/>
      <c r="D1131" s="214"/>
      <c r="E1131" s="214"/>
      <c r="F1131" s="214"/>
      <c r="G1131" s="214"/>
      <c r="H1131" s="559" t="s">
        <v>1224</v>
      </c>
      <c r="I1131" s="559"/>
      <c r="J1131" s="559"/>
      <c r="K1131" s="223">
        <f>IF(K1127&gt;K1128,K1127-K1128,0)</f>
        <v>0</v>
      </c>
      <c r="L1131" s="209"/>
    </row>
    <row r="1133" spans="2:12">
      <c r="B1133" s="247" t="s">
        <v>240</v>
      </c>
      <c r="C1133" s="565" t="str">
        <f>VLOOKUP(B1133,'BM 004'!$B$27:$R$590,2,0)</f>
        <v xml:space="preserve">Armação de laje de uma estrutura convencional de concreto armado em um edifício de múltiplos pavimentos utilizando aço ca-50 de 6,3 mm - montagem. </v>
      </c>
      <c r="D1133" s="565"/>
      <c r="E1133" s="565"/>
      <c r="F1133" s="565"/>
      <c r="G1133" s="565"/>
      <c r="H1133" s="565"/>
      <c r="I1133" s="565"/>
      <c r="J1133" s="565"/>
      <c r="K1133" s="565"/>
      <c r="L1133" s="565"/>
    </row>
    <row r="1134" spans="2:12">
      <c r="B1134" s="248" t="s">
        <v>1209</v>
      </c>
      <c r="C1134" s="248"/>
      <c r="D1134" s="248" t="s">
        <v>39</v>
      </c>
      <c r="E1134" s="248" t="s">
        <v>1210</v>
      </c>
      <c r="F1134" s="248" t="s">
        <v>1388</v>
      </c>
      <c r="G1134" s="248" t="s">
        <v>1212</v>
      </c>
      <c r="H1134" s="248" t="s">
        <v>1213</v>
      </c>
      <c r="I1134" s="248" t="s">
        <v>1214</v>
      </c>
      <c r="J1134" s="248" t="s">
        <v>1385</v>
      </c>
      <c r="K1134" s="248" t="s">
        <v>1216</v>
      </c>
      <c r="L1134" s="248" t="s">
        <v>1217</v>
      </c>
    </row>
    <row r="1135" spans="2:12">
      <c r="B1135" s="205" t="s">
        <v>1510</v>
      </c>
      <c r="C1135" s="250" t="s">
        <v>1441</v>
      </c>
      <c r="D1135" s="205" t="s">
        <v>1274</v>
      </c>
      <c r="E1135" s="251">
        <v>1148.82</v>
      </c>
      <c r="F1135" s="252">
        <v>0.245</v>
      </c>
      <c r="G1135" s="251">
        <v>0.45</v>
      </c>
      <c r="H1135" s="251">
        <v>1.1000000000000001</v>
      </c>
      <c r="I1135" s="251"/>
      <c r="J1135" s="253"/>
      <c r="K1135" s="254">
        <f t="shared" ref="K1135:K1145" si="35">IF(E1135*F1135*G1135&lt;&gt;0,E1135*F1135*G1135,IF(E1135*F1135&lt;&gt;0,E1135*F1135,IF(F1135*G1135&lt;&gt;0,F1135*G1135,IF(E1135*G1135&lt;&gt;0,E1135*G1135,IF(E1135&lt;&gt;0,E1135,IF(F1135&lt;&gt;0,F1135,IF(G1135&lt;&gt;0,G1135,0)))))))*(IF(H1135&lt;&gt;0,H1135,1))+I1135-J1135</f>
        <v>139.32314550000001</v>
      </c>
      <c r="L1135" s="255" t="s">
        <v>1511</v>
      </c>
    </row>
    <row r="1136" spans="2:12">
      <c r="B1136" s="205" t="s">
        <v>1512</v>
      </c>
      <c r="C1136" s="250" t="s">
        <v>1441</v>
      </c>
      <c r="D1136" s="205" t="s">
        <v>1274</v>
      </c>
      <c r="E1136" s="251">
        <v>764.81</v>
      </c>
      <c r="F1136" s="252">
        <v>0.245</v>
      </c>
      <c r="G1136" s="251">
        <v>0.45</v>
      </c>
      <c r="H1136" s="251">
        <v>1.1000000000000001</v>
      </c>
      <c r="I1136" s="251"/>
      <c r="J1136" s="253"/>
      <c r="K1136" s="254">
        <f t="shared" si="35"/>
        <v>92.752332750000008</v>
      </c>
      <c r="L1136" s="255" t="s">
        <v>1511</v>
      </c>
    </row>
    <row r="1137" spans="2:12">
      <c r="B1137" s="205" t="s">
        <v>1513</v>
      </c>
      <c r="C1137" s="250" t="s">
        <v>1441</v>
      </c>
      <c r="D1137" s="205" t="s">
        <v>1274</v>
      </c>
      <c r="E1137" s="251">
        <v>803</v>
      </c>
      <c r="F1137" s="252">
        <v>0.245</v>
      </c>
      <c r="G1137" s="251"/>
      <c r="H1137" s="251">
        <v>1.1000000000000001</v>
      </c>
      <c r="I1137" s="251"/>
      <c r="J1137" s="253"/>
      <c r="K1137" s="254">
        <f t="shared" si="35"/>
        <v>216.4085</v>
      </c>
      <c r="L1137" s="255" t="s">
        <v>1511</v>
      </c>
    </row>
    <row r="1138" spans="2:12">
      <c r="B1138" s="205" t="s">
        <v>1514</v>
      </c>
      <c r="C1138" s="250" t="s">
        <v>1441</v>
      </c>
      <c r="D1138" s="205" t="s">
        <v>1274</v>
      </c>
      <c r="E1138" s="251">
        <v>329</v>
      </c>
      <c r="F1138" s="252">
        <v>0.245</v>
      </c>
      <c r="G1138" s="251"/>
      <c r="H1138" s="251">
        <v>1.1000000000000001</v>
      </c>
      <c r="I1138" s="251"/>
      <c r="J1138" s="253"/>
      <c r="K1138" s="254">
        <f t="shared" si="35"/>
        <v>88.665500000000009</v>
      </c>
      <c r="L1138" s="255" t="s">
        <v>1511</v>
      </c>
    </row>
    <row r="1139" spans="2:12">
      <c r="B1139" s="205" t="s">
        <v>1513</v>
      </c>
      <c r="C1139" s="250" t="s">
        <v>1441</v>
      </c>
      <c r="D1139" s="205" t="s">
        <v>1274</v>
      </c>
      <c r="E1139" s="251">
        <v>8265</v>
      </c>
      <c r="F1139" s="252">
        <v>0.154</v>
      </c>
      <c r="G1139" s="251"/>
      <c r="H1139" s="251">
        <v>1.1000000000000001</v>
      </c>
      <c r="I1139" s="251"/>
      <c r="J1139" s="253"/>
      <c r="K1139" s="254">
        <f t="shared" si="35"/>
        <v>1400.0910000000001</v>
      </c>
      <c r="L1139" s="266" t="s">
        <v>1515</v>
      </c>
    </row>
    <row r="1140" spans="2:12">
      <c r="B1140" s="205" t="s">
        <v>1516</v>
      </c>
      <c r="C1140" s="250" t="s">
        <v>1441</v>
      </c>
      <c r="D1140" s="205" t="s">
        <v>1274</v>
      </c>
      <c r="E1140" s="251">
        <v>43.18</v>
      </c>
      <c r="F1140" s="252"/>
      <c r="G1140" s="251"/>
      <c r="H1140" s="251">
        <v>0.74</v>
      </c>
      <c r="I1140" s="251"/>
      <c r="J1140" s="253"/>
      <c r="K1140" s="254">
        <f t="shared" si="35"/>
        <v>31.953199999999999</v>
      </c>
      <c r="L1140" s="266"/>
    </row>
    <row r="1141" spans="2:12">
      <c r="B1141" s="205" t="s">
        <v>1572</v>
      </c>
      <c r="C1141" s="250" t="s">
        <v>1521</v>
      </c>
      <c r="D1141" s="205" t="s">
        <v>1274</v>
      </c>
      <c r="E1141" s="251">
        <v>1237.52</v>
      </c>
      <c r="F1141" s="252">
        <v>0.245</v>
      </c>
      <c r="G1141" s="251">
        <v>0.5</v>
      </c>
      <c r="H1141" s="251">
        <v>1.1000000000000001</v>
      </c>
      <c r="I1141" s="251"/>
      <c r="J1141" s="253"/>
      <c r="K1141" s="254">
        <f t="shared" si="35"/>
        <v>166.75582</v>
      </c>
      <c r="L1141" s="255" t="s">
        <v>1511</v>
      </c>
    </row>
    <row r="1142" spans="2:12">
      <c r="B1142" s="205" t="s">
        <v>1573</v>
      </c>
      <c r="C1142" s="250" t="s">
        <v>1521</v>
      </c>
      <c r="D1142" s="205" t="s">
        <v>1274</v>
      </c>
      <c r="E1142" s="251">
        <v>749</v>
      </c>
      <c r="F1142" s="252">
        <v>0.245</v>
      </c>
      <c r="G1142" s="251">
        <v>0.5</v>
      </c>
      <c r="H1142" s="251">
        <v>1.1000000000000001</v>
      </c>
      <c r="I1142" s="251"/>
      <c r="J1142" s="253"/>
      <c r="K1142" s="254">
        <f t="shared" si="35"/>
        <v>100.92775</v>
      </c>
      <c r="L1142" s="255" t="s">
        <v>1511</v>
      </c>
    </row>
    <row r="1143" spans="2:12">
      <c r="B1143" s="205" t="s">
        <v>1510</v>
      </c>
      <c r="C1143" s="250" t="s">
        <v>1611</v>
      </c>
      <c r="D1143" s="205" t="s">
        <v>1274</v>
      </c>
      <c r="E1143" s="251">
        <v>1148.82</v>
      </c>
      <c r="F1143" s="252">
        <v>0.245</v>
      </c>
      <c r="G1143" s="251">
        <v>0.55000000000000004</v>
      </c>
      <c r="H1143" s="251">
        <v>1.1000000000000001</v>
      </c>
      <c r="I1143" s="251"/>
      <c r="J1143" s="253"/>
      <c r="K1143" s="254">
        <f t="shared" si="35"/>
        <v>170.28384450000001</v>
      </c>
      <c r="L1143" s="255" t="s">
        <v>1511</v>
      </c>
    </row>
    <row r="1144" spans="2:12">
      <c r="B1144" s="205" t="s">
        <v>1512</v>
      </c>
      <c r="C1144" s="250" t="s">
        <v>1611</v>
      </c>
      <c r="D1144" s="205" t="s">
        <v>1274</v>
      </c>
      <c r="E1144" s="251">
        <v>764.81</v>
      </c>
      <c r="F1144" s="252">
        <v>0.245</v>
      </c>
      <c r="G1144" s="251">
        <v>0.55000000000000004</v>
      </c>
      <c r="H1144" s="251">
        <v>1.1000000000000001</v>
      </c>
      <c r="I1144" s="251">
        <v>4.15206487694044E-4</v>
      </c>
      <c r="J1144" s="253"/>
      <c r="K1144" s="254">
        <f t="shared" si="35"/>
        <v>113.3643774564877</v>
      </c>
      <c r="L1144" s="255" t="s">
        <v>1511</v>
      </c>
    </row>
    <row r="1145" spans="2:12">
      <c r="B1145" s="256"/>
      <c r="C1145" s="210"/>
      <c r="D1145" s="210"/>
      <c r="E1145" s="257"/>
      <c r="F1145" s="258"/>
      <c r="G1145" s="257"/>
      <c r="H1145" s="257"/>
      <c r="I1145" s="257"/>
      <c r="J1145" s="259"/>
      <c r="K1145" s="260">
        <f t="shared" si="35"/>
        <v>0</v>
      </c>
      <c r="L1145" s="210"/>
    </row>
    <row r="1146" spans="2:12">
      <c r="B1146" s="202"/>
      <c r="C1146" s="203"/>
      <c r="D1146" s="203"/>
      <c r="E1146" s="203"/>
      <c r="F1146" s="203"/>
      <c r="G1146" s="203"/>
      <c r="H1146" s="204"/>
      <c r="I1146" s="556" t="s">
        <v>1221</v>
      </c>
      <c r="J1146" s="556"/>
      <c r="K1146" s="220">
        <f>SUM(K1135:K1145)</f>
        <v>2520.5254702064876</v>
      </c>
      <c r="L1146" s="207"/>
    </row>
    <row r="1147" spans="2:12">
      <c r="B1147" s="208"/>
      <c r="C1147" s="204"/>
      <c r="D1147" s="204"/>
      <c r="E1147" s="204"/>
      <c r="F1147" s="204"/>
      <c r="G1147" s="204"/>
      <c r="H1147" s="209"/>
      <c r="I1147" s="557" t="s">
        <v>1222</v>
      </c>
      <c r="J1147" s="557"/>
      <c r="K1147" s="221">
        <f>VLOOKUP(B1133,'BM 004'!$B$27:$R$590,4,0)</f>
        <v>2362.8000000000002</v>
      </c>
      <c r="L1147" s="207"/>
    </row>
    <row r="1148" spans="2:12">
      <c r="B1148" s="208"/>
      <c r="C1148" s="204"/>
      <c r="D1148" s="204"/>
      <c r="E1148" s="204"/>
      <c r="F1148" s="204"/>
      <c r="G1148" s="204"/>
      <c r="H1148" s="558" t="s">
        <v>1223</v>
      </c>
      <c r="I1148" s="558"/>
      <c r="J1148" s="558"/>
      <c r="K1148" s="222">
        <v>2236.87</v>
      </c>
      <c r="L1148" s="207"/>
    </row>
    <row r="1149" spans="2:12">
      <c r="B1149" s="208"/>
      <c r="C1149" s="204"/>
      <c r="D1149" s="204"/>
      <c r="E1149" s="204"/>
      <c r="F1149" s="204"/>
      <c r="G1149" s="204"/>
      <c r="H1149" s="558" t="s">
        <v>1579</v>
      </c>
      <c r="I1149" s="558"/>
      <c r="J1149" s="558"/>
      <c r="K1149" s="222">
        <f>IF(K1146&gt;K1147,K1147,K1146)-K1148+0.000415206487694044</f>
        <v>125.93041520648798</v>
      </c>
      <c r="L1149" s="207"/>
    </row>
    <row r="1150" spans="2:12">
      <c r="B1150" s="213"/>
      <c r="C1150" s="214"/>
      <c r="D1150" s="214"/>
      <c r="E1150" s="214"/>
      <c r="F1150" s="214"/>
      <c r="G1150" s="214"/>
      <c r="H1150" s="559" t="s">
        <v>1224</v>
      </c>
      <c r="I1150" s="559"/>
      <c r="J1150" s="559"/>
      <c r="K1150" s="223">
        <f>IF(K1146&gt;K1147,K1146-K1147,0)</f>
        <v>157.72547020648744</v>
      </c>
      <c r="L1150" s="209"/>
    </row>
    <row r="1152" spans="2:12">
      <c r="B1152" s="247" t="s">
        <v>242</v>
      </c>
      <c r="C1152" s="565" t="str">
        <f>VLOOKUP(B1152,'BM 004'!$B$27:$R$590,2,0)</f>
        <v>Armação de laje de uma estrutura convencional de concreto armado em um edifício de múltiplos pavimentos utilizando aço ca-50 de 8,0 mm - montagem.</v>
      </c>
      <c r="D1152" s="565"/>
      <c r="E1152" s="565"/>
      <c r="F1152" s="565"/>
      <c r="G1152" s="565"/>
      <c r="H1152" s="565"/>
      <c r="I1152" s="565"/>
      <c r="J1152" s="565"/>
      <c r="K1152" s="565"/>
      <c r="L1152" s="565"/>
    </row>
    <row r="1153" spans="2:12">
      <c r="B1153" s="248" t="s">
        <v>1209</v>
      </c>
      <c r="C1153" s="248"/>
      <c r="D1153" s="248" t="s">
        <v>39</v>
      </c>
      <c r="E1153" s="248" t="s">
        <v>1210</v>
      </c>
      <c r="F1153" s="248" t="s">
        <v>1388</v>
      </c>
      <c r="G1153" s="248" t="s">
        <v>1212</v>
      </c>
      <c r="H1153" s="248" t="s">
        <v>1213</v>
      </c>
      <c r="I1153" s="248" t="s">
        <v>1214</v>
      </c>
      <c r="J1153" s="248" t="s">
        <v>1385</v>
      </c>
      <c r="K1153" s="248" t="s">
        <v>1216</v>
      </c>
      <c r="L1153" s="248" t="s">
        <v>1217</v>
      </c>
    </row>
    <row r="1154" spans="2:12">
      <c r="B1154" s="205" t="s">
        <v>1510</v>
      </c>
      <c r="C1154" s="250" t="s">
        <v>1441</v>
      </c>
      <c r="D1154" s="205" t="s">
        <v>1274</v>
      </c>
      <c r="E1154" s="251">
        <v>224.4</v>
      </c>
      <c r="F1154" s="252">
        <v>0.39500000000000002</v>
      </c>
      <c r="G1154" s="251">
        <v>0.45</v>
      </c>
      <c r="H1154" s="251">
        <v>1.1000000000000001</v>
      </c>
      <c r="I1154" s="251"/>
      <c r="J1154" s="253"/>
      <c r="K1154" s="254">
        <f t="shared" ref="K1154:K1160" si="36">IF(E1154*F1154*G1154&lt;&gt;0,E1154*F1154*G1154,IF(E1154*F1154&lt;&gt;0,E1154*F1154,IF(F1154*G1154&lt;&gt;0,F1154*G1154,IF(E1154*G1154&lt;&gt;0,E1154*G1154,IF(E1154&lt;&gt;0,E1154,IF(F1154&lt;&gt;0,F1154,IF(G1154&lt;&gt;0,G1154,0)))))))*(IF(H1154&lt;&gt;0,H1154,1))+I1154-J1154</f>
        <v>43.875810000000008</v>
      </c>
      <c r="L1154" s="255"/>
    </row>
    <row r="1155" spans="2:12">
      <c r="B1155" s="205" t="s">
        <v>1512</v>
      </c>
      <c r="C1155" s="250" t="s">
        <v>1441</v>
      </c>
      <c r="D1155" s="205" t="s">
        <v>1274</v>
      </c>
      <c r="E1155" s="251">
        <v>322.89999999999998</v>
      </c>
      <c r="F1155" s="252">
        <v>0.39500000000000002</v>
      </c>
      <c r="G1155" s="251">
        <v>0.45</v>
      </c>
      <c r="H1155" s="251">
        <v>1.1000000000000001</v>
      </c>
      <c r="I1155" s="251"/>
      <c r="J1155" s="253"/>
      <c r="K1155" s="254">
        <f t="shared" si="36"/>
        <v>63.135022500000005</v>
      </c>
      <c r="L1155" s="255"/>
    </row>
    <row r="1156" spans="2:12">
      <c r="B1156" s="205" t="s">
        <v>1513</v>
      </c>
      <c r="C1156" s="250" t="s">
        <v>1441</v>
      </c>
      <c r="D1156" s="205" t="s">
        <v>1274</v>
      </c>
      <c r="E1156" s="251">
        <v>99</v>
      </c>
      <c r="F1156" s="252">
        <v>0.39500000000000002</v>
      </c>
      <c r="G1156" s="251"/>
      <c r="H1156" s="251">
        <v>1.1000000000000001</v>
      </c>
      <c r="I1156" s="251"/>
      <c r="J1156" s="253"/>
      <c r="K1156" s="254">
        <f t="shared" si="36"/>
        <v>43.01550000000001</v>
      </c>
      <c r="L1156" s="255"/>
    </row>
    <row r="1157" spans="2:12">
      <c r="B1157" s="205" t="s">
        <v>1514</v>
      </c>
      <c r="C1157" s="250" t="s">
        <v>1441</v>
      </c>
      <c r="D1157" s="205" t="s">
        <v>1274</v>
      </c>
      <c r="E1157" s="251">
        <v>1170</v>
      </c>
      <c r="F1157" s="252">
        <v>0.39500000000000002</v>
      </c>
      <c r="G1157" s="251"/>
      <c r="H1157" s="251">
        <v>1.1000000000000001</v>
      </c>
      <c r="I1157" s="251"/>
      <c r="J1157" s="253"/>
      <c r="K1157" s="254">
        <f t="shared" si="36"/>
        <v>508.36500000000007</v>
      </c>
      <c r="L1157" s="255"/>
    </row>
    <row r="1158" spans="2:12">
      <c r="B1158" s="205" t="s">
        <v>1572</v>
      </c>
      <c r="C1158" s="250" t="s">
        <v>1521</v>
      </c>
      <c r="D1158" s="205" t="s">
        <v>1274</v>
      </c>
      <c r="E1158" s="251">
        <v>224.54</v>
      </c>
      <c r="F1158" s="252">
        <v>0.39500000000000002</v>
      </c>
      <c r="G1158" s="251">
        <v>0.5</v>
      </c>
      <c r="H1158" s="251">
        <v>1.1000000000000001</v>
      </c>
      <c r="I1158" s="251"/>
      <c r="J1158" s="253"/>
      <c r="K1158" s="254">
        <f t="shared" si="36"/>
        <v>48.781315000000006</v>
      </c>
      <c r="L1158" s="255"/>
    </row>
    <row r="1159" spans="2:12">
      <c r="B1159" s="205" t="s">
        <v>1573</v>
      </c>
      <c r="C1159" s="250" t="s">
        <v>1521</v>
      </c>
      <c r="D1159" s="205" t="s">
        <v>1274</v>
      </c>
      <c r="E1159" s="251">
        <v>163</v>
      </c>
      <c r="F1159" s="252">
        <v>0.39500000000000002</v>
      </c>
      <c r="G1159" s="251">
        <v>0.5</v>
      </c>
      <c r="H1159" s="251">
        <v>1.1000000000000001</v>
      </c>
      <c r="I1159" s="251"/>
      <c r="J1159" s="253"/>
      <c r="K1159" s="254">
        <f t="shared" si="36"/>
        <v>35.411750000000005</v>
      </c>
      <c r="L1159" s="255"/>
    </row>
    <row r="1160" spans="2:12">
      <c r="B1160" s="256"/>
      <c r="C1160" s="210"/>
      <c r="D1160" s="210"/>
      <c r="E1160" s="257"/>
      <c r="F1160" s="258"/>
      <c r="G1160" s="257"/>
      <c r="H1160" s="257"/>
      <c r="I1160" s="257"/>
      <c r="J1160" s="259"/>
      <c r="K1160" s="260">
        <f t="shared" si="36"/>
        <v>0</v>
      </c>
      <c r="L1160" s="210"/>
    </row>
    <row r="1161" spans="2:12">
      <c r="B1161" s="202"/>
      <c r="C1161" s="203"/>
      <c r="D1161" s="203"/>
      <c r="E1161" s="203"/>
      <c r="F1161" s="203"/>
      <c r="G1161" s="203"/>
      <c r="H1161" s="204"/>
      <c r="I1161" s="556" t="s">
        <v>1221</v>
      </c>
      <c r="J1161" s="556"/>
      <c r="K1161" s="220">
        <f>SUM(K1154:K1160)</f>
        <v>742.58439750000002</v>
      </c>
      <c r="L1161" s="207"/>
    </row>
    <row r="1162" spans="2:12">
      <c r="B1162" s="208"/>
      <c r="C1162" s="204"/>
      <c r="D1162" s="204"/>
      <c r="E1162" s="204"/>
      <c r="F1162" s="204"/>
      <c r="G1162" s="204"/>
      <c r="H1162" s="209"/>
      <c r="I1162" s="557" t="s">
        <v>1222</v>
      </c>
      <c r="J1162" s="557"/>
      <c r="K1162" s="221">
        <f>VLOOKUP(B1152,'BM 004'!$B$27:$R$590,4,0)</f>
        <v>602.79999999999995</v>
      </c>
      <c r="L1162" s="207"/>
    </row>
    <row r="1163" spans="2:12">
      <c r="B1163" s="208"/>
      <c r="C1163" s="204"/>
      <c r="D1163" s="204"/>
      <c r="E1163" s="204"/>
      <c r="F1163" s="204"/>
      <c r="G1163" s="204"/>
      <c r="H1163" s="558" t="s">
        <v>1223</v>
      </c>
      <c r="I1163" s="558"/>
      <c r="J1163" s="558"/>
      <c r="K1163" s="222">
        <v>602.79999999999995</v>
      </c>
      <c r="L1163" s="207"/>
    </row>
    <row r="1164" spans="2:12">
      <c r="B1164" s="208"/>
      <c r="C1164" s="204"/>
      <c r="D1164" s="204"/>
      <c r="E1164" s="204"/>
      <c r="F1164" s="204"/>
      <c r="G1164" s="204"/>
      <c r="H1164" s="558" t="s">
        <v>1435</v>
      </c>
      <c r="I1164" s="558"/>
      <c r="J1164" s="558"/>
      <c r="K1164" s="222">
        <f>IF(K1161&gt;K1162,0,TRUNC(SUMIF(C1154:C1160,H1164,K1154:K1160),L9481))</f>
        <v>0</v>
      </c>
      <c r="L1164" s="207"/>
    </row>
    <row r="1165" spans="2:12">
      <c r="B1165" s="213"/>
      <c r="C1165" s="214"/>
      <c r="D1165" s="214"/>
      <c r="E1165" s="214"/>
      <c r="F1165" s="214"/>
      <c r="G1165" s="214"/>
      <c r="H1165" s="559" t="s">
        <v>1224</v>
      </c>
      <c r="I1165" s="559"/>
      <c r="J1165" s="559"/>
      <c r="K1165" s="223">
        <f>IF(K1161&gt;K1162,K1161-K1162,0)</f>
        <v>139.78439750000007</v>
      </c>
      <c r="L1165" s="209"/>
    </row>
    <row r="1167" spans="2:12">
      <c r="B1167" s="247" t="s">
        <v>244</v>
      </c>
      <c r="C1167" s="565" t="str">
        <f>VLOOKUP(B1167,'BM 004'!$B$27:$R$590,2,0)</f>
        <v xml:space="preserve">Armação de laje de uma estrutura convencional de concreto armado em um edifício de múltiplos pavimentos utilizando aço ca-50 de 10,0 mm - montagem. </v>
      </c>
      <c r="D1167" s="565"/>
      <c r="E1167" s="565"/>
      <c r="F1167" s="565"/>
      <c r="G1167" s="565"/>
      <c r="H1167" s="565"/>
      <c r="I1167" s="565"/>
      <c r="J1167" s="565"/>
      <c r="K1167" s="565"/>
      <c r="L1167" s="565"/>
    </row>
    <row r="1168" spans="2:12">
      <c r="B1168" s="248" t="s">
        <v>1209</v>
      </c>
      <c r="C1168" s="248"/>
      <c r="D1168" s="248" t="s">
        <v>39</v>
      </c>
      <c r="E1168" s="248" t="s">
        <v>1210</v>
      </c>
      <c r="F1168" s="248" t="s">
        <v>1388</v>
      </c>
      <c r="G1168" s="248" t="s">
        <v>1212</v>
      </c>
      <c r="H1168" s="248" t="s">
        <v>1213</v>
      </c>
      <c r="I1168" s="248" t="s">
        <v>1214</v>
      </c>
      <c r="J1168" s="248" t="s">
        <v>1385</v>
      </c>
      <c r="K1168" s="248" t="s">
        <v>1216</v>
      </c>
      <c r="L1168" s="248" t="s">
        <v>1217</v>
      </c>
    </row>
    <row r="1169" spans="2:12">
      <c r="B1169" s="205" t="s">
        <v>1510</v>
      </c>
      <c r="C1169" s="250" t="s">
        <v>1441</v>
      </c>
      <c r="D1169" s="205" t="s">
        <v>1274</v>
      </c>
      <c r="E1169" s="251">
        <v>922.65</v>
      </c>
      <c r="F1169" s="252">
        <v>0.61699999999999999</v>
      </c>
      <c r="G1169" s="251">
        <v>0.45</v>
      </c>
      <c r="H1169" s="251">
        <v>1.1000000000000001</v>
      </c>
      <c r="I1169" s="251"/>
      <c r="J1169" s="253"/>
      <c r="K1169" s="254">
        <f t="shared" ref="K1169:K1178" si="37">IF(E1169*F1169*G1169&lt;&gt;0,E1169*F1169*G1169,IF(E1169*F1169&lt;&gt;0,E1169*F1169,IF(F1169*G1169&lt;&gt;0,F1169*G1169,IF(E1169*G1169&lt;&gt;0,E1169*G1169,IF(E1169&lt;&gt;0,E1169,IF(F1169&lt;&gt;0,F1169,IF(G1169&lt;&gt;0,G1169,0)))))))*(IF(H1169&lt;&gt;0,H1169,1))+I1169-J1169</f>
        <v>281.79114974999999</v>
      </c>
      <c r="L1169" s="255"/>
    </row>
    <row r="1170" spans="2:12">
      <c r="B1170" s="205" t="s">
        <v>1512</v>
      </c>
      <c r="C1170" s="250" t="s">
        <v>1441</v>
      </c>
      <c r="D1170" s="205" t="s">
        <v>1274</v>
      </c>
      <c r="E1170" s="251">
        <v>886.9</v>
      </c>
      <c r="F1170" s="252">
        <v>0.61699999999999999</v>
      </c>
      <c r="G1170" s="251">
        <v>0.45</v>
      </c>
      <c r="H1170" s="251">
        <v>1.1000000000000001</v>
      </c>
      <c r="I1170" s="251"/>
      <c r="J1170" s="253"/>
      <c r="K1170" s="254">
        <f t="shared" si="37"/>
        <v>270.87256350000007</v>
      </c>
      <c r="L1170" s="255"/>
    </row>
    <row r="1171" spans="2:12">
      <c r="B1171" s="205" t="s">
        <v>1513</v>
      </c>
      <c r="C1171" s="250" t="s">
        <v>1441</v>
      </c>
      <c r="D1171" s="205" t="s">
        <v>1274</v>
      </c>
      <c r="E1171" s="251">
        <v>459</v>
      </c>
      <c r="F1171" s="252">
        <v>0.61699999999999999</v>
      </c>
      <c r="G1171" s="251"/>
      <c r="H1171" s="251">
        <v>1.1000000000000001</v>
      </c>
      <c r="I1171" s="251"/>
      <c r="J1171" s="253"/>
      <c r="K1171" s="254">
        <f t="shared" si="37"/>
        <v>311.52330000000001</v>
      </c>
      <c r="L1171" s="255"/>
    </row>
    <row r="1172" spans="2:12">
      <c r="B1172" s="205" t="s">
        <v>1514</v>
      </c>
      <c r="C1172" s="250" t="s">
        <v>1441</v>
      </c>
      <c r="D1172" s="205" t="s">
        <v>1274</v>
      </c>
      <c r="E1172" s="251">
        <v>332</v>
      </c>
      <c r="F1172" s="252">
        <v>0.61699999999999999</v>
      </c>
      <c r="G1172" s="251"/>
      <c r="H1172" s="251">
        <v>1.1000000000000001</v>
      </c>
      <c r="I1172" s="251"/>
      <c r="J1172" s="253"/>
      <c r="K1172" s="254">
        <f t="shared" si="37"/>
        <v>225.32840000000002</v>
      </c>
      <c r="L1172" s="255"/>
    </row>
    <row r="1173" spans="2:12">
      <c r="B1173" s="205" t="s">
        <v>1517</v>
      </c>
      <c r="C1173" s="250" t="s">
        <v>1441</v>
      </c>
      <c r="D1173" s="205" t="s">
        <v>1274</v>
      </c>
      <c r="E1173" s="251">
        <v>55.59</v>
      </c>
      <c r="F1173" s="252"/>
      <c r="G1173" s="251"/>
      <c r="H1173" s="251"/>
      <c r="I1173" s="251"/>
      <c r="J1173" s="253"/>
      <c r="K1173" s="254">
        <f t="shared" si="37"/>
        <v>55.59</v>
      </c>
      <c r="L1173" s="255"/>
    </row>
    <row r="1174" spans="2:12">
      <c r="B1174" s="205" t="s">
        <v>1572</v>
      </c>
      <c r="C1174" s="250" t="s">
        <v>1521</v>
      </c>
      <c r="D1174" s="205" t="s">
        <v>1274</v>
      </c>
      <c r="E1174" s="251">
        <v>1476.23</v>
      </c>
      <c r="F1174" s="252">
        <v>0.61699999999999999</v>
      </c>
      <c r="G1174" s="251">
        <v>0.5</v>
      </c>
      <c r="H1174" s="251">
        <v>1.1000000000000001</v>
      </c>
      <c r="I1174" s="251"/>
      <c r="J1174" s="253"/>
      <c r="K1174" s="254">
        <f t="shared" si="37"/>
        <v>500.95865050000003</v>
      </c>
      <c r="L1174" s="255"/>
    </row>
    <row r="1175" spans="2:12">
      <c r="B1175" s="205" t="s">
        <v>1573</v>
      </c>
      <c r="C1175" s="250" t="s">
        <v>1521</v>
      </c>
      <c r="D1175" s="205" t="s">
        <v>1274</v>
      </c>
      <c r="E1175" s="251">
        <v>1207</v>
      </c>
      <c r="F1175" s="252">
        <v>0.61699999999999999</v>
      </c>
      <c r="G1175" s="251">
        <v>0.5</v>
      </c>
      <c r="H1175" s="251">
        <v>1.1000000000000001</v>
      </c>
      <c r="I1175" s="251"/>
      <c r="J1175" s="253"/>
      <c r="K1175" s="254">
        <f t="shared" si="37"/>
        <v>409.59544999999997</v>
      </c>
      <c r="L1175" s="255"/>
    </row>
    <row r="1176" spans="2:12">
      <c r="B1176" s="205" t="s">
        <v>1510</v>
      </c>
      <c r="C1176" s="250" t="s">
        <v>1611</v>
      </c>
      <c r="D1176" s="205" t="s">
        <v>1274</v>
      </c>
      <c r="E1176" s="251">
        <v>922.65</v>
      </c>
      <c r="F1176" s="252">
        <v>0.61699999999999999</v>
      </c>
      <c r="G1176" s="251">
        <v>0.55000000000000004</v>
      </c>
      <c r="H1176" s="251">
        <v>1.1000000000000001</v>
      </c>
      <c r="I1176" s="251"/>
      <c r="J1176" s="253"/>
      <c r="K1176" s="254">
        <f t="shared" si="37"/>
        <v>344.41140525000003</v>
      </c>
      <c r="L1176" s="255"/>
    </row>
    <row r="1177" spans="2:12">
      <c r="B1177" s="205" t="s">
        <v>1512</v>
      </c>
      <c r="C1177" s="250" t="s">
        <v>1611</v>
      </c>
      <c r="D1177" s="205" t="s">
        <v>1274</v>
      </c>
      <c r="E1177" s="251">
        <v>886.9</v>
      </c>
      <c r="F1177" s="252">
        <v>0.61699999999999999</v>
      </c>
      <c r="G1177" s="251">
        <v>0.55000000000000004</v>
      </c>
      <c r="H1177" s="251">
        <v>1.1000000000000001</v>
      </c>
      <c r="I1177" s="251"/>
      <c r="J1177" s="253"/>
      <c r="K1177" s="254">
        <f t="shared" si="37"/>
        <v>331.0664665000001</v>
      </c>
      <c r="L1177" s="255"/>
    </row>
    <row r="1178" spans="2:12">
      <c r="B1178" s="256"/>
      <c r="C1178" s="210"/>
      <c r="D1178" s="210"/>
      <c r="E1178" s="257"/>
      <c r="F1178" s="258"/>
      <c r="G1178" s="257"/>
      <c r="H1178" s="257"/>
      <c r="I1178" s="257"/>
      <c r="J1178" s="259"/>
      <c r="K1178" s="260">
        <f t="shared" si="37"/>
        <v>0</v>
      </c>
      <c r="L1178" s="210"/>
    </row>
    <row r="1179" spans="2:12">
      <c r="B1179" s="202"/>
      <c r="C1179" s="203"/>
      <c r="D1179" s="203"/>
      <c r="E1179" s="203"/>
      <c r="F1179" s="203"/>
      <c r="G1179" s="203"/>
      <c r="H1179" s="204"/>
      <c r="I1179" s="556" t="s">
        <v>1221</v>
      </c>
      <c r="J1179" s="556"/>
      <c r="K1179" s="220">
        <f>SUM(K1169:K1178)</f>
        <v>2731.1373854999997</v>
      </c>
      <c r="L1179" s="207"/>
    </row>
    <row r="1180" spans="2:12">
      <c r="B1180" s="208"/>
      <c r="C1180" s="204"/>
      <c r="D1180" s="204"/>
      <c r="E1180" s="204"/>
      <c r="F1180" s="204"/>
      <c r="G1180" s="204"/>
      <c r="H1180" s="209"/>
      <c r="I1180" s="557" t="s">
        <v>1222</v>
      </c>
      <c r="J1180" s="557"/>
      <c r="K1180" s="221">
        <f>VLOOKUP(B1167,'BM 004'!$B$27:$R$590,4,0)</f>
        <v>3562.9</v>
      </c>
      <c r="L1180" s="207"/>
    </row>
    <row r="1181" spans="2:12">
      <c r="B1181" s="208"/>
      <c r="C1181" s="204"/>
      <c r="D1181" s="204"/>
      <c r="E1181" s="204"/>
      <c r="F1181" s="204"/>
      <c r="G1181" s="204"/>
      <c r="H1181" s="558" t="s">
        <v>1223</v>
      </c>
      <c r="I1181" s="558"/>
      <c r="J1181" s="558"/>
      <c r="K1181" s="222">
        <f>K1179-K1182</f>
        <v>2056.1373854999997</v>
      </c>
      <c r="L1181" s="207"/>
    </row>
    <row r="1182" spans="2:12">
      <c r="B1182" s="208"/>
      <c r="C1182" s="204"/>
      <c r="D1182" s="204"/>
      <c r="E1182" s="204"/>
      <c r="F1182" s="204"/>
      <c r="G1182" s="204"/>
      <c r="H1182" s="558" t="s">
        <v>1579</v>
      </c>
      <c r="I1182" s="558"/>
      <c r="J1182" s="558"/>
      <c r="K1182" s="222">
        <f>IF(K1179&gt;K1180,0,TRUNC(SUMIF(C1170:C1178,H1182,K1170:K1178),L9497))</f>
        <v>675</v>
      </c>
      <c r="L1182" s="207"/>
    </row>
    <row r="1183" spans="2:12">
      <c r="B1183" s="213"/>
      <c r="C1183" s="214"/>
      <c r="D1183" s="214"/>
      <c r="E1183" s="214"/>
      <c r="F1183" s="214"/>
      <c r="G1183" s="214"/>
      <c r="H1183" s="559" t="s">
        <v>1224</v>
      </c>
      <c r="I1183" s="559"/>
      <c r="J1183" s="559"/>
      <c r="K1183" s="223">
        <f>IF(K1179&gt;K1180,K1179-K1180,0)</f>
        <v>0</v>
      </c>
      <c r="L1183" s="209"/>
    </row>
    <row r="1185" spans="2:12">
      <c r="B1185" s="247" t="s">
        <v>246</v>
      </c>
      <c r="C1185" s="565" t="str">
        <f>VLOOKUP(B1185,'BM 004'!$B$27:$R$590,2,0)</f>
        <v xml:space="preserve">Armação de laje de uma estrutura convencional de concreto armado em um edifício de múltiplos pavimentos utilizando aço ca-50 de 12,5 mm - montagem. </v>
      </c>
      <c r="D1185" s="565"/>
      <c r="E1185" s="565"/>
      <c r="F1185" s="565"/>
      <c r="G1185" s="565"/>
      <c r="H1185" s="565"/>
      <c r="I1185" s="565"/>
      <c r="J1185" s="565"/>
      <c r="K1185" s="565"/>
      <c r="L1185" s="565"/>
    </row>
    <row r="1186" spans="2:12">
      <c r="B1186" s="248" t="s">
        <v>1209</v>
      </c>
      <c r="C1186" s="248"/>
      <c r="D1186" s="248" t="s">
        <v>39</v>
      </c>
      <c r="E1186" s="248" t="s">
        <v>1210</v>
      </c>
      <c r="F1186" s="248" t="s">
        <v>1388</v>
      </c>
      <c r="G1186" s="248" t="s">
        <v>1212</v>
      </c>
      <c r="H1186" s="248" t="s">
        <v>1213</v>
      </c>
      <c r="I1186" s="248" t="s">
        <v>1214</v>
      </c>
      <c r="J1186" s="248" t="s">
        <v>1385</v>
      </c>
      <c r="K1186" s="248" t="s">
        <v>1216</v>
      </c>
      <c r="L1186" s="248" t="s">
        <v>1217</v>
      </c>
    </row>
    <row r="1187" spans="2:12">
      <c r="B1187" s="205" t="s">
        <v>1510</v>
      </c>
      <c r="C1187" s="250" t="s">
        <v>1441</v>
      </c>
      <c r="D1187" s="205" t="s">
        <v>1274</v>
      </c>
      <c r="E1187" s="251">
        <v>815.6</v>
      </c>
      <c r="F1187" s="252">
        <v>0.96299999999999997</v>
      </c>
      <c r="G1187" s="251">
        <v>0.45</v>
      </c>
      <c r="H1187" s="251">
        <v>1.1000000000000001</v>
      </c>
      <c r="I1187" s="251"/>
      <c r="J1187" s="253"/>
      <c r="K1187" s="254">
        <f t="shared" ref="K1187:K1195" si="38">IF(E1187*F1187*G1187&lt;&gt;0,E1187*F1187*G1187,IF(E1187*F1187&lt;&gt;0,E1187*F1187,IF(F1187*G1187&lt;&gt;0,F1187*G1187,IF(E1187*G1187&lt;&gt;0,E1187*G1187,IF(E1187&lt;&gt;0,E1187,IF(F1187&lt;&gt;0,F1187,IF(G1187&lt;&gt;0,G1187,0)))))))*(IF(H1187&lt;&gt;0,H1187,1))+I1187-J1187</f>
        <v>388.78428600000001</v>
      </c>
      <c r="L1187" s="255"/>
    </row>
    <row r="1188" spans="2:12">
      <c r="B1188" s="205" t="s">
        <v>1512</v>
      </c>
      <c r="C1188" s="250" t="s">
        <v>1441</v>
      </c>
      <c r="D1188" s="205" t="s">
        <v>1274</v>
      </c>
      <c r="E1188" s="251">
        <v>760.5</v>
      </c>
      <c r="F1188" s="252">
        <v>0.96299999999999997</v>
      </c>
      <c r="G1188" s="251">
        <v>0.45</v>
      </c>
      <c r="H1188" s="251">
        <v>1.1000000000000001</v>
      </c>
      <c r="I1188" s="251"/>
      <c r="J1188" s="253"/>
      <c r="K1188" s="254">
        <f t="shared" si="38"/>
        <v>362.51894250000004</v>
      </c>
      <c r="L1188" s="255"/>
    </row>
    <row r="1189" spans="2:12">
      <c r="B1189" s="205" t="s">
        <v>1513</v>
      </c>
      <c r="C1189" s="250" t="s">
        <v>1441</v>
      </c>
      <c r="D1189" s="205" t="s">
        <v>1274</v>
      </c>
      <c r="E1189" s="251">
        <v>1053</v>
      </c>
      <c r="F1189" s="252">
        <v>0.96299999999999997</v>
      </c>
      <c r="G1189" s="251">
        <v>1</v>
      </c>
      <c r="H1189" s="251">
        <v>1.1000000000000001</v>
      </c>
      <c r="I1189" s="251"/>
      <c r="J1189" s="253"/>
      <c r="K1189" s="254">
        <f t="shared" si="38"/>
        <v>1115.4429</v>
      </c>
      <c r="L1189" s="255"/>
    </row>
    <row r="1190" spans="2:12">
      <c r="B1190" s="205" t="s">
        <v>1514</v>
      </c>
      <c r="C1190" s="250" t="s">
        <v>1441</v>
      </c>
      <c r="D1190" s="205" t="s">
        <v>1274</v>
      </c>
      <c r="E1190" s="251">
        <v>165</v>
      </c>
      <c r="F1190" s="252">
        <v>0.96299999999999997</v>
      </c>
      <c r="G1190" s="251">
        <v>1</v>
      </c>
      <c r="H1190" s="251">
        <v>1.1000000000000001</v>
      </c>
      <c r="I1190" s="251"/>
      <c r="J1190" s="253"/>
      <c r="K1190" s="254">
        <f t="shared" si="38"/>
        <v>174.78449999999998</v>
      </c>
      <c r="L1190" s="255"/>
    </row>
    <row r="1191" spans="2:12">
      <c r="B1191" s="205" t="s">
        <v>1572</v>
      </c>
      <c r="C1191" s="250" t="s">
        <v>1521</v>
      </c>
      <c r="D1191" s="205" t="s">
        <v>1274</v>
      </c>
      <c r="E1191" s="251">
        <v>1210.6500000000001</v>
      </c>
      <c r="F1191" s="252">
        <v>0.96299999999999997</v>
      </c>
      <c r="G1191" s="251">
        <v>0.5</v>
      </c>
      <c r="H1191" s="251">
        <v>1.1000000000000001</v>
      </c>
      <c r="I1191" s="251"/>
      <c r="J1191" s="253"/>
      <c r="K1191" s="254">
        <f t="shared" si="38"/>
        <v>641.22077250000007</v>
      </c>
      <c r="L1191" s="255"/>
    </row>
    <row r="1192" spans="2:12">
      <c r="B1192" s="205" t="s">
        <v>1573</v>
      </c>
      <c r="C1192" s="250" t="s">
        <v>1521</v>
      </c>
      <c r="D1192" s="205" t="s">
        <v>1274</v>
      </c>
      <c r="E1192" s="251">
        <v>1168.92</v>
      </c>
      <c r="F1192" s="252">
        <v>0.96299999999999997</v>
      </c>
      <c r="G1192" s="251">
        <v>0.5</v>
      </c>
      <c r="H1192" s="251">
        <v>1.1000000000000001</v>
      </c>
      <c r="I1192" s="251"/>
      <c r="J1192" s="253"/>
      <c r="K1192" s="254">
        <f t="shared" si="38"/>
        <v>619.11847799999998</v>
      </c>
      <c r="L1192" s="255"/>
    </row>
    <row r="1193" spans="2:12">
      <c r="B1193" s="205" t="s">
        <v>1510</v>
      </c>
      <c r="C1193" s="250" t="s">
        <v>1611</v>
      </c>
      <c r="D1193" s="205" t="s">
        <v>1274</v>
      </c>
      <c r="E1193" s="251">
        <v>815.6</v>
      </c>
      <c r="F1193" s="252">
        <v>0.96299999999999997</v>
      </c>
      <c r="G1193" s="251">
        <v>0.55000000000000004</v>
      </c>
      <c r="H1193" s="251">
        <v>1.1000000000000001</v>
      </c>
      <c r="I1193" s="251"/>
      <c r="J1193" s="253"/>
      <c r="K1193" s="254">
        <f t="shared" si="38"/>
        <v>475.18079400000005</v>
      </c>
      <c r="L1193" s="255"/>
    </row>
    <row r="1194" spans="2:12">
      <c r="B1194" s="205" t="s">
        <v>1512</v>
      </c>
      <c r="C1194" s="250" t="s">
        <v>1611</v>
      </c>
      <c r="D1194" s="205" t="s">
        <v>1274</v>
      </c>
      <c r="E1194" s="251">
        <v>760.5</v>
      </c>
      <c r="F1194" s="252">
        <v>0.96299999999999997</v>
      </c>
      <c r="G1194" s="251">
        <v>0.55000000000000004</v>
      </c>
      <c r="H1194" s="251">
        <v>1.1000000000000001</v>
      </c>
      <c r="I1194" s="251"/>
      <c r="J1194" s="253"/>
      <c r="K1194" s="254">
        <f t="shared" si="38"/>
        <v>443.07870750000006</v>
      </c>
      <c r="L1194" s="255"/>
    </row>
    <row r="1195" spans="2:12">
      <c r="B1195" s="256"/>
      <c r="C1195" s="210"/>
      <c r="D1195" s="210"/>
      <c r="E1195" s="257"/>
      <c r="F1195" s="258"/>
      <c r="G1195" s="257"/>
      <c r="H1195" s="257"/>
      <c r="I1195" s="257"/>
      <c r="J1195" s="259"/>
      <c r="K1195" s="260">
        <f t="shared" si="38"/>
        <v>0</v>
      </c>
      <c r="L1195" s="210"/>
    </row>
    <row r="1196" spans="2:12">
      <c r="B1196" s="202"/>
      <c r="C1196" s="203"/>
      <c r="D1196" s="203"/>
      <c r="E1196" s="203"/>
      <c r="F1196" s="203"/>
      <c r="G1196" s="203"/>
      <c r="H1196" s="204"/>
      <c r="I1196" s="556" t="s">
        <v>1221</v>
      </c>
      <c r="J1196" s="556"/>
      <c r="K1196" s="220">
        <f>SUM(K1187:K1195)</f>
        <v>4220.1293804999996</v>
      </c>
      <c r="L1196" s="207"/>
    </row>
    <row r="1197" spans="2:12">
      <c r="B1197" s="208"/>
      <c r="C1197" s="204"/>
      <c r="D1197" s="204"/>
      <c r="E1197" s="204"/>
      <c r="F1197" s="204"/>
      <c r="G1197" s="204"/>
      <c r="H1197" s="209"/>
      <c r="I1197" s="557" t="s">
        <v>1222</v>
      </c>
      <c r="J1197" s="557"/>
      <c r="K1197" s="221">
        <f>VLOOKUP(B1185,'BM 004'!$B$27:$R$590,4,0)</f>
        <v>8278.6</v>
      </c>
      <c r="L1197" s="207"/>
    </row>
    <row r="1198" spans="2:12">
      <c r="B1198" s="208"/>
      <c r="C1198" s="204"/>
      <c r="D1198" s="204"/>
      <c r="E1198" s="204"/>
      <c r="F1198" s="204"/>
      <c r="G1198" s="204"/>
      <c r="H1198" s="558" t="s">
        <v>1223</v>
      </c>
      <c r="I1198" s="558"/>
      <c r="J1198" s="558"/>
      <c r="K1198" s="222">
        <f>K1196-K1199</f>
        <v>3302.1293804999996</v>
      </c>
      <c r="L1198" s="207"/>
    </row>
    <row r="1199" spans="2:12">
      <c r="B1199" s="208"/>
      <c r="C1199" s="204"/>
      <c r="D1199" s="204"/>
      <c r="E1199" s="204"/>
      <c r="F1199" s="204"/>
      <c r="G1199" s="204"/>
      <c r="H1199" s="558" t="s">
        <v>1579</v>
      </c>
      <c r="I1199" s="558"/>
      <c r="J1199" s="558"/>
      <c r="K1199" s="222">
        <f>IF(K1196&gt;K1197,0,TRUNC(SUMIF(C1187:C1195,H1199,K1187:K1195),L9512))</f>
        <v>918</v>
      </c>
      <c r="L1199" s="207"/>
    </row>
    <row r="1200" spans="2:12">
      <c r="B1200" s="213"/>
      <c r="C1200" s="214"/>
      <c r="D1200" s="214"/>
      <c r="E1200" s="214"/>
      <c r="F1200" s="214"/>
      <c r="G1200" s="214"/>
      <c r="H1200" s="559" t="s">
        <v>1224</v>
      </c>
      <c r="I1200" s="559"/>
      <c r="J1200" s="559"/>
      <c r="K1200" s="223">
        <f>IF(K1196&gt;K1197,K1196-K1197,0)</f>
        <v>0</v>
      </c>
      <c r="L1200" s="209"/>
    </row>
    <row r="1202" spans="2:12">
      <c r="B1202" s="247" t="s">
        <v>248</v>
      </c>
      <c r="C1202" s="565" t="str">
        <f>VLOOKUP(B1202,'BM 004'!$B$27:$R$590,2,0)</f>
        <v xml:space="preserve">Armação de laje de uma estrutura convencional de concreto armado em um edifício de múltiplos pavimentos utilizando aço ca-50 de 16,0 mm - montagem. </v>
      </c>
      <c r="D1202" s="565"/>
      <c r="E1202" s="565"/>
      <c r="F1202" s="565"/>
      <c r="G1202" s="565"/>
      <c r="H1202" s="565"/>
      <c r="I1202" s="565"/>
      <c r="J1202" s="565"/>
      <c r="K1202" s="565"/>
      <c r="L1202" s="565"/>
    </row>
    <row r="1203" spans="2:12">
      <c r="B1203" s="248" t="s">
        <v>1209</v>
      </c>
      <c r="C1203" s="248"/>
      <c r="D1203" s="248" t="s">
        <v>39</v>
      </c>
      <c r="E1203" s="248" t="s">
        <v>1210</v>
      </c>
      <c r="F1203" s="248" t="s">
        <v>1388</v>
      </c>
      <c r="G1203" s="248" t="s">
        <v>1212</v>
      </c>
      <c r="H1203" s="248" t="s">
        <v>1213</v>
      </c>
      <c r="I1203" s="248" t="s">
        <v>1214</v>
      </c>
      <c r="J1203" s="248" t="s">
        <v>1385</v>
      </c>
      <c r="K1203" s="248" t="s">
        <v>1216</v>
      </c>
      <c r="L1203" s="248" t="s">
        <v>1217</v>
      </c>
    </row>
    <row r="1204" spans="2:12">
      <c r="B1204" s="205" t="s">
        <v>1510</v>
      </c>
      <c r="C1204" s="250" t="s">
        <v>1441</v>
      </c>
      <c r="D1204" s="205" t="s">
        <v>1274</v>
      </c>
      <c r="E1204" s="251">
        <v>758.1</v>
      </c>
      <c r="F1204" s="252">
        <v>1.5780000000000001</v>
      </c>
      <c r="G1204" s="251">
        <v>0.45</v>
      </c>
      <c r="H1204" s="251">
        <v>1.1000000000000001</v>
      </c>
      <c r="I1204" s="251"/>
      <c r="J1204" s="253"/>
      <c r="K1204" s="254">
        <f t="shared" ref="K1204:K1210" si="39">IF(E1204*F1204*G1204&lt;&gt;0,E1204*F1204*G1204,IF(E1204*F1204&lt;&gt;0,E1204*F1204,IF(F1204*G1204&lt;&gt;0,F1204*G1204,IF(E1204*G1204&lt;&gt;0,E1204*G1204,IF(E1204&lt;&gt;0,E1204,IF(F1204&lt;&gt;0,F1204,IF(G1204&lt;&gt;0,G1204,0)))))))*(IF(H1204&lt;&gt;0,H1204,1))+I1204-J1204</f>
        <v>592.15949100000012</v>
      </c>
      <c r="L1204" s="255"/>
    </row>
    <row r="1205" spans="2:12">
      <c r="B1205" s="205" t="s">
        <v>1512</v>
      </c>
      <c r="C1205" s="250" t="s">
        <v>1441</v>
      </c>
      <c r="D1205" s="205" t="s">
        <v>1274</v>
      </c>
      <c r="E1205" s="251">
        <v>365.1</v>
      </c>
      <c r="F1205" s="252">
        <v>1.5780000000000001</v>
      </c>
      <c r="G1205" s="251">
        <v>0.45</v>
      </c>
      <c r="H1205" s="251">
        <v>1.1000000000000001</v>
      </c>
      <c r="I1205" s="251"/>
      <c r="J1205" s="253"/>
      <c r="K1205" s="254">
        <f t="shared" si="39"/>
        <v>285.18326100000007</v>
      </c>
      <c r="L1205" s="255"/>
    </row>
    <row r="1206" spans="2:12">
      <c r="B1206" s="205" t="s">
        <v>1513</v>
      </c>
      <c r="C1206" s="250" t="s">
        <v>1441</v>
      </c>
      <c r="D1206" s="205" t="s">
        <v>1274</v>
      </c>
      <c r="E1206" s="251">
        <v>584</v>
      </c>
      <c r="F1206" s="252">
        <v>1.5780000000000001</v>
      </c>
      <c r="G1206" s="251"/>
      <c r="H1206" s="251">
        <v>1.1000000000000001</v>
      </c>
      <c r="I1206" s="251"/>
      <c r="J1206" s="253"/>
      <c r="K1206" s="254">
        <f t="shared" si="39"/>
        <v>1013.7072000000001</v>
      </c>
      <c r="L1206" s="255"/>
    </row>
    <row r="1207" spans="2:12">
      <c r="B1207" s="205" t="s">
        <v>1514</v>
      </c>
      <c r="C1207" s="250" t="s">
        <v>1441</v>
      </c>
      <c r="D1207" s="205" t="s">
        <v>1274</v>
      </c>
      <c r="E1207" s="251">
        <v>722</v>
      </c>
      <c r="F1207" s="252">
        <v>1.5780000000000001</v>
      </c>
      <c r="G1207" s="251"/>
      <c r="H1207" s="251">
        <v>1.1000000000000001</v>
      </c>
      <c r="I1207" s="251"/>
      <c r="J1207" s="253"/>
      <c r="K1207" s="254">
        <f t="shared" si="39"/>
        <v>1253.2476000000001</v>
      </c>
      <c r="L1207" s="255"/>
    </row>
    <row r="1208" spans="2:12">
      <c r="B1208" s="205" t="s">
        <v>1572</v>
      </c>
      <c r="C1208" s="250" t="s">
        <v>1521</v>
      </c>
      <c r="D1208" s="205" t="s">
        <v>1274</v>
      </c>
      <c r="E1208" s="251">
        <v>1168.92</v>
      </c>
      <c r="F1208" s="252">
        <v>1.5780000000000001</v>
      </c>
      <c r="G1208" s="251">
        <v>0.5</v>
      </c>
      <c r="H1208" s="251">
        <v>1.1000000000000001</v>
      </c>
      <c r="I1208" s="251"/>
      <c r="J1208" s="253"/>
      <c r="K1208" s="254">
        <f t="shared" si="39"/>
        <v>1014.5056680000002</v>
      </c>
      <c r="L1208" s="255"/>
    </row>
    <row r="1209" spans="2:12">
      <c r="B1209" s="205" t="s">
        <v>1573</v>
      </c>
      <c r="C1209" s="250" t="s">
        <v>1521</v>
      </c>
      <c r="D1209" s="205" t="s">
        <v>1274</v>
      </c>
      <c r="E1209" s="251">
        <v>5626</v>
      </c>
      <c r="F1209" s="252">
        <v>1.5780000000000001</v>
      </c>
      <c r="G1209" s="251">
        <v>0.5</v>
      </c>
      <c r="H1209" s="251">
        <v>1.1000000000000001</v>
      </c>
      <c r="I1209" s="251"/>
      <c r="J1209" s="253"/>
      <c r="K1209" s="254">
        <f t="shared" si="39"/>
        <v>4882.8054000000002</v>
      </c>
      <c r="L1209" s="255"/>
    </row>
    <row r="1210" spans="2:12">
      <c r="B1210" s="256"/>
      <c r="C1210" s="210"/>
      <c r="D1210" s="210"/>
      <c r="E1210" s="257"/>
      <c r="F1210" s="258"/>
      <c r="G1210" s="257"/>
      <c r="H1210" s="257"/>
      <c r="I1210" s="257"/>
      <c r="J1210" s="259"/>
      <c r="K1210" s="260">
        <f t="shared" si="39"/>
        <v>0</v>
      </c>
      <c r="L1210" s="210"/>
    </row>
    <row r="1211" spans="2:12">
      <c r="B1211" s="202"/>
      <c r="C1211" s="203"/>
      <c r="D1211" s="203"/>
      <c r="E1211" s="203"/>
      <c r="F1211" s="203"/>
      <c r="G1211" s="203"/>
      <c r="H1211" s="204"/>
      <c r="I1211" s="556" t="s">
        <v>1221</v>
      </c>
      <c r="J1211" s="556"/>
      <c r="K1211" s="220">
        <f>SUM(K1204:K1210)</f>
        <v>9041.6086200000009</v>
      </c>
      <c r="L1211" s="207"/>
    </row>
    <row r="1212" spans="2:12">
      <c r="B1212" s="208"/>
      <c r="C1212" s="204"/>
      <c r="D1212" s="204"/>
      <c r="E1212" s="204"/>
      <c r="F1212" s="204"/>
      <c r="G1212" s="204"/>
      <c r="H1212" s="209"/>
      <c r="I1212" s="557" t="s">
        <v>1222</v>
      </c>
      <c r="J1212" s="557"/>
      <c r="K1212" s="221">
        <f>VLOOKUP(B1202,'BM 004'!$B$27:$R$590,4,0)</f>
        <v>8114.7</v>
      </c>
      <c r="L1212" s="207"/>
    </row>
    <row r="1213" spans="2:12">
      <c r="B1213" s="208"/>
      <c r="C1213" s="204"/>
      <c r="D1213" s="204"/>
      <c r="E1213" s="204"/>
      <c r="F1213" s="204"/>
      <c r="G1213" s="204"/>
      <c r="H1213" s="558" t="s">
        <v>1223</v>
      </c>
      <c r="I1213" s="558"/>
      <c r="J1213" s="558"/>
      <c r="K1213" s="222">
        <f>VLOOKUP(B1202,'BM 005'!$B$27:$R$590,6,0)</f>
        <v>3144.29</v>
      </c>
      <c r="L1213" s="207"/>
    </row>
    <row r="1214" spans="2:12">
      <c r="B1214" s="208"/>
      <c r="C1214" s="204"/>
      <c r="D1214" s="204"/>
      <c r="E1214" s="204"/>
      <c r="F1214" s="204"/>
      <c r="G1214" s="204"/>
      <c r="H1214" s="558" t="s">
        <v>1579</v>
      </c>
      <c r="I1214" s="558"/>
      <c r="J1214" s="558"/>
      <c r="K1214" s="222">
        <f>IF(K1211&gt;K1212,K1212-K1213,K1211-K1213)</f>
        <v>4970.41</v>
      </c>
      <c r="L1214" s="207"/>
    </row>
    <row r="1215" spans="2:12">
      <c r="B1215" s="213"/>
      <c r="C1215" s="214"/>
      <c r="D1215" s="214"/>
      <c r="E1215" s="214"/>
      <c r="F1215" s="214"/>
      <c r="G1215" s="214"/>
      <c r="H1215" s="559" t="s">
        <v>1224</v>
      </c>
      <c r="I1215" s="559"/>
      <c r="J1215" s="559"/>
      <c r="K1215" s="223">
        <f>IF(K1211&gt;K1212,K1211-K1212,0)</f>
        <v>926.90862000000106</v>
      </c>
      <c r="L1215" s="209"/>
    </row>
    <row r="1217" spans="2:12">
      <c r="B1217" s="247" t="s">
        <v>250</v>
      </c>
      <c r="C1217" s="565" t="str">
        <f>VLOOKUP(B1217,'BM 004'!$B$27:$R$590,2,0)</f>
        <v xml:space="preserve">Armação de laje de uma estrutura convencional de concreto armado em um edifício de múltiplos pavimentos utilizando aço ca-50 de 20,0 mm - montagem. </v>
      </c>
      <c r="D1217" s="565"/>
      <c r="E1217" s="565"/>
      <c r="F1217" s="565"/>
      <c r="G1217" s="565"/>
      <c r="H1217" s="565"/>
      <c r="I1217" s="565"/>
      <c r="J1217" s="565"/>
      <c r="K1217" s="565"/>
      <c r="L1217" s="565"/>
    </row>
    <row r="1218" spans="2:12">
      <c r="B1218" s="248" t="s">
        <v>1209</v>
      </c>
      <c r="C1218" s="248"/>
      <c r="D1218" s="248" t="s">
        <v>39</v>
      </c>
      <c r="E1218" s="248" t="s">
        <v>1210</v>
      </c>
      <c r="F1218" s="248" t="s">
        <v>1388</v>
      </c>
      <c r="G1218" s="248" t="s">
        <v>1212</v>
      </c>
      <c r="H1218" s="248" t="s">
        <v>1213</v>
      </c>
      <c r="I1218" s="248" t="s">
        <v>1214</v>
      </c>
      <c r="J1218" s="248" t="s">
        <v>1385</v>
      </c>
      <c r="K1218" s="248" t="s">
        <v>1216</v>
      </c>
      <c r="L1218" s="248" t="s">
        <v>1217</v>
      </c>
    </row>
    <row r="1219" spans="2:12">
      <c r="B1219" s="205" t="s">
        <v>1510</v>
      </c>
      <c r="C1219" s="250" t="s">
        <v>1441</v>
      </c>
      <c r="D1219" s="205" t="s">
        <v>1274</v>
      </c>
      <c r="E1219" s="251">
        <v>156.41999999999999</v>
      </c>
      <c r="F1219" s="252">
        <v>2.4660000000000002</v>
      </c>
      <c r="G1219" s="251">
        <v>0.45</v>
      </c>
      <c r="H1219" s="251">
        <v>1.1000000000000001</v>
      </c>
      <c r="I1219" s="251"/>
      <c r="J1219" s="253"/>
      <c r="K1219" s="254">
        <f t="shared" ref="K1219:K1228" si="40">IF(E1219*F1219*G1219&lt;&gt;0,E1219*F1219*G1219,IF(E1219*F1219&lt;&gt;0,E1219*F1219,IF(F1219*G1219&lt;&gt;0,F1219*G1219,IF(E1219*G1219&lt;&gt;0,E1219*G1219,IF(E1219&lt;&gt;0,E1219,IF(F1219&lt;&gt;0,F1219,IF(G1219&lt;&gt;0,G1219,0)))))))*(IF(H1219&lt;&gt;0,H1219,1))+I1219-J1219</f>
        <v>190.93720140000002</v>
      </c>
      <c r="L1219" s="255"/>
    </row>
    <row r="1220" spans="2:12">
      <c r="B1220" s="205" t="s">
        <v>1512</v>
      </c>
      <c r="C1220" s="250" t="s">
        <v>1441</v>
      </c>
      <c r="D1220" s="205" t="s">
        <v>1274</v>
      </c>
      <c r="E1220" s="251">
        <v>154.41999999999999</v>
      </c>
      <c r="F1220" s="252">
        <v>2.4660000000000002</v>
      </c>
      <c r="G1220" s="251">
        <v>0.45</v>
      </c>
      <c r="H1220" s="251">
        <v>1.1000000000000001</v>
      </c>
      <c r="I1220" s="251"/>
      <c r="J1220" s="253"/>
      <c r="K1220" s="254">
        <f t="shared" si="40"/>
        <v>188.4958614</v>
      </c>
      <c r="L1220" s="255"/>
    </row>
    <row r="1221" spans="2:12">
      <c r="B1221" s="205" t="s">
        <v>1513</v>
      </c>
      <c r="C1221" s="250" t="s">
        <v>1441</v>
      </c>
      <c r="D1221" s="205" t="s">
        <v>1274</v>
      </c>
      <c r="E1221" s="251">
        <v>51</v>
      </c>
      <c r="F1221" s="252">
        <v>2.4660000000000002</v>
      </c>
      <c r="G1221" s="251"/>
      <c r="H1221" s="251">
        <v>1.1000000000000001</v>
      </c>
      <c r="I1221" s="251"/>
      <c r="J1221" s="253"/>
      <c r="K1221" s="254">
        <f t="shared" si="40"/>
        <v>138.3426</v>
      </c>
      <c r="L1221" s="255"/>
    </row>
    <row r="1222" spans="2:12">
      <c r="B1222" s="205" t="s">
        <v>1514</v>
      </c>
      <c r="C1222" s="250" t="s">
        <v>1441</v>
      </c>
      <c r="D1222" s="205" t="s">
        <v>1274</v>
      </c>
      <c r="E1222" s="251">
        <v>298</v>
      </c>
      <c r="F1222" s="252">
        <v>2.4660000000000002</v>
      </c>
      <c r="G1222" s="251"/>
      <c r="H1222" s="251">
        <v>1.1000000000000001</v>
      </c>
      <c r="I1222" s="251"/>
      <c r="J1222" s="253"/>
      <c r="K1222" s="254">
        <f t="shared" si="40"/>
        <v>808.35480000000007</v>
      </c>
      <c r="L1222" s="255"/>
    </row>
    <row r="1223" spans="2:12">
      <c r="B1223" s="205" t="s">
        <v>1572</v>
      </c>
      <c r="C1223" s="250" t="s">
        <v>1521</v>
      </c>
      <c r="D1223" s="205" t="s">
        <v>1274</v>
      </c>
      <c r="E1223" s="251">
        <v>1019.89</v>
      </c>
      <c r="F1223" s="252">
        <v>2.4660000000000002</v>
      </c>
      <c r="G1223" s="251">
        <v>0.5</v>
      </c>
      <c r="H1223" s="251">
        <v>1.1000000000000001</v>
      </c>
      <c r="I1223" s="251"/>
      <c r="J1223" s="253"/>
      <c r="K1223" s="254">
        <f t="shared" si="40"/>
        <v>1383.2768070000002</v>
      </c>
      <c r="L1223" s="255"/>
    </row>
    <row r="1224" spans="2:12">
      <c r="B1224" s="205" t="s">
        <v>1573</v>
      </c>
      <c r="C1224" s="250" t="s">
        <v>1521</v>
      </c>
      <c r="D1224" s="205" t="s">
        <v>1274</v>
      </c>
      <c r="E1224" s="251">
        <v>804</v>
      </c>
      <c r="F1224" s="252">
        <v>2.4660000000000002</v>
      </c>
      <c r="G1224" s="251">
        <v>0.5</v>
      </c>
      <c r="H1224" s="251">
        <v>1.1000000000000001</v>
      </c>
      <c r="I1224" s="251"/>
      <c r="J1224" s="253"/>
      <c r="K1224" s="254">
        <f t="shared" si="40"/>
        <v>1090.4652000000001</v>
      </c>
      <c r="L1224" s="255"/>
    </row>
    <row r="1225" spans="2:12">
      <c r="B1225" s="205" t="s">
        <v>1510</v>
      </c>
      <c r="C1225" s="250" t="s">
        <v>1611</v>
      </c>
      <c r="D1225" s="205" t="s">
        <v>1274</v>
      </c>
      <c r="E1225" s="251">
        <v>156.41999999999999</v>
      </c>
      <c r="F1225" s="252">
        <v>2.4660000000000002</v>
      </c>
      <c r="G1225" s="251">
        <v>0.55000000000000004</v>
      </c>
      <c r="H1225" s="251">
        <v>1.1000000000000001</v>
      </c>
      <c r="I1225" s="251"/>
      <c r="J1225" s="253"/>
      <c r="K1225" s="254">
        <f t="shared" si="40"/>
        <v>233.36769060000006</v>
      </c>
      <c r="L1225" s="255"/>
    </row>
    <row r="1226" spans="2:12">
      <c r="B1226" s="205" t="s">
        <v>1512</v>
      </c>
      <c r="C1226" s="250" t="s">
        <v>1611</v>
      </c>
      <c r="D1226" s="205" t="s">
        <v>1274</v>
      </c>
      <c r="E1226" s="251">
        <v>154.41999999999999</v>
      </c>
      <c r="F1226" s="252">
        <v>2.4660000000000002</v>
      </c>
      <c r="G1226" s="251">
        <v>0.55000000000000004</v>
      </c>
      <c r="H1226" s="251">
        <v>1.1000000000000001</v>
      </c>
      <c r="I1226" s="251"/>
      <c r="J1226" s="253"/>
      <c r="K1226" s="254">
        <f t="shared" si="40"/>
        <v>230.38383060000004</v>
      </c>
      <c r="L1226" s="255"/>
    </row>
    <row r="1227" spans="2:12">
      <c r="B1227" s="205" t="s">
        <v>1687</v>
      </c>
      <c r="C1227" s="264" t="s">
        <v>1611</v>
      </c>
      <c r="D1227" s="210" t="s">
        <v>1274</v>
      </c>
      <c r="E1227" s="257">
        <f>954+522</f>
        <v>1476</v>
      </c>
      <c r="F1227" s="258">
        <f>(45.8/(6*2.45))</f>
        <v>3.1156462585034008</v>
      </c>
      <c r="G1227" s="257"/>
      <c r="H1227" s="257">
        <v>1</v>
      </c>
      <c r="I1227" s="257"/>
      <c r="J1227" s="253"/>
      <c r="K1227" s="254">
        <f t="shared" si="40"/>
        <v>4598.6938775510198</v>
      </c>
      <c r="L1227" s="255"/>
    </row>
    <row r="1228" spans="2:12">
      <c r="B1228" s="256"/>
      <c r="C1228" s="210"/>
      <c r="D1228" s="210"/>
      <c r="E1228" s="257"/>
      <c r="F1228" s="258"/>
      <c r="G1228" s="257"/>
      <c r="H1228" s="257"/>
      <c r="I1228" s="257"/>
      <c r="J1228" s="259"/>
      <c r="K1228" s="260">
        <f t="shared" si="40"/>
        <v>0</v>
      </c>
      <c r="L1228" s="210"/>
    </row>
    <row r="1229" spans="2:12">
      <c r="B1229" s="202"/>
      <c r="C1229" s="203"/>
      <c r="D1229" s="203"/>
      <c r="E1229" s="203"/>
      <c r="F1229" s="203"/>
      <c r="G1229" s="203"/>
      <c r="H1229" s="204"/>
      <c r="I1229" s="556" t="s">
        <v>1221</v>
      </c>
      <c r="J1229" s="556"/>
      <c r="K1229" s="220">
        <f>SUM(K1219:K1228)</f>
        <v>8862.3178685510211</v>
      </c>
      <c r="L1229" s="207"/>
    </row>
    <row r="1230" spans="2:12">
      <c r="B1230" s="208"/>
      <c r="C1230" s="204"/>
      <c r="D1230" s="204"/>
      <c r="E1230" s="204"/>
      <c r="F1230" s="204"/>
      <c r="G1230" s="204"/>
      <c r="H1230" s="209"/>
      <c r="I1230" s="557" t="s">
        <v>1222</v>
      </c>
      <c r="J1230" s="557"/>
      <c r="K1230" s="221">
        <f>VLOOKUP(B1217,'BM 004'!$B$27:$R$590,4,0)</f>
        <v>11554.4</v>
      </c>
      <c r="L1230" s="207"/>
    </row>
    <row r="1231" spans="2:12">
      <c r="B1231" s="208"/>
      <c r="C1231" s="204"/>
      <c r="D1231" s="204"/>
      <c r="E1231" s="204"/>
      <c r="F1231" s="204"/>
      <c r="G1231" s="204"/>
      <c r="H1231" s="558" t="s">
        <v>1223</v>
      </c>
      <c r="I1231" s="558"/>
      <c r="J1231" s="558"/>
      <c r="K1231" s="222">
        <f>K1229-K1232</f>
        <v>3799.8778685510215</v>
      </c>
      <c r="L1231" s="207"/>
    </row>
    <row r="1232" spans="2:12">
      <c r="B1232" s="208"/>
      <c r="C1232" s="204"/>
      <c r="D1232" s="204"/>
      <c r="E1232" s="204"/>
      <c r="F1232" s="204"/>
      <c r="G1232" s="204"/>
      <c r="H1232" s="558" t="s">
        <v>1579</v>
      </c>
      <c r="I1232" s="558"/>
      <c r="J1232" s="558"/>
      <c r="K1232" s="222">
        <f>TRUNC(SUMIF(C1219:C1228,H1232,K1219:K1228),2)</f>
        <v>5062.4399999999996</v>
      </c>
      <c r="L1232" s="207"/>
    </row>
    <row r="1233" spans="2:12">
      <c r="B1233" s="213"/>
      <c r="C1233" s="214"/>
      <c r="D1233" s="214"/>
      <c r="E1233" s="214"/>
      <c r="F1233" s="214"/>
      <c r="G1233" s="214"/>
      <c r="H1233" s="559" t="s">
        <v>1224</v>
      </c>
      <c r="I1233" s="559"/>
      <c r="J1233" s="559"/>
      <c r="K1233" s="223">
        <f>IF(K1229&gt;K1230,K1229-K1230,0)</f>
        <v>0</v>
      </c>
      <c r="L1233" s="209"/>
    </row>
    <row r="1235" spans="2:12">
      <c r="B1235" s="247" t="s">
        <v>252</v>
      </c>
      <c r="C1235" s="565" t="str">
        <f>VLOOKUP(B1235,'BM 004'!$B$27:$R$590,2,0)</f>
        <v>ARMAÇÃO DE LAJE DE UMA ESTRUTURA CONVENCIONAL DE CONCRETO ARMADO EM UM EDIFÍCIO DE MÚLTIPLOS PAVIMENTOS UTILIZANDO AÇO CA-50 DE 25,0 MM - MONTAGEM.</v>
      </c>
      <c r="D1235" s="565"/>
      <c r="E1235" s="565"/>
      <c r="F1235" s="565"/>
      <c r="G1235" s="565"/>
      <c r="H1235" s="565"/>
      <c r="I1235" s="565"/>
      <c r="J1235" s="565"/>
      <c r="K1235" s="565"/>
      <c r="L1235" s="565"/>
    </row>
    <row r="1236" spans="2:12">
      <c r="B1236" s="248" t="s">
        <v>1209</v>
      </c>
      <c r="C1236" s="248"/>
      <c r="D1236" s="248" t="s">
        <v>39</v>
      </c>
      <c r="E1236" s="248" t="s">
        <v>1210</v>
      </c>
      <c r="F1236" s="248" t="s">
        <v>1388</v>
      </c>
      <c r="G1236" s="248" t="s">
        <v>1212</v>
      </c>
      <c r="H1236" s="248" t="s">
        <v>1213</v>
      </c>
      <c r="I1236" s="248" t="s">
        <v>1214</v>
      </c>
      <c r="J1236" s="248" t="s">
        <v>1385</v>
      </c>
      <c r="K1236" s="248" t="s">
        <v>1216</v>
      </c>
      <c r="L1236" s="248" t="s">
        <v>1217</v>
      </c>
    </row>
    <row r="1237" spans="2:12">
      <c r="B1237" s="205" t="s">
        <v>1510</v>
      </c>
      <c r="C1237" s="250" t="s">
        <v>1441</v>
      </c>
      <c r="D1237" s="205" t="s">
        <v>1274</v>
      </c>
      <c r="E1237" s="251">
        <v>372.94</v>
      </c>
      <c r="F1237" s="252">
        <v>3.8530000000000002</v>
      </c>
      <c r="G1237" s="251">
        <v>0.45</v>
      </c>
      <c r="H1237" s="251">
        <v>1.1000000000000001</v>
      </c>
      <c r="I1237" s="251"/>
      <c r="J1237" s="253"/>
      <c r="K1237" s="254">
        <f t="shared" ref="K1237:K1245" si="41">IF(E1237*F1237*G1237&lt;&gt;0,E1237*F1237*G1237,IF(E1237*F1237&lt;&gt;0,E1237*F1237,IF(F1237*G1237&lt;&gt;0,F1237*G1237,IF(E1237*G1237&lt;&gt;0,E1237*G1237,IF(E1237&lt;&gt;0,E1237,IF(F1237&lt;&gt;0,F1237,IF(G1237&lt;&gt;0,G1237,0)))))))*(IF(H1237&lt;&gt;0,H1237,1))+I1237-J1237</f>
        <v>711.28422090000004</v>
      </c>
      <c r="L1237" s="255"/>
    </row>
    <row r="1238" spans="2:12">
      <c r="B1238" s="205" t="s">
        <v>1512</v>
      </c>
      <c r="C1238" s="250" t="s">
        <v>1441</v>
      </c>
      <c r="D1238" s="205" t="s">
        <v>1274</v>
      </c>
      <c r="E1238" s="251">
        <v>47.06</v>
      </c>
      <c r="F1238" s="252">
        <v>3.8530000000000002</v>
      </c>
      <c r="G1238" s="251">
        <v>0.45</v>
      </c>
      <c r="H1238" s="251">
        <v>1.1000000000000001</v>
      </c>
      <c r="I1238" s="251"/>
      <c r="J1238" s="253"/>
      <c r="K1238" s="254">
        <f t="shared" si="41"/>
        <v>89.754479100000026</v>
      </c>
      <c r="L1238" s="255"/>
    </row>
    <row r="1239" spans="2:12">
      <c r="B1239" s="205" t="s">
        <v>1513</v>
      </c>
      <c r="C1239" s="250" t="s">
        <v>1441</v>
      </c>
      <c r="D1239" s="205" t="s">
        <v>1274</v>
      </c>
      <c r="E1239" s="251">
        <v>6</v>
      </c>
      <c r="F1239" s="252">
        <v>3.8530000000000002</v>
      </c>
      <c r="G1239" s="251"/>
      <c r="H1239" s="251">
        <v>1.1000000000000001</v>
      </c>
      <c r="I1239" s="251"/>
      <c r="J1239" s="253"/>
      <c r="K1239" s="254">
        <f t="shared" si="41"/>
        <v>25.429800000000004</v>
      </c>
      <c r="L1239" s="255"/>
    </row>
    <row r="1240" spans="2:12">
      <c r="B1240" s="205" t="s">
        <v>1514</v>
      </c>
      <c r="C1240" s="250" t="s">
        <v>1441</v>
      </c>
      <c r="D1240" s="205" t="s">
        <v>1274</v>
      </c>
      <c r="E1240" s="251">
        <v>3</v>
      </c>
      <c r="F1240" s="252">
        <v>3.8530000000000002</v>
      </c>
      <c r="G1240" s="251"/>
      <c r="H1240" s="251">
        <v>1.1000000000000001</v>
      </c>
      <c r="I1240" s="251"/>
      <c r="J1240" s="253"/>
      <c r="K1240" s="254">
        <f t="shared" si="41"/>
        <v>12.714900000000002</v>
      </c>
      <c r="L1240" s="255"/>
    </row>
    <row r="1241" spans="2:12">
      <c r="B1241" s="205" t="s">
        <v>1572</v>
      </c>
      <c r="C1241" s="250" t="s">
        <v>1521</v>
      </c>
      <c r="D1241" s="205" t="s">
        <v>1274</v>
      </c>
      <c r="E1241" s="251">
        <v>37.869999999999997</v>
      </c>
      <c r="F1241" s="252">
        <v>3.8530000000000002</v>
      </c>
      <c r="G1241" s="251">
        <v>0.5</v>
      </c>
      <c r="H1241" s="251">
        <v>1.1000000000000001</v>
      </c>
      <c r="I1241" s="251"/>
      <c r="J1241" s="253"/>
      <c r="K1241" s="254">
        <f t="shared" si="41"/>
        <v>80.252210500000004</v>
      </c>
      <c r="L1241" s="255"/>
    </row>
    <row r="1242" spans="2:12">
      <c r="B1242" s="205" t="s">
        <v>1573</v>
      </c>
      <c r="C1242" s="250" t="s">
        <v>1521</v>
      </c>
      <c r="D1242" s="205" t="s">
        <v>1274</v>
      </c>
      <c r="E1242" s="251">
        <v>5</v>
      </c>
      <c r="F1242" s="252">
        <v>3.8530000000000002</v>
      </c>
      <c r="G1242" s="251">
        <v>0.5</v>
      </c>
      <c r="H1242" s="251">
        <v>1.1000000000000001</v>
      </c>
      <c r="I1242" s="251"/>
      <c r="J1242" s="253"/>
      <c r="K1242" s="254">
        <f t="shared" si="41"/>
        <v>10.595750000000001</v>
      </c>
      <c r="L1242" s="255"/>
    </row>
    <row r="1243" spans="2:12">
      <c r="B1243" s="205" t="s">
        <v>1510</v>
      </c>
      <c r="C1243" s="250" t="s">
        <v>1611</v>
      </c>
      <c r="D1243" s="205" t="s">
        <v>1274</v>
      </c>
      <c r="E1243" s="251">
        <v>372.94</v>
      </c>
      <c r="F1243" s="252">
        <v>3.8530000000000002</v>
      </c>
      <c r="G1243" s="251">
        <v>0.55000000000000004</v>
      </c>
      <c r="H1243" s="251">
        <v>1.1000000000000001</v>
      </c>
      <c r="I1243" s="251"/>
      <c r="J1243" s="253"/>
      <c r="K1243" s="254">
        <f t="shared" si="41"/>
        <v>869.34738110000012</v>
      </c>
      <c r="L1243" s="255"/>
    </row>
    <row r="1244" spans="2:12">
      <c r="B1244" s="205" t="s">
        <v>1512</v>
      </c>
      <c r="C1244" s="250" t="s">
        <v>1611</v>
      </c>
      <c r="D1244" s="205" t="s">
        <v>1274</v>
      </c>
      <c r="E1244" s="251">
        <v>47.06</v>
      </c>
      <c r="F1244" s="252">
        <v>3.8530000000000002</v>
      </c>
      <c r="G1244" s="251">
        <v>0.55000000000000004</v>
      </c>
      <c r="H1244" s="251">
        <v>1.1000000000000001</v>
      </c>
      <c r="I1244" s="251"/>
      <c r="J1244" s="253"/>
      <c r="K1244" s="254">
        <f t="shared" si="41"/>
        <v>109.69991890000004</v>
      </c>
      <c r="L1244" s="255"/>
    </row>
    <row r="1245" spans="2:12">
      <c r="B1245" s="256"/>
      <c r="C1245" s="210"/>
      <c r="D1245" s="210"/>
      <c r="E1245" s="257"/>
      <c r="F1245" s="258"/>
      <c r="G1245" s="257"/>
      <c r="H1245" s="257"/>
      <c r="I1245" s="257"/>
      <c r="J1245" s="259"/>
      <c r="K1245" s="260">
        <f t="shared" si="41"/>
        <v>0</v>
      </c>
      <c r="L1245" s="210"/>
    </row>
    <row r="1246" spans="2:12">
      <c r="B1246" s="202"/>
      <c r="C1246" s="203"/>
      <c r="D1246" s="203"/>
      <c r="E1246" s="203"/>
      <c r="F1246" s="203"/>
      <c r="G1246" s="203"/>
      <c r="H1246" s="204"/>
      <c r="I1246" s="556" t="s">
        <v>1221</v>
      </c>
      <c r="J1246" s="556"/>
      <c r="K1246" s="220">
        <f>SUM(K1237:K1245)</f>
        <v>1909.0786605000003</v>
      </c>
      <c r="L1246" s="207"/>
    </row>
    <row r="1247" spans="2:12">
      <c r="B1247" s="208"/>
      <c r="C1247" s="204"/>
      <c r="D1247" s="204"/>
      <c r="E1247" s="204"/>
      <c r="F1247" s="204"/>
      <c r="G1247" s="204"/>
      <c r="H1247" s="209"/>
      <c r="I1247" s="557" t="s">
        <v>1222</v>
      </c>
      <c r="J1247" s="557"/>
      <c r="K1247" s="221">
        <f>VLOOKUP(B1235,'BM 004'!$B$27:$R$590,4,0)</f>
        <v>5166.7</v>
      </c>
      <c r="L1247" s="207"/>
    </row>
    <row r="1248" spans="2:12">
      <c r="B1248" s="208"/>
      <c r="C1248" s="204"/>
      <c r="D1248" s="204"/>
      <c r="E1248" s="204"/>
      <c r="F1248" s="204"/>
      <c r="G1248" s="204"/>
      <c r="H1248" s="558" t="s">
        <v>1223</v>
      </c>
      <c r="I1248" s="558"/>
      <c r="J1248" s="558"/>
      <c r="K1248" s="222">
        <f>K1246-K1249</f>
        <v>930.03866050000033</v>
      </c>
      <c r="L1248" s="207"/>
    </row>
    <row r="1249" spans="2:12">
      <c r="B1249" s="208"/>
      <c r="C1249" s="204"/>
      <c r="D1249" s="204"/>
      <c r="E1249" s="204"/>
      <c r="F1249" s="204"/>
      <c r="G1249" s="204"/>
      <c r="H1249" s="558" t="s">
        <v>1579</v>
      </c>
      <c r="I1249" s="558"/>
      <c r="J1249" s="558"/>
      <c r="K1249" s="222">
        <f>TRUNC(SUMIF(C1237:C1245,H1249,K1237:K1245),2)</f>
        <v>979.04</v>
      </c>
      <c r="L1249" s="207"/>
    </row>
    <row r="1250" spans="2:12">
      <c r="B1250" s="213"/>
      <c r="C1250" s="214"/>
      <c r="D1250" s="214"/>
      <c r="E1250" s="214"/>
      <c r="F1250" s="214"/>
      <c r="G1250" s="214"/>
      <c r="H1250" s="559" t="s">
        <v>1224</v>
      </c>
      <c r="I1250" s="559"/>
      <c r="J1250" s="559"/>
      <c r="K1250" s="223">
        <f>IF(K1246&gt;K1247,K1246-K1247,0)</f>
        <v>0</v>
      </c>
      <c r="L1250" s="209"/>
    </row>
    <row r="1252" spans="2:12">
      <c r="B1252" s="247" t="s">
        <v>254</v>
      </c>
      <c r="C1252" s="565" t="str">
        <f>VLOOKUP(B1252,'BM 004'!$B$27:$R$590,2,0)</f>
        <v xml:space="preserve">Concreto simples usinado fck=35mpa, bombeado, lançado e adensado em superestrutura </v>
      </c>
      <c r="D1252" s="565"/>
      <c r="E1252" s="565"/>
      <c r="F1252" s="565"/>
      <c r="G1252" s="565"/>
      <c r="H1252" s="565"/>
      <c r="I1252" s="565"/>
      <c r="J1252" s="565"/>
      <c r="K1252" s="565"/>
      <c r="L1252" s="565"/>
    </row>
    <row r="1253" spans="2:12">
      <c r="B1253" s="248" t="s">
        <v>1209</v>
      </c>
      <c r="C1253" s="248"/>
      <c r="D1253" s="248" t="s">
        <v>39</v>
      </c>
      <c r="E1253" s="248" t="s">
        <v>1210</v>
      </c>
      <c r="F1253" s="248" t="s">
        <v>1388</v>
      </c>
      <c r="G1253" s="248" t="s">
        <v>1212</v>
      </c>
      <c r="H1253" s="248" t="s">
        <v>1213</v>
      </c>
      <c r="I1253" s="248" t="s">
        <v>1214</v>
      </c>
      <c r="J1253" s="248" t="s">
        <v>1385</v>
      </c>
      <c r="K1253" s="248" t="s">
        <v>1216</v>
      </c>
      <c r="L1253" s="248" t="s">
        <v>1217</v>
      </c>
    </row>
    <row r="1254" spans="2:12">
      <c r="B1254" s="255" t="s">
        <v>1501</v>
      </c>
      <c r="C1254" s="250" t="s">
        <v>1441</v>
      </c>
      <c r="D1254" s="205" t="s">
        <v>169</v>
      </c>
      <c r="E1254" s="251">
        <v>1</v>
      </c>
      <c r="F1254" s="252">
        <v>7</v>
      </c>
      <c r="G1254" s="251">
        <v>5.91</v>
      </c>
      <c r="H1254" s="251">
        <v>0.3</v>
      </c>
      <c r="I1254" s="251"/>
      <c r="J1254" s="253">
        <v>6.3423999999999996</v>
      </c>
      <c r="K1254" s="254">
        <f t="shared" ref="K1254:K1297" si="42">IF(E1254*F1254*G1254&lt;&gt;0,E1254*F1254*G1254,IF(E1254*F1254&lt;&gt;0,E1254*F1254,IF(F1254*G1254&lt;&gt;0,F1254*G1254,IF(E1254*G1254&lt;&gt;0,E1254*G1254,IF(E1254&lt;&gt;0,E1254,IF(F1254&lt;&gt;0,F1254,IF(G1254&lt;&gt;0,G1254,0)))))))*(IF(H1254&lt;&gt;0,H1254,1))+I1254-J1254</f>
        <v>6.0686000000000018</v>
      </c>
      <c r="L1254" s="255" t="s">
        <v>1518</v>
      </c>
    </row>
    <row r="1255" spans="2:12">
      <c r="B1255" s="255" t="s">
        <v>1502</v>
      </c>
      <c r="C1255" s="250" t="s">
        <v>1441</v>
      </c>
      <c r="D1255" s="205" t="s">
        <v>169</v>
      </c>
      <c r="E1255" s="251">
        <v>1</v>
      </c>
      <c r="F1255" s="252">
        <v>13.72</v>
      </c>
      <c r="G1255" s="251">
        <v>5.91</v>
      </c>
      <c r="H1255" s="251">
        <v>0.3</v>
      </c>
      <c r="I1255" s="251"/>
      <c r="J1255" s="253">
        <v>12.56235</v>
      </c>
      <c r="K1255" s="254">
        <f t="shared" si="42"/>
        <v>11.763209999999999</v>
      </c>
      <c r="L1255" s="255" t="s">
        <v>1518</v>
      </c>
    </row>
    <row r="1256" spans="2:12">
      <c r="B1256" s="255" t="s">
        <v>1503</v>
      </c>
      <c r="C1256" s="250" t="s">
        <v>1441</v>
      </c>
      <c r="D1256" s="205" t="s">
        <v>169</v>
      </c>
      <c r="E1256" s="251">
        <v>1</v>
      </c>
      <c r="F1256" s="252">
        <v>14.35</v>
      </c>
      <c r="G1256" s="251">
        <v>3.73</v>
      </c>
      <c r="H1256" s="251">
        <v>0.25</v>
      </c>
      <c r="I1256" s="251"/>
      <c r="J1256" s="253">
        <v>6.8421599999999998</v>
      </c>
      <c r="K1256" s="254">
        <f t="shared" si="42"/>
        <v>6.5392150000000004</v>
      </c>
      <c r="L1256" s="255" t="s">
        <v>1519</v>
      </c>
    </row>
    <row r="1257" spans="2:12">
      <c r="B1257" s="255" t="s">
        <v>1504</v>
      </c>
      <c r="C1257" s="250" t="s">
        <v>1441</v>
      </c>
      <c r="D1257" s="205" t="s">
        <v>169</v>
      </c>
      <c r="E1257" s="251">
        <v>1</v>
      </c>
      <c r="F1257" s="252">
        <v>6.49</v>
      </c>
      <c r="G1257" s="251">
        <v>3.73</v>
      </c>
      <c r="H1257" s="251">
        <v>0.25</v>
      </c>
      <c r="I1257" s="251"/>
      <c r="J1257" s="253">
        <v>2.8173599999999999</v>
      </c>
      <c r="K1257" s="254">
        <f t="shared" si="42"/>
        <v>3.2345649999999999</v>
      </c>
      <c r="L1257" s="255" t="s">
        <v>1519</v>
      </c>
    </row>
    <row r="1258" spans="2:12">
      <c r="B1258" s="255" t="s">
        <v>1505</v>
      </c>
      <c r="C1258" s="250" t="s">
        <v>1441</v>
      </c>
      <c r="D1258" s="205" t="s">
        <v>169</v>
      </c>
      <c r="E1258" s="251">
        <v>1</v>
      </c>
      <c r="F1258" s="252">
        <v>7.49</v>
      </c>
      <c r="G1258" s="251">
        <v>1.81</v>
      </c>
      <c r="H1258" s="251">
        <v>0.25</v>
      </c>
      <c r="I1258" s="251"/>
      <c r="J1258" s="253">
        <v>1.55844</v>
      </c>
      <c r="K1258" s="254">
        <f t="shared" si="42"/>
        <v>1.8307850000000001</v>
      </c>
      <c r="L1258" s="255" t="s">
        <v>1519</v>
      </c>
    </row>
    <row r="1259" spans="2:12">
      <c r="B1259" s="255" t="s">
        <v>1506</v>
      </c>
      <c r="C1259" s="250" t="s">
        <v>1441</v>
      </c>
      <c r="D1259" s="205" t="s">
        <v>169</v>
      </c>
      <c r="E1259" s="251">
        <v>1</v>
      </c>
      <c r="F1259" s="252">
        <v>7.1</v>
      </c>
      <c r="G1259" s="251">
        <v>1.81</v>
      </c>
      <c r="H1259" s="251">
        <v>0.25</v>
      </c>
      <c r="I1259" s="251"/>
      <c r="J1259" s="253">
        <v>1.3852800000000001</v>
      </c>
      <c r="K1259" s="254">
        <f t="shared" si="42"/>
        <v>1.8274699999999997</v>
      </c>
      <c r="L1259" s="255" t="s">
        <v>1519</v>
      </c>
    </row>
    <row r="1260" spans="2:12">
      <c r="B1260" s="255" t="s">
        <v>1507</v>
      </c>
      <c r="C1260" s="250" t="s">
        <v>1441</v>
      </c>
      <c r="D1260" s="205" t="s">
        <v>169</v>
      </c>
      <c r="E1260" s="251">
        <v>1</v>
      </c>
      <c r="F1260" s="252">
        <v>7.05</v>
      </c>
      <c r="G1260" s="251">
        <v>1.81</v>
      </c>
      <c r="H1260" s="251">
        <v>0.25</v>
      </c>
      <c r="I1260" s="251"/>
      <c r="J1260" s="253">
        <v>1.3852800000000001</v>
      </c>
      <c r="K1260" s="254">
        <f t="shared" si="42"/>
        <v>1.804845</v>
      </c>
      <c r="L1260" s="255" t="s">
        <v>1519</v>
      </c>
    </row>
    <row r="1261" spans="2:12">
      <c r="B1261" s="255" t="s">
        <v>1508</v>
      </c>
      <c r="C1261" s="250" t="s">
        <v>1441</v>
      </c>
      <c r="D1261" s="205" t="s">
        <v>169</v>
      </c>
      <c r="E1261" s="251">
        <v>1</v>
      </c>
      <c r="F1261" s="252">
        <v>22.04</v>
      </c>
      <c r="G1261" s="251">
        <v>5.8</v>
      </c>
      <c r="H1261" s="251">
        <v>0.25</v>
      </c>
      <c r="I1261" s="251"/>
      <c r="J1261" s="253">
        <v>16.595279999999999</v>
      </c>
      <c r="K1261" s="254">
        <f t="shared" si="42"/>
        <v>15.362719999999999</v>
      </c>
      <c r="L1261" s="255" t="s">
        <v>1519</v>
      </c>
    </row>
    <row r="1262" spans="2:12">
      <c r="B1262" s="255" t="s">
        <v>1509</v>
      </c>
      <c r="C1262" s="250" t="s">
        <v>1441</v>
      </c>
      <c r="D1262" s="205" t="s">
        <v>169</v>
      </c>
      <c r="E1262" s="251">
        <v>1</v>
      </c>
      <c r="F1262" s="252">
        <v>22.04</v>
      </c>
      <c r="G1262" s="251">
        <v>5.69</v>
      </c>
      <c r="H1262" s="251">
        <v>0.25</v>
      </c>
      <c r="I1262" s="251"/>
      <c r="J1262" s="253">
        <v>15.54228</v>
      </c>
      <c r="K1262" s="254">
        <f t="shared" si="42"/>
        <v>15.809620000000001</v>
      </c>
      <c r="L1262" s="255" t="s">
        <v>1519</v>
      </c>
    </row>
    <row r="1263" spans="2:12">
      <c r="B1263" s="255" t="s">
        <v>1496</v>
      </c>
      <c r="C1263" s="250" t="s">
        <v>1441</v>
      </c>
      <c r="D1263" s="205" t="s">
        <v>169</v>
      </c>
      <c r="E1263" s="251">
        <v>1</v>
      </c>
      <c r="F1263" s="252">
        <v>5.85</v>
      </c>
      <c r="G1263" s="251">
        <v>0.49</v>
      </c>
      <c r="H1263" s="251">
        <v>0.12</v>
      </c>
      <c r="I1263" s="251"/>
      <c r="J1263" s="253"/>
      <c r="K1263" s="254">
        <f t="shared" si="42"/>
        <v>0.34397999999999995</v>
      </c>
      <c r="L1263" s="255"/>
    </row>
    <row r="1264" spans="2:12">
      <c r="B1264" s="255" t="s">
        <v>1497</v>
      </c>
      <c r="C1264" s="250" t="s">
        <v>1441</v>
      </c>
      <c r="D1264" s="205" t="s">
        <v>169</v>
      </c>
      <c r="E1264" s="251">
        <v>1</v>
      </c>
      <c r="F1264" s="252">
        <v>3.83</v>
      </c>
      <c r="G1264" s="251">
        <v>0.49</v>
      </c>
      <c r="H1264" s="251">
        <v>0.12</v>
      </c>
      <c r="I1264" s="251"/>
      <c r="J1264" s="253"/>
      <c r="K1264" s="254">
        <f t="shared" si="42"/>
        <v>0.22520399999999999</v>
      </c>
      <c r="L1264" s="255"/>
    </row>
    <row r="1265" spans="2:12">
      <c r="B1265" s="255" t="s">
        <v>1498</v>
      </c>
      <c r="C1265" s="250" t="s">
        <v>1441</v>
      </c>
      <c r="D1265" s="205" t="s">
        <v>169</v>
      </c>
      <c r="E1265" s="251">
        <v>1</v>
      </c>
      <c r="F1265" s="252">
        <v>5.93</v>
      </c>
      <c r="G1265" s="251">
        <v>1.92</v>
      </c>
      <c r="H1265" s="251">
        <v>0.15</v>
      </c>
      <c r="I1265" s="251"/>
      <c r="J1265" s="253"/>
      <c r="K1265" s="254">
        <f t="shared" si="42"/>
        <v>1.7078399999999998</v>
      </c>
      <c r="L1265" s="255"/>
    </row>
    <row r="1266" spans="2:12">
      <c r="B1266" s="255" t="s">
        <v>1499</v>
      </c>
      <c r="C1266" s="250" t="s">
        <v>1441</v>
      </c>
      <c r="D1266" s="205" t="s">
        <v>169</v>
      </c>
      <c r="E1266" s="251">
        <v>1</v>
      </c>
      <c r="F1266" s="252">
        <v>7.62</v>
      </c>
      <c r="G1266" s="251">
        <v>1.92</v>
      </c>
      <c r="H1266" s="251">
        <v>0.15</v>
      </c>
      <c r="I1266" s="251"/>
      <c r="J1266" s="253"/>
      <c r="K1266" s="254">
        <f t="shared" si="42"/>
        <v>2.1945600000000001</v>
      </c>
      <c r="L1266" s="255"/>
    </row>
    <row r="1267" spans="2:12">
      <c r="B1267" s="255" t="s">
        <v>1500</v>
      </c>
      <c r="C1267" s="250" t="s">
        <v>1441</v>
      </c>
      <c r="D1267" s="205" t="s">
        <v>169</v>
      </c>
      <c r="E1267" s="251">
        <v>1</v>
      </c>
      <c r="F1267" s="252">
        <v>4.42</v>
      </c>
      <c r="G1267" s="251">
        <v>2.74</v>
      </c>
      <c r="H1267" s="251">
        <v>0.15</v>
      </c>
      <c r="I1267" s="251"/>
      <c r="J1267" s="253"/>
      <c r="K1267" s="254">
        <f t="shared" si="42"/>
        <v>1.8166200000000001</v>
      </c>
      <c r="L1267" s="255"/>
    </row>
    <row r="1268" spans="2:12">
      <c r="B1268" s="256" t="s">
        <v>1565</v>
      </c>
      <c r="C1268" s="250" t="s">
        <v>1521</v>
      </c>
      <c r="D1268" s="205" t="s">
        <v>169</v>
      </c>
      <c r="E1268" s="257">
        <v>1</v>
      </c>
      <c r="F1268" s="258">
        <v>12.39</v>
      </c>
      <c r="G1268" s="257">
        <v>2.5499999999999998</v>
      </c>
      <c r="H1268" s="257">
        <v>0.25</v>
      </c>
      <c r="I1268" s="257"/>
      <c r="J1268" s="259">
        <v>4.048476</v>
      </c>
      <c r="K1268" s="260">
        <f t="shared" si="42"/>
        <v>3.850149</v>
      </c>
      <c r="L1268" s="266" t="s">
        <v>1574</v>
      </c>
    </row>
    <row r="1269" spans="2:12">
      <c r="B1269" s="256" t="s">
        <v>1559</v>
      </c>
      <c r="C1269" s="250" t="s">
        <v>1521</v>
      </c>
      <c r="D1269" s="205" t="s">
        <v>169</v>
      </c>
      <c r="E1269" s="257">
        <v>1</v>
      </c>
      <c r="F1269" s="258">
        <v>1.68</v>
      </c>
      <c r="G1269" s="257">
        <v>0.33</v>
      </c>
      <c r="H1269" s="257">
        <v>0.15</v>
      </c>
      <c r="I1269" s="257"/>
      <c r="J1269" s="259">
        <v>0</v>
      </c>
      <c r="K1269" s="260">
        <f t="shared" si="42"/>
        <v>8.3159999999999998E-2</v>
      </c>
      <c r="L1269" s="266"/>
    </row>
    <row r="1270" spans="2:12">
      <c r="B1270" s="256" t="s">
        <v>1560</v>
      </c>
      <c r="C1270" s="250" t="s">
        <v>1521</v>
      </c>
      <c r="D1270" s="205" t="s">
        <v>169</v>
      </c>
      <c r="E1270" s="257">
        <v>1</v>
      </c>
      <c r="F1270" s="258">
        <v>7.67</v>
      </c>
      <c r="G1270" s="257">
        <v>0.33</v>
      </c>
      <c r="H1270" s="257">
        <v>0.15</v>
      </c>
      <c r="I1270" s="257"/>
      <c r="J1270" s="259">
        <v>0</v>
      </c>
      <c r="K1270" s="260">
        <f t="shared" si="42"/>
        <v>0.37966499999999997</v>
      </c>
      <c r="L1270" s="266"/>
    </row>
    <row r="1271" spans="2:12">
      <c r="B1271" s="256" t="s">
        <v>1561</v>
      </c>
      <c r="C1271" s="250" t="s">
        <v>1521</v>
      </c>
      <c r="D1271" s="205" t="s">
        <v>169</v>
      </c>
      <c r="E1271" s="257">
        <v>1</v>
      </c>
      <c r="F1271" s="258">
        <v>0.31</v>
      </c>
      <c r="G1271" s="257">
        <v>0.33</v>
      </c>
      <c r="H1271" s="257">
        <v>0.15</v>
      </c>
      <c r="I1271" s="257"/>
      <c r="J1271" s="259">
        <v>0</v>
      </c>
      <c r="K1271" s="260">
        <f t="shared" si="42"/>
        <v>1.5344999999999999E-2</v>
      </c>
      <c r="L1271" s="266"/>
    </row>
    <row r="1272" spans="2:12">
      <c r="B1272" s="256" t="s">
        <v>1566</v>
      </c>
      <c r="C1272" s="250" t="s">
        <v>1521</v>
      </c>
      <c r="D1272" s="205" t="s">
        <v>169</v>
      </c>
      <c r="E1272" s="257">
        <v>1</v>
      </c>
      <c r="F1272" s="258">
        <v>22.04</v>
      </c>
      <c r="G1272" s="257">
        <v>5.85</v>
      </c>
      <c r="H1272" s="257">
        <v>0.25</v>
      </c>
      <c r="I1272" s="257"/>
      <c r="J1272" s="259">
        <v>3.4898359999999999</v>
      </c>
      <c r="K1272" s="260">
        <f t="shared" si="42"/>
        <v>28.743663999999999</v>
      </c>
      <c r="L1272" s="266" t="s">
        <v>1574</v>
      </c>
    </row>
    <row r="1273" spans="2:12">
      <c r="B1273" s="256" t="s">
        <v>1567</v>
      </c>
      <c r="C1273" s="250" t="s">
        <v>1521</v>
      </c>
      <c r="D1273" s="205" t="s">
        <v>169</v>
      </c>
      <c r="E1273" s="257">
        <v>1</v>
      </c>
      <c r="F1273" s="258">
        <v>6.24</v>
      </c>
      <c r="G1273" s="257">
        <v>5.85</v>
      </c>
      <c r="H1273" s="257">
        <v>0.25</v>
      </c>
      <c r="I1273" s="257"/>
      <c r="J1273" s="259">
        <v>4.6484759999999996</v>
      </c>
      <c r="K1273" s="260">
        <f t="shared" si="42"/>
        <v>4.4775239999999998</v>
      </c>
      <c r="L1273" s="266" t="s">
        <v>1574</v>
      </c>
    </row>
    <row r="1274" spans="2:12">
      <c r="B1274" s="256" t="s">
        <v>1568</v>
      </c>
      <c r="C1274" s="250" t="s">
        <v>1521</v>
      </c>
      <c r="D1274" s="205" t="s">
        <v>169</v>
      </c>
      <c r="E1274" s="257">
        <v>1</v>
      </c>
      <c r="F1274" s="258">
        <v>6.34</v>
      </c>
      <c r="G1274" s="257">
        <v>3.83</v>
      </c>
      <c r="H1274" s="257">
        <v>0.25</v>
      </c>
      <c r="I1274" s="257"/>
      <c r="J1274" s="259">
        <v>2.6242380000000001</v>
      </c>
      <c r="K1274" s="260">
        <f t="shared" si="42"/>
        <v>3.4463119999999998</v>
      </c>
      <c r="L1274" s="266" t="s">
        <v>1574</v>
      </c>
    </row>
    <row r="1275" spans="2:12">
      <c r="B1275" s="256" t="s">
        <v>1569</v>
      </c>
      <c r="C1275" s="250" t="s">
        <v>1521</v>
      </c>
      <c r="D1275" s="205" t="s">
        <v>169</v>
      </c>
      <c r="E1275" s="257">
        <v>1</v>
      </c>
      <c r="F1275" s="258">
        <v>22.04</v>
      </c>
      <c r="G1275" s="257">
        <v>5.8</v>
      </c>
      <c r="H1275" s="257">
        <v>0.25</v>
      </c>
      <c r="I1275" s="257"/>
      <c r="J1275" s="259">
        <v>16.849836</v>
      </c>
      <c r="K1275" s="260">
        <f t="shared" si="42"/>
        <v>15.108163999999999</v>
      </c>
      <c r="L1275" s="266" t="s">
        <v>1574</v>
      </c>
    </row>
    <row r="1276" spans="2:12">
      <c r="B1276" s="256" t="s">
        <v>1570</v>
      </c>
      <c r="C1276" s="250" t="s">
        <v>1521</v>
      </c>
      <c r="D1276" s="205" t="s">
        <v>169</v>
      </c>
      <c r="E1276" s="257">
        <v>1</v>
      </c>
      <c r="F1276" s="258">
        <v>22.04</v>
      </c>
      <c r="G1276" s="257">
        <v>5.8</v>
      </c>
      <c r="H1276" s="257">
        <v>0.25</v>
      </c>
      <c r="I1276" s="257"/>
      <c r="J1276" s="259">
        <v>16.849836</v>
      </c>
      <c r="K1276" s="260">
        <f t="shared" si="42"/>
        <v>15.108163999999999</v>
      </c>
      <c r="L1276" s="266" t="s">
        <v>1574</v>
      </c>
    </row>
    <row r="1277" spans="2:12">
      <c r="B1277" s="256" t="s">
        <v>1562</v>
      </c>
      <c r="C1277" s="250" t="s">
        <v>1521</v>
      </c>
      <c r="D1277" s="205" t="s">
        <v>169</v>
      </c>
      <c r="E1277" s="257">
        <v>1</v>
      </c>
      <c r="F1277" s="258">
        <v>13.7</v>
      </c>
      <c r="G1277" s="257">
        <v>0.77</v>
      </c>
      <c r="H1277" s="257">
        <v>0.15</v>
      </c>
      <c r="I1277" s="257"/>
      <c r="J1277" s="259">
        <v>0</v>
      </c>
      <c r="K1277" s="260">
        <f t="shared" si="42"/>
        <v>1.5823499999999999</v>
      </c>
      <c r="L1277" s="266"/>
    </row>
    <row r="1278" spans="2:12">
      <c r="B1278" s="256" t="s">
        <v>1563</v>
      </c>
      <c r="C1278" s="250" t="s">
        <v>1521</v>
      </c>
      <c r="D1278" s="205" t="s">
        <v>169</v>
      </c>
      <c r="E1278" s="257">
        <v>1</v>
      </c>
      <c r="F1278" s="258">
        <v>13.7</v>
      </c>
      <c r="G1278" s="257">
        <v>1.77</v>
      </c>
      <c r="H1278" s="257">
        <v>0.15</v>
      </c>
      <c r="I1278" s="257"/>
      <c r="J1278" s="259">
        <v>0</v>
      </c>
      <c r="K1278" s="260">
        <f t="shared" si="42"/>
        <v>3.6373499999999996</v>
      </c>
      <c r="L1278" s="266"/>
    </row>
    <row r="1279" spans="2:12">
      <c r="B1279" s="256" t="s">
        <v>1571</v>
      </c>
      <c r="C1279" s="250" t="s">
        <v>1521</v>
      </c>
      <c r="D1279" s="205" t="s">
        <v>169</v>
      </c>
      <c r="E1279" s="257">
        <v>1</v>
      </c>
      <c r="F1279" s="258">
        <v>22.04</v>
      </c>
      <c r="G1279" s="257">
        <v>5.69</v>
      </c>
      <c r="H1279" s="257">
        <v>0.25</v>
      </c>
      <c r="I1279" s="257"/>
      <c r="J1279" s="259">
        <v>15.769836</v>
      </c>
      <c r="K1279" s="260">
        <f t="shared" si="42"/>
        <v>15.582064000000001</v>
      </c>
      <c r="L1279" s="266" t="s">
        <v>1574</v>
      </c>
    </row>
    <row r="1280" spans="2:12">
      <c r="B1280" s="256" t="s">
        <v>1564</v>
      </c>
      <c r="C1280" s="250" t="s">
        <v>1521</v>
      </c>
      <c r="D1280" s="205" t="s">
        <v>169</v>
      </c>
      <c r="E1280" s="257">
        <v>1</v>
      </c>
      <c r="F1280" s="258">
        <v>3.45</v>
      </c>
      <c r="G1280" s="257">
        <v>2.74</v>
      </c>
      <c r="H1280" s="257">
        <v>0.15</v>
      </c>
      <c r="I1280" s="257"/>
      <c r="J1280" s="259"/>
      <c r="K1280" s="260">
        <f t="shared" si="42"/>
        <v>1.41795</v>
      </c>
      <c r="L1280" s="266"/>
    </row>
    <row r="1281" spans="2:12">
      <c r="B1281" s="256" t="s">
        <v>1688</v>
      </c>
      <c r="C1281" s="250" t="s">
        <v>1611</v>
      </c>
      <c r="D1281" s="205" t="s">
        <v>169</v>
      </c>
      <c r="E1281" s="257">
        <v>4.58</v>
      </c>
      <c r="F1281" s="258">
        <v>1.92</v>
      </c>
      <c r="G1281" s="257">
        <v>0.15</v>
      </c>
      <c r="H1281" s="257">
        <v>1</v>
      </c>
      <c r="I1281" s="257"/>
      <c r="J1281" s="259"/>
      <c r="K1281" s="260">
        <f t="shared" si="42"/>
        <v>1.31904</v>
      </c>
      <c r="L1281" s="266"/>
    </row>
    <row r="1282" spans="2:12">
      <c r="B1282" s="256" t="s">
        <v>1689</v>
      </c>
      <c r="C1282" s="250" t="s">
        <v>1611</v>
      </c>
      <c r="D1282" s="205" t="s">
        <v>169</v>
      </c>
      <c r="E1282" s="257">
        <v>25.45</v>
      </c>
      <c r="F1282" s="258">
        <v>6.84</v>
      </c>
      <c r="G1282" s="257">
        <v>0.3</v>
      </c>
      <c r="H1282" s="257">
        <v>1</v>
      </c>
      <c r="I1282" s="257"/>
      <c r="J1282" s="259">
        <v>27.54</v>
      </c>
      <c r="K1282" s="260">
        <f t="shared" si="42"/>
        <v>24.683399999999999</v>
      </c>
      <c r="L1282" s="266"/>
    </row>
    <row r="1283" spans="2:12">
      <c r="B1283" s="256" t="s">
        <v>1690</v>
      </c>
      <c r="C1283" s="250" t="s">
        <v>1611</v>
      </c>
      <c r="D1283" s="205" t="s">
        <v>169</v>
      </c>
      <c r="E1283" s="257">
        <v>1.92</v>
      </c>
      <c r="F1283" s="258">
        <v>1.38</v>
      </c>
      <c r="G1283" s="257">
        <v>0.15</v>
      </c>
      <c r="H1283" s="257">
        <v>1</v>
      </c>
      <c r="I1283" s="257"/>
      <c r="J1283" s="259">
        <v>0</v>
      </c>
      <c r="K1283" s="260">
        <f t="shared" si="42"/>
        <v>0.3974399999999999</v>
      </c>
      <c r="L1283" s="266"/>
    </row>
    <row r="1284" spans="2:12">
      <c r="B1284" s="256" t="s">
        <v>1691</v>
      </c>
      <c r="C1284" s="250" t="s">
        <v>1611</v>
      </c>
      <c r="D1284" s="205" t="s">
        <v>169</v>
      </c>
      <c r="E1284" s="257">
        <v>0.81</v>
      </c>
      <c r="F1284" s="258">
        <v>1.99</v>
      </c>
      <c r="G1284" s="257">
        <v>0.15</v>
      </c>
      <c r="H1284" s="257">
        <v>1</v>
      </c>
      <c r="I1284" s="257"/>
      <c r="J1284" s="259">
        <v>0</v>
      </c>
      <c r="K1284" s="260">
        <f t="shared" si="42"/>
        <v>0.241785</v>
      </c>
      <c r="L1284" s="266"/>
    </row>
    <row r="1285" spans="2:12">
      <c r="B1285" s="256" t="s">
        <v>1692</v>
      </c>
      <c r="C1285" s="250" t="s">
        <v>1611</v>
      </c>
      <c r="D1285" s="205" t="s">
        <v>169</v>
      </c>
      <c r="E1285" s="257">
        <v>17.421875</v>
      </c>
      <c r="F1285" s="258">
        <v>2.56</v>
      </c>
      <c r="G1285" s="257">
        <v>0.12</v>
      </c>
      <c r="H1285" s="257">
        <v>1</v>
      </c>
      <c r="I1285" s="257"/>
      <c r="J1285" s="259">
        <v>0</v>
      </c>
      <c r="K1285" s="260">
        <f t="shared" si="42"/>
        <v>5.3520000000000003</v>
      </c>
      <c r="L1285" s="266"/>
    </row>
    <row r="1286" spans="2:12">
      <c r="B1286" s="256" t="s">
        <v>1693</v>
      </c>
      <c r="C1286" s="250" t="s">
        <v>1611</v>
      </c>
      <c r="D1286" s="205" t="s">
        <v>169</v>
      </c>
      <c r="E1286" s="257">
        <v>3.94</v>
      </c>
      <c r="F1286" s="258">
        <v>3.82</v>
      </c>
      <c r="G1286" s="257">
        <v>0.25</v>
      </c>
      <c r="H1286" s="257">
        <v>1</v>
      </c>
      <c r="I1286" s="257"/>
      <c r="J1286" s="259">
        <v>1.71</v>
      </c>
      <c r="K1286" s="260">
        <f t="shared" si="42"/>
        <v>2.0526999999999997</v>
      </c>
      <c r="L1286" s="266"/>
    </row>
    <row r="1287" spans="2:12">
      <c r="B1287" s="256" t="s">
        <v>1694</v>
      </c>
      <c r="C1287" s="250" t="s">
        <v>1611</v>
      </c>
      <c r="D1287" s="205" t="s">
        <v>169</v>
      </c>
      <c r="E1287" s="257">
        <v>6.13</v>
      </c>
      <c r="F1287" s="258">
        <v>3.82</v>
      </c>
      <c r="G1287" s="257">
        <v>0.25</v>
      </c>
      <c r="H1287" s="257">
        <v>1</v>
      </c>
      <c r="I1287" s="257"/>
      <c r="J1287" s="259">
        <v>2.72</v>
      </c>
      <c r="K1287" s="260">
        <f t="shared" si="42"/>
        <v>3.1341499999999995</v>
      </c>
      <c r="L1287" s="266"/>
    </row>
    <row r="1288" spans="2:12">
      <c r="B1288" s="256" t="s">
        <v>1695</v>
      </c>
      <c r="C1288" s="250" t="s">
        <v>1611</v>
      </c>
      <c r="D1288" s="205" t="s">
        <v>169</v>
      </c>
      <c r="E1288" s="257">
        <v>16.71</v>
      </c>
      <c r="F1288" s="258">
        <v>4.9000000000000004</v>
      </c>
      <c r="G1288" s="257">
        <v>0.3</v>
      </c>
      <c r="H1288" s="257">
        <v>1</v>
      </c>
      <c r="I1288" s="257"/>
      <c r="J1288" s="259">
        <v>13.52</v>
      </c>
      <c r="K1288" s="260">
        <f t="shared" si="42"/>
        <v>11.043700000000001</v>
      </c>
      <c r="L1288" s="266"/>
    </row>
    <row r="1289" spans="2:12">
      <c r="B1289" s="256" t="s">
        <v>1696</v>
      </c>
      <c r="C1289" s="250" t="s">
        <v>1611</v>
      </c>
      <c r="D1289" s="205" t="s">
        <v>169</v>
      </c>
      <c r="E1289" s="257">
        <v>9.09</v>
      </c>
      <c r="F1289" s="258">
        <v>2.91</v>
      </c>
      <c r="G1289" s="257">
        <v>0.12</v>
      </c>
      <c r="H1289" s="257">
        <v>1</v>
      </c>
      <c r="I1289" s="257"/>
      <c r="J1289" s="259">
        <v>0</v>
      </c>
      <c r="K1289" s="260">
        <f t="shared" si="42"/>
        <v>3.1742280000000003</v>
      </c>
      <c r="L1289" s="266"/>
    </row>
    <row r="1290" spans="2:12">
      <c r="B1290" s="256" t="s">
        <v>1697</v>
      </c>
      <c r="C1290" s="250" t="s">
        <v>1611</v>
      </c>
      <c r="D1290" s="205" t="s">
        <v>169</v>
      </c>
      <c r="E1290" s="257">
        <v>7.0864197530864201</v>
      </c>
      <c r="F1290" s="258">
        <v>3.24</v>
      </c>
      <c r="G1290" s="257">
        <v>0.15</v>
      </c>
      <c r="H1290" s="257">
        <v>1</v>
      </c>
      <c r="I1290" s="257"/>
      <c r="J1290" s="259">
        <v>0</v>
      </c>
      <c r="K1290" s="260">
        <f t="shared" si="42"/>
        <v>3.4440000000000004</v>
      </c>
      <c r="L1290" s="266"/>
    </row>
    <row r="1291" spans="2:12">
      <c r="B1291" s="256" t="s">
        <v>1698</v>
      </c>
      <c r="C1291" s="250" t="s">
        <v>1611</v>
      </c>
      <c r="D1291" s="205" t="s">
        <v>169</v>
      </c>
      <c r="E1291" s="257">
        <v>10.119999999999999</v>
      </c>
      <c r="F1291" s="258">
        <v>4.1500000000000004</v>
      </c>
      <c r="G1291" s="257">
        <v>0.25</v>
      </c>
      <c r="H1291" s="257">
        <v>1</v>
      </c>
      <c r="I1291" s="257"/>
      <c r="J1291" s="259">
        <v>5.29</v>
      </c>
      <c r="K1291" s="260">
        <f t="shared" si="42"/>
        <v>5.2094999999999994</v>
      </c>
      <c r="L1291" s="266"/>
    </row>
    <row r="1292" spans="2:12">
      <c r="B1292" s="256" t="s">
        <v>1699</v>
      </c>
      <c r="C1292" s="250" t="s">
        <v>1611</v>
      </c>
      <c r="D1292" s="205" t="s">
        <v>169</v>
      </c>
      <c r="E1292" s="257">
        <v>9.09</v>
      </c>
      <c r="F1292" s="258">
        <v>9.4</v>
      </c>
      <c r="G1292" s="257">
        <v>0.35</v>
      </c>
      <c r="H1292" s="257">
        <v>1</v>
      </c>
      <c r="I1292" s="257"/>
      <c r="J1292" s="259">
        <v>15.35</v>
      </c>
      <c r="K1292" s="260">
        <f t="shared" si="42"/>
        <v>14.556099999999999</v>
      </c>
      <c r="L1292" s="266"/>
    </row>
    <row r="1293" spans="2:12">
      <c r="B1293" s="256" t="s">
        <v>1700</v>
      </c>
      <c r="C1293" s="250" t="s">
        <v>1611</v>
      </c>
      <c r="D1293" s="205" t="s">
        <v>169</v>
      </c>
      <c r="E1293" s="257">
        <v>11.23</v>
      </c>
      <c r="F1293" s="258">
        <v>9.4</v>
      </c>
      <c r="G1293" s="257">
        <v>0.35</v>
      </c>
      <c r="H1293" s="257">
        <v>1</v>
      </c>
      <c r="I1293" s="257"/>
      <c r="J1293" s="259">
        <v>18.670000000000002</v>
      </c>
      <c r="K1293" s="260">
        <f t="shared" si="42"/>
        <v>18.276699999999998</v>
      </c>
      <c r="L1293" s="266"/>
    </row>
    <row r="1294" spans="2:12">
      <c r="B1294" s="256" t="s">
        <v>1701</v>
      </c>
      <c r="C1294" s="250" t="s">
        <v>1611</v>
      </c>
      <c r="D1294" s="205" t="s">
        <v>169</v>
      </c>
      <c r="E1294" s="257">
        <v>7.2202127659574504</v>
      </c>
      <c r="F1294" s="258">
        <v>9.4</v>
      </c>
      <c r="G1294" s="257">
        <v>0.18</v>
      </c>
      <c r="H1294" s="257">
        <v>1</v>
      </c>
      <c r="I1294" s="257"/>
      <c r="J1294" s="259">
        <v>0</v>
      </c>
      <c r="K1294" s="260">
        <f t="shared" si="42"/>
        <v>12.216600000000005</v>
      </c>
      <c r="L1294" s="266"/>
    </row>
    <row r="1295" spans="2:12">
      <c r="B1295" s="256" t="s">
        <v>1702</v>
      </c>
      <c r="C1295" s="250" t="s">
        <v>1611</v>
      </c>
      <c r="D1295" s="205" t="s">
        <v>169</v>
      </c>
      <c r="E1295" s="257">
        <v>10.119999999999999</v>
      </c>
      <c r="F1295" s="258">
        <v>5.05</v>
      </c>
      <c r="G1295" s="257">
        <v>0.25</v>
      </c>
      <c r="H1295" s="257">
        <v>1</v>
      </c>
      <c r="I1295" s="257"/>
      <c r="J1295" s="259">
        <v>6.31</v>
      </c>
      <c r="K1295" s="260">
        <f t="shared" si="42"/>
        <v>6.466499999999999</v>
      </c>
      <c r="L1295" s="266"/>
    </row>
    <row r="1296" spans="2:12">
      <c r="B1296" s="256"/>
      <c r="C1296" s="250" t="s">
        <v>1611</v>
      </c>
      <c r="D1296" s="205" t="s">
        <v>169</v>
      </c>
      <c r="E1296" s="257"/>
      <c r="F1296" s="258"/>
      <c r="G1296" s="257"/>
      <c r="H1296" s="257"/>
      <c r="I1296" s="257"/>
      <c r="J1296" s="259">
        <v>0</v>
      </c>
      <c r="K1296" s="260">
        <f t="shared" si="42"/>
        <v>0</v>
      </c>
      <c r="L1296" s="266"/>
    </row>
    <row r="1297" spans="2:12">
      <c r="B1297" s="256"/>
      <c r="C1297" s="210"/>
      <c r="D1297" s="210"/>
      <c r="E1297" s="257"/>
      <c r="F1297" s="258"/>
      <c r="G1297" s="257"/>
      <c r="H1297" s="257"/>
      <c r="I1297" s="257"/>
      <c r="J1297" s="259"/>
      <c r="K1297" s="260">
        <f t="shared" si="42"/>
        <v>0</v>
      </c>
      <c r="L1297" s="210"/>
    </row>
    <row r="1298" spans="2:12">
      <c r="B1298" s="202"/>
      <c r="C1298" s="203"/>
      <c r="D1298" s="203"/>
      <c r="E1298" s="203"/>
      <c r="F1298" s="203"/>
      <c r="G1298" s="203"/>
      <c r="H1298" s="204"/>
      <c r="I1298" s="556" t="s">
        <v>1221</v>
      </c>
      <c r="J1298" s="556"/>
      <c r="K1298" s="220">
        <f>SUM(K1254:K1297)</f>
        <v>275.52893799999998</v>
      </c>
      <c r="L1298" s="207"/>
    </row>
    <row r="1299" spans="2:12">
      <c r="B1299" s="208"/>
      <c r="C1299" s="204"/>
      <c r="D1299" s="204"/>
      <c r="E1299" s="204"/>
      <c r="F1299" s="204"/>
      <c r="G1299" s="204"/>
      <c r="H1299" s="209"/>
      <c r="I1299" s="557" t="s">
        <v>1222</v>
      </c>
      <c r="J1299" s="557"/>
      <c r="K1299" s="221">
        <f>VLOOKUP(B1252,'BM 004'!$B$27:$R$590,4,0)</f>
        <v>803.99</v>
      </c>
      <c r="L1299" s="246"/>
    </row>
    <row r="1300" spans="2:12">
      <c r="B1300" s="208"/>
      <c r="C1300" s="204"/>
      <c r="D1300" s="204"/>
      <c r="E1300" s="204"/>
      <c r="F1300" s="204"/>
      <c r="G1300" s="204"/>
      <c r="H1300" s="558" t="s">
        <v>1223</v>
      </c>
      <c r="I1300" s="558"/>
      <c r="J1300" s="558"/>
      <c r="K1300" s="222">
        <v>163.961095</v>
      </c>
      <c r="L1300" s="207"/>
    </row>
    <row r="1301" spans="2:12">
      <c r="B1301" s="208"/>
      <c r="C1301" s="204"/>
      <c r="D1301" s="204"/>
      <c r="E1301" s="204"/>
      <c r="F1301" s="204"/>
      <c r="G1301" s="204"/>
      <c r="H1301" s="558" t="s">
        <v>1579</v>
      </c>
      <c r="I1301" s="558"/>
      <c r="J1301" s="558"/>
      <c r="K1301" s="222">
        <f>TRUNC(SUMIF(C1254:C1297,H1301,K1254:K1297),2)</f>
        <v>111.56</v>
      </c>
      <c r="L1301" s="207"/>
    </row>
    <row r="1302" spans="2:12">
      <c r="B1302" s="213"/>
      <c r="C1302" s="214"/>
      <c r="D1302" s="214"/>
      <c r="E1302" s="214"/>
      <c r="F1302" s="214"/>
      <c r="G1302" s="214"/>
      <c r="H1302" s="559" t="s">
        <v>1224</v>
      </c>
      <c r="I1302" s="559"/>
      <c r="J1302" s="559"/>
      <c r="K1302" s="223">
        <f>IF(K1298&gt;K1299,K1298-K1299,0)</f>
        <v>0</v>
      </c>
      <c r="L1302" s="209"/>
    </row>
    <row r="1304" spans="2:12">
      <c r="B1304" s="247" t="s">
        <v>664</v>
      </c>
      <c r="C1304" s="565" t="str">
        <f>VLOOKUP(B1304,'BM 004'!$B$27:$R$590,2,0)</f>
        <v xml:space="preserve">Tubo pvc rígido soldável marrom p/ água, d = 75 mm (2 1/2")	</v>
      </c>
      <c r="D1304" s="565"/>
      <c r="E1304" s="565"/>
      <c r="F1304" s="565"/>
      <c r="G1304" s="565"/>
      <c r="H1304" s="565"/>
      <c r="I1304" s="565"/>
      <c r="J1304" s="565"/>
      <c r="K1304" s="565"/>
      <c r="L1304" s="565"/>
    </row>
    <row r="1305" spans="2:12">
      <c r="B1305" s="248" t="s">
        <v>1209</v>
      </c>
      <c r="C1305" s="248"/>
      <c r="D1305" s="248" t="s">
        <v>39</v>
      </c>
      <c r="E1305" s="248" t="s">
        <v>1210</v>
      </c>
      <c r="F1305" s="248" t="s">
        <v>1388</v>
      </c>
      <c r="G1305" s="248" t="s">
        <v>1212</v>
      </c>
      <c r="H1305" s="248" t="s">
        <v>1213</v>
      </c>
      <c r="I1305" s="248" t="s">
        <v>1214</v>
      </c>
      <c r="J1305" s="248" t="s">
        <v>1385</v>
      </c>
      <c r="K1305" s="248" t="s">
        <v>1216</v>
      </c>
      <c r="L1305" s="248" t="s">
        <v>1217</v>
      </c>
    </row>
    <row r="1306" spans="2:12">
      <c r="B1306" s="256" t="s">
        <v>1575</v>
      </c>
      <c r="C1306" s="250" t="s">
        <v>1521</v>
      </c>
      <c r="D1306" s="205" t="s">
        <v>82</v>
      </c>
      <c r="E1306" s="257">
        <v>30</v>
      </c>
      <c r="F1306" s="258"/>
      <c r="G1306" s="257"/>
      <c r="H1306" s="257"/>
      <c r="I1306" s="257"/>
      <c r="J1306" s="259"/>
      <c r="K1306" s="260">
        <f>IF(E1306*F1306*G1306&lt;&gt;0,E1306*F1306*G1306,IF(E1306*F1306&lt;&gt;0,E1306*F1306,IF(F1306*G1306&lt;&gt;0,F1306*G1306,IF(E1306*G1306&lt;&gt;0,E1306*G1306,IF(E1306&lt;&gt;0,E1306,IF(F1306&lt;&gt;0,F1306,IF(G1306&lt;&gt;0,G1306,0)))))))*(IF(H1306&lt;&gt;0,H1306,1))+I1306-J1306</f>
        <v>30</v>
      </c>
      <c r="L1306" s="266"/>
    </row>
    <row r="1307" spans="2:12">
      <c r="B1307" s="256"/>
      <c r="C1307" s="210"/>
      <c r="D1307" s="210"/>
      <c r="E1307" s="257"/>
      <c r="F1307" s="258"/>
      <c r="G1307" s="257"/>
      <c r="H1307" s="257"/>
      <c r="I1307" s="257"/>
      <c r="J1307" s="259"/>
      <c r="K1307" s="260">
        <f>IF(E1307*F1307*G1307&lt;&gt;0,E1307*F1307*G1307,IF(E1307*F1307&lt;&gt;0,E1307*F1307,IF(F1307*G1307&lt;&gt;0,F1307*G1307,IF(E1307*G1307&lt;&gt;0,E1307*G1307,IF(E1307&lt;&gt;0,E1307,IF(F1307&lt;&gt;0,F1307,IF(G1307&lt;&gt;0,G1307,0)))))))*(IF(H1307&lt;&gt;0,H1307,1))+I1307-J1307</f>
        <v>0</v>
      </c>
      <c r="L1307" s="210"/>
    </row>
    <row r="1308" spans="2:12">
      <c r="B1308" s="202"/>
      <c r="C1308" s="203"/>
      <c r="D1308" s="203"/>
      <c r="E1308" s="203"/>
      <c r="F1308" s="203"/>
      <c r="G1308" s="203"/>
      <c r="H1308" s="204"/>
      <c r="I1308" s="556" t="s">
        <v>1221</v>
      </c>
      <c r="J1308" s="556"/>
      <c r="K1308" s="220">
        <f>SUM(K1306:K1307)</f>
        <v>30</v>
      </c>
      <c r="L1308" s="207"/>
    </row>
    <row r="1309" spans="2:12">
      <c r="B1309" s="208"/>
      <c r="C1309" s="204"/>
      <c r="D1309" s="204"/>
      <c r="E1309" s="204"/>
      <c r="F1309" s="204"/>
      <c r="G1309" s="204"/>
      <c r="H1309" s="209"/>
      <c r="I1309" s="557" t="s">
        <v>1222</v>
      </c>
      <c r="J1309" s="557"/>
      <c r="K1309" s="221">
        <f>VLOOKUP(B1304,'BM 004'!$B$27:$R$590,4,0)</f>
        <v>162.16999999999999</v>
      </c>
      <c r="L1309" s="246"/>
    </row>
    <row r="1310" spans="2:12">
      <c r="B1310" s="208"/>
      <c r="C1310" s="204"/>
      <c r="D1310" s="204"/>
      <c r="E1310" s="204"/>
      <c r="F1310" s="204"/>
      <c r="G1310" s="204"/>
      <c r="H1310" s="558" t="s">
        <v>1223</v>
      </c>
      <c r="I1310" s="558"/>
      <c r="J1310" s="558"/>
      <c r="K1310" s="222">
        <v>0</v>
      </c>
      <c r="L1310" s="207"/>
    </row>
    <row r="1311" spans="2:12">
      <c r="B1311" s="208"/>
      <c r="C1311" s="204"/>
      <c r="D1311" s="204"/>
      <c r="E1311" s="204"/>
      <c r="F1311" s="204"/>
      <c r="G1311" s="204"/>
      <c r="H1311" s="558" t="s">
        <v>1435</v>
      </c>
      <c r="I1311" s="558"/>
      <c r="J1311" s="558"/>
      <c r="K1311" s="222">
        <f>TRUNC(SUMIF(C1306:C1307,H1311,K1306:K1307),2)</f>
        <v>30</v>
      </c>
      <c r="L1311" s="207"/>
    </row>
    <row r="1312" spans="2:12">
      <c r="B1312" s="213"/>
      <c r="C1312" s="214"/>
      <c r="D1312" s="214"/>
      <c r="E1312" s="214"/>
      <c r="F1312" s="214"/>
      <c r="G1312" s="214"/>
      <c r="H1312" s="559" t="s">
        <v>1224</v>
      </c>
      <c r="I1312" s="559"/>
      <c r="J1312" s="559"/>
      <c r="K1312" s="223">
        <f>IF(K1308&gt;K1309,K1308-K1309,0)</f>
        <v>0</v>
      </c>
      <c r="L1312" s="209"/>
    </row>
  </sheetData>
  <mergeCells count="376">
    <mergeCell ref="H1302:J1302"/>
    <mergeCell ref="C1304:L1304"/>
    <mergeCell ref="I1308:J1308"/>
    <mergeCell ref="I1309:J1309"/>
    <mergeCell ref="H1310:J1310"/>
    <mergeCell ref="H1311:J1311"/>
    <mergeCell ref="H1312:J1312"/>
    <mergeCell ref="I1247:J1247"/>
    <mergeCell ref="H1248:J1248"/>
    <mergeCell ref="H1249:J1249"/>
    <mergeCell ref="H1250:J1250"/>
    <mergeCell ref="C1252:L1252"/>
    <mergeCell ref="I1298:J1298"/>
    <mergeCell ref="I1299:J1299"/>
    <mergeCell ref="H1300:J1300"/>
    <mergeCell ref="H1301:J1301"/>
    <mergeCell ref="H1215:J1215"/>
    <mergeCell ref="C1217:L1217"/>
    <mergeCell ref="I1229:J1229"/>
    <mergeCell ref="I1230:J1230"/>
    <mergeCell ref="H1231:J1231"/>
    <mergeCell ref="H1232:J1232"/>
    <mergeCell ref="H1233:J1233"/>
    <mergeCell ref="C1235:L1235"/>
    <mergeCell ref="I1246:J1246"/>
    <mergeCell ref="I1197:J1197"/>
    <mergeCell ref="H1198:J1198"/>
    <mergeCell ref="H1199:J1199"/>
    <mergeCell ref="H1200:J1200"/>
    <mergeCell ref="C1202:L1202"/>
    <mergeCell ref="I1211:J1211"/>
    <mergeCell ref="I1212:J1212"/>
    <mergeCell ref="H1213:J1213"/>
    <mergeCell ref="H1214:J1214"/>
    <mergeCell ref="H1165:J1165"/>
    <mergeCell ref="C1167:L1167"/>
    <mergeCell ref="I1179:J1179"/>
    <mergeCell ref="I1180:J1180"/>
    <mergeCell ref="H1181:J1181"/>
    <mergeCell ref="H1182:J1182"/>
    <mergeCell ref="H1183:J1183"/>
    <mergeCell ref="C1185:L1185"/>
    <mergeCell ref="I1196:J1196"/>
    <mergeCell ref="I1147:J1147"/>
    <mergeCell ref="H1148:J1148"/>
    <mergeCell ref="H1149:J1149"/>
    <mergeCell ref="H1150:J1150"/>
    <mergeCell ref="C1152:L1152"/>
    <mergeCell ref="I1161:J1161"/>
    <mergeCell ref="I1162:J1162"/>
    <mergeCell ref="H1163:J1163"/>
    <mergeCell ref="H1164:J1164"/>
    <mergeCell ref="H1097:J1097"/>
    <mergeCell ref="C1099:L1099"/>
    <mergeCell ref="I1127:J1127"/>
    <mergeCell ref="I1128:J1128"/>
    <mergeCell ref="H1129:J1129"/>
    <mergeCell ref="H1130:J1130"/>
    <mergeCell ref="H1131:J1131"/>
    <mergeCell ref="C1133:L1133"/>
    <mergeCell ref="I1146:J1146"/>
    <mergeCell ref="I1065:J1065"/>
    <mergeCell ref="H1066:J1066"/>
    <mergeCell ref="H1067:J1067"/>
    <mergeCell ref="H1068:J1068"/>
    <mergeCell ref="C1070:L1070"/>
    <mergeCell ref="I1093:J1093"/>
    <mergeCell ref="I1094:J1094"/>
    <mergeCell ref="H1095:J1095"/>
    <mergeCell ref="H1096:J1096"/>
    <mergeCell ref="H919:J919"/>
    <mergeCell ref="C921:L921"/>
    <mergeCell ref="I928:J928"/>
    <mergeCell ref="I929:J929"/>
    <mergeCell ref="H930:J930"/>
    <mergeCell ref="H931:J931"/>
    <mergeCell ref="H932:J932"/>
    <mergeCell ref="C934:L934"/>
    <mergeCell ref="I1064:J1064"/>
    <mergeCell ref="I903:J903"/>
    <mergeCell ref="H904:J904"/>
    <mergeCell ref="H905:J905"/>
    <mergeCell ref="H906:J906"/>
    <mergeCell ref="C908:L908"/>
    <mergeCell ref="I915:J915"/>
    <mergeCell ref="I916:J916"/>
    <mergeCell ref="H917:J917"/>
    <mergeCell ref="H918:J918"/>
    <mergeCell ref="H880:J880"/>
    <mergeCell ref="C882:L882"/>
    <mergeCell ref="I889:J889"/>
    <mergeCell ref="I890:J890"/>
    <mergeCell ref="H891:J891"/>
    <mergeCell ref="H892:J892"/>
    <mergeCell ref="H893:J893"/>
    <mergeCell ref="C895:L895"/>
    <mergeCell ref="I902:J902"/>
    <mergeCell ref="I864:J864"/>
    <mergeCell ref="H865:J865"/>
    <mergeCell ref="H866:J866"/>
    <mergeCell ref="H867:J867"/>
    <mergeCell ref="C869:L869"/>
    <mergeCell ref="I876:J876"/>
    <mergeCell ref="I877:J877"/>
    <mergeCell ref="H878:J878"/>
    <mergeCell ref="H879:J879"/>
    <mergeCell ref="H840:J840"/>
    <mergeCell ref="C842:L842"/>
    <mergeCell ref="I849:J849"/>
    <mergeCell ref="I850:J850"/>
    <mergeCell ref="H851:J851"/>
    <mergeCell ref="H852:J852"/>
    <mergeCell ref="H853:J853"/>
    <mergeCell ref="C855:L855"/>
    <mergeCell ref="I863:J863"/>
    <mergeCell ref="I824:J824"/>
    <mergeCell ref="H825:J825"/>
    <mergeCell ref="H826:J826"/>
    <mergeCell ref="H827:J827"/>
    <mergeCell ref="C829:L829"/>
    <mergeCell ref="I836:J836"/>
    <mergeCell ref="I837:J837"/>
    <mergeCell ref="H838:J838"/>
    <mergeCell ref="H839:J839"/>
    <mergeCell ref="H714:J714"/>
    <mergeCell ref="C716:L716"/>
    <mergeCell ref="I728:J728"/>
    <mergeCell ref="I729:J729"/>
    <mergeCell ref="H730:J730"/>
    <mergeCell ref="H731:J731"/>
    <mergeCell ref="H732:J732"/>
    <mergeCell ref="C734:L734"/>
    <mergeCell ref="I823:J823"/>
    <mergeCell ref="I693:J693"/>
    <mergeCell ref="H694:J694"/>
    <mergeCell ref="H695:J695"/>
    <mergeCell ref="H696:J696"/>
    <mergeCell ref="C698:L698"/>
    <mergeCell ref="I710:J710"/>
    <mergeCell ref="I711:J711"/>
    <mergeCell ref="H712:J712"/>
    <mergeCell ref="H713:J713"/>
    <mergeCell ref="H660:J660"/>
    <mergeCell ref="C662:L662"/>
    <mergeCell ref="I675:J675"/>
    <mergeCell ref="I676:J676"/>
    <mergeCell ref="H677:J677"/>
    <mergeCell ref="H678:J678"/>
    <mergeCell ref="H679:J679"/>
    <mergeCell ref="C681:L681"/>
    <mergeCell ref="I692:J692"/>
    <mergeCell ref="I640:J640"/>
    <mergeCell ref="H641:J641"/>
    <mergeCell ref="H642:J642"/>
    <mergeCell ref="H643:J643"/>
    <mergeCell ref="C645:L645"/>
    <mergeCell ref="I656:J656"/>
    <mergeCell ref="I657:J657"/>
    <mergeCell ref="H658:J658"/>
    <mergeCell ref="H659:J659"/>
    <mergeCell ref="H608:J608"/>
    <mergeCell ref="C610:L610"/>
    <mergeCell ref="I621:J621"/>
    <mergeCell ref="I622:J622"/>
    <mergeCell ref="H623:J623"/>
    <mergeCell ref="H624:J624"/>
    <mergeCell ref="H625:J625"/>
    <mergeCell ref="C627:L627"/>
    <mergeCell ref="I639:J639"/>
    <mergeCell ref="I587:J587"/>
    <mergeCell ref="H588:J588"/>
    <mergeCell ref="H589:J589"/>
    <mergeCell ref="H590:J590"/>
    <mergeCell ref="C592:L592"/>
    <mergeCell ref="I604:J604"/>
    <mergeCell ref="I605:J605"/>
    <mergeCell ref="H606:J606"/>
    <mergeCell ref="H607:J607"/>
    <mergeCell ref="H452:J452"/>
    <mergeCell ref="B454:L454"/>
    <mergeCell ref="I491:J491"/>
    <mergeCell ref="I492:J492"/>
    <mergeCell ref="H493:J493"/>
    <mergeCell ref="H494:J494"/>
    <mergeCell ref="H495:J495"/>
    <mergeCell ref="C497:L497"/>
    <mergeCell ref="I586:J586"/>
    <mergeCell ref="I438:J438"/>
    <mergeCell ref="H439:J439"/>
    <mergeCell ref="H440:J440"/>
    <mergeCell ref="H441:J441"/>
    <mergeCell ref="B443:L443"/>
    <mergeCell ref="I448:J448"/>
    <mergeCell ref="I449:J449"/>
    <mergeCell ref="H450:J450"/>
    <mergeCell ref="H451:J451"/>
    <mergeCell ref="H419:J419"/>
    <mergeCell ref="B421:L421"/>
    <mergeCell ref="I426:J426"/>
    <mergeCell ref="I427:J427"/>
    <mergeCell ref="H428:J428"/>
    <mergeCell ref="H429:J429"/>
    <mergeCell ref="H430:J430"/>
    <mergeCell ref="B432:L432"/>
    <mergeCell ref="I437:J437"/>
    <mergeCell ref="I405:J405"/>
    <mergeCell ref="H406:J406"/>
    <mergeCell ref="H407:J407"/>
    <mergeCell ref="H408:J408"/>
    <mergeCell ref="B410:L410"/>
    <mergeCell ref="I415:J415"/>
    <mergeCell ref="I416:J416"/>
    <mergeCell ref="H417:J417"/>
    <mergeCell ref="H418:J418"/>
    <mergeCell ref="H385:J385"/>
    <mergeCell ref="B387:L387"/>
    <mergeCell ref="I393:J393"/>
    <mergeCell ref="I394:J394"/>
    <mergeCell ref="H395:J395"/>
    <mergeCell ref="H396:J396"/>
    <mergeCell ref="H397:J397"/>
    <mergeCell ref="B399:L399"/>
    <mergeCell ref="I404:J404"/>
    <mergeCell ref="I328:J328"/>
    <mergeCell ref="H329:J329"/>
    <mergeCell ref="H330:J330"/>
    <mergeCell ref="H331:J331"/>
    <mergeCell ref="B333:L333"/>
    <mergeCell ref="I381:J381"/>
    <mergeCell ref="I382:J382"/>
    <mergeCell ref="H383:J383"/>
    <mergeCell ref="H384:J384"/>
    <mergeCell ref="H308:J308"/>
    <mergeCell ref="B310:L310"/>
    <mergeCell ref="I315:J315"/>
    <mergeCell ref="I316:J316"/>
    <mergeCell ref="H317:J317"/>
    <mergeCell ref="H318:J318"/>
    <mergeCell ref="H319:J319"/>
    <mergeCell ref="B321:L321"/>
    <mergeCell ref="I327:J327"/>
    <mergeCell ref="I294:J294"/>
    <mergeCell ref="H295:J295"/>
    <mergeCell ref="H296:J296"/>
    <mergeCell ref="H297:J297"/>
    <mergeCell ref="B299:L299"/>
    <mergeCell ref="I304:J304"/>
    <mergeCell ref="I305:J305"/>
    <mergeCell ref="H306:J306"/>
    <mergeCell ref="H307:J307"/>
    <mergeCell ref="H274:J274"/>
    <mergeCell ref="B276:L276"/>
    <mergeCell ref="I282:J282"/>
    <mergeCell ref="I283:J283"/>
    <mergeCell ref="H284:J284"/>
    <mergeCell ref="H285:J285"/>
    <mergeCell ref="H286:J286"/>
    <mergeCell ref="B288:L288"/>
    <mergeCell ref="I293:J293"/>
    <mergeCell ref="I260:J260"/>
    <mergeCell ref="H261:J261"/>
    <mergeCell ref="H262:J262"/>
    <mergeCell ref="H263:J263"/>
    <mergeCell ref="B265:L265"/>
    <mergeCell ref="I270:J270"/>
    <mergeCell ref="I271:J271"/>
    <mergeCell ref="H272:J272"/>
    <mergeCell ref="H273:J273"/>
    <mergeCell ref="H190:J190"/>
    <mergeCell ref="B192:L192"/>
    <mergeCell ref="I247:J247"/>
    <mergeCell ref="I248:J248"/>
    <mergeCell ref="H249:J249"/>
    <mergeCell ref="H250:J250"/>
    <mergeCell ref="H251:J251"/>
    <mergeCell ref="B253:L253"/>
    <mergeCell ref="I259:J259"/>
    <mergeCell ref="I176:J176"/>
    <mergeCell ref="H177:J177"/>
    <mergeCell ref="H178:J178"/>
    <mergeCell ref="H179:J179"/>
    <mergeCell ref="B181:L181"/>
    <mergeCell ref="I186:J186"/>
    <mergeCell ref="I187:J187"/>
    <mergeCell ref="H188:J188"/>
    <mergeCell ref="H189:J189"/>
    <mergeCell ref="H158:J158"/>
    <mergeCell ref="B160:L160"/>
    <mergeCell ref="I164:J164"/>
    <mergeCell ref="I165:J165"/>
    <mergeCell ref="H166:J166"/>
    <mergeCell ref="H167:J167"/>
    <mergeCell ref="H168:J168"/>
    <mergeCell ref="B170:L170"/>
    <mergeCell ref="I175:J175"/>
    <mergeCell ref="I145:J145"/>
    <mergeCell ref="H146:J146"/>
    <mergeCell ref="H147:J147"/>
    <mergeCell ref="H148:J148"/>
    <mergeCell ref="B150:L150"/>
    <mergeCell ref="I154:J154"/>
    <mergeCell ref="I155:J155"/>
    <mergeCell ref="H156:J156"/>
    <mergeCell ref="H157:J157"/>
    <mergeCell ref="H123:J123"/>
    <mergeCell ref="B125:L125"/>
    <mergeCell ref="I133:J133"/>
    <mergeCell ref="I134:J134"/>
    <mergeCell ref="H135:J135"/>
    <mergeCell ref="H136:J136"/>
    <mergeCell ref="H137:J137"/>
    <mergeCell ref="B139:L139"/>
    <mergeCell ref="I144:J144"/>
    <mergeCell ref="I106:J106"/>
    <mergeCell ref="H107:J107"/>
    <mergeCell ref="H108:J108"/>
    <mergeCell ref="H109:J109"/>
    <mergeCell ref="B111:L111"/>
    <mergeCell ref="I119:J119"/>
    <mergeCell ref="I120:J120"/>
    <mergeCell ref="H121:J121"/>
    <mergeCell ref="H122:J122"/>
    <mergeCell ref="H88:J88"/>
    <mergeCell ref="B90:L90"/>
    <mergeCell ref="I94:J94"/>
    <mergeCell ref="I95:J95"/>
    <mergeCell ref="H96:J96"/>
    <mergeCell ref="H97:J97"/>
    <mergeCell ref="H98:J98"/>
    <mergeCell ref="B100:L100"/>
    <mergeCell ref="I105:J105"/>
    <mergeCell ref="I75:J75"/>
    <mergeCell ref="H76:J76"/>
    <mergeCell ref="H77:J77"/>
    <mergeCell ref="H78:J78"/>
    <mergeCell ref="B80:L80"/>
    <mergeCell ref="I84:J84"/>
    <mergeCell ref="I85:J85"/>
    <mergeCell ref="H86:J86"/>
    <mergeCell ref="H87:J87"/>
    <mergeCell ref="H58:J58"/>
    <mergeCell ref="B60:L60"/>
    <mergeCell ref="I64:J64"/>
    <mergeCell ref="I65:J65"/>
    <mergeCell ref="H66:J66"/>
    <mergeCell ref="H67:J67"/>
    <mergeCell ref="H68:J68"/>
    <mergeCell ref="B70:L70"/>
    <mergeCell ref="I74:J74"/>
    <mergeCell ref="I45:J45"/>
    <mergeCell ref="H46:J46"/>
    <mergeCell ref="H47:J47"/>
    <mergeCell ref="H48:J48"/>
    <mergeCell ref="B50:L50"/>
    <mergeCell ref="I54:J54"/>
    <mergeCell ref="I55:J55"/>
    <mergeCell ref="H56:J56"/>
    <mergeCell ref="H57:J57"/>
    <mergeCell ref="H22:J22"/>
    <mergeCell ref="B24:L24"/>
    <mergeCell ref="I34:J34"/>
    <mergeCell ref="I35:J35"/>
    <mergeCell ref="H36:J36"/>
    <mergeCell ref="H37:J37"/>
    <mergeCell ref="H38:J38"/>
    <mergeCell ref="B40:L40"/>
    <mergeCell ref="I44:J44"/>
    <mergeCell ref="B2:L2"/>
    <mergeCell ref="B3:L3"/>
    <mergeCell ref="B4:L4"/>
    <mergeCell ref="B6:L6"/>
    <mergeCell ref="B8:L8"/>
    <mergeCell ref="I18:J18"/>
    <mergeCell ref="I19:J19"/>
    <mergeCell ref="H20:J20"/>
    <mergeCell ref="H21:J21"/>
  </mergeCells>
  <printOptions horizontalCentered="1"/>
  <pageMargins left="0.51180555555555596" right="0.51180555555555596" top="0.78749999999999998" bottom="0.98402777777777795" header="0.511811023622047" footer="0.511811023622047"/>
  <pageSetup paperSize="9" scale="54" fitToHeight="1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Y758"/>
  <sheetViews>
    <sheetView view="pageBreakPreview" topLeftCell="B99" zoomScale="75" zoomScaleNormal="70" zoomScalePageLayoutView="75" workbookViewId="0">
      <selection activeCell="G105" sqref="G105"/>
    </sheetView>
  </sheetViews>
  <sheetFormatPr defaultColWidth="9.109375" defaultRowHeight="14.4"/>
  <cols>
    <col min="1" max="1" width="3.6640625" style="2" hidden="1" customWidth="1"/>
    <col min="2" max="2" width="11.33203125" style="2" customWidth="1"/>
    <col min="3" max="3" width="40.33203125" style="2" customWidth="1"/>
    <col min="4" max="4" width="5.88671875" style="3" customWidth="1"/>
    <col min="5" max="5" width="15.33203125" style="4" hidden="1" customWidth="1"/>
    <col min="6" max="6" width="15.33203125" style="4" customWidth="1"/>
    <col min="7" max="8" width="14.77734375" style="4" customWidth="1"/>
    <col min="9" max="9" width="4.44140625" style="4" hidden="1" customWidth="1"/>
    <col min="10" max="10" width="15" style="4" customWidth="1"/>
    <col min="11" max="11" width="14.33203125" style="5" customWidth="1"/>
    <col min="12" max="12" width="17" style="5" hidden="1" customWidth="1"/>
    <col min="13" max="13" width="15.88671875" style="5" customWidth="1"/>
    <col min="14" max="14" width="25.33203125" style="5" hidden="1" customWidth="1"/>
    <col min="15" max="16" width="23.5546875" style="5" customWidth="1"/>
    <col min="17" max="18" width="23.5546875" style="6" hidden="1" customWidth="1"/>
    <col min="19" max="19" width="23.5546875" style="6" customWidth="1"/>
    <col min="20" max="20" width="23.5546875" style="5" customWidth="1"/>
    <col min="21" max="21" width="3" style="2" customWidth="1"/>
    <col min="22" max="22" width="23.33203125" style="2" customWidth="1"/>
    <col min="23" max="23" width="22.6640625" style="2" customWidth="1"/>
    <col min="24" max="24" width="21.44140625" style="2" customWidth="1"/>
    <col min="25" max="25" width="17.109375" style="2" customWidth="1"/>
    <col min="26" max="16384" width="9.109375" style="2"/>
  </cols>
  <sheetData>
    <row r="1" spans="2:25" ht="6" customHeight="1"/>
    <row r="2" spans="2:25" ht="29.25" customHeight="1">
      <c r="B2" s="491"/>
      <c r="C2" s="491"/>
      <c r="D2" s="491"/>
      <c r="E2" s="491"/>
      <c r="F2" s="491"/>
      <c r="G2" s="491"/>
      <c r="H2" s="491"/>
      <c r="I2" s="491"/>
      <c r="J2" s="491"/>
      <c r="K2" s="491"/>
      <c r="L2" s="491"/>
      <c r="M2" s="491"/>
      <c r="N2" s="491"/>
      <c r="O2" s="491"/>
      <c r="P2" s="491"/>
      <c r="Q2" s="491"/>
      <c r="R2" s="491"/>
      <c r="S2" s="491"/>
      <c r="T2" s="491"/>
      <c r="U2" s="7"/>
    </row>
    <row r="3" spans="2:25" ht="29.25" customHeight="1">
      <c r="B3" s="492" t="s">
        <v>0</v>
      </c>
      <c r="C3" s="492"/>
      <c r="D3" s="492"/>
      <c r="E3" s="492"/>
      <c r="F3" s="492"/>
      <c r="G3" s="492"/>
      <c r="H3" s="492"/>
      <c r="I3" s="492"/>
      <c r="J3" s="492"/>
      <c r="K3" s="492"/>
      <c r="L3" s="492"/>
      <c r="M3" s="492"/>
      <c r="N3" s="492"/>
      <c r="O3" s="492"/>
      <c r="P3" s="492"/>
      <c r="Q3" s="492"/>
      <c r="R3" s="492"/>
      <c r="S3" s="492"/>
      <c r="T3" s="492"/>
      <c r="U3" s="7"/>
      <c r="Y3" s="8"/>
    </row>
    <row r="4" spans="2:25" ht="29.25" customHeight="1">
      <c r="B4" s="493"/>
      <c r="C4" s="493"/>
      <c r="D4" s="493"/>
      <c r="E4" s="493"/>
      <c r="F4" s="493"/>
      <c r="G4" s="493"/>
      <c r="H4" s="493"/>
      <c r="I4" s="493"/>
      <c r="J4" s="493"/>
      <c r="K4" s="493"/>
      <c r="L4" s="493"/>
      <c r="M4" s="493"/>
      <c r="N4" s="493"/>
      <c r="O4" s="493"/>
      <c r="P4" s="493"/>
      <c r="Q4" s="493"/>
      <c r="R4" s="493"/>
      <c r="S4" s="493"/>
      <c r="T4" s="493"/>
      <c r="U4" s="9"/>
    </row>
    <row r="5" spans="2:25" ht="8.25" customHeight="1">
      <c r="B5" s="494"/>
      <c r="C5" s="494"/>
      <c r="D5" s="494"/>
      <c r="E5" s="494"/>
      <c r="F5" s="494"/>
      <c r="G5" s="494"/>
      <c r="H5" s="494"/>
      <c r="I5" s="494"/>
      <c r="J5" s="494"/>
      <c r="K5" s="494"/>
      <c r="L5" s="494"/>
      <c r="M5" s="494"/>
      <c r="N5" s="494"/>
      <c r="O5" s="494"/>
      <c r="P5" s="494"/>
      <c r="Q5" s="494"/>
      <c r="R5" s="494"/>
      <c r="S5" s="494"/>
      <c r="T5" s="494"/>
      <c r="U5" s="9"/>
    </row>
    <row r="6" spans="2:25" ht="38.25" customHeight="1">
      <c r="B6" s="495" t="s">
        <v>1735</v>
      </c>
      <c r="C6" s="495"/>
      <c r="D6" s="495"/>
      <c r="E6" s="495"/>
      <c r="F6" s="495"/>
      <c r="G6" s="495"/>
      <c r="H6" s="495"/>
      <c r="I6" s="495"/>
      <c r="J6" s="495"/>
      <c r="K6" s="495"/>
      <c r="L6" s="495"/>
      <c r="M6" s="495"/>
      <c r="N6" s="495"/>
      <c r="O6" s="495"/>
      <c r="P6" s="495"/>
      <c r="Q6" s="495"/>
      <c r="R6" s="495"/>
      <c r="S6" s="495"/>
      <c r="T6" s="495"/>
      <c r="U6" s="7"/>
    </row>
    <row r="7" spans="2:25" ht="8.25" customHeight="1">
      <c r="B7" s="496"/>
      <c r="C7" s="496"/>
      <c r="D7" s="496"/>
      <c r="E7" s="496"/>
      <c r="F7" s="496"/>
      <c r="G7" s="496"/>
      <c r="H7" s="496"/>
      <c r="I7" s="496"/>
      <c r="J7" s="496"/>
      <c r="K7" s="496"/>
      <c r="L7" s="496"/>
      <c r="M7" s="496"/>
      <c r="N7" s="496"/>
      <c r="O7" s="496"/>
      <c r="P7" s="496"/>
      <c r="Q7" s="496"/>
      <c r="R7" s="496"/>
      <c r="S7" s="496"/>
      <c r="T7" s="496"/>
      <c r="U7" s="7"/>
    </row>
    <row r="8" spans="2:25" ht="25.5" customHeight="1">
      <c r="B8" s="497" t="s">
        <v>2</v>
      </c>
      <c r="C8" s="497"/>
      <c r="D8" s="497"/>
      <c r="E8" s="497"/>
      <c r="F8" s="497"/>
      <c r="G8" s="497"/>
      <c r="H8" s="497"/>
      <c r="I8" s="497"/>
      <c r="J8" s="497"/>
      <c r="K8" s="497"/>
      <c r="L8" s="497"/>
      <c r="M8" s="497"/>
      <c r="N8" s="497"/>
      <c r="O8" s="497"/>
      <c r="P8" s="497"/>
      <c r="Q8" s="497"/>
      <c r="R8" s="497"/>
      <c r="S8" s="497"/>
      <c r="T8" s="497"/>
      <c r="U8" s="7"/>
    </row>
    <row r="9" spans="2:25" s="10" customFormat="1" ht="31.5" customHeight="1">
      <c r="B9" s="498" t="s">
        <v>3</v>
      </c>
      <c r="C9" s="498"/>
      <c r="D9" s="499" t="s">
        <v>4</v>
      </c>
      <c r="E9" s="499"/>
      <c r="F9" s="499"/>
      <c r="G9" s="499"/>
      <c r="H9" s="499"/>
      <c r="I9" s="499"/>
      <c r="J9" s="499"/>
      <c r="K9" s="499"/>
      <c r="L9" s="499"/>
      <c r="M9" s="499"/>
      <c r="N9" s="499"/>
      <c r="O9" s="499"/>
      <c r="P9" s="499"/>
      <c r="Q9" s="499"/>
      <c r="R9" s="499"/>
      <c r="S9" s="499"/>
      <c r="T9" s="499"/>
      <c r="U9" s="11"/>
    </row>
    <row r="10" spans="2:25" s="10" customFormat="1" ht="31.5" customHeight="1">
      <c r="B10" s="498" t="s">
        <v>5</v>
      </c>
      <c r="C10" s="498"/>
      <c r="D10" s="500" t="s">
        <v>6</v>
      </c>
      <c r="E10" s="500"/>
      <c r="F10" s="500"/>
      <c r="G10" s="500"/>
      <c r="H10" s="500"/>
      <c r="I10" s="500"/>
      <c r="J10" s="500"/>
      <c r="K10" s="500"/>
      <c r="L10" s="12"/>
      <c r="M10" s="501" t="s">
        <v>7</v>
      </c>
      <c r="N10" s="501"/>
      <c r="O10" s="501"/>
      <c r="P10" s="501"/>
      <c r="Q10" s="502">
        <v>45383</v>
      </c>
      <c r="R10" s="502"/>
      <c r="S10" s="502"/>
      <c r="T10" s="502"/>
      <c r="U10" s="11"/>
      <c r="V10" s="31"/>
    </row>
    <row r="11" spans="2:25" s="10" customFormat="1" ht="31.5" customHeight="1">
      <c r="B11" s="498" t="s">
        <v>8</v>
      </c>
      <c r="C11" s="498"/>
      <c r="D11" s="503" t="s">
        <v>9</v>
      </c>
      <c r="E11" s="503"/>
      <c r="F11" s="503"/>
      <c r="G11" s="503"/>
      <c r="H11" s="503"/>
      <c r="I11" s="503"/>
      <c r="J11" s="503"/>
      <c r="K11" s="503"/>
      <c r="L11" s="12"/>
      <c r="M11" s="501" t="s">
        <v>10</v>
      </c>
      <c r="N11" s="501"/>
      <c r="O11" s="501"/>
      <c r="P11" s="501"/>
      <c r="Q11" s="502">
        <f>Q10+600</f>
        <v>45983</v>
      </c>
      <c r="R11" s="502"/>
      <c r="S11" s="502"/>
      <c r="T11" s="502"/>
      <c r="U11" s="11"/>
    </row>
    <row r="12" spans="2:25" s="10" customFormat="1" ht="36.75" customHeight="1">
      <c r="B12" s="504" t="s">
        <v>11</v>
      </c>
      <c r="C12" s="504"/>
      <c r="D12" s="505" t="s">
        <v>12</v>
      </c>
      <c r="E12" s="505"/>
      <c r="F12" s="505"/>
      <c r="G12" s="505"/>
      <c r="H12" s="505"/>
      <c r="I12" s="13"/>
      <c r="J12" s="506"/>
      <c r="K12" s="506"/>
      <c r="L12" s="14"/>
      <c r="M12" s="507"/>
      <c r="N12" s="507"/>
      <c r="O12" s="507"/>
      <c r="P12" s="1" t="s">
        <v>13</v>
      </c>
      <c r="Q12" s="502">
        <v>45383</v>
      </c>
      <c r="R12" s="502"/>
      <c r="S12" s="502"/>
      <c r="T12" s="502"/>
      <c r="U12" s="11"/>
      <c r="V12" s="15"/>
    </row>
    <row r="13" spans="2:25" s="10" customFormat="1" ht="31.5" customHeight="1">
      <c r="B13" s="508" t="s">
        <v>14</v>
      </c>
      <c r="C13" s="508"/>
      <c r="D13" s="509">
        <f>R682</f>
        <v>26279999.999999993</v>
      </c>
      <c r="E13" s="509"/>
      <c r="F13" s="509"/>
      <c r="G13" s="509"/>
      <c r="H13" s="509"/>
      <c r="I13" s="509"/>
      <c r="J13" s="509"/>
      <c r="K13" s="509"/>
      <c r="L13" s="16"/>
      <c r="M13" s="510" t="s">
        <v>15</v>
      </c>
      <c r="N13" s="510"/>
      <c r="O13" s="510"/>
      <c r="P13" s="510"/>
      <c r="Q13" s="511" t="s">
        <v>16</v>
      </c>
      <c r="R13" s="511"/>
      <c r="S13" s="511"/>
      <c r="T13" s="511"/>
      <c r="U13" s="11"/>
    </row>
    <row r="14" spans="2:25" s="10" customFormat="1" ht="31.5" customHeight="1">
      <c r="B14" s="508" t="s">
        <v>1736</v>
      </c>
      <c r="C14" s="508"/>
      <c r="D14" s="567">
        <v>28719537.48</v>
      </c>
      <c r="E14" s="567"/>
      <c r="F14" s="567"/>
      <c r="G14" s="567"/>
      <c r="H14" s="567"/>
      <c r="I14" s="567"/>
      <c r="J14" s="567"/>
      <c r="K14" s="567"/>
      <c r="L14" s="276"/>
      <c r="M14" s="510" t="s">
        <v>1737</v>
      </c>
      <c r="N14" s="510"/>
      <c r="O14" s="510"/>
      <c r="P14" s="510"/>
      <c r="Q14" s="511" t="s">
        <v>1738</v>
      </c>
      <c r="R14" s="511"/>
      <c r="S14" s="511"/>
      <c r="T14" s="511"/>
      <c r="U14" s="11"/>
    </row>
    <row r="15" spans="2:25" s="10" customFormat="1" ht="31.5" customHeight="1">
      <c r="B15" s="512" t="s">
        <v>17</v>
      </c>
      <c r="C15" s="512"/>
      <c r="D15" s="568"/>
      <c r="E15" s="568"/>
      <c r="F15" s="568"/>
      <c r="G15" s="568"/>
      <c r="H15" s="568"/>
      <c r="I15" s="277"/>
      <c r="J15" s="569" t="s">
        <v>18</v>
      </c>
      <c r="K15" s="569"/>
      <c r="L15" s="17"/>
      <c r="M15" s="515"/>
      <c r="N15" s="515"/>
      <c r="O15" s="515"/>
      <c r="P15" s="19" t="s">
        <v>19</v>
      </c>
      <c r="Q15" s="516"/>
      <c r="R15" s="516"/>
      <c r="S15" s="516"/>
      <c r="T15" s="516"/>
      <c r="U15" s="11"/>
      <c r="V15" s="15"/>
    </row>
    <row r="16" spans="2:25" s="10" customFormat="1" ht="31.5" customHeight="1">
      <c r="B16" s="517" t="s">
        <v>20</v>
      </c>
      <c r="C16" s="517"/>
      <c r="D16" s="518" t="s">
        <v>21</v>
      </c>
      <c r="E16" s="518"/>
      <c r="F16" s="518"/>
      <c r="G16" s="518"/>
      <c r="H16" s="518"/>
      <c r="I16" s="20"/>
      <c r="J16" s="518" t="s">
        <v>18</v>
      </c>
      <c r="K16" s="518"/>
      <c r="L16" s="21"/>
      <c r="M16" s="519" t="s">
        <v>22</v>
      </c>
      <c r="N16" s="519"/>
      <c r="O16" s="519"/>
      <c r="P16" s="22" t="s">
        <v>19</v>
      </c>
      <c r="Q16" s="520" t="s">
        <v>23</v>
      </c>
      <c r="R16" s="520"/>
      <c r="S16" s="520"/>
      <c r="T16" s="520"/>
      <c r="U16" s="11"/>
      <c r="V16" s="278">
        <f>D14</f>
        <v>28719537.48</v>
      </c>
      <c r="W16" s="24"/>
    </row>
    <row r="17" spans="1:25" s="10" customFormat="1" ht="6" customHeight="1">
      <c r="B17" s="521"/>
      <c r="C17" s="521"/>
      <c r="D17" s="521"/>
      <c r="E17" s="521"/>
      <c r="F17" s="521"/>
      <c r="G17" s="521"/>
      <c r="H17" s="521"/>
      <c r="I17" s="521"/>
      <c r="J17" s="521"/>
      <c r="K17" s="521"/>
      <c r="L17" s="521"/>
      <c r="M17" s="521"/>
      <c r="N17" s="521"/>
      <c r="O17" s="521"/>
      <c r="P17" s="521"/>
      <c r="Q17" s="521"/>
      <c r="R17" s="521"/>
      <c r="S17" s="521"/>
      <c r="T17" s="521"/>
      <c r="U17" s="11"/>
      <c r="V17" s="278"/>
      <c r="W17" s="25"/>
    </row>
    <row r="18" spans="1:25" s="10" customFormat="1" ht="27.75" customHeight="1">
      <c r="B18" s="497" t="s">
        <v>24</v>
      </c>
      <c r="C18" s="497"/>
      <c r="D18" s="497"/>
      <c r="E18" s="497"/>
      <c r="F18" s="497"/>
      <c r="G18" s="497"/>
      <c r="H18" s="497"/>
      <c r="I18" s="497"/>
      <c r="J18" s="497"/>
      <c r="K18" s="497"/>
      <c r="L18" s="497"/>
      <c r="M18" s="497"/>
      <c r="N18" s="497"/>
      <c r="O18" s="497"/>
      <c r="P18" s="497"/>
      <c r="Q18" s="497"/>
      <c r="R18" s="497"/>
      <c r="S18" s="497"/>
      <c r="T18" s="497"/>
      <c r="U18" s="11"/>
      <c r="V18" s="279"/>
      <c r="W18" s="27"/>
      <c r="Y18" s="28"/>
    </row>
    <row r="19" spans="1:25" ht="43.5" customHeight="1">
      <c r="A19" s="10"/>
      <c r="B19" s="522" t="s">
        <v>25</v>
      </c>
      <c r="C19" s="522"/>
      <c r="D19" s="523" t="s">
        <v>4</v>
      </c>
      <c r="E19" s="523"/>
      <c r="F19" s="523"/>
      <c r="G19" s="523"/>
      <c r="H19" s="523"/>
      <c r="I19" s="523"/>
      <c r="J19" s="523"/>
      <c r="K19" s="523"/>
      <c r="L19" s="29"/>
      <c r="M19" s="501" t="s">
        <v>26</v>
      </c>
      <c r="N19" s="501"/>
      <c r="O19" s="501"/>
      <c r="P19" s="501"/>
      <c r="Q19" s="524">
        <f>O682</f>
        <v>2166076</v>
      </c>
      <c r="R19" s="524"/>
      <c r="S19" s="524"/>
      <c r="T19" s="524"/>
      <c r="U19" s="30"/>
      <c r="V19" s="278">
        <f>V16-S34-S33</f>
        <v>26191805.690000001</v>
      </c>
      <c r="W19" s="31"/>
      <c r="X19" s="10"/>
      <c r="Y19" s="28"/>
    </row>
    <row r="20" spans="1:25" s="34" customFormat="1" ht="31.5" customHeight="1">
      <c r="A20" s="10"/>
      <c r="B20" s="522" t="s">
        <v>27</v>
      </c>
      <c r="C20" s="522"/>
      <c r="D20" s="525" t="s">
        <v>1739</v>
      </c>
      <c r="E20" s="525"/>
      <c r="F20" s="525"/>
      <c r="G20" s="525"/>
      <c r="H20" s="525"/>
      <c r="I20" s="525"/>
      <c r="J20" s="525"/>
      <c r="K20" s="525"/>
      <c r="L20" s="29"/>
      <c r="M20" s="501" t="s">
        <v>29</v>
      </c>
      <c r="N20" s="501"/>
      <c r="O20" s="501"/>
      <c r="P20" s="501"/>
      <c r="Q20" s="524">
        <f>Q19-Q21</f>
        <v>0</v>
      </c>
      <c r="R20" s="524"/>
      <c r="S20" s="524"/>
      <c r="T20" s="524"/>
      <c r="U20" s="30"/>
      <c r="V20" s="278">
        <f>Q22-P34-P33</f>
        <v>8702209.040000001</v>
      </c>
      <c r="W20" s="280">
        <f>V20/V19</f>
        <v>0.33224929747102139</v>
      </c>
      <c r="X20" s="281"/>
      <c r="Y20" s="10"/>
    </row>
    <row r="21" spans="1:25" s="34" customFormat="1" ht="31.5" customHeight="1">
      <c r="A21" s="10"/>
      <c r="B21" s="526" t="s">
        <v>30</v>
      </c>
      <c r="C21" s="526"/>
      <c r="D21" s="523" t="s">
        <v>1740</v>
      </c>
      <c r="E21" s="523"/>
      <c r="F21" s="523"/>
      <c r="G21" s="523"/>
      <c r="H21" s="523"/>
      <c r="I21" s="523"/>
      <c r="J21" s="523"/>
      <c r="K21" s="523"/>
      <c r="L21" s="29"/>
      <c r="M21" s="501" t="s">
        <v>32</v>
      </c>
      <c r="N21" s="501"/>
      <c r="O21" s="501"/>
      <c r="P21" s="501"/>
      <c r="Q21" s="524">
        <f>O682</f>
        <v>2166076</v>
      </c>
      <c r="R21" s="524"/>
      <c r="S21" s="524"/>
      <c r="T21" s="524"/>
      <c r="U21" s="30"/>
      <c r="V21" s="33">
        <f>X21-J33</f>
        <v>7.4486257592987215E-5</v>
      </c>
      <c r="W21" s="24">
        <f>W20*S33</f>
        <v>474042.20715010376</v>
      </c>
      <c r="X21" s="32">
        <f>W21/M33</f>
        <v>7.2614744862575922</v>
      </c>
      <c r="Y21" s="33"/>
    </row>
    <row r="22" spans="1:25" s="34" customFormat="1" ht="31.5" customHeight="1">
      <c r="A22" s="10"/>
      <c r="B22" s="526" t="s">
        <v>33</v>
      </c>
      <c r="C22" s="526"/>
      <c r="D22" s="527">
        <v>45693</v>
      </c>
      <c r="E22" s="527"/>
      <c r="F22" s="527"/>
      <c r="G22" s="527"/>
      <c r="H22" s="527"/>
      <c r="I22" s="527"/>
      <c r="J22" s="527"/>
      <c r="K22" s="527"/>
      <c r="L22" s="35"/>
      <c r="M22" s="501" t="s">
        <v>34</v>
      </c>
      <c r="N22" s="501"/>
      <c r="O22" s="501"/>
      <c r="P22" s="501"/>
      <c r="Q22" s="524">
        <f>Q21+'BM 010'!P21</f>
        <v>9541992</v>
      </c>
      <c r="R22" s="524"/>
      <c r="S22" s="524"/>
      <c r="T22" s="524"/>
      <c r="U22" s="36"/>
      <c r="V22" s="282">
        <f>X22-J34</f>
        <v>4.8806860633965332E-5</v>
      </c>
      <c r="W22" s="24">
        <f>W20*S34</f>
        <v>365794.90427256358</v>
      </c>
      <c r="X22" s="32">
        <f>W22/M34</f>
        <v>0.36304880686063401</v>
      </c>
      <c r="Y22" s="10"/>
    </row>
    <row r="23" spans="1:25" s="34" customFormat="1" ht="31.5" customHeight="1">
      <c r="A23" s="10"/>
      <c r="B23" s="526" t="s">
        <v>35</v>
      </c>
      <c r="C23" s="526"/>
      <c r="D23" s="527">
        <v>45694</v>
      </c>
      <c r="E23" s="527"/>
      <c r="F23" s="527"/>
      <c r="G23" s="527"/>
      <c r="H23" s="527"/>
      <c r="I23" s="527"/>
      <c r="J23" s="527"/>
      <c r="K23" s="527"/>
      <c r="L23" s="35"/>
      <c r="M23" s="501" t="s">
        <v>36</v>
      </c>
      <c r="N23" s="501"/>
      <c r="O23" s="501"/>
      <c r="P23" s="501"/>
      <c r="Q23" s="524">
        <f>T682</f>
        <v>19177545.480000004</v>
      </c>
      <c r="R23" s="524"/>
      <c r="S23" s="524"/>
      <c r="T23" s="524"/>
      <c r="U23" s="36"/>
      <c r="V23" s="31"/>
      <c r="W23" s="37"/>
      <c r="X23" s="10"/>
      <c r="Y23" s="10"/>
    </row>
    <row r="24" spans="1:25" s="34" customFormat="1" ht="5.25" customHeight="1">
      <c r="A24" s="10"/>
      <c r="B24" s="528"/>
      <c r="C24" s="528"/>
      <c r="D24" s="528"/>
      <c r="E24" s="528"/>
      <c r="F24" s="528"/>
      <c r="G24" s="528"/>
      <c r="H24" s="528"/>
      <c r="I24" s="528"/>
      <c r="J24" s="528"/>
      <c r="K24" s="528"/>
      <c r="L24" s="528"/>
      <c r="M24" s="528"/>
      <c r="N24" s="528"/>
      <c r="O24" s="528"/>
      <c r="P24" s="528"/>
      <c r="Q24" s="528"/>
      <c r="R24" s="528"/>
      <c r="S24" s="528"/>
      <c r="T24" s="528"/>
      <c r="U24" s="10"/>
      <c r="V24" s="10"/>
      <c r="W24" s="10"/>
      <c r="X24" s="10"/>
      <c r="Y24" s="10"/>
    </row>
    <row r="25" spans="1:25" s="34" customFormat="1" ht="2.25" customHeight="1">
      <c r="A25" s="2"/>
      <c r="B25" s="38"/>
      <c r="C25" s="39"/>
      <c r="D25" s="40"/>
      <c r="E25" s="41"/>
      <c r="F25" s="283"/>
      <c r="G25" s="42"/>
      <c r="H25" s="43"/>
      <c r="I25" s="43"/>
      <c r="J25" s="43"/>
      <c r="K25" s="39"/>
      <c r="L25" s="39"/>
      <c r="M25" s="39"/>
      <c r="N25" s="39"/>
      <c r="O25" s="39"/>
      <c r="P25" s="39"/>
      <c r="Q25" s="44"/>
      <c r="R25" s="44"/>
      <c r="S25" s="44"/>
      <c r="T25" s="45"/>
      <c r="U25" s="2"/>
      <c r="V25" s="2"/>
      <c r="W25" s="2"/>
      <c r="X25" s="2"/>
      <c r="Y25" s="2"/>
    </row>
    <row r="26" spans="1:25" s="34" customFormat="1" ht="18" customHeight="1">
      <c r="A26" s="2"/>
      <c r="B26" s="529" t="s">
        <v>37</v>
      </c>
      <c r="C26" s="530" t="s">
        <v>38</v>
      </c>
      <c r="D26" s="530" t="s">
        <v>39</v>
      </c>
      <c r="E26" s="531" t="s">
        <v>40</v>
      </c>
      <c r="F26" s="531"/>
      <c r="G26" s="531"/>
      <c r="H26" s="531"/>
      <c r="I26" s="531"/>
      <c r="J26" s="531"/>
      <c r="K26" s="531"/>
      <c r="L26" s="48" t="s">
        <v>41</v>
      </c>
      <c r="M26" s="48" t="s">
        <v>42</v>
      </c>
      <c r="N26" s="48"/>
      <c r="O26" s="532" t="s">
        <v>43</v>
      </c>
      <c r="P26" s="532"/>
      <c r="Q26" s="532"/>
      <c r="R26" s="532"/>
      <c r="S26" s="532"/>
      <c r="T26" s="532"/>
      <c r="U26" s="2"/>
      <c r="V26" s="49" t="s">
        <v>44</v>
      </c>
      <c r="W26" s="50"/>
      <c r="X26" s="51"/>
      <c r="Y26" s="2"/>
    </row>
    <row r="27" spans="1:25" s="34" customFormat="1" ht="43.5" customHeight="1">
      <c r="A27" s="2"/>
      <c r="B27" s="529"/>
      <c r="C27" s="530"/>
      <c r="D27" s="530"/>
      <c r="E27" s="52" t="s">
        <v>45</v>
      </c>
      <c r="F27" s="52" t="s">
        <v>1741</v>
      </c>
      <c r="G27" s="53" t="s">
        <v>46</v>
      </c>
      <c r="H27" s="53" t="s">
        <v>47</v>
      </c>
      <c r="I27" s="54"/>
      <c r="J27" s="55" t="s">
        <v>48</v>
      </c>
      <c r="K27" s="55" t="s">
        <v>49</v>
      </c>
      <c r="L27" s="56" t="s">
        <v>50</v>
      </c>
      <c r="M27" s="47" t="s">
        <v>50</v>
      </c>
      <c r="N27" s="48" t="s">
        <v>51</v>
      </c>
      <c r="O27" s="57" t="s">
        <v>52</v>
      </c>
      <c r="P27" s="57" t="s">
        <v>53</v>
      </c>
      <c r="Q27" s="57" t="s">
        <v>54</v>
      </c>
      <c r="R27" s="57" t="s">
        <v>55</v>
      </c>
      <c r="S27" s="57" t="s">
        <v>1742</v>
      </c>
      <c r="T27" s="58" t="s">
        <v>56</v>
      </c>
      <c r="U27" s="2"/>
      <c r="V27" s="59">
        <v>0.26760011</v>
      </c>
      <c r="W27" s="50"/>
      <c r="X27" s="50"/>
      <c r="Y27" s="2"/>
    </row>
    <row r="28" spans="1:25" s="34" customFormat="1" ht="13.2">
      <c r="B28" s="60" t="s">
        <v>57</v>
      </c>
      <c r="C28" s="61" t="s">
        <v>58</v>
      </c>
      <c r="D28" s="60"/>
      <c r="E28" s="62"/>
      <c r="F28" s="284"/>
      <c r="G28" s="63"/>
      <c r="H28" s="63"/>
      <c r="I28" s="63"/>
      <c r="J28" s="63"/>
      <c r="K28" s="63"/>
      <c r="L28" s="63"/>
      <c r="M28" s="64"/>
      <c r="N28" s="63">
        <f t="shared" ref="N28:T28" si="0">N29+N31+N36+N44</f>
        <v>245977.60000000001</v>
      </c>
      <c r="O28" s="63">
        <f t="shared" si="0"/>
        <v>245977.60000000001</v>
      </c>
      <c r="P28" s="63">
        <f t="shared" si="0"/>
        <v>1439634.11</v>
      </c>
      <c r="Q28" s="63">
        <f t="shared" si="0"/>
        <v>2403883</v>
      </c>
      <c r="R28" s="63">
        <f t="shared" si="0"/>
        <v>3047162.2499999991</v>
      </c>
      <c r="S28" s="63">
        <f t="shared" si="0"/>
        <v>3333160.3699999992</v>
      </c>
      <c r="T28" s="63">
        <f t="shared" si="0"/>
        <v>1893526.2599999998</v>
      </c>
      <c r="W28" s="65"/>
    </row>
    <row r="29" spans="1:25" s="34" customFormat="1" ht="13.2">
      <c r="B29" s="66" t="s">
        <v>59</v>
      </c>
      <c r="C29" s="67" t="s">
        <v>60</v>
      </c>
      <c r="D29" s="68"/>
      <c r="E29" s="69"/>
      <c r="F29" s="69"/>
      <c r="G29" s="70"/>
      <c r="H29" s="70"/>
      <c r="I29" s="70"/>
      <c r="J29" s="70"/>
      <c r="K29" s="70"/>
      <c r="L29" s="71"/>
      <c r="M29" s="72"/>
      <c r="N29" s="73">
        <f t="shared" ref="N29:T29" si="1">SUM(N30)</f>
        <v>0</v>
      </c>
      <c r="O29" s="73">
        <f t="shared" si="1"/>
        <v>0</v>
      </c>
      <c r="P29" s="73">
        <f t="shared" si="1"/>
        <v>41273.050000000003</v>
      </c>
      <c r="Q29" s="73">
        <f t="shared" si="1"/>
        <v>32560</v>
      </c>
      <c r="R29" s="73">
        <f t="shared" si="1"/>
        <v>41273.050000000003</v>
      </c>
      <c r="S29" s="73">
        <f t="shared" si="1"/>
        <v>41273.050000000003</v>
      </c>
      <c r="T29" s="73">
        <f t="shared" si="1"/>
        <v>0</v>
      </c>
      <c r="V29" s="74"/>
    </row>
    <row r="30" spans="1:25" s="34" customFormat="1" ht="13.2">
      <c r="B30" s="75" t="s">
        <v>61</v>
      </c>
      <c r="C30" s="76" t="s">
        <v>62</v>
      </c>
      <c r="D30" s="77" t="s">
        <v>63</v>
      </c>
      <c r="E30" s="78">
        <v>1</v>
      </c>
      <c r="F30" s="78">
        <v>1</v>
      </c>
      <c r="G30" s="79"/>
      <c r="H30" s="79"/>
      <c r="I30" s="79"/>
      <c r="J30" s="79" t="e">
        <f ca="1">SUM(H30:I30)+'BM 010'!I29</f>
        <v>#VALUE!</v>
      </c>
      <c r="K30" s="79" t="e">
        <f t="shared" ref="K30:K93" ca="1" si="2">F30-J30</f>
        <v>#VALUE!</v>
      </c>
      <c r="L30" s="80">
        <v>32560</v>
      </c>
      <c r="M30" s="81">
        <v>41273.059581599999</v>
      </c>
      <c r="N30" s="82">
        <f>TRUNC(G30*M30,2)</f>
        <v>0</v>
      </c>
      <c r="O30" s="82">
        <f>TRUNC(H30*M30,2)</f>
        <v>0</v>
      </c>
      <c r="P30" s="82">
        <f>O30+'BM 010'!O29</f>
        <v>41273.050000000003</v>
      </c>
      <c r="Q30" s="82">
        <f>E30*L30</f>
        <v>32560</v>
      </c>
      <c r="R30" s="82">
        <f>TRUNC(E30*M30,2)</f>
        <v>41273.050000000003</v>
      </c>
      <c r="S30" s="82">
        <f>TRUNC(F30*$M30,2)</f>
        <v>41273.050000000003</v>
      </c>
      <c r="T30" s="82">
        <f>S30-P30</f>
        <v>0</v>
      </c>
      <c r="V30" s="74"/>
    </row>
    <row r="31" spans="1:25" s="34" customFormat="1" ht="13.2">
      <c r="B31" s="66" t="s">
        <v>64</v>
      </c>
      <c r="C31" s="67" t="s">
        <v>65</v>
      </c>
      <c r="D31" s="68"/>
      <c r="E31" s="69"/>
      <c r="F31" s="69"/>
      <c r="G31" s="70"/>
      <c r="H31" s="70"/>
      <c r="I31" s="70"/>
      <c r="J31" s="70">
        <f>SUM(H31:I31)+'BM 010'!I30</f>
        <v>0</v>
      </c>
      <c r="K31" s="70">
        <f t="shared" si="2"/>
        <v>0</v>
      </c>
      <c r="L31" s="71"/>
      <c r="M31" s="71"/>
      <c r="N31" s="73">
        <f t="shared" ref="N31:T31" si="3">SUM(N32:N35)</f>
        <v>190467.76</v>
      </c>
      <c r="O31" s="73">
        <f t="shared" si="3"/>
        <v>190467.76</v>
      </c>
      <c r="P31" s="73">
        <f t="shared" si="3"/>
        <v>839782.96</v>
      </c>
      <c r="Q31" s="73">
        <f t="shared" si="3"/>
        <v>1872865.9</v>
      </c>
      <c r="R31" s="73">
        <f t="shared" si="3"/>
        <v>2374044.9999999995</v>
      </c>
      <c r="S31" s="73">
        <f t="shared" si="3"/>
        <v>2588576.59</v>
      </c>
      <c r="T31" s="73">
        <f t="shared" si="3"/>
        <v>1748793.63</v>
      </c>
      <c r="V31" s="83"/>
    </row>
    <row r="32" spans="1:25" s="34" customFormat="1" ht="23.4">
      <c r="B32" s="75" t="s">
        <v>66</v>
      </c>
      <c r="C32" s="76" t="s">
        <v>67</v>
      </c>
      <c r="D32" s="77" t="s">
        <v>68</v>
      </c>
      <c r="E32" s="78">
        <v>20</v>
      </c>
      <c r="F32" s="78">
        <v>20</v>
      </c>
      <c r="G32" s="79"/>
      <c r="H32" s="79"/>
      <c r="I32" s="79"/>
      <c r="J32" s="79">
        <f>SUM(H32:I32)+'BM 010'!I31</f>
        <v>0</v>
      </c>
      <c r="K32" s="79">
        <f t="shared" si="2"/>
        <v>20</v>
      </c>
      <c r="L32" s="84">
        <v>1200</v>
      </c>
      <c r="M32" s="81">
        <v>1521.120132</v>
      </c>
      <c r="N32" s="82">
        <f>TRUNC(G32*M32,2)</f>
        <v>0</v>
      </c>
      <c r="O32" s="82">
        <f>TRUNC(H32*M32,2)</f>
        <v>0</v>
      </c>
      <c r="P32" s="82">
        <f>O32+'BM 010'!O31</f>
        <v>0</v>
      </c>
      <c r="Q32" s="82">
        <f>E32*L32</f>
        <v>24000</v>
      </c>
      <c r="R32" s="82">
        <f>TRUNC(E32*M32,2)</f>
        <v>30422.400000000001</v>
      </c>
      <c r="S32" s="82">
        <f>TRUNC(F32*$M32,2)</f>
        <v>30422.400000000001</v>
      </c>
      <c r="T32" s="82">
        <f>S32-P32</f>
        <v>30422.400000000001</v>
      </c>
    </row>
    <row r="33" spans="1:23" s="34" customFormat="1" ht="13.2">
      <c r="B33" s="75" t="s">
        <v>69</v>
      </c>
      <c r="C33" s="85" t="s">
        <v>70</v>
      </c>
      <c r="D33" s="77" t="s">
        <v>68</v>
      </c>
      <c r="E33" s="78">
        <v>20</v>
      </c>
      <c r="F33" s="78">
        <v>21.855499999999999</v>
      </c>
      <c r="G33" s="86">
        <f>'M.C. MED. 11'!K25</f>
        <v>1.6474000000000002</v>
      </c>
      <c r="H33" s="86">
        <f>G33</f>
        <v>1.6474000000000002</v>
      </c>
      <c r="I33" s="79"/>
      <c r="J33" s="86">
        <f>SUM(H33:I33)+'BM 010'!I32</f>
        <v>7.2613999999999992</v>
      </c>
      <c r="K33" s="79">
        <f t="shared" si="2"/>
        <v>14.594100000000001</v>
      </c>
      <c r="L33" s="84">
        <v>51500.32</v>
      </c>
      <c r="M33" s="81">
        <v>65281.811297035201</v>
      </c>
      <c r="N33" s="82">
        <f>TRUNC(G33*M33,2)</f>
        <v>107545.25</v>
      </c>
      <c r="O33" s="82">
        <f>TRUNC(H33*M33,2)</f>
        <v>107545.25</v>
      </c>
      <c r="P33" s="82">
        <f>O33+'BM 010'!O32</f>
        <v>474037.27999999997</v>
      </c>
      <c r="Q33" s="82">
        <f>E33*L33</f>
        <v>1030006.4</v>
      </c>
      <c r="R33" s="82">
        <f>TRUNC(E33*M33,2)</f>
        <v>1305636.22</v>
      </c>
      <c r="S33" s="82">
        <f>TRUNC(F33*$M33,2)</f>
        <v>1426766.62</v>
      </c>
      <c r="T33" s="82">
        <f>S33-P33</f>
        <v>952729.34000000008</v>
      </c>
      <c r="V33" s="83"/>
    </row>
    <row r="34" spans="1:23" s="34" customFormat="1" ht="194.4">
      <c r="B34" s="75" t="s">
        <v>71</v>
      </c>
      <c r="C34" s="85" t="s">
        <v>72</v>
      </c>
      <c r="D34" s="77" t="s">
        <v>39</v>
      </c>
      <c r="E34" s="78">
        <v>1</v>
      </c>
      <c r="F34" s="78">
        <v>1.0927</v>
      </c>
      <c r="G34" s="86">
        <f>'M.C. MED. 11'!K45</f>
        <v>8.2299999999999984E-2</v>
      </c>
      <c r="H34" s="86">
        <f>G34</f>
        <v>8.2299999999999984E-2</v>
      </c>
      <c r="I34" s="79"/>
      <c r="J34" s="86">
        <f>SUM(H34:I34)+'BM 010'!I33</f>
        <v>0.36300000000000004</v>
      </c>
      <c r="K34" s="79">
        <f t="shared" si="2"/>
        <v>0.72970000000000002</v>
      </c>
      <c r="L34" s="84">
        <v>794859.5</v>
      </c>
      <c r="M34" s="81">
        <v>1007563.9896345499</v>
      </c>
      <c r="N34" s="82">
        <f>TRUNC(G34*M34,2)</f>
        <v>82922.509999999995</v>
      </c>
      <c r="O34" s="82">
        <f>TRUNC(H34*M34,2)</f>
        <v>82922.509999999995</v>
      </c>
      <c r="P34" s="82">
        <f>O34+'BM 010'!O33</f>
        <v>365745.68000000005</v>
      </c>
      <c r="Q34" s="82">
        <f>E34*L34</f>
        <v>794859.5</v>
      </c>
      <c r="R34" s="82">
        <f>TRUNC(E34*M34,2)</f>
        <v>1007563.98</v>
      </c>
      <c r="S34" s="82">
        <f>TRUNC(F34*$M34,2)</f>
        <v>1100965.17</v>
      </c>
      <c r="T34" s="82">
        <f>S34-P34</f>
        <v>735219.48999999987</v>
      </c>
      <c r="V34" s="83"/>
    </row>
    <row r="35" spans="1:23" s="34" customFormat="1" ht="23.4">
      <c r="B35" s="75" t="s">
        <v>73</v>
      </c>
      <c r="C35" s="76" t="s">
        <v>74</v>
      </c>
      <c r="D35" s="77" t="s">
        <v>68</v>
      </c>
      <c r="E35" s="78">
        <v>20</v>
      </c>
      <c r="F35" s="78">
        <v>20</v>
      </c>
      <c r="G35" s="79"/>
      <c r="H35" s="79"/>
      <c r="I35" s="79"/>
      <c r="J35" s="79">
        <f>SUM(H35:I35)+'BM 010'!I34</f>
        <v>0</v>
      </c>
      <c r="K35" s="79">
        <f t="shared" si="2"/>
        <v>20</v>
      </c>
      <c r="L35" s="84">
        <v>1200</v>
      </c>
      <c r="M35" s="81">
        <v>1521.120132</v>
      </c>
      <c r="N35" s="82">
        <f>TRUNC(G35*M35,2)</f>
        <v>0</v>
      </c>
      <c r="O35" s="82">
        <f>TRUNC(H35*M35,2)</f>
        <v>0</v>
      </c>
      <c r="P35" s="82">
        <f>O35+'BM 010'!O34</f>
        <v>0</v>
      </c>
      <c r="Q35" s="82">
        <f>E35*L35</f>
        <v>24000</v>
      </c>
      <c r="R35" s="82">
        <f>TRUNC(E35*M35,2)</f>
        <v>30422.400000000001</v>
      </c>
      <c r="S35" s="82">
        <f>TRUNC(F35*$M35,2)</f>
        <v>30422.400000000001</v>
      </c>
      <c r="T35" s="82">
        <f>S35-P35</f>
        <v>30422.400000000001</v>
      </c>
    </row>
    <row r="36" spans="1:23" s="34" customFormat="1" ht="13.2">
      <c r="B36" s="66" t="s">
        <v>75</v>
      </c>
      <c r="C36" s="67" t="s">
        <v>76</v>
      </c>
      <c r="D36" s="68"/>
      <c r="E36" s="69"/>
      <c r="F36" s="69"/>
      <c r="G36" s="70"/>
      <c r="H36" s="70"/>
      <c r="I36" s="70"/>
      <c r="J36" s="70">
        <f>SUM(H36:I36)+'BM 010'!I35</f>
        <v>0</v>
      </c>
      <c r="K36" s="70">
        <f t="shared" si="2"/>
        <v>0</v>
      </c>
      <c r="L36" s="71"/>
      <c r="M36" s="71">
        <v>0</v>
      </c>
      <c r="N36" s="73">
        <f t="shared" ref="N36:T36" si="4">SUM(N37:N43)</f>
        <v>55509.84</v>
      </c>
      <c r="O36" s="73">
        <f t="shared" si="4"/>
        <v>55509.84</v>
      </c>
      <c r="P36" s="73">
        <f t="shared" si="4"/>
        <v>408435.03</v>
      </c>
      <c r="Q36" s="73">
        <f t="shared" si="4"/>
        <v>278420</v>
      </c>
      <c r="R36" s="73">
        <f t="shared" si="4"/>
        <v>352925.19</v>
      </c>
      <c r="S36" s="73">
        <f t="shared" si="4"/>
        <v>424391.72</v>
      </c>
      <c r="T36" s="73">
        <f t="shared" si="4"/>
        <v>15956.690000000002</v>
      </c>
    </row>
    <row r="37" spans="1:23" s="34" customFormat="1" ht="13.2">
      <c r="B37" s="87" t="s">
        <v>77</v>
      </c>
      <c r="C37" s="88" t="s">
        <v>78</v>
      </c>
      <c r="D37" s="89" t="s">
        <v>79</v>
      </c>
      <c r="E37" s="90">
        <v>128</v>
      </c>
      <c r="F37" s="90">
        <v>128</v>
      </c>
      <c r="G37" s="91"/>
      <c r="H37" s="91"/>
      <c r="I37" s="91"/>
      <c r="J37" s="79">
        <f>SUM(H37:I37)+'BM 010'!I36</f>
        <v>128</v>
      </c>
      <c r="K37" s="91">
        <f t="shared" si="2"/>
        <v>0</v>
      </c>
      <c r="L37" s="80">
        <v>125</v>
      </c>
      <c r="M37" s="81">
        <v>158.45001375000001</v>
      </c>
      <c r="N37" s="82">
        <f t="shared" ref="N37:N43" si="5">TRUNC(G37*M37,2)</f>
        <v>0</v>
      </c>
      <c r="O37" s="82">
        <f t="shared" ref="O37:O43" si="6">TRUNC(H37*M37,2)</f>
        <v>0</v>
      </c>
      <c r="P37" s="82">
        <f>O37+'BM 010'!O36</f>
        <v>20281.599999999999</v>
      </c>
      <c r="Q37" s="82">
        <f t="shared" ref="Q37:Q43" si="7">E37*L37</f>
        <v>16000</v>
      </c>
      <c r="R37" s="82">
        <f t="shared" ref="R37:R43" si="8">TRUNC(E37*M37,2)</f>
        <v>20281.599999999999</v>
      </c>
      <c r="S37" s="82">
        <f t="shared" ref="S37:S43" si="9">TRUNC(F37*$M37,2)</f>
        <v>20281.599999999999</v>
      </c>
      <c r="T37" s="82">
        <f t="shared" ref="T37:T43" si="10">S37-P37</f>
        <v>0</v>
      </c>
    </row>
    <row r="38" spans="1:23" s="34" customFormat="1" ht="46.2">
      <c r="B38" s="87" t="s">
        <v>80</v>
      </c>
      <c r="C38" s="76" t="s">
        <v>81</v>
      </c>
      <c r="D38" s="77" t="s">
        <v>82</v>
      </c>
      <c r="E38" s="78">
        <v>156</v>
      </c>
      <c r="F38" s="78">
        <v>961.42</v>
      </c>
      <c r="G38" s="91">
        <f>'M.C. MED. 11'!K71</f>
        <v>625.58990000000006</v>
      </c>
      <c r="H38" s="91">
        <f>G38</f>
        <v>625.58990000000006</v>
      </c>
      <c r="I38" s="91"/>
      <c r="J38" s="79">
        <f>SUM(H38:I38)+'BM 010'!I37</f>
        <v>781.59</v>
      </c>
      <c r="K38" s="91">
        <f t="shared" si="2"/>
        <v>179.82999999999993</v>
      </c>
      <c r="L38" s="80">
        <v>70</v>
      </c>
      <c r="M38" s="81">
        <v>88.732007699999997</v>
      </c>
      <c r="N38" s="82">
        <f t="shared" si="5"/>
        <v>55509.84</v>
      </c>
      <c r="O38" s="82">
        <f t="shared" si="6"/>
        <v>55509.84</v>
      </c>
      <c r="P38" s="82">
        <f>O38+'BM 010'!O37</f>
        <v>69352.03</v>
      </c>
      <c r="Q38" s="82">
        <f t="shared" si="7"/>
        <v>10920</v>
      </c>
      <c r="R38" s="82">
        <f t="shared" si="8"/>
        <v>13842.19</v>
      </c>
      <c r="S38" s="82">
        <f t="shared" si="9"/>
        <v>85308.72</v>
      </c>
      <c r="T38" s="82">
        <f t="shared" si="10"/>
        <v>15956.690000000002</v>
      </c>
      <c r="V38" s="83"/>
    </row>
    <row r="39" spans="1:23" s="34" customFormat="1" ht="34.799999999999997">
      <c r="B39" s="87" t="s">
        <v>83</v>
      </c>
      <c r="C39" s="88" t="s">
        <v>84</v>
      </c>
      <c r="D39" s="89" t="s">
        <v>79</v>
      </c>
      <c r="E39" s="92">
        <v>40</v>
      </c>
      <c r="F39" s="92">
        <v>40</v>
      </c>
      <c r="G39" s="91"/>
      <c r="H39" s="91"/>
      <c r="I39" s="91"/>
      <c r="J39" s="79">
        <f>SUM(H39:I39)+'BM 010'!I38</f>
        <v>40</v>
      </c>
      <c r="K39" s="91">
        <f t="shared" si="2"/>
        <v>0</v>
      </c>
      <c r="L39" s="80">
        <v>1150</v>
      </c>
      <c r="M39" s="81">
        <v>1457.7401265000001</v>
      </c>
      <c r="N39" s="82">
        <f t="shared" si="5"/>
        <v>0</v>
      </c>
      <c r="O39" s="82">
        <f t="shared" si="6"/>
        <v>0</v>
      </c>
      <c r="P39" s="82">
        <f>O39+'BM 010'!O38</f>
        <v>58309.599999999999</v>
      </c>
      <c r="Q39" s="82">
        <f t="shared" si="7"/>
        <v>46000</v>
      </c>
      <c r="R39" s="82">
        <f t="shared" si="8"/>
        <v>58309.599999999999</v>
      </c>
      <c r="S39" s="82">
        <f t="shared" si="9"/>
        <v>58309.599999999999</v>
      </c>
      <c r="T39" s="82">
        <f t="shared" si="10"/>
        <v>0</v>
      </c>
    </row>
    <row r="40" spans="1:23" s="34" customFormat="1" ht="23.4">
      <c r="B40" s="87" t="s">
        <v>85</v>
      </c>
      <c r="C40" s="88" t="s">
        <v>86</v>
      </c>
      <c r="D40" s="89" t="s">
        <v>79</v>
      </c>
      <c r="E40" s="92">
        <v>68</v>
      </c>
      <c r="F40" s="92">
        <v>68</v>
      </c>
      <c r="G40" s="91"/>
      <c r="H40" s="91"/>
      <c r="I40" s="91"/>
      <c r="J40" s="79">
        <f>SUM(H40:I40)+'BM 010'!I39</f>
        <v>68</v>
      </c>
      <c r="K40" s="91">
        <f t="shared" si="2"/>
        <v>0</v>
      </c>
      <c r="L40" s="80">
        <v>1000</v>
      </c>
      <c r="M40" s="81">
        <v>1267.6001100000001</v>
      </c>
      <c r="N40" s="82">
        <f t="shared" si="5"/>
        <v>0</v>
      </c>
      <c r="O40" s="82">
        <f t="shared" si="6"/>
        <v>0</v>
      </c>
      <c r="P40" s="82">
        <f>O40+'BM 010'!O39</f>
        <v>86196.800000000003</v>
      </c>
      <c r="Q40" s="82">
        <f t="shared" si="7"/>
        <v>68000</v>
      </c>
      <c r="R40" s="82">
        <f t="shared" si="8"/>
        <v>86196.800000000003</v>
      </c>
      <c r="S40" s="82">
        <f t="shared" si="9"/>
        <v>86196.800000000003</v>
      </c>
      <c r="T40" s="82">
        <f t="shared" si="10"/>
        <v>0</v>
      </c>
    </row>
    <row r="41" spans="1:23" s="34" customFormat="1" ht="34.799999999999997">
      <c r="B41" s="87" t="s">
        <v>87</v>
      </c>
      <c r="C41" s="88" t="s">
        <v>88</v>
      </c>
      <c r="D41" s="89" t="s">
        <v>79</v>
      </c>
      <c r="E41" s="92">
        <v>60</v>
      </c>
      <c r="F41" s="92">
        <v>60</v>
      </c>
      <c r="G41" s="91"/>
      <c r="H41" s="91"/>
      <c r="I41" s="91"/>
      <c r="J41" s="79">
        <f>SUM(H41:I41)+'BM 010'!I40</f>
        <v>60</v>
      </c>
      <c r="K41" s="91">
        <f t="shared" si="2"/>
        <v>0</v>
      </c>
      <c r="L41" s="80">
        <v>600</v>
      </c>
      <c r="M41" s="81">
        <v>760.56006600000001</v>
      </c>
      <c r="N41" s="82">
        <f t="shared" si="5"/>
        <v>0</v>
      </c>
      <c r="O41" s="82">
        <f t="shared" si="6"/>
        <v>0</v>
      </c>
      <c r="P41" s="82">
        <f>O41+'BM 010'!O40</f>
        <v>45633.599999999999</v>
      </c>
      <c r="Q41" s="82">
        <f t="shared" si="7"/>
        <v>36000</v>
      </c>
      <c r="R41" s="82">
        <f t="shared" si="8"/>
        <v>45633.599999999999</v>
      </c>
      <c r="S41" s="82">
        <f t="shared" si="9"/>
        <v>45633.599999999999</v>
      </c>
      <c r="T41" s="82">
        <f t="shared" si="10"/>
        <v>0</v>
      </c>
      <c r="V41" s="83"/>
      <c r="W41" s="83"/>
    </row>
    <row r="42" spans="1:23" s="34" customFormat="1" ht="34.799999999999997">
      <c r="B42" s="87" t="s">
        <v>89</v>
      </c>
      <c r="C42" s="76" t="s">
        <v>90</v>
      </c>
      <c r="D42" s="77" t="s">
        <v>79</v>
      </c>
      <c r="E42" s="78">
        <v>60</v>
      </c>
      <c r="F42" s="78">
        <v>60</v>
      </c>
      <c r="G42" s="79"/>
      <c r="H42" s="91"/>
      <c r="I42" s="79"/>
      <c r="J42" s="79">
        <f>SUM(H42:I42)+'BM 010'!I41</f>
        <v>60</v>
      </c>
      <c r="K42" s="79">
        <f t="shared" si="2"/>
        <v>0</v>
      </c>
      <c r="L42" s="80">
        <v>1150</v>
      </c>
      <c r="M42" s="81">
        <v>1457.7401265000001</v>
      </c>
      <c r="N42" s="82">
        <f t="shared" si="5"/>
        <v>0</v>
      </c>
      <c r="O42" s="82">
        <f t="shared" si="6"/>
        <v>0</v>
      </c>
      <c r="P42" s="82">
        <f>O42+'BM 010'!O41</f>
        <v>87464.4</v>
      </c>
      <c r="Q42" s="82">
        <f t="shared" si="7"/>
        <v>69000</v>
      </c>
      <c r="R42" s="82">
        <f t="shared" si="8"/>
        <v>87464.4</v>
      </c>
      <c r="S42" s="82">
        <f t="shared" si="9"/>
        <v>87464.4</v>
      </c>
      <c r="T42" s="82">
        <f t="shared" si="10"/>
        <v>0</v>
      </c>
    </row>
    <row r="43" spans="1:23" s="34" customFormat="1" ht="34.200000000000003">
      <c r="B43" s="87" t="s">
        <v>91</v>
      </c>
      <c r="C43" s="184" t="s">
        <v>1195</v>
      </c>
      <c r="D43" s="77" t="s">
        <v>79</v>
      </c>
      <c r="E43" s="78">
        <v>50</v>
      </c>
      <c r="F43" s="78">
        <v>50</v>
      </c>
      <c r="G43" s="79"/>
      <c r="H43" s="91"/>
      <c r="I43" s="79"/>
      <c r="J43" s="79">
        <f>SUM(H43:I43)+'BM 010'!I42</f>
        <v>50</v>
      </c>
      <c r="K43" s="79">
        <f t="shared" si="2"/>
        <v>0</v>
      </c>
      <c r="L43" s="80">
        <v>650</v>
      </c>
      <c r="M43" s="81">
        <v>823.94007150000004</v>
      </c>
      <c r="N43" s="82">
        <f t="shared" si="5"/>
        <v>0</v>
      </c>
      <c r="O43" s="82">
        <f t="shared" si="6"/>
        <v>0</v>
      </c>
      <c r="P43" s="82">
        <f>O43+'BM 010'!O42</f>
        <v>41197</v>
      </c>
      <c r="Q43" s="82">
        <f t="shared" si="7"/>
        <v>32500</v>
      </c>
      <c r="R43" s="82">
        <f t="shared" si="8"/>
        <v>41197</v>
      </c>
      <c r="S43" s="82">
        <f t="shared" si="9"/>
        <v>41197</v>
      </c>
      <c r="T43" s="82">
        <f t="shared" si="10"/>
        <v>0</v>
      </c>
    </row>
    <row r="44" spans="1:23" s="34" customFormat="1" ht="13.2">
      <c r="B44" s="66" t="s">
        <v>93</v>
      </c>
      <c r="C44" s="67" t="s">
        <v>94</v>
      </c>
      <c r="D44" s="68"/>
      <c r="E44" s="69"/>
      <c r="F44" s="69"/>
      <c r="G44" s="70"/>
      <c r="H44" s="70"/>
      <c r="I44" s="70"/>
      <c r="J44" s="70">
        <f>SUM(H44:I44)+'BM 010'!I43</f>
        <v>0</v>
      </c>
      <c r="K44" s="70">
        <f t="shared" si="2"/>
        <v>0</v>
      </c>
      <c r="L44" s="71"/>
      <c r="M44" s="71">
        <v>0</v>
      </c>
      <c r="N44" s="73">
        <f t="shared" ref="N44:T44" si="11">SUM(N45:N52)</f>
        <v>0</v>
      </c>
      <c r="O44" s="73">
        <f t="shared" si="11"/>
        <v>0</v>
      </c>
      <c r="P44" s="73">
        <f t="shared" si="11"/>
        <v>150143.07</v>
      </c>
      <c r="Q44" s="73">
        <f t="shared" si="11"/>
        <v>220037.1</v>
      </c>
      <c r="R44" s="73">
        <f t="shared" si="11"/>
        <v>278919.01</v>
      </c>
      <c r="S44" s="73">
        <f t="shared" si="11"/>
        <v>278919.01</v>
      </c>
      <c r="T44" s="73">
        <f t="shared" si="11"/>
        <v>128775.94</v>
      </c>
    </row>
    <row r="45" spans="1:23" s="34" customFormat="1" ht="34.799999999999997">
      <c r="A45" s="83"/>
      <c r="B45" s="87" t="s">
        <v>95</v>
      </c>
      <c r="C45" s="76" t="s">
        <v>96</v>
      </c>
      <c r="D45" s="77" t="s">
        <v>79</v>
      </c>
      <c r="E45" s="93">
        <v>2573.3000000000002</v>
      </c>
      <c r="F45" s="93">
        <v>2573.3000000000002</v>
      </c>
      <c r="G45" s="79"/>
      <c r="H45" s="79"/>
      <c r="I45" s="79"/>
      <c r="J45" s="79">
        <f>SUM(H45:I45)+'BM 010'!I44</f>
        <v>2573.3000000000002</v>
      </c>
      <c r="K45" s="79">
        <f t="shared" si="2"/>
        <v>0</v>
      </c>
      <c r="L45" s="80">
        <v>2</v>
      </c>
      <c r="M45" s="81">
        <v>2.5352002200000001</v>
      </c>
      <c r="N45" s="82">
        <f t="shared" ref="N45:N52" si="12">TRUNC(G45*M45,2)</f>
        <v>0</v>
      </c>
      <c r="O45" s="82">
        <f t="shared" ref="O45:O52" si="13">TRUNC(H45*M45,2)</f>
        <v>0</v>
      </c>
      <c r="P45" s="82">
        <f>O45+'BM 010'!O44</f>
        <v>6523.83</v>
      </c>
      <c r="Q45" s="82">
        <f t="shared" ref="Q45:Q52" si="14">E45*L45</f>
        <v>5146.6000000000004</v>
      </c>
      <c r="R45" s="82">
        <f t="shared" ref="R45:R52" si="15">TRUNC(E45*M45,2)</f>
        <v>6523.83</v>
      </c>
      <c r="S45" s="82">
        <f t="shared" ref="S45:S52" si="16">TRUNC(F45*$M45,2)</f>
        <v>6523.83</v>
      </c>
      <c r="T45" s="82">
        <f t="shared" ref="T45:T52" si="17">S45-P45</f>
        <v>0</v>
      </c>
    </row>
    <row r="46" spans="1:23" s="34" customFormat="1" ht="23.4">
      <c r="B46" s="87" t="s">
        <v>97</v>
      </c>
      <c r="C46" s="88" t="s">
        <v>98</v>
      </c>
      <c r="D46" s="89" t="s">
        <v>99</v>
      </c>
      <c r="E46" s="90">
        <v>5.9</v>
      </c>
      <c r="F46" s="90">
        <v>5.9</v>
      </c>
      <c r="G46" s="91"/>
      <c r="H46" s="91"/>
      <c r="I46" s="91"/>
      <c r="J46" s="79">
        <f>SUM(H46:I46)+'BM 010'!I45</f>
        <v>5.9</v>
      </c>
      <c r="K46" s="91">
        <f t="shared" si="2"/>
        <v>0</v>
      </c>
      <c r="L46" s="80">
        <v>55</v>
      </c>
      <c r="M46" s="81">
        <v>69.71800605</v>
      </c>
      <c r="N46" s="82">
        <f t="shared" si="12"/>
        <v>0</v>
      </c>
      <c r="O46" s="82">
        <f t="shared" si="13"/>
        <v>0</v>
      </c>
      <c r="P46" s="82">
        <f>O46+'BM 010'!O45</f>
        <v>411.33</v>
      </c>
      <c r="Q46" s="82">
        <f t="shared" si="14"/>
        <v>324.5</v>
      </c>
      <c r="R46" s="82">
        <f t="shared" si="15"/>
        <v>411.33</v>
      </c>
      <c r="S46" s="82">
        <f t="shared" si="16"/>
        <v>411.33</v>
      </c>
      <c r="T46" s="82">
        <f t="shared" si="17"/>
        <v>0</v>
      </c>
    </row>
    <row r="47" spans="1:23" s="34" customFormat="1" ht="13.2">
      <c r="B47" s="87" t="s">
        <v>100</v>
      </c>
      <c r="C47" s="88" t="s">
        <v>101</v>
      </c>
      <c r="D47" s="89" t="s">
        <v>79</v>
      </c>
      <c r="E47" s="90">
        <v>88</v>
      </c>
      <c r="F47" s="90">
        <v>88</v>
      </c>
      <c r="G47" s="91"/>
      <c r="H47" s="91"/>
      <c r="I47" s="91"/>
      <c r="J47" s="79">
        <f>SUM(H47:I47)+'BM 010'!I46</f>
        <v>88</v>
      </c>
      <c r="K47" s="91">
        <f t="shared" si="2"/>
        <v>0</v>
      </c>
      <c r="L47" s="80">
        <v>10</v>
      </c>
      <c r="M47" s="81">
        <v>12.676001100000001</v>
      </c>
      <c r="N47" s="82">
        <f t="shared" si="12"/>
        <v>0</v>
      </c>
      <c r="O47" s="82">
        <f t="shared" si="13"/>
        <v>0</v>
      </c>
      <c r="P47" s="82">
        <f>O47+'BM 010'!O46</f>
        <v>1115.48</v>
      </c>
      <c r="Q47" s="82">
        <f t="shared" si="14"/>
        <v>880</v>
      </c>
      <c r="R47" s="82">
        <f t="shared" si="15"/>
        <v>1115.48</v>
      </c>
      <c r="S47" s="82">
        <f t="shared" si="16"/>
        <v>1115.48</v>
      </c>
      <c r="T47" s="82">
        <f t="shared" si="17"/>
        <v>0</v>
      </c>
    </row>
    <row r="48" spans="1:23" s="34" customFormat="1" ht="34.799999999999997">
      <c r="B48" s="87" t="s">
        <v>102</v>
      </c>
      <c r="C48" s="88" t="s">
        <v>103</v>
      </c>
      <c r="D48" s="89" t="s">
        <v>99</v>
      </c>
      <c r="E48" s="90">
        <v>6.8</v>
      </c>
      <c r="F48" s="90">
        <v>6.8</v>
      </c>
      <c r="G48" s="91"/>
      <c r="H48" s="91"/>
      <c r="I48" s="91"/>
      <c r="J48" s="79">
        <f>SUM(H48:I48)+'BM 010'!I47</f>
        <v>6.8</v>
      </c>
      <c r="K48" s="91">
        <f t="shared" si="2"/>
        <v>0</v>
      </c>
      <c r="L48" s="80">
        <v>220</v>
      </c>
      <c r="M48" s="81">
        <v>278.8720242</v>
      </c>
      <c r="N48" s="82">
        <f t="shared" si="12"/>
        <v>0</v>
      </c>
      <c r="O48" s="82">
        <f t="shared" si="13"/>
        <v>0</v>
      </c>
      <c r="P48" s="82">
        <f>O48+'BM 010'!O47</f>
        <v>1896.32</v>
      </c>
      <c r="Q48" s="82">
        <f t="shared" si="14"/>
        <v>1496</v>
      </c>
      <c r="R48" s="82">
        <f t="shared" si="15"/>
        <v>1896.32</v>
      </c>
      <c r="S48" s="82">
        <f t="shared" si="16"/>
        <v>1896.32</v>
      </c>
      <c r="T48" s="82">
        <f t="shared" si="17"/>
        <v>0</v>
      </c>
    </row>
    <row r="49" spans="2:22" s="34" customFormat="1" ht="23.4">
      <c r="B49" s="87" t="s">
        <v>104</v>
      </c>
      <c r="C49" s="88" t="s">
        <v>105</v>
      </c>
      <c r="D49" s="89" t="s">
        <v>79</v>
      </c>
      <c r="E49" s="90">
        <v>88</v>
      </c>
      <c r="F49" s="90">
        <v>88</v>
      </c>
      <c r="G49" s="91"/>
      <c r="H49" s="91"/>
      <c r="I49" s="91"/>
      <c r="J49" s="79">
        <f>SUM(H49:I49)+'BM 010'!I48</f>
        <v>88</v>
      </c>
      <c r="K49" s="91">
        <f t="shared" si="2"/>
        <v>0</v>
      </c>
      <c r="L49" s="80">
        <v>15</v>
      </c>
      <c r="M49" s="81">
        <v>19.014001650000001</v>
      </c>
      <c r="N49" s="82">
        <f t="shared" si="12"/>
        <v>0</v>
      </c>
      <c r="O49" s="82">
        <f t="shared" si="13"/>
        <v>0</v>
      </c>
      <c r="P49" s="82">
        <f>O49+'BM 010'!O48</f>
        <v>1673.23</v>
      </c>
      <c r="Q49" s="80">
        <f t="shared" si="14"/>
        <v>1320</v>
      </c>
      <c r="R49" s="82">
        <f t="shared" si="15"/>
        <v>1673.23</v>
      </c>
      <c r="S49" s="82">
        <f t="shared" si="16"/>
        <v>1673.23</v>
      </c>
      <c r="T49" s="82">
        <f t="shared" si="17"/>
        <v>0</v>
      </c>
    </row>
    <row r="50" spans="2:22" s="34" customFormat="1" ht="23.4">
      <c r="B50" s="87" t="s">
        <v>106</v>
      </c>
      <c r="C50" s="76" t="s">
        <v>107</v>
      </c>
      <c r="D50" s="89" t="s">
        <v>99</v>
      </c>
      <c r="E50" s="90">
        <v>4350</v>
      </c>
      <c r="F50" s="90">
        <v>4350</v>
      </c>
      <c r="G50" s="91"/>
      <c r="H50" s="91"/>
      <c r="I50" s="91"/>
      <c r="J50" s="79">
        <f>SUM(H50:I50)+'BM 010'!I49</f>
        <v>1616.87</v>
      </c>
      <c r="K50" s="91">
        <f t="shared" si="2"/>
        <v>2733.13</v>
      </c>
      <c r="L50" s="80">
        <v>10</v>
      </c>
      <c r="M50" s="81">
        <v>12.676001100000001</v>
      </c>
      <c r="N50" s="82">
        <f t="shared" si="12"/>
        <v>0</v>
      </c>
      <c r="O50" s="82">
        <f t="shared" si="13"/>
        <v>0</v>
      </c>
      <c r="P50" s="82">
        <f>O50+'BM 010'!O49</f>
        <v>20495.439999999999</v>
      </c>
      <c r="Q50" s="80">
        <f t="shared" si="14"/>
        <v>43500</v>
      </c>
      <c r="R50" s="82">
        <f t="shared" si="15"/>
        <v>55140.6</v>
      </c>
      <c r="S50" s="82">
        <f t="shared" si="16"/>
        <v>55140.6</v>
      </c>
      <c r="T50" s="82">
        <f t="shared" si="17"/>
        <v>34645.160000000003</v>
      </c>
      <c r="V50" s="185"/>
    </row>
    <row r="51" spans="2:22" s="34" customFormat="1" ht="57.6">
      <c r="B51" s="87" t="s">
        <v>108</v>
      </c>
      <c r="C51" s="76" t="s">
        <v>109</v>
      </c>
      <c r="D51" s="89" t="s">
        <v>110</v>
      </c>
      <c r="E51" s="90">
        <v>3985</v>
      </c>
      <c r="F51" s="90">
        <v>3985</v>
      </c>
      <c r="G51" s="91"/>
      <c r="H51" s="91"/>
      <c r="I51" s="91"/>
      <c r="J51" s="79">
        <f>SUM(H51:I51)+'BM 010'!I50</f>
        <v>2887.87</v>
      </c>
      <c r="K51" s="91">
        <f t="shared" si="2"/>
        <v>1097.1300000000001</v>
      </c>
      <c r="L51" s="80">
        <v>12</v>
      </c>
      <c r="M51" s="81">
        <v>15.211201320000001</v>
      </c>
      <c r="N51" s="82">
        <f t="shared" si="12"/>
        <v>0</v>
      </c>
      <c r="O51" s="82">
        <f t="shared" si="13"/>
        <v>0</v>
      </c>
      <c r="P51" s="82">
        <f>O51+'BM 010'!O50</f>
        <v>43927.96</v>
      </c>
      <c r="Q51" s="80">
        <f t="shared" si="14"/>
        <v>47820</v>
      </c>
      <c r="R51" s="82">
        <f t="shared" si="15"/>
        <v>60616.63</v>
      </c>
      <c r="S51" s="82">
        <f t="shared" si="16"/>
        <v>60616.63</v>
      </c>
      <c r="T51" s="82">
        <f t="shared" si="17"/>
        <v>16688.669999999998</v>
      </c>
      <c r="V51" s="83"/>
    </row>
    <row r="52" spans="2:22" s="34" customFormat="1" ht="34.799999999999997">
      <c r="B52" s="87" t="s">
        <v>111</v>
      </c>
      <c r="C52" s="76" t="s">
        <v>112</v>
      </c>
      <c r="D52" s="89" t="s">
        <v>113</v>
      </c>
      <c r="E52" s="90">
        <f>E51*30</f>
        <v>119550</v>
      </c>
      <c r="F52" s="90">
        <v>119550</v>
      </c>
      <c r="G52" s="91"/>
      <c r="H52" s="91"/>
      <c r="I52" s="91"/>
      <c r="J52" s="79">
        <f>SUM(H52:I52)+'BM 010'!I51</f>
        <v>58456.525000000001</v>
      </c>
      <c r="K52" s="91">
        <f t="shared" si="2"/>
        <v>61093.474999999999</v>
      </c>
      <c r="L52" s="80">
        <v>1</v>
      </c>
      <c r="M52" s="81">
        <v>1.2676001100000001</v>
      </c>
      <c r="N52" s="82">
        <f t="shared" si="12"/>
        <v>0</v>
      </c>
      <c r="O52" s="82">
        <f t="shared" si="13"/>
        <v>0</v>
      </c>
      <c r="P52" s="82">
        <f>O52+'BM 010'!O51</f>
        <v>74099.48</v>
      </c>
      <c r="Q52" s="80">
        <f t="shared" si="14"/>
        <v>119550</v>
      </c>
      <c r="R52" s="82">
        <f t="shared" si="15"/>
        <v>151541.59</v>
      </c>
      <c r="S52" s="82">
        <f t="shared" si="16"/>
        <v>151541.59</v>
      </c>
      <c r="T52" s="82">
        <f t="shared" si="17"/>
        <v>77442.11</v>
      </c>
    </row>
    <row r="53" spans="2:22" s="34" customFormat="1" ht="13.2">
      <c r="B53" s="60" t="s">
        <v>114</v>
      </c>
      <c r="C53" s="61" t="s">
        <v>115</v>
      </c>
      <c r="D53" s="60"/>
      <c r="E53" s="62"/>
      <c r="F53" s="284"/>
      <c r="G53" s="63"/>
      <c r="H53" s="63"/>
      <c r="I53" s="63"/>
      <c r="J53" s="63">
        <f>SUM(H53:I53)+'BM 010'!I52</f>
        <v>0</v>
      </c>
      <c r="K53" s="63">
        <f t="shared" si="2"/>
        <v>0</v>
      </c>
      <c r="L53" s="63"/>
      <c r="M53" s="63"/>
      <c r="N53" s="63">
        <f t="shared" ref="N53:T53" si="18">N54</f>
        <v>0</v>
      </c>
      <c r="O53" s="63">
        <f t="shared" si="18"/>
        <v>0</v>
      </c>
      <c r="P53" s="63">
        <f t="shared" si="18"/>
        <v>1043334.3999999999</v>
      </c>
      <c r="Q53" s="63">
        <f t="shared" si="18"/>
        <v>823958.14</v>
      </c>
      <c r="R53" s="63">
        <f t="shared" si="18"/>
        <v>1044449.3999999999</v>
      </c>
      <c r="S53" s="63">
        <f t="shared" si="18"/>
        <v>1044449.3999999999</v>
      </c>
      <c r="T53" s="63">
        <f t="shared" si="18"/>
        <v>1115</v>
      </c>
    </row>
    <row r="54" spans="2:22" s="34" customFormat="1" ht="13.2">
      <c r="B54" s="66" t="s">
        <v>116</v>
      </c>
      <c r="C54" s="67" t="s">
        <v>117</v>
      </c>
      <c r="D54" s="68"/>
      <c r="E54" s="69"/>
      <c r="F54" s="69"/>
      <c r="G54" s="70"/>
      <c r="H54" s="70"/>
      <c r="I54" s="70"/>
      <c r="J54" s="70">
        <f>SUM(H54:I54)+'BM 010'!I53</f>
        <v>0</v>
      </c>
      <c r="K54" s="70">
        <f t="shared" si="2"/>
        <v>0</v>
      </c>
      <c r="L54" s="71"/>
      <c r="M54" s="71">
        <v>0</v>
      </c>
      <c r="N54" s="73">
        <f t="shared" ref="N54:T54" si="19">SUM(N55:N62)</f>
        <v>0</v>
      </c>
      <c r="O54" s="73">
        <f t="shared" si="19"/>
        <v>0</v>
      </c>
      <c r="P54" s="73">
        <f t="shared" si="19"/>
        <v>1043334.3999999999</v>
      </c>
      <c r="Q54" s="73">
        <f t="shared" si="19"/>
        <v>823958.14</v>
      </c>
      <c r="R54" s="73">
        <f t="shared" si="19"/>
        <v>1044449.3999999999</v>
      </c>
      <c r="S54" s="73">
        <f t="shared" si="19"/>
        <v>1044449.3999999999</v>
      </c>
      <c r="T54" s="73">
        <f t="shared" si="19"/>
        <v>1115</v>
      </c>
    </row>
    <row r="55" spans="2:22" s="34" customFormat="1" ht="34.799999999999997">
      <c r="B55" s="87" t="s">
        <v>118</v>
      </c>
      <c r="C55" s="88" t="s">
        <v>119</v>
      </c>
      <c r="D55" s="89" t="s">
        <v>82</v>
      </c>
      <c r="E55" s="92">
        <v>196.9</v>
      </c>
      <c r="F55" s="92">
        <v>196.9</v>
      </c>
      <c r="G55" s="91"/>
      <c r="H55" s="91"/>
      <c r="I55" s="91"/>
      <c r="J55" s="79">
        <f>SUM(H55:I55)+'BM 010'!I54</f>
        <v>196.9</v>
      </c>
      <c r="K55" s="91">
        <f t="shared" si="2"/>
        <v>0</v>
      </c>
      <c r="L55" s="80">
        <v>75</v>
      </c>
      <c r="M55" s="81">
        <v>95.070008250000001</v>
      </c>
      <c r="N55" s="82">
        <f t="shared" ref="N55:N62" si="20">TRUNC(G55*M55,2)</f>
        <v>0</v>
      </c>
      <c r="O55" s="82">
        <f t="shared" ref="O55:O62" si="21">TRUNC(H55*M55,2)</f>
        <v>0</v>
      </c>
      <c r="P55" s="82">
        <f>O55+'BM 010'!O54</f>
        <v>18719.28</v>
      </c>
      <c r="Q55" s="80">
        <f t="shared" ref="Q55:Q62" si="22">E55*L55</f>
        <v>14767.5</v>
      </c>
      <c r="R55" s="82">
        <f t="shared" ref="R55:R62" si="23">TRUNC(E55*M55,2)</f>
        <v>18719.28</v>
      </c>
      <c r="S55" s="82">
        <f t="shared" ref="S55:S62" si="24">TRUNC(F55*$M55,2)</f>
        <v>18719.28</v>
      </c>
      <c r="T55" s="82">
        <f t="shared" ref="T55:T62" si="25">S55-P55</f>
        <v>0</v>
      </c>
    </row>
    <row r="56" spans="2:22" s="34" customFormat="1" ht="34.799999999999997">
      <c r="B56" s="87" t="s">
        <v>120</v>
      </c>
      <c r="C56" s="88" t="s">
        <v>121</v>
      </c>
      <c r="D56" s="89" t="s">
        <v>63</v>
      </c>
      <c r="E56" s="92">
        <v>1</v>
      </c>
      <c r="F56" s="92">
        <v>1</v>
      </c>
      <c r="G56" s="91"/>
      <c r="H56" s="91"/>
      <c r="I56" s="91"/>
      <c r="J56" s="79">
        <f>SUM(H56:I56)+'BM 010'!I55</f>
        <v>1</v>
      </c>
      <c r="K56" s="91">
        <f t="shared" si="2"/>
        <v>0</v>
      </c>
      <c r="L56" s="80">
        <v>11000</v>
      </c>
      <c r="M56" s="81">
        <v>13943.601210000001</v>
      </c>
      <c r="N56" s="82">
        <f t="shared" si="20"/>
        <v>0</v>
      </c>
      <c r="O56" s="82">
        <f t="shared" si="21"/>
        <v>0</v>
      </c>
      <c r="P56" s="82">
        <f>O56+'BM 010'!O55</f>
        <v>13943.6</v>
      </c>
      <c r="Q56" s="80">
        <f t="shared" si="22"/>
        <v>11000</v>
      </c>
      <c r="R56" s="82">
        <f t="shared" si="23"/>
        <v>13943.6</v>
      </c>
      <c r="S56" s="82">
        <f t="shared" si="24"/>
        <v>13943.6</v>
      </c>
      <c r="T56" s="82">
        <f t="shared" si="25"/>
        <v>0</v>
      </c>
    </row>
    <row r="57" spans="2:22" s="34" customFormat="1" ht="46.2">
      <c r="B57" s="87" t="s">
        <v>122</v>
      </c>
      <c r="C57" s="88" t="s">
        <v>123</v>
      </c>
      <c r="D57" s="89" t="s">
        <v>124</v>
      </c>
      <c r="E57" s="90">
        <v>1837</v>
      </c>
      <c r="F57" s="90">
        <v>1837</v>
      </c>
      <c r="G57" s="91"/>
      <c r="H57" s="91"/>
      <c r="I57" s="91"/>
      <c r="J57" s="79">
        <f>SUM(H57:I57)+'BM 010'!I56</f>
        <v>1837</v>
      </c>
      <c r="K57" s="91">
        <f t="shared" si="2"/>
        <v>0</v>
      </c>
      <c r="L57" s="80">
        <v>405</v>
      </c>
      <c r="M57" s="81">
        <v>513.37804455000003</v>
      </c>
      <c r="N57" s="82">
        <f t="shared" si="20"/>
        <v>0</v>
      </c>
      <c r="O57" s="82">
        <f t="shared" si="21"/>
        <v>0</v>
      </c>
      <c r="P57" s="82">
        <f>O57+'BM 010'!O56</f>
        <v>943075.46</v>
      </c>
      <c r="Q57" s="80">
        <f t="shared" si="22"/>
        <v>743985</v>
      </c>
      <c r="R57" s="82">
        <f t="shared" si="23"/>
        <v>943075.46</v>
      </c>
      <c r="S57" s="82">
        <f t="shared" si="24"/>
        <v>943075.46</v>
      </c>
      <c r="T57" s="82">
        <f t="shared" si="25"/>
        <v>0</v>
      </c>
    </row>
    <row r="58" spans="2:22" s="34" customFormat="1" ht="46.2">
      <c r="B58" s="87" t="s">
        <v>125</v>
      </c>
      <c r="C58" s="88" t="s">
        <v>126</v>
      </c>
      <c r="D58" s="89" t="s">
        <v>110</v>
      </c>
      <c r="E58" s="90">
        <v>293.92</v>
      </c>
      <c r="F58" s="90">
        <v>293.92</v>
      </c>
      <c r="G58" s="91"/>
      <c r="H58" s="91"/>
      <c r="I58" s="91"/>
      <c r="J58" s="79">
        <f>SUM(H58:I58)+'BM 010'!I57</f>
        <v>293.92</v>
      </c>
      <c r="K58" s="91">
        <f t="shared" si="2"/>
        <v>0</v>
      </c>
      <c r="L58" s="80">
        <v>12</v>
      </c>
      <c r="M58" s="81">
        <v>15.211201320000001</v>
      </c>
      <c r="N58" s="82">
        <f t="shared" si="20"/>
        <v>0</v>
      </c>
      <c r="O58" s="82">
        <f t="shared" si="21"/>
        <v>0</v>
      </c>
      <c r="P58" s="82">
        <f>O58+'BM 010'!O57</f>
        <v>4470.87</v>
      </c>
      <c r="Q58" s="80">
        <f t="shared" si="22"/>
        <v>3527.04</v>
      </c>
      <c r="R58" s="82">
        <f t="shared" si="23"/>
        <v>4470.87</v>
      </c>
      <c r="S58" s="82">
        <f t="shared" si="24"/>
        <v>4470.87</v>
      </c>
      <c r="T58" s="82">
        <f t="shared" si="25"/>
        <v>0</v>
      </c>
    </row>
    <row r="59" spans="2:22" s="34" customFormat="1" ht="34.799999999999997">
      <c r="B59" s="87" t="s">
        <v>127</v>
      </c>
      <c r="C59" s="88" t="s">
        <v>128</v>
      </c>
      <c r="D59" s="89" t="s">
        <v>113</v>
      </c>
      <c r="E59" s="90">
        <f>E58*30</f>
        <v>8817.6</v>
      </c>
      <c r="F59" s="90">
        <v>8817.6</v>
      </c>
      <c r="G59" s="91"/>
      <c r="H59" s="91"/>
      <c r="I59" s="91"/>
      <c r="J59" s="79">
        <f>SUM(H59:I59)+'BM 010'!I58</f>
        <v>7938.0000000000009</v>
      </c>
      <c r="K59" s="91">
        <f t="shared" si="2"/>
        <v>879.59999999999945</v>
      </c>
      <c r="L59" s="80">
        <v>1</v>
      </c>
      <c r="M59" s="81">
        <v>1.2676001100000001</v>
      </c>
      <c r="N59" s="82">
        <f t="shared" si="20"/>
        <v>0</v>
      </c>
      <c r="O59" s="82">
        <f t="shared" si="21"/>
        <v>0</v>
      </c>
      <c r="P59" s="82">
        <f>O59+'BM 010'!O58</f>
        <v>10062.200000000001</v>
      </c>
      <c r="Q59" s="80">
        <f t="shared" si="22"/>
        <v>8817.6</v>
      </c>
      <c r="R59" s="82">
        <f t="shared" si="23"/>
        <v>11177.19</v>
      </c>
      <c r="S59" s="82">
        <f t="shared" si="24"/>
        <v>11177.19</v>
      </c>
      <c r="T59" s="82">
        <f t="shared" si="25"/>
        <v>1114.9899999999998</v>
      </c>
    </row>
    <row r="60" spans="2:22" s="34" customFormat="1" ht="23.4">
      <c r="B60" s="87" t="s">
        <v>129</v>
      </c>
      <c r="C60" s="88" t="s">
        <v>130</v>
      </c>
      <c r="D60" s="89" t="s">
        <v>131</v>
      </c>
      <c r="E60" s="92">
        <v>167</v>
      </c>
      <c r="F60" s="92">
        <v>167</v>
      </c>
      <c r="G60" s="91"/>
      <c r="H60" s="91"/>
      <c r="I60" s="91"/>
      <c r="J60" s="79">
        <f>SUM(H60:I60)+'BM 010'!I59</f>
        <v>167</v>
      </c>
      <c r="K60" s="91">
        <f t="shared" si="2"/>
        <v>0</v>
      </c>
      <c r="L60" s="80">
        <v>23</v>
      </c>
      <c r="M60" s="81">
        <v>29.154802530000001</v>
      </c>
      <c r="N60" s="82">
        <f t="shared" si="20"/>
        <v>0</v>
      </c>
      <c r="O60" s="82">
        <f t="shared" si="21"/>
        <v>0</v>
      </c>
      <c r="P60" s="82">
        <f>O60+'BM 010'!O59</f>
        <v>4868.84</v>
      </c>
      <c r="Q60" s="80">
        <f t="shared" si="22"/>
        <v>3841</v>
      </c>
      <c r="R60" s="82">
        <f t="shared" si="23"/>
        <v>4868.8500000000004</v>
      </c>
      <c r="S60" s="82">
        <f t="shared" si="24"/>
        <v>4868.8500000000004</v>
      </c>
      <c r="T60" s="82">
        <f t="shared" si="25"/>
        <v>1.0000000000218279E-2</v>
      </c>
    </row>
    <row r="61" spans="2:22" s="34" customFormat="1" ht="13.2">
      <c r="B61" s="87" t="s">
        <v>132</v>
      </c>
      <c r="C61" s="88" t="s">
        <v>133</v>
      </c>
      <c r="D61" s="89" t="s">
        <v>63</v>
      </c>
      <c r="E61" s="92">
        <v>2</v>
      </c>
      <c r="F61" s="92">
        <v>2</v>
      </c>
      <c r="G61" s="91"/>
      <c r="H61" s="91"/>
      <c r="I61" s="91"/>
      <c r="J61" s="79">
        <f>SUM(H61:I61)+'BM 010'!I60</f>
        <v>2</v>
      </c>
      <c r="K61" s="91">
        <f t="shared" si="2"/>
        <v>0</v>
      </c>
      <c r="L61" s="80">
        <v>14000</v>
      </c>
      <c r="M61" s="81">
        <v>17746.401539999999</v>
      </c>
      <c r="N61" s="82">
        <f t="shared" si="20"/>
        <v>0</v>
      </c>
      <c r="O61" s="82">
        <f t="shared" si="21"/>
        <v>0</v>
      </c>
      <c r="P61" s="82">
        <f>O61+'BM 010'!O60</f>
        <v>35492.800000000003</v>
      </c>
      <c r="Q61" s="80">
        <f t="shared" si="22"/>
        <v>28000</v>
      </c>
      <c r="R61" s="82">
        <f t="shared" si="23"/>
        <v>35492.800000000003</v>
      </c>
      <c r="S61" s="82">
        <f t="shared" si="24"/>
        <v>35492.800000000003</v>
      </c>
      <c r="T61" s="82">
        <f t="shared" si="25"/>
        <v>0</v>
      </c>
    </row>
    <row r="62" spans="2:22" s="34" customFormat="1" ht="13.2">
      <c r="B62" s="87" t="s">
        <v>134</v>
      </c>
      <c r="C62" s="88" t="s">
        <v>135</v>
      </c>
      <c r="D62" s="89" t="s">
        <v>63</v>
      </c>
      <c r="E62" s="92">
        <v>167</v>
      </c>
      <c r="F62" s="92">
        <v>167</v>
      </c>
      <c r="G62" s="91"/>
      <c r="H62" s="91"/>
      <c r="I62" s="91"/>
      <c r="J62" s="79">
        <f>SUM(H62:I62)+'BM 010'!I61</f>
        <v>167</v>
      </c>
      <c r="K62" s="91">
        <f t="shared" si="2"/>
        <v>0</v>
      </c>
      <c r="L62" s="80">
        <v>60</v>
      </c>
      <c r="M62" s="81">
        <v>76.056006600000003</v>
      </c>
      <c r="N62" s="82">
        <f t="shared" si="20"/>
        <v>0</v>
      </c>
      <c r="O62" s="82">
        <f t="shared" si="21"/>
        <v>0</v>
      </c>
      <c r="P62" s="82">
        <f>O62+'BM 010'!O61</f>
        <v>12701.35</v>
      </c>
      <c r="Q62" s="80">
        <f t="shared" si="22"/>
        <v>10020</v>
      </c>
      <c r="R62" s="82">
        <f t="shared" si="23"/>
        <v>12701.35</v>
      </c>
      <c r="S62" s="82">
        <f t="shared" si="24"/>
        <v>12701.35</v>
      </c>
      <c r="T62" s="82">
        <f t="shared" si="25"/>
        <v>0</v>
      </c>
    </row>
    <row r="63" spans="2:22" s="34" customFormat="1" ht="15.75" customHeight="1">
      <c r="B63" s="60" t="s">
        <v>136</v>
      </c>
      <c r="C63" s="61" t="s">
        <v>137</v>
      </c>
      <c r="D63" s="60"/>
      <c r="E63" s="62"/>
      <c r="F63" s="284"/>
      <c r="G63" s="63"/>
      <c r="H63" s="63"/>
      <c r="I63" s="63"/>
      <c r="J63" s="63">
        <f>SUM(H63:I63)+'BM 010'!I62</f>
        <v>0</v>
      </c>
      <c r="K63" s="63">
        <f t="shared" si="2"/>
        <v>0</v>
      </c>
      <c r="L63" s="63"/>
      <c r="M63" s="63">
        <v>0</v>
      </c>
      <c r="N63" s="63">
        <f t="shared" ref="N63:T63" si="26">SUM(N64,N81)</f>
        <v>108820.63</v>
      </c>
      <c r="O63" s="63">
        <f t="shared" si="26"/>
        <v>108820.63</v>
      </c>
      <c r="P63" s="63">
        <f t="shared" si="26"/>
        <v>897193.6</v>
      </c>
      <c r="Q63" s="63">
        <f t="shared" si="26"/>
        <v>621941.5</v>
      </c>
      <c r="R63" s="63">
        <f t="shared" si="26"/>
        <v>788372.97</v>
      </c>
      <c r="S63" s="63">
        <f t="shared" si="26"/>
        <v>897193.62</v>
      </c>
      <c r="T63" s="63">
        <f t="shared" si="26"/>
        <v>1.9999999994979589E-2</v>
      </c>
    </row>
    <row r="64" spans="2:22" s="34" customFormat="1" ht="13.2">
      <c r="B64" s="66" t="s">
        <v>138</v>
      </c>
      <c r="C64" s="67" t="s">
        <v>139</v>
      </c>
      <c r="D64" s="68"/>
      <c r="E64" s="69"/>
      <c r="F64" s="69"/>
      <c r="G64" s="70"/>
      <c r="H64" s="70"/>
      <c r="I64" s="70"/>
      <c r="J64" s="70">
        <f>SUM(H64:I64)+'BM 010'!I63</f>
        <v>0</v>
      </c>
      <c r="K64" s="70">
        <f t="shared" si="2"/>
        <v>0</v>
      </c>
      <c r="L64" s="71"/>
      <c r="M64" s="71">
        <v>0</v>
      </c>
      <c r="N64" s="73">
        <f t="shared" ref="N64:T64" si="27">SUM(N65:N80)</f>
        <v>76211.25</v>
      </c>
      <c r="O64" s="73">
        <f t="shared" si="27"/>
        <v>76211.25</v>
      </c>
      <c r="P64" s="73">
        <f t="shared" si="27"/>
        <v>674012.6</v>
      </c>
      <c r="Q64" s="73">
        <f t="shared" si="27"/>
        <v>471600.95</v>
      </c>
      <c r="R64" s="73">
        <f t="shared" si="27"/>
        <v>597801.35</v>
      </c>
      <c r="S64" s="73">
        <f t="shared" si="27"/>
        <v>674012.61</v>
      </c>
      <c r="T64" s="73">
        <f t="shared" si="27"/>
        <v>9.9999999947613105E-3</v>
      </c>
    </row>
    <row r="65" spans="2:23" s="34" customFormat="1" ht="23.4">
      <c r="B65" s="87" t="s">
        <v>140</v>
      </c>
      <c r="C65" s="88" t="s">
        <v>141</v>
      </c>
      <c r="D65" s="89" t="s">
        <v>110</v>
      </c>
      <c r="E65" s="90">
        <v>259.39</v>
      </c>
      <c r="F65" s="90">
        <v>259.39</v>
      </c>
      <c r="G65" s="91"/>
      <c r="H65" s="91"/>
      <c r="I65" s="91"/>
      <c r="J65" s="79">
        <f>SUM(H65:I65)+'BM 010'!I64</f>
        <v>259.39</v>
      </c>
      <c r="K65" s="91">
        <f t="shared" si="2"/>
        <v>0</v>
      </c>
      <c r="L65" s="80">
        <v>80</v>
      </c>
      <c r="M65" s="81">
        <v>101.4080088</v>
      </c>
      <c r="N65" s="82">
        <f t="shared" ref="N65:N80" si="28">TRUNC(G65*M65,2)</f>
        <v>0</v>
      </c>
      <c r="O65" s="82">
        <f t="shared" ref="O65:O80" si="29">TRUNC(H65*M65,2)</f>
        <v>0</v>
      </c>
      <c r="P65" s="82">
        <f>O65+'BM 010'!O64</f>
        <v>26304.22</v>
      </c>
      <c r="Q65" s="80">
        <f t="shared" ref="Q65:Q80" si="30">E65*L65</f>
        <v>20751.199999999997</v>
      </c>
      <c r="R65" s="82">
        <f t="shared" ref="R65:R80" si="31">TRUNC(E65*M65,2)</f>
        <v>26304.22</v>
      </c>
      <c r="S65" s="82">
        <f t="shared" ref="S65:S80" si="32">TRUNC(F65*$M65,2)</f>
        <v>26304.22</v>
      </c>
      <c r="T65" s="82">
        <f t="shared" ref="T65:T80" si="33">S65-P65</f>
        <v>0</v>
      </c>
      <c r="W65" s="83"/>
    </row>
    <row r="66" spans="2:23" s="34" customFormat="1" ht="23.4">
      <c r="B66" s="87" t="s">
        <v>142</v>
      </c>
      <c r="C66" s="88" t="s">
        <v>143</v>
      </c>
      <c r="D66" s="89" t="s">
        <v>79</v>
      </c>
      <c r="E66" s="92">
        <v>72.260000000000005</v>
      </c>
      <c r="F66" s="92">
        <v>72.260000000000005</v>
      </c>
      <c r="G66" s="91"/>
      <c r="H66" s="91"/>
      <c r="I66" s="91"/>
      <c r="J66" s="79">
        <f>SUM(H66:I66)+'BM 010'!I65</f>
        <v>72.260000000000005</v>
      </c>
      <c r="K66" s="91">
        <f t="shared" si="2"/>
        <v>0</v>
      </c>
      <c r="L66" s="80">
        <v>30</v>
      </c>
      <c r="M66" s="81">
        <v>38.028003300000002</v>
      </c>
      <c r="N66" s="82">
        <f t="shared" si="28"/>
        <v>0</v>
      </c>
      <c r="O66" s="82">
        <f t="shared" si="29"/>
        <v>0</v>
      </c>
      <c r="P66" s="82">
        <f>O66+'BM 010'!O65</f>
        <v>2747.9</v>
      </c>
      <c r="Q66" s="80">
        <f t="shared" si="30"/>
        <v>2167.8000000000002</v>
      </c>
      <c r="R66" s="82">
        <f t="shared" si="31"/>
        <v>2747.9</v>
      </c>
      <c r="S66" s="82">
        <f t="shared" si="32"/>
        <v>2747.9</v>
      </c>
      <c r="T66" s="82">
        <f t="shared" si="33"/>
        <v>0</v>
      </c>
      <c r="W66" s="83"/>
    </row>
    <row r="67" spans="2:23" s="34" customFormat="1" ht="23.4">
      <c r="B67" s="87" t="s">
        <v>144</v>
      </c>
      <c r="C67" s="88" t="s">
        <v>145</v>
      </c>
      <c r="D67" s="89" t="s">
        <v>110</v>
      </c>
      <c r="E67" s="92">
        <v>217.8</v>
      </c>
      <c r="F67" s="92">
        <v>217.8</v>
      </c>
      <c r="G67" s="91"/>
      <c r="H67" s="91"/>
      <c r="I67" s="91"/>
      <c r="J67" s="79">
        <f>SUM(H67:I67)+'BM 010'!I66</f>
        <v>217.8</v>
      </c>
      <c r="K67" s="91">
        <f t="shared" si="2"/>
        <v>0</v>
      </c>
      <c r="L67" s="80">
        <v>25</v>
      </c>
      <c r="M67" s="81">
        <v>31.690002750000001</v>
      </c>
      <c r="N67" s="82">
        <f t="shared" si="28"/>
        <v>0</v>
      </c>
      <c r="O67" s="82">
        <f t="shared" si="29"/>
        <v>0</v>
      </c>
      <c r="P67" s="82">
        <f>O67+'BM 010'!O66</f>
        <v>6902.08</v>
      </c>
      <c r="Q67" s="80">
        <f t="shared" si="30"/>
        <v>5445</v>
      </c>
      <c r="R67" s="82">
        <f t="shared" si="31"/>
        <v>6902.08</v>
      </c>
      <c r="S67" s="82">
        <f t="shared" si="32"/>
        <v>6902.08</v>
      </c>
      <c r="T67" s="82">
        <f t="shared" si="33"/>
        <v>0</v>
      </c>
      <c r="W67" s="83"/>
    </row>
    <row r="68" spans="2:23" s="34" customFormat="1" ht="46.2">
      <c r="B68" s="87" t="s">
        <v>146</v>
      </c>
      <c r="C68" s="88" t="s">
        <v>126</v>
      </c>
      <c r="D68" s="89" t="s">
        <v>110</v>
      </c>
      <c r="E68" s="90">
        <v>140.80000000000001</v>
      </c>
      <c r="F68" s="90">
        <v>140.80000000000001</v>
      </c>
      <c r="G68" s="91"/>
      <c r="H68" s="91"/>
      <c r="I68" s="91"/>
      <c r="J68" s="79">
        <f>SUM(H68:I68)+'BM 010'!I67</f>
        <v>140.80000000000001</v>
      </c>
      <c r="K68" s="91">
        <f t="shared" si="2"/>
        <v>0</v>
      </c>
      <c r="L68" s="80">
        <v>12</v>
      </c>
      <c r="M68" s="81">
        <v>15.211201320000001</v>
      </c>
      <c r="N68" s="82">
        <f t="shared" si="28"/>
        <v>0</v>
      </c>
      <c r="O68" s="82">
        <f t="shared" si="29"/>
        <v>0</v>
      </c>
      <c r="P68" s="82">
        <f>O68+'BM 010'!O67</f>
        <v>2141.73</v>
      </c>
      <c r="Q68" s="80">
        <f t="shared" si="30"/>
        <v>1689.6000000000001</v>
      </c>
      <c r="R68" s="82">
        <f t="shared" si="31"/>
        <v>2141.73</v>
      </c>
      <c r="S68" s="82">
        <f t="shared" si="32"/>
        <v>2141.73</v>
      </c>
      <c r="T68" s="82">
        <f t="shared" si="33"/>
        <v>0</v>
      </c>
      <c r="W68" s="83"/>
    </row>
    <row r="69" spans="2:23" s="34" customFormat="1" ht="34.799999999999997">
      <c r="B69" s="87" t="s">
        <v>147</v>
      </c>
      <c r="C69" s="88" t="s">
        <v>128</v>
      </c>
      <c r="D69" s="89" t="s">
        <v>113</v>
      </c>
      <c r="E69" s="90">
        <f>E65*30</f>
        <v>7781.7</v>
      </c>
      <c r="F69" s="90">
        <v>7781.7</v>
      </c>
      <c r="G69" s="91"/>
      <c r="H69" s="91"/>
      <c r="I69" s="91"/>
      <c r="J69" s="79">
        <f>SUM(H69:I69)+'BM 010'!I68</f>
        <v>7781.7</v>
      </c>
      <c r="K69" s="91">
        <f t="shared" si="2"/>
        <v>0</v>
      </c>
      <c r="L69" s="80">
        <v>1</v>
      </c>
      <c r="M69" s="81">
        <v>1.2676001100000001</v>
      </c>
      <c r="N69" s="82">
        <f t="shared" si="28"/>
        <v>0</v>
      </c>
      <c r="O69" s="82">
        <f t="shared" si="29"/>
        <v>0</v>
      </c>
      <c r="P69" s="82">
        <f>O69+'BM 010'!O68</f>
        <v>9864.08</v>
      </c>
      <c r="Q69" s="80">
        <f t="shared" si="30"/>
        <v>7781.7</v>
      </c>
      <c r="R69" s="82">
        <f t="shared" si="31"/>
        <v>9864.08</v>
      </c>
      <c r="S69" s="82">
        <f t="shared" si="32"/>
        <v>9864.08</v>
      </c>
      <c r="T69" s="82">
        <f t="shared" si="33"/>
        <v>0</v>
      </c>
      <c r="V69" s="83"/>
      <c r="W69" s="83"/>
    </row>
    <row r="70" spans="2:23" s="34" customFormat="1" ht="23.4">
      <c r="B70" s="87" t="s">
        <v>148</v>
      </c>
      <c r="C70" s="88" t="s">
        <v>149</v>
      </c>
      <c r="D70" s="89" t="s">
        <v>79</v>
      </c>
      <c r="E70" s="90">
        <v>233.48</v>
      </c>
      <c r="F70" s="90">
        <v>233.48</v>
      </c>
      <c r="G70" s="91"/>
      <c r="H70" s="91"/>
      <c r="I70" s="91"/>
      <c r="J70" s="79">
        <f>SUM(H70:I70)+'BM 010'!I69</f>
        <v>233.4802253775074</v>
      </c>
      <c r="K70" s="91">
        <f t="shared" si="2"/>
        <v>-2.2537750740525553E-4</v>
      </c>
      <c r="L70" s="80">
        <v>35</v>
      </c>
      <c r="M70" s="81">
        <v>44.366003849999998</v>
      </c>
      <c r="N70" s="82">
        <f t="shared" si="28"/>
        <v>0</v>
      </c>
      <c r="O70" s="82">
        <f t="shared" si="29"/>
        <v>0</v>
      </c>
      <c r="P70" s="82">
        <f>O70+'BM 010'!O69</f>
        <v>10358.57</v>
      </c>
      <c r="Q70" s="80">
        <f t="shared" si="30"/>
        <v>8171.7999999999993</v>
      </c>
      <c r="R70" s="82">
        <f t="shared" si="31"/>
        <v>10358.57</v>
      </c>
      <c r="S70" s="82">
        <f t="shared" si="32"/>
        <v>10358.57</v>
      </c>
      <c r="T70" s="82">
        <f t="shared" si="33"/>
        <v>0</v>
      </c>
      <c r="W70" s="83"/>
    </row>
    <row r="71" spans="2:23" s="34" customFormat="1" ht="23.4">
      <c r="B71" s="87" t="s">
        <v>150</v>
      </c>
      <c r="C71" s="88" t="s">
        <v>151</v>
      </c>
      <c r="D71" s="89" t="s">
        <v>152</v>
      </c>
      <c r="E71" s="90">
        <v>190.3</v>
      </c>
      <c r="F71" s="90">
        <v>171.77</v>
      </c>
      <c r="G71" s="91">
        <v>-18.53</v>
      </c>
      <c r="H71" s="91">
        <f t="shared" ref="H71:H80" si="34">G71</f>
        <v>-18.53</v>
      </c>
      <c r="I71" s="91"/>
      <c r="J71" s="79">
        <f>SUM(H71:I71)+'BM 010'!I70</f>
        <v>171.77</v>
      </c>
      <c r="K71" s="91">
        <f t="shared" si="2"/>
        <v>0</v>
      </c>
      <c r="L71" s="80">
        <v>20</v>
      </c>
      <c r="M71" s="81">
        <v>25.352002200000001</v>
      </c>
      <c r="N71" s="82">
        <f t="shared" si="28"/>
        <v>-469.77</v>
      </c>
      <c r="O71" s="82">
        <f t="shared" si="29"/>
        <v>-469.77</v>
      </c>
      <c r="P71" s="82">
        <f>O71+'BM 010'!O70</f>
        <v>4354.7099999999991</v>
      </c>
      <c r="Q71" s="80">
        <f t="shared" si="30"/>
        <v>3806</v>
      </c>
      <c r="R71" s="82">
        <f t="shared" si="31"/>
        <v>4824.4799999999996</v>
      </c>
      <c r="S71" s="82">
        <f t="shared" si="32"/>
        <v>4354.71</v>
      </c>
      <c r="T71" s="82">
        <f t="shared" si="33"/>
        <v>0</v>
      </c>
      <c r="W71" s="83"/>
    </row>
    <row r="72" spans="2:23" s="34" customFormat="1" ht="34.799999999999997">
      <c r="B72" s="87" t="s">
        <v>153</v>
      </c>
      <c r="C72" s="88" t="s">
        <v>154</v>
      </c>
      <c r="D72" s="89" t="s">
        <v>152</v>
      </c>
      <c r="E72" s="90">
        <v>77</v>
      </c>
      <c r="F72" s="90">
        <v>200.5</v>
      </c>
      <c r="G72" s="91">
        <v>123.50026331917999</v>
      </c>
      <c r="H72" s="91">
        <f t="shared" si="34"/>
        <v>123.50026331917999</v>
      </c>
      <c r="I72" s="91"/>
      <c r="J72" s="79">
        <f>SUM(H72:I72)+'BM 010'!I71</f>
        <v>200.50026331917999</v>
      </c>
      <c r="K72" s="91">
        <f t="shared" si="2"/>
        <v>-2.6331917999300458E-4</v>
      </c>
      <c r="L72" s="80">
        <v>19</v>
      </c>
      <c r="M72" s="81">
        <v>24.084402090000001</v>
      </c>
      <c r="N72" s="82">
        <f t="shared" si="28"/>
        <v>2974.43</v>
      </c>
      <c r="O72" s="82">
        <f t="shared" si="29"/>
        <v>2974.43</v>
      </c>
      <c r="P72" s="82">
        <f>O72+'BM 010'!O71</f>
        <v>4828.92</v>
      </c>
      <c r="Q72" s="80">
        <f t="shared" si="30"/>
        <v>1463</v>
      </c>
      <c r="R72" s="82">
        <f t="shared" si="31"/>
        <v>1854.49</v>
      </c>
      <c r="S72" s="82">
        <f t="shared" si="32"/>
        <v>4828.92</v>
      </c>
      <c r="T72" s="82">
        <f t="shared" si="33"/>
        <v>0</v>
      </c>
      <c r="W72" s="83"/>
    </row>
    <row r="73" spans="2:23" s="34" customFormat="1" ht="23.4">
      <c r="B73" s="87" t="s">
        <v>155</v>
      </c>
      <c r="C73" s="88" t="s">
        <v>156</v>
      </c>
      <c r="D73" s="89" t="s">
        <v>152</v>
      </c>
      <c r="E73" s="90">
        <v>566.5</v>
      </c>
      <c r="F73" s="90">
        <v>493.15</v>
      </c>
      <c r="G73" s="91">
        <f>-1627.13/22.183</f>
        <v>-73.350313302979771</v>
      </c>
      <c r="H73" s="91">
        <f t="shared" si="34"/>
        <v>-73.350313302979771</v>
      </c>
      <c r="I73" s="91"/>
      <c r="J73" s="79">
        <f>SUM(H73:I73)+'BM 010'!I72</f>
        <v>493.14983647387646</v>
      </c>
      <c r="K73" s="91">
        <f t="shared" si="2"/>
        <v>1.6352612351511198E-4</v>
      </c>
      <c r="L73" s="80">
        <v>17.5</v>
      </c>
      <c r="M73" s="81">
        <v>22.183001924999999</v>
      </c>
      <c r="N73" s="82">
        <f t="shared" si="28"/>
        <v>-1627.13</v>
      </c>
      <c r="O73" s="82">
        <f t="shared" si="29"/>
        <v>-1627.13</v>
      </c>
      <c r="P73" s="82">
        <f>O73+'BM 010'!O72</f>
        <v>10939.539999999997</v>
      </c>
      <c r="Q73" s="80">
        <f t="shared" si="30"/>
        <v>9913.75</v>
      </c>
      <c r="R73" s="82">
        <f t="shared" si="31"/>
        <v>12566.67</v>
      </c>
      <c r="S73" s="82">
        <f t="shared" si="32"/>
        <v>10939.54</v>
      </c>
      <c r="T73" s="82">
        <f t="shared" si="33"/>
        <v>0</v>
      </c>
      <c r="W73" s="83"/>
    </row>
    <row r="74" spans="2:23" s="34" customFormat="1" ht="23.4">
      <c r="B74" s="87" t="s">
        <v>157</v>
      </c>
      <c r="C74" s="88" t="s">
        <v>158</v>
      </c>
      <c r="D74" s="89" t="s">
        <v>152</v>
      </c>
      <c r="E74" s="90">
        <v>1663.2</v>
      </c>
      <c r="F74" s="90">
        <v>1746.97</v>
      </c>
      <c r="G74" s="91">
        <v>83.769517817413103</v>
      </c>
      <c r="H74" s="91">
        <f t="shared" si="34"/>
        <v>83.769517817413103</v>
      </c>
      <c r="I74" s="91"/>
      <c r="J74" s="79">
        <f>SUM(H74:I74)+'BM 010'!I73</f>
        <v>1746.9698178174131</v>
      </c>
      <c r="K74" s="91">
        <f t="shared" si="2"/>
        <v>1.82182586968338E-4</v>
      </c>
      <c r="L74" s="80">
        <v>16</v>
      </c>
      <c r="M74" s="81">
        <v>20.281601760000001</v>
      </c>
      <c r="N74" s="82">
        <f t="shared" si="28"/>
        <v>1698.98</v>
      </c>
      <c r="O74" s="82">
        <f t="shared" si="29"/>
        <v>1698.98</v>
      </c>
      <c r="P74" s="82">
        <f>O74+'BM 010'!O73</f>
        <v>35431.340000000004</v>
      </c>
      <c r="Q74" s="80">
        <f t="shared" si="30"/>
        <v>26611.200000000001</v>
      </c>
      <c r="R74" s="82">
        <f t="shared" si="31"/>
        <v>33732.36</v>
      </c>
      <c r="S74" s="82">
        <f t="shared" si="32"/>
        <v>35431.339999999997</v>
      </c>
      <c r="T74" s="82">
        <f t="shared" si="33"/>
        <v>0</v>
      </c>
      <c r="W74" s="83"/>
    </row>
    <row r="75" spans="2:23" s="34" customFormat="1" ht="23.4">
      <c r="B75" s="87" t="s">
        <v>159</v>
      </c>
      <c r="C75" s="88" t="s">
        <v>160</v>
      </c>
      <c r="D75" s="89" t="s">
        <v>152</v>
      </c>
      <c r="E75" s="90">
        <v>4944.5</v>
      </c>
      <c r="F75" s="90">
        <v>6306.01</v>
      </c>
      <c r="G75" s="91">
        <v>1361.5100939266899</v>
      </c>
      <c r="H75" s="91">
        <f t="shared" si="34"/>
        <v>1361.5100939266899</v>
      </c>
      <c r="I75" s="91"/>
      <c r="J75" s="79">
        <f>SUM(H75:I75)+'BM 010'!I74</f>
        <v>6306.0103939266901</v>
      </c>
      <c r="K75" s="91">
        <f t="shared" si="2"/>
        <v>-3.9392668986693025E-4</v>
      </c>
      <c r="L75" s="80">
        <v>14.5</v>
      </c>
      <c r="M75" s="81">
        <v>18.380201594999999</v>
      </c>
      <c r="N75" s="82">
        <f t="shared" si="28"/>
        <v>25024.82</v>
      </c>
      <c r="O75" s="82">
        <f t="shared" si="29"/>
        <v>25024.82</v>
      </c>
      <c r="P75" s="82">
        <f>O75+'BM 010'!O74</f>
        <v>115905.72</v>
      </c>
      <c r="Q75" s="80">
        <f t="shared" si="30"/>
        <v>71695.25</v>
      </c>
      <c r="R75" s="82">
        <f t="shared" si="31"/>
        <v>90880.9</v>
      </c>
      <c r="S75" s="82">
        <f t="shared" si="32"/>
        <v>115905.73</v>
      </c>
      <c r="T75" s="82">
        <f t="shared" si="33"/>
        <v>9.9999999947613105E-3</v>
      </c>
      <c r="W75" s="83"/>
    </row>
    <row r="76" spans="2:23" s="34" customFormat="1" ht="23.4">
      <c r="B76" s="87" t="s">
        <v>161</v>
      </c>
      <c r="C76" s="88" t="s">
        <v>162</v>
      </c>
      <c r="D76" s="89" t="s">
        <v>152</v>
      </c>
      <c r="E76" s="90">
        <v>115.5</v>
      </c>
      <c r="F76" s="90">
        <v>114.56</v>
      </c>
      <c r="G76" s="91">
        <f>-17.28/18.38</f>
        <v>-0.94015233949945609</v>
      </c>
      <c r="H76" s="91">
        <f t="shared" si="34"/>
        <v>-0.94015233949945609</v>
      </c>
      <c r="I76" s="91"/>
      <c r="J76" s="79">
        <f>SUM(H76:I76)+'BM 010'!I75</f>
        <v>114.55984766050054</v>
      </c>
      <c r="K76" s="91">
        <f t="shared" si="2"/>
        <v>1.5233949946491521E-4</v>
      </c>
      <c r="L76" s="94">
        <v>14.5</v>
      </c>
      <c r="M76" s="81">
        <v>18.380201594999999</v>
      </c>
      <c r="N76" s="82">
        <f t="shared" si="28"/>
        <v>-17.28</v>
      </c>
      <c r="O76" s="82">
        <f t="shared" si="29"/>
        <v>-17.28</v>
      </c>
      <c r="P76" s="82">
        <f>O76+'BM 010'!O75</f>
        <v>2105.6299999999997</v>
      </c>
      <c r="Q76" s="94">
        <f t="shared" si="30"/>
        <v>1674.75</v>
      </c>
      <c r="R76" s="82">
        <f t="shared" si="31"/>
        <v>2122.91</v>
      </c>
      <c r="S76" s="82">
        <f t="shared" si="32"/>
        <v>2105.63</v>
      </c>
      <c r="T76" s="82">
        <f t="shared" si="33"/>
        <v>0</v>
      </c>
      <c r="W76" s="83"/>
    </row>
    <row r="77" spans="2:23" s="34" customFormat="1" ht="23.4">
      <c r="B77" s="87" t="s">
        <v>163</v>
      </c>
      <c r="C77" s="88" t="s">
        <v>164</v>
      </c>
      <c r="D77" s="89" t="s">
        <v>152</v>
      </c>
      <c r="E77" s="90">
        <v>7195.1</v>
      </c>
      <c r="F77" s="90">
        <v>7769.98</v>
      </c>
      <c r="G77" s="91">
        <v>574.87992577001</v>
      </c>
      <c r="H77" s="91">
        <f t="shared" si="34"/>
        <v>574.87992577001</v>
      </c>
      <c r="I77" s="91"/>
      <c r="J77" s="79">
        <f>SUM(H77:I77)+'BM 010'!I76</f>
        <v>7769.9804257700107</v>
      </c>
      <c r="K77" s="91">
        <f t="shared" si="2"/>
        <v>-4.2577001113386359E-4</v>
      </c>
      <c r="L77" s="80">
        <v>14</v>
      </c>
      <c r="M77" s="81">
        <v>17.746401540000001</v>
      </c>
      <c r="N77" s="82">
        <f t="shared" si="28"/>
        <v>10202.049999999999</v>
      </c>
      <c r="O77" s="82">
        <f t="shared" si="29"/>
        <v>10202.049999999999</v>
      </c>
      <c r="P77" s="82">
        <f>O77+'BM 010'!O76</f>
        <v>137889.18</v>
      </c>
      <c r="Q77" s="80">
        <f t="shared" si="30"/>
        <v>100731.40000000001</v>
      </c>
      <c r="R77" s="82">
        <f t="shared" si="31"/>
        <v>127687.13</v>
      </c>
      <c r="S77" s="82">
        <f t="shared" si="32"/>
        <v>137889.18</v>
      </c>
      <c r="T77" s="82">
        <f t="shared" si="33"/>
        <v>0</v>
      </c>
      <c r="W77" s="83"/>
    </row>
    <row r="78" spans="2:23" s="34" customFormat="1" ht="34.799999999999997">
      <c r="B78" s="87" t="s">
        <v>165</v>
      </c>
      <c r="C78" s="88" t="s">
        <v>166</v>
      </c>
      <c r="D78" s="89" t="s">
        <v>79</v>
      </c>
      <c r="E78" s="90">
        <v>415.8</v>
      </c>
      <c r="F78" s="90">
        <v>434.86</v>
      </c>
      <c r="G78" s="91">
        <v>19.060034000000002</v>
      </c>
      <c r="H78" s="91">
        <f t="shared" si="34"/>
        <v>19.060034000000002</v>
      </c>
      <c r="I78" s="91"/>
      <c r="J78" s="79">
        <f>SUM(H78:I78)+'BM 010'!I77</f>
        <v>434.86008400000003</v>
      </c>
      <c r="K78" s="91">
        <f t="shared" si="2"/>
        <v>-8.4000000015294063E-5</v>
      </c>
      <c r="L78" s="80">
        <v>120</v>
      </c>
      <c r="M78" s="81">
        <v>152.11201320000001</v>
      </c>
      <c r="N78" s="82">
        <f t="shared" si="28"/>
        <v>2899.26</v>
      </c>
      <c r="O78" s="82">
        <f t="shared" si="29"/>
        <v>2899.26</v>
      </c>
      <c r="P78" s="82">
        <f>O78+'BM 010'!O77</f>
        <v>66147.429999999993</v>
      </c>
      <c r="Q78" s="80">
        <f t="shared" si="30"/>
        <v>49896</v>
      </c>
      <c r="R78" s="82">
        <f t="shared" si="31"/>
        <v>63248.17</v>
      </c>
      <c r="S78" s="82">
        <f t="shared" si="32"/>
        <v>66147.429999999993</v>
      </c>
      <c r="T78" s="82">
        <f t="shared" si="33"/>
        <v>0</v>
      </c>
      <c r="W78" s="83"/>
    </row>
    <row r="79" spans="2:23" s="34" customFormat="1" ht="34.799999999999997">
      <c r="B79" s="87" t="s">
        <v>167</v>
      </c>
      <c r="C79" s="88" t="s">
        <v>168</v>
      </c>
      <c r="D79" s="89" t="s">
        <v>169</v>
      </c>
      <c r="E79" s="92">
        <v>213.07</v>
      </c>
      <c r="F79" s="92">
        <v>242.26</v>
      </c>
      <c r="G79" s="91">
        <v>29.190004829940701</v>
      </c>
      <c r="H79" s="91">
        <f t="shared" si="34"/>
        <v>29.190004829940701</v>
      </c>
      <c r="I79" s="91"/>
      <c r="J79" s="79">
        <f>SUM(H79:I79)+'BM 010'!I78</f>
        <v>242.26001534850514</v>
      </c>
      <c r="K79" s="91">
        <f t="shared" si="2"/>
        <v>-1.5348505144174851E-5</v>
      </c>
      <c r="L79" s="95">
        <v>750</v>
      </c>
      <c r="M79" s="81">
        <v>950.70008250000001</v>
      </c>
      <c r="N79" s="82">
        <f t="shared" si="28"/>
        <v>27750.94</v>
      </c>
      <c r="O79" s="82">
        <f t="shared" si="29"/>
        <v>27750.94</v>
      </c>
      <c r="P79" s="82">
        <f>O79+'BM 010'!O78</f>
        <v>230316.6</v>
      </c>
      <c r="Q79" s="95">
        <f t="shared" si="30"/>
        <v>159802.5</v>
      </c>
      <c r="R79" s="82">
        <f t="shared" si="31"/>
        <v>202565.66</v>
      </c>
      <c r="S79" s="82">
        <f t="shared" si="32"/>
        <v>230316.6</v>
      </c>
      <c r="T79" s="82">
        <f t="shared" si="33"/>
        <v>0</v>
      </c>
      <c r="W79" s="83"/>
    </row>
    <row r="80" spans="2:23" s="34" customFormat="1" ht="23.4">
      <c r="B80" s="285" t="s">
        <v>1743</v>
      </c>
      <c r="C80" s="286" t="s">
        <v>1744</v>
      </c>
      <c r="D80" s="287" t="s">
        <v>79</v>
      </c>
      <c r="E80" s="288"/>
      <c r="F80" s="288">
        <v>127.5</v>
      </c>
      <c r="G80" s="289">
        <v>127.5</v>
      </c>
      <c r="H80" s="91">
        <f t="shared" si="34"/>
        <v>127.5</v>
      </c>
      <c r="I80" s="289"/>
      <c r="J80" s="290">
        <f>SUM(H80:I80)</f>
        <v>127.5</v>
      </c>
      <c r="K80" s="289">
        <f t="shared" si="2"/>
        <v>0</v>
      </c>
      <c r="L80" s="291"/>
      <c r="M80" s="292">
        <v>60.98</v>
      </c>
      <c r="N80" s="293">
        <f t="shared" si="28"/>
        <v>7774.95</v>
      </c>
      <c r="O80" s="293">
        <f t="shared" si="29"/>
        <v>7774.95</v>
      </c>
      <c r="P80" s="293">
        <f>O80</f>
        <v>7774.95</v>
      </c>
      <c r="Q80" s="294">
        <f t="shared" si="30"/>
        <v>0</v>
      </c>
      <c r="R80" s="293">
        <f t="shared" si="31"/>
        <v>0</v>
      </c>
      <c r="S80" s="293">
        <f t="shared" si="32"/>
        <v>7774.95</v>
      </c>
      <c r="T80" s="293">
        <f t="shared" si="33"/>
        <v>0</v>
      </c>
      <c r="W80" s="83"/>
    </row>
    <row r="81" spans="2:23" s="34" customFormat="1" ht="13.2">
      <c r="B81" s="66" t="s">
        <v>170</v>
      </c>
      <c r="C81" s="67" t="s">
        <v>171</v>
      </c>
      <c r="D81" s="68"/>
      <c r="E81" s="69"/>
      <c r="F81" s="69"/>
      <c r="G81" s="70"/>
      <c r="H81" s="70"/>
      <c r="I81" s="70"/>
      <c r="J81" s="70">
        <f>SUM(H81:I81)+'BM 010'!I79</f>
        <v>0</v>
      </c>
      <c r="K81" s="70">
        <f t="shared" si="2"/>
        <v>0</v>
      </c>
      <c r="L81" s="71"/>
      <c r="M81" s="71">
        <v>0</v>
      </c>
      <c r="N81" s="73">
        <f t="shared" ref="N81:T81" si="35">SUM(N82:N95)</f>
        <v>32609.38</v>
      </c>
      <c r="O81" s="73">
        <f t="shared" si="35"/>
        <v>32609.38</v>
      </c>
      <c r="P81" s="73">
        <f t="shared" si="35"/>
        <v>223181</v>
      </c>
      <c r="Q81" s="73">
        <f t="shared" si="35"/>
        <v>150340.54999999999</v>
      </c>
      <c r="R81" s="73">
        <f t="shared" si="35"/>
        <v>190571.62</v>
      </c>
      <c r="S81" s="73">
        <f t="shared" si="35"/>
        <v>223181.00999999998</v>
      </c>
      <c r="T81" s="73">
        <f t="shared" si="35"/>
        <v>1.0000000000218279E-2</v>
      </c>
    </row>
    <row r="82" spans="2:23" s="34" customFormat="1" ht="23.4">
      <c r="B82" s="87" t="s">
        <v>172</v>
      </c>
      <c r="C82" s="88" t="s">
        <v>141</v>
      </c>
      <c r="D82" s="89" t="s">
        <v>110</v>
      </c>
      <c r="E82" s="90">
        <v>268.39999999999998</v>
      </c>
      <c r="F82" s="90">
        <v>268.39999999999998</v>
      </c>
      <c r="G82" s="91"/>
      <c r="H82" s="91"/>
      <c r="I82" s="91"/>
      <c r="J82" s="79">
        <f>SUM(H82:I82)+'BM 010'!I80</f>
        <v>268.39999999999998</v>
      </c>
      <c r="K82" s="91">
        <f t="shared" si="2"/>
        <v>0</v>
      </c>
      <c r="L82" s="80">
        <v>80</v>
      </c>
      <c r="M82" s="81">
        <v>101.4080088</v>
      </c>
      <c r="N82" s="82">
        <f t="shared" ref="N82:N95" si="36">TRUNC(G82*M82,2)</f>
        <v>0</v>
      </c>
      <c r="O82" s="82">
        <f t="shared" ref="O82:O95" si="37">TRUNC(H82*M82,2)</f>
        <v>0</v>
      </c>
      <c r="P82" s="82">
        <f>O82+'BM 010'!O80</f>
        <v>27217.9</v>
      </c>
      <c r="Q82" s="80">
        <f t="shared" ref="Q82:Q95" si="38">E82*L82</f>
        <v>21472</v>
      </c>
      <c r="R82" s="82">
        <f t="shared" ref="R82:R95" si="39">TRUNC(E82*M82,2)</f>
        <v>27217.9</v>
      </c>
      <c r="S82" s="82">
        <f t="shared" ref="S82:S95" si="40">TRUNC(F82*$M82,2)</f>
        <v>27217.9</v>
      </c>
      <c r="T82" s="82">
        <f t="shared" ref="T82:T95" si="41">S82-P82</f>
        <v>0</v>
      </c>
    </row>
    <row r="83" spans="2:23" s="34" customFormat="1" ht="23.4">
      <c r="B83" s="87" t="s">
        <v>173</v>
      </c>
      <c r="C83" s="88" t="s">
        <v>145</v>
      </c>
      <c r="D83" s="89" t="s">
        <v>110</v>
      </c>
      <c r="E83" s="92">
        <v>111.1</v>
      </c>
      <c r="F83" s="92">
        <v>111.1</v>
      </c>
      <c r="G83" s="91"/>
      <c r="H83" s="91"/>
      <c r="I83" s="91"/>
      <c r="J83" s="79">
        <f>SUM(H83:I83)+'BM 010'!I81</f>
        <v>111.10031555693061</v>
      </c>
      <c r="K83" s="91">
        <f t="shared" si="2"/>
        <v>-3.1555693061591228E-4</v>
      </c>
      <c r="L83" s="80">
        <v>25</v>
      </c>
      <c r="M83" s="81">
        <v>31.690002750000001</v>
      </c>
      <c r="N83" s="82">
        <f t="shared" si="36"/>
        <v>0</v>
      </c>
      <c r="O83" s="82">
        <f t="shared" si="37"/>
        <v>0</v>
      </c>
      <c r="P83" s="82">
        <f>O83+'BM 010'!O81</f>
        <v>3520.75</v>
      </c>
      <c r="Q83" s="80">
        <f t="shared" si="38"/>
        <v>2777.5</v>
      </c>
      <c r="R83" s="82">
        <f t="shared" si="39"/>
        <v>3520.75</v>
      </c>
      <c r="S83" s="82">
        <f t="shared" si="40"/>
        <v>3520.75</v>
      </c>
      <c r="T83" s="82">
        <f t="shared" si="41"/>
        <v>0</v>
      </c>
      <c r="V83" s="83"/>
    </row>
    <row r="84" spans="2:23" s="34" customFormat="1" ht="46.2">
      <c r="B84" s="87" t="s">
        <v>174</v>
      </c>
      <c r="C84" s="88" t="s">
        <v>126</v>
      </c>
      <c r="D84" s="89" t="s">
        <v>110</v>
      </c>
      <c r="E84" s="92">
        <v>268.39999999999998</v>
      </c>
      <c r="F84" s="92">
        <v>268.39999999999998</v>
      </c>
      <c r="G84" s="91"/>
      <c r="H84" s="91"/>
      <c r="I84" s="91"/>
      <c r="J84" s="79">
        <f>SUM(H84:I84)+'BM 010'!I82</f>
        <v>268.39999999999998</v>
      </c>
      <c r="K84" s="91">
        <f t="shared" si="2"/>
        <v>0</v>
      </c>
      <c r="L84" s="80">
        <v>10</v>
      </c>
      <c r="M84" s="81">
        <v>12.676001100000001</v>
      </c>
      <c r="N84" s="82">
        <f t="shared" si="36"/>
        <v>0</v>
      </c>
      <c r="O84" s="82">
        <f t="shared" si="37"/>
        <v>0</v>
      </c>
      <c r="P84" s="82">
        <f>O84+'BM 010'!O82</f>
        <v>3402.2299999999996</v>
      </c>
      <c r="Q84" s="80">
        <f t="shared" si="38"/>
        <v>2684</v>
      </c>
      <c r="R84" s="82">
        <f t="shared" si="39"/>
        <v>3402.23</v>
      </c>
      <c r="S84" s="82">
        <f t="shared" si="40"/>
        <v>3402.23</v>
      </c>
      <c r="T84" s="82">
        <f t="shared" si="41"/>
        <v>0</v>
      </c>
    </row>
    <row r="85" spans="2:23" s="34" customFormat="1" ht="34.799999999999997">
      <c r="B85" s="87" t="s">
        <v>175</v>
      </c>
      <c r="C85" s="88" t="s">
        <v>128</v>
      </c>
      <c r="D85" s="89" t="s">
        <v>113</v>
      </c>
      <c r="E85" s="90">
        <f>E84*30</f>
        <v>8051.9999999999991</v>
      </c>
      <c r="F85" s="90">
        <v>8052</v>
      </c>
      <c r="G85" s="91"/>
      <c r="H85" s="91"/>
      <c r="I85" s="91"/>
      <c r="J85" s="79">
        <f>SUM(H85:I85)+'BM 010'!I83</f>
        <v>8052.0026296410897</v>
      </c>
      <c r="K85" s="91">
        <f t="shared" si="2"/>
        <v>-2.6296410896975431E-3</v>
      </c>
      <c r="L85" s="80">
        <v>3</v>
      </c>
      <c r="M85" s="81">
        <v>3.8028003300000002</v>
      </c>
      <c r="N85" s="82">
        <f t="shared" si="36"/>
        <v>0</v>
      </c>
      <c r="O85" s="82">
        <f t="shared" si="37"/>
        <v>0</v>
      </c>
      <c r="P85" s="82">
        <f>O85+'BM 010'!O83</f>
        <v>30620.140000000003</v>
      </c>
      <c r="Q85" s="80">
        <f t="shared" si="38"/>
        <v>24155.999999999996</v>
      </c>
      <c r="R85" s="82">
        <f t="shared" si="39"/>
        <v>30620.14</v>
      </c>
      <c r="S85" s="82">
        <f t="shared" si="40"/>
        <v>30620.14</v>
      </c>
      <c r="T85" s="82">
        <f t="shared" si="41"/>
        <v>0</v>
      </c>
      <c r="V85" s="83"/>
    </row>
    <row r="86" spans="2:23" s="34" customFormat="1" ht="34.799999999999997">
      <c r="B86" s="87" t="s">
        <v>176</v>
      </c>
      <c r="C86" s="88" t="s">
        <v>177</v>
      </c>
      <c r="D86" s="89" t="s">
        <v>79</v>
      </c>
      <c r="E86" s="90">
        <v>243.1</v>
      </c>
      <c r="F86" s="90">
        <v>243.1</v>
      </c>
      <c r="G86" s="91"/>
      <c r="H86" s="91"/>
      <c r="I86" s="91"/>
      <c r="J86" s="79">
        <f>SUM(H86:I86)+'BM 010'!I84</f>
        <v>243.10022539780761</v>
      </c>
      <c r="K86" s="91">
        <f t="shared" si="2"/>
        <v>-2.2539780761121619E-4</v>
      </c>
      <c r="L86" s="80">
        <v>35</v>
      </c>
      <c r="M86" s="81">
        <v>44.366003849999998</v>
      </c>
      <c r="N86" s="82">
        <f t="shared" si="36"/>
        <v>0</v>
      </c>
      <c r="O86" s="82">
        <f t="shared" si="37"/>
        <v>0</v>
      </c>
      <c r="P86" s="82">
        <f>O86+'BM 010'!O84</f>
        <v>10785.369999999999</v>
      </c>
      <c r="Q86" s="80">
        <f t="shared" si="38"/>
        <v>8508.5</v>
      </c>
      <c r="R86" s="82">
        <f t="shared" si="39"/>
        <v>10785.37</v>
      </c>
      <c r="S86" s="82">
        <f t="shared" si="40"/>
        <v>10785.37</v>
      </c>
      <c r="T86" s="82">
        <f t="shared" si="41"/>
        <v>0</v>
      </c>
      <c r="V86" s="83"/>
    </row>
    <row r="87" spans="2:23" s="34" customFormat="1" ht="23.4">
      <c r="B87" s="87" t="s">
        <v>178</v>
      </c>
      <c r="C87" s="88" t="s">
        <v>151</v>
      </c>
      <c r="D87" s="89" t="s">
        <v>152</v>
      </c>
      <c r="E87" s="90">
        <v>185.9</v>
      </c>
      <c r="F87" s="90">
        <v>168.38</v>
      </c>
      <c r="G87" s="91">
        <v>-17.52</v>
      </c>
      <c r="H87" s="91">
        <f t="shared" ref="H87:H95" si="42">G87</f>
        <v>-17.52</v>
      </c>
      <c r="I87" s="91"/>
      <c r="J87" s="79">
        <f>SUM(H87:I87)+'BM 010'!I85</f>
        <v>168.38</v>
      </c>
      <c r="K87" s="91">
        <f t="shared" si="2"/>
        <v>0</v>
      </c>
      <c r="L87" s="80">
        <v>20</v>
      </c>
      <c r="M87" s="81">
        <v>25.352002200000001</v>
      </c>
      <c r="N87" s="82">
        <f t="shared" si="36"/>
        <v>-444.16</v>
      </c>
      <c r="O87" s="82">
        <f t="shared" si="37"/>
        <v>-444.16</v>
      </c>
      <c r="P87" s="82">
        <f>O87+'BM 010'!O85</f>
        <v>4268.7700000000004</v>
      </c>
      <c r="Q87" s="80">
        <f t="shared" si="38"/>
        <v>3718</v>
      </c>
      <c r="R87" s="82">
        <f t="shared" si="39"/>
        <v>4712.93</v>
      </c>
      <c r="S87" s="82">
        <f t="shared" si="40"/>
        <v>4268.7700000000004</v>
      </c>
      <c r="T87" s="82">
        <f t="shared" si="41"/>
        <v>0</v>
      </c>
    </row>
    <row r="88" spans="2:23" s="34" customFormat="1" ht="23.4">
      <c r="B88" s="87" t="s">
        <v>179</v>
      </c>
      <c r="C88" s="88" t="s">
        <v>180</v>
      </c>
      <c r="D88" s="89" t="s">
        <v>152</v>
      </c>
      <c r="E88" s="90">
        <v>199.1</v>
      </c>
      <c r="F88" s="90">
        <v>242.28</v>
      </c>
      <c r="G88" s="91">
        <v>43.18</v>
      </c>
      <c r="H88" s="91">
        <f t="shared" si="42"/>
        <v>43.18</v>
      </c>
      <c r="I88" s="91"/>
      <c r="J88" s="79">
        <f>SUM(H88:I88)+'BM 010'!I86</f>
        <v>242.28</v>
      </c>
      <c r="K88" s="91">
        <f t="shared" si="2"/>
        <v>0</v>
      </c>
      <c r="L88" s="80">
        <v>19</v>
      </c>
      <c r="M88" s="81">
        <v>24.084402090000001</v>
      </c>
      <c r="N88" s="82">
        <f t="shared" si="36"/>
        <v>1039.96</v>
      </c>
      <c r="O88" s="82">
        <f t="shared" si="37"/>
        <v>1039.96</v>
      </c>
      <c r="P88" s="82">
        <f>O88+'BM 010'!O86</f>
        <v>5835.16</v>
      </c>
      <c r="Q88" s="80">
        <f t="shared" si="38"/>
        <v>3782.9</v>
      </c>
      <c r="R88" s="82">
        <f t="shared" si="39"/>
        <v>4795.2</v>
      </c>
      <c r="S88" s="82">
        <f t="shared" si="40"/>
        <v>5835.16</v>
      </c>
      <c r="T88" s="82">
        <f t="shared" si="41"/>
        <v>0</v>
      </c>
    </row>
    <row r="89" spans="2:23" s="34" customFormat="1" ht="23.4">
      <c r="B89" s="87" t="s">
        <v>181</v>
      </c>
      <c r="C89" s="88" t="s">
        <v>156</v>
      </c>
      <c r="D89" s="89" t="s">
        <v>152</v>
      </c>
      <c r="E89" s="90">
        <v>378.4</v>
      </c>
      <c r="F89" s="90">
        <v>524.44000000000005</v>
      </c>
      <c r="G89" s="91">
        <v>146.040198299266</v>
      </c>
      <c r="H89" s="91">
        <f t="shared" si="42"/>
        <v>146.040198299266</v>
      </c>
      <c r="I89" s="91"/>
      <c r="J89" s="79">
        <f>SUM(H89:I89)+'BM 010'!I87</f>
        <v>524.44019829926594</v>
      </c>
      <c r="K89" s="91">
        <f t="shared" si="2"/>
        <v>-1.982992658895455E-4</v>
      </c>
      <c r="L89" s="80">
        <v>17.5</v>
      </c>
      <c r="M89" s="81">
        <v>22.183001924999999</v>
      </c>
      <c r="N89" s="82">
        <f t="shared" si="36"/>
        <v>3239.61</v>
      </c>
      <c r="O89" s="82">
        <f t="shared" si="37"/>
        <v>3239.61</v>
      </c>
      <c r="P89" s="82">
        <f>O89+'BM 010'!O87</f>
        <v>11633.650000000001</v>
      </c>
      <c r="Q89" s="80">
        <f t="shared" si="38"/>
        <v>6622</v>
      </c>
      <c r="R89" s="82">
        <f t="shared" si="39"/>
        <v>8394.0400000000009</v>
      </c>
      <c r="S89" s="82">
        <f t="shared" si="40"/>
        <v>11633.65</v>
      </c>
      <c r="T89" s="82">
        <f t="shared" si="41"/>
        <v>0</v>
      </c>
    </row>
    <row r="90" spans="2:23" s="34" customFormat="1" ht="23.4">
      <c r="B90" s="87" t="s">
        <v>182</v>
      </c>
      <c r="C90" s="88" t="s">
        <v>158</v>
      </c>
      <c r="D90" s="89" t="s">
        <v>152</v>
      </c>
      <c r="E90" s="90">
        <v>445.5</v>
      </c>
      <c r="F90" s="90">
        <v>456.08</v>
      </c>
      <c r="G90" s="91">
        <v>10.580032215364801</v>
      </c>
      <c r="H90" s="91">
        <f t="shared" si="42"/>
        <v>10.580032215364801</v>
      </c>
      <c r="I90" s="91"/>
      <c r="J90" s="79">
        <f>SUM(H90:I90)+'BM 010'!I88</f>
        <v>456.08013221536476</v>
      </c>
      <c r="K90" s="91">
        <f t="shared" si="2"/>
        <v>-1.3221536477203699E-4</v>
      </c>
      <c r="L90" s="80">
        <v>16</v>
      </c>
      <c r="M90" s="81">
        <v>20.281601760000001</v>
      </c>
      <c r="N90" s="82">
        <f t="shared" si="36"/>
        <v>214.57</v>
      </c>
      <c r="O90" s="82">
        <f t="shared" si="37"/>
        <v>214.57</v>
      </c>
      <c r="P90" s="82">
        <f>O90+'BM 010'!O88</f>
        <v>9250.02</v>
      </c>
      <c r="Q90" s="80">
        <f t="shared" si="38"/>
        <v>7128</v>
      </c>
      <c r="R90" s="82">
        <f t="shared" si="39"/>
        <v>9035.4500000000007</v>
      </c>
      <c r="S90" s="82">
        <f t="shared" si="40"/>
        <v>9250.0300000000007</v>
      </c>
      <c r="T90" s="82">
        <f t="shared" si="41"/>
        <v>1.0000000000218279E-2</v>
      </c>
    </row>
    <row r="91" spans="2:23" s="34" customFormat="1" ht="23.4">
      <c r="B91" s="87" t="s">
        <v>183</v>
      </c>
      <c r="C91" s="88" t="s">
        <v>160</v>
      </c>
      <c r="D91" s="89" t="s">
        <v>152</v>
      </c>
      <c r="E91" s="90">
        <v>177.1</v>
      </c>
      <c r="F91" s="90">
        <v>304.01</v>
      </c>
      <c r="G91" s="91">
        <v>126.91</v>
      </c>
      <c r="H91" s="91">
        <f t="shared" si="42"/>
        <v>126.91</v>
      </c>
      <c r="I91" s="91"/>
      <c r="J91" s="79">
        <f>SUM(H91:I91)+'BM 010'!I89</f>
        <v>304.01</v>
      </c>
      <c r="K91" s="91">
        <f t="shared" si="2"/>
        <v>0</v>
      </c>
      <c r="L91" s="80">
        <v>14.5</v>
      </c>
      <c r="M91" s="81">
        <v>18.380201594999999</v>
      </c>
      <c r="N91" s="82">
        <f t="shared" si="36"/>
        <v>2332.63</v>
      </c>
      <c r="O91" s="82">
        <f t="shared" si="37"/>
        <v>2332.63</v>
      </c>
      <c r="P91" s="82">
        <f>O91+'BM 010'!O89</f>
        <v>5587.76</v>
      </c>
      <c r="Q91" s="80">
        <f t="shared" si="38"/>
        <v>2567.9499999999998</v>
      </c>
      <c r="R91" s="82">
        <f t="shared" si="39"/>
        <v>3255.13</v>
      </c>
      <c r="S91" s="82">
        <f t="shared" si="40"/>
        <v>5587.76</v>
      </c>
      <c r="T91" s="82">
        <f t="shared" si="41"/>
        <v>0</v>
      </c>
    </row>
    <row r="92" spans="2:23" s="34" customFormat="1" ht="23.4">
      <c r="B92" s="87" t="s">
        <v>184</v>
      </c>
      <c r="C92" s="88" t="s">
        <v>162</v>
      </c>
      <c r="D92" s="89" t="s">
        <v>152</v>
      </c>
      <c r="E92" s="90">
        <v>61.6</v>
      </c>
      <c r="F92" s="90">
        <v>1380.4</v>
      </c>
      <c r="G92" s="91">
        <f>'M.C. MED. 11'!K477</f>
        <v>1318.8001000000002</v>
      </c>
      <c r="H92" s="91">
        <f t="shared" si="42"/>
        <v>1318.8001000000002</v>
      </c>
      <c r="I92" s="91"/>
      <c r="J92" s="79">
        <f>SUM(H92:I92)+'BM 010'!I90</f>
        <v>1380.4001000000001</v>
      </c>
      <c r="K92" s="91">
        <f t="shared" si="2"/>
        <v>-9.9999999974897946E-5</v>
      </c>
      <c r="L92" s="94">
        <v>14.5</v>
      </c>
      <c r="M92" s="81">
        <v>18.380201594999999</v>
      </c>
      <c r="N92" s="82">
        <f t="shared" si="36"/>
        <v>24239.81</v>
      </c>
      <c r="O92" s="82">
        <f t="shared" si="37"/>
        <v>24239.81</v>
      </c>
      <c r="P92" s="82">
        <f>O92+'BM 010'!O90</f>
        <v>25372.030000000002</v>
      </c>
      <c r="Q92" s="80">
        <f t="shared" si="38"/>
        <v>893.2</v>
      </c>
      <c r="R92" s="82">
        <f t="shared" si="39"/>
        <v>1132.22</v>
      </c>
      <c r="S92" s="82">
        <f t="shared" si="40"/>
        <v>25372.03</v>
      </c>
      <c r="T92" s="82">
        <f t="shared" si="41"/>
        <v>0</v>
      </c>
    </row>
    <row r="93" spans="2:23" s="34" customFormat="1" ht="34.799999999999997">
      <c r="B93" s="87" t="s">
        <v>185</v>
      </c>
      <c r="C93" s="88" t="s">
        <v>186</v>
      </c>
      <c r="D93" s="89" t="s">
        <v>79</v>
      </c>
      <c r="E93" s="90">
        <v>299.2</v>
      </c>
      <c r="F93" s="90">
        <v>299.2</v>
      </c>
      <c r="G93" s="91"/>
      <c r="H93" s="91">
        <f t="shared" si="42"/>
        <v>0</v>
      </c>
      <c r="I93" s="91"/>
      <c r="J93" s="79">
        <f>SUM(H93:I93)+'BM 010'!I91</f>
        <v>299.20005634945187</v>
      </c>
      <c r="K93" s="91">
        <f t="shared" si="2"/>
        <v>-5.6349451881487767E-5</v>
      </c>
      <c r="L93" s="80">
        <v>140</v>
      </c>
      <c r="M93" s="81">
        <v>177.46401539999999</v>
      </c>
      <c r="N93" s="82">
        <f t="shared" si="36"/>
        <v>0</v>
      </c>
      <c r="O93" s="82">
        <f t="shared" si="37"/>
        <v>0</v>
      </c>
      <c r="P93" s="82">
        <f>O93+'BM 010'!O91</f>
        <v>53097.229999999996</v>
      </c>
      <c r="Q93" s="80">
        <f t="shared" si="38"/>
        <v>41888</v>
      </c>
      <c r="R93" s="82">
        <f t="shared" si="39"/>
        <v>53097.23</v>
      </c>
      <c r="S93" s="82">
        <f t="shared" si="40"/>
        <v>53097.23</v>
      </c>
      <c r="T93" s="82">
        <f t="shared" si="41"/>
        <v>0</v>
      </c>
      <c r="V93" s="83"/>
      <c r="W93" s="83"/>
    </row>
    <row r="94" spans="2:23" s="34" customFormat="1" ht="23.4">
      <c r="B94" s="87" t="s">
        <v>187</v>
      </c>
      <c r="C94" s="88" t="s">
        <v>188</v>
      </c>
      <c r="D94" s="89" t="s">
        <v>169</v>
      </c>
      <c r="E94" s="92">
        <v>22.99</v>
      </c>
      <c r="F94" s="92">
        <v>25.08</v>
      </c>
      <c r="G94" s="91">
        <f>'M.C. MED. 11'!K514</f>
        <v>2.0899999999999532</v>
      </c>
      <c r="H94" s="91">
        <f t="shared" si="42"/>
        <v>2.0899999999999532</v>
      </c>
      <c r="I94" s="91"/>
      <c r="J94" s="79">
        <f>SUM(H94:I94)+'BM 010'!I92</f>
        <v>25.080010518564301</v>
      </c>
      <c r="K94" s="91">
        <f t="shared" ref="K94:K157" si="43">F94-J94</f>
        <v>-1.051856430223097E-5</v>
      </c>
      <c r="L94" s="95">
        <v>750</v>
      </c>
      <c r="M94" s="81">
        <v>950.70008250000001</v>
      </c>
      <c r="N94" s="82">
        <f t="shared" si="36"/>
        <v>1986.96</v>
      </c>
      <c r="O94" s="82">
        <f t="shared" si="37"/>
        <v>1986.96</v>
      </c>
      <c r="P94" s="82">
        <f>O94+'BM 010'!O92</f>
        <v>23843.55</v>
      </c>
      <c r="Q94" s="80">
        <f t="shared" si="38"/>
        <v>17242.5</v>
      </c>
      <c r="R94" s="82">
        <f t="shared" si="39"/>
        <v>21856.59</v>
      </c>
      <c r="S94" s="82">
        <f t="shared" si="40"/>
        <v>23843.55</v>
      </c>
      <c r="T94" s="82">
        <f t="shared" si="41"/>
        <v>0</v>
      </c>
      <c r="V94" s="83"/>
      <c r="W94" s="83"/>
    </row>
    <row r="95" spans="2:23" s="34" customFormat="1" ht="23.4">
      <c r="B95" s="87" t="s">
        <v>189</v>
      </c>
      <c r="C95" s="88" t="s">
        <v>190</v>
      </c>
      <c r="D95" s="89" t="s">
        <v>63</v>
      </c>
      <c r="E95" s="92">
        <v>230</v>
      </c>
      <c r="F95" s="92">
        <v>230</v>
      </c>
      <c r="G95" s="91"/>
      <c r="H95" s="91">
        <f t="shared" si="42"/>
        <v>0</v>
      </c>
      <c r="I95" s="91"/>
      <c r="J95" s="79">
        <f>SUM(H95:I95)+'BM 010'!I93</f>
        <v>230.00026296410891</v>
      </c>
      <c r="K95" s="91">
        <f t="shared" si="43"/>
        <v>-2.6296410891291089E-4</v>
      </c>
      <c r="L95" s="80">
        <v>30</v>
      </c>
      <c r="M95" s="81">
        <v>38.028003300000002</v>
      </c>
      <c r="N95" s="82">
        <f t="shared" si="36"/>
        <v>0</v>
      </c>
      <c r="O95" s="82">
        <f t="shared" si="37"/>
        <v>0</v>
      </c>
      <c r="P95" s="82">
        <f>O95+'BM 010'!O93</f>
        <v>8746.44</v>
      </c>
      <c r="Q95" s="80">
        <f t="shared" si="38"/>
        <v>6900</v>
      </c>
      <c r="R95" s="82">
        <f t="shared" si="39"/>
        <v>8746.44</v>
      </c>
      <c r="S95" s="82">
        <f t="shared" si="40"/>
        <v>8746.44</v>
      </c>
      <c r="T95" s="82">
        <f t="shared" si="41"/>
        <v>0</v>
      </c>
      <c r="V95" s="83"/>
      <c r="W95" s="83"/>
    </row>
    <row r="96" spans="2:23" s="34" customFormat="1" ht="13.2">
      <c r="B96" s="60" t="s">
        <v>191</v>
      </c>
      <c r="C96" s="61" t="s">
        <v>192</v>
      </c>
      <c r="D96" s="60"/>
      <c r="E96" s="62"/>
      <c r="F96" s="284"/>
      <c r="G96" s="63"/>
      <c r="H96" s="63"/>
      <c r="I96" s="63"/>
      <c r="J96" s="63">
        <f>SUM(H96:I96)+'BM 010'!I94</f>
        <v>0</v>
      </c>
      <c r="K96" s="63">
        <f t="shared" si="43"/>
        <v>0</v>
      </c>
      <c r="L96" s="63"/>
      <c r="M96" s="63">
        <v>0</v>
      </c>
      <c r="N96" s="63">
        <f t="shared" ref="N96:T96" si="44">SUM(N97,N109,N122)</f>
        <v>1397788.97</v>
      </c>
      <c r="O96" s="63">
        <f t="shared" si="44"/>
        <v>1381691.44</v>
      </c>
      <c r="P96" s="63">
        <f t="shared" si="44"/>
        <v>5614172.7699999996</v>
      </c>
      <c r="Q96" s="63">
        <f t="shared" si="44"/>
        <v>4541959.5</v>
      </c>
      <c r="R96" s="63">
        <f t="shared" si="44"/>
        <v>5757388.21</v>
      </c>
      <c r="S96" s="63">
        <f t="shared" si="44"/>
        <v>7210277.2599999998</v>
      </c>
      <c r="T96" s="63">
        <f t="shared" si="44"/>
        <v>1596104.4899999998</v>
      </c>
    </row>
    <row r="97" spans="2:22" s="34" customFormat="1" ht="13.2">
      <c r="B97" s="66" t="s">
        <v>193</v>
      </c>
      <c r="C97" s="67" t="s">
        <v>194</v>
      </c>
      <c r="D97" s="68"/>
      <c r="E97" s="69"/>
      <c r="F97" s="69"/>
      <c r="G97" s="70"/>
      <c r="H97" s="70"/>
      <c r="I97" s="70"/>
      <c r="J97" s="70">
        <f>SUM(H97:I97)+'BM 010'!I95</f>
        <v>0</v>
      </c>
      <c r="K97" s="70">
        <f t="shared" si="43"/>
        <v>0</v>
      </c>
      <c r="L97" s="71"/>
      <c r="M97" s="71">
        <v>0</v>
      </c>
      <c r="N97" s="73">
        <f t="shared" ref="N97:T97" si="45">SUM(N98:N108)</f>
        <v>211636.35</v>
      </c>
      <c r="O97" s="73">
        <f t="shared" si="45"/>
        <v>211636.35</v>
      </c>
      <c r="P97" s="73">
        <f t="shared" si="45"/>
        <v>1358779.29</v>
      </c>
      <c r="Q97" s="73">
        <f t="shared" si="45"/>
        <v>1372038.75</v>
      </c>
      <c r="R97" s="73">
        <f t="shared" si="45"/>
        <v>1739196.42</v>
      </c>
      <c r="S97" s="73">
        <f t="shared" si="45"/>
        <v>1739196.42</v>
      </c>
      <c r="T97" s="73">
        <f t="shared" si="45"/>
        <v>380417.13000000012</v>
      </c>
      <c r="V97" s="83"/>
    </row>
    <row r="98" spans="2:22" s="34" customFormat="1" ht="34.799999999999997">
      <c r="B98" s="87" t="s">
        <v>195</v>
      </c>
      <c r="C98" s="88" t="s">
        <v>196</v>
      </c>
      <c r="D98" s="89" t="s">
        <v>79</v>
      </c>
      <c r="E98" s="92">
        <v>3575</v>
      </c>
      <c r="F98" s="92">
        <v>3575</v>
      </c>
      <c r="G98" s="91">
        <f>TRUNC(F98*0.76,2)-2252.25</f>
        <v>464.75</v>
      </c>
      <c r="H98" s="91">
        <f>G98</f>
        <v>464.75</v>
      </c>
      <c r="I98" s="91"/>
      <c r="J98" s="79">
        <f>SUM(H98:I98)+'BM 010'!I96</f>
        <v>2717</v>
      </c>
      <c r="K98" s="91">
        <f t="shared" si="43"/>
        <v>858</v>
      </c>
      <c r="L98" s="80">
        <v>130</v>
      </c>
      <c r="M98" s="81">
        <v>164.78801429999999</v>
      </c>
      <c r="N98" s="82">
        <f t="shared" ref="N98:N108" si="46">TRUNC(G98*M98,2)</f>
        <v>76585.22</v>
      </c>
      <c r="O98" s="82">
        <f t="shared" ref="O98:O108" si="47">TRUNC(H98*M98,2)</f>
        <v>76585.22</v>
      </c>
      <c r="P98" s="82">
        <f>O98+'BM 010'!O96</f>
        <v>447729</v>
      </c>
      <c r="Q98" s="80">
        <f t="shared" ref="Q98:Q108" si="48">E98*L98</f>
        <v>464750</v>
      </c>
      <c r="R98" s="82">
        <f t="shared" ref="R98:R108" si="49">TRUNC(E98*M98,2)</f>
        <v>589117.15</v>
      </c>
      <c r="S98" s="82">
        <f t="shared" ref="S98:S108" si="50">TRUNC(F98*$M98,2)</f>
        <v>589117.15</v>
      </c>
      <c r="T98" s="82">
        <f t="shared" ref="T98:T108" si="51">S98-P98</f>
        <v>141388.15000000002</v>
      </c>
      <c r="V98" s="83"/>
    </row>
    <row r="99" spans="2:22" s="34" customFormat="1" ht="46.2">
      <c r="B99" s="87" t="s">
        <v>197</v>
      </c>
      <c r="C99" s="88" t="s">
        <v>198</v>
      </c>
      <c r="D99" s="89" t="s">
        <v>152</v>
      </c>
      <c r="E99" s="90">
        <v>2130.6999999999998</v>
      </c>
      <c r="F99" s="90">
        <v>2130.6999999999998</v>
      </c>
      <c r="G99" s="91">
        <f>'M.C. MED. 11'!K540</f>
        <v>333.2</v>
      </c>
      <c r="H99" s="91">
        <f>G99</f>
        <v>333.2</v>
      </c>
      <c r="I99" s="91"/>
      <c r="J99" s="79">
        <f>SUM(H99:I99)+'BM 010'!I97</f>
        <v>1512.19</v>
      </c>
      <c r="K99" s="91">
        <f t="shared" si="43"/>
        <v>618.50999999999976</v>
      </c>
      <c r="L99" s="80">
        <v>20</v>
      </c>
      <c r="M99" s="81">
        <v>25.352002200000001</v>
      </c>
      <c r="N99" s="82">
        <f t="shared" si="46"/>
        <v>8447.2800000000007</v>
      </c>
      <c r="O99" s="82">
        <f t="shared" si="47"/>
        <v>8447.2800000000007</v>
      </c>
      <c r="P99" s="82">
        <f>O99+'BM 010'!O97</f>
        <v>38337</v>
      </c>
      <c r="Q99" s="80">
        <f t="shared" si="48"/>
        <v>42614</v>
      </c>
      <c r="R99" s="82">
        <f t="shared" si="49"/>
        <v>54017.51</v>
      </c>
      <c r="S99" s="82">
        <f t="shared" si="50"/>
        <v>54017.51</v>
      </c>
      <c r="T99" s="82">
        <f t="shared" si="51"/>
        <v>15680.510000000002</v>
      </c>
      <c r="V99" s="83"/>
    </row>
    <row r="100" spans="2:22" s="34" customFormat="1" ht="46.2">
      <c r="B100" s="87" t="s">
        <v>199</v>
      </c>
      <c r="C100" s="88" t="s">
        <v>200</v>
      </c>
      <c r="D100" s="89" t="s">
        <v>152</v>
      </c>
      <c r="E100" s="90">
        <v>3031.6</v>
      </c>
      <c r="F100" s="90">
        <v>3031.6</v>
      </c>
      <c r="G100" s="91">
        <f>'M.C. MED. 11'!K564</f>
        <v>312.88</v>
      </c>
      <c r="H100" s="91">
        <f>G100</f>
        <v>312.88</v>
      </c>
      <c r="I100" s="91"/>
      <c r="J100" s="79">
        <f>SUM(H100:I100)+'BM 010'!I98</f>
        <v>2455.1</v>
      </c>
      <c r="K100" s="91">
        <f t="shared" si="43"/>
        <v>576.5</v>
      </c>
      <c r="L100" s="80">
        <v>19</v>
      </c>
      <c r="M100" s="81">
        <v>24.084402090000001</v>
      </c>
      <c r="N100" s="82">
        <f t="shared" si="46"/>
        <v>7535.52</v>
      </c>
      <c r="O100" s="82">
        <f t="shared" si="47"/>
        <v>7535.52</v>
      </c>
      <c r="P100" s="82">
        <f>O100+'BM 010'!O98</f>
        <v>59129.58</v>
      </c>
      <c r="Q100" s="80">
        <f t="shared" si="48"/>
        <v>57600.4</v>
      </c>
      <c r="R100" s="82">
        <f t="shared" si="49"/>
        <v>73014.27</v>
      </c>
      <c r="S100" s="82">
        <f t="shared" si="50"/>
        <v>73014.27</v>
      </c>
      <c r="T100" s="82">
        <f t="shared" si="51"/>
        <v>13884.690000000002</v>
      </c>
    </row>
    <row r="101" spans="2:22" s="34" customFormat="1" ht="46.2">
      <c r="B101" s="87" t="s">
        <v>201</v>
      </c>
      <c r="C101" s="88" t="s">
        <v>202</v>
      </c>
      <c r="D101" s="89" t="s">
        <v>152</v>
      </c>
      <c r="E101" s="90">
        <v>5608.9</v>
      </c>
      <c r="F101" s="90">
        <v>5608.9</v>
      </c>
      <c r="G101" s="91">
        <f>'M.C. MED. 11'!K589</f>
        <v>596.55999999999995</v>
      </c>
      <c r="H101" s="91">
        <f>G101</f>
        <v>596.55999999999995</v>
      </c>
      <c r="I101" s="91"/>
      <c r="J101" s="79">
        <f>SUM(H101:I101)+'BM 010'!I99</f>
        <v>4236.37</v>
      </c>
      <c r="K101" s="91">
        <f t="shared" si="43"/>
        <v>1372.5299999999997</v>
      </c>
      <c r="L101" s="80">
        <v>17.5</v>
      </c>
      <c r="M101" s="81">
        <v>22.183001924999999</v>
      </c>
      <c r="N101" s="82">
        <f t="shared" si="46"/>
        <v>13233.49</v>
      </c>
      <c r="O101" s="82">
        <f t="shared" si="47"/>
        <v>13233.49</v>
      </c>
      <c r="P101" s="82">
        <f>O101+'BM 010'!O99</f>
        <v>93975.37999999999</v>
      </c>
      <c r="Q101" s="80">
        <f t="shared" si="48"/>
        <v>98155.75</v>
      </c>
      <c r="R101" s="82">
        <f t="shared" si="49"/>
        <v>124422.23</v>
      </c>
      <c r="S101" s="82">
        <f t="shared" si="50"/>
        <v>124422.23</v>
      </c>
      <c r="T101" s="82">
        <f t="shared" si="51"/>
        <v>30446.850000000006</v>
      </c>
    </row>
    <row r="102" spans="2:22" s="34" customFormat="1" ht="46.2">
      <c r="B102" s="87" t="s">
        <v>203</v>
      </c>
      <c r="C102" s="88" t="s">
        <v>204</v>
      </c>
      <c r="D102" s="89" t="s">
        <v>152</v>
      </c>
      <c r="E102" s="90">
        <v>4215.2</v>
      </c>
      <c r="F102" s="90">
        <v>4215.2</v>
      </c>
      <c r="G102" s="91">
        <f>'M.C. MED. 11'!K613</f>
        <v>485.27</v>
      </c>
      <c r="H102" s="91">
        <f>G102</f>
        <v>485.27</v>
      </c>
      <c r="I102" s="91"/>
      <c r="J102" s="79">
        <f>SUM(H102:I102)+'BM 010'!I100</f>
        <v>2873.5800000000004</v>
      </c>
      <c r="K102" s="91">
        <f t="shared" si="43"/>
        <v>1341.6199999999994</v>
      </c>
      <c r="L102" s="80">
        <v>16</v>
      </c>
      <c r="M102" s="81">
        <v>20.281601760000001</v>
      </c>
      <c r="N102" s="82">
        <f t="shared" si="46"/>
        <v>9842.0499999999993</v>
      </c>
      <c r="O102" s="82">
        <f t="shared" si="47"/>
        <v>9842.0499999999993</v>
      </c>
      <c r="P102" s="82">
        <f>O102+'BM 010'!O100</f>
        <v>58280.78</v>
      </c>
      <c r="Q102" s="80">
        <f t="shared" si="48"/>
        <v>67443.199999999997</v>
      </c>
      <c r="R102" s="82">
        <f t="shared" si="49"/>
        <v>85491</v>
      </c>
      <c r="S102" s="82">
        <f t="shared" si="50"/>
        <v>85491</v>
      </c>
      <c r="T102" s="82">
        <f t="shared" si="51"/>
        <v>27210.22</v>
      </c>
    </row>
    <row r="103" spans="2:22" s="34" customFormat="1" ht="46.2">
      <c r="B103" s="87" t="s">
        <v>205</v>
      </c>
      <c r="C103" s="88" t="s">
        <v>206</v>
      </c>
      <c r="D103" s="89" t="s">
        <v>152</v>
      </c>
      <c r="E103" s="90">
        <v>3267</v>
      </c>
      <c r="F103" s="90">
        <v>3267</v>
      </c>
      <c r="G103" s="91"/>
      <c r="H103" s="91"/>
      <c r="I103" s="91"/>
      <c r="J103" s="79">
        <f>SUM(H103:I103)+'BM 010'!I101</f>
        <v>3266.9700000000003</v>
      </c>
      <c r="K103" s="91">
        <f t="shared" si="43"/>
        <v>2.9999999999745341E-2</v>
      </c>
      <c r="L103" s="80">
        <v>14.5</v>
      </c>
      <c r="M103" s="81">
        <v>18.380201594999999</v>
      </c>
      <c r="N103" s="82">
        <f t="shared" si="46"/>
        <v>0</v>
      </c>
      <c r="O103" s="82">
        <f t="shared" si="47"/>
        <v>0</v>
      </c>
      <c r="P103" s="82">
        <f>O103+'BM 010'!O101</f>
        <v>60047.530000000006</v>
      </c>
      <c r="Q103" s="80">
        <f t="shared" si="48"/>
        <v>47371.5</v>
      </c>
      <c r="R103" s="82">
        <f t="shared" si="49"/>
        <v>60048.11</v>
      </c>
      <c r="S103" s="82">
        <f t="shared" si="50"/>
        <v>60048.11</v>
      </c>
      <c r="T103" s="82">
        <f t="shared" si="51"/>
        <v>0.57999999999447027</v>
      </c>
      <c r="V103" s="96"/>
    </row>
    <row r="104" spans="2:22" s="34" customFormat="1" ht="46.2">
      <c r="B104" s="87" t="s">
        <v>207</v>
      </c>
      <c r="C104" s="88" t="s">
        <v>208</v>
      </c>
      <c r="D104" s="89" t="s">
        <v>152</v>
      </c>
      <c r="E104" s="90">
        <v>8421.6</v>
      </c>
      <c r="F104" s="90">
        <v>8421.6</v>
      </c>
      <c r="G104" s="91">
        <f>'M.C. MED. 11'!K661</f>
        <v>1112.6400000000001</v>
      </c>
      <c r="H104" s="91">
        <f>G104</f>
        <v>1112.6400000000001</v>
      </c>
      <c r="I104" s="91"/>
      <c r="J104" s="79">
        <f>SUM(H104:I104)+'BM 010'!I102</f>
        <v>6261</v>
      </c>
      <c r="K104" s="91">
        <f t="shared" si="43"/>
        <v>2160.6000000000004</v>
      </c>
      <c r="L104" s="94">
        <v>14.5</v>
      </c>
      <c r="M104" s="81">
        <v>18.380201594999999</v>
      </c>
      <c r="N104" s="82">
        <f t="shared" si="46"/>
        <v>20450.54</v>
      </c>
      <c r="O104" s="82">
        <f t="shared" si="47"/>
        <v>20450.54</v>
      </c>
      <c r="P104" s="82">
        <f>O104+'BM 010'!O102</f>
        <v>115078.39999999999</v>
      </c>
      <c r="Q104" s="80">
        <f t="shared" si="48"/>
        <v>122113.20000000001</v>
      </c>
      <c r="R104" s="82">
        <f t="shared" si="49"/>
        <v>154790.70000000001</v>
      </c>
      <c r="S104" s="82">
        <f t="shared" si="50"/>
        <v>154790.70000000001</v>
      </c>
      <c r="T104" s="82">
        <f t="shared" si="51"/>
        <v>39712.300000000017</v>
      </c>
      <c r="V104" s="96"/>
    </row>
    <row r="105" spans="2:22" s="34" customFormat="1" ht="46.2">
      <c r="B105" s="87" t="s">
        <v>209</v>
      </c>
      <c r="C105" s="88" t="s">
        <v>210</v>
      </c>
      <c r="D105" s="89" t="s">
        <v>152</v>
      </c>
      <c r="E105" s="92">
        <v>7144.5</v>
      </c>
      <c r="F105" s="92">
        <v>7144.5</v>
      </c>
      <c r="G105" s="91">
        <f>'M.C. MED. 11'!K686</f>
        <v>1245.08</v>
      </c>
      <c r="H105" s="91">
        <f>G105</f>
        <v>1245.08</v>
      </c>
      <c r="I105" s="91"/>
      <c r="J105" s="79">
        <f>SUM(H105:I105)+'BM 010'!I103</f>
        <v>6428.83</v>
      </c>
      <c r="K105" s="91">
        <f t="shared" si="43"/>
        <v>715.67000000000007</v>
      </c>
      <c r="L105" s="80">
        <v>14</v>
      </c>
      <c r="M105" s="81">
        <v>17.746401540000001</v>
      </c>
      <c r="N105" s="82">
        <f t="shared" si="46"/>
        <v>22095.68</v>
      </c>
      <c r="O105" s="82">
        <f t="shared" si="47"/>
        <v>22095.68</v>
      </c>
      <c r="P105" s="82">
        <f>O105+'BM 010'!O103</f>
        <v>114088.54999999999</v>
      </c>
      <c r="Q105" s="80">
        <f t="shared" si="48"/>
        <v>100023</v>
      </c>
      <c r="R105" s="82">
        <f t="shared" si="49"/>
        <v>126789.16</v>
      </c>
      <c r="S105" s="82">
        <f t="shared" si="50"/>
        <v>126789.16</v>
      </c>
      <c r="T105" s="82">
        <f t="shared" si="51"/>
        <v>12700.610000000015</v>
      </c>
      <c r="V105" s="96"/>
    </row>
    <row r="106" spans="2:22" s="34" customFormat="1" ht="46.2">
      <c r="B106" s="87" t="s">
        <v>211</v>
      </c>
      <c r="C106" s="88" t="s">
        <v>212</v>
      </c>
      <c r="D106" s="89" t="s">
        <v>152</v>
      </c>
      <c r="E106" s="92">
        <v>6531.8</v>
      </c>
      <c r="F106" s="92">
        <v>6531.8</v>
      </c>
      <c r="G106" s="91">
        <f>'M.C. MED. 11'!K711</f>
        <v>305.14999999999998</v>
      </c>
      <c r="H106" s="91">
        <f>G106</f>
        <v>305.14999999999998</v>
      </c>
      <c r="I106" s="91"/>
      <c r="J106" s="79">
        <f>SUM(H106:I106)+'BM 010'!I104</f>
        <v>5696.23</v>
      </c>
      <c r="K106" s="91">
        <f t="shared" si="43"/>
        <v>835.57000000000062</v>
      </c>
      <c r="L106" s="95">
        <v>14</v>
      </c>
      <c r="M106" s="81">
        <v>17.746401540000001</v>
      </c>
      <c r="N106" s="82">
        <f t="shared" si="46"/>
        <v>5415.31</v>
      </c>
      <c r="O106" s="82">
        <f t="shared" si="47"/>
        <v>5415.31</v>
      </c>
      <c r="P106" s="82">
        <f>O106+'BM 010'!O104</f>
        <v>101087.55</v>
      </c>
      <c r="Q106" s="80">
        <f t="shared" si="48"/>
        <v>91445.2</v>
      </c>
      <c r="R106" s="82">
        <f t="shared" si="49"/>
        <v>115915.94</v>
      </c>
      <c r="S106" s="82">
        <f t="shared" si="50"/>
        <v>115915.94</v>
      </c>
      <c r="T106" s="82">
        <f t="shared" si="51"/>
        <v>14828.39</v>
      </c>
      <c r="V106" s="96"/>
    </row>
    <row r="107" spans="2:22" s="34" customFormat="1" ht="23.4">
      <c r="B107" s="87" t="s">
        <v>213</v>
      </c>
      <c r="C107" s="88" t="s">
        <v>190</v>
      </c>
      <c r="D107" s="89" t="s">
        <v>63</v>
      </c>
      <c r="E107" s="92">
        <v>240</v>
      </c>
      <c r="F107" s="92">
        <v>240</v>
      </c>
      <c r="G107" s="91">
        <f>TRUNC(F107*0.76,0)-151.2</f>
        <v>30.800000000000011</v>
      </c>
      <c r="H107" s="91">
        <f>G107</f>
        <v>30.800000000000011</v>
      </c>
      <c r="I107" s="91"/>
      <c r="J107" s="79">
        <f>SUM(H107:I107)+'BM 010'!I105</f>
        <v>182</v>
      </c>
      <c r="K107" s="91">
        <f t="shared" si="43"/>
        <v>58</v>
      </c>
      <c r="L107" s="80">
        <v>30</v>
      </c>
      <c r="M107" s="81">
        <v>38.028003300000002</v>
      </c>
      <c r="N107" s="82">
        <f t="shared" si="46"/>
        <v>1171.26</v>
      </c>
      <c r="O107" s="82">
        <f t="shared" si="47"/>
        <v>1171.26</v>
      </c>
      <c r="P107" s="82">
        <f>O107+'BM 010'!O105</f>
        <v>6921.0700000000006</v>
      </c>
      <c r="Q107" s="80">
        <f t="shared" si="48"/>
        <v>7200</v>
      </c>
      <c r="R107" s="82">
        <f t="shared" si="49"/>
        <v>9126.7199999999993</v>
      </c>
      <c r="S107" s="82">
        <f t="shared" si="50"/>
        <v>9126.7199999999993</v>
      </c>
      <c r="T107" s="82">
        <f t="shared" si="51"/>
        <v>2205.6499999999987</v>
      </c>
      <c r="V107" s="96"/>
    </row>
    <row r="108" spans="2:22" s="34" customFormat="1" ht="23.4">
      <c r="B108" s="87" t="s">
        <v>214</v>
      </c>
      <c r="C108" s="88" t="s">
        <v>215</v>
      </c>
      <c r="D108" s="89" t="s">
        <v>169</v>
      </c>
      <c r="E108" s="92">
        <v>364.43</v>
      </c>
      <c r="F108" s="92">
        <v>364.43</v>
      </c>
      <c r="G108" s="91">
        <f>'M.C. MED. 11'!K916</f>
        <v>49.29</v>
      </c>
      <c r="H108" s="91">
        <f>G108</f>
        <v>49.29</v>
      </c>
      <c r="I108" s="91"/>
      <c r="J108" s="79">
        <f>SUM(H108:I108)+'BM 010'!I106</f>
        <v>277.80000000000007</v>
      </c>
      <c r="K108" s="91">
        <f t="shared" si="43"/>
        <v>86.629999999999939</v>
      </c>
      <c r="L108" s="95">
        <v>750</v>
      </c>
      <c r="M108" s="81">
        <v>950.70008250000001</v>
      </c>
      <c r="N108" s="82">
        <f t="shared" si="46"/>
        <v>46860</v>
      </c>
      <c r="O108" s="82">
        <f t="shared" si="47"/>
        <v>46860</v>
      </c>
      <c r="P108" s="82">
        <f>O108+'BM 010'!O106</f>
        <v>264104.44999999995</v>
      </c>
      <c r="Q108" s="80">
        <f t="shared" si="48"/>
        <v>273322.5</v>
      </c>
      <c r="R108" s="82">
        <f t="shared" si="49"/>
        <v>346463.63</v>
      </c>
      <c r="S108" s="82">
        <f t="shared" si="50"/>
        <v>346463.63</v>
      </c>
      <c r="T108" s="82">
        <f t="shared" si="51"/>
        <v>82359.180000000051</v>
      </c>
      <c r="V108" s="96"/>
    </row>
    <row r="109" spans="2:22" s="34" customFormat="1" ht="13.2">
      <c r="B109" s="66" t="s">
        <v>216</v>
      </c>
      <c r="C109" s="67" t="s">
        <v>217</v>
      </c>
      <c r="D109" s="68"/>
      <c r="E109" s="69"/>
      <c r="F109" s="69"/>
      <c r="G109" s="70"/>
      <c r="H109" s="70"/>
      <c r="I109" s="70"/>
      <c r="J109" s="70">
        <f>SUM(H109:I109)+'BM 010'!I107</f>
        <v>0</v>
      </c>
      <c r="K109" s="70">
        <f t="shared" si="43"/>
        <v>0</v>
      </c>
      <c r="L109" s="71"/>
      <c r="M109" s="71">
        <v>0</v>
      </c>
      <c r="N109" s="73">
        <f t="shared" ref="N109:T109" si="52">SUM(N110:N121)</f>
        <v>86459.1</v>
      </c>
      <c r="O109" s="73">
        <f t="shared" si="52"/>
        <v>86459.1</v>
      </c>
      <c r="P109" s="73">
        <f t="shared" si="52"/>
        <v>1009120.6000000001</v>
      </c>
      <c r="Q109" s="73">
        <f t="shared" si="52"/>
        <v>951249.7</v>
      </c>
      <c r="R109" s="73">
        <f t="shared" si="52"/>
        <v>1205804.17</v>
      </c>
      <c r="S109" s="73">
        <f t="shared" si="52"/>
        <v>1301570.99</v>
      </c>
      <c r="T109" s="73">
        <f t="shared" si="52"/>
        <v>292450.39</v>
      </c>
      <c r="V109" s="96"/>
    </row>
    <row r="110" spans="2:22" s="34" customFormat="1" ht="46.2">
      <c r="B110" s="87" t="s">
        <v>218</v>
      </c>
      <c r="C110" s="88" t="s">
        <v>219</v>
      </c>
      <c r="D110" s="89" t="s">
        <v>79</v>
      </c>
      <c r="E110" s="92">
        <v>2299</v>
      </c>
      <c r="F110" s="92">
        <v>2521.2399999999998</v>
      </c>
      <c r="G110" s="91">
        <f>TRUNC(F110*0.05,2)</f>
        <v>126.06</v>
      </c>
      <c r="H110" s="91">
        <f t="shared" ref="H110:H121" si="53">G110</f>
        <v>126.06</v>
      </c>
      <c r="I110" s="91"/>
      <c r="J110" s="79">
        <f>SUM(H110:I110)+'BM 010'!I108</f>
        <v>2057.06</v>
      </c>
      <c r="K110" s="91">
        <f t="shared" si="43"/>
        <v>464.17999999999984</v>
      </c>
      <c r="L110" s="80">
        <v>60</v>
      </c>
      <c r="M110" s="81">
        <v>76.056006600000003</v>
      </c>
      <c r="N110" s="82">
        <f t="shared" ref="N110:N121" si="54">TRUNC(G110*M110,2)</f>
        <v>9587.6200000000008</v>
      </c>
      <c r="O110" s="82">
        <f t="shared" ref="O110:O121" si="55">TRUNC(H110*M110,2)</f>
        <v>9587.6200000000008</v>
      </c>
      <c r="P110" s="82">
        <f>O110+'BM 010'!O108</f>
        <v>156451.72</v>
      </c>
      <c r="Q110" s="80">
        <f t="shared" ref="Q110:Q121" si="56">E110*L110</f>
        <v>137940</v>
      </c>
      <c r="R110" s="82">
        <f t="shared" ref="R110:R121" si="57">TRUNC(E110*M110,2)</f>
        <v>174852.75</v>
      </c>
      <c r="S110" s="82">
        <f t="shared" ref="S110:S121" si="58">TRUNC(F110*$M110,2)</f>
        <v>191755.44</v>
      </c>
      <c r="T110" s="82">
        <f t="shared" ref="T110:T121" si="59">S110-P110</f>
        <v>35303.72</v>
      </c>
      <c r="V110" s="96"/>
    </row>
    <row r="111" spans="2:22" s="34" customFormat="1" ht="46.2">
      <c r="B111" s="87" t="s">
        <v>220</v>
      </c>
      <c r="C111" s="88" t="s">
        <v>198</v>
      </c>
      <c r="D111" s="89" t="s">
        <v>152</v>
      </c>
      <c r="E111" s="90">
        <v>347.6</v>
      </c>
      <c r="F111" s="90">
        <v>1815.38</v>
      </c>
      <c r="G111" s="91">
        <f>'M.C. MED. 11'!K934</f>
        <v>7.04</v>
      </c>
      <c r="H111" s="91">
        <f t="shared" si="53"/>
        <v>7.04</v>
      </c>
      <c r="I111" s="91"/>
      <c r="J111" s="79">
        <f>SUM(H111:I111)+'BM 010'!I109</f>
        <v>281.58000000000004</v>
      </c>
      <c r="K111" s="91">
        <f t="shared" si="43"/>
        <v>1533.8000000000002</v>
      </c>
      <c r="L111" s="80">
        <v>20</v>
      </c>
      <c r="M111" s="81">
        <v>25.352002200000001</v>
      </c>
      <c r="N111" s="82">
        <f t="shared" si="54"/>
        <v>178.47</v>
      </c>
      <c r="O111" s="82">
        <f t="shared" si="55"/>
        <v>178.47</v>
      </c>
      <c r="P111" s="82">
        <f>O111+'BM 010'!O109</f>
        <v>7138.5700000000006</v>
      </c>
      <c r="Q111" s="80">
        <f t="shared" si="56"/>
        <v>6952</v>
      </c>
      <c r="R111" s="82">
        <f t="shared" si="57"/>
        <v>8812.35</v>
      </c>
      <c r="S111" s="82">
        <f t="shared" si="58"/>
        <v>46023.51</v>
      </c>
      <c r="T111" s="82">
        <f t="shared" si="59"/>
        <v>38884.94</v>
      </c>
      <c r="V111" s="96"/>
    </row>
    <row r="112" spans="2:22" s="34" customFormat="1" ht="46.2">
      <c r="B112" s="87" t="s">
        <v>221</v>
      </c>
      <c r="C112" s="88" t="s">
        <v>222</v>
      </c>
      <c r="D112" s="89" t="s">
        <v>152</v>
      </c>
      <c r="E112" s="90">
        <v>3626.7</v>
      </c>
      <c r="F112" s="90">
        <v>3626.7</v>
      </c>
      <c r="G112" s="91">
        <f>'M.C. MED. 11'!K951</f>
        <v>241.04</v>
      </c>
      <c r="H112" s="91">
        <f t="shared" si="53"/>
        <v>241.04</v>
      </c>
      <c r="I112" s="91"/>
      <c r="J112" s="79">
        <f>SUM(H112:I112)+'BM 010'!I110</f>
        <v>2426.61</v>
      </c>
      <c r="K112" s="91">
        <f t="shared" si="43"/>
        <v>1200.0899999999997</v>
      </c>
      <c r="L112" s="80">
        <v>19</v>
      </c>
      <c r="M112" s="81">
        <v>24.084402090000001</v>
      </c>
      <c r="N112" s="82">
        <f t="shared" si="54"/>
        <v>5805.3</v>
      </c>
      <c r="O112" s="82">
        <f t="shared" si="55"/>
        <v>5805.3</v>
      </c>
      <c r="P112" s="82">
        <f>O112+'BM 010'!O110</f>
        <v>58443.410000000011</v>
      </c>
      <c r="Q112" s="80">
        <f t="shared" si="56"/>
        <v>68907.3</v>
      </c>
      <c r="R112" s="82">
        <f t="shared" si="57"/>
        <v>87346.9</v>
      </c>
      <c r="S112" s="82">
        <f t="shared" si="58"/>
        <v>87346.9</v>
      </c>
      <c r="T112" s="82">
        <f t="shared" si="59"/>
        <v>28903.489999999983</v>
      </c>
      <c r="V112" s="96"/>
    </row>
    <row r="113" spans="2:22" s="34" customFormat="1" ht="46.2">
      <c r="B113" s="87" t="s">
        <v>223</v>
      </c>
      <c r="C113" s="88" t="s">
        <v>202</v>
      </c>
      <c r="D113" s="89" t="s">
        <v>152</v>
      </c>
      <c r="E113" s="90">
        <v>1762.2</v>
      </c>
      <c r="F113" s="90">
        <v>2640.04</v>
      </c>
      <c r="G113" s="79">
        <f>'M.C. MED. 11'!K969</f>
        <v>111.92</v>
      </c>
      <c r="H113" s="91">
        <f t="shared" si="53"/>
        <v>111.92</v>
      </c>
      <c r="I113" s="91"/>
      <c r="J113" s="79">
        <f>SUM(H113:I113)+'BM 010'!I111</f>
        <v>1115.0999999999999</v>
      </c>
      <c r="K113" s="91">
        <f t="shared" si="43"/>
        <v>1524.94</v>
      </c>
      <c r="L113" s="80">
        <v>17.5</v>
      </c>
      <c r="M113" s="81">
        <v>22.183001924999999</v>
      </c>
      <c r="N113" s="82">
        <f t="shared" si="54"/>
        <v>2482.7199999999998</v>
      </c>
      <c r="O113" s="82">
        <f t="shared" si="55"/>
        <v>2482.7199999999998</v>
      </c>
      <c r="P113" s="82">
        <f>O113+'BM 010'!O111</f>
        <v>24736.25</v>
      </c>
      <c r="Q113" s="80">
        <f t="shared" si="56"/>
        <v>30838.5</v>
      </c>
      <c r="R113" s="82">
        <f t="shared" si="57"/>
        <v>39090.879999999997</v>
      </c>
      <c r="S113" s="82">
        <f t="shared" si="58"/>
        <v>58564.01</v>
      </c>
      <c r="T113" s="82">
        <f t="shared" si="59"/>
        <v>33827.760000000002</v>
      </c>
    </row>
    <row r="114" spans="2:22" s="34" customFormat="1" ht="46.2">
      <c r="B114" s="87" t="s">
        <v>224</v>
      </c>
      <c r="C114" s="88" t="s">
        <v>204</v>
      </c>
      <c r="D114" s="89" t="s">
        <v>152</v>
      </c>
      <c r="E114" s="90">
        <v>542.29999999999995</v>
      </c>
      <c r="F114" s="90">
        <v>542.29999999999995</v>
      </c>
      <c r="G114" s="79">
        <f>'M.C. MED. 11'!K987</f>
        <v>11.13</v>
      </c>
      <c r="H114" s="91">
        <f t="shared" si="53"/>
        <v>11.13</v>
      </c>
      <c r="I114" s="91"/>
      <c r="J114" s="79">
        <f>SUM(H114:I114)+'BM 010'!I112</f>
        <v>405.28999999999996</v>
      </c>
      <c r="K114" s="91">
        <f t="shared" si="43"/>
        <v>137.01</v>
      </c>
      <c r="L114" s="80">
        <v>16</v>
      </c>
      <c r="M114" s="81">
        <v>20.281601760000001</v>
      </c>
      <c r="N114" s="82">
        <f t="shared" si="54"/>
        <v>225.73</v>
      </c>
      <c r="O114" s="82">
        <f t="shared" si="55"/>
        <v>225.73</v>
      </c>
      <c r="P114" s="82">
        <f>O114+'BM 010'!O112</f>
        <v>8219.89</v>
      </c>
      <c r="Q114" s="80">
        <f t="shared" si="56"/>
        <v>8676.7999999999993</v>
      </c>
      <c r="R114" s="82">
        <f t="shared" si="57"/>
        <v>10998.71</v>
      </c>
      <c r="S114" s="82">
        <f t="shared" si="58"/>
        <v>10998.71</v>
      </c>
      <c r="T114" s="82">
        <f t="shared" si="59"/>
        <v>2778.8199999999997</v>
      </c>
      <c r="V114" s="83"/>
    </row>
    <row r="115" spans="2:22" s="34" customFormat="1" ht="46.2">
      <c r="B115" s="87" t="s">
        <v>225</v>
      </c>
      <c r="C115" s="88" t="s">
        <v>206</v>
      </c>
      <c r="D115" s="89" t="s">
        <v>152</v>
      </c>
      <c r="E115" s="90">
        <v>3532.1</v>
      </c>
      <c r="F115" s="90">
        <v>3532.1</v>
      </c>
      <c r="G115" s="79">
        <f>'M.C. MED. 11'!K1007</f>
        <v>35.799999999999997</v>
      </c>
      <c r="H115" s="91">
        <f t="shared" si="53"/>
        <v>35.799999999999997</v>
      </c>
      <c r="I115" s="91"/>
      <c r="J115" s="79">
        <f>SUM(H115:I115)+'BM 010'!I113</f>
        <v>2311.0300000000002</v>
      </c>
      <c r="K115" s="91">
        <f t="shared" si="43"/>
        <v>1221.0699999999997</v>
      </c>
      <c r="L115" s="80">
        <v>14.5</v>
      </c>
      <c r="M115" s="81">
        <v>18.380201594999999</v>
      </c>
      <c r="N115" s="82">
        <f t="shared" si="54"/>
        <v>658.01</v>
      </c>
      <c r="O115" s="82">
        <f t="shared" si="55"/>
        <v>658.01</v>
      </c>
      <c r="P115" s="82">
        <f>O115+'BM 010'!O113</f>
        <v>42477.15</v>
      </c>
      <c r="Q115" s="80">
        <f t="shared" si="56"/>
        <v>51215.45</v>
      </c>
      <c r="R115" s="82">
        <f t="shared" si="57"/>
        <v>64920.71</v>
      </c>
      <c r="S115" s="82">
        <f t="shared" si="58"/>
        <v>64920.71</v>
      </c>
      <c r="T115" s="82">
        <f t="shared" si="59"/>
        <v>22443.559999999998</v>
      </c>
      <c r="V115" s="83"/>
    </row>
    <row r="116" spans="2:22" s="34" customFormat="1" ht="46.2">
      <c r="B116" s="87" t="s">
        <v>226</v>
      </c>
      <c r="C116" s="88" t="s">
        <v>208</v>
      </c>
      <c r="D116" s="89" t="s">
        <v>152</v>
      </c>
      <c r="E116" s="90">
        <v>7313.9</v>
      </c>
      <c r="F116" s="90">
        <v>7313.9</v>
      </c>
      <c r="G116" s="79">
        <f>'M.C. MED. 11'!K1027</f>
        <v>1124.45</v>
      </c>
      <c r="H116" s="91">
        <f t="shared" si="53"/>
        <v>1124.45</v>
      </c>
      <c r="I116" s="91"/>
      <c r="J116" s="79">
        <f>SUM(H116:I116)+'BM 010'!I114</f>
        <v>6413.92</v>
      </c>
      <c r="K116" s="91">
        <f t="shared" si="43"/>
        <v>899.97999999999956</v>
      </c>
      <c r="L116" s="94">
        <v>14.5</v>
      </c>
      <c r="M116" s="81">
        <v>18.380201594999999</v>
      </c>
      <c r="N116" s="82">
        <f t="shared" si="54"/>
        <v>20667.61</v>
      </c>
      <c r="O116" s="82">
        <f t="shared" si="55"/>
        <v>20667.61</v>
      </c>
      <c r="P116" s="82">
        <f>O116+'BM 010'!O114</f>
        <v>117889.11</v>
      </c>
      <c r="Q116" s="80">
        <f t="shared" si="56"/>
        <v>106051.54999999999</v>
      </c>
      <c r="R116" s="82">
        <f t="shared" si="57"/>
        <v>134430.95000000001</v>
      </c>
      <c r="S116" s="82">
        <f t="shared" si="58"/>
        <v>134430.95000000001</v>
      </c>
      <c r="T116" s="82">
        <f t="shared" si="59"/>
        <v>16541.840000000011</v>
      </c>
      <c r="V116" s="83"/>
    </row>
    <row r="117" spans="2:22" s="34" customFormat="1" ht="46.2">
      <c r="B117" s="87" t="s">
        <v>227</v>
      </c>
      <c r="C117" s="88" t="s">
        <v>210</v>
      </c>
      <c r="D117" s="89" t="s">
        <v>152</v>
      </c>
      <c r="E117" s="92">
        <v>4513.3</v>
      </c>
      <c r="F117" s="92">
        <v>4513.3</v>
      </c>
      <c r="G117" s="79">
        <f>'M.C. MED. 11'!K1046</f>
        <v>537.63</v>
      </c>
      <c r="H117" s="91">
        <f t="shared" si="53"/>
        <v>537.63</v>
      </c>
      <c r="I117" s="91"/>
      <c r="J117" s="79">
        <f>SUM(H117:I117)+'BM 010'!I115</f>
        <v>3844.13</v>
      </c>
      <c r="K117" s="91">
        <f t="shared" si="43"/>
        <v>669.17000000000007</v>
      </c>
      <c r="L117" s="80">
        <v>14</v>
      </c>
      <c r="M117" s="81">
        <v>17.746401540000001</v>
      </c>
      <c r="N117" s="82">
        <f t="shared" si="54"/>
        <v>9540.99</v>
      </c>
      <c r="O117" s="82">
        <f t="shared" si="55"/>
        <v>9540.99</v>
      </c>
      <c r="P117" s="82">
        <f>O117+'BM 010'!O115</f>
        <v>68219.44</v>
      </c>
      <c r="Q117" s="80">
        <f t="shared" si="56"/>
        <v>63186.200000000004</v>
      </c>
      <c r="R117" s="82">
        <f t="shared" si="57"/>
        <v>80094.83</v>
      </c>
      <c r="S117" s="82">
        <f t="shared" si="58"/>
        <v>80094.83</v>
      </c>
      <c r="T117" s="82">
        <f t="shared" si="59"/>
        <v>11875.39</v>
      </c>
      <c r="V117" s="83"/>
    </row>
    <row r="118" spans="2:22" s="34" customFormat="1" ht="46.2">
      <c r="B118" s="87" t="s">
        <v>228</v>
      </c>
      <c r="C118" s="88" t="s">
        <v>212</v>
      </c>
      <c r="D118" s="89" t="s">
        <v>152</v>
      </c>
      <c r="E118" s="92">
        <v>14626.7</v>
      </c>
      <c r="F118" s="92">
        <v>14626.7</v>
      </c>
      <c r="G118" s="79">
        <f>'M.C. MED. 11'!K1066</f>
        <v>786.62</v>
      </c>
      <c r="H118" s="91">
        <f t="shared" si="53"/>
        <v>786.62</v>
      </c>
      <c r="I118" s="91"/>
      <c r="J118" s="79">
        <f>SUM(H118:I118)+'BM 010'!I116</f>
        <v>11996.470000000001</v>
      </c>
      <c r="K118" s="91">
        <f t="shared" si="43"/>
        <v>2630.2299999999996</v>
      </c>
      <c r="L118" s="95">
        <v>14</v>
      </c>
      <c r="M118" s="81">
        <v>17.746401540000001</v>
      </c>
      <c r="N118" s="82">
        <f t="shared" si="54"/>
        <v>13959.67</v>
      </c>
      <c r="O118" s="82">
        <f t="shared" si="55"/>
        <v>13959.67</v>
      </c>
      <c r="P118" s="82">
        <f>O118+'BM 010'!O116</f>
        <v>212894.13999999998</v>
      </c>
      <c r="Q118" s="80">
        <f t="shared" si="56"/>
        <v>204773.80000000002</v>
      </c>
      <c r="R118" s="82">
        <f t="shared" si="57"/>
        <v>259571.29</v>
      </c>
      <c r="S118" s="82">
        <f t="shared" si="58"/>
        <v>259571.29</v>
      </c>
      <c r="T118" s="82">
        <f t="shared" si="59"/>
        <v>46677.150000000023</v>
      </c>
      <c r="V118" s="83"/>
    </row>
    <row r="119" spans="2:22" s="34" customFormat="1" ht="22.8">
      <c r="B119" s="87" t="s">
        <v>229</v>
      </c>
      <c r="C119" s="88" t="s">
        <v>230</v>
      </c>
      <c r="D119" s="89" t="s">
        <v>231</v>
      </c>
      <c r="E119" s="92">
        <v>3177.02</v>
      </c>
      <c r="F119" s="92">
        <v>3177.02</v>
      </c>
      <c r="G119" s="91">
        <f>TRUNC(F119*0.05,2)</f>
        <v>158.85</v>
      </c>
      <c r="H119" s="91">
        <f t="shared" si="53"/>
        <v>158.85</v>
      </c>
      <c r="I119" s="91"/>
      <c r="J119" s="79">
        <f>SUM(H119:I119)+'BM 010'!I117</f>
        <v>2826.85</v>
      </c>
      <c r="K119" s="91">
        <f t="shared" si="43"/>
        <v>350.17000000000007</v>
      </c>
      <c r="L119" s="80">
        <v>30</v>
      </c>
      <c r="M119" s="81">
        <v>38.028003300000002</v>
      </c>
      <c r="N119" s="82">
        <f t="shared" si="54"/>
        <v>6040.74</v>
      </c>
      <c r="O119" s="82">
        <f t="shared" si="55"/>
        <v>6040.74</v>
      </c>
      <c r="P119" s="82">
        <f>O119+'BM 010'!O117</f>
        <v>107499.42000000001</v>
      </c>
      <c r="Q119" s="80">
        <f t="shared" si="56"/>
        <v>95310.6</v>
      </c>
      <c r="R119" s="82">
        <f t="shared" si="57"/>
        <v>120815.72</v>
      </c>
      <c r="S119" s="82">
        <f t="shared" si="58"/>
        <v>120815.72</v>
      </c>
      <c r="T119" s="82">
        <f t="shared" si="59"/>
        <v>13316.299999999988</v>
      </c>
      <c r="V119" s="83"/>
    </row>
    <row r="120" spans="2:22" s="34" customFormat="1" ht="23.4">
      <c r="B120" s="87" t="s">
        <v>232</v>
      </c>
      <c r="C120" s="88" t="s">
        <v>190</v>
      </c>
      <c r="D120" s="89" t="s">
        <v>63</v>
      </c>
      <c r="E120" s="92">
        <v>240</v>
      </c>
      <c r="F120" s="92">
        <v>240</v>
      </c>
      <c r="G120" s="91">
        <v>9</v>
      </c>
      <c r="H120" s="91">
        <f t="shared" si="53"/>
        <v>9</v>
      </c>
      <c r="I120" s="91"/>
      <c r="J120" s="79">
        <f>SUM(H120:I120)+'BM 010'!I118</f>
        <v>210</v>
      </c>
      <c r="K120" s="91">
        <f t="shared" si="43"/>
        <v>30</v>
      </c>
      <c r="L120" s="80">
        <v>30</v>
      </c>
      <c r="M120" s="81">
        <v>38.028003300000002</v>
      </c>
      <c r="N120" s="82">
        <f t="shared" si="54"/>
        <v>342.25</v>
      </c>
      <c r="O120" s="82">
        <f t="shared" si="55"/>
        <v>342.25</v>
      </c>
      <c r="P120" s="82">
        <f>O120+'BM 010'!O118</f>
        <v>7985.8499999999985</v>
      </c>
      <c r="Q120" s="80">
        <f t="shared" si="56"/>
        <v>7200</v>
      </c>
      <c r="R120" s="82">
        <f t="shared" si="57"/>
        <v>9126.7199999999993</v>
      </c>
      <c r="S120" s="82">
        <f t="shared" si="58"/>
        <v>9126.7199999999993</v>
      </c>
      <c r="T120" s="82">
        <f t="shared" si="59"/>
        <v>1140.8700000000008</v>
      </c>
      <c r="V120" s="83"/>
    </row>
    <row r="121" spans="2:22" s="34" customFormat="1" ht="23.4">
      <c r="B121" s="87" t="s">
        <v>233</v>
      </c>
      <c r="C121" s="88" t="s">
        <v>215</v>
      </c>
      <c r="D121" s="89" t="s">
        <v>169</v>
      </c>
      <c r="E121" s="92">
        <v>226.93</v>
      </c>
      <c r="F121" s="92">
        <v>250.26</v>
      </c>
      <c r="G121" s="91">
        <f>'M.C. MED. 11'!K1331</f>
        <v>17.850000000000001</v>
      </c>
      <c r="H121" s="91">
        <f t="shared" si="53"/>
        <v>17.850000000000001</v>
      </c>
      <c r="I121" s="91"/>
      <c r="J121" s="79">
        <f>SUM(H121:I121)+'BM 010'!I119</f>
        <v>207.39</v>
      </c>
      <c r="K121" s="91">
        <f t="shared" si="43"/>
        <v>42.870000000000005</v>
      </c>
      <c r="L121" s="95">
        <v>750</v>
      </c>
      <c r="M121" s="81">
        <v>950.70008250000001</v>
      </c>
      <c r="N121" s="82">
        <f t="shared" si="54"/>
        <v>16969.990000000002</v>
      </c>
      <c r="O121" s="82">
        <f t="shared" si="55"/>
        <v>16969.990000000002</v>
      </c>
      <c r="P121" s="82">
        <f>O121+'BM 010'!O119</f>
        <v>197165.65000000002</v>
      </c>
      <c r="Q121" s="80">
        <f t="shared" si="56"/>
        <v>170197.5</v>
      </c>
      <c r="R121" s="82">
        <f t="shared" si="57"/>
        <v>215742.36</v>
      </c>
      <c r="S121" s="82">
        <f t="shared" si="58"/>
        <v>237922.2</v>
      </c>
      <c r="T121" s="82">
        <f t="shared" si="59"/>
        <v>40756.549999999988</v>
      </c>
      <c r="V121" s="83"/>
    </row>
    <row r="122" spans="2:22" s="34" customFormat="1" ht="13.2">
      <c r="B122" s="66" t="s">
        <v>234</v>
      </c>
      <c r="C122" s="67" t="s">
        <v>235</v>
      </c>
      <c r="D122" s="68"/>
      <c r="E122" s="69"/>
      <c r="F122" s="69"/>
      <c r="G122" s="70"/>
      <c r="H122" s="70"/>
      <c r="I122" s="70"/>
      <c r="J122" s="70">
        <f>SUM(H122:I122)+'BM 010'!I120</f>
        <v>0</v>
      </c>
      <c r="K122" s="70">
        <f t="shared" si="43"/>
        <v>0</v>
      </c>
      <c r="L122" s="71"/>
      <c r="M122" s="71">
        <v>0</v>
      </c>
      <c r="N122" s="73">
        <f t="shared" ref="N122:T122" si="60">SUM(N123:N133)</f>
        <v>1099693.52</v>
      </c>
      <c r="O122" s="73">
        <f t="shared" si="60"/>
        <v>1083595.99</v>
      </c>
      <c r="P122" s="73">
        <f t="shared" si="60"/>
        <v>3246272.88</v>
      </c>
      <c r="Q122" s="73">
        <f t="shared" si="60"/>
        <v>2218671.0499999998</v>
      </c>
      <c r="R122" s="73">
        <f t="shared" si="60"/>
        <v>2812387.62</v>
      </c>
      <c r="S122" s="73">
        <f t="shared" si="60"/>
        <v>4169509.8499999996</v>
      </c>
      <c r="T122" s="73">
        <f t="shared" si="60"/>
        <v>923236.96999999974</v>
      </c>
      <c r="V122" s="83"/>
    </row>
    <row r="123" spans="2:22" s="34" customFormat="1" ht="57.6">
      <c r="B123" s="87" t="s">
        <v>236</v>
      </c>
      <c r="C123" s="88" t="s">
        <v>237</v>
      </c>
      <c r="D123" s="89" t="s">
        <v>79</v>
      </c>
      <c r="E123" s="92">
        <v>770.47</v>
      </c>
      <c r="F123" s="92">
        <v>770.47</v>
      </c>
      <c r="G123" s="91">
        <f>TRUNC(0.8*F123-547.0337,2)</f>
        <v>69.34</v>
      </c>
      <c r="H123" s="91">
        <f>G123</f>
        <v>69.34</v>
      </c>
      <c r="I123" s="91"/>
      <c r="J123" s="79">
        <f>SUM(H123:I123)+'BM 010'!I121</f>
        <v>616.37369999999999</v>
      </c>
      <c r="K123" s="91">
        <f t="shared" si="43"/>
        <v>154.09630000000004</v>
      </c>
      <c r="L123" s="80">
        <v>130</v>
      </c>
      <c r="M123" s="81">
        <v>164.78801429999999</v>
      </c>
      <c r="N123" s="82">
        <f t="shared" ref="N123:N133" si="61">TRUNC(G123*M123,2)</f>
        <v>11426.4</v>
      </c>
      <c r="O123" s="82">
        <f t="shared" ref="O123:O133" si="62">TRUNC(H123*M123,2)</f>
        <v>11426.4</v>
      </c>
      <c r="P123" s="82">
        <f>O123+'BM 010'!O121</f>
        <v>101570.98</v>
      </c>
      <c r="Q123" s="80">
        <f t="shared" ref="Q123:Q133" si="63">E123*L123</f>
        <v>100161.1</v>
      </c>
      <c r="R123" s="82">
        <f t="shared" ref="R123:R133" si="64">TRUNC(E123*M123,2)</f>
        <v>126964.22</v>
      </c>
      <c r="S123" s="82">
        <f t="shared" ref="S123:S133" si="65">TRUNC(F123*$M123,2)</f>
        <v>126964.22</v>
      </c>
      <c r="T123" s="82">
        <f t="shared" ref="T123:T133" si="66">S123-P123</f>
        <v>25393.240000000005</v>
      </c>
      <c r="V123" s="83"/>
    </row>
    <row r="124" spans="2:22" s="34" customFormat="1" ht="69">
      <c r="B124" s="87" t="s">
        <v>238</v>
      </c>
      <c r="C124" s="88" t="s">
        <v>239</v>
      </c>
      <c r="D124" s="89" t="s">
        <v>79</v>
      </c>
      <c r="E124" s="92">
        <v>7163.62</v>
      </c>
      <c r="F124" s="92">
        <v>7163.62</v>
      </c>
      <c r="G124" s="91">
        <f>TRUNC(0.8*F124-5086.1702,2)</f>
        <v>644.72</v>
      </c>
      <c r="H124" s="91">
        <v>547.03369999999995</v>
      </c>
      <c r="I124" s="91"/>
      <c r="J124" s="79">
        <f>SUM(H124:I124)+'BM 010'!I122</f>
        <v>5633.2038999999995</v>
      </c>
      <c r="K124" s="91">
        <f t="shared" si="43"/>
        <v>1530.4161000000004</v>
      </c>
      <c r="L124" s="80">
        <v>130</v>
      </c>
      <c r="M124" s="81">
        <v>164.78801429999999</v>
      </c>
      <c r="N124" s="82">
        <f t="shared" si="61"/>
        <v>106242.12</v>
      </c>
      <c r="O124" s="82">
        <f t="shared" si="62"/>
        <v>90144.59</v>
      </c>
      <c r="P124" s="82">
        <f>O124+'BM 010'!O122</f>
        <v>928284.45000000007</v>
      </c>
      <c r="Q124" s="80">
        <f t="shared" si="63"/>
        <v>931270.6</v>
      </c>
      <c r="R124" s="82">
        <f t="shared" si="64"/>
        <v>1180478.71</v>
      </c>
      <c r="S124" s="82">
        <f t="shared" si="65"/>
        <v>1180478.71</v>
      </c>
      <c r="T124" s="82">
        <f t="shared" si="66"/>
        <v>252194.25999999989</v>
      </c>
      <c r="V124" s="83"/>
    </row>
    <row r="125" spans="2:22" s="34" customFormat="1" ht="46.2">
      <c r="B125" s="87" t="s">
        <v>240</v>
      </c>
      <c r="C125" s="88" t="s">
        <v>241</v>
      </c>
      <c r="D125" s="89" t="s">
        <v>152</v>
      </c>
      <c r="E125" s="92">
        <v>2362.8000000000002</v>
      </c>
      <c r="F125" s="92">
        <v>8567.08</v>
      </c>
      <c r="G125" s="91">
        <f>'M.C. MED. 11'!K1368</f>
        <v>4500.3049997935086</v>
      </c>
      <c r="H125" s="91">
        <f t="shared" ref="H125:H133" si="67">G125</f>
        <v>4500.3049997935086</v>
      </c>
      <c r="I125" s="91"/>
      <c r="J125" s="79">
        <f>SUM(H125:I125)+'BM 010'!I123</f>
        <v>6863.1054149999964</v>
      </c>
      <c r="K125" s="91">
        <f t="shared" si="43"/>
        <v>1703.9745850000036</v>
      </c>
      <c r="L125" s="80">
        <v>19</v>
      </c>
      <c r="M125" s="81">
        <v>24.084402090000001</v>
      </c>
      <c r="N125" s="82">
        <f t="shared" si="61"/>
        <v>108387.15</v>
      </c>
      <c r="O125" s="82">
        <f t="shared" si="62"/>
        <v>108387.15</v>
      </c>
      <c r="P125" s="82">
        <f>O125+'BM 010'!O123</f>
        <v>165293.76999999999</v>
      </c>
      <c r="Q125" s="80">
        <f t="shared" si="63"/>
        <v>44893.200000000004</v>
      </c>
      <c r="R125" s="82">
        <f t="shared" si="64"/>
        <v>56906.62</v>
      </c>
      <c r="S125" s="82">
        <f t="shared" si="65"/>
        <v>206332.99</v>
      </c>
      <c r="T125" s="82">
        <f t="shared" si="66"/>
        <v>41039.22</v>
      </c>
      <c r="V125" s="83"/>
    </row>
    <row r="126" spans="2:22" s="34" customFormat="1" ht="46.2">
      <c r="B126" s="87" t="s">
        <v>242</v>
      </c>
      <c r="C126" s="88" t="s">
        <v>243</v>
      </c>
      <c r="D126" s="89" t="s">
        <v>152</v>
      </c>
      <c r="E126" s="90">
        <v>602.79999999999995</v>
      </c>
      <c r="F126" s="90">
        <v>1609.29</v>
      </c>
      <c r="G126" s="91">
        <f>'M.C. MED. 11'!K1391</f>
        <v>711.4669100000001</v>
      </c>
      <c r="H126" s="91">
        <f t="shared" si="67"/>
        <v>711.4669100000001</v>
      </c>
      <c r="I126" s="91"/>
      <c r="J126" s="79">
        <f>SUM(H126:I126)+'BM 010'!I124</f>
        <v>1314.2669100000001</v>
      </c>
      <c r="K126" s="91">
        <f t="shared" si="43"/>
        <v>295.02308999999991</v>
      </c>
      <c r="L126" s="80">
        <v>17.5</v>
      </c>
      <c r="M126" s="81">
        <v>22.183001924999999</v>
      </c>
      <c r="N126" s="82">
        <f t="shared" si="61"/>
        <v>15782.47</v>
      </c>
      <c r="O126" s="82">
        <f t="shared" si="62"/>
        <v>15782.47</v>
      </c>
      <c r="P126" s="82">
        <f>O126+'BM 010'!O124</f>
        <v>29154.379999999997</v>
      </c>
      <c r="Q126" s="80">
        <f t="shared" si="63"/>
        <v>10549</v>
      </c>
      <c r="R126" s="82">
        <f t="shared" si="64"/>
        <v>13371.91</v>
      </c>
      <c r="S126" s="82">
        <f t="shared" si="65"/>
        <v>35698.879999999997</v>
      </c>
      <c r="T126" s="82">
        <f t="shared" si="66"/>
        <v>6544.5</v>
      </c>
      <c r="V126" s="83"/>
    </row>
    <row r="127" spans="2:22" s="34" customFormat="1" ht="46.2">
      <c r="B127" s="87" t="s">
        <v>244</v>
      </c>
      <c r="C127" s="88" t="s">
        <v>245</v>
      </c>
      <c r="D127" s="89" t="s">
        <v>152</v>
      </c>
      <c r="E127" s="90">
        <v>3562.9</v>
      </c>
      <c r="F127" s="90">
        <v>6780.06</v>
      </c>
      <c r="G127" s="91">
        <f>'M.C. MED. 11'!K1414</f>
        <v>2670.7112502000004</v>
      </c>
      <c r="H127" s="91">
        <f t="shared" si="67"/>
        <v>2670.7112502000004</v>
      </c>
      <c r="I127" s="91"/>
      <c r="J127" s="79">
        <f>SUM(H127:I127)+'BM 010'!I125</f>
        <v>6092.8212502000006</v>
      </c>
      <c r="K127" s="91">
        <f t="shared" si="43"/>
        <v>687.23874979999982</v>
      </c>
      <c r="L127" s="80">
        <v>16</v>
      </c>
      <c r="M127" s="81">
        <v>20.281601760000001</v>
      </c>
      <c r="N127" s="82">
        <f t="shared" si="61"/>
        <v>54166.3</v>
      </c>
      <c r="O127" s="82">
        <f t="shared" si="62"/>
        <v>54166.3</v>
      </c>
      <c r="P127" s="82">
        <f>O127+'BM 010'!O125</f>
        <v>123572.15</v>
      </c>
      <c r="Q127" s="80">
        <f t="shared" si="63"/>
        <v>57006.400000000001</v>
      </c>
      <c r="R127" s="82">
        <f t="shared" si="64"/>
        <v>72261.31</v>
      </c>
      <c r="S127" s="82">
        <f t="shared" si="65"/>
        <v>137510.47</v>
      </c>
      <c r="T127" s="82">
        <f t="shared" si="66"/>
        <v>13938.320000000007</v>
      </c>
    </row>
    <row r="128" spans="2:22" s="34" customFormat="1" ht="46.2">
      <c r="B128" s="87" t="s">
        <v>246</v>
      </c>
      <c r="C128" s="88" t="s">
        <v>247</v>
      </c>
      <c r="D128" s="89" t="s">
        <v>152</v>
      </c>
      <c r="E128" s="90">
        <v>8278.6</v>
      </c>
      <c r="F128" s="90">
        <v>15025.82</v>
      </c>
      <c r="G128" s="91">
        <f>'M.C. MED. 11'!K1437</f>
        <v>5628.378861000002</v>
      </c>
      <c r="H128" s="91">
        <f t="shared" si="67"/>
        <v>5628.378861000002</v>
      </c>
      <c r="I128" s="91"/>
      <c r="J128" s="79">
        <f>SUM(H128:I128)+'BM 010'!I126</f>
        <v>12631.908861000002</v>
      </c>
      <c r="K128" s="91">
        <f t="shared" si="43"/>
        <v>2393.911138999998</v>
      </c>
      <c r="L128" s="80">
        <v>14.5</v>
      </c>
      <c r="M128" s="81">
        <v>18.380201594999999</v>
      </c>
      <c r="N128" s="82">
        <f t="shared" si="61"/>
        <v>103450.73</v>
      </c>
      <c r="O128" s="82">
        <f t="shared" si="62"/>
        <v>103450.73</v>
      </c>
      <c r="P128" s="82">
        <f>O128+'BM 010'!O126</f>
        <v>232177</v>
      </c>
      <c r="Q128" s="80">
        <f t="shared" si="63"/>
        <v>120039.70000000001</v>
      </c>
      <c r="R128" s="82">
        <f t="shared" si="64"/>
        <v>152162.32999999999</v>
      </c>
      <c r="S128" s="82">
        <f t="shared" si="65"/>
        <v>276177.59999999998</v>
      </c>
      <c r="T128" s="82">
        <f t="shared" si="66"/>
        <v>44000.599999999977</v>
      </c>
    </row>
    <row r="129" spans="2:23" s="34" customFormat="1" ht="46.2">
      <c r="B129" s="87" t="s">
        <v>248</v>
      </c>
      <c r="C129" s="88" t="s">
        <v>249</v>
      </c>
      <c r="D129" s="89" t="s">
        <v>152</v>
      </c>
      <c r="E129" s="90">
        <v>8114.7</v>
      </c>
      <c r="F129" s="90">
        <v>30505.119999999999</v>
      </c>
      <c r="G129" s="91">
        <f>'M.C. MED. 11'!K1460</f>
        <v>9535.0879800000039</v>
      </c>
      <c r="H129" s="91">
        <f t="shared" si="67"/>
        <v>9535.0879800000039</v>
      </c>
      <c r="I129" s="91"/>
      <c r="J129" s="79">
        <f>SUM(H129:I129)+'BM 010'!I127</f>
        <v>17649.787980000005</v>
      </c>
      <c r="K129" s="91">
        <f t="shared" si="43"/>
        <v>12855.332019999994</v>
      </c>
      <c r="L129" s="94">
        <v>14.5</v>
      </c>
      <c r="M129" s="81">
        <v>18.380201594999999</v>
      </c>
      <c r="N129" s="82">
        <f t="shared" si="61"/>
        <v>175256.83</v>
      </c>
      <c r="O129" s="82">
        <f t="shared" si="62"/>
        <v>175256.83</v>
      </c>
      <c r="P129" s="82">
        <f>O129+'BM 010'!O127</f>
        <v>324406.64</v>
      </c>
      <c r="Q129" s="80">
        <f t="shared" si="63"/>
        <v>117663.15</v>
      </c>
      <c r="R129" s="82">
        <f t="shared" si="64"/>
        <v>149149.82</v>
      </c>
      <c r="S129" s="82">
        <f t="shared" si="65"/>
        <v>560690.25</v>
      </c>
      <c r="T129" s="82">
        <f t="shared" si="66"/>
        <v>236283.61</v>
      </c>
    </row>
    <row r="130" spans="2:23" s="34" customFormat="1" ht="46.2">
      <c r="B130" s="87" t="s">
        <v>250</v>
      </c>
      <c r="C130" s="88" t="s">
        <v>251</v>
      </c>
      <c r="D130" s="89" t="s">
        <v>152</v>
      </c>
      <c r="E130" s="90">
        <v>11554.4</v>
      </c>
      <c r="F130" s="90">
        <v>25709.29</v>
      </c>
      <c r="G130" s="91">
        <f>'M.C. MED. 11'!K1482</f>
        <v>9227.129646000003</v>
      </c>
      <c r="H130" s="91">
        <f t="shared" si="67"/>
        <v>9227.129646000003</v>
      </c>
      <c r="I130" s="91"/>
      <c r="J130" s="79">
        <f>SUM(H130:I130)+'BM 010'!I128</f>
        <v>20345.069646000004</v>
      </c>
      <c r="K130" s="91">
        <f t="shared" si="43"/>
        <v>5364.2203539999973</v>
      </c>
      <c r="L130" s="80">
        <v>14</v>
      </c>
      <c r="M130" s="81">
        <v>17.746401540000001</v>
      </c>
      <c r="N130" s="82">
        <f t="shared" si="61"/>
        <v>163748.34</v>
      </c>
      <c r="O130" s="82">
        <f t="shared" si="62"/>
        <v>163748.34</v>
      </c>
      <c r="P130" s="82">
        <f>O130+'BM 010'!O128</f>
        <v>361051.74</v>
      </c>
      <c r="Q130" s="80">
        <f t="shared" si="63"/>
        <v>161761.60000000001</v>
      </c>
      <c r="R130" s="82">
        <f t="shared" si="64"/>
        <v>205049.02</v>
      </c>
      <c r="S130" s="82">
        <f t="shared" si="65"/>
        <v>456247.38</v>
      </c>
      <c r="T130" s="82">
        <f t="shared" si="66"/>
        <v>95195.640000000014</v>
      </c>
    </row>
    <row r="131" spans="2:23" s="34" customFormat="1" ht="57.6">
      <c r="B131" s="87" t="s">
        <v>252</v>
      </c>
      <c r="C131" s="88" t="s">
        <v>253</v>
      </c>
      <c r="D131" s="89" t="s">
        <v>152</v>
      </c>
      <c r="E131" s="90">
        <v>5166.7</v>
      </c>
      <c r="F131" s="90">
        <v>4383.38</v>
      </c>
      <c r="G131" s="91">
        <f>-363.24/17.74640154</f>
        <v>-20.468374908640776</v>
      </c>
      <c r="H131" s="91">
        <f t="shared" si="67"/>
        <v>-20.468374908640776</v>
      </c>
      <c r="I131" s="91"/>
      <c r="J131" s="79">
        <f>SUM(H131:I131)+'BM 010'!I129</f>
        <v>4383.3816250913596</v>
      </c>
      <c r="K131" s="91">
        <f t="shared" si="43"/>
        <v>-1.6250913595285965E-3</v>
      </c>
      <c r="L131" s="80">
        <v>14</v>
      </c>
      <c r="M131" s="81">
        <v>17.746401540000001</v>
      </c>
      <c r="N131" s="82">
        <f t="shared" si="61"/>
        <v>-363.24</v>
      </c>
      <c r="O131" s="82">
        <f t="shared" si="62"/>
        <v>-363.24</v>
      </c>
      <c r="P131" s="82">
        <f>O131+'BM 010'!O129</f>
        <v>77789.219999999987</v>
      </c>
      <c r="Q131" s="80">
        <f t="shared" si="63"/>
        <v>72333.8</v>
      </c>
      <c r="R131" s="82">
        <f t="shared" si="64"/>
        <v>91690.33</v>
      </c>
      <c r="S131" s="82">
        <f t="shared" si="65"/>
        <v>77789.22</v>
      </c>
      <c r="T131" s="82">
        <f t="shared" si="66"/>
        <v>0</v>
      </c>
    </row>
    <row r="132" spans="2:23" s="34" customFormat="1" ht="23.4">
      <c r="B132" s="87" t="s">
        <v>254</v>
      </c>
      <c r="C132" s="88" t="s">
        <v>215</v>
      </c>
      <c r="D132" s="89" t="s">
        <v>169</v>
      </c>
      <c r="E132" s="92">
        <v>803.99</v>
      </c>
      <c r="F132" s="92">
        <v>897.35</v>
      </c>
      <c r="G132" s="91">
        <f>'M.C. MED. 11'!K1610</f>
        <v>151.31</v>
      </c>
      <c r="H132" s="91">
        <f t="shared" si="67"/>
        <v>151.31</v>
      </c>
      <c r="I132" s="91"/>
      <c r="J132" s="79">
        <f>SUM(H132:I132)+'BM 010'!I130</f>
        <v>720.76</v>
      </c>
      <c r="K132" s="91">
        <f t="shared" si="43"/>
        <v>176.59000000000003</v>
      </c>
      <c r="L132" s="95">
        <v>750</v>
      </c>
      <c r="M132" s="81">
        <v>950.70008250000001</v>
      </c>
      <c r="N132" s="82">
        <f t="shared" si="61"/>
        <v>143850.42000000001</v>
      </c>
      <c r="O132" s="82">
        <f t="shared" si="62"/>
        <v>143850.42000000001</v>
      </c>
      <c r="P132" s="82">
        <f>O132+'BM 010'!O130</f>
        <v>685226.55</v>
      </c>
      <c r="Q132" s="80">
        <f t="shared" si="63"/>
        <v>602992.5</v>
      </c>
      <c r="R132" s="82">
        <f t="shared" si="64"/>
        <v>764353.35</v>
      </c>
      <c r="S132" s="82">
        <f t="shared" si="65"/>
        <v>853110.71</v>
      </c>
      <c r="T132" s="82">
        <f t="shared" si="66"/>
        <v>167884.15999999992</v>
      </c>
      <c r="V132" s="83"/>
      <c r="W132" s="83"/>
    </row>
    <row r="133" spans="2:23" s="34" customFormat="1" ht="34.799999999999997">
      <c r="B133" s="285" t="s">
        <v>1745</v>
      </c>
      <c r="C133" s="286" t="s">
        <v>1746</v>
      </c>
      <c r="D133" s="287" t="s">
        <v>152</v>
      </c>
      <c r="E133" s="288"/>
      <c r="F133" s="288">
        <v>17291.599999999999</v>
      </c>
      <c r="G133" s="289">
        <f>'M.C. MED. 11'!K1624</f>
        <v>14564.95</v>
      </c>
      <c r="H133" s="289">
        <f t="shared" si="67"/>
        <v>14564.95</v>
      </c>
      <c r="I133" s="289"/>
      <c r="J133" s="290">
        <f>SUM(H133:I133)</f>
        <v>14564.95</v>
      </c>
      <c r="K133" s="289">
        <f t="shared" si="43"/>
        <v>2726.6499999999978</v>
      </c>
      <c r="L133" s="294"/>
      <c r="M133" s="292">
        <v>14.95</v>
      </c>
      <c r="N133" s="293">
        <f t="shared" si="61"/>
        <v>217746</v>
      </c>
      <c r="O133" s="293">
        <f t="shared" si="62"/>
        <v>217746</v>
      </c>
      <c r="P133" s="293">
        <f>O133</f>
        <v>217746</v>
      </c>
      <c r="Q133" s="295">
        <f t="shared" si="63"/>
        <v>0</v>
      </c>
      <c r="R133" s="293">
        <f t="shared" si="64"/>
        <v>0</v>
      </c>
      <c r="S133" s="293">
        <f t="shared" si="65"/>
        <v>258509.42</v>
      </c>
      <c r="T133" s="293">
        <f t="shared" si="66"/>
        <v>40763.420000000013</v>
      </c>
    </row>
    <row r="134" spans="2:23" s="34" customFormat="1" ht="17.399999999999999">
      <c r="B134" s="60" t="s">
        <v>255</v>
      </c>
      <c r="C134" s="61" t="s">
        <v>256</v>
      </c>
      <c r="D134" s="60"/>
      <c r="E134" s="62"/>
      <c r="F134" s="284"/>
      <c r="G134" s="63"/>
      <c r="H134" s="63"/>
      <c r="I134" s="63"/>
      <c r="J134" s="63">
        <f>SUM(H134:I134)+'BM 010'!I131</f>
        <v>0</v>
      </c>
      <c r="K134" s="63">
        <f t="shared" si="43"/>
        <v>0</v>
      </c>
      <c r="L134" s="63"/>
      <c r="M134" s="63">
        <v>0</v>
      </c>
      <c r="N134" s="63">
        <f t="shared" ref="N134:T134" si="68">SUM(N135:N141)</f>
        <v>134243.91</v>
      </c>
      <c r="O134" s="63">
        <f t="shared" si="68"/>
        <v>134243.91</v>
      </c>
      <c r="P134" s="63">
        <f t="shared" si="68"/>
        <v>231925.76000000001</v>
      </c>
      <c r="Q134" s="63">
        <f t="shared" si="68"/>
        <v>1701680.9500000002</v>
      </c>
      <c r="R134" s="63">
        <f t="shared" si="68"/>
        <v>2157050.9299999997</v>
      </c>
      <c r="S134" s="63">
        <f t="shared" si="68"/>
        <v>2157050.9299999997</v>
      </c>
      <c r="T134" s="63">
        <f t="shared" si="68"/>
        <v>1925125.1700000002</v>
      </c>
      <c r="V134" s="97"/>
    </row>
    <row r="135" spans="2:23" s="34" customFormat="1" ht="23.4">
      <c r="B135" s="87" t="s">
        <v>257</v>
      </c>
      <c r="C135" s="98" t="s">
        <v>258</v>
      </c>
      <c r="D135" s="99" t="s">
        <v>169</v>
      </c>
      <c r="E135" s="100">
        <v>261.60000000000002</v>
      </c>
      <c r="F135" s="100">
        <v>261.60000000000002</v>
      </c>
      <c r="G135" s="101"/>
      <c r="H135" s="101"/>
      <c r="I135" s="101"/>
      <c r="J135" s="79">
        <f>SUM(H135:I135)+'BM 010'!I132</f>
        <v>0</v>
      </c>
      <c r="K135" s="101">
        <f t="shared" si="43"/>
        <v>261.60000000000002</v>
      </c>
      <c r="L135" s="102">
        <v>620</v>
      </c>
      <c r="M135" s="81">
        <v>785.91206820000002</v>
      </c>
      <c r="N135" s="82">
        <f t="shared" ref="N135:N141" si="69">TRUNC(G135*M135,2)</f>
        <v>0</v>
      </c>
      <c r="O135" s="82">
        <f t="shared" ref="O135:O141" si="70">TRUNC(H135*M135,2)</f>
        <v>0</v>
      </c>
      <c r="P135" s="82">
        <f>O135+'BM 010'!O132</f>
        <v>0</v>
      </c>
      <c r="Q135" s="80">
        <f t="shared" ref="Q135:Q141" si="71">E135*L135</f>
        <v>162192</v>
      </c>
      <c r="R135" s="82">
        <f t="shared" ref="R135:R141" si="72">TRUNC(E135*M135,2)</f>
        <v>205594.59</v>
      </c>
      <c r="S135" s="82">
        <f t="shared" ref="S135:S141" si="73">TRUNC(F135*$M135,2)</f>
        <v>205594.59</v>
      </c>
      <c r="T135" s="82">
        <f t="shared" ref="T135:T141" si="74">S135-P135</f>
        <v>205594.59</v>
      </c>
    </row>
    <row r="136" spans="2:23" s="34" customFormat="1" ht="34.799999999999997">
      <c r="B136" s="87" t="s">
        <v>259</v>
      </c>
      <c r="C136" s="88" t="s">
        <v>260</v>
      </c>
      <c r="D136" s="89" t="s">
        <v>82</v>
      </c>
      <c r="E136" s="90">
        <v>3852</v>
      </c>
      <c r="F136" s="90">
        <v>3852</v>
      </c>
      <c r="G136" s="91">
        <f>'M.C. MED. 11'!K1637</f>
        <v>85</v>
      </c>
      <c r="H136" s="91">
        <f>G136</f>
        <v>85</v>
      </c>
      <c r="I136" s="91"/>
      <c r="J136" s="79">
        <f>SUM(H136:I136)+'BM 010'!I133</f>
        <v>85</v>
      </c>
      <c r="K136" s="91">
        <f t="shared" si="43"/>
        <v>3767</v>
      </c>
      <c r="L136" s="84">
        <v>20</v>
      </c>
      <c r="M136" s="81">
        <v>25.352002200000001</v>
      </c>
      <c r="N136" s="82">
        <f t="shared" si="69"/>
        <v>2154.92</v>
      </c>
      <c r="O136" s="82">
        <f t="shared" si="70"/>
        <v>2154.92</v>
      </c>
      <c r="P136" s="82">
        <f>O136+'BM 010'!O133</f>
        <v>2154.92</v>
      </c>
      <c r="Q136" s="80">
        <f t="shared" si="71"/>
        <v>77040</v>
      </c>
      <c r="R136" s="82">
        <f t="shared" si="72"/>
        <v>97655.91</v>
      </c>
      <c r="S136" s="82">
        <f t="shared" si="73"/>
        <v>97655.91</v>
      </c>
      <c r="T136" s="82">
        <f t="shared" si="74"/>
        <v>95500.99</v>
      </c>
    </row>
    <row r="137" spans="2:23" s="34" customFormat="1" ht="46.2">
      <c r="B137" s="87" t="s">
        <v>261</v>
      </c>
      <c r="C137" s="88" t="s">
        <v>262</v>
      </c>
      <c r="D137" s="89" t="s">
        <v>110</v>
      </c>
      <c r="E137" s="92">
        <v>112</v>
      </c>
      <c r="F137" s="92">
        <v>112</v>
      </c>
      <c r="G137" s="91">
        <f>'M.C. MED. 11'!K1650</f>
        <v>6.76</v>
      </c>
      <c r="H137" s="91">
        <f>G137</f>
        <v>6.76</v>
      </c>
      <c r="I137" s="91"/>
      <c r="J137" s="79">
        <f>SUM(H137:I137)+'BM 010'!I134</f>
        <v>12.95</v>
      </c>
      <c r="K137" s="91">
        <f t="shared" si="43"/>
        <v>99.05</v>
      </c>
      <c r="L137" s="84">
        <v>650</v>
      </c>
      <c r="M137" s="81">
        <v>823.94007150000004</v>
      </c>
      <c r="N137" s="82">
        <f t="shared" si="69"/>
        <v>5569.83</v>
      </c>
      <c r="O137" s="82">
        <f t="shared" si="70"/>
        <v>5569.83</v>
      </c>
      <c r="P137" s="82">
        <f>O137+'BM 010'!O134</f>
        <v>10670.01</v>
      </c>
      <c r="Q137" s="80">
        <f t="shared" si="71"/>
        <v>72800</v>
      </c>
      <c r="R137" s="82">
        <f t="shared" si="72"/>
        <v>92281.279999999999</v>
      </c>
      <c r="S137" s="82">
        <f t="shared" si="73"/>
        <v>92281.279999999999</v>
      </c>
      <c r="T137" s="82">
        <f t="shared" si="74"/>
        <v>81611.27</v>
      </c>
      <c r="V137" s="83"/>
      <c r="W137" s="83"/>
    </row>
    <row r="138" spans="2:23" s="34" customFormat="1" ht="69">
      <c r="B138" s="87" t="s">
        <v>263</v>
      </c>
      <c r="C138" s="88" t="s">
        <v>264</v>
      </c>
      <c r="D138" s="89" t="s">
        <v>79</v>
      </c>
      <c r="E138" s="90">
        <v>15102.2</v>
      </c>
      <c r="F138" s="90">
        <v>15102.2</v>
      </c>
      <c r="G138" s="91">
        <f>'M.C. MED. 11'!K1677</f>
        <v>1200</v>
      </c>
      <c r="H138" s="91">
        <f>G138</f>
        <v>1200</v>
      </c>
      <c r="I138" s="91"/>
      <c r="J138" s="79">
        <f>SUM(H138:I138)+'BM 010'!I135</f>
        <v>2076.44</v>
      </c>
      <c r="K138" s="91">
        <f t="shared" si="43"/>
        <v>13025.76</v>
      </c>
      <c r="L138" s="84">
        <v>79.5</v>
      </c>
      <c r="M138" s="81">
        <v>100.774208745</v>
      </c>
      <c r="N138" s="82">
        <f t="shared" si="69"/>
        <v>120929.05</v>
      </c>
      <c r="O138" s="82">
        <f t="shared" si="70"/>
        <v>120929.05</v>
      </c>
      <c r="P138" s="82">
        <f>O138+'BM 010'!O135</f>
        <v>209251.59000000003</v>
      </c>
      <c r="Q138" s="80">
        <f t="shared" si="71"/>
        <v>1200624.9000000001</v>
      </c>
      <c r="R138" s="82">
        <f t="shared" si="72"/>
        <v>1521912.25</v>
      </c>
      <c r="S138" s="82">
        <f t="shared" si="73"/>
        <v>1521912.25</v>
      </c>
      <c r="T138" s="82">
        <f t="shared" si="74"/>
        <v>1312660.6599999999</v>
      </c>
    </row>
    <row r="139" spans="2:23" s="34" customFormat="1" ht="57.6">
      <c r="B139" s="87" t="s">
        <v>265</v>
      </c>
      <c r="C139" s="88" t="s">
        <v>266</v>
      </c>
      <c r="D139" s="89" t="s">
        <v>79</v>
      </c>
      <c r="E139" s="90">
        <v>772</v>
      </c>
      <c r="F139" s="90">
        <v>772</v>
      </c>
      <c r="G139" s="91"/>
      <c r="H139" s="91"/>
      <c r="I139" s="91"/>
      <c r="J139" s="79">
        <f>SUM(H139:I139)+'BM 010'!I136</f>
        <v>0</v>
      </c>
      <c r="K139" s="91">
        <f t="shared" si="43"/>
        <v>772</v>
      </c>
      <c r="L139" s="84">
        <v>150</v>
      </c>
      <c r="M139" s="81">
        <v>190.1400165</v>
      </c>
      <c r="N139" s="82">
        <f t="shared" si="69"/>
        <v>0</v>
      </c>
      <c r="O139" s="82">
        <f t="shared" si="70"/>
        <v>0</v>
      </c>
      <c r="P139" s="82">
        <f>O139+'BM 010'!O136</f>
        <v>0</v>
      </c>
      <c r="Q139" s="80">
        <f t="shared" si="71"/>
        <v>115800</v>
      </c>
      <c r="R139" s="82">
        <f t="shared" si="72"/>
        <v>146788.09</v>
      </c>
      <c r="S139" s="82">
        <f t="shared" si="73"/>
        <v>146788.09</v>
      </c>
      <c r="T139" s="82">
        <f t="shared" si="74"/>
        <v>146788.09</v>
      </c>
    </row>
    <row r="140" spans="2:23" s="34" customFormat="1" ht="46.2">
      <c r="B140" s="87" t="s">
        <v>267</v>
      </c>
      <c r="C140" s="88" t="s">
        <v>268</v>
      </c>
      <c r="D140" s="89" t="s">
        <v>79</v>
      </c>
      <c r="E140" s="90">
        <v>210.05</v>
      </c>
      <c r="F140" s="90">
        <v>210.05</v>
      </c>
      <c r="G140" s="91"/>
      <c r="H140" s="91"/>
      <c r="I140" s="91"/>
      <c r="J140" s="79">
        <f>SUM(H140:I140)+'BM 010'!I137</f>
        <v>0</v>
      </c>
      <c r="K140" s="91">
        <f t="shared" si="43"/>
        <v>210.05</v>
      </c>
      <c r="L140" s="84">
        <v>165</v>
      </c>
      <c r="M140" s="81">
        <v>209.15401815000001</v>
      </c>
      <c r="N140" s="82">
        <f t="shared" si="69"/>
        <v>0</v>
      </c>
      <c r="O140" s="82">
        <f t="shared" si="70"/>
        <v>0</v>
      </c>
      <c r="P140" s="82">
        <f>O140+'BM 010'!O137</f>
        <v>0</v>
      </c>
      <c r="Q140" s="80">
        <f t="shared" si="71"/>
        <v>34658.25</v>
      </c>
      <c r="R140" s="82">
        <f t="shared" si="72"/>
        <v>43932.800000000003</v>
      </c>
      <c r="S140" s="82">
        <f t="shared" si="73"/>
        <v>43932.800000000003</v>
      </c>
      <c r="T140" s="82">
        <f t="shared" si="74"/>
        <v>43932.800000000003</v>
      </c>
    </row>
    <row r="141" spans="2:23" s="34" customFormat="1" ht="23.4">
      <c r="B141" s="87" t="s">
        <v>269</v>
      </c>
      <c r="C141" s="88" t="s">
        <v>270</v>
      </c>
      <c r="D141" s="89" t="s">
        <v>124</v>
      </c>
      <c r="E141" s="90">
        <v>550.94000000000005</v>
      </c>
      <c r="F141" s="90">
        <v>550.94000000000005</v>
      </c>
      <c r="G141" s="91">
        <f>'M.C. MED. 11'!K1690</f>
        <v>63</v>
      </c>
      <c r="H141" s="91">
        <f>G141</f>
        <v>63</v>
      </c>
      <c r="I141" s="91"/>
      <c r="J141" s="79">
        <f>SUM(H141:I141)+'BM 010'!I138</f>
        <v>111</v>
      </c>
      <c r="K141" s="91">
        <f t="shared" si="43"/>
        <v>439.94000000000005</v>
      </c>
      <c r="L141" s="84">
        <v>70</v>
      </c>
      <c r="M141" s="81">
        <v>88.732007699999997</v>
      </c>
      <c r="N141" s="82">
        <f t="shared" si="69"/>
        <v>5590.11</v>
      </c>
      <c r="O141" s="82">
        <f t="shared" si="70"/>
        <v>5590.11</v>
      </c>
      <c r="P141" s="82">
        <f>O141+'BM 010'!O138</f>
        <v>9849.24</v>
      </c>
      <c r="Q141" s="80">
        <f t="shared" si="71"/>
        <v>38565.800000000003</v>
      </c>
      <c r="R141" s="82">
        <f t="shared" si="72"/>
        <v>48886.01</v>
      </c>
      <c r="S141" s="82">
        <f t="shared" si="73"/>
        <v>48886.01</v>
      </c>
      <c r="T141" s="82">
        <f t="shared" si="74"/>
        <v>39036.770000000004</v>
      </c>
    </row>
    <row r="142" spans="2:23" s="34" customFormat="1" ht="13.2">
      <c r="B142" s="60" t="s">
        <v>271</v>
      </c>
      <c r="C142" s="61" t="s">
        <v>272</v>
      </c>
      <c r="D142" s="60"/>
      <c r="E142" s="62"/>
      <c r="F142" s="284"/>
      <c r="G142" s="63"/>
      <c r="H142" s="63"/>
      <c r="I142" s="63"/>
      <c r="J142" s="63">
        <f>SUM(H142:I142)+'BM 010'!I139</f>
        <v>0</v>
      </c>
      <c r="K142" s="63">
        <f t="shared" si="43"/>
        <v>0</v>
      </c>
      <c r="L142" s="63"/>
      <c r="M142" s="63">
        <v>0</v>
      </c>
      <c r="N142" s="63">
        <f t="shared" ref="N142:T142" si="75">SUM(N143,N151)</f>
        <v>0</v>
      </c>
      <c r="O142" s="63">
        <f t="shared" si="75"/>
        <v>0</v>
      </c>
      <c r="P142" s="63">
        <f t="shared" si="75"/>
        <v>0</v>
      </c>
      <c r="Q142" s="63">
        <f t="shared" si="75"/>
        <v>2433803.8377</v>
      </c>
      <c r="R142" s="63">
        <f t="shared" si="75"/>
        <v>3085089.94</v>
      </c>
      <c r="S142" s="63">
        <f t="shared" si="75"/>
        <v>3085089.94</v>
      </c>
      <c r="T142" s="63">
        <f t="shared" si="75"/>
        <v>3085089.94</v>
      </c>
    </row>
    <row r="143" spans="2:23" s="34" customFormat="1" ht="13.2">
      <c r="B143" s="66" t="s">
        <v>273</v>
      </c>
      <c r="C143" s="67" t="s">
        <v>274</v>
      </c>
      <c r="D143" s="68"/>
      <c r="E143" s="69"/>
      <c r="F143" s="69"/>
      <c r="G143" s="70"/>
      <c r="H143" s="70"/>
      <c r="I143" s="70"/>
      <c r="J143" s="70">
        <f>SUM(H143:I143)+'BM 010'!I140</f>
        <v>0</v>
      </c>
      <c r="K143" s="70">
        <f t="shared" si="43"/>
        <v>0</v>
      </c>
      <c r="L143" s="71"/>
      <c r="M143" s="71">
        <v>0</v>
      </c>
      <c r="N143" s="73">
        <f t="shared" ref="N143:T143" si="76">SUM(N144:N150)</f>
        <v>0</v>
      </c>
      <c r="O143" s="73">
        <f t="shared" si="76"/>
        <v>0</v>
      </c>
      <c r="P143" s="73">
        <f t="shared" si="76"/>
        <v>0</v>
      </c>
      <c r="Q143" s="73">
        <f t="shared" si="76"/>
        <v>1345103.6276999998</v>
      </c>
      <c r="R143" s="73">
        <f t="shared" si="76"/>
        <v>1705053.47</v>
      </c>
      <c r="S143" s="73">
        <f t="shared" si="76"/>
        <v>1705053.47</v>
      </c>
      <c r="T143" s="73">
        <f t="shared" si="76"/>
        <v>1705053.47</v>
      </c>
    </row>
    <row r="144" spans="2:23" s="34" customFormat="1" ht="46.2">
      <c r="B144" s="87" t="s">
        <v>275</v>
      </c>
      <c r="C144" s="88" t="s">
        <v>276</v>
      </c>
      <c r="D144" s="89" t="s">
        <v>79</v>
      </c>
      <c r="E144" s="90">
        <f>E138*2-E152</f>
        <v>26012.79</v>
      </c>
      <c r="F144" s="90">
        <v>26012.79</v>
      </c>
      <c r="G144" s="91"/>
      <c r="H144" s="91"/>
      <c r="I144" s="91"/>
      <c r="J144" s="79">
        <f>SUM(H144:I144)+'BM 010'!I141</f>
        <v>0</v>
      </c>
      <c r="K144" s="91">
        <f t="shared" si="43"/>
        <v>26012.79</v>
      </c>
      <c r="L144" s="84">
        <v>4.5</v>
      </c>
      <c r="M144" s="81">
        <v>5.7042004950000003</v>
      </c>
      <c r="N144" s="82">
        <f t="shared" ref="N144:N150" si="77">TRUNC(G144*M144,2)</f>
        <v>0</v>
      </c>
      <c r="O144" s="82">
        <f t="shared" ref="O144:O150" si="78">TRUNC(H144*M144,2)</f>
        <v>0</v>
      </c>
      <c r="P144" s="82">
        <f>O144+'BM 010'!O141</f>
        <v>0</v>
      </c>
      <c r="Q144" s="80">
        <f t="shared" ref="Q144:Q150" si="79">E144*L144</f>
        <v>117057.55500000001</v>
      </c>
      <c r="R144" s="82">
        <f t="shared" ref="R144:R150" si="80">TRUNC(E144*M144,2)</f>
        <v>148382.16</v>
      </c>
      <c r="S144" s="82">
        <f t="shared" ref="S144:S150" si="81">TRUNC(F144*$M144,2)</f>
        <v>148382.16</v>
      </c>
      <c r="T144" s="82">
        <f t="shared" ref="T144:T150" si="82">S144-P144</f>
        <v>148382.16</v>
      </c>
    </row>
    <row r="145" spans="2:20" s="34" customFormat="1" ht="69">
      <c r="B145" s="87" t="s">
        <v>277</v>
      </c>
      <c r="C145" s="88" t="s">
        <v>278</v>
      </c>
      <c r="D145" s="89" t="s">
        <v>79</v>
      </c>
      <c r="E145" s="90">
        <f>E148+E149</f>
        <v>462.83</v>
      </c>
      <c r="F145" s="90">
        <v>462.83</v>
      </c>
      <c r="G145" s="91"/>
      <c r="H145" s="91"/>
      <c r="I145" s="91"/>
      <c r="J145" s="79">
        <f>SUM(H145:I145)+'BM 010'!I142</f>
        <v>0</v>
      </c>
      <c r="K145" s="91">
        <f t="shared" si="43"/>
        <v>462.83</v>
      </c>
      <c r="L145" s="84">
        <v>30</v>
      </c>
      <c r="M145" s="81">
        <v>38.028003300000002</v>
      </c>
      <c r="N145" s="82">
        <f t="shared" si="77"/>
        <v>0</v>
      </c>
      <c r="O145" s="82">
        <f t="shared" si="78"/>
        <v>0</v>
      </c>
      <c r="P145" s="82">
        <f>O145+'BM 010'!O142</f>
        <v>0</v>
      </c>
      <c r="Q145" s="80">
        <f t="shared" si="79"/>
        <v>13884.9</v>
      </c>
      <c r="R145" s="82">
        <f t="shared" si="80"/>
        <v>17600.5</v>
      </c>
      <c r="S145" s="82">
        <f t="shared" si="81"/>
        <v>17600.5</v>
      </c>
      <c r="T145" s="82">
        <f t="shared" si="82"/>
        <v>17600.5</v>
      </c>
    </row>
    <row r="146" spans="2:20" s="34" customFormat="1" ht="69">
      <c r="B146" s="87" t="s">
        <v>279</v>
      </c>
      <c r="C146" s="88" t="s">
        <v>280</v>
      </c>
      <c r="D146" s="89" t="s">
        <v>79</v>
      </c>
      <c r="E146" s="90">
        <f>E144-E145-E150</f>
        <v>25418.329999999998</v>
      </c>
      <c r="F146" s="90">
        <v>25418.33</v>
      </c>
      <c r="G146" s="91"/>
      <c r="H146" s="91"/>
      <c r="I146" s="91"/>
      <c r="J146" s="79">
        <f>SUM(H146:I146)+'BM 010'!I143</f>
        <v>0</v>
      </c>
      <c r="K146" s="91">
        <f t="shared" si="43"/>
        <v>25418.33</v>
      </c>
      <c r="L146" s="84">
        <v>33.65</v>
      </c>
      <c r="M146" s="81">
        <v>42.654743701500003</v>
      </c>
      <c r="N146" s="82">
        <f t="shared" si="77"/>
        <v>0</v>
      </c>
      <c r="O146" s="82">
        <f t="shared" si="78"/>
        <v>0</v>
      </c>
      <c r="P146" s="82">
        <f>O146+'BM 010'!O143</f>
        <v>0</v>
      </c>
      <c r="Q146" s="80">
        <f t="shared" si="79"/>
        <v>855326.80449999985</v>
      </c>
      <c r="R146" s="82">
        <f t="shared" si="80"/>
        <v>1084212.3500000001</v>
      </c>
      <c r="S146" s="82">
        <f t="shared" si="81"/>
        <v>1084212.3500000001</v>
      </c>
      <c r="T146" s="82">
        <f t="shared" si="82"/>
        <v>1084212.3500000001</v>
      </c>
    </row>
    <row r="147" spans="2:20" s="34" customFormat="1" ht="23.4">
      <c r="B147" s="87" t="s">
        <v>281</v>
      </c>
      <c r="C147" s="88" t="s">
        <v>282</v>
      </c>
      <c r="D147" s="89" t="s">
        <v>79</v>
      </c>
      <c r="E147" s="90">
        <v>1328.83</v>
      </c>
      <c r="F147" s="90">
        <v>1328.83</v>
      </c>
      <c r="G147" s="91"/>
      <c r="H147" s="91"/>
      <c r="I147" s="91"/>
      <c r="J147" s="79">
        <f>SUM(H147:I147)+'BM 010'!I144</f>
        <v>0</v>
      </c>
      <c r="K147" s="91">
        <f t="shared" si="43"/>
        <v>1328.83</v>
      </c>
      <c r="L147" s="84">
        <v>162.54</v>
      </c>
      <c r="M147" s="81">
        <v>206.0357218794</v>
      </c>
      <c r="N147" s="82">
        <f t="shared" si="77"/>
        <v>0</v>
      </c>
      <c r="O147" s="82">
        <f t="shared" si="78"/>
        <v>0</v>
      </c>
      <c r="P147" s="82">
        <f>O147+'BM 010'!O144</f>
        <v>0</v>
      </c>
      <c r="Q147" s="80">
        <f t="shared" si="79"/>
        <v>215988.02819999997</v>
      </c>
      <c r="R147" s="82">
        <f t="shared" si="80"/>
        <v>273786.44</v>
      </c>
      <c r="S147" s="82">
        <f t="shared" si="81"/>
        <v>273786.44</v>
      </c>
      <c r="T147" s="82">
        <f t="shared" si="82"/>
        <v>273786.44</v>
      </c>
    </row>
    <row r="148" spans="2:20" s="34" customFormat="1" ht="46.2">
      <c r="B148" s="87" t="s">
        <v>283</v>
      </c>
      <c r="C148" s="88" t="s">
        <v>284</v>
      </c>
      <c r="D148" s="89" t="s">
        <v>79</v>
      </c>
      <c r="E148" s="92">
        <v>392.83</v>
      </c>
      <c r="F148" s="92">
        <v>392.83</v>
      </c>
      <c r="G148" s="91"/>
      <c r="H148" s="91"/>
      <c r="I148" s="91"/>
      <c r="J148" s="79">
        <f>SUM(H148:I148)+'BM 010'!I145</f>
        <v>0</v>
      </c>
      <c r="K148" s="91">
        <f t="shared" si="43"/>
        <v>392.83</v>
      </c>
      <c r="L148" s="84">
        <v>148</v>
      </c>
      <c r="M148" s="81">
        <v>187.60481627999999</v>
      </c>
      <c r="N148" s="82">
        <f t="shared" si="77"/>
        <v>0</v>
      </c>
      <c r="O148" s="82">
        <f t="shared" si="78"/>
        <v>0</v>
      </c>
      <c r="P148" s="82">
        <f>O148+'BM 010'!O145</f>
        <v>0</v>
      </c>
      <c r="Q148" s="80">
        <f t="shared" si="79"/>
        <v>58138.84</v>
      </c>
      <c r="R148" s="82">
        <f t="shared" si="80"/>
        <v>73696.789999999994</v>
      </c>
      <c r="S148" s="82">
        <f t="shared" si="81"/>
        <v>73696.789999999994</v>
      </c>
      <c r="T148" s="82">
        <f t="shared" si="82"/>
        <v>73696.789999999994</v>
      </c>
    </row>
    <row r="149" spans="2:20" s="34" customFormat="1" ht="13.2">
      <c r="B149" s="87" t="s">
        <v>285</v>
      </c>
      <c r="C149" s="88" t="s">
        <v>286</v>
      </c>
      <c r="D149" s="89" t="s">
        <v>79</v>
      </c>
      <c r="E149" s="92">
        <v>70</v>
      </c>
      <c r="F149" s="92">
        <v>70</v>
      </c>
      <c r="G149" s="91"/>
      <c r="H149" s="91"/>
      <c r="I149" s="91"/>
      <c r="J149" s="79">
        <f>SUM(H149:I149)+'BM 010'!I146</f>
        <v>0</v>
      </c>
      <c r="K149" s="91">
        <f t="shared" si="43"/>
        <v>70</v>
      </c>
      <c r="L149" s="84">
        <v>740</v>
      </c>
      <c r="M149" s="81">
        <v>938.0240814</v>
      </c>
      <c r="N149" s="82">
        <f t="shared" si="77"/>
        <v>0</v>
      </c>
      <c r="O149" s="82">
        <f t="shared" si="78"/>
        <v>0</v>
      </c>
      <c r="P149" s="82">
        <f>O149+'BM 010'!O146</f>
        <v>0</v>
      </c>
      <c r="Q149" s="80">
        <f t="shared" si="79"/>
        <v>51800</v>
      </c>
      <c r="R149" s="82">
        <f t="shared" si="80"/>
        <v>65661.679999999993</v>
      </c>
      <c r="S149" s="82">
        <f t="shared" si="81"/>
        <v>65661.679999999993</v>
      </c>
      <c r="T149" s="82">
        <f t="shared" si="82"/>
        <v>65661.679999999993</v>
      </c>
    </row>
    <row r="150" spans="2:20" s="34" customFormat="1" ht="13.2">
      <c r="B150" s="87" t="s">
        <v>287</v>
      </c>
      <c r="C150" s="88" t="s">
        <v>288</v>
      </c>
      <c r="D150" s="89" t="s">
        <v>79</v>
      </c>
      <c r="E150" s="90">
        <v>131.63</v>
      </c>
      <c r="F150" s="90">
        <v>131.63</v>
      </c>
      <c r="G150" s="91"/>
      <c r="H150" s="91"/>
      <c r="I150" s="91"/>
      <c r="J150" s="79">
        <f>SUM(H150:I150)+'BM 010'!I147</f>
        <v>0</v>
      </c>
      <c r="K150" s="91">
        <f t="shared" si="43"/>
        <v>131.63</v>
      </c>
      <c r="L150" s="80">
        <v>250</v>
      </c>
      <c r="M150" s="81">
        <v>316.90002750000002</v>
      </c>
      <c r="N150" s="82">
        <f t="shared" si="77"/>
        <v>0</v>
      </c>
      <c r="O150" s="82">
        <f t="shared" si="78"/>
        <v>0</v>
      </c>
      <c r="P150" s="82">
        <f>O150+'BM 010'!O147</f>
        <v>0</v>
      </c>
      <c r="Q150" s="80">
        <f t="shared" si="79"/>
        <v>32907.5</v>
      </c>
      <c r="R150" s="82">
        <f t="shared" si="80"/>
        <v>41713.550000000003</v>
      </c>
      <c r="S150" s="82">
        <f t="shared" si="81"/>
        <v>41713.550000000003</v>
      </c>
      <c r="T150" s="82">
        <f t="shared" si="82"/>
        <v>41713.550000000003</v>
      </c>
    </row>
    <row r="151" spans="2:20" s="34" customFormat="1" ht="13.2">
      <c r="B151" s="66" t="s">
        <v>289</v>
      </c>
      <c r="C151" s="67" t="s">
        <v>290</v>
      </c>
      <c r="D151" s="68"/>
      <c r="E151" s="69"/>
      <c r="F151" s="69"/>
      <c r="G151" s="70"/>
      <c r="H151" s="70"/>
      <c r="I151" s="70"/>
      <c r="J151" s="70">
        <f>SUM(H151:I151)+'BM 010'!I148</f>
        <v>0</v>
      </c>
      <c r="K151" s="70">
        <f t="shared" si="43"/>
        <v>0</v>
      </c>
      <c r="L151" s="71"/>
      <c r="M151" s="71">
        <v>0</v>
      </c>
      <c r="N151" s="73">
        <f t="shared" ref="N151:T151" si="83">SUM(N152:N157)</f>
        <v>0</v>
      </c>
      <c r="O151" s="73">
        <f t="shared" si="83"/>
        <v>0</v>
      </c>
      <c r="P151" s="73">
        <f t="shared" si="83"/>
        <v>0</v>
      </c>
      <c r="Q151" s="73">
        <f t="shared" si="83"/>
        <v>1088700.21</v>
      </c>
      <c r="R151" s="73">
        <f t="shared" si="83"/>
        <v>1380036.47</v>
      </c>
      <c r="S151" s="73">
        <f t="shared" si="83"/>
        <v>1380036.47</v>
      </c>
      <c r="T151" s="73">
        <f t="shared" si="83"/>
        <v>1380036.47</v>
      </c>
    </row>
    <row r="152" spans="2:20" s="34" customFormat="1" ht="57.6">
      <c r="B152" s="87" t="s">
        <v>291</v>
      </c>
      <c r="C152" s="88" t="s">
        <v>292</v>
      </c>
      <c r="D152" s="89" t="s">
        <v>79</v>
      </c>
      <c r="E152" s="90">
        <f>E154+E155+E156+E157</f>
        <v>4191.6100000000006</v>
      </c>
      <c r="F152" s="90">
        <v>4191.6099999999997</v>
      </c>
      <c r="G152" s="91"/>
      <c r="H152" s="91"/>
      <c r="I152" s="91"/>
      <c r="J152" s="79">
        <f>SUM(H152:I152)+'BM 010'!I149</f>
        <v>0</v>
      </c>
      <c r="K152" s="91">
        <f t="shared" si="43"/>
        <v>4191.6099999999997</v>
      </c>
      <c r="L152" s="84">
        <v>12</v>
      </c>
      <c r="M152" s="81">
        <v>15.211201320000001</v>
      </c>
      <c r="N152" s="82">
        <f t="shared" ref="N152:N157" si="84">TRUNC(G152*M152,2)</f>
        <v>0</v>
      </c>
      <c r="O152" s="82">
        <f t="shared" ref="O152:O157" si="85">TRUNC(H152*M152,2)</f>
        <v>0</v>
      </c>
      <c r="P152" s="82">
        <f>O152+'BM 010'!O149</f>
        <v>0</v>
      </c>
      <c r="Q152" s="80">
        <f t="shared" ref="Q152:Q157" si="86">E152*L152</f>
        <v>50299.320000000007</v>
      </c>
      <c r="R152" s="82">
        <f t="shared" ref="R152:R157" si="87">TRUNC(E152*M152,2)</f>
        <v>63759.42</v>
      </c>
      <c r="S152" s="82">
        <f t="shared" ref="S152:S157" si="88">TRUNC(F152*$M152,2)</f>
        <v>63759.42</v>
      </c>
      <c r="T152" s="82">
        <f t="shared" ref="T152:T157" si="89">S152-P152</f>
        <v>63759.42</v>
      </c>
    </row>
    <row r="153" spans="2:20" s="34" customFormat="1" ht="69">
      <c r="B153" s="87" t="s">
        <v>293</v>
      </c>
      <c r="C153" s="88" t="s">
        <v>294</v>
      </c>
      <c r="D153" s="89" t="s">
        <v>79</v>
      </c>
      <c r="E153" s="90">
        <f>E152</f>
        <v>4191.6100000000006</v>
      </c>
      <c r="F153" s="90">
        <v>4191.6099999999997</v>
      </c>
      <c r="G153" s="91"/>
      <c r="H153" s="91"/>
      <c r="I153" s="91"/>
      <c r="J153" s="79">
        <f>SUM(H153:I153)+'BM 010'!I150</f>
        <v>0</v>
      </c>
      <c r="K153" s="91">
        <f t="shared" si="43"/>
        <v>4191.6099999999997</v>
      </c>
      <c r="L153" s="84">
        <v>62</v>
      </c>
      <c r="M153" s="81">
        <v>78.591206819999996</v>
      </c>
      <c r="N153" s="82">
        <f t="shared" si="84"/>
        <v>0</v>
      </c>
      <c r="O153" s="82">
        <f t="shared" si="85"/>
        <v>0</v>
      </c>
      <c r="P153" s="82">
        <f>O153+'BM 010'!O150</f>
        <v>0</v>
      </c>
      <c r="Q153" s="80">
        <f t="shared" si="86"/>
        <v>259879.82000000004</v>
      </c>
      <c r="R153" s="82">
        <f t="shared" si="87"/>
        <v>329423.68</v>
      </c>
      <c r="S153" s="82">
        <f t="shared" si="88"/>
        <v>329423.68</v>
      </c>
      <c r="T153" s="82">
        <f t="shared" si="89"/>
        <v>329423.68</v>
      </c>
    </row>
    <row r="154" spans="2:20" s="34" customFormat="1" ht="23.4">
      <c r="B154" s="87" t="s">
        <v>295</v>
      </c>
      <c r="C154" s="88" t="s">
        <v>296</v>
      </c>
      <c r="D154" s="89" t="s">
        <v>79</v>
      </c>
      <c r="E154" s="90">
        <v>120.2</v>
      </c>
      <c r="F154" s="90">
        <v>120.2</v>
      </c>
      <c r="G154" s="91"/>
      <c r="H154" s="91"/>
      <c r="I154" s="91"/>
      <c r="J154" s="79">
        <f>SUM(H154:I154)+'BM 010'!I151</f>
        <v>0</v>
      </c>
      <c r="K154" s="91">
        <f t="shared" si="43"/>
        <v>120.2</v>
      </c>
      <c r="L154" s="84">
        <v>178</v>
      </c>
      <c r="M154" s="81">
        <v>225.63281957999999</v>
      </c>
      <c r="N154" s="82">
        <f t="shared" si="84"/>
        <v>0</v>
      </c>
      <c r="O154" s="82">
        <f t="shared" si="85"/>
        <v>0</v>
      </c>
      <c r="P154" s="82">
        <f>O154+'BM 010'!O151</f>
        <v>0</v>
      </c>
      <c r="Q154" s="80">
        <f t="shared" si="86"/>
        <v>21395.600000000002</v>
      </c>
      <c r="R154" s="82">
        <f t="shared" si="87"/>
        <v>27121.06</v>
      </c>
      <c r="S154" s="82">
        <f t="shared" si="88"/>
        <v>27121.06</v>
      </c>
      <c r="T154" s="82">
        <f t="shared" si="89"/>
        <v>27121.06</v>
      </c>
    </row>
    <row r="155" spans="2:20" s="34" customFormat="1" ht="23.4">
      <c r="B155" s="87" t="s">
        <v>297</v>
      </c>
      <c r="C155" s="88" t="s">
        <v>298</v>
      </c>
      <c r="D155" s="89" t="s">
        <v>79</v>
      </c>
      <c r="E155" s="90">
        <v>52.6</v>
      </c>
      <c r="F155" s="90">
        <v>52.6</v>
      </c>
      <c r="G155" s="91"/>
      <c r="H155" s="91"/>
      <c r="I155" s="91"/>
      <c r="J155" s="79">
        <f>SUM(H155:I155)+'BM 010'!I152</f>
        <v>0</v>
      </c>
      <c r="K155" s="91">
        <f t="shared" si="43"/>
        <v>52.6</v>
      </c>
      <c r="L155" s="84">
        <v>182</v>
      </c>
      <c r="M155" s="81">
        <v>230.70322002</v>
      </c>
      <c r="N155" s="82">
        <f t="shared" si="84"/>
        <v>0</v>
      </c>
      <c r="O155" s="82">
        <f t="shared" si="85"/>
        <v>0</v>
      </c>
      <c r="P155" s="82">
        <f>O155+'BM 010'!O152</f>
        <v>0</v>
      </c>
      <c r="Q155" s="80">
        <f t="shared" si="86"/>
        <v>9573.2000000000007</v>
      </c>
      <c r="R155" s="82">
        <f t="shared" si="87"/>
        <v>12134.98</v>
      </c>
      <c r="S155" s="82">
        <f t="shared" si="88"/>
        <v>12134.98</v>
      </c>
      <c r="T155" s="82">
        <f t="shared" si="89"/>
        <v>12134.98</v>
      </c>
    </row>
    <row r="156" spans="2:20" s="34" customFormat="1" ht="23.4">
      <c r="B156" s="87" t="s">
        <v>299</v>
      </c>
      <c r="C156" s="88" t="s">
        <v>300</v>
      </c>
      <c r="D156" s="89" t="s">
        <v>79</v>
      </c>
      <c r="E156" s="90">
        <v>2811.38</v>
      </c>
      <c r="F156" s="90">
        <v>2811.38</v>
      </c>
      <c r="G156" s="91"/>
      <c r="H156" s="91"/>
      <c r="I156" s="91"/>
      <c r="J156" s="79">
        <f>SUM(H156:I156)+'BM 010'!I153</f>
        <v>0</v>
      </c>
      <c r="K156" s="91">
        <f t="shared" si="43"/>
        <v>2811.38</v>
      </c>
      <c r="L156" s="84">
        <v>177</v>
      </c>
      <c r="M156" s="81">
        <v>224.36521947</v>
      </c>
      <c r="N156" s="82">
        <f t="shared" si="84"/>
        <v>0</v>
      </c>
      <c r="O156" s="82">
        <f t="shared" si="85"/>
        <v>0</v>
      </c>
      <c r="P156" s="82">
        <f>O156+'BM 010'!O153</f>
        <v>0</v>
      </c>
      <c r="Q156" s="80">
        <f t="shared" si="86"/>
        <v>497614.26</v>
      </c>
      <c r="R156" s="82">
        <f t="shared" si="87"/>
        <v>630775.89</v>
      </c>
      <c r="S156" s="82">
        <f t="shared" si="88"/>
        <v>630775.89</v>
      </c>
      <c r="T156" s="82">
        <f t="shared" si="89"/>
        <v>630775.89</v>
      </c>
    </row>
    <row r="157" spans="2:20" s="34" customFormat="1" ht="23.4">
      <c r="B157" s="87" t="s">
        <v>301</v>
      </c>
      <c r="C157" s="88" t="s">
        <v>302</v>
      </c>
      <c r="D157" s="89" t="s">
        <v>79</v>
      </c>
      <c r="E157" s="90">
        <v>1207.43</v>
      </c>
      <c r="F157" s="90">
        <v>1207.43</v>
      </c>
      <c r="G157" s="91"/>
      <c r="H157" s="91"/>
      <c r="I157" s="91"/>
      <c r="J157" s="79">
        <f>SUM(H157:I157)+'BM 010'!I154</f>
        <v>0</v>
      </c>
      <c r="K157" s="91">
        <f t="shared" si="43"/>
        <v>1207.43</v>
      </c>
      <c r="L157" s="84">
        <v>207</v>
      </c>
      <c r="M157" s="81">
        <v>262.39322277000002</v>
      </c>
      <c r="N157" s="82">
        <f t="shared" si="84"/>
        <v>0</v>
      </c>
      <c r="O157" s="82">
        <f t="shared" si="85"/>
        <v>0</v>
      </c>
      <c r="P157" s="82">
        <f>O157+'BM 010'!O154</f>
        <v>0</v>
      </c>
      <c r="Q157" s="80">
        <f t="shared" si="86"/>
        <v>249938.01</v>
      </c>
      <c r="R157" s="82">
        <f t="shared" si="87"/>
        <v>316821.44</v>
      </c>
      <c r="S157" s="82">
        <f t="shared" si="88"/>
        <v>316821.44</v>
      </c>
      <c r="T157" s="82">
        <f t="shared" si="89"/>
        <v>316821.44</v>
      </c>
    </row>
    <row r="158" spans="2:20" s="34" customFormat="1" ht="13.2">
      <c r="B158" s="60" t="s">
        <v>303</v>
      </c>
      <c r="C158" s="61" t="s">
        <v>304</v>
      </c>
      <c r="D158" s="60"/>
      <c r="E158" s="62"/>
      <c r="F158" s="284"/>
      <c r="G158" s="63"/>
      <c r="H158" s="63"/>
      <c r="I158" s="63"/>
      <c r="J158" s="63">
        <f>SUM(H158:I158)+'BM 010'!I155</f>
        <v>0</v>
      </c>
      <c r="K158" s="63">
        <f t="shared" ref="K158:K221" si="90">F158-J158</f>
        <v>0</v>
      </c>
      <c r="L158" s="63"/>
      <c r="M158" s="63">
        <v>0</v>
      </c>
      <c r="N158" s="63">
        <f t="shared" ref="N158:T158" si="91">SUM(N159,N168)</f>
        <v>0</v>
      </c>
      <c r="O158" s="63">
        <f t="shared" si="91"/>
        <v>0</v>
      </c>
      <c r="P158" s="63">
        <f t="shared" si="91"/>
        <v>0</v>
      </c>
      <c r="Q158" s="63">
        <f t="shared" si="91"/>
        <v>800757.83000000007</v>
      </c>
      <c r="R158" s="63">
        <f t="shared" si="91"/>
        <v>1015040.66</v>
      </c>
      <c r="S158" s="63">
        <f t="shared" si="91"/>
        <v>1015040.66</v>
      </c>
      <c r="T158" s="63">
        <f t="shared" si="91"/>
        <v>1015040.66</v>
      </c>
    </row>
    <row r="159" spans="2:20" s="34" customFormat="1" ht="13.2">
      <c r="B159" s="66" t="s">
        <v>305</v>
      </c>
      <c r="C159" s="67" t="s">
        <v>306</v>
      </c>
      <c r="D159" s="68"/>
      <c r="E159" s="69"/>
      <c r="F159" s="69"/>
      <c r="G159" s="70"/>
      <c r="H159" s="70"/>
      <c r="I159" s="70"/>
      <c r="J159" s="70">
        <f>SUM(H159:I159)+'BM 010'!I156</f>
        <v>0</v>
      </c>
      <c r="K159" s="70">
        <f t="shared" si="90"/>
        <v>0</v>
      </c>
      <c r="L159" s="71"/>
      <c r="M159" s="71">
        <v>0</v>
      </c>
      <c r="N159" s="73">
        <f t="shared" ref="N159:T159" si="92">SUM(N160:N167)</f>
        <v>0</v>
      </c>
      <c r="O159" s="73">
        <f t="shared" si="92"/>
        <v>0</v>
      </c>
      <c r="P159" s="73">
        <f t="shared" si="92"/>
        <v>0</v>
      </c>
      <c r="Q159" s="73">
        <f t="shared" si="92"/>
        <v>737633.33000000007</v>
      </c>
      <c r="R159" s="73">
        <f t="shared" si="92"/>
        <v>935024.05</v>
      </c>
      <c r="S159" s="73">
        <f t="shared" si="92"/>
        <v>935024.05</v>
      </c>
      <c r="T159" s="73">
        <f t="shared" si="92"/>
        <v>935024.05</v>
      </c>
    </row>
    <row r="160" spans="2:20" s="34" customFormat="1" ht="57.6">
      <c r="B160" s="87" t="s">
        <v>307</v>
      </c>
      <c r="C160" s="88" t="s">
        <v>308</v>
      </c>
      <c r="D160" s="89" t="s">
        <v>79</v>
      </c>
      <c r="E160" s="103">
        <v>7166.75</v>
      </c>
      <c r="F160" s="90">
        <v>7166.75</v>
      </c>
      <c r="G160" s="84"/>
      <c r="H160" s="84"/>
      <c r="I160" s="84"/>
      <c r="J160" s="79">
        <f>SUM(H160:I160)+'BM 010'!I157</f>
        <v>0</v>
      </c>
      <c r="K160" s="84">
        <f t="shared" si="90"/>
        <v>7166.75</v>
      </c>
      <c r="L160" s="84">
        <v>42.2</v>
      </c>
      <c r="M160" s="81">
        <v>53.492724641999999</v>
      </c>
      <c r="N160" s="82">
        <f t="shared" ref="N160:N167" si="93">TRUNC(G160*M160,2)</f>
        <v>0</v>
      </c>
      <c r="O160" s="82">
        <f t="shared" ref="O160:O167" si="94">TRUNC(H160*M160,2)</f>
        <v>0</v>
      </c>
      <c r="P160" s="82">
        <f>O160+'BM 010'!O157</f>
        <v>0</v>
      </c>
      <c r="Q160" s="80">
        <f t="shared" ref="Q160:Q167" si="95">E160*L160</f>
        <v>302436.85000000003</v>
      </c>
      <c r="R160" s="82">
        <f t="shared" ref="R160:R167" si="96">TRUNC(E160*M160,2)</f>
        <v>383368.98</v>
      </c>
      <c r="S160" s="82">
        <f t="shared" ref="S160:S167" si="97">TRUNC(F160*$M160,2)</f>
        <v>383368.98</v>
      </c>
      <c r="T160" s="82">
        <f t="shared" ref="T160:T167" si="98">S160-P160</f>
        <v>383368.98</v>
      </c>
    </row>
    <row r="161" spans="2:20" s="34" customFormat="1" ht="46.2">
      <c r="B161" s="87" t="s">
        <v>309</v>
      </c>
      <c r="C161" s="88" t="s">
        <v>310</v>
      </c>
      <c r="D161" s="89" t="s">
        <v>79</v>
      </c>
      <c r="E161" s="104">
        <v>520.1</v>
      </c>
      <c r="F161" s="296">
        <v>520.1</v>
      </c>
      <c r="G161" s="80"/>
      <c r="H161" s="80"/>
      <c r="I161" s="80"/>
      <c r="J161" s="79">
        <f>SUM(H161:I161)+'BM 010'!I158</f>
        <v>0</v>
      </c>
      <c r="K161" s="80">
        <f t="shared" si="90"/>
        <v>520.1</v>
      </c>
      <c r="L161" s="105">
        <v>35.200000000000003</v>
      </c>
      <c r="M161" s="81">
        <v>44.619523872000002</v>
      </c>
      <c r="N161" s="82">
        <f t="shared" si="93"/>
        <v>0</v>
      </c>
      <c r="O161" s="82">
        <f t="shared" si="94"/>
        <v>0</v>
      </c>
      <c r="P161" s="82">
        <f>O161+'BM 010'!O158</f>
        <v>0</v>
      </c>
      <c r="Q161" s="80">
        <f t="shared" si="95"/>
        <v>18307.520000000004</v>
      </c>
      <c r="R161" s="82">
        <f t="shared" si="96"/>
        <v>23206.61</v>
      </c>
      <c r="S161" s="82">
        <f t="shared" si="97"/>
        <v>23206.61</v>
      </c>
      <c r="T161" s="82">
        <f t="shared" si="98"/>
        <v>23206.61</v>
      </c>
    </row>
    <row r="162" spans="2:20" s="34" customFormat="1" ht="34.799999999999997">
      <c r="B162" s="87" t="s">
        <v>311</v>
      </c>
      <c r="C162" s="88" t="s">
        <v>312</v>
      </c>
      <c r="D162" s="89" t="s">
        <v>79</v>
      </c>
      <c r="E162" s="103">
        <v>1225.0999999999999</v>
      </c>
      <c r="F162" s="90">
        <v>1225.0999999999999</v>
      </c>
      <c r="G162" s="84"/>
      <c r="H162" s="84"/>
      <c r="I162" s="84"/>
      <c r="J162" s="79">
        <f>SUM(H162:I162)+'BM 010'!I159</f>
        <v>0</v>
      </c>
      <c r="K162" s="84">
        <f t="shared" si="90"/>
        <v>1225.0999999999999</v>
      </c>
      <c r="L162" s="105">
        <v>60</v>
      </c>
      <c r="M162" s="81">
        <v>76.056006600000003</v>
      </c>
      <c r="N162" s="82">
        <f t="shared" si="93"/>
        <v>0</v>
      </c>
      <c r="O162" s="82">
        <f t="shared" si="94"/>
        <v>0</v>
      </c>
      <c r="P162" s="82">
        <f>O162+'BM 010'!O159</f>
        <v>0</v>
      </c>
      <c r="Q162" s="80">
        <f t="shared" si="95"/>
        <v>73506</v>
      </c>
      <c r="R162" s="82">
        <f t="shared" si="96"/>
        <v>93176.21</v>
      </c>
      <c r="S162" s="82">
        <f t="shared" si="97"/>
        <v>93176.21</v>
      </c>
      <c r="T162" s="82">
        <f t="shared" si="98"/>
        <v>93176.21</v>
      </c>
    </row>
    <row r="163" spans="2:20" s="34" customFormat="1" ht="46.2">
      <c r="B163" s="87" t="s">
        <v>313</v>
      </c>
      <c r="C163" s="88" t="s">
        <v>284</v>
      </c>
      <c r="D163" s="89" t="s">
        <v>79</v>
      </c>
      <c r="E163" s="106">
        <v>937</v>
      </c>
      <c r="F163" s="92">
        <v>937</v>
      </c>
      <c r="G163" s="84"/>
      <c r="H163" s="84"/>
      <c r="I163" s="84"/>
      <c r="J163" s="79">
        <f>SUM(H163:I163)+'BM 010'!I160</f>
        <v>0</v>
      </c>
      <c r="K163" s="84">
        <f t="shared" si="90"/>
        <v>937</v>
      </c>
      <c r="L163" s="105">
        <v>158</v>
      </c>
      <c r="M163" s="81">
        <v>200.28081738</v>
      </c>
      <c r="N163" s="82">
        <f t="shared" si="93"/>
        <v>0</v>
      </c>
      <c r="O163" s="82">
        <f t="shared" si="94"/>
        <v>0</v>
      </c>
      <c r="P163" s="82">
        <f>O163+'BM 010'!O160</f>
        <v>0</v>
      </c>
      <c r="Q163" s="80">
        <f t="shared" si="95"/>
        <v>148046</v>
      </c>
      <c r="R163" s="82">
        <f t="shared" si="96"/>
        <v>187663.12</v>
      </c>
      <c r="S163" s="82">
        <f t="shared" si="97"/>
        <v>187663.12</v>
      </c>
      <c r="T163" s="82">
        <f t="shared" si="98"/>
        <v>187663.12</v>
      </c>
    </row>
    <row r="164" spans="2:20" s="34" customFormat="1" ht="46.2">
      <c r="B164" s="87" t="s">
        <v>314</v>
      </c>
      <c r="C164" s="88" t="s">
        <v>315</v>
      </c>
      <c r="D164" s="89" t="s">
        <v>79</v>
      </c>
      <c r="E164" s="106">
        <v>720.69</v>
      </c>
      <c r="F164" s="92">
        <v>720.69</v>
      </c>
      <c r="G164" s="84"/>
      <c r="H164" s="84"/>
      <c r="I164" s="84"/>
      <c r="J164" s="79">
        <f>SUM(H164:I164)+'BM 010'!I161</f>
        <v>0</v>
      </c>
      <c r="K164" s="84">
        <f t="shared" si="90"/>
        <v>720.69</v>
      </c>
      <c r="L164" s="84">
        <v>185</v>
      </c>
      <c r="M164" s="81">
        <v>234.50602035</v>
      </c>
      <c r="N164" s="82">
        <f t="shared" si="93"/>
        <v>0</v>
      </c>
      <c r="O164" s="82">
        <f t="shared" si="94"/>
        <v>0</v>
      </c>
      <c r="P164" s="82">
        <f>O164+'BM 010'!O161</f>
        <v>0</v>
      </c>
      <c r="Q164" s="80">
        <f t="shared" si="95"/>
        <v>133327.65000000002</v>
      </c>
      <c r="R164" s="82">
        <f t="shared" si="96"/>
        <v>169006.14</v>
      </c>
      <c r="S164" s="82">
        <f t="shared" si="97"/>
        <v>169006.14</v>
      </c>
      <c r="T164" s="82">
        <f t="shared" si="98"/>
        <v>169006.14</v>
      </c>
    </row>
    <row r="165" spans="2:20" s="34" customFormat="1" ht="23.4">
      <c r="B165" s="87" t="s">
        <v>316</v>
      </c>
      <c r="C165" s="88" t="s">
        <v>317</v>
      </c>
      <c r="D165" s="89" t="s">
        <v>79</v>
      </c>
      <c r="E165" s="103">
        <v>50.69</v>
      </c>
      <c r="F165" s="90">
        <v>50.69</v>
      </c>
      <c r="G165" s="84"/>
      <c r="H165" s="84"/>
      <c r="I165" s="84"/>
      <c r="J165" s="79">
        <f>SUM(H165:I165)+'BM 010'!I162</f>
        <v>0</v>
      </c>
      <c r="K165" s="84">
        <f t="shared" si="90"/>
        <v>50.69</v>
      </c>
      <c r="L165" s="84">
        <v>765</v>
      </c>
      <c r="M165" s="81">
        <v>969.71408414999996</v>
      </c>
      <c r="N165" s="82">
        <f t="shared" si="93"/>
        <v>0</v>
      </c>
      <c r="O165" s="82">
        <f t="shared" si="94"/>
        <v>0</v>
      </c>
      <c r="P165" s="82">
        <f>O165+'BM 010'!O162</f>
        <v>0</v>
      </c>
      <c r="Q165" s="80">
        <f t="shared" si="95"/>
        <v>38777.85</v>
      </c>
      <c r="R165" s="82">
        <f t="shared" si="96"/>
        <v>49154.8</v>
      </c>
      <c r="S165" s="82">
        <f t="shared" si="97"/>
        <v>49154.8</v>
      </c>
      <c r="T165" s="82">
        <f t="shared" si="98"/>
        <v>49154.8</v>
      </c>
    </row>
    <row r="166" spans="2:20" s="34" customFormat="1" ht="23.4">
      <c r="B166" s="87" t="s">
        <v>318</v>
      </c>
      <c r="C166" s="88" t="s">
        <v>319</v>
      </c>
      <c r="D166" s="89" t="s">
        <v>124</v>
      </c>
      <c r="E166" s="106">
        <v>36</v>
      </c>
      <c r="F166" s="92">
        <v>36</v>
      </c>
      <c r="G166" s="84"/>
      <c r="H166" s="84"/>
      <c r="I166" s="84"/>
      <c r="J166" s="79">
        <f>SUM(H166:I166)+'BM 010'!I163</f>
        <v>0</v>
      </c>
      <c r="K166" s="84">
        <f t="shared" si="90"/>
        <v>36</v>
      </c>
      <c r="L166" s="84">
        <v>134</v>
      </c>
      <c r="M166" s="81">
        <v>169.85841474</v>
      </c>
      <c r="N166" s="82">
        <f t="shared" si="93"/>
        <v>0</v>
      </c>
      <c r="O166" s="82">
        <f t="shared" si="94"/>
        <v>0</v>
      </c>
      <c r="P166" s="82">
        <f>O166+'BM 010'!O163</f>
        <v>0</v>
      </c>
      <c r="Q166" s="80">
        <f t="shared" si="95"/>
        <v>4824</v>
      </c>
      <c r="R166" s="82">
        <f t="shared" si="96"/>
        <v>6114.9</v>
      </c>
      <c r="S166" s="82">
        <f t="shared" si="97"/>
        <v>6114.9</v>
      </c>
      <c r="T166" s="82">
        <f t="shared" si="98"/>
        <v>6114.9</v>
      </c>
    </row>
    <row r="167" spans="2:20" s="34" customFormat="1" ht="13.2">
      <c r="B167" s="87" t="s">
        <v>320</v>
      </c>
      <c r="C167" s="88" t="s">
        <v>321</v>
      </c>
      <c r="D167" s="89" t="s">
        <v>124</v>
      </c>
      <c r="E167" s="106">
        <v>123.54</v>
      </c>
      <c r="F167" s="92">
        <v>123.54</v>
      </c>
      <c r="G167" s="84"/>
      <c r="H167" s="84"/>
      <c r="I167" s="84"/>
      <c r="J167" s="79">
        <f>SUM(H167:I167)+'BM 010'!I164</f>
        <v>0</v>
      </c>
      <c r="K167" s="84">
        <f t="shared" si="90"/>
        <v>123.54</v>
      </c>
      <c r="L167" s="84">
        <v>149</v>
      </c>
      <c r="M167" s="81">
        <v>188.87241639000001</v>
      </c>
      <c r="N167" s="82">
        <f t="shared" si="93"/>
        <v>0</v>
      </c>
      <c r="O167" s="82">
        <f t="shared" si="94"/>
        <v>0</v>
      </c>
      <c r="P167" s="82">
        <f>O167+'BM 010'!O164</f>
        <v>0</v>
      </c>
      <c r="Q167" s="80">
        <f t="shared" si="95"/>
        <v>18407.46</v>
      </c>
      <c r="R167" s="82">
        <f t="shared" si="96"/>
        <v>23333.29</v>
      </c>
      <c r="S167" s="82">
        <f t="shared" si="97"/>
        <v>23333.29</v>
      </c>
      <c r="T167" s="82">
        <f t="shared" si="98"/>
        <v>23333.29</v>
      </c>
    </row>
    <row r="168" spans="2:20" s="34" customFormat="1" ht="13.2">
      <c r="B168" s="66" t="s">
        <v>322</v>
      </c>
      <c r="C168" s="67" t="s">
        <v>323</v>
      </c>
      <c r="D168" s="68"/>
      <c r="E168" s="69"/>
      <c r="F168" s="69"/>
      <c r="G168" s="70"/>
      <c r="H168" s="70"/>
      <c r="I168" s="70"/>
      <c r="J168" s="70">
        <f>SUM(H168:I168)+'BM 010'!I165</f>
        <v>0</v>
      </c>
      <c r="K168" s="70">
        <f t="shared" si="90"/>
        <v>0</v>
      </c>
      <c r="L168" s="71"/>
      <c r="M168" s="71">
        <v>0</v>
      </c>
      <c r="N168" s="73">
        <f t="shared" ref="N168:T168" si="99">SUM(N169:N172)</f>
        <v>0</v>
      </c>
      <c r="O168" s="73">
        <f t="shared" si="99"/>
        <v>0</v>
      </c>
      <c r="P168" s="73">
        <f t="shared" si="99"/>
        <v>0</v>
      </c>
      <c r="Q168" s="73">
        <f t="shared" si="99"/>
        <v>63124.5</v>
      </c>
      <c r="R168" s="73">
        <f t="shared" si="99"/>
        <v>80016.61</v>
      </c>
      <c r="S168" s="73">
        <f t="shared" si="99"/>
        <v>80016.61</v>
      </c>
      <c r="T168" s="73">
        <f t="shared" si="99"/>
        <v>80016.61</v>
      </c>
    </row>
    <row r="169" spans="2:20" s="34" customFormat="1" ht="34.799999999999997">
      <c r="B169" s="87" t="s">
        <v>324</v>
      </c>
      <c r="C169" s="88" t="s">
        <v>325</v>
      </c>
      <c r="D169" s="89" t="s">
        <v>79</v>
      </c>
      <c r="E169" s="90">
        <v>290.89999999999998</v>
      </c>
      <c r="F169" s="90">
        <v>290.89999999999998</v>
      </c>
      <c r="G169" s="91"/>
      <c r="H169" s="91"/>
      <c r="I169" s="91"/>
      <c r="J169" s="79">
        <f>SUM(H169:I169)+'BM 010'!I166</f>
        <v>0</v>
      </c>
      <c r="K169" s="91">
        <f t="shared" si="90"/>
        <v>290.89999999999998</v>
      </c>
      <c r="L169" s="84">
        <v>105</v>
      </c>
      <c r="M169" s="81">
        <v>133.09801155</v>
      </c>
      <c r="N169" s="82">
        <f>TRUNC(G169*M169,2)</f>
        <v>0</v>
      </c>
      <c r="O169" s="82">
        <f>TRUNC(H169*M169,2)</f>
        <v>0</v>
      </c>
      <c r="P169" s="82">
        <f>O169+'BM 010'!O166</f>
        <v>0</v>
      </c>
      <c r="Q169" s="80">
        <f>E169*L169</f>
        <v>30544.499999999996</v>
      </c>
      <c r="R169" s="82">
        <f>TRUNC(E169*M169,2)</f>
        <v>38718.21</v>
      </c>
      <c r="S169" s="82">
        <f>TRUNC(F169*$M169,2)</f>
        <v>38718.21</v>
      </c>
      <c r="T169" s="82">
        <f>S169-P169</f>
        <v>38718.21</v>
      </c>
    </row>
    <row r="170" spans="2:20" s="34" customFormat="1" ht="34.799999999999997">
      <c r="B170" s="87" t="s">
        <v>326</v>
      </c>
      <c r="C170" s="88" t="s">
        <v>327</v>
      </c>
      <c r="D170" s="89" t="s">
        <v>79</v>
      </c>
      <c r="E170" s="90">
        <v>230</v>
      </c>
      <c r="F170" s="90">
        <v>230</v>
      </c>
      <c r="G170" s="91"/>
      <c r="H170" s="91"/>
      <c r="I170" s="91"/>
      <c r="J170" s="79">
        <f>SUM(H170:I170)+'BM 010'!I167</f>
        <v>0</v>
      </c>
      <c r="K170" s="91">
        <f t="shared" si="90"/>
        <v>230</v>
      </c>
      <c r="L170" s="84">
        <v>90</v>
      </c>
      <c r="M170" s="81">
        <v>114.0840099</v>
      </c>
      <c r="N170" s="82">
        <f>TRUNC(G170*M170,2)</f>
        <v>0</v>
      </c>
      <c r="O170" s="82">
        <f>TRUNC(H170*M170,2)</f>
        <v>0</v>
      </c>
      <c r="P170" s="82">
        <f>O170+'BM 010'!O167</f>
        <v>0</v>
      </c>
      <c r="Q170" s="80">
        <f>E170*L170</f>
        <v>20700</v>
      </c>
      <c r="R170" s="82">
        <f>TRUNC(E170*M170,2)</f>
        <v>26239.32</v>
      </c>
      <c r="S170" s="82">
        <f>TRUNC(F170*$M170,2)</f>
        <v>26239.32</v>
      </c>
      <c r="T170" s="82">
        <f>S170-P170</f>
        <v>26239.32</v>
      </c>
    </row>
    <row r="171" spans="2:20" s="34" customFormat="1" ht="23.4">
      <c r="B171" s="87" t="s">
        <v>328</v>
      </c>
      <c r="C171" s="88" t="s">
        <v>329</v>
      </c>
      <c r="D171" s="89" t="s">
        <v>82</v>
      </c>
      <c r="E171" s="90">
        <v>72</v>
      </c>
      <c r="F171" s="90">
        <v>72</v>
      </c>
      <c r="G171" s="91"/>
      <c r="H171" s="91"/>
      <c r="I171" s="91"/>
      <c r="J171" s="79">
        <f>SUM(H171:I171)+'BM 010'!I168</f>
        <v>0</v>
      </c>
      <c r="K171" s="91">
        <f t="shared" si="90"/>
        <v>72</v>
      </c>
      <c r="L171" s="84">
        <v>120</v>
      </c>
      <c r="M171" s="81">
        <v>152.11201320000001</v>
      </c>
      <c r="N171" s="82">
        <f>TRUNC(G171*M171,2)</f>
        <v>0</v>
      </c>
      <c r="O171" s="82">
        <f>TRUNC(H171*M171,2)</f>
        <v>0</v>
      </c>
      <c r="P171" s="82">
        <f>O171+'BM 010'!O168</f>
        <v>0</v>
      </c>
      <c r="Q171" s="80">
        <f>E171*L171</f>
        <v>8640</v>
      </c>
      <c r="R171" s="82">
        <f>TRUNC(E171*M171,2)</f>
        <v>10952.06</v>
      </c>
      <c r="S171" s="82">
        <f>TRUNC(F171*$M171,2)</f>
        <v>10952.06</v>
      </c>
      <c r="T171" s="82">
        <f>S171-P171</f>
        <v>10952.06</v>
      </c>
    </row>
    <row r="172" spans="2:20" s="34" customFormat="1" ht="34.799999999999997">
      <c r="B172" s="87" t="s">
        <v>330</v>
      </c>
      <c r="C172" s="88" t="s">
        <v>331</v>
      </c>
      <c r="D172" s="89" t="s">
        <v>82</v>
      </c>
      <c r="E172" s="90">
        <v>72</v>
      </c>
      <c r="F172" s="90">
        <v>72</v>
      </c>
      <c r="G172" s="91"/>
      <c r="H172" s="91"/>
      <c r="I172" s="91"/>
      <c r="J172" s="79">
        <f>SUM(H172:I172)+'BM 010'!I169</f>
        <v>0</v>
      </c>
      <c r="K172" s="91">
        <f t="shared" si="90"/>
        <v>72</v>
      </c>
      <c r="L172" s="84">
        <v>45</v>
      </c>
      <c r="M172" s="81">
        <v>57.042004949999999</v>
      </c>
      <c r="N172" s="82">
        <f>TRUNC(G172*M172,2)</f>
        <v>0</v>
      </c>
      <c r="O172" s="82">
        <f>TRUNC(H172*M172,2)</f>
        <v>0</v>
      </c>
      <c r="P172" s="82">
        <f>O172+'BM 010'!O169</f>
        <v>0</v>
      </c>
      <c r="Q172" s="80">
        <f>E172*L172</f>
        <v>3240</v>
      </c>
      <c r="R172" s="82">
        <f>TRUNC(E172*M172,2)</f>
        <v>4107.0200000000004</v>
      </c>
      <c r="S172" s="82">
        <f>TRUNC(F172*$M172,2)</f>
        <v>4107.0200000000004</v>
      </c>
      <c r="T172" s="82">
        <f>S172-P172</f>
        <v>4107.0200000000004</v>
      </c>
    </row>
    <row r="173" spans="2:20" s="34" customFormat="1" ht="13.2">
      <c r="B173" s="60" t="s">
        <v>332</v>
      </c>
      <c r="C173" s="61" t="s">
        <v>333</v>
      </c>
      <c r="D173" s="60"/>
      <c r="E173" s="62"/>
      <c r="F173" s="284"/>
      <c r="G173" s="63"/>
      <c r="H173" s="63"/>
      <c r="I173" s="63"/>
      <c r="J173" s="63">
        <f>SUM(H173:I173)+'BM 010'!I170</f>
        <v>0</v>
      </c>
      <c r="K173" s="63">
        <f t="shared" si="90"/>
        <v>0</v>
      </c>
      <c r="L173" s="63"/>
      <c r="M173" s="63">
        <v>0</v>
      </c>
      <c r="N173" s="63">
        <f t="shared" ref="N173:T173" si="100">SUM(N174:N177)</f>
        <v>0</v>
      </c>
      <c r="O173" s="63">
        <f t="shared" si="100"/>
        <v>0</v>
      </c>
      <c r="P173" s="63">
        <f t="shared" si="100"/>
        <v>0</v>
      </c>
      <c r="Q173" s="63">
        <f t="shared" si="100"/>
        <v>584904.20000000007</v>
      </c>
      <c r="R173" s="63">
        <f t="shared" si="100"/>
        <v>741424.62000000011</v>
      </c>
      <c r="S173" s="63">
        <f t="shared" si="100"/>
        <v>741424.62000000011</v>
      </c>
      <c r="T173" s="63">
        <f t="shared" si="100"/>
        <v>741424.62000000011</v>
      </c>
    </row>
    <row r="174" spans="2:20" s="34" customFormat="1" ht="46.2">
      <c r="B174" s="87" t="s">
        <v>334</v>
      </c>
      <c r="C174" s="88" t="s">
        <v>335</v>
      </c>
      <c r="D174" s="89" t="s">
        <v>79</v>
      </c>
      <c r="E174" s="90">
        <v>3789.02</v>
      </c>
      <c r="F174" s="90">
        <v>3789.02</v>
      </c>
      <c r="G174" s="91"/>
      <c r="H174" s="91"/>
      <c r="I174" s="91"/>
      <c r="J174" s="79">
        <f>SUM(H174:I174)+'BM 010'!I171</f>
        <v>0</v>
      </c>
      <c r="K174" s="91">
        <f t="shared" si="90"/>
        <v>3789.02</v>
      </c>
      <c r="L174" s="84">
        <v>70</v>
      </c>
      <c r="M174" s="81">
        <v>88.732007699999997</v>
      </c>
      <c r="N174" s="82">
        <f>TRUNC(G174*M174,2)</f>
        <v>0</v>
      </c>
      <c r="O174" s="82">
        <f>TRUNC(H174*M174,2)</f>
        <v>0</v>
      </c>
      <c r="P174" s="82">
        <f>O174+'BM 010'!O171</f>
        <v>0</v>
      </c>
      <c r="Q174" s="80">
        <f>E174*L174</f>
        <v>265231.40000000002</v>
      </c>
      <c r="R174" s="82">
        <f>TRUNC(E174*M174,2)</f>
        <v>336207.35</v>
      </c>
      <c r="S174" s="82">
        <f>TRUNC(F174*$M174,2)</f>
        <v>336207.35</v>
      </c>
      <c r="T174" s="82">
        <f>S174-P174</f>
        <v>336207.35</v>
      </c>
    </row>
    <row r="175" spans="2:20" s="34" customFormat="1" ht="23.4">
      <c r="B175" s="87" t="s">
        <v>336</v>
      </c>
      <c r="C175" s="88" t="s">
        <v>337</v>
      </c>
      <c r="D175" s="89" t="s">
        <v>79</v>
      </c>
      <c r="E175" s="90">
        <v>184.68</v>
      </c>
      <c r="F175" s="90">
        <v>184.68</v>
      </c>
      <c r="G175" s="91"/>
      <c r="H175" s="91"/>
      <c r="I175" s="91"/>
      <c r="J175" s="79">
        <f>SUM(H175:I175)+'BM 010'!I172</f>
        <v>0</v>
      </c>
      <c r="K175" s="91">
        <f t="shared" si="90"/>
        <v>184.68</v>
      </c>
      <c r="L175" s="84">
        <v>735</v>
      </c>
      <c r="M175" s="81">
        <v>931.68608085000005</v>
      </c>
      <c r="N175" s="82">
        <f>TRUNC(G175*M175,2)</f>
        <v>0</v>
      </c>
      <c r="O175" s="82">
        <f>TRUNC(H175*M175,2)</f>
        <v>0</v>
      </c>
      <c r="P175" s="82">
        <f>O175+'BM 010'!O172</f>
        <v>0</v>
      </c>
      <c r="Q175" s="80">
        <f>E175*L175</f>
        <v>135739.80000000002</v>
      </c>
      <c r="R175" s="82">
        <f>TRUNC(E175*M175,2)</f>
        <v>172063.78</v>
      </c>
      <c r="S175" s="82">
        <f>TRUNC(F175*$M175,2)</f>
        <v>172063.78</v>
      </c>
      <c r="T175" s="82">
        <f>S175-P175</f>
        <v>172063.78</v>
      </c>
    </row>
    <row r="176" spans="2:20" s="34" customFormat="1" ht="46.2">
      <c r="B176" s="87" t="s">
        <v>338</v>
      </c>
      <c r="C176" s="88" t="s">
        <v>339</v>
      </c>
      <c r="D176" s="89" t="s">
        <v>79</v>
      </c>
      <c r="E176" s="90">
        <v>798.6</v>
      </c>
      <c r="F176" s="90">
        <v>798.6</v>
      </c>
      <c r="G176" s="91"/>
      <c r="H176" s="91"/>
      <c r="I176" s="91"/>
      <c r="J176" s="79">
        <f>SUM(H176:I176)+'BM 010'!I173</f>
        <v>0</v>
      </c>
      <c r="K176" s="91">
        <f t="shared" si="90"/>
        <v>798.6</v>
      </c>
      <c r="L176" s="84">
        <v>125</v>
      </c>
      <c r="M176" s="81">
        <v>158.45001375000001</v>
      </c>
      <c r="N176" s="82">
        <f>TRUNC(G176*M176,2)</f>
        <v>0</v>
      </c>
      <c r="O176" s="82">
        <f>TRUNC(H176*M176,2)</f>
        <v>0</v>
      </c>
      <c r="P176" s="82">
        <f>O176+'BM 010'!O173</f>
        <v>0</v>
      </c>
      <c r="Q176" s="80">
        <f>E176*L176</f>
        <v>99825</v>
      </c>
      <c r="R176" s="82">
        <f>TRUNC(E176*M176,2)</f>
        <v>126538.18</v>
      </c>
      <c r="S176" s="82">
        <f>TRUNC(F176*$M176,2)</f>
        <v>126538.18</v>
      </c>
      <c r="T176" s="82">
        <f>S176-P176</f>
        <v>126538.18</v>
      </c>
    </row>
    <row r="177" spans="2:20" s="34" customFormat="1" ht="57.6">
      <c r="B177" s="87" t="s">
        <v>340</v>
      </c>
      <c r="C177" s="88" t="s">
        <v>341</v>
      </c>
      <c r="D177" s="89" t="s">
        <v>79</v>
      </c>
      <c r="E177" s="90">
        <v>489</v>
      </c>
      <c r="F177" s="90">
        <v>489</v>
      </c>
      <c r="G177" s="91"/>
      <c r="H177" s="91"/>
      <c r="I177" s="91"/>
      <c r="J177" s="79">
        <f>SUM(H177:I177)+'BM 010'!I174</f>
        <v>0</v>
      </c>
      <c r="K177" s="91">
        <f t="shared" si="90"/>
        <v>489</v>
      </c>
      <c r="L177" s="84">
        <v>172</v>
      </c>
      <c r="M177" s="81">
        <v>218.02721892</v>
      </c>
      <c r="N177" s="82">
        <f>TRUNC(G177*M177,2)</f>
        <v>0</v>
      </c>
      <c r="O177" s="82">
        <f>TRUNC(H177*M177,2)</f>
        <v>0</v>
      </c>
      <c r="P177" s="82">
        <f>O177+'BM 010'!O174</f>
        <v>0</v>
      </c>
      <c r="Q177" s="80">
        <f>E177*L177</f>
        <v>84108</v>
      </c>
      <c r="R177" s="82">
        <f>TRUNC(E177*M177,2)</f>
        <v>106615.31</v>
      </c>
      <c r="S177" s="82">
        <f>TRUNC(F177*$M177,2)</f>
        <v>106615.31</v>
      </c>
      <c r="T177" s="82">
        <f>S177-P177</f>
        <v>106615.31</v>
      </c>
    </row>
    <row r="178" spans="2:20" s="34" customFormat="1" ht="13.2">
      <c r="B178" s="60" t="s">
        <v>342</v>
      </c>
      <c r="C178" s="61" t="s">
        <v>343</v>
      </c>
      <c r="D178" s="60"/>
      <c r="E178" s="62"/>
      <c r="F178" s="284"/>
      <c r="G178" s="63"/>
      <c r="H178" s="63"/>
      <c r="I178" s="63"/>
      <c r="J178" s="63">
        <f>SUM(H178:I178)+'BM 010'!I175</f>
        <v>0</v>
      </c>
      <c r="K178" s="63">
        <f t="shared" si="90"/>
        <v>0</v>
      </c>
      <c r="L178" s="63"/>
      <c r="M178" s="63">
        <v>0</v>
      </c>
      <c r="N178" s="63">
        <f t="shared" ref="N178:T178" si="101">SUM(N179:N180)</f>
        <v>0</v>
      </c>
      <c r="O178" s="63">
        <f t="shared" si="101"/>
        <v>0</v>
      </c>
      <c r="P178" s="63">
        <f t="shared" si="101"/>
        <v>12649.619999999999</v>
      </c>
      <c r="Q178" s="63">
        <f t="shared" si="101"/>
        <v>260085</v>
      </c>
      <c r="R178" s="63">
        <f t="shared" si="101"/>
        <v>329683.77</v>
      </c>
      <c r="S178" s="63">
        <f t="shared" si="101"/>
        <v>379568.9</v>
      </c>
      <c r="T178" s="63">
        <f t="shared" si="101"/>
        <v>366919.28</v>
      </c>
    </row>
    <row r="179" spans="2:20" s="34" customFormat="1" ht="34.799999999999997">
      <c r="B179" s="87" t="s">
        <v>344</v>
      </c>
      <c r="C179" s="88" t="s">
        <v>345</v>
      </c>
      <c r="D179" s="89" t="s">
        <v>79</v>
      </c>
      <c r="E179" s="90">
        <v>1785</v>
      </c>
      <c r="F179" s="90">
        <v>1785</v>
      </c>
      <c r="G179" s="91"/>
      <c r="H179" s="91"/>
      <c r="I179" s="91"/>
      <c r="J179" s="79">
        <f>SUM(H179:I179)+'BM 010'!I176</f>
        <v>0</v>
      </c>
      <c r="K179" s="91">
        <f t="shared" si="90"/>
        <v>1785</v>
      </c>
      <c r="L179" s="84">
        <v>125</v>
      </c>
      <c r="M179" s="81">
        <v>158.45001375000001</v>
      </c>
      <c r="N179" s="82">
        <f>TRUNC(G179*M179,2)</f>
        <v>0</v>
      </c>
      <c r="O179" s="82">
        <f>TRUNC(H179*M179,2)</f>
        <v>0</v>
      </c>
      <c r="P179" s="82">
        <f>O179+'BM 010'!O176</f>
        <v>0</v>
      </c>
      <c r="Q179" s="80">
        <f>E179*L179</f>
        <v>223125</v>
      </c>
      <c r="R179" s="82">
        <f>TRUNC(E179*M179,2)</f>
        <v>282833.27</v>
      </c>
      <c r="S179" s="82">
        <f>TRUNC(F179*$M179,2)</f>
        <v>282833.27</v>
      </c>
      <c r="T179" s="82">
        <f>S179-P179</f>
        <v>282833.27</v>
      </c>
    </row>
    <row r="180" spans="2:20" s="34" customFormat="1" ht="34.799999999999997">
      <c r="B180" s="75" t="s">
        <v>346</v>
      </c>
      <c r="C180" s="76" t="s">
        <v>347</v>
      </c>
      <c r="D180" s="77" t="s">
        <v>79</v>
      </c>
      <c r="E180" s="93">
        <v>880</v>
      </c>
      <c r="F180" s="93">
        <v>1817</v>
      </c>
      <c r="G180" s="79"/>
      <c r="H180" s="79"/>
      <c r="I180" s="79"/>
      <c r="J180" s="79">
        <f>SUM(H180:I180)+'BM 010'!I177</f>
        <v>237.6</v>
      </c>
      <c r="K180" s="79">
        <f t="shared" si="90"/>
        <v>1579.4</v>
      </c>
      <c r="L180" s="84">
        <v>42</v>
      </c>
      <c r="M180" s="81">
        <v>53.239204620000002</v>
      </c>
      <c r="N180" s="82">
        <f>TRUNC(G180*M180,2)</f>
        <v>0</v>
      </c>
      <c r="O180" s="82">
        <f>TRUNC(H180*M180,2)</f>
        <v>0</v>
      </c>
      <c r="P180" s="82">
        <f>O180+'BM 010'!O177</f>
        <v>12649.619999999999</v>
      </c>
      <c r="Q180" s="80">
        <f>E180*L180</f>
        <v>36960</v>
      </c>
      <c r="R180" s="82">
        <f>TRUNC(E180*M180,2)</f>
        <v>46850.5</v>
      </c>
      <c r="S180" s="82">
        <f>TRUNC(F180*$M180,2)</f>
        <v>96735.63</v>
      </c>
      <c r="T180" s="82">
        <f>S180-P180</f>
        <v>84086.010000000009</v>
      </c>
    </row>
    <row r="181" spans="2:20" s="34" customFormat="1" ht="13.2">
      <c r="B181" s="60" t="s">
        <v>348</v>
      </c>
      <c r="C181" s="61" t="s">
        <v>349</v>
      </c>
      <c r="D181" s="60"/>
      <c r="E181" s="62"/>
      <c r="F181" s="284"/>
      <c r="G181" s="63"/>
      <c r="H181" s="63"/>
      <c r="I181" s="63"/>
      <c r="J181" s="63">
        <f>SUM(H181:I181)+'BM 010'!I178</f>
        <v>0</v>
      </c>
      <c r="K181" s="63">
        <f t="shared" si="90"/>
        <v>0</v>
      </c>
      <c r="L181" s="63"/>
      <c r="M181" s="63">
        <v>0</v>
      </c>
      <c r="N181" s="63">
        <f t="shared" ref="N181:T181" si="102">SUM(N182,N208)</f>
        <v>0</v>
      </c>
      <c r="O181" s="63">
        <f t="shared" si="102"/>
        <v>0</v>
      </c>
      <c r="P181" s="63">
        <f t="shared" si="102"/>
        <v>0</v>
      </c>
      <c r="Q181" s="63">
        <f t="shared" si="102"/>
        <v>3144051.95</v>
      </c>
      <c r="R181" s="63">
        <f t="shared" si="102"/>
        <v>3985400.4499999997</v>
      </c>
      <c r="S181" s="63">
        <f t="shared" si="102"/>
        <v>3985400.4499999997</v>
      </c>
      <c r="T181" s="63">
        <f t="shared" si="102"/>
        <v>3985400.4499999997</v>
      </c>
    </row>
    <row r="182" spans="2:20" s="34" customFormat="1" ht="13.2">
      <c r="B182" s="66" t="s">
        <v>350</v>
      </c>
      <c r="C182" s="67" t="s">
        <v>351</v>
      </c>
      <c r="D182" s="68"/>
      <c r="E182" s="69"/>
      <c r="F182" s="69"/>
      <c r="G182" s="70"/>
      <c r="H182" s="70"/>
      <c r="I182" s="70"/>
      <c r="J182" s="70">
        <f>SUM(H182:I182)+'BM 010'!I179</f>
        <v>0</v>
      </c>
      <c r="K182" s="70">
        <f t="shared" si="90"/>
        <v>0</v>
      </c>
      <c r="L182" s="71"/>
      <c r="M182" s="71">
        <v>0</v>
      </c>
      <c r="N182" s="73">
        <f t="shared" ref="N182:T182" si="103">SUM(N183:N207)</f>
        <v>0</v>
      </c>
      <c r="O182" s="73">
        <f t="shared" si="103"/>
        <v>0</v>
      </c>
      <c r="P182" s="73">
        <f t="shared" si="103"/>
        <v>0</v>
      </c>
      <c r="Q182" s="73">
        <f t="shared" si="103"/>
        <v>2156515.4</v>
      </c>
      <c r="R182" s="73">
        <f t="shared" si="103"/>
        <v>2733599.05</v>
      </c>
      <c r="S182" s="73">
        <f t="shared" si="103"/>
        <v>2733599.05</v>
      </c>
      <c r="T182" s="73">
        <f t="shared" si="103"/>
        <v>2733599.05</v>
      </c>
    </row>
    <row r="183" spans="2:20" s="34" customFormat="1" ht="114.6">
      <c r="B183" s="75" t="s">
        <v>352</v>
      </c>
      <c r="C183" s="88" t="s">
        <v>353</v>
      </c>
      <c r="D183" s="89" t="s">
        <v>63</v>
      </c>
      <c r="E183" s="92">
        <v>56</v>
      </c>
      <c r="F183" s="92">
        <v>56</v>
      </c>
      <c r="G183" s="91"/>
      <c r="H183" s="91"/>
      <c r="I183" s="91"/>
      <c r="J183" s="79">
        <f>SUM(H183:I183)+'BM 010'!I180</f>
        <v>0</v>
      </c>
      <c r="K183" s="91">
        <f t="shared" si="90"/>
        <v>56</v>
      </c>
      <c r="L183" s="84">
        <v>3125</v>
      </c>
      <c r="M183" s="81">
        <v>3961.25034375</v>
      </c>
      <c r="N183" s="82">
        <f t="shared" ref="N183:N207" si="104">TRUNC(G183*M183,2)</f>
        <v>0</v>
      </c>
      <c r="O183" s="82">
        <f t="shared" ref="O183:O207" si="105">TRUNC(H183*M183,2)</f>
        <v>0</v>
      </c>
      <c r="P183" s="82">
        <f>O183+'BM 010'!O180</f>
        <v>0</v>
      </c>
      <c r="Q183" s="80">
        <f t="shared" ref="Q183:Q207" si="106">E183*L183</f>
        <v>175000</v>
      </c>
      <c r="R183" s="82">
        <f t="shared" ref="R183:R207" si="107">TRUNC(E183*M183,2)</f>
        <v>221830.01</v>
      </c>
      <c r="S183" s="82">
        <f t="shared" ref="S183:S207" si="108">TRUNC(F183*$M183,2)</f>
        <v>221830.01</v>
      </c>
      <c r="T183" s="82">
        <f t="shared" ref="T183:T207" si="109">S183-P183</f>
        <v>221830.01</v>
      </c>
    </row>
    <row r="184" spans="2:20" s="34" customFormat="1" ht="103.2">
      <c r="B184" s="75" t="s">
        <v>354</v>
      </c>
      <c r="C184" s="88" t="s">
        <v>355</v>
      </c>
      <c r="D184" s="89" t="s">
        <v>63</v>
      </c>
      <c r="E184" s="92">
        <v>51</v>
      </c>
      <c r="F184" s="92">
        <v>51</v>
      </c>
      <c r="G184" s="91"/>
      <c r="H184" s="91"/>
      <c r="I184" s="91"/>
      <c r="J184" s="79">
        <f>SUM(H184:I184)+'BM 010'!I181</f>
        <v>0</v>
      </c>
      <c r="K184" s="91">
        <f t="shared" si="90"/>
        <v>51</v>
      </c>
      <c r="L184" s="84">
        <v>3580</v>
      </c>
      <c r="M184" s="81">
        <v>4538.0083937999998</v>
      </c>
      <c r="N184" s="82">
        <f t="shared" si="104"/>
        <v>0</v>
      </c>
      <c r="O184" s="82">
        <f t="shared" si="105"/>
        <v>0</v>
      </c>
      <c r="P184" s="82">
        <f>O184+'BM 010'!O181</f>
        <v>0</v>
      </c>
      <c r="Q184" s="80">
        <f t="shared" si="106"/>
        <v>182580</v>
      </c>
      <c r="R184" s="82">
        <f t="shared" si="107"/>
        <v>231438.42</v>
      </c>
      <c r="S184" s="82">
        <f t="shared" si="108"/>
        <v>231438.42</v>
      </c>
      <c r="T184" s="82">
        <f t="shared" si="109"/>
        <v>231438.42</v>
      </c>
    </row>
    <row r="185" spans="2:20" s="34" customFormat="1" ht="114.6">
      <c r="B185" s="75" t="s">
        <v>356</v>
      </c>
      <c r="C185" s="88" t="s">
        <v>357</v>
      </c>
      <c r="D185" s="89" t="s">
        <v>63</v>
      </c>
      <c r="E185" s="92">
        <v>11</v>
      </c>
      <c r="F185" s="92">
        <v>11</v>
      </c>
      <c r="G185" s="91"/>
      <c r="H185" s="91"/>
      <c r="I185" s="91"/>
      <c r="J185" s="79">
        <f>SUM(H185:I185)+'BM 010'!I182</f>
        <v>0</v>
      </c>
      <c r="K185" s="91">
        <f t="shared" si="90"/>
        <v>11</v>
      </c>
      <c r="L185" s="84">
        <v>3995</v>
      </c>
      <c r="M185" s="81">
        <v>5064.0624394500001</v>
      </c>
      <c r="N185" s="82">
        <f t="shared" si="104"/>
        <v>0</v>
      </c>
      <c r="O185" s="82">
        <f t="shared" si="105"/>
        <v>0</v>
      </c>
      <c r="P185" s="82">
        <f>O185+'BM 010'!O182</f>
        <v>0</v>
      </c>
      <c r="Q185" s="80">
        <f t="shared" si="106"/>
        <v>43945</v>
      </c>
      <c r="R185" s="82">
        <f t="shared" si="107"/>
        <v>55704.68</v>
      </c>
      <c r="S185" s="82">
        <f t="shared" si="108"/>
        <v>55704.68</v>
      </c>
      <c r="T185" s="82">
        <f t="shared" si="109"/>
        <v>55704.68</v>
      </c>
    </row>
    <row r="186" spans="2:20" s="34" customFormat="1" ht="80.400000000000006">
      <c r="B186" s="75" t="s">
        <v>358</v>
      </c>
      <c r="C186" s="88" t="s">
        <v>359</v>
      </c>
      <c r="D186" s="89" t="s">
        <v>63</v>
      </c>
      <c r="E186" s="92">
        <v>2</v>
      </c>
      <c r="F186" s="92">
        <v>2</v>
      </c>
      <c r="G186" s="91"/>
      <c r="H186" s="91"/>
      <c r="I186" s="91"/>
      <c r="J186" s="79">
        <f>SUM(H186:I186)+'BM 010'!I183</f>
        <v>0</v>
      </c>
      <c r="K186" s="91">
        <f t="shared" si="90"/>
        <v>2</v>
      </c>
      <c r="L186" s="84">
        <v>4100</v>
      </c>
      <c r="M186" s="81">
        <v>5197.1604509999997</v>
      </c>
      <c r="N186" s="82">
        <f t="shared" si="104"/>
        <v>0</v>
      </c>
      <c r="O186" s="82">
        <f t="shared" si="105"/>
        <v>0</v>
      </c>
      <c r="P186" s="82">
        <f>O186+'BM 010'!O183</f>
        <v>0</v>
      </c>
      <c r="Q186" s="80">
        <f t="shared" si="106"/>
        <v>8200</v>
      </c>
      <c r="R186" s="82">
        <f t="shared" si="107"/>
        <v>10394.32</v>
      </c>
      <c r="S186" s="82">
        <f t="shared" si="108"/>
        <v>10394.32</v>
      </c>
      <c r="T186" s="82">
        <f t="shared" si="109"/>
        <v>10394.32</v>
      </c>
    </row>
    <row r="187" spans="2:20" s="34" customFormat="1" ht="126">
      <c r="B187" s="75" t="s">
        <v>360</v>
      </c>
      <c r="C187" s="88" t="s">
        <v>361</v>
      </c>
      <c r="D187" s="89" t="s">
        <v>63</v>
      </c>
      <c r="E187" s="92">
        <v>24</v>
      </c>
      <c r="F187" s="92">
        <v>24</v>
      </c>
      <c r="G187" s="91"/>
      <c r="H187" s="91"/>
      <c r="I187" s="91"/>
      <c r="J187" s="79">
        <f>SUM(H187:I187)+'BM 010'!I184</f>
        <v>0</v>
      </c>
      <c r="K187" s="91">
        <f t="shared" si="90"/>
        <v>24</v>
      </c>
      <c r="L187" s="84">
        <v>4425</v>
      </c>
      <c r="M187" s="81">
        <v>5609.1304867500003</v>
      </c>
      <c r="N187" s="82">
        <f t="shared" si="104"/>
        <v>0</v>
      </c>
      <c r="O187" s="82">
        <f t="shared" si="105"/>
        <v>0</v>
      </c>
      <c r="P187" s="82">
        <f>O187+'BM 010'!O184</f>
        <v>0</v>
      </c>
      <c r="Q187" s="80">
        <f t="shared" si="106"/>
        <v>106200</v>
      </c>
      <c r="R187" s="82">
        <f t="shared" si="107"/>
        <v>134619.13</v>
      </c>
      <c r="S187" s="82">
        <f t="shared" si="108"/>
        <v>134619.13</v>
      </c>
      <c r="T187" s="82">
        <f t="shared" si="109"/>
        <v>134619.13</v>
      </c>
    </row>
    <row r="188" spans="2:20" s="34" customFormat="1" ht="126">
      <c r="B188" s="75" t="s">
        <v>362</v>
      </c>
      <c r="C188" s="88" t="s">
        <v>363</v>
      </c>
      <c r="D188" s="89" t="s">
        <v>63</v>
      </c>
      <c r="E188" s="92">
        <v>8</v>
      </c>
      <c r="F188" s="92">
        <v>8</v>
      </c>
      <c r="G188" s="91"/>
      <c r="H188" s="91"/>
      <c r="I188" s="91"/>
      <c r="J188" s="79">
        <f>SUM(H188:I188)+'BM 010'!I185</f>
        <v>0</v>
      </c>
      <c r="K188" s="91">
        <f t="shared" si="90"/>
        <v>8</v>
      </c>
      <c r="L188" s="84">
        <v>4495</v>
      </c>
      <c r="M188" s="81">
        <v>5697.8624944499998</v>
      </c>
      <c r="N188" s="82">
        <f t="shared" si="104"/>
        <v>0</v>
      </c>
      <c r="O188" s="82">
        <f t="shared" si="105"/>
        <v>0</v>
      </c>
      <c r="P188" s="82">
        <f>O188+'BM 010'!O185</f>
        <v>0</v>
      </c>
      <c r="Q188" s="80">
        <f t="shared" si="106"/>
        <v>35960</v>
      </c>
      <c r="R188" s="82">
        <f t="shared" si="107"/>
        <v>45582.89</v>
      </c>
      <c r="S188" s="82">
        <f t="shared" si="108"/>
        <v>45582.89</v>
      </c>
      <c r="T188" s="82">
        <f t="shared" si="109"/>
        <v>45582.89</v>
      </c>
    </row>
    <row r="189" spans="2:20" s="34" customFormat="1" ht="57.6">
      <c r="B189" s="75" t="s">
        <v>364</v>
      </c>
      <c r="C189" s="88" t="s">
        <v>365</v>
      </c>
      <c r="D189" s="89" t="s">
        <v>63</v>
      </c>
      <c r="E189" s="92">
        <v>3</v>
      </c>
      <c r="F189" s="92">
        <v>3</v>
      </c>
      <c r="G189" s="91"/>
      <c r="H189" s="91"/>
      <c r="I189" s="91"/>
      <c r="J189" s="79">
        <f>SUM(H189:I189)+'BM 010'!I186</f>
        <v>0</v>
      </c>
      <c r="K189" s="91">
        <f t="shared" si="90"/>
        <v>3</v>
      </c>
      <c r="L189" s="84">
        <v>8550</v>
      </c>
      <c r="M189" s="81">
        <v>10837.9809405</v>
      </c>
      <c r="N189" s="82">
        <f t="shared" si="104"/>
        <v>0</v>
      </c>
      <c r="O189" s="82">
        <f t="shared" si="105"/>
        <v>0</v>
      </c>
      <c r="P189" s="82">
        <f>O189+'BM 010'!O186</f>
        <v>0</v>
      </c>
      <c r="Q189" s="80">
        <f t="shared" si="106"/>
        <v>25650</v>
      </c>
      <c r="R189" s="82">
        <f t="shared" si="107"/>
        <v>32513.94</v>
      </c>
      <c r="S189" s="82">
        <f t="shared" si="108"/>
        <v>32513.94</v>
      </c>
      <c r="T189" s="82">
        <f t="shared" si="109"/>
        <v>32513.94</v>
      </c>
    </row>
    <row r="190" spans="2:20" s="34" customFormat="1" ht="137.4">
      <c r="B190" s="75" t="s">
        <v>366</v>
      </c>
      <c r="C190" s="88" t="s">
        <v>367</v>
      </c>
      <c r="D190" s="89" t="s">
        <v>63</v>
      </c>
      <c r="E190" s="92">
        <v>2</v>
      </c>
      <c r="F190" s="92">
        <v>2</v>
      </c>
      <c r="G190" s="91"/>
      <c r="H190" s="91"/>
      <c r="I190" s="91"/>
      <c r="J190" s="79">
        <f>SUM(H190:I190)+'BM 010'!I187</f>
        <v>0</v>
      </c>
      <c r="K190" s="91">
        <f t="shared" si="90"/>
        <v>2</v>
      </c>
      <c r="L190" s="84">
        <v>6750</v>
      </c>
      <c r="M190" s="81">
        <v>8556.3007424999996</v>
      </c>
      <c r="N190" s="82">
        <f t="shared" si="104"/>
        <v>0</v>
      </c>
      <c r="O190" s="82">
        <f t="shared" si="105"/>
        <v>0</v>
      </c>
      <c r="P190" s="82">
        <f>O190+'BM 010'!O187</f>
        <v>0</v>
      </c>
      <c r="Q190" s="80">
        <f t="shared" si="106"/>
        <v>13500</v>
      </c>
      <c r="R190" s="82">
        <f t="shared" si="107"/>
        <v>17112.599999999999</v>
      </c>
      <c r="S190" s="82">
        <f t="shared" si="108"/>
        <v>17112.599999999999</v>
      </c>
      <c r="T190" s="82">
        <f t="shared" si="109"/>
        <v>17112.599999999999</v>
      </c>
    </row>
    <row r="191" spans="2:20" s="34" customFormat="1" ht="46.2">
      <c r="B191" s="75" t="s">
        <v>368</v>
      </c>
      <c r="C191" s="88" t="s">
        <v>369</v>
      </c>
      <c r="D191" s="89" t="s">
        <v>63</v>
      </c>
      <c r="E191" s="92">
        <v>18</v>
      </c>
      <c r="F191" s="92">
        <v>18</v>
      </c>
      <c r="G191" s="91"/>
      <c r="H191" s="91"/>
      <c r="I191" s="91"/>
      <c r="J191" s="79">
        <f>SUM(H191:I191)+'BM 010'!I188</f>
        <v>0</v>
      </c>
      <c r="K191" s="91">
        <f t="shared" si="90"/>
        <v>18</v>
      </c>
      <c r="L191" s="84">
        <v>2490</v>
      </c>
      <c r="M191" s="81">
        <v>3156.3242739000002</v>
      </c>
      <c r="N191" s="82">
        <f t="shared" si="104"/>
        <v>0</v>
      </c>
      <c r="O191" s="82">
        <f t="shared" si="105"/>
        <v>0</v>
      </c>
      <c r="P191" s="82">
        <f>O191+'BM 010'!O188</f>
        <v>0</v>
      </c>
      <c r="Q191" s="80">
        <f t="shared" si="106"/>
        <v>44820</v>
      </c>
      <c r="R191" s="82">
        <f t="shared" si="107"/>
        <v>56813.83</v>
      </c>
      <c r="S191" s="82">
        <f t="shared" si="108"/>
        <v>56813.83</v>
      </c>
      <c r="T191" s="82">
        <f t="shared" si="109"/>
        <v>56813.83</v>
      </c>
    </row>
    <row r="192" spans="2:20" s="34" customFormat="1" ht="57.6">
      <c r="B192" s="75" t="s">
        <v>370</v>
      </c>
      <c r="C192" s="88" t="s">
        <v>371</v>
      </c>
      <c r="D192" s="89" t="s">
        <v>63</v>
      </c>
      <c r="E192" s="92">
        <v>1</v>
      </c>
      <c r="F192" s="92">
        <v>1</v>
      </c>
      <c r="G192" s="91"/>
      <c r="H192" s="91"/>
      <c r="I192" s="91"/>
      <c r="J192" s="79">
        <f>SUM(H192:I192)+'BM 010'!I189</f>
        <v>0</v>
      </c>
      <c r="K192" s="91">
        <f t="shared" si="90"/>
        <v>1</v>
      </c>
      <c r="L192" s="84">
        <v>5950</v>
      </c>
      <c r="M192" s="81">
        <v>7542.2206544999999</v>
      </c>
      <c r="N192" s="82">
        <f t="shared" si="104"/>
        <v>0</v>
      </c>
      <c r="O192" s="82">
        <f t="shared" si="105"/>
        <v>0</v>
      </c>
      <c r="P192" s="82">
        <f>O192+'BM 010'!O189</f>
        <v>0</v>
      </c>
      <c r="Q192" s="80">
        <f t="shared" si="106"/>
        <v>5950</v>
      </c>
      <c r="R192" s="82">
        <f t="shared" si="107"/>
        <v>7542.22</v>
      </c>
      <c r="S192" s="82">
        <f t="shared" si="108"/>
        <v>7542.22</v>
      </c>
      <c r="T192" s="82">
        <f t="shared" si="109"/>
        <v>7542.22</v>
      </c>
    </row>
    <row r="193" spans="2:20" s="34" customFormat="1" ht="57.6">
      <c r="B193" s="75" t="s">
        <v>372</v>
      </c>
      <c r="C193" s="88" t="s">
        <v>373</v>
      </c>
      <c r="D193" s="89" t="s">
        <v>63</v>
      </c>
      <c r="E193" s="92">
        <v>1</v>
      </c>
      <c r="F193" s="92">
        <v>1</v>
      </c>
      <c r="G193" s="91"/>
      <c r="H193" s="91"/>
      <c r="I193" s="91"/>
      <c r="J193" s="79">
        <f>SUM(H193:I193)+'BM 010'!I190</f>
        <v>0</v>
      </c>
      <c r="K193" s="91">
        <f t="shared" si="90"/>
        <v>1</v>
      </c>
      <c r="L193" s="84">
        <v>5950</v>
      </c>
      <c r="M193" s="81">
        <v>7542.2206544999999</v>
      </c>
      <c r="N193" s="82">
        <f t="shared" si="104"/>
        <v>0</v>
      </c>
      <c r="O193" s="82">
        <f t="shared" si="105"/>
        <v>0</v>
      </c>
      <c r="P193" s="82">
        <f>O193+'BM 010'!O190</f>
        <v>0</v>
      </c>
      <c r="Q193" s="80">
        <f t="shared" si="106"/>
        <v>5950</v>
      </c>
      <c r="R193" s="82">
        <f t="shared" si="107"/>
        <v>7542.22</v>
      </c>
      <c r="S193" s="82">
        <f t="shared" si="108"/>
        <v>7542.22</v>
      </c>
      <c r="T193" s="82">
        <f t="shared" si="109"/>
        <v>7542.22</v>
      </c>
    </row>
    <row r="194" spans="2:20" s="34" customFormat="1" ht="57.6">
      <c r="B194" s="75" t="s">
        <v>374</v>
      </c>
      <c r="C194" s="88" t="s">
        <v>375</v>
      </c>
      <c r="D194" s="89" t="s">
        <v>79</v>
      </c>
      <c r="E194" s="92">
        <v>184.04</v>
      </c>
      <c r="F194" s="92">
        <v>184.04</v>
      </c>
      <c r="G194" s="91"/>
      <c r="H194" s="91"/>
      <c r="I194" s="91"/>
      <c r="J194" s="79">
        <f>SUM(H194:I194)+'BM 010'!I191</f>
        <v>0</v>
      </c>
      <c r="K194" s="91">
        <f t="shared" si="90"/>
        <v>184.04</v>
      </c>
      <c r="L194" s="84">
        <v>1265</v>
      </c>
      <c r="M194" s="81">
        <v>1603.5141391499999</v>
      </c>
      <c r="N194" s="82">
        <f t="shared" si="104"/>
        <v>0</v>
      </c>
      <c r="O194" s="82">
        <f t="shared" si="105"/>
        <v>0</v>
      </c>
      <c r="P194" s="82">
        <f>O194+'BM 010'!O191</f>
        <v>0</v>
      </c>
      <c r="Q194" s="80">
        <f t="shared" si="106"/>
        <v>232810.59999999998</v>
      </c>
      <c r="R194" s="82">
        <f t="shared" si="107"/>
        <v>295110.74</v>
      </c>
      <c r="S194" s="82">
        <f t="shared" si="108"/>
        <v>295110.74</v>
      </c>
      <c r="T194" s="82">
        <f t="shared" si="109"/>
        <v>295110.74</v>
      </c>
    </row>
    <row r="195" spans="2:20" s="34" customFormat="1" ht="46.2">
      <c r="B195" s="75" t="s">
        <v>376</v>
      </c>
      <c r="C195" s="88" t="s">
        <v>377</v>
      </c>
      <c r="D195" s="89" t="s">
        <v>79</v>
      </c>
      <c r="E195" s="92">
        <v>53.96</v>
      </c>
      <c r="F195" s="92">
        <v>53.96</v>
      </c>
      <c r="G195" s="91"/>
      <c r="H195" s="91"/>
      <c r="I195" s="91"/>
      <c r="J195" s="79">
        <f>SUM(H195:I195)+'BM 010'!I192</f>
        <v>0</v>
      </c>
      <c r="K195" s="91">
        <f t="shared" si="90"/>
        <v>53.96</v>
      </c>
      <c r="L195" s="84">
        <v>1080</v>
      </c>
      <c r="M195" s="81">
        <v>1369.0081187999999</v>
      </c>
      <c r="N195" s="82">
        <f t="shared" si="104"/>
        <v>0</v>
      </c>
      <c r="O195" s="82">
        <f t="shared" si="105"/>
        <v>0</v>
      </c>
      <c r="P195" s="82">
        <f>O195+'BM 010'!O192</f>
        <v>0</v>
      </c>
      <c r="Q195" s="80">
        <f t="shared" si="106"/>
        <v>58276.800000000003</v>
      </c>
      <c r="R195" s="82">
        <f t="shared" si="107"/>
        <v>73871.67</v>
      </c>
      <c r="S195" s="82">
        <f t="shared" si="108"/>
        <v>73871.67</v>
      </c>
      <c r="T195" s="82">
        <f t="shared" si="109"/>
        <v>73871.67</v>
      </c>
    </row>
    <row r="196" spans="2:20" s="34" customFormat="1" ht="57.6">
      <c r="B196" s="75" t="s">
        <v>378</v>
      </c>
      <c r="C196" s="88" t="s">
        <v>379</v>
      </c>
      <c r="D196" s="89" t="s">
        <v>79</v>
      </c>
      <c r="E196" s="92">
        <v>130.29</v>
      </c>
      <c r="F196" s="92">
        <v>130.29</v>
      </c>
      <c r="G196" s="91"/>
      <c r="H196" s="91"/>
      <c r="I196" s="91"/>
      <c r="J196" s="79">
        <f>SUM(H196:I196)+'BM 010'!I193</f>
        <v>0</v>
      </c>
      <c r="K196" s="91">
        <f t="shared" si="90"/>
        <v>130.29</v>
      </c>
      <c r="L196" s="84">
        <v>1220</v>
      </c>
      <c r="M196" s="81">
        <v>1546.4721342</v>
      </c>
      <c r="N196" s="82">
        <f t="shared" si="104"/>
        <v>0</v>
      </c>
      <c r="O196" s="82">
        <f t="shared" si="105"/>
        <v>0</v>
      </c>
      <c r="P196" s="82">
        <f>O196+'BM 010'!O193</f>
        <v>0</v>
      </c>
      <c r="Q196" s="80">
        <f t="shared" si="106"/>
        <v>158953.79999999999</v>
      </c>
      <c r="R196" s="82">
        <f t="shared" si="107"/>
        <v>201489.85</v>
      </c>
      <c r="S196" s="82">
        <f t="shared" si="108"/>
        <v>201489.85</v>
      </c>
      <c r="T196" s="82">
        <f t="shared" si="109"/>
        <v>201489.85</v>
      </c>
    </row>
    <row r="197" spans="2:20" s="34" customFormat="1" ht="57.6">
      <c r="B197" s="75" t="s">
        <v>380</v>
      </c>
      <c r="C197" s="88" t="s">
        <v>381</v>
      </c>
      <c r="D197" s="89" t="s">
        <v>79</v>
      </c>
      <c r="E197" s="92">
        <v>27.88</v>
      </c>
      <c r="F197" s="92">
        <v>27.88</v>
      </c>
      <c r="G197" s="91"/>
      <c r="H197" s="91"/>
      <c r="I197" s="91"/>
      <c r="J197" s="79">
        <f>SUM(H197:I197)+'BM 010'!I194</f>
        <v>0</v>
      </c>
      <c r="K197" s="91">
        <f t="shared" si="90"/>
        <v>27.88</v>
      </c>
      <c r="L197" s="84">
        <v>2180</v>
      </c>
      <c r="M197" s="81">
        <v>2763.3682398000001</v>
      </c>
      <c r="N197" s="82">
        <f t="shared" si="104"/>
        <v>0</v>
      </c>
      <c r="O197" s="82">
        <f t="shared" si="105"/>
        <v>0</v>
      </c>
      <c r="P197" s="82">
        <f>O197+'BM 010'!O194</f>
        <v>0</v>
      </c>
      <c r="Q197" s="80">
        <f t="shared" si="106"/>
        <v>60778.400000000001</v>
      </c>
      <c r="R197" s="82">
        <f t="shared" si="107"/>
        <v>77042.7</v>
      </c>
      <c r="S197" s="82">
        <f t="shared" si="108"/>
        <v>77042.7</v>
      </c>
      <c r="T197" s="82">
        <f t="shared" si="109"/>
        <v>77042.7</v>
      </c>
    </row>
    <row r="198" spans="2:20" s="34" customFormat="1" ht="46.2">
      <c r="B198" s="75" t="s">
        <v>382</v>
      </c>
      <c r="C198" s="88" t="s">
        <v>383</v>
      </c>
      <c r="D198" s="89" t="s">
        <v>79</v>
      </c>
      <c r="E198" s="92">
        <v>24.23</v>
      </c>
      <c r="F198" s="92">
        <v>24.23</v>
      </c>
      <c r="G198" s="91"/>
      <c r="H198" s="91"/>
      <c r="I198" s="91"/>
      <c r="J198" s="79">
        <f>SUM(H198:I198)+'BM 010'!I195</f>
        <v>0</v>
      </c>
      <c r="K198" s="91">
        <f t="shared" si="90"/>
        <v>24.23</v>
      </c>
      <c r="L198" s="84">
        <v>1170</v>
      </c>
      <c r="M198" s="81">
        <v>1483.0921287000001</v>
      </c>
      <c r="N198" s="82">
        <f t="shared" si="104"/>
        <v>0</v>
      </c>
      <c r="O198" s="82">
        <f t="shared" si="105"/>
        <v>0</v>
      </c>
      <c r="P198" s="82">
        <f>O198+'BM 010'!O195</f>
        <v>0</v>
      </c>
      <c r="Q198" s="80">
        <f t="shared" si="106"/>
        <v>28349.100000000002</v>
      </c>
      <c r="R198" s="82">
        <f t="shared" si="107"/>
        <v>35935.32</v>
      </c>
      <c r="S198" s="82">
        <f t="shared" si="108"/>
        <v>35935.32</v>
      </c>
      <c r="T198" s="82">
        <f t="shared" si="109"/>
        <v>35935.32</v>
      </c>
    </row>
    <row r="199" spans="2:20" s="34" customFormat="1" ht="57.6">
      <c r="B199" s="75" t="s">
        <v>384</v>
      </c>
      <c r="C199" s="88" t="s">
        <v>385</v>
      </c>
      <c r="D199" s="89" t="s">
        <v>79</v>
      </c>
      <c r="E199" s="92">
        <v>93.13</v>
      </c>
      <c r="F199" s="92">
        <v>93.13</v>
      </c>
      <c r="G199" s="91"/>
      <c r="H199" s="91"/>
      <c r="I199" s="91"/>
      <c r="J199" s="79">
        <f>SUM(H199:I199)+'BM 010'!I196</f>
        <v>0</v>
      </c>
      <c r="K199" s="91">
        <f t="shared" si="90"/>
        <v>93.13</v>
      </c>
      <c r="L199" s="84">
        <v>1190</v>
      </c>
      <c r="M199" s="81">
        <v>1508.4441308999999</v>
      </c>
      <c r="N199" s="82">
        <f t="shared" si="104"/>
        <v>0</v>
      </c>
      <c r="O199" s="82">
        <f t="shared" si="105"/>
        <v>0</v>
      </c>
      <c r="P199" s="82">
        <f>O199+'BM 010'!O196</f>
        <v>0</v>
      </c>
      <c r="Q199" s="80">
        <f t="shared" si="106"/>
        <v>110824.7</v>
      </c>
      <c r="R199" s="82">
        <f t="shared" si="107"/>
        <v>140481.4</v>
      </c>
      <c r="S199" s="82">
        <f t="shared" si="108"/>
        <v>140481.4</v>
      </c>
      <c r="T199" s="82">
        <f t="shared" si="109"/>
        <v>140481.4</v>
      </c>
    </row>
    <row r="200" spans="2:20" s="34" customFormat="1" ht="91.8">
      <c r="B200" s="75" t="s">
        <v>386</v>
      </c>
      <c r="C200" s="88" t="s">
        <v>387</v>
      </c>
      <c r="D200" s="89" t="s">
        <v>79</v>
      </c>
      <c r="E200" s="92">
        <v>570.20000000000005</v>
      </c>
      <c r="F200" s="92">
        <v>570.20000000000005</v>
      </c>
      <c r="G200" s="91"/>
      <c r="H200" s="91"/>
      <c r="I200" s="91"/>
      <c r="J200" s="79">
        <f>SUM(H200:I200)+'BM 010'!I197</f>
        <v>0</v>
      </c>
      <c r="K200" s="91">
        <f t="shared" si="90"/>
        <v>570.20000000000005</v>
      </c>
      <c r="L200" s="84">
        <v>1190</v>
      </c>
      <c r="M200" s="81">
        <v>1508.4441308999999</v>
      </c>
      <c r="N200" s="82">
        <f t="shared" si="104"/>
        <v>0</v>
      </c>
      <c r="O200" s="82">
        <f t="shared" si="105"/>
        <v>0</v>
      </c>
      <c r="P200" s="82">
        <f>O200+'BM 010'!O197</f>
        <v>0</v>
      </c>
      <c r="Q200" s="80">
        <f t="shared" si="106"/>
        <v>678538</v>
      </c>
      <c r="R200" s="82">
        <f t="shared" si="107"/>
        <v>860114.84</v>
      </c>
      <c r="S200" s="82">
        <f t="shared" si="108"/>
        <v>860114.84</v>
      </c>
      <c r="T200" s="82">
        <f t="shared" si="109"/>
        <v>860114.84</v>
      </c>
    </row>
    <row r="201" spans="2:20" s="34" customFormat="1" ht="23.4">
      <c r="B201" s="75" t="s">
        <v>388</v>
      </c>
      <c r="C201" s="88" t="s">
        <v>389</v>
      </c>
      <c r="D201" s="89" t="s">
        <v>390</v>
      </c>
      <c r="E201" s="92">
        <v>4</v>
      </c>
      <c r="F201" s="92">
        <v>4</v>
      </c>
      <c r="G201" s="91"/>
      <c r="H201" s="91"/>
      <c r="I201" s="91"/>
      <c r="J201" s="79">
        <f>SUM(H201:I201)+'BM 010'!I198</f>
        <v>0</v>
      </c>
      <c r="K201" s="91">
        <f t="shared" si="90"/>
        <v>4</v>
      </c>
      <c r="L201" s="84">
        <v>1780</v>
      </c>
      <c r="M201" s="81">
        <v>2256.3281957999998</v>
      </c>
      <c r="N201" s="82">
        <f t="shared" si="104"/>
        <v>0</v>
      </c>
      <c r="O201" s="82">
        <f t="shared" si="105"/>
        <v>0</v>
      </c>
      <c r="P201" s="82">
        <f>O201+'BM 010'!O198</f>
        <v>0</v>
      </c>
      <c r="Q201" s="80">
        <f t="shared" si="106"/>
        <v>7120</v>
      </c>
      <c r="R201" s="82">
        <f t="shared" si="107"/>
        <v>9025.31</v>
      </c>
      <c r="S201" s="82">
        <f t="shared" si="108"/>
        <v>9025.31</v>
      </c>
      <c r="T201" s="82">
        <f t="shared" si="109"/>
        <v>9025.31</v>
      </c>
    </row>
    <row r="202" spans="2:20" s="34" customFormat="1" ht="23.4">
      <c r="B202" s="75" t="s">
        <v>391</v>
      </c>
      <c r="C202" s="88" t="s">
        <v>392</v>
      </c>
      <c r="D202" s="89" t="s">
        <v>390</v>
      </c>
      <c r="E202" s="92">
        <v>1</v>
      </c>
      <c r="F202" s="92">
        <v>1</v>
      </c>
      <c r="G202" s="91"/>
      <c r="H202" s="91"/>
      <c r="I202" s="91"/>
      <c r="J202" s="79">
        <f>SUM(H202:I202)+'BM 010'!I199</f>
        <v>0</v>
      </c>
      <c r="K202" s="91">
        <f t="shared" si="90"/>
        <v>1</v>
      </c>
      <c r="L202" s="84">
        <v>840</v>
      </c>
      <c r="M202" s="81">
        <v>1064.7840924</v>
      </c>
      <c r="N202" s="82">
        <f t="shared" si="104"/>
        <v>0</v>
      </c>
      <c r="O202" s="82">
        <f t="shared" si="105"/>
        <v>0</v>
      </c>
      <c r="P202" s="82">
        <f>O202+'BM 010'!O199</f>
        <v>0</v>
      </c>
      <c r="Q202" s="80">
        <f t="shared" si="106"/>
        <v>840</v>
      </c>
      <c r="R202" s="82">
        <f t="shared" si="107"/>
        <v>1064.78</v>
      </c>
      <c r="S202" s="82">
        <f t="shared" si="108"/>
        <v>1064.78</v>
      </c>
      <c r="T202" s="82">
        <f t="shared" si="109"/>
        <v>1064.78</v>
      </c>
    </row>
    <row r="203" spans="2:20" s="34" customFormat="1" ht="23.4">
      <c r="B203" s="75" t="s">
        <v>393</v>
      </c>
      <c r="C203" s="88" t="s">
        <v>394</v>
      </c>
      <c r="D203" s="89" t="s">
        <v>390</v>
      </c>
      <c r="E203" s="92">
        <v>6</v>
      </c>
      <c r="F203" s="92">
        <v>6</v>
      </c>
      <c r="G203" s="91"/>
      <c r="H203" s="91"/>
      <c r="I203" s="91"/>
      <c r="J203" s="79">
        <f>SUM(H203:I203)+'BM 010'!I200</f>
        <v>0</v>
      </c>
      <c r="K203" s="91">
        <f t="shared" si="90"/>
        <v>6</v>
      </c>
      <c r="L203" s="84">
        <v>2190</v>
      </c>
      <c r="M203" s="81">
        <v>2776.0442409000002</v>
      </c>
      <c r="N203" s="82">
        <f t="shared" si="104"/>
        <v>0</v>
      </c>
      <c r="O203" s="82">
        <f t="shared" si="105"/>
        <v>0</v>
      </c>
      <c r="P203" s="82">
        <f>O203+'BM 010'!O200</f>
        <v>0</v>
      </c>
      <c r="Q203" s="80">
        <f t="shared" si="106"/>
        <v>13140</v>
      </c>
      <c r="R203" s="82">
        <f t="shared" si="107"/>
        <v>16656.259999999998</v>
      </c>
      <c r="S203" s="82">
        <f t="shared" si="108"/>
        <v>16656.259999999998</v>
      </c>
      <c r="T203" s="82">
        <f t="shared" si="109"/>
        <v>16656.259999999998</v>
      </c>
    </row>
    <row r="204" spans="2:20" s="34" customFormat="1" ht="46.2">
      <c r="B204" s="75" t="s">
        <v>395</v>
      </c>
      <c r="C204" s="88" t="s">
        <v>396</v>
      </c>
      <c r="D204" s="89" t="s">
        <v>390</v>
      </c>
      <c r="E204" s="92">
        <v>24</v>
      </c>
      <c r="F204" s="92">
        <v>24</v>
      </c>
      <c r="G204" s="91"/>
      <c r="H204" s="91"/>
      <c r="I204" s="91"/>
      <c r="J204" s="79">
        <f>SUM(H204:I204)+'BM 010'!I201</f>
        <v>0</v>
      </c>
      <c r="K204" s="91">
        <f t="shared" si="90"/>
        <v>24</v>
      </c>
      <c r="L204" s="84">
        <v>1950</v>
      </c>
      <c r="M204" s="81">
        <v>2471.8202145</v>
      </c>
      <c r="N204" s="82">
        <f t="shared" si="104"/>
        <v>0</v>
      </c>
      <c r="O204" s="82">
        <f t="shared" si="105"/>
        <v>0</v>
      </c>
      <c r="P204" s="82">
        <f>O204+'BM 010'!O201</f>
        <v>0</v>
      </c>
      <c r="Q204" s="80">
        <f t="shared" si="106"/>
        <v>46800</v>
      </c>
      <c r="R204" s="82">
        <f t="shared" si="107"/>
        <v>59323.68</v>
      </c>
      <c r="S204" s="82">
        <f t="shared" si="108"/>
        <v>59323.68</v>
      </c>
      <c r="T204" s="82">
        <f t="shared" si="109"/>
        <v>59323.68</v>
      </c>
    </row>
    <row r="205" spans="2:20" s="34" customFormat="1" ht="34.799999999999997">
      <c r="B205" s="75" t="s">
        <v>397</v>
      </c>
      <c r="C205" s="88" t="s">
        <v>398</v>
      </c>
      <c r="D205" s="89" t="s">
        <v>79</v>
      </c>
      <c r="E205" s="92">
        <v>17.82</v>
      </c>
      <c r="F205" s="92">
        <v>17.82</v>
      </c>
      <c r="G205" s="91"/>
      <c r="H205" s="91"/>
      <c r="I205" s="91"/>
      <c r="J205" s="79">
        <f>SUM(H205:I205)+'BM 010'!I202</f>
        <v>0</v>
      </c>
      <c r="K205" s="91">
        <f t="shared" si="90"/>
        <v>17.82</v>
      </c>
      <c r="L205" s="84">
        <v>950</v>
      </c>
      <c r="M205" s="81">
        <v>1204.2201044999999</v>
      </c>
      <c r="N205" s="82">
        <f t="shared" si="104"/>
        <v>0</v>
      </c>
      <c r="O205" s="82">
        <f t="shared" si="105"/>
        <v>0</v>
      </c>
      <c r="P205" s="82">
        <f>O205+'BM 010'!O202</f>
        <v>0</v>
      </c>
      <c r="Q205" s="80">
        <f t="shared" si="106"/>
        <v>16929</v>
      </c>
      <c r="R205" s="82">
        <f t="shared" si="107"/>
        <v>21459.200000000001</v>
      </c>
      <c r="S205" s="82">
        <f t="shared" si="108"/>
        <v>21459.200000000001</v>
      </c>
      <c r="T205" s="82">
        <f t="shared" si="109"/>
        <v>21459.200000000001</v>
      </c>
    </row>
    <row r="206" spans="2:20" s="34" customFormat="1" ht="46.2">
      <c r="B206" s="75" t="s">
        <v>399</v>
      </c>
      <c r="C206" s="88" t="s">
        <v>400</v>
      </c>
      <c r="D206" s="89" t="s">
        <v>63</v>
      </c>
      <c r="E206" s="92">
        <v>18</v>
      </c>
      <c r="F206" s="92">
        <v>18</v>
      </c>
      <c r="G206" s="91"/>
      <c r="H206" s="91"/>
      <c r="I206" s="91"/>
      <c r="J206" s="79">
        <f>SUM(H206:I206)+'BM 010'!I203</f>
        <v>0</v>
      </c>
      <c r="K206" s="91">
        <f t="shared" si="90"/>
        <v>18</v>
      </c>
      <c r="L206" s="84">
        <v>2480</v>
      </c>
      <c r="M206" s="81">
        <v>3143.6482728000001</v>
      </c>
      <c r="N206" s="82">
        <f t="shared" si="104"/>
        <v>0</v>
      </c>
      <c r="O206" s="82">
        <f t="shared" si="105"/>
        <v>0</v>
      </c>
      <c r="P206" s="82">
        <f>O206+'BM 010'!O203</f>
        <v>0</v>
      </c>
      <c r="Q206" s="80">
        <f t="shared" si="106"/>
        <v>44640</v>
      </c>
      <c r="R206" s="82">
        <f t="shared" si="107"/>
        <v>56585.66</v>
      </c>
      <c r="S206" s="82">
        <f t="shared" si="108"/>
        <v>56585.66</v>
      </c>
      <c r="T206" s="82">
        <f t="shared" si="109"/>
        <v>56585.66</v>
      </c>
    </row>
    <row r="207" spans="2:20" s="34" customFormat="1" ht="46.2">
      <c r="B207" s="75" t="s">
        <v>401</v>
      </c>
      <c r="C207" s="88" t="s">
        <v>402</v>
      </c>
      <c r="D207" s="89" t="s">
        <v>63</v>
      </c>
      <c r="E207" s="92">
        <v>47</v>
      </c>
      <c r="F207" s="92">
        <v>47</v>
      </c>
      <c r="G207" s="91"/>
      <c r="H207" s="91"/>
      <c r="I207" s="91"/>
      <c r="J207" s="79">
        <f>SUM(H207:I207)+'BM 010'!I204</f>
        <v>0</v>
      </c>
      <c r="K207" s="91">
        <f t="shared" si="90"/>
        <v>47</v>
      </c>
      <c r="L207" s="84">
        <v>1080</v>
      </c>
      <c r="M207" s="81">
        <v>1369.0081187999999</v>
      </c>
      <c r="N207" s="82">
        <f t="shared" si="104"/>
        <v>0</v>
      </c>
      <c r="O207" s="82">
        <f t="shared" si="105"/>
        <v>0</v>
      </c>
      <c r="P207" s="82">
        <f>O207+'BM 010'!O204</f>
        <v>0</v>
      </c>
      <c r="Q207" s="80">
        <f t="shared" si="106"/>
        <v>50760</v>
      </c>
      <c r="R207" s="82">
        <f t="shared" si="107"/>
        <v>64343.38</v>
      </c>
      <c r="S207" s="82">
        <f t="shared" si="108"/>
        <v>64343.38</v>
      </c>
      <c r="T207" s="82">
        <f t="shared" si="109"/>
        <v>64343.38</v>
      </c>
    </row>
    <row r="208" spans="2:20" s="34" customFormat="1" ht="13.2">
      <c r="B208" s="66" t="s">
        <v>403</v>
      </c>
      <c r="C208" s="67" t="s">
        <v>404</v>
      </c>
      <c r="D208" s="68"/>
      <c r="E208" s="69"/>
      <c r="F208" s="69"/>
      <c r="G208" s="70"/>
      <c r="H208" s="70"/>
      <c r="I208" s="70"/>
      <c r="J208" s="70">
        <f>SUM(H208:I208)+'BM 010'!I205</f>
        <v>0</v>
      </c>
      <c r="K208" s="70">
        <f t="shared" si="90"/>
        <v>0</v>
      </c>
      <c r="L208" s="71"/>
      <c r="M208" s="71">
        <v>0</v>
      </c>
      <c r="N208" s="73">
        <f t="shared" ref="N208:T208" si="110">SUM(N209:N217)</f>
        <v>0</v>
      </c>
      <c r="O208" s="73">
        <f t="shared" si="110"/>
        <v>0</v>
      </c>
      <c r="P208" s="73">
        <f t="shared" si="110"/>
        <v>0</v>
      </c>
      <c r="Q208" s="73">
        <f t="shared" si="110"/>
        <v>987536.55</v>
      </c>
      <c r="R208" s="73">
        <f t="shared" si="110"/>
        <v>1251801.3999999999</v>
      </c>
      <c r="S208" s="73">
        <f t="shared" si="110"/>
        <v>1251801.3999999999</v>
      </c>
      <c r="T208" s="73">
        <f t="shared" si="110"/>
        <v>1251801.3999999999</v>
      </c>
    </row>
    <row r="209" spans="1:25" s="34" customFormat="1" ht="46.2">
      <c r="B209" s="87" t="s">
        <v>405</v>
      </c>
      <c r="C209" s="88" t="s">
        <v>406</v>
      </c>
      <c r="D209" s="89" t="s">
        <v>124</v>
      </c>
      <c r="E209" s="92">
        <v>158.59</v>
      </c>
      <c r="F209" s="92">
        <v>158.59</v>
      </c>
      <c r="G209" s="91"/>
      <c r="H209" s="91"/>
      <c r="I209" s="91"/>
      <c r="J209" s="79">
        <f>SUM(H209:I209)+'BM 010'!I206</f>
        <v>0</v>
      </c>
      <c r="K209" s="91">
        <f t="shared" si="90"/>
        <v>158.59</v>
      </c>
      <c r="L209" s="84">
        <v>415</v>
      </c>
      <c r="M209" s="81">
        <v>526.05404565000003</v>
      </c>
      <c r="N209" s="82">
        <f t="shared" ref="N209:N217" si="111">TRUNC(G209*M209,2)</f>
        <v>0</v>
      </c>
      <c r="O209" s="82">
        <f t="shared" ref="O209:O217" si="112">TRUNC(H209*M209,2)</f>
        <v>0</v>
      </c>
      <c r="P209" s="82">
        <f>O209+'BM 010'!O206</f>
        <v>0</v>
      </c>
      <c r="Q209" s="80">
        <f t="shared" ref="Q209:Q217" si="113">E209*L209</f>
        <v>65814.850000000006</v>
      </c>
      <c r="R209" s="82">
        <f t="shared" ref="R209:R217" si="114">TRUNC(E209*M209,2)</f>
        <v>83426.91</v>
      </c>
      <c r="S209" s="82">
        <f t="shared" ref="S209:S217" si="115">TRUNC(F209*$M209,2)</f>
        <v>83426.91</v>
      </c>
      <c r="T209" s="82">
        <f t="shared" ref="T209:T217" si="116">S209-P209</f>
        <v>83426.91</v>
      </c>
    </row>
    <row r="210" spans="1:25" s="34" customFormat="1" ht="13.2">
      <c r="B210" s="87" t="s">
        <v>407</v>
      </c>
      <c r="C210" s="88" t="s">
        <v>408</v>
      </c>
      <c r="D210" s="89" t="s">
        <v>124</v>
      </c>
      <c r="E210" s="92">
        <v>198.52</v>
      </c>
      <c r="F210" s="92">
        <v>198.52</v>
      </c>
      <c r="G210" s="91"/>
      <c r="H210" s="91"/>
      <c r="I210" s="91"/>
      <c r="J210" s="79">
        <f>SUM(H210:I210)+'BM 010'!I207</f>
        <v>0</v>
      </c>
      <c r="K210" s="91">
        <f t="shared" si="90"/>
        <v>198.52</v>
      </c>
      <c r="L210" s="84">
        <v>455</v>
      </c>
      <c r="M210" s="81">
        <v>576.75805004999995</v>
      </c>
      <c r="N210" s="82">
        <f t="shared" si="111"/>
        <v>0</v>
      </c>
      <c r="O210" s="82">
        <f t="shared" si="112"/>
        <v>0</v>
      </c>
      <c r="P210" s="82">
        <f>O210+'BM 010'!O207</f>
        <v>0</v>
      </c>
      <c r="Q210" s="80">
        <f t="shared" si="113"/>
        <v>90326.6</v>
      </c>
      <c r="R210" s="82">
        <f t="shared" si="114"/>
        <v>114498</v>
      </c>
      <c r="S210" s="82">
        <f t="shared" si="115"/>
        <v>114498</v>
      </c>
      <c r="T210" s="82">
        <f t="shared" si="116"/>
        <v>114498</v>
      </c>
    </row>
    <row r="211" spans="1:25" s="34" customFormat="1" ht="23.4">
      <c r="B211" s="87" t="s">
        <v>409</v>
      </c>
      <c r="C211" s="88" t="s">
        <v>410</v>
      </c>
      <c r="D211" s="89" t="s">
        <v>124</v>
      </c>
      <c r="E211" s="92">
        <v>129.65</v>
      </c>
      <c r="F211" s="92">
        <v>129.65</v>
      </c>
      <c r="G211" s="91"/>
      <c r="H211" s="91"/>
      <c r="I211" s="91"/>
      <c r="J211" s="79">
        <f>SUM(H211:I211)+'BM 010'!I208</f>
        <v>0</v>
      </c>
      <c r="K211" s="91">
        <f t="shared" si="90"/>
        <v>129.65</v>
      </c>
      <c r="L211" s="84">
        <v>745</v>
      </c>
      <c r="M211" s="81">
        <v>944.36208194999995</v>
      </c>
      <c r="N211" s="82">
        <f t="shared" si="111"/>
        <v>0</v>
      </c>
      <c r="O211" s="82">
        <f t="shared" si="112"/>
        <v>0</v>
      </c>
      <c r="P211" s="82">
        <f>O211+'BM 010'!O208</f>
        <v>0</v>
      </c>
      <c r="Q211" s="80">
        <f t="shared" si="113"/>
        <v>96589.25</v>
      </c>
      <c r="R211" s="82">
        <f t="shared" si="114"/>
        <v>122436.54</v>
      </c>
      <c r="S211" s="82">
        <f t="shared" si="115"/>
        <v>122436.54</v>
      </c>
      <c r="T211" s="82">
        <f t="shared" si="116"/>
        <v>122436.54</v>
      </c>
    </row>
    <row r="212" spans="1:25" s="34" customFormat="1" ht="23.4">
      <c r="B212" s="87" t="s">
        <v>411</v>
      </c>
      <c r="C212" s="88" t="s">
        <v>412</v>
      </c>
      <c r="D212" s="89" t="s">
        <v>124</v>
      </c>
      <c r="E212" s="92">
        <v>98.74</v>
      </c>
      <c r="F212" s="92">
        <v>98.74</v>
      </c>
      <c r="G212" s="91"/>
      <c r="H212" s="91"/>
      <c r="I212" s="91"/>
      <c r="J212" s="79">
        <f>SUM(H212:I212)+'BM 010'!I209</f>
        <v>0</v>
      </c>
      <c r="K212" s="91">
        <f t="shared" si="90"/>
        <v>98.74</v>
      </c>
      <c r="L212" s="84">
        <v>855</v>
      </c>
      <c r="M212" s="81">
        <v>1083.7980940499999</v>
      </c>
      <c r="N212" s="82">
        <f t="shared" si="111"/>
        <v>0</v>
      </c>
      <c r="O212" s="82">
        <f t="shared" si="112"/>
        <v>0</v>
      </c>
      <c r="P212" s="82">
        <f>O212+'BM 010'!O209</f>
        <v>0</v>
      </c>
      <c r="Q212" s="80">
        <f t="shared" si="113"/>
        <v>84422.7</v>
      </c>
      <c r="R212" s="82">
        <f t="shared" si="114"/>
        <v>107014.22</v>
      </c>
      <c r="S212" s="82">
        <f t="shared" si="115"/>
        <v>107014.22</v>
      </c>
      <c r="T212" s="82">
        <f t="shared" si="116"/>
        <v>107014.22</v>
      </c>
    </row>
    <row r="213" spans="1:25" s="34" customFormat="1" ht="69">
      <c r="B213" s="87" t="s">
        <v>413</v>
      </c>
      <c r="C213" s="88" t="s">
        <v>414</v>
      </c>
      <c r="D213" s="89" t="s">
        <v>82</v>
      </c>
      <c r="E213" s="92">
        <v>12</v>
      </c>
      <c r="F213" s="92">
        <v>12</v>
      </c>
      <c r="G213" s="91"/>
      <c r="H213" s="91"/>
      <c r="I213" s="91"/>
      <c r="J213" s="79">
        <f>SUM(H213:I213)+'BM 010'!I210</f>
        <v>0</v>
      </c>
      <c r="K213" s="91">
        <f t="shared" si="90"/>
        <v>12</v>
      </c>
      <c r="L213" s="84">
        <v>1650</v>
      </c>
      <c r="M213" s="81">
        <v>2091.5401815</v>
      </c>
      <c r="N213" s="82">
        <f t="shared" si="111"/>
        <v>0</v>
      </c>
      <c r="O213" s="82">
        <f t="shared" si="112"/>
        <v>0</v>
      </c>
      <c r="P213" s="82">
        <f>O213+'BM 010'!O210</f>
        <v>0</v>
      </c>
      <c r="Q213" s="80">
        <f t="shared" si="113"/>
        <v>19800</v>
      </c>
      <c r="R213" s="82">
        <f t="shared" si="114"/>
        <v>25098.48</v>
      </c>
      <c r="S213" s="82">
        <f t="shared" si="115"/>
        <v>25098.48</v>
      </c>
      <c r="T213" s="82">
        <f t="shared" si="116"/>
        <v>25098.48</v>
      </c>
    </row>
    <row r="214" spans="1:25" s="34" customFormat="1" ht="13.2">
      <c r="B214" s="87" t="s">
        <v>415</v>
      </c>
      <c r="C214" s="88" t="s">
        <v>416</v>
      </c>
      <c r="D214" s="89" t="s">
        <v>79</v>
      </c>
      <c r="E214" s="92">
        <v>72.650000000000006</v>
      </c>
      <c r="F214" s="92">
        <v>72.650000000000006</v>
      </c>
      <c r="G214" s="91"/>
      <c r="H214" s="91"/>
      <c r="I214" s="91"/>
      <c r="J214" s="79">
        <f>SUM(H214:I214)+'BM 010'!I211</f>
        <v>0</v>
      </c>
      <c r="K214" s="91">
        <f t="shared" si="90"/>
        <v>72.650000000000006</v>
      </c>
      <c r="L214" s="84">
        <v>485</v>
      </c>
      <c r="M214" s="81">
        <v>614.78605334999997</v>
      </c>
      <c r="N214" s="82">
        <f t="shared" si="111"/>
        <v>0</v>
      </c>
      <c r="O214" s="82">
        <f t="shared" si="112"/>
        <v>0</v>
      </c>
      <c r="P214" s="82">
        <f>O214+'BM 010'!O211</f>
        <v>0</v>
      </c>
      <c r="Q214" s="80">
        <f t="shared" si="113"/>
        <v>35235.25</v>
      </c>
      <c r="R214" s="82">
        <f t="shared" si="114"/>
        <v>44664.2</v>
      </c>
      <c r="S214" s="82">
        <f t="shared" si="115"/>
        <v>44664.2</v>
      </c>
      <c r="T214" s="82">
        <f t="shared" si="116"/>
        <v>44664.2</v>
      </c>
    </row>
    <row r="215" spans="1:25" s="34" customFormat="1" ht="23.4">
      <c r="B215" s="87" t="s">
        <v>417</v>
      </c>
      <c r="C215" s="88" t="s">
        <v>418</v>
      </c>
      <c r="D215" s="89" t="s">
        <v>79</v>
      </c>
      <c r="E215" s="92">
        <v>51.22</v>
      </c>
      <c r="F215" s="92">
        <v>51.22</v>
      </c>
      <c r="G215" s="91"/>
      <c r="H215" s="91"/>
      <c r="I215" s="91"/>
      <c r="J215" s="79">
        <f>SUM(H215:I215)+'BM 010'!I212</f>
        <v>0</v>
      </c>
      <c r="K215" s="91">
        <f t="shared" si="90"/>
        <v>51.22</v>
      </c>
      <c r="L215" s="84">
        <v>1350</v>
      </c>
      <c r="M215" s="81">
        <v>1711.2601485</v>
      </c>
      <c r="N215" s="82">
        <f t="shared" si="111"/>
        <v>0</v>
      </c>
      <c r="O215" s="82">
        <f t="shared" si="112"/>
        <v>0</v>
      </c>
      <c r="P215" s="82">
        <f>O215+'BM 010'!O212</f>
        <v>0</v>
      </c>
      <c r="Q215" s="80">
        <f t="shared" si="113"/>
        <v>69147</v>
      </c>
      <c r="R215" s="82">
        <f t="shared" si="114"/>
        <v>87650.74</v>
      </c>
      <c r="S215" s="82">
        <f t="shared" si="115"/>
        <v>87650.74</v>
      </c>
      <c r="T215" s="82">
        <f t="shared" si="116"/>
        <v>87650.74</v>
      </c>
    </row>
    <row r="216" spans="1:25" s="34" customFormat="1" ht="46.2">
      <c r="B216" s="87" t="s">
        <v>419</v>
      </c>
      <c r="C216" s="88" t="s">
        <v>420</v>
      </c>
      <c r="D216" s="89" t="s">
        <v>79</v>
      </c>
      <c r="E216" s="92">
        <v>98</v>
      </c>
      <c r="F216" s="92">
        <v>98</v>
      </c>
      <c r="G216" s="91"/>
      <c r="H216" s="91"/>
      <c r="I216" s="91"/>
      <c r="J216" s="79">
        <f>SUM(H216:I216)+'BM 010'!I213</f>
        <v>0</v>
      </c>
      <c r="K216" s="91">
        <f t="shared" si="90"/>
        <v>98</v>
      </c>
      <c r="L216" s="84">
        <v>498</v>
      </c>
      <c r="M216" s="81">
        <v>631.26485477999995</v>
      </c>
      <c r="N216" s="82">
        <f t="shared" si="111"/>
        <v>0</v>
      </c>
      <c r="O216" s="82">
        <f t="shared" si="112"/>
        <v>0</v>
      </c>
      <c r="P216" s="82">
        <f>O216+'BM 010'!O213</f>
        <v>0</v>
      </c>
      <c r="Q216" s="80">
        <f t="shared" si="113"/>
        <v>48804</v>
      </c>
      <c r="R216" s="82">
        <f t="shared" si="114"/>
        <v>61863.95</v>
      </c>
      <c r="S216" s="82">
        <f t="shared" si="115"/>
        <v>61863.95</v>
      </c>
      <c r="T216" s="82">
        <f t="shared" si="116"/>
        <v>61863.95</v>
      </c>
    </row>
    <row r="217" spans="1:25" s="107" customFormat="1" ht="34.799999999999997">
      <c r="A217" s="34"/>
      <c r="B217" s="87" t="s">
        <v>421</v>
      </c>
      <c r="C217" s="88" t="s">
        <v>422</v>
      </c>
      <c r="D217" s="89" t="s">
        <v>79</v>
      </c>
      <c r="E217" s="92">
        <v>342.22</v>
      </c>
      <c r="F217" s="92">
        <v>342.22</v>
      </c>
      <c r="G217" s="91"/>
      <c r="H217" s="91"/>
      <c r="I217" s="91"/>
      <c r="J217" s="79">
        <f>SUM(H217:I217)+'BM 010'!I214</f>
        <v>0</v>
      </c>
      <c r="K217" s="91">
        <f t="shared" si="90"/>
        <v>342.22</v>
      </c>
      <c r="L217" s="84">
        <v>1395</v>
      </c>
      <c r="M217" s="81">
        <v>1768.3021534500001</v>
      </c>
      <c r="N217" s="82">
        <f t="shared" si="111"/>
        <v>0</v>
      </c>
      <c r="O217" s="82">
        <f t="shared" si="112"/>
        <v>0</v>
      </c>
      <c r="P217" s="82">
        <f>O217+'BM 010'!O214</f>
        <v>0</v>
      </c>
      <c r="Q217" s="80">
        <f t="shared" si="113"/>
        <v>477396.9</v>
      </c>
      <c r="R217" s="82">
        <f t="shared" si="114"/>
        <v>605148.36</v>
      </c>
      <c r="S217" s="82">
        <f t="shared" si="115"/>
        <v>605148.36</v>
      </c>
      <c r="T217" s="82">
        <f t="shared" si="116"/>
        <v>605148.36</v>
      </c>
      <c r="U217" s="34"/>
      <c r="V217" s="34"/>
      <c r="W217" s="34"/>
      <c r="X217" s="34"/>
      <c r="Y217" s="34"/>
    </row>
    <row r="218" spans="1:25" s="34" customFormat="1" ht="13.2">
      <c r="B218" s="60" t="s">
        <v>423</v>
      </c>
      <c r="C218" s="61" t="s">
        <v>424</v>
      </c>
      <c r="D218" s="60"/>
      <c r="E218" s="62"/>
      <c r="F218" s="284"/>
      <c r="G218" s="63"/>
      <c r="H218" s="63"/>
      <c r="I218" s="63"/>
      <c r="J218" s="63">
        <f>SUM(H218:I218)+'BM 010'!I215</f>
        <v>0</v>
      </c>
      <c r="K218" s="63">
        <f t="shared" si="90"/>
        <v>0</v>
      </c>
      <c r="L218" s="63"/>
      <c r="M218" s="63">
        <v>0</v>
      </c>
      <c r="N218" s="63">
        <f t="shared" ref="N218:T218" si="117">SUM(N219:N224)</f>
        <v>0</v>
      </c>
      <c r="O218" s="63">
        <f t="shared" si="117"/>
        <v>0</v>
      </c>
      <c r="P218" s="63">
        <f t="shared" si="117"/>
        <v>0</v>
      </c>
      <c r="Q218" s="63">
        <f t="shared" si="117"/>
        <v>1326910.8099999998</v>
      </c>
      <c r="R218" s="63">
        <f t="shared" si="117"/>
        <v>1681992.2700000003</v>
      </c>
      <c r="S218" s="63">
        <f t="shared" si="117"/>
        <v>1681992.2700000003</v>
      </c>
      <c r="T218" s="63">
        <f t="shared" si="117"/>
        <v>1681992.2700000003</v>
      </c>
    </row>
    <row r="219" spans="1:25" s="34" customFormat="1" ht="23.4">
      <c r="B219" s="87" t="s">
        <v>425</v>
      </c>
      <c r="C219" s="88" t="s">
        <v>426</v>
      </c>
      <c r="D219" s="89" t="s">
        <v>79</v>
      </c>
      <c r="E219" s="90">
        <f>E146+E150</f>
        <v>25549.96</v>
      </c>
      <c r="F219" s="90">
        <v>25549.96</v>
      </c>
      <c r="G219" s="91"/>
      <c r="H219" s="91"/>
      <c r="I219" s="91"/>
      <c r="J219" s="79">
        <f>SUM(H219:I219)+'BM 010'!I216</f>
        <v>0</v>
      </c>
      <c r="K219" s="91">
        <f t="shared" si="90"/>
        <v>25549.96</v>
      </c>
      <c r="L219" s="84">
        <v>16</v>
      </c>
      <c r="M219" s="81">
        <v>20.281601760000001</v>
      </c>
      <c r="N219" s="82">
        <f t="shared" ref="N219:N224" si="118">TRUNC(G219*M219,2)</f>
        <v>0</v>
      </c>
      <c r="O219" s="82">
        <f t="shared" ref="O219:O224" si="119">TRUNC(H219*M219,2)</f>
        <v>0</v>
      </c>
      <c r="P219" s="82">
        <f>O219+'BM 010'!O216</f>
        <v>0</v>
      </c>
      <c r="Q219" s="80">
        <f t="shared" ref="Q219:Q224" si="120">E219*L219</f>
        <v>408799.36</v>
      </c>
      <c r="R219" s="82">
        <f t="shared" ref="R219:R224" si="121">TRUNC(E219*M219,2)</f>
        <v>518194.11</v>
      </c>
      <c r="S219" s="82">
        <f t="shared" ref="S219:S224" si="122">TRUNC(F219*$M219,2)</f>
        <v>518194.11</v>
      </c>
      <c r="T219" s="82">
        <f t="shared" ref="T219:T224" si="123">S219-P219</f>
        <v>518194.11</v>
      </c>
    </row>
    <row r="220" spans="1:25" s="34" customFormat="1" ht="23.4">
      <c r="B220" s="87" t="s">
        <v>427</v>
      </c>
      <c r="C220" s="88" t="s">
        <v>428</v>
      </c>
      <c r="D220" s="89" t="s">
        <v>79</v>
      </c>
      <c r="E220" s="90">
        <f>E174</f>
        <v>3789.02</v>
      </c>
      <c r="F220" s="90">
        <v>3789.02</v>
      </c>
      <c r="G220" s="91"/>
      <c r="H220" s="91"/>
      <c r="I220" s="91"/>
      <c r="J220" s="79">
        <f>SUM(H220:I220)+'BM 010'!I217</f>
        <v>0</v>
      </c>
      <c r="K220" s="91">
        <f t="shared" si="90"/>
        <v>3789.02</v>
      </c>
      <c r="L220" s="84">
        <v>25</v>
      </c>
      <c r="M220" s="81">
        <v>31.690002750000001</v>
      </c>
      <c r="N220" s="82">
        <f t="shared" si="118"/>
        <v>0</v>
      </c>
      <c r="O220" s="82">
        <f t="shared" si="119"/>
        <v>0</v>
      </c>
      <c r="P220" s="82">
        <f>O220+'BM 010'!O217</f>
        <v>0</v>
      </c>
      <c r="Q220" s="80">
        <f t="shared" si="120"/>
        <v>94725.5</v>
      </c>
      <c r="R220" s="82">
        <f t="shared" si="121"/>
        <v>120074.05</v>
      </c>
      <c r="S220" s="82">
        <f t="shared" si="122"/>
        <v>120074.05</v>
      </c>
      <c r="T220" s="82">
        <f t="shared" si="123"/>
        <v>120074.05</v>
      </c>
    </row>
    <row r="221" spans="1:25" s="34" customFormat="1" ht="23.4">
      <c r="B221" s="87" t="s">
        <v>429</v>
      </c>
      <c r="C221" s="88" t="s">
        <v>430</v>
      </c>
      <c r="D221" s="89" t="s">
        <v>79</v>
      </c>
      <c r="E221" s="90">
        <f>E219</f>
        <v>25549.96</v>
      </c>
      <c r="F221" s="90">
        <v>25549.96</v>
      </c>
      <c r="G221" s="91"/>
      <c r="H221" s="91"/>
      <c r="I221" s="91"/>
      <c r="J221" s="79">
        <f>SUM(H221:I221)+'BM 010'!I218</f>
        <v>0</v>
      </c>
      <c r="K221" s="91">
        <f t="shared" si="90"/>
        <v>25549.96</v>
      </c>
      <c r="L221" s="84">
        <v>4.5</v>
      </c>
      <c r="M221" s="81">
        <v>5.7042004950000003</v>
      </c>
      <c r="N221" s="82">
        <f t="shared" si="118"/>
        <v>0</v>
      </c>
      <c r="O221" s="82">
        <f t="shared" si="119"/>
        <v>0</v>
      </c>
      <c r="P221" s="82">
        <f>O221+'BM 010'!O218</f>
        <v>0</v>
      </c>
      <c r="Q221" s="80">
        <f t="shared" si="120"/>
        <v>114974.81999999999</v>
      </c>
      <c r="R221" s="82">
        <f t="shared" si="121"/>
        <v>145742.09</v>
      </c>
      <c r="S221" s="82">
        <f t="shared" si="122"/>
        <v>145742.09</v>
      </c>
      <c r="T221" s="82">
        <f t="shared" si="123"/>
        <v>145742.09</v>
      </c>
    </row>
    <row r="222" spans="1:25" s="34" customFormat="1" ht="23.4">
      <c r="B222" s="87" t="s">
        <v>431</v>
      </c>
      <c r="C222" s="88" t="s">
        <v>432</v>
      </c>
      <c r="D222" s="89" t="s">
        <v>79</v>
      </c>
      <c r="E222" s="90">
        <f>E220</f>
        <v>3789.02</v>
      </c>
      <c r="F222" s="90">
        <v>3789.02</v>
      </c>
      <c r="G222" s="91"/>
      <c r="H222" s="91"/>
      <c r="I222" s="91"/>
      <c r="J222" s="79">
        <f>SUM(H222:I222)+'BM 010'!I219</f>
        <v>0</v>
      </c>
      <c r="K222" s="91">
        <f t="shared" ref="K222:K285" si="124">F222-J222</f>
        <v>3789.02</v>
      </c>
      <c r="L222" s="84">
        <v>5</v>
      </c>
      <c r="M222" s="81">
        <v>6.3380005500000003</v>
      </c>
      <c r="N222" s="82">
        <f t="shared" si="118"/>
        <v>0</v>
      </c>
      <c r="O222" s="82">
        <f t="shared" si="119"/>
        <v>0</v>
      </c>
      <c r="P222" s="82">
        <f>O222+'BM 010'!O219</f>
        <v>0</v>
      </c>
      <c r="Q222" s="80">
        <f t="shared" si="120"/>
        <v>18945.099999999999</v>
      </c>
      <c r="R222" s="82">
        <f t="shared" si="121"/>
        <v>24014.81</v>
      </c>
      <c r="S222" s="82">
        <f t="shared" si="122"/>
        <v>24014.81</v>
      </c>
      <c r="T222" s="82">
        <f t="shared" si="123"/>
        <v>24014.81</v>
      </c>
    </row>
    <row r="223" spans="1:25" s="34" customFormat="1" ht="23.4">
      <c r="B223" s="87" t="s">
        <v>433</v>
      </c>
      <c r="C223" s="88" t="s">
        <v>434</v>
      </c>
      <c r="D223" s="89" t="s">
        <v>79</v>
      </c>
      <c r="E223" s="90">
        <f>E219</f>
        <v>25549.96</v>
      </c>
      <c r="F223" s="90">
        <v>25549.96</v>
      </c>
      <c r="G223" s="91"/>
      <c r="H223" s="91"/>
      <c r="I223" s="91"/>
      <c r="J223" s="79">
        <f>SUM(H223:I223)+'BM 010'!I220</f>
        <v>0</v>
      </c>
      <c r="K223" s="91">
        <f t="shared" si="124"/>
        <v>25549.96</v>
      </c>
      <c r="L223" s="84">
        <v>23.5</v>
      </c>
      <c r="M223" s="81">
        <v>29.788602585</v>
      </c>
      <c r="N223" s="82">
        <f t="shared" si="118"/>
        <v>0</v>
      </c>
      <c r="O223" s="82">
        <f t="shared" si="119"/>
        <v>0</v>
      </c>
      <c r="P223" s="82">
        <f>O223+'BM 010'!O220</f>
        <v>0</v>
      </c>
      <c r="Q223" s="80">
        <f t="shared" si="120"/>
        <v>600424.05999999994</v>
      </c>
      <c r="R223" s="82">
        <f t="shared" si="121"/>
        <v>761097.6</v>
      </c>
      <c r="S223" s="82">
        <f t="shared" si="122"/>
        <v>761097.6</v>
      </c>
      <c r="T223" s="82">
        <f t="shared" si="123"/>
        <v>761097.6</v>
      </c>
    </row>
    <row r="224" spans="1:25" s="34" customFormat="1" ht="23.4">
      <c r="B224" s="87" t="s">
        <v>435</v>
      </c>
      <c r="C224" s="88" t="s">
        <v>436</v>
      </c>
      <c r="D224" s="89" t="s">
        <v>79</v>
      </c>
      <c r="E224" s="90">
        <f>E222</f>
        <v>3789.02</v>
      </c>
      <c r="F224" s="90">
        <v>3789.02</v>
      </c>
      <c r="G224" s="91"/>
      <c r="H224" s="91"/>
      <c r="I224" s="91"/>
      <c r="J224" s="79">
        <f>SUM(H224:I224)+'BM 010'!I221</f>
        <v>0</v>
      </c>
      <c r="K224" s="91">
        <f t="shared" si="124"/>
        <v>3789.02</v>
      </c>
      <c r="L224" s="84">
        <v>23.5</v>
      </c>
      <c r="M224" s="81">
        <v>29.788602585</v>
      </c>
      <c r="N224" s="82">
        <f t="shared" si="118"/>
        <v>0</v>
      </c>
      <c r="O224" s="82">
        <f t="shared" si="119"/>
        <v>0</v>
      </c>
      <c r="P224" s="82">
        <f>O224+'BM 010'!O221</f>
        <v>0</v>
      </c>
      <c r="Q224" s="80">
        <f t="shared" si="120"/>
        <v>89041.97</v>
      </c>
      <c r="R224" s="82">
        <f t="shared" si="121"/>
        <v>112869.61</v>
      </c>
      <c r="S224" s="82">
        <f t="shared" si="122"/>
        <v>112869.61</v>
      </c>
      <c r="T224" s="82">
        <f t="shared" si="123"/>
        <v>112869.61</v>
      </c>
    </row>
    <row r="225" spans="1:25" s="34" customFormat="1" ht="13.2">
      <c r="A225" s="107"/>
      <c r="B225" s="60" t="s">
        <v>437</v>
      </c>
      <c r="C225" s="61" t="s">
        <v>438</v>
      </c>
      <c r="D225" s="60"/>
      <c r="E225" s="62"/>
      <c r="F225" s="284"/>
      <c r="G225" s="63"/>
      <c r="H225" s="63"/>
      <c r="I225" s="63"/>
      <c r="J225" s="63">
        <f>SUM(H225:I225)+'BM 010'!I222</f>
        <v>0</v>
      </c>
      <c r="K225" s="63">
        <f t="shared" si="124"/>
        <v>0</v>
      </c>
      <c r="L225" s="63"/>
      <c r="M225" s="63">
        <v>0</v>
      </c>
      <c r="N225" s="63">
        <f t="shared" ref="N225:T225" si="125">SUM(N226:N227)</f>
        <v>0</v>
      </c>
      <c r="O225" s="63">
        <f t="shared" si="125"/>
        <v>0</v>
      </c>
      <c r="P225" s="63">
        <f t="shared" si="125"/>
        <v>0</v>
      </c>
      <c r="Q225" s="63">
        <f t="shared" si="125"/>
        <v>13739.5</v>
      </c>
      <c r="R225" s="63">
        <f t="shared" si="125"/>
        <v>17416.18</v>
      </c>
      <c r="S225" s="63">
        <f t="shared" si="125"/>
        <v>17416.18</v>
      </c>
      <c r="T225" s="63">
        <f t="shared" si="125"/>
        <v>17416.18</v>
      </c>
      <c r="U225" s="107"/>
      <c r="V225" s="107"/>
      <c r="W225" s="107"/>
      <c r="X225" s="107"/>
      <c r="Y225" s="107"/>
    </row>
    <row r="226" spans="1:25" s="34" customFormat="1" ht="13.2">
      <c r="B226" s="87" t="s">
        <v>439</v>
      </c>
      <c r="C226" s="88" t="s">
        <v>440</v>
      </c>
      <c r="D226" s="89" t="s">
        <v>124</v>
      </c>
      <c r="E226" s="90">
        <v>199.3</v>
      </c>
      <c r="F226" s="90">
        <v>199.3</v>
      </c>
      <c r="G226" s="91"/>
      <c r="H226" s="91"/>
      <c r="I226" s="91"/>
      <c r="J226" s="79">
        <f>SUM(H226:I226)+'BM 010'!I223</f>
        <v>0</v>
      </c>
      <c r="K226" s="91">
        <f t="shared" si="124"/>
        <v>199.3</v>
      </c>
      <c r="L226" s="84">
        <v>25</v>
      </c>
      <c r="M226" s="81">
        <v>31.690002750000001</v>
      </c>
      <c r="N226" s="82">
        <f>TRUNC(G226*M226,2)</f>
        <v>0</v>
      </c>
      <c r="O226" s="82">
        <f>TRUNC(H226*M226,2)</f>
        <v>0</v>
      </c>
      <c r="P226" s="82">
        <f>O226+'BM 010'!O223</f>
        <v>0</v>
      </c>
      <c r="Q226" s="80">
        <f>E226*L226</f>
        <v>4982.5</v>
      </c>
      <c r="R226" s="82">
        <f>TRUNC(E226*M226,2)</f>
        <v>6315.81</v>
      </c>
      <c r="S226" s="82">
        <f>TRUNC(F226*$M226,2)</f>
        <v>6315.81</v>
      </c>
      <c r="T226" s="82">
        <f>S226-P226</f>
        <v>6315.81</v>
      </c>
    </row>
    <row r="227" spans="1:25" s="34" customFormat="1" ht="23.4">
      <c r="B227" s="87" t="s">
        <v>441</v>
      </c>
      <c r="C227" s="88" t="s">
        <v>442</v>
      </c>
      <c r="D227" s="89" t="s">
        <v>124</v>
      </c>
      <c r="E227" s="92">
        <v>250.2</v>
      </c>
      <c r="F227" s="92">
        <v>250.2</v>
      </c>
      <c r="G227" s="91"/>
      <c r="H227" s="91"/>
      <c r="I227" s="91"/>
      <c r="J227" s="79">
        <f>SUM(H227:I227)+'BM 010'!I224</f>
        <v>0</v>
      </c>
      <c r="K227" s="91">
        <f t="shared" si="124"/>
        <v>250.2</v>
      </c>
      <c r="L227" s="84">
        <v>35</v>
      </c>
      <c r="M227" s="81">
        <v>44.366003849999998</v>
      </c>
      <c r="N227" s="82">
        <f>TRUNC(G227*M227,2)</f>
        <v>0</v>
      </c>
      <c r="O227" s="82">
        <f>TRUNC(H227*M227,2)</f>
        <v>0</v>
      </c>
      <c r="P227" s="82">
        <f>O227+'BM 010'!O224</f>
        <v>0</v>
      </c>
      <c r="Q227" s="80">
        <f>E227*L227</f>
        <v>8757</v>
      </c>
      <c r="R227" s="82">
        <f>TRUNC(E227*M227,2)</f>
        <v>11100.37</v>
      </c>
      <c r="S227" s="82">
        <f>TRUNC(F227*$M227,2)</f>
        <v>11100.37</v>
      </c>
      <c r="T227" s="82">
        <f>S227-P227</f>
        <v>11100.37</v>
      </c>
    </row>
    <row r="228" spans="1:25" s="34" customFormat="1" ht="13.2">
      <c r="B228" s="60" t="s">
        <v>443</v>
      </c>
      <c r="C228" s="61" t="s">
        <v>444</v>
      </c>
      <c r="D228" s="60"/>
      <c r="E228" s="62"/>
      <c r="F228" s="284"/>
      <c r="G228" s="63"/>
      <c r="H228" s="63"/>
      <c r="I228" s="63"/>
      <c r="J228" s="63">
        <f>SUM(H228:I228)+'BM 010'!I225</f>
        <v>0</v>
      </c>
      <c r="K228" s="63">
        <f t="shared" si="124"/>
        <v>0</v>
      </c>
      <c r="L228" s="63"/>
      <c r="M228" s="63">
        <v>0</v>
      </c>
      <c r="N228" s="63">
        <f t="shared" ref="N228:T228" si="126">SUM(N229,N243,N258,N294,N299,N310,N318)</f>
        <v>19593.54</v>
      </c>
      <c r="O228" s="63">
        <f t="shared" si="126"/>
        <v>19593.54</v>
      </c>
      <c r="P228" s="63">
        <f t="shared" si="126"/>
        <v>19593.54</v>
      </c>
      <c r="Q228" s="63">
        <f t="shared" si="126"/>
        <v>679789.94300000009</v>
      </c>
      <c r="R228" s="63">
        <f t="shared" si="126"/>
        <v>861701.45999999985</v>
      </c>
      <c r="S228" s="63">
        <f t="shared" si="126"/>
        <v>1026527.2799999998</v>
      </c>
      <c r="T228" s="63">
        <f t="shared" si="126"/>
        <v>1006933.7399999999</v>
      </c>
    </row>
    <row r="229" spans="1:25" s="34" customFormat="1" ht="24">
      <c r="B229" s="66" t="s">
        <v>445</v>
      </c>
      <c r="C229" s="67" t="s">
        <v>446</v>
      </c>
      <c r="D229" s="68"/>
      <c r="E229" s="69"/>
      <c r="F229" s="69"/>
      <c r="G229" s="70"/>
      <c r="H229" s="70"/>
      <c r="I229" s="70"/>
      <c r="J229" s="70">
        <f>SUM(H229:I229)+'BM 010'!I226</f>
        <v>0</v>
      </c>
      <c r="K229" s="70">
        <f t="shared" si="124"/>
        <v>0</v>
      </c>
      <c r="L229" s="71"/>
      <c r="M229" s="71">
        <v>0</v>
      </c>
      <c r="N229" s="73">
        <f t="shared" ref="N229:T229" si="127">SUM(N230:N242)</f>
        <v>3042.24</v>
      </c>
      <c r="O229" s="73">
        <f t="shared" si="127"/>
        <v>3042.24</v>
      </c>
      <c r="P229" s="73">
        <f t="shared" si="127"/>
        <v>3042.24</v>
      </c>
      <c r="Q229" s="73">
        <f t="shared" si="127"/>
        <v>135121.34</v>
      </c>
      <c r="R229" s="73">
        <f t="shared" si="127"/>
        <v>171279.75999999998</v>
      </c>
      <c r="S229" s="73">
        <f t="shared" si="127"/>
        <v>182725.93999999997</v>
      </c>
      <c r="T229" s="73">
        <f t="shared" si="127"/>
        <v>179683.69999999998</v>
      </c>
    </row>
    <row r="230" spans="1:25" s="34" customFormat="1" ht="23.4">
      <c r="B230" s="87" t="s">
        <v>447</v>
      </c>
      <c r="C230" s="88" t="s">
        <v>448</v>
      </c>
      <c r="D230" s="89" t="s">
        <v>82</v>
      </c>
      <c r="E230" s="90">
        <v>787.32</v>
      </c>
      <c r="F230" s="90">
        <v>787.32</v>
      </c>
      <c r="G230" s="91"/>
      <c r="H230" s="91"/>
      <c r="I230" s="91"/>
      <c r="J230" s="91">
        <f>SUM(H230:I230)+'BM 010'!I227</f>
        <v>0</v>
      </c>
      <c r="K230" s="91">
        <f t="shared" si="124"/>
        <v>787.32</v>
      </c>
      <c r="L230" s="80">
        <v>70</v>
      </c>
      <c r="M230" s="81">
        <v>88.732007699999997</v>
      </c>
      <c r="N230" s="82">
        <f t="shared" ref="N230:N242" si="128">TRUNC(G230*M230,2)</f>
        <v>0</v>
      </c>
      <c r="O230" s="82">
        <f t="shared" ref="O230:O242" si="129">TRUNC(H230*M230,2)</f>
        <v>0</v>
      </c>
      <c r="P230" s="82">
        <f>O230+'BM 010'!O227</f>
        <v>0</v>
      </c>
      <c r="Q230" s="80">
        <f t="shared" ref="Q230:Q242" si="130">E230*L230</f>
        <v>55112.4</v>
      </c>
      <c r="R230" s="82">
        <f t="shared" ref="R230:R242" si="131">TRUNC(E230*M230,2)</f>
        <v>69860.479999999996</v>
      </c>
      <c r="S230" s="82">
        <f t="shared" ref="S230:S242" si="132">TRUNC(F230*$M230,2)</f>
        <v>69860.479999999996</v>
      </c>
      <c r="T230" s="82">
        <f t="shared" ref="T230:T242" si="133">S230-P230</f>
        <v>69860.479999999996</v>
      </c>
    </row>
    <row r="231" spans="1:25" s="34" customFormat="1" ht="23.4">
      <c r="B231" s="87" t="s">
        <v>449</v>
      </c>
      <c r="C231" s="88" t="s">
        <v>450</v>
      </c>
      <c r="D231" s="89" t="s">
        <v>39</v>
      </c>
      <c r="E231" s="90">
        <v>30</v>
      </c>
      <c r="F231" s="90">
        <v>30</v>
      </c>
      <c r="G231" s="91"/>
      <c r="H231" s="91"/>
      <c r="I231" s="91"/>
      <c r="J231" s="91">
        <f>SUM(H231:I231)+'BM 010'!I228</f>
        <v>0</v>
      </c>
      <c r="K231" s="91">
        <f t="shared" si="124"/>
        <v>30</v>
      </c>
      <c r="L231" s="80">
        <v>49.5</v>
      </c>
      <c r="M231" s="81">
        <v>62.746205445000001</v>
      </c>
      <c r="N231" s="82">
        <f t="shared" si="128"/>
        <v>0</v>
      </c>
      <c r="O231" s="82">
        <f t="shared" si="129"/>
        <v>0</v>
      </c>
      <c r="P231" s="82">
        <f>O231+'BM 010'!O228</f>
        <v>0</v>
      </c>
      <c r="Q231" s="80">
        <f t="shared" si="130"/>
        <v>1485</v>
      </c>
      <c r="R231" s="82">
        <f t="shared" si="131"/>
        <v>1882.38</v>
      </c>
      <c r="S231" s="82">
        <f t="shared" si="132"/>
        <v>1882.38</v>
      </c>
      <c r="T231" s="82">
        <f t="shared" si="133"/>
        <v>1882.38</v>
      </c>
    </row>
    <row r="232" spans="1:25" s="34" customFormat="1" ht="23.4">
      <c r="B232" s="87" t="s">
        <v>451</v>
      </c>
      <c r="C232" s="88" t="s">
        <v>452</v>
      </c>
      <c r="D232" s="89" t="s">
        <v>39</v>
      </c>
      <c r="E232" s="90">
        <v>38</v>
      </c>
      <c r="F232" s="90">
        <v>38</v>
      </c>
      <c r="G232" s="91"/>
      <c r="H232" s="91"/>
      <c r="I232" s="91"/>
      <c r="J232" s="91">
        <f>SUM(H232:I232)+'BM 010'!I229</f>
        <v>0</v>
      </c>
      <c r="K232" s="91">
        <f t="shared" si="124"/>
        <v>38</v>
      </c>
      <c r="L232" s="80">
        <v>43.8</v>
      </c>
      <c r="M232" s="81">
        <v>55.520884817999999</v>
      </c>
      <c r="N232" s="82">
        <f t="shared" si="128"/>
        <v>0</v>
      </c>
      <c r="O232" s="82">
        <f t="shared" si="129"/>
        <v>0</v>
      </c>
      <c r="P232" s="82">
        <f>O232+'BM 010'!O229</f>
        <v>0</v>
      </c>
      <c r="Q232" s="80">
        <f t="shared" si="130"/>
        <v>1664.3999999999999</v>
      </c>
      <c r="R232" s="82">
        <f t="shared" si="131"/>
        <v>2109.79</v>
      </c>
      <c r="S232" s="82">
        <f t="shared" si="132"/>
        <v>2109.79</v>
      </c>
      <c r="T232" s="82">
        <f t="shared" si="133"/>
        <v>2109.79</v>
      </c>
    </row>
    <row r="233" spans="1:25" s="34" customFormat="1" ht="23.4">
      <c r="B233" s="87" t="s">
        <v>453</v>
      </c>
      <c r="C233" s="88" t="s">
        <v>454</v>
      </c>
      <c r="D233" s="89" t="s">
        <v>39</v>
      </c>
      <c r="E233" s="90">
        <v>24</v>
      </c>
      <c r="F233" s="90">
        <v>24</v>
      </c>
      <c r="G233" s="91"/>
      <c r="H233" s="91"/>
      <c r="I233" s="91"/>
      <c r="J233" s="91">
        <f>SUM(H233:I233)+'BM 010'!I230</f>
        <v>0</v>
      </c>
      <c r="K233" s="91">
        <f t="shared" si="124"/>
        <v>24</v>
      </c>
      <c r="L233" s="80">
        <v>40</v>
      </c>
      <c r="M233" s="81">
        <v>50.704004400000002</v>
      </c>
      <c r="N233" s="82">
        <f t="shared" si="128"/>
        <v>0</v>
      </c>
      <c r="O233" s="82">
        <f t="shared" si="129"/>
        <v>0</v>
      </c>
      <c r="P233" s="82">
        <f>O233+'BM 010'!O230</f>
        <v>0</v>
      </c>
      <c r="Q233" s="80">
        <f t="shared" si="130"/>
        <v>960</v>
      </c>
      <c r="R233" s="82">
        <f t="shared" si="131"/>
        <v>1216.8900000000001</v>
      </c>
      <c r="S233" s="82">
        <f t="shared" si="132"/>
        <v>1216.8900000000001</v>
      </c>
      <c r="T233" s="82">
        <f t="shared" si="133"/>
        <v>1216.8900000000001</v>
      </c>
    </row>
    <row r="234" spans="1:25" s="34" customFormat="1" ht="23.4">
      <c r="B234" s="87" t="s">
        <v>455</v>
      </c>
      <c r="C234" s="88" t="s">
        <v>456</v>
      </c>
      <c r="D234" s="89" t="s">
        <v>39</v>
      </c>
      <c r="E234" s="90">
        <v>30</v>
      </c>
      <c r="F234" s="90">
        <v>30</v>
      </c>
      <c r="G234" s="91"/>
      <c r="H234" s="91"/>
      <c r="I234" s="91"/>
      <c r="J234" s="91">
        <f>SUM(H234:I234)+'BM 010'!I231</f>
        <v>0</v>
      </c>
      <c r="K234" s="91">
        <f t="shared" si="124"/>
        <v>30</v>
      </c>
      <c r="L234" s="80">
        <v>50</v>
      </c>
      <c r="M234" s="81">
        <v>63.380005500000003</v>
      </c>
      <c r="N234" s="82">
        <f t="shared" si="128"/>
        <v>0</v>
      </c>
      <c r="O234" s="82">
        <f t="shared" si="129"/>
        <v>0</v>
      </c>
      <c r="P234" s="82">
        <f>O234+'BM 010'!O231</f>
        <v>0</v>
      </c>
      <c r="Q234" s="80">
        <f t="shared" si="130"/>
        <v>1500</v>
      </c>
      <c r="R234" s="82">
        <f t="shared" si="131"/>
        <v>1901.4</v>
      </c>
      <c r="S234" s="82">
        <f t="shared" si="132"/>
        <v>1901.4</v>
      </c>
      <c r="T234" s="82">
        <f t="shared" si="133"/>
        <v>1901.4</v>
      </c>
    </row>
    <row r="235" spans="1:25" s="34" customFormat="1" ht="23.4">
      <c r="B235" s="87" t="s">
        <v>457</v>
      </c>
      <c r="C235" s="88" t="s">
        <v>458</v>
      </c>
      <c r="D235" s="89" t="s">
        <v>39</v>
      </c>
      <c r="E235" s="90">
        <v>400</v>
      </c>
      <c r="F235" s="90">
        <v>400</v>
      </c>
      <c r="G235" s="91"/>
      <c r="H235" s="91"/>
      <c r="I235" s="91"/>
      <c r="J235" s="91">
        <f>SUM(H235:I235)+'BM 010'!I232</f>
        <v>0</v>
      </c>
      <c r="K235" s="91">
        <f t="shared" si="124"/>
        <v>400</v>
      </c>
      <c r="L235" s="80">
        <v>9.7100000000000009</v>
      </c>
      <c r="M235" s="81">
        <v>12.3083970681</v>
      </c>
      <c r="N235" s="82">
        <f t="shared" si="128"/>
        <v>0</v>
      </c>
      <c r="O235" s="82">
        <f t="shared" si="129"/>
        <v>0</v>
      </c>
      <c r="P235" s="82">
        <f>O235+'BM 010'!O232</f>
        <v>0</v>
      </c>
      <c r="Q235" s="80">
        <f t="shared" si="130"/>
        <v>3884.0000000000005</v>
      </c>
      <c r="R235" s="82">
        <f t="shared" si="131"/>
        <v>4923.3500000000004</v>
      </c>
      <c r="S235" s="82">
        <f t="shared" si="132"/>
        <v>4923.3500000000004</v>
      </c>
      <c r="T235" s="82">
        <f t="shared" si="133"/>
        <v>4923.3500000000004</v>
      </c>
    </row>
    <row r="236" spans="1:25" s="34" customFormat="1" ht="34.799999999999997">
      <c r="B236" s="87" t="s">
        <v>459</v>
      </c>
      <c r="C236" s="88" t="s">
        <v>460</v>
      </c>
      <c r="D236" s="89" t="s">
        <v>82</v>
      </c>
      <c r="E236" s="90">
        <v>53.61</v>
      </c>
      <c r="F236" s="90">
        <v>53.61</v>
      </c>
      <c r="G236" s="91"/>
      <c r="H236" s="91"/>
      <c r="I236" s="91"/>
      <c r="J236" s="91">
        <f>SUM(H236:I236)+'BM 010'!I233</f>
        <v>0</v>
      </c>
      <c r="K236" s="91">
        <f t="shared" si="124"/>
        <v>53.61</v>
      </c>
      <c r="L236" s="80">
        <v>95</v>
      </c>
      <c r="M236" s="81">
        <v>120.42201045</v>
      </c>
      <c r="N236" s="82">
        <f t="shared" si="128"/>
        <v>0</v>
      </c>
      <c r="O236" s="82">
        <f t="shared" si="129"/>
        <v>0</v>
      </c>
      <c r="P236" s="82">
        <f>O236+'BM 010'!O233</f>
        <v>0</v>
      </c>
      <c r="Q236" s="80">
        <f t="shared" si="130"/>
        <v>5092.95</v>
      </c>
      <c r="R236" s="82">
        <f t="shared" si="131"/>
        <v>6455.82</v>
      </c>
      <c r="S236" s="82">
        <f t="shared" si="132"/>
        <v>6455.82</v>
      </c>
      <c r="T236" s="82">
        <f t="shared" si="133"/>
        <v>6455.82</v>
      </c>
    </row>
    <row r="237" spans="1:25" s="34" customFormat="1" ht="46.2">
      <c r="B237" s="87" t="s">
        <v>461</v>
      </c>
      <c r="C237" s="88" t="s">
        <v>462</v>
      </c>
      <c r="D237" s="89" t="s">
        <v>82</v>
      </c>
      <c r="E237" s="90">
        <v>91.42</v>
      </c>
      <c r="F237" s="90">
        <v>91.42</v>
      </c>
      <c r="G237" s="91"/>
      <c r="H237" s="91"/>
      <c r="I237" s="91"/>
      <c r="J237" s="91">
        <f>SUM(H237:I237)+'BM 010'!I234</f>
        <v>0</v>
      </c>
      <c r="K237" s="91">
        <f t="shared" si="124"/>
        <v>91.42</v>
      </c>
      <c r="L237" s="80">
        <v>15</v>
      </c>
      <c r="M237" s="81">
        <v>19.014001650000001</v>
      </c>
      <c r="N237" s="82">
        <f t="shared" si="128"/>
        <v>0</v>
      </c>
      <c r="O237" s="82">
        <f t="shared" si="129"/>
        <v>0</v>
      </c>
      <c r="P237" s="82">
        <f>O237+'BM 010'!O234</f>
        <v>0</v>
      </c>
      <c r="Q237" s="80">
        <f t="shared" si="130"/>
        <v>1371.3</v>
      </c>
      <c r="R237" s="82">
        <f t="shared" si="131"/>
        <v>1738.26</v>
      </c>
      <c r="S237" s="82">
        <f t="shared" si="132"/>
        <v>1738.26</v>
      </c>
      <c r="T237" s="82">
        <f t="shared" si="133"/>
        <v>1738.26</v>
      </c>
    </row>
    <row r="238" spans="1:25" s="34" customFormat="1" ht="46.2">
      <c r="B238" s="87" t="s">
        <v>463</v>
      </c>
      <c r="C238" s="88" t="s">
        <v>464</v>
      </c>
      <c r="D238" s="89" t="s">
        <v>82</v>
      </c>
      <c r="E238" s="90">
        <v>8549.7900000000009</v>
      </c>
      <c r="F238" s="90">
        <v>8549.7900000000009</v>
      </c>
      <c r="G238" s="91">
        <f>50*8</f>
        <v>400</v>
      </c>
      <c r="H238" s="91">
        <f>G238</f>
        <v>400</v>
      </c>
      <c r="I238" s="91"/>
      <c r="J238" s="91">
        <f>SUM(H238:I238)+'BM 010'!I235</f>
        <v>400</v>
      </c>
      <c r="K238" s="91">
        <f t="shared" si="124"/>
        <v>8149.7900000000009</v>
      </c>
      <c r="L238" s="80">
        <v>6</v>
      </c>
      <c r="M238" s="81">
        <v>7.6056006600000003</v>
      </c>
      <c r="N238" s="82">
        <f t="shared" si="128"/>
        <v>3042.24</v>
      </c>
      <c r="O238" s="82">
        <f t="shared" si="129"/>
        <v>3042.24</v>
      </c>
      <c r="P238" s="82">
        <f>O238+'BM 010'!O235</f>
        <v>3042.24</v>
      </c>
      <c r="Q238" s="80">
        <f t="shared" si="130"/>
        <v>51298.740000000005</v>
      </c>
      <c r="R238" s="82">
        <f t="shared" si="131"/>
        <v>65026.28</v>
      </c>
      <c r="S238" s="82">
        <f t="shared" si="132"/>
        <v>65026.28</v>
      </c>
      <c r="T238" s="82">
        <f t="shared" si="133"/>
        <v>61984.04</v>
      </c>
    </row>
    <row r="239" spans="1:25" s="34" customFormat="1" ht="46.2">
      <c r="B239" s="87" t="s">
        <v>465</v>
      </c>
      <c r="C239" s="88" t="s">
        <v>466</v>
      </c>
      <c r="D239" s="89" t="s">
        <v>82</v>
      </c>
      <c r="E239" s="90">
        <v>98.51</v>
      </c>
      <c r="F239" s="90">
        <v>550</v>
      </c>
      <c r="G239" s="91"/>
      <c r="H239" s="91"/>
      <c r="I239" s="91"/>
      <c r="J239" s="91">
        <f>SUM(H239:I239)+'BM 010'!I236</f>
        <v>0</v>
      </c>
      <c r="K239" s="91">
        <f t="shared" si="124"/>
        <v>550</v>
      </c>
      <c r="L239" s="80">
        <v>20</v>
      </c>
      <c r="M239" s="81">
        <v>25.352002200000001</v>
      </c>
      <c r="N239" s="82">
        <f t="shared" si="128"/>
        <v>0</v>
      </c>
      <c r="O239" s="82">
        <f t="shared" si="129"/>
        <v>0</v>
      </c>
      <c r="P239" s="82">
        <f>O239+'BM 010'!O236</f>
        <v>0</v>
      </c>
      <c r="Q239" s="80">
        <f t="shared" si="130"/>
        <v>1970.2</v>
      </c>
      <c r="R239" s="82">
        <f t="shared" si="131"/>
        <v>2497.42</v>
      </c>
      <c r="S239" s="82">
        <f t="shared" si="132"/>
        <v>13943.6</v>
      </c>
      <c r="T239" s="82">
        <f t="shared" si="133"/>
        <v>13943.6</v>
      </c>
      <c r="V239" s="83"/>
    </row>
    <row r="240" spans="1:25" s="34" customFormat="1" ht="23.4">
      <c r="B240" s="87" t="s">
        <v>467</v>
      </c>
      <c r="C240" s="88" t="s">
        <v>468</v>
      </c>
      <c r="D240" s="89" t="s">
        <v>39</v>
      </c>
      <c r="E240" s="90">
        <v>836</v>
      </c>
      <c r="F240" s="90">
        <v>836</v>
      </c>
      <c r="G240" s="91"/>
      <c r="H240" s="91"/>
      <c r="I240" s="91"/>
      <c r="J240" s="91">
        <f>SUM(H240:I240)+'BM 010'!I237</f>
        <v>0</v>
      </c>
      <c r="K240" s="91">
        <f t="shared" si="124"/>
        <v>836</v>
      </c>
      <c r="L240" s="80">
        <v>8</v>
      </c>
      <c r="M240" s="81">
        <v>10.14080088</v>
      </c>
      <c r="N240" s="82">
        <f t="shared" si="128"/>
        <v>0</v>
      </c>
      <c r="O240" s="82">
        <f t="shared" si="129"/>
        <v>0</v>
      </c>
      <c r="P240" s="82">
        <f>O240+'BM 010'!O237</f>
        <v>0</v>
      </c>
      <c r="Q240" s="80">
        <f t="shared" si="130"/>
        <v>6688</v>
      </c>
      <c r="R240" s="82">
        <f t="shared" si="131"/>
        <v>8477.7000000000007</v>
      </c>
      <c r="S240" s="82">
        <f t="shared" si="132"/>
        <v>8477.7000000000007</v>
      </c>
      <c r="T240" s="82">
        <f t="shared" si="133"/>
        <v>8477.7000000000007</v>
      </c>
      <c r="V240" s="83"/>
    </row>
    <row r="241" spans="2:22" s="34" customFormat="1" ht="34.799999999999997">
      <c r="B241" s="87" t="s">
        <v>469</v>
      </c>
      <c r="C241" s="88" t="s">
        <v>470</v>
      </c>
      <c r="D241" s="89" t="s">
        <v>39</v>
      </c>
      <c r="E241" s="90">
        <v>1359</v>
      </c>
      <c r="F241" s="90">
        <v>1359</v>
      </c>
      <c r="G241" s="91"/>
      <c r="H241" s="91"/>
      <c r="I241" s="91"/>
      <c r="J241" s="91">
        <f>SUM(H241:I241)+'BM 010'!I238</f>
        <v>0</v>
      </c>
      <c r="K241" s="91">
        <f t="shared" si="124"/>
        <v>1359</v>
      </c>
      <c r="L241" s="80">
        <v>3</v>
      </c>
      <c r="M241" s="81">
        <v>3.8028003300000002</v>
      </c>
      <c r="N241" s="82">
        <f t="shared" si="128"/>
        <v>0</v>
      </c>
      <c r="O241" s="82">
        <f t="shared" si="129"/>
        <v>0</v>
      </c>
      <c r="P241" s="82">
        <f>O241+'BM 010'!O238</f>
        <v>0</v>
      </c>
      <c r="Q241" s="80">
        <f t="shared" si="130"/>
        <v>4077</v>
      </c>
      <c r="R241" s="82">
        <f t="shared" si="131"/>
        <v>5168</v>
      </c>
      <c r="S241" s="82">
        <f t="shared" si="132"/>
        <v>5168</v>
      </c>
      <c r="T241" s="82">
        <f t="shared" si="133"/>
        <v>5168</v>
      </c>
      <c r="V241" s="83"/>
    </row>
    <row r="242" spans="2:22" s="34" customFormat="1" ht="34.799999999999997">
      <c r="B242" s="87" t="s">
        <v>471</v>
      </c>
      <c r="C242" s="88" t="s">
        <v>472</v>
      </c>
      <c r="D242" s="89" t="s">
        <v>39</v>
      </c>
      <c r="E242" s="90">
        <v>5</v>
      </c>
      <c r="F242" s="90">
        <v>5</v>
      </c>
      <c r="G242" s="91"/>
      <c r="H242" s="91"/>
      <c r="I242" s="91"/>
      <c r="J242" s="91">
        <f>SUM(H242:I242)+'BM 010'!I239</f>
        <v>0</v>
      </c>
      <c r="K242" s="91">
        <f t="shared" si="124"/>
        <v>5</v>
      </c>
      <c r="L242" s="80">
        <v>3.47</v>
      </c>
      <c r="M242" s="81">
        <v>4.3985723817000002</v>
      </c>
      <c r="N242" s="82">
        <f t="shared" si="128"/>
        <v>0</v>
      </c>
      <c r="O242" s="82">
        <f t="shared" si="129"/>
        <v>0</v>
      </c>
      <c r="P242" s="82">
        <f>O242+'BM 010'!O239</f>
        <v>0</v>
      </c>
      <c r="Q242" s="80">
        <f t="shared" si="130"/>
        <v>17.350000000000001</v>
      </c>
      <c r="R242" s="82">
        <f t="shared" si="131"/>
        <v>21.99</v>
      </c>
      <c r="S242" s="82">
        <f t="shared" si="132"/>
        <v>21.99</v>
      </c>
      <c r="T242" s="82">
        <f t="shared" si="133"/>
        <v>21.99</v>
      </c>
      <c r="V242" s="83"/>
    </row>
    <row r="243" spans="2:22" s="34" customFormat="1" ht="13.2">
      <c r="B243" s="66" t="s">
        <v>473</v>
      </c>
      <c r="C243" s="67" t="s">
        <v>474</v>
      </c>
      <c r="D243" s="68"/>
      <c r="E243" s="69"/>
      <c r="F243" s="69"/>
      <c r="G243" s="70"/>
      <c r="H243" s="70"/>
      <c r="I243" s="70"/>
      <c r="J243" s="70">
        <f>SUM(H243:I243)+'BM 010'!I240</f>
        <v>0</v>
      </c>
      <c r="K243" s="70">
        <f t="shared" si="124"/>
        <v>0</v>
      </c>
      <c r="L243" s="71"/>
      <c r="M243" s="71">
        <v>0</v>
      </c>
      <c r="N243" s="73">
        <f t="shared" ref="N243:T243" si="134">SUM(N244:N257)</f>
        <v>16551.3</v>
      </c>
      <c r="O243" s="73">
        <f t="shared" si="134"/>
        <v>16551.3</v>
      </c>
      <c r="P243" s="73">
        <f t="shared" si="134"/>
        <v>16551.3</v>
      </c>
      <c r="Q243" s="73">
        <f t="shared" si="134"/>
        <v>310727.75299999997</v>
      </c>
      <c r="R243" s="73">
        <f t="shared" si="134"/>
        <v>393878.46999999991</v>
      </c>
      <c r="S243" s="73">
        <f t="shared" si="134"/>
        <v>547258.10999999987</v>
      </c>
      <c r="T243" s="73">
        <f t="shared" si="134"/>
        <v>530706.80999999994</v>
      </c>
      <c r="V243" s="83"/>
    </row>
    <row r="244" spans="2:22" s="34" customFormat="1" ht="23.4">
      <c r="B244" s="87" t="s">
        <v>475</v>
      </c>
      <c r="C244" s="88" t="s">
        <v>476</v>
      </c>
      <c r="D244" s="89" t="s">
        <v>82</v>
      </c>
      <c r="E244" s="90">
        <v>1000</v>
      </c>
      <c r="F244" s="90">
        <v>1000</v>
      </c>
      <c r="G244" s="91"/>
      <c r="H244" s="91"/>
      <c r="I244" s="91"/>
      <c r="J244" s="91">
        <f>SUM(H244:I244)+'BM 010'!I241</f>
        <v>0</v>
      </c>
      <c r="K244" s="91">
        <f t="shared" si="124"/>
        <v>1000</v>
      </c>
      <c r="L244" s="80">
        <v>15</v>
      </c>
      <c r="M244" s="81">
        <v>19.014001650000001</v>
      </c>
      <c r="N244" s="82">
        <f t="shared" ref="N244:N257" si="135">TRUNC(G244*M244,2)</f>
        <v>0</v>
      </c>
      <c r="O244" s="82">
        <f t="shared" ref="O244:O257" si="136">TRUNC(H244*M244,2)</f>
        <v>0</v>
      </c>
      <c r="P244" s="82">
        <f>O244+'BM 010'!O241</f>
        <v>0</v>
      </c>
      <c r="Q244" s="80">
        <f t="shared" ref="Q244:Q257" si="137">E244*L244</f>
        <v>15000</v>
      </c>
      <c r="R244" s="82">
        <f t="shared" ref="R244:R257" si="138">TRUNC(E244*M244,2)</f>
        <v>19014</v>
      </c>
      <c r="S244" s="82">
        <f t="shared" ref="S244:S257" si="139">TRUNC(F244*$M244,2)</f>
        <v>19014</v>
      </c>
      <c r="T244" s="82">
        <f t="shared" ref="T244:T257" si="140">S244-P244</f>
        <v>19014</v>
      </c>
      <c r="V244" s="83"/>
    </row>
    <row r="245" spans="2:22" s="34" customFormat="1" ht="46.2">
      <c r="B245" s="87" t="s">
        <v>477</v>
      </c>
      <c r="C245" s="88" t="s">
        <v>478</v>
      </c>
      <c r="D245" s="89" t="s">
        <v>124</v>
      </c>
      <c r="E245" s="90">
        <v>9216.66</v>
      </c>
      <c r="F245" s="90">
        <v>9216.66</v>
      </c>
      <c r="G245" s="91"/>
      <c r="H245" s="91"/>
      <c r="I245" s="91"/>
      <c r="J245" s="91">
        <f>SUM(H245:I245)+'BM 010'!I242</f>
        <v>0</v>
      </c>
      <c r="K245" s="91">
        <f t="shared" si="124"/>
        <v>9216.66</v>
      </c>
      <c r="L245" s="80">
        <v>3.5</v>
      </c>
      <c r="M245" s="81">
        <v>4.4366003850000002</v>
      </c>
      <c r="N245" s="82">
        <f t="shared" si="135"/>
        <v>0</v>
      </c>
      <c r="O245" s="82">
        <f t="shared" si="136"/>
        <v>0</v>
      </c>
      <c r="P245" s="82">
        <f>O245+'BM 010'!O242</f>
        <v>0</v>
      </c>
      <c r="Q245" s="80">
        <f t="shared" si="137"/>
        <v>32258.309999999998</v>
      </c>
      <c r="R245" s="82">
        <f t="shared" si="138"/>
        <v>40890.629999999997</v>
      </c>
      <c r="S245" s="82">
        <f t="shared" si="139"/>
        <v>40890.629999999997</v>
      </c>
      <c r="T245" s="82">
        <f t="shared" si="140"/>
        <v>40890.629999999997</v>
      </c>
    </row>
    <row r="246" spans="2:22" s="34" customFormat="1" ht="57.6">
      <c r="B246" s="87" t="s">
        <v>479</v>
      </c>
      <c r="C246" s="88" t="s">
        <v>480</v>
      </c>
      <c r="D246" s="89" t="s">
        <v>82</v>
      </c>
      <c r="E246" s="90">
        <v>16088.53</v>
      </c>
      <c r="F246" s="90">
        <v>16088.53</v>
      </c>
      <c r="G246" s="91"/>
      <c r="H246" s="91"/>
      <c r="I246" s="91"/>
      <c r="J246" s="91">
        <f>SUM(H246:I246)+'BM 010'!I243</f>
        <v>0</v>
      </c>
      <c r="K246" s="91">
        <f t="shared" si="124"/>
        <v>16088.53</v>
      </c>
      <c r="L246" s="80">
        <v>4.5</v>
      </c>
      <c r="M246" s="81">
        <v>5.7042004950000003</v>
      </c>
      <c r="N246" s="82">
        <f t="shared" si="135"/>
        <v>0</v>
      </c>
      <c r="O246" s="82">
        <f t="shared" si="136"/>
        <v>0</v>
      </c>
      <c r="P246" s="82">
        <f>O246+'BM 010'!O243</f>
        <v>0</v>
      </c>
      <c r="Q246" s="80">
        <f t="shared" si="137"/>
        <v>72398.385000000009</v>
      </c>
      <c r="R246" s="82">
        <f t="shared" si="138"/>
        <v>91772.2</v>
      </c>
      <c r="S246" s="82">
        <f t="shared" si="139"/>
        <v>91772.2</v>
      </c>
      <c r="T246" s="82">
        <f t="shared" si="140"/>
        <v>91772.2</v>
      </c>
    </row>
    <row r="247" spans="2:22" s="34" customFormat="1" ht="34.799999999999997">
      <c r="B247" s="87" t="s">
        <v>481</v>
      </c>
      <c r="C247" s="88" t="s">
        <v>482</v>
      </c>
      <c r="D247" s="89" t="s">
        <v>82</v>
      </c>
      <c r="E247" s="90">
        <v>1366.87</v>
      </c>
      <c r="F247" s="90">
        <v>1366.87</v>
      </c>
      <c r="G247" s="91"/>
      <c r="H247" s="91"/>
      <c r="I247" s="91"/>
      <c r="J247" s="91">
        <f>SUM(H247:I247)+'BM 010'!I244</f>
        <v>0</v>
      </c>
      <c r="K247" s="91">
        <f t="shared" si="124"/>
        <v>1366.87</v>
      </c>
      <c r="L247" s="80">
        <v>7</v>
      </c>
      <c r="M247" s="81">
        <v>8.8732007700000004</v>
      </c>
      <c r="N247" s="82">
        <f t="shared" si="135"/>
        <v>0</v>
      </c>
      <c r="O247" s="82">
        <f t="shared" si="136"/>
        <v>0</v>
      </c>
      <c r="P247" s="82">
        <f>O247+'BM 010'!O244</f>
        <v>0</v>
      </c>
      <c r="Q247" s="80">
        <f t="shared" si="137"/>
        <v>9568.09</v>
      </c>
      <c r="R247" s="82">
        <f t="shared" si="138"/>
        <v>12128.51</v>
      </c>
      <c r="S247" s="82">
        <f t="shared" si="139"/>
        <v>12128.51</v>
      </c>
      <c r="T247" s="82">
        <f t="shared" si="140"/>
        <v>12128.51</v>
      </c>
    </row>
    <row r="248" spans="2:22" s="34" customFormat="1" ht="57.6">
      <c r="B248" s="87" t="s">
        <v>483</v>
      </c>
      <c r="C248" s="88" t="s">
        <v>484</v>
      </c>
      <c r="D248" s="89" t="s">
        <v>82</v>
      </c>
      <c r="E248" s="90">
        <v>337.73</v>
      </c>
      <c r="F248" s="90">
        <v>337.73</v>
      </c>
      <c r="G248" s="91"/>
      <c r="H248" s="91"/>
      <c r="I248" s="91"/>
      <c r="J248" s="91">
        <f>SUM(H248:I248)+'BM 010'!I245</f>
        <v>0</v>
      </c>
      <c r="K248" s="91">
        <f t="shared" si="124"/>
        <v>337.73</v>
      </c>
      <c r="L248" s="80">
        <v>10</v>
      </c>
      <c r="M248" s="81">
        <v>12.676001100000001</v>
      </c>
      <c r="N248" s="82">
        <f t="shared" si="135"/>
        <v>0</v>
      </c>
      <c r="O248" s="82">
        <f t="shared" si="136"/>
        <v>0</v>
      </c>
      <c r="P248" s="82">
        <f>O248+'BM 010'!O245</f>
        <v>0</v>
      </c>
      <c r="Q248" s="80">
        <f t="shared" si="137"/>
        <v>3377.3</v>
      </c>
      <c r="R248" s="82">
        <f t="shared" si="138"/>
        <v>4281.0600000000004</v>
      </c>
      <c r="S248" s="82">
        <f t="shared" si="139"/>
        <v>4281.0600000000004</v>
      </c>
      <c r="T248" s="82">
        <f t="shared" si="140"/>
        <v>4281.0600000000004</v>
      </c>
    </row>
    <row r="249" spans="2:22" s="34" customFormat="1" ht="34.799999999999997">
      <c r="B249" s="87" t="s">
        <v>485</v>
      </c>
      <c r="C249" s="88" t="s">
        <v>486</v>
      </c>
      <c r="D249" s="89" t="s">
        <v>82</v>
      </c>
      <c r="E249" s="90">
        <v>584.41</v>
      </c>
      <c r="F249" s="90">
        <v>584.41</v>
      </c>
      <c r="G249" s="91"/>
      <c r="H249" s="91"/>
      <c r="I249" s="91"/>
      <c r="J249" s="91">
        <f>SUM(H249:I249)+'BM 010'!I246</f>
        <v>0</v>
      </c>
      <c r="K249" s="91">
        <f t="shared" si="124"/>
        <v>584.41</v>
      </c>
      <c r="L249" s="80">
        <v>11</v>
      </c>
      <c r="M249" s="81">
        <v>13.943601210000001</v>
      </c>
      <c r="N249" s="82">
        <f t="shared" si="135"/>
        <v>0</v>
      </c>
      <c r="O249" s="82">
        <f t="shared" si="136"/>
        <v>0</v>
      </c>
      <c r="P249" s="82">
        <f>O249+'BM 010'!O246</f>
        <v>0</v>
      </c>
      <c r="Q249" s="80">
        <f t="shared" si="137"/>
        <v>6428.5099999999993</v>
      </c>
      <c r="R249" s="82">
        <f t="shared" si="138"/>
        <v>8148.77</v>
      </c>
      <c r="S249" s="82">
        <f t="shared" si="139"/>
        <v>8148.77</v>
      </c>
      <c r="T249" s="82">
        <f t="shared" si="140"/>
        <v>8148.77</v>
      </c>
    </row>
    <row r="250" spans="2:22" s="34" customFormat="1" ht="34.799999999999997">
      <c r="B250" s="87" t="s">
        <v>487</v>
      </c>
      <c r="C250" s="88" t="s">
        <v>488</v>
      </c>
      <c r="D250" s="89" t="s">
        <v>82</v>
      </c>
      <c r="E250" s="90">
        <v>746.42</v>
      </c>
      <c r="F250" s="90">
        <v>746.42</v>
      </c>
      <c r="G250" s="91"/>
      <c r="H250" s="91"/>
      <c r="I250" s="91"/>
      <c r="J250" s="91">
        <f>SUM(H250:I250)+'BM 010'!I247</f>
        <v>0</v>
      </c>
      <c r="K250" s="91">
        <f t="shared" si="124"/>
        <v>746.42</v>
      </c>
      <c r="L250" s="80">
        <v>18</v>
      </c>
      <c r="M250" s="81">
        <v>22.816801980000001</v>
      </c>
      <c r="N250" s="82">
        <f t="shared" si="135"/>
        <v>0</v>
      </c>
      <c r="O250" s="82">
        <f t="shared" si="136"/>
        <v>0</v>
      </c>
      <c r="P250" s="82">
        <f>O250+'BM 010'!O247</f>
        <v>0</v>
      </c>
      <c r="Q250" s="80">
        <f t="shared" si="137"/>
        <v>13435.56</v>
      </c>
      <c r="R250" s="82">
        <f t="shared" si="138"/>
        <v>17030.91</v>
      </c>
      <c r="S250" s="82">
        <f t="shared" si="139"/>
        <v>17030.91</v>
      </c>
      <c r="T250" s="82">
        <f t="shared" si="140"/>
        <v>17030.91</v>
      </c>
    </row>
    <row r="251" spans="2:22" s="34" customFormat="1" ht="34.799999999999997">
      <c r="B251" s="87" t="s">
        <v>489</v>
      </c>
      <c r="C251" s="88" t="s">
        <v>490</v>
      </c>
      <c r="D251" s="89" t="s">
        <v>82</v>
      </c>
      <c r="E251" s="90">
        <v>396.45</v>
      </c>
      <c r="F251" s="90">
        <v>396.45</v>
      </c>
      <c r="G251" s="91"/>
      <c r="H251" s="91"/>
      <c r="I251" s="91"/>
      <c r="J251" s="91">
        <f>SUM(H251:I251)+'BM 010'!I248</f>
        <v>0</v>
      </c>
      <c r="K251" s="91">
        <f t="shared" si="124"/>
        <v>396.45</v>
      </c>
      <c r="L251" s="80">
        <v>25</v>
      </c>
      <c r="M251" s="81">
        <v>31.690002750000001</v>
      </c>
      <c r="N251" s="82">
        <f t="shared" si="135"/>
        <v>0</v>
      </c>
      <c r="O251" s="82">
        <f t="shared" si="136"/>
        <v>0</v>
      </c>
      <c r="P251" s="82">
        <f>O251+'BM 010'!O248</f>
        <v>0</v>
      </c>
      <c r="Q251" s="80">
        <f t="shared" si="137"/>
        <v>9911.25</v>
      </c>
      <c r="R251" s="82">
        <f t="shared" si="138"/>
        <v>12563.5</v>
      </c>
      <c r="S251" s="82">
        <f t="shared" si="139"/>
        <v>12563.5</v>
      </c>
      <c r="T251" s="82">
        <f t="shared" si="140"/>
        <v>12563.5</v>
      </c>
    </row>
    <row r="252" spans="2:22" s="34" customFormat="1" ht="57.6">
      <c r="B252" s="87" t="s">
        <v>491</v>
      </c>
      <c r="C252" s="88" t="s">
        <v>492</v>
      </c>
      <c r="D252" s="89" t="s">
        <v>82</v>
      </c>
      <c r="E252" s="90">
        <v>326.43</v>
      </c>
      <c r="F252" s="90">
        <v>326.43</v>
      </c>
      <c r="G252" s="91">
        <f>'M.C. MED. 11'!K1713</f>
        <v>326.43</v>
      </c>
      <c r="H252" s="91">
        <f>G252</f>
        <v>326.43</v>
      </c>
      <c r="I252" s="91"/>
      <c r="J252" s="91">
        <f>SUM(H252:I252)+'BM 010'!I249</f>
        <v>326.43</v>
      </c>
      <c r="K252" s="91">
        <f t="shared" si="124"/>
        <v>0</v>
      </c>
      <c r="L252" s="80">
        <v>40</v>
      </c>
      <c r="M252" s="81">
        <v>50.704004400000002</v>
      </c>
      <c r="N252" s="82">
        <f t="shared" si="135"/>
        <v>16551.3</v>
      </c>
      <c r="O252" s="82">
        <f t="shared" si="136"/>
        <v>16551.3</v>
      </c>
      <c r="P252" s="82">
        <f>O252+'BM 010'!O249</f>
        <v>16551.3</v>
      </c>
      <c r="Q252" s="80">
        <f t="shared" si="137"/>
        <v>13057.2</v>
      </c>
      <c r="R252" s="82">
        <f t="shared" si="138"/>
        <v>16551.3</v>
      </c>
      <c r="S252" s="82">
        <f t="shared" si="139"/>
        <v>16551.3</v>
      </c>
      <c r="T252" s="82">
        <f t="shared" si="140"/>
        <v>0</v>
      </c>
    </row>
    <row r="253" spans="2:22" s="34" customFormat="1" ht="46.2">
      <c r="B253" s="87" t="s">
        <v>493</v>
      </c>
      <c r="C253" s="88" t="s">
        <v>494</v>
      </c>
      <c r="D253" s="89" t="s">
        <v>82</v>
      </c>
      <c r="E253" s="90">
        <v>49.87</v>
      </c>
      <c r="F253" s="90">
        <v>49.87</v>
      </c>
      <c r="G253" s="91"/>
      <c r="H253" s="91"/>
      <c r="I253" s="91"/>
      <c r="J253" s="91">
        <f>SUM(H253:I253)+'BM 010'!I250</f>
        <v>0</v>
      </c>
      <c r="K253" s="91">
        <f t="shared" si="124"/>
        <v>49.87</v>
      </c>
      <c r="L253" s="80">
        <v>125</v>
      </c>
      <c r="M253" s="81">
        <v>158.45001375000001</v>
      </c>
      <c r="N253" s="82">
        <f t="shared" si="135"/>
        <v>0</v>
      </c>
      <c r="O253" s="82">
        <f t="shared" si="136"/>
        <v>0</v>
      </c>
      <c r="P253" s="82">
        <f>O253+'BM 010'!O250</f>
        <v>0</v>
      </c>
      <c r="Q253" s="80">
        <f t="shared" si="137"/>
        <v>6233.75</v>
      </c>
      <c r="R253" s="82">
        <f t="shared" si="138"/>
        <v>7901.9</v>
      </c>
      <c r="S253" s="82">
        <f t="shared" si="139"/>
        <v>7901.9</v>
      </c>
      <c r="T253" s="82">
        <f t="shared" si="140"/>
        <v>7901.9</v>
      </c>
    </row>
    <row r="254" spans="2:22" s="34" customFormat="1" ht="46.2">
      <c r="B254" s="87" t="s">
        <v>495</v>
      </c>
      <c r="C254" s="88" t="s">
        <v>496</v>
      </c>
      <c r="D254" s="89" t="s">
        <v>82</v>
      </c>
      <c r="E254" s="90">
        <v>49.87</v>
      </c>
      <c r="F254" s="90">
        <v>49.87</v>
      </c>
      <c r="G254" s="91"/>
      <c r="H254" s="91"/>
      <c r="I254" s="91"/>
      <c r="J254" s="91">
        <f>SUM(H254:I254)+'BM 010'!I251</f>
        <v>0</v>
      </c>
      <c r="K254" s="91">
        <f t="shared" si="124"/>
        <v>49.87</v>
      </c>
      <c r="L254" s="80">
        <v>170</v>
      </c>
      <c r="M254" s="81">
        <v>215.49201869999999</v>
      </c>
      <c r="N254" s="82">
        <f t="shared" si="135"/>
        <v>0</v>
      </c>
      <c r="O254" s="82">
        <f t="shared" si="136"/>
        <v>0</v>
      </c>
      <c r="P254" s="82">
        <f>O254+'BM 010'!O251</f>
        <v>0</v>
      </c>
      <c r="Q254" s="80">
        <f t="shared" si="137"/>
        <v>8477.9</v>
      </c>
      <c r="R254" s="82">
        <f t="shared" si="138"/>
        <v>10746.58</v>
      </c>
      <c r="S254" s="82">
        <f t="shared" si="139"/>
        <v>10746.58</v>
      </c>
      <c r="T254" s="82">
        <f t="shared" si="140"/>
        <v>10746.58</v>
      </c>
    </row>
    <row r="255" spans="2:22" s="34" customFormat="1" ht="46.2">
      <c r="B255" s="87" t="s">
        <v>497</v>
      </c>
      <c r="C255" s="88" t="s">
        <v>498</v>
      </c>
      <c r="D255" s="89" t="s">
        <v>82</v>
      </c>
      <c r="E255" s="90">
        <v>149.6</v>
      </c>
      <c r="F255" s="90">
        <v>149.6</v>
      </c>
      <c r="G255" s="91"/>
      <c r="H255" s="91"/>
      <c r="I255" s="91"/>
      <c r="J255" s="91">
        <f>SUM(H255:I255)+'BM 010'!I252</f>
        <v>0</v>
      </c>
      <c r="K255" s="91">
        <f t="shared" si="124"/>
        <v>149.6</v>
      </c>
      <c r="L255" s="80">
        <v>290</v>
      </c>
      <c r="M255" s="81">
        <v>367.6040319</v>
      </c>
      <c r="N255" s="82">
        <f t="shared" si="135"/>
        <v>0</v>
      </c>
      <c r="O255" s="82">
        <f t="shared" si="136"/>
        <v>0</v>
      </c>
      <c r="P255" s="82">
        <f>O255+'BM 010'!O252</f>
        <v>0</v>
      </c>
      <c r="Q255" s="80">
        <f t="shared" si="137"/>
        <v>43384</v>
      </c>
      <c r="R255" s="82">
        <f t="shared" si="138"/>
        <v>54993.56</v>
      </c>
      <c r="S255" s="82">
        <f t="shared" si="139"/>
        <v>54993.56</v>
      </c>
      <c r="T255" s="82">
        <f t="shared" si="140"/>
        <v>54993.56</v>
      </c>
    </row>
    <row r="256" spans="2:22" s="34" customFormat="1" ht="23.4">
      <c r="B256" s="87" t="s">
        <v>499</v>
      </c>
      <c r="C256" s="88" t="s">
        <v>500</v>
      </c>
      <c r="D256" s="89" t="s">
        <v>82</v>
      </c>
      <c r="E256" s="90">
        <v>4482.08</v>
      </c>
      <c r="F256" s="90">
        <v>4482.08</v>
      </c>
      <c r="G256" s="91"/>
      <c r="H256" s="91"/>
      <c r="I256" s="91"/>
      <c r="J256" s="91">
        <f>SUM(H256:I256)+'BM 010'!I253</f>
        <v>0</v>
      </c>
      <c r="K256" s="91">
        <f t="shared" si="124"/>
        <v>4482.08</v>
      </c>
      <c r="L256" s="80">
        <v>9</v>
      </c>
      <c r="M256" s="81">
        <v>11.408400990000001</v>
      </c>
      <c r="N256" s="82">
        <f t="shared" si="135"/>
        <v>0</v>
      </c>
      <c r="O256" s="82">
        <f t="shared" si="136"/>
        <v>0</v>
      </c>
      <c r="P256" s="82">
        <f>O256+'BM 010'!O253</f>
        <v>0</v>
      </c>
      <c r="Q256" s="80">
        <f t="shared" si="137"/>
        <v>40338.720000000001</v>
      </c>
      <c r="R256" s="82">
        <f t="shared" si="138"/>
        <v>51133.36</v>
      </c>
      <c r="S256" s="82">
        <f t="shared" si="139"/>
        <v>51133.36</v>
      </c>
      <c r="T256" s="82">
        <f t="shared" si="140"/>
        <v>51133.36</v>
      </c>
    </row>
    <row r="257" spans="2:20" s="34" customFormat="1" ht="23.4">
      <c r="B257" s="87" t="s">
        <v>501</v>
      </c>
      <c r="C257" s="88" t="s">
        <v>502</v>
      </c>
      <c r="D257" s="89" t="s">
        <v>82</v>
      </c>
      <c r="E257" s="90">
        <v>3350.7979999999998</v>
      </c>
      <c r="F257" s="90">
        <v>14350.8</v>
      </c>
      <c r="G257" s="91"/>
      <c r="H257" s="91"/>
      <c r="I257" s="91"/>
      <c r="J257" s="91">
        <f>SUM(H257:I257)+'BM 010'!I254</f>
        <v>0</v>
      </c>
      <c r="K257" s="91">
        <f t="shared" si="124"/>
        <v>14350.8</v>
      </c>
      <c r="L257" s="80">
        <v>11</v>
      </c>
      <c r="M257" s="81">
        <v>13.943601210000001</v>
      </c>
      <c r="N257" s="82">
        <f t="shared" si="135"/>
        <v>0</v>
      </c>
      <c r="O257" s="82">
        <f t="shared" si="136"/>
        <v>0</v>
      </c>
      <c r="P257" s="82">
        <f>O257+'BM 010'!O254</f>
        <v>0</v>
      </c>
      <c r="Q257" s="80">
        <f t="shared" si="137"/>
        <v>36858.777999999998</v>
      </c>
      <c r="R257" s="82">
        <f t="shared" si="138"/>
        <v>46722.19</v>
      </c>
      <c r="S257" s="82">
        <f t="shared" si="139"/>
        <v>200101.83</v>
      </c>
      <c r="T257" s="82">
        <f t="shared" si="140"/>
        <v>200101.83</v>
      </c>
    </row>
    <row r="258" spans="2:20" s="34" customFormat="1" ht="13.2">
      <c r="B258" s="66" t="s">
        <v>503</v>
      </c>
      <c r="C258" s="67" t="s">
        <v>504</v>
      </c>
      <c r="D258" s="68"/>
      <c r="E258" s="69"/>
      <c r="F258" s="69"/>
      <c r="G258" s="70"/>
      <c r="H258" s="70"/>
      <c r="I258" s="70"/>
      <c r="J258" s="70">
        <f>SUM(H258:I258)+'BM 010'!I255</f>
        <v>0</v>
      </c>
      <c r="K258" s="70">
        <f t="shared" si="124"/>
        <v>0</v>
      </c>
      <c r="L258" s="71"/>
      <c r="M258" s="71">
        <v>0</v>
      </c>
      <c r="N258" s="73">
        <f t="shared" ref="N258:T258" si="141">SUM(N259:N293)</f>
        <v>0</v>
      </c>
      <c r="O258" s="73">
        <f t="shared" si="141"/>
        <v>0</v>
      </c>
      <c r="P258" s="73">
        <f t="shared" si="141"/>
        <v>0</v>
      </c>
      <c r="Q258" s="73">
        <f t="shared" si="141"/>
        <v>65111</v>
      </c>
      <c r="R258" s="73">
        <f t="shared" si="141"/>
        <v>82534.59</v>
      </c>
      <c r="S258" s="73">
        <f t="shared" si="141"/>
        <v>82534.59</v>
      </c>
      <c r="T258" s="73">
        <f t="shared" si="141"/>
        <v>82534.59</v>
      </c>
    </row>
    <row r="259" spans="2:20" s="34" customFormat="1" ht="46.2">
      <c r="B259" s="87" t="s">
        <v>505</v>
      </c>
      <c r="C259" s="88" t="s">
        <v>506</v>
      </c>
      <c r="D259" s="89" t="s">
        <v>131</v>
      </c>
      <c r="E259" s="90">
        <v>3</v>
      </c>
      <c r="F259" s="90">
        <v>3</v>
      </c>
      <c r="G259" s="91"/>
      <c r="H259" s="91"/>
      <c r="I259" s="91"/>
      <c r="J259" s="91">
        <f>SUM(H259:I259)+'BM 010'!I256</f>
        <v>0</v>
      </c>
      <c r="K259" s="91">
        <f t="shared" si="124"/>
        <v>3</v>
      </c>
      <c r="L259" s="80">
        <v>1080</v>
      </c>
      <c r="M259" s="81">
        <v>1369.0081187999999</v>
      </c>
      <c r="N259" s="82">
        <f t="shared" ref="N259:N293" si="142">TRUNC(G259*M259,2)</f>
        <v>0</v>
      </c>
      <c r="O259" s="82">
        <f t="shared" ref="O259:O293" si="143">TRUNC(H259*M259,2)</f>
        <v>0</v>
      </c>
      <c r="P259" s="82">
        <f>O259+'BM 010'!O256</f>
        <v>0</v>
      </c>
      <c r="Q259" s="80">
        <f t="shared" ref="Q259:Q293" si="144">E259*L259</f>
        <v>3240</v>
      </c>
      <c r="R259" s="82">
        <f t="shared" ref="R259:R293" si="145">TRUNC(E259*M259,2)</f>
        <v>4107.0200000000004</v>
      </c>
      <c r="S259" s="82">
        <f t="shared" ref="S259:S293" si="146">TRUNC(F259*$M259,2)</f>
        <v>4107.0200000000004</v>
      </c>
      <c r="T259" s="82">
        <f t="shared" ref="T259:T293" si="147">S259-P259</f>
        <v>4107.0200000000004</v>
      </c>
    </row>
    <row r="260" spans="2:20" s="34" customFormat="1" ht="46.2">
      <c r="B260" s="87" t="s">
        <v>507</v>
      </c>
      <c r="C260" s="88" t="s">
        <v>508</v>
      </c>
      <c r="D260" s="89" t="s">
        <v>131</v>
      </c>
      <c r="E260" s="90">
        <v>1</v>
      </c>
      <c r="F260" s="90">
        <v>1</v>
      </c>
      <c r="G260" s="91"/>
      <c r="H260" s="91"/>
      <c r="I260" s="91"/>
      <c r="J260" s="91">
        <f>SUM(H260:I260)+'BM 010'!I257</f>
        <v>0</v>
      </c>
      <c r="K260" s="91">
        <f t="shared" si="124"/>
        <v>1</v>
      </c>
      <c r="L260" s="80">
        <v>1200</v>
      </c>
      <c r="M260" s="81">
        <v>1521.120132</v>
      </c>
      <c r="N260" s="82">
        <f t="shared" si="142"/>
        <v>0</v>
      </c>
      <c r="O260" s="82">
        <f t="shared" si="143"/>
        <v>0</v>
      </c>
      <c r="P260" s="82">
        <f>O260+'BM 010'!O257</f>
        <v>0</v>
      </c>
      <c r="Q260" s="80">
        <f t="shared" si="144"/>
        <v>1200</v>
      </c>
      <c r="R260" s="82">
        <f t="shared" si="145"/>
        <v>1521.12</v>
      </c>
      <c r="S260" s="82">
        <f t="shared" si="146"/>
        <v>1521.12</v>
      </c>
      <c r="T260" s="82">
        <f t="shared" si="147"/>
        <v>1521.12</v>
      </c>
    </row>
    <row r="261" spans="2:20" s="34" customFormat="1" ht="46.2">
      <c r="B261" s="87" t="s">
        <v>509</v>
      </c>
      <c r="C261" s="88" t="s">
        <v>510</v>
      </c>
      <c r="D261" s="89" t="s">
        <v>131</v>
      </c>
      <c r="E261" s="90">
        <v>4</v>
      </c>
      <c r="F261" s="90">
        <v>4</v>
      </c>
      <c r="G261" s="91"/>
      <c r="H261" s="91"/>
      <c r="I261" s="91"/>
      <c r="J261" s="91">
        <f>SUM(H261:I261)+'BM 010'!I258</f>
        <v>0</v>
      </c>
      <c r="K261" s="91">
        <f t="shared" si="124"/>
        <v>4</v>
      </c>
      <c r="L261" s="80">
        <v>1890</v>
      </c>
      <c r="M261" s="81">
        <v>2395.7642079000002</v>
      </c>
      <c r="N261" s="82">
        <f t="shared" si="142"/>
        <v>0</v>
      </c>
      <c r="O261" s="82">
        <f t="shared" si="143"/>
        <v>0</v>
      </c>
      <c r="P261" s="82">
        <f>O261+'BM 010'!O258</f>
        <v>0</v>
      </c>
      <c r="Q261" s="80">
        <f t="shared" si="144"/>
        <v>7560</v>
      </c>
      <c r="R261" s="82">
        <f t="shared" si="145"/>
        <v>9583.0499999999993</v>
      </c>
      <c r="S261" s="82">
        <f t="shared" si="146"/>
        <v>9583.0499999999993</v>
      </c>
      <c r="T261" s="82">
        <f t="shared" si="147"/>
        <v>9583.0499999999993</v>
      </c>
    </row>
    <row r="262" spans="2:20" s="34" customFormat="1" ht="34.799999999999997">
      <c r="B262" s="87" t="s">
        <v>511</v>
      </c>
      <c r="C262" s="88" t="s">
        <v>512</v>
      </c>
      <c r="D262" s="89" t="s">
        <v>131</v>
      </c>
      <c r="E262" s="90">
        <v>19</v>
      </c>
      <c r="F262" s="90">
        <v>19</v>
      </c>
      <c r="G262" s="91"/>
      <c r="H262" s="91"/>
      <c r="I262" s="91"/>
      <c r="J262" s="91">
        <f>SUM(H262:I262)+'BM 010'!I259</f>
        <v>0</v>
      </c>
      <c r="K262" s="91">
        <f t="shared" si="124"/>
        <v>19</v>
      </c>
      <c r="L262" s="80">
        <v>1000</v>
      </c>
      <c r="M262" s="81">
        <v>1267.6001100000001</v>
      </c>
      <c r="N262" s="82">
        <f t="shared" si="142"/>
        <v>0</v>
      </c>
      <c r="O262" s="82">
        <f t="shared" si="143"/>
        <v>0</v>
      </c>
      <c r="P262" s="82">
        <f>O262+'BM 010'!O259</f>
        <v>0</v>
      </c>
      <c r="Q262" s="80">
        <f t="shared" si="144"/>
        <v>19000</v>
      </c>
      <c r="R262" s="82">
        <f t="shared" si="145"/>
        <v>24084.400000000001</v>
      </c>
      <c r="S262" s="82">
        <f t="shared" si="146"/>
        <v>24084.400000000001</v>
      </c>
      <c r="T262" s="82">
        <f t="shared" si="147"/>
        <v>24084.400000000001</v>
      </c>
    </row>
    <row r="263" spans="2:20" s="34" customFormat="1" ht="34.799999999999997">
      <c r="B263" s="87" t="s">
        <v>513</v>
      </c>
      <c r="C263" s="88" t="s">
        <v>514</v>
      </c>
      <c r="D263" s="89" t="s">
        <v>131</v>
      </c>
      <c r="E263" s="90">
        <v>2</v>
      </c>
      <c r="F263" s="90">
        <v>2</v>
      </c>
      <c r="G263" s="91"/>
      <c r="H263" s="91"/>
      <c r="I263" s="91"/>
      <c r="J263" s="91">
        <f>SUM(H263:I263)+'BM 010'!I260</f>
        <v>0</v>
      </c>
      <c r="K263" s="91">
        <f t="shared" si="124"/>
        <v>2</v>
      </c>
      <c r="L263" s="80">
        <v>1400</v>
      </c>
      <c r="M263" s="81">
        <v>1774.6401539999999</v>
      </c>
      <c r="N263" s="82">
        <f t="shared" si="142"/>
        <v>0</v>
      </c>
      <c r="O263" s="82">
        <f t="shared" si="143"/>
        <v>0</v>
      </c>
      <c r="P263" s="82">
        <f>O263+'BM 010'!O260</f>
        <v>0</v>
      </c>
      <c r="Q263" s="80">
        <f t="shared" si="144"/>
        <v>2800</v>
      </c>
      <c r="R263" s="82">
        <f t="shared" si="145"/>
        <v>3549.28</v>
      </c>
      <c r="S263" s="82">
        <f t="shared" si="146"/>
        <v>3549.28</v>
      </c>
      <c r="T263" s="82">
        <f t="shared" si="147"/>
        <v>3549.28</v>
      </c>
    </row>
    <row r="264" spans="2:20" s="34" customFormat="1" ht="23.4">
      <c r="B264" s="87" t="s">
        <v>515</v>
      </c>
      <c r="C264" s="88" t="s">
        <v>516</v>
      </c>
      <c r="D264" s="89" t="s">
        <v>131</v>
      </c>
      <c r="E264" s="90">
        <v>2</v>
      </c>
      <c r="F264" s="90">
        <v>2</v>
      </c>
      <c r="G264" s="91"/>
      <c r="H264" s="91"/>
      <c r="I264" s="91"/>
      <c r="J264" s="91">
        <f>SUM(H264:I264)+'BM 010'!I261</f>
        <v>0</v>
      </c>
      <c r="K264" s="91">
        <f t="shared" si="124"/>
        <v>2</v>
      </c>
      <c r="L264" s="80">
        <v>800</v>
      </c>
      <c r="M264" s="81">
        <v>1014.080088</v>
      </c>
      <c r="N264" s="82">
        <f t="shared" si="142"/>
        <v>0</v>
      </c>
      <c r="O264" s="82">
        <f t="shared" si="143"/>
        <v>0</v>
      </c>
      <c r="P264" s="82">
        <f>O264+'BM 010'!O261</f>
        <v>0</v>
      </c>
      <c r="Q264" s="80">
        <f t="shared" si="144"/>
        <v>1600</v>
      </c>
      <c r="R264" s="82">
        <f t="shared" si="145"/>
        <v>2028.16</v>
      </c>
      <c r="S264" s="82">
        <f t="shared" si="146"/>
        <v>2028.16</v>
      </c>
      <c r="T264" s="82">
        <f t="shared" si="147"/>
        <v>2028.16</v>
      </c>
    </row>
    <row r="265" spans="2:20" s="34" customFormat="1" ht="23.4">
      <c r="B265" s="87" t="s">
        <v>517</v>
      </c>
      <c r="C265" s="88" t="s">
        <v>518</v>
      </c>
      <c r="D265" s="89" t="s">
        <v>131</v>
      </c>
      <c r="E265" s="90">
        <v>1</v>
      </c>
      <c r="F265" s="90">
        <v>1</v>
      </c>
      <c r="G265" s="91"/>
      <c r="H265" s="91"/>
      <c r="I265" s="91"/>
      <c r="J265" s="91">
        <f>SUM(H265:I265)+'BM 010'!I262</f>
        <v>0</v>
      </c>
      <c r="K265" s="91">
        <f t="shared" si="124"/>
        <v>1</v>
      </c>
      <c r="L265" s="80">
        <v>1200</v>
      </c>
      <c r="M265" s="81">
        <v>1521.120132</v>
      </c>
      <c r="N265" s="82">
        <f t="shared" si="142"/>
        <v>0</v>
      </c>
      <c r="O265" s="82">
        <f t="shared" si="143"/>
        <v>0</v>
      </c>
      <c r="P265" s="82">
        <f>O265+'BM 010'!O262</f>
        <v>0</v>
      </c>
      <c r="Q265" s="80">
        <f t="shared" si="144"/>
        <v>1200</v>
      </c>
      <c r="R265" s="82">
        <f t="shared" si="145"/>
        <v>1521.12</v>
      </c>
      <c r="S265" s="82">
        <f t="shared" si="146"/>
        <v>1521.12</v>
      </c>
      <c r="T265" s="82">
        <f t="shared" si="147"/>
        <v>1521.12</v>
      </c>
    </row>
    <row r="266" spans="2:20" s="34" customFormat="1" ht="23.4">
      <c r="B266" s="87" t="s">
        <v>519</v>
      </c>
      <c r="C266" s="88" t="s">
        <v>520</v>
      </c>
      <c r="D266" s="89" t="s">
        <v>131</v>
      </c>
      <c r="E266" s="90">
        <v>2</v>
      </c>
      <c r="F266" s="90">
        <v>2</v>
      </c>
      <c r="G266" s="91"/>
      <c r="H266" s="91"/>
      <c r="I266" s="91"/>
      <c r="J266" s="91">
        <f>SUM(H266:I266)+'BM 010'!I263</f>
        <v>0</v>
      </c>
      <c r="K266" s="91">
        <f t="shared" si="124"/>
        <v>2</v>
      </c>
      <c r="L266" s="80">
        <v>2100</v>
      </c>
      <c r="M266" s="81">
        <v>2661.960231</v>
      </c>
      <c r="N266" s="82">
        <f t="shared" si="142"/>
        <v>0</v>
      </c>
      <c r="O266" s="82">
        <f t="shared" si="143"/>
        <v>0</v>
      </c>
      <c r="P266" s="82">
        <f>O266+'BM 010'!O263</f>
        <v>0</v>
      </c>
      <c r="Q266" s="80">
        <f t="shared" si="144"/>
        <v>4200</v>
      </c>
      <c r="R266" s="82">
        <f t="shared" si="145"/>
        <v>5323.92</v>
      </c>
      <c r="S266" s="82">
        <f t="shared" si="146"/>
        <v>5323.92</v>
      </c>
      <c r="T266" s="82">
        <f t="shared" si="147"/>
        <v>5323.92</v>
      </c>
    </row>
    <row r="267" spans="2:20" s="34" customFormat="1" ht="34.799999999999997">
      <c r="B267" s="87" t="s">
        <v>521</v>
      </c>
      <c r="C267" s="88" t="s">
        <v>522</v>
      </c>
      <c r="D267" s="89" t="s">
        <v>131</v>
      </c>
      <c r="E267" s="90">
        <v>16</v>
      </c>
      <c r="F267" s="90">
        <v>16</v>
      </c>
      <c r="G267" s="91"/>
      <c r="H267" s="91"/>
      <c r="I267" s="91"/>
      <c r="J267" s="91">
        <f>SUM(H267:I267)+'BM 010'!I264</f>
        <v>0</v>
      </c>
      <c r="K267" s="91">
        <f t="shared" si="124"/>
        <v>16</v>
      </c>
      <c r="L267" s="80">
        <v>180</v>
      </c>
      <c r="M267" s="81">
        <v>228.1680198</v>
      </c>
      <c r="N267" s="82">
        <f t="shared" si="142"/>
        <v>0</v>
      </c>
      <c r="O267" s="82">
        <f t="shared" si="143"/>
        <v>0</v>
      </c>
      <c r="P267" s="82">
        <f>O267+'BM 010'!O264</f>
        <v>0</v>
      </c>
      <c r="Q267" s="80">
        <f t="shared" si="144"/>
        <v>2880</v>
      </c>
      <c r="R267" s="82">
        <f t="shared" si="145"/>
        <v>3650.68</v>
      </c>
      <c r="S267" s="82">
        <f t="shared" si="146"/>
        <v>3650.68</v>
      </c>
      <c r="T267" s="82">
        <f t="shared" si="147"/>
        <v>3650.68</v>
      </c>
    </row>
    <row r="268" spans="2:20" s="34" customFormat="1" ht="34.799999999999997">
      <c r="B268" s="87" t="s">
        <v>523</v>
      </c>
      <c r="C268" s="88" t="s">
        <v>524</v>
      </c>
      <c r="D268" s="89" t="s">
        <v>131</v>
      </c>
      <c r="E268" s="90">
        <v>8</v>
      </c>
      <c r="F268" s="90">
        <v>8</v>
      </c>
      <c r="G268" s="91"/>
      <c r="H268" s="91"/>
      <c r="I268" s="91"/>
      <c r="J268" s="91">
        <f>SUM(H268:I268)+'BM 010'!I265</f>
        <v>0</v>
      </c>
      <c r="K268" s="91">
        <f t="shared" si="124"/>
        <v>8</v>
      </c>
      <c r="L268" s="80">
        <v>260</v>
      </c>
      <c r="M268" s="81">
        <v>329.57602859999997</v>
      </c>
      <c r="N268" s="82">
        <f t="shared" si="142"/>
        <v>0</v>
      </c>
      <c r="O268" s="82">
        <f t="shared" si="143"/>
        <v>0</v>
      </c>
      <c r="P268" s="82">
        <f>O268+'BM 010'!O265</f>
        <v>0</v>
      </c>
      <c r="Q268" s="80">
        <f t="shared" si="144"/>
        <v>2080</v>
      </c>
      <c r="R268" s="82">
        <f t="shared" si="145"/>
        <v>2636.6</v>
      </c>
      <c r="S268" s="82">
        <f t="shared" si="146"/>
        <v>2636.6</v>
      </c>
      <c r="T268" s="82">
        <f t="shared" si="147"/>
        <v>2636.6</v>
      </c>
    </row>
    <row r="269" spans="2:20" s="34" customFormat="1" ht="23.4">
      <c r="B269" s="87" t="s">
        <v>525</v>
      </c>
      <c r="C269" s="88" t="s">
        <v>526</v>
      </c>
      <c r="D269" s="89" t="s">
        <v>131</v>
      </c>
      <c r="E269" s="90">
        <v>1</v>
      </c>
      <c r="F269" s="90">
        <v>1</v>
      </c>
      <c r="G269" s="91"/>
      <c r="H269" s="91"/>
      <c r="I269" s="91"/>
      <c r="J269" s="91">
        <f>SUM(H269:I269)+'BM 010'!I266</f>
        <v>0</v>
      </c>
      <c r="K269" s="91">
        <f t="shared" si="124"/>
        <v>1</v>
      </c>
      <c r="L269" s="80">
        <v>180</v>
      </c>
      <c r="M269" s="81">
        <v>228.1680198</v>
      </c>
      <c r="N269" s="82">
        <f t="shared" si="142"/>
        <v>0</v>
      </c>
      <c r="O269" s="82">
        <f t="shared" si="143"/>
        <v>0</v>
      </c>
      <c r="P269" s="82">
        <f>O269+'BM 010'!O266</f>
        <v>0</v>
      </c>
      <c r="Q269" s="80">
        <f t="shared" si="144"/>
        <v>180</v>
      </c>
      <c r="R269" s="82">
        <f t="shared" si="145"/>
        <v>228.16</v>
      </c>
      <c r="S269" s="82">
        <f t="shared" si="146"/>
        <v>228.16</v>
      </c>
      <c r="T269" s="82">
        <f t="shared" si="147"/>
        <v>228.16</v>
      </c>
    </row>
    <row r="270" spans="2:20" s="34" customFormat="1" ht="23.4">
      <c r="B270" s="87" t="s">
        <v>527</v>
      </c>
      <c r="C270" s="88" t="s">
        <v>528</v>
      </c>
      <c r="D270" s="89" t="s">
        <v>131</v>
      </c>
      <c r="E270" s="90">
        <v>4</v>
      </c>
      <c r="F270" s="90">
        <v>4</v>
      </c>
      <c r="G270" s="91"/>
      <c r="H270" s="91"/>
      <c r="I270" s="91"/>
      <c r="J270" s="91">
        <f>SUM(H270:I270)+'BM 010'!I267</f>
        <v>0</v>
      </c>
      <c r="K270" s="91">
        <f t="shared" si="124"/>
        <v>4</v>
      </c>
      <c r="L270" s="80">
        <v>180</v>
      </c>
      <c r="M270" s="81">
        <v>228.1680198</v>
      </c>
      <c r="N270" s="82">
        <f t="shared" si="142"/>
        <v>0</v>
      </c>
      <c r="O270" s="82">
        <f t="shared" si="143"/>
        <v>0</v>
      </c>
      <c r="P270" s="82">
        <f>O270+'BM 010'!O267</f>
        <v>0</v>
      </c>
      <c r="Q270" s="80">
        <f t="shared" si="144"/>
        <v>720</v>
      </c>
      <c r="R270" s="82">
        <f t="shared" si="145"/>
        <v>912.67</v>
      </c>
      <c r="S270" s="82">
        <f t="shared" si="146"/>
        <v>912.67</v>
      </c>
      <c r="T270" s="82">
        <f t="shared" si="147"/>
        <v>912.67</v>
      </c>
    </row>
    <row r="271" spans="2:20" s="34" customFormat="1" ht="23.4">
      <c r="B271" s="87" t="s">
        <v>529</v>
      </c>
      <c r="C271" s="88" t="s">
        <v>530</v>
      </c>
      <c r="D271" s="89" t="s">
        <v>131</v>
      </c>
      <c r="E271" s="90">
        <v>11</v>
      </c>
      <c r="F271" s="90">
        <v>11</v>
      </c>
      <c r="G271" s="91"/>
      <c r="H271" s="91"/>
      <c r="I271" s="91"/>
      <c r="J271" s="91">
        <f>SUM(H271:I271)+'BM 010'!I268</f>
        <v>0</v>
      </c>
      <c r="K271" s="91">
        <f t="shared" si="124"/>
        <v>11</v>
      </c>
      <c r="L271" s="80">
        <v>280</v>
      </c>
      <c r="M271" s="81">
        <v>354.92803079999999</v>
      </c>
      <c r="N271" s="82">
        <f t="shared" si="142"/>
        <v>0</v>
      </c>
      <c r="O271" s="82">
        <f t="shared" si="143"/>
        <v>0</v>
      </c>
      <c r="P271" s="82">
        <f>O271+'BM 010'!O268</f>
        <v>0</v>
      </c>
      <c r="Q271" s="80">
        <f t="shared" si="144"/>
        <v>3080</v>
      </c>
      <c r="R271" s="82">
        <f t="shared" si="145"/>
        <v>3904.2</v>
      </c>
      <c r="S271" s="82">
        <f t="shared" si="146"/>
        <v>3904.2</v>
      </c>
      <c r="T271" s="82">
        <f t="shared" si="147"/>
        <v>3904.2</v>
      </c>
    </row>
    <row r="272" spans="2:20" s="34" customFormat="1" ht="23.4">
      <c r="B272" s="87" t="s">
        <v>531</v>
      </c>
      <c r="C272" s="88" t="s">
        <v>532</v>
      </c>
      <c r="D272" s="89" t="s">
        <v>131</v>
      </c>
      <c r="E272" s="90">
        <v>4</v>
      </c>
      <c r="F272" s="90">
        <v>4</v>
      </c>
      <c r="G272" s="91"/>
      <c r="H272" s="91"/>
      <c r="I272" s="91"/>
      <c r="J272" s="91">
        <f>SUM(H272:I272)+'BM 010'!I269</f>
        <v>0</v>
      </c>
      <c r="K272" s="91">
        <f t="shared" si="124"/>
        <v>4</v>
      </c>
      <c r="L272" s="80">
        <v>380</v>
      </c>
      <c r="M272" s="81">
        <v>481.68804180000001</v>
      </c>
      <c r="N272" s="82">
        <f t="shared" si="142"/>
        <v>0</v>
      </c>
      <c r="O272" s="82">
        <f t="shared" si="143"/>
        <v>0</v>
      </c>
      <c r="P272" s="82">
        <f>O272+'BM 010'!O269</f>
        <v>0</v>
      </c>
      <c r="Q272" s="80">
        <f t="shared" si="144"/>
        <v>1520</v>
      </c>
      <c r="R272" s="82">
        <f t="shared" si="145"/>
        <v>1926.75</v>
      </c>
      <c r="S272" s="82">
        <f t="shared" si="146"/>
        <v>1926.75</v>
      </c>
      <c r="T272" s="82">
        <f t="shared" si="147"/>
        <v>1926.75</v>
      </c>
    </row>
    <row r="273" spans="2:20" s="34" customFormat="1" ht="23.4">
      <c r="B273" s="87" t="s">
        <v>533</v>
      </c>
      <c r="C273" s="88" t="s">
        <v>534</v>
      </c>
      <c r="D273" s="89" t="s">
        <v>131</v>
      </c>
      <c r="E273" s="90">
        <v>1</v>
      </c>
      <c r="F273" s="90">
        <v>1</v>
      </c>
      <c r="G273" s="91"/>
      <c r="H273" s="91"/>
      <c r="I273" s="91"/>
      <c r="J273" s="91">
        <f>SUM(H273:I273)+'BM 010'!I270</f>
        <v>0</v>
      </c>
      <c r="K273" s="91">
        <f t="shared" si="124"/>
        <v>1</v>
      </c>
      <c r="L273" s="80">
        <v>600</v>
      </c>
      <c r="M273" s="81">
        <v>760.56006600000001</v>
      </c>
      <c r="N273" s="82">
        <f t="shared" si="142"/>
        <v>0</v>
      </c>
      <c r="O273" s="82">
        <f t="shared" si="143"/>
        <v>0</v>
      </c>
      <c r="P273" s="82">
        <f>O273+'BM 010'!O270</f>
        <v>0</v>
      </c>
      <c r="Q273" s="80">
        <f t="shared" si="144"/>
        <v>600</v>
      </c>
      <c r="R273" s="82">
        <f t="shared" si="145"/>
        <v>760.56</v>
      </c>
      <c r="S273" s="82">
        <f t="shared" si="146"/>
        <v>760.56</v>
      </c>
      <c r="T273" s="82">
        <f t="shared" si="147"/>
        <v>760.56</v>
      </c>
    </row>
    <row r="274" spans="2:20" s="34" customFormat="1" ht="13.2">
      <c r="B274" s="87" t="s">
        <v>535</v>
      </c>
      <c r="C274" s="88" t="s">
        <v>536</v>
      </c>
      <c r="D274" s="89" t="s">
        <v>131</v>
      </c>
      <c r="E274" s="90">
        <v>1</v>
      </c>
      <c r="F274" s="90">
        <v>1</v>
      </c>
      <c r="G274" s="91"/>
      <c r="H274" s="91"/>
      <c r="I274" s="91"/>
      <c r="J274" s="91">
        <f>SUM(H274:I274)+'BM 010'!I271</f>
        <v>0</v>
      </c>
      <c r="K274" s="91">
        <f t="shared" si="124"/>
        <v>1</v>
      </c>
      <c r="L274" s="80">
        <v>350</v>
      </c>
      <c r="M274" s="81">
        <v>443.66003849999998</v>
      </c>
      <c r="N274" s="82">
        <f t="shared" si="142"/>
        <v>0</v>
      </c>
      <c r="O274" s="82">
        <f t="shared" si="143"/>
        <v>0</v>
      </c>
      <c r="P274" s="82">
        <f>O274+'BM 010'!O271</f>
        <v>0</v>
      </c>
      <c r="Q274" s="80">
        <f t="shared" si="144"/>
        <v>350</v>
      </c>
      <c r="R274" s="82">
        <f t="shared" si="145"/>
        <v>443.66</v>
      </c>
      <c r="S274" s="82">
        <f t="shared" si="146"/>
        <v>443.66</v>
      </c>
      <c r="T274" s="82">
        <f t="shared" si="147"/>
        <v>443.66</v>
      </c>
    </row>
    <row r="275" spans="2:20" s="34" customFormat="1" ht="13.2">
      <c r="B275" s="87" t="s">
        <v>537</v>
      </c>
      <c r="C275" s="88" t="s">
        <v>538</v>
      </c>
      <c r="D275" s="89" t="s">
        <v>131</v>
      </c>
      <c r="E275" s="90">
        <v>6</v>
      </c>
      <c r="F275" s="90">
        <v>6</v>
      </c>
      <c r="G275" s="91"/>
      <c r="H275" s="91"/>
      <c r="I275" s="91"/>
      <c r="J275" s="91">
        <f>SUM(H275:I275)+'BM 010'!I272</f>
        <v>0</v>
      </c>
      <c r="K275" s="91">
        <f t="shared" si="124"/>
        <v>6</v>
      </c>
      <c r="L275" s="80">
        <v>450</v>
      </c>
      <c r="M275" s="81">
        <v>570.4200495</v>
      </c>
      <c r="N275" s="82">
        <f t="shared" si="142"/>
        <v>0</v>
      </c>
      <c r="O275" s="82">
        <f t="shared" si="143"/>
        <v>0</v>
      </c>
      <c r="P275" s="82">
        <f>O275+'BM 010'!O272</f>
        <v>0</v>
      </c>
      <c r="Q275" s="80">
        <f t="shared" si="144"/>
        <v>2700</v>
      </c>
      <c r="R275" s="82">
        <f t="shared" si="145"/>
        <v>3422.52</v>
      </c>
      <c r="S275" s="82">
        <f t="shared" si="146"/>
        <v>3422.52</v>
      </c>
      <c r="T275" s="82">
        <f t="shared" si="147"/>
        <v>3422.52</v>
      </c>
    </row>
    <row r="276" spans="2:20" s="34" customFormat="1" ht="23.4">
      <c r="B276" s="87" t="s">
        <v>539</v>
      </c>
      <c r="C276" s="88" t="s">
        <v>540</v>
      </c>
      <c r="D276" s="89" t="s">
        <v>131</v>
      </c>
      <c r="E276" s="90">
        <v>1</v>
      </c>
      <c r="F276" s="90">
        <v>1</v>
      </c>
      <c r="G276" s="91"/>
      <c r="H276" s="91"/>
      <c r="I276" s="91"/>
      <c r="J276" s="91">
        <f>SUM(H276:I276)+'BM 010'!I273</f>
        <v>0</v>
      </c>
      <c r="K276" s="91">
        <f t="shared" si="124"/>
        <v>1</v>
      </c>
      <c r="L276" s="80">
        <v>750</v>
      </c>
      <c r="M276" s="81">
        <v>950.70008250000001</v>
      </c>
      <c r="N276" s="82">
        <f t="shared" si="142"/>
        <v>0</v>
      </c>
      <c r="O276" s="82">
        <f t="shared" si="143"/>
        <v>0</v>
      </c>
      <c r="P276" s="82">
        <f>O276+'BM 010'!O273</f>
        <v>0</v>
      </c>
      <c r="Q276" s="80">
        <f t="shared" si="144"/>
        <v>750</v>
      </c>
      <c r="R276" s="82">
        <f t="shared" si="145"/>
        <v>950.7</v>
      </c>
      <c r="S276" s="82">
        <f t="shared" si="146"/>
        <v>950.7</v>
      </c>
      <c r="T276" s="82">
        <f t="shared" si="147"/>
        <v>950.7</v>
      </c>
    </row>
    <row r="277" spans="2:20" s="34" customFormat="1" ht="34.799999999999997">
      <c r="B277" s="87" t="s">
        <v>541</v>
      </c>
      <c r="C277" s="88" t="s">
        <v>542</v>
      </c>
      <c r="D277" s="89" t="s">
        <v>131</v>
      </c>
      <c r="E277" s="90">
        <v>7</v>
      </c>
      <c r="F277" s="90">
        <v>7</v>
      </c>
      <c r="G277" s="91"/>
      <c r="H277" s="91"/>
      <c r="I277" s="91"/>
      <c r="J277" s="91">
        <f>SUM(H277:I277)+'BM 010'!I274</f>
        <v>0</v>
      </c>
      <c r="K277" s="91">
        <f t="shared" si="124"/>
        <v>7</v>
      </c>
      <c r="L277" s="80">
        <v>20</v>
      </c>
      <c r="M277" s="81">
        <v>25.352002200000001</v>
      </c>
      <c r="N277" s="82">
        <f t="shared" si="142"/>
        <v>0</v>
      </c>
      <c r="O277" s="82">
        <f t="shared" si="143"/>
        <v>0</v>
      </c>
      <c r="P277" s="82">
        <f>O277+'BM 010'!O274</f>
        <v>0</v>
      </c>
      <c r="Q277" s="80">
        <f t="shared" si="144"/>
        <v>140</v>
      </c>
      <c r="R277" s="82">
        <f t="shared" si="145"/>
        <v>177.46</v>
      </c>
      <c r="S277" s="82">
        <f t="shared" si="146"/>
        <v>177.46</v>
      </c>
      <c r="T277" s="82">
        <f t="shared" si="147"/>
        <v>177.46</v>
      </c>
    </row>
    <row r="278" spans="2:20" s="34" customFormat="1" ht="34.799999999999997">
      <c r="B278" s="87" t="s">
        <v>543</v>
      </c>
      <c r="C278" s="88" t="s">
        <v>544</v>
      </c>
      <c r="D278" s="89" t="s">
        <v>131</v>
      </c>
      <c r="E278" s="90">
        <v>17</v>
      </c>
      <c r="F278" s="90">
        <v>17</v>
      </c>
      <c r="G278" s="91"/>
      <c r="H278" s="91"/>
      <c r="I278" s="91"/>
      <c r="J278" s="91">
        <f>SUM(H278:I278)+'BM 010'!I275</f>
        <v>0</v>
      </c>
      <c r="K278" s="91">
        <f t="shared" si="124"/>
        <v>17</v>
      </c>
      <c r="L278" s="80">
        <v>20</v>
      </c>
      <c r="M278" s="81">
        <v>25.352002200000001</v>
      </c>
      <c r="N278" s="82">
        <f t="shared" si="142"/>
        <v>0</v>
      </c>
      <c r="O278" s="82">
        <f t="shared" si="143"/>
        <v>0</v>
      </c>
      <c r="P278" s="82">
        <f>O278+'BM 010'!O275</f>
        <v>0</v>
      </c>
      <c r="Q278" s="80">
        <f t="shared" si="144"/>
        <v>340</v>
      </c>
      <c r="R278" s="82">
        <f t="shared" si="145"/>
        <v>430.98</v>
      </c>
      <c r="S278" s="82">
        <f t="shared" si="146"/>
        <v>430.98</v>
      </c>
      <c r="T278" s="82">
        <f t="shared" si="147"/>
        <v>430.98</v>
      </c>
    </row>
    <row r="279" spans="2:20" s="34" customFormat="1" ht="34.799999999999997">
      <c r="B279" s="87" t="s">
        <v>545</v>
      </c>
      <c r="C279" s="88" t="s">
        <v>546</v>
      </c>
      <c r="D279" s="89" t="s">
        <v>131</v>
      </c>
      <c r="E279" s="90">
        <v>71</v>
      </c>
      <c r="F279" s="90">
        <v>71</v>
      </c>
      <c r="G279" s="91"/>
      <c r="H279" s="91"/>
      <c r="I279" s="91"/>
      <c r="J279" s="91">
        <f>SUM(H279:I279)+'BM 010'!I276</f>
        <v>0</v>
      </c>
      <c r="K279" s="91">
        <f t="shared" si="124"/>
        <v>71</v>
      </c>
      <c r="L279" s="80">
        <v>20</v>
      </c>
      <c r="M279" s="81">
        <v>25.352002200000001</v>
      </c>
      <c r="N279" s="82">
        <f t="shared" si="142"/>
        <v>0</v>
      </c>
      <c r="O279" s="82">
        <f t="shared" si="143"/>
        <v>0</v>
      </c>
      <c r="P279" s="82">
        <f>O279+'BM 010'!O276</f>
        <v>0</v>
      </c>
      <c r="Q279" s="80">
        <f t="shared" si="144"/>
        <v>1420</v>
      </c>
      <c r="R279" s="82">
        <f t="shared" si="145"/>
        <v>1799.99</v>
      </c>
      <c r="S279" s="82">
        <f t="shared" si="146"/>
        <v>1799.99</v>
      </c>
      <c r="T279" s="82">
        <f t="shared" si="147"/>
        <v>1799.99</v>
      </c>
    </row>
    <row r="280" spans="2:20" s="34" customFormat="1" ht="34.799999999999997">
      <c r="B280" s="87" t="s">
        <v>547</v>
      </c>
      <c r="C280" s="88" t="s">
        <v>548</v>
      </c>
      <c r="D280" s="89" t="s">
        <v>131</v>
      </c>
      <c r="E280" s="90">
        <v>179</v>
      </c>
      <c r="F280" s="90">
        <v>179</v>
      </c>
      <c r="G280" s="91"/>
      <c r="H280" s="91"/>
      <c r="I280" s="91"/>
      <c r="J280" s="91">
        <f>SUM(H280:I280)+'BM 010'!I277</f>
        <v>0</v>
      </c>
      <c r="K280" s="91">
        <f t="shared" si="124"/>
        <v>179</v>
      </c>
      <c r="L280" s="80">
        <v>20</v>
      </c>
      <c r="M280" s="81">
        <v>25.352002200000001</v>
      </c>
      <c r="N280" s="82">
        <f t="shared" si="142"/>
        <v>0</v>
      </c>
      <c r="O280" s="82">
        <f t="shared" si="143"/>
        <v>0</v>
      </c>
      <c r="P280" s="82">
        <f>O280+'BM 010'!O277</f>
        <v>0</v>
      </c>
      <c r="Q280" s="80">
        <f t="shared" si="144"/>
        <v>3580</v>
      </c>
      <c r="R280" s="82">
        <f t="shared" si="145"/>
        <v>4538</v>
      </c>
      <c r="S280" s="82">
        <f t="shared" si="146"/>
        <v>4538</v>
      </c>
      <c r="T280" s="82">
        <f t="shared" si="147"/>
        <v>4538</v>
      </c>
    </row>
    <row r="281" spans="2:20" s="34" customFormat="1" ht="34.799999999999997">
      <c r="B281" s="87" t="s">
        <v>549</v>
      </c>
      <c r="C281" s="88" t="s">
        <v>550</v>
      </c>
      <c r="D281" s="89" t="s">
        <v>131</v>
      </c>
      <c r="E281" s="90">
        <v>1</v>
      </c>
      <c r="F281" s="90">
        <v>1</v>
      </c>
      <c r="G281" s="91"/>
      <c r="H281" s="91"/>
      <c r="I281" s="91"/>
      <c r="J281" s="91">
        <f>SUM(H281:I281)+'BM 010'!I278</f>
        <v>0</v>
      </c>
      <c r="K281" s="91">
        <f t="shared" si="124"/>
        <v>1</v>
      </c>
      <c r="L281" s="80">
        <v>25</v>
      </c>
      <c r="M281" s="81">
        <v>31.690002750000001</v>
      </c>
      <c r="N281" s="82">
        <f t="shared" si="142"/>
        <v>0</v>
      </c>
      <c r="O281" s="82">
        <f t="shared" si="143"/>
        <v>0</v>
      </c>
      <c r="P281" s="82">
        <f>O281+'BM 010'!O278</f>
        <v>0</v>
      </c>
      <c r="Q281" s="80">
        <f t="shared" si="144"/>
        <v>25</v>
      </c>
      <c r="R281" s="82">
        <f t="shared" si="145"/>
        <v>31.69</v>
      </c>
      <c r="S281" s="82">
        <f t="shared" si="146"/>
        <v>31.69</v>
      </c>
      <c r="T281" s="82">
        <f t="shared" si="147"/>
        <v>31.69</v>
      </c>
    </row>
    <row r="282" spans="2:20" s="34" customFormat="1" ht="34.799999999999997">
      <c r="B282" s="87" t="s">
        <v>551</v>
      </c>
      <c r="C282" s="88" t="s">
        <v>552</v>
      </c>
      <c r="D282" s="89" t="s">
        <v>131</v>
      </c>
      <c r="E282" s="90">
        <v>8</v>
      </c>
      <c r="F282" s="90">
        <v>8</v>
      </c>
      <c r="G282" s="91"/>
      <c r="H282" s="91"/>
      <c r="I282" s="91"/>
      <c r="J282" s="91">
        <f>SUM(H282:I282)+'BM 010'!I279</f>
        <v>0</v>
      </c>
      <c r="K282" s="91">
        <f t="shared" si="124"/>
        <v>8</v>
      </c>
      <c r="L282" s="80">
        <v>25</v>
      </c>
      <c r="M282" s="81">
        <v>31.690002750000001</v>
      </c>
      <c r="N282" s="82">
        <f t="shared" si="142"/>
        <v>0</v>
      </c>
      <c r="O282" s="82">
        <f t="shared" si="143"/>
        <v>0</v>
      </c>
      <c r="P282" s="82">
        <f>O282+'BM 010'!O279</f>
        <v>0</v>
      </c>
      <c r="Q282" s="80">
        <f t="shared" si="144"/>
        <v>200</v>
      </c>
      <c r="R282" s="82">
        <f t="shared" si="145"/>
        <v>253.52</v>
      </c>
      <c r="S282" s="82">
        <f t="shared" si="146"/>
        <v>253.52</v>
      </c>
      <c r="T282" s="82">
        <f t="shared" si="147"/>
        <v>253.52</v>
      </c>
    </row>
    <row r="283" spans="2:20" s="34" customFormat="1" ht="34.799999999999997">
      <c r="B283" s="87" t="s">
        <v>553</v>
      </c>
      <c r="C283" s="88" t="s">
        <v>554</v>
      </c>
      <c r="D283" s="89" t="s">
        <v>131</v>
      </c>
      <c r="E283" s="90">
        <v>14</v>
      </c>
      <c r="F283" s="90">
        <v>14</v>
      </c>
      <c r="G283" s="91"/>
      <c r="H283" s="91"/>
      <c r="I283" s="91"/>
      <c r="J283" s="91">
        <f>SUM(H283:I283)+'BM 010'!I280</f>
        <v>0</v>
      </c>
      <c r="K283" s="91">
        <f t="shared" si="124"/>
        <v>14</v>
      </c>
      <c r="L283" s="80">
        <v>25</v>
      </c>
      <c r="M283" s="81">
        <v>31.690002750000001</v>
      </c>
      <c r="N283" s="82">
        <f t="shared" si="142"/>
        <v>0</v>
      </c>
      <c r="O283" s="82">
        <f t="shared" si="143"/>
        <v>0</v>
      </c>
      <c r="P283" s="82">
        <f>O283+'BM 010'!O280</f>
        <v>0</v>
      </c>
      <c r="Q283" s="80">
        <f t="shared" si="144"/>
        <v>350</v>
      </c>
      <c r="R283" s="82">
        <f t="shared" si="145"/>
        <v>443.66</v>
      </c>
      <c r="S283" s="82">
        <f t="shared" si="146"/>
        <v>443.66</v>
      </c>
      <c r="T283" s="82">
        <f t="shared" si="147"/>
        <v>443.66</v>
      </c>
    </row>
    <row r="284" spans="2:20" s="34" customFormat="1" ht="34.799999999999997">
      <c r="B284" s="87" t="s">
        <v>555</v>
      </c>
      <c r="C284" s="88" t="s">
        <v>556</v>
      </c>
      <c r="D284" s="89" t="s">
        <v>131</v>
      </c>
      <c r="E284" s="90">
        <v>5</v>
      </c>
      <c r="F284" s="90">
        <v>5</v>
      </c>
      <c r="G284" s="91"/>
      <c r="H284" s="91"/>
      <c r="I284" s="91"/>
      <c r="J284" s="91">
        <f>SUM(H284:I284)+'BM 010'!I281</f>
        <v>0</v>
      </c>
      <c r="K284" s="91">
        <f t="shared" si="124"/>
        <v>5</v>
      </c>
      <c r="L284" s="80">
        <v>30</v>
      </c>
      <c r="M284" s="81">
        <v>38.028003300000002</v>
      </c>
      <c r="N284" s="82">
        <f t="shared" si="142"/>
        <v>0</v>
      </c>
      <c r="O284" s="82">
        <f t="shared" si="143"/>
        <v>0</v>
      </c>
      <c r="P284" s="82">
        <f>O284+'BM 010'!O281</f>
        <v>0</v>
      </c>
      <c r="Q284" s="80">
        <f t="shared" si="144"/>
        <v>150</v>
      </c>
      <c r="R284" s="82">
        <f t="shared" si="145"/>
        <v>190.14</v>
      </c>
      <c r="S284" s="82">
        <f t="shared" si="146"/>
        <v>190.14</v>
      </c>
      <c r="T284" s="82">
        <f t="shared" si="147"/>
        <v>190.14</v>
      </c>
    </row>
    <row r="285" spans="2:20" s="34" customFormat="1" ht="34.799999999999997">
      <c r="B285" s="87" t="s">
        <v>557</v>
      </c>
      <c r="C285" s="88" t="s">
        <v>558</v>
      </c>
      <c r="D285" s="89" t="s">
        <v>131</v>
      </c>
      <c r="E285" s="90">
        <v>4</v>
      </c>
      <c r="F285" s="90">
        <v>4</v>
      </c>
      <c r="G285" s="91"/>
      <c r="H285" s="91"/>
      <c r="I285" s="91"/>
      <c r="J285" s="91">
        <f>SUM(H285:I285)+'BM 010'!I282</f>
        <v>0</v>
      </c>
      <c r="K285" s="91">
        <f t="shared" si="124"/>
        <v>4</v>
      </c>
      <c r="L285" s="80">
        <v>40</v>
      </c>
      <c r="M285" s="81">
        <v>50.704004400000002</v>
      </c>
      <c r="N285" s="82">
        <f t="shared" si="142"/>
        <v>0</v>
      </c>
      <c r="O285" s="82">
        <f t="shared" si="143"/>
        <v>0</v>
      </c>
      <c r="P285" s="82">
        <f>O285+'BM 010'!O282</f>
        <v>0</v>
      </c>
      <c r="Q285" s="80">
        <f t="shared" si="144"/>
        <v>160</v>
      </c>
      <c r="R285" s="82">
        <f t="shared" si="145"/>
        <v>202.81</v>
      </c>
      <c r="S285" s="82">
        <f t="shared" si="146"/>
        <v>202.81</v>
      </c>
      <c r="T285" s="82">
        <f t="shared" si="147"/>
        <v>202.81</v>
      </c>
    </row>
    <row r="286" spans="2:20" s="34" customFormat="1" ht="34.799999999999997">
      <c r="B286" s="87" t="s">
        <v>559</v>
      </c>
      <c r="C286" s="88" t="s">
        <v>560</v>
      </c>
      <c r="D286" s="89" t="s">
        <v>131</v>
      </c>
      <c r="E286" s="90">
        <v>4</v>
      </c>
      <c r="F286" s="90">
        <v>4</v>
      </c>
      <c r="G286" s="91"/>
      <c r="H286" s="91"/>
      <c r="I286" s="91"/>
      <c r="J286" s="91">
        <f>SUM(H286:I286)+'BM 010'!I283</f>
        <v>0</v>
      </c>
      <c r="K286" s="91">
        <f t="shared" ref="K286:K349" si="148">F286-J286</f>
        <v>4</v>
      </c>
      <c r="L286" s="80">
        <v>50</v>
      </c>
      <c r="M286" s="81">
        <v>63.380005500000003</v>
      </c>
      <c r="N286" s="82">
        <f t="shared" si="142"/>
        <v>0</v>
      </c>
      <c r="O286" s="82">
        <f t="shared" si="143"/>
        <v>0</v>
      </c>
      <c r="P286" s="82">
        <f>O286+'BM 010'!O283</f>
        <v>0</v>
      </c>
      <c r="Q286" s="80">
        <f t="shared" si="144"/>
        <v>200</v>
      </c>
      <c r="R286" s="82">
        <f t="shared" si="145"/>
        <v>253.52</v>
      </c>
      <c r="S286" s="82">
        <f t="shared" si="146"/>
        <v>253.52</v>
      </c>
      <c r="T286" s="82">
        <f t="shared" si="147"/>
        <v>253.52</v>
      </c>
    </row>
    <row r="287" spans="2:20" s="34" customFormat="1" ht="34.799999999999997">
      <c r="B287" s="87" t="s">
        <v>561</v>
      </c>
      <c r="C287" s="88" t="s">
        <v>562</v>
      </c>
      <c r="D287" s="89" t="s">
        <v>131</v>
      </c>
      <c r="E287" s="90">
        <v>1</v>
      </c>
      <c r="F287" s="90">
        <v>1</v>
      </c>
      <c r="G287" s="91"/>
      <c r="H287" s="91"/>
      <c r="I287" s="91"/>
      <c r="J287" s="91">
        <f>SUM(H287:I287)+'BM 010'!I284</f>
        <v>0</v>
      </c>
      <c r="K287" s="91">
        <f t="shared" si="148"/>
        <v>1</v>
      </c>
      <c r="L287" s="80">
        <v>80</v>
      </c>
      <c r="M287" s="81">
        <v>101.4080088</v>
      </c>
      <c r="N287" s="82">
        <f t="shared" si="142"/>
        <v>0</v>
      </c>
      <c r="O287" s="82">
        <f t="shared" si="143"/>
        <v>0</v>
      </c>
      <c r="P287" s="82">
        <f>O287+'BM 010'!O284</f>
        <v>0</v>
      </c>
      <c r="Q287" s="80">
        <f t="shared" si="144"/>
        <v>80</v>
      </c>
      <c r="R287" s="82">
        <f t="shared" si="145"/>
        <v>101.4</v>
      </c>
      <c r="S287" s="82">
        <f t="shared" si="146"/>
        <v>101.4</v>
      </c>
      <c r="T287" s="82">
        <f t="shared" si="147"/>
        <v>101.4</v>
      </c>
    </row>
    <row r="288" spans="2:20" s="34" customFormat="1" ht="34.799999999999997">
      <c r="B288" s="87" t="s">
        <v>563</v>
      </c>
      <c r="C288" s="88" t="s">
        <v>564</v>
      </c>
      <c r="D288" s="89" t="s">
        <v>131</v>
      </c>
      <c r="E288" s="90">
        <v>9</v>
      </c>
      <c r="F288" s="90">
        <v>9</v>
      </c>
      <c r="G288" s="91"/>
      <c r="H288" s="91"/>
      <c r="I288" s="91"/>
      <c r="J288" s="91">
        <f>SUM(H288:I288)+'BM 010'!I285</f>
        <v>0</v>
      </c>
      <c r="K288" s="91">
        <f t="shared" si="148"/>
        <v>9</v>
      </c>
      <c r="L288" s="80">
        <v>89</v>
      </c>
      <c r="M288" s="81">
        <v>112.81640978999999</v>
      </c>
      <c r="N288" s="82">
        <f t="shared" si="142"/>
        <v>0</v>
      </c>
      <c r="O288" s="82">
        <f t="shared" si="143"/>
        <v>0</v>
      </c>
      <c r="P288" s="82">
        <f>O288+'BM 010'!O285</f>
        <v>0</v>
      </c>
      <c r="Q288" s="80">
        <f t="shared" si="144"/>
        <v>801</v>
      </c>
      <c r="R288" s="82">
        <f t="shared" si="145"/>
        <v>1015.34</v>
      </c>
      <c r="S288" s="82">
        <f t="shared" si="146"/>
        <v>1015.34</v>
      </c>
      <c r="T288" s="82">
        <f t="shared" si="147"/>
        <v>1015.34</v>
      </c>
    </row>
    <row r="289" spans="2:20" s="34" customFormat="1" ht="34.799999999999997">
      <c r="B289" s="87" t="s">
        <v>565</v>
      </c>
      <c r="C289" s="88" t="s">
        <v>566</v>
      </c>
      <c r="D289" s="89" t="s">
        <v>131</v>
      </c>
      <c r="E289" s="90">
        <v>4</v>
      </c>
      <c r="F289" s="90">
        <v>4</v>
      </c>
      <c r="G289" s="91"/>
      <c r="H289" s="91"/>
      <c r="I289" s="91"/>
      <c r="J289" s="91">
        <f>SUM(H289:I289)+'BM 010'!I286</f>
        <v>0</v>
      </c>
      <c r="K289" s="91">
        <f t="shared" si="148"/>
        <v>4</v>
      </c>
      <c r="L289" s="80">
        <v>89</v>
      </c>
      <c r="M289" s="81">
        <v>112.81640978999999</v>
      </c>
      <c r="N289" s="82">
        <f t="shared" si="142"/>
        <v>0</v>
      </c>
      <c r="O289" s="82">
        <f t="shared" si="143"/>
        <v>0</v>
      </c>
      <c r="P289" s="82">
        <f>O289+'BM 010'!O286</f>
        <v>0</v>
      </c>
      <c r="Q289" s="80">
        <f t="shared" si="144"/>
        <v>356</v>
      </c>
      <c r="R289" s="82">
        <f t="shared" si="145"/>
        <v>451.26</v>
      </c>
      <c r="S289" s="82">
        <f t="shared" si="146"/>
        <v>451.26</v>
      </c>
      <c r="T289" s="82">
        <f t="shared" si="147"/>
        <v>451.26</v>
      </c>
    </row>
    <row r="290" spans="2:20" s="34" customFormat="1" ht="34.799999999999997">
      <c r="B290" s="87" t="s">
        <v>567</v>
      </c>
      <c r="C290" s="88" t="s">
        <v>568</v>
      </c>
      <c r="D290" s="89" t="s">
        <v>131</v>
      </c>
      <c r="E290" s="90">
        <v>12</v>
      </c>
      <c r="F290" s="90">
        <v>12</v>
      </c>
      <c r="G290" s="91"/>
      <c r="H290" s="91"/>
      <c r="I290" s="91"/>
      <c r="J290" s="91">
        <f>SUM(H290:I290)+'BM 010'!I287</f>
        <v>0</v>
      </c>
      <c r="K290" s="91">
        <f t="shared" si="148"/>
        <v>12</v>
      </c>
      <c r="L290" s="80">
        <v>89</v>
      </c>
      <c r="M290" s="81">
        <v>112.81640978999999</v>
      </c>
      <c r="N290" s="82">
        <f t="shared" si="142"/>
        <v>0</v>
      </c>
      <c r="O290" s="82">
        <f t="shared" si="143"/>
        <v>0</v>
      </c>
      <c r="P290" s="82">
        <f>O290+'BM 010'!O287</f>
        <v>0</v>
      </c>
      <c r="Q290" s="80">
        <f t="shared" si="144"/>
        <v>1068</v>
      </c>
      <c r="R290" s="82">
        <f t="shared" si="145"/>
        <v>1353.79</v>
      </c>
      <c r="S290" s="82">
        <f t="shared" si="146"/>
        <v>1353.79</v>
      </c>
      <c r="T290" s="82">
        <f t="shared" si="147"/>
        <v>1353.79</v>
      </c>
    </row>
    <row r="291" spans="2:20" s="34" customFormat="1" ht="34.799999999999997">
      <c r="B291" s="87" t="s">
        <v>569</v>
      </c>
      <c r="C291" s="88" t="s">
        <v>570</v>
      </c>
      <c r="D291" s="89" t="s">
        <v>131</v>
      </c>
      <c r="E291" s="90">
        <v>4</v>
      </c>
      <c r="F291" s="90">
        <v>4</v>
      </c>
      <c r="G291" s="91"/>
      <c r="H291" s="91"/>
      <c r="I291" s="91"/>
      <c r="J291" s="91">
        <f>SUM(H291:I291)+'BM 010'!I288</f>
        <v>0</v>
      </c>
      <c r="K291" s="91">
        <f t="shared" si="148"/>
        <v>4</v>
      </c>
      <c r="L291" s="80">
        <v>89</v>
      </c>
      <c r="M291" s="81">
        <v>112.81640978999999</v>
      </c>
      <c r="N291" s="82">
        <f t="shared" si="142"/>
        <v>0</v>
      </c>
      <c r="O291" s="82">
        <f t="shared" si="143"/>
        <v>0</v>
      </c>
      <c r="P291" s="82">
        <f>O291+'BM 010'!O288</f>
        <v>0</v>
      </c>
      <c r="Q291" s="80">
        <f t="shared" si="144"/>
        <v>356</v>
      </c>
      <c r="R291" s="82">
        <f t="shared" si="145"/>
        <v>451.26</v>
      </c>
      <c r="S291" s="82">
        <f t="shared" si="146"/>
        <v>451.26</v>
      </c>
      <c r="T291" s="82">
        <f t="shared" si="147"/>
        <v>451.26</v>
      </c>
    </row>
    <row r="292" spans="2:20" s="34" customFormat="1" ht="34.799999999999997">
      <c r="B292" s="87" t="s">
        <v>571</v>
      </c>
      <c r="C292" s="88" t="s">
        <v>572</v>
      </c>
      <c r="D292" s="89" t="s">
        <v>131</v>
      </c>
      <c r="E292" s="90">
        <v>1</v>
      </c>
      <c r="F292" s="90">
        <v>1</v>
      </c>
      <c r="G292" s="91"/>
      <c r="H292" s="91"/>
      <c r="I292" s="91"/>
      <c r="J292" s="91">
        <f>SUM(H292:I292)+'BM 010'!I289</f>
        <v>0</v>
      </c>
      <c r="K292" s="91">
        <f t="shared" si="148"/>
        <v>1</v>
      </c>
      <c r="L292" s="80">
        <v>110</v>
      </c>
      <c r="M292" s="81">
        <v>139.4360121</v>
      </c>
      <c r="N292" s="82">
        <f t="shared" si="142"/>
        <v>0</v>
      </c>
      <c r="O292" s="82">
        <f t="shared" si="143"/>
        <v>0</v>
      </c>
      <c r="P292" s="82">
        <f>O292+'BM 010'!O289</f>
        <v>0</v>
      </c>
      <c r="Q292" s="80">
        <f t="shared" si="144"/>
        <v>110</v>
      </c>
      <c r="R292" s="82">
        <f t="shared" si="145"/>
        <v>139.43</v>
      </c>
      <c r="S292" s="82">
        <f t="shared" si="146"/>
        <v>139.43</v>
      </c>
      <c r="T292" s="82">
        <f t="shared" si="147"/>
        <v>139.43</v>
      </c>
    </row>
    <row r="293" spans="2:20" s="34" customFormat="1" ht="34.799999999999997">
      <c r="B293" s="87" t="s">
        <v>573</v>
      </c>
      <c r="C293" s="88" t="s">
        <v>574</v>
      </c>
      <c r="D293" s="89" t="s">
        <v>131</v>
      </c>
      <c r="E293" s="90">
        <v>1</v>
      </c>
      <c r="F293" s="90">
        <v>1</v>
      </c>
      <c r="G293" s="91"/>
      <c r="H293" s="91"/>
      <c r="I293" s="91"/>
      <c r="J293" s="91">
        <f>SUM(H293:I293)+'BM 010'!I290</f>
        <v>0</v>
      </c>
      <c r="K293" s="91">
        <f t="shared" si="148"/>
        <v>1</v>
      </c>
      <c r="L293" s="80">
        <v>115</v>
      </c>
      <c r="M293" s="81">
        <v>145.77401265</v>
      </c>
      <c r="N293" s="82">
        <f t="shared" si="142"/>
        <v>0</v>
      </c>
      <c r="O293" s="82">
        <f t="shared" si="143"/>
        <v>0</v>
      </c>
      <c r="P293" s="82">
        <f>O293+'BM 010'!O290</f>
        <v>0</v>
      </c>
      <c r="Q293" s="80">
        <f t="shared" si="144"/>
        <v>115</v>
      </c>
      <c r="R293" s="82">
        <f t="shared" si="145"/>
        <v>145.77000000000001</v>
      </c>
      <c r="S293" s="82">
        <f t="shared" si="146"/>
        <v>145.77000000000001</v>
      </c>
      <c r="T293" s="82">
        <f t="shared" si="147"/>
        <v>145.77000000000001</v>
      </c>
    </row>
    <row r="294" spans="2:20" s="34" customFormat="1" ht="13.2">
      <c r="B294" s="66" t="s">
        <v>575</v>
      </c>
      <c r="C294" s="67" t="s">
        <v>576</v>
      </c>
      <c r="D294" s="68"/>
      <c r="E294" s="69"/>
      <c r="F294" s="69"/>
      <c r="G294" s="70"/>
      <c r="H294" s="70"/>
      <c r="I294" s="70"/>
      <c r="J294" s="70">
        <f>SUM(H294:I294)+'BM 010'!I291</f>
        <v>0</v>
      </c>
      <c r="K294" s="70">
        <f t="shared" si="148"/>
        <v>0</v>
      </c>
      <c r="L294" s="71"/>
      <c r="M294" s="71">
        <v>0</v>
      </c>
      <c r="N294" s="73">
        <f t="shared" ref="N294:T294" si="149">SUM(N295:N298)</f>
        <v>0</v>
      </c>
      <c r="O294" s="73">
        <f t="shared" si="149"/>
        <v>0</v>
      </c>
      <c r="P294" s="73">
        <f t="shared" si="149"/>
        <v>0</v>
      </c>
      <c r="Q294" s="73">
        <f t="shared" si="149"/>
        <v>100820.55</v>
      </c>
      <c r="R294" s="73">
        <f t="shared" si="149"/>
        <v>127800.12</v>
      </c>
      <c r="S294" s="73">
        <f t="shared" si="149"/>
        <v>127800.12</v>
      </c>
      <c r="T294" s="73">
        <f t="shared" si="149"/>
        <v>127800.12</v>
      </c>
    </row>
    <row r="295" spans="2:20" s="34" customFormat="1" ht="34.799999999999997">
      <c r="B295" s="87" t="s">
        <v>577</v>
      </c>
      <c r="C295" s="88" t="s">
        <v>578</v>
      </c>
      <c r="D295" s="89" t="s">
        <v>131</v>
      </c>
      <c r="E295" s="90">
        <v>55</v>
      </c>
      <c r="F295" s="90">
        <v>55</v>
      </c>
      <c r="G295" s="91"/>
      <c r="H295" s="91"/>
      <c r="I295" s="91"/>
      <c r="J295" s="91">
        <f>SUM(H295:I295)+'BM 010'!I292</f>
        <v>0</v>
      </c>
      <c r="K295" s="91">
        <f t="shared" si="148"/>
        <v>55</v>
      </c>
      <c r="L295" s="80">
        <v>164.81</v>
      </c>
      <c r="M295" s="81">
        <v>208.91317412910001</v>
      </c>
      <c r="N295" s="82">
        <f>TRUNC(G295*M295,2)</f>
        <v>0</v>
      </c>
      <c r="O295" s="82">
        <f>TRUNC(H295*M295,2)</f>
        <v>0</v>
      </c>
      <c r="P295" s="82">
        <f>O295+'BM 010'!O292</f>
        <v>0</v>
      </c>
      <c r="Q295" s="80">
        <f>E295*L295</f>
        <v>9064.5499999999993</v>
      </c>
      <c r="R295" s="82">
        <f>TRUNC(E295*M295,2)</f>
        <v>11490.22</v>
      </c>
      <c r="S295" s="82">
        <f>TRUNC(F295*$M295,2)</f>
        <v>11490.22</v>
      </c>
      <c r="T295" s="82">
        <f>S295-P295</f>
        <v>11490.22</v>
      </c>
    </row>
    <row r="296" spans="2:20" s="34" customFormat="1" ht="23.4">
      <c r="B296" s="87" t="s">
        <v>579</v>
      </c>
      <c r="C296" s="88" t="s">
        <v>580</v>
      </c>
      <c r="D296" s="89" t="s">
        <v>131</v>
      </c>
      <c r="E296" s="90">
        <v>887</v>
      </c>
      <c r="F296" s="90">
        <v>887</v>
      </c>
      <c r="G296" s="91"/>
      <c r="H296" s="91"/>
      <c r="I296" s="91"/>
      <c r="J296" s="91">
        <f>SUM(H296:I296)+'BM 010'!I293</f>
        <v>0</v>
      </c>
      <c r="K296" s="91">
        <f t="shared" si="148"/>
        <v>887</v>
      </c>
      <c r="L296" s="80">
        <v>98</v>
      </c>
      <c r="M296" s="81">
        <v>124.22481078</v>
      </c>
      <c r="N296" s="82">
        <f>TRUNC(G296*M296,2)</f>
        <v>0</v>
      </c>
      <c r="O296" s="82">
        <f>TRUNC(H296*M296,2)</f>
        <v>0</v>
      </c>
      <c r="P296" s="82">
        <f>O296+'BM 010'!O293</f>
        <v>0</v>
      </c>
      <c r="Q296" s="80">
        <f>E296*L296</f>
        <v>86926</v>
      </c>
      <c r="R296" s="82">
        <f>TRUNC(E296*M296,2)</f>
        <v>110187.4</v>
      </c>
      <c r="S296" s="82">
        <f>TRUNC(F296*$M296,2)</f>
        <v>110187.4</v>
      </c>
      <c r="T296" s="82">
        <f>S296-P296</f>
        <v>110187.4</v>
      </c>
    </row>
    <row r="297" spans="2:20" s="34" customFormat="1" ht="23.4">
      <c r="B297" s="87" t="s">
        <v>581</v>
      </c>
      <c r="C297" s="88" t="s">
        <v>582</v>
      </c>
      <c r="D297" s="89" t="s">
        <v>131</v>
      </c>
      <c r="E297" s="90">
        <v>15</v>
      </c>
      <c r="F297" s="90">
        <v>15</v>
      </c>
      <c r="G297" s="91"/>
      <c r="H297" s="91"/>
      <c r="I297" s="91"/>
      <c r="J297" s="91">
        <f>SUM(H297:I297)+'BM 010'!I294</f>
        <v>0</v>
      </c>
      <c r="K297" s="91">
        <f t="shared" si="148"/>
        <v>15</v>
      </c>
      <c r="L297" s="80">
        <v>130</v>
      </c>
      <c r="M297" s="81">
        <v>164.78801429999999</v>
      </c>
      <c r="N297" s="82">
        <f>TRUNC(G297*M297,2)</f>
        <v>0</v>
      </c>
      <c r="O297" s="82">
        <f>TRUNC(H297*M297,2)</f>
        <v>0</v>
      </c>
      <c r="P297" s="82">
        <f>O297+'BM 010'!O294</f>
        <v>0</v>
      </c>
      <c r="Q297" s="80">
        <f>E297*L297</f>
        <v>1950</v>
      </c>
      <c r="R297" s="82">
        <f>TRUNC(E297*M297,2)</f>
        <v>2471.8200000000002</v>
      </c>
      <c r="S297" s="82">
        <f>TRUNC(F297*$M297,2)</f>
        <v>2471.8200000000002</v>
      </c>
      <c r="T297" s="82">
        <f>S297-P297</f>
        <v>2471.8200000000002</v>
      </c>
    </row>
    <row r="298" spans="2:20" s="34" customFormat="1" ht="23.4">
      <c r="B298" s="87" t="s">
        <v>583</v>
      </c>
      <c r="C298" s="88" t="s">
        <v>584</v>
      </c>
      <c r="D298" s="89" t="s">
        <v>131</v>
      </c>
      <c r="E298" s="90">
        <v>32</v>
      </c>
      <c r="F298" s="90">
        <v>32</v>
      </c>
      <c r="G298" s="91"/>
      <c r="H298" s="91"/>
      <c r="I298" s="91"/>
      <c r="J298" s="91">
        <f>SUM(H298:I298)+'BM 010'!I295</f>
        <v>0</v>
      </c>
      <c r="K298" s="91">
        <f t="shared" si="148"/>
        <v>32</v>
      </c>
      <c r="L298" s="80">
        <v>90</v>
      </c>
      <c r="M298" s="81">
        <v>114.0840099</v>
      </c>
      <c r="N298" s="82">
        <f>TRUNC(G298*M298,2)</f>
        <v>0</v>
      </c>
      <c r="O298" s="82">
        <f>TRUNC(H298*M298,2)</f>
        <v>0</v>
      </c>
      <c r="P298" s="82">
        <f>O298+'BM 010'!O295</f>
        <v>0</v>
      </c>
      <c r="Q298" s="80">
        <f>E298*L298</f>
        <v>2880</v>
      </c>
      <c r="R298" s="82">
        <f>TRUNC(E298*M298,2)</f>
        <v>3650.68</v>
      </c>
      <c r="S298" s="82">
        <f>TRUNC(F298*$M298,2)</f>
        <v>3650.68</v>
      </c>
      <c r="T298" s="82">
        <f>S298-P298</f>
        <v>3650.68</v>
      </c>
    </row>
    <row r="299" spans="2:20" s="34" customFormat="1" ht="13.2">
      <c r="B299" s="66" t="s">
        <v>585</v>
      </c>
      <c r="C299" s="67" t="s">
        <v>586</v>
      </c>
      <c r="D299" s="68"/>
      <c r="E299" s="69"/>
      <c r="F299" s="69"/>
      <c r="G299" s="70"/>
      <c r="H299" s="70"/>
      <c r="I299" s="70"/>
      <c r="J299" s="70">
        <f>SUM(H299:I299)+'BM 010'!I296</f>
        <v>0</v>
      </c>
      <c r="K299" s="70">
        <f t="shared" si="148"/>
        <v>0</v>
      </c>
      <c r="L299" s="71"/>
      <c r="M299" s="71">
        <v>0</v>
      </c>
      <c r="N299" s="73">
        <f t="shared" ref="N299:T299" si="150">SUM(N300:N309)</f>
        <v>0</v>
      </c>
      <c r="O299" s="73">
        <f t="shared" si="150"/>
        <v>0</v>
      </c>
      <c r="P299" s="73">
        <f t="shared" si="150"/>
        <v>0</v>
      </c>
      <c r="Q299" s="73">
        <f t="shared" si="150"/>
        <v>16787.3</v>
      </c>
      <c r="R299" s="73">
        <f t="shared" si="150"/>
        <v>21279.56</v>
      </c>
      <c r="S299" s="73">
        <f t="shared" si="150"/>
        <v>21279.56</v>
      </c>
      <c r="T299" s="73">
        <f t="shared" si="150"/>
        <v>21279.56</v>
      </c>
    </row>
    <row r="300" spans="2:20" s="34" customFormat="1" ht="46.2">
      <c r="B300" s="87" t="s">
        <v>587</v>
      </c>
      <c r="C300" s="88" t="s">
        <v>588</v>
      </c>
      <c r="D300" s="89" t="s">
        <v>131</v>
      </c>
      <c r="E300" s="90">
        <v>79</v>
      </c>
      <c r="F300" s="90">
        <v>79</v>
      </c>
      <c r="G300" s="91"/>
      <c r="H300" s="91"/>
      <c r="I300" s="91"/>
      <c r="J300" s="91">
        <f>SUM(H300:I300)+'BM 010'!I297</f>
        <v>0</v>
      </c>
      <c r="K300" s="91">
        <f t="shared" si="148"/>
        <v>79</v>
      </c>
      <c r="L300" s="80">
        <v>32</v>
      </c>
      <c r="M300" s="81">
        <v>40.563203520000002</v>
      </c>
      <c r="N300" s="82">
        <f t="shared" ref="N300:N309" si="151">TRUNC(G300*M300,2)</f>
        <v>0</v>
      </c>
      <c r="O300" s="82">
        <f t="shared" ref="O300:O309" si="152">TRUNC(H300*M300,2)</f>
        <v>0</v>
      </c>
      <c r="P300" s="82">
        <f>O300+'BM 010'!O297</f>
        <v>0</v>
      </c>
      <c r="Q300" s="80">
        <f t="shared" ref="Q300:Q309" si="153">E300*L300</f>
        <v>2528</v>
      </c>
      <c r="R300" s="82">
        <f t="shared" ref="R300:R309" si="154">TRUNC(E300*M300,2)</f>
        <v>3204.49</v>
      </c>
      <c r="S300" s="82">
        <f t="shared" ref="S300:S309" si="155">TRUNC(F300*$M300,2)</f>
        <v>3204.49</v>
      </c>
      <c r="T300" s="82">
        <f t="shared" ref="T300:T309" si="156">S300-P300</f>
        <v>3204.49</v>
      </c>
    </row>
    <row r="301" spans="2:20" s="34" customFormat="1" ht="46.2">
      <c r="B301" s="87" t="s">
        <v>589</v>
      </c>
      <c r="C301" s="88" t="s">
        <v>590</v>
      </c>
      <c r="D301" s="89" t="s">
        <v>131</v>
      </c>
      <c r="E301" s="90">
        <v>73</v>
      </c>
      <c r="F301" s="90">
        <v>73</v>
      </c>
      <c r="G301" s="91"/>
      <c r="H301" s="91"/>
      <c r="I301" s="91"/>
      <c r="J301" s="91">
        <f>SUM(H301:I301)+'BM 010'!I298</f>
        <v>0</v>
      </c>
      <c r="K301" s="91">
        <f t="shared" si="148"/>
        <v>73</v>
      </c>
      <c r="L301" s="80">
        <v>38</v>
      </c>
      <c r="M301" s="81">
        <v>48.168804180000002</v>
      </c>
      <c r="N301" s="82">
        <f t="shared" si="151"/>
        <v>0</v>
      </c>
      <c r="O301" s="82">
        <f t="shared" si="152"/>
        <v>0</v>
      </c>
      <c r="P301" s="82">
        <f>O301+'BM 010'!O298</f>
        <v>0</v>
      </c>
      <c r="Q301" s="80">
        <f t="shared" si="153"/>
        <v>2774</v>
      </c>
      <c r="R301" s="82">
        <f t="shared" si="154"/>
        <v>3516.32</v>
      </c>
      <c r="S301" s="82">
        <f t="shared" si="155"/>
        <v>3516.32</v>
      </c>
      <c r="T301" s="82">
        <f t="shared" si="156"/>
        <v>3516.32</v>
      </c>
    </row>
    <row r="302" spans="2:20" s="34" customFormat="1" ht="46.2">
      <c r="B302" s="87" t="s">
        <v>591</v>
      </c>
      <c r="C302" s="88" t="s">
        <v>592</v>
      </c>
      <c r="D302" s="89" t="s">
        <v>131</v>
      </c>
      <c r="E302" s="90">
        <v>34</v>
      </c>
      <c r="F302" s="90">
        <v>34</v>
      </c>
      <c r="G302" s="91"/>
      <c r="H302" s="91"/>
      <c r="I302" s="91"/>
      <c r="J302" s="91">
        <f>SUM(H302:I302)+'BM 010'!I299</f>
        <v>0</v>
      </c>
      <c r="K302" s="91">
        <f t="shared" si="148"/>
        <v>34</v>
      </c>
      <c r="L302" s="80">
        <v>58.95</v>
      </c>
      <c r="M302" s="81">
        <v>74.725026484500006</v>
      </c>
      <c r="N302" s="82">
        <f t="shared" si="151"/>
        <v>0</v>
      </c>
      <c r="O302" s="82">
        <f t="shared" si="152"/>
        <v>0</v>
      </c>
      <c r="P302" s="82">
        <f>O302+'BM 010'!O299</f>
        <v>0</v>
      </c>
      <c r="Q302" s="80">
        <f t="shared" si="153"/>
        <v>2004.3000000000002</v>
      </c>
      <c r="R302" s="82">
        <f t="shared" si="154"/>
        <v>2540.65</v>
      </c>
      <c r="S302" s="82">
        <f t="shared" si="155"/>
        <v>2540.65</v>
      </c>
      <c r="T302" s="82">
        <f t="shared" si="156"/>
        <v>2540.65</v>
      </c>
    </row>
    <row r="303" spans="2:20" s="34" customFormat="1" ht="46.2">
      <c r="B303" s="87" t="s">
        <v>593</v>
      </c>
      <c r="C303" s="88" t="s">
        <v>594</v>
      </c>
      <c r="D303" s="89" t="s">
        <v>131</v>
      </c>
      <c r="E303" s="90">
        <v>55</v>
      </c>
      <c r="F303" s="90">
        <v>55</v>
      </c>
      <c r="G303" s="91"/>
      <c r="H303" s="91"/>
      <c r="I303" s="91"/>
      <c r="J303" s="91">
        <f>SUM(H303:I303)+'BM 010'!I300</f>
        <v>0</v>
      </c>
      <c r="K303" s="91">
        <f t="shared" si="148"/>
        <v>55</v>
      </c>
      <c r="L303" s="80">
        <v>50</v>
      </c>
      <c r="M303" s="81">
        <v>63.380005500000003</v>
      </c>
      <c r="N303" s="82">
        <f t="shared" si="151"/>
        <v>0</v>
      </c>
      <c r="O303" s="82">
        <f t="shared" si="152"/>
        <v>0</v>
      </c>
      <c r="P303" s="82">
        <f>O303+'BM 010'!O300</f>
        <v>0</v>
      </c>
      <c r="Q303" s="80">
        <f t="shared" si="153"/>
        <v>2750</v>
      </c>
      <c r="R303" s="82">
        <f t="shared" si="154"/>
        <v>3485.9</v>
      </c>
      <c r="S303" s="82">
        <f t="shared" si="155"/>
        <v>3485.9</v>
      </c>
      <c r="T303" s="82">
        <f t="shared" si="156"/>
        <v>3485.9</v>
      </c>
    </row>
    <row r="304" spans="2:20" s="34" customFormat="1" ht="46.2">
      <c r="B304" s="87" t="s">
        <v>595</v>
      </c>
      <c r="C304" s="88" t="s">
        <v>596</v>
      </c>
      <c r="D304" s="89" t="s">
        <v>131</v>
      </c>
      <c r="E304" s="90">
        <v>41</v>
      </c>
      <c r="F304" s="90">
        <v>41</v>
      </c>
      <c r="G304" s="91"/>
      <c r="H304" s="91"/>
      <c r="I304" s="91"/>
      <c r="J304" s="91">
        <f>SUM(H304:I304)+'BM 010'!I301</f>
        <v>0</v>
      </c>
      <c r="K304" s="91">
        <f t="shared" si="148"/>
        <v>41</v>
      </c>
      <c r="L304" s="80">
        <v>52</v>
      </c>
      <c r="M304" s="81">
        <v>65.915205720000003</v>
      </c>
      <c r="N304" s="82">
        <f t="shared" si="151"/>
        <v>0</v>
      </c>
      <c r="O304" s="82">
        <f t="shared" si="152"/>
        <v>0</v>
      </c>
      <c r="P304" s="82">
        <f>O304+'BM 010'!O301</f>
        <v>0</v>
      </c>
      <c r="Q304" s="80">
        <f t="shared" si="153"/>
        <v>2132</v>
      </c>
      <c r="R304" s="82">
        <f t="shared" si="154"/>
        <v>2702.52</v>
      </c>
      <c r="S304" s="82">
        <f t="shared" si="155"/>
        <v>2702.52</v>
      </c>
      <c r="T304" s="82">
        <f t="shared" si="156"/>
        <v>2702.52</v>
      </c>
    </row>
    <row r="305" spans="2:20" s="34" customFormat="1" ht="34.799999999999997">
      <c r="B305" s="87" t="s">
        <v>597</v>
      </c>
      <c r="C305" s="88" t="s">
        <v>598</v>
      </c>
      <c r="D305" s="89" t="s">
        <v>131</v>
      </c>
      <c r="E305" s="90">
        <v>3</v>
      </c>
      <c r="F305" s="90">
        <v>3</v>
      </c>
      <c r="G305" s="91"/>
      <c r="H305" s="91"/>
      <c r="I305" s="91"/>
      <c r="J305" s="91">
        <f>SUM(H305:I305)+'BM 010'!I302</f>
        <v>0</v>
      </c>
      <c r="K305" s="91">
        <f t="shared" si="148"/>
        <v>3</v>
      </c>
      <c r="L305" s="80">
        <v>51</v>
      </c>
      <c r="M305" s="81">
        <v>64.647605609999999</v>
      </c>
      <c r="N305" s="82">
        <f t="shared" si="151"/>
        <v>0</v>
      </c>
      <c r="O305" s="82">
        <f t="shared" si="152"/>
        <v>0</v>
      </c>
      <c r="P305" s="82">
        <f>O305+'BM 010'!O302</f>
        <v>0</v>
      </c>
      <c r="Q305" s="80">
        <f t="shared" si="153"/>
        <v>153</v>
      </c>
      <c r="R305" s="82">
        <f t="shared" si="154"/>
        <v>193.94</v>
      </c>
      <c r="S305" s="82">
        <f t="shared" si="155"/>
        <v>193.94</v>
      </c>
      <c r="T305" s="82">
        <f t="shared" si="156"/>
        <v>193.94</v>
      </c>
    </row>
    <row r="306" spans="2:20" s="34" customFormat="1" ht="34.799999999999997">
      <c r="B306" s="87" t="s">
        <v>599</v>
      </c>
      <c r="C306" s="88" t="s">
        <v>600</v>
      </c>
      <c r="D306" s="89" t="s">
        <v>131</v>
      </c>
      <c r="E306" s="90">
        <v>1</v>
      </c>
      <c r="F306" s="90">
        <v>1</v>
      </c>
      <c r="G306" s="91"/>
      <c r="H306" s="91"/>
      <c r="I306" s="91"/>
      <c r="J306" s="91">
        <f>SUM(H306:I306)+'BM 010'!I303</f>
        <v>0</v>
      </c>
      <c r="K306" s="91">
        <f t="shared" si="148"/>
        <v>1</v>
      </c>
      <c r="L306" s="80">
        <v>60</v>
      </c>
      <c r="M306" s="81">
        <v>76.056006600000003</v>
      </c>
      <c r="N306" s="82">
        <f t="shared" si="151"/>
        <v>0</v>
      </c>
      <c r="O306" s="82">
        <f t="shared" si="152"/>
        <v>0</v>
      </c>
      <c r="P306" s="82">
        <f>O306+'BM 010'!O303</f>
        <v>0</v>
      </c>
      <c r="Q306" s="80">
        <f t="shared" si="153"/>
        <v>60</v>
      </c>
      <c r="R306" s="82">
        <f t="shared" si="154"/>
        <v>76.05</v>
      </c>
      <c r="S306" s="82">
        <f t="shared" si="155"/>
        <v>76.05</v>
      </c>
      <c r="T306" s="82">
        <f t="shared" si="156"/>
        <v>76.05</v>
      </c>
    </row>
    <row r="307" spans="2:20" s="34" customFormat="1" ht="34.799999999999997">
      <c r="B307" s="87" t="s">
        <v>601</v>
      </c>
      <c r="C307" s="88" t="s">
        <v>602</v>
      </c>
      <c r="D307" s="89" t="s">
        <v>131</v>
      </c>
      <c r="E307" s="90">
        <v>15</v>
      </c>
      <c r="F307" s="90">
        <v>15</v>
      </c>
      <c r="G307" s="91"/>
      <c r="H307" s="91"/>
      <c r="I307" s="91"/>
      <c r="J307" s="91">
        <f>SUM(H307:I307)+'BM 010'!I304</f>
        <v>0</v>
      </c>
      <c r="K307" s="91">
        <f t="shared" si="148"/>
        <v>15</v>
      </c>
      <c r="L307" s="80">
        <v>230</v>
      </c>
      <c r="M307" s="81">
        <v>291.54802530000001</v>
      </c>
      <c r="N307" s="82">
        <f t="shared" si="151"/>
        <v>0</v>
      </c>
      <c r="O307" s="82">
        <f t="shared" si="152"/>
        <v>0</v>
      </c>
      <c r="P307" s="82">
        <f>O307+'BM 010'!O304</f>
        <v>0</v>
      </c>
      <c r="Q307" s="80">
        <f t="shared" si="153"/>
        <v>3450</v>
      </c>
      <c r="R307" s="82">
        <f t="shared" si="154"/>
        <v>4373.22</v>
      </c>
      <c r="S307" s="82">
        <f t="shared" si="155"/>
        <v>4373.22</v>
      </c>
      <c r="T307" s="82">
        <f t="shared" si="156"/>
        <v>4373.22</v>
      </c>
    </row>
    <row r="308" spans="2:20" s="34" customFormat="1" ht="34.799999999999997">
      <c r="B308" s="87" t="s">
        <v>603</v>
      </c>
      <c r="C308" s="88" t="s">
        <v>604</v>
      </c>
      <c r="D308" s="89" t="s">
        <v>131</v>
      </c>
      <c r="E308" s="90">
        <v>5</v>
      </c>
      <c r="F308" s="90">
        <v>5</v>
      </c>
      <c r="G308" s="91"/>
      <c r="H308" s="91"/>
      <c r="I308" s="91"/>
      <c r="J308" s="91">
        <f>SUM(H308:I308)+'BM 010'!I305</f>
        <v>0</v>
      </c>
      <c r="K308" s="91">
        <f t="shared" si="148"/>
        <v>5</v>
      </c>
      <c r="L308" s="80">
        <v>140</v>
      </c>
      <c r="M308" s="81">
        <v>177.46401539999999</v>
      </c>
      <c r="N308" s="82">
        <f t="shared" si="151"/>
        <v>0</v>
      </c>
      <c r="O308" s="82">
        <f t="shared" si="152"/>
        <v>0</v>
      </c>
      <c r="P308" s="82">
        <f>O308+'BM 010'!O305</f>
        <v>0</v>
      </c>
      <c r="Q308" s="80">
        <f t="shared" si="153"/>
        <v>700</v>
      </c>
      <c r="R308" s="82">
        <f t="shared" si="154"/>
        <v>887.32</v>
      </c>
      <c r="S308" s="82">
        <f t="shared" si="155"/>
        <v>887.32</v>
      </c>
      <c r="T308" s="82">
        <f t="shared" si="156"/>
        <v>887.32</v>
      </c>
    </row>
    <row r="309" spans="2:20" s="34" customFormat="1" ht="46.2">
      <c r="B309" s="87" t="s">
        <v>605</v>
      </c>
      <c r="C309" s="88" t="s">
        <v>606</v>
      </c>
      <c r="D309" s="89" t="s">
        <v>131</v>
      </c>
      <c r="E309" s="90">
        <v>4</v>
      </c>
      <c r="F309" s="90">
        <v>4</v>
      </c>
      <c r="G309" s="91"/>
      <c r="H309" s="91"/>
      <c r="I309" s="91"/>
      <c r="J309" s="91">
        <f>SUM(H309:I309)+'BM 010'!I306</f>
        <v>0</v>
      </c>
      <c r="K309" s="91">
        <f t="shared" si="148"/>
        <v>4</v>
      </c>
      <c r="L309" s="80">
        <v>59</v>
      </c>
      <c r="M309" s="81">
        <v>74.78840649</v>
      </c>
      <c r="N309" s="82">
        <f t="shared" si="151"/>
        <v>0</v>
      </c>
      <c r="O309" s="82">
        <f t="shared" si="152"/>
        <v>0</v>
      </c>
      <c r="P309" s="82">
        <f>O309+'BM 010'!O306</f>
        <v>0</v>
      </c>
      <c r="Q309" s="80">
        <f t="shared" si="153"/>
        <v>236</v>
      </c>
      <c r="R309" s="82">
        <f t="shared" si="154"/>
        <v>299.14999999999998</v>
      </c>
      <c r="S309" s="82">
        <f t="shared" si="155"/>
        <v>299.14999999999998</v>
      </c>
      <c r="T309" s="82">
        <f t="shared" si="156"/>
        <v>299.14999999999998</v>
      </c>
    </row>
    <row r="310" spans="2:20" s="34" customFormat="1" ht="13.2">
      <c r="B310" s="66" t="s">
        <v>607</v>
      </c>
      <c r="C310" s="67" t="s">
        <v>608</v>
      </c>
      <c r="D310" s="68"/>
      <c r="E310" s="69"/>
      <c r="F310" s="69"/>
      <c r="G310" s="70"/>
      <c r="H310" s="70"/>
      <c r="I310" s="70"/>
      <c r="J310" s="70">
        <f>SUM(H310:I310)+'BM 010'!I307</f>
        <v>0</v>
      </c>
      <c r="K310" s="70">
        <f t="shared" si="148"/>
        <v>0</v>
      </c>
      <c r="L310" s="71"/>
      <c r="M310" s="71">
        <v>0</v>
      </c>
      <c r="N310" s="73">
        <f t="shared" ref="N310:T310" si="157">SUM(N311:N317)</f>
        <v>0</v>
      </c>
      <c r="O310" s="73">
        <f t="shared" si="157"/>
        <v>0</v>
      </c>
      <c r="P310" s="73">
        <f t="shared" si="157"/>
        <v>0</v>
      </c>
      <c r="Q310" s="73">
        <f t="shared" si="157"/>
        <v>50562</v>
      </c>
      <c r="R310" s="73">
        <f t="shared" si="157"/>
        <v>64092.350000000006</v>
      </c>
      <c r="S310" s="73">
        <f t="shared" si="157"/>
        <v>64092.350000000006</v>
      </c>
      <c r="T310" s="73">
        <f t="shared" si="157"/>
        <v>64092.350000000006</v>
      </c>
    </row>
    <row r="311" spans="2:20" s="34" customFormat="1" ht="46.2">
      <c r="B311" s="87" t="s">
        <v>609</v>
      </c>
      <c r="C311" s="88" t="s">
        <v>610</v>
      </c>
      <c r="D311" s="89" t="s">
        <v>131</v>
      </c>
      <c r="E311" s="90">
        <v>202</v>
      </c>
      <c r="F311" s="90">
        <v>202</v>
      </c>
      <c r="G311" s="91"/>
      <c r="H311" s="91"/>
      <c r="I311" s="91"/>
      <c r="J311" s="91">
        <f>SUM(H311:I311)+'BM 010'!I308</f>
        <v>0</v>
      </c>
      <c r="K311" s="91">
        <f t="shared" si="148"/>
        <v>202</v>
      </c>
      <c r="L311" s="80">
        <v>38</v>
      </c>
      <c r="M311" s="81">
        <v>48.168804180000002</v>
      </c>
      <c r="N311" s="82">
        <f t="shared" ref="N311:N317" si="158">TRUNC(G311*M311,2)</f>
        <v>0</v>
      </c>
      <c r="O311" s="82">
        <f t="shared" ref="O311:O317" si="159">TRUNC(H311*M311,2)</f>
        <v>0</v>
      </c>
      <c r="P311" s="82">
        <f>O311+'BM 010'!O308</f>
        <v>0</v>
      </c>
      <c r="Q311" s="80">
        <f t="shared" ref="Q311:Q317" si="160">E311*L311</f>
        <v>7676</v>
      </c>
      <c r="R311" s="82">
        <f t="shared" ref="R311:R317" si="161">TRUNC(E311*M311,2)</f>
        <v>9730.09</v>
      </c>
      <c r="S311" s="82">
        <f t="shared" ref="S311:S317" si="162">TRUNC(F311*$M311,2)</f>
        <v>9730.09</v>
      </c>
      <c r="T311" s="82">
        <f t="shared" ref="T311:T317" si="163">S311-P311</f>
        <v>9730.09</v>
      </c>
    </row>
    <row r="312" spans="2:20" s="34" customFormat="1" ht="46.2">
      <c r="B312" s="87" t="s">
        <v>611</v>
      </c>
      <c r="C312" s="88" t="s">
        <v>612</v>
      </c>
      <c r="D312" s="89" t="s">
        <v>131</v>
      </c>
      <c r="E312" s="90">
        <v>508</v>
      </c>
      <c r="F312" s="90">
        <v>508</v>
      </c>
      <c r="G312" s="91"/>
      <c r="H312" s="91"/>
      <c r="I312" s="91"/>
      <c r="J312" s="91">
        <f>SUM(H312:I312)+'BM 010'!I309</f>
        <v>0</v>
      </c>
      <c r="K312" s="91">
        <f t="shared" si="148"/>
        <v>508</v>
      </c>
      <c r="L312" s="80">
        <v>40</v>
      </c>
      <c r="M312" s="81">
        <v>50.704004400000002</v>
      </c>
      <c r="N312" s="82">
        <f t="shared" si="158"/>
        <v>0</v>
      </c>
      <c r="O312" s="82">
        <f t="shared" si="159"/>
        <v>0</v>
      </c>
      <c r="P312" s="82">
        <f>O312+'BM 010'!O309</f>
        <v>0</v>
      </c>
      <c r="Q312" s="80">
        <f t="shared" si="160"/>
        <v>20320</v>
      </c>
      <c r="R312" s="82">
        <f t="shared" si="161"/>
        <v>25757.63</v>
      </c>
      <c r="S312" s="82">
        <f t="shared" si="162"/>
        <v>25757.63</v>
      </c>
      <c r="T312" s="82">
        <f t="shared" si="163"/>
        <v>25757.63</v>
      </c>
    </row>
    <row r="313" spans="2:20" s="34" customFormat="1" ht="34.799999999999997">
      <c r="B313" s="87" t="s">
        <v>613</v>
      </c>
      <c r="C313" s="88" t="s">
        <v>614</v>
      </c>
      <c r="D313" s="89" t="s">
        <v>131</v>
      </c>
      <c r="E313" s="90">
        <v>52</v>
      </c>
      <c r="F313" s="90">
        <v>52</v>
      </c>
      <c r="G313" s="91"/>
      <c r="H313" s="91"/>
      <c r="I313" s="91"/>
      <c r="J313" s="91">
        <f>SUM(H313:I313)+'BM 010'!I310</f>
        <v>0</v>
      </c>
      <c r="K313" s="91">
        <f t="shared" si="148"/>
        <v>52</v>
      </c>
      <c r="L313" s="80">
        <v>65</v>
      </c>
      <c r="M313" s="81">
        <v>82.394007149999993</v>
      </c>
      <c r="N313" s="82">
        <f t="shared" si="158"/>
        <v>0</v>
      </c>
      <c r="O313" s="82">
        <f t="shared" si="159"/>
        <v>0</v>
      </c>
      <c r="P313" s="82">
        <f>O313+'BM 010'!O310</f>
        <v>0</v>
      </c>
      <c r="Q313" s="80">
        <f t="shared" si="160"/>
        <v>3380</v>
      </c>
      <c r="R313" s="82">
        <f t="shared" si="161"/>
        <v>4284.4799999999996</v>
      </c>
      <c r="S313" s="82">
        <f t="shared" si="162"/>
        <v>4284.4799999999996</v>
      </c>
      <c r="T313" s="82">
        <f t="shared" si="163"/>
        <v>4284.4799999999996</v>
      </c>
    </row>
    <row r="314" spans="2:20" s="34" customFormat="1" ht="46.2">
      <c r="B314" s="87" t="s">
        <v>615</v>
      </c>
      <c r="C314" s="88" t="s">
        <v>610</v>
      </c>
      <c r="D314" s="89" t="s">
        <v>131</v>
      </c>
      <c r="E314" s="90">
        <v>2</v>
      </c>
      <c r="F314" s="90">
        <v>2</v>
      </c>
      <c r="G314" s="91"/>
      <c r="H314" s="91"/>
      <c r="I314" s="91"/>
      <c r="J314" s="91">
        <f>SUM(H314:I314)+'BM 010'!I311</f>
        <v>0</v>
      </c>
      <c r="K314" s="91">
        <f t="shared" si="148"/>
        <v>2</v>
      </c>
      <c r="L314" s="80">
        <v>38</v>
      </c>
      <c r="M314" s="81">
        <v>48.168804180000002</v>
      </c>
      <c r="N314" s="82">
        <f t="shared" si="158"/>
        <v>0</v>
      </c>
      <c r="O314" s="82">
        <f t="shared" si="159"/>
        <v>0</v>
      </c>
      <c r="P314" s="82">
        <f>O314+'BM 010'!O311</f>
        <v>0</v>
      </c>
      <c r="Q314" s="80">
        <f t="shared" si="160"/>
        <v>76</v>
      </c>
      <c r="R314" s="82">
        <f t="shared" si="161"/>
        <v>96.33</v>
      </c>
      <c r="S314" s="82">
        <f t="shared" si="162"/>
        <v>96.33</v>
      </c>
      <c r="T314" s="82">
        <f t="shared" si="163"/>
        <v>96.33</v>
      </c>
    </row>
    <row r="315" spans="2:20" s="34" customFormat="1" ht="23.4">
      <c r="B315" s="87" t="s">
        <v>616</v>
      </c>
      <c r="C315" s="88" t="s">
        <v>617</v>
      </c>
      <c r="D315" s="89" t="s">
        <v>131</v>
      </c>
      <c r="E315" s="90">
        <v>201</v>
      </c>
      <c r="F315" s="90">
        <v>201</v>
      </c>
      <c r="G315" s="91"/>
      <c r="H315" s="91"/>
      <c r="I315" s="91"/>
      <c r="J315" s="91">
        <f>SUM(H315:I315)+'BM 010'!I312</f>
        <v>0</v>
      </c>
      <c r="K315" s="91">
        <f t="shared" si="148"/>
        <v>201</v>
      </c>
      <c r="L315" s="80">
        <v>30</v>
      </c>
      <c r="M315" s="81">
        <v>38.028003300000002</v>
      </c>
      <c r="N315" s="82">
        <f t="shared" si="158"/>
        <v>0</v>
      </c>
      <c r="O315" s="82">
        <f t="shared" si="159"/>
        <v>0</v>
      </c>
      <c r="P315" s="82">
        <f>O315+'BM 010'!O312</f>
        <v>0</v>
      </c>
      <c r="Q315" s="80">
        <f t="shared" si="160"/>
        <v>6030</v>
      </c>
      <c r="R315" s="82">
        <f t="shared" si="161"/>
        <v>7643.62</v>
      </c>
      <c r="S315" s="82">
        <f t="shared" si="162"/>
        <v>7643.62</v>
      </c>
      <c r="T315" s="82">
        <f t="shared" si="163"/>
        <v>7643.62</v>
      </c>
    </row>
    <row r="316" spans="2:20" s="34" customFormat="1" ht="23.4">
      <c r="B316" s="87" t="s">
        <v>618</v>
      </c>
      <c r="C316" s="88" t="s">
        <v>619</v>
      </c>
      <c r="D316" s="89" t="s">
        <v>131</v>
      </c>
      <c r="E316" s="90">
        <v>12</v>
      </c>
      <c r="F316" s="90">
        <v>12</v>
      </c>
      <c r="G316" s="91"/>
      <c r="H316" s="91"/>
      <c r="I316" s="91"/>
      <c r="J316" s="91">
        <f>SUM(H316:I316)+'BM 010'!I313</f>
        <v>0</v>
      </c>
      <c r="K316" s="91">
        <f t="shared" si="148"/>
        <v>12</v>
      </c>
      <c r="L316" s="80">
        <v>40</v>
      </c>
      <c r="M316" s="81">
        <v>50.704004400000002</v>
      </c>
      <c r="N316" s="82">
        <f t="shared" si="158"/>
        <v>0</v>
      </c>
      <c r="O316" s="82">
        <f t="shared" si="159"/>
        <v>0</v>
      </c>
      <c r="P316" s="82">
        <f>O316+'BM 010'!O313</f>
        <v>0</v>
      </c>
      <c r="Q316" s="80">
        <f t="shared" si="160"/>
        <v>480</v>
      </c>
      <c r="R316" s="82">
        <f t="shared" si="161"/>
        <v>608.44000000000005</v>
      </c>
      <c r="S316" s="82">
        <f t="shared" si="162"/>
        <v>608.44000000000005</v>
      </c>
      <c r="T316" s="82">
        <f t="shared" si="163"/>
        <v>608.44000000000005</v>
      </c>
    </row>
    <row r="317" spans="2:20" s="34" customFormat="1" ht="23.4">
      <c r="B317" s="87" t="s">
        <v>620</v>
      </c>
      <c r="C317" s="88" t="s">
        <v>621</v>
      </c>
      <c r="D317" s="89" t="s">
        <v>131</v>
      </c>
      <c r="E317" s="90">
        <v>180</v>
      </c>
      <c r="F317" s="90">
        <v>180</v>
      </c>
      <c r="G317" s="91"/>
      <c r="H317" s="91"/>
      <c r="I317" s="91"/>
      <c r="J317" s="91">
        <f>SUM(H317:I317)+'BM 010'!I314</f>
        <v>0</v>
      </c>
      <c r="K317" s="91">
        <f t="shared" si="148"/>
        <v>180</v>
      </c>
      <c r="L317" s="80">
        <v>70</v>
      </c>
      <c r="M317" s="81">
        <v>88.732007699999997</v>
      </c>
      <c r="N317" s="82">
        <f t="shared" si="158"/>
        <v>0</v>
      </c>
      <c r="O317" s="82">
        <f t="shared" si="159"/>
        <v>0</v>
      </c>
      <c r="P317" s="82">
        <f>O317+'BM 010'!O314</f>
        <v>0</v>
      </c>
      <c r="Q317" s="80">
        <f t="shared" si="160"/>
        <v>12600</v>
      </c>
      <c r="R317" s="82">
        <f t="shared" si="161"/>
        <v>15971.76</v>
      </c>
      <c r="S317" s="82">
        <f t="shared" si="162"/>
        <v>15971.76</v>
      </c>
      <c r="T317" s="82">
        <f t="shared" si="163"/>
        <v>15971.76</v>
      </c>
    </row>
    <row r="318" spans="2:20" s="34" customFormat="1" ht="26.25" customHeight="1">
      <c r="B318" s="66" t="s">
        <v>622</v>
      </c>
      <c r="C318" s="67" t="s">
        <v>623</v>
      </c>
      <c r="D318" s="68"/>
      <c r="E318" s="69"/>
      <c r="F318" s="69"/>
      <c r="G318" s="70"/>
      <c r="H318" s="70"/>
      <c r="I318" s="70"/>
      <c r="J318" s="70">
        <f>SUM(H318:I318)+'BM 010'!I315</f>
        <v>0</v>
      </c>
      <c r="K318" s="70">
        <f t="shared" si="148"/>
        <v>0</v>
      </c>
      <c r="L318" s="71"/>
      <c r="M318" s="71">
        <v>0</v>
      </c>
      <c r="N318" s="73">
        <f t="shared" ref="N318:T318" si="164">SUM(N319)</f>
        <v>0</v>
      </c>
      <c r="O318" s="73">
        <f t="shared" si="164"/>
        <v>0</v>
      </c>
      <c r="P318" s="73">
        <f t="shared" si="164"/>
        <v>0</v>
      </c>
      <c r="Q318" s="73">
        <f t="shared" si="164"/>
        <v>660</v>
      </c>
      <c r="R318" s="73">
        <f t="shared" si="164"/>
        <v>836.61</v>
      </c>
      <c r="S318" s="73">
        <f t="shared" si="164"/>
        <v>836.61</v>
      </c>
      <c r="T318" s="73">
        <f t="shared" si="164"/>
        <v>836.61</v>
      </c>
    </row>
    <row r="319" spans="2:20" s="34" customFormat="1" ht="13.2">
      <c r="B319" s="75" t="s">
        <v>624</v>
      </c>
      <c r="C319" s="76" t="s">
        <v>625</v>
      </c>
      <c r="D319" s="77" t="s">
        <v>131</v>
      </c>
      <c r="E319" s="78">
        <v>3</v>
      </c>
      <c r="F319" s="78">
        <v>3</v>
      </c>
      <c r="G319" s="79"/>
      <c r="H319" s="79"/>
      <c r="I319" s="79"/>
      <c r="J319" s="79">
        <f>SUM(H319:I319)+'BM 010'!I316</f>
        <v>0</v>
      </c>
      <c r="K319" s="79">
        <f t="shared" si="148"/>
        <v>3</v>
      </c>
      <c r="L319" s="84">
        <v>220</v>
      </c>
      <c r="M319" s="81">
        <v>278.8720242</v>
      </c>
      <c r="N319" s="82">
        <f>TRUNC(G319*M319,2)</f>
        <v>0</v>
      </c>
      <c r="O319" s="82">
        <f>TRUNC(H319*M319,2)</f>
        <v>0</v>
      </c>
      <c r="P319" s="82">
        <f>O319+'BM 010'!O316</f>
        <v>0</v>
      </c>
      <c r="Q319" s="80">
        <f>E319*L319</f>
        <v>660</v>
      </c>
      <c r="R319" s="82">
        <f>TRUNC(E319*M319,2)</f>
        <v>836.61</v>
      </c>
      <c r="S319" s="82">
        <f>TRUNC(F319*$M319,2)</f>
        <v>836.61</v>
      </c>
      <c r="T319" s="82">
        <f>S319-P319</f>
        <v>836.61</v>
      </c>
    </row>
    <row r="320" spans="2:20" s="34" customFormat="1" ht="13.2">
      <c r="B320" s="60" t="s">
        <v>626</v>
      </c>
      <c r="C320" s="61" t="s">
        <v>627</v>
      </c>
      <c r="D320" s="60"/>
      <c r="E320" s="62"/>
      <c r="F320" s="284"/>
      <c r="G320" s="63"/>
      <c r="H320" s="63"/>
      <c r="I320" s="63"/>
      <c r="J320" s="63">
        <f>SUM(H320:I320)+'BM 010'!I317</f>
        <v>0</v>
      </c>
      <c r="K320" s="63">
        <f t="shared" si="148"/>
        <v>0</v>
      </c>
      <c r="L320" s="63"/>
      <c r="M320" s="63">
        <v>0</v>
      </c>
      <c r="N320" s="63">
        <f t="shared" ref="N320:T320" si="165">SUM(N321:N330)</f>
        <v>0</v>
      </c>
      <c r="O320" s="63">
        <f t="shared" si="165"/>
        <v>0</v>
      </c>
      <c r="P320" s="63">
        <f t="shared" si="165"/>
        <v>0</v>
      </c>
      <c r="Q320" s="63">
        <f t="shared" si="165"/>
        <v>37271.68</v>
      </c>
      <c r="R320" s="63">
        <f t="shared" si="165"/>
        <v>47245.569999999992</v>
      </c>
      <c r="S320" s="63">
        <f t="shared" si="165"/>
        <v>47245.569999999992</v>
      </c>
      <c r="T320" s="63">
        <f t="shared" si="165"/>
        <v>47245.569999999992</v>
      </c>
    </row>
    <row r="321" spans="2:20" s="34" customFormat="1" ht="23.4">
      <c r="B321" s="75" t="s">
        <v>628</v>
      </c>
      <c r="C321" s="76" t="s">
        <v>629</v>
      </c>
      <c r="D321" s="77" t="s">
        <v>82</v>
      </c>
      <c r="E321" s="93">
        <v>170</v>
      </c>
      <c r="F321" s="93">
        <v>170</v>
      </c>
      <c r="G321" s="79"/>
      <c r="H321" s="79"/>
      <c r="I321" s="79"/>
      <c r="J321" s="79">
        <f>SUM(H321:I321)+'BM 010'!I318</f>
        <v>0</v>
      </c>
      <c r="K321" s="79">
        <f t="shared" si="148"/>
        <v>170</v>
      </c>
      <c r="L321" s="80">
        <v>100</v>
      </c>
      <c r="M321" s="81">
        <v>126.76001100000001</v>
      </c>
      <c r="N321" s="82">
        <f t="shared" ref="N321:N330" si="166">TRUNC(G321*M321,2)</f>
        <v>0</v>
      </c>
      <c r="O321" s="82">
        <f t="shared" ref="O321:O330" si="167">TRUNC(H321*M321,2)</f>
        <v>0</v>
      </c>
      <c r="P321" s="82">
        <f>O321+'BM 010'!O318</f>
        <v>0</v>
      </c>
      <c r="Q321" s="80">
        <f t="shared" ref="Q321:Q330" si="168">E321*L321</f>
        <v>17000</v>
      </c>
      <c r="R321" s="82">
        <f t="shared" ref="R321:R330" si="169">TRUNC(E321*M321,2)</f>
        <v>21549.200000000001</v>
      </c>
      <c r="S321" s="82">
        <f t="shared" ref="S321:S330" si="170">TRUNC(F321*$M321,2)</f>
        <v>21549.200000000001</v>
      </c>
      <c r="T321" s="82">
        <f t="shared" ref="T321:T330" si="171">S321-P321</f>
        <v>21549.200000000001</v>
      </c>
    </row>
    <row r="322" spans="2:20" s="34" customFormat="1" ht="23.4">
      <c r="B322" s="75" t="s">
        <v>630</v>
      </c>
      <c r="C322" s="76" t="s">
        <v>631</v>
      </c>
      <c r="D322" s="77" t="s">
        <v>131</v>
      </c>
      <c r="E322" s="93">
        <v>1</v>
      </c>
      <c r="F322" s="93">
        <v>1</v>
      </c>
      <c r="G322" s="79"/>
      <c r="H322" s="79"/>
      <c r="I322" s="79"/>
      <c r="J322" s="79">
        <f>SUM(H322:I322)+'BM 010'!I319</f>
        <v>0</v>
      </c>
      <c r="K322" s="79">
        <f t="shared" si="148"/>
        <v>1</v>
      </c>
      <c r="L322" s="80">
        <v>1300</v>
      </c>
      <c r="M322" s="81">
        <v>1647.8801430000001</v>
      </c>
      <c r="N322" s="82">
        <f t="shared" si="166"/>
        <v>0</v>
      </c>
      <c r="O322" s="82">
        <f t="shared" si="167"/>
        <v>0</v>
      </c>
      <c r="P322" s="82">
        <f>O322+'BM 010'!O319</f>
        <v>0</v>
      </c>
      <c r="Q322" s="80">
        <f t="shared" si="168"/>
        <v>1300</v>
      </c>
      <c r="R322" s="82">
        <f t="shared" si="169"/>
        <v>1647.88</v>
      </c>
      <c r="S322" s="82">
        <f t="shared" si="170"/>
        <v>1647.88</v>
      </c>
      <c r="T322" s="82">
        <f t="shared" si="171"/>
        <v>1647.88</v>
      </c>
    </row>
    <row r="323" spans="2:20" s="34" customFormat="1" ht="23.4">
      <c r="B323" s="75" t="s">
        <v>632</v>
      </c>
      <c r="C323" s="76" t="s">
        <v>633</v>
      </c>
      <c r="D323" s="77" t="s">
        <v>82</v>
      </c>
      <c r="E323" s="93">
        <v>250</v>
      </c>
      <c r="F323" s="93">
        <v>250</v>
      </c>
      <c r="G323" s="79"/>
      <c r="H323" s="79"/>
      <c r="I323" s="79"/>
      <c r="J323" s="79">
        <f>SUM(H323:I323)+'BM 010'!I320</f>
        <v>0</v>
      </c>
      <c r="K323" s="79">
        <f t="shared" si="148"/>
        <v>250</v>
      </c>
      <c r="L323" s="80">
        <v>38</v>
      </c>
      <c r="M323" s="81">
        <v>48.168804180000002</v>
      </c>
      <c r="N323" s="82">
        <f t="shared" si="166"/>
        <v>0</v>
      </c>
      <c r="O323" s="82">
        <f t="shared" si="167"/>
        <v>0</v>
      </c>
      <c r="P323" s="82">
        <f>O323+'BM 010'!O320</f>
        <v>0</v>
      </c>
      <c r="Q323" s="80">
        <f t="shared" si="168"/>
        <v>9500</v>
      </c>
      <c r="R323" s="82">
        <f t="shared" si="169"/>
        <v>12042.2</v>
      </c>
      <c r="S323" s="82">
        <f t="shared" si="170"/>
        <v>12042.2</v>
      </c>
      <c r="T323" s="82">
        <f t="shared" si="171"/>
        <v>12042.2</v>
      </c>
    </row>
    <row r="324" spans="2:20" s="34" customFormat="1" ht="13.2">
      <c r="B324" s="75" t="s">
        <v>634</v>
      </c>
      <c r="C324" s="76" t="s">
        <v>635</v>
      </c>
      <c r="D324" s="77" t="s">
        <v>39</v>
      </c>
      <c r="E324" s="78">
        <v>20</v>
      </c>
      <c r="F324" s="78">
        <v>20</v>
      </c>
      <c r="G324" s="79"/>
      <c r="H324" s="79"/>
      <c r="I324" s="79"/>
      <c r="J324" s="79">
        <f>SUM(H324:I324)+'BM 010'!I321</f>
        <v>0</v>
      </c>
      <c r="K324" s="79">
        <f t="shared" si="148"/>
        <v>20</v>
      </c>
      <c r="L324" s="84">
        <v>42</v>
      </c>
      <c r="M324" s="81">
        <v>53.239204620000002</v>
      </c>
      <c r="N324" s="82">
        <f t="shared" si="166"/>
        <v>0</v>
      </c>
      <c r="O324" s="82">
        <f t="shared" si="167"/>
        <v>0</v>
      </c>
      <c r="P324" s="82">
        <f>O324+'BM 010'!O321</f>
        <v>0</v>
      </c>
      <c r="Q324" s="80">
        <f t="shared" si="168"/>
        <v>840</v>
      </c>
      <c r="R324" s="82">
        <f t="shared" si="169"/>
        <v>1064.78</v>
      </c>
      <c r="S324" s="82">
        <f t="shared" si="170"/>
        <v>1064.78</v>
      </c>
      <c r="T324" s="82">
        <f t="shared" si="171"/>
        <v>1064.78</v>
      </c>
    </row>
    <row r="325" spans="2:20" s="34" customFormat="1" ht="23.4">
      <c r="B325" s="75" t="s">
        <v>636</v>
      </c>
      <c r="C325" s="76" t="s">
        <v>637</v>
      </c>
      <c r="D325" s="77" t="s">
        <v>39</v>
      </c>
      <c r="E325" s="78">
        <v>30</v>
      </c>
      <c r="F325" s="78">
        <v>30</v>
      </c>
      <c r="G325" s="79"/>
      <c r="H325" s="79"/>
      <c r="I325" s="79"/>
      <c r="J325" s="79">
        <f>SUM(H325:I325)+'BM 010'!I322</f>
        <v>0</v>
      </c>
      <c r="K325" s="79">
        <f t="shared" si="148"/>
        <v>30</v>
      </c>
      <c r="L325" s="84">
        <v>25</v>
      </c>
      <c r="M325" s="81">
        <v>31.690002750000001</v>
      </c>
      <c r="N325" s="82">
        <f t="shared" si="166"/>
        <v>0</v>
      </c>
      <c r="O325" s="82">
        <f t="shared" si="167"/>
        <v>0</v>
      </c>
      <c r="P325" s="82">
        <f>O325+'BM 010'!O322</f>
        <v>0</v>
      </c>
      <c r="Q325" s="80">
        <f t="shared" si="168"/>
        <v>750</v>
      </c>
      <c r="R325" s="82">
        <f t="shared" si="169"/>
        <v>950.7</v>
      </c>
      <c r="S325" s="82">
        <f t="shared" si="170"/>
        <v>950.7</v>
      </c>
      <c r="T325" s="82">
        <f t="shared" si="171"/>
        <v>950.7</v>
      </c>
    </row>
    <row r="326" spans="2:20" s="34" customFormat="1" ht="46.2">
      <c r="B326" s="75" t="s">
        <v>638</v>
      </c>
      <c r="C326" s="76" t="s">
        <v>639</v>
      </c>
      <c r="D326" s="77" t="s">
        <v>39</v>
      </c>
      <c r="E326" s="78">
        <v>2</v>
      </c>
      <c r="F326" s="78">
        <v>2</v>
      </c>
      <c r="G326" s="79"/>
      <c r="H326" s="79"/>
      <c r="I326" s="79"/>
      <c r="J326" s="79">
        <f>SUM(H326:I326)+'BM 010'!I323</f>
        <v>0</v>
      </c>
      <c r="K326" s="79">
        <f t="shared" si="148"/>
        <v>2</v>
      </c>
      <c r="L326" s="84">
        <v>1800</v>
      </c>
      <c r="M326" s="81">
        <v>2281.680198</v>
      </c>
      <c r="N326" s="82">
        <f t="shared" si="166"/>
        <v>0</v>
      </c>
      <c r="O326" s="82">
        <f t="shared" si="167"/>
        <v>0</v>
      </c>
      <c r="P326" s="82">
        <f>O326+'BM 010'!O323</f>
        <v>0</v>
      </c>
      <c r="Q326" s="80">
        <f t="shared" si="168"/>
        <v>3600</v>
      </c>
      <c r="R326" s="82">
        <f t="shared" si="169"/>
        <v>4563.3599999999997</v>
      </c>
      <c r="S326" s="82">
        <f t="shared" si="170"/>
        <v>4563.3599999999997</v>
      </c>
      <c r="T326" s="82">
        <f t="shared" si="171"/>
        <v>4563.3599999999997</v>
      </c>
    </row>
    <row r="327" spans="2:20" s="34" customFormat="1" ht="23.4">
      <c r="B327" s="75" t="s">
        <v>640</v>
      </c>
      <c r="C327" s="76" t="s">
        <v>641</v>
      </c>
      <c r="D327" s="77" t="s">
        <v>39</v>
      </c>
      <c r="E327" s="78">
        <v>17</v>
      </c>
      <c r="F327" s="78">
        <v>17</v>
      </c>
      <c r="G327" s="79"/>
      <c r="H327" s="79"/>
      <c r="I327" s="79"/>
      <c r="J327" s="79">
        <f>SUM(H327:I327)+'BM 010'!I324</f>
        <v>0</v>
      </c>
      <c r="K327" s="79">
        <f t="shared" si="148"/>
        <v>17</v>
      </c>
      <c r="L327" s="84">
        <v>160</v>
      </c>
      <c r="M327" s="81">
        <v>202.81601760000001</v>
      </c>
      <c r="N327" s="82">
        <f t="shared" si="166"/>
        <v>0</v>
      </c>
      <c r="O327" s="82">
        <f t="shared" si="167"/>
        <v>0</v>
      </c>
      <c r="P327" s="82">
        <f>O327+'BM 010'!O324</f>
        <v>0</v>
      </c>
      <c r="Q327" s="80">
        <f t="shared" si="168"/>
        <v>2720</v>
      </c>
      <c r="R327" s="82">
        <f t="shared" si="169"/>
        <v>3447.87</v>
      </c>
      <c r="S327" s="82">
        <f t="shared" si="170"/>
        <v>3447.87</v>
      </c>
      <c r="T327" s="82">
        <f t="shared" si="171"/>
        <v>3447.87</v>
      </c>
    </row>
    <row r="328" spans="2:20" s="34" customFormat="1" ht="13.2">
      <c r="B328" s="75" t="s">
        <v>642</v>
      </c>
      <c r="C328" s="76" t="s">
        <v>643</v>
      </c>
      <c r="D328" s="77" t="s">
        <v>39</v>
      </c>
      <c r="E328" s="78">
        <v>100</v>
      </c>
      <c r="F328" s="78">
        <v>100</v>
      </c>
      <c r="G328" s="79"/>
      <c r="H328" s="79"/>
      <c r="I328" s="79"/>
      <c r="J328" s="79">
        <f>SUM(H328:I328)+'BM 010'!I325</f>
        <v>0</v>
      </c>
      <c r="K328" s="79">
        <f t="shared" si="148"/>
        <v>100</v>
      </c>
      <c r="L328" s="84">
        <v>5.27</v>
      </c>
      <c r="M328" s="81">
        <v>6.6802525797000003</v>
      </c>
      <c r="N328" s="82">
        <f t="shared" si="166"/>
        <v>0</v>
      </c>
      <c r="O328" s="82">
        <f t="shared" si="167"/>
        <v>0</v>
      </c>
      <c r="P328" s="82">
        <f>O328+'BM 010'!O325</f>
        <v>0</v>
      </c>
      <c r="Q328" s="80">
        <f t="shared" si="168"/>
        <v>527</v>
      </c>
      <c r="R328" s="82">
        <f t="shared" si="169"/>
        <v>668.02</v>
      </c>
      <c r="S328" s="82">
        <f t="shared" si="170"/>
        <v>668.02</v>
      </c>
      <c r="T328" s="82">
        <f t="shared" si="171"/>
        <v>668.02</v>
      </c>
    </row>
    <row r="329" spans="2:20" s="34" customFormat="1" ht="23.25" customHeight="1">
      <c r="B329" s="75" t="s">
        <v>644</v>
      </c>
      <c r="C329" s="76" t="s">
        <v>645</v>
      </c>
      <c r="D329" s="77" t="s">
        <v>124</v>
      </c>
      <c r="E329" s="78">
        <v>12</v>
      </c>
      <c r="F329" s="78">
        <v>12</v>
      </c>
      <c r="G329" s="79"/>
      <c r="H329" s="79"/>
      <c r="I329" s="79"/>
      <c r="J329" s="79">
        <f>SUM(H329:I329)+'BM 010'!I326</f>
        <v>0</v>
      </c>
      <c r="K329" s="79">
        <f t="shared" si="148"/>
        <v>12</v>
      </c>
      <c r="L329" s="84">
        <v>15.39</v>
      </c>
      <c r="M329" s="81">
        <v>19.5083656929</v>
      </c>
      <c r="N329" s="82">
        <f t="shared" si="166"/>
        <v>0</v>
      </c>
      <c r="O329" s="82">
        <f t="shared" si="167"/>
        <v>0</v>
      </c>
      <c r="P329" s="82">
        <f>O329+'BM 010'!O326</f>
        <v>0</v>
      </c>
      <c r="Q329" s="80">
        <f t="shared" si="168"/>
        <v>184.68</v>
      </c>
      <c r="R329" s="82">
        <f t="shared" si="169"/>
        <v>234.1</v>
      </c>
      <c r="S329" s="82">
        <f t="shared" si="170"/>
        <v>234.1</v>
      </c>
      <c r="T329" s="82">
        <f t="shared" si="171"/>
        <v>234.1</v>
      </c>
    </row>
    <row r="330" spans="2:20" s="34" customFormat="1" ht="23.4">
      <c r="B330" s="75" t="s">
        <v>646</v>
      </c>
      <c r="C330" s="76" t="s">
        <v>647</v>
      </c>
      <c r="D330" s="77" t="s">
        <v>39</v>
      </c>
      <c r="E330" s="78">
        <v>17</v>
      </c>
      <c r="F330" s="78">
        <v>17</v>
      </c>
      <c r="G330" s="79"/>
      <c r="H330" s="79"/>
      <c r="I330" s="79"/>
      <c r="J330" s="79">
        <f>SUM(H330:I330)+'BM 010'!I327</f>
        <v>0</v>
      </c>
      <c r="K330" s="79">
        <f t="shared" si="148"/>
        <v>17</v>
      </c>
      <c r="L330" s="84">
        <v>50</v>
      </c>
      <c r="M330" s="81">
        <v>63.380005500000003</v>
      </c>
      <c r="N330" s="82">
        <f t="shared" si="166"/>
        <v>0</v>
      </c>
      <c r="O330" s="82">
        <f t="shared" si="167"/>
        <v>0</v>
      </c>
      <c r="P330" s="82">
        <f>O330+'BM 010'!O327</f>
        <v>0</v>
      </c>
      <c r="Q330" s="80">
        <f t="shared" si="168"/>
        <v>850</v>
      </c>
      <c r="R330" s="82">
        <f t="shared" si="169"/>
        <v>1077.46</v>
      </c>
      <c r="S330" s="82">
        <f t="shared" si="170"/>
        <v>1077.46</v>
      </c>
      <c r="T330" s="82">
        <f t="shared" si="171"/>
        <v>1077.46</v>
      </c>
    </row>
    <row r="331" spans="2:20" s="34" customFormat="1" ht="13.2">
      <c r="B331" s="60" t="s">
        <v>648</v>
      </c>
      <c r="C331" s="61" t="s">
        <v>649</v>
      </c>
      <c r="D331" s="60"/>
      <c r="E331" s="62"/>
      <c r="F331" s="284"/>
      <c r="G331" s="63"/>
      <c r="H331" s="63"/>
      <c r="I331" s="63"/>
      <c r="J331" s="63">
        <f>SUM(H331:I331)+'BM 010'!I328</f>
        <v>0</v>
      </c>
      <c r="K331" s="63">
        <f t="shared" si="148"/>
        <v>0</v>
      </c>
      <c r="L331" s="63"/>
      <c r="M331" s="63">
        <v>0</v>
      </c>
      <c r="N331" s="63">
        <f t="shared" ref="N331:T331" si="172">SUM(N332,N340,N398,N410,N481)</f>
        <v>40021.53</v>
      </c>
      <c r="O331" s="63">
        <f t="shared" si="172"/>
        <v>40021.53</v>
      </c>
      <c r="P331" s="63">
        <f t="shared" si="172"/>
        <v>46498.34</v>
      </c>
      <c r="Q331" s="63">
        <f t="shared" si="172"/>
        <v>482517.43010000006</v>
      </c>
      <c r="R331" s="63">
        <f t="shared" si="172"/>
        <v>611638.38000000012</v>
      </c>
      <c r="S331" s="63">
        <f t="shared" si="172"/>
        <v>676197.51000000013</v>
      </c>
      <c r="T331" s="63">
        <f t="shared" si="172"/>
        <v>629699.17000000004</v>
      </c>
    </row>
    <row r="332" spans="2:20" s="34" customFormat="1" ht="13.2">
      <c r="B332" s="66" t="s">
        <v>650</v>
      </c>
      <c r="C332" s="67" t="s">
        <v>651</v>
      </c>
      <c r="D332" s="68"/>
      <c r="E332" s="69"/>
      <c r="F332" s="69"/>
      <c r="G332" s="70"/>
      <c r="H332" s="70"/>
      <c r="I332" s="70"/>
      <c r="J332" s="70">
        <f>SUM(H332:I332)+'BM 010'!I329</f>
        <v>0</v>
      </c>
      <c r="K332" s="70">
        <f t="shared" si="148"/>
        <v>0</v>
      </c>
      <c r="L332" s="71"/>
      <c r="M332" s="71">
        <v>0</v>
      </c>
      <c r="N332" s="73">
        <f t="shared" ref="N332:T332" si="173">SUM(N333:N339)</f>
        <v>0</v>
      </c>
      <c r="O332" s="73">
        <f t="shared" si="173"/>
        <v>0</v>
      </c>
      <c r="P332" s="73">
        <f t="shared" si="173"/>
        <v>2814.07</v>
      </c>
      <c r="Q332" s="73">
        <f t="shared" si="173"/>
        <v>39545.715000000004</v>
      </c>
      <c r="R332" s="73">
        <f t="shared" si="173"/>
        <v>50128.12</v>
      </c>
      <c r="S332" s="73">
        <f t="shared" si="173"/>
        <v>50128.12</v>
      </c>
      <c r="T332" s="73">
        <f t="shared" si="173"/>
        <v>47314.05</v>
      </c>
    </row>
    <row r="333" spans="2:20" s="34" customFormat="1" ht="23.4">
      <c r="B333" s="75" t="s">
        <v>652</v>
      </c>
      <c r="C333" s="76" t="s">
        <v>653</v>
      </c>
      <c r="D333" s="77" t="s">
        <v>82</v>
      </c>
      <c r="E333" s="90">
        <v>9.3800000000000008</v>
      </c>
      <c r="F333" s="90">
        <v>9.3800000000000008</v>
      </c>
      <c r="G333" s="91"/>
      <c r="H333" s="91"/>
      <c r="I333" s="91"/>
      <c r="J333" s="91">
        <f>SUM(H333:I333)+'BM 010'!I330</f>
        <v>0</v>
      </c>
      <c r="K333" s="91">
        <f t="shared" si="148"/>
        <v>9.3800000000000008</v>
      </c>
      <c r="L333" s="80">
        <v>6.5</v>
      </c>
      <c r="M333" s="81">
        <v>8.2394007150000004</v>
      </c>
      <c r="N333" s="82">
        <f t="shared" ref="N333:N339" si="174">TRUNC(G333*M333,2)</f>
        <v>0</v>
      </c>
      <c r="O333" s="82">
        <f t="shared" ref="O333:O339" si="175">TRUNC(H333*M333,2)</f>
        <v>0</v>
      </c>
      <c r="P333" s="82">
        <f>O333+'BM 010'!O330</f>
        <v>0</v>
      </c>
      <c r="Q333" s="80">
        <f t="shared" ref="Q333:Q339" si="176">E333*L333</f>
        <v>60.970000000000006</v>
      </c>
      <c r="R333" s="82">
        <f t="shared" ref="R333:R339" si="177">TRUNC(E333*M333,2)</f>
        <v>77.28</v>
      </c>
      <c r="S333" s="82">
        <f t="shared" ref="S333:S339" si="178">TRUNC(F333*$M333,2)</f>
        <v>77.28</v>
      </c>
      <c r="T333" s="82">
        <f t="shared" ref="T333:T339" si="179">S333-P333</f>
        <v>77.28</v>
      </c>
    </row>
    <row r="334" spans="2:20" s="34" customFormat="1" ht="23.4">
      <c r="B334" s="75" t="s">
        <v>654</v>
      </c>
      <c r="C334" s="76" t="s">
        <v>655</v>
      </c>
      <c r="D334" s="77" t="s">
        <v>82</v>
      </c>
      <c r="E334" s="90">
        <v>1074.94</v>
      </c>
      <c r="F334" s="90">
        <v>1074.94</v>
      </c>
      <c r="G334" s="91"/>
      <c r="H334" s="91"/>
      <c r="I334" s="91"/>
      <c r="J334" s="91">
        <f>SUM(H334:I334)+'BM 010'!I331</f>
        <v>0</v>
      </c>
      <c r="K334" s="91">
        <f t="shared" si="148"/>
        <v>1074.94</v>
      </c>
      <c r="L334" s="80">
        <v>8</v>
      </c>
      <c r="M334" s="81">
        <v>10.14080088</v>
      </c>
      <c r="N334" s="82">
        <f t="shared" si="174"/>
        <v>0</v>
      </c>
      <c r="O334" s="82">
        <f t="shared" si="175"/>
        <v>0</v>
      </c>
      <c r="P334" s="82">
        <f>O334+'BM 010'!O331</f>
        <v>0</v>
      </c>
      <c r="Q334" s="80">
        <f t="shared" si="176"/>
        <v>8599.52</v>
      </c>
      <c r="R334" s="82">
        <f t="shared" si="177"/>
        <v>10900.75</v>
      </c>
      <c r="S334" s="82">
        <f t="shared" si="178"/>
        <v>10900.75</v>
      </c>
      <c r="T334" s="82">
        <f t="shared" si="179"/>
        <v>10900.75</v>
      </c>
    </row>
    <row r="335" spans="2:20" s="34" customFormat="1" ht="23.4">
      <c r="B335" s="75" t="s">
        <v>656</v>
      </c>
      <c r="C335" s="76" t="s">
        <v>657</v>
      </c>
      <c r="D335" s="77" t="s">
        <v>82</v>
      </c>
      <c r="E335" s="93">
        <v>17.41</v>
      </c>
      <c r="F335" s="93">
        <v>17.41</v>
      </c>
      <c r="G335" s="79"/>
      <c r="H335" s="79"/>
      <c r="I335" s="79"/>
      <c r="J335" s="79">
        <f>SUM(H335:I335)+'BM 010'!I332</f>
        <v>0</v>
      </c>
      <c r="K335" s="79">
        <f t="shared" si="148"/>
        <v>17.41</v>
      </c>
      <c r="L335" s="80">
        <v>17.5</v>
      </c>
      <c r="M335" s="81">
        <v>22.183001924999999</v>
      </c>
      <c r="N335" s="82">
        <f t="shared" si="174"/>
        <v>0</v>
      </c>
      <c r="O335" s="82">
        <f t="shared" si="175"/>
        <v>0</v>
      </c>
      <c r="P335" s="82">
        <f>O335+'BM 010'!O332</f>
        <v>0</v>
      </c>
      <c r="Q335" s="80">
        <f t="shared" si="176"/>
        <v>304.67500000000001</v>
      </c>
      <c r="R335" s="82">
        <f t="shared" si="177"/>
        <v>386.2</v>
      </c>
      <c r="S335" s="82">
        <f t="shared" si="178"/>
        <v>386.2</v>
      </c>
      <c r="T335" s="82">
        <f t="shared" si="179"/>
        <v>386.2</v>
      </c>
    </row>
    <row r="336" spans="2:20" s="34" customFormat="1" ht="23.4">
      <c r="B336" s="75" t="s">
        <v>658</v>
      </c>
      <c r="C336" s="76" t="s">
        <v>659</v>
      </c>
      <c r="D336" s="77" t="s">
        <v>82</v>
      </c>
      <c r="E336" s="93">
        <v>471.41</v>
      </c>
      <c r="F336" s="93">
        <v>471.41</v>
      </c>
      <c r="G336" s="79"/>
      <c r="H336" s="79"/>
      <c r="I336" s="79"/>
      <c r="J336" s="79">
        <f>SUM(H336:I336)+'BM 010'!I333</f>
        <v>0</v>
      </c>
      <c r="K336" s="79">
        <f t="shared" si="148"/>
        <v>471.41</v>
      </c>
      <c r="L336" s="80">
        <v>23.5</v>
      </c>
      <c r="M336" s="81">
        <v>29.788602585</v>
      </c>
      <c r="N336" s="82">
        <f t="shared" si="174"/>
        <v>0</v>
      </c>
      <c r="O336" s="82">
        <f t="shared" si="175"/>
        <v>0</v>
      </c>
      <c r="P336" s="82">
        <f>O336+'BM 010'!O333</f>
        <v>0</v>
      </c>
      <c r="Q336" s="80">
        <f t="shared" si="176"/>
        <v>11078.135</v>
      </c>
      <c r="R336" s="82">
        <f t="shared" si="177"/>
        <v>14042.64</v>
      </c>
      <c r="S336" s="82">
        <f t="shared" si="178"/>
        <v>14042.64</v>
      </c>
      <c r="T336" s="82">
        <f t="shared" si="179"/>
        <v>14042.64</v>
      </c>
    </row>
    <row r="337" spans="2:20" s="34" customFormat="1" ht="23.4">
      <c r="B337" s="75" t="s">
        <v>660</v>
      </c>
      <c r="C337" s="76" t="s">
        <v>661</v>
      </c>
      <c r="D337" s="77" t="s">
        <v>82</v>
      </c>
      <c r="E337" s="93">
        <v>25.81</v>
      </c>
      <c r="F337" s="93">
        <v>25.81</v>
      </c>
      <c r="G337" s="79"/>
      <c r="H337" s="79"/>
      <c r="I337" s="79"/>
      <c r="J337" s="79">
        <f>SUM(H337:I337)+'BM 010'!I334</f>
        <v>0</v>
      </c>
      <c r="K337" s="79">
        <f t="shared" si="148"/>
        <v>25.81</v>
      </c>
      <c r="L337" s="80">
        <v>27.5</v>
      </c>
      <c r="M337" s="81">
        <v>34.859003025</v>
      </c>
      <c r="N337" s="82">
        <f t="shared" si="174"/>
        <v>0</v>
      </c>
      <c r="O337" s="82">
        <f t="shared" si="175"/>
        <v>0</v>
      </c>
      <c r="P337" s="82">
        <f>O337+'BM 010'!O334</f>
        <v>0</v>
      </c>
      <c r="Q337" s="80">
        <f t="shared" si="176"/>
        <v>709.77499999999998</v>
      </c>
      <c r="R337" s="82">
        <f t="shared" si="177"/>
        <v>899.71</v>
      </c>
      <c r="S337" s="82">
        <f t="shared" si="178"/>
        <v>899.71</v>
      </c>
      <c r="T337" s="82">
        <f t="shared" si="179"/>
        <v>899.71</v>
      </c>
    </row>
    <row r="338" spans="2:20" s="34" customFormat="1" ht="23.4">
      <c r="B338" s="75" t="s">
        <v>662</v>
      </c>
      <c r="C338" s="76" t="s">
        <v>663</v>
      </c>
      <c r="D338" s="77" t="s">
        <v>124</v>
      </c>
      <c r="E338" s="93">
        <v>165.66</v>
      </c>
      <c r="F338" s="93">
        <v>165.66</v>
      </c>
      <c r="G338" s="79"/>
      <c r="H338" s="79"/>
      <c r="I338" s="79"/>
      <c r="J338" s="79">
        <f>SUM(H338:I338)+'BM 010'!I335</f>
        <v>0</v>
      </c>
      <c r="K338" s="79">
        <f t="shared" si="148"/>
        <v>165.66</v>
      </c>
      <c r="L338" s="80">
        <v>41</v>
      </c>
      <c r="M338" s="81">
        <v>51.971604509999999</v>
      </c>
      <c r="N338" s="82">
        <f t="shared" si="174"/>
        <v>0</v>
      </c>
      <c r="O338" s="82">
        <f t="shared" si="175"/>
        <v>0</v>
      </c>
      <c r="P338" s="82">
        <f>O338+'BM 010'!O335</f>
        <v>0</v>
      </c>
      <c r="Q338" s="80">
        <f t="shared" si="176"/>
        <v>6792.0599999999995</v>
      </c>
      <c r="R338" s="82">
        <f t="shared" si="177"/>
        <v>8609.61</v>
      </c>
      <c r="S338" s="82">
        <f t="shared" si="178"/>
        <v>8609.61</v>
      </c>
      <c r="T338" s="82">
        <f t="shared" si="179"/>
        <v>8609.61</v>
      </c>
    </row>
    <row r="339" spans="2:20" s="34" customFormat="1" ht="23.4">
      <c r="B339" s="75" t="s">
        <v>664</v>
      </c>
      <c r="C339" s="76" t="s">
        <v>665</v>
      </c>
      <c r="D339" s="77" t="s">
        <v>124</v>
      </c>
      <c r="E339" s="93">
        <v>162.16999999999999</v>
      </c>
      <c r="F339" s="93">
        <v>162.16999999999999</v>
      </c>
      <c r="G339" s="79"/>
      <c r="H339" s="79"/>
      <c r="I339" s="79"/>
      <c r="J339" s="79">
        <f>SUM(H339:I339)+'BM 010'!I336</f>
        <v>30</v>
      </c>
      <c r="K339" s="79">
        <f t="shared" si="148"/>
        <v>132.16999999999999</v>
      </c>
      <c r="L339" s="80">
        <v>74</v>
      </c>
      <c r="M339" s="81">
        <v>93.802408139999997</v>
      </c>
      <c r="N339" s="82">
        <f t="shared" si="174"/>
        <v>0</v>
      </c>
      <c r="O339" s="82">
        <f t="shared" si="175"/>
        <v>0</v>
      </c>
      <c r="P339" s="82">
        <f>O339+'BM 010'!O336</f>
        <v>2814.07</v>
      </c>
      <c r="Q339" s="80">
        <f t="shared" si="176"/>
        <v>12000.58</v>
      </c>
      <c r="R339" s="82">
        <f t="shared" si="177"/>
        <v>15211.93</v>
      </c>
      <c r="S339" s="82">
        <f t="shared" si="178"/>
        <v>15211.93</v>
      </c>
      <c r="T339" s="82">
        <f t="shared" si="179"/>
        <v>12397.86</v>
      </c>
    </row>
    <row r="340" spans="2:20" s="34" customFormat="1" ht="24">
      <c r="B340" s="66" t="s">
        <v>666</v>
      </c>
      <c r="C340" s="67" t="s">
        <v>667</v>
      </c>
      <c r="D340" s="68"/>
      <c r="E340" s="69"/>
      <c r="F340" s="69"/>
      <c r="G340" s="70"/>
      <c r="H340" s="70"/>
      <c r="I340" s="70"/>
      <c r="J340" s="70">
        <f>SUM(H340:I340)+'BM 010'!I337</f>
        <v>0</v>
      </c>
      <c r="K340" s="70">
        <f t="shared" si="148"/>
        <v>0</v>
      </c>
      <c r="L340" s="71"/>
      <c r="M340" s="71">
        <v>0</v>
      </c>
      <c r="N340" s="73">
        <f t="shared" ref="N340:T340" si="180">SUM(N341:N397)</f>
        <v>0</v>
      </c>
      <c r="O340" s="73">
        <f t="shared" si="180"/>
        <v>0</v>
      </c>
      <c r="P340" s="73">
        <f t="shared" si="180"/>
        <v>848.67</v>
      </c>
      <c r="Q340" s="73">
        <f t="shared" si="180"/>
        <v>49585.86</v>
      </c>
      <c r="R340" s="73">
        <f t="shared" si="180"/>
        <v>62854.749999999985</v>
      </c>
      <c r="S340" s="73">
        <f t="shared" si="180"/>
        <v>62854.749999999985</v>
      </c>
      <c r="T340" s="73">
        <f t="shared" si="180"/>
        <v>62006.079999999987</v>
      </c>
    </row>
    <row r="341" spans="2:20" s="34" customFormat="1" ht="46.2">
      <c r="B341" s="75" t="s">
        <v>668</v>
      </c>
      <c r="C341" s="76" t="s">
        <v>669</v>
      </c>
      <c r="D341" s="77" t="s">
        <v>131</v>
      </c>
      <c r="E341" s="93">
        <v>2</v>
      </c>
      <c r="F341" s="93">
        <v>2</v>
      </c>
      <c r="G341" s="79"/>
      <c r="H341" s="79"/>
      <c r="I341" s="79"/>
      <c r="J341" s="79">
        <f>SUM(H341:I341)+'BM 010'!I338</f>
        <v>0</v>
      </c>
      <c r="K341" s="79">
        <f t="shared" si="148"/>
        <v>2</v>
      </c>
      <c r="L341" s="80">
        <v>119</v>
      </c>
      <c r="M341" s="81">
        <v>150.84441308999999</v>
      </c>
      <c r="N341" s="82">
        <f t="shared" ref="N341:N372" si="181">TRUNC(G341*M341,2)</f>
        <v>0</v>
      </c>
      <c r="O341" s="82">
        <f t="shared" ref="O341:O372" si="182">TRUNC(H341*M341,2)</f>
        <v>0</v>
      </c>
      <c r="P341" s="82">
        <f>O341+'BM 010'!O338</f>
        <v>0</v>
      </c>
      <c r="Q341" s="80">
        <f t="shared" ref="Q341:Q372" si="183">E341*L341</f>
        <v>238</v>
      </c>
      <c r="R341" s="82">
        <f t="shared" ref="R341:R372" si="184">TRUNC(E341*M341,2)</f>
        <v>301.68</v>
      </c>
      <c r="S341" s="82">
        <f t="shared" ref="S341:S372" si="185">TRUNC(F341*$M341,2)</f>
        <v>301.68</v>
      </c>
      <c r="T341" s="82">
        <f t="shared" ref="T341:T372" si="186">S341-P341</f>
        <v>301.68</v>
      </c>
    </row>
    <row r="342" spans="2:20" s="34" customFormat="1" ht="46.2">
      <c r="B342" s="75" t="s">
        <v>670</v>
      </c>
      <c r="C342" s="76" t="s">
        <v>671</v>
      </c>
      <c r="D342" s="77" t="s">
        <v>131</v>
      </c>
      <c r="E342" s="93">
        <v>12</v>
      </c>
      <c r="F342" s="93">
        <v>12</v>
      </c>
      <c r="G342" s="79"/>
      <c r="H342" s="79"/>
      <c r="I342" s="79"/>
      <c r="J342" s="79">
        <f>SUM(H342:I342)+'BM 010'!I339</f>
        <v>0</v>
      </c>
      <c r="K342" s="79">
        <f t="shared" si="148"/>
        <v>12</v>
      </c>
      <c r="L342" s="80">
        <v>215</v>
      </c>
      <c r="M342" s="81">
        <v>272.53402364999999</v>
      </c>
      <c r="N342" s="82">
        <f t="shared" si="181"/>
        <v>0</v>
      </c>
      <c r="O342" s="82">
        <f t="shared" si="182"/>
        <v>0</v>
      </c>
      <c r="P342" s="82">
        <f>O342+'BM 010'!O339</f>
        <v>0</v>
      </c>
      <c r="Q342" s="80">
        <f t="shared" si="183"/>
        <v>2580</v>
      </c>
      <c r="R342" s="82">
        <f t="shared" si="184"/>
        <v>3270.4</v>
      </c>
      <c r="S342" s="82">
        <f t="shared" si="185"/>
        <v>3270.4</v>
      </c>
      <c r="T342" s="82">
        <f t="shared" si="186"/>
        <v>3270.4</v>
      </c>
    </row>
    <row r="343" spans="2:20" s="34" customFormat="1" ht="23.4">
      <c r="B343" s="75" t="s">
        <v>672</v>
      </c>
      <c r="C343" s="76" t="s">
        <v>673</v>
      </c>
      <c r="D343" s="77" t="s">
        <v>131</v>
      </c>
      <c r="E343" s="93">
        <v>15</v>
      </c>
      <c r="F343" s="93">
        <v>15</v>
      </c>
      <c r="G343" s="79"/>
      <c r="H343" s="79"/>
      <c r="I343" s="79"/>
      <c r="J343" s="79">
        <f>SUM(H343:I343)+'BM 010'!I340</f>
        <v>0</v>
      </c>
      <c r="K343" s="79">
        <f t="shared" si="148"/>
        <v>15</v>
      </c>
      <c r="L343" s="80">
        <v>98</v>
      </c>
      <c r="M343" s="81">
        <v>124.22481078</v>
      </c>
      <c r="N343" s="82">
        <f t="shared" si="181"/>
        <v>0</v>
      </c>
      <c r="O343" s="82">
        <f t="shared" si="182"/>
        <v>0</v>
      </c>
      <c r="P343" s="82">
        <f>O343+'BM 010'!O340</f>
        <v>0</v>
      </c>
      <c r="Q343" s="80">
        <f t="shared" si="183"/>
        <v>1470</v>
      </c>
      <c r="R343" s="82">
        <f t="shared" si="184"/>
        <v>1863.37</v>
      </c>
      <c r="S343" s="82">
        <f t="shared" si="185"/>
        <v>1863.37</v>
      </c>
      <c r="T343" s="82">
        <f t="shared" si="186"/>
        <v>1863.37</v>
      </c>
    </row>
    <row r="344" spans="2:20" s="34" customFormat="1" ht="34.799999999999997">
      <c r="B344" s="75" t="s">
        <v>674</v>
      </c>
      <c r="C344" s="76" t="s">
        <v>675</v>
      </c>
      <c r="D344" s="77" t="s">
        <v>131</v>
      </c>
      <c r="E344" s="93">
        <v>5</v>
      </c>
      <c r="F344" s="93">
        <v>5</v>
      </c>
      <c r="G344" s="79"/>
      <c r="H344" s="79"/>
      <c r="I344" s="79"/>
      <c r="J344" s="79">
        <f>SUM(H344:I344)+'BM 010'!I341</f>
        <v>0</v>
      </c>
      <c r="K344" s="79">
        <f t="shared" si="148"/>
        <v>5</v>
      </c>
      <c r="L344" s="80">
        <v>52</v>
      </c>
      <c r="M344" s="81">
        <v>65.915205720000003</v>
      </c>
      <c r="N344" s="82">
        <f t="shared" si="181"/>
        <v>0</v>
      </c>
      <c r="O344" s="82">
        <f t="shared" si="182"/>
        <v>0</v>
      </c>
      <c r="P344" s="82">
        <f>O344+'BM 010'!O341</f>
        <v>0</v>
      </c>
      <c r="Q344" s="80">
        <f t="shared" si="183"/>
        <v>260</v>
      </c>
      <c r="R344" s="82">
        <f t="shared" si="184"/>
        <v>329.57</v>
      </c>
      <c r="S344" s="82">
        <f t="shared" si="185"/>
        <v>329.57</v>
      </c>
      <c r="T344" s="82">
        <f t="shared" si="186"/>
        <v>329.57</v>
      </c>
    </row>
    <row r="345" spans="2:20" s="34" customFormat="1" ht="34.799999999999997">
      <c r="B345" s="75" t="s">
        <v>676</v>
      </c>
      <c r="C345" s="76" t="s">
        <v>677</v>
      </c>
      <c r="D345" s="77" t="s">
        <v>131</v>
      </c>
      <c r="E345" s="93">
        <v>160</v>
      </c>
      <c r="F345" s="93">
        <v>160</v>
      </c>
      <c r="G345" s="79"/>
      <c r="H345" s="79"/>
      <c r="I345" s="79"/>
      <c r="J345" s="79">
        <f>SUM(H345:I345)+'BM 010'!I342</f>
        <v>0</v>
      </c>
      <c r="K345" s="79">
        <f t="shared" si="148"/>
        <v>160</v>
      </c>
      <c r="L345" s="80">
        <v>105.95</v>
      </c>
      <c r="M345" s="81">
        <v>134.30223165449999</v>
      </c>
      <c r="N345" s="82">
        <f t="shared" si="181"/>
        <v>0</v>
      </c>
      <c r="O345" s="82">
        <f t="shared" si="182"/>
        <v>0</v>
      </c>
      <c r="P345" s="82">
        <f>O345+'BM 010'!O342</f>
        <v>0</v>
      </c>
      <c r="Q345" s="80">
        <f t="shared" si="183"/>
        <v>16952</v>
      </c>
      <c r="R345" s="82">
        <f t="shared" si="184"/>
        <v>21488.35</v>
      </c>
      <c r="S345" s="82">
        <f t="shared" si="185"/>
        <v>21488.35</v>
      </c>
      <c r="T345" s="82">
        <f t="shared" si="186"/>
        <v>21488.35</v>
      </c>
    </row>
    <row r="346" spans="2:20" s="34" customFormat="1" ht="23.4">
      <c r="B346" s="75" t="s">
        <v>678</v>
      </c>
      <c r="C346" s="76" t="s">
        <v>679</v>
      </c>
      <c r="D346" s="77" t="s">
        <v>131</v>
      </c>
      <c r="E346" s="93">
        <v>11</v>
      </c>
      <c r="F346" s="93">
        <v>11</v>
      </c>
      <c r="G346" s="79"/>
      <c r="H346" s="79"/>
      <c r="I346" s="79"/>
      <c r="J346" s="79">
        <f>SUM(H346:I346)+'BM 010'!I343</f>
        <v>0</v>
      </c>
      <c r="K346" s="79">
        <f t="shared" si="148"/>
        <v>11</v>
      </c>
      <c r="L346" s="80">
        <v>485</v>
      </c>
      <c r="M346" s="81">
        <v>614.78605334999997</v>
      </c>
      <c r="N346" s="82">
        <f t="shared" si="181"/>
        <v>0</v>
      </c>
      <c r="O346" s="82">
        <f t="shared" si="182"/>
        <v>0</v>
      </c>
      <c r="P346" s="82">
        <f>O346+'BM 010'!O343</f>
        <v>0</v>
      </c>
      <c r="Q346" s="80">
        <f t="shared" si="183"/>
        <v>5335</v>
      </c>
      <c r="R346" s="82">
        <f t="shared" si="184"/>
        <v>6762.64</v>
      </c>
      <c r="S346" s="82">
        <f t="shared" si="185"/>
        <v>6762.64</v>
      </c>
      <c r="T346" s="82">
        <f t="shared" si="186"/>
        <v>6762.64</v>
      </c>
    </row>
    <row r="347" spans="2:20" s="34" customFormat="1" ht="34.799999999999997">
      <c r="B347" s="75" t="s">
        <v>680</v>
      </c>
      <c r="C347" s="88" t="s">
        <v>681</v>
      </c>
      <c r="D347" s="89" t="s">
        <v>131</v>
      </c>
      <c r="E347" s="90">
        <v>3</v>
      </c>
      <c r="F347" s="90">
        <v>3</v>
      </c>
      <c r="G347" s="91"/>
      <c r="H347" s="91"/>
      <c r="I347" s="91"/>
      <c r="J347" s="91">
        <f>SUM(H347:I347)+'BM 010'!I344</f>
        <v>0</v>
      </c>
      <c r="K347" s="91">
        <f t="shared" si="148"/>
        <v>3</v>
      </c>
      <c r="L347" s="80">
        <v>165</v>
      </c>
      <c r="M347" s="81">
        <v>209.15401815000001</v>
      </c>
      <c r="N347" s="82">
        <f t="shared" si="181"/>
        <v>0</v>
      </c>
      <c r="O347" s="82">
        <f t="shared" si="182"/>
        <v>0</v>
      </c>
      <c r="P347" s="82">
        <f>O347+'BM 010'!O344</f>
        <v>0</v>
      </c>
      <c r="Q347" s="80">
        <f t="shared" si="183"/>
        <v>495</v>
      </c>
      <c r="R347" s="82">
        <f t="shared" si="184"/>
        <v>627.46</v>
      </c>
      <c r="S347" s="82">
        <f t="shared" si="185"/>
        <v>627.46</v>
      </c>
      <c r="T347" s="82">
        <f t="shared" si="186"/>
        <v>627.46</v>
      </c>
    </row>
    <row r="348" spans="2:20" s="34" customFormat="1" ht="23.4">
      <c r="B348" s="75" t="s">
        <v>682</v>
      </c>
      <c r="C348" s="88" t="s">
        <v>683</v>
      </c>
      <c r="D348" s="89" t="s">
        <v>131</v>
      </c>
      <c r="E348" s="90">
        <v>1</v>
      </c>
      <c r="F348" s="90">
        <v>1</v>
      </c>
      <c r="G348" s="91"/>
      <c r="H348" s="91"/>
      <c r="I348" s="91"/>
      <c r="J348" s="91">
        <f>SUM(H348:I348)+'BM 010'!I345</f>
        <v>0</v>
      </c>
      <c r="K348" s="91">
        <f t="shared" si="148"/>
        <v>1</v>
      </c>
      <c r="L348" s="80">
        <v>169</v>
      </c>
      <c r="M348" s="81">
        <v>214.22441859</v>
      </c>
      <c r="N348" s="82">
        <f t="shared" si="181"/>
        <v>0</v>
      </c>
      <c r="O348" s="82">
        <f t="shared" si="182"/>
        <v>0</v>
      </c>
      <c r="P348" s="82">
        <f>O348+'BM 010'!O345</f>
        <v>0</v>
      </c>
      <c r="Q348" s="80">
        <f t="shared" si="183"/>
        <v>169</v>
      </c>
      <c r="R348" s="82">
        <f t="shared" si="184"/>
        <v>214.22</v>
      </c>
      <c r="S348" s="82">
        <f t="shared" si="185"/>
        <v>214.22</v>
      </c>
      <c r="T348" s="82">
        <f t="shared" si="186"/>
        <v>214.22</v>
      </c>
    </row>
    <row r="349" spans="2:20" s="34" customFormat="1" ht="23.4">
      <c r="B349" s="75" t="s">
        <v>684</v>
      </c>
      <c r="C349" s="88" t="s">
        <v>685</v>
      </c>
      <c r="D349" s="89" t="s">
        <v>131</v>
      </c>
      <c r="E349" s="90">
        <v>1</v>
      </c>
      <c r="F349" s="90">
        <v>1</v>
      </c>
      <c r="G349" s="91"/>
      <c r="H349" s="91"/>
      <c r="I349" s="91"/>
      <c r="J349" s="91">
        <f>SUM(H349:I349)+'BM 010'!I346</f>
        <v>0</v>
      </c>
      <c r="K349" s="91">
        <f t="shared" si="148"/>
        <v>1</v>
      </c>
      <c r="L349" s="80">
        <v>99</v>
      </c>
      <c r="M349" s="81">
        <v>125.49241089</v>
      </c>
      <c r="N349" s="82">
        <f t="shared" si="181"/>
        <v>0</v>
      </c>
      <c r="O349" s="82">
        <f t="shared" si="182"/>
        <v>0</v>
      </c>
      <c r="P349" s="82">
        <f>O349+'BM 010'!O346</f>
        <v>0</v>
      </c>
      <c r="Q349" s="80">
        <f t="shared" si="183"/>
        <v>99</v>
      </c>
      <c r="R349" s="82">
        <f t="shared" si="184"/>
        <v>125.49</v>
      </c>
      <c r="S349" s="82">
        <f t="shared" si="185"/>
        <v>125.49</v>
      </c>
      <c r="T349" s="82">
        <f t="shared" si="186"/>
        <v>125.49</v>
      </c>
    </row>
    <row r="350" spans="2:20" s="34" customFormat="1" ht="23.4">
      <c r="B350" s="75" t="s">
        <v>686</v>
      </c>
      <c r="C350" s="88" t="s">
        <v>687</v>
      </c>
      <c r="D350" s="89" t="s">
        <v>131</v>
      </c>
      <c r="E350" s="90">
        <v>1</v>
      </c>
      <c r="F350" s="90">
        <v>1</v>
      </c>
      <c r="G350" s="91"/>
      <c r="H350" s="91"/>
      <c r="I350" s="91"/>
      <c r="J350" s="91">
        <f>SUM(H350:I350)+'BM 010'!I347</f>
        <v>0</v>
      </c>
      <c r="K350" s="91">
        <f t="shared" ref="K350:K413" si="187">F350-J350</f>
        <v>1</v>
      </c>
      <c r="L350" s="80">
        <v>265</v>
      </c>
      <c r="M350" s="81">
        <v>335.91402914999998</v>
      </c>
      <c r="N350" s="82">
        <f t="shared" si="181"/>
        <v>0</v>
      </c>
      <c r="O350" s="82">
        <f t="shared" si="182"/>
        <v>0</v>
      </c>
      <c r="P350" s="82">
        <f>O350+'BM 010'!O347</f>
        <v>0</v>
      </c>
      <c r="Q350" s="80">
        <f t="shared" si="183"/>
        <v>265</v>
      </c>
      <c r="R350" s="82">
        <f t="shared" si="184"/>
        <v>335.91</v>
      </c>
      <c r="S350" s="82">
        <f t="shared" si="185"/>
        <v>335.91</v>
      </c>
      <c r="T350" s="82">
        <f t="shared" si="186"/>
        <v>335.91</v>
      </c>
    </row>
    <row r="351" spans="2:20" s="34" customFormat="1" ht="57.6">
      <c r="B351" s="75" t="s">
        <v>688</v>
      </c>
      <c r="C351" s="88" t="s">
        <v>689</v>
      </c>
      <c r="D351" s="89" t="s">
        <v>131</v>
      </c>
      <c r="E351" s="90">
        <v>16</v>
      </c>
      <c r="F351" s="90">
        <v>16</v>
      </c>
      <c r="G351" s="91"/>
      <c r="H351" s="91"/>
      <c r="I351" s="91"/>
      <c r="J351" s="91">
        <f>SUM(H351:I351)+'BM 010'!I348</f>
        <v>0</v>
      </c>
      <c r="K351" s="91">
        <f t="shared" si="187"/>
        <v>16</v>
      </c>
      <c r="L351" s="80">
        <v>9.8000000000000007</v>
      </c>
      <c r="M351" s="81">
        <v>12.422481078000001</v>
      </c>
      <c r="N351" s="82">
        <f t="shared" si="181"/>
        <v>0</v>
      </c>
      <c r="O351" s="82">
        <f t="shared" si="182"/>
        <v>0</v>
      </c>
      <c r="P351" s="82">
        <f>O351+'BM 010'!O348</f>
        <v>0</v>
      </c>
      <c r="Q351" s="80">
        <f t="shared" si="183"/>
        <v>156.80000000000001</v>
      </c>
      <c r="R351" s="82">
        <f t="shared" si="184"/>
        <v>198.75</v>
      </c>
      <c r="S351" s="82">
        <f t="shared" si="185"/>
        <v>198.75</v>
      </c>
      <c r="T351" s="82">
        <f t="shared" si="186"/>
        <v>198.75</v>
      </c>
    </row>
    <row r="352" spans="2:20" s="34" customFormat="1" ht="57.6">
      <c r="B352" s="75" t="s">
        <v>690</v>
      </c>
      <c r="C352" s="88" t="s">
        <v>691</v>
      </c>
      <c r="D352" s="89" t="s">
        <v>131</v>
      </c>
      <c r="E352" s="90">
        <v>4</v>
      </c>
      <c r="F352" s="90">
        <v>4</v>
      </c>
      <c r="G352" s="91"/>
      <c r="H352" s="91"/>
      <c r="I352" s="91"/>
      <c r="J352" s="91">
        <f>SUM(H352:I352)+'BM 010'!I349</f>
        <v>0</v>
      </c>
      <c r="K352" s="91">
        <f t="shared" si="187"/>
        <v>4</v>
      </c>
      <c r="L352" s="80">
        <v>12.5</v>
      </c>
      <c r="M352" s="81">
        <v>15.845001375000001</v>
      </c>
      <c r="N352" s="82">
        <f t="shared" si="181"/>
        <v>0</v>
      </c>
      <c r="O352" s="82">
        <f t="shared" si="182"/>
        <v>0</v>
      </c>
      <c r="P352" s="82">
        <f>O352+'BM 010'!O349</f>
        <v>0</v>
      </c>
      <c r="Q352" s="80">
        <f t="shared" si="183"/>
        <v>50</v>
      </c>
      <c r="R352" s="82">
        <f t="shared" si="184"/>
        <v>63.38</v>
      </c>
      <c r="S352" s="82">
        <f t="shared" si="185"/>
        <v>63.38</v>
      </c>
      <c r="T352" s="82">
        <f t="shared" si="186"/>
        <v>63.38</v>
      </c>
    </row>
    <row r="353" spans="2:20" s="34" customFormat="1" ht="57.6">
      <c r="B353" s="75" t="s">
        <v>692</v>
      </c>
      <c r="C353" s="88" t="s">
        <v>693</v>
      </c>
      <c r="D353" s="89" t="s">
        <v>131</v>
      </c>
      <c r="E353" s="90">
        <v>2</v>
      </c>
      <c r="F353" s="90">
        <v>2</v>
      </c>
      <c r="G353" s="91"/>
      <c r="H353" s="91"/>
      <c r="I353" s="91"/>
      <c r="J353" s="91">
        <f>SUM(H353:I353)+'BM 010'!I350</f>
        <v>0</v>
      </c>
      <c r="K353" s="91">
        <f t="shared" si="187"/>
        <v>2</v>
      </c>
      <c r="L353" s="80">
        <v>28</v>
      </c>
      <c r="M353" s="81">
        <v>35.492803080000002</v>
      </c>
      <c r="N353" s="82">
        <f t="shared" si="181"/>
        <v>0</v>
      </c>
      <c r="O353" s="82">
        <f t="shared" si="182"/>
        <v>0</v>
      </c>
      <c r="P353" s="82">
        <f>O353+'BM 010'!O350</f>
        <v>0</v>
      </c>
      <c r="Q353" s="80">
        <f t="shared" si="183"/>
        <v>56</v>
      </c>
      <c r="R353" s="82">
        <f t="shared" si="184"/>
        <v>70.98</v>
      </c>
      <c r="S353" s="82">
        <f t="shared" si="185"/>
        <v>70.98</v>
      </c>
      <c r="T353" s="82">
        <f t="shared" si="186"/>
        <v>70.98</v>
      </c>
    </row>
    <row r="354" spans="2:20" s="34" customFormat="1" ht="57.6">
      <c r="B354" s="75" t="s">
        <v>694</v>
      </c>
      <c r="C354" s="88" t="s">
        <v>695</v>
      </c>
      <c r="D354" s="89" t="s">
        <v>131</v>
      </c>
      <c r="E354" s="90">
        <v>30</v>
      </c>
      <c r="F354" s="90">
        <v>30</v>
      </c>
      <c r="G354" s="91"/>
      <c r="H354" s="91"/>
      <c r="I354" s="91"/>
      <c r="J354" s="91">
        <f>SUM(H354:I354)+'BM 010'!I351</f>
        <v>0</v>
      </c>
      <c r="K354" s="91">
        <f t="shared" si="187"/>
        <v>30</v>
      </c>
      <c r="L354" s="80">
        <v>38</v>
      </c>
      <c r="M354" s="81">
        <v>48.168804180000002</v>
      </c>
      <c r="N354" s="82">
        <f t="shared" si="181"/>
        <v>0</v>
      </c>
      <c r="O354" s="82">
        <f t="shared" si="182"/>
        <v>0</v>
      </c>
      <c r="P354" s="82">
        <f>O354+'BM 010'!O351</f>
        <v>0</v>
      </c>
      <c r="Q354" s="80">
        <f t="shared" si="183"/>
        <v>1140</v>
      </c>
      <c r="R354" s="82">
        <f t="shared" si="184"/>
        <v>1445.06</v>
      </c>
      <c r="S354" s="82">
        <f t="shared" si="185"/>
        <v>1445.06</v>
      </c>
      <c r="T354" s="82">
        <f t="shared" si="186"/>
        <v>1445.06</v>
      </c>
    </row>
    <row r="355" spans="2:20" s="34" customFormat="1" ht="46.2">
      <c r="B355" s="75" t="s">
        <v>696</v>
      </c>
      <c r="C355" s="88" t="s">
        <v>697</v>
      </c>
      <c r="D355" s="89" t="s">
        <v>131</v>
      </c>
      <c r="E355" s="90">
        <v>320</v>
      </c>
      <c r="F355" s="90">
        <v>320</v>
      </c>
      <c r="G355" s="91"/>
      <c r="H355" s="91"/>
      <c r="I355" s="91"/>
      <c r="J355" s="91">
        <f>SUM(H355:I355)+'BM 010'!I352</f>
        <v>0</v>
      </c>
      <c r="K355" s="91">
        <f t="shared" si="187"/>
        <v>320</v>
      </c>
      <c r="L355" s="80">
        <v>5.33</v>
      </c>
      <c r="M355" s="81">
        <v>6.7563085863000003</v>
      </c>
      <c r="N355" s="82">
        <f t="shared" si="181"/>
        <v>0</v>
      </c>
      <c r="O355" s="82">
        <f t="shared" si="182"/>
        <v>0</v>
      </c>
      <c r="P355" s="82">
        <f>O355+'BM 010'!O352</f>
        <v>0</v>
      </c>
      <c r="Q355" s="80">
        <f t="shared" si="183"/>
        <v>1705.6</v>
      </c>
      <c r="R355" s="82">
        <f t="shared" si="184"/>
        <v>2162.0100000000002</v>
      </c>
      <c r="S355" s="82">
        <f t="shared" si="185"/>
        <v>2162.0100000000002</v>
      </c>
      <c r="T355" s="82">
        <f t="shared" si="186"/>
        <v>2162.0100000000002</v>
      </c>
    </row>
    <row r="356" spans="2:20" s="34" customFormat="1" ht="23.4">
      <c r="B356" s="75" t="s">
        <v>698</v>
      </c>
      <c r="C356" s="88" t="s">
        <v>699</v>
      </c>
      <c r="D356" s="89" t="s">
        <v>131</v>
      </c>
      <c r="E356" s="90">
        <v>12</v>
      </c>
      <c r="F356" s="90">
        <v>12</v>
      </c>
      <c r="G356" s="91"/>
      <c r="H356" s="91"/>
      <c r="I356" s="91"/>
      <c r="J356" s="91">
        <f>SUM(H356:I356)+'BM 010'!I353</f>
        <v>0</v>
      </c>
      <c r="K356" s="91">
        <f t="shared" si="187"/>
        <v>12</v>
      </c>
      <c r="L356" s="80">
        <v>4.92</v>
      </c>
      <c r="M356" s="81">
        <v>6.2365925412000003</v>
      </c>
      <c r="N356" s="82">
        <f t="shared" si="181"/>
        <v>0</v>
      </c>
      <c r="O356" s="82">
        <f t="shared" si="182"/>
        <v>0</v>
      </c>
      <c r="P356" s="82">
        <f>O356+'BM 010'!O353</f>
        <v>0</v>
      </c>
      <c r="Q356" s="80">
        <f t="shared" si="183"/>
        <v>59.04</v>
      </c>
      <c r="R356" s="82">
        <f t="shared" si="184"/>
        <v>74.83</v>
      </c>
      <c r="S356" s="82">
        <f t="shared" si="185"/>
        <v>74.83</v>
      </c>
      <c r="T356" s="82">
        <f t="shared" si="186"/>
        <v>74.83</v>
      </c>
    </row>
    <row r="357" spans="2:20" s="34" customFormat="1" ht="23.4">
      <c r="B357" s="75" t="s">
        <v>700</v>
      </c>
      <c r="C357" s="88" t="s">
        <v>701</v>
      </c>
      <c r="D357" s="89" t="s">
        <v>131</v>
      </c>
      <c r="E357" s="90">
        <v>1</v>
      </c>
      <c r="F357" s="90">
        <v>1</v>
      </c>
      <c r="G357" s="91"/>
      <c r="H357" s="91"/>
      <c r="I357" s="91"/>
      <c r="J357" s="91">
        <f>SUM(H357:I357)+'BM 010'!I354</f>
        <v>0</v>
      </c>
      <c r="K357" s="91">
        <f t="shared" si="187"/>
        <v>1</v>
      </c>
      <c r="L357" s="80">
        <v>5.49</v>
      </c>
      <c r="M357" s="81">
        <v>6.9591246039000003</v>
      </c>
      <c r="N357" s="82">
        <f t="shared" si="181"/>
        <v>0</v>
      </c>
      <c r="O357" s="82">
        <f t="shared" si="182"/>
        <v>0</v>
      </c>
      <c r="P357" s="82">
        <f>O357+'BM 010'!O354</f>
        <v>0</v>
      </c>
      <c r="Q357" s="80">
        <f t="shared" si="183"/>
        <v>5.49</v>
      </c>
      <c r="R357" s="82">
        <f t="shared" si="184"/>
        <v>6.95</v>
      </c>
      <c r="S357" s="82">
        <f t="shared" si="185"/>
        <v>6.95</v>
      </c>
      <c r="T357" s="82">
        <f t="shared" si="186"/>
        <v>6.95</v>
      </c>
    </row>
    <row r="358" spans="2:20" s="34" customFormat="1" ht="23.4">
      <c r="B358" s="75" t="s">
        <v>702</v>
      </c>
      <c r="C358" s="88" t="s">
        <v>703</v>
      </c>
      <c r="D358" s="89" t="s">
        <v>131</v>
      </c>
      <c r="E358" s="90">
        <v>1</v>
      </c>
      <c r="F358" s="90">
        <v>1</v>
      </c>
      <c r="G358" s="91"/>
      <c r="H358" s="91"/>
      <c r="I358" s="91"/>
      <c r="J358" s="91">
        <f>SUM(H358:I358)+'BM 010'!I355</f>
        <v>0</v>
      </c>
      <c r="K358" s="91">
        <f t="shared" si="187"/>
        <v>1</v>
      </c>
      <c r="L358" s="80">
        <v>8.5</v>
      </c>
      <c r="M358" s="81">
        <v>10.774600935</v>
      </c>
      <c r="N358" s="82">
        <f t="shared" si="181"/>
        <v>0</v>
      </c>
      <c r="O358" s="82">
        <f t="shared" si="182"/>
        <v>0</v>
      </c>
      <c r="P358" s="82">
        <f>O358+'BM 010'!O355</f>
        <v>0</v>
      </c>
      <c r="Q358" s="80">
        <f t="shared" si="183"/>
        <v>8.5</v>
      </c>
      <c r="R358" s="82">
        <f t="shared" si="184"/>
        <v>10.77</v>
      </c>
      <c r="S358" s="82">
        <f t="shared" si="185"/>
        <v>10.77</v>
      </c>
      <c r="T358" s="82">
        <f t="shared" si="186"/>
        <v>10.77</v>
      </c>
    </row>
    <row r="359" spans="2:20" s="34" customFormat="1" ht="23.4">
      <c r="B359" s="75" t="s">
        <v>704</v>
      </c>
      <c r="C359" s="88" t="s">
        <v>705</v>
      </c>
      <c r="D359" s="89" t="s">
        <v>131</v>
      </c>
      <c r="E359" s="90">
        <v>1</v>
      </c>
      <c r="F359" s="90">
        <v>1</v>
      </c>
      <c r="G359" s="91"/>
      <c r="H359" s="91"/>
      <c r="I359" s="91"/>
      <c r="J359" s="91">
        <f>SUM(H359:I359)+'BM 010'!I356</f>
        <v>0</v>
      </c>
      <c r="K359" s="91">
        <f t="shared" si="187"/>
        <v>1</v>
      </c>
      <c r="L359" s="80">
        <v>14.47</v>
      </c>
      <c r="M359" s="81">
        <v>18.3421735917</v>
      </c>
      <c r="N359" s="82">
        <f t="shared" si="181"/>
        <v>0</v>
      </c>
      <c r="O359" s="82">
        <f t="shared" si="182"/>
        <v>0</v>
      </c>
      <c r="P359" s="82">
        <f>O359+'BM 010'!O356</f>
        <v>0</v>
      </c>
      <c r="Q359" s="80">
        <f t="shared" si="183"/>
        <v>14.47</v>
      </c>
      <c r="R359" s="82">
        <f t="shared" si="184"/>
        <v>18.34</v>
      </c>
      <c r="S359" s="82">
        <f t="shared" si="185"/>
        <v>18.34</v>
      </c>
      <c r="T359" s="82">
        <f t="shared" si="186"/>
        <v>18.34</v>
      </c>
    </row>
    <row r="360" spans="2:20" s="34" customFormat="1" ht="23.4">
      <c r="B360" s="75" t="s">
        <v>706</v>
      </c>
      <c r="C360" s="88" t="s">
        <v>707</v>
      </c>
      <c r="D360" s="89" t="s">
        <v>131</v>
      </c>
      <c r="E360" s="90">
        <v>4</v>
      </c>
      <c r="F360" s="90">
        <v>4</v>
      </c>
      <c r="G360" s="91"/>
      <c r="H360" s="91"/>
      <c r="I360" s="91"/>
      <c r="J360" s="91">
        <f>SUM(H360:I360)+'BM 010'!I357</f>
        <v>0</v>
      </c>
      <c r="K360" s="91">
        <f t="shared" si="187"/>
        <v>4</v>
      </c>
      <c r="L360" s="80">
        <v>31.9</v>
      </c>
      <c r="M360" s="81">
        <v>40.436443509</v>
      </c>
      <c r="N360" s="82">
        <f t="shared" si="181"/>
        <v>0</v>
      </c>
      <c r="O360" s="82">
        <f t="shared" si="182"/>
        <v>0</v>
      </c>
      <c r="P360" s="82">
        <f>O360+'BM 010'!O357</f>
        <v>0</v>
      </c>
      <c r="Q360" s="80">
        <f t="shared" si="183"/>
        <v>127.6</v>
      </c>
      <c r="R360" s="82">
        <f t="shared" si="184"/>
        <v>161.74</v>
      </c>
      <c r="S360" s="82">
        <f t="shared" si="185"/>
        <v>161.74</v>
      </c>
      <c r="T360" s="82">
        <f t="shared" si="186"/>
        <v>161.74</v>
      </c>
    </row>
    <row r="361" spans="2:20" s="34" customFormat="1" ht="23.4">
      <c r="B361" s="75" t="s">
        <v>708</v>
      </c>
      <c r="C361" s="88" t="s">
        <v>709</v>
      </c>
      <c r="D361" s="89" t="s">
        <v>131</v>
      </c>
      <c r="E361" s="90">
        <v>1</v>
      </c>
      <c r="F361" s="90">
        <v>1</v>
      </c>
      <c r="G361" s="91"/>
      <c r="H361" s="91"/>
      <c r="I361" s="91"/>
      <c r="J361" s="91">
        <f>SUM(H361:I361)+'BM 010'!I358</f>
        <v>0</v>
      </c>
      <c r="K361" s="91">
        <f t="shared" si="187"/>
        <v>1</v>
      </c>
      <c r="L361" s="80">
        <v>11.22</v>
      </c>
      <c r="M361" s="81">
        <v>14.222473234200001</v>
      </c>
      <c r="N361" s="82">
        <f t="shared" si="181"/>
        <v>0</v>
      </c>
      <c r="O361" s="82">
        <f t="shared" si="182"/>
        <v>0</v>
      </c>
      <c r="P361" s="82">
        <f>O361+'BM 010'!O358</f>
        <v>0</v>
      </c>
      <c r="Q361" s="80">
        <f t="shared" si="183"/>
        <v>11.22</v>
      </c>
      <c r="R361" s="82">
        <f t="shared" si="184"/>
        <v>14.22</v>
      </c>
      <c r="S361" s="82">
        <f t="shared" si="185"/>
        <v>14.22</v>
      </c>
      <c r="T361" s="82">
        <f t="shared" si="186"/>
        <v>14.22</v>
      </c>
    </row>
    <row r="362" spans="2:20" s="34" customFormat="1" ht="23.4">
      <c r="B362" s="75" t="s">
        <v>710</v>
      </c>
      <c r="C362" s="88" t="s">
        <v>711</v>
      </c>
      <c r="D362" s="89" t="s">
        <v>131</v>
      </c>
      <c r="E362" s="90">
        <v>57</v>
      </c>
      <c r="F362" s="90">
        <v>57</v>
      </c>
      <c r="G362" s="91"/>
      <c r="H362" s="91"/>
      <c r="I362" s="91"/>
      <c r="J362" s="91">
        <f>SUM(H362:I362)+'BM 010'!I359</f>
        <v>0</v>
      </c>
      <c r="K362" s="91">
        <f t="shared" si="187"/>
        <v>57</v>
      </c>
      <c r="L362" s="80">
        <v>14.54</v>
      </c>
      <c r="M362" s="81">
        <v>18.430905599399999</v>
      </c>
      <c r="N362" s="82">
        <f t="shared" si="181"/>
        <v>0</v>
      </c>
      <c r="O362" s="82">
        <f t="shared" si="182"/>
        <v>0</v>
      </c>
      <c r="P362" s="82">
        <f>O362+'BM 010'!O359</f>
        <v>0</v>
      </c>
      <c r="Q362" s="80">
        <f t="shared" si="183"/>
        <v>828.78</v>
      </c>
      <c r="R362" s="82">
        <f t="shared" si="184"/>
        <v>1050.56</v>
      </c>
      <c r="S362" s="82">
        <f t="shared" si="185"/>
        <v>1050.56</v>
      </c>
      <c r="T362" s="82">
        <f t="shared" si="186"/>
        <v>1050.56</v>
      </c>
    </row>
    <row r="363" spans="2:20" s="34" customFormat="1" ht="23.4">
      <c r="B363" s="75" t="s">
        <v>712</v>
      </c>
      <c r="C363" s="88" t="s">
        <v>713</v>
      </c>
      <c r="D363" s="89" t="s">
        <v>131</v>
      </c>
      <c r="E363" s="90">
        <v>1</v>
      </c>
      <c r="F363" s="90">
        <v>1</v>
      </c>
      <c r="G363" s="91"/>
      <c r="H363" s="91"/>
      <c r="I363" s="91"/>
      <c r="J363" s="91">
        <f>SUM(H363:I363)+'BM 010'!I360</f>
        <v>0</v>
      </c>
      <c r="K363" s="91">
        <f t="shared" si="187"/>
        <v>1</v>
      </c>
      <c r="L363" s="80">
        <v>16.8</v>
      </c>
      <c r="M363" s="81">
        <v>21.295681848000001</v>
      </c>
      <c r="N363" s="82">
        <f t="shared" si="181"/>
        <v>0</v>
      </c>
      <c r="O363" s="82">
        <f t="shared" si="182"/>
        <v>0</v>
      </c>
      <c r="P363" s="82">
        <f>O363+'BM 010'!O360</f>
        <v>0</v>
      </c>
      <c r="Q363" s="80">
        <f t="shared" si="183"/>
        <v>16.8</v>
      </c>
      <c r="R363" s="82">
        <f t="shared" si="184"/>
        <v>21.29</v>
      </c>
      <c r="S363" s="82">
        <f t="shared" si="185"/>
        <v>21.29</v>
      </c>
      <c r="T363" s="82">
        <f t="shared" si="186"/>
        <v>21.29</v>
      </c>
    </row>
    <row r="364" spans="2:20" s="34" customFormat="1" ht="46.2">
      <c r="B364" s="75" t="s">
        <v>714</v>
      </c>
      <c r="C364" s="88" t="s">
        <v>715</v>
      </c>
      <c r="D364" s="89" t="s">
        <v>131</v>
      </c>
      <c r="E364" s="90">
        <v>1</v>
      </c>
      <c r="F364" s="90">
        <v>1</v>
      </c>
      <c r="G364" s="91"/>
      <c r="H364" s="91"/>
      <c r="I364" s="91"/>
      <c r="J364" s="91">
        <f>SUM(H364:I364)+'BM 010'!I361</f>
        <v>0</v>
      </c>
      <c r="K364" s="91">
        <f t="shared" si="187"/>
        <v>1</v>
      </c>
      <c r="L364" s="80">
        <v>25</v>
      </c>
      <c r="M364" s="81">
        <v>31.690002750000001</v>
      </c>
      <c r="N364" s="82">
        <f t="shared" si="181"/>
        <v>0</v>
      </c>
      <c r="O364" s="82">
        <f t="shared" si="182"/>
        <v>0</v>
      </c>
      <c r="P364" s="82">
        <f>O364+'BM 010'!O361</f>
        <v>0</v>
      </c>
      <c r="Q364" s="80">
        <f t="shared" si="183"/>
        <v>25</v>
      </c>
      <c r="R364" s="82">
        <f t="shared" si="184"/>
        <v>31.69</v>
      </c>
      <c r="S364" s="82">
        <f t="shared" si="185"/>
        <v>31.69</v>
      </c>
      <c r="T364" s="82">
        <f t="shared" si="186"/>
        <v>31.69</v>
      </c>
    </row>
    <row r="365" spans="2:20" s="34" customFormat="1" ht="34.799999999999997">
      <c r="B365" s="75" t="s">
        <v>716</v>
      </c>
      <c r="C365" s="88" t="s">
        <v>717</v>
      </c>
      <c r="D365" s="89" t="s">
        <v>131</v>
      </c>
      <c r="E365" s="90">
        <v>24</v>
      </c>
      <c r="F365" s="90">
        <v>24</v>
      </c>
      <c r="G365" s="91"/>
      <c r="H365" s="91"/>
      <c r="I365" s="91"/>
      <c r="J365" s="91">
        <f>SUM(H365:I365)+'BM 010'!I362</f>
        <v>0</v>
      </c>
      <c r="K365" s="91">
        <f t="shared" si="187"/>
        <v>24</v>
      </c>
      <c r="L365" s="80">
        <v>5.37</v>
      </c>
      <c r="M365" s="81">
        <v>6.8070125907000003</v>
      </c>
      <c r="N365" s="82">
        <f t="shared" si="181"/>
        <v>0</v>
      </c>
      <c r="O365" s="82">
        <f t="shared" si="182"/>
        <v>0</v>
      </c>
      <c r="P365" s="82">
        <f>O365+'BM 010'!O362</f>
        <v>0</v>
      </c>
      <c r="Q365" s="80">
        <f t="shared" si="183"/>
        <v>128.88</v>
      </c>
      <c r="R365" s="82">
        <f t="shared" si="184"/>
        <v>163.36000000000001</v>
      </c>
      <c r="S365" s="82">
        <f t="shared" si="185"/>
        <v>163.36000000000001</v>
      </c>
      <c r="T365" s="82">
        <f t="shared" si="186"/>
        <v>163.36000000000001</v>
      </c>
    </row>
    <row r="366" spans="2:20" s="34" customFormat="1" ht="34.799999999999997">
      <c r="B366" s="75" t="s">
        <v>718</v>
      </c>
      <c r="C366" s="88" t="s">
        <v>719</v>
      </c>
      <c r="D366" s="89" t="s">
        <v>131</v>
      </c>
      <c r="E366" s="90">
        <v>2</v>
      </c>
      <c r="F366" s="90">
        <v>2</v>
      </c>
      <c r="G366" s="91"/>
      <c r="H366" s="91"/>
      <c r="I366" s="91"/>
      <c r="J366" s="91">
        <f>SUM(H366:I366)+'BM 010'!I363</f>
        <v>0</v>
      </c>
      <c r="K366" s="91">
        <f t="shared" si="187"/>
        <v>2</v>
      </c>
      <c r="L366" s="80">
        <v>8.76</v>
      </c>
      <c r="M366" s="81">
        <v>11.104176963600001</v>
      </c>
      <c r="N366" s="82">
        <f t="shared" si="181"/>
        <v>0</v>
      </c>
      <c r="O366" s="82">
        <f t="shared" si="182"/>
        <v>0</v>
      </c>
      <c r="P366" s="82">
        <f>O366+'BM 010'!O363</f>
        <v>0</v>
      </c>
      <c r="Q366" s="80">
        <f t="shared" si="183"/>
        <v>17.52</v>
      </c>
      <c r="R366" s="82">
        <f t="shared" si="184"/>
        <v>22.2</v>
      </c>
      <c r="S366" s="82">
        <f t="shared" si="185"/>
        <v>22.2</v>
      </c>
      <c r="T366" s="82">
        <f t="shared" si="186"/>
        <v>22.2</v>
      </c>
    </row>
    <row r="367" spans="2:20" s="34" customFormat="1" ht="34.799999999999997">
      <c r="B367" s="75" t="s">
        <v>720</v>
      </c>
      <c r="C367" s="88" t="s">
        <v>721</v>
      </c>
      <c r="D367" s="89" t="s">
        <v>131</v>
      </c>
      <c r="E367" s="90">
        <v>4</v>
      </c>
      <c r="F367" s="90">
        <v>4</v>
      </c>
      <c r="G367" s="91"/>
      <c r="H367" s="91"/>
      <c r="I367" s="91"/>
      <c r="J367" s="91">
        <f>SUM(H367:I367)+'BM 010'!I364</f>
        <v>0</v>
      </c>
      <c r="K367" s="91">
        <f t="shared" si="187"/>
        <v>4</v>
      </c>
      <c r="L367" s="80">
        <v>11.55</v>
      </c>
      <c r="M367" s="81">
        <v>14.6407812705</v>
      </c>
      <c r="N367" s="82">
        <f t="shared" si="181"/>
        <v>0</v>
      </c>
      <c r="O367" s="82">
        <f t="shared" si="182"/>
        <v>0</v>
      </c>
      <c r="P367" s="82">
        <f>O367+'BM 010'!O364</f>
        <v>0</v>
      </c>
      <c r="Q367" s="80">
        <f t="shared" si="183"/>
        <v>46.2</v>
      </c>
      <c r="R367" s="82">
        <f t="shared" si="184"/>
        <v>58.56</v>
      </c>
      <c r="S367" s="82">
        <f t="shared" si="185"/>
        <v>58.56</v>
      </c>
      <c r="T367" s="82">
        <f t="shared" si="186"/>
        <v>58.56</v>
      </c>
    </row>
    <row r="368" spans="2:20" s="34" customFormat="1" ht="34.799999999999997">
      <c r="B368" s="75" t="s">
        <v>722</v>
      </c>
      <c r="C368" s="88" t="s">
        <v>723</v>
      </c>
      <c r="D368" s="89" t="s">
        <v>131</v>
      </c>
      <c r="E368" s="90">
        <v>2</v>
      </c>
      <c r="F368" s="90">
        <v>2</v>
      </c>
      <c r="G368" s="91"/>
      <c r="H368" s="91"/>
      <c r="I368" s="91"/>
      <c r="J368" s="91">
        <f>SUM(H368:I368)+'BM 010'!I365</f>
        <v>0</v>
      </c>
      <c r="K368" s="91">
        <f t="shared" si="187"/>
        <v>2</v>
      </c>
      <c r="L368" s="80">
        <v>34.32</v>
      </c>
      <c r="M368" s="81">
        <v>43.504035775200002</v>
      </c>
      <c r="N368" s="82">
        <f t="shared" si="181"/>
        <v>0</v>
      </c>
      <c r="O368" s="82">
        <f t="shared" si="182"/>
        <v>0</v>
      </c>
      <c r="P368" s="82">
        <f>O368+'BM 010'!O365</f>
        <v>0</v>
      </c>
      <c r="Q368" s="80">
        <f t="shared" si="183"/>
        <v>68.64</v>
      </c>
      <c r="R368" s="82">
        <f t="shared" si="184"/>
        <v>87</v>
      </c>
      <c r="S368" s="82">
        <f t="shared" si="185"/>
        <v>87</v>
      </c>
      <c r="T368" s="82">
        <f t="shared" si="186"/>
        <v>87</v>
      </c>
    </row>
    <row r="369" spans="2:20" s="34" customFormat="1" ht="34.799999999999997">
      <c r="B369" s="75" t="s">
        <v>724</v>
      </c>
      <c r="C369" s="88" t="s">
        <v>725</v>
      </c>
      <c r="D369" s="89" t="s">
        <v>131</v>
      </c>
      <c r="E369" s="90">
        <v>3</v>
      </c>
      <c r="F369" s="90">
        <v>3</v>
      </c>
      <c r="G369" s="91"/>
      <c r="H369" s="91"/>
      <c r="I369" s="91"/>
      <c r="J369" s="91">
        <f>SUM(H369:I369)+'BM 010'!I366</f>
        <v>0</v>
      </c>
      <c r="K369" s="91">
        <f t="shared" si="187"/>
        <v>3</v>
      </c>
      <c r="L369" s="80">
        <v>71.75</v>
      </c>
      <c r="M369" s="81">
        <v>90.950307892500007</v>
      </c>
      <c r="N369" s="82">
        <f t="shared" si="181"/>
        <v>0</v>
      </c>
      <c r="O369" s="82">
        <f t="shared" si="182"/>
        <v>0</v>
      </c>
      <c r="P369" s="82">
        <f>O369+'BM 010'!O366</f>
        <v>0</v>
      </c>
      <c r="Q369" s="80">
        <f t="shared" si="183"/>
        <v>215.25</v>
      </c>
      <c r="R369" s="82">
        <f t="shared" si="184"/>
        <v>272.85000000000002</v>
      </c>
      <c r="S369" s="82">
        <f t="shared" si="185"/>
        <v>272.85000000000002</v>
      </c>
      <c r="T369" s="82">
        <f t="shared" si="186"/>
        <v>272.85000000000002</v>
      </c>
    </row>
    <row r="370" spans="2:20" s="34" customFormat="1" ht="46.2">
      <c r="B370" s="75" t="s">
        <v>726</v>
      </c>
      <c r="C370" s="88" t="s">
        <v>727</v>
      </c>
      <c r="D370" s="89" t="s">
        <v>131</v>
      </c>
      <c r="E370" s="90">
        <v>1</v>
      </c>
      <c r="F370" s="90">
        <v>1</v>
      </c>
      <c r="G370" s="91"/>
      <c r="H370" s="91"/>
      <c r="I370" s="91"/>
      <c r="J370" s="91">
        <f>SUM(H370:I370)+'BM 010'!I367</f>
        <v>0</v>
      </c>
      <c r="K370" s="91">
        <f t="shared" si="187"/>
        <v>1</v>
      </c>
      <c r="L370" s="80">
        <v>14.38</v>
      </c>
      <c r="M370" s="81">
        <v>18.228089581799999</v>
      </c>
      <c r="N370" s="82">
        <f t="shared" si="181"/>
        <v>0</v>
      </c>
      <c r="O370" s="82">
        <f t="shared" si="182"/>
        <v>0</v>
      </c>
      <c r="P370" s="82">
        <f>O370+'BM 010'!O367</f>
        <v>0</v>
      </c>
      <c r="Q370" s="80">
        <f t="shared" si="183"/>
        <v>14.38</v>
      </c>
      <c r="R370" s="82">
        <f t="shared" si="184"/>
        <v>18.22</v>
      </c>
      <c r="S370" s="82">
        <f t="shared" si="185"/>
        <v>18.22</v>
      </c>
      <c r="T370" s="82">
        <f t="shared" si="186"/>
        <v>18.22</v>
      </c>
    </row>
    <row r="371" spans="2:20" s="34" customFormat="1" ht="23.4">
      <c r="B371" s="75" t="s">
        <v>728</v>
      </c>
      <c r="C371" s="88" t="s">
        <v>729</v>
      </c>
      <c r="D371" s="89" t="s">
        <v>131</v>
      </c>
      <c r="E371" s="90">
        <v>22</v>
      </c>
      <c r="F371" s="90">
        <v>22</v>
      </c>
      <c r="G371" s="91"/>
      <c r="H371" s="91"/>
      <c r="I371" s="91"/>
      <c r="J371" s="91">
        <f>SUM(H371:I371)+'BM 010'!I368</f>
        <v>0</v>
      </c>
      <c r="K371" s="91">
        <f t="shared" si="187"/>
        <v>22</v>
      </c>
      <c r="L371" s="80">
        <v>14.99</v>
      </c>
      <c r="M371" s="81">
        <v>19.0013256489</v>
      </c>
      <c r="N371" s="82">
        <f t="shared" si="181"/>
        <v>0</v>
      </c>
      <c r="O371" s="82">
        <f t="shared" si="182"/>
        <v>0</v>
      </c>
      <c r="P371" s="82">
        <f>O371+'BM 010'!O368</f>
        <v>0</v>
      </c>
      <c r="Q371" s="80">
        <f t="shared" si="183"/>
        <v>329.78000000000003</v>
      </c>
      <c r="R371" s="82">
        <f t="shared" si="184"/>
        <v>418.02</v>
      </c>
      <c r="S371" s="82">
        <f t="shared" si="185"/>
        <v>418.02</v>
      </c>
      <c r="T371" s="82">
        <f t="shared" si="186"/>
        <v>418.02</v>
      </c>
    </row>
    <row r="372" spans="2:20" s="34" customFormat="1" ht="23.4">
      <c r="B372" s="75" t="s">
        <v>730</v>
      </c>
      <c r="C372" s="88" t="s">
        <v>731</v>
      </c>
      <c r="D372" s="89" t="s">
        <v>131</v>
      </c>
      <c r="E372" s="90">
        <v>289</v>
      </c>
      <c r="F372" s="90">
        <v>289</v>
      </c>
      <c r="G372" s="91"/>
      <c r="H372" s="91"/>
      <c r="I372" s="91"/>
      <c r="J372" s="91">
        <f>SUM(H372:I372)+'BM 010'!I369</f>
        <v>0</v>
      </c>
      <c r="K372" s="91">
        <f t="shared" si="187"/>
        <v>289</v>
      </c>
      <c r="L372" s="80">
        <v>13.04</v>
      </c>
      <c r="M372" s="81">
        <v>16.529505434400001</v>
      </c>
      <c r="N372" s="82">
        <f t="shared" si="181"/>
        <v>0</v>
      </c>
      <c r="O372" s="82">
        <f t="shared" si="182"/>
        <v>0</v>
      </c>
      <c r="P372" s="82">
        <f>O372+'BM 010'!O369</f>
        <v>0</v>
      </c>
      <c r="Q372" s="80">
        <f t="shared" si="183"/>
        <v>3768.56</v>
      </c>
      <c r="R372" s="82">
        <f t="shared" si="184"/>
        <v>4777.0200000000004</v>
      </c>
      <c r="S372" s="82">
        <f t="shared" si="185"/>
        <v>4777.0200000000004</v>
      </c>
      <c r="T372" s="82">
        <f t="shared" si="186"/>
        <v>4777.0200000000004</v>
      </c>
    </row>
    <row r="373" spans="2:20" s="34" customFormat="1" ht="34.799999999999997">
      <c r="B373" s="75" t="s">
        <v>732</v>
      </c>
      <c r="C373" s="88" t="s">
        <v>733</v>
      </c>
      <c r="D373" s="89" t="s">
        <v>131</v>
      </c>
      <c r="E373" s="90">
        <v>7</v>
      </c>
      <c r="F373" s="90">
        <v>7</v>
      </c>
      <c r="G373" s="91"/>
      <c r="H373" s="91"/>
      <c r="I373" s="91"/>
      <c r="J373" s="91">
        <f>SUM(H373:I373)+'BM 010'!I370</f>
        <v>0</v>
      </c>
      <c r="K373" s="91">
        <f t="shared" si="187"/>
        <v>7</v>
      </c>
      <c r="L373" s="80">
        <v>3.95</v>
      </c>
      <c r="M373" s="81">
        <v>5.0070204345000002</v>
      </c>
      <c r="N373" s="82">
        <f t="shared" ref="N373:N397" si="188">TRUNC(G373*M373,2)</f>
        <v>0</v>
      </c>
      <c r="O373" s="82">
        <f t="shared" ref="O373:O397" si="189">TRUNC(H373*M373,2)</f>
        <v>0</v>
      </c>
      <c r="P373" s="82">
        <f>O373+'BM 010'!O370</f>
        <v>0</v>
      </c>
      <c r="Q373" s="80">
        <f t="shared" ref="Q373:Q397" si="190">E373*L373</f>
        <v>27.650000000000002</v>
      </c>
      <c r="R373" s="82">
        <f t="shared" ref="R373:R397" si="191">TRUNC(E373*M373,2)</f>
        <v>35.04</v>
      </c>
      <c r="S373" s="82">
        <f t="shared" ref="S373:S397" si="192">TRUNC(F373*$M373,2)</f>
        <v>35.04</v>
      </c>
      <c r="T373" s="82">
        <f t="shared" ref="T373:T397" si="193">S373-P373</f>
        <v>35.04</v>
      </c>
    </row>
    <row r="374" spans="2:20" s="34" customFormat="1" ht="34.799999999999997">
      <c r="B374" s="75" t="s">
        <v>734</v>
      </c>
      <c r="C374" s="88" t="s">
        <v>735</v>
      </c>
      <c r="D374" s="89" t="s">
        <v>131</v>
      </c>
      <c r="E374" s="90">
        <v>270</v>
      </c>
      <c r="F374" s="90">
        <v>270</v>
      </c>
      <c r="G374" s="91"/>
      <c r="H374" s="91"/>
      <c r="I374" s="91"/>
      <c r="J374" s="91">
        <f>SUM(H374:I374)+'BM 010'!I371</f>
        <v>0</v>
      </c>
      <c r="K374" s="91">
        <f t="shared" si="187"/>
        <v>270</v>
      </c>
      <c r="L374" s="80">
        <v>4.67</v>
      </c>
      <c r="M374" s="81">
        <v>5.9196925137000003</v>
      </c>
      <c r="N374" s="82">
        <f t="shared" si="188"/>
        <v>0</v>
      </c>
      <c r="O374" s="82">
        <f t="shared" si="189"/>
        <v>0</v>
      </c>
      <c r="P374" s="82">
        <f>O374+'BM 010'!O371</f>
        <v>0</v>
      </c>
      <c r="Q374" s="80">
        <f t="shared" si="190"/>
        <v>1260.9000000000001</v>
      </c>
      <c r="R374" s="82">
        <f t="shared" si="191"/>
        <v>1598.31</v>
      </c>
      <c r="S374" s="82">
        <f t="shared" si="192"/>
        <v>1598.31</v>
      </c>
      <c r="T374" s="82">
        <f t="shared" si="193"/>
        <v>1598.31</v>
      </c>
    </row>
    <row r="375" spans="2:20" s="34" customFormat="1" ht="34.799999999999997">
      <c r="B375" s="75" t="s">
        <v>736</v>
      </c>
      <c r="C375" s="88" t="s">
        <v>737</v>
      </c>
      <c r="D375" s="89" t="s">
        <v>131</v>
      </c>
      <c r="E375" s="90">
        <v>3</v>
      </c>
      <c r="F375" s="90">
        <v>3</v>
      </c>
      <c r="G375" s="91"/>
      <c r="H375" s="91"/>
      <c r="I375" s="91"/>
      <c r="J375" s="91">
        <f>SUM(H375:I375)+'BM 010'!I372</f>
        <v>0</v>
      </c>
      <c r="K375" s="91">
        <f t="shared" si="187"/>
        <v>3</v>
      </c>
      <c r="L375" s="80">
        <v>7.2</v>
      </c>
      <c r="M375" s="81">
        <v>9.1267207920000004</v>
      </c>
      <c r="N375" s="82">
        <f t="shared" si="188"/>
        <v>0</v>
      </c>
      <c r="O375" s="82">
        <f t="shared" si="189"/>
        <v>0</v>
      </c>
      <c r="P375" s="82">
        <f>O375+'BM 010'!O372</f>
        <v>0</v>
      </c>
      <c r="Q375" s="80">
        <f t="shared" si="190"/>
        <v>21.6</v>
      </c>
      <c r="R375" s="82">
        <f t="shared" si="191"/>
        <v>27.38</v>
      </c>
      <c r="S375" s="82">
        <f t="shared" si="192"/>
        <v>27.38</v>
      </c>
      <c r="T375" s="82">
        <f t="shared" si="193"/>
        <v>27.38</v>
      </c>
    </row>
    <row r="376" spans="2:20" s="34" customFormat="1" ht="34.799999999999997">
      <c r="B376" s="75" t="s">
        <v>738</v>
      </c>
      <c r="C376" s="76" t="s">
        <v>739</v>
      </c>
      <c r="D376" s="77" t="s">
        <v>131</v>
      </c>
      <c r="E376" s="93">
        <v>128</v>
      </c>
      <c r="F376" s="93">
        <v>128</v>
      </c>
      <c r="G376" s="79"/>
      <c r="H376" s="79"/>
      <c r="I376" s="79"/>
      <c r="J376" s="79">
        <f>SUM(H376:I376)+'BM 010'!I373</f>
        <v>0</v>
      </c>
      <c r="K376" s="79">
        <f t="shared" si="187"/>
        <v>128</v>
      </c>
      <c r="L376" s="80">
        <v>11.5</v>
      </c>
      <c r="M376" s="81">
        <v>14.577401265000001</v>
      </c>
      <c r="N376" s="82">
        <f t="shared" si="188"/>
        <v>0</v>
      </c>
      <c r="O376" s="82">
        <f t="shared" si="189"/>
        <v>0</v>
      </c>
      <c r="P376" s="82">
        <f>O376+'BM 010'!O373</f>
        <v>0</v>
      </c>
      <c r="Q376" s="80">
        <f t="shared" si="190"/>
        <v>1472</v>
      </c>
      <c r="R376" s="82">
        <f t="shared" si="191"/>
        <v>1865.9</v>
      </c>
      <c r="S376" s="82">
        <f t="shared" si="192"/>
        <v>1865.9</v>
      </c>
      <c r="T376" s="82">
        <f t="shared" si="193"/>
        <v>1865.9</v>
      </c>
    </row>
    <row r="377" spans="2:20" s="34" customFormat="1" ht="34.799999999999997">
      <c r="B377" s="75" t="s">
        <v>740</v>
      </c>
      <c r="C377" s="76" t="s">
        <v>741</v>
      </c>
      <c r="D377" s="77" t="s">
        <v>131</v>
      </c>
      <c r="E377" s="93">
        <v>4</v>
      </c>
      <c r="F377" s="93">
        <v>4</v>
      </c>
      <c r="G377" s="79"/>
      <c r="H377" s="79"/>
      <c r="I377" s="79"/>
      <c r="J377" s="79">
        <f>SUM(H377:I377)+'BM 010'!I374</f>
        <v>0</v>
      </c>
      <c r="K377" s="79">
        <f t="shared" si="187"/>
        <v>4</v>
      </c>
      <c r="L377" s="80">
        <v>12.42</v>
      </c>
      <c r="M377" s="81">
        <v>15.743593366200001</v>
      </c>
      <c r="N377" s="82">
        <f t="shared" si="188"/>
        <v>0</v>
      </c>
      <c r="O377" s="82">
        <f t="shared" si="189"/>
        <v>0</v>
      </c>
      <c r="P377" s="82">
        <f>O377+'BM 010'!O374</f>
        <v>0</v>
      </c>
      <c r="Q377" s="80">
        <f t="shared" si="190"/>
        <v>49.68</v>
      </c>
      <c r="R377" s="82">
        <f t="shared" si="191"/>
        <v>62.97</v>
      </c>
      <c r="S377" s="82">
        <f t="shared" si="192"/>
        <v>62.97</v>
      </c>
      <c r="T377" s="82">
        <f t="shared" si="193"/>
        <v>62.97</v>
      </c>
    </row>
    <row r="378" spans="2:20" s="34" customFormat="1" ht="34.799999999999997">
      <c r="B378" s="75" t="s">
        <v>742</v>
      </c>
      <c r="C378" s="76" t="s">
        <v>743</v>
      </c>
      <c r="D378" s="77" t="s">
        <v>131</v>
      </c>
      <c r="E378" s="93">
        <v>31</v>
      </c>
      <c r="F378" s="93">
        <v>31</v>
      </c>
      <c r="G378" s="79"/>
      <c r="H378" s="79"/>
      <c r="I378" s="79"/>
      <c r="J378" s="79">
        <f>SUM(H378:I378)+'BM 010'!I375</f>
        <v>0</v>
      </c>
      <c r="K378" s="79">
        <f t="shared" si="187"/>
        <v>31</v>
      </c>
      <c r="L378" s="80">
        <v>35.909999999999997</v>
      </c>
      <c r="M378" s="81">
        <v>45.519519950099998</v>
      </c>
      <c r="N378" s="82">
        <f t="shared" si="188"/>
        <v>0</v>
      </c>
      <c r="O378" s="82">
        <f t="shared" si="189"/>
        <v>0</v>
      </c>
      <c r="P378" s="82">
        <f>O378+'BM 010'!O375</f>
        <v>0</v>
      </c>
      <c r="Q378" s="80">
        <f t="shared" si="190"/>
        <v>1113.2099999999998</v>
      </c>
      <c r="R378" s="82">
        <f t="shared" si="191"/>
        <v>1411.1</v>
      </c>
      <c r="S378" s="82">
        <f t="shared" si="192"/>
        <v>1411.1</v>
      </c>
      <c r="T378" s="82">
        <f t="shared" si="193"/>
        <v>1411.1</v>
      </c>
    </row>
    <row r="379" spans="2:20" s="34" customFormat="1" ht="46.2">
      <c r="B379" s="75" t="s">
        <v>744</v>
      </c>
      <c r="C379" s="76" t="s">
        <v>745</v>
      </c>
      <c r="D379" s="77" t="s">
        <v>131</v>
      </c>
      <c r="E379" s="93">
        <v>20</v>
      </c>
      <c r="F379" s="93">
        <v>20</v>
      </c>
      <c r="G379" s="79"/>
      <c r="H379" s="79"/>
      <c r="I379" s="79"/>
      <c r="J379" s="79">
        <f>SUM(H379:I379)+'BM 010'!I376</f>
        <v>6</v>
      </c>
      <c r="K379" s="79">
        <f t="shared" si="187"/>
        <v>14</v>
      </c>
      <c r="L379" s="80">
        <v>90</v>
      </c>
      <c r="M379" s="81">
        <v>114.0840099</v>
      </c>
      <c r="N379" s="82">
        <f t="shared" si="188"/>
        <v>0</v>
      </c>
      <c r="O379" s="82">
        <f t="shared" si="189"/>
        <v>0</v>
      </c>
      <c r="P379" s="82">
        <f>O379+'BM 010'!O376</f>
        <v>684.5</v>
      </c>
      <c r="Q379" s="80">
        <f t="shared" si="190"/>
        <v>1800</v>
      </c>
      <c r="R379" s="82">
        <f t="shared" si="191"/>
        <v>2281.6799999999998</v>
      </c>
      <c r="S379" s="82">
        <f t="shared" si="192"/>
        <v>2281.6799999999998</v>
      </c>
      <c r="T379" s="82">
        <f t="shared" si="193"/>
        <v>1597.1799999999998</v>
      </c>
    </row>
    <row r="380" spans="2:20" s="34" customFormat="1" ht="13.2">
      <c r="B380" s="75" t="s">
        <v>746</v>
      </c>
      <c r="C380" s="76" t="s">
        <v>747</v>
      </c>
      <c r="D380" s="77" t="s">
        <v>131</v>
      </c>
      <c r="E380" s="93">
        <v>20</v>
      </c>
      <c r="F380" s="93">
        <v>20</v>
      </c>
      <c r="G380" s="79"/>
      <c r="H380" s="79"/>
      <c r="I380" s="79"/>
      <c r="J380" s="79">
        <f>SUM(H380:I380)+'BM 010'!I377</f>
        <v>0</v>
      </c>
      <c r="K380" s="79">
        <f t="shared" si="187"/>
        <v>20</v>
      </c>
      <c r="L380" s="80">
        <v>5.14</v>
      </c>
      <c r="M380" s="81">
        <v>6.5154645654000003</v>
      </c>
      <c r="N380" s="82">
        <f t="shared" si="188"/>
        <v>0</v>
      </c>
      <c r="O380" s="82">
        <f t="shared" si="189"/>
        <v>0</v>
      </c>
      <c r="P380" s="82">
        <f>O380+'BM 010'!O377</f>
        <v>0</v>
      </c>
      <c r="Q380" s="80">
        <f t="shared" si="190"/>
        <v>102.8</v>
      </c>
      <c r="R380" s="82">
        <f t="shared" si="191"/>
        <v>130.30000000000001</v>
      </c>
      <c r="S380" s="82">
        <f t="shared" si="192"/>
        <v>130.30000000000001</v>
      </c>
      <c r="T380" s="82">
        <f t="shared" si="193"/>
        <v>130.30000000000001</v>
      </c>
    </row>
    <row r="381" spans="2:20" s="34" customFormat="1" ht="13.2">
      <c r="B381" s="75" t="s">
        <v>748</v>
      </c>
      <c r="C381" s="76" t="s">
        <v>749</v>
      </c>
      <c r="D381" s="77" t="s">
        <v>131</v>
      </c>
      <c r="E381" s="93">
        <v>17</v>
      </c>
      <c r="F381" s="93">
        <v>17</v>
      </c>
      <c r="G381" s="79"/>
      <c r="H381" s="79"/>
      <c r="I381" s="79"/>
      <c r="J381" s="79">
        <f>SUM(H381:I381)+'BM 010'!I378</f>
        <v>0</v>
      </c>
      <c r="K381" s="79">
        <f t="shared" si="187"/>
        <v>17</v>
      </c>
      <c r="L381" s="80">
        <v>11.25</v>
      </c>
      <c r="M381" s="81">
        <v>14.2605012375</v>
      </c>
      <c r="N381" s="82">
        <f t="shared" si="188"/>
        <v>0</v>
      </c>
      <c r="O381" s="82">
        <f t="shared" si="189"/>
        <v>0</v>
      </c>
      <c r="P381" s="82">
        <f>O381+'BM 010'!O378</f>
        <v>0</v>
      </c>
      <c r="Q381" s="80">
        <f t="shared" si="190"/>
        <v>191.25</v>
      </c>
      <c r="R381" s="82">
        <f t="shared" si="191"/>
        <v>242.42</v>
      </c>
      <c r="S381" s="82">
        <f t="shared" si="192"/>
        <v>242.42</v>
      </c>
      <c r="T381" s="82">
        <f t="shared" si="193"/>
        <v>242.42</v>
      </c>
    </row>
    <row r="382" spans="2:20" s="34" customFormat="1" ht="13.2">
      <c r="B382" s="75" t="s">
        <v>750</v>
      </c>
      <c r="C382" s="76" t="s">
        <v>751</v>
      </c>
      <c r="D382" s="77" t="s">
        <v>131</v>
      </c>
      <c r="E382" s="93">
        <v>1</v>
      </c>
      <c r="F382" s="93">
        <v>1</v>
      </c>
      <c r="G382" s="79"/>
      <c r="H382" s="79"/>
      <c r="I382" s="79"/>
      <c r="J382" s="79">
        <f>SUM(H382:I382)+'BM 010'!I379</f>
        <v>0</v>
      </c>
      <c r="K382" s="79">
        <f t="shared" si="187"/>
        <v>1</v>
      </c>
      <c r="L382" s="80">
        <v>12.27</v>
      </c>
      <c r="M382" s="81">
        <v>15.5534533497</v>
      </c>
      <c r="N382" s="82">
        <f t="shared" si="188"/>
        <v>0</v>
      </c>
      <c r="O382" s="82">
        <f t="shared" si="189"/>
        <v>0</v>
      </c>
      <c r="P382" s="82">
        <f>O382+'BM 010'!O379</f>
        <v>0</v>
      </c>
      <c r="Q382" s="80">
        <f t="shared" si="190"/>
        <v>12.27</v>
      </c>
      <c r="R382" s="82">
        <f t="shared" si="191"/>
        <v>15.55</v>
      </c>
      <c r="S382" s="82">
        <f t="shared" si="192"/>
        <v>15.55</v>
      </c>
      <c r="T382" s="82">
        <f t="shared" si="193"/>
        <v>15.55</v>
      </c>
    </row>
    <row r="383" spans="2:20" s="34" customFormat="1" ht="13.2">
      <c r="B383" s="75" t="s">
        <v>752</v>
      </c>
      <c r="C383" s="76" t="s">
        <v>753</v>
      </c>
      <c r="D383" s="77" t="s">
        <v>131</v>
      </c>
      <c r="E383" s="93">
        <v>12</v>
      </c>
      <c r="F383" s="93">
        <v>12</v>
      </c>
      <c r="G383" s="79"/>
      <c r="H383" s="79"/>
      <c r="I383" s="79"/>
      <c r="J383" s="79">
        <f>SUM(H383:I383)+'BM 010'!I380</f>
        <v>0</v>
      </c>
      <c r="K383" s="79">
        <f t="shared" si="187"/>
        <v>12</v>
      </c>
      <c r="L383" s="80">
        <v>22.03</v>
      </c>
      <c r="M383" s="81">
        <v>27.9252304233</v>
      </c>
      <c r="N383" s="82">
        <f t="shared" si="188"/>
        <v>0</v>
      </c>
      <c r="O383" s="82">
        <f t="shared" si="189"/>
        <v>0</v>
      </c>
      <c r="P383" s="82">
        <f>O383+'BM 010'!O380</f>
        <v>0</v>
      </c>
      <c r="Q383" s="80">
        <f t="shared" si="190"/>
        <v>264.36</v>
      </c>
      <c r="R383" s="82">
        <f t="shared" si="191"/>
        <v>335.1</v>
      </c>
      <c r="S383" s="82">
        <f t="shared" si="192"/>
        <v>335.1</v>
      </c>
      <c r="T383" s="82">
        <f t="shared" si="193"/>
        <v>335.1</v>
      </c>
    </row>
    <row r="384" spans="2:20" s="34" customFormat="1" ht="13.2">
      <c r="B384" s="75" t="s">
        <v>754</v>
      </c>
      <c r="C384" s="76" t="s">
        <v>755</v>
      </c>
      <c r="D384" s="77" t="s">
        <v>131</v>
      </c>
      <c r="E384" s="93">
        <v>16</v>
      </c>
      <c r="F384" s="93">
        <v>16</v>
      </c>
      <c r="G384" s="79"/>
      <c r="H384" s="79"/>
      <c r="I384" s="79"/>
      <c r="J384" s="79">
        <f>SUM(H384:I384)+'BM 010'!I381</f>
        <v>4</v>
      </c>
      <c r="K384" s="79">
        <f t="shared" si="187"/>
        <v>12</v>
      </c>
      <c r="L384" s="80">
        <v>32.380000000000003</v>
      </c>
      <c r="M384" s="81">
        <v>41.0448915618</v>
      </c>
      <c r="N384" s="82">
        <f t="shared" si="188"/>
        <v>0</v>
      </c>
      <c r="O384" s="82">
        <f t="shared" si="189"/>
        <v>0</v>
      </c>
      <c r="P384" s="82">
        <f>O384+'BM 010'!O381</f>
        <v>164.17</v>
      </c>
      <c r="Q384" s="80">
        <f t="shared" si="190"/>
        <v>518.08000000000004</v>
      </c>
      <c r="R384" s="82">
        <f t="shared" si="191"/>
        <v>656.71</v>
      </c>
      <c r="S384" s="82">
        <f t="shared" si="192"/>
        <v>656.71</v>
      </c>
      <c r="T384" s="82">
        <f t="shared" si="193"/>
        <v>492.54000000000008</v>
      </c>
    </row>
    <row r="385" spans="2:20" s="34" customFormat="1" ht="23.4">
      <c r="B385" s="75" t="s">
        <v>756</v>
      </c>
      <c r="C385" s="76" t="s">
        <v>757</v>
      </c>
      <c r="D385" s="77" t="s">
        <v>131</v>
      </c>
      <c r="E385" s="93">
        <v>16</v>
      </c>
      <c r="F385" s="93">
        <v>16</v>
      </c>
      <c r="G385" s="79"/>
      <c r="H385" s="79"/>
      <c r="I385" s="79"/>
      <c r="J385" s="79">
        <f>SUM(H385:I385)+'BM 010'!I382</f>
        <v>0</v>
      </c>
      <c r="K385" s="79">
        <f t="shared" si="187"/>
        <v>16</v>
      </c>
      <c r="L385" s="80">
        <v>12.35</v>
      </c>
      <c r="M385" s="81">
        <v>15.6548613585</v>
      </c>
      <c r="N385" s="82">
        <f t="shared" si="188"/>
        <v>0</v>
      </c>
      <c r="O385" s="82">
        <f t="shared" si="189"/>
        <v>0</v>
      </c>
      <c r="P385" s="82">
        <f>O385+'BM 010'!O382</f>
        <v>0</v>
      </c>
      <c r="Q385" s="80">
        <f t="shared" si="190"/>
        <v>197.6</v>
      </c>
      <c r="R385" s="82">
        <f t="shared" si="191"/>
        <v>250.47</v>
      </c>
      <c r="S385" s="82">
        <f t="shared" si="192"/>
        <v>250.47</v>
      </c>
      <c r="T385" s="82">
        <f t="shared" si="193"/>
        <v>250.47</v>
      </c>
    </row>
    <row r="386" spans="2:20" s="34" customFormat="1" ht="34.799999999999997">
      <c r="B386" s="75" t="s">
        <v>758</v>
      </c>
      <c r="C386" s="76" t="s">
        <v>759</v>
      </c>
      <c r="D386" s="77" t="s">
        <v>131</v>
      </c>
      <c r="E386" s="93">
        <v>3</v>
      </c>
      <c r="F386" s="93">
        <v>3</v>
      </c>
      <c r="G386" s="79"/>
      <c r="H386" s="79"/>
      <c r="I386" s="79"/>
      <c r="J386" s="79">
        <f>SUM(H386:I386)+'BM 010'!I383</f>
        <v>0</v>
      </c>
      <c r="K386" s="79">
        <f t="shared" si="187"/>
        <v>3</v>
      </c>
      <c r="L386" s="80">
        <v>12.27</v>
      </c>
      <c r="M386" s="81">
        <v>15.5534533497</v>
      </c>
      <c r="N386" s="82">
        <f t="shared" si="188"/>
        <v>0</v>
      </c>
      <c r="O386" s="82">
        <f t="shared" si="189"/>
        <v>0</v>
      </c>
      <c r="P386" s="82">
        <f>O386+'BM 010'!O383</f>
        <v>0</v>
      </c>
      <c r="Q386" s="80">
        <f t="shared" si="190"/>
        <v>36.81</v>
      </c>
      <c r="R386" s="82">
        <f t="shared" si="191"/>
        <v>46.66</v>
      </c>
      <c r="S386" s="82">
        <f t="shared" si="192"/>
        <v>46.66</v>
      </c>
      <c r="T386" s="82">
        <f t="shared" si="193"/>
        <v>46.66</v>
      </c>
    </row>
    <row r="387" spans="2:20" s="34" customFormat="1" ht="23.4">
      <c r="B387" s="75" t="s">
        <v>760</v>
      </c>
      <c r="C387" s="76" t="s">
        <v>761</v>
      </c>
      <c r="D387" s="77" t="s">
        <v>131</v>
      </c>
      <c r="E387" s="93">
        <v>34</v>
      </c>
      <c r="F387" s="93">
        <v>34</v>
      </c>
      <c r="G387" s="79"/>
      <c r="H387" s="79"/>
      <c r="I387" s="79"/>
      <c r="J387" s="79">
        <f>SUM(H387:I387)+'BM 010'!I384</f>
        <v>0</v>
      </c>
      <c r="K387" s="79">
        <f t="shared" si="187"/>
        <v>34</v>
      </c>
      <c r="L387" s="80">
        <v>18.5</v>
      </c>
      <c r="M387" s="81">
        <v>23.450602034999999</v>
      </c>
      <c r="N387" s="82">
        <f t="shared" si="188"/>
        <v>0</v>
      </c>
      <c r="O387" s="82">
        <f t="shared" si="189"/>
        <v>0</v>
      </c>
      <c r="P387" s="82">
        <f>O387+'BM 010'!O384</f>
        <v>0</v>
      </c>
      <c r="Q387" s="80">
        <f t="shared" si="190"/>
        <v>629</v>
      </c>
      <c r="R387" s="82">
        <f t="shared" si="191"/>
        <v>797.32</v>
      </c>
      <c r="S387" s="82">
        <f t="shared" si="192"/>
        <v>797.32</v>
      </c>
      <c r="T387" s="82">
        <f t="shared" si="193"/>
        <v>797.32</v>
      </c>
    </row>
    <row r="388" spans="2:20" s="34" customFormat="1" ht="23.4">
      <c r="B388" s="75" t="s">
        <v>762</v>
      </c>
      <c r="C388" s="76" t="s">
        <v>763</v>
      </c>
      <c r="D388" s="77" t="s">
        <v>131</v>
      </c>
      <c r="E388" s="93">
        <v>2</v>
      </c>
      <c r="F388" s="93">
        <v>2</v>
      </c>
      <c r="G388" s="79"/>
      <c r="H388" s="79"/>
      <c r="I388" s="79"/>
      <c r="J388" s="79">
        <f>SUM(H388:I388)+'BM 010'!I385</f>
        <v>0</v>
      </c>
      <c r="K388" s="79">
        <f t="shared" si="187"/>
        <v>2</v>
      </c>
      <c r="L388" s="80">
        <v>24.61</v>
      </c>
      <c r="M388" s="81">
        <v>31.195638707099999</v>
      </c>
      <c r="N388" s="82">
        <f t="shared" si="188"/>
        <v>0</v>
      </c>
      <c r="O388" s="82">
        <f t="shared" si="189"/>
        <v>0</v>
      </c>
      <c r="P388" s="82">
        <f>O388+'BM 010'!O385</f>
        <v>0</v>
      </c>
      <c r="Q388" s="80">
        <f t="shared" si="190"/>
        <v>49.22</v>
      </c>
      <c r="R388" s="82">
        <f t="shared" si="191"/>
        <v>62.39</v>
      </c>
      <c r="S388" s="82">
        <f t="shared" si="192"/>
        <v>62.39</v>
      </c>
      <c r="T388" s="82">
        <f t="shared" si="193"/>
        <v>62.39</v>
      </c>
    </row>
    <row r="389" spans="2:20" s="34" customFormat="1" ht="34.799999999999997">
      <c r="B389" s="75" t="s">
        <v>764</v>
      </c>
      <c r="C389" s="76" t="s">
        <v>765</v>
      </c>
      <c r="D389" s="77" t="s">
        <v>131</v>
      </c>
      <c r="E389" s="93">
        <v>9</v>
      </c>
      <c r="F389" s="93">
        <v>9</v>
      </c>
      <c r="G389" s="79"/>
      <c r="H389" s="79"/>
      <c r="I389" s="79"/>
      <c r="J389" s="79">
        <f>SUM(H389:I389)+'BM 010'!I386</f>
        <v>0</v>
      </c>
      <c r="K389" s="79">
        <f t="shared" si="187"/>
        <v>9</v>
      </c>
      <c r="L389" s="80">
        <v>26.08</v>
      </c>
      <c r="M389" s="81">
        <v>33.059010868800002</v>
      </c>
      <c r="N389" s="82">
        <f t="shared" si="188"/>
        <v>0</v>
      </c>
      <c r="O389" s="82">
        <f t="shared" si="189"/>
        <v>0</v>
      </c>
      <c r="P389" s="82">
        <f>O389+'BM 010'!O386</f>
        <v>0</v>
      </c>
      <c r="Q389" s="80">
        <f t="shared" si="190"/>
        <v>234.71999999999997</v>
      </c>
      <c r="R389" s="82">
        <f t="shared" si="191"/>
        <v>297.52999999999997</v>
      </c>
      <c r="S389" s="82">
        <f t="shared" si="192"/>
        <v>297.52999999999997</v>
      </c>
      <c r="T389" s="82">
        <f t="shared" si="193"/>
        <v>297.52999999999997</v>
      </c>
    </row>
    <row r="390" spans="2:20" s="34" customFormat="1" ht="23.4">
      <c r="B390" s="75" t="s">
        <v>766</v>
      </c>
      <c r="C390" s="88" t="s">
        <v>767</v>
      </c>
      <c r="D390" s="89" t="s">
        <v>131</v>
      </c>
      <c r="E390" s="90">
        <v>1</v>
      </c>
      <c r="F390" s="90">
        <v>1</v>
      </c>
      <c r="G390" s="91"/>
      <c r="H390" s="91"/>
      <c r="I390" s="91"/>
      <c r="J390" s="91">
        <f>SUM(H390:I390)+'BM 010'!I387</f>
        <v>0</v>
      </c>
      <c r="K390" s="91">
        <f t="shared" si="187"/>
        <v>1</v>
      </c>
      <c r="L390" s="80">
        <v>40</v>
      </c>
      <c r="M390" s="81">
        <v>50.704004400000002</v>
      </c>
      <c r="N390" s="82">
        <f t="shared" si="188"/>
        <v>0</v>
      </c>
      <c r="O390" s="82">
        <f t="shared" si="189"/>
        <v>0</v>
      </c>
      <c r="P390" s="82">
        <f>O390+'BM 010'!O387</f>
        <v>0</v>
      </c>
      <c r="Q390" s="80">
        <f t="shared" si="190"/>
        <v>40</v>
      </c>
      <c r="R390" s="82">
        <f t="shared" si="191"/>
        <v>50.7</v>
      </c>
      <c r="S390" s="82">
        <f t="shared" si="192"/>
        <v>50.7</v>
      </c>
      <c r="T390" s="82">
        <f t="shared" si="193"/>
        <v>50.7</v>
      </c>
    </row>
    <row r="391" spans="2:20" s="34" customFormat="1" ht="46.2">
      <c r="B391" s="75" t="s">
        <v>768</v>
      </c>
      <c r="C391" s="88" t="s">
        <v>769</v>
      </c>
      <c r="D391" s="89" t="s">
        <v>131</v>
      </c>
      <c r="E391" s="90">
        <v>29</v>
      </c>
      <c r="F391" s="90">
        <v>29</v>
      </c>
      <c r="G391" s="91"/>
      <c r="H391" s="91"/>
      <c r="I391" s="91"/>
      <c r="J391" s="91">
        <f>SUM(H391:I391)+'BM 010'!I388</f>
        <v>0</v>
      </c>
      <c r="K391" s="91">
        <f t="shared" si="187"/>
        <v>29</v>
      </c>
      <c r="L391" s="80">
        <v>17.22</v>
      </c>
      <c r="M391" s="81">
        <v>21.828073894199999</v>
      </c>
      <c r="N391" s="82">
        <f t="shared" si="188"/>
        <v>0</v>
      </c>
      <c r="O391" s="82">
        <f t="shared" si="189"/>
        <v>0</v>
      </c>
      <c r="P391" s="82">
        <f>O391+'BM 010'!O388</f>
        <v>0</v>
      </c>
      <c r="Q391" s="80">
        <f t="shared" si="190"/>
        <v>499.38</v>
      </c>
      <c r="R391" s="82">
        <f t="shared" si="191"/>
        <v>633.01</v>
      </c>
      <c r="S391" s="82">
        <f t="shared" si="192"/>
        <v>633.01</v>
      </c>
      <c r="T391" s="82">
        <f t="shared" si="193"/>
        <v>633.01</v>
      </c>
    </row>
    <row r="392" spans="2:20" s="34" customFormat="1" ht="23.4">
      <c r="B392" s="75" t="s">
        <v>770</v>
      </c>
      <c r="C392" s="76" t="s">
        <v>771</v>
      </c>
      <c r="D392" s="77" t="s">
        <v>131</v>
      </c>
      <c r="E392" s="93">
        <v>207</v>
      </c>
      <c r="F392" s="93">
        <v>207</v>
      </c>
      <c r="G392" s="79"/>
      <c r="H392" s="79"/>
      <c r="I392" s="79"/>
      <c r="J392" s="79">
        <f>SUM(H392:I392)+'BM 010'!I389</f>
        <v>0</v>
      </c>
      <c r="K392" s="79">
        <f t="shared" si="187"/>
        <v>207</v>
      </c>
      <c r="L392" s="80">
        <v>6.59</v>
      </c>
      <c r="M392" s="81">
        <v>8.3534847248999995</v>
      </c>
      <c r="N392" s="82">
        <f t="shared" si="188"/>
        <v>0</v>
      </c>
      <c r="O392" s="82">
        <f t="shared" si="189"/>
        <v>0</v>
      </c>
      <c r="P392" s="82">
        <f>O392+'BM 010'!O389</f>
        <v>0</v>
      </c>
      <c r="Q392" s="80">
        <f t="shared" si="190"/>
        <v>1364.1299999999999</v>
      </c>
      <c r="R392" s="82">
        <f t="shared" si="191"/>
        <v>1729.17</v>
      </c>
      <c r="S392" s="82">
        <f t="shared" si="192"/>
        <v>1729.17</v>
      </c>
      <c r="T392" s="82">
        <f t="shared" si="193"/>
        <v>1729.17</v>
      </c>
    </row>
    <row r="393" spans="2:20" s="34" customFormat="1" ht="23.4">
      <c r="B393" s="75" t="s">
        <v>772</v>
      </c>
      <c r="C393" s="76" t="s">
        <v>773</v>
      </c>
      <c r="D393" s="77" t="s">
        <v>131</v>
      </c>
      <c r="E393" s="93">
        <v>50</v>
      </c>
      <c r="F393" s="93">
        <v>50</v>
      </c>
      <c r="G393" s="79"/>
      <c r="H393" s="79"/>
      <c r="I393" s="79"/>
      <c r="J393" s="79">
        <f>SUM(H393:I393)+'BM 010'!I390</f>
        <v>0</v>
      </c>
      <c r="K393" s="79">
        <f t="shared" si="187"/>
        <v>50</v>
      </c>
      <c r="L393" s="80">
        <v>22.07</v>
      </c>
      <c r="M393" s="81">
        <v>27.9759344277</v>
      </c>
      <c r="N393" s="82">
        <f t="shared" si="188"/>
        <v>0</v>
      </c>
      <c r="O393" s="82">
        <f t="shared" si="189"/>
        <v>0</v>
      </c>
      <c r="P393" s="82">
        <f>O393+'BM 010'!O390</f>
        <v>0</v>
      </c>
      <c r="Q393" s="80">
        <f t="shared" si="190"/>
        <v>1103.5</v>
      </c>
      <c r="R393" s="82">
        <f t="shared" si="191"/>
        <v>1398.79</v>
      </c>
      <c r="S393" s="82">
        <f t="shared" si="192"/>
        <v>1398.79</v>
      </c>
      <c r="T393" s="82">
        <f t="shared" si="193"/>
        <v>1398.79</v>
      </c>
    </row>
    <row r="394" spans="2:20" s="34" customFormat="1" ht="23.4">
      <c r="B394" s="75" t="s">
        <v>774</v>
      </c>
      <c r="C394" s="76" t="s">
        <v>775</v>
      </c>
      <c r="D394" s="77" t="s">
        <v>131</v>
      </c>
      <c r="E394" s="93">
        <v>1</v>
      </c>
      <c r="F394" s="93">
        <v>1</v>
      </c>
      <c r="G394" s="79"/>
      <c r="H394" s="79"/>
      <c r="I394" s="79"/>
      <c r="J394" s="79">
        <f>SUM(H394:I394)+'BM 010'!I391</f>
        <v>0</v>
      </c>
      <c r="K394" s="79">
        <f t="shared" si="187"/>
        <v>1</v>
      </c>
      <c r="L394" s="80">
        <v>19.649999999999999</v>
      </c>
      <c r="M394" s="81">
        <v>24.908342161499998</v>
      </c>
      <c r="N394" s="82">
        <f t="shared" si="188"/>
        <v>0</v>
      </c>
      <c r="O394" s="82">
        <f t="shared" si="189"/>
        <v>0</v>
      </c>
      <c r="P394" s="82">
        <f>O394+'BM 010'!O391</f>
        <v>0</v>
      </c>
      <c r="Q394" s="80">
        <f t="shared" si="190"/>
        <v>19.649999999999999</v>
      </c>
      <c r="R394" s="82">
        <f t="shared" si="191"/>
        <v>24.9</v>
      </c>
      <c r="S394" s="82">
        <f t="shared" si="192"/>
        <v>24.9</v>
      </c>
      <c r="T394" s="82">
        <f t="shared" si="193"/>
        <v>24.9</v>
      </c>
    </row>
    <row r="395" spans="2:20" s="34" customFormat="1" ht="23.4">
      <c r="B395" s="75" t="s">
        <v>776</v>
      </c>
      <c r="C395" s="76" t="s">
        <v>777</v>
      </c>
      <c r="D395" s="77" t="s">
        <v>131</v>
      </c>
      <c r="E395" s="93">
        <v>19</v>
      </c>
      <c r="F395" s="93">
        <v>19</v>
      </c>
      <c r="G395" s="79"/>
      <c r="H395" s="79"/>
      <c r="I395" s="79"/>
      <c r="J395" s="79">
        <f>SUM(H395:I395)+'BM 010'!I392</f>
        <v>0</v>
      </c>
      <c r="K395" s="79">
        <f t="shared" si="187"/>
        <v>19</v>
      </c>
      <c r="L395" s="80">
        <v>41.43</v>
      </c>
      <c r="M395" s="81">
        <v>52.516672557299998</v>
      </c>
      <c r="N395" s="82">
        <f t="shared" si="188"/>
        <v>0</v>
      </c>
      <c r="O395" s="82">
        <f t="shared" si="189"/>
        <v>0</v>
      </c>
      <c r="P395" s="82">
        <f>O395+'BM 010'!O392</f>
        <v>0</v>
      </c>
      <c r="Q395" s="80">
        <f t="shared" si="190"/>
        <v>787.17</v>
      </c>
      <c r="R395" s="82">
        <f t="shared" si="191"/>
        <v>997.81</v>
      </c>
      <c r="S395" s="82">
        <f t="shared" si="192"/>
        <v>997.81</v>
      </c>
      <c r="T395" s="82">
        <f t="shared" si="193"/>
        <v>997.81</v>
      </c>
    </row>
    <row r="396" spans="2:20" s="34" customFormat="1" ht="46.2">
      <c r="B396" s="75" t="s">
        <v>778</v>
      </c>
      <c r="C396" s="76" t="s">
        <v>779</v>
      </c>
      <c r="D396" s="77" t="s">
        <v>131</v>
      </c>
      <c r="E396" s="93">
        <v>12</v>
      </c>
      <c r="F396" s="93">
        <v>12</v>
      </c>
      <c r="G396" s="79"/>
      <c r="H396" s="79"/>
      <c r="I396" s="79"/>
      <c r="J396" s="79">
        <f>SUM(H396:I396)+'BM 010'!I393</f>
        <v>0</v>
      </c>
      <c r="K396" s="79">
        <f t="shared" si="187"/>
        <v>12</v>
      </c>
      <c r="L396" s="80">
        <v>76.31</v>
      </c>
      <c r="M396" s="81">
        <v>96.7305643941</v>
      </c>
      <c r="N396" s="82">
        <f t="shared" si="188"/>
        <v>0</v>
      </c>
      <c r="O396" s="82">
        <f t="shared" si="189"/>
        <v>0</v>
      </c>
      <c r="P396" s="82">
        <f>O396+'BM 010'!O393</f>
        <v>0</v>
      </c>
      <c r="Q396" s="80">
        <f t="shared" si="190"/>
        <v>915.72</v>
      </c>
      <c r="R396" s="82">
        <f t="shared" si="191"/>
        <v>1160.76</v>
      </c>
      <c r="S396" s="82">
        <f t="shared" si="192"/>
        <v>1160.76</v>
      </c>
      <c r="T396" s="82">
        <f t="shared" si="193"/>
        <v>1160.76</v>
      </c>
    </row>
    <row r="397" spans="2:20" s="34" customFormat="1" ht="34.799999999999997">
      <c r="B397" s="75" t="s">
        <v>780</v>
      </c>
      <c r="C397" s="76" t="s">
        <v>781</v>
      </c>
      <c r="D397" s="77" t="s">
        <v>131</v>
      </c>
      <c r="E397" s="93">
        <v>3</v>
      </c>
      <c r="F397" s="93">
        <v>3</v>
      </c>
      <c r="G397" s="79"/>
      <c r="H397" s="79"/>
      <c r="I397" s="79"/>
      <c r="J397" s="79">
        <f>SUM(H397:I397)+'BM 010'!I394</f>
        <v>0</v>
      </c>
      <c r="K397" s="79">
        <f t="shared" si="187"/>
        <v>3</v>
      </c>
      <c r="L397" s="80">
        <v>72.55</v>
      </c>
      <c r="M397" s="81">
        <v>91.964387980500007</v>
      </c>
      <c r="N397" s="82">
        <f t="shared" si="188"/>
        <v>0</v>
      </c>
      <c r="O397" s="82">
        <f t="shared" si="189"/>
        <v>0</v>
      </c>
      <c r="P397" s="82">
        <f>O397+'BM 010'!O394</f>
        <v>0</v>
      </c>
      <c r="Q397" s="80">
        <f t="shared" si="190"/>
        <v>217.64999999999998</v>
      </c>
      <c r="R397" s="82">
        <f t="shared" si="191"/>
        <v>275.89</v>
      </c>
      <c r="S397" s="82">
        <f t="shared" si="192"/>
        <v>275.89</v>
      </c>
      <c r="T397" s="82">
        <f t="shared" si="193"/>
        <v>275.89</v>
      </c>
    </row>
    <row r="398" spans="2:20" s="34" customFormat="1" ht="24">
      <c r="B398" s="66" t="s">
        <v>782</v>
      </c>
      <c r="C398" s="67" t="s">
        <v>783</v>
      </c>
      <c r="D398" s="68"/>
      <c r="E398" s="69"/>
      <c r="F398" s="69"/>
      <c r="G398" s="70"/>
      <c r="H398" s="70"/>
      <c r="I398" s="70"/>
      <c r="J398" s="70">
        <f>SUM(H398:I398)+'BM 010'!I395</f>
        <v>0</v>
      </c>
      <c r="K398" s="70">
        <f t="shared" si="187"/>
        <v>0</v>
      </c>
      <c r="L398" s="71"/>
      <c r="M398" s="71">
        <v>0</v>
      </c>
      <c r="N398" s="73">
        <f t="shared" ref="N398:T398" si="194">SUM(N399:N409)</f>
        <v>40021.53</v>
      </c>
      <c r="O398" s="73">
        <f t="shared" si="194"/>
        <v>40021.53</v>
      </c>
      <c r="P398" s="73">
        <f t="shared" si="194"/>
        <v>42835.6</v>
      </c>
      <c r="Q398" s="73">
        <f t="shared" si="194"/>
        <v>131062.87509999999</v>
      </c>
      <c r="R398" s="73">
        <f t="shared" si="194"/>
        <v>166135.25</v>
      </c>
      <c r="S398" s="73">
        <f t="shared" si="194"/>
        <v>206156.78</v>
      </c>
      <c r="T398" s="73">
        <f t="shared" si="194"/>
        <v>163321.18</v>
      </c>
    </row>
    <row r="399" spans="2:20" s="34" customFormat="1" ht="34.799999999999997">
      <c r="B399" s="75" t="s">
        <v>784</v>
      </c>
      <c r="C399" s="76" t="s">
        <v>785</v>
      </c>
      <c r="D399" s="77" t="s">
        <v>82</v>
      </c>
      <c r="E399" s="108">
        <v>867.48</v>
      </c>
      <c r="F399" s="297">
        <v>867.48</v>
      </c>
      <c r="G399" s="109"/>
      <c r="H399" s="109"/>
      <c r="I399" s="109"/>
      <c r="J399" s="109">
        <f>SUM(H399:I399)+'BM 010'!I396</f>
        <v>0</v>
      </c>
      <c r="K399" s="109">
        <f t="shared" si="187"/>
        <v>867.48</v>
      </c>
      <c r="L399" s="80">
        <v>24.65</v>
      </c>
      <c r="M399" s="81">
        <v>31.246342711499999</v>
      </c>
      <c r="N399" s="82">
        <f t="shared" ref="N399:N409" si="195">TRUNC(G399*M399,2)</f>
        <v>0</v>
      </c>
      <c r="O399" s="82">
        <f t="shared" ref="O399:O409" si="196">TRUNC(H399*M399,2)</f>
        <v>0</v>
      </c>
      <c r="P399" s="82">
        <f>O399+'BM 010'!O396</f>
        <v>0</v>
      </c>
      <c r="Q399" s="80">
        <f t="shared" ref="Q399:Q409" si="197">E399*L399</f>
        <v>21383.381999999998</v>
      </c>
      <c r="R399" s="82">
        <f t="shared" ref="R399:R409" si="198">TRUNC(E399*M399,2)</f>
        <v>27105.57</v>
      </c>
      <c r="S399" s="82">
        <f t="shared" ref="S399:S409" si="199">TRUNC(F399*$M399,2)</f>
        <v>27105.57</v>
      </c>
      <c r="T399" s="82">
        <f t="shared" ref="T399:T409" si="200">S399-P399</f>
        <v>27105.57</v>
      </c>
    </row>
    <row r="400" spans="2:20" s="34" customFormat="1" ht="23.4">
      <c r="B400" s="75" t="s">
        <v>786</v>
      </c>
      <c r="C400" s="76" t="s">
        <v>653</v>
      </c>
      <c r="D400" s="77" t="s">
        <v>82</v>
      </c>
      <c r="E400" s="110">
        <v>18.04</v>
      </c>
      <c r="F400" s="90">
        <v>18.04</v>
      </c>
      <c r="G400" s="111"/>
      <c r="H400" s="111"/>
      <c r="I400" s="111"/>
      <c r="J400" s="111">
        <f>SUM(H400:I400)+'BM 010'!I397</f>
        <v>0</v>
      </c>
      <c r="K400" s="111">
        <f t="shared" si="187"/>
        <v>18.04</v>
      </c>
      <c r="L400" s="80">
        <v>6.5</v>
      </c>
      <c r="M400" s="81">
        <v>8.2394007150000004</v>
      </c>
      <c r="N400" s="82">
        <f t="shared" si="195"/>
        <v>0</v>
      </c>
      <c r="O400" s="82">
        <f t="shared" si="196"/>
        <v>0</v>
      </c>
      <c r="P400" s="82">
        <f>O400+'BM 010'!O397</f>
        <v>0</v>
      </c>
      <c r="Q400" s="80">
        <f t="shared" si="197"/>
        <v>117.25999999999999</v>
      </c>
      <c r="R400" s="82">
        <f t="shared" si="198"/>
        <v>148.63</v>
      </c>
      <c r="S400" s="82">
        <f t="shared" si="199"/>
        <v>148.63</v>
      </c>
      <c r="T400" s="82">
        <f t="shared" si="200"/>
        <v>148.63</v>
      </c>
    </row>
    <row r="401" spans="2:20" s="34" customFormat="1" ht="23.4">
      <c r="B401" s="75" t="s">
        <v>787</v>
      </c>
      <c r="C401" s="76" t="s">
        <v>655</v>
      </c>
      <c r="D401" s="77" t="s">
        <v>82</v>
      </c>
      <c r="E401" s="110">
        <v>739.18</v>
      </c>
      <c r="F401" s="90">
        <v>739.18</v>
      </c>
      <c r="G401" s="111"/>
      <c r="H401" s="111"/>
      <c r="I401" s="111"/>
      <c r="J401" s="111">
        <f>SUM(H401:I401)+'BM 010'!I398</f>
        <v>0</v>
      </c>
      <c r="K401" s="111">
        <f t="shared" si="187"/>
        <v>739.18</v>
      </c>
      <c r="L401" s="80">
        <v>8</v>
      </c>
      <c r="M401" s="81">
        <v>10.14080088</v>
      </c>
      <c r="N401" s="82">
        <f t="shared" si="195"/>
        <v>0</v>
      </c>
      <c r="O401" s="82">
        <f t="shared" si="196"/>
        <v>0</v>
      </c>
      <c r="P401" s="82">
        <f>O401+'BM 010'!O398</f>
        <v>0</v>
      </c>
      <c r="Q401" s="80">
        <f t="shared" si="197"/>
        <v>5913.44</v>
      </c>
      <c r="R401" s="82">
        <f t="shared" si="198"/>
        <v>7495.87</v>
      </c>
      <c r="S401" s="82">
        <f t="shared" si="199"/>
        <v>7495.87</v>
      </c>
      <c r="T401" s="82">
        <f t="shared" si="200"/>
        <v>7495.87</v>
      </c>
    </row>
    <row r="402" spans="2:20" s="34" customFormat="1" ht="23.4">
      <c r="B402" s="75" t="s">
        <v>788</v>
      </c>
      <c r="C402" s="76" t="s">
        <v>659</v>
      </c>
      <c r="D402" s="77" t="s">
        <v>82</v>
      </c>
      <c r="E402" s="112">
        <v>19.510000000000002</v>
      </c>
      <c r="F402" s="93">
        <v>19.510000000000002</v>
      </c>
      <c r="G402" s="113"/>
      <c r="H402" s="113"/>
      <c r="I402" s="113"/>
      <c r="J402" s="113">
        <f>SUM(H402:I402)+'BM 010'!I399</f>
        <v>0</v>
      </c>
      <c r="K402" s="113">
        <f t="shared" si="187"/>
        <v>19.510000000000002</v>
      </c>
      <c r="L402" s="80">
        <v>23.5</v>
      </c>
      <c r="M402" s="81">
        <v>29.788602585</v>
      </c>
      <c r="N402" s="82">
        <f t="shared" si="195"/>
        <v>0</v>
      </c>
      <c r="O402" s="82">
        <f t="shared" si="196"/>
        <v>0</v>
      </c>
      <c r="P402" s="82">
        <f>O402+'BM 010'!O399</f>
        <v>0</v>
      </c>
      <c r="Q402" s="80">
        <f t="shared" si="197"/>
        <v>458.48500000000001</v>
      </c>
      <c r="R402" s="82">
        <f t="shared" si="198"/>
        <v>581.16999999999996</v>
      </c>
      <c r="S402" s="82">
        <f t="shared" si="199"/>
        <v>581.16999999999996</v>
      </c>
      <c r="T402" s="82">
        <f t="shared" si="200"/>
        <v>581.16999999999996</v>
      </c>
    </row>
    <row r="403" spans="2:20" s="34" customFormat="1" ht="34.799999999999997">
      <c r="B403" s="75" t="s">
        <v>789</v>
      </c>
      <c r="C403" s="76" t="s">
        <v>790</v>
      </c>
      <c r="D403" s="77" t="s">
        <v>82</v>
      </c>
      <c r="E403" s="108">
        <v>609.66</v>
      </c>
      <c r="F403" s="297">
        <v>609.66</v>
      </c>
      <c r="G403" s="109"/>
      <c r="H403" s="109"/>
      <c r="I403" s="109"/>
      <c r="J403" s="109">
        <f>SUM(H403:I403)+'BM 010'!I400</f>
        <v>0</v>
      </c>
      <c r="K403" s="109">
        <f t="shared" si="187"/>
        <v>609.66</v>
      </c>
      <c r="L403" s="80">
        <v>27.5</v>
      </c>
      <c r="M403" s="81">
        <v>34.859003025</v>
      </c>
      <c r="N403" s="82">
        <f t="shared" si="195"/>
        <v>0</v>
      </c>
      <c r="O403" s="82">
        <f t="shared" si="196"/>
        <v>0</v>
      </c>
      <c r="P403" s="82">
        <f>O403+'BM 010'!O400</f>
        <v>0</v>
      </c>
      <c r="Q403" s="80">
        <f t="shared" si="197"/>
        <v>16765.649999999998</v>
      </c>
      <c r="R403" s="82">
        <f t="shared" si="198"/>
        <v>21252.13</v>
      </c>
      <c r="S403" s="82">
        <f t="shared" si="199"/>
        <v>21252.13</v>
      </c>
      <c r="T403" s="82">
        <f t="shared" si="200"/>
        <v>21252.13</v>
      </c>
    </row>
    <row r="404" spans="2:20" s="34" customFormat="1" ht="34.799999999999997">
      <c r="B404" s="75" t="s">
        <v>791</v>
      </c>
      <c r="C404" s="76" t="s">
        <v>792</v>
      </c>
      <c r="D404" s="77" t="s">
        <v>82</v>
      </c>
      <c r="E404" s="114">
        <v>307.39999999999998</v>
      </c>
      <c r="F404" s="297">
        <v>307.39999999999998</v>
      </c>
      <c r="G404" s="82"/>
      <c r="H404" s="82"/>
      <c r="I404" s="82"/>
      <c r="J404" s="82">
        <f>SUM(H404:I404)+'BM 010'!I401</f>
        <v>30</v>
      </c>
      <c r="K404" s="82">
        <f t="shared" si="187"/>
        <v>277.39999999999998</v>
      </c>
      <c r="L404" s="80">
        <v>74</v>
      </c>
      <c r="M404" s="81">
        <v>93.802408139999997</v>
      </c>
      <c r="N404" s="82">
        <f t="shared" si="195"/>
        <v>0</v>
      </c>
      <c r="O404" s="82">
        <f t="shared" si="196"/>
        <v>0</v>
      </c>
      <c r="P404" s="82">
        <f>O404+'BM 010'!O401</f>
        <v>2814.07</v>
      </c>
      <c r="Q404" s="80">
        <f t="shared" si="197"/>
        <v>22747.599999999999</v>
      </c>
      <c r="R404" s="82">
        <f t="shared" si="198"/>
        <v>28834.86</v>
      </c>
      <c r="S404" s="82">
        <f t="shared" si="199"/>
        <v>28834.86</v>
      </c>
      <c r="T404" s="82">
        <f t="shared" si="200"/>
        <v>26020.79</v>
      </c>
    </row>
    <row r="405" spans="2:20" s="34" customFormat="1" ht="34.799999999999997">
      <c r="B405" s="75" t="s">
        <v>793</v>
      </c>
      <c r="C405" s="76" t="s">
        <v>794</v>
      </c>
      <c r="D405" s="77" t="s">
        <v>82</v>
      </c>
      <c r="E405" s="114">
        <v>340.33</v>
      </c>
      <c r="F405" s="297">
        <v>340.33</v>
      </c>
      <c r="G405" s="82"/>
      <c r="H405" s="82"/>
      <c r="I405" s="82"/>
      <c r="J405" s="82">
        <f>SUM(H405:I405)+'BM 010'!I402</f>
        <v>0</v>
      </c>
      <c r="K405" s="82">
        <f t="shared" si="187"/>
        <v>340.33</v>
      </c>
      <c r="L405" s="80">
        <v>34.57</v>
      </c>
      <c r="M405" s="81">
        <v>43.820935802699999</v>
      </c>
      <c r="N405" s="82">
        <f t="shared" si="195"/>
        <v>0</v>
      </c>
      <c r="O405" s="82">
        <f t="shared" si="196"/>
        <v>0</v>
      </c>
      <c r="P405" s="82">
        <f>O405+'BM 010'!O402</f>
        <v>0</v>
      </c>
      <c r="Q405" s="80">
        <f t="shared" si="197"/>
        <v>11765.2081</v>
      </c>
      <c r="R405" s="82">
        <f t="shared" si="198"/>
        <v>14913.57</v>
      </c>
      <c r="S405" s="82">
        <f t="shared" si="199"/>
        <v>14913.57</v>
      </c>
      <c r="T405" s="82">
        <f t="shared" si="200"/>
        <v>14913.57</v>
      </c>
    </row>
    <row r="406" spans="2:20" s="34" customFormat="1" ht="23.4">
      <c r="B406" s="75" t="s">
        <v>795</v>
      </c>
      <c r="C406" s="76" t="s">
        <v>796</v>
      </c>
      <c r="D406" s="77" t="s">
        <v>82</v>
      </c>
      <c r="E406" s="114">
        <v>52.07</v>
      </c>
      <c r="F406" s="297">
        <v>52.07</v>
      </c>
      <c r="G406" s="82"/>
      <c r="H406" s="82"/>
      <c r="I406" s="82"/>
      <c r="J406" s="82">
        <f>SUM(H406:I406)+'BM 010'!I403</f>
        <v>0</v>
      </c>
      <c r="K406" s="82">
        <f t="shared" si="187"/>
        <v>52.07</v>
      </c>
      <c r="L406" s="80">
        <v>165</v>
      </c>
      <c r="M406" s="81">
        <v>209.15401815000001</v>
      </c>
      <c r="N406" s="82">
        <f t="shared" si="195"/>
        <v>0</v>
      </c>
      <c r="O406" s="82">
        <f t="shared" si="196"/>
        <v>0</v>
      </c>
      <c r="P406" s="82">
        <f>O406+'BM 010'!O403</f>
        <v>0</v>
      </c>
      <c r="Q406" s="80">
        <f t="shared" si="197"/>
        <v>8591.5499999999993</v>
      </c>
      <c r="R406" s="82">
        <f t="shared" si="198"/>
        <v>10890.64</v>
      </c>
      <c r="S406" s="82">
        <f t="shared" si="199"/>
        <v>10890.64</v>
      </c>
      <c r="T406" s="82">
        <f t="shared" si="200"/>
        <v>10890.64</v>
      </c>
    </row>
    <row r="407" spans="2:20" s="34" customFormat="1" ht="23.4">
      <c r="B407" s="75" t="s">
        <v>797</v>
      </c>
      <c r="C407" s="76" t="s">
        <v>796</v>
      </c>
      <c r="D407" s="77" t="s">
        <v>82</v>
      </c>
      <c r="E407" s="114">
        <v>3.02</v>
      </c>
      <c r="F407" s="297">
        <v>3.02</v>
      </c>
      <c r="G407" s="82"/>
      <c r="H407" s="82"/>
      <c r="I407" s="82"/>
      <c r="J407" s="82">
        <f>SUM(H407:I407)+'BM 010'!I404</f>
        <v>0</v>
      </c>
      <c r="K407" s="82">
        <f t="shared" si="187"/>
        <v>3.02</v>
      </c>
      <c r="L407" s="80">
        <v>165</v>
      </c>
      <c r="M407" s="81">
        <v>209.15401815000001</v>
      </c>
      <c r="N407" s="82">
        <f t="shared" si="195"/>
        <v>0</v>
      </c>
      <c r="O407" s="82">
        <f t="shared" si="196"/>
        <v>0</v>
      </c>
      <c r="P407" s="82">
        <f>O407+'BM 010'!O404</f>
        <v>0</v>
      </c>
      <c r="Q407" s="80">
        <f t="shared" si="197"/>
        <v>498.3</v>
      </c>
      <c r="R407" s="82">
        <f t="shared" si="198"/>
        <v>631.64</v>
      </c>
      <c r="S407" s="82">
        <f t="shared" si="199"/>
        <v>631.64</v>
      </c>
      <c r="T407" s="82">
        <f t="shared" si="200"/>
        <v>631.64</v>
      </c>
    </row>
    <row r="408" spans="2:20" s="34" customFormat="1" ht="23.4">
      <c r="B408" s="75" t="s">
        <v>798</v>
      </c>
      <c r="C408" s="76" t="s">
        <v>799</v>
      </c>
      <c r="D408" s="77" t="s">
        <v>82</v>
      </c>
      <c r="E408" s="114">
        <v>658.8</v>
      </c>
      <c r="F408" s="297">
        <v>658.8</v>
      </c>
      <c r="G408" s="82"/>
      <c r="H408" s="82"/>
      <c r="I408" s="82"/>
      <c r="J408" s="82">
        <f>SUM(H408:I408)+'BM 010'!I405</f>
        <v>0</v>
      </c>
      <c r="K408" s="82">
        <f t="shared" si="187"/>
        <v>658.8</v>
      </c>
      <c r="L408" s="80">
        <v>65</v>
      </c>
      <c r="M408" s="81">
        <v>82.394007149999993</v>
      </c>
      <c r="N408" s="82">
        <f t="shared" si="195"/>
        <v>0</v>
      </c>
      <c r="O408" s="82">
        <f t="shared" si="196"/>
        <v>0</v>
      </c>
      <c r="P408" s="82">
        <f>O408+'BM 010'!O405</f>
        <v>0</v>
      </c>
      <c r="Q408" s="80">
        <f t="shared" si="197"/>
        <v>42822</v>
      </c>
      <c r="R408" s="82">
        <f t="shared" si="198"/>
        <v>54281.17</v>
      </c>
      <c r="S408" s="82">
        <f t="shared" si="199"/>
        <v>54281.17</v>
      </c>
      <c r="T408" s="82">
        <f t="shared" si="200"/>
        <v>54281.17</v>
      </c>
    </row>
    <row r="409" spans="2:20" s="34" customFormat="1" ht="46.2">
      <c r="B409" s="298" t="s">
        <v>1747</v>
      </c>
      <c r="C409" s="299" t="s">
        <v>1748</v>
      </c>
      <c r="D409" s="300" t="s">
        <v>82</v>
      </c>
      <c r="E409" s="301"/>
      <c r="F409" s="302">
        <v>69.73</v>
      </c>
      <c r="G409" s="293">
        <f>'M.C. MED. 11'!K1733</f>
        <v>69.73</v>
      </c>
      <c r="H409" s="293">
        <f>G409</f>
        <v>69.73</v>
      </c>
      <c r="I409" s="293"/>
      <c r="J409" s="293">
        <f>SUM(H409:I409)</f>
        <v>69.73</v>
      </c>
      <c r="K409" s="293">
        <f t="shared" si="187"/>
        <v>0</v>
      </c>
      <c r="L409" s="295"/>
      <c r="M409" s="292">
        <v>573.95000000000005</v>
      </c>
      <c r="N409" s="293">
        <f t="shared" si="195"/>
        <v>40021.53</v>
      </c>
      <c r="O409" s="293">
        <f t="shared" si="196"/>
        <v>40021.53</v>
      </c>
      <c r="P409" s="293">
        <f>O409</f>
        <v>40021.53</v>
      </c>
      <c r="Q409" s="295">
        <f t="shared" si="197"/>
        <v>0</v>
      </c>
      <c r="R409" s="293">
        <f t="shared" si="198"/>
        <v>0</v>
      </c>
      <c r="S409" s="293">
        <f t="shared" si="199"/>
        <v>40021.53</v>
      </c>
      <c r="T409" s="293">
        <f t="shared" si="200"/>
        <v>0</v>
      </c>
    </row>
    <row r="410" spans="2:20" s="34" customFormat="1" ht="36">
      <c r="B410" s="66" t="s">
        <v>800</v>
      </c>
      <c r="C410" s="115" t="s">
        <v>801</v>
      </c>
      <c r="D410" s="116"/>
      <c r="E410" s="117"/>
      <c r="F410" s="117"/>
      <c r="G410" s="118"/>
      <c r="H410" s="118"/>
      <c r="I410" s="118"/>
      <c r="J410" s="118">
        <f>SUM(H410:I410)+'BM 010'!I406</f>
        <v>0</v>
      </c>
      <c r="K410" s="118">
        <f t="shared" si="187"/>
        <v>0</v>
      </c>
      <c r="L410" s="119"/>
      <c r="M410" s="119">
        <v>0</v>
      </c>
      <c r="N410" s="73">
        <f t="shared" ref="N410:T410" si="201">SUM(N411:N480)</f>
        <v>0</v>
      </c>
      <c r="O410" s="73">
        <f t="shared" si="201"/>
        <v>0</v>
      </c>
      <c r="P410" s="73">
        <f t="shared" si="201"/>
        <v>0</v>
      </c>
      <c r="Q410" s="73">
        <f t="shared" si="201"/>
        <v>84729.980000000025</v>
      </c>
      <c r="R410" s="73">
        <f t="shared" si="201"/>
        <v>107403.37000000007</v>
      </c>
      <c r="S410" s="73">
        <f t="shared" si="201"/>
        <v>131940.97000000006</v>
      </c>
      <c r="T410" s="73">
        <f t="shared" si="201"/>
        <v>131940.97000000006</v>
      </c>
    </row>
    <row r="411" spans="2:20" s="34" customFormat="1" ht="46.2">
      <c r="B411" s="75" t="s">
        <v>802</v>
      </c>
      <c r="C411" s="76" t="s">
        <v>803</v>
      </c>
      <c r="D411" s="77" t="s">
        <v>131</v>
      </c>
      <c r="E411" s="93">
        <v>209</v>
      </c>
      <c r="F411" s="93">
        <v>209</v>
      </c>
      <c r="G411" s="79"/>
      <c r="H411" s="79"/>
      <c r="I411" s="79"/>
      <c r="J411" s="79">
        <f>SUM(H411:I411)+'BM 010'!I407</f>
        <v>0</v>
      </c>
      <c r="K411" s="79">
        <f t="shared" si="187"/>
        <v>209</v>
      </c>
      <c r="L411" s="80">
        <v>15.61</v>
      </c>
      <c r="M411" s="81">
        <v>19.787237717099998</v>
      </c>
      <c r="N411" s="82">
        <f t="shared" ref="N411:N442" si="202">TRUNC(G411*M411,2)</f>
        <v>0</v>
      </c>
      <c r="O411" s="82">
        <f t="shared" ref="O411:O442" si="203">TRUNC(H411*M411,2)</f>
        <v>0</v>
      </c>
      <c r="P411" s="82">
        <f>O411+'BM 010'!O407</f>
        <v>0</v>
      </c>
      <c r="Q411" s="80">
        <f t="shared" ref="Q411:Q442" si="204">E411*L411</f>
        <v>3262.49</v>
      </c>
      <c r="R411" s="82">
        <f t="shared" ref="R411:R442" si="205">TRUNC(E411*M411,2)</f>
        <v>4135.53</v>
      </c>
      <c r="S411" s="82">
        <f t="shared" ref="S411:S442" si="206">TRUNC(F411*$M411,2)</f>
        <v>4135.53</v>
      </c>
      <c r="T411" s="82">
        <f t="shared" ref="T411:T442" si="207">S411-P411</f>
        <v>4135.53</v>
      </c>
    </row>
    <row r="412" spans="2:20" s="34" customFormat="1" ht="46.2">
      <c r="B412" s="75" t="s">
        <v>804</v>
      </c>
      <c r="C412" s="76" t="s">
        <v>805</v>
      </c>
      <c r="D412" s="77" t="s">
        <v>131</v>
      </c>
      <c r="E412" s="93">
        <v>127</v>
      </c>
      <c r="F412" s="93">
        <v>127</v>
      </c>
      <c r="G412" s="79"/>
      <c r="H412" s="79"/>
      <c r="I412" s="79"/>
      <c r="J412" s="79">
        <f>SUM(H412:I412)+'BM 010'!I408</f>
        <v>0</v>
      </c>
      <c r="K412" s="79">
        <f t="shared" si="187"/>
        <v>127</v>
      </c>
      <c r="L412" s="80">
        <v>13.73</v>
      </c>
      <c r="M412" s="81">
        <v>17.404149510300002</v>
      </c>
      <c r="N412" s="82">
        <f t="shared" si="202"/>
        <v>0</v>
      </c>
      <c r="O412" s="82">
        <f t="shared" si="203"/>
        <v>0</v>
      </c>
      <c r="P412" s="82">
        <f>O412+'BM 010'!O408</f>
        <v>0</v>
      </c>
      <c r="Q412" s="80">
        <f t="shared" si="204"/>
        <v>1743.71</v>
      </c>
      <c r="R412" s="82">
        <f t="shared" si="205"/>
        <v>2210.3200000000002</v>
      </c>
      <c r="S412" s="82">
        <f t="shared" si="206"/>
        <v>2210.3200000000002</v>
      </c>
      <c r="T412" s="82">
        <f t="shared" si="207"/>
        <v>2210.3200000000002</v>
      </c>
    </row>
    <row r="413" spans="2:20" s="34" customFormat="1" ht="34.799999999999997">
      <c r="B413" s="75" t="s">
        <v>806</v>
      </c>
      <c r="C413" s="76" t="s">
        <v>807</v>
      </c>
      <c r="D413" s="77" t="s">
        <v>131</v>
      </c>
      <c r="E413" s="93">
        <v>286</v>
      </c>
      <c r="F413" s="93">
        <v>286</v>
      </c>
      <c r="G413" s="79"/>
      <c r="H413" s="79"/>
      <c r="I413" s="79"/>
      <c r="J413" s="79">
        <f>SUM(H413:I413)+'BM 010'!I409</f>
        <v>0</v>
      </c>
      <c r="K413" s="79">
        <f t="shared" si="187"/>
        <v>286</v>
      </c>
      <c r="L413" s="80">
        <v>46.17</v>
      </c>
      <c r="M413" s="81">
        <v>58.5250970787</v>
      </c>
      <c r="N413" s="82">
        <f t="shared" si="202"/>
        <v>0</v>
      </c>
      <c r="O413" s="82">
        <f t="shared" si="203"/>
        <v>0</v>
      </c>
      <c r="P413" s="82">
        <f>O413+'BM 010'!O409</f>
        <v>0</v>
      </c>
      <c r="Q413" s="80">
        <f t="shared" si="204"/>
        <v>13204.62</v>
      </c>
      <c r="R413" s="82">
        <f t="shared" si="205"/>
        <v>16738.169999999998</v>
      </c>
      <c r="S413" s="82">
        <f t="shared" si="206"/>
        <v>16738.169999999998</v>
      </c>
      <c r="T413" s="82">
        <f t="shared" si="207"/>
        <v>16738.169999999998</v>
      </c>
    </row>
    <row r="414" spans="2:20" s="34" customFormat="1" ht="34.799999999999997">
      <c r="B414" s="75" t="s">
        <v>808</v>
      </c>
      <c r="C414" s="76" t="s">
        <v>809</v>
      </c>
      <c r="D414" s="77" t="s">
        <v>131</v>
      </c>
      <c r="E414" s="93">
        <v>2</v>
      </c>
      <c r="F414" s="93">
        <v>2</v>
      </c>
      <c r="G414" s="79"/>
      <c r="H414" s="79"/>
      <c r="I414" s="79"/>
      <c r="J414" s="79">
        <f>SUM(H414:I414)+'BM 010'!I410</f>
        <v>0</v>
      </c>
      <c r="K414" s="79">
        <f t="shared" ref="K414:K477" si="208">F414-J414</f>
        <v>2</v>
      </c>
      <c r="L414" s="80">
        <v>95</v>
      </c>
      <c r="M414" s="81">
        <v>120.42201045</v>
      </c>
      <c r="N414" s="82">
        <f t="shared" si="202"/>
        <v>0</v>
      </c>
      <c r="O414" s="82">
        <f t="shared" si="203"/>
        <v>0</v>
      </c>
      <c r="P414" s="82">
        <f>O414+'BM 010'!O410</f>
        <v>0</v>
      </c>
      <c r="Q414" s="80">
        <f t="shared" si="204"/>
        <v>190</v>
      </c>
      <c r="R414" s="82">
        <f t="shared" si="205"/>
        <v>240.84</v>
      </c>
      <c r="S414" s="82">
        <f t="shared" si="206"/>
        <v>240.84</v>
      </c>
      <c r="T414" s="82">
        <f t="shared" si="207"/>
        <v>240.84</v>
      </c>
    </row>
    <row r="415" spans="2:20" s="34" customFormat="1" ht="34.799999999999997">
      <c r="B415" s="75" t="s">
        <v>810</v>
      </c>
      <c r="C415" s="76" t="s">
        <v>811</v>
      </c>
      <c r="D415" s="77" t="s">
        <v>131</v>
      </c>
      <c r="E415" s="93">
        <v>4</v>
      </c>
      <c r="F415" s="93">
        <v>4</v>
      </c>
      <c r="G415" s="79"/>
      <c r="H415" s="79"/>
      <c r="I415" s="79"/>
      <c r="J415" s="79">
        <f>SUM(H415:I415)+'BM 010'!I411</f>
        <v>0</v>
      </c>
      <c r="K415" s="79">
        <f t="shared" si="208"/>
        <v>4</v>
      </c>
      <c r="L415" s="80">
        <v>240</v>
      </c>
      <c r="M415" s="81">
        <v>304.22402640000001</v>
      </c>
      <c r="N415" s="82">
        <f t="shared" si="202"/>
        <v>0</v>
      </c>
      <c r="O415" s="82">
        <f t="shared" si="203"/>
        <v>0</v>
      </c>
      <c r="P415" s="82">
        <f>O415+'BM 010'!O411</f>
        <v>0</v>
      </c>
      <c r="Q415" s="80">
        <f t="shared" si="204"/>
        <v>960</v>
      </c>
      <c r="R415" s="82">
        <f t="shared" si="205"/>
        <v>1216.8900000000001</v>
      </c>
      <c r="S415" s="82">
        <f t="shared" si="206"/>
        <v>1216.8900000000001</v>
      </c>
      <c r="T415" s="82">
        <f t="shared" si="207"/>
        <v>1216.8900000000001</v>
      </c>
    </row>
    <row r="416" spans="2:20" s="34" customFormat="1" ht="46.2">
      <c r="B416" s="75" t="s">
        <v>812</v>
      </c>
      <c r="C416" s="76" t="s">
        <v>813</v>
      </c>
      <c r="D416" s="77" t="s">
        <v>131</v>
      </c>
      <c r="E416" s="93">
        <v>412</v>
      </c>
      <c r="F416" s="93">
        <v>412</v>
      </c>
      <c r="G416" s="79"/>
      <c r="H416" s="79"/>
      <c r="I416" s="79"/>
      <c r="J416" s="79">
        <f>SUM(H416:I416)+'BM 010'!I412</f>
        <v>0</v>
      </c>
      <c r="K416" s="79">
        <f t="shared" si="208"/>
        <v>412</v>
      </c>
      <c r="L416" s="80">
        <v>8.31</v>
      </c>
      <c r="M416" s="81">
        <v>10.5337569141</v>
      </c>
      <c r="N416" s="82">
        <f t="shared" si="202"/>
        <v>0</v>
      </c>
      <c r="O416" s="82">
        <f t="shared" si="203"/>
        <v>0</v>
      </c>
      <c r="P416" s="82">
        <f>O416+'BM 010'!O412</f>
        <v>0</v>
      </c>
      <c r="Q416" s="80">
        <f t="shared" si="204"/>
        <v>3423.7200000000003</v>
      </c>
      <c r="R416" s="82">
        <f t="shared" si="205"/>
        <v>4339.8999999999996</v>
      </c>
      <c r="S416" s="82">
        <f t="shared" si="206"/>
        <v>4339.8999999999996</v>
      </c>
      <c r="T416" s="82">
        <f t="shared" si="207"/>
        <v>4339.8999999999996</v>
      </c>
    </row>
    <row r="417" spans="2:20" s="34" customFormat="1" ht="34.799999999999997">
      <c r="B417" s="75" t="s">
        <v>814</v>
      </c>
      <c r="C417" s="76" t="s">
        <v>815</v>
      </c>
      <c r="D417" s="77" t="s">
        <v>131</v>
      </c>
      <c r="E417" s="93">
        <v>2</v>
      </c>
      <c r="F417" s="93">
        <v>2</v>
      </c>
      <c r="G417" s="79"/>
      <c r="H417" s="79"/>
      <c r="I417" s="79"/>
      <c r="J417" s="79">
        <f>SUM(H417:I417)+'BM 010'!I413</f>
        <v>0</v>
      </c>
      <c r="K417" s="79">
        <f t="shared" si="208"/>
        <v>2</v>
      </c>
      <c r="L417" s="80">
        <v>29</v>
      </c>
      <c r="M417" s="81">
        <v>36.760403189999998</v>
      </c>
      <c r="N417" s="82">
        <f t="shared" si="202"/>
        <v>0</v>
      </c>
      <c r="O417" s="82">
        <f t="shared" si="203"/>
        <v>0</v>
      </c>
      <c r="P417" s="82">
        <f>O417+'BM 010'!O413</f>
        <v>0</v>
      </c>
      <c r="Q417" s="80">
        <f t="shared" si="204"/>
        <v>58</v>
      </c>
      <c r="R417" s="82">
        <f t="shared" si="205"/>
        <v>73.52</v>
      </c>
      <c r="S417" s="82">
        <f t="shared" si="206"/>
        <v>73.52</v>
      </c>
      <c r="T417" s="82">
        <f t="shared" si="207"/>
        <v>73.52</v>
      </c>
    </row>
    <row r="418" spans="2:20" s="34" customFormat="1" ht="46.2">
      <c r="B418" s="75" t="s">
        <v>816</v>
      </c>
      <c r="C418" s="76" t="s">
        <v>817</v>
      </c>
      <c r="D418" s="77" t="s">
        <v>131</v>
      </c>
      <c r="E418" s="93">
        <v>115</v>
      </c>
      <c r="F418" s="93">
        <v>115</v>
      </c>
      <c r="G418" s="79"/>
      <c r="H418" s="79"/>
      <c r="I418" s="79"/>
      <c r="J418" s="79">
        <f>SUM(H418:I418)+'BM 010'!I414</f>
        <v>0</v>
      </c>
      <c r="K418" s="79">
        <f t="shared" si="208"/>
        <v>115</v>
      </c>
      <c r="L418" s="80">
        <v>9.2899999999999991</v>
      </c>
      <c r="M418" s="81">
        <v>11.7760050219</v>
      </c>
      <c r="N418" s="82">
        <f t="shared" si="202"/>
        <v>0</v>
      </c>
      <c r="O418" s="82">
        <f t="shared" si="203"/>
        <v>0</v>
      </c>
      <c r="P418" s="82">
        <f>O418+'BM 010'!O414</f>
        <v>0</v>
      </c>
      <c r="Q418" s="80">
        <f t="shared" si="204"/>
        <v>1068.3499999999999</v>
      </c>
      <c r="R418" s="82">
        <f t="shared" si="205"/>
        <v>1354.24</v>
      </c>
      <c r="S418" s="82">
        <f t="shared" si="206"/>
        <v>1354.24</v>
      </c>
      <c r="T418" s="82">
        <f t="shared" si="207"/>
        <v>1354.24</v>
      </c>
    </row>
    <row r="419" spans="2:20" s="34" customFormat="1" ht="46.2">
      <c r="B419" s="75" t="s">
        <v>818</v>
      </c>
      <c r="C419" s="76" t="s">
        <v>819</v>
      </c>
      <c r="D419" s="77" t="s">
        <v>131</v>
      </c>
      <c r="E419" s="93">
        <v>158</v>
      </c>
      <c r="F419" s="93">
        <v>158</v>
      </c>
      <c r="G419" s="79"/>
      <c r="H419" s="79"/>
      <c r="I419" s="79"/>
      <c r="J419" s="79">
        <f>SUM(H419:I419)+'BM 010'!I415</f>
        <v>0</v>
      </c>
      <c r="K419" s="79">
        <f t="shared" si="208"/>
        <v>158</v>
      </c>
      <c r="L419" s="80">
        <v>14.75</v>
      </c>
      <c r="M419" s="81">
        <v>18.6971016225</v>
      </c>
      <c r="N419" s="82">
        <f t="shared" si="202"/>
        <v>0</v>
      </c>
      <c r="O419" s="82">
        <f t="shared" si="203"/>
        <v>0</v>
      </c>
      <c r="P419" s="82">
        <f>O419+'BM 010'!O415</f>
        <v>0</v>
      </c>
      <c r="Q419" s="80">
        <f t="shared" si="204"/>
        <v>2330.5</v>
      </c>
      <c r="R419" s="82">
        <f t="shared" si="205"/>
        <v>2954.14</v>
      </c>
      <c r="S419" s="82">
        <f t="shared" si="206"/>
        <v>2954.14</v>
      </c>
      <c r="T419" s="82">
        <f t="shared" si="207"/>
        <v>2954.14</v>
      </c>
    </row>
    <row r="420" spans="2:20" s="34" customFormat="1" ht="46.2">
      <c r="B420" s="75" t="s">
        <v>820</v>
      </c>
      <c r="C420" s="76" t="s">
        <v>821</v>
      </c>
      <c r="D420" s="77" t="s">
        <v>131</v>
      </c>
      <c r="E420" s="93">
        <v>28</v>
      </c>
      <c r="F420" s="93">
        <v>28</v>
      </c>
      <c r="G420" s="79"/>
      <c r="H420" s="79"/>
      <c r="I420" s="79"/>
      <c r="J420" s="79">
        <f>SUM(H420:I420)+'BM 010'!I416</f>
        <v>0</v>
      </c>
      <c r="K420" s="79">
        <f t="shared" si="208"/>
        <v>28</v>
      </c>
      <c r="L420" s="80">
        <v>29.5</v>
      </c>
      <c r="M420" s="81">
        <v>37.394203245</v>
      </c>
      <c r="N420" s="82">
        <f t="shared" si="202"/>
        <v>0</v>
      </c>
      <c r="O420" s="82">
        <f t="shared" si="203"/>
        <v>0</v>
      </c>
      <c r="P420" s="82">
        <f>O420+'BM 010'!O416</f>
        <v>0</v>
      </c>
      <c r="Q420" s="80">
        <f t="shared" si="204"/>
        <v>826</v>
      </c>
      <c r="R420" s="82">
        <f t="shared" si="205"/>
        <v>1047.03</v>
      </c>
      <c r="S420" s="82">
        <f t="shared" si="206"/>
        <v>1047.03</v>
      </c>
      <c r="T420" s="82">
        <f t="shared" si="207"/>
        <v>1047.03</v>
      </c>
    </row>
    <row r="421" spans="2:20" s="34" customFormat="1" ht="22.5" customHeight="1">
      <c r="B421" s="75" t="s">
        <v>822</v>
      </c>
      <c r="C421" s="76" t="s">
        <v>823</v>
      </c>
      <c r="D421" s="77" t="s">
        <v>131</v>
      </c>
      <c r="E421" s="93">
        <v>37</v>
      </c>
      <c r="F421" s="93">
        <v>37</v>
      </c>
      <c r="G421" s="79"/>
      <c r="H421" s="79"/>
      <c r="I421" s="79"/>
      <c r="J421" s="79">
        <f>SUM(H421:I421)+'BM 010'!I417</f>
        <v>0</v>
      </c>
      <c r="K421" s="79">
        <f t="shared" si="208"/>
        <v>37</v>
      </c>
      <c r="L421" s="80">
        <v>34.119999999999997</v>
      </c>
      <c r="M421" s="81">
        <v>43.250515753199998</v>
      </c>
      <c r="N421" s="82">
        <f t="shared" si="202"/>
        <v>0</v>
      </c>
      <c r="O421" s="82">
        <f t="shared" si="203"/>
        <v>0</v>
      </c>
      <c r="P421" s="82">
        <f>O421+'BM 010'!O417</f>
        <v>0</v>
      </c>
      <c r="Q421" s="80">
        <f t="shared" si="204"/>
        <v>1262.4399999999998</v>
      </c>
      <c r="R421" s="82">
        <f t="shared" si="205"/>
        <v>1600.26</v>
      </c>
      <c r="S421" s="82">
        <f t="shared" si="206"/>
        <v>1600.26</v>
      </c>
      <c r="T421" s="82">
        <f t="shared" si="207"/>
        <v>1600.26</v>
      </c>
    </row>
    <row r="422" spans="2:20" s="34" customFormat="1" ht="34.799999999999997">
      <c r="B422" s="75" t="s">
        <v>824</v>
      </c>
      <c r="C422" s="76" t="s">
        <v>825</v>
      </c>
      <c r="D422" s="77" t="s">
        <v>131</v>
      </c>
      <c r="E422" s="93">
        <v>77</v>
      </c>
      <c r="F422" s="93">
        <v>77</v>
      </c>
      <c r="G422" s="79"/>
      <c r="H422" s="79"/>
      <c r="I422" s="79"/>
      <c r="J422" s="79">
        <f>SUM(H422:I422)+'BM 010'!I418</f>
        <v>0</v>
      </c>
      <c r="K422" s="79">
        <f t="shared" si="208"/>
        <v>77</v>
      </c>
      <c r="L422" s="80">
        <v>42</v>
      </c>
      <c r="M422" s="81">
        <v>53.239204620000002</v>
      </c>
      <c r="N422" s="82">
        <f t="shared" si="202"/>
        <v>0</v>
      </c>
      <c r="O422" s="82">
        <f t="shared" si="203"/>
        <v>0</v>
      </c>
      <c r="P422" s="82">
        <f>O422+'BM 010'!O418</f>
        <v>0</v>
      </c>
      <c r="Q422" s="80">
        <f t="shared" si="204"/>
        <v>3234</v>
      </c>
      <c r="R422" s="82">
        <f t="shared" si="205"/>
        <v>4099.41</v>
      </c>
      <c r="S422" s="82">
        <f t="shared" si="206"/>
        <v>4099.41</v>
      </c>
      <c r="T422" s="82">
        <f t="shared" si="207"/>
        <v>4099.41</v>
      </c>
    </row>
    <row r="423" spans="2:20" s="34" customFormat="1" ht="34.799999999999997">
      <c r="B423" s="75" t="s">
        <v>826</v>
      </c>
      <c r="C423" s="76" t="s">
        <v>827</v>
      </c>
      <c r="D423" s="77" t="s">
        <v>131</v>
      </c>
      <c r="E423" s="93">
        <v>1</v>
      </c>
      <c r="F423" s="93">
        <v>1</v>
      </c>
      <c r="G423" s="79"/>
      <c r="H423" s="79"/>
      <c r="I423" s="79"/>
      <c r="J423" s="79">
        <f>SUM(H423:I423)+'BM 010'!I419</f>
        <v>0</v>
      </c>
      <c r="K423" s="79">
        <f t="shared" si="208"/>
        <v>1</v>
      </c>
      <c r="L423" s="80">
        <v>88</v>
      </c>
      <c r="M423" s="81">
        <v>111.54880968000001</v>
      </c>
      <c r="N423" s="82">
        <f t="shared" si="202"/>
        <v>0</v>
      </c>
      <c r="O423" s="82">
        <f t="shared" si="203"/>
        <v>0</v>
      </c>
      <c r="P423" s="82">
        <f>O423+'BM 010'!O419</f>
        <v>0</v>
      </c>
      <c r="Q423" s="80">
        <f t="shared" si="204"/>
        <v>88</v>
      </c>
      <c r="R423" s="82">
        <f t="shared" si="205"/>
        <v>111.54</v>
      </c>
      <c r="S423" s="82">
        <f t="shared" si="206"/>
        <v>111.54</v>
      </c>
      <c r="T423" s="82">
        <f t="shared" si="207"/>
        <v>111.54</v>
      </c>
    </row>
    <row r="424" spans="2:20" s="34" customFormat="1" ht="34.799999999999997">
      <c r="B424" s="75" t="s">
        <v>828</v>
      </c>
      <c r="C424" s="76" t="s">
        <v>829</v>
      </c>
      <c r="D424" s="77" t="s">
        <v>131</v>
      </c>
      <c r="E424" s="93">
        <v>4</v>
      </c>
      <c r="F424" s="93">
        <v>4</v>
      </c>
      <c r="G424" s="79"/>
      <c r="H424" s="79"/>
      <c r="I424" s="79"/>
      <c r="J424" s="79">
        <f>SUM(H424:I424)+'BM 010'!I420</f>
        <v>0</v>
      </c>
      <c r="K424" s="79">
        <f t="shared" si="208"/>
        <v>4</v>
      </c>
      <c r="L424" s="80">
        <v>235</v>
      </c>
      <c r="M424" s="81">
        <v>297.88602585000001</v>
      </c>
      <c r="N424" s="82">
        <f t="shared" si="202"/>
        <v>0</v>
      </c>
      <c r="O424" s="82">
        <f t="shared" si="203"/>
        <v>0</v>
      </c>
      <c r="P424" s="82">
        <f>O424+'BM 010'!O420</f>
        <v>0</v>
      </c>
      <c r="Q424" s="80">
        <f t="shared" si="204"/>
        <v>940</v>
      </c>
      <c r="R424" s="82">
        <f t="shared" si="205"/>
        <v>1191.54</v>
      </c>
      <c r="S424" s="82">
        <f t="shared" si="206"/>
        <v>1191.54</v>
      </c>
      <c r="T424" s="82">
        <f t="shared" si="207"/>
        <v>1191.54</v>
      </c>
    </row>
    <row r="425" spans="2:20" s="34" customFormat="1" ht="57.6">
      <c r="B425" s="75" t="s">
        <v>830</v>
      </c>
      <c r="C425" s="76" t="s">
        <v>831</v>
      </c>
      <c r="D425" s="77" t="s">
        <v>131</v>
      </c>
      <c r="E425" s="93">
        <v>326</v>
      </c>
      <c r="F425" s="93">
        <v>326</v>
      </c>
      <c r="G425" s="79"/>
      <c r="H425" s="79"/>
      <c r="I425" s="79"/>
      <c r="J425" s="79">
        <f>SUM(H425:I425)+'BM 010'!I421</f>
        <v>0</v>
      </c>
      <c r="K425" s="79">
        <f t="shared" si="208"/>
        <v>326</v>
      </c>
      <c r="L425" s="80">
        <v>9.08</v>
      </c>
      <c r="M425" s="81">
        <v>11.509808998800001</v>
      </c>
      <c r="N425" s="82">
        <f t="shared" si="202"/>
        <v>0</v>
      </c>
      <c r="O425" s="82">
        <f t="shared" si="203"/>
        <v>0</v>
      </c>
      <c r="P425" s="82">
        <f>O425+'BM 010'!O421</f>
        <v>0</v>
      </c>
      <c r="Q425" s="80">
        <f t="shared" si="204"/>
        <v>2960.08</v>
      </c>
      <c r="R425" s="82">
        <f t="shared" si="205"/>
        <v>3752.19</v>
      </c>
      <c r="S425" s="82">
        <f t="shared" si="206"/>
        <v>3752.19</v>
      </c>
      <c r="T425" s="82">
        <f t="shared" si="207"/>
        <v>3752.19</v>
      </c>
    </row>
    <row r="426" spans="2:20" s="34" customFormat="1" ht="46.2">
      <c r="B426" s="75" t="s">
        <v>832</v>
      </c>
      <c r="C426" s="76" t="s">
        <v>833</v>
      </c>
      <c r="D426" s="77" t="s">
        <v>131</v>
      </c>
      <c r="E426" s="93">
        <v>166</v>
      </c>
      <c r="F426" s="93">
        <v>166</v>
      </c>
      <c r="G426" s="79"/>
      <c r="H426" s="79"/>
      <c r="I426" s="79"/>
      <c r="J426" s="79">
        <f>SUM(H426:I426)+'BM 010'!I422</f>
        <v>0</v>
      </c>
      <c r="K426" s="79">
        <f t="shared" si="208"/>
        <v>166</v>
      </c>
      <c r="L426" s="80">
        <v>9.4600000000000009</v>
      </c>
      <c r="M426" s="81">
        <v>11.991497040600001</v>
      </c>
      <c r="N426" s="82">
        <f t="shared" si="202"/>
        <v>0</v>
      </c>
      <c r="O426" s="82">
        <f t="shared" si="203"/>
        <v>0</v>
      </c>
      <c r="P426" s="82">
        <f>O426+'BM 010'!O422</f>
        <v>0</v>
      </c>
      <c r="Q426" s="80">
        <f t="shared" si="204"/>
        <v>1570.3600000000001</v>
      </c>
      <c r="R426" s="82">
        <f t="shared" si="205"/>
        <v>1990.58</v>
      </c>
      <c r="S426" s="82">
        <f t="shared" si="206"/>
        <v>1990.58</v>
      </c>
      <c r="T426" s="82">
        <f t="shared" si="207"/>
        <v>1990.58</v>
      </c>
    </row>
    <row r="427" spans="2:20" s="34" customFormat="1" ht="13.2">
      <c r="B427" s="75" t="s">
        <v>834</v>
      </c>
      <c r="C427" s="76" t="s">
        <v>747</v>
      </c>
      <c r="D427" s="77" t="s">
        <v>131</v>
      </c>
      <c r="E427" s="93">
        <v>96</v>
      </c>
      <c r="F427" s="93">
        <v>96</v>
      </c>
      <c r="G427" s="79"/>
      <c r="H427" s="79"/>
      <c r="I427" s="79"/>
      <c r="J427" s="79">
        <f>SUM(H427:I427)+'BM 010'!I423</f>
        <v>0</v>
      </c>
      <c r="K427" s="79">
        <f t="shared" si="208"/>
        <v>96</v>
      </c>
      <c r="L427" s="80">
        <v>5.14</v>
      </c>
      <c r="M427" s="81">
        <v>6.5154645654000003</v>
      </c>
      <c r="N427" s="82">
        <f t="shared" si="202"/>
        <v>0</v>
      </c>
      <c r="O427" s="82">
        <f t="shared" si="203"/>
        <v>0</v>
      </c>
      <c r="P427" s="82">
        <f>O427+'BM 010'!O423</f>
        <v>0</v>
      </c>
      <c r="Q427" s="80">
        <f t="shared" si="204"/>
        <v>493.43999999999994</v>
      </c>
      <c r="R427" s="82">
        <f t="shared" si="205"/>
        <v>625.48</v>
      </c>
      <c r="S427" s="82">
        <f t="shared" si="206"/>
        <v>625.48</v>
      </c>
      <c r="T427" s="82">
        <f t="shared" si="207"/>
        <v>625.48</v>
      </c>
    </row>
    <row r="428" spans="2:20" s="34" customFormat="1" ht="46.2">
      <c r="B428" s="75" t="s">
        <v>835</v>
      </c>
      <c r="C428" s="76" t="s">
        <v>836</v>
      </c>
      <c r="D428" s="77" t="s">
        <v>131</v>
      </c>
      <c r="E428" s="93">
        <v>26</v>
      </c>
      <c r="F428" s="93">
        <v>26</v>
      </c>
      <c r="G428" s="79"/>
      <c r="H428" s="79"/>
      <c r="I428" s="79"/>
      <c r="J428" s="79">
        <f>SUM(H428:I428)+'BM 010'!I424</f>
        <v>0</v>
      </c>
      <c r="K428" s="79">
        <f t="shared" si="208"/>
        <v>26</v>
      </c>
      <c r="L428" s="80">
        <v>21.35</v>
      </c>
      <c r="M428" s="81">
        <v>27.0632623485</v>
      </c>
      <c r="N428" s="82">
        <f t="shared" si="202"/>
        <v>0</v>
      </c>
      <c r="O428" s="82">
        <f t="shared" si="203"/>
        <v>0</v>
      </c>
      <c r="P428" s="82">
        <f>O428+'BM 010'!O424</f>
        <v>0</v>
      </c>
      <c r="Q428" s="80">
        <f t="shared" si="204"/>
        <v>555.1</v>
      </c>
      <c r="R428" s="82">
        <f t="shared" si="205"/>
        <v>703.64</v>
      </c>
      <c r="S428" s="82">
        <f t="shared" si="206"/>
        <v>703.64</v>
      </c>
      <c r="T428" s="82">
        <f t="shared" si="207"/>
        <v>703.64</v>
      </c>
    </row>
    <row r="429" spans="2:20" s="34" customFormat="1" ht="46.2">
      <c r="B429" s="75" t="s">
        <v>837</v>
      </c>
      <c r="C429" s="76" t="s">
        <v>838</v>
      </c>
      <c r="D429" s="77" t="s">
        <v>131</v>
      </c>
      <c r="E429" s="93">
        <v>86</v>
      </c>
      <c r="F429" s="93">
        <v>86</v>
      </c>
      <c r="G429" s="79"/>
      <c r="H429" s="79"/>
      <c r="I429" s="79"/>
      <c r="J429" s="79">
        <f>SUM(H429:I429)+'BM 010'!I425</f>
        <v>0</v>
      </c>
      <c r="K429" s="79">
        <f t="shared" si="208"/>
        <v>86</v>
      </c>
      <c r="L429" s="80">
        <v>25.91</v>
      </c>
      <c r="M429" s="81">
        <v>32.843518850099997</v>
      </c>
      <c r="N429" s="82">
        <f t="shared" si="202"/>
        <v>0</v>
      </c>
      <c r="O429" s="82">
        <f t="shared" si="203"/>
        <v>0</v>
      </c>
      <c r="P429" s="82">
        <f>O429+'BM 010'!O425</f>
        <v>0</v>
      </c>
      <c r="Q429" s="80">
        <f t="shared" si="204"/>
        <v>2228.2600000000002</v>
      </c>
      <c r="R429" s="82">
        <f t="shared" si="205"/>
        <v>2824.54</v>
      </c>
      <c r="S429" s="82">
        <f t="shared" si="206"/>
        <v>2824.54</v>
      </c>
      <c r="T429" s="82">
        <f t="shared" si="207"/>
        <v>2824.54</v>
      </c>
    </row>
    <row r="430" spans="2:20" s="34" customFormat="1" ht="34.799999999999997">
      <c r="B430" s="75" t="s">
        <v>839</v>
      </c>
      <c r="C430" s="76" t="s">
        <v>840</v>
      </c>
      <c r="D430" s="77" t="s">
        <v>131</v>
      </c>
      <c r="E430" s="93">
        <v>19</v>
      </c>
      <c r="F430" s="93">
        <v>19</v>
      </c>
      <c r="G430" s="79"/>
      <c r="H430" s="79"/>
      <c r="I430" s="79"/>
      <c r="J430" s="79">
        <f>SUM(H430:I430)+'BM 010'!I426</f>
        <v>0</v>
      </c>
      <c r="K430" s="79">
        <f t="shared" si="208"/>
        <v>19</v>
      </c>
      <c r="L430" s="80">
        <v>100.92</v>
      </c>
      <c r="M430" s="81">
        <v>127.9262031012</v>
      </c>
      <c r="N430" s="82">
        <f t="shared" si="202"/>
        <v>0</v>
      </c>
      <c r="O430" s="82">
        <f t="shared" si="203"/>
        <v>0</v>
      </c>
      <c r="P430" s="82">
        <f>O430+'BM 010'!O426</f>
        <v>0</v>
      </c>
      <c r="Q430" s="80">
        <f t="shared" si="204"/>
        <v>1917.48</v>
      </c>
      <c r="R430" s="82">
        <f t="shared" si="205"/>
        <v>2430.59</v>
      </c>
      <c r="S430" s="82">
        <f t="shared" si="206"/>
        <v>2430.59</v>
      </c>
      <c r="T430" s="82">
        <f t="shared" si="207"/>
        <v>2430.59</v>
      </c>
    </row>
    <row r="431" spans="2:20" s="34" customFormat="1" ht="34.799999999999997">
      <c r="B431" s="75" t="s">
        <v>841</v>
      </c>
      <c r="C431" s="76" t="s">
        <v>842</v>
      </c>
      <c r="D431" s="77" t="s">
        <v>131</v>
      </c>
      <c r="E431" s="93">
        <v>1</v>
      </c>
      <c r="F431" s="93">
        <v>1</v>
      </c>
      <c r="G431" s="79"/>
      <c r="H431" s="79"/>
      <c r="I431" s="79"/>
      <c r="J431" s="79">
        <f>SUM(H431:I431)+'BM 010'!I427</f>
        <v>0</v>
      </c>
      <c r="K431" s="79">
        <f t="shared" si="208"/>
        <v>1</v>
      </c>
      <c r="L431" s="80">
        <v>135</v>
      </c>
      <c r="M431" s="81">
        <v>171.12601484999999</v>
      </c>
      <c r="N431" s="82">
        <f t="shared" si="202"/>
        <v>0</v>
      </c>
      <c r="O431" s="82">
        <f t="shared" si="203"/>
        <v>0</v>
      </c>
      <c r="P431" s="82">
        <f>O431+'BM 010'!O427</f>
        <v>0</v>
      </c>
      <c r="Q431" s="80">
        <f t="shared" si="204"/>
        <v>135</v>
      </c>
      <c r="R431" s="82">
        <f t="shared" si="205"/>
        <v>171.12</v>
      </c>
      <c r="S431" s="82">
        <f t="shared" si="206"/>
        <v>171.12</v>
      </c>
      <c r="T431" s="82">
        <f t="shared" si="207"/>
        <v>171.12</v>
      </c>
    </row>
    <row r="432" spans="2:20" s="34" customFormat="1" ht="46.2">
      <c r="B432" s="75" t="s">
        <v>843</v>
      </c>
      <c r="C432" s="76" t="s">
        <v>844</v>
      </c>
      <c r="D432" s="77" t="s">
        <v>131</v>
      </c>
      <c r="E432" s="93">
        <v>38</v>
      </c>
      <c r="F432" s="93">
        <v>38</v>
      </c>
      <c r="G432" s="79"/>
      <c r="H432" s="79"/>
      <c r="I432" s="79"/>
      <c r="J432" s="79">
        <f>SUM(H432:I432)+'BM 010'!I428</f>
        <v>0</v>
      </c>
      <c r="K432" s="79">
        <f t="shared" si="208"/>
        <v>38</v>
      </c>
      <c r="L432" s="80">
        <v>9.08</v>
      </c>
      <c r="M432" s="81">
        <v>11.509808998800001</v>
      </c>
      <c r="N432" s="82">
        <f t="shared" si="202"/>
        <v>0</v>
      </c>
      <c r="O432" s="82">
        <f t="shared" si="203"/>
        <v>0</v>
      </c>
      <c r="P432" s="82">
        <f>O432+'BM 010'!O428</f>
        <v>0</v>
      </c>
      <c r="Q432" s="80">
        <f t="shared" si="204"/>
        <v>345.04</v>
      </c>
      <c r="R432" s="82">
        <f t="shared" si="205"/>
        <v>437.37</v>
      </c>
      <c r="S432" s="82">
        <f t="shared" si="206"/>
        <v>437.37</v>
      </c>
      <c r="T432" s="82">
        <f t="shared" si="207"/>
        <v>437.37</v>
      </c>
    </row>
    <row r="433" spans="2:20" s="34" customFormat="1" ht="46.2">
      <c r="B433" s="75" t="s">
        <v>845</v>
      </c>
      <c r="C433" s="76" t="s">
        <v>846</v>
      </c>
      <c r="D433" s="77" t="s">
        <v>131</v>
      </c>
      <c r="E433" s="93">
        <v>38</v>
      </c>
      <c r="F433" s="93">
        <v>38</v>
      </c>
      <c r="G433" s="79"/>
      <c r="H433" s="79"/>
      <c r="I433" s="79"/>
      <c r="J433" s="79">
        <f>SUM(H433:I433)+'BM 010'!I429</f>
        <v>0</v>
      </c>
      <c r="K433" s="79">
        <f t="shared" si="208"/>
        <v>38</v>
      </c>
      <c r="L433" s="80">
        <v>25.03</v>
      </c>
      <c r="M433" s="81">
        <v>31.728030753300001</v>
      </c>
      <c r="N433" s="82">
        <f t="shared" si="202"/>
        <v>0</v>
      </c>
      <c r="O433" s="82">
        <f t="shared" si="203"/>
        <v>0</v>
      </c>
      <c r="P433" s="82">
        <f>O433+'BM 010'!O429</f>
        <v>0</v>
      </c>
      <c r="Q433" s="80">
        <f t="shared" si="204"/>
        <v>951.1400000000001</v>
      </c>
      <c r="R433" s="82">
        <f t="shared" si="205"/>
        <v>1205.6600000000001</v>
      </c>
      <c r="S433" s="82">
        <f t="shared" si="206"/>
        <v>1205.6600000000001</v>
      </c>
      <c r="T433" s="82">
        <f t="shared" si="207"/>
        <v>1205.6600000000001</v>
      </c>
    </row>
    <row r="434" spans="2:20" s="34" customFormat="1" ht="46.2">
      <c r="B434" s="75" t="s">
        <v>847</v>
      </c>
      <c r="C434" s="76" t="s">
        <v>848</v>
      </c>
      <c r="D434" s="77" t="s">
        <v>131</v>
      </c>
      <c r="E434" s="93">
        <v>9</v>
      </c>
      <c r="F434" s="93">
        <v>9</v>
      </c>
      <c r="G434" s="79"/>
      <c r="H434" s="79"/>
      <c r="I434" s="79"/>
      <c r="J434" s="79">
        <f>SUM(H434:I434)+'BM 010'!I430</f>
        <v>0</v>
      </c>
      <c r="K434" s="79">
        <f t="shared" si="208"/>
        <v>9</v>
      </c>
      <c r="L434" s="80">
        <v>38.549999999999997</v>
      </c>
      <c r="M434" s="81">
        <v>48.865984240499998</v>
      </c>
      <c r="N434" s="82">
        <f t="shared" si="202"/>
        <v>0</v>
      </c>
      <c r="O434" s="82">
        <f t="shared" si="203"/>
        <v>0</v>
      </c>
      <c r="P434" s="82">
        <f>O434+'BM 010'!O430</f>
        <v>0</v>
      </c>
      <c r="Q434" s="80">
        <f t="shared" si="204"/>
        <v>346.95</v>
      </c>
      <c r="R434" s="82">
        <f t="shared" si="205"/>
        <v>439.79</v>
      </c>
      <c r="S434" s="82">
        <f t="shared" si="206"/>
        <v>439.79</v>
      </c>
      <c r="T434" s="82">
        <f t="shared" si="207"/>
        <v>439.79</v>
      </c>
    </row>
    <row r="435" spans="2:20" s="34" customFormat="1" ht="57.6">
      <c r="B435" s="75" t="s">
        <v>849</v>
      </c>
      <c r="C435" s="76" t="s">
        <v>850</v>
      </c>
      <c r="D435" s="77" t="s">
        <v>131</v>
      </c>
      <c r="E435" s="93">
        <v>24</v>
      </c>
      <c r="F435" s="93">
        <v>24</v>
      </c>
      <c r="G435" s="79"/>
      <c r="H435" s="79"/>
      <c r="I435" s="79"/>
      <c r="J435" s="79">
        <f>SUM(H435:I435)+'BM 010'!I431</f>
        <v>0</v>
      </c>
      <c r="K435" s="79">
        <f t="shared" si="208"/>
        <v>24</v>
      </c>
      <c r="L435" s="80">
        <v>48.29</v>
      </c>
      <c r="M435" s="81">
        <v>61.212409311899997</v>
      </c>
      <c r="N435" s="82">
        <f t="shared" si="202"/>
        <v>0</v>
      </c>
      <c r="O435" s="82">
        <f t="shared" si="203"/>
        <v>0</v>
      </c>
      <c r="P435" s="82">
        <f>O435+'BM 010'!O431</f>
        <v>0</v>
      </c>
      <c r="Q435" s="80">
        <f t="shared" si="204"/>
        <v>1158.96</v>
      </c>
      <c r="R435" s="82">
        <f t="shared" si="205"/>
        <v>1469.09</v>
      </c>
      <c r="S435" s="82">
        <f t="shared" si="206"/>
        <v>1469.09</v>
      </c>
      <c r="T435" s="82">
        <f t="shared" si="207"/>
        <v>1469.09</v>
      </c>
    </row>
    <row r="436" spans="2:20" s="34" customFormat="1" ht="23.4">
      <c r="B436" s="75" t="s">
        <v>851</v>
      </c>
      <c r="C436" s="76" t="s">
        <v>852</v>
      </c>
      <c r="D436" s="77" t="s">
        <v>131</v>
      </c>
      <c r="E436" s="93">
        <v>64</v>
      </c>
      <c r="F436" s="93">
        <v>64</v>
      </c>
      <c r="G436" s="79"/>
      <c r="H436" s="79"/>
      <c r="I436" s="79"/>
      <c r="J436" s="79">
        <f>SUM(H436:I436)+'BM 010'!I432</f>
        <v>0</v>
      </c>
      <c r="K436" s="79">
        <f t="shared" si="208"/>
        <v>64</v>
      </c>
      <c r="L436" s="80">
        <v>28.98</v>
      </c>
      <c r="M436" s="81">
        <v>36.735051187800003</v>
      </c>
      <c r="N436" s="82">
        <f t="shared" si="202"/>
        <v>0</v>
      </c>
      <c r="O436" s="82">
        <f t="shared" si="203"/>
        <v>0</v>
      </c>
      <c r="P436" s="82">
        <f>O436+'BM 010'!O432</f>
        <v>0</v>
      </c>
      <c r="Q436" s="80">
        <f t="shared" si="204"/>
        <v>1854.72</v>
      </c>
      <c r="R436" s="82">
        <f t="shared" si="205"/>
        <v>2351.04</v>
      </c>
      <c r="S436" s="82">
        <f t="shared" si="206"/>
        <v>2351.04</v>
      </c>
      <c r="T436" s="82">
        <f t="shared" si="207"/>
        <v>2351.04</v>
      </c>
    </row>
    <row r="437" spans="2:20" s="34" customFormat="1" ht="23.4">
      <c r="B437" s="75" t="s">
        <v>853</v>
      </c>
      <c r="C437" s="76" t="s">
        <v>854</v>
      </c>
      <c r="D437" s="77" t="s">
        <v>131</v>
      </c>
      <c r="E437" s="93">
        <v>69</v>
      </c>
      <c r="F437" s="93">
        <v>69</v>
      </c>
      <c r="G437" s="79"/>
      <c r="H437" s="79"/>
      <c r="I437" s="79"/>
      <c r="J437" s="79">
        <f>SUM(H437:I437)+'BM 010'!I433</f>
        <v>0</v>
      </c>
      <c r="K437" s="79">
        <f t="shared" si="208"/>
        <v>69</v>
      </c>
      <c r="L437" s="80">
        <v>44.64</v>
      </c>
      <c r="M437" s="81">
        <v>56.585668910400003</v>
      </c>
      <c r="N437" s="82">
        <f t="shared" si="202"/>
        <v>0</v>
      </c>
      <c r="O437" s="82">
        <f t="shared" si="203"/>
        <v>0</v>
      </c>
      <c r="P437" s="82">
        <f>O437+'BM 010'!O433</f>
        <v>0</v>
      </c>
      <c r="Q437" s="80">
        <f t="shared" si="204"/>
        <v>3080.16</v>
      </c>
      <c r="R437" s="82">
        <f t="shared" si="205"/>
        <v>3904.41</v>
      </c>
      <c r="S437" s="82">
        <f t="shared" si="206"/>
        <v>3904.41</v>
      </c>
      <c r="T437" s="82">
        <f t="shared" si="207"/>
        <v>3904.41</v>
      </c>
    </row>
    <row r="438" spans="2:20" s="34" customFormat="1" ht="23.4">
      <c r="B438" s="75" t="s">
        <v>855</v>
      </c>
      <c r="C438" s="76" t="s">
        <v>856</v>
      </c>
      <c r="D438" s="77" t="s">
        <v>131</v>
      </c>
      <c r="E438" s="93">
        <v>1</v>
      </c>
      <c r="F438" s="93">
        <v>1</v>
      </c>
      <c r="G438" s="79"/>
      <c r="H438" s="79"/>
      <c r="I438" s="79"/>
      <c r="J438" s="79">
        <f>SUM(H438:I438)+'BM 010'!I434</f>
        <v>0</v>
      </c>
      <c r="K438" s="79">
        <f t="shared" si="208"/>
        <v>1</v>
      </c>
      <c r="L438" s="80">
        <v>51.15</v>
      </c>
      <c r="M438" s="81">
        <v>64.837745626499995</v>
      </c>
      <c r="N438" s="82">
        <f t="shared" si="202"/>
        <v>0</v>
      </c>
      <c r="O438" s="82">
        <f t="shared" si="203"/>
        <v>0</v>
      </c>
      <c r="P438" s="82">
        <f>O438+'BM 010'!O434</f>
        <v>0</v>
      </c>
      <c r="Q438" s="80">
        <f t="shared" si="204"/>
        <v>51.15</v>
      </c>
      <c r="R438" s="82">
        <f t="shared" si="205"/>
        <v>64.83</v>
      </c>
      <c r="S438" s="82">
        <f t="shared" si="206"/>
        <v>64.83</v>
      </c>
      <c r="T438" s="82">
        <f t="shared" si="207"/>
        <v>64.83</v>
      </c>
    </row>
    <row r="439" spans="2:20" s="34" customFormat="1" ht="23.4">
      <c r="B439" s="75" t="s">
        <v>857</v>
      </c>
      <c r="C439" s="76" t="s">
        <v>858</v>
      </c>
      <c r="D439" s="77" t="s">
        <v>131</v>
      </c>
      <c r="E439" s="93">
        <v>52</v>
      </c>
      <c r="F439" s="93">
        <v>52</v>
      </c>
      <c r="G439" s="79"/>
      <c r="H439" s="79"/>
      <c r="I439" s="79"/>
      <c r="J439" s="79">
        <f>SUM(H439:I439)+'BM 010'!I435</f>
        <v>0</v>
      </c>
      <c r="K439" s="79">
        <f t="shared" si="208"/>
        <v>52</v>
      </c>
      <c r="L439" s="80">
        <v>140</v>
      </c>
      <c r="M439" s="81">
        <v>177.46401539999999</v>
      </c>
      <c r="N439" s="82">
        <f t="shared" si="202"/>
        <v>0</v>
      </c>
      <c r="O439" s="82">
        <f t="shared" si="203"/>
        <v>0</v>
      </c>
      <c r="P439" s="82">
        <f>O439+'BM 010'!O435</f>
        <v>0</v>
      </c>
      <c r="Q439" s="80">
        <f t="shared" si="204"/>
        <v>7280</v>
      </c>
      <c r="R439" s="82">
        <f t="shared" si="205"/>
        <v>9228.1200000000008</v>
      </c>
      <c r="S439" s="82">
        <f t="shared" si="206"/>
        <v>9228.1200000000008</v>
      </c>
      <c r="T439" s="82">
        <f t="shared" si="207"/>
        <v>9228.1200000000008</v>
      </c>
    </row>
    <row r="440" spans="2:20" s="34" customFormat="1" ht="34.799999999999997">
      <c r="B440" s="75" t="s">
        <v>859</v>
      </c>
      <c r="C440" s="76" t="s">
        <v>860</v>
      </c>
      <c r="D440" s="77" t="s">
        <v>131</v>
      </c>
      <c r="E440" s="93">
        <v>68</v>
      </c>
      <c r="F440" s="93">
        <v>68</v>
      </c>
      <c r="G440" s="79"/>
      <c r="H440" s="79"/>
      <c r="I440" s="79"/>
      <c r="J440" s="79">
        <f>SUM(H440:I440)+'BM 010'!I436</f>
        <v>0</v>
      </c>
      <c r="K440" s="79">
        <f t="shared" si="208"/>
        <v>68</v>
      </c>
      <c r="L440" s="80">
        <v>80</v>
      </c>
      <c r="M440" s="81">
        <v>101.4080088</v>
      </c>
      <c r="N440" s="82">
        <f t="shared" si="202"/>
        <v>0</v>
      </c>
      <c r="O440" s="82">
        <f t="shared" si="203"/>
        <v>0</v>
      </c>
      <c r="P440" s="82">
        <f>O440+'BM 010'!O436</f>
        <v>0</v>
      </c>
      <c r="Q440" s="80">
        <f t="shared" si="204"/>
        <v>5440</v>
      </c>
      <c r="R440" s="82">
        <f t="shared" si="205"/>
        <v>6895.74</v>
      </c>
      <c r="S440" s="82">
        <f t="shared" si="206"/>
        <v>6895.74</v>
      </c>
      <c r="T440" s="82">
        <f t="shared" si="207"/>
        <v>6895.74</v>
      </c>
    </row>
    <row r="441" spans="2:20" s="34" customFormat="1" ht="23.4">
      <c r="B441" s="75" t="s">
        <v>861</v>
      </c>
      <c r="C441" s="76" t="s">
        <v>862</v>
      </c>
      <c r="D441" s="77" t="s">
        <v>131</v>
      </c>
      <c r="E441" s="93">
        <v>10</v>
      </c>
      <c r="F441" s="93">
        <v>10</v>
      </c>
      <c r="G441" s="79"/>
      <c r="H441" s="79"/>
      <c r="I441" s="79"/>
      <c r="J441" s="79">
        <f>SUM(H441:I441)+'BM 010'!I437</f>
        <v>0</v>
      </c>
      <c r="K441" s="79">
        <f t="shared" si="208"/>
        <v>10</v>
      </c>
      <c r="L441" s="80">
        <v>18.14</v>
      </c>
      <c r="M441" s="81">
        <v>22.994265995399999</v>
      </c>
      <c r="N441" s="82">
        <f t="shared" si="202"/>
        <v>0</v>
      </c>
      <c r="O441" s="82">
        <f t="shared" si="203"/>
        <v>0</v>
      </c>
      <c r="P441" s="82">
        <f>O441+'BM 010'!O437</f>
        <v>0</v>
      </c>
      <c r="Q441" s="80">
        <f t="shared" si="204"/>
        <v>181.4</v>
      </c>
      <c r="R441" s="82">
        <f t="shared" si="205"/>
        <v>229.94</v>
      </c>
      <c r="S441" s="82">
        <f t="shared" si="206"/>
        <v>229.94</v>
      </c>
      <c r="T441" s="82">
        <f t="shared" si="207"/>
        <v>229.94</v>
      </c>
    </row>
    <row r="442" spans="2:20" s="34" customFormat="1" ht="23.4">
      <c r="B442" s="75" t="s">
        <v>863</v>
      </c>
      <c r="C442" s="76" t="s">
        <v>864</v>
      </c>
      <c r="D442" s="77" t="s">
        <v>131</v>
      </c>
      <c r="E442" s="93">
        <v>54</v>
      </c>
      <c r="F442" s="93">
        <v>54</v>
      </c>
      <c r="G442" s="79"/>
      <c r="H442" s="79"/>
      <c r="I442" s="79"/>
      <c r="J442" s="79">
        <f>SUM(H442:I442)+'BM 010'!I438</f>
        <v>0</v>
      </c>
      <c r="K442" s="79">
        <f t="shared" si="208"/>
        <v>54</v>
      </c>
      <c r="L442" s="80">
        <v>21.55</v>
      </c>
      <c r="M442" s="81">
        <v>27.3167823705</v>
      </c>
      <c r="N442" s="82">
        <f t="shared" si="202"/>
        <v>0</v>
      </c>
      <c r="O442" s="82">
        <f t="shared" si="203"/>
        <v>0</v>
      </c>
      <c r="P442" s="82">
        <f>O442+'BM 010'!O438</f>
        <v>0</v>
      </c>
      <c r="Q442" s="80">
        <f t="shared" si="204"/>
        <v>1163.7</v>
      </c>
      <c r="R442" s="82">
        <f t="shared" si="205"/>
        <v>1475.1</v>
      </c>
      <c r="S442" s="82">
        <f t="shared" si="206"/>
        <v>1475.1</v>
      </c>
      <c r="T442" s="82">
        <f t="shared" si="207"/>
        <v>1475.1</v>
      </c>
    </row>
    <row r="443" spans="2:20" s="34" customFormat="1" ht="23.4">
      <c r="B443" s="75" t="s">
        <v>865</v>
      </c>
      <c r="C443" s="76" t="s">
        <v>866</v>
      </c>
      <c r="D443" s="77" t="s">
        <v>131</v>
      </c>
      <c r="E443" s="93">
        <v>7</v>
      </c>
      <c r="F443" s="93">
        <v>7</v>
      </c>
      <c r="G443" s="79"/>
      <c r="H443" s="79"/>
      <c r="I443" s="79"/>
      <c r="J443" s="79">
        <f>SUM(H443:I443)+'BM 010'!I439</f>
        <v>0</v>
      </c>
      <c r="K443" s="79">
        <f t="shared" si="208"/>
        <v>7</v>
      </c>
      <c r="L443" s="80">
        <v>22.95</v>
      </c>
      <c r="M443" s="81">
        <v>29.0914225245</v>
      </c>
      <c r="N443" s="82">
        <f t="shared" ref="N443:N474" si="209">TRUNC(G443*M443,2)</f>
        <v>0</v>
      </c>
      <c r="O443" s="82">
        <f t="shared" ref="O443:O474" si="210">TRUNC(H443*M443,2)</f>
        <v>0</v>
      </c>
      <c r="P443" s="82">
        <f>O443+'BM 010'!O439</f>
        <v>0</v>
      </c>
      <c r="Q443" s="80">
        <f t="shared" ref="Q443:Q468" si="211">E443*L443</f>
        <v>160.65</v>
      </c>
      <c r="R443" s="82">
        <f t="shared" ref="R443:R474" si="212">TRUNC(E443*M443,2)</f>
        <v>203.63</v>
      </c>
      <c r="S443" s="82">
        <f t="shared" ref="S443:S474" si="213">TRUNC(F443*$M443,2)</f>
        <v>203.63</v>
      </c>
      <c r="T443" s="82">
        <f t="shared" ref="T443:T474" si="214">S443-P443</f>
        <v>203.63</v>
      </c>
    </row>
    <row r="444" spans="2:20" s="34" customFormat="1" ht="23.4">
      <c r="B444" s="75" t="s">
        <v>867</v>
      </c>
      <c r="C444" s="76" t="s">
        <v>868</v>
      </c>
      <c r="D444" s="77" t="s">
        <v>131</v>
      </c>
      <c r="E444" s="93">
        <v>48</v>
      </c>
      <c r="F444" s="93">
        <v>48</v>
      </c>
      <c r="G444" s="79"/>
      <c r="H444" s="79"/>
      <c r="I444" s="79"/>
      <c r="J444" s="79">
        <f>SUM(H444:I444)+'BM 010'!I440</f>
        <v>0</v>
      </c>
      <c r="K444" s="79">
        <f t="shared" si="208"/>
        <v>48</v>
      </c>
      <c r="L444" s="80">
        <v>49</v>
      </c>
      <c r="M444" s="81">
        <v>62.112405389999999</v>
      </c>
      <c r="N444" s="82">
        <f t="shared" si="209"/>
        <v>0</v>
      </c>
      <c r="O444" s="82">
        <f t="shared" si="210"/>
        <v>0</v>
      </c>
      <c r="P444" s="82">
        <f>O444+'BM 010'!O440</f>
        <v>0</v>
      </c>
      <c r="Q444" s="80">
        <f t="shared" si="211"/>
        <v>2352</v>
      </c>
      <c r="R444" s="82">
        <f t="shared" si="212"/>
        <v>2981.39</v>
      </c>
      <c r="S444" s="82">
        <f t="shared" si="213"/>
        <v>2981.39</v>
      </c>
      <c r="T444" s="82">
        <f t="shared" si="214"/>
        <v>2981.39</v>
      </c>
    </row>
    <row r="445" spans="2:20" s="34" customFormat="1" ht="23.4">
      <c r="B445" s="75" t="s">
        <v>869</v>
      </c>
      <c r="C445" s="76" t="s">
        <v>870</v>
      </c>
      <c r="D445" s="77" t="s">
        <v>131</v>
      </c>
      <c r="E445" s="93">
        <v>1</v>
      </c>
      <c r="F445" s="93">
        <v>1</v>
      </c>
      <c r="G445" s="79"/>
      <c r="H445" s="79"/>
      <c r="I445" s="79"/>
      <c r="J445" s="79">
        <f>SUM(H445:I445)+'BM 010'!I441</f>
        <v>0</v>
      </c>
      <c r="K445" s="79">
        <f t="shared" si="208"/>
        <v>1</v>
      </c>
      <c r="L445" s="80">
        <v>37.4</v>
      </c>
      <c r="M445" s="81">
        <v>47.408244113999999</v>
      </c>
      <c r="N445" s="82">
        <f t="shared" si="209"/>
        <v>0</v>
      </c>
      <c r="O445" s="82">
        <f t="shared" si="210"/>
        <v>0</v>
      </c>
      <c r="P445" s="82">
        <f>O445+'BM 010'!O441</f>
        <v>0</v>
      </c>
      <c r="Q445" s="80">
        <f t="shared" si="211"/>
        <v>37.4</v>
      </c>
      <c r="R445" s="82">
        <f t="shared" si="212"/>
        <v>47.4</v>
      </c>
      <c r="S445" s="82">
        <f t="shared" si="213"/>
        <v>47.4</v>
      </c>
      <c r="T445" s="82">
        <f t="shared" si="214"/>
        <v>47.4</v>
      </c>
    </row>
    <row r="446" spans="2:20" s="34" customFormat="1" ht="23.4">
      <c r="B446" s="75" t="s">
        <v>871</v>
      </c>
      <c r="C446" s="76" t="s">
        <v>872</v>
      </c>
      <c r="D446" s="77" t="s">
        <v>131</v>
      </c>
      <c r="E446" s="93">
        <v>2</v>
      </c>
      <c r="F446" s="93">
        <v>2</v>
      </c>
      <c r="G446" s="79"/>
      <c r="H446" s="79"/>
      <c r="I446" s="79"/>
      <c r="J446" s="79">
        <f>SUM(H446:I446)+'BM 010'!I442</f>
        <v>0</v>
      </c>
      <c r="K446" s="79">
        <f t="shared" si="208"/>
        <v>2</v>
      </c>
      <c r="L446" s="80">
        <v>78.239999999999995</v>
      </c>
      <c r="M446" s="81">
        <v>99.177032606400005</v>
      </c>
      <c r="N446" s="82">
        <f t="shared" si="209"/>
        <v>0</v>
      </c>
      <c r="O446" s="82">
        <f t="shared" si="210"/>
        <v>0</v>
      </c>
      <c r="P446" s="82">
        <f>O446+'BM 010'!O442</f>
        <v>0</v>
      </c>
      <c r="Q446" s="80">
        <f t="shared" si="211"/>
        <v>156.47999999999999</v>
      </c>
      <c r="R446" s="82">
        <f t="shared" si="212"/>
        <v>198.35</v>
      </c>
      <c r="S446" s="82">
        <f t="shared" si="213"/>
        <v>198.35</v>
      </c>
      <c r="T446" s="82">
        <f t="shared" si="214"/>
        <v>198.35</v>
      </c>
    </row>
    <row r="447" spans="2:20" s="34" customFormat="1" ht="23.4">
      <c r="B447" s="75" t="s">
        <v>873</v>
      </c>
      <c r="C447" s="76" t="s">
        <v>874</v>
      </c>
      <c r="D447" s="77" t="s">
        <v>131</v>
      </c>
      <c r="E447" s="93">
        <v>1</v>
      </c>
      <c r="F447" s="93">
        <v>1</v>
      </c>
      <c r="G447" s="79"/>
      <c r="H447" s="79"/>
      <c r="I447" s="79"/>
      <c r="J447" s="79">
        <f>SUM(H447:I447)+'BM 010'!I443</f>
        <v>0</v>
      </c>
      <c r="K447" s="79">
        <f t="shared" si="208"/>
        <v>1</v>
      </c>
      <c r="L447" s="80">
        <v>155</v>
      </c>
      <c r="M447" s="81">
        <v>196.47801705000001</v>
      </c>
      <c r="N447" s="82">
        <f t="shared" si="209"/>
        <v>0</v>
      </c>
      <c r="O447" s="82">
        <f t="shared" si="210"/>
        <v>0</v>
      </c>
      <c r="P447" s="82">
        <f>O447+'BM 010'!O443</f>
        <v>0</v>
      </c>
      <c r="Q447" s="80">
        <f t="shared" si="211"/>
        <v>155</v>
      </c>
      <c r="R447" s="82">
        <f t="shared" si="212"/>
        <v>196.47</v>
      </c>
      <c r="S447" s="82">
        <f t="shared" si="213"/>
        <v>196.47</v>
      </c>
      <c r="T447" s="82">
        <f t="shared" si="214"/>
        <v>196.47</v>
      </c>
    </row>
    <row r="448" spans="2:20" s="34" customFormat="1" ht="23.4">
      <c r="B448" s="75" t="s">
        <v>875</v>
      </c>
      <c r="C448" s="76" t="s">
        <v>876</v>
      </c>
      <c r="D448" s="77" t="s">
        <v>131</v>
      </c>
      <c r="E448" s="93">
        <v>17</v>
      </c>
      <c r="F448" s="93">
        <v>17</v>
      </c>
      <c r="G448" s="79"/>
      <c r="H448" s="79"/>
      <c r="I448" s="79"/>
      <c r="J448" s="79">
        <f>SUM(H448:I448)+'BM 010'!I444</f>
        <v>0</v>
      </c>
      <c r="K448" s="79">
        <f t="shared" si="208"/>
        <v>17</v>
      </c>
      <c r="L448" s="80">
        <v>8.85</v>
      </c>
      <c r="M448" s="81">
        <v>11.2182609735</v>
      </c>
      <c r="N448" s="82">
        <f t="shared" si="209"/>
        <v>0</v>
      </c>
      <c r="O448" s="82">
        <f t="shared" si="210"/>
        <v>0</v>
      </c>
      <c r="P448" s="82">
        <f>O448+'BM 010'!O444</f>
        <v>0</v>
      </c>
      <c r="Q448" s="80">
        <f t="shared" si="211"/>
        <v>150.44999999999999</v>
      </c>
      <c r="R448" s="82">
        <f t="shared" si="212"/>
        <v>190.71</v>
      </c>
      <c r="S448" s="82">
        <f t="shared" si="213"/>
        <v>190.71</v>
      </c>
      <c r="T448" s="82">
        <f t="shared" si="214"/>
        <v>190.71</v>
      </c>
    </row>
    <row r="449" spans="2:20" s="34" customFormat="1" ht="34.799999999999997">
      <c r="B449" s="75" t="s">
        <v>877</v>
      </c>
      <c r="C449" s="76" t="s">
        <v>878</v>
      </c>
      <c r="D449" s="77" t="s">
        <v>131</v>
      </c>
      <c r="E449" s="93">
        <v>3</v>
      </c>
      <c r="F449" s="93">
        <v>3</v>
      </c>
      <c r="G449" s="79"/>
      <c r="H449" s="79"/>
      <c r="I449" s="79"/>
      <c r="J449" s="79">
        <f>SUM(H449:I449)+'BM 010'!I445</f>
        <v>0</v>
      </c>
      <c r="K449" s="79">
        <f t="shared" si="208"/>
        <v>3</v>
      </c>
      <c r="L449" s="80">
        <v>7.63</v>
      </c>
      <c r="M449" s="81">
        <v>9.6717888392999996</v>
      </c>
      <c r="N449" s="82">
        <f t="shared" si="209"/>
        <v>0</v>
      </c>
      <c r="O449" s="82">
        <f t="shared" si="210"/>
        <v>0</v>
      </c>
      <c r="P449" s="82">
        <f>O449+'BM 010'!O445</f>
        <v>0</v>
      </c>
      <c r="Q449" s="80">
        <f t="shared" si="211"/>
        <v>22.89</v>
      </c>
      <c r="R449" s="82">
        <f t="shared" si="212"/>
        <v>29.01</v>
      </c>
      <c r="S449" s="82">
        <f t="shared" si="213"/>
        <v>29.01</v>
      </c>
      <c r="T449" s="82">
        <f t="shared" si="214"/>
        <v>29.01</v>
      </c>
    </row>
    <row r="450" spans="2:20" s="34" customFormat="1" ht="23.4">
      <c r="B450" s="75" t="s">
        <v>879</v>
      </c>
      <c r="C450" s="88" t="s">
        <v>711</v>
      </c>
      <c r="D450" s="89" t="s">
        <v>131</v>
      </c>
      <c r="E450" s="90">
        <v>82</v>
      </c>
      <c r="F450" s="90">
        <v>82</v>
      </c>
      <c r="G450" s="91"/>
      <c r="H450" s="91"/>
      <c r="I450" s="91"/>
      <c r="J450" s="91">
        <f>SUM(H450:I450)+'BM 010'!I446</f>
        <v>0</v>
      </c>
      <c r="K450" s="91">
        <f t="shared" si="208"/>
        <v>82</v>
      </c>
      <c r="L450" s="80">
        <v>14.54</v>
      </c>
      <c r="M450" s="81">
        <v>18.430905599399999</v>
      </c>
      <c r="N450" s="82">
        <f t="shared" si="209"/>
        <v>0</v>
      </c>
      <c r="O450" s="82">
        <f t="shared" si="210"/>
        <v>0</v>
      </c>
      <c r="P450" s="82">
        <f>O450+'BM 010'!O446</f>
        <v>0</v>
      </c>
      <c r="Q450" s="80">
        <f t="shared" si="211"/>
        <v>1192.28</v>
      </c>
      <c r="R450" s="82">
        <f t="shared" si="212"/>
        <v>1511.33</v>
      </c>
      <c r="S450" s="82">
        <f t="shared" si="213"/>
        <v>1511.33</v>
      </c>
      <c r="T450" s="82">
        <f t="shared" si="214"/>
        <v>1511.33</v>
      </c>
    </row>
    <row r="451" spans="2:20" s="34" customFormat="1" ht="23.4">
      <c r="B451" s="75" t="s">
        <v>880</v>
      </c>
      <c r="C451" s="76" t="s">
        <v>881</v>
      </c>
      <c r="D451" s="77" t="s">
        <v>131</v>
      </c>
      <c r="E451" s="93">
        <v>5</v>
      </c>
      <c r="F451" s="93">
        <v>5</v>
      </c>
      <c r="G451" s="79"/>
      <c r="H451" s="79"/>
      <c r="I451" s="79"/>
      <c r="J451" s="79">
        <f>SUM(H451:I451)+'BM 010'!I447</f>
        <v>0</v>
      </c>
      <c r="K451" s="79">
        <f t="shared" si="208"/>
        <v>5</v>
      </c>
      <c r="L451" s="80">
        <v>19.91</v>
      </c>
      <c r="M451" s="81">
        <v>25.2379181901</v>
      </c>
      <c r="N451" s="82">
        <f t="shared" si="209"/>
        <v>0</v>
      </c>
      <c r="O451" s="82">
        <f t="shared" si="210"/>
        <v>0</v>
      </c>
      <c r="P451" s="82">
        <f>O451+'BM 010'!O447</f>
        <v>0</v>
      </c>
      <c r="Q451" s="80">
        <f t="shared" si="211"/>
        <v>99.55</v>
      </c>
      <c r="R451" s="82">
        <f t="shared" si="212"/>
        <v>126.18</v>
      </c>
      <c r="S451" s="82">
        <f t="shared" si="213"/>
        <v>126.18</v>
      </c>
      <c r="T451" s="82">
        <f t="shared" si="214"/>
        <v>126.18</v>
      </c>
    </row>
    <row r="452" spans="2:20" s="34" customFormat="1" ht="23.4">
      <c r="B452" s="75" t="s">
        <v>882</v>
      </c>
      <c r="C452" s="76" t="s">
        <v>883</v>
      </c>
      <c r="D452" s="77" t="s">
        <v>131</v>
      </c>
      <c r="E452" s="93">
        <v>1</v>
      </c>
      <c r="F452" s="93">
        <v>1</v>
      </c>
      <c r="G452" s="79"/>
      <c r="H452" s="79"/>
      <c r="I452" s="79"/>
      <c r="J452" s="79">
        <f>SUM(H452:I452)+'BM 010'!I448</f>
        <v>0</v>
      </c>
      <c r="K452" s="79">
        <f t="shared" si="208"/>
        <v>1</v>
      </c>
      <c r="L452" s="80">
        <v>25.24</v>
      </c>
      <c r="M452" s="81">
        <v>31.994226776400001</v>
      </c>
      <c r="N452" s="82">
        <f t="shared" si="209"/>
        <v>0</v>
      </c>
      <c r="O452" s="82">
        <f t="shared" si="210"/>
        <v>0</v>
      </c>
      <c r="P452" s="82">
        <f>O452+'BM 010'!O448</f>
        <v>0</v>
      </c>
      <c r="Q452" s="80">
        <f t="shared" si="211"/>
        <v>25.24</v>
      </c>
      <c r="R452" s="82">
        <f t="shared" si="212"/>
        <v>31.99</v>
      </c>
      <c r="S452" s="82">
        <f t="shared" si="213"/>
        <v>31.99</v>
      </c>
      <c r="T452" s="82">
        <f t="shared" si="214"/>
        <v>31.99</v>
      </c>
    </row>
    <row r="453" spans="2:20" s="34" customFormat="1" ht="46.2">
      <c r="B453" s="75" t="s">
        <v>884</v>
      </c>
      <c r="C453" s="76" t="s">
        <v>885</v>
      </c>
      <c r="D453" s="77" t="s">
        <v>131</v>
      </c>
      <c r="E453" s="93">
        <v>79</v>
      </c>
      <c r="F453" s="93">
        <v>79</v>
      </c>
      <c r="G453" s="79"/>
      <c r="H453" s="79"/>
      <c r="I453" s="79"/>
      <c r="J453" s="79">
        <f>SUM(H453:I453)+'BM 010'!I449</f>
        <v>0</v>
      </c>
      <c r="K453" s="79">
        <f t="shared" si="208"/>
        <v>79</v>
      </c>
      <c r="L453" s="80">
        <v>13.15</v>
      </c>
      <c r="M453" s="81">
        <v>16.6689414465</v>
      </c>
      <c r="N453" s="82">
        <f t="shared" si="209"/>
        <v>0</v>
      </c>
      <c r="O453" s="82">
        <f t="shared" si="210"/>
        <v>0</v>
      </c>
      <c r="P453" s="82">
        <f>O453+'BM 010'!O449</f>
        <v>0</v>
      </c>
      <c r="Q453" s="80">
        <f t="shared" si="211"/>
        <v>1038.8500000000001</v>
      </c>
      <c r="R453" s="82">
        <f t="shared" si="212"/>
        <v>1316.84</v>
      </c>
      <c r="S453" s="82">
        <f t="shared" si="213"/>
        <v>1316.84</v>
      </c>
      <c r="T453" s="82">
        <f t="shared" si="214"/>
        <v>1316.84</v>
      </c>
    </row>
    <row r="454" spans="2:20" s="34" customFormat="1" ht="23.4">
      <c r="B454" s="75" t="s">
        <v>886</v>
      </c>
      <c r="C454" s="76" t="s">
        <v>757</v>
      </c>
      <c r="D454" s="77" t="s">
        <v>131</v>
      </c>
      <c r="E454" s="93">
        <v>1</v>
      </c>
      <c r="F454" s="93">
        <v>1</v>
      </c>
      <c r="G454" s="79"/>
      <c r="H454" s="79"/>
      <c r="I454" s="79"/>
      <c r="J454" s="79">
        <f>SUM(H454:I454)+'BM 010'!I450</f>
        <v>0</v>
      </c>
      <c r="K454" s="79">
        <f t="shared" si="208"/>
        <v>1</v>
      </c>
      <c r="L454" s="80">
        <v>12.35</v>
      </c>
      <c r="M454" s="81">
        <v>15.6548613585</v>
      </c>
      <c r="N454" s="82">
        <f t="shared" si="209"/>
        <v>0</v>
      </c>
      <c r="O454" s="82">
        <f t="shared" si="210"/>
        <v>0</v>
      </c>
      <c r="P454" s="82">
        <f>O454+'BM 010'!O450</f>
        <v>0</v>
      </c>
      <c r="Q454" s="80">
        <f t="shared" si="211"/>
        <v>12.35</v>
      </c>
      <c r="R454" s="82">
        <f t="shared" si="212"/>
        <v>15.65</v>
      </c>
      <c r="S454" s="82">
        <f t="shared" si="213"/>
        <v>15.65</v>
      </c>
      <c r="T454" s="82">
        <f t="shared" si="214"/>
        <v>15.65</v>
      </c>
    </row>
    <row r="455" spans="2:20" s="34" customFormat="1" ht="23.4">
      <c r="B455" s="75" t="s">
        <v>887</v>
      </c>
      <c r="C455" s="76" t="s">
        <v>761</v>
      </c>
      <c r="D455" s="77" t="s">
        <v>131</v>
      </c>
      <c r="E455" s="93">
        <v>3</v>
      </c>
      <c r="F455" s="93">
        <v>3</v>
      </c>
      <c r="G455" s="79"/>
      <c r="H455" s="79"/>
      <c r="I455" s="79"/>
      <c r="J455" s="79">
        <f>SUM(H455:I455)+'BM 010'!I451</f>
        <v>0</v>
      </c>
      <c r="K455" s="79">
        <f t="shared" si="208"/>
        <v>3</v>
      </c>
      <c r="L455" s="80">
        <v>18.5</v>
      </c>
      <c r="M455" s="81">
        <v>23.450602034999999</v>
      </c>
      <c r="N455" s="82">
        <f t="shared" si="209"/>
        <v>0</v>
      </c>
      <c r="O455" s="82">
        <f t="shared" si="210"/>
        <v>0</v>
      </c>
      <c r="P455" s="82">
        <f>O455+'BM 010'!O451</f>
        <v>0</v>
      </c>
      <c r="Q455" s="80">
        <f t="shared" si="211"/>
        <v>55.5</v>
      </c>
      <c r="R455" s="82">
        <f t="shared" si="212"/>
        <v>70.349999999999994</v>
      </c>
      <c r="S455" s="82">
        <f t="shared" si="213"/>
        <v>70.349999999999994</v>
      </c>
      <c r="T455" s="82">
        <f t="shared" si="214"/>
        <v>70.349999999999994</v>
      </c>
    </row>
    <row r="456" spans="2:20" s="34" customFormat="1" ht="23.4">
      <c r="B456" s="75" t="s">
        <v>888</v>
      </c>
      <c r="C456" s="76" t="s">
        <v>771</v>
      </c>
      <c r="D456" s="77" t="s">
        <v>131</v>
      </c>
      <c r="E456" s="93">
        <v>77</v>
      </c>
      <c r="F456" s="93">
        <v>77</v>
      </c>
      <c r="G456" s="79"/>
      <c r="H456" s="79"/>
      <c r="I456" s="79"/>
      <c r="J456" s="79">
        <f>SUM(H456:I456)+'BM 010'!I452</f>
        <v>0</v>
      </c>
      <c r="K456" s="79">
        <f t="shared" si="208"/>
        <v>77</v>
      </c>
      <c r="L456" s="80">
        <v>6.59</v>
      </c>
      <c r="M456" s="81">
        <v>8.3534847248999995</v>
      </c>
      <c r="N456" s="82">
        <f t="shared" si="209"/>
        <v>0</v>
      </c>
      <c r="O456" s="82">
        <f t="shared" si="210"/>
        <v>0</v>
      </c>
      <c r="P456" s="82">
        <f>O456+'BM 010'!O452</f>
        <v>0</v>
      </c>
      <c r="Q456" s="80">
        <f t="shared" si="211"/>
        <v>507.43</v>
      </c>
      <c r="R456" s="82">
        <f t="shared" si="212"/>
        <v>643.21</v>
      </c>
      <c r="S456" s="82">
        <f t="shared" si="213"/>
        <v>643.21</v>
      </c>
      <c r="T456" s="82">
        <f t="shared" si="214"/>
        <v>643.21</v>
      </c>
    </row>
    <row r="457" spans="2:20" s="34" customFormat="1" ht="23.4">
      <c r="B457" s="75" t="s">
        <v>889</v>
      </c>
      <c r="C457" s="76" t="s">
        <v>773</v>
      </c>
      <c r="D457" s="77" t="s">
        <v>131</v>
      </c>
      <c r="E457" s="93">
        <v>3</v>
      </c>
      <c r="F457" s="93">
        <v>3</v>
      </c>
      <c r="G457" s="79"/>
      <c r="H457" s="79"/>
      <c r="I457" s="79"/>
      <c r="J457" s="79">
        <f>SUM(H457:I457)+'BM 010'!I453</f>
        <v>0</v>
      </c>
      <c r="K457" s="79">
        <f t="shared" si="208"/>
        <v>3</v>
      </c>
      <c r="L457" s="80">
        <v>22.07</v>
      </c>
      <c r="M457" s="81">
        <v>27.9759344277</v>
      </c>
      <c r="N457" s="82">
        <f t="shared" si="209"/>
        <v>0</v>
      </c>
      <c r="O457" s="82">
        <f t="shared" si="210"/>
        <v>0</v>
      </c>
      <c r="P457" s="82">
        <f>O457+'BM 010'!O453</f>
        <v>0</v>
      </c>
      <c r="Q457" s="80">
        <f t="shared" si="211"/>
        <v>66.210000000000008</v>
      </c>
      <c r="R457" s="82">
        <f t="shared" si="212"/>
        <v>83.92</v>
      </c>
      <c r="S457" s="82">
        <f t="shared" si="213"/>
        <v>83.92</v>
      </c>
      <c r="T457" s="82">
        <f t="shared" si="214"/>
        <v>83.92</v>
      </c>
    </row>
    <row r="458" spans="2:20" s="34" customFormat="1" ht="23.4">
      <c r="B458" s="75" t="s">
        <v>890</v>
      </c>
      <c r="C458" s="88" t="s">
        <v>711</v>
      </c>
      <c r="D458" s="89" t="s">
        <v>131</v>
      </c>
      <c r="E458" s="90">
        <v>14</v>
      </c>
      <c r="F458" s="90">
        <v>14</v>
      </c>
      <c r="G458" s="91"/>
      <c r="H458" s="91"/>
      <c r="I458" s="91"/>
      <c r="J458" s="91">
        <f>SUM(H458:I458)+'BM 010'!I454</f>
        <v>0</v>
      </c>
      <c r="K458" s="91">
        <f t="shared" si="208"/>
        <v>14</v>
      </c>
      <c r="L458" s="80">
        <v>14.54</v>
      </c>
      <c r="M458" s="81">
        <v>18.430905599399999</v>
      </c>
      <c r="N458" s="82">
        <f t="shared" si="209"/>
        <v>0</v>
      </c>
      <c r="O458" s="82">
        <f t="shared" si="210"/>
        <v>0</v>
      </c>
      <c r="P458" s="82">
        <f>O458+'BM 010'!O454</f>
        <v>0</v>
      </c>
      <c r="Q458" s="80">
        <f t="shared" si="211"/>
        <v>203.56</v>
      </c>
      <c r="R458" s="82">
        <f t="shared" si="212"/>
        <v>258.02999999999997</v>
      </c>
      <c r="S458" s="82">
        <f t="shared" si="213"/>
        <v>258.02999999999997</v>
      </c>
      <c r="T458" s="82">
        <f t="shared" si="214"/>
        <v>258.02999999999997</v>
      </c>
    </row>
    <row r="459" spans="2:20" s="34" customFormat="1" ht="46.2">
      <c r="B459" s="75" t="s">
        <v>891</v>
      </c>
      <c r="C459" s="76" t="s">
        <v>892</v>
      </c>
      <c r="D459" s="77" t="s">
        <v>131</v>
      </c>
      <c r="E459" s="93">
        <v>91</v>
      </c>
      <c r="F459" s="93">
        <v>91</v>
      </c>
      <c r="G459" s="79"/>
      <c r="H459" s="79"/>
      <c r="I459" s="79"/>
      <c r="J459" s="79">
        <f>SUM(H459:I459)+'BM 010'!I455</f>
        <v>0</v>
      </c>
      <c r="K459" s="79">
        <f t="shared" si="208"/>
        <v>91</v>
      </c>
      <c r="L459" s="80">
        <v>22.83</v>
      </c>
      <c r="M459" s="81">
        <v>28.9393105113</v>
      </c>
      <c r="N459" s="82">
        <f t="shared" si="209"/>
        <v>0</v>
      </c>
      <c r="O459" s="82">
        <f t="shared" si="210"/>
        <v>0</v>
      </c>
      <c r="P459" s="82">
        <f>O459+'BM 010'!O455</f>
        <v>0</v>
      </c>
      <c r="Q459" s="80">
        <f t="shared" si="211"/>
        <v>2077.5299999999997</v>
      </c>
      <c r="R459" s="82">
        <f t="shared" si="212"/>
        <v>2633.47</v>
      </c>
      <c r="S459" s="82">
        <f t="shared" si="213"/>
        <v>2633.47</v>
      </c>
      <c r="T459" s="82">
        <f t="shared" si="214"/>
        <v>2633.47</v>
      </c>
    </row>
    <row r="460" spans="2:20" s="34" customFormat="1" ht="46.2">
      <c r="B460" s="75" t="s">
        <v>893</v>
      </c>
      <c r="C460" s="76" t="s">
        <v>894</v>
      </c>
      <c r="D460" s="77" t="s">
        <v>131</v>
      </c>
      <c r="E460" s="93">
        <v>26</v>
      </c>
      <c r="F460" s="93">
        <v>26</v>
      </c>
      <c r="G460" s="79"/>
      <c r="H460" s="79"/>
      <c r="I460" s="79"/>
      <c r="J460" s="79">
        <f>SUM(H460:I460)+'BM 010'!I456</f>
        <v>0</v>
      </c>
      <c r="K460" s="79">
        <f t="shared" si="208"/>
        <v>26</v>
      </c>
      <c r="L460" s="80">
        <v>42.22</v>
      </c>
      <c r="M460" s="81">
        <v>53.518076644200001</v>
      </c>
      <c r="N460" s="82">
        <f t="shared" si="209"/>
        <v>0</v>
      </c>
      <c r="O460" s="82">
        <f t="shared" si="210"/>
        <v>0</v>
      </c>
      <c r="P460" s="82">
        <f>O460+'BM 010'!O456</f>
        <v>0</v>
      </c>
      <c r="Q460" s="80">
        <f t="shared" si="211"/>
        <v>1097.72</v>
      </c>
      <c r="R460" s="82">
        <f t="shared" si="212"/>
        <v>1391.46</v>
      </c>
      <c r="S460" s="82">
        <f t="shared" si="213"/>
        <v>1391.46</v>
      </c>
      <c r="T460" s="82">
        <f t="shared" si="214"/>
        <v>1391.46</v>
      </c>
    </row>
    <row r="461" spans="2:20" s="34" customFormat="1" ht="23.4">
      <c r="B461" s="75" t="s">
        <v>895</v>
      </c>
      <c r="C461" s="76" t="s">
        <v>896</v>
      </c>
      <c r="D461" s="77" t="s">
        <v>131</v>
      </c>
      <c r="E461" s="93">
        <v>46</v>
      </c>
      <c r="F461" s="93">
        <v>46</v>
      </c>
      <c r="G461" s="79"/>
      <c r="H461" s="79"/>
      <c r="I461" s="79"/>
      <c r="J461" s="79">
        <f>SUM(H461:I461)+'BM 010'!I457</f>
        <v>0</v>
      </c>
      <c r="K461" s="79">
        <f t="shared" si="208"/>
        <v>46</v>
      </c>
      <c r="L461" s="80">
        <v>110</v>
      </c>
      <c r="M461" s="81">
        <v>139.4360121</v>
      </c>
      <c r="N461" s="82">
        <f t="shared" si="209"/>
        <v>0</v>
      </c>
      <c r="O461" s="82">
        <f t="shared" si="210"/>
        <v>0</v>
      </c>
      <c r="P461" s="82">
        <f>O461+'BM 010'!O457</f>
        <v>0</v>
      </c>
      <c r="Q461" s="80">
        <f t="shared" si="211"/>
        <v>5060</v>
      </c>
      <c r="R461" s="82">
        <f t="shared" si="212"/>
        <v>6414.05</v>
      </c>
      <c r="S461" s="82">
        <f t="shared" si="213"/>
        <v>6414.05</v>
      </c>
      <c r="T461" s="82">
        <f t="shared" si="214"/>
        <v>6414.05</v>
      </c>
    </row>
    <row r="462" spans="2:20" s="34" customFormat="1" ht="34.799999999999997">
      <c r="B462" s="75" t="s">
        <v>897</v>
      </c>
      <c r="C462" s="76" t="s">
        <v>898</v>
      </c>
      <c r="D462" s="77" t="s">
        <v>131</v>
      </c>
      <c r="E462" s="93">
        <v>11</v>
      </c>
      <c r="F462" s="93">
        <v>11</v>
      </c>
      <c r="G462" s="79"/>
      <c r="H462" s="79"/>
      <c r="I462" s="79"/>
      <c r="J462" s="79">
        <f>SUM(H462:I462)+'BM 010'!I458</f>
        <v>0</v>
      </c>
      <c r="K462" s="79">
        <f t="shared" si="208"/>
        <v>11</v>
      </c>
      <c r="L462" s="80">
        <v>35.5</v>
      </c>
      <c r="M462" s="81">
        <v>44.999803905</v>
      </c>
      <c r="N462" s="82">
        <f t="shared" si="209"/>
        <v>0</v>
      </c>
      <c r="O462" s="82">
        <f t="shared" si="210"/>
        <v>0</v>
      </c>
      <c r="P462" s="82">
        <f>O462+'BM 010'!O458</f>
        <v>0</v>
      </c>
      <c r="Q462" s="80">
        <f t="shared" si="211"/>
        <v>390.5</v>
      </c>
      <c r="R462" s="82">
        <f t="shared" si="212"/>
        <v>494.99</v>
      </c>
      <c r="S462" s="82">
        <f t="shared" si="213"/>
        <v>494.99</v>
      </c>
      <c r="T462" s="82">
        <f t="shared" si="214"/>
        <v>494.99</v>
      </c>
    </row>
    <row r="463" spans="2:20" s="34" customFormat="1" ht="46.2">
      <c r="B463" s="75" t="s">
        <v>899</v>
      </c>
      <c r="C463" s="76" t="s">
        <v>900</v>
      </c>
      <c r="D463" s="77" t="s">
        <v>131</v>
      </c>
      <c r="E463" s="93">
        <v>12</v>
      </c>
      <c r="F463" s="93">
        <v>12</v>
      </c>
      <c r="G463" s="79"/>
      <c r="H463" s="79"/>
      <c r="I463" s="79"/>
      <c r="J463" s="79">
        <f>SUM(H463:I463)+'BM 010'!I459</f>
        <v>0</v>
      </c>
      <c r="K463" s="79">
        <f t="shared" si="208"/>
        <v>12</v>
      </c>
      <c r="L463" s="80">
        <v>37.299999999999997</v>
      </c>
      <c r="M463" s="81">
        <v>47.281484102999997</v>
      </c>
      <c r="N463" s="82">
        <f t="shared" si="209"/>
        <v>0</v>
      </c>
      <c r="O463" s="82">
        <f t="shared" si="210"/>
        <v>0</v>
      </c>
      <c r="P463" s="82">
        <f>O463+'BM 010'!O459</f>
        <v>0</v>
      </c>
      <c r="Q463" s="80">
        <f t="shared" si="211"/>
        <v>447.59999999999997</v>
      </c>
      <c r="R463" s="82">
        <f t="shared" si="212"/>
        <v>567.37</v>
      </c>
      <c r="S463" s="82">
        <f t="shared" si="213"/>
        <v>567.37</v>
      </c>
      <c r="T463" s="82">
        <f t="shared" si="214"/>
        <v>567.37</v>
      </c>
    </row>
    <row r="464" spans="2:20" s="34" customFormat="1" ht="46.2">
      <c r="B464" s="75" t="s">
        <v>901</v>
      </c>
      <c r="C464" s="76" t="s">
        <v>902</v>
      </c>
      <c r="D464" s="77" t="s">
        <v>131</v>
      </c>
      <c r="E464" s="93">
        <v>2</v>
      </c>
      <c r="F464" s="93">
        <v>2</v>
      </c>
      <c r="G464" s="79"/>
      <c r="H464" s="79"/>
      <c r="I464" s="79"/>
      <c r="J464" s="79">
        <f>SUM(H464:I464)+'BM 010'!I460</f>
        <v>0</v>
      </c>
      <c r="K464" s="79">
        <f t="shared" si="208"/>
        <v>2</v>
      </c>
      <c r="L464" s="80">
        <v>42.5</v>
      </c>
      <c r="M464" s="81">
        <v>53.873004674999997</v>
      </c>
      <c r="N464" s="82">
        <f t="shared" si="209"/>
        <v>0</v>
      </c>
      <c r="O464" s="82">
        <f t="shared" si="210"/>
        <v>0</v>
      </c>
      <c r="P464" s="82">
        <f>O464+'BM 010'!O460</f>
        <v>0</v>
      </c>
      <c r="Q464" s="80">
        <f t="shared" si="211"/>
        <v>85</v>
      </c>
      <c r="R464" s="82">
        <f t="shared" si="212"/>
        <v>107.74</v>
      </c>
      <c r="S464" s="82">
        <f t="shared" si="213"/>
        <v>107.74</v>
      </c>
      <c r="T464" s="82">
        <f t="shared" si="214"/>
        <v>107.74</v>
      </c>
    </row>
    <row r="465" spans="2:20" s="34" customFormat="1" ht="23.4">
      <c r="B465" s="75" t="s">
        <v>903</v>
      </c>
      <c r="C465" s="76" t="s">
        <v>904</v>
      </c>
      <c r="D465" s="77" t="s">
        <v>131</v>
      </c>
      <c r="E465" s="93">
        <v>6</v>
      </c>
      <c r="F465" s="93">
        <v>6</v>
      </c>
      <c r="G465" s="79"/>
      <c r="H465" s="79"/>
      <c r="I465" s="79"/>
      <c r="J465" s="79">
        <f>SUM(H465:I465)+'BM 010'!I461</f>
        <v>0</v>
      </c>
      <c r="K465" s="79">
        <f t="shared" si="208"/>
        <v>6</v>
      </c>
      <c r="L465" s="80">
        <v>68</v>
      </c>
      <c r="M465" s="81">
        <v>86.196807480000004</v>
      </c>
      <c r="N465" s="82">
        <f t="shared" si="209"/>
        <v>0</v>
      </c>
      <c r="O465" s="82">
        <f t="shared" si="210"/>
        <v>0</v>
      </c>
      <c r="P465" s="82">
        <f>O465+'BM 010'!O461</f>
        <v>0</v>
      </c>
      <c r="Q465" s="80">
        <f t="shared" si="211"/>
        <v>408</v>
      </c>
      <c r="R465" s="82">
        <f t="shared" si="212"/>
        <v>517.17999999999995</v>
      </c>
      <c r="S465" s="82">
        <f t="shared" si="213"/>
        <v>517.17999999999995</v>
      </c>
      <c r="T465" s="82">
        <f t="shared" si="214"/>
        <v>517.17999999999995</v>
      </c>
    </row>
    <row r="466" spans="2:20" s="34" customFormat="1" ht="46.2">
      <c r="B466" s="75" t="s">
        <v>905</v>
      </c>
      <c r="C466" s="76" t="s">
        <v>906</v>
      </c>
      <c r="D466" s="77" t="s">
        <v>131</v>
      </c>
      <c r="E466" s="93">
        <v>3</v>
      </c>
      <c r="F466" s="93">
        <v>3</v>
      </c>
      <c r="G466" s="79"/>
      <c r="H466" s="79"/>
      <c r="I466" s="79"/>
      <c r="J466" s="79">
        <f>SUM(H466:I466)+'BM 010'!I462</f>
        <v>0</v>
      </c>
      <c r="K466" s="79">
        <f t="shared" si="208"/>
        <v>3</v>
      </c>
      <c r="L466" s="80">
        <v>36.61</v>
      </c>
      <c r="M466" s="81">
        <v>46.406840027100003</v>
      </c>
      <c r="N466" s="82">
        <f t="shared" si="209"/>
        <v>0</v>
      </c>
      <c r="O466" s="82">
        <f t="shared" si="210"/>
        <v>0</v>
      </c>
      <c r="P466" s="82">
        <f>O466+'BM 010'!O462</f>
        <v>0</v>
      </c>
      <c r="Q466" s="80">
        <f t="shared" si="211"/>
        <v>109.83</v>
      </c>
      <c r="R466" s="82">
        <f t="shared" si="212"/>
        <v>139.22</v>
      </c>
      <c r="S466" s="82">
        <f t="shared" si="213"/>
        <v>139.22</v>
      </c>
      <c r="T466" s="82">
        <f t="shared" si="214"/>
        <v>139.22</v>
      </c>
    </row>
    <row r="467" spans="2:20" s="34" customFormat="1" ht="46.2">
      <c r="B467" s="75" t="s">
        <v>907</v>
      </c>
      <c r="C467" s="76" t="s">
        <v>908</v>
      </c>
      <c r="D467" s="77" t="s">
        <v>131</v>
      </c>
      <c r="E467" s="93">
        <v>3</v>
      </c>
      <c r="F467" s="93">
        <v>3</v>
      </c>
      <c r="G467" s="79"/>
      <c r="H467" s="79"/>
      <c r="I467" s="79"/>
      <c r="J467" s="79">
        <f>SUM(H467:I467)+'BM 010'!I463</f>
        <v>0</v>
      </c>
      <c r="K467" s="79">
        <f t="shared" si="208"/>
        <v>3</v>
      </c>
      <c r="L467" s="82">
        <v>11.81</v>
      </c>
      <c r="M467" s="81">
        <v>14.9703572991</v>
      </c>
      <c r="N467" s="82">
        <f t="shared" si="209"/>
        <v>0</v>
      </c>
      <c r="O467" s="82">
        <f t="shared" si="210"/>
        <v>0</v>
      </c>
      <c r="P467" s="82">
        <f>O467+'BM 010'!O463</f>
        <v>0</v>
      </c>
      <c r="Q467" s="82">
        <f t="shared" si="211"/>
        <v>35.43</v>
      </c>
      <c r="R467" s="82">
        <f t="shared" si="212"/>
        <v>44.91</v>
      </c>
      <c r="S467" s="82">
        <f t="shared" si="213"/>
        <v>44.91</v>
      </c>
      <c r="T467" s="82">
        <f t="shared" si="214"/>
        <v>44.91</v>
      </c>
    </row>
    <row r="468" spans="2:20" s="34" customFormat="1" ht="34.799999999999997">
      <c r="B468" s="75" t="s">
        <v>909</v>
      </c>
      <c r="C468" s="76" t="s">
        <v>910</v>
      </c>
      <c r="D468" s="77" t="s">
        <v>131</v>
      </c>
      <c r="E468" s="93">
        <v>72</v>
      </c>
      <c r="F468" s="93">
        <v>72</v>
      </c>
      <c r="G468" s="79"/>
      <c r="H468" s="79"/>
      <c r="I468" s="79"/>
      <c r="J468" s="79">
        <f>SUM(H468:I468)+'BM 010'!I464</f>
        <v>0</v>
      </c>
      <c r="K468" s="79">
        <f t="shared" si="208"/>
        <v>72</v>
      </c>
      <c r="L468" s="82">
        <v>13</v>
      </c>
      <c r="M468" s="81">
        <v>16.478801430000001</v>
      </c>
      <c r="N468" s="82">
        <f t="shared" si="209"/>
        <v>0</v>
      </c>
      <c r="O468" s="82">
        <f t="shared" si="210"/>
        <v>0</v>
      </c>
      <c r="P468" s="82">
        <f>O468+'BM 010'!O464</f>
        <v>0</v>
      </c>
      <c r="Q468" s="82">
        <f t="shared" si="211"/>
        <v>936</v>
      </c>
      <c r="R468" s="82">
        <f t="shared" si="212"/>
        <v>1186.47</v>
      </c>
      <c r="S468" s="82">
        <f t="shared" si="213"/>
        <v>1186.47</v>
      </c>
      <c r="T468" s="82">
        <f t="shared" si="214"/>
        <v>1186.47</v>
      </c>
    </row>
    <row r="469" spans="2:20" s="34" customFormat="1" ht="13.2">
      <c r="B469" s="75" t="s">
        <v>911</v>
      </c>
      <c r="C469" s="76"/>
      <c r="D469" s="77"/>
      <c r="E469" s="93"/>
      <c r="F469" s="93">
        <v>0</v>
      </c>
      <c r="G469" s="79"/>
      <c r="H469" s="79"/>
      <c r="I469" s="79"/>
      <c r="J469" s="79">
        <f>SUM(H469:I469)+'BM 010'!I465</f>
        <v>0</v>
      </c>
      <c r="K469" s="79">
        <f t="shared" si="208"/>
        <v>0</v>
      </c>
      <c r="L469" s="82"/>
      <c r="M469" s="81">
        <v>0</v>
      </c>
      <c r="N469" s="82">
        <f t="shared" si="209"/>
        <v>0</v>
      </c>
      <c r="O469" s="82">
        <f t="shared" si="210"/>
        <v>0</v>
      </c>
      <c r="P469" s="82">
        <f>O469+'BM 010'!O465</f>
        <v>0</v>
      </c>
      <c r="Q469" s="82"/>
      <c r="R469" s="82">
        <f t="shared" si="212"/>
        <v>0</v>
      </c>
      <c r="S469" s="82">
        <f t="shared" si="213"/>
        <v>0</v>
      </c>
      <c r="T469" s="82">
        <f t="shared" si="214"/>
        <v>0</v>
      </c>
    </row>
    <row r="470" spans="2:20" s="34" customFormat="1" ht="34.799999999999997">
      <c r="B470" s="75" t="s">
        <v>912</v>
      </c>
      <c r="C470" s="76" t="s">
        <v>733</v>
      </c>
      <c r="D470" s="77" t="s">
        <v>131</v>
      </c>
      <c r="E470" s="93">
        <v>8</v>
      </c>
      <c r="F470" s="93">
        <v>8</v>
      </c>
      <c r="G470" s="79"/>
      <c r="H470" s="79"/>
      <c r="I470" s="79"/>
      <c r="J470" s="79">
        <f>SUM(H470:I470)+'BM 010'!I466</f>
        <v>0</v>
      </c>
      <c r="K470" s="79">
        <f t="shared" si="208"/>
        <v>8</v>
      </c>
      <c r="L470" s="82">
        <v>3.95</v>
      </c>
      <c r="M470" s="81">
        <v>5.0070204345000002</v>
      </c>
      <c r="N470" s="82">
        <f t="shared" si="209"/>
        <v>0</v>
      </c>
      <c r="O470" s="82">
        <f t="shared" si="210"/>
        <v>0</v>
      </c>
      <c r="P470" s="82">
        <f>O470+'BM 010'!O466</f>
        <v>0</v>
      </c>
      <c r="Q470" s="82">
        <f t="shared" ref="Q470:Q480" si="215">E470*L470</f>
        <v>31.6</v>
      </c>
      <c r="R470" s="82">
        <f t="shared" si="212"/>
        <v>40.049999999999997</v>
      </c>
      <c r="S470" s="82">
        <f t="shared" si="213"/>
        <v>40.049999999999997</v>
      </c>
      <c r="T470" s="82">
        <f t="shared" si="214"/>
        <v>40.049999999999997</v>
      </c>
    </row>
    <row r="471" spans="2:20" s="34" customFormat="1" ht="34.799999999999997">
      <c r="B471" s="75" t="s">
        <v>913</v>
      </c>
      <c r="C471" s="88" t="s">
        <v>735</v>
      </c>
      <c r="D471" s="89" t="s">
        <v>131</v>
      </c>
      <c r="E471" s="90">
        <v>238</v>
      </c>
      <c r="F471" s="90">
        <v>238</v>
      </c>
      <c r="G471" s="91"/>
      <c r="H471" s="91"/>
      <c r="I471" s="91"/>
      <c r="J471" s="91">
        <f>SUM(H471:I471)+'BM 010'!I467</f>
        <v>0</v>
      </c>
      <c r="K471" s="91">
        <f t="shared" si="208"/>
        <v>238</v>
      </c>
      <c r="L471" s="80">
        <v>4.67</v>
      </c>
      <c r="M471" s="81">
        <v>5.9196925137000003</v>
      </c>
      <c r="N471" s="82">
        <f t="shared" si="209"/>
        <v>0</v>
      </c>
      <c r="O471" s="82">
        <f t="shared" si="210"/>
        <v>0</v>
      </c>
      <c r="P471" s="82">
        <f>O471+'BM 010'!O467</f>
        <v>0</v>
      </c>
      <c r="Q471" s="80">
        <f t="shared" si="215"/>
        <v>1111.46</v>
      </c>
      <c r="R471" s="82">
        <f t="shared" si="212"/>
        <v>1408.88</v>
      </c>
      <c r="S471" s="82">
        <f t="shared" si="213"/>
        <v>1408.88</v>
      </c>
      <c r="T471" s="82">
        <f t="shared" si="214"/>
        <v>1408.88</v>
      </c>
    </row>
    <row r="472" spans="2:20" s="34" customFormat="1" ht="34.799999999999997">
      <c r="B472" s="75" t="s">
        <v>914</v>
      </c>
      <c r="C472" s="76" t="s">
        <v>739</v>
      </c>
      <c r="D472" s="77" t="s">
        <v>131</v>
      </c>
      <c r="E472" s="93">
        <v>30</v>
      </c>
      <c r="F472" s="93">
        <v>30</v>
      </c>
      <c r="G472" s="79"/>
      <c r="H472" s="79"/>
      <c r="I472" s="79"/>
      <c r="J472" s="79">
        <f>SUM(H472:I472)+'BM 010'!I468</f>
        <v>0</v>
      </c>
      <c r="K472" s="79">
        <f t="shared" si="208"/>
        <v>30</v>
      </c>
      <c r="L472" s="80">
        <v>11.5</v>
      </c>
      <c r="M472" s="81">
        <v>14.577401265000001</v>
      </c>
      <c r="N472" s="82">
        <f t="shared" si="209"/>
        <v>0</v>
      </c>
      <c r="O472" s="82">
        <f t="shared" si="210"/>
        <v>0</v>
      </c>
      <c r="P472" s="82">
        <f>O472+'BM 010'!O468</f>
        <v>0</v>
      </c>
      <c r="Q472" s="80">
        <f t="shared" si="215"/>
        <v>345</v>
      </c>
      <c r="R472" s="82">
        <f t="shared" si="212"/>
        <v>437.32</v>
      </c>
      <c r="S472" s="82">
        <f t="shared" si="213"/>
        <v>437.32</v>
      </c>
      <c r="T472" s="82">
        <f t="shared" si="214"/>
        <v>437.32</v>
      </c>
    </row>
    <row r="473" spans="2:20" s="34" customFormat="1" ht="34.799999999999997">
      <c r="B473" s="75" t="s">
        <v>915</v>
      </c>
      <c r="C473" s="76" t="s">
        <v>916</v>
      </c>
      <c r="D473" s="77" t="s">
        <v>131</v>
      </c>
      <c r="E473" s="93">
        <v>1</v>
      </c>
      <c r="F473" s="93">
        <v>1</v>
      </c>
      <c r="G473" s="79"/>
      <c r="H473" s="79"/>
      <c r="I473" s="79"/>
      <c r="J473" s="79">
        <f>SUM(H473:I473)+'BM 010'!I469</f>
        <v>0</v>
      </c>
      <c r="K473" s="79">
        <f t="shared" si="208"/>
        <v>1</v>
      </c>
      <c r="L473" s="80">
        <v>10.5</v>
      </c>
      <c r="M473" s="81">
        <v>13.309801155000001</v>
      </c>
      <c r="N473" s="82">
        <f t="shared" si="209"/>
        <v>0</v>
      </c>
      <c r="O473" s="82">
        <f t="shared" si="210"/>
        <v>0</v>
      </c>
      <c r="P473" s="82">
        <f>O473+'BM 010'!O469</f>
        <v>0</v>
      </c>
      <c r="Q473" s="80">
        <f t="shared" si="215"/>
        <v>10.5</v>
      </c>
      <c r="R473" s="82">
        <f t="shared" si="212"/>
        <v>13.3</v>
      </c>
      <c r="S473" s="82">
        <f t="shared" si="213"/>
        <v>13.3</v>
      </c>
      <c r="T473" s="82">
        <f t="shared" si="214"/>
        <v>13.3</v>
      </c>
    </row>
    <row r="474" spans="2:20" s="34" customFormat="1" ht="34.799999999999997">
      <c r="B474" s="75" t="s">
        <v>917</v>
      </c>
      <c r="C474" s="76" t="s">
        <v>918</v>
      </c>
      <c r="D474" s="77" t="s">
        <v>131</v>
      </c>
      <c r="E474" s="93">
        <v>1</v>
      </c>
      <c r="F474" s="93">
        <v>1</v>
      </c>
      <c r="G474" s="79"/>
      <c r="H474" s="79"/>
      <c r="I474" s="79"/>
      <c r="J474" s="79">
        <f>SUM(H474:I474)+'BM 010'!I470</f>
        <v>0</v>
      </c>
      <c r="K474" s="79">
        <f t="shared" si="208"/>
        <v>1</v>
      </c>
      <c r="L474" s="80">
        <v>10.14</v>
      </c>
      <c r="M474" s="81">
        <v>12.853465115400001</v>
      </c>
      <c r="N474" s="82">
        <f t="shared" si="209"/>
        <v>0</v>
      </c>
      <c r="O474" s="82">
        <f t="shared" si="210"/>
        <v>0</v>
      </c>
      <c r="P474" s="82">
        <f>O474+'BM 010'!O470</f>
        <v>0</v>
      </c>
      <c r="Q474" s="80">
        <f t="shared" si="215"/>
        <v>10.14</v>
      </c>
      <c r="R474" s="82">
        <f t="shared" si="212"/>
        <v>12.85</v>
      </c>
      <c r="S474" s="82">
        <f t="shared" si="213"/>
        <v>12.85</v>
      </c>
      <c r="T474" s="82">
        <f t="shared" si="214"/>
        <v>12.85</v>
      </c>
    </row>
    <row r="475" spans="2:20" s="34" customFormat="1" ht="34.799999999999997">
      <c r="B475" s="75" t="s">
        <v>919</v>
      </c>
      <c r="C475" s="88" t="s">
        <v>717</v>
      </c>
      <c r="D475" s="89" t="s">
        <v>131</v>
      </c>
      <c r="E475" s="90">
        <v>238</v>
      </c>
      <c r="F475" s="90">
        <v>238</v>
      </c>
      <c r="G475" s="91"/>
      <c r="H475" s="91"/>
      <c r="I475" s="91"/>
      <c r="J475" s="91">
        <f>SUM(H475:I475)+'BM 010'!I471</f>
        <v>0</v>
      </c>
      <c r="K475" s="91">
        <f t="shared" si="208"/>
        <v>238</v>
      </c>
      <c r="L475" s="80">
        <v>8</v>
      </c>
      <c r="M475" s="81">
        <v>10.14080088</v>
      </c>
      <c r="N475" s="82">
        <f t="shared" ref="N475:N480" si="216">TRUNC(G475*M475,2)</f>
        <v>0</v>
      </c>
      <c r="O475" s="82">
        <f t="shared" ref="O475:O480" si="217">TRUNC(H475*M475,2)</f>
        <v>0</v>
      </c>
      <c r="P475" s="82">
        <f>O475+'BM 010'!O471</f>
        <v>0</v>
      </c>
      <c r="Q475" s="80">
        <f t="shared" si="215"/>
        <v>1904</v>
      </c>
      <c r="R475" s="82">
        <f t="shared" ref="R475:R480" si="218">TRUNC(E475*M475,2)</f>
        <v>2413.5100000000002</v>
      </c>
      <c r="S475" s="82">
        <f t="shared" ref="S475:S480" si="219">TRUNC(F475*$M475,2)</f>
        <v>2413.5100000000002</v>
      </c>
      <c r="T475" s="82">
        <f t="shared" ref="T475:T480" si="220">S475-P475</f>
        <v>2413.5100000000002</v>
      </c>
    </row>
    <row r="476" spans="2:20" s="34" customFormat="1" ht="34.799999999999997">
      <c r="B476" s="75" t="s">
        <v>920</v>
      </c>
      <c r="C476" s="88" t="s">
        <v>921</v>
      </c>
      <c r="D476" s="89" t="s">
        <v>131</v>
      </c>
      <c r="E476" s="90">
        <v>6</v>
      </c>
      <c r="F476" s="90">
        <v>6</v>
      </c>
      <c r="G476" s="91"/>
      <c r="H476" s="91"/>
      <c r="I476" s="91"/>
      <c r="J476" s="91">
        <f>SUM(H476:I476)+'BM 010'!I472</f>
        <v>0</v>
      </c>
      <c r="K476" s="91">
        <f t="shared" si="208"/>
        <v>6</v>
      </c>
      <c r="L476" s="80">
        <v>7.51</v>
      </c>
      <c r="M476" s="81">
        <v>9.5196768260999995</v>
      </c>
      <c r="N476" s="82">
        <f t="shared" si="216"/>
        <v>0</v>
      </c>
      <c r="O476" s="82">
        <f t="shared" si="217"/>
        <v>0</v>
      </c>
      <c r="P476" s="82">
        <f>O476+'BM 010'!O472</f>
        <v>0</v>
      </c>
      <c r="Q476" s="80">
        <f t="shared" si="215"/>
        <v>45.06</v>
      </c>
      <c r="R476" s="82">
        <f t="shared" si="218"/>
        <v>57.11</v>
      </c>
      <c r="S476" s="82">
        <f t="shared" si="219"/>
        <v>57.11</v>
      </c>
      <c r="T476" s="82">
        <f t="shared" si="220"/>
        <v>57.11</v>
      </c>
    </row>
    <row r="477" spans="2:20" s="34" customFormat="1" ht="34.799999999999997">
      <c r="B477" s="87" t="s">
        <v>922</v>
      </c>
      <c r="C477" s="88" t="s">
        <v>721</v>
      </c>
      <c r="D477" s="89" t="s">
        <v>131</v>
      </c>
      <c r="E477" s="90">
        <v>8</v>
      </c>
      <c r="F477" s="90">
        <v>8</v>
      </c>
      <c r="G477" s="91"/>
      <c r="H477" s="91"/>
      <c r="I477" s="91"/>
      <c r="J477" s="91">
        <f>SUM(H477:I477)+'BM 010'!I473</f>
        <v>0</v>
      </c>
      <c r="K477" s="91">
        <f t="shared" si="208"/>
        <v>8</v>
      </c>
      <c r="L477" s="80">
        <v>10.5</v>
      </c>
      <c r="M477" s="81">
        <v>13.309801155000001</v>
      </c>
      <c r="N477" s="82">
        <f t="shared" si="216"/>
        <v>0</v>
      </c>
      <c r="O477" s="82">
        <f t="shared" si="217"/>
        <v>0</v>
      </c>
      <c r="P477" s="82">
        <f>O477+'BM 010'!O473</f>
        <v>0</v>
      </c>
      <c r="Q477" s="80">
        <f t="shared" si="215"/>
        <v>84</v>
      </c>
      <c r="R477" s="82">
        <f t="shared" si="218"/>
        <v>106.47</v>
      </c>
      <c r="S477" s="82">
        <f t="shared" si="219"/>
        <v>106.47</v>
      </c>
      <c r="T477" s="82">
        <f t="shared" si="220"/>
        <v>106.47</v>
      </c>
    </row>
    <row r="478" spans="2:20" s="34" customFormat="1" ht="23.4">
      <c r="B478" s="75" t="s">
        <v>1749</v>
      </c>
      <c r="C478" s="88" t="s">
        <v>1750</v>
      </c>
      <c r="D478" s="89" t="s">
        <v>82</v>
      </c>
      <c r="E478" s="90"/>
      <c r="F478" s="90">
        <v>400</v>
      </c>
      <c r="G478" s="91"/>
      <c r="H478" s="91"/>
      <c r="I478" s="91"/>
      <c r="J478" s="91">
        <f>SUM(H478:I478)</f>
        <v>0</v>
      </c>
      <c r="K478" s="91">
        <f t="shared" ref="K478:K541" si="221">F478-J478</f>
        <v>400</v>
      </c>
      <c r="L478" s="80"/>
      <c r="M478" s="81">
        <v>14.75</v>
      </c>
      <c r="N478" s="82">
        <f t="shared" si="216"/>
        <v>0</v>
      </c>
      <c r="O478" s="82">
        <f t="shared" si="217"/>
        <v>0</v>
      </c>
      <c r="P478" s="82">
        <f>O478</f>
        <v>0</v>
      </c>
      <c r="Q478" s="80">
        <f t="shared" si="215"/>
        <v>0</v>
      </c>
      <c r="R478" s="82">
        <f t="shared" si="218"/>
        <v>0</v>
      </c>
      <c r="S478" s="82">
        <f t="shared" si="219"/>
        <v>5900</v>
      </c>
      <c r="T478" s="82">
        <f t="shared" si="220"/>
        <v>5900</v>
      </c>
    </row>
    <row r="479" spans="2:20" s="34" customFormat="1" ht="23.4">
      <c r="B479" s="75" t="s">
        <v>1751</v>
      </c>
      <c r="C479" s="88" t="s">
        <v>1752</v>
      </c>
      <c r="D479" s="89" t="s">
        <v>82</v>
      </c>
      <c r="E479" s="90"/>
      <c r="F479" s="90">
        <v>400</v>
      </c>
      <c r="G479" s="91"/>
      <c r="H479" s="91"/>
      <c r="I479" s="91"/>
      <c r="J479" s="91">
        <f>SUM(H479:I479)</f>
        <v>0</v>
      </c>
      <c r="K479" s="91">
        <f t="shared" si="221"/>
        <v>400</v>
      </c>
      <c r="L479" s="80"/>
      <c r="M479" s="81">
        <v>14.04</v>
      </c>
      <c r="N479" s="82">
        <f t="shared" si="216"/>
        <v>0</v>
      </c>
      <c r="O479" s="82">
        <f t="shared" si="217"/>
        <v>0</v>
      </c>
      <c r="P479" s="82">
        <f>O479</f>
        <v>0</v>
      </c>
      <c r="Q479" s="80">
        <f t="shared" si="215"/>
        <v>0</v>
      </c>
      <c r="R479" s="82">
        <f t="shared" si="218"/>
        <v>0</v>
      </c>
      <c r="S479" s="82">
        <f t="shared" si="219"/>
        <v>5616</v>
      </c>
      <c r="T479" s="82">
        <f t="shared" si="220"/>
        <v>5616</v>
      </c>
    </row>
    <row r="480" spans="2:20" s="34" customFormat="1" ht="34.799999999999997">
      <c r="B480" s="75" t="s">
        <v>1753</v>
      </c>
      <c r="C480" s="88" t="s">
        <v>1754</v>
      </c>
      <c r="D480" s="89" t="s">
        <v>39</v>
      </c>
      <c r="E480" s="90"/>
      <c r="F480" s="90">
        <v>40</v>
      </c>
      <c r="G480" s="91"/>
      <c r="H480" s="91"/>
      <c r="I480" s="91"/>
      <c r="J480" s="91">
        <f>SUM(H480:I480)</f>
        <v>0</v>
      </c>
      <c r="K480" s="91">
        <f t="shared" si="221"/>
        <v>40</v>
      </c>
      <c r="L480" s="80"/>
      <c r="M480" s="81">
        <v>325.54000000000002</v>
      </c>
      <c r="N480" s="82">
        <f t="shared" si="216"/>
        <v>0</v>
      </c>
      <c r="O480" s="82">
        <f t="shared" si="217"/>
        <v>0</v>
      </c>
      <c r="P480" s="82">
        <f>O480</f>
        <v>0</v>
      </c>
      <c r="Q480" s="80">
        <f t="shared" si="215"/>
        <v>0</v>
      </c>
      <c r="R480" s="82">
        <f t="shared" si="218"/>
        <v>0</v>
      </c>
      <c r="S480" s="82">
        <f t="shared" si="219"/>
        <v>13021.6</v>
      </c>
      <c r="T480" s="82">
        <f t="shared" si="220"/>
        <v>13021.6</v>
      </c>
    </row>
    <row r="481" spans="2:20" s="34" customFormat="1" ht="24">
      <c r="B481" s="66" t="s">
        <v>923</v>
      </c>
      <c r="C481" s="67" t="s">
        <v>924</v>
      </c>
      <c r="D481" s="68"/>
      <c r="E481" s="69"/>
      <c r="F481" s="69"/>
      <c r="G481" s="70"/>
      <c r="H481" s="70"/>
      <c r="I481" s="70"/>
      <c r="J481" s="70">
        <f>SUM(H481:I481)+'BM 010'!I474</f>
        <v>0</v>
      </c>
      <c r="K481" s="70">
        <f t="shared" si="221"/>
        <v>0</v>
      </c>
      <c r="L481" s="71"/>
      <c r="M481" s="71">
        <v>0</v>
      </c>
      <c r="N481" s="73">
        <f t="shared" ref="N481:T481" si="222">SUM(N482:N487)</f>
        <v>0</v>
      </c>
      <c r="O481" s="73">
        <f t="shared" si="222"/>
        <v>0</v>
      </c>
      <c r="P481" s="73">
        <f t="shared" si="222"/>
        <v>0</v>
      </c>
      <c r="Q481" s="73">
        <f t="shared" si="222"/>
        <v>177593</v>
      </c>
      <c r="R481" s="73">
        <f t="shared" si="222"/>
        <v>225116.89</v>
      </c>
      <c r="S481" s="73">
        <f t="shared" si="222"/>
        <v>225116.89</v>
      </c>
      <c r="T481" s="73">
        <f t="shared" si="222"/>
        <v>225116.89</v>
      </c>
    </row>
    <row r="482" spans="2:20" s="34" customFormat="1" ht="23.4">
      <c r="B482" s="87" t="s">
        <v>925</v>
      </c>
      <c r="C482" s="88" t="s">
        <v>926</v>
      </c>
      <c r="D482" s="89" t="s">
        <v>131</v>
      </c>
      <c r="E482" s="90">
        <v>1</v>
      </c>
      <c r="F482" s="90">
        <v>1</v>
      </c>
      <c r="G482" s="91"/>
      <c r="H482" s="91"/>
      <c r="I482" s="91"/>
      <c r="J482" s="91">
        <f>SUM(H482:I482)+'BM 010'!I475</f>
        <v>0</v>
      </c>
      <c r="K482" s="91">
        <f t="shared" si="221"/>
        <v>1</v>
      </c>
      <c r="L482" s="80">
        <v>40</v>
      </c>
      <c r="M482" s="81">
        <v>50.704004400000002</v>
      </c>
      <c r="N482" s="82">
        <f t="shared" ref="N482:N487" si="223">TRUNC(G482*M482,2)</f>
        <v>0</v>
      </c>
      <c r="O482" s="82">
        <f t="shared" ref="O482:O487" si="224">TRUNC(H482*M482,2)</f>
        <v>0</v>
      </c>
      <c r="P482" s="82">
        <f>O482+'BM 010'!O475</f>
        <v>0</v>
      </c>
      <c r="Q482" s="80">
        <f t="shared" ref="Q482:Q487" si="225">E482*L482</f>
        <v>40</v>
      </c>
      <c r="R482" s="82">
        <f t="shared" ref="R482:R487" si="226">TRUNC(E482*M482,2)</f>
        <v>50.7</v>
      </c>
      <c r="S482" s="82">
        <f t="shared" ref="S482:S487" si="227">TRUNC(F482*$M482,2)</f>
        <v>50.7</v>
      </c>
      <c r="T482" s="82">
        <f t="shared" ref="T482:T487" si="228">S482-P482</f>
        <v>50.7</v>
      </c>
    </row>
    <row r="483" spans="2:20" s="34" customFormat="1" ht="23.4">
      <c r="B483" s="87" t="s">
        <v>927</v>
      </c>
      <c r="C483" s="88" t="s">
        <v>928</v>
      </c>
      <c r="D483" s="89" t="s">
        <v>131</v>
      </c>
      <c r="E483" s="90">
        <v>69</v>
      </c>
      <c r="F483" s="90">
        <v>69</v>
      </c>
      <c r="G483" s="91"/>
      <c r="H483" s="91"/>
      <c r="I483" s="91"/>
      <c r="J483" s="91">
        <f>SUM(H483:I483)+'BM 010'!I476</f>
        <v>0</v>
      </c>
      <c r="K483" s="91">
        <f t="shared" si="221"/>
        <v>69</v>
      </c>
      <c r="L483" s="80">
        <v>62</v>
      </c>
      <c r="M483" s="81">
        <v>78.591206819999996</v>
      </c>
      <c r="N483" s="82">
        <f t="shared" si="223"/>
        <v>0</v>
      </c>
      <c r="O483" s="82">
        <f t="shared" si="224"/>
        <v>0</v>
      </c>
      <c r="P483" s="82">
        <f>O483+'BM 010'!O476</f>
        <v>0</v>
      </c>
      <c r="Q483" s="80">
        <f t="shared" si="225"/>
        <v>4278</v>
      </c>
      <c r="R483" s="82">
        <f t="shared" si="226"/>
        <v>5422.79</v>
      </c>
      <c r="S483" s="82">
        <f t="shared" si="227"/>
        <v>5422.79</v>
      </c>
      <c r="T483" s="82">
        <f t="shared" si="228"/>
        <v>5422.79</v>
      </c>
    </row>
    <row r="484" spans="2:20" s="34" customFormat="1" ht="34.799999999999997">
      <c r="B484" s="87" t="s">
        <v>929</v>
      </c>
      <c r="C484" s="88" t="s">
        <v>930</v>
      </c>
      <c r="D484" s="89" t="s">
        <v>131</v>
      </c>
      <c r="E484" s="90">
        <v>3</v>
      </c>
      <c r="F484" s="90">
        <v>3</v>
      </c>
      <c r="G484" s="91"/>
      <c r="H484" s="91"/>
      <c r="I484" s="91"/>
      <c r="J484" s="91">
        <f>SUM(H484:I484)+'BM 010'!I477</f>
        <v>0</v>
      </c>
      <c r="K484" s="91">
        <f t="shared" si="221"/>
        <v>3</v>
      </c>
      <c r="L484" s="80">
        <v>25</v>
      </c>
      <c r="M484" s="81">
        <v>31.690002750000001</v>
      </c>
      <c r="N484" s="82">
        <f t="shared" si="223"/>
        <v>0</v>
      </c>
      <c r="O484" s="82">
        <f t="shared" si="224"/>
        <v>0</v>
      </c>
      <c r="P484" s="82">
        <f>O484+'BM 010'!O477</f>
        <v>0</v>
      </c>
      <c r="Q484" s="80">
        <f t="shared" si="225"/>
        <v>75</v>
      </c>
      <c r="R484" s="82">
        <f t="shared" si="226"/>
        <v>95.07</v>
      </c>
      <c r="S484" s="82">
        <f t="shared" si="227"/>
        <v>95.07</v>
      </c>
      <c r="T484" s="82">
        <f t="shared" si="228"/>
        <v>95.07</v>
      </c>
    </row>
    <row r="485" spans="2:20" s="34" customFormat="1" ht="34.799999999999997">
      <c r="B485" s="87" t="s">
        <v>931</v>
      </c>
      <c r="C485" s="88" t="s">
        <v>932</v>
      </c>
      <c r="D485" s="89" t="s">
        <v>131</v>
      </c>
      <c r="E485" s="90">
        <v>2</v>
      </c>
      <c r="F485" s="90">
        <v>2</v>
      </c>
      <c r="G485" s="91"/>
      <c r="H485" s="91"/>
      <c r="I485" s="91"/>
      <c r="J485" s="91">
        <f>SUM(H485:I485)+'BM 010'!I478</f>
        <v>0</v>
      </c>
      <c r="K485" s="91">
        <f t="shared" si="221"/>
        <v>2</v>
      </c>
      <c r="L485" s="80">
        <v>2100</v>
      </c>
      <c r="M485" s="81">
        <v>2661.960231</v>
      </c>
      <c r="N485" s="82">
        <f t="shared" si="223"/>
        <v>0</v>
      </c>
      <c r="O485" s="82">
        <f t="shared" si="224"/>
        <v>0</v>
      </c>
      <c r="P485" s="82">
        <f>O485+'BM 010'!O478</f>
        <v>0</v>
      </c>
      <c r="Q485" s="80">
        <f t="shared" si="225"/>
        <v>4200</v>
      </c>
      <c r="R485" s="82">
        <f t="shared" si="226"/>
        <v>5323.92</v>
      </c>
      <c r="S485" s="82">
        <f t="shared" si="227"/>
        <v>5323.92</v>
      </c>
      <c r="T485" s="82">
        <f t="shared" si="228"/>
        <v>5323.92</v>
      </c>
    </row>
    <row r="486" spans="2:20" s="34" customFormat="1" ht="34.799999999999997">
      <c r="B486" s="87" t="s">
        <v>933</v>
      </c>
      <c r="C486" s="88" t="s">
        <v>934</v>
      </c>
      <c r="D486" s="89" t="s">
        <v>131</v>
      </c>
      <c r="E486" s="90">
        <v>6</v>
      </c>
      <c r="F486" s="90">
        <v>6</v>
      </c>
      <c r="G486" s="91"/>
      <c r="H486" s="91"/>
      <c r="I486" s="91"/>
      <c r="J486" s="91">
        <f>SUM(H486:I486)+'BM 010'!I479</f>
        <v>0</v>
      </c>
      <c r="K486" s="91">
        <f t="shared" si="221"/>
        <v>6</v>
      </c>
      <c r="L486" s="80">
        <v>9000</v>
      </c>
      <c r="M486" s="81">
        <v>11408.40099</v>
      </c>
      <c r="N486" s="82">
        <f t="shared" si="223"/>
        <v>0</v>
      </c>
      <c r="O486" s="82">
        <f t="shared" si="224"/>
        <v>0</v>
      </c>
      <c r="P486" s="82">
        <f>O486+'BM 010'!O479</f>
        <v>0</v>
      </c>
      <c r="Q486" s="80">
        <f t="shared" si="225"/>
        <v>54000</v>
      </c>
      <c r="R486" s="82">
        <f t="shared" si="226"/>
        <v>68450.399999999994</v>
      </c>
      <c r="S486" s="82">
        <f t="shared" si="227"/>
        <v>68450.399999999994</v>
      </c>
      <c r="T486" s="82">
        <f t="shared" si="228"/>
        <v>68450.399999999994</v>
      </c>
    </row>
    <row r="487" spans="2:20" s="34" customFormat="1" ht="23.4">
      <c r="B487" s="87" t="s">
        <v>935</v>
      </c>
      <c r="C487" s="88" t="s">
        <v>936</v>
      </c>
      <c r="D487" s="89" t="s">
        <v>131</v>
      </c>
      <c r="E487" s="90">
        <v>1</v>
      </c>
      <c r="F487" s="90">
        <v>1</v>
      </c>
      <c r="G487" s="91"/>
      <c r="H487" s="91"/>
      <c r="I487" s="91"/>
      <c r="J487" s="91">
        <f>SUM(H487:I487)+'BM 010'!I480</f>
        <v>0</v>
      </c>
      <c r="K487" s="91">
        <f t="shared" si="221"/>
        <v>1</v>
      </c>
      <c r="L487" s="80">
        <v>115000</v>
      </c>
      <c r="M487" s="81">
        <v>145774.01264999999</v>
      </c>
      <c r="N487" s="82">
        <f t="shared" si="223"/>
        <v>0</v>
      </c>
      <c r="O487" s="82">
        <f t="shared" si="224"/>
        <v>0</v>
      </c>
      <c r="P487" s="82">
        <f>O487+'BM 010'!O480</f>
        <v>0</v>
      </c>
      <c r="Q487" s="80">
        <f t="shared" si="225"/>
        <v>115000</v>
      </c>
      <c r="R487" s="82">
        <f t="shared" si="226"/>
        <v>145774.01</v>
      </c>
      <c r="S487" s="82">
        <f t="shared" si="227"/>
        <v>145774.01</v>
      </c>
      <c r="T487" s="82">
        <f t="shared" si="228"/>
        <v>145774.01</v>
      </c>
    </row>
    <row r="488" spans="2:20" s="34" customFormat="1" ht="13.2">
      <c r="B488" s="60" t="s">
        <v>937</v>
      </c>
      <c r="C488" s="61" t="s">
        <v>938</v>
      </c>
      <c r="D488" s="60"/>
      <c r="E488" s="62"/>
      <c r="F488" s="284"/>
      <c r="G488" s="63"/>
      <c r="H488" s="63"/>
      <c r="I488" s="63"/>
      <c r="J488" s="63">
        <f>SUM(H488:I488)+'BM 010'!I481</f>
        <v>0</v>
      </c>
      <c r="K488" s="63">
        <f t="shared" si="221"/>
        <v>0</v>
      </c>
      <c r="L488" s="63"/>
      <c r="M488" s="63">
        <v>0</v>
      </c>
      <c r="N488" s="63">
        <f t="shared" ref="N488:T488" si="229">SUM(N489,N494)</f>
        <v>0</v>
      </c>
      <c r="O488" s="63">
        <f t="shared" si="229"/>
        <v>0</v>
      </c>
      <c r="P488" s="63">
        <f t="shared" si="229"/>
        <v>0</v>
      </c>
      <c r="Q488" s="63">
        <f t="shared" si="229"/>
        <v>198555.35149999999</v>
      </c>
      <c r="R488" s="63">
        <f t="shared" si="229"/>
        <v>251688.67</v>
      </c>
      <c r="S488" s="63">
        <f t="shared" si="229"/>
        <v>251688.67</v>
      </c>
      <c r="T488" s="63">
        <f t="shared" si="229"/>
        <v>251688.67</v>
      </c>
    </row>
    <row r="489" spans="2:20" s="34" customFormat="1" ht="13.2">
      <c r="B489" s="66" t="s">
        <v>939</v>
      </c>
      <c r="C489" s="67" t="s">
        <v>940</v>
      </c>
      <c r="D489" s="68"/>
      <c r="E489" s="69"/>
      <c r="F489" s="69"/>
      <c r="G489" s="70"/>
      <c r="H489" s="70"/>
      <c r="I489" s="70"/>
      <c r="J489" s="70">
        <f>SUM(H489:I489)+'BM 010'!I482</f>
        <v>0</v>
      </c>
      <c r="K489" s="70">
        <f t="shared" si="221"/>
        <v>0</v>
      </c>
      <c r="L489" s="71"/>
      <c r="M489" s="71">
        <v>0</v>
      </c>
      <c r="N489" s="73">
        <f t="shared" ref="N489:T489" si="230">SUM(N490:N493)</f>
        <v>0</v>
      </c>
      <c r="O489" s="73">
        <f t="shared" si="230"/>
        <v>0</v>
      </c>
      <c r="P489" s="73">
        <f t="shared" si="230"/>
        <v>0</v>
      </c>
      <c r="Q489" s="73">
        <f t="shared" si="230"/>
        <v>157288.71</v>
      </c>
      <c r="R489" s="73">
        <f t="shared" si="230"/>
        <v>199379.17</v>
      </c>
      <c r="S489" s="73">
        <f t="shared" si="230"/>
        <v>199379.17</v>
      </c>
      <c r="T489" s="73">
        <f t="shared" si="230"/>
        <v>199379.17</v>
      </c>
    </row>
    <row r="490" spans="2:20" s="34" customFormat="1" ht="46.2">
      <c r="B490" s="75" t="s">
        <v>941</v>
      </c>
      <c r="C490" s="76" t="s">
        <v>942</v>
      </c>
      <c r="D490" s="77" t="s">
        <v>82</v>
      </c>
      <c r="E490" s="93">
        <v>546.20000000000005</v>
      </c>
      <c r="F490" s="93">
        <v>546.20000000000005</v>
      </c>
      <c r="G490" s="79"/>
      <c r="H490" s="79"/>
      <c r="I490" s="79"/>
      <c r="J490" s="79">
        <f>SUM(H490:I490)+'BM 010'!I483</f>
        <v>0</v>
      </c>
      <c r="K490" s="79">
        <f t="shared" si="221"/>
        <v>546.20000000000005</v>
      </c>
      <c r="L490" s="84">
        <v>71.55</v>
      </c>
      <c r="M490" s="81">
        <v>90.696787870500003</v>
      </c>
      <c r="N490" s="82">
        <f>TRUNC(G490*M490,2)</f>
        <v>0</v>
      </c>
      <c r="O490" s="82">
        <f>TRUNC(H490*M490,2)</f>
        <v>0</v>
      </c>
      <c r="P490" s="82">
        <f>O490+'BM 010'!O483</f>
        <v>0</v>
      </c>
      <c r="Q490" s="80">
        <f>E490*L490</f>
        <v>39080.61</v>
      </c>
      <c r="R490" s="82">
        <f>TRUNC(E490*M490,2)</f>
        <v>49538.58</v>
      </c>
      <c r="S490" s="82">
        <f>TRUNC(F490*$M490,2)</f>
        <v>49538.58</v>
      </c>
      <c r="T490" s="82">
        <f>S490-P490</f>
        <v>49538.58</v>
      </c>
    </row>
    <row r="491" spans="2:20" s="34" customFormat="1" ht="46.2">
      <c r="B491" s="75" t="s">
        <v>943</v>
      </c>
      <c r="C491" s="76" t="s">
        <v>944</v>
      </c>
      <c r="D491" s="77" t="s">
        <v>124</v>
      </c>
      <c r="E491" s="93">
        <v>314</v>
      </c>
      <c r="F491" s="93">
        <v>314</v>
      </c>
      <c r="G491" s="79"/>
      <c r="H491" s="79"/>
      <c r="I491" s="79"/>
      <c r="J491" s="79">
        <f>SUM(H491:I491)+'BM 010'!I484</f>
        <v>0</v>
      </c>
      <c r="K491" s="79">
        <f t="shared" si="221"/>
        <v>314</v>
      </c>
      <c r="L491" s="84">
        <v>120.15</v>
      </c>
      <c r="M491" s="81">
        <v>152.30215321649999</v>
      </c>
      <c r="N491" s="82">
        <f>TRUNC(G491*M491,2)</f>
        <v>0</v>
      </c>
      <c r="O491" s="82">
        <f>TRUNC(H491*M491,2)</f>
        <v>0</v>
      </c>
      <c r="P491" s="82">
        <f>O491+'BM 010'!O484</f>
        <v>0</v>
      </c>
      <c r="Q491" s="80">
        <f>E491*L491</f>
        <v>37727.1</v>
      </c>
      <c r="R491" s="82">
        <f>TRUNC(E491*M491,2)</f>
        <v>47822.87</v>
      </c>
      <c r="S491" s="82">
        <f>TRUNC(F491*$M491,2)</f>
        <v>47822.87</v>
      </c>
      <c r="T491" s="82">
        <f>S491-P491</f>
        <v>47822.87</v>
      </c>
    </row>
    <row r="492" spans="2:20" s="34" customFormat="1" ht="46.2">
      <c r="B492" s="75" t="s">
        <v>945</v>
      </c>
      <c r="C492" s="76" t="s">
        <v>946</v>
      </c>
      <c r="D492" s="77" t="s">
        <v>82</v>
      </c>
      <c r="E492" s="78">
        <v>36.700000000000003</v>
      </c>
      <c r="F492" s="78">
        <v>36.700000000000003</v>
      </c>
      <c r="G492" s="79"/>
      <c r="H492" s="79"/>
      <c r="I492" s="79"/>
      <c r="J492" s="79">
        <f>SUM(H492:I492)+'BM 010'!I485</f>
        <v>0</v>
      </c>
      <c r="K492" s="79">
        <f t="shared" si="221"/>
        <v>36.700000000000003</v>
      </c>
      <c r="L492" s="84">
        <v>149.85</v>
      </c>
      <c r="M492" s="81">
        <v>189.94987648349999</v>
      </c>
      <c r="N492" s="82">
        <f>TRUNC(G492*M492,2)</f>
        <v>0</v>
      </c>
      <c r="O492" s="82">
        <f>TRUNC(H492*M492,2)</f>
        <v>0</v>
      </c>
      <c r="P492" s="82">
        <f>O492+'BM 010'!O485</f>
        <v>0</v>
      </c>
      <c r="Q492" s="80">
        <f>E492*L492</f>
        <v>5499.4949999999999</v>
      </c>
      <c r="R492" s="82">
        <f>TRUNC(E492*M492,2)</f>
        <v>6971.16</v>
      </c>
      <c r="S492" s="82">
        <f>TRUNC(F492*$M492,2)</f>
        <v>6971.16</v>
      </c>
      <c r="T492" s="82">
        <f>S492-P492</f>
        <v>6971.16</v>
      </c>
    </row>
    <row r="493" spans="2:20" s="34" customFormat="1" ht="46.2">
      <c r="B493" s="75" t="s">
        <v>947</v>
      </c>
      <c r="C493" s="76" t="s">
        <v>948</v>
      </c>
      <c r="D493" s="77" t="s">
        <v>82</v>
      </c>
      <c r="E493" s="93">
        <v>180.5</v>
      </c>
      <c r="F493" s="93">
        <v>180.5</v>
      </c>
      <c r="G493" s="79"/>
      <c r="H493" s="79"/>
      <c r="I493" s="79"/>
      <c r="J493" s="79">
        <f>SUM(H493:I493)+'BM 010'!I486</f>
        <v>0</v>
      </c>
      <c r="K493" s="79">
        <f t="shared" si="221"/>
        <v>180.5</v>
      </c>
      <c r="L493" s="84">
        <v>415.41</v>
      </c>
      <c r="M493" s="81">
        <v>526.57376169509996</v>
      </c>
      <c r="N493" s="82">
        <f>TRUNC(G493*M493,2)</f>
        <v>0</v>
      </c>
      <c r="O493" s="82">
        <f>TRUNC(H493*M493,2)</f>
        <v>0</v>
      </c>
      <c r="P493" s="82">
        <f>O493+'BM 010'!O486</f>
        <v>0</v>
      </c>
      <c r="Q493" s="80">
        <f>E493*L493</f>
        <v>74981.505000000005</v>
      </c>
      <c r="R493" s="82">
        <f>TRUNC(E493*M493,2)</f>
        <v>95046.56</v>
      </c>
      <c r="S493" s="82">
        <f>TRUNC(F493*$M493,2)</f>
        <v>95046.56</v>
      </c>
      <c r="T493" s="82">
        <f>S493-P493</f>
        <v>95046.56</v>
      </c>
    </row>
    <row r="494" spans="2:20" s="34" customFormat="1" ht="13.2">
      <c r="B494" s="66" t="s">
        <v>949</v>
      </c>
      <c r="C494" s="67" t="s">
        <v>950</v>
      </c>
      <c r="D494" s="68"/>
      <c r="E494" s="69"/>
      <c r="F494" s="69"/>
      <c r="G494" s="70"/>
      <c r="H494" s="70"/>
      <c r="I494" s="70"/>
      <c r="J494" s="70">
        <f>SUM(H494:I494)+'BM 010'!I487</f>
        <v>0</v>
      </c>
      <c r="K494" s="70">
        <f t="shared" si="221"/>
        <v>0</v>
      </c>
      <c r="L494" s="71"/>
      <c r="M494" s="71">
        <v>0</v>
      </c>
      <c r="N494" s="73">
        <f t="shared" ref="N494:T494" si="231">SUM(N495:N513)</f>
        <v>0</v>
      </c>
      <c r="O494" s="73">
        <f t="shared" si="231"/>
        <v>0</v>
      </c>
      <c r="P494" s="73">
        <f t="shared" si="231"/>
        <v>0</v>
      </c>
      <c r="Q494" s="73">
        <f t="shared" si="231"/>
        <v>41266.641499999998</v>
      </c>
      <c r="R494" s="73">
        <f t="shared" si="231"/>
        <v>52309.5</v>
      </c>
      <c r="S494" s="73">
        <f t="shared" si="231"/>
        <v>52309.5</v>
      </c>
      <c r="T494" s="73">
        <f t="shared" si="231"/>
        <v>52309.5</v>
      </c>
    </row>
    <row r="495" spans="2:20" s="34" customFormat="1" ht="34.799999999999997">
      <c r="B495" s="75" t="s">
        <v>951</v>
      </c>
      <c r="C495" s="76" t="s">
        <v>952</v>
      </c>
      <c r="D495" s="77" t="s">
        <v>131</v>
      </c>
      <c r="E495" s="78">
        <v>362</v>
      </c>
      <c r="F495" s="78">
        <v>362</v>
      </c>
      <c r="G495" s="79"/>
      <c r="H495" s="79"/>
      <c r="I495" s="79"/>
      <c r="J495" s="79">
        <f>SUM(H495:I495)+'BM 010'!I488</f>
        <v>0</v>
      </c>
      <c r="K495" s="79">
        <f t="shared" si="221"/>
        <v>362</v>
      </c>
      <c r="L495" s="84">
        <v>5.6295000000000002</v>
      </c>
      <c r="M495" s="81">
        <v>7.1359548192449997</v>
      </c>
      <c r="N495" s="82">
        <f t="shared" ref="N495:N513" si="232">TRUNC(G495*M495,2)</f>
        <v>0</v>
      </c>
      <c r="O495" s="82">
        <f t="shared" ref="O495:O513" si="233">TRUNC(H495*M495,2)</f>
        <v>0</v>
      </c>
      <c r="P495" s="82">
        <f>O495+'BM 010'!O488</f>
        <v>0</v>
      </c>
      <c r="Q495" s="80">
        <f t="shared" ref="Q495:Q513" si="234">E495*L495</f>
        <v>2037.8790000000001</v>
      </c>
      <c r="R495" s="82">
        <f t="shared" ref="R495:R513" si="235">TRUNC(E495*M495,2)</f>
        <v>2583.21</v>
      </c>
      <c r="S495" s="82">
        <f t="shared" ref="S495:S513" si="236">TRUNC(F495*$M495,2)</f>
        <v>2583.21</v>
      </c>
      <c r="T495" s="82">
        <f t="shared" ref="T495:T513" si="237">S495-P495</f>
        <v>2583.21</v>
      </c>
    </row>
    <row r="496" spans="2:20" s="34" customFormat="1" ht="34.799999999999997">
      <c r="B496" s="75" t="s">
        <v>953</v>
      </c>
      <c r="C496" s="76" t="s">
        <v>954</v>
      </c>
      <c r="D496" s="77" t="s">
        <v>131</v>
      </c>
      <c r="E496" s="78">
        <v>41</v>
      </c>
      <c r="F496" s="78">
        <v>41</v>
      </c>
      <c r="G496" s="79"/>
      <c r="H496" s="79"/>
      <c r="I496" s="79"/>
      <c r="J496" s="79">
        <f>SUM(H496:I496)+'BM 010'!I489</f>
        <v>0</v>
      </c>
      <c r="K496" s="79">
        <f t="shared" si="221"/>
        <v>41</v>
      </c>
      <c r="L496" s="84">
        <v>12.771000000000001</v>
      </c>
      <c r="M496" s="81">
        <v>16.188521004809999</v>
      </c>
      <c r="N496" s="82">
        <f t="shared" si="232"/>
        <v>0</v>
      </c>
      <c r="O496" s="82">
        <f t="shared" si="233"/>
        <v>0</v>
      </c>
      <c r="P496" s="82">
        <f>O496+'BM 010'!O489</f>
        <v>0</v>
      </c>
      <c r="Q496" s="80">
        <f t="shared" si="234"/>
        <v>523.61099999999999</v>
      </c>
      <c r="R496" s="82">
        <f t="shared" si="235"/>
        <v>663.72</v>
      </c>
      <c r="S496" s="82">
        <f t="shared" si="236"/>
        <v>663.72</v>
      </c>
      <c r="T496" s="82">
        <f t="shared" si="237"/>
        <v>663.72</v>
      </c>
    </row>
    <row r="497" spans="2:20" s="34" customFormat="1" ht="34.799999999999997">
      <c r="B497" s="75" t="s">
        <v>955</v>
      </c>
      <c r="C497" s="76" t="s">
        <v>956</v>
      </c>
      <c r="D497" s="77" t="s">
        <v>131</v>
      </c>
      <c r="E497" s="78">
        <v>4</v>
      </c>
      <c r="F497" s="78">
        <v>4</v>
      </c>
      <c r="G497" s="79"/>
      <c r="H497" s="79"/>
      <c r="I497" s="79"/>
      <c r="J497" s="79">
        <f>SUM(H497:I497)+'BM 010'!I490</f>
        <v>0</v>
      </c>
      <c r="K497" s="79">
        <f t="shared" si="221"/>
        <v>4</v>
      </c>
      <c r="L497" s="84">
        <v>20.358000000000001</v>
      </c>
      <c r="M497" s="81">
        <v>25.805803039379999</v>
      </c>
      <c r="N497" s="82">
        <f t="shared" si="232"/>
        <v>0</v>
      </c>
      <c r="O497" s="82">
        <f t="shared" si="233"/>
        <v>0</v>
      </c>
      <c r="P497" s="82">
        <f>O497+'BM 010'!O490</f>
        <v>0</v>
      </c>
      <c r="Q497" s="80">
        <f t="shared" si="234"/>
        <v>81.432000000000002</v>
      </c>
      <c r="R497" s="82">
        <f t="shared" si="235"/>
        <v>103.22</v>
      </c>
      <c r="S497" s="82">
        <f t="shared" si="236"/>
        <v>103.22</v>
      </c>
      <c r="T497" s="82">
        <f t="shared" si="237"/>
        <v>103.22</v>
      </c>
    </row>
    <row r="498" spans="2:20" s="34" customFormat="1" ht="34.799999999999997">
      <c r="B498" s="75" t="s">
        <v>957</v>
      </c>
      <c r="C498" s="76" t="s">
        <v>958</v>
      </c>
      <c r="D498" s="77" t="s">
        <v>131</v>
      </c>
      <c r="E498" s="78">
        <v>12</v>
      </c>
      <c r="F498" s="78">
        <v>12</v>
      </c>
      <c r="G498" s="79"/>
      <c r="H498" s="79"/>
      <c r="I498" s="79"/>
      <c r="J498" s="79">
        <f>SUM(H498:I498)+'BM 010'!I491</f>
        <v>0</v>
      </c>
      <c r="K498" s="79">
        <f t="shared" si="221"/>
        <v>12</v>
      </c>
      <c r="L498" s="84">
        <v>68.418000000000006</v>
      </c>
      <c r="M498" s="81">
        <v>86.726664325979996</v>
      </c>
      <c r="N498" s="82">
        <f t="shared" si="232"/>
        <v>0</v>
      </c>
      <c r="O498" s="82">
        <f t="shared" si="233"/>
        <v>0</v>
      </c>
      <c r="P498" s="82">
        <f>O498+'BM 010'!O491</f>
        <v>0</v>
      </c>
      <c r="Q498" s="80">
        <f t="shared" si="234"/>
        <v>821.01600000000008</v>
      </c>
      <c r="R498" s="82">
        <f t="shared" si="235"/>
        <v>1040.71</v>
      </c>
      <c r="S498" s="82">
        <f t="shared" si="236"/>
        <v>1040.71</v>
      </c>
      <c r="T498" s="82">
        <f t="shared" si="237"/>
        <v>1040.71</v>
      </c>
    </row>
    <row r="499" spans="2:20" s="34" customFormat="1" ht="46.2">
      <c r="B499" s="75" t="s">
        <v>959</v>
      </c>
      <c r="C499" s="76" t="s">
        <v>960</v>
      </c>
      <c r="D499" s="77" t="s">
        <v>131</v>
      </c>
      <c r="E499" s="78">
        <v>106</v>
      </c>
      <c r="F499" s="78">
        <v>106</v>
      </c>
      <c r="G499" s="79"/>
      <c r="H499" s="79"/>
      <c r="I499" s="79"/>
      <c r="J499" s="79">
        <f>SUM(H499:I499)+'BM 010'!I492</f>
        <v>0</v>
      </c>
      <c r="K499" s="79">
        <f t="shared" si="221"/>
        <v>106</v>
      </c>
      <c r="L499" s="84">
        <v>20.52</v>
      </c>
      <c r="M499" s="81">
        <v>26.011154257200001</v>
      </c>
      <c r="N499" s="82">
        <f t="shared" si="232"/>
        <v>0</v>
      </c>
      <c r="O499" s="82">
        <f t="shared" si="233"/>
        <v>0</v>
      </c>
      <c r="P499" s="82">
        <f>O499+'BM 010'!O492</f>
        <v>0</v>
      </c>
      <c r="Q499" s="80">
        <f t="shared" si="234"/>
        <v>2175.12</v>
      </c>
      <c r="R499" s="82">
        <f t="shared" si="235"/>
        <v>2757.18</v>
      </c>
      <c r="S499" s="82">
        <f t="shared" si="236"/>
        <v>2757.18</v>
      </c>
      <c r="T499" s="82">
        <f t="shared" si="237"/>
        <v>2757.18</v>
      </c>
    </row>
    <row r="500" spans="2:20" s="34" customFormat="1" ht="46.2">
      <c r="B500" s="75" t="s">
        <v>961</v>
      </c>
      <c r="C500" s="76" t="s">
        <v>962</v>
      </c>
      <c r="D500" s="77" t="s">
        <v>131</v>
      </c>
      <c r="E500" s="78">
        <v>14</v>
      </c>
      <c r="F500" s="78">
        <v>14</v>
      </c>
      <c r="G500" s="79"/>
      <c r="H500" s="79"/>
      <c r="I500" s="79"/>
      <c r="J500" s="79">
        <f>SUM(H500:I500)+'BM 010'!I493</f>
        <v>0</v>
      </c>
      <c r="K500" s="79">
        <f t="shared" si="221"/>
        <v>14</v>
      </c>
      <c r="L500" s="84">
        <v>11.4885</v>
      </c>
      <c r="M500" s="81">
        <v>14.562823863735</v>
      </c>
      <c r="N500" s="82">
        <f t="shared" si="232"/>
        <v>0</v>
      </c>
      <c r="O500" s="82">
        <f t="shared" si="233"/>
        <v>0</v>
      </c>
      <c r="P500" s="82">
        <f>O500+'BM 010'!O493</f>
        <v>0</v>
      </c>
      <c r="Q500" s="80">
        <f t="shared" si="234"/>
        <v>160.839</v>
      </c>
      <c r="R500" s="82">
        <f t="shared" si="235"/>
        <v>203.87</v>
      </c>
      <c r="S500" s="82">
        <f t="shared" si="236"/>
        <v>203.87</v>
      </c>
      <c r="T500" s="82">
        <f t="shared" si="237"/>
        <v>203.87</v>
      </c>
    </row>
    <row r="501" spans="2:20" s="34" customFormat="1" ht="46.2">
      <c r="B501" s="75" t="s">
        <v>963</v>
      </c>
      <c r="C501" s="76" t="s">
        <v>964</v>
      </c>
      <c r="D501" s="77" t="s">
        <v>131</v>
      </c>
      <c r="E501" s="78">
        <v>6</v>
      </c>
      <c r="F501" s="78">
        <v>6</v>
      </c>
      <c r="G501" s="79"/>
      <c r="H501" s="79"/>
      <c r="I501" s="79"/>
      <c r="J501" s="79">
        <f>SUM(H501:I501)+'BM 010'!I494</f>
        <v>0</v>
      </c>
      <c r="K501" s="79">
        <f t="shared" si="221"/>
        <v>6</v>
      </c>
      <c r="L501" s="84">
        <v>13.432499999999999</v>
      </c>
      <c r="M501" s="81">
        <v>17.027038477575001</v>
      </c>
      <c r="N501" s="82">
        <f t="shared" si="232"/>
        <v>0</v>
      </c>
      <c r="O501" s="82">
        <f t="shared" si="233"/>
        <v>0</v>
      </c>
      <c r="P501" s="82">
        <f>O501+'BM 010'!O494</f>
        <v>0</v>
      </c>
      <c r="Q501" s="80">
        <f t="shared" si="234"/>
        <v>80.594999999999999</v>
      </c>
      <c r="R501" s="82">
        <f t="shared" si="235"/>
        <v>102.16</v>
      </c>
      <c r="S501" s="82">
        <f t="shared" si="236"/>
        <v>102.16</v>
      </c>
      <c r="T501" s="82">
        <f t="shared" si="237"/>
        <v>102.16</v>
      </c>
    </row>
    <row r="502" spans="2:20" s="34" customFormat="1" ht="23.4">
      <c r="B502" s="75" t="s">
        <v>965</v>
      </c>
      <c r="C502" s="76" t="s">
        <v>966</v>
      </c>
      <c r="D502" s="77" t="s">
        <v>131</v>
      </c>
      <c r="E502" s="78">
        <v>3</v>
      </c>
      <c r="F502" s="78">
        <v>3</v>
      </c>
      <c r="G502" s="79"/>
      <c r="H502" s="79"/>
      <c r="I502" s="79"/>
      <c r="J502" s="79">
        <f>SUM(H502:I502)+'BM 010'!I495</f>
        <v>0</v>
      </c>
      <c r="K502" s="79">
        <f t="shared" si="221"/>
        <v>3</v>
      </c>
      <c r="L502" s="84">
        <v>42.214500000000001</v>
      </c>
      <c r="M502" s="81">
        <v>53.511104843595</v>
      </c>
      <c r="N502" s="82">
        <f t="shared" si="232"/>
        <v>0</v>
      </c>
      <c r="O502" s="82">
        <f t="shared" si="233"/>
        <v>0</v>
      </c>
      <c r="P502" s="82">
        <f>O502+'BM 010'!O495</f>
        <v>0</v>
      </c>
      <c r="Q502" s="80">
        <f t="shared" si="234"/>
        <v>126.6435</v>
      </c>
      <c r="R502" s="82">
        <f t="shared" si="235"/>
        <v>160.53</v>
      </c>
      <c r="S502" s="82">
        <f t="shared" si="236"/>
        <v>160.53</v>
      </c>
      <c r="T502" s="82">
        <f t="shared" si="237"/>
        <v>160.53</v>
      </c>
    </row>
    <row r="503" spans="2:20" s="34" customFormat="1" ht="34.799999999999997">
      <c r="B503" s="75" t="s">
        <v>967</v>
      </c>
      <c r="C503" s="76" t="s">
        <v>968</v>
      </c>
      <c r="D503" s="77" t="s">
        <v>131</v>
      </c>
      <c r="E503" s="78">
        <v>51</v>
      </c>
      <c r="F503" s="78">
        <v>51</v>
      </c>
      <c r="G503" s="79"/>
      <c r="H503" s="79"/>
      <c r="I503" s="79"/>
      <c r="J503" s="79">
        <f>SUM(H503:I503)+'BM 010'!I496</f>
        <v>0</v>
      </c>
      <c r="K503" s="79">
        <f t="shared" si="221"/>
        <v>51</v>
      </c>
      <c r="L503" s="84">
        <v>15.1335</v>
      </c>
      <c r="M503" s="81">
        <v>19.183226264685</v>
      </c>
      <c r="N503" s="82">
        <f t="shared" si="232"/>
        <v>0</v>
      </c>
      <c r="O503" s="82">
        <f t="shared" si="233"/>
        <v>0</v>
      </c>
      <c r="P503" s="82">
        <f>O503+'BM 010'!O496</f>
        <v>0</v>
      </c>
      <c r="Q503" s="80">
        <f t="shared" si="234"/>
        <v>771.80849999999998</v>
      </c>
      <c r="R503" s="82">
        <f t="shared" si="235"/>
        <v>978.34</v>
      </c>
      <c r="S503" s="82">
        <f t="shared" si="236"/>
        <v>978.34</v>
      </c>
      <c r="T503" s="82">
        <f t="shared" si="237"/>
        <v>978.34</v>
      </c>
    </row>
    <row r="504" spans="2:20" s="34" customFormat="1" ht="34.799999999999997">
      <c r="B504" s="75" t="s">
        <v>969</v>
      </c>
      <c r="C504" s="76" t="s">
        <v>970</v>
      </c>
      <c r="D504" s="77" t="s">
        <v>131</v>
      </c>
      <c r="E504" s="78">
        <v>8</v>
      </c>
      <c r="F504" s="78">
        <v>8</v>
      </c>
      <c r="G504" s="79"/>
      <c r="H504" s="79"/>
      <c r="I504" s="79"/>
      <c r="J504" s="79">
        <f>SUM(H504:I504)+'BM 010'!I497</f>
        <v>0</v>
      </c>
      <c r="K504" s="79">
        <f t="shared" si="221"/>
        <v>8</v>
      </c>
      <c r="L504" s="84">
        <v>23.638500000000001</v>
      </c>
      <c r="M504" s="81">
        <v>29.964165200235001</v>
      </c>
      <c r="N504" s="82">
        <f t="shared" si="232"/>
        <v>0</v>
      </c>
      <c r="O504" s="82">
        <f t="shared" si="233"/>
        <v>0</v>
      </c>
      <c r="P504" s="82">
        <f>O504+'BM 010'!O497</f>
        <v>0</v>
      </c>
      <c r="Q504" s="80">
        <f t="shared" si="234"/>
        <v>189.108</v>
      </c>
      <c r="R504" s="82">
        <f t="shared" si="235"/>
        <v>239.71</v>
      </c>
      <c r="S504" s="82">
        <f t="shared" si="236"/>
        <v>239.71</v>
      </c>
      <c r="T504" s="82">
        <f t="shared" si="237"/>
        <v>239.71</v>
      </c>
    </row>
    <row r="505" spans="2:20" s="34" customFormat="1" ht="34.799999999999997">
      <c r="B505" s="75" t="s">
        <v>971</v>
      </c>
      <c r="C505" s="76" t="s">
        <v>972</v>
      </c>
      <c r="D505" s="77" t="s">
        <v>131</v>
      </c>
      <c r="E505" s="78">
        <v>3</v>
      </c>
      <c r="F505" s="78">
        <v>3</v>
      </c>
      <c r="G505" s="79"/>
      <c r="H505" s="79"/>
      <c r="I505" s="79"/>
      <c r="J505" s="79">
        <f>SUM(H505:I505)+'BM 010'!I498</f>
        <v>0</v>
      </c>
      <c r="K505" s="79">
        <f t="shared" si="221"/>
        <v>3</v>
      </c>
      <c r="L505" s="84">
        <v>32.656500000000001</v>
      </c>
      <c r="M505" s="81">
        <v>41.395382992214998</v>
      </c>
      <c r="N505" s="82">
        <f t="shared" si="232"/>
        <v>0</v>
      </c>
      <c r="O505" s="82">
        <f t="shared" si="233"/>
        <v>0</v>
      </c>
      <c r="P505" s="82">
        <f>O505+'BM 010'!O498</f>
        <v>0</v>
      </c>
      <c r="Q505" s="80">
        <f t="shared" si="234"/>
        <v>97.969500000000011</v>
      </c>
      <c r="R505" s="82">
        <f t="shared" si="235"/>
        <v>124.18</v>
      </c>
      <c r="S505" s="82">
        <f t="shared" si="236"/>
        <v>124.18</v>
      </c>
      <c r="T505" s="82">
        <f t="shared" si="237"/>
        <v>124.18</v>
      </c>
    </row>
    <row r="506" spans="2:20" s="34" customFormat="1" ht="23.4">
      <c r="B506" s="75" t="s">
        <v>973</v>
      </c>
      <c r="C506" s="76" t="s">
        <v>974</v>
      </c>
      <c r="D506" s="77" t="s">
        <v>131</v>
      </c>
      <c r="E506" s="78">
        <v>14</v>
      </c>
      <c r="F506" s="78">
        <v>14</v>
      </c>
      <c r="G506" s="79"/>
      <c r="H506" s="79"/>
      <c r="I506" s="79"/>
      <c r="J506" s="79">
        <f>SUM(H506:I506)+'BM 010'!I499</f>
        <v>0</v>
      </c>
      <c r="K506" s="79">
        <f t="shared" si="221"/>
        <v>14</v>
      </c>
      <c r="L506" s="84">
        <v>24.003</v>
      </c>
      <c r="M506" s="81">
        <v>30.426205440330001</v>
      </c>
      <c r="N506" s="82">
        <f t="shared" si="232"/>
        <v>0</v>
      </c>
      <c r="O506" s="82">
        <f t="shared" si="233"/>
        <v>0</v>
      </c>
      <c r="P506" s="82">
        <f>O506+'BM 010'!O499</f>
        <v>0</v>
      </c>
      <c r="Q506" s="80">
        <f t="shared" si="234"/>
        <v>336.04200000000003</v>
      </c>
      <c r="R506" s="82">
        <f t="shared" si="235"/>
        <v>425.96</v>
      </c>
      <c r="S506" s="82">
        <f t="shared" si="236"/>
        <v>425.96</v>
      </c>
      <c r="T506" s="82">
        <f t="shared" si="237"/>
        <v>425.96</v>
      </c>
    </row>
    <row r="507" spans="2:20" s="34" customFormat="1" ht="23.4">
      <c r="B507" s="75" t="s">
        <v>975</v>
      </c>
      <c r="C507" s="76" t="s">
        <v>976</v>
      </c>
      <c r="D507" s="77" t="s">
        <v>131</v>
      </c>
      <c r="E507" s="78">
        <v>47</v>
      </c>
      <c r="F507" s="78">
        <v>47</v>
      </c>
      <c r="G507" s="79"/>
      <c r="H507" s="79"/>
      <c r="I507" s="79"/>
      <c r="J507" s="79">
        <f>SUM(H507:I507)+'BM 010'!I500</f>
        <v>0</v>
      </c>
      <c r="K507" s="79">
        <f t="shared" si="221"/>
        <v>47</v>
      </c>
      <c r="L507" s="84">
        <v>54.7425</v>
      </c>
      <c r="M507" s="81">
        <v>69.391599021675006</v>
      </c>
      <c r="N507" s="82">
        <f t="shared" si="232"/>
        <v>0</v>
      </c>
      <c r="O507" s="82">
        <f t="shared" si="233"/>
        <v>0</v>
      </c>
      <c r="P507" s="82">
        <f>O507+'BM 010'!O500</f>
        <v>0</v>
      </c>
      <c r="Q507" s="80">
        <f t="shared" si="234"/>
        <v>2572.8975</v>
      </c>
      <c r="R507" s="82">
        <f t="shared" si="235"/>
        <v>3261.4</v>
      </c>
      <c r="S507" s="82">
        <f t="shared" si="236"/>
        <v>3261.4</v>
      </c>
      <c r="T507" s="82">
        <f t="shared" si="237"/>
        <v>3261.4</v>
      </c>
    </row>
    <row r="508" spans="2:20" s="34" customFormat="1" ht="23.4">
      <c r="B508" s="75" t="s">
        <v>977</v>
      </c>
      <c r="C508" s="76" t="s">
        <v>978</v>
      </c>
      <c r="D508" s="77" t="s">
        <v>131</v>
      </c>
      <c r="E508" s="78">
        <v>3</v>
      </c>
      <c r="F508" s="78">
        <v>3</v>
      </c>
      <c r="G508" s="79"/>
      <c r="H508" s="79"/>
      <c r="I508" s="79"/>
      <c r="J508" s="79">
        <f>SUM(H508:I508)+'BM 010'!I501</f>
        <v>0</v>
      </c>
      <c r="K508" s="79">
        <f t="shared" si="221"/>
        <v>3</v>
      </c>
      <c r="L508" s="84">
        <v>79.393500000000003</v>
      </c>
      <c r="M508" s="81">
        <v>100.639209333285</v>
      </c>
      <c r="N508" s="82">
        <f t="shared" si="232"/>
        <v>0</v>
      </c>
      <c r="O508" s="82">
        <f t="shared" si="233"/>
        <v>0</v>
      </c>
      <c r="P508" s="82">
        <f>O508+'BM 010'!O501</f>
        <v>0</v>
      </c>
      <c r="Q508" s="80">
        <f t="shared" si="234"/>
        <v>238.18049999999999</v>
      </c>
      <c r="R508" s="82">
        <f t="shared" si="235"/>
        <v>301.91000000000003</v>
      </c>
      <c r="S508" s="82">
        <f t="shared" si="236"/>
        <v>301.91000000000003</v>
      </c>
      <c r="T508" s="82">
        <f t="shared" si="237"/>
        <v>301.91000000000003</v>
      </c>
    </row>
    <row r="509" spans="2:20" s="34" customFormat="1" ht="34.799999999999997">
      <c r="B509" s="75" t="s">
        <v>979</v>
      </c>
      <c r="C509" s="76" t="s">
        <v>980</v>
      </c>
      <c r="D509" s="77" t="s">
        <v>131</v>
      </c>
      <c r="E509" s="78">
        <v>3</v>
      </c>
      <c r="F509" s="78">
        <v>3</v>
      </c>
      <c r="G509" s="79"/>
      <c r="H509" s="79"/>
      <c r="I509" s="79"/>
      <c r="J509" s="79">
        <f>SUM(H509:I509)+'BM 010'!I502</f>
        <v>0</v>
      </c>
      <c r="K509" s="79">
        <f t="shared" si="221"/>
        <v>3</v>
      </c>
      <c r="L509" s="84">
        <v>634.5</v>
      </c>
      <c r="M509" s="81">
        <v>804.29226979500004</v>
      </c>
      <c r="N509" s="82">
        <f t="shared" si="232"/>
        <v>0</v>
      </c>
      <c r="O509" s="82">
        <f t="shared" si="233"/>
        <v>0</v>
      </c>
      <c r="P509" s="82">
        <f>O509+'BM 010'!O502</f>
        <v>0</v>
      </c>
      <c r="Q509" s="80">
        <f t="shared" si="234"/>
        <v>1903.5</v>
      </c>
      <c r="R509" s="82">
        <f t="shared" si="235"/>
        <v>2412.87</v>
      </c>
      <c r="S509" s="82">
        <f t="shared" si="236"/>
        <v>2412.87</v>
      </c>
      <c r="T509" s="82">
        <f t="shared" si="237"/>
        <v>2412.87</v>
      </c>
    </row>
    <row r="510" spans="2:20" s="34" customFormat="1" ht="23.4">
      <c r="B510" s="75" t="s">
        <v>981</v>
      </c>
      <c r="C510" s="76" t="s">
        <v>982</v>
      </c>
      <c r="D510" s="77" t="s">
        <v>131</v>
      </c>
      <c r="E510" s="78">
        <v>6</v>
      </c>
      <c r="F510" s="78">
        <v>6</v>
      </c>
      <c r="G510" s="79"/>
      <c r="H510" s="79"/>
      <c r="I510" s="79"/>
      <c r="J510" s="79">
        <f>SUM(H510:I510)+'BM 010'!I503</f>
        <v>0</v>
      </c>
      <c r="K510" s="79">
        <f t="shared" si="221"/>
        <v>6</v>
      </c>
      <c r="L510" s="84">
        <v>985</v>
      </c>
      <c r="M510" s="81">
        <v>1248.5861083499999</v>
      </c>
      <c r="N510" s="82">
        <f t="shared" si="232"/>
        <v>0</v>
      </c>
      <c r="O510" s="82">
        <f t="shared" si="233"/>
        <v>0</v>
      </c>
      <c r="P510" s="82">
        <f>O510+'BM 010'!O503</f>
        <v>0</v>
      </c>
      <c r="Q510" s="80">
        <f t="shared" si="234"/>
        <v>5910</v>
      </c>
      <c r="R510" s="82">
        <f t="shared" si="235"/>
        <v>7491.51</v>
      </c>
      <c r="S510" s="82">
        <f t="shared" si="236"/>
        <v>7491.51</v>
      </c>
      <c r="T510" s="82">
        <f t="shared" si="237"/>
        <v>7491.51</v>
      </c>
    </row>
    <row r="511" spans="2:20" s="34" customFormat="1" ht="23.4">
      <c r="B511" s="75" t="s">
        <v>983</v>
      </c>
      <c r="C511" s="76" t="s">
        <v>984</v>
      </c>
      <c r="D511" s="77" t="s">
        <v>131</v>
      </c>
      <c r="E511" s="78">
        <v>6</v>
      </c>
      <c r="F511" s="78">
        <v>6</v>
      </c>
      <c r="G511" s="79"/>
      <c r="H511" s="79"/>
      <c r="I511" s="79"/>
      <c r="J511" s="79">
        <f>SUM(H511:I511)+'BM 010'!I504</f>
        <v>0</v>
      </c>
      <c r="K511" s="79">
        <f t="shared" si="221"/>
        <v>6</v>
      </c>
      <c r="L511" s="84">
        <v>895</v>
      </c>
      <c r="M511" s="81">
        <v>1134.5020984499999</v>
      </c>
      <c r="N511" s="82">
        <f t="shared" si="232"/>
        <v>0</v>
      </c>
      <c r="O511" s="82">
        <f t="shared" si="233"/>
        <v>0</v>
      </c>
      <c r="P511" s="82">
        <f>O511+'BM 010'!O504</f>
        <v>0</v>
      </c>
      <c r="Q511" s="80">
        <f t="shared" si="234"/>
        <v>5370</v>
      </c>
      <c r="R511" s="82">
        <f t="shared" si="235"/>
        <v>6807.01</v>
      </c>
      <c r="S511" s="82">
        <f t="shared" si="236"/>
        <v>6807.01</v>
      </c>
      <c r="T511" s="82">
        <f t="shared" si="237"/>
        <v>6807.01</v>
      </c>
    </row>
    <row r="512" spans="2:20" s="34" customFormat="1" ht="23.4">
      <c r="B512" s="75" t="s">
        <v>985</v>
      </c>
      <c r="C512" s="76" t="s">
        <v>986</v>
      </c>
      <c r="D512" s="77" t="s">
        <v>131</v>
      </c>
      <c r="E512" s="78">
        <v>6</v>
      </c>
      <c r="F512" s="78">
        <v>6</v>
      </c>
      <c r="G512" s="79"/>
      <c r="H512" s="79"/>
      <c r="I512" s="79"/>
      <c r="J512" s="79">
        <f>SUM(H512:I512)+'BM 010'!I505</f>
        <v>0</v>
      </c>
      <c r="K512" s="79">
        <f t="shared" si="221"/>
        <v>6</v>
      </c>
      <c r="L512" s="84">
        <v>895</v>
      </c>
      <c r="M512" s="81">
        <v>1134.5020984499999</v>
      </c>
      <c r="N512" s="82">
        <f t="shared" si="232"/>
        <v>0</v>
      </c>
      <c r="O512" s="82">
        <f t="shared" si="233"/>
        <v>0</v>
      </c>
      <c r="P512" s="82">
        <f>O512+'BM 010'!O505</f>
        <v>0</v>
      </c>
      <c r="Q512" s="80">
        <f t="shared" si="234"/>
        <v>5370</v>
      </c>
      <c r="R512" s="82">
        <f t="shared" si="235"/>
        <v>6807.01</v>
      </c>
      <c r="S512" s="82">
        <f t="shared" si="236"/>
        <v>6807.01</v>
      </c>
      <c r="T512" s="82">
        <f t="shared" si="237"/>
        <v>6807.01</v>
      </c>
    </row>
    <row r="513" spans="2:20" s="34" customFormat="1" ht="34.799999999999997">
      <c r="B513" s="75" t="s">
        <v>987</v>
      </c>
      <c r="C513" s="76" t="s">
        <v>988</v>
      </c>
      <c r="D513" s="77" t="s">
        <v>131</v>
      </c>
      <c r="E513" s="78">
        <v>20</v>
      </c>
      <c r="F513" s="78">
        <v>20</v>
      </c>
      <c r="G513" s="79"/>
      <c r="H513" s="79"/>
      <c r="I513" s="79"/>
      <c r="J513" s="79">
        <f>SUM(H513:I513)+'BM 010'!I506</f>
        <v>0</v>
      </c>
      <c r="K513" s="79">
        <f t="shared" si="221"/>
        <v>20</v>
      </c>
      <c r="L513" s="84">
        <v>625</v>
      </c>
      <c r="M513" s="81">
        <v>792.25006874999997</v>
      </c>
      <c r="N513" s="82">
        <f t="shared" si="232"/>
        <v>0</v>
      </c>
      <c r="O513" s="82">
        <f t="shared" si="233"/>
        <v>0</v>
      </c>
      <c r="P513" s="82">
        <f>O513+'BM 010'!O506</f>
        <v>0</v>
      </c>
      <c r="Q513" s="80">
        <f t="shared" si="234"/>
        <v>12500</v>
      </c>
      <c r="R513" s="82">
        <f t="shared" si="235"/>
        <v>15845</v>
      </c>
      <c r="S513" s="82">
        <f t="shared" si="236"/>
        <v>15845</v>
      </c>
      <c r="T513" s="82">
        <f t="shared" si="237"/>
        <v>15845</v>
      </c>
    </row>
    <row r="514" spans="2:20" s="34" customFormat="1" ht="13.2">
      <c r="B514" s="60" t="s">
        <v>989</v>
      </c>
      <c r="C514" s="61" t="s">
        <v>990</v>
      </c>
      <c r="D514" s="60"/>
      <c r="E514" s="62"/>
      <c r="F514" s="284"/>
      <c r="G514" s="63"/>
      <c r="H514" s="63"/>
      <c r="I514" s="63"/>
      <c r="J514" s="63">
        <f>SUM(H514:I514)+'BM 010'!I507</f>
        <v>0</v>
      </c>
      <c r="K514" s="63">
        <f t="shared" si="221"/>
        <v>0</v>
      </c>
      <c r="L514" s="63"/>
      <c r="M514" s="63">
        <v>0</v>
      </c>
      <c r="N514" s="63">
        <f t="shared" ref="N514:T514" si="238">SUM(N515,N527,N559,N561)</f>
        <v>0</v>
      </c>
      <c r="O514" s="63">
        <f t="shared" si="238"/>
        <v>0</v>
      </c>
      <c r="P514" s="63">
        <f t="shared" si="238"/>
        <v>1262.51</v>
      </c>
      <c r="Q514" s="63">
        <f t="shared" si="238"/>
        <v>248226.55</v>
      </c>
      <c r="R514" s="63">
        <f t="shared" si="238"/>
        <v>314651.83</v>
      </c>
      <c r="S514" s="63">
        <f t="shared" si="238"/>
        <v>314651.83</v>
      </c>
      <c r="T514" s="63">
        <f t="shared" si="238"/>
        <v>313389.32</v>
      </c>
    </row>
    <row r="515" spans="2:20" s="34" customFormat="1" ht="13.2">
      <c r="B515" s="66" t="s">
        <v>991</v>
      </c>
      <c r="C515" s="67" t="s">
        <v>992</v>
      </c>
      <c r="D515" s="68"/>
      <c r="E515" s="69"/>
      <c r="F515" s="69"/>
      <c r="G515" s="70"/>
      <c r="H515" s="70"/>
      <c r="I515" s="70"/>
      <c r="J515" s="70">
        <f>SUM(H515:I515)+'BM 010'!I508</f>
        <v>0</v>
      </c>
      <c r="K515" s="70">
        <f t="shared" si="221"/>
        <v>0</v>
      </c>
      <c r="L515" s="71"/>
      <c r="M515" s="71">
        <v>0</v>
      </c>
      <c r="N515" s="73">
        <f t="shared" ref="N515:T515" si="239">SUM(N516:N526)</f>
        <v>0</v>
      </c>
      <c r="O515" s="73">
        <f t="shared" si="239"/>
        <v>0</v>
      </c>
      <c r="P515" s="73">
        <f t="shared" si="239"/>
        <v>836.61</v>
      </c>
      <c r="Q515" s="73">
        <f t="shared" si="239"/>
        <v>96780</v>
      </c>
      <c r="R515" s="73">
        <f t="shared" si="239"/>
        <v>122678.3</v>
      </c>
      <c r="S515" s="73">
        <f t="shared" si="239"/>
        <v>122678.3</v>
      </c>
      <c r="T515" s="73">
        <f t="shared" si="239"/>
        <v>121841.69</v>
      </c>
    </row>
    <row r="516" spans="2:20" s="34" customFormat="1" ht="23.4">
      <c r="B516" s="75" t="s">
        <v>993</v>
      </c>
      <c r="C516" s="76" t="s">
        <v>994</v>
      </c>
      <c r="D516" s="77" t="s">
        <v>124</v>
      </c>
      <c r="E516" s="93">
        <v>300</v>
      </c>
      <c r="F516" s="93">
        <v>300</v>
      </c>
      <c r="G516" s="79"/>
      <c r="H516" s="79"/>
      <c r="I516" s="79"/>
      <c r="J516" s="79">
        <f>SUM(H516:I516)+'BM 010'!I509</f>
        <v>0</v>
      </c>
      <c r="K516" s="79">
        <f t="shared" si="221"/>
        <v>300</v>
      </c>
      <c r="L516" s="84">
        <v>18</v>
      </c>
      <c r="M516" s="81">
        <v>22.816801980000001</v>
      </c>
      <c r="N516" s="82">
        <f t="shared" ref="N516:N526" si="240">TRUNC(G516*M516,2)</f>
        <v>0</v>
      </c>
      <c r="O516" s="82">
        <f t="shared" ref="O516:O526" si="241">TRUNC(H516*M516,2)</f>
        <v>0</v>
      </c>
      <c r="P516" s="82">
        <f>O516+'BM 010'!O509</f>
        <v>0</v>
      </c>
      <c r="Q516" s="80">
        <f t="shared" ref="Q516:Q526" si="242">E516*L516</f>
        <v>5400</v>
      </c>
      <c r="R516" s="82">
        <f t="shared" ref="R516:R526" si="243">TRUNC(E516*M516,2)</f>
        <v>6845.04</v>
      </c>
      <c r="S516" s="82">
        <f t="shared" ref="S516:S526" si="244">TRUNC(F516*$M516,2)</f>
        <v>6845.04</v>
      </c>
      <c r="T516" s="82">
        <f t="shared" ref="T516:T526" si="245">S516-P516</f>
        <v>6845.04</v>
      </c>
    </row>
    <row r="517" spans="2:20" s="34" customFormat="1" ht="34.799999999999997">
      <c r="B517" s="75" t="s">
        <v>995</v>
      </c>
      <c r="C517" s="76" t="s">
        <v>996</v>
      </c>
      <c r="D517" s="77" t="s">
        <v>390</v>
      </c>
      <c r="E517" s="93">
        <v>60</v>
      </c>
      <c r="F517" s="93">
        <v>60</v>
      </c>
      <c r="G517" s="79"/>
      <c r="H517" s="79"/>
      <c r="I517" s="79"/>
      <c r="J517" s="79">
        <f>SUM(H517:I517)+'BM 010'!I510</f>
        <v>0</v>
      </c>
      <c r="K517" s="79">
        <f t="shared" si="221"/>
        <v>60</v>
      </c>
      <c r="L517" s="84">
        <v>39</v>
      </c>
      <c r="M517" s="81">
        <v>49.436404289999999</v>
      </c>
      <c r="N517" s="82">
        <f t="shared" si="240"/>
        <v>0</v>
      </c>
      <c r="O517" s="82">
        <f t="shared" si="241"/>
        <v>0</v>
      </c>
      <c r="P517" s="82">
        <f>O517+'BM 010'!O510</f>
        <v>0</v>
      </c>
      <c r="Q517" s="80">
        <f t="shared" si="242"/>
        <v>2340</v>
      </c>
      <c r="R517" s="82">
        <f t="shared" si="243"/>
        <v>2966.18</v>
      </c>
      <c r="S517" s="82">
        <f t="shared" si="244"/>
        <v>2966.18</v>
      </c>
      <c r="T517" s="82">
        <f t="shared" si="245"/>
        <v>2966.18</v>
      </c>
    </row>
    <row r="518" spans="2:20" s="34" customFormat="1" ht="13.2">
      <c r="B518" s="75" t="s">
        <v>997</v>
      </c>
      <c r="C518" s="76" t="s">
        <v>998</v>
      </c>
      <c r="D518" s="77" t="s">
        <v>390</v>
      </c>
      <c r="E518" s="93">
        <v>60</v>
      </c>
      <c r="F518" s="93">
        <v>60</v>
      </c>
      <c r="G518" s="79"/>
      <c r="H518" s="79"/>
      <c r="I518" s="79"/>
      <c r="J518" s="79">
        <f>SUM(H518:I518)+'BM 010'!I511</f>
        <v>0</v>
      </c>
      <c r="K518" s="79">
        <f t="shared" si="221"/>
        <v>60</v>
      </c>
      <c r="L518" s="84">
        <v>18</v>
      </c>
      <c r="M518" s="81">
        <v>22.816801980000001</v>
      </c>
      <c r="N518" s="82">
        <f t="shared" si="240"/>
        <v>0</v>
      </c>
      <c r="O518" s="82">
        <f t="shared" si="241"/>
        <v>0</v>
      </c>
      <c r="P518" s="82">
        <f>O518+'BM 010'!O511</f>
        <v>0</v>
      </c>
      <c r="Q518" s="80">
        <f t="shared" si="242"/>
        <v>1080</v>
      </c>
      <c r="R518" s="82">
        <f t="shared" si="243"/>
        <v>1369</v>
      </c>
      <c r="S518" s="82">
        <f t="shared" si="244"/>
        <v>1369</v>
      </c>
      <c r="T518" s="82">
        <f t="shared" si="245"/>
        <v>1369</v>
      </c>
    </row>
    <row r="519" spans="2:20" s="34" customFormat="1" ht="46.2">
      <c r="B519" s="75" t="s">
        <v>999</v>
      </c>
      <c r="C519" s="76" t="s">
        <v>1000</v>
      </c>
      <c r="D519" s="77" t="s">
        <v>124</v>
      </c>
      <c r="E519" s="93">
        <v>210</v>
      </c>
      <c r="F519" s="93">
        <v>210</v>
      </c>
      <c r="G519" s="79"/>
      <c r="H519" s="79"/>
      <c r="I519" s="79"/>
      <c r="J519" s="79">
        <f>SUM(H519:I519)+'BM 010'!I512</f>
        <v>0</v>
      </c>
      <c r="K519" s="79">
        <f t="shared" si="221"/>
        <v>210</v>
      </c>
      <c r="L519" s="84">
        <v>40</v>
      </c>
      <c r="M519" s="81">
        <v>50.704004400000002</v>
      </c>
      <c r="N519" s="82">
        <f t="shared" si="240"/>
        <v>0</v>
      </c>
      <c r="O519" s="82">
        <f t="shared" si="241"/>
        <v>0</v>
      </c>
      <c r="P519" s="82">
        <f>O519+'BM 010'!O512</f>
        <v>0</v>
      </c>
      <c r="Q519" s="80">
        <f t="shared" si="242"/>
        <v>8400</v>
      </c>
      <c r="R519" s="82">
        <f t="shared" si="243"/>
        <v>10647.84</v>
      </c>
      <c r="S519" s="82">
        <f t="shared" si="244"/>
        <v>10647.84</v>
      </c>
      <c r="T519" s="82">
        <f t="shared" si="245"/>
        <v>10647.84</v>
      </c>
    </row>
    <row r="520" spans="2:20" s="34" customFormat="1" ht="46.2">
      <c r="B520" s="75" t="s">
        <v>1001</v>
      </c>
      <c r="C520" s="76" t="s">
        <v>1002</v>
      </c>
      <c r="D520" s="77" t="s">
        <v>124</v>
      </c>
      <c r="E520" s="93">
        <v>120</v>
      </c>
      <c r="F520" s="93">
        <v>120</v>
      </c>
      <c r="G520" s="79"/>
      <c r="H520" s="79"/>
      <c r="I520" s="79"/>
      <c r="J520" s="79">
        <f>SUM(H520:I520)+'BM 010'!I513</f>
        <v>0</v>
      </c>
      <c r="K520" s="79">
        <f t="shared" si="221"/>
        <v>120</v>
      </c>
      <c r="L520" s="84">
        <v>75</v>
      </c>
      <c r="M520" s="81">
        <v>95.070008250000001</v>
      </c>
      <c r="N520" s="82">
        <f t="shared" si="240"/>
        <v>0</v>
      </c>
      <c r="O520" s="82">
        <f t="shared" si="241"/>
        <v>0</v>
      </c>
      <c r="P520" s="82">
        <f>O520+'BM 010'!O513</f>
        <v>0</v>
      </c>
      <c r="Q520" s="80">
        <f t="shared" si="242"/>
        <v>9000</v>
      </c>
      <c r="R520" s="82">
        <f t="shared" si="243"/>
        <v>11408.4</v>
      </c>
      <c r="S520" s="82">
        <f t="shared" si="244"/>
        <v>11408.4</v>
      </c>
      <c r="T520" s="82">
        <f t="shared" si="245"/>
        <v>11408.4</v>
      </c>
    </row>
    <row r="521" spans="2:20" s="34" customFormat="1" ht="46.2">
      <c r="B521" s="75" t="s">
        <v>1003</v>
      </c>
      <c r="C521" s="76" t="s">
        <v>1004</v>
      </c>
      <c r="D521" s="77" t="s">
        <v>124</v>
      </c>
      <c r="E521" s="93">
        <v>36</v>
      </c>
      <c r="F521" s="93">
        <v>36</v>
      </c>
      <c r="G521" s="79"/>
      <c r="H521" s="79"/>
      <c r="I521" s="79"/>
      <c r="J521" s="79">
        <f>SUM(H521:I521)+'BM 010'!I514</f>
        <v>0</v>
      </c>
      <c r="K521" s="79">
        <f t="shared" si="221"/>
        <v>36</v>
      </c>
      <c r="L521" s="84">
        <v>130</v>
      </c>
      <c r="M521" s="81">
        <v>164.78801429999999</v>
      </c>
      <c r="N521" s="82">
        <f t="shared" si="240"/>
        <v>0</v>
      </c>
      <c r="O521" s="82">
        <f t="shared" si="241"/>
        <v>0</v>
      </c>
      <c r="P521" s="82">
        <f>O521+'BM 010'!O514</f>
        <v>0</v>
      </c>
      <c r="Q521" s="80">
        <f t="shared" si="242"/>
        <v>4680</v>
      </c>
      <c r="R521" s="82">
        <f t="shared" si="243"/>
        <v>5932.36</v>
      </c>
      <c r="S521" s="82">
        <f t="shared" si="244"/>
        <v>5932.36</v>
      </c>
      <c r="T521" s="82">
        <f t="shared" si="245"/>
        <v>5932.36</v>
      </c>
    </row>
    <row r="522" spans="2:20" s="34" customFormat="1" ht="46.2">
      <c r="B522" s="75" t="s">
        <v>1005</v>
      </c>
      <c r="C522" s="76" t="s">
        <v>1006</v>
      </c>
      <c r="D522" s="77" t="s">
        <v>124</v>
      </c>
      <c r="E522" s="93">
        <v>36</v>
      </c>
      <c r="F522" s="93">
        <v>36</v>
      </c>
      <c r="G522" s="79"/>
      <c r="H522" s="79"/>
      <c r="I522" s="79"/>
      <c r="J522" s="79">
        <f>SUM(H522:I522)+'BM 010'!I515</f>
        <v>0</v>
      </c>
      <c r="K522" s="79">
        <f t="shared" si="221"/>
        <v>36</v>
      </c>
      <c r="L522" s="84">
        <v>180</v>
      </c>
      <c r="M522" s="81">
        <v>228.1680198</v>
      </c>
      <c r="N522" s="82">
        <f t="shared" si="240"/>
        <v>0</v>
      </c>
      <c r="O522" s="82">
        <f t="shared" si="241"/>
        <v>0</v>
      </c>
      <c r="P522" s="82">
        <f>O522+'BM 010'!O515</f>
        <v>0</v>
      </c>
      <c r="Q522" s="80">
        <f t="shared" si="242"/>
        <v>6480</v>
      </c>
      <c r="R522" s="82">
        <f t="shared" si="243"/>
        <v>8214.0400000000009</v>
      </c>
      <c r="S522" s="82">
        <f t="shared" si="244"/>
        <v>8214.0400000000009</v>
      </c>
      <c r="T522" s="82">
        <f t="shared" si="245"/>
        <v>8214.0400000000009</v>
      </c>
    </row>
    <row r="523" spans="2:20" s="34" customFormat="1" ht="46.2">
      <c r="B523" s="75" t="s">
        <v>1007</v>
      </c>
      <c r="C523" s="76" t="s">
        <v>1008</v>
      </c>
      <c r="D523" s="77" t="s">
        <v>124</v>
      </c>
      <c r="E523" s="93">
        <v>120</v>
      </c>
      <c r="F523" s="93">
        <v>120</v>
      </c>
      <c r="G523" s="79"/>
      <c r="H523" s="79"/>
      <c r="I523" s="79"/>
      <c r="J523" s="79">
        <f>SUM(H523:I523)+'BM 010'!I516</f>
        <v>6</v>
      </c>
      <c r="K523" s="79">
        <f t="shared" si="221"/>
        <v>114</v>
      </c>
      <c r="L523" s="84">
        <v>110</v>
      </c>
      <c r="M523" s="81">
        <v>139.4360121</v>
      </c>
      <c r="N523" s="82">
        <f t="shared" si="240"/>
        <v>0</v>
      </c>
      <c r="O523" s="82">
        <f t="shared" si="241"/>
        <v>0</v>
      </c>
      <c r="P523" s="82">
        <f>O523+'BM 010'!O516</f>
        <v>836.61</v>
      </c>
      <c r="Q523" s="80">
        <f t="shared" si="242"/>
        <v>13200</v>
      </c>
      <c r="R523" s="82">
        <f t="shared" si="243"/>
        <v>16732.32</v>
      </c>
      <c r="S523" s="82">
        <f t="shared" si="244"/>
        <v>16732.32</v>
      </c>
      <c r="T523" s="82">
        <f t="shared" si="245"/>
        <v>15895.71</v>
      </c>
    </row>
    <row r="524" spans="2:20" s="34" customFormat="1" ht="46.2">
      <c r="B524" s="75" t="s">
        <v>1009</v>
      </c>
      <c r="C524" s="76" t="s">
        <v>1010</v>
      </c>
      <c r="D524" s="77" t="s">
        <v>124</v>
      </c>
      <c r="E524" s="93">
        <v>120</v>
      </c>
      <c r="F524" s="93">
        <v>120</v>
      </c>
      <c r="G524" s="79"/>
      <c r="H524" s="79"/>
      <c r="I524" s="79"/>
      <c r="J524" s="79">
        <f>SUM(H524:I524)+'BM 010'!I517</f>
        <v>0</v>
      </c>
      <c r="K524" s="79">
        <f t="shared" si="221"/>
        <v>120</v>
      </c>
      <c r="L524" s="84">
        <v>50</v>
      </c>
      <c r="M524" s="81">
        <v>63.380005500000003</v>
      </c>
      <c r="N524" s="82">
        <f t="shared" si="240"/>
        <v>0</v>
      </c>
      <c r="O524" s="82">
        <f t="shared" si="241"/>
        <v>0</v>
      </c>
      <c r="P524" s="82">
        <f>O524+'BM 010'!O517</f>
        <v>0</v>
      </c>
      <c r="Q524" s="80">
        <f t="shared" si="242"/>
        <v>6000</v>
      </c>
      <c r="R524" s="82">
        <f t="shared" si="243"/>
        <v>7605.6</v>
      </c>
      <c r="S524" s="82">
        <f t="shared" si="244"/>
        <v>7605.6</v>
      </c>
      <c r="T524" s="82">
        <f t="shared" si="245"/>
        <v>7605.6</v>
      </c>
    </row>
    <row r="525" spans="2:20" s="34" customFormat="1" ht="46.2">
      <c r="B525" s="75" t="s">
        <v>1011</v>
      </c>
      <c r="C525" s="76" t="s">
        <v>1012</v>
      </c>
      <c r="D525" s="77" t="s">
        <v>124</v>
      </c>
      <c r="E525" s="93">
        <v>120</v>
      </c>
      <c r="F525" s="93">
        <v>120</v>
      </c>
      <c r="G525" s="79"/>
      <c r="H525" s="79"/>
      <c r="I525" s="79"/>
      <c r="J525" s="79">
        <f>SUM(H525:I525)+'BM 010'!I518</f>
        <v>0</v>
      </c>
      <c r="K525" s="79">
        <f t="shared" si="221"/>
        <v>120</v>
      </c>
      <c r="L525" s="84">
        <v>60</v>
      </c>
      <c r="M525" s="81">
        <v>76.056006600000003</v>
      </c>
      <c r="N525" s="82">
        <f t="shared" si="240"/>
        <v>0</v>
      </c>
      <c r="O525" s="82">
        <f t="shared" si="241"/>
        <v>0</v>
      </c>
      <c r="P525" s="82">
        <f>O525+'BM 010'!O518</f>
        <v>0</v>
      </c>
      <c r="Q525" s="80">
        <f t="shared" si="242"/>
        <v>7200</v>
      </c>
      <c r="R525" s="82">
        <f t="shared" si="243"/>
        <v>9126.7199999999993</v>
      </c>
      <c r="S525" s="82">
        <f t="shared" si="244"/>
        <v>9126.7199999999993</v>
      </c>
      <c r="T525" s="82">
        <f t="shared" si="245"/>
        <v>9126.7199999999993</v>
      </c>
    </row>
    <row r="526" spans="2:20" s="34" customFormat="1" ht="57.6">
      <c r="B526" s="75" t="s">
        <v>1013</v>
      </c>
      <c r="C526" s="76" t="s">
        <v>1014</v>
      </c>
      <c r="D526" s="77" t="s">
        <v>124</v>
      </c>
      <c r="E526" s="78">
        <v>300</v>
      </c>
      <c r="F526" s="78">
        <v>300</v>
      </c>
      <c r="G526" s="79"/>
      <c r="H526" s="79"/>
      <c r="I526" s="79"/>
      <c r="J526" s="79">
        <f>SUM(H526:I526)+'BM 010'!I519</f>
        <v>0</v>
      </c>
      <c r="K526" s="79">
        <f t="shared" si="221"/>
        <v>300</v>
      </c>
      <c r="L526" s="84">
        <v>110</v>
      </c>
      <c r="M526" s="81">
        <v>139.4360121</v>
      </c>
      <c r="N526" s="82">
        <f t="shared" si="240"/>
        <v>0</v>
      </c>
      <c r="O526" s="82">
        <f t="shared" si="241"/>
        <v>0</v>
      </c>
      <c r="P526" s="82">
        <f>O526+'BM 010'!O519</f>
        <v>0</v>
      </c>
      <c r="Q526" s="80">
        <f t="shared" si="242"/>
        <v>33000</v>
      </c>
      <c r="R526" s="82">
        <f t="shared" si="243"/>
        <v>41830.800000000003</v>
      </c>
      <c r="S526" s="82">
        <f t="shared" si="244"/>
        <v>41830.800000000003</v>
      </c>
      <c r="T526" s="82">
        <f t="shared" si="245"/>
        <v>41830.800000000003</v>
      </c>
    </row>
    <row r="527" spans="2:20" s="34" customFormat="1" ht="24">
      <c r="B527" s="66" t="s">
        <v>1015</v>
      </c>
      <c r="C527" s="67" t="s">
        <v>1016</v>
      </c>
      <c r="D527" s="68"/>
      <c r="E527" s="69"/>
      <c r="F527" s="69"/>
      <c r="G527" s="70"/>
      <c r="H527" s="70"/>
      <c r="I527" s="70"/>
      <c r="J527" s="70">
        <f>SUM(H527:I527)+'BM 010'!I520</f>
        <v>0</v>
      </c>
      <c r="K527" s="70">
        <f t="shared" si="221"/>
        <v>0</v>
      </c>
      <c r="L527" s="71"/>
      <c r="M527" s="71">
        <v>0</v>
      </c>
      <c r="N527" s="73">
        <f t="shared" ref="N527:T527" si="246">SUM(N528:N558)</f>
        <v>0</v>
      </c>
      <c r="O527" s="73">
        <f t="shared" si="246"/>
        <v>0</v>
      </c>
      <c r="P527" s="73">
        <f t="shared" si="246"/>
        <v>425.9</v>
      </c>
      <c r="Q527" s="73">
        <f t="shared" si="246"/>
        <v>88676.55</v>
      </c>
      <c r="R527" s="73">
        <f t="shared" si="246"/>
        <v>112406.29000000001</v>
      </c>
      <c r="S527" s="73">
        <f t="shared" si="246"/>
        <v>112406.29000000001</v>
      </c>
      <c r="T527" s="73">
        <f t="shared" si="246"/>
        <v>111980.38999999998</v>
      </c>
    </row>
    <row r="528" spans="2:20" s="34" customFormat="1" ht="46.2">
      <c r="B528" s="75" t="s">
        <v>1017</v>
      </c>
      <c r="C528" s="76" t="s">
        <v>1018</v>
      </c>
      <c r="D528" s="77" t="s">
        <v>39</v>
      </c>
      <c r="E528" s="78">
        <v>10</v>
      </c>
      <c r="F528" s="78">
        <v>10</v>
      </c>
      <c r="G528" s="79"/>
      <c r="H528" s="79"/>
      <c r="I528" s="79"/>
      <c r="J528" s="79">
        <f>SUM(H528:I528)+'BM 010'!I521</f>
        <v>1</v>
      </c>
      <c r="K528" s="79">
        <f t="shared" si="221"/>
        <v>9</v>
      </c>
      <c r="L528" s="84">
        <v>198</v>
      </c>
      <c r="M528" s="81">
        <v>250.98482178</v>
      </c>
      <c r="N528" s="82">
        <f t="shared" ref="N528:N558" si="247">TRUNC(G528*M528,2)</f>
        <v>0</v>
      </c>
      <c r="O528" s="82">
        <f t="shared" ref="O528:O558" si="248">TRUNC(H528*M528,2)</f>
        <v>0</v>
      </c>
      <c r="P528" s="82">
        <f>O528+'BM 010'!O521</f>
        <v>250.98</v>
      </c>
      <c r="Q528" s="80">
        <f t="shared" ref="Q528:Q558" si="249">E528*L528</f>
        <v>1980</v>
      </c>
      <c r="R528" s="82">
        <f t="shared" ref="R528:R558" si="250">TRUNC(E528*M528,2)</f>
        <v>2509.84</v>
      </c>
      <c r="S528" s="82">
        <f t="shared" ref="S528:S558" si="251">TRUNC(F528*$M528,2)</f>
        <v>2509.84</v>
      </c>
      <c r="T528" s="82">
        <f t="shared" ref="T528:T558" si="252">S528-P528</f>
        <v>2258.86</v>
      </c>
    </row>
    <row r="529" spans="2:20" s="34" customFormat="1" ht="46.2">
      <c r="B529" s="75" t="s">
        <v>1019</v>
      </c>
      <c r="C529" s="76" t="s">
        <v>1020</v>
      </c>
      <c r="D529" s="77" t="s">
        <v>39</v>
      </c>
      <c r="E529" s="78">
        <v>173</v>
      </c>
      <c r="F529" s="78">
        <v>173</v>
      </c>
      <c r="G529" s="79"/>
      <c r="H529" s="79"/>
      <c r="I529" s="79"/>
      <c r="J529" s="79">
        <f>SUM(H529:I529)+'BM 010'!I522</f>
        <v>0</v>
      </c>
      <c r="K529" s="79">
        <f t="shared" si="221"/>
        <v>173</v>
      </c>
      <c r="L529" s="84">
        <v>18</v>
      </c>
      <c r="M529" s="81">
        <v>22.816801980000001</v>
      </c>
      <c r="N529" s="82">
        <f t="shared" si="247"/>
        <v>0</v>
      </c>
      <c r="O529" s="82">
        <f t="shared" si="248"/>
        <v>0</v>
      </c>
      <c r="P529" s="82">
        <f>O529+'BM 010'!O522</f>
        <v>0</v>
      </c>
      <c r="Q529" s="80">
        <f t="shared" si="249"/>
        <v>3114</v>
      </c>
      <c r="R529" s="82">
        <f t="shared" si="250"/>
        <v>3947.3</v>
      </c>
      <c r="S529" s="82">
        <f t="shared" si="251"/>
        <v>3947.3</v>
      </c>
      <c r="T529" s="82">
        <f t="shared" si="252"/>
        <v>3947.3</v>
      </c>
    </row>
    <row r="530" spans="2:20" s="34" customFormat="1" ht="46.2">
      <c r="B530" s="75" t="s">
        <v>1021</v>
      </c>
      <c r="C530" s="76" t="s">
        <v>1022</v>
      </c>
      <c r="D530" s="77" t="s">
        <v>39</v>
      </c>
      <c r="E530" s="78">
        <v>7</v>
      </c>
      <c r="F530" s="78">
        <v>7</v>
      </c>
      <c r="G530" s="79"/>
      <c r="H530" s="79"/>
      <c r="I530" s="79"/>
      <c r="J530" s="79">
        <f>SUM(H530:I530)+'BM 010'!I523</f>
        <v>0</v>
      </c>
      <c r="K530" s="79">
        <f t="shared" si="221"/>
        <v>7</v>
      </c>
      <c r="L530" s="84">
        <v>69</v>
      </c>
      <c r="M530" s="81">
        <v>87.464407589999993</v>
      </c>
      <c r="N530" s="82">
        <f t="shared" si="247"/>
        <v>0</v>
      </c>
      <c r="O530" s="82">
        <f t="shared" si="248"/>
        <v>0</v>
      </c>
      <c r="P530" s="82">
        <f>O530+'BM 010'!O523</f>
        <v>0</v>
      </c>
      <c r="Q530" s="80">
        <f t="shared" si="249"/>
        <v>483</v>
      </c>
      <c r="R530" s="82">
        <f t="shared" si="250"/>
        <v>612.25</v>
      </c>
      <c r="S530" s="82">
        <f t="shared" si="251"/>
        <v>612.25</v>
      </c>
      <c r="T530" s="82">
        <f t="shared" si="252"/>
        <v>612.25</v>
      </c>
    </row>
    <row r="531" spans="2:20" s="34" customFormat="1" ht="46.2">
      <c r="B531" s="75" t="s">
        <v>1023</v>
      </c>
      <c r="C531" s="76" t="s">
        <v>1024</v>
      </c>
      <c r="D531" s="77" t="s">
        <v>39</v>
      </c>
      <c r="E531" s="78">
        <v>30</v>
      </c>
      <c r="F531" s="78">
        <v>30</v>
      </c>
      <c r="G531" s="79"/>
      <c r="H531" s="79"/>
      <c r="I531" s="79"/>
      <c r="J531" s="79">
        <f>SUM(H531:I531)+'BM 010'!I524</f>
        <v>0</v>
      </c>
      <c r="K531" s="79">
        <f t="shared" si="221"/>
        <v>30</v>
      </c>
      <c r="L531" s="84">
        <v>94.65</v>
      </c>
      <c r="M531" s="81">
        <v>119.9783504115</v>
      </c>
      <c r="N531" s="82">
        <f t="shared" si="247"/>
        <v>0</v>
      </c>
      <c r="O531" s="82">
        <f t="shared" si="248"/>
        <v>0</v>
      </c>
      <c r="P531" s="82">
        <f>O531+'BM 010'!O524</f>
        <v>0</v>
      </c>
      <c r="Q531" s="80">
        <f t="shared" si="249"/>
        <v>2839.5</v>
      </c>
      <c r="R531" s="82">
        <f t="shared" si="250"/>
        <v>3599.35</v>
      </c>
      <c r="S531" s="82">
        <f t="shared" si="251"/>
        <v>3599.35</v>
      </c>
      <c r="T531" s="82">
        <f t="shared" si="252"/>
        <v>3599.35</v>
      </c>
    </row>
    <row r="532" spans="2:20" s="34" customFormat="1" ht="46.2">
      <c r="B532" s="75" t="s">
        <v>1025</v>
      </c>
      <c r="C532" s="76" t="s">
        <v>1026</v>
      </c>
      <c r="D532" s="77" t="s">
        <v>39</v>
      </c>
      <c r="E532" s="78">
        <v>40</v>
      </c>
      <c r="F532" s="78">
        <v>40</v>
      </c>
      <c r="G532" s="79"/>
      <c r="H532" s="79"/>
      <c r="I532" s="79"/>
      <c r="J532" s="79">
        <f>SUM(H532:I532)+'BM 010'!I525</f>
        <v>0</v>
      </c>
      <c r="K532" s="79">
        <f t="shared" si="221"/>
        <v>40</v>
      </c>
      <c r="L532" s="84">
        <v>60.11</v>
      </c>
      <c r="M532" s="81">
        <v>76.195442612099995</v>
      </c>
      <c r="N532" s="82">
        <f t="shared" si="247"/>
        <v>0</v>
      </c>
      <c r="O532" s="82">
        <f t="shared" si="248"/>
        <v>0</v>
      </c>
      <c r="P532" s="82">
        <f>O532+'BM 010'!O525</f>
        <v>0</v>
      </c>
      <c r="Q532" s="80">
        <f t="shared" si="249"/>
        <v>2404.4</v>
      </c>
      <c r="R532" s="82">
        <f t="shared" si="250"/>
        <v>3047.81</v>
      </c>
      <c r="S532" s="82">
        <f t="shared" si="251"/>
        <v>3047.81</v>
      </c>
      <c r="T532" s="82">
        <f t="shared" si="252"/>
        <v>3047.81</v>
      </c>
    </row>
    <row r="533" spans="2:20" s="34" customFormat="1" ht="46.2">
      <c r="B533" s="75" t="s">
        <v>1027</v>
      </c>
      <c r="C533" s="76" t="s">
        <v>1028</v>
      </c>
      <c r="D533" s="77" t="s">
        <v>39</v>
      </c>
      <c r="E533" s="78">
        <v>50</v>
      </c>
      <c r="F533" s="78">
        <v>50</v>
      </c>
      <c r="G533" s="79"/>
      <c r="H533" s="79"/>
      <c r="I533" s="79"/>
      <c r="J533" s="79">
        <f>SUM(H533:I533)+'BM 010'!I526</f>
        <v>0</v>
      </c>
      <c r="K533" s="79">
        <f t="shared" si="221"/>
        <v>50</v>
      </c>
      <c r="L533" s="84">
        <v>36.9</v>
      </c>
      <c r="M533" s="81">
        <v>46.774444058999997</v>
      </c>
      <c r="N533" s="82">
        <f t="shared" si="247"/>
        <v>0</v>
      </c>
      <c r="O533" s="82">
        <f t="shared" si="248"/>
        <v>0</v>
      </c>
      <c r="P533" s="82">
        <f>O533+'BM 010'!O526</f>
        <v>0</v>
      </c>
      <c r="Q533" s="80">
        <f t="shared" si="249"/>
        <v>1845</v>
      </c>
      <c r="R533" s="82">
        <f t="shared" si="250"/>
        <v>2338.7199999999998</v>
      </c>
      <c r="S533" s="82">
        <f t="shared" si="251"/>
        <v>2338.7199999999998</v>
      </c>
      <c r="T533" s="82">
        <f t="shared" si="252"/>
        <v>2338.7199999999998</v>
      </c>
    </row>
    <row r="534" spans="2:20" s="34" customFormat="1" ht="46.2">
      <c r="B534" s="75" t="s">
        <v>1029</v>
      </c>
      <c r="C534" s="76" t="s">
        <v>1030</v>
      </c>
      <c r="D534" s="77" t="s">
        <v>39</v>
      </c>
      <c r="E534" s="78">
        <v>50</v>
      </c>
      <c r="F534" s="78">
        <v>50</v>
      </c>
      <c r="G534" s="79"/>
      <c r="H534" s="79"/>
      <c r="I534" s="79"/>
      <c r="J534" s="79">
        <f>SUM(H534:I534)+'BM 010'!I527</f>
        <v>0</v>
      </c>
      <c r="K534" s="79">
        <f t="shared" si="221"/>
        <v>50</v>
      </c>
      <c r="L534" s="84">
        <v>42.56</v>
      </c>
      <c r="M534" s="81">
        <v>53.949060681600002</v>
      </c>
      <c r="N534" s="82">
        <f t="shared" si="247"/>
        <v>0</v>
      </c>
      <c r="O534" s="82">
        <f t="shared" si="248"/>
        <v>0</v>
      </c>
      <c r="P534" s="82">
        <f>O534+'BM 010'!O527</f>
        <v>0</v>
      </c>
      <c r="Q534" s="80">
        <f t="shared" si="249"/>
        <v>2128</v>
      </c>
      <c r="R534" s="82">
        <f t="shared" si="250"/>
        <v>2697.45</v>
      </c>
      <c r="S534" s="82">
        <f t="shared" si="251"/>
        <v>2697.45</v>
      </c>
      <c r="T534" s="82">
        <f t="shared" si="252"/>
        <v>2697.45</v>
      </c>
    </row>
    <row r="535" spans="2:20" s="34" customFormat="1" ht="34.799999999999997">
      <c r="B535" s="75" t="s">
        <v>1031</v>
      </c>
      <c r="C535" s="76" t="s">
        <v>1032</v>
      </c>
      <c r="D535" s="77" t="s">
        <v>39</v>
      </c>
      <c r="E535" s="78">
        <v>20</v>
      </c>
      <c r="F535" s="78">
        <v>20</v>
      </c>
      <c r="G535" s="79"/>
      <c r="H535" s="79"/>
      <c r="I535" s="79"/>
      <c r="J535" s="79">
        <f>SUM(H535:I535)+'BM 010'!I528</f>
        <v>0</v>
      </c>
      <c r="K535" s="79">
        <f t="shared" si="221"/>
        <v>20</v>
      </c>
      <c r="L535" s="84">
        <v>78.33</v>
      </c>
      <c r="M535" s="81">
        <v>99.291116616300002</v>
      </c>
      <c r="N535" s="82">
        <f t="shared" si="247"/>
        <v>0</v>
      </c>
      <c r="O535" s="82">
        <f t="shared" si="248"/>
        <v>0</v>
      </c>
      <c r="P535" s="82">
        <f>O535+'BM 010'!O528</f>
        <v>0</v>
      </c>
      <c r="Q535" s="80">
        <f t="shared" si="249"/>
        <v>1566.6</v>
      </c>
      <c r="R535" s="82">
        <f t="shared" si="250"/>
        <v>1985.82</v>
      </c>
      <c r="S535" s="82">
        <f t="shared" si="251"/>
        <v>1985.82</v>
      </c>
      <c r="T535" s="82">
        <f t="shared" si="252"/>
        <v>1985.82</v>
      </c>
    </row>
    <row r="536" spans="2:20" s="34" customFormat="1" ht="34.799999999999997">
      <c r="B536" s="75" t="s">
        <v>1033</v>
      </c>
      <c r="C536" s="76" t="s">
        <v>1034</v>
      </c>
      <c r="D536" s="77" t="s">
        <v>39</v>
      </c>
      <c r="E536" s="78">
        <v>10</v>
      </c>
      <c r="F536" s="78">
        <v>10</v>
      </c>
      <c r="G536" s="79"/>
      <c r="H536" s="79"/>
      <c r="I536" s="79"/>
      <c r="J536" s="79">
        <f>SUM(H536:I536)+'BM 010'!I529</f>
        <v>0</v>
      </c>
      <c r="K536" s="79">
        <f t="shared" si="221"/>
        <v>10</v>
      </c>
      <c r="L536" s="84">
        <v>95</v>
      </c>
      <c r="M536" s="81">
        <v>120.42201045</v>
      </c>
      <c r="N536" s="82">
        <f t="shared" si="247"/>
        <v>0</v>
      </c>
      <c r="O536" s="82">
        <f t="shared" si="248"/>
        <v>0</v>
      </c>
      <c r="P536" s="82">
        <f>O536+'BM 010'!O529</f>
        <v>0</v>
      </c>
      <c r="Q536" s="80">
        <f t="shared" si="249"/>
        <v>950</v>
      </c>
      <c r="R536" s="82">
        <f t="shared" si="250"/>
        <v>1204.22</v>
      </c>
      <c r="S536" s="82">
        <f t="shared" si="251"/>
        <v>1204.22</v>
      </c>
      <c r="T536" s="82">
        <f t="shared" si="252"/>
        <v>1204.22</v>
      </c>
    </row>
    <row r="537" spans="2:20" s="34" customFormat="1" ht="34.799999999999997">
      <c r="B537" s="75" t="s">
        <v>1035</v>
      </c>
      <c r="C537" s="76" t="s">
        <v>1036</v>
      </c>
      <c r="D537" s="77" t="s">
        <v>39</v>
      </c>
      <c r="E537" s="78">
        <v>10</v>
      </c>
      <c r="F537" s="78">
        <v>10</v>
      </c>
      <c r="G537" s="79"/>
      <c r="H537" s="79"/>
      <c r="I537" s="79"/>
      <c r="J537" s="79">
        <f>SUM(H537:I537)+'BM 010'!I530</f>
        <v>0</v>
      </c>
      <c r="K537" s="79">
        <f t="shared" si="221"/>
        <v>10</v>
      </c>
      <c r="L537" s="84">
        <v>128</v>
      </c>
      <c r="M537" s="81">
        <v>162.25281408000001</v>
      </c>
      <c r="N537" s="82">
        <f t="shared" si="247"/>
        <v>0</v>
      </c>
      <c r="O537" s="82">
        <f t="shared" si="248"/>
        <v>0</v>
      </c>
      <c r="P537" s="82">
        <f>O537+'BM 010'!O530</f>
        <v>0</v>
      </c>
      <c r="Q537" s="80">
        <f t="shared" si="249"/>
        <v>1280</v>
      </c>
      <c r="R537" s="82">
        <f t="shared" si="250"/>
        <v>1622.52</v>
      </c>
      <c r="S537" s="82">
        <f t="shared" si="251"/>
        <v>1622.52</v>
      </c>
      <c r="T537" s="82">
        <f t="shared" si="252"/>
        <v>1622.52</v>
      </c>
    </row>
    <row r="538" spans="2:20" s="34" customFormat="1" ht="23.4">
      <c r="B538" s="75" t="s">
        <v>1037</v>
      </c>
      <c r="C538" s="76" t="s">
        <v>1038</v>
      </c>
      <c r="D538" s="77" t="s">
        <v>39</v>
      </c>
      <c r="E538" s="78">
        <v>173</v>
      </c>
      <c r="F538" s="78">
        <v>173</v>
      </c>
      <c r="G538" s="79"/>
      <c r="H538" s="79"/>
      <c r="I538" s="79"/>
      <c r="J538" s="79">
        <f>SUM(H538:I538)+'BM 010'!I531</f>
        <v>0</v>
      </c>
      <c r="K538" s="79">
        <f t="shared" si="221"/>
        <v>173</v>
      </c>
      <c r="L538" s="84">
        <v>60</v>
      </c>
      <c r="M538" s="81">
        <v>76.056006600000003</v>
      </c>
      <c r="N538" s="82">
        <f t="shared" si="247"/>
        <v>0</v>
      </c>
      <c r="O538" s="82">
        <f t="shared" si="248"/>
        <v>0</v>
      </c>
      <c r="P538" s="82">
        <f>O538+'BM 010'!O531</f>
        <v>0</v>
      </c>
      <c r="Q538" s="80">
        <f t="shared" si="249"/>
        <v>10380</v>
      </c>
      <c r="R538" s="82">
        <f t="shared" si="250"/>
        <v>13157.68</v>
      </c>
      <c r="S538" s="82">
        <f t="shared" si="251"/>
        <v>13157.68</v>
      </c>
      <c r="T538" s="82">
        <f t="shared" si="252"/>
        <v>13157.68</v>
      </c>
    </row>
    <row r="539" spans="2:20" s="34" customFormat="1" ht="46.2">
      <c r="B539" s="75" t="s">
        <v>1039</v>
      </c>
      <c r="C539" s="76" t="s">
        <v>1040</v>
      </c>
      <c r="D539" s="77" t="s">
        <v>39</v>
      </c>
      <c r="E539" s="78">
        <v>20</v>
      </c>
      <c r="F539" s="78">
        <v>20</v>
      </c>
      <c r="G539" s="79"/>
      <c r="H539" s="79"/>
      <c r="I539" s="79"/>
      <c r="J539" s="79">
        <f>SUM(H539:I539)+'BM 010'!I532</f>
        <v>0</v>
      </c>
      <c r="K539" s="79">
        <f t="shared" si="221"/>
        <v>20</v>
      </c>
      <c r="L539" s="84">
        <v>85</v>
      </c>
      <c r="M539" s="81">
        <v>107.74600934999999</v>
      </c>
      <c r="N539" s="82">
        <f t="shared" si="247"/>
        <v>0</v>
      </c>
      <c r="O539" s="82">
        <f t="shared" si="248"/>
        <v>0</v>
      </c>
      <c r="P539" s="82">
        <f>O539+'BM 010'!O532</f>
        <v>0</v>
      </c>
      <c r="Q539" s="80">
        <f t="shared" si="249"/>
        <v>1700</v>
      </c>
      <c r="R539" s="82">
        <f t="shared" si="250"/>
        <v>2154.92</v>
      </c>
      <c r="S539" s="82">
        <f t="shared" si="251"/>
        <v>2154.92</v>
      </c>
      <c r="T539" s="82">
        <f t="shared" si="252"/>
        <v>2154.92</v>
      </c>
    </row>
    <row r="540" spans="2:20" s="34" customFormat="1" ht="46.2">
      <c r="B540" s="75" t="s">
        <v>1041</v>
      </c>
      <c r="C540" s="76" t="s">
        <v>1042</v>
      </c>
      <c r="D540" s="77" t="s">
        <v>39</v>
      </c>
      <c r="E540" s="78">
        <v>6</v>
      </c>
      <c r="F540" s="78">
        <v>6</v>
      </c>
      <c r="G540" s="79"/>
      <c r="H540" s="79"/>
      <c r="I540" s="79"/>
      <c r="J540" s="79">
        <f>SUM(H540:I540)+'BM 010'!I533</f>
        <v>0</v>
      </c>
      <c r="K540" s="79">
        <f t="shared" si="221"/>
        <v>6</v>
      </c>
      <c r="L540" s="84">
        <v>285</v>
      </c>
      <c r="M540" s="81">
        <v>361.26603134999999</v>
      </c>
      <c r="N540" s="82">
        <f t="shared" si="247"/>
        <v>0</v>
      </c>
      <c r="O540" s="82">
        <f t="shared" si="248"/>
        <v>0</v>
      </c>
      <c r="P540" s="82">
        <f>O540+'BM 010'!O533</f>
        <v>0</v>
      </c>
      <c r="Q540" s="80">
        <f t="shared" si="249"/>
        <v>1710</v>
      </c>
      <c r="R540" s="82">
        <f t="shared" si="250"/>
        <v>2167.59</v>
      </c>
      <c r="S540" s="82">
        <f t="shared" si="251"/>
        <v>2167.59</v>
      </c>
      <c r="T540" s="82">
        <f t="shared" si="252"/>
        <v>2167.59</v>
      </c>
    </row>
    <row r="541" spans="2:20" s="34" customFormat="1" ht="34.799999999999997">
      <c r="B541" s="75" t="s">
        <v>1043</v>
      </c>
      <c r="C541" s="76" t="s">
        <v>1044</v>
      </c>
      <c r="D541" s="77" t="s">
        <v>39</v>
      </c>
      <c r="E541" s="78">
        <v>20</v>
      </c>
      <c r="F541" s="78">
        <v>20</v>
      </c>
      <c r="G541" s="79"/>
      <c r="H541" s="79"/>
      <c r="I541" s="79"/>
      <c r="J541" s="79">
        <f>SUM(H541:I541)+'BM 010'!I534</f>
        <v>0</v>
      </c>
      <c r="K541" s="79">
        <f t="shared" si="221"/>
        <v>20</v>
      </c>
      <c r="L541" s="84">
        <v>38</v>
      </c>
      <c r="M541" s="81">
        <v>48.168804180000002</v>
      </c>
      <c r="N541" s="82">
        <f t="shared" si="247"/>
        <v>0</v>
      </c>
      <c r="O541" s="82">
        <f t="shared" si="248"/>
        <v>0</v>
      </c>
      <c r="P541" s="82">
        <f>O541+'BM 010'!O534</f>
        <v>0</v>
      </c>
      <c r="Q541" s="80">
        <f t="shared" si="249"/>
        <v>760</v>
      </c>
      <c r="R541" s="82">
        <f t="shared" si="250"/>
        <v>963.37</v>
      </c>
      <c r="S541" s="82">
        <f t="shared" si="251"/>
        <v>963.37</v>
      </c>
      <c r="T541" s="82">
        <f t="shared" si="252"/>
        <v>963.37</v>
      </c>
    </row>
    <row r="542" spans="2:20" s="34" customFormat="1" ht="34.799999999999997">
      <c r="B542" s="75" t="s">
        <v>1045</v>
      </c>
      <c r="C542" s="76" t="s">
        <v>1046</v>
      </c>
      <c r="D542" s="77" t="s">
        <v>39</v>
      </c>
      <c r="E542" s="78">
        <v>10</v>
      </c>
      <c r="F542" s="78">
        <v>10</v>
      </c>
      <c r="G542" s="79"/>
      <c r="H542" s="79"/>
      <c r="I542" s="79"/>
      <c r="J542" s="79">
        <f>SUM(H542:I542)+'BM 010'!I535</f>
        <v>0</v>
      </c>
      <c r="K542" s="79">
        <f t="shared" ref="K542:K598" si="253">F542-J542</f>
        <v>10</v>
      </c>
      <c r="L542" s="84">
        <v>118</v>
      </c>
      <c r="M542" s="81">
        <v>149.57681298</v>
      </c>
      <c r="N542" s="82">
        <f t="shared" si="247"/>
        <v>0</v>
      </c>
      <c r="O542" s="82">
        <f t="shared" si="248"/>
        <v>0</v>
      </c>
      <c r="P542" s="82">
        <f>O542+'BM 010'!O535</f>
        <v>0</v>
      </c>
      <c r="Q542" s="80">
        <f t="shared" si="249"/>
        <v>1180</v>
      </c>
      <c r="R542" s="82">
        <f t="shared" si="250"/>
        <v>1495.76</v>
      </c>
      <c r="S542" s="82">
        <f t="shared" si="251"/>
        <v>1495.76</v>
      </c>
      <c r="T542" s="82">
        <f t="shared" si="252"/>
        <v>1495.76</v>
      </c>
    </row>
    <row r="543" spans="2:20" s="34" customFormat="1" ht="23.4">
      <c r="B543" s="75" t="s">
        <v>1047</v>
      </c>
      <c r="C543" s="76" t="s">
        <v>1048</v>
      </c>
      <c r="D543" s="77" t="s">
        <v>39</v>
      </c>
      <c r="E543" s="78">
        <v>10</v>
      </c>
      <c r="F543" s="78">
        <v>10</v>
      </c>
      <c r="G543" s="79"/>
      <c r="H543" s="79"/>
      <c r="I543" s="79"/>
      <c r="J543" s="79">
        <f>SUM(H543:I543)+'BM 010'!I536</f>
        <v>0</v>
      </c>
      <c r="K543" s="79">
        <f t="shared" si="253"/>
        <v>10</v>
      </c>
      <c r="L543" s="84">
        <v>88.39</v>
      </c>
      <c r="M543" s="81">
        <v>112.04317372289999</v>
      </c>
      <c r="N543" s="82">
        <f t="shared" si="247"/>
        <v>0</v>
      </c>
      <c r="O543" s="82">
        <f t="shared" si="248"/>
        <v>0</v>
      </c>
      <c r="P543" s="82">
        <f>O543+'BM 010'!O536</f>
        <v>0</v>
      </c>
      <c r="Q543" s="80">
        <f t="shared" si="249"/>
        <v>883.9</v>
      </c>
      <c r="R543" s="82">
        <f t="shared" si="250"/>
        <v>1120.43</v>
      </c>
      <c r="S543" s="82">
        <f t="shared" si="251"/>
        <v>1120.43</v>
      </c>
      <c r="T543" s="82">
        <f t="shared" si="252"/>
        <v>1120.43</v>
      </c>
    </row>
    <row r="544" spans="2:20" s="34" customFormat="1" ht="23.4">
      <c r="B544" s="75" t="s">
        <v>1049</v>
      </c>
      <c r="C544" s="76" t="s">
        <v>1050</v>
      </c>
      <c r="D544" s="77" t="s">
        <v>39</v>
      </c>
      <c r="E544" s="78">
        <v>20</v>
      </c>
      <c r="F544" s="78">
        <v>20</v>
      </c>
      <c r="G544" s="79"/>
      <c r="H544" s="79"/>
      <c r="I544" s="79"/>
      <c r="J544" s="79">
        <f>SUM(H544:I544)+'BM 010'!I537</f>
        <v>0</v>
      </c>
      <c r="K544" s="79">
        <f t="shared" si="253"/>
        <v>20</v>
      </c>
      <c r="L544" s="84">
        <v>45.21</v>
      </c>
      <c r="M544" s="81">
        <v>57.3082009731</v>
      </c>
      <c r="N544" s="82">
        <f t="shared" si="247"/>
        <v>0</v>
      </c>
      <c r="O544" s="82">
        <f t="shared" si="248"/>
        <v>0</v>
      </c>
      <c r="P544" s="82">
        <f>O544+'BM 010'!O537</f>
        <v>0</v>
      </c>
      <c r="Q544" s="80">
        <f t="shared" si="249"/>
        <v>904.2</v>
      </c>
      <c r="R544" s="82">
        <f t="shared" si="250"/>
        <v>1146.1600000000001</v>
      </c>
      <c r="S544" s="82">
        <f t="shared" si="251"/>
        <v>1146.1600000000001</v>
      </c>
      <c r="T544" s="82">
        <f t="shared" si="252"/>
        <v>1146.1600000000001</v>
      </c>
    </row>
    <row r="545" spans="2:20" s="34" customFormat="1" ht="23.4">
      <c r="B545" s="75" t="s">
        <v>1051</v>
      </c>
      <c r="C545" s="76" t="s">
        <v>1052</v>
      </c>
      <c r="D545" s="77" t="s">
        <v>39</v>
      </c>
      <c r="E545" s="78">
        <v>10</v>
      </c>
      <c r="F545" s="78">
        <v>10</v>
      </c>
      <c r="G545" s="79"/>
      <c r="H545" s="79"/>
      <c r="I545" s="79"/>
      <c r="J545" s="79">
        <f>SUM(H545:I545)+'BM 010'!I538</f>
        <v>0</v>
      </c>
      <c r="K545" s="79">
        <f t="shared" si="253"/>
        <v>10</v>
      </c>
      <c r="L545" s="84">
        <v>65.290000000000006</v>
      </c>
      <c r="M545" s="81">
        <v>82.761611181899994</v>
      </c>
      <c r="N545" s="82">
        <f t="shared" si="247"/>
        <v>0</v>
      </c>
      <c r="O545" s="82">
        <f t="shared" si="248"/>
        <v>0</v>
      </c>
      <c r="P545" s="82">
        <f>O545+'BM 010'!O538</f>
        <v>0</v>
      </c>
      <c r="Q545" s="80">
        <f t="shared" si="249"/>
        <v>652.90000000000009</v>
      </c>
      <c r="R545" s="82">
        <f t="shared" si="250"/>
        <v>827.61</v>
      </c>
      <c r="S545" s="82">
        <f t="shared" si="251"/>
        <v>827.61</v>
      </c>
      <c r="T545" s="82">
        <f t="shared" si="252"/>
        <v>827.61</v>
      </c>
    </row>
    <row r="546" spans="2:20" s="34" customFormat="1" ht="46.2">
      <c r="B546" s="75" t="s">
        <v>1053</v>
      </c>
      <c r="C546" s="76" t="s">
        <v>1054</v>
      </c>
      <c r="D546" s="77" t="s">
        <v>39</v>
      </c>
      <c r="E546" s="78">
        <v>30</v>
      </c>
      <c r="F546" s="78">
        <v>30</v>
      </c>
      <c r="G546" s="79"/>
      <c r="H546" s="79"/>
      <c r="I546" s="79"/>
      <c r="J546" s="79">
        <f>SUM(H546:I546)+'BM 010'!I539</f>
        <v>0</v>
      </c>
      <c r="K546" s="79">
        <f t="shared" si="253"/>
        <v>30</v>
      </c>
      <c r="L546" s="84">
        <v>80</v>
      </c>
      <c r="M546" s="81">
        <v>101.4080088</v>
      </c>
      <c r="N546" s="82">
        <f t="shared" si="247"/>
        <v>0</v>
      </c>
      <c r="O546" s="82">
        <f t="shared" si="248"/>
        <v>0</v>
      </c>
      <c r="P546" s="82">
        <f>O546+'BM 010'!O539</f>
        <v>0</v>
      </c>
      <c r="Q546" s="80">
        <f t="shared" si="249"/>
        <v>2400</v>
      </c>
      <c r="R546" s="82">
        <f t="shared" si="250"/>
        <v>3042.24</v>
      </c>
      <c r="S546" s="82">
        <f t="shared" si="251"/>
        <v>3042.24</v>
      </c>
      <c r="T546" s="82">
        <f t="shared" si="252"/>
        <v>3042.24</v>
      </c>
    </row>
    <row r="547" spans="2:20" s="34" customFormat="1" ht="34.799999999999997">
      <c r="B547" s="75" t="s">
        <v>1055</v>
      </c>
      <c r="C547" s="76" t="s">
        <v>1056</v>
      </c>
      <c r="D547" s="77" t="s">
        <v>39</v>
      </c>
      <c r="E547" s="78">
        <v>50</v>
      </c>
      <c r="F547" s="78">
        <v>50</v>
      </c>
      <c r="G547" s="79"/>
      <c r="H547" s="79"/>
      <c r="I547" s="79"/>
      <c r="J547" s="79">
        <f>SUM(H547:I547)+'BM 010'!I540</f>
        <v>0</v>
      </c>
      <c r="K547" s="79">
        <f t="shared" si="253"/>
        <v>50</v>
      </c>
      <c r="L547" s="84">
        <v>120</v>
      </c>
      <c r="M547" s="81">
        <v>152.11201320000001</v>
      </c>
      <c r="N547" s="82">
        <f t="shared" si="247"/>
        <v>0</v>
      </c>
      <c r="O547" s="82">
        <f t="shared" si="248"/>
        <v>0</v>
      </c>
      <c r="P547" s="82">
        <f>O547+'BM 010'!O540</f>
        <v>0</v>
      </c>
      <c r="Q547" s="80">
        <f t="shared" si="249"/>
        <v>6000</v>
      </c>
      <c r="R547" s="82">
        <f t="shared" si="250"/>
        <v>7605.6</v>
      </c>
      <c r="S547" s="82">
        <f t="shared" si="251"/>
        <v>7605.6</v>
      </c>
      <c r="T547" s="82">
        <f t="shared" si="252"/>
        <v>7605.6</v>
      </c>
    </row>
    <row r="548" spans="2:20" s="34" customFormat="1" ht="34.799999999999997">
      <c r="B548" s="75" t="s">
        <v>1057</v>
      </c>
      <c r="C548" s="76" t="s">
        <v>1058</v>
      </c>
      <c r="D548" s="77" t="s">
        <v>39</v>
      </c>
      <c r="E548" s="78">
        <v>10</v>
      </c>
      <c r="F548" s="78">
        <v>10</v>
      </c>
      <c r="G548" s="79"/>
      <c r="H548" s="79"/>
      <c r="I548" s="79"/>
      <c r="J548" s="79">
        <f>SUM(H548:I548)+'BM 010'!I541</f>
        <v>0</v>
      </c>
      <c r="K548" s="79">
        <f t="shared" si="253"/>
        <v>10</v>
      </c>
      <c r="L548" s="84">
        <v>137.9</v>
      </c>
      <c r="M548" s="81">
        <v>174.802055169</v>
      </c>
      <c r="N548" s="82">
        <f t="shared" si="247"/>
        <v>0</v>
      </c>
      <c r="O548" s="82">
        <f t="shared" si="248"/>
        <v>0</v>
      </c>
      <c r="P548" s="82">
        <f>O548+'BM 010'!O541</f>
        <v>0</v>
      </c>
      <c r="Q548" s="80">
        <f t="shared" si="249"/>
        <v>1379</v>
      </c>
      <c r="R548" s="82">
        <f t="shared" si="250"/>
        <v>1748.02</v>
      </c>
      <c r="S548" s="82">
        <f t="shared" si="251"/>
        <v>1748.02</v>
      </c>
      <c r="T548" s="82">
        <f t="shared" si="252"/>
        <v>1748.02</v>
      </c>
    </row>
    <row r="549" spans="2:20" s="34" customFormat="1" ht="23.4">
      <c r="B549" s="75" t="s">
        <v>1059</v>
      </c>
      <c r="C549" s="76" t="s">
        <v>1060</v>
      </c>
      <c r="D549" s="77" t="s">
        <v>39</v>
      </c>
      <c r="E549" s="78">
        <v>20</v>
      </c>
      <c r="F549" s="78">
        <v>20</v>
      </c>
      <c r="G549" s="79"/>
      <c r="H549" s="79"/>
      <c r="I549" s="79"/>
      <c r="J549" s="79">
        <f>SUM(H549:I549)+'BM 010'!I542</f>
        <v>2</v>
      </c>
      <c r="K549" s="79">
        <f t="shared" si="253"/>
        <v>18</v>
      </c>
      <c r="L549" s="84">
        <v>69</v>
      </c>
      <c r="M549" s="81">
        <v>87.464407589999993</v>
      </c>
      <c r="N549" s="82">
        <f t="shared" si="247"/>
        <v>0</v>
      </c>
      <c r="O549" s="82">
        <f t="shared" si="248"/>
        <v>0</v>
      </c>
      <c r="P549" s="82">
        <f>O549+'BM 010'!O542</f>
        <v>174.92</v>
      </c>
      <c r="Q549" s="80">
        <f t="shared" si="249"/>
        <v>1380</v>
      </c>
      <c r="R549" s="82">
        <f t="shared" si="250"/>
        <v>1749.28</v>
      </c>
      <c r="S549" s="82">
        <f t="shared" si="251"/>
        <v>1749.28</v>
      </c>
      <c r="T549" s="82">
        <f t="shared" si="252"/>
        <v>1574.36</v>
      </c>
    </row>
    <row r="550" spans="2:20" s="34" customFormat="1" ht="46.2">
      <c r="B550" s="75" t="s">
        <v>1061</v>
      </c>
      <c r="C550" s="76" t="s">
        <v>1062</v>
      </c>
      <c r="D550" s="77" t="s">
        <v>39</v>
      </c>
      <c r="E550" s="78">
        <v>10</v>
      </c>
      <c r="F550" s="78">
        <v>10</v>
      </c>
      <c r="G550" s="79"/>
      <c r="H550" s="79"/>
      <c r="I550" s="79"/>
      <c r="J550" s="79">
        <f>SUM(H550:I550)+'BM 010'!I543</f>
        <v>0</v>
      </c>
      <c r="K550" s="79">
        <f t="shared" si="253"/>
        <v>10</v>
      </c>
      <c r="L550" s="84">
        <v>180</v>
      </c>
      <c r="M550" s="81">
        <v>228.1680198</v>
      </c>
      <c r="N550" s="82">
        <f t="shared" si="247"/>
        <v>0</v>
      </c>
      <c r="O550" s="82">
        <f t="shared" si="248"/>
        <v>0</v>
      </c>
      <c r="P550" s="82">
        <f>O550+'BM 010'!O543</f>
        <v>0</v>
      </c>
      <c r="Q550" s="80">
        <f t="shared" si="249"/>
        <v>1800</v>
      </c>
      <c r="R550" s="82">
        <f t="shared" si="250"/>
        <v>2281.6799999999998</v>
      </c>
      <c r="S550" s="82">
        <f t="shared" si="251"/>
        <v>2281.6799999999998</v>
      </c>
      <c r="T550" s="82">
        <f t="shared" si="252"/>
        <v>2281.6799999999998</v>
      </c>
    </row>
    <row r="551" spans="2:20" s="34" customFormat="1" ht="69">
      <c r="B551" s="75" t="s">
        <v>1063</v>
      </c>
      <c r="C551" s="76" t="s">
        <v>1064</v>
      </c>
      <c r="D551" s="77" t="s">
        <v>39</v>
      </c>
      <c r="E551" s="78">
        <v>1</v>
      </c>
      <c r="F551" s="78">
        <v>1</v>
      </c>
      <c r="G551" s="79"/>
      <c r="H551" s="79"/>
      <c r="I551" s="79"/>
      <c r="J551" s="79">
        <f>SUM(H551:I551)+'BM 010'!I544</f>
        <v>0</v>
      </c>
      <c r="K551" s="79">
        <f t="shared" si="253"/>
        <v>1</v>
      </c>
      <c r="L551" s="84">
        <v>320</v>
      </c>
      <c r="M551" s="81">
        <v>405.63203520000002</v>
      </c>
      <c r="N551" s="82">
        <f t="shared" si="247"/>
        <v>0</v>
      </c>
      <c r="O551" s="82">
        <f t="shared" si="248"/>
        <v>0</v>
      </c>
      <c r="P551" s="82">
        <f>O551+'BM 010'!O544</f>
        <v>0</v>
      </c>
      <c r="Q551" s="80">
        <f t="shared" si="249"/>
        <v>320</v>
      </c>
      <c r="R551" s="82">
        <f t="shared" si="250"/>
        <v>405.63</v>
      </c>
      <c r="S551" s="82">
        <f t="shared" si="251"/>
        <v>405.63</v>
      </c>
      <c r="T551" s="82">
        <f t="shared" si="252"/>
        <v>405.63</v>
      </c>
    </row>
    <row r="552" spans="2:20" s="34" customFormat="1" ht="57.6">
      <c r="B552" s="75" t="s">
        <v>1065</v>
      </c>
      <c r="C552" s="76" t="s">
        <v>1066</v>
      </c>
      <c r="D552" s="77" t="s">
        <v>39</v>
      </c>
      <c r="E552" s="78">
        <v>1</v>
      </c>
      <c r="F552" s="78">
        <v>1</v>
      </c>
      <c r="G552" s="79"/>
      <c r="H552" s="79"/>
      <c r="I552" s="79"/>
      <c r="J552" s="79">
        <f>SUM(H552:I552)+'BM 010'!I545</f>
        <v>0</v>
      </c>
      <c r="K552" s="79">
        <f t="shared" si="253"/>
        <v>1</v>
      </c>
      <c r="L552" s="84">
        <v>800</v>
      </c>
      <c r="M552" s="81">
        <v>1014.080088</v>
      </c>
      <c r="N552" s="82">
        <f t="shared" si="247"/>
        <v>0</v>
      </c>
      <c r="O552" s="82">
        <f t="shared" si="248"/>
        <v>0</v>
      </c>
      <c r="P552" s="82">
        <f>O552+'BM 010'!O545</f>
        <v>0</v>
      </c>
      <c r="Q552" s="80">
        <f t="shared" si="249"/>
        <v>800</v>
      </c>
      <c r="R552" s="82">
        <f t="shared" si="250"/>
        <v>1014.08</v>
      </c>
      <c r="S552" s="82">
        <f t="shared" si="251"/>
        <v>1014.08</v>
      </c>
      <c r="T552" s="82">
        <f t="shared" si="252"/>
        <v>1014.08</v>
      </c>
    </row>
    <row r="553" spans="2:20" s="34" customFormat="1" ht="23.4">
      <c r="B553" s="75" t="s">
        <v>1067</v>
      </c>
      <c r="C553" s="76" t="s">
        <v>1068</v>
      </c>
      <c r="D553" s="77" t="s">
        <v>39</v>
      </c>
      <c r="E553" s="78">
        <v>2</v>
      </c>
      <c r="F553" s="78">
        <v>2</v>
      </c>
      <c r="G553" s="79"/>
      <c r="H553" s="79"/>
      <c r="I553" s="79"/>
      <c r="J553" s="79">
        <f>SUM(H553:I553)+'BM 010'!I546</f>
        <v>0</v>
      </c>
      <c r="K553" s="79">
        <f t="shared" si="253"/>
        <v>2</v>
      </c>
      <c r="L553" s="84">
        <v>605.34</v>
      </c>
      <c r="M553" s="81">
        <v>767.32905058740005</v>
      </c>
      <c r="N553" s="82">
        <f t="shared" si="247"/>
        <v>0</v>
      </c>
      <c r="O553" s="82">
        <f t="shared" si="248"/>
        <v>0</v>
      </c>
      <c r="P553" s="82">
        <f>O553+'BM 010'!O546</f>
        <v>0</v>
      </c>
      <c r="Q553" s="80">
        <f t="shared" si="249"/>
        <v>1210.68</v>
      </c>
      <c r="R553" s="82">
        <f t="shared" si="250"/>
        <v>1534.65</v>
      </c>
      <c r="S553" s="82">
        <f t="shared" si="251"/>
        <v>1534.65</v>
      </c>
      <c r="T553" s="82">
        <f t="shared" si="252"/>
        <v>1534.65</v>
      </c>
    </row>
    <row r="554" spans="2:20" s="34" customFormat="1" ht="23.4">
      <c r="B554" s="75" t="s">
        <v>1069</v>
      </c>
      <c r="C554" s="76" t="s">
        <v>1070</v>
      </c>
      <c r="D554" s="77" t="s">
        <v>39</v>
      </c>
      <c r="E554" s="78">
        <v>3</v>
      </c>
      <c r="F554" s="78">
        <v>3</v>
      </c>
      <c r="G554" s="79"/>
      <c r="H554" s="79"/>
      <c r="I554" s="79"/>
      <c r="J554" s="79">
        <f>SUM(H554:I554)+'BM 010'!I547</f>
        <v>0</v>
      </c>
      <c r="K554" s="79">
        <f t="shared" si="253"/>
        <v>3</v>
      </c>
      <c r="L554" s="84">
        <v>311.79000000000002</v>
      </c>
      <c r="M554" s="81">
        <v>395.22503829689998</v>
      </c>
      <c r="N554" s="82">
        <f t="shared" si="247"/>
        <v>0</v>
      </c>
      <c r="O554" s="82">
        <f t="shared" si="248"/>
        <v>0</v>
      </c>
      <c r="P554" s="82">
        <f>O554+'BM 010'!O547</f>
        <v>0</v>
      </c>
      <c r="Q554" s="80">
        <f t="shared" si="249"/>
        <v>935.37000000000012</v>
      </c>
      <c r="R554" s="82">
        <f t="shared" si="250"/>
        <v>1185.67</v>
      </c>
      <c r="S554" s="82">
        <f t="shared" si="251"/>
        <v>1185.67</v>
      </c>
      <c r="T554" s="82">
        <f t="shared" si="252"/>
        <v>1185.67</v>
      </c>
    </row>
    <row r="555" spans="2:20" s="34" customFormat="1" ht="23.4">
      <c r="B555" s="75" t="s">
        <v>1071</v>
      </c>
      <c r="C555" s="76" t="s">
        <v>1072</v>
      </c>
      <c r="D555" s="77" t="s">
        <v>39</v>
      </c>
      <c r="E555" s="78">
        <v>2</v>
      </c>
      <c r="F555" s="78">
        <v>2</v>
      </c>
      <c r="G555" s="79"/>
      <c r="H555" s="79"/>
      <c r="I555" s="79"/>
      <c r="J555" s="79">
        <f>SUM(H555:I555)+'BM 010'!I548</f>
        <v>0</v>
      </c>
      <c r="K555" s="79">
        <f t="shared" si="253"/>
        <v>2</v>
      </c>
      <c r="L555" s="84">
        <v>195</v>
      </c>
      <c r="M555" s="81">
        <v>247.18202145000001</v>
      </c>
      <c r="N555" s="82">
        <f t="shared" si="247"/>
        <v>0</v>
      </c>
      <c r="O555" s="82">
        <f t="shared" si="248"/>
        <v>0</v>
      </c>
      <c r="P555" s="82">
        <f>O555+'BM 010'!O548</f>
        <v>0</v>
      </c>
      <c r="Q555" s="80">
        <f t="shared" si="249"/>
        <v>390</v>
      </c>
      <c r="R555" s="82">
        <f t="shared" si="250"/>
        <v>494.36</v>
      </c>
      <c r="S555" s="82">
        <f t="shared" si="251"/>
        <v>494.36</v>
      </c>
      <c r="T555" s="82">
        <f t="shared" si="252"/>
        <v>494.36</v>
      </c>
    </row>
    <row r="556" spans="2:20" s="34" customFormat="1" ht="46.2">
      <c r="B556" s="75" t="s">
        <v>1073</v>
      </c>
      <c r="C556" s="76" t="s">
        <v>1074</v>
      </c>
      <c r="D556" s="77" t="s">
        <v>39</v>
      </c>
      <c r="E556" s="78">
        <v>1</v>
      </c>
      <c r="F556" s="78">
        <v>1</v>
      </c>
      <c r="G556" s="79"/>
      <c r="H556" s="79"/>
      <c r="I556" s="79"/>
      <c r="J556" s="79">
        <f>SUM(H556:I556)+'BM 010'!I549</f>
        <v>0</v>
      </c>
      <c r="K556" s="79">
        <f t="shared" si="253"/>
        <v>1</v>
      </c>
      <c r="L556" s="84">
        <v>1400</v>
      </c>
      <c r="M556" s="81">
        <v>1774.6401539999999</v>
      </c>
      <c r="N556" s="82">
        <f t="shared" si="247"/>
        <v>0</v>
      </c>
      <c r="O556" s="82">
        <f t="shared" si="248"/>
        <v>0</v>
      </c>
      <c r="P556" s="82">
        <f>O556+'BM 010'!O549</f>
        <v>0</v>
      </c>
      <c r="Q556" s="80">
        <f t="shared" si="249"/>
        <v>1400</v>
      </c>
      <c r="R556" s="82">
        <f t="shared" si="250"/>
        <v>1774.64</v>
      </c>
      <c r="S556" s="82">
        <f t="shared" si="251"/>
        <v>1774.64</v>
      </c>
      <c r="T556" s="82">
        <f t="shared" si="252"/>
        <v>1774.64</v>
      </c>
    </row>
    <row r="557" spans="2:20" s="34" customFormat="1" ht="46.2">
      <c r="B557" s="75" t="s">
        <v>1075</v>
      </c>
      <c r="C557" s="76" t="s">
        <v>1076</v>
      </c>
      <c r="D557" s="77" t="s">
        <v>39</v>
      </c>
      <c r="E557" s="78">
        <v>16</v>
      </c>
      <c r="F557" s="78">
        <v>16</v>
      </c>
      <c r="G557" s="79"/>
      <c r="H557" s="79"/>
      <c r="I557" s="79"/>
      <c r="J557" s="79">
        <f>SUM(H557:I557)+'BM 010'!I550</f>
        <v>0</v>
      </c>
      <c r="K557" s="79">
        <f t="shared" si="253"/>
        <v>16</v>
      </c>
      <c r="L557" s="84">
        <v>1900</v>
      </c>
      <c r="M557" s="81">
        <v>2408.4402089999999</v>
      </c>
      <c r="N557" s="82">
        <f t="shared" si="247"/>
        <v>0</v>
      </c>
      <c r="O557" s="82">
        <f t="shared" si="248"/>
        <v>0</v>
      </c>
      <c r="P557" s="82">
        <f>O557+'BM 010'!O550</f>
        <v>0</v>
      </c>
      <c r="Q557" s="80">
        <f t="shared" si="249"/>
        <v>30400</v>
      </c>
      <c r="R557" s="82">
        <f t="shared" si="250"/>
        <v>38535.040000000001</v>
      </c>
      <c r="S557" s="82">
        <f t="shared" si="251"/>
        <v>38535.040000000001</v>
      </c>
      <c r="T557" s="82">
        <f t="shared" si="252"/>
        <v>38535.040000000001</v>
      </c>
    </row>
    <row r="558" spans="2:20" s="34" customFormat="1" ht="34.799999999999997">
      <c r="B558" s="75" t="s">
        <v>1077</v>
      </c>
      <c r="C558" s="76" t="s">
        <v>1078</v>
      </c>
      <c r="D558" s="77" t="s">
        <v>39</v>
      </c>
      <c r="E558" s="78">
        <v>140</v>
      </c>
      <c r="F558" s="78">
        <v>140</v>
      </c>
      <c r="G558" s="79"/>
      <c r="H558" s="79"/>
      <c r="I558" s="79"/>
      <c r="J558" s="79">
        <f>SUM(H558:I558)+'BM 010'!I551</f>
        <v>0</v>
      </c>
      <c r="K558" s="79">
        <f t="shared" si="253"/>
        <v>140</v>
      </c>
      <c r="L558" s="84">
        <v>25</v>
      </c>
      <c r="M558" s="81">
        <v>31.690002750000001</v>
      </c>
      <c r="N558" s="82">
        <f t="shared" si="247"/>
        <v>0</v>
      </c>
      <c r="O558" s="82">
        <f t="shared" si="248"/>
        <v>0</v>
      </c>
      <c r="P558" s="82">
        <f>O558+'BM 010'!O551</f>
        <v>0</v>
      </c>
      <c r="Q558" s="80">
        <f t="shared" si="249"/>
        <v>3500</v>
      </c>
      <c r="R558" s="82">
        <f t="shared" si="250"/>
        <v>4436.6000000000004</v>
      </c>
      <c r="S558" s="82">
        <f t="shared" si="251"/>
        <v>4436.6000000000004</v>
      </c>
      <c r="T558" s="82">
        <f t="shared" si="252"/>
        <v>4436.6000000000004</v>
      </c>
    </row>
    <row r="559" spans="2:20" s="34" customFormat="1" ht="13.2">
      <c r="B559" s="66" t="s">
        <v>1079</v>
      </c>
      <c r="C559" s="67" t="s">
        <v>1080</v>
      </c>
      <c r="D559" s="68"/>
      <c r="E559" s="69"/>
      <c r="F559" s="69"/>
      <c r="G559" s="70"/>
      <c r="H559" s="70"/>
      <c r="I559" s="70"/>
      <c r="J559" s="70">
        <f>SUM(H559:I559)+'BM 010'!I552</f>
        <v>0</v>
      </c>
      <c r="K559" s="70">
        <f t="shared" si="253"/>
        <v>0</v>
      </c>
      <c r="L559" s="71"/>
      <c r="M559" s="71">
        <v>0</v>
      </c>
      <c r="N559" s="73">
        <f t="shared" ref="N559:T559" si="254">SUM(N560:N560)</f>
        <v>0</v>
      </c>
      <c r="O559" s="73">
        <f t="shared" si="254"/>
        <v>0</v>
      </c>
      <c r="P559" s="73">
        <f t="shared" si="254"/>
        <v>0</v>
      </c>
      <c r="Q559" s="73">
        <f t="shared" si="254"/>
        <v>7310</v>
      </c>
      <c r="R559" s="73">
        <f t="shared" si="254"/>
        <v>9266.15</v>
      </c>
      <c r="S559" s="73">
        <f t="shared" si="254"/>
        <v>9266.15</v>
      </c>
      <c r="T559" s="73">
        <f t="shared" si="254"/>
        <v>9266.15</v>
      </c>
    </row>
    <row r="560" spans="2:20" s="34" customFormat="1" ht="34.799999999999997">
      <c r="B560" s="75" t="s">
        <v>1081</v>
      </c>
      <c r="C560" s="76" t="s">
        <v>1082</v>
      </c>
      <c r="D560" s="77" t="s">
        <v>63</v>
      </c>
      <c r="E560" s="78">
        <v>43</v>
      </c>
      <c r="F560" s="78">
        <v>43</v>
      </c>
      <c r="G560" s="79"/>
      <c r="H560" s="79"/>
      <c r="I560" s="79"/>
      <c r="J560" s="79">
        <f>SUM(H560:I560)+'BM 010'!I553</f>
        <v>0</v>
      </c>
      <c r="K560" s="79">
        <f t="shared" si="253"/>
        <v>43</v>
      </c>
      <c r="L560" s="84">
        <v>170</v>
      </c>
      <c r="M560" s="81">
        <v>215.49201869999999</v>
      </c>
      <c r="N560" s="82">
        <f>TRUNC(G560*M560,2)</f>
        <v>0</v>
      </c>
      <c r="O560" s="82">
        <f>TRUNC(H560*M560,2)</f>
        <v>0</v>
      </c>
      <c r="P560" s="82">
        <f>O560+'BM 010'!O553</f>
        <v>0</v>
      </c>
      <c r="Q560" s="80">
        <f>E560*L560</f>
        <v>7310</v>
      </c>
      <c r="R560" s="82">
        <f>TRUNC(E560*M560,2)</f>
        <v>9266.15</v>
      </c>
      <c r="S560" s="82">
        <f>TRUNC(F560*$M560,2)</f>
        <v>9266.15</v>
      </c>
      <c r="T560" s="82">
        <f>S560-P560</f>
        <v>9266.15</v>
      </c>
    </row>
    <row r="561" spans="2:20" s="34" customFormat="1" ht="13.2">
      <c r="B561" s="66" t="s">
        <v>1083</v>
      </c>
      <c r="C561" s="67" t="s">
        <v>1084</v>
      </c>
      <c r="D561" s="68"/>
      <c r="E561" s="69"/>
      <c r="F561" s="69"/>
      <c r="G561" s="70"/>
      <c r="H561" s="70"/>
      <c r="I561" s="70"/>
      <c r="J561" s="70">
        <f>SUM(H561:I561)+'BM 010'!I554</f>
        <v>0</v>
      </c>
      <c r="K561" s="70">
        <f t="shared" si="253"/>
        <v>0</v>
      </c>
      <c r="L561" s="71"/>
      <c r="M561" s="120">
        <v>0</v>
      </c>
      <c r="N561" s="73">
        <f t="shared" ref="N561:T561" si="255">SUM(N562:N572)</f>
        <v>0</v>
      </c>
      <c r="O561" s="73">
        <f t="shared" si="255"/>
        <v>0</v>
      </c>
      <c r="P561" s="73">
        <f t="shared" si="255"/>
        <v>0</v>
      </c>
      <c r="Q561" s="73">
        <f t="shared" si="255"/>
        <v>55460</v>
      </c>
      <c r="R561" s="73">
        <f t="shared" si="255"/>
        <v>70301.090000000011</v>
      </c>
      <c r="S561" s="73">
        <f t="shared" si="255"/>
        <v>70301.090000000011</v>
      </c>
      <c r="T561" s="73">
        <f t="shared" si="255"/>
        <v>70301.090000000011</v>
      </c>
    </row>
    <row r="562" spans="2:20" s="34" customFormat="1" ht="23.4">
      <c r="B562" s="75" t="s">
        <v>1085</v>
      </c>
      <c r="C562" s="76" t="s">
        <v>1086</v>
      </c>
      <c r="D562" s="77" t="s">
        <v>131</v>
      </c>
      <c r="E562" s="78">
        <v>1</v>
      </c>
      <c r="F562" s="78">
        <v>1</v>
      </c>
      <c r="G562" s="79"/>
      <c r="H562" s="79"/>
      <c r="I562" s="79"/>
      <c r="J562" s="79">
        <f>SUM(H562:I562)+'BM 010'!I555</f>
        <v>0</v>
      </c>
      <c r="K562" s="79">
        <f t="shared" si="253"/>
        <v>1</v>
      </c>
      <c r="L562" s="84">
        <v>5800</v>
      </c>
      <c r="M562" s="81">
        <v>7352.0806380000004</v>
      </c>
      <c r="N562" s="82">
        <f t="shared" ref="N562:N572" si="256">TRUNC(G562*M562,2)</f>
        <v>0</v>
      </c>
      <c r="O562" s="82">
        <f t="shared" ref="O562:O572" si="257">TRUNC(H562*M562,2)</f>
        <v>0</v>
      </c>
      <c r="P562" s="82">
        <f>O562+'BM 010'!O555</f>
        <v>0</v>
      </c>
      <c r="Q562" s="80">
        <f t="shared" ref="Q562:Q572" si="258">E562*L562</f>
        <v>5800</v>
      </c>
      <c r="R562" s="82">
        <f t="shared" ref="R562:R572" si="259">TRUNC(E562*M562,2)</f>
        <v>7352.08</v>
      </c>
      <c r="S562" s="82">
        <f t="shared" ref="S562:S572" si="260">TRUNC(F562*$M562,2)</f>
        <v>7352.08</v>
      </c>
      <c r="T562" s="82">
        <f t="shared" ref="T562:T572" si="261">S562-P562</f>
        <v>7352.08</v>
      </c>
    </row>
    <row r="563" spans="2:20" s="34" customFormat="1" ht="57.6">
      <c r="B563" s="75" t="s">
        <v>1087</v>
      </c>
      <c r="C563" s="76" t="s">
        <v>1088</v>
      </c>
      <c r="D563" s="77" t="s">
        <v>131</v>
      </c>
      <c r="E563" s="78">
        <v>1</v>
      </c>
      <c r="F563" s="78">
        <v>1</v>
      </c>
      <c r="G563" s="79"/>
      <c r="H563" s="79"/>
      <c r="I563" s="79"/>
      <c r="J563" s="79">
        <f>SUM(H563:I563)+'BM 010'!I556</f>
        <v>0</v>
      </c>
      <c r="K563" s="79">
        <f t="shared" si="253"/>
        <v>1</v>
      </c>
      <c r="L563" s="84">
        <v>2950</v>
      </c>
      <c r="M563" s="81">
        <v>3739.4203244999999</v>
      </c>
      <c r="N563" s="82">
        <f t="shared" si="256"/>
        <v>0</v>
      </c>
      <c r="O563" s="82">
        <f t="shared" si="257"/>
        <v>0</v>
      </c>
      <c r="P563" s="82">
        <f>O563+'BM 010'!O556</f>
        <v>0</v>
      </c>
      <c r="Q563" s="80">
        <f t="shared" si="258"/>
        <v>2950</v>
      </c>
      <c r="R563" s="82">
        <f t="shared" si="259"/>
        <v>3739.42</v>
      </c>
      <c r="S563" s="82">
        <f t="shared" si="260"/>
        <v>3739.42</v>
      </c>
      <c r="T563" s="82">
        <f t="shared" si="261"/>
        <v>3739.42</v>
      </c>
    </row>
    <row r="564" spans="2:20" s="34" customFormat="1" ht="34.799999999999997">
      <c r="B564" s="75" t="s">
        <v>1089</v>
      </c>
      <c r="C564" s="76" t="s">
        <v>1090</v>
      </c>
      <c r="D564" s="77" t="s">
        <v>131</v>
      </c>
      <c r="E564" s="78">
        <v>1</v>
      </c>
      <c r="F564" s="78">
        <v>1</v>
      </c>
      <c r="G564" s="79"/>
      <c r="H564" s="79"/>
      <c r="I564" s="79"/>
      <c r="J564" s="79">
        <f>SUM(H564:I564)+'BM 010'!I557</f>
        <v>0</v>
      </c>
      <c r="K564" s="79">
        <f t="shared" si="253"/>
        <v>1</v>
      </c>
      <c r="L564" s="84">
        <v>5100</v>
      </c>
      <c r="M564" s="81">
        <v>6464.7605610000001</v>
      </c>
      <c r="N564" s="82">
        <f t="shared" si="256"/>
        <v>0</v>
      </c>
      <c r="O564" s="82">
        <f t="shared" si="257"/>
        <v>0</v>
      </c>
      <c r="P564" s="82">
        <f>O564+'BM 010'!O557</f>
        <v>0</v>
      </c>
      <c r="Q564" s="80">
        <f t="shared" si="258"/>
        <v>5100</v>
      </c>
      <c r="R564" s="82">
        <f t="shared" si="259"/>
        <v>6464.76</v>
      </c>
      <c r="S564" s="82">
        <f t="shared" si="260"/>
        <v>6464.76</v>
      </c>
      <c r="T564" s="82">
        <f t="shared" si="261"/>
        <v>6464.76</v>
      </c>
    </row>
    <row r="565" spans="2:20" s="34" customFormat="1" ht="34.799999999999997">
      <c r="B565" s="75" t="s">
        <v>1091</v>
      </c>
      <c r="C565" s="76" t="s">
        <v>1092</v>
      </c>
      <c r="D565" s="77" t="s">
        <v>131</v>
      </c>
      <c r="E565" s="78">
        <v>1</v>
      </c>
      <c r="F565" s="78">
        <v>1</v>
      </c>
      <c r="G565" s="79"/>
      <c r="H565" s="79"/>
      <c r="I565" s="79"/>
      <c r="J565" s="79">
        <f>SUM(H565:I565)+'BM 010'!I558</f>
        <v>0</v>
      </c>
      <c r="K565" s="79">
        <f t="shared" si="253"/>
        <v>1</v>
      </c>
      <c r="L565" s="84">
        <v>6200</v>
      </c>
      <c r="M565" s="81">
        <v>7859.1206819999998</v>
      </c>
      <c r="N565" s="82">
        <f t="shared" si="256"/>
        <v>0</v>
      </c>
      <c r="O565" s="82">
        <f t="shared" si="257"/>
        <v>0</v>
      </c>
      <c r="P565" s="82">
        <f>O565+'BM 010'!O558</f>
        <v>0</v>
      </c>
      <c r="Q565" s="80">
        <f t="shared" si="258"/>
        <v>6200</v>
      </c>
      <c r="R565" s="82">
        <f t="shared" si="259"/>
        <v>7859.12</v>
      </c>
      <c r="S565" s="82">
        <f t="shared" si="260"/>
        <v>7859.12</v>
      </c>
      <c r="T565" s="82">
        <f t="shared" si="261"/>
        <v>7859.12</v>
      </c>
    </row>
    <row r="566" spans="2:20" s="34" customFormat="1" ht="23.4">
      <c r="B566" s="75" t="s">
        <v>1093</v>
      </c>
      <c r="C566" s="76" t="s">
        <v>1094</v>
      </c>
      <c r="D566" s="77" t="s">
        <v>131</v>
      </c>
      <c r="E566" s="78">
        <v>15</v>
      </c>
      <c r="F566" s="78">
        <v>15</v>
      </c>
      <c r="G566" s="79"/>
      <c r="H566" s="79"/>
      <c r="I566" s="79"/>
      <c r="J566" s="79">
        <f>SUM(H566:I566)+'BM 010'!I559</f>
        <v>0</v>
      </c>
      <c r="K566" s="79">
        <f t="shared" si="253"/>
        <v>15</v>
      </c>
      <c r="L566" s="84">
        <v>250</v>
      </c>
      <c r="M566" s="81">
        <v>316.90002750000002</v>
      </c>
      <c r="N566" s="82">
        <f t="shared" si="256"/>
        <v>0</v>
      </c>
      <c r="O566" s="82">
        <f t="shared" si="257"/>
        <v>0</v>
      </c>
      <c r="P566" s="82">
        <f>O566+'BM 010'!O559</f>
        <v>0</v>
      </c>
      <c r="Q566" s="80">
        <f t="shared" si="258"/>
        <v>3750</v>
      </c>
      <c r="R566" s="82">
        <f t="shared" si="259"/>
        <v>4753.5</v>
      </c>
      <c r="S566" s="82">
        <f t="shared" si="260"/>
        <v>4753.5</v>
      </c>
      <c r="T566" s="82">
        <f t="shared" si="261"/>
        <v>4753.5</v>
      </c>
    </row>
    <row r="567" spans="2:20" s="34" customFormat="1" ht="23.4">
      <c r="B567" s="75" t="s">
        <v>1095</v>
      </c>
      <c r="C567" s="76" t="s">
        <v>1096</v>
      </c>
      <c r="D567" s="77" t="s">
        <v>131</v>
      </c>
      <c r="E567" s="78">
        <v>1</v>
      </c>
      <c r="F567" s="78">
        <v>1</v>
      </c>
      <c r="G567" s="79"/>
      <c r="H567" s="79"/>
      <c r="I567" s="79"/>
      <c r="J567" s="79">
        <f>SUM(H567:I567)+'BM 010'!I560</f>
        <v>0</v>
      </c>
      <c r="K567" s="79">
        <f t="shared" si="253"/>
        <v>1</v>
      </c>
      <c r="L567" s="84">
        <v>350</v>
      </c>
      <c r="M567" s="81">
        <v>443.66003849999998</v>
      </c>
      <c r="N567" s="82">
        <f t="shared" si="256"/>
        <v>0</v>
      </c>
      <c r="O567" s="82">
        <f t="shared" si="257"/>
        <v>0</v>
      </c>
      <c r="P567" s="82">
        <f>O567+'BM 010'!O560</f>
        <v>0</v>
      </c>
      <c r="Q567" s="80">
        <f t="shared" si="258"/>
        <v>350</v>
      </c>
      <c r="R567" s="82">
        <f t="shared" si="259"/>
        <v>443.66</v>
      </c>
      <c r="S567" s="82">
        <f t="shared" si="260"/>
        <v>443.66</v>
      </c>
      <c r="T567" s="82">
        <f t="shared" si="261"/>
        <v>443.66</v>
      </c>
    </row>
    <row r="568" spans="2:20" s="34" customFormat="1" ht="23.4">
      <c r="B568" s="75" t="s">
        <v>1097</v>
      </c>
      <c r="C568" s="76" t="s">
        <v>1098</v>
      </c>
      <c r="D568" s="77" t="s">
        <v>131</v>
      </c>
      <c r="E568" s="78">
        <v>15</v>
      </c>
      <c r="F568" s="78">
        <v>15</v>
      </c>
      <c r="G568" s="79"/>
      <c r="H568" s="79"/>
      <c r="I568" s="79"/>
      <c r="J568" s="79">
        <f>SUM(H568:I568)+'BM 010'!I561</f>
        <v>0</v>
      </c>
      <c r="K568" s="79">
        <f t="shared" si="253"/>
        <v>15</v>
      </c>
      <c r="L568" s="84">
        <v>260</v>
      </c>
      <c r="M568" s="81">
        <v>329.57602859999997</v>
      </c>
      <c r="N568" s="82">
        <f t="shared" si="256"/>
        <v>0</v>
      </c>
      <c r="O568" s="82">
        <f t="shared" si="257"/>
        <v>0</v>
      </c>
      <c r="P568" s="82">
        <f>O568+'BM 010'!O561</f>
        <v>0</v>
      </c>
      <c r="Q568" s="80">
        <f t="shared" si="258"/>
        <v>3900</v>
      </c>
      <c r="R568" s="82">
        <f t="shared" si="259"/>
        <v>4943.6400000000003</v>
      </c>
      <c r="S568" s="82">
        <f t="shared" si="260"/>
        <v>4943.6400000000003</v>
      </c>
      <c r="T568" s="82">
        <f t="shared" si="261"/>
        <v>4943.6400000000003</v>
      </c>
    </row>
    <row r="569" spans="2:20" s="34" customFormat="1" ht="23.4">
      <c r="B569" s="75" t="s">
        <v>1099</v>
      </c>
      <c r="C569" s="76" t="s">
        <v>1100</v>
      </c>
      <c r="D569" s="77" t="s">
        <v>131</v>
      </c>
      <c r="E569" s="78">
        <v>1</v>
      </c>
      <c r="F569" s="78">
        <v>1</v>
      </c>
      <c r="G569" s="79"/>
      <c r="H569" s="79"/>
      <c r="I569" s="79"/>
      <c r="J569" s="79">
        <f>SUM(H569:I569)+'BM 010'!I562</f>
        <v>0</v>
      </c>
      <c r="K569" s="79">
        <f t="shared" si="253"/>
        <v>1</v>
      </c>
      <c r="L569" s="84">
        <v>360</v>
      </c>
      <c r="M569" s="81">
        <v>456.33603959999999</v>
      </c>
      <c r="N569" s="82">
        <f t="shared" si="256"/>
        <v>0</v>
      </c>
      <c r="O569" s="82">
        <f t="shared" si="257"/>
        <v>0</v>
      </c>
      <c r="P569" s="82">
        <f>O569+'BM 010'!O562</f>
        <v>0</v>
      </c>
      <c r="Q569" s="80">
        <f t="shared" si="258"/>
        <v>360</v>
      </c>
      <c r="R569" s="82">
        <f t="shared" si="259"/>
        <v>456.33</v>
      </c>
      <c r="S569" s="82">
        <f t="shared" si="260"/>
        <v>456.33</v>
      </c>
      <c r="T569" s="82">
        <f t="shared" si="261"/>
        <v>456.33</v>
      </c>
    </row>
    <row r="570" spans="2:20" s="34" customFormat="1" ht="13.2">
      <c r="B570" s="75" t="s">
        <v>1101</v>
      </c>
      <c r="C570" s="76" t="s">
        <v>1102</v>
      </c>
      <c r="D570" s="77" t="s">
        <v>131</v>
      </c>
      <c r="E570" s="78">
        <v>2</v>
      </c>
      <c r="F570" s="78">
        <v>2</v>
      </c>
      <c r="G570" s="79"/>
      <c r="H570" s="79"/>
      <c r="I570" s="79"/>
      <c r="J570" s="79">
        <f>SUM(H570:I570)+'BM 010'!I563</f>
        <v>0</v>
      </c>
      <c r="K570" s="79">
        <f t="shared" si="253"/>
        <v>2</v>
      </c>
      <c r="L570" s="84">
        <v>3650</v>
      </c>
      <c r="M570" s="81">
        <v>4626.7404015000002</v>
      </c>
      <c r="N570" s="82">
        <f t="shared" si="256"/>
        <v>0</v>
      </c>
      <c r="O570" s="82">
        <f t="shared" si="257"/>
        <v>0</v>
      </c>
      <c r="P570" s="82">
        <f>O570+'BM 010'!O563</f>
        <v>0</v>
      </c>
      <c r="Q570" s="80">
        <f t="shared" si="258"/>
        <v>7300</v>
      </c>
      <c r="R570" s="82">
        <f t="shared" si="259"/>
        <v>9253.48</v>
      </c>
      <c r="S570" s="82">
        <f t="shared" si="260"/>
        <v>9253.48</v>
      </c>
      <c r="T570" s="82">
        <f t="shared" si="261"/>
        <v>9253.48</v>
      </c>
    </row>
    <row r="571" spans="2:20" s="34" customFormat="1" ht="23.4">
      <c r="B571" s="75" t="s">
        <v>1103</v>
      </c>
      <c r="C571" s="76" t="s">
        <v>1104</v>
      </c>
      <c r="D571" s="77" t="s">
        <v>131</v>
      </c>
      <c r="E571" s="78">
        <v>60</v>
      </c>
      <c r="F571" s="78">
        <v>60</v>
      </c>
      <c r="G571" s="79"/>
      <c r="H571" s="79"/>
      <c r="I571" s="79"/>
      <c r="J571" s="79">
        <f>SUM(H571:I571)+'BM 010'!I564</f>
        <v>0</v>
      </c>
      <c r="K571" s="79">
        <f t="shared" si="253"/>
        <v>60</v>
      </c>
      <c r="L571" s="84">
        <v>280</v>
      </c>
      <c r="M571" s="81">
        <v>354.92803079999999</v>
      </c>
      <c r="N571" s="82">
        <f t="shared" si="256"/>
        <v>0</v>
      </c>
      <c r="O571" s="82">
        <f t="shared" si="257"/>
        <v>0</v>
      </c>
      <c r="P571" s="82">
        <f>O571+'BM 010'!O564</f>
        <v>0</v>
      </c>
      <c r="Q571" s="80">
        <f t="shared" si="258"/>
        <v>16800</v>
      </c>
      <c r="R571" s="82">
        <f t="shared" si="259"/>
        <v>21295.68</v>
      </c>
      <c r="S571" s="82">
        <f t="shared" si="260"/>
        <v>21295.68</v>
      </c>
      <c r="T571" s="82">
        <f t="shared" si="261"/>
        <v>21295.68</v>
      </c>
    </row>
    <row r="572" spans="2:20" s="34" customFormat="1" ht="34.799999999999997">
      <c r="B572" s="75" t="s">
        <v>1105</v>
      </c>
      <c r="C572" s="76" t="s">
        <v>1106</v>
      </c>
      <c r="D572" s="77" t="s">
        <v>131</v>
      </c>
      <c r="E572" s="78">
        <v>10</v>
      </c>
      <c r="F572" s="78">
        <v>10</v>
      </c>
      <c r="G572" s="79"/>
      <c r="H572" s="79"/>
      <c r="I572" s="79"/>
      <c r="J572" s="79">
        <f>SUM(H572:I572)+'BM 010'!I565</f>
        <v>0</v>
      </c>
      <c r="K572" s="79">
        <f t="shared" si="253"/>
        <v>10</v>
      </c>
      <c r="L572" s="84">
        <v>295</v>
      </c>
      <c r="M572" s="81">
        <v>373.94203245</v>
      </c>
      <c r="N572" s="82">
        <f t="shared" si="256"/>
        <v>0</v>
      </c>
      <c r="O572" s="82">
        <f t="shared" si="257"/>
        <v>0</v>
      </c>
      <c r="P572" s="82">
        <f>O572+'BM 010'!O565</f>
        <v>0</v>
      </c>
      <c r="Q572" s="80">
        <f t="shared" si="258"/>
        <v>2950</v>
      </c>
      <c r="R572" s="82">
        <f t="shared" si="259"/>
        <v>3739.42</v>
      </c>
      <c r="S572" s="82">
        <f t="shared" si="260"/>
        <v>3739.42</v>
      </c>
      <c r="T572" s="82">
        <f t="shared" si="261"/>
        <v>3739.42</v>
      </c>
    </row>
    <row r="573" spans="2:20" s="34" customFormat="1" ht="13.2">
      <c r="B573" s="60" t="s">
        <v>1107</v>
      </c>
      <c r="C573" s="61" t="s">
        <v>1108</v>
      </c>
      <c r="D573" s="60"/>
      <c r="E573" s="62"/>
      <c r="F573" s="284"/>
      <c r="G573" s="63"/>
      <c r="H573" s="63"/>
      <c r="I573" s="63"/>
      <c r="J573" s="63">
        <f>SUM(H573:I573)+'BM 010'!I566</f>
        <v>0</v>
      </c>
      <c r="K573" s="63">
        <f t="shared" si="253"/>
        <v>0</v>
      </c>
      <c r="L573" s="63"/>
      <c r="M573" s="63">
        <v>0</v>
      </c>
      <c r="N573" s="63">
        <f t="shared" ref="N573:T573" si="262">SUM(N574:N594)</f>
        <v>0</v>
      </c>
      <c r="O573" s="63">
        <f t="shared" si="262"/>
        <v>0</v>
      </c>
      <c r="P573" s="63">
        <f t="shared" si="262"/>
        <v>0</v>
      </c>
      <c r="Q573" s="63">
        <f t="shared" si="262"/>
        <v>397499.3</v>
      </c>
      <c r="R573" s="63">
        <f t="shared" si="262"/>
        <v>503870.0799999999</v>
      </c>
      <c r="S573" s="63">
        <f t="shared" si="262"/>
        <v>538095.27999999991</v>
      </c>
      <c r="T573" s="63">
        <f t="shared" si="262"/>
        <v>538095.27999999991</v>
      </c>
    </row>
    <row r="574" spans="2:20" s="34" customFormat="1" ht="57.6">
      <c r="B574" s="87" t="s">
        <v>1109</v>
      </c>
      <c r="C574" s="88" t="s">
        <v>1110</v>
      </c>
      <c r="D574" s="89" t="s">
        <v>63</v>
      </c>
      <c r="E574" s="92">
        <v>33</v>
      </c>
      <c r="F574" s="92">
        <v>33</v>
      </c>
      <c r="G574" s="91"/>
      <c r="H574" s="91"/>
      <c r="I574" s="91"/>
      <c r="J574" s="91">
        <f>SUM(H574:I574)+'BM 010'!I567</f>
        <v>0</v>
      </c>
      <c r="K574" s="91">
        <f t="shared" si="253"/>
        <v>33</v>
      </c>
      <c r="L574" s="84">
        <v>540</v>
      </c>
      <c r="M574" s="81">
        <v>684.50405939999996</v>
      </c>
      <c r="N574" s="82">
        <f t="shared" ref="N574:N594" si="263">TRUNC(G574*M574,2)</f>
        <v>0</v>
      </c>
      <c r="O574" s="82">
        <f t="shared" ref="O574:O594" si="264">TRUNC(H574*M574,2)</f>
        <v>0</v>
      </c>
      <c r="P574" s="82">
        <f>O574+'BM 010'!O567</f>
        <v>0</v>
      </c>
      <c r="Q574" s="80">
        <f t="shared" ref="Q574:Q594" si="265">E574*L574</f>
        <v>17820</v>
      </c>
      <c r="R574" s="82">
        <f t="shared" ref="R574:R594" si="266">TRUNC(E574*M574,2)</f>
        <v>22588.63</v>
      </c>
      <c r="S574" s="82">
        <f t="shared" ref="S574:S594" si="267">TRUNC(F574*$M574,2)</f>
        <v>22588.63</v>
      </c>
      <c r="T574" s="82">
        <f t="shared" ref="T574:T594" si="268">S574-P574</f>
        <v>22588.63</v>
      </c>
    </row>
    <row r="575" spans="2:20" s="34" customFormat="1" ht="57.6">
      <c r="B575" s="87" t="s">
        <v>1111</v>
      </c>
      <c r="C575" s="88" t="s">
        <v>1112</v>
      </c>
      <c r="D575" s="89" t="s">
        <v>63</v>
      </c>
      <c r="E575" s="90">
        <f>56-E574</f>
        <v>23</v>
      </c>
      <c r="F575" s="90">
        <v>23</v>
      </c>
      <c r="G575" s="91"/>
      <c r="H575" s="91"/>
      <c r="I575" s="91"/>
      <c r="J575" s="91">
        <f>SUM(H575:I575)+'BM 010'!I568</f>
        <v>0</v>
      </c>
      <c r="K575" s="91">
        <f t="shared" si="253"/>
        <v>23</v>
      </c>
      <c r="L575" s="80">
        <v>685</v>
      </c>
      <c r="M575" s="81">
        <v>868.30607535000001</v>
      </c>
      <c r="N575" s="82">
        <f t="shared" si="263"/>
        <v>0</v>
      </c>
      <c r="O575" s="82">
        <f t="shared" si="264"/>
        <v>0</v>
      </c>
      <c r="P575" s="82">
        <f>O575+'BM 010'!O568</f>
        <v>0</v>
      </c>
      <c r="Q575" s="80">
        <f t="shared" si="265"/>
        <v>15755</v>
      </c>
      <c r="R575" s="82">
        <f t="shared" si="266"/>
        <v>19971.03</v>
      </c>
      <c r="S575" s="82">
        <f t="shared" si="267"/>
        <v>19971.03</v>
      </c>
      <c r="T575" s="82">
        <f t="shared" si="268"/>
        <v>19971.03</v>
      </c>
    </row>
    <row r="576" spans="2:20" s="34" customFormat="1" ht="34.799999999999997">
      <c r="B576" s="87" t="s">
        <v>1113</v>
      </c>
      <c r="C576" s="88" t="s">
        <v>1114</v>
      </c>
      <c r="D576" s="89" t="s">
        <v>131</v>
      </c>
      <c r="E576" s="92">
        <v>17</v>
      </c>
      <c r="F576" s="92">
        <v>17</v>
      </c>
      <c r="G576" s="91"/>
      <c r="H576" s="91"/>
      <c r="I576" s="91"/>
      <c r="J576" s="91">
        <f>SUM(H576:I576)+'BM 010'!I569</f>
        <v>0</v>
      </c>
      <c r="K576" s="91">
        <f t="shared" si="253"/>
        <v>17</v>
      </c>
      <c r="L576" s="84">
        <v>725</v>
      </c>
      <c r="M576" s="81">
        <v>919.01007975000005</v>
      </c>
      <c r="N576" s="82">
        <f t="shared" si="263"/>
        <v>0</v>
      </c>
      <c r="O576" s="82">
        <f t="shared" si="264"/>
        <v>0</v>
      </c>
      <c r="P576" s="82">
        <f>O576+'BM 010'!O569</f>
        <v>0</v>
      </c>
      <c r="Q576" s="80">
        <f t="shared" si="265"/>
        <v>12325</v>
      </c>
      <c r="R576" s="82">
        <f t="shared" si="266"/>
        <v>15623.17</v>
      </c>
      <c r="S576" s="82">
        <f t="shared" si="267"/>
        <v>15623.17</v>
      </c>
      <c r="T576" s="82">
        <f t="shared" si="268"/>
        <v>15623.17</v>
      </c>
    </row>
    <row r="577" spans="2:20" s="34" customFormat="1" ht="23.4">
      <c r="B577" s="87" t="s">
        <v>1115</v>
      </c>
      <c r="C577" s="88" t="s">
        <v>1116</v>
      </c>
      <c r="D577" s="89" t="s">
        <v>63</v>
      </c>
      <c r="E577" s="92">
        <v>56</v>
      </c>
      <c r="F577" s="92">
        <v>56</v>
      </c>
      <c r="G577" s="91"/>
      <c r="H577" s="91"/>
      <c r="I577" s="91"/>
      <c r="J577" s="91">
        <f>SUM(H577:I577)+'BM 010'!I570</f>
        <v>0</v>
      </c>
      <c r="K577" s="91">
        <f t="shared" si="253"/>
        <v>56</v>
      </c>
      <c r="L577" s="84">
        <v>175</v>
      </c>
      <c r="M577" s="81">
        <v>221.83001924999999</v>
      </c>
      <c r="N577" s="82">
        <f t="shared" si="263"/>
        <v>0</v>
      </c>
      <c r="O577" s="82">
        <f t="shared" si="264"/>
        <v>0</v>
      </c>
      <c r="P577" s="82">
        <f>O577+'BM 010'!O570</f>
        <v>0</v>
      </c>
      <c r="Q577" s="80">
        <f t="shared" si="265"/>
        <v>9800</v>
      </c>
      <c r="R577" s="82">
        <f t="shared" si="266"/>
        <v>12422.48</v>
      </c>
      <c r="S577" s="82">
        <f t="shared" si="267"/>
        <v>12422.48</v>
      </c>
      <c r="T577" s="82">
        <f t="shared" si="268"/>
        <v>12422.48</v>
      </c>
    </row>
    <row r="578" spans="2:20" s="34" customFormat="1" ht="23.4">
      <c r="B578" s="87" t="s">
        <v>1117</v>
      </c>
      <c r="C578" s="88" t="s">
        <v>1118</v>
      </c>
      <c r="D578" s="89" t="s">
        <v>63</v>
      </c>
      <c r="E578" s="92">
        <v>11</v>
      </c>
      <c r="F578" s="92">
        <v>11</v>
      </c>
      <c r="G578" s="91"/>
      <c r="H578" s="91"/>
      <c r="I578" s="91"/>
      <c r="J578" s="91">
        <f>SUM(H578:I578)+'BM 010'!I571</f>
        <v>0</v>
      </c>
      <c r="K578" s="91">
        <f t="shared" si="253"/>
        <v>11</v>
      </c>
      <c r="L578" s="84">
        <v>120</v>
      </c>
      <c r="M578" s="81">
        <v>152.11201320000001</v>
      </c>
      <c r="N578" s="82">
        <f t="shared" si="263"/>
        <v>0</v>
      </c>
      <c r="O578" s="82">
        <f t="shared" si="264"/>
        <v>0</v>
      </c>
      <c r="P578" s="82">
        <f>O578+'BM 010'!O571</f>
        <v>0</v>
      </c>
      <c r="Q578" s="80">
        <f t="shared" si="265"/>
        <v>1320</v>
      </c>
      <c r="R578" s="82">
        <f t="shared" si="266"/>
        <v>1673.23</v>
      </c>
      <c r="S578" s="82">
        <f t="shared" si="267"/>
        <v>1673.23</v>
      </c>
      <c r="T578" s="82">
        <f t="shared" si="268"/>
        <v>1673.23</v>
      </c>
    </row>
    <row r="579" spans="2:20" s="34" customFormat="1" ht="46.2">
      <c r="B579" s="87" t="s">
        <v>1119</v>
      </c>
      <c r="C579" s="88" t="s">
        <v>1120</v>
      </c>
      <c r="D579" s="89" t="s">
        <v>63</v>
      </c>
      <c r="E579" s="92">
        <v>20</v>
      </c>
      <c r="F579" s="92">
        <v>20</v>
      </c>
      <c r="G579" s="91"/>
      <c r="H579" s="91"/>
      <c r="I579" s="91"/>
      <c r="J579" s="91">
        <f>SUM(H579:I579)+'BM 010'!I572</f>
        <v>0</v>
      </c>
      <c r="K579" s="91">
        <f t="shared" si="253"/>
        <v>20</v>
      </c>
      <c r="L579" s="84">
        <v>205</v>
      </c>
      <c r="M579" s="81">
        <v>259.85802254999999</v>
      </c>
      <c r="N579" s="82">
        <f t="shared" si="263"/>
        <v>0</v>
      </c>
      <c r="O579" s="82">
        <f t="shared" si="264"/>
        <v>0</v>
      </c>
      <c r="P579" s="82">
        <f>O579+'BM 010'!O572</f>
        <v>0</v>
      </c>
      <c r="Q579" s="80">
        <f t="shared" si="265"/>
        <v>4100</v>
      </c>
      <c r="R579" s="82">
        <f t="shared" si="266"/>
        <v>5197.16</v>
      </c>
      <c r="S579" s="82">
        <f t="shared" si="267"/>
        <v>5197.16</v>
      </c>
      <c r="T579" s="82">
        <f t="shared" si="268"/>
        <v>5197.16</v>
      </c>
    </row>
    <row r="580" spans="2:20" s="34" customFormat="1" ht="23.4">
      <c r="B580" s="87" t="s">
        <v>1121</v>
      </c>
      <c r="C580" s="88" t="s">
        <v>1122</v>
      </c>
      <c r="D580" s="89" t="s">
        <v>63</v>
      </c>
      <c r="E580" s="92">
        <v>39</v>
      </c>
      <c r="F580" s="92">
        <v>39</v>
      </c>
      <c r="G580" s="91"/>
      <c r="H580" s="91"/>
      <c r="I580" s="91"/>
      <c r="J580" s="91">
        <f>SUM(H580:I580)+'BM 010'!I573</f>
        <v>0</v>
      </c>
      <c r="K580" s="91">
        <f t="shared" si="253"/>
        <v>39</v>
      </c>
      <c r="L580" s="84">
        <v>730</v>
      </c>
      <c r="M580" s="81">
        <v>925.34808029999999</v>
      </c>
      <c r="N580" s="82">
        <f t="shared" si="263"/>
        <v>0</v>
      </c>
      <c r="O580" s="82">
        <f t="shared" si="264"/>
        <v>0</v>
      </c>
      <c r="P580" s="82">
        <f>O580+'BM 010'!O573</f>
        <v>0</v>
      </c>
      <c r="Q580" s="80">
        <f t="shared" si="265"/>
        <v>28470</v>
      </c>
      <c r="R580" s="82">
        <f t="shared" si="266"/>
        <v>36088.57</v>
      </c>
      <c r="S580" s="82">
        <f t="shared" si="267"/>
        <v>36088.57</v>
      </c>
      <c r="T580" s="82">
        <f t="shared" si="268"/>
        <v>36088.57</v>
      </c>
    </row>
    <row r="581" spans="2:20" s="34" customFormat="1" ht="23.4">
      <c r="B581" s="87" t="s">
        <v>1123</v>
      </c>
      <c r="C581" s="88" t="s">
        <v>1124</v>
      </c>
      <c r="D581" s="89" t="s">
        <v>63</v>
      </c>
      <c r="E581" s="92">
        <v>6</v>
      </c>
      <c r="F581" s="92">
        <v>12</v>
      </c>
      <c r="G581" s="91"/>
      <c r="H581" s="91"/>
      <c r="I581" s="91"/>
      <c r="J581" s="91">
        <f>SUM(H581:I581)+'BM 010'!I574</f>
        <v>0</v>
      </c>
      <c r="K581" s="91">
        <f t="shared" si="253"/>
        <v>12</v>
      </c>
      <c r="L581" s="84">
        <v>4500</v>
      </c>
      <c r="M581" s="81">
        <v>5704.200495</v>
      </c>
      <c r="N581" s="82">
        <f t="shared" si="263"/>
        <v>0</v>
      </c>
      <c r="O581" s="82">
        <f t="shared" si="264"/>
        <v>0</v>
      </c>
      <c r="P581" s="82">
        <f>O581+'BM 010'!O574</f>
        <v>0</v>
      </c>
      <c r="Q581" s="80">
        <f t="shared" si="265"/>
        <v>27000</v>
      </c>
      <c r="R581" s="82">
        <f t="shared" si="266"/>
        <v>34225.199999999997</v>
      </c>
      <c r="S581" s="82">
        <f t="shared" si="267"/>
        <v>68450.399999999994</v>
      </c>
      <c r="T581" s="82">
        <f t="shared" si="268"/>
        <v>68450.399999999994</v>
      </c>
    </row>
    <row r="582" spans="2:20" s="34" customFormat="1" ht="46.2">
      <c r="B582" s="87" t="s">
        <v>1125</v>
      </c>
      <c r="C582" s="88" t="s">
        <v>1126</v>
      </c>
      <c r="D582" s="89" t="s">
        <v>63</v>
      </c>
      <c r="E582" s="92">
        <v>59</v>
      </c>
      <c r="F582" s="92">
        <v>59</v>
      </c>
      <c r="G582" s="91"/>
      <c r="H582" s="91"/>
      <c r="I582" s="91"/>
      <c r="J582" s="91">
        <f>SUM(H582:I582)+'BM 010'!I575</f>
        <v>0</v>
      </c>
      <c r="K582" s="91">
        <f t="shared" si="253"/>
        <v>59</v>
      </c>
      <c r="L582" s="84">
        <v>745</v>
      </c>
      <c r="M582" s="81">
        <v>944.36208194999995</v>
      </c>
      <c r="N582" s="82">
        <f t="shared" si="263"/>
        <v>0</v>
      </c>
      <c r="O582" s="82">
        <f t="shared" si="264"/>
        <v>0</v>
      </c>
      <c r="P582" s="82">
        <f>O582+'BM 010'!O575</f>
        <v>0</v>
      </c>
      <c r="Q582" s="80">
        <f t="shared" si="265"/>
        <v>43955</v>
      </c>
      <c r="R582" s="82">
        <f t="shared" si="266"/>
        <v>55717.36</v>
      </c>
      <c r="S582" s="82">
        <f t="shared" si="267"/>
        <v>55717.36</v>
      </c>
      <c r="T582" s="82">
        <f t="shared" si="268"/>
        <v>55717.36</v>
      </c>
    </row>
    <row r="583" spans="2:20" s="34" customFormat="1" ht="23.4">
      <c r="B583" s="87" t="s">
        <v>1127</v>
      </c>
      <c r="C583" s="88" t="s">
        <v>1128</v>
      </c>
      <c r="D583" s="89" t="s">
        <v>63</v>
      </c>
      <c r="E583" s="92">
        <v>74</v>
      </c>
      <c r="F583" s="92">
        <v>74</v>
      </c>
      <c r="G583" s="91"/>
      <c r="H583" s="91"/>
      <c r="I583" s="91"/>
      <c r="J583" s="91">
        <f>SUM(H583:I583)+'BM 010'!I576</f>
        <v>0</v>
      </c>
      <c r="K583" s="91">
        <f t="shared" si="253"/>
        <v>74</v>
      </c>
      <c r="L583" s="84">
        <v>250</v>
      </c>
      <c r="M583" s="81">
        <v>316.90002750000002</v>
      </c>
      <c r="N583" s="82">
        <f t="shared" si="263"/>
        <v>0</v>
      </c>
      <c r="O583" s="82">
        <f t="shared" si="264"/>
        <v>0</v>
      </c>
      <c r="P583" s="82">
        <f>O583+'BM 010'!O576</f>
        <v>0</v>
      </c>
      <c r="Q583" s="80">
        <f t="shared" si="265"/>
        <v>18500</v>
      </c>
      <c r="R583" s="82">
        <f t="shared" si="266"/>
        <v>23450.6</v>
      </c>
      <c r="S583" s="82">
        <f t="shared" si="267"/>
        <v>23450.6</v>
      </c>
      <c r="T583" s="82">
        <f t="shared" si="268"/>
        <v>23450.6</v>
      </c>
    </row>
    <row r="584" spans="2:20" s="34" customFormat="1" ht="23.4">
      <c r="B584" s="87" t="s">
        <v>1129</v>
      </c>
      <c r="C584" s="88" t="s">
        <v>1130</v>
      </c>
      <c r="D584" s="89" t="s">
        <v>63</v>
      </c>
      <c r="E584" s="92">
        <v>49</v>
      </c>
      <c r="F584" s="92">
        <v>49</v>
      </c>
      <c r="G584" s="91"/>
      <c r="H584" s="91"/>
      <c r="I584" s="91"/>
      <c r="J584" s="91">
        <f>SUM(H584:I584)+'BM 010'!I577</f>
        <v>0</v>
      </c>
      <c r="K584" s="91">
        <f t="shared" si="253"/>
        <v>49</v>
      </c>
      <c r="L584" s="84">
        <v>250</v>
      </c>
      <c r="M584" s="81">
        <v>316.90002750000002</v>
      </c>
      <c r="N584" s="82">
        <f t="shared" si="263"/>
        <v>0</v>
      </c>
      <c r="O584" s="82">
        <f t="shared" si="264"/>
        <v>0</v>
      </c>
      <c r="P584" s="82">
        <f>O584+'BM 010'!O577</f>
        <v>0</v>
      </c>
      <c r="Q584" s="80">
        <f t="shared" si="265"/>
        <v>12250</v>
      </c>
      <c r="R584" s="82">
        <f t="shared" si="266"/>
        <v>15528.1</v>
      </c>
      <c r="S584" s="82">
        <f t="shared" si="267"/>
        <v>15528.1</v>
      </c>
      <c r="T584" s="82">
        <f t="shared" si="268"/>
        <v>15528.1</v>
      </c>
    </row>
    <row r="585" spans="2:20" s="34" customFormat="1" ht="23.4">
      <c r="B585" s="87" t="s">
        <v>1131</v>
      </c>
      <c r="C585" s="88" t="s">
        <v>1132</v>
      </c>
      <c r="D585" s="89" t="s">
        <v>63</v>
      </c>
      <c r="E585" s="92">
        <v>102</v>
      </c>
      <c r="F585" s="92">
        <v>102</v>
      </c>
      <c r="G585" s="91"/>
      <c r="H585" s="91"/>
      <c r="I585" s="91"/>
      <c r="J585" s="91">
        <f>SUM(H585:I585)+'BM 010'!I578</f>
        <v>0</v>
      </c>
      <c r="K585" s="91">
        <f t="shared" si="253"/>
        <v>102</v>
      </c>
      <c r="L585" s="84">
        <v>200</v>
      </c>
      <c r="M585" s="81">
        <v>253.52002200000001</v>
      </c>
      <c r="N585" s="82">
        <f t="shared" si="263"/>
        <v>0</v>
      </c>
      <c r="O585" s="82">
        <f t="shared" si="264"/>
        <v>0</v>
      </c>
      <c r="P585" s="82">
        <f>O585+'BM 010'!O578</f>
        <v>0</v>
      </c>
      <c r="Q585" s="80">
        <f t="shared" si="265"/>
        <v>20400</v>
      </c>
      <c r="R585" s="82">
        <f t="shared" si="266"/>
        <v>25859.040000000001</v>
      </c>
      <c r="S585" s="82">
        <f t="shared" si="267"/>
        <v>25859.040000000001</v>
      </c>
      <c r="T585" s="82">
        <f t="shared" si="268"/>
        <v>25859.040000000001</v>
      </c>
    </row>
    <row r="586" spans="2:20" s="34" customFormat="1" ht="13.2">
      <c r="B586" s="87" t="s">
        <v>1133</v>
      </c>
      <c r="C586" s="88" t="s">
        <v>1134</v>
      </c>
      <c r="D586" s="89" t="s">
        <v>63</v>
      </c>
      <c r="E586" s="92">
        <v>135</v>
      </c>
      <c r="F586" s="92">
        <v>135</v>
      </c>
      <c r="G586" s="91"/>
      <c r="H586" s="91"/>
      <c r="I586" s="91"/>
      <c r="J586" s="91">
        <f>SUM(H586:I586)+'BM 010'!I579</f>
        <v>0</v>
      </c>
      <c r="K586" s="91">
        <f t="shared" si="253"/>
        <v>135</v>
      </c>
      <c r="L586" s="84">
        <v>85</v>
      </c>
      <c r="M586" s="81">
        <v>107.74600934999999</v>
      </c>
      <c r="N586" s="82">
        <f t="shared" si="263"/>
        <v>0</v>
      </c>
      <c r="O586" s="82">
        <f t="shared" si="264"/>
        <v>0</v>
      </c>
      <c r="P586" s="82">
        <f>O586+'BM 010'!O579</f>
        <v>0</v>
      </c>
      <c r="Q586" s="80">
        <f t="shared" si="265"/>
        <v>11475</v>
      </c>
      <c r="R586" s="82">
        <f t="shared" si="266"/>
        <v>14545.71</v>
      </c>
      <c r="S586" s="82">
        <f t="shared" si="267"/>
        <v>14545.71</v>
      </c>
      <c r="T586" s="82">
        <f t="shared" si="268"/>
        <v>14545.71</v>
      </c>
    </row>
    <row r="587" spans="2:20" s="34" customFormat="1" ht="34.799999999999997">
      <c r="B587" s="87" t="s">
        <v>1135</v>
      </c>
      <c r="C587" s="88" t="s">
        <v>1136</v>
      </c>
      <c r="D587" s="89" t="s">
        <v>79</v>
      </c>
      <c r="E587" s="92">
        <v>43.42</v>
      </c>
      <c r="F587" s="92">
        <v>43.42</v>
      </c>
      <c r="G587" s="91"/>
      <c r="H587" s="91"/>
      <c r="I587" s="91"/>
      <c r="J587" s="91">
        <f>SUM(H587:I587)+'BM 010'!I580</f>
        <v>0</v>
      </c>
      <c r="K587" s="91">
        <f t="shared" si="253"/>
        <v>43.42</v>
      </c>
      <c r="L587" s="84">
        <v>2590</v>
      </c>
      <c r="M587" s="81">
        <v>3283.0842849000001</v>
      </c>
      <c r="N587" s="82">
        <f t="shared" si="263"/>
        <v>0</v>
      </c>
      <c r="O587" s="82">
        <f t="shared" si="264"/>
        <v>0</v>
      </c>
      <c r="P587" s="82">
        <f>O587+'BM 010'!O580</f>
        <v>0</v>
      </c>
      <c r="Q587" s="80">
        <f t="shared" si="265"/>
        <v>112457.8</v>
      </c>
      <c r="R587" s="82">
        <f t="shared" si="266"/>
        <v>142551.51</v>
      </c>
      <c r="S587" s="82">
        <f t="shared" si="267"/>
        <v>142551.51</v>
      </c>
      <c r="T587" s="82">
        <f t="shared" si="268"/>
        <v>142551.51</v>
      </c>
    </row>
    <row r="588" spans="2:20" s="34" customFormat="1" ht="34.799999999999997">
      <c r="B588" s="87" t="s">
        <v>1137</v>
      </c>
      <c r="C588" s="88" t="s">
        <v>1138</v>
      </c>
      <c r="D588" s="89" t="s">
        <v>79</v>
      </c>
      <c r="E588" s="92">
        <v>8.93</v>
      </c>
      <c r="F588" s="92">
        <v>8.93</v>
      </c>
      <c r="G588" s="91"/>
      <c r="H588" s="91"/>
      <c r="I588" s="91"/>
      <c r="J588" s="91">
        <f>SUM(H588:I588)+'BM 010'!I581</f>
        <v>0</v>
      </c>
      <c r="K588" s="91">
        <f t="shared" si="253"/>
        <v>8.93</v>
      </c>
      <c r="L588" s="84">
        <v>950</v>
      </c>
      <c r="M588" s="81">
        <v>1204.2201044999999</v>
      </c>
      <c r="N588" s="82">
        <f t="shared" si="263"/>
        <v>0</v>
      </c>
      <c r="O588" s="82">
        <f t="shared" si="264"/>
        <v>0</v>
      </c>
      <c r="P588" s="82">
        <f>O588+'BM 010'!O581</f>
        <v>0</v>
      </c>
      <c r="Q588" s="80">
        <f t="shared" si="265"/>
        <v>8483.5</v>
      </c>
      <c r="R588" s="82">
        <f t="shared" si="266"/>
        <v>10753.68</v>
      </c>
      <c r="S588" s="82">
        <f t="shared" si="267"/>
        <v>10753.68</v>
      </c>
      <c r="T588" s="82">
        <f t="shared" si="268"/>
        <v>10753.68</v>
      </c>
    </row>
    <row r="589" spans="2:20" s="34" customFormat="1" ht="23.4">
      <c r="B589" s="87" t="s">
        <v>1139</v>
      </c>
      <c r="C589" s="88" t="s">
        <v>1140</v>
      </c>
      <c r="D589" s="89" t="s">
        <v>63</v>
      </c>
      <c r="E589" s="92">
        <v>1</v>
      </c>
      <c r="F589" s="92">
        <v>1</v>
      </c>
      <c r="G589" s="91"/>
      <c r="H589" s="91"/>
      <c r="I589" s="91"/>
      <c r="J589" s="91">
        <f>SUM(H589:I589)+'BM 010'!I582</f>
        <v>0</v>
      </c>
      <c r="K589" s="91">
        <f t="shared" si="253"/>
        <v>1</v>
      </c>
      <c r="L589" s="84">
        <v>210</v>
      </c>
      <c r="M589" s="81">
        <v>266.19602309999999</v>
      </c>
      <c r="N589" s="82">
        <f t="shared" si="263"/>
        <v>0</v>
      </c>
      <c r="O589" s="82">
        <f t="shared" si="264"/>
        <v>0</v>
      </c>
      <c r="P589" s="82">
        <f>O589+'BM 010'!O582</f>
        <v>0</v>
      </c>
      <c r="Q589" s="80">
        <f t="shared" si="265"/>
        <v>210</v>
      </c>
      <c r="R589" s="82">
        <f t="shared" si="266"/>
        <v>266.19</v>
      </c>
      <c r="S589" s="82">
        <f t="shared" si="267"/>
        <v>266.19</v>
      </c>
      <c r="T589" s="82">
        <f t="shared" si="268"/>
        <v>266.19</v>
      </c>
    </row>
    <row r="590" spans="2:20" s="34" customFormat="1" ht="34.799999999999997">
      <c r="B590" s="87" t="s">
        <v>1141</v>
      </c>
      <c r="C590" s="88" t="s">
        <v>1142</v>
      </c>
      <c r="D590" s="89" t="s">
        <v>63</v>
      </c>
      <c r="E590" s="92">
        <v>22</v>
      </c>
      <c r="F590" s="92">
        <v>22</v>
      </c>
      <c r="G590" s="91"/>
      <c r="H590" s="91"/>
      <c r="I590" s="91"/>
      <c r="J590" s="91">
        <f>SUM(H590:I590)+'BM 010'!I583</f>
        <v>0</v>
      </c>
      <c r="K590" s="91">
        <f t="shared" si="253"/>
        <v>22</v>
      </c>
      <c r="L590" s="84">
        <v>490</v>
      </c>
      <c r="M590" s="81">
        <v>621.12405390000004</v>
      </c>
      <c r="N590" s="82">
        <f t="shared" si="263"/>
        <v>0</v>
      </c>
      <c r="O590" s="82">
        <f t="shared" si="264"/>
        <v>0</v>
      </c>
      <c r="P590" s="82">
        <f>O590+'BM 010'!O583</f>
        <v>0</v>
      </c>
      <c r="Q590" s="80">
        <f t="shared" si="265"/>
        <v>10780</v>
      </c>
      <c r="R590" s="82">
        <f t="shared" si="266"/>
        <v>13664.72</v>
      </c>
      <c r="S590" s="82">
        <f t="shared" si="267"/>
        <v>13664.72</v>
      </c>
      <c r="T590" s="82">
        <f t="shared" si="268"/>
        <v>13664.72</v>
      </c>
    </row>
    <row r="591" spans="2:20" s="34" customFormat="1" ht="57.6">
      <c r="B591" s="87" t="s">
        <v>1143</v>
      </c>
      <c r="C591" s="88" t="s">
        <v>1144</v>
      </c>
      <c r="D591" s="89" t="s">
        <v>63</v>
      </c>
      <c r="E591" s="92">
        <v>3</v>
      </c>
      <c r="F591" s="92">
        <v>3</v>
      </c>
      <c r="G591" s="91"/>
      <c r="H591" s="91"/>
      <c r="I591" s="91"/>
      <c r="J591" s="91">
        <f>SUM(H591:I591)+'BM 010'!I584</f>
        <v>0</v>
      </c>
      <c r="K591" s="91">
        <f t="shared" si="253"/>
        <v>3</v>
      </c>
      <c r="L591" s="84">
        <v>2480</v>
      </c>
      <c r="M591" s="81">
        <v>3143.6482728000001</v>
      </c>
      <c r="N591" s="82">
        <f t="shared" si="263"/>
        <v>0</v>
      </c>
      <c r="O591" s="82">
        <f t="shared" si="264"/>
        <v>0</v>
      </c>
      <c r="P591" s="82">
        <f>O591+'BM 010'!O584</f>
        <v>0</v>
      </c>
      <c r="Q591" s="80">
        <f t="shared" si="265"/>
        <v>7440</v>
      </c>
      <c r="R591" s="82">
        <f t="shared" si="266"/>
        <v>9430.94</v>
      </c>
      <c r="S591" s="82">
        <f t="shared" si="267"/>
        <v>9430.94</v>
      </c>
      <c r="T591" s="82">
        <f t="shared" si="268"/>
        <v>9430.94</v>
      </c>
    </row>
    <row r="592" spans="2:20" s="34" customFormat="1" ht="23.4">
      <c r="B592" s="87" t="s">
        <v>1145</v>
      </c>
      <c r="C592" s="88" t="s">
        <v>1146</v>
      </c>
      <c r="D592" s="89" t="s">
        <v>63</v>
      </c>
      <c r="E592" s="92">
        <v>7</v>
      </c>
      <c r="F592" s="92">
        <v>7</v>
      </c>
      <c r="G592" s="91"/>
      <c r="H592" s="91"/>
      <c r="I592" s="91"/>
      <c r="J592" s="91">
        <f>SUM(H592:I592)+'BM 010'!I585</f>
        <v>0</v>
      </c>
      <c r="K592" s="91">
        <f t="shared" si="253"/>
        <v>7</v>
      </c>
      <c r="L592" s="84">
        <v>950</v>
      </c>
      <c r="M592" s="81">
        <v>1204.2201044999999</v>
      </c>
      <c r="N592" s="82">
        <f t="shared" si="263"/>
        <v>0</v>
      </c>
      <c r="O592" s="82">
        <f t="shared" si="264"/>
        <v>0</v>
      </c>
      <c r="P592" s="82">
        <f>O592+'BM 010'!O585</f>
        <v>0</v>
      </c>
      <c r="Q592" s="80">
        <f t="shared" si="265"/>
        <v>6650</v>
      </c>
      <c r="R592" s="82">
        <f t="shared" si="266"/>
        <v>8429.5400000000009</v>
      </c>
      <c r="S592" s="82">
        <f t="shared" si="267"/>
        <v>8429.5400000000009</v>
      </c>
      <c r="T592" s="82">
        <f t="shared" si="268"/>
        <v>8429.5400000000009</v>
      </c>
    </row>
    <row r="593" spans="2:22" s="34" customFormat="1" ht="34.799999999999997">
      <c r="B593" s="87" t="s">
        <v>1147</v>
      </c>
      <c r="C593" s="88" t="s">
        <v>1148</v>
      </c>
      <c r="D593" s="89" t="s">
        <v>63</v>
      </c>
      <c r="E593" s="92">
        <v>43</v>
      </c>
      <c r="F593" s="92">
        <v>43</v>
      </c>
      <c r="G593" s="91"/>
      <c r="H593" s="91"/>
      <c r="I593" s="91"/>
      <c r="J593" s="91">
        <f>SUM(H593:I593)+'BM 010'!I586</f>
        <v>0</v>
      </c>
      <c r="K593" s="91">
        <f t="shared" si="253"/>
        <v>43</v>
      </c>
      <c r="L593" s="84">
        <v>300</v>
      </c>
      <c r="M593" s="81">
        <v>380.280033</v>
      </c>
      <c r="N593" s="82">
        <f t="shared" si="263"/>
        <v>0</v>
      </c>
      <c r="O593" s="82">
        <f t="shared" si="264"/>
        <v>0</v>
      </c>
      <c r="P593" s="82">
        <f>O593+'BM 010'!O586</f>
        <v>0</v>
      </c>
      <c r="Q593" s="80">
        <f t="shared" si="265"/>
        <v>12900</v>
      </c>
      <c r="R593" s="82">
        <f t="shared" si="266"/>
        <v>16352.04</v>
      </c>
      <c r="S593" s="82">
        <f t="shared" si="267"/>
        <v>16352.04</v>
      </c>
      <c r="T593" s="82">
        <f t="shared" si="268"/>
        <v>16352.04</v>
      </c>
    </row>
    <row r="594" spans="2:22" s="34" customFormat="1" ht="34.799999999999997">
      <c r="B594" s="87" t="s">
        <v>1149</v>
      </c>
      <c r="C594" s="88" t="s">
        <v>1150</v>
      </c>
      <c r="D594" s="89" t="s">
        <v>63</v>
      </c>
      <c r="E594" s="92">
        <v>4</v>
      </c>
      <c r="F594" s="92">
        <v>4</v>
      </c>
      <c r="G594" s="91"/>
      <c r="H594" s="91"/>
      <c r="I594" s="91"/>
      <c r="J594" s="91">
        <f>SUM(H594:I594)+'BM 010'!I587</f>
        <v>0</v>
      </c>
      <c r="K594" s="91">
        <f t="shared" si="253"/>
        <v>4</v>
      </c>
      <c r="L594" s="84">
        <v>3852</v>
      </c>
      <c r="M594" s="81">
        <v>4882.7956237199996</v>
      </c>
      <c r="N594" s="82">
        <f t="shared" si="263"/>
        <v>0</v>
      </c>
      <c r="O594" s="82">
        <f t="shared" si="264"/>
        <v>0</v>
      </c>
      <c r="P594" s="82">
        <f>O594+'BM 010'!O587</f>
        <v>0</v>
      </c>
      <c r="Q594" s="80">
        <f t="shared" si="265"/>
        <v>15408</v>
      </c>
      <c r="R594" s="82">
        <f t="shared" si="266"/>
        <v>19531.18</v>
      </c>
      <c r="S594" s="82">
        <f t="shared" si="267"/>
        <v>19531.18</v>
      </c>
      <c r="T594" s="82">
        <f t="shared" si="268"/>
        <v>19531.18</v>
      </c>
    </row>
    <row r="595" spans="2:22" s="34" customFormat="1" ht="13.2">
      <c r="B595" s="60" t="s">
        <v>1151</v>
      </c>
      <c r="C595" s="61" t="s">
        <v>1152</v>
      </c>
      <c r="D595" s="60"/>
      <c r="E595" s="62"/>
      <c r="F595" s="284"/>
      <c r="G595" s="63"/>
      <c r="H595" s="63"/>
      <c r="I595" s="63"/>
      <c r="J595" s="63">
        <f>SUM(H595:I595)+'BM 010'!I588</f>
        <v>0</v>
      </c>
      <c r="K595" s="63">
        <f t="shared" si="253"/>
        <v>0</v>
      </c>
      <c r="L595" s="63"/>
      <c r="M595" s="63"/>
      <c r="N595" s="63">
        <f t="shared" ref="N595:T595" si="269">SUM(N596:N597)</f>
        <v>0</v>
      </c>
      <c r="O595" s="63">
        <f t="shared" si="269"/>
        <v>0</v>
      </c>
      <c r="P595" s="63">
        <f t="shared" si="269"/>
        <v>0</v>
      </c>
      <c r="Q595" s="63">
        <f t="shared" si="269"/>
        <v>30555.67</v>
      </c>
      <c r="R595" s="63">
        <f t="shared" si="269"/>
        <v>38732.36</v>
      </c>
      <c r="S595" s="63">
        <f t="shared" si="269"/>
        <v>38732.36</v>
      </c>
      <c r="T595" s="63">
        <f t="shared" si="269"/>
        <v>38732.36</v>
      </c>
    </row>
    <row r="596" spans="2:22" s="34" customFormat="1" ht="23.4">
      <c r="B596" s="75" t="s">
        <v>1153</v>
      </c>
      <c r="C596" s="76" t="s">
        <v>1154</v>
      </c>
      <c r="D596" s="121" t="s">
        <v>63</v>
      </c>
      <c r="E596" s="78">
        <v>1</v>
      </c>
      <c r="F596" s="78">
        <v>1</v>
      </c>
      <c r="G596" s="79"/>
      <c r="H596" s="79"/>
      <c r="I596" s="79"/>
      <c r="J596" s="79">
        <f>SUM(H596:I596)+'BM 010'!I589</f>
        <v>0</v>
      </c>
      <c r="K596" s="79">
        <f t="shared" si="253"/>
        <v>1</v>
      </c>
      <c r="L596" s="84">
        <v>5076.55</v>
      </c>
      <c r="M596" s="81">
        <v>6435.0353384205</v>
      </c>
      <c r="N596" s="82">
        <f>TRUNC(G596*M596,2)</f>
        <v>0</v>
      </c>
      <c r="O596" s="82">
        <f>TRUNC(H596*M596,2)</f>
        <v>0</v>
      </c>
      <c r="P596" s="82">
        <f>O596+'BM 010'!O589</f>
        <v>0</v>
      </c>
      <c r="Q596" s="80">
        <f>E596*L596</f>
        <v>5076.55</v>
      </c>
      <c r="R596" s="82">
        <f>TRUNC(E596*M596,2)</f>
        <v>6435.03</v>
      </c>
      <c r="S596" s="82">
        <f>TRUNC(F596*$M596,2)</f>
        <v>6435.03</v>
      </c>
      <c r="T596" s="82">
        <f>S596-P596</f>
        <v>6435.03</v>
      </c>
    </row>
    <row r="597" spans="2:22" s="34" customFormat="1" ht="13.2">
      <c r="B597" s="75" t="s">
        <v>1155</v>
      </c>
      <c r="C597" s="76" t="s">
        <v>1156</v>
      </c>
      <c r="D597" s="77" t="s">
        <v>79</v>
      </c>
      <c r="E597" s="303">
        <v>6369.78</v>
      </c>
      <c r="F597" s="303">
        <v>6369.78</v>
      </c>
      <c r="G597" s="304"/>
      <c r="H597" s="304"/>
      <c r="I597" s="304"/>
      <c r="J597" s="304">
        <f>SUM(H597:I597)+'BM 010'!I590</f>
        <v>0</v>
      </c>
      <c r="K597" s="304">
        <f t="shared" si="253"/>
        <v>6369.78</v>
      </c>
      <c r="L597" s="305">
        <v>4</v>
      </c>
      <c r="M597" s="306">
        <v>5.0704004400000002</v>
      </c>
      <c r="N597" s="307">
        <f>TRUNC(G597*M597,2)</f>
        <v>0</v>
      </c>
      <c r="O597" s="307">
        <f>TRUNC(H597*M597,2)</f>
        <v>0</v>
      </c>
      <c r="P597" s="307">
        <f>O597+'BM 010'!O590</f>
        <v>0</v>
      </c>
      <c r="Q597" s="94">
        <f>E597*L597</f>
        <v>25479.119999999999</v>
      </c>
      <c r="R597" s="307">
        <f>TRUNC(E597*M597,2)</f>
        <v>32297.33</v>
      </c>
      <c r="S597" s="307">
        <f>TRUNC(F597*$M597,2)</f>
        <v>32297.33</v>
      </c>
      <c r="T597" s="82">
        <f>S597-P597</f>
        <v>32297.33</v>
      </c>
      <c r="V597" s="83"/>
    </row>
    <row r="598" spans="2:22" s="34" customFormat="1" ht="13.2">
      <c r="B598" s="60" t="s">
        <v>1755</v>
      </c>
      <c r="C598" s="61" t="s">
        <v>1756</v>
      </c>
      <c r="D598" s="60"/>
      <c r="E598" s="62"/>
      <c r="F598" s="284"/>
      <c r="G598" s="63"/>
      <c r="H598" s="63"/>
      <c r="I598" s="63"/>
      <c r="J598" s="63">
        <f>SUM(H598:I598)+'BM 010'!I591</f>
        <v>0</v>
      </c>
      <c r="K598" s="63">
        <f t="shared" si="253"/>
        <v>0</v>
      </c>
      <c r="L598" s="63"/>
      <c r="M598" s="63"/>
      <c r="N598" s="63">
        <f t="shared" ref="N598:T598" si="270">SUM(N599,N605,N609,N621,N625,N632,N654,N668,N670,N673,N680)</f>
        <v>235727.35000000003</v>
      </c>
      <c r="O598" s="63">
        <f t="shared" si="270"/>
        <v>235727.35000000003</v>
      </c>
      <c r="P598" s="63">
        <f t="shared" si="270"/>
        <v>235727.35000000003</v>
      </c>
      <c r="Q598" s="63">
        <f t="shared" si="270"/>
        <v>0</v>
      </c>
      <c r="R598" s="63">
        <f t="shared" si="270"/>
        <v>0</v>
      </c>
      <c r="S598" s="63">
        <f t="shared" si="270"/>
        <v>278334.38</v>
      </c>
      <c r="T598" s="63">
        <f t="shared" si="270"/>
        <v>42607.03</v>
      </c>
    </row>
    <row r="599" spans="2:22" s="34" customFormat="1" ht="13.2">
      <c r="B599" s="66" t="s">
        <v>1757</v>
      </c>
      <c r="C599" s="67" t="s">
        <v>1758</v>
      </c>
      <c r="D599" s="68"/>
      <c r="E599" s="69"/>
      <c r="F599" s="69"/>
      <c r="G599" s="70"/>
      <c r="H599" s="70"/>
      <c r="I599" s="70"/>
      <c r="J599" s="70"/>
      <c r="K599" s="70"/>
      <c r="L599" s="308"/>
      <c r="M599" s="72"/>
      <c r="N599" s="73">
        <f t="shared" ref="N599:T599" si="271">SUM(N600:N604)</f>
        <v>13860.8</v>
      </c>
      <c r="O599" s="73">
        <f t="shared" si="271"/>
        <v>13860.8</v>
      </c>
      <c r="P599" s="73">
        <f t="shared" si="271"/>
        <v>13860.8</v>
      </c>
      <c r="Q599" s="73">
        <f t="shared" si="271"/>
        <v>0</v>
      </c>
      <c r="R599" s="73">
        <f t="shared" si="271"/>
        <v>0</v>
      </c>
      <c r="S599" s="73">
        <f t="shared" si="271"/>
        <v>13860.8</v>
      </c>
      <c r="T599" s="73">
        <f t="shared" si="271"/>
        <v>0</v>
      </c>
    </row>
    <row r="600" spans="2:22" s="34" customFormat="1" ht="23.4">
      <c r="B600" s="298" t="s">
        <v>1759</v>
      </c>
      <c r="C600" s="299" t="s">
        <v>1760</v>
      </c>
      <c r="D600" s="309" t="s">
        <v>79</v>
      </c>
      <c r="E600" s="93"/>
      <c r="F600" s="93">
        <v>89.94</v>
      </c>
      <c r="G600" s="79">
        <v>89.94</v>
      </c>
      <c r="H600" s="79">
        <f>G600</f>
        <v>89.94</v>
      </c>
      <c r="I600" s="79"/>
      <c r="J600" s="79">
        <f t="shared" ref="J600:J631" si="272">SUM(H600:I600)</f>
        <v>89.94</v>
      </c>
      <c r="K600" s="79">
        <f t="shared" ref="K600:K631" si="273">F600-J600</f>
        <v>0</v>
      </c>
      <c r="L600" s="84"/>
      <c r="M600" s="81">
        <v>3.42</v>
      </c>
      <c r="N600" s="82">
        <f>TRUNC(G600*M600,2)</f>
        <v>307.58999999999997</v>
      </c>
      <c r="O600" s="82">
        <f>TRUNC(H600*M600,2)</f>
        <v>307.58999999999997</v>
      </c>
      <c r="P600" s="82">
        <f>O600</f>
        <v>307.58999999999997</v>
      </c>
      <c r="Q600" s="82">
        <f>TRUNC(K600*P600,2)</f>
        <v>0</v>
      </c>
      <c r="R600" s="82">
        <f>TRUNC(E600*M600,2)</f>
        <v>0</v>
      </c>
      <c r="S600" s="82">
        <f>TRUNC(F600*$M600,2)</f>
        <v>307.58999999999997</v>
      </c>
      <c r="T600" s="82">
        <f>S600-P600</f>
        <v>0</v>
      </c>
    </row>
    <row r="601" spans="2:22" s="34" customFormat="1" ht="34.799999999999997">
      <c r="B601" s="298" t="s">
        <v>1761</v>
      </c>
      <c r="C601" s="299" t="s">
        <v>1762</v>
      </c>
      <c r="D601" s="309" t="s">
        <v>169</v>
      </c>
      <c r="E601" s="93"/>
      <c r="F601" s="93">
        <v>2.42</v>
      </c>
      <c r="G601" s="79">
        <v>2.42</v>
      </c>
      <c r="H601" s="79">
        <f>G601</f>
        <v>2.42</v>
      </c>
      <c r="I601" s="79"/>
      <c r="J601" s="79">
        <f t="shared" si="272"/>
        <v>2.42</v>
      </c>
      <c r="K601" s="79">
        <f t="shared" si="273"/>
        <v>0</v>
      </c>
      <c r="L601" s="84"/>
      <c r="M601" s="81">
        <v>62.27</v>
      </c>
      <c r="N601" s="82">
        <f>TRUNC(G601*M601,2)</f>
        <v>150.69</v>
      </c>
      <c r="O601" s="82">
        <f>TRUNC(H601*M601,2)</f>
        <v>150.69</v>
      </c>
      <c r="P601" s="82">
        <f>O601</f>
        <v>150.69</v>
      </c>
      <c r="Q601" s="82">
        <f>TRUNC(K601*P601,2)</f>
        <v>0</v>
      </c>
      <c r="R601" s="82">
        <f>TRUNC(E601*M601,2)</f>
        <v>0</v>
      </c>
      <c r="S601" s="82">
        <f>TRUNC(F601*$M601,2)</f>
        <v>150.69</v>
      </c>
      <c r="T601" s="82">
        <f>S601-P601</f>
        <v>0</v>
      </c>
    </row>
    <row r="602" spans="2:22" s="34" customFormat="1" ht="13.2">
      <c r="B602" s="298" t="s">
        <v>1763</v>
      </c>
      <c r="C602" s="299" t="s">
        <v>1764</v>
      </c>
      <c r="D602" s="309" t="s">
        <v>169</v>
      </c>
      <c r="E602" s="93"/>
      <c r="F602" s="93">
        <v>0.24</v>
      </c>
      <c r="G602" s="79">
        <v>0.24</v>
      </c>
      <c r="H602" s="79">
        <f>G602</f>
        <v>0.24</v>
      </c>
      <c r="I602" s="79"/>
      <c r="J602" s="79">
        <f t="shared" si="272"/>
        <v>0.24</v>
      </c>
      <c r="K602" s="79">
        <f t="shared" si="273"/>
        <v>0</v>
      </c>
      <c r="L602" s="84"/>
      <c r="M602" s="81">
        <v>544.85</v>
      </c>
      <c r="N602" s="82">
        <f>TRUNC(G602*M602,2)</f>
        <v>130.76</v>
      </c>
      <c r="O602" s="82">
        <f>TRUNC(H602*M602,2)</f>
        <v>130.76</v>
      </c>
      <c r="P602" s="82">
        <f>O602</f>
        <v>130.76</v>
      </c>
      <c r="Q602" s="82">
        <f>TRUNC(K602*P602,2)</f>
        <v>0</v>
      </c>
      <c r="R602" s="82">
        <f>TRUNC(E602*M602,2)</f>
        <v>0</v>
      </c>
      <c r="S602" s="82">
        <f>TRUNC(F602*$M602,2)</f>
        <v>130.76</v>
      </c>
      <c r="T602" s="82">
        <f>S602-P602</f>
        <v>0</v>
      </c>
    </row>
    <row r="603" spans="2:22" s="34" customFormat="1" ht="13.2">
      <c r="B603" s="298" t="s">
        <v>1765</v>
      </c>
      <c r="C603" s="299" t="s">
        <v>78</v>
      </c>
      <c r="D603" s="300" t="s">
        <v>79</v>
      </c>
      <c r="E603" s="93"/>
      <c r="F603" s="93">
        <v>55.86</v>
      </c>
      <c r="G603" s="79">
        <v>55.86</v>
      </c>
      <c r="H603" s="79">
        <f>G603</f>
        <v>55.86</v>
      </c>
      <c r="I603" s="79"/>
      <c r="J603" s="79">
        <f t="shared" si="272"/>
        <v>55.86</v>
      </c>
      <c r="K603" s="79">
        <f t="shared" si="273"/>
        <v>0</v>
      </c>
      <c r="L603" s="84"/>
      <c r="M603" s="81">
        <v>158.45001375000001</v>
      </c>
      <c r="N603" s="82">
        <f>TRUNC(G603*M603,2)</f>
        <v>8851.01</v>
      </c>
      <c r="O603" s="82">
        <f>TRUNC(H603*M603,2)</f>
        <v>8851.01</v>
      </c>
      <c r="P603" s="82">
        <f>O603</f>
        <v>8851.01</v>
      </c>
      <c r="Q603" s="82">
        <f>TRUNC(K603*P603,2)</f>
        <v>0</v>
      </c>
      <c r="R603" s="82">
        <f>TRUNC(E603*M603,2)</f>
        <v>0</v>
      </c>
      <c r="S603" s="82">
        <f>TRUNC(F603*$M603,2)</f>
        <v>8851.01</v>
      </c>
      <c r="T603" s="82">
        <f>S603-P603</f>
        <v>0</v>
      </c>
    </row>
    <row r="604" spans="2:22" s="34" customFormat="1" ht="34.799999999999997">
      <c r="B604" s="298" t="s">
        <v>1766</v>
      </c>
      <c r="C604" s="299" t="s">
        <v>119</v>
      </c>
      <c r="D604" s="300" t="s">
        <v>82</v>
      </c>
      <c r="E604" s="93"/>
      <c r="F604" s="93">
        <v>46.5</v>
      </c>
      <c r="G604" s="79">
        <v>46.5</v>
      </c>
      <c r="H604" s="79">
        <f>G604</f>
        <v>46.5</v>
      </c>
      <c r="I604" s="79"/>
      <c r="J604" s="79">
        <f t="shared" si="272"/>
        <v>46.5</v>
      </c>
      <c r="K604" s="79">
        <f t="shared" si="273"/>
        <v>0</v>
      </c>
      <c r="L604" s="84"/>
      <c r="M604" s="81">
        <v>95.070008250000001</v>
      </c>
      <c r="N604" s="82">
        <f>TRUNC(G604*M604,2)</f>
        <v>4420.75</v>
      </c>
      <c r="O604" s="82">
        <f>TRUNC(H604*M604,2)</f>
        <v>4420.75</v>
      </c>
      <c r="P604" s="82">
        <f>O604</f>
        <v>4420.75</v>
      </c>
      <c r="Q604" s="82">
        <f>TRUNC(K604*P604,2)</f>
        <v>0</v>
      </c>
      <c r="R604" s="82">
        <f>TRUNC(E604*M604,2)</f>
        <v>0</v>
      </c>
      <c r="S604" s="82">
        <f>TRUNC(F604*$M604,2)</f>
        <v>4420.75</v>
      </c>
      <c r="T604" s="82">
        <f>S604-P604</f>
        <v>0</v>
      </c>
    </row>
    <row r="605" spans="2:22" s="34" customFormat="1" ht="13.2">
      <c r="B605" s="66" t="s">
        <v>1767</v>
      </c>
      <c r="C605" s="67" t="s">
        <v>1768</v>
      </c>
      <c r="D605" s="68"/>
      <c r="E605" s="69"/>
      <c r="F605" s="69"/>
      <c r="G605" s="70"/>
      <c r="H605" s="70"/>
      <c r="I605" s="70"/>
      <c r="J605" s="70">
        <f t="shared" si="272"/>
        <v>0</v>
      </c>
      <c r="K605" s="70">
        <f t="shared" si="273"/>
        <v>0</v>
      </c>
      <c r="L605" s="308"/>
      <c r="M605" s="72">
        <v>0</v>
      </c>
      <c r="N605" s="73">
        <f t="shared" ref="N605:T605" si="274">SUM(N606:N608)</f>
        <v>842.25</v>
      </c>
      <c r="O605" s="73">
        <f t="shared" si="274"/>
        <v>842.25</v>
      </c>
      <c r="P605" s="73">
        <f t="shared" si="274"/>
        <v>842.25</v>
      </c>
      <c r="Q605" s="73">
        <f t="shared" si="274"/>
        <v>0</v>
      </c>
      <c r="R605" s="73">
        <f t="shared" si="274"/>
        <v>0</v>
      </c>
      <c r="S605" s="73">
        <f t="shared" si="274"/>
        <v>842.25</v>
      </c>
      <c r="T605" s="73">
        <f t="shared" si="274"/>
        <v>0</v>
      </c>
    </row>
    <row r="606" spans="2:22" s="34" customFormat="1" ht="46.2">
      <c r="B606" s="298" t="s">
        <v>1769</v>
      </c>
      <c r="C606" s="299" t="s">
        <v>1770</v>
      </c>
      <c r="D606" s="300" t="s">
        <v>169</v>
      </c>
      <c r="E606" s="93"/>
      <c r="F606" s="93">
        <v>7.61</v>
      </c>
      <c r="G606" s="79">
        <v>7.61</v>
      </c>
      <c r="H606" s="79">
        <f>G606</f>
        <v>7.61</v>
      </c>
      <c r="I606" s="79"/>
      <c r="J606" s="79">
        <f t="shared" si="272"/>
        <v>7.61</v>
      </c>
      <c r="K606" s="79">
        <f t="shared" si="273"/>
        <v>0</v>
      </c>
      <c r="L606" s="84"/>
      <c r="M606" s="81">
        <v>101.4080088</v>
      </c>
      <c r="N606" s="82">
        <f>TRUNC(G606*M606,2)</f>
        <v>771.71</v>
      </c>
      <c r="O606" s="82">
        <f>TRUNC(H606*M606,2)</f>
        <v>771.71</v>
      </c>
      <c r="P606" s="82">
        <f>O606</f>
        <v>771.71</v>
      </c>
      <c r="Q606" s="82">
        <f>TRUNC(K606*P606,2)</f>
        <v>0</v>
      </c>
      <c r="R606" s="82">
        <f>TRUNC(E606*M606,2)</f>
        <v>0</v>
      </c>
      <c r="S606" s="82">
        <f>TRUNC(F606*$M606,2)</f>
        <v>771.71</v>
      </c>
      <c r="T606" s="82">
        <f>S606-P606</f>
        <v>0</v>
      </c>
    </row>
    <row r="607" spans="2:22" s="34" customFormat="1" ht="57.6">
      <c r="B607" s="298" t="s">
        <v>1771</v>
      </c>
      <c r="C607" s="299" t="s">
        <v>1772</v>
      </c>
      <c r="D607" s="300" t="s">
        <v>169</v>
      </c>
      <c r="E607" s="93"/>
      <c r="F607" s="93">
        <v>0</v>
      </c>
      <c r="G607" s="79">
        <v>0</v>
      </c>
      <c r="H607" s="79">
        <f>G607</f>
        <v>0</v>
      </c>
      <c r="I607" s="79"/>
      <c r="J607" s="79">
        <f t="shared" si="272"/>
        <v>0</v>
      </c>
      <c r="K607" s="79">
        <f t="shared" si="273"/>
        <v>0</v>
      </c>
      <c r="L607" s="84"/>
      <c r="M607" s="81">
        <v>19.280197673100002</v>
      </c>
      <c r="N607" s="82">
        <f>TRUNC(G607*M607,2)</f>
        <v>0</v>
      </c>
      <c r="O607" s="82">
        <f>TRUNC(H607*M607,2)</f>
        <v>0</v>
      </c>
      <c r="P607" s="82">
        <f>O607</f>
        <v>0</v>
      </c>
      <c r="Q607" s="82">
        <f>TRUNC(K607*P607,2)</f>
        <v>0</v>
      </c>
      <c r="R607" s="82">
        <f>TRUNC(E607*M607,2)</f>
        <v>0</v>
      </c>
      <c r="S607" s="82">
        <f>TRUNC(F607*$M607,2)</f>
        <v>0</v>
      </c>
      <c r="T607" s="82">
        <f>S607-P607</f>
        <v>0</v>
      </c>
    </row>
    <row r="608" spans="2:22" s="34" customFormat="1" ht="46.2">
      <c r="B608" s="298" t="s">
        <v>1773</v>
      </c>
      <c r="C608" s="299" t="s">
        <v>1774</v>
      </c>
      <c r="D608" s="309" t="s">
        <v>79</v>
      </c>
      <c r="E608" s="93"/>
      <c r="F608" s="93">
        <v>92.75</v>
      </c>
      <c r="G608" s="79">
        <v>92.75</v>
      </c>
      <c r="H608" s="79">
        <f>G608</f>
        <v>92.75</v>
      </c>
      <c r="I608" s="79"/>
      <c r="J608" s="79">
        <f t="shared" si="272"/>
        <v>92.75</v>
      </c>
      <c r="K608" s="79">
        <f t="shared" si="273"/>
        <v>0</v>
      </c>
      <c r="L608" s="84"/>
      <c r="M608" s="81">
        <v>0.76056006600000003</v>
      </c>
      <c r="N608" s="82">
        <f>TRUNC(G608*M608,2)</f>
        <v>70.540000000000006</v>
      </c>
      <c r="O608" s="82">
        <f>TRUNC(H608*M608,2)</f>
        <v>70.540000000000006</v>
      </c>
      <c r="P608" s="82">
        <f>O608</f>
        <v>70.540000000000006</v>
      </c>
      <c r="Q608" s="82">
        <f>TRUNC(K608*P608,2)</f>
        <v>0</v>
      </c>
      <c r="R608" s="82">
        <f>TRUNC(E608*M608,2)</f>
        <v>0</v>
      </c>
      <c r="S608" s="82">
        <f>TRUNC(F608*$M608,2)</f>
        <v>70.540000000000006</v>
      </c>
      <c r="T608" s="82">
        <f>S608-P608</f>
        <v>0</v>
      </c>
    </row>
    <row r="609" spans="2:20" s="34" customFormat="1" ht="13.2">
      <c r="B609" s="66" t="s">
        <v>1775</v>
      </c>
      <c r="C609" s="67" t="s">
        <v>1776</v>
      </c>
      <c r="D609" s="68"/>
      <c r="E609" s="69"/>
      <c r="F609" s="69"/>
      <c r="G609" s="70"/>
      <c r="H609" s="70"/>
      <c r="I609" s="70"/>
      <c r="J609" s="70">
        <f t="shared" si="272"/>
        <v>0</v>
      </c>
      <c r="K609" s="70">
        <f t="shared" si="273"/>
        <v>0</v>
      </c>
      <c r="L609" s="308"/>
      <c r="M609" s="72">
        <v>0</v>
      </c>
      <c r="N609" s="73">
        <f t="shared" ref="N609:T609" si="275">SUM(N610:N620)</f>
        <v>77985.34</v>
      </c>
      <c r="O609" s="73">
        <f t="shared" si="275"/>
        <v>77985.34</v>
      </c>
      <c r="P609" s="73">
        <f t="shared" si="275"/>
        <v>77985.34</v>
      </c>
      <c r="Q609" s="73">
        <f t="shared" si="275"/>
        <v>0</v>
      </c>
      <c r="R609" s="73">
        <f t="shared" si="275"/>
        <v>0</v>
      </c>
      <c r="S609" s="73">
        <f t="shared" si="275"/>
        <v>77985.34</v>
      </c>
      <c r="T609" s="73">
        <f t="shared" si="275"/>
        <v>0</v>
      </c>
    </row>
    <row r="610" spans="2:20" s="34" customFormat="1" ht="46.2">
      <c r="B610" s="298" t="s">
        <v>1777</v>
      </c>
      <c r="C610" s="299" t="s">
        <v>1778</v>
      </c>
      <c r="D610" s="300" t="s">
        <v>169</v>
      </c>
      <c r="E610" s="93"/>
      <c r="F610" s="93">
        <v>5.0298749999999997</v>
      </c>
      <c r="G610" s="79">
        <v>5.0298749999999997</v>
      </c>
      <c r="H610" s="79">
        <f t="shared" ref="H610:H620" si="276">G610</f>
        <v>5.0298749999999997</v>
      </c>
      <c r="I610" s="79"/>
      <c r="J610" s="79">
        <f t="shared" si="272"/>
        <v>5.0298749999999997</v>
      </c>
      <c r="K610" s="79">
        <f t="shared" si="273"/>
        <v>0</v>
      </c>
      <c r="L610" s="84"/>
      <c r="M610" s="81">
        <v>56.243416880700003</v>
      </c>
      <c r="N610" s="82">
        <f t="shared" ref="N610:N620" si="277">TRUNC(G610*M610,2)</f>
        <v>282.89</v>
      </c>
      <c r="O610" s="82">
        <f t="shared" ref="O610:O620" si="278">TRUNC(H610*M610,2)</f>
        <v>282.89</v>
      </c>
      <c r="P610" s="82">
        <f t="shared" ref="P610:P620" si="279">O610</f>
        <v>282.89</v>
      </c>
      <c r="Q610" s="82">
        <f t="shared" ref="Q610:Q620" si="280">TRUNC(K610*P610,2)</f>
        <v>0</v>
      </c>
      <c r="R610" s="82">
        <f t="shared" ref="R610:R620" si="281">TRUNC(E610*M610,2)</f>
        <v>0</v>
      </c>
      <c r="S610" s="82">
        <f t="shared" ref="S610:S620" si="282">TRUNC(F610*$M610,2)</f>
        <v>282.89</v>
      </c>
      <c r="T610" s="82">
        <f t="shared" ref="T610:T620" si="283">S610-P610</f>
        <v>0</v>
      </c>
    </row>
    <row r="611" spans="2:20" s="34" customFormat="1" ht="46.2">
      <c r="B611" s="298" t="s">
        <v>1779</v>
      </c>
      <c r="C611" s="299" t="s">
        <v>1780</v>
      </c>
      <c r="D611" s="300" t="s">
        <v>169</v>
      </c>
      <c r="E611" s="93"/>
      <c r="F611" s="93">
        <v>12.16935</v>
      </c>
      <c r="G611" s="79">
        <v>12.16935</v>
      </c>
      <c r="H611" s="79">
        <f t="shared" si="276"/>
        <v>12.16935</v>
      </c>
      <c r="I611" s="79"/>
      <c r="J611" s="79">
        <f t="shared" si="272"/>
        <v>12.16935</v>
      </c>
      <c r="K611" s="79">
        <f t="shared" si="273"/>
        <v>0</v>
      </c>
      <c r="L611" s="84"/>
      <c r="M611" s="81">
        <v>1205.1074245770001</v>
      </c>
      <c r="N611" s="82">
        <f t="shared" si="277"/>
        <v>14665.37</v>
      </c>
      <c r="O611" s="82">
        <f t="shared" si="278"/>
        <v>14665.37</v>
      </c>
      <c r="P611" s="82">
        <f t="shared" si="279"/>
        <v>14665.37</v>
      </c>
      <c r="Q611" s="82">
        <f t="shared" si="280"/>
        <v>0</v>
      </c>
      <c r="R611" s="82">
        <f t="shared" si="281"/>
        <v>0</v>
      </c>
      <c r="S611" s="82">
        <f t="shared" si="282"/>
        <v>14665.37</v>
      </c>
      <c r="T611" s="82">
        <f t="shared" si="283"/>
        <v>0</v>
      </c>
    </row>
    <row r="612" spans="2:20" s="34" customFormat="1" ht="46.2">
      <c r="B612" s="298" t="s">
        <v>1781</v>
      </c>
      <c r="C612" s="299" t="s">
        <v>1782</v>
      </c>
      <c r="D612" s="300" t="s">
        <v>152</v>
      </c>
      <c r="E612" s="93"/>
      <c r="F612" s="93">
        <v>0</v>
      </c>
      <c r="G612" s="79">
        <v>0</v>
      </c>
      <c r="H612" s="79">
        <f t="shared" si="276"/>
        <v>0</v>
      </c>
      <c r="I612" s="79"/>
      <c r="J612" s="79">
        <f t="shared" si="272"/>
        <v>0</v>
      </c>
      <c r="K612" s="79">
        <f t="shared" si="273"/>
        <v>0</v>
      </c>
      <c r="L612" s="84"/>
      <c r="M612" s="81">
        <v>0</v>
      </c>
      <c r="N612" s="82">
        <f t="shared" si="277"/>
        <v>0</v>
      </c>
      <c r="O612" s="82">
        <f t="shared" si="278"/>
        <v>0</v>
      </c>
      <c r="P612" s="82">
        <f t="shared" si="279"/>
        <v>0</v>
      </c>
      <c r="Q612" s="82">
        <f t="shared" si="280"/>
        <v>0</v>
      </c>
      <c r="R612" s="82">
        <f t="shared" si="281"/>
        <v>0</v>
      </c>
      <c r="S612" s="82">
        <f t="shared" si="282"/>
        <v>0</v>
      </c>
      <c r="T612" s="82">
        <f t="shared" si="283"/>
        <v>0</v>
      </c>
    </row>
    <row r="613" spans="2:20" s="34" customFormat="1" ht="46.2">
      <c r="B613" s="298" t="s">
        <v>1783</v>
      </c>
      <c r="C613" s="299" t="s">
        <v>1784</v>
      </c>
      <c r="D613" s="300" t="s">
        <v>152</v>
      </c>
      <c r="E613" s="93"/>
      <c r="F613" s="93">
        <v>158.22</v>
      </c>
      <c r="G613" s="79">
        <v>158.22</v>
      </c>
      <c r="H613" s="79">
        <f t="shared" si="276"/>
        <v>158.22</v>
      </c>
      <c r="I613" s="79"/>
      <c r="J613" s="79">
        <f t="shared" si="272"/>
        <v>158.22</v>
      </c>
      <c r="K613" s="79">
        <f t="shared" si="273"/>
        <v>0</v>
      </c>
      <c r="L613" s="84"/>
      <c r="M613" s="81">
        <v>30.523810648800001</v>
      </c>
      <c r="N613" s="82">
        <f t="shared" si="277"/>
        <v>4829.47</v>
      </c>
      <c r="O613" s="82">
        <f t="shared" si="278"/>
        <v>4829.47</v>
      </c>
      <c r="P613" s="82">
        <f t="shared" si="279"/>
        <v>4829.47</v>
      </c>
      <c r="Q613" s="82">
        <f t="shared" si="280"/>
        <v>0</v>
      </c>
      <c r="R613" s="82">
        <f t="shared" si="281"/>
        <v>0</v>
      </c>
      <c r="S613" s="82">
        <f t="shared" si="282"/>
        <v>4829.47</v>
      </c>
      <c r="T613" s="82">
        <f t="shared" si="283"/>
        <v>0</v>
      </c>
    </row>
    <row r="614" spans="2:20" s="34" customFormat="1" ht="46.2">
      <c r="B614" s="298" t="s">
        <v>1785</v>
      </c>
      <c r="C614" s="299" t="s">
        <v>1786</v>
      </c>
      <c r="D614" s="300" t="s">
        <v>152</v>
      </c>
      <c r="E614" s="93"/>
      <c r="F614" s="93">
        <v>65.63</v>
      </c>
      <c r="G614" s="79">
        <v>65.63</v>
      </c>
      <c r="H614" s="79">
        <f t="shared" si="276"/>
        <v>65.63</v>
      </c>
      <c r="I614" s="79"/>
      <c r="J614" s="79">
        <f t="shared" si="272"/>
        <v>65.63</v>
      </c>
      <c r="K614" s="79">
        <f t="shared" si="273"/>
        <v>0</v>
      </c>
      <c r="L614" s="84"/>
      <c r="M614" s="81">
        <v>28.1153704398</v>
      </c>
      <c r="N614" s="82">
        <f t="shared" si="277"/>
        <v>1845.21</v>
      </c>
      <c r="O614" s="82">
        <f t="shared" si="278"/>
        <v>1845.21</v>
      </c>
      <c r="P614" s="82">
        <f t="shared" si="279"/>
        <v>1845.21</v>
      </c>
      <c r="Q614" s="82">
        <f t="shared" si="280"/>
        <v>0</v>
      </c>
      <c r="R614" s="82">
        <f t="shared" si="281"/>
        <v>0</v>
      </c>
      <c r="S614" s="82">
        <f t="shared" si="282"/>
        <v>1845.21</v>
      </c>
      <c r="T614" s="82">
        <f t="shared" si="283"/>
        <v>0</v>
      </c>
    </row>
    <row r="615" spans="2:20" s="34" customFormat="1" ht="46.2">
      <c r="B615" s="298" t="s">
        <v>1787</v>
      </c>
      <c r="C615" s="299" t="s">
        <v>1788</v>
      </c>
      <c r="D615" s="300" t="s">
        <v>152</v>
      </c>
      <c r="E615" s="93"/>
      <c r="F615" s="93">
        <v>115.01</v>
      </c>
      <c r="G615" s="79">
        <v>115.01</v>
      </c>
      <c r="H615" s="79">
        <f t="shared" si="276"/>
        <v>115.01</v>
      </c>
      <c r="I615" s="79"/>
      <c r="J615" s="79">
        <f t="shared" si="272"/>
        <v>115.01</v>
      </c>
      <c r="K615" s="79">
        <f t="shared" si="273"/>
        <v>0</v>
      </c>
      <c r="L615" s="84"/>
      <c r="M615" s="81">
        <v>25.706930230800001</v>
      </c>
      <c r="N615" s="82">
        <f t="shared" si="277"/>
        <v>2956.55</v>
      </c>
      <c r="O615" s="82">
        <f t="shared" si="278"/>
        <v>2956.55</v>
      </c>
      <c r="P615" s="82">
        <f t="shared" si="279"/>
        <v>2956.55</v>
      </c>
      <c r="Q615" s="82">
        <f t="shared" si="280"/>
        <v>0</v>
      </c>
      <c r="R615" s="82">
        <f t="shared" si="281"/>
        <v>0</v>
      </c>
      <c r="S615" s="82">
        <f t="shared" si="282"/>
        <v>2956.55</v>
      </c>
      <c r="T615" s="82">
        <f t="shared" si="283"/>
        <v>0</v>
      </c>
    </row>
    <row r="616" spans="2:20" s="34" customFormat="1" ht="46.2">
      <c r="B616" s="298" t="s">
        <v>1789</v>
      </c>
      <c r="C616" s="299" t="s">
        <v>1790</v>
      </c>
      <c r="D616" s="300" t="s">
        <v>152</v>
      </c>
      <c r="E616" s="93"/>
      <c r="F616" s="93">
        <v>234.29</v>
      </c>
      <c r="G616" s="79">
        <v>234.29</v>
      </c>
      <c r="H616" s="79">
        <f t="shared" si="276"/>
        <v>234.29</v>
      </c>
      <c r="I616" s="79"/>
      <c r="J616" s="79">
        <f t="shared" si="272"/>
        <v>234.29</v>
      </c>
      <c r="K616" s="79">
        <f t="shared" si="273"/>
        <v>0</v>
      </c>
      <c r="L616" s="84"/>
      <c r="M616" s="81">
        <v>23.298490021799999</v>
      </c>
      <c r="N616" s="82">
        <f t="shared" si="277"/>
        <v>5458.6</v>
      </c>
      <c r="O616" s="82">
        <f t="shared" si="278"/>
        <v>5458.6</v>
      </c>
      <c r="P616" s="82">
        <f t="shared" si="279"/>
        <v>5458.6</v>
      </c>
      <c r="Q616" s="82">
        <f t="shared" si="280"/>
        <v>0</v>
      </c>
      <c r="R616" s="82">
        <f t="shared" si="281"/>
        <v>0</v>
      </c>
      <c r="S616" s="82">
        <f t="shared" si="282"/>
        <v>5458.6</v>
      </c>
      <c r="T616" s="82">
        <f t="shared" si="283"/>
        <v>0</v>
      </c>
    </row>
    <row r="617" spans="2:20" s="34" customFormat="1" ht="34.799999999999997">
      <c r="B617" s="298" t="s">
        <v>1791</v>
      </c>
      <c r="C617" s="299" t="s">
        <v>1792</v>
      </c>
      <c r="D617" s="309" t="s">
        <v>79</v>
      </c>
      <c r="E617" s="93"/>
      <c r="F617" s="93">
        <v>76</v>
      </c>
      <c r="G617" s="79">
        <v>76</v>
      </c>
      <c r="H617" s="79">
        <f t="shared" si="276"/>
        <v>76</v>
      </c>
      <c r="I617" s="79"/>
      <c r="J617" s="79">
        <f t="shared" si="272"/>
        <v>76</v>
      </c>
      <c r="K617" s="79">
        <f t="shared" si="273"/>
        <v>0</v>
      </c>
      <c r="L617" s="84"/>
      <c r="M617" s="81">
        <v>133.97</v>
      </c>
      <c r="N617" s="82">
        <f t="shared" si="277"/>
        <v>10181.719999999999</v>
      </c>
      <c r="O617" s="82">
        <f t="shared" si="278"/>
        <v>10181.719999999999</v>
      </c>
      <c r="P617" s="82">
        <f t="shared" si="279"/>
        <v>10181.719999999999</v>
      </c>
      <c r="Q617" s="82">
        <f t="shared" si="280"/>
        <v>0</v>
      </c>
      <c r="R617" s="82">
        <f t="shared" si="281"/>
        <v>0</v>
      </c>
      <c r="S617" s="82">
        <f t="shared" si="282"/>
        <v>10181.719999999999</v>
      </c>
      <c r="T617" s="82">
        <f t="shared" si="283"/>
        <v>0</v>
      </c>
    </row>
    <row r="618" spans="2:20" s="34" customFormat="1" ht="46.2">
      <c r="B618" s="298" t="s">
        <v>1793</v>
      </c>
      <c r="C618" s="299" t="s">
        <v>219</v>
      </c>
      <c r="D618" s="300" t="s">
        <v>79</v>
      </c>
      <c r="E618" s="93"/>
      <c r="F618" s="93">
        <v>81.87</v>
      </c>
      <c r="G618" s="79">
        <v>81.87</v>
      </c>
      <c r="H618" s="79">
        <f t="shared" si="276"/>
        <v>81.87</v>
      </c>
      <c r="I618" s="79"/>
      <c r="J618" s="79">
        <f t="shared" si="272"/>
        <v>81.87</v>
      </c>
      <c r="K618" s="79">
        <f t="shared" si="273"/>
        <v>0</v>
      </c>
      <c r="L618" s="84"/>
      <c r="M618" s="81">
        <v>76.056006600000003</v>
      </c>
      <c r="N618" s="82">
        <f t="shared" si="277"/>
        <v>6226.7</v>
      </c>
      <c r="O618" s="82">
        <f t="shared" si="278"/>
        <v>6226.7</v>
      </c>
      <c r="P618" s="82">
        <f t="shared" si="279"/>
        <v>6226.7</v>
      </c>
      <c r="Q618" s="82">
        <f t="shared" si="280"/>
        <v>0</v>
      </c>
      <c r="R618" s="82">
        <f t="shared" si="281"/>
        <v>0</v>
      </c>
      <c r="S618" s="82">
        <f t="shared" si="282"/>
        <v>6226.7</v>
      </c>
      <c r="T618" s="82">
        <f t="shared" si="283"/>
        <v>0</v>
      </c>
    </row>
    <row r="619" spans="2:20" s="34" customFormat="1" ht="34.799999999999997">
      <c r="B619" s="298" t="s">
        <v>1794</v>
      </c>
      <c r="C619" s="299" t="s">
        <v>196</v>
      </c>
      <c r="D619" s="300" t="s">
        <v>79</v>
      </c>
      <c r="E619" s="93"/>
      <c r="F619" s="93">
        <v>78.67</v>
      </c>
      <c r="G619" s="79">
        <v>78.67</v>
      </c>
      <c r="H619" s="79">
        <f t="shared" si="276"/>
        <v>78.67</v>
      </c>
      <c r="I619" s="79"/>
      <c r="J619" s="79">
        <f t="shared" si="272"/>
        <v>78.67</v>
      </c>
      <c r="K619" s="79">
        <f t="shared" si="273"/>
        <v>0</v>
      </c>
      <c r="L619" s="84"/>
      <c r="M619" s="81">
        <v>164.79</v>
      </c>
      <c r="N619" s="82">
        <f t="shared" si="277"/>
        <v>12964.02</v>
      </c>
      <c r="O619" s="82">
        <f t="shared" si="278"/>
        <v>12964.02</v>
      </c>
      <c r="P619" s="82">
        <f t="shared" si="279"/>
        <v>12964.02</v>
      </c>
      <c r="Q619" s="82">
        <f t="shared" si="280"/>
        <v>0</v>
      </c>
      <c r="R619" s="82">
        <f t="shared" si="281"/>
        <v>0</v>
      </c>
      <c r="S619" s="82">
        <f t="shared" si="282"/>
        <v>12964.02</v>
      </c>
      <c r="T619" s="82">
        <f t="shared" si="283"/>
        <v>0</v>
      </c>
    </row>
    <row r="620" spans="2:20" s="34" customFormat="1" ht="46.2">
      <c r="B620" s="298" t="s">
        <v>1795</v>
      </c>
      <c r="C620" s="299" t="s">
        <v>1796</v>
      </c>
      <c r="D620" s="309" t="s">
        <v>79</v>
      </c>
      <c r="E620" s="93"/>
      <c r="F620" s="93">
        <v>91.38</v>
      </c>
      <c r="G620" s="79">
        <v>91.38</v>
      </c>
      <c r="H620" s="79">
        <f t="shared" si="276"/>
        <v>91.38</v>
      </c>
      <c r="I620" s="79"/>
      <c r="J620" s="79">
        <f t="shared" si="272"/>
        <v>91.38</v>
      </c>
      <c r="K620" s="79">
        <f t="shared" si="273"/>
        <v>0</v>
      </c>
      <c r="L620" s="84"/>
      <c r="M620" s="81">
        <v>203.27</v>
      </c>
      <c r="N620" s="82">
        <f t="shared" si="277"/>
        <v>18574.810000000001</v>
      </c>
      <c r="O620" s="82">
        <f t="shared" si="278"/>
        <v>18574.810000000001</v>
      </c>
      <c r="P620" s="82">
        <f t="shared" si="279"/>
        <v>18574.810000000001</v>
      </c>
      <c r="Q620" s="82">
        <f t="shared" si="280"/>
        <v>0</v>
      </c>
      <c r="R620" s="82">
        <f t="shared" si="281"/>
        <v>0</v>
      </c>
      <c r="S620" s="82">
        <f t="shared" si="282"/>
        <v>18574.810000000001</v>
      </c>
      <c r="T620" s="82">
        <f t="shared" si="283"/>
        <v>0</v>
      </c>
    </row>
    <row r="621" spans="2:20" s="34" customFormat="1" ht="13.2">
      <c r="B621" s="66" t="s">
        <v>1797</v>
      </c>
      <c r="C621" s="67" t="s">
        <v>1798</v>
      </c>
      <c r="D621" s="68"/>
      <c r="E621" s="69"/>
      <c r="F621" s="69">
        <v>0</v>
      </c>
      <c r="G621" s="70"/>
      <c r="H621" s="70"/>
      <c r="I621" s="70"/>
      <c r="J621" s="70">
        <f t="shared" si="272"/>
        <v>0</v>
      </c>
      <c r="K621" s="70">
        <f t="shared" si="273"/>
        <v>0</v>
      </c>
      <c r="L621" s="308"/>
      <c r="M621" s="72">
        <v>0</v>
      </c>
      <c r="N621" s="73">
        <f t="shared" ref="N621:T621" si="284">SUM(N622:N624)</f>
        <v>29544.13</v>
      </c>
      <c r="O621" s="73">
        <f t="shared" si="284"/>
        <v>29544.13</v>
      </c>
      <c r="P621" s="73">
        <f t="shared" si="284"/>
        <v>29544.13</v>
      </c>
      <c r="Q621" s="73">
        <f t="shared" si="284"/>
        <v>0</v>
      </c>
      <c r="R621" s="73">
        <f t="shared" si="284"/>
        <v>0</v>
      </c>
      <c r="S621" s="73">
        <f t="shared" si="284"/>
        <v>29544.13</v>
      </c>
      <c r="T621" s="73">
        <f t="shared" si="284"/>
        <v>0</v>
      </c>
    </row>
    <row r="622" spans="2:20" s="34" customFormat="1" ht="57.6">
      <c r="B622" s="298" t="s">
        <v>1799</v>
      </c>
      <c r="C622" s="299" t="s">
        <v>1800</v>
      </c>
      <c r="D622" s="300" t="s">
        <v>79</v>
      </c>
      <c r="E622" s="93"/>
      <c r="F622" s="93">
        <v>205.53</v>
      </c>
      <c r="G622" s="79">
        <v>205.53</v>
      </c>
      <c r="H622" s="79">
        <f>G622</f>
        <v>205.53</v>
      </c>
      <c r="I622" s="79"/>
      <c r="J622" s="79">
        <f t="shared" si="272"/>
        <v>205.53</v>
      </c>
      <c r="K622" s="79">
        <f t="shared" si="273"/>
        <v>0</v>
      </c>
      <c r="L622" s="84"/>
      <c r="M622" s="81">
        <v>127.73606308470001</v>
      </c>
      <c r="N622" s="82">
        <f>TRUNC(G622*M622,2)</f>
        <v>26253.59</v>
      </c>
      <c r="O622" s="82">
        <f>TRUNC(H622*M622,2)</f>
        <v>26253.59</v>
      </c>
      <c r="P622" s="82">
        <f>O622</f>
        <v>26253.59</v>
      </c>
      <c r="Q622" s="82">
        <f>TRUNC(K622*P622,2)</f>
        <v>0</v>
      </c>
      <c r="R622" s="82">
        <f>TRUNC(E622*M622,2)</f>
        <v>0</v>
      </c>
      <c r="S622" s="82">
        <f>TRUNC(F622*$M622,2)</f>
        <v>26253.59</v>
      </c>
      <c r="T622" s="82">
        <f>S622-P622</f>
        <v>0</v>
      </c>
    </row>
    <row r="623" spans="2:20" s="34" customFormat="1" ht="46.2">
      <c r="B623" s="298" t="s">
        <v>1801</v>
      </c>
      <c r="C623" s="299" t="s">
        <v>1802</v>
      </c>
      <c r="D623" s="309" t="s">
        <v>79</v>
      </c>
      <c r="E623" s="93"/>
      <c r="F623" s="93">
        <v>8.64</v>
      </c>
      <c r="G623" s="79">
        <v>8.64</v>
      </c>
      <c r="H623" s="79">
        <f>G623</f>
        <v>8.64</v>
      </c>
      <c r="I623" s="79"/>
      <c r="J623" s="79">
        <f t="shared" si="272"/>
        <v>8.64</v>
      </c>
      <c r="K623" s="79">
        <f t="shared" si="273"/>
        <v>0</v>
      </c>
      <c r="L623" s="84"/>
      <c r="M623" s="81">
        <v>282.26</v>
      </c>
      <c r="N623" s="82">
        <f>TRUNC(G623*M623,2)</f>
        <v>2438.7199999999998</v>
      </c>
      <c r="O623" s="82">
        <f>TRUNC(H623*M623,2)</f>
        <v>2438.7199999999998</v>
      </c>
      <c r="P623" s="82">
        <f>O623</f>
        <v>2438.7199999999998</v>
      </c>
      <c r="Q623" s="82">
        <f>TRUNC(K623*P623,2)</f>
        <v>0</v>
      </c>
      <c r="R623" s="82">
        <f>TRUNC(E623*M623,2)</f>
        <v>0</v>
      </c>
      <c r="S623" s="82">
        <f>TRUNC(F623*$M623,2)</f>
        <v>2438.7199999999998</v>
      </c>
      <c r="T623" s="82">
        <f>S623-P623</f>
        <v>0</v>
      </c>
    </row>
    <row r="624" spans="2:20" s="34" customFormat="1" ht="23.4">
      <c r="B624" s="298" t="s">
        <v>1803</v>
      </c>
      <c r="C624" s="299" t="s">
        <v>270</v>
      </c>
      <c r="D624" s="300" t="s">
        <v>124</v>
      </c>
      <c r="E624" s="93"/>
      <c r="F624" s="93">
        <v>9.6</v>
      </c>
      <c r="G624" s="79">
        <v>9.6</v>
      </c>
      <c r="H624" s="79">
        <f>G624</f>
        <v>9.6</v>
      </c>
      <c r="I624" s="79"/>
      <c r="J624" s="79">
        <f t="shared" si="272"/>
        <v>9.6</v>
      </c>
      <c r="K624" s="79">
        <f t="shared" si="273"/>
        <v>0</v>
      </c>
      <c r="L624" s="84"/>
      <c r="M624" s="81">
        <v>88.732007699999997</v>
      </c>
      <c r="N624" s="82">
        <f>TRUNC(G624*M624,2)</f>
        <v>851.82</v>
      </c>
      <c r="O624" s="82">
        <f>TRUNC(H624*M624,2)</f>
        <v>851.82</v>
      </c>
      <c r="P624" s="82">
        <f>O624</f>
        <v>851.82</v>
      </c>
      <c r="Q624" s="82">
        <f>TRUNC(K624*P624,2)</f>
        <v>0</v>
      </c>
      <c r="R624" s="82">
        <f>TRUNC(E624*M624,2)</f>
        <v>0</v>
      </c>
      <c r="S624" s="82">
        <f>TRUNC(F624*$M624,2)</f>
        <v>851.82</v>
      </c>
      <c r="T624" s="82">
        <f>S624-P624</f>
        <v>0</v>
      </c>
    </row>
    <row r="625" spans="2:20" s="34" customFormat="1" ht="13.2">
      <c r="B625" s="66" t="s">
        <v>1804</v>
      </c>
      <c r="C625" s="67" t="s">
        <v>1805</v>
      </c>
      <c r="D625" s="68"/>
      <c r="E625" s="69"/>
      <c r="F625" s="69"/>
      <c r="G625" s="70"/>
      <c r="H625" s="70"/>
      <c r="I625" s="70"/>
      <c r="J625" s="70">
        <f t="shared" si="272"/>
        <v>0</v>
      </c>
      <c r="K625" s="70">
        <f t="shared" si="273"/>
        <v>0</v>
      </c>
      <c r="L625" s="308"/>
      <c r="M625" s="72">
        <v>0</v>
      </c>
      <c r="N625" s="73">
        <f t="shared" ref="N625:T625" si="285">SUM(N626:N631)</f>
        <v>1953.23</v>
      </c>
      <c r="O625" s="73">
        <f t="shared" si="285"/>
        <v>1953.23</v>
      </c>
      <c r="P625" s="73">
        <f t="shared" si="285"/>
        <v>1953.23</v>
      </c>
      <c r="Q625" s="73">
        <f t="shared" si="285"/>
        <v>0</v>
      </c>
      <c r="R625" s="73">
        <f t="shared" si="285"/>
        <v>0</v>
      </c>
      <c r="S625" s="73">
        <f t="shared" si="285"/>
        <v>3747.3199999999997</v>
      </c>
      <c r="T625" s="73">
        <f t="shared" si="285"/>
        <v>1794.0900000000001</v>
      </c>
    </row>
    <row r="626" spans="2:20" s="34" customFormat="1" ht="34.799999999999997">
      <c r="B626" s="298" t="s">
        <v>1806</v>
      </c>
      <c r="C626" s="299" t="s">
        <v>1807</v>
      </c>
      <c r="D626" s="309" t="s">
        <v>63</v>
      </c>
      <c r="E626" s="93"/>
      <c r="F626" s="93">
        <v>1</v>
      </c>
      <c r="G626" s="79">
        <v>1</v>
      </c>
      <c r="H626" s="79">
        <f>G626</f>
        <v>1</v>
      </c>
      <c r="I626" s="79"/>
      <c r="J626" s="79">
        <f t="shared" si="272"/>
        <v>1</v>
      </c>
      <c r="K626" s="79">
        <f t="shared" si="273"/>
        <v>0</v>
      </c>
      <c r="L626" s="84"/>
      <c r="M626" s="81">
        <v>90.86</v>
      </c>
      <c r="N626" s="82">
        <f t="shared" ref="N626:N631" si="286">TRUNC(G626*M626,2)</f>
        <v>90.86</v>
      </c>
      <c r="O626" s="82">
        <f t="shared" ref="O626:O631" si="287">TRUNC(H626*M626,2)</f>
        <v>90.86</v>
      </c>
      <c r="P626" s="82">
        <f t="shared" ref="P626:P631" si="288">O626</f>
        <v>90.86</v>
      </c>
      <c r="Q626" s="82">
        <f t="shared" ref="Q626:Q631" si="289">TRUNC(K626*P626,2)</f>
        <v>0</v>
      </c>
      <c r="R626" s="82">
        <f t="shared" ref="R626:R631" si="290">TRUNC(E626*M626,2)</f>
        <v>0</v>
      </c>
      <c r="S626" s="82">
        <f t="shared" ref="S626:S631" si="291">TRUNC(F626*$M626,2)</f>
        <v>90.86</v>
      </c>
      <c r="T626" s="82">
        <f t="shared" ref="T626:T631" si="292">S626-P626</f>
        <v>0</v>
      </c>
    </row>
    <row r="627" spans="2:20" s="34" customFormat="1" ht="23.4">
      <c r="B627" s="298" t="s">
        <v>1808</v>
      </c>
      <c r="C627" s="299" t="s">
        <v>1809</v>
      </c>
      <c r="D627" s="309" t="s">
        <v>63</v>
      </c>
      <c r="E627" s="93"/>
      <c r="F627" s="93">
        <v>5</v>
      </c>
      <c r="G627" s="79">
        <v>5</v>
      </c>
      <c r="H627" s="79">
        <f>G627</f>
        <v>5</v>
      </c>
      <c r="I627" s="79"/>
      <c r="J627" s="79">
        <f t="shared" si="272"/>
        <v>5</v>
      </c>
      <c r="K627" s="79">
        <f t="shared" si="273"/>
        <v>0</v>
      </c>
      <c r="L627" s="84"/>
      <c r="M627" s="81">
        <v>141.1</v>
      </c>
      <c r="N627" s="82">
        <f t="shared" si="286"/>
        <v>705.5</v>
      </c>
      <c r="O627" s="82">
        <f t="shared" si="287"/>
        <v>705.5</v>
      </c>
      <c r="P627" s="82">
        <f t="shared" si="288"/>
        <v>705.5</v>
      </c>
      <c r="Q627" s="82">
        <f t="shared" si="289"/>
        <v>0</v>
      </c>
      <c r="R627" s="82">
        <f t="shared" si="290"/>
        <v>0</v>
      </c>
      <c r="S627" s="82">
        <f t="shared" si="291"/>
        <v>705.5</v>
      </c>
      <c r="T627" s="82">
        <f t="shared" si="292"/>
        <v>0</v>
      </c>
    </row>
    <row r="628" spans="2:20" s="34" customFormat="1" ht="46.2">
      <c r="B628" s="298" t="s">
        <v>1810</v>
      </c>
      <c r="C628" s="299" t="s">
        <v>1811</v>
      </c>
      <c r="D628" s="300" t="s">
        <v>131</v>
      </c>
      <c r="E628" s="93"/>
      <c r="F628" s="93">
        <v>3</v>
      </c>
      <c r="G628" s="79">
        <v>3</v>
      </c>
      <c r="H628" s="79">
        <f>G628</f>
        <v>3</v>
      </c>
      <c r="I628" s="79"/>
      <c r="J628" s="79">
        <f t="shared" si="272"/>
        <v>3</v>
      </c>
      <c r="K628" s="79">
        <f t="shared" si="273"/>
        <v>0</v>
      </c>
      <c r="L628" s="84"/>
      <c r="M628" s="81">
        <v>64.267325576999994</v>
      </c>
      <c r="N628" s="82">
        <f t="shared" si="286"/>
        <v>192.8</v>
      </c>
      <c r="O628" s="82">
        <f t="shared" si="287"/>
        <v>192.8</v>
      </c>
      <c r="P628" s="82">
        <f t="shared" si="288"/>
        <v>192.8</v>
      </c>
      <c r="Q628" s="82">
        <f t="shared" si="289"/>
        <v>0</v>
      </c>
      <c r="R628" s="82">
        <f t="shared" si="290"/>
        <v>0</v>
      </c>
      <c r="S628" s="82">
        <f t="shared" si="291"/>
        <v>192.8</v>
      </c>
      <c r="T628" s="82">
        <f t="shared" si="292"/>
        <v>0</v>
      </c>
    </row>
    <row r="629" spans="2:20" s="34" customFormat="1" ht="23.4">
      <c r="B629" s="298" t="s">
        <v>1812</v>
      </c>
      <c r="C629" s="299" t="s">
        <v>1813</v>
      </c>
      <c r="D629" s="300" t="s">
        <v>63</v>
      </c>
      <c r="E629" s="93"/>
      <c r="F629" s="93">
        <v>5</v>
      </c>
      <c r="G629" s="79">
        <v>5</v>
      </c>
      <c r="H629" s="79">
        <f>G629</f>
        <v>5</v>
      </c>
      <c r="I629" s="79"/>
      <c r="J629" s="79">
        <f t="shared" si="272"/>
        <v>5</v>
      </c>
      <c r="K629" s="79">
        <f t="shared" si="273"/>
        <v>0</v>
      </c>
      <c r="L629" s="84"/>
      <c r="M629" s="81">
        <v>192.8146527321</v>
      </c>
      <c r="N629" s="82">
        <f t="shared" si="286"/>
        <v>964.07</v>
      </c>
      <c r="O629" s="82">
        <f t="shared" si="287"/>
        <v>964.07</v>
      </c>
      <c r="P629" s="82">
        <f t="shared" si="288"/>
        <v>964.07</v>
      </c>
      <c r="Q629" s="82">
        <f t="shared" si="289"/>
        <v>0</v>
      </c>
      <c r="R629" s="82">
        <f t="shared" si="290"/>
        <v>0</v>
      </c>
      <c r="S629" s="82">
        <f t="shared" si="291"/>
        <v>964.07</v>
      </c>
      <c r="T629" s="82">
        <f t="shared" si="292"/>
        <v>0</v>
      </c>
    </row>
    <row r="630" spans="2:20" s="34" customFormat="1" ht="34.799999999999997">
      <c r="B630" s="298" t="s">
        <v>1814</v>
      </c>
      <c r="C630" s="299" t="s">
        <v>1815</v>
      </c>
      <c r="D630" s="300" t="s">
        <v>131</v>
      </c>
      <c r="E630" s="93"/>
      <c r="F630" s="93">
        <v>1</v>
      </c>
      <c r="G630" s="79"/>
      <c r="H630" s="79"/>
      <c r="I630" s="79"/>
      <c r="J630" s="79">
        <f t="shared" si="272"/>
        <v>0</v>
      </c>
      <c r="K630" s="79">
        <f t="shared" si="273"/>
        <v>1</v>
      </c>
      <c r="L630" s="84"/>
      <c r="M630" s="81">
        <v>1172.9737617885</v>
      </c>
      <c r="N630" s="82">
        <f t="shared" si="286"/>
        <v>0</v>
      </c>
      <c r="O630" s="82">
        <f t="shared" si="287"/>
        <v>0</v>
      </c>
      <c r="P630" s="82">
        <f t="shared" si="288"/>
        <v>0</v>
      </c>
      <c r="Q630" s="82">
        <f t="shared" si="289"/>
        <v>0</v>
      </c>
      <c r="R630" s="82">
        <f t="shared" si="290"/>
        <v>0</v>
      </c>
      <c r="S630" s="82">
        <f t="shared" si="291"/>
        <v>1172.97</v>
      </c>
      <c r="T630" s="82">
        <f t="shared" si="292"/>
        <v>1172.97</v>
      </c>
    </row>
    <row r="631" spans="2:20" s="34" customFormat="1" ht="34.799999999999997">
      <c r="B631" s="298" t="s">
        <v>1816</v>
      </c>
      <c r="C631" s="299" t="s">
        <v>1142</v>
      </c>
      <c r="D631" s="300" t="s">
        <v>63</v>
      </c>
      <c r="E631" s="93"/>
      <c r="F631" s="93">
        <v>1</v>
      </c>
      <c r="G631" s="79"/>
      <c r="H631" s="79"/>
      <c r="I631" s="79"/>
      <c r="J631" s="79">
        <f t="shared" si="272"/>
        <v>0</v>
      </c>
      <c r="K631" s="79">
        <f t="shared" si="273"/>
        <v>1</v>
      </c>
      <c r="L631" s="84"/>
      <c r="M631" s="81">
        <v>621.12405390000004</v>
      </c>
      <c r="N631" s="82">
        <f t="shared" si="286"/>
        <v>0</v>
      </c>
      <c r="O631" s="82">
        <f t="shared" si="287"/>
        <v>0</v>
      </c>
      <c r="P631" s="82">
        <f t="shared" si="288"/>
        <v>0</v>
      </c>
      <c r="Q631" s="82">
        <f t="shared" si="289"/>
        <v>0</v>
      </c>
      <c r="R631" s="82">
        <f t="shared" si="290"/>
        <v>0</v>
      </c>
      <c r="S631" s="82">
        <f t="shared" si="291"/>
        <v>621.12</v>
      </c>
      <c r="T631" s="82">
        <f t="shared" si="292"/>
        <v>621.12</v>
      </c>
    </row>
    <row r="632" spans="2:20" s="34" customFormat="1" ht="13.2">
      <c r="B632" s="66" t="s">
        <v>1817</v>
      </c>
      <c r="C632" s="67" t="s">
        <v>1818</v>
      </c>
      <c r="D632" s="68"/>
      <c r="E632" s="69"/>
      <c r="F632" s="69"/>
      <c r="G632" s="70"/>
      <c r="H632" s="70"/>
      <c r="I632" s="70"/>
      <c r="J632" s="70">
        <f t="shared" ref="J632:J663" si="293">SUM(H632:I632)</f>
        <v>0</v>
      </c>
      <c r="K632" s="70">
        <f t="shared" ref="K632:K663" si="294">F632-J632</f>
        <v>0</v>
      </c>
      <c r="L632" s="308"/>
      <c r="M632" s="72">
        <v>0</v>
      </c>
      <c r="N632" s="73">
        <f t="shared" ref="N632:T632" si="295">SUM(N633:N653)</f>
        <v>17118.22</v>
      </c>
      <c r="O632" s="73">
        <f t="shared" si="295"/>
        <v>17118.22</v>
      </c>
      <c r="P632" s="73">
        <f t="shared" si="295"/>
        <v>17118.22</v>
      </c>
      <c r="Q632" s="73">
        <f t="shared" si="295"/>
        <v>0</v>
      </c>
      <c r="R632" s="73">
        <f t="shared" si="295"/>
        <v>0</v>
      </c>
      <c r="S632" s="73">
        <f t="shared" si="295"/>
        <v>20287.709999999995</v>
      </c>
      <c r="T632" s="73">
        <f t="shared" si="295"/>
        <v>3169.49</v>
      </c>
    </row>
    <row r="633" spans="2:20" s="34" customFormat="1" ht="46.2">
      <c r="B633" s="298" t="s">
        <v>1819</v>
      </c>
      <c r="C633" s="299" t="s">
        <v>612</v>
      </c>
      <c r="D633" s="300" t="s">
        <v>131</v>
      </c>
      <c r="E633" s="93"/>
      <c r="F633" s="93">
        <v>4</v>
      </c>
      <c r="G633" s="79"/>
      <c r="H633" s="79"/>
      <c r="I633" s="79"/>
      <c r="J633" s="79">
        <f t="shared" si="293"/>
        <v>0</v>
      </c>
      <c r="K633" s="79">
        <f t="shared" si="294"/>
        <v>4</v>
      </c>
      <c r="L633" s="84"/>
      <c r="M633" s="81">
        <v>64.272401554880503</v>
      </c>
      <c r="N633" s="82">
        <f t="shared" ref="N633:N653" si="296">TRUNC(G633*M633,2)</f>
        <v>0</v>
      </c>
      <c r="O633" s="82">
        <f t="shared" ref="O633:O653" si="297">TRUNC(H633*M633,2)</f>
        <v>0</v>
      </c>
      <c r="P633" s="82">
        <f t="shared" ref="P633:P653" si="298">O633</f>
        <v>0</v>
      </c>
      <c r="Q633" s="82">
        <f t="shared" ref="Q633:Q653" si="299">TRUNC(K633*P633,2)</f>
        <v>0</v>
      </c>
      <c r="R633" s="82">
        <f t="shared" ref="R633:R653" si="300">TRUNC(E633*M633,2)</f>
        <v>0</v>
      </c>
      <c r="S633" s="82">
        <f t="shared" ref="S633:S653" si="301">TRUNC(F633*$M633,2)</f>
        <v>257.08</v>
      </c>
      <c r="T633" s="82">
        <f t="shared" ref="T633:T653" si="302">S633-P633</f>
        <v>257.08</v>
      </c>
    </row>
    <row r="634" spans="2:20" s="34" customFormat="1" ht="46.2">
      <c r="B634" s="298" t="s">
        <v>1820</v>
      </c>
      <c r="C634" s="299" t="s">
        <v>588</v>
      </c>
      <c r="D634" s="300" t="s">
        <v>131</v>
      </c>
      <c r="E634" s="93"/>
      <c r="F634" s="93">
        <v>4</v>
      </c>
      <c r="G634" s="79"/>
      <c r="H634" s="79"/>
      <c r="I634" s="79"/>
      <c r="J634" s="79">
        <f t="shared" si="293"/>
        <v>0</v>
      </c>
      <c r="K634" s="79">
        <f t="shared" si="294"/>
        <v>4</v>
      </c>
      <c r="L634" s="84"/>
      <c r="M634" s="81">
        <v>51.417921243904402</v>
      </c>
      <c r="N634" s="82">
        <f t="shared" si="296"/>
        <v>0</v>
      </c>
      <c r="O634" s="82">
        <f t="shared" si="297"/>
        <v>0</v>
      </c>
      <c r="P634" s="82">
        <f t="shared" si="298"/>
        <v>0</v>
      </c>
      <c r="Q634" s="82">
        <f t="shared" si="299"/>
        <v>0</v>
      </c>
      <c r="R634" s="82">
        <f t="shared" si="300"/>
        <v>0</v>
      </c>
      <c r="S634" s="82">
        <f t="shared" si="301"/>
        <v>205.67</v>
      </c>
      <c r="T634" s="82">
        <f t="shared" si="302"/>
        <v>205.67</v>
      </c>
    </row>
    <row r="635" spans="2:20" s="34" customFormat="1" ht="34.799999999999997">
      <c r="B635" s="298" t="s">
        <v>1821</v>
      </c>
      <c r="C635" s="299" t="s">
        <v>1822</v>
      </c>
      <c r="D635" s="300" t="s">
        <v>82</v>
      </c>
      <c r="E635" s="93"/>
      <c r="F635" s="93">
        <v>716</v>
      </c>
      <c r="G635" s="79">
        <v>716</v>
      </c>
      <c r="H635" s="79">
        <f>G635</f>
        <v>716</v>
      </c>
      <c r="I635" s="79"/>
      <c r="J635" s="79">
        <f t="shared" si="293"/>
        <v>716</v>
      </c>
      <c r="K635" s="79">
        <f t="shared" si="294"/>
        <v>0</v>
      </c>
      <c r="L635" s="84"/>
      <c r="M635" s="81">
        <v>14.461290349848101</v>
      </c>
      <c r="N635" s="82">
        <f t="shared" si="296"/>
        <v>10354.280000000001</v>
      </c>
      <c r="O635" s="82">
        <f t="shared" si="297"/>
        <v>10354.280000000001</v>
      </c>
      <c r="P635" s="82">
        <f t="shared" si="298"/>
        <v>10354.280000000001</v>
      </c>
      <c r="Q635" s="82">
        <f t="shared" si="299"/>
        <v>0</v>
      </c>
      <c r="R635" s="82">
        <f t="shared" si="300"/>
        <v>0</v>
      </c>
      <c r="S635" s="82">
        <f t="shared" si="301"/>
        <v>10354.280000000001</v>
      </c>
      <c r="T635" s="82">
        <f t="shared" si="302"/>
        <v>0</v>
      </c>
    </row>
    <row r="636" spans="2:20" s="34" customFormat="1" ht="23.4">
      <c r="B636" s="298" t="s">
        <v>1823</v>
      </c>
      <c r="C636" s="299" t="s">
        <v>502</v>
      </c>
      <c r="D636" s="300" t="s">
        <v>82</v>
      </c>
      <c r="E636" s="93"/>
      <c r="F636" s="93">
        <v>80</v>
      </c>
      <c r="G636" s="79">
        <v>80</v>
      </c>
      <c r="H636" s="79">
        <f>G636</f>
        <v>80</v>
      </c>
      <c r="I636" s="79"/>
      <c r="J636" s="79">
        <f t="shared" si="293"/>
        <v>80</v>
      </c>
      <c r="K636" s="79">
        <f t="shared" si="294"/>
        <v>0</v>
      </c>
      <c r="L636" s="84"/>
      <c r="M636" s="81">
        <v>17.670345533399999</v>
      </c>
      <c r="N636" s="82">
        <f t="shared" si="296"/>
        <v>1413.62</v>
      </c>
      <c r="O636" s="82">
        <f t="shared" si="297"/>
        <v>1413.62</v>
      </c>
      <c r="P636" s="82">
        <f t="shared" si="298"/>
        <v>1413.62</v>
      </c>
      <c r="Q636" s="82">
        <f t="shared" si="299"/>
        <v>0</v>
      </c>
      <c r="R636" s="82">
        <f t="shared" si="300"/>
        <v>0</v>
      </c>
      <c r="S636" s="82">
        <f t="shared" si="301"/>
        <v>1413.62</v>
      </c>
      <c r="T636" s="82">
        <f t="shared" si="302"/>
        <v>0</v>
      </c>
    </row>
    <row r="637" spans="2:20" s="34" customFormat="1" ht="23.4">
      <c r="B637" s="298" t="s">
        <v>1824</v>
      </c>
      <c r="C637" s="299" t="s">
        <v>1825</v>
      </c>
      <c r="D637" s="309" t="s">
        <v>63</v>
      </c>
      <c r="E637" s="93"/>
      <c r="F637" s="93">
        <v>5</v>
      </c>
      <c r="G637" s="79"/>
      <c r="H637" s="79"/>
      <c r="I637" s="79"/>
      <c r="J637" s="79">
        <f t="shared" si="293"/>
        <v>0</v>
      </c>
      <c r="K637" s="79">
        <f t="shared" si="294"/>
        <v>5</v>
      </c>
      <c r="L637" s="84"/>
      <c r="M637" s="81">
        <v>148.1</v>
      </c>
      <c r="N637" s="82">
        <f t="shared" si="296"/>
        <v>0</v>
      </c>
      <c r="O637" s="82">
        <f t="shared" si="297"/>
        <v>0</v>
      </c>
      <c r="P637" s="82">
        <f t="shared" si="298"/>
        <v>0</v>
      </c>
      <c r="Q637" s="82">
        <f t="shared" si="299"/>
        <v>0</v>
      </c>
      <c r="R637" s="82">
        <f t="shared" si="300"/>
        <v>0</v>
      </c>
      <c r="S637" s="82">
        <f t="shared" si="301"/>
        <v>740.5</v>
      </c>
      <c r="T637" s="82">
        <f t="shared" si="302"/>
        <v>740.5</v>
      </c>
    </row>
    <row r="638" spans="2:20" s="34" customFormat="1" ht="34.799999999999997">
      <c r="B638" s="298" t="s">
        <v>1826</v>
      </c>
      <c r="C638" s="299" t="s">
        <v>1827</v>
      </c>
      <c r="D638" s="299" t="s">
        <v>39</v>
      </c>
      <c r="E638" s="93"/>
      <c r="F638" s="93">
        <v>1</v>
      </c>
      <c r="G638" s="79">
        <v>1</v>
      </c>
      <c r="H638" s="79">
        <f>G638</f>
        <v>1</v>
      </c>
      <c r="I638" s="79"/>
      <c r="J638" s="79">
        <f t="shared" si="293"/>
        <v>1</v>
      </c>
      <c r="K638" s="79">
        <f t="shared" si="294"/>
        <v>0</v>
      </c>
      <c r="L638" s="84"/>
      <c r="M638" s="81">
        <v>271.89368194625803</v>
      </c>
      <c r="N638" s="82">
        <f t="shared" si="296"/>
        <v>271.89</v>
      </c>
      <c r="O638" s="82">
        <f t="shared" si="297"/>
        <v>271.89</v>
      </c>
      <c r="P638" s="82">
        <f t="shared" si="298"/>
        <v>271.89</v>
      </c>
      <c r="Q638" s="82">
        <f t="shared" si="299"/>
        <v>0</v>
      </c>
      <c r="R638" s="82">
        <f t="shared" si="300"/>
        <v>0</v>
      </c>
      <c r="S638" s="82">
        <f t="shared" si="301"/>
        <v>271.89</v>
      </c>
      <c r="T638" s="82">
        <f t="shared" si="302"/>
        <v>0</v>
      </c>
    </row>
    <row r="639" spans="2:20" s="34" customFormat="1" ht="13.2">
      <c r="B639" s="298" t="s">
        <v>1828</v>
      </c>
      <c r="C639" s="299" t="s">
        <v>1829</v>
      </c>
      <c r="D639" s="309" t="s">
        <v>63</v>
      </c>
      <c r="E639" s="93"/>
      <c r="F639" s="93">
        <v>2</v>
      </c>
      <c r="G639" s="79">
        <v>2</v>
      </c>
      <c r="H639" s="79">
        <f>G639</f>
        <v>2</v>
      </c>
      <c r="I639" s="79"/>
      <c r="J639" s="79">
        <f t="shared" si="293"/>
        <v>2</v>
      </c>
      <c r="K639" s="79">
        <f t="shared" si="294"/>
        <v>0</v>
      </c>
      <c r="L639" s="84"/>
      <c r="M639" s="81">
        <v>687.16</v>
      </c>
      <c r="N639" s="82">
        <f t="shared" si="296"/>
        <v>1374.32</v>
      </c>
      <c r="O639" s="82">
        <f t="shared" si="297"/>
        <v>1374.32</v>
      </c>
      <c r="P639" s="82">
        <f t="shared" si="298"/>
        <v>1374.32</v>
      </c>
      <c r="Q639" s="82">
        <f t="shared" si="299"/>
        <v>0</v>
      </c>
      <c r="R639" s="82">
        <f t="shared" si="300"/>
        <v>0</v>
      </c>
      <c r="S639" s="82">
        <f t="shared" si="301"/>
        <v>1374.32</v>
      </c>
      <c r="T639" s="82">
        <f t="shared" si="302"/>
        <v>0</v>
      </c>
    </row>
    <row r="640" spans="2:20" s="34" customFormat="1" ht="46.2">
      <c r="B640" s="298" t="s">
        <v>1830</v>
      </c>
      <c r="C640" s="299" t="s">
        <v>1831</v>
      </c>
      <c r="D640" s="300" t="s">
        <v>82</v>
      </c>
      <c r="E640" s="93"/>
      <c r="F640" s="93">
        <v>70</v>
      </c>
      <c r="G640" s="79">
        <v>70</v>
      </c>
      <c r="H640" s="79">
        <f>G640</f>
        <v>70</v>
      </c>
      <c r="I640" s="79"/>
      <c r="J640" s="79">
        <f t="shared" si="293"/>
        <v>70</v>
      </c>
      <c r="K640" s="79">
        <f t="shared" si="294"/>
        <v>0</v>
      </c>
      <c r="L640" s="84"/>
      <c r="M640" s="81">
        <v>16.068100388720101</v>
      </c>
      <c r="N640" s="82">
        <f t="shared" si="296"/>
        <v>1124.76</v>
      </c>
      <c r="O640" s="82">
        <f t="shared" si="297"/>
        <v>1124.76</v>
      </c>
      <c r="P640" s="82">
        <f t="shared" si="298"/>
        <v>1124.76</v>
      </c>
      <c r="Q640" s="82">
        <f t="shared" si="299"/>
        <v>0</v>
      </c>
      <c r="R640" s="82">
        <f t="shared" si="300"/>
        <v>0</v>
      </c>
      <c r="S640" s="82">
        <f t="shared" si="301"/>
        <v>1124.76</v>
      </c>
      <c r="T640" s="82">
        <f t="shared" si="302"/>
        <v>0</v>
      </c>
    </row>
    <row r="641" spans="2:20" s="34" customFormat="1" ht="46.2">
      <c r="B641" s="298" t="s">
        <v>1832</v>
      </c>
      <c r="C641" s="299" t="s">
        <v>1833</v>
      </c>
      <c r="D641" s="309" t="s">
        <v>131</v>
      </c>
      <c r="E641" s="93"/>
      <c r="F641" s="93">
        <v>1</v>
      </c>
      <c r="G641" s="79"/>
      <c r="H641" s="79"/>
      <c r="I641" s="79"/>
      <c r="J641" s="79">
        <f t="shared" si="293"/>
        <v>0</v>
      </c>
      <c r="K641" s="79">
        <f t="shared" si="294"/>
        <v>1</v>
      </c>
      <c r="L641" s="84"/>
      <c r="M641" s="81">
        <v>144.54</v>
      </c>
      <c r="N641" s="82">
        <f t="shared" si="296"/>
        <v>0</v>
      </c>
      <c r="O641" s="82">
        <f t="shared" si="297"/>
        <v>0</v>
      </c>
      <c r="P641" s="82">
        <f t="shared" si="298"/>
        <v>0</v>
      </c>
      <c r="Q641" s="82">
        <f t="shared" si="299"/>
        <v>0</v>
      </c>
      <c r="R641" s="82">
        <f t="shared" si="300"/>
        <v>0</v>
      </c>
      <c r="S641" s="82">
        <f t="shared" si="301"/>
        <v>144.54</v>
      </c>
      <c r="T641" s="82">
        <f t="shared" si="302"/>
        <v>144.54</v>
      </c>
    </row>
    <row r="642" spans="2:20" s="34" customFormat="1" ht="23.4">
      <c r="B642" s="298" t="s">
        <v>1834</v>
      </c>
      <c r="C642" s="299" t="s">
        <v>580</v>
      </c>
      <c r="D642" s="300" t="s">
        <v>131</v>
      </c>
      <c r="E642" s="93"/>
      <c r="F642" s="93">
        <v>10</v>
      </c>
      <c r="G642" s="79"/>
      <c r="H642" s="79"/>
      <c r="I642" s="79"/>
      <c r="J642" s="79">
        <f t="shared" si="293"/>
        <v>0</v>
      </c>
      <c r="K642" s="79">
        <f t="shared" si="294"/>
        <v>10</v>
      </c>
      <c r="L642" s="84"/>
      <c r="M642" s="81">
        <v>157.467383809457</v>
      </c>
      <c r="N642" s="82">
        <f t="shared" si="296"/>
        <v>0</v>
      </c>
      <c r="O642" s="82">
        <f t="shared" si="297"/>
        <v>0</v>
      </c>
      <c r="P642" s="82">
        <f t="shared" si="298"/>
        <v>0</v>
      </c>
      <c r="Q642" s="82">
        <f t="shared" si="299"/>
        <v>0</v>
      </c>
      <c r="R642" s="82">
        <f t="shared" si="300"/>
        <v>0</v>
      </c>
      <c r="S642" s="82">
        <f t="shared" si="301"/>
        <v>1574.67</v>
      </c>
      <c r="T642" s="82">
        <f t="shared" si="302"/>
        <v>1574.67</v>
      </c>
    </row>
    <row r="643" spans="2:20" s="34" customFormat="1" ht="34.799999999999997">
      <c r="B643" s="298" t="s">
        <v>1835</v>
      </c>
      <c r="C643" s="299" t="s">
        <v>1836</v>
      </c>
      <c r="D643" s="309" t="s">
        <v>131</v>
      </c>
      <c r="E643" s="93"/>
      <c r="F643" s="93">
        <v>2</v>
      </c>
      <c r="G643" s="79"/>
      <c r="H643" s="79"/>
      <c r="I643" s="79"/>
      <c r="J643" s="79">
        <f t="shared" si="293"/>
        <v>0</v>
      </c>
      <c r="K643" s="79">
        <f t="shared" si="294"/>
        <v>2</v>
      </c>
      <c r="L643" s="84"/>
      <c r="M643" s="81">
        <v>51.46</v>
      </c>
      <c r="N643" s="82">
        <f t="shared" si="296"/>
        <v>0</v>
      </c>
      <c r="O643" s="82">
        <f t="shared" si="297"/>
        <v>0</v>
      </c>
      <c r="P643" s="82">
        <f t="shared" si="298"/>
        <v>0</v>
      </c>
      <c r="Q643" s="82">
        <f t="shared" si="299"/>
        <v>0</v>
      </c>
      <c r="R643" s="82">
        <f t="shared" si="300"/>
        <v>0</v>
      </c>
      <c r="S643" s="82">
        <f t="shared" si="301"/>
        <v>102.92</v>
      </c>
      <c r="T643" s="82">
        <f t="shared" si="302"/>
        <v>102.92</v>
      </c>
    </row>
    <row r="644" spans="2:20" s="34" customFormat="1" ht="34.799999999999997">
      <c r="B644" s="298" t="s">
        <v>1837</v>
      </c>
      <c r="C644" s="299" t="s">
        <v>542</v>
      </c>
      <c r="D644" s="309" t="s">
        <v>131</v>
      </c>
      <c r="E644" s="93"/>
      <c r="F644" s="93">
        <v>1</v>
      </c>
      <c r="G644" s="79"/>
      <c r="H644" s="79"/>
      <c r="I644" s="79"/>
      <c r="J644" s="79">
        <f t="shared" si="293"/>
        <v>0</v>
      </c>
      <c r="K644" s="79">
        <f t="shared" si="294"/>
        <v>1</v>
      </c>
      <c r="L644" s="84"/>
      <c r="M644" s="81">
        <v>25.352002200000001</v>
      </c>
      <c r="N644" s="82">
        <f t="shared" si="296"/>
        <v>0</v>
      </c>
      <c r="O644" s="82">
        <f t="shared" si="297"/>
        <v>0</v>
      </c>
      <c r="P644" s="82">
        <f t="shared" si="298"/>
        <v>0</v>
      </c>
      <c r="Q644" s="82">
        <f t="shared" si="299"/>
        <v>0</v>
      </c>
      <c r="R644" s="82">
        <f t="shared" si="300"/>
        <v>0</v>
      </c>
      <c r="S644" s="82">
        <f t="shared" si="301"/>
        <v>25.35</v>
      </c>
      <c r="T644" s="82">
        <f t="shared" si="302"/>
        <v>25.35</v>
      </c>
    </row>
    <row r="645" spans="2:20" s="34" customFormat="1" ht="34.799999999999997">
      <c r="B645" s="298" t="s">
        <v>1838</v>
      </c>
      <c r="C645" s="299" t="s">
        <v>544</v>
      </c>
      <c r="D645" s="309" t="s">
        <v>131</v>
      </c>
      <c r="E645" s="93"/>
      <c r="F645" s="93">
        <v>1</v>
      </c>
      <c r="G645" s="79"/>
      <c r="H645" s="79"/>
      <c r="I645" s="79"/>
      <c r="J645" s="79">
        <f t="shared" si="293"/>
        <v>0</v>
      </c>
      <c r="K645" s="79">
        <f t="shared" si="294"/>
        <v>1</v>
      </c>
      <c r="L645" s="84"/>
      <c r="M645" s="81">
        <v>25.352002200000001</v>
      </c>
      <c r="N645" s="82">
        <f t="shared" si="296"/>
        <v>0</v>
      </c>
      <c r="O645" s="82">
        <f t="shared" si="297"/>
        <v>0</v>
      </c>
      <c r="P645" s="82">
        <f t="shared" si="298"/>
        <v>0</v>
      </c>
      <c r="Q645" s="82">
        <f t="shared" si="299"/>
        <v>0</v>
      </c>
      <c r="R645" s="82">
        <f t="shared" si="300"/>
        <v>0</v>
      </c>
      <c r="S645" s="82">
        <f t="shared" si="301"/>
        <v>25.35</v>
      </c>
      <c r="T645" s="82">
        <f t="shared" si="302"/>
        <v>25.35</v>
      </c>
    </row>
    <row r="646" spans="2:20" s="34" customFormat="1" ht="34.799999999999997">
      <c r="B646" s="298" t="s">
        <v>1839</v>
      </c>
      <c r="C646" s="299" t="s">
        <v>546</v>
      </c>
      <c r="D646" s="309" t="s">
        <v>131</v>
      </c>
      <c r="E646" s="93"/>
      <c r="F646" s="93">
        <v>1</v>
      </c>
      <c r="G646" s="79"/>
      <c r="H646" s="79"/>
      <c r="I646" s="79"/>
      <c r="J646" s="79">
        <f t="shared" si="293"/>
        <v>0</v>
      </c>
      <c r="K646" s="79">
        <f t="shared" si="294"/>
        <v>1</v>
      </c>
      <c r="L646" s="84"/>
      <c r="M646" s="81">
        <v>25.352002200000001</v>
      </c>
      <c r="N646" s="82">
        <f t="shared" si="296"/>
        <v>0</v>
      </c>
      <c r="O646" s="82">
        <f t="shared" si="297"/>
        <v>0</v>
      </c>
      <c r="P646" s="82">
        <f t="shared" si="298"/>
        <v>0</v>
      </c>
      <c r="Q646" s="82">
        <f t="shared" si="299"/>
        <v>0</v>
      </c>
      <c r="R646" s="82">
        <f t="shared" si="300"/>
        <v>0</v>
      </c>
      <c r="S646" s="82">
        <f t="shared" si="301"/>
        <v>25.35</v>
      </c>
      <c r="T646" s="82">
        <f t="shared" si="302"/>
        <v>25.35</v>
      </c>
    </row>
    <row r="647" spans="2:20" s="34" customFormat="1" ht="34.799999999999997">
      <c r="B647" s="298" t="s">
        <v>1840</v>
      </c>
      <c r="C647" s="299" t="s">
        <v>550</v>
      </c>
      <c r="D647" s="309" t="s">
        <v>131</v>
      </c>
      <c r="E647" s="93"/>
      <c r="F647" s="93">
        <v>1</v>
      </c>
      <c r="G647" s="79"/>
      <c r="H647" s="79"/>
      <c r="I647" s="79"/>
      <c r="J647" s="79">
        <f t="shared" si="293"/>
        <v>0</v>
      </c>
      <c r="K647" s="79">
        <f t="shared" si="294"/>
        <v>1</v>
      </c>
      <c r="L647" s="84"/>
      <c r="M647" s="81">
        <v>31.690002750000001</v>
      </c>
      <c r="N647" s="82">
        <f t="shared" si="296"/>
        <v>0</v>
      </c>
      <c r="O647" s="82">
        <f t="shared" si="297"/>
        <v>0</v>
      </c>
      <c r="P647" s="82">
        <f t="shared" si="298"/>
        <v>0</v>
      </c>
      <c r="Q647" s="82">
        <f t="shared" si="299"/>
        <v>0</v>
      </c>
      <c r="R647" s="82">
        <f t="shared" si="300"/>
        <v>0</v>
      </c>
      <c r="S647" s="82">
        <f t="shared" si="301"/>
        <v>31.69</v>
      </c>
      <c r="T647" s="82">
        <f t="shared" si="302"/>
        <v>31.69</v>
      </c>
    </row>
    <row r="648" spans="2:20" s="34" customFormat="1" ht="34.200000000000003">
      <c r="B648" s="298" t="s">
        <v>1841</v>
      </c>
      <c r="C648" s="310" t="s">
        <v>1842</v>
      </c>
      <c r="D648" s="300" t="s">
        <v>131</v>
      </c>
      <c r="E648" s="93"/>
      <c r="F648" s="93">
        <v>1</v>
      </c>
      <c r="G648" s="79"/>
      <c r="H648" s="79"/>
      <c r="I648" s="79"/>
      <c r="J648" s="79">
        <f t="shared" si="293"/>
        <v>0</v>
      </c>
      <c r="K648" s="79">
        <f t="shared" si="294"/>
        <v>1</v>
      </c>
      <c r="L648" s="84"/>
      <c r="M648" s="81">
        <v>36.373220000000003</v>
      </c>
      <c r="N648" s="82">
        <f t="shared" si="296"/>
        <v>0</v>
      </c>
      <c r="O648" s="82">
        <f t="shared" si="297"/>
        <v>0</v>
      </c>
      <c r="P648" s="82">
        <f t="shared" si="298"/>
        <v>0</v>
      </c>
      <c r="Q648" s="82">
        <f t="shared" si="299"/>
        <v>0</v>
      </c>
      <c r="R648" s="82">
        <f t="shared" si="300"/>
        <v>0</v>
      </c>
      <c r="S648" s="82">
        <f t="shared" si="301"/>
        <v>36.369999999999997</v>
      </c>
      <c r="T648" s="82">
        <f t="shared" si="302"/>
        <v>36.369999999999997</v>
      </c>
    </row>
    <row r="649" spans="2:20" s="34" customFormat="1" ht="46.2">
      <c r="B649" s="298" t="s">
        <v>1843</v>
      </c>
      <c r="C649" s="299" t="s">
        <v>464</v>
      </c>
      <c r="D649" s="309" t="s">
        <v>82</v>
      </c>
      <c r="E649" s="93"/>
      <c r="F649" s="93">
        <v>49.3</v>
      </c>
      <c r="G649" s="79">
        <v>49.3</v>
      </c>
      <c r="H649" s="79">
        <f>G649</f>
        <v>49.3</v>
      </c>
      <c r="I649" s="79"/>
      <c r="J649" s="79">
        <f t="shared" si="293"/>
        <v>49.3</v>
      </c>
      <c r="K649" s="79">
        <f t="shared" si="294"/>
        <v>0</v>
      </c>
      <c r="L649" s="84"/>
      <c r="M649" s="81">
        <v>7.6056006600000003</v>
      </c>
      <c r="N649" s="82">
        <f t="shared" si="296"/>
        <v>374.95</v>
      </c>
      <c r="O649" s="82">
        <f t="shared" si="297"/>
        <v>374.95</v>
      </c>
      <c r="P649" s="82">
        <f t="shared" si="298"/>
        <v>374.95</v>
      </c>
      <c r="Q649" s="82">
        <f t="shared" si="299"/>
        <v>0</v>
      </c>
      <c r="R649" s="82">
        <f t="shared" si="300"/>
        <v>0</v>
      </c>
      <c r="S649" s="82">
        <f t="shared" si="301"/>
        <v>374.95</v>
      </c>
      <c r="T649" s="82">
        <f t="shared" si="302"/>
        <v>0</v>
      </c>
    </row>
    <row r="650" spans="2:20" s="34" customFormat="1" ht="34.799999999999997">
      <c r="B650" s="298" t="s">
        <v>1844</v>
      </c>
      <c r="C650" s="299" t="s">
        <v>470</v>
      </c>
      <c r="D650" s="309" t="s">
        <v>39</v>
      </c>
      <c r="E650" s="93"/>
      <c r="F650" s="93">
        <v>14</v>
      </c>
      <c r="G650" s="79">
        <v>14</v>
      </c>
      <c r="H650" s="79">
        <f>G650</f>
        <v>14</v>
      </c>
      <c r="I650" s="79"/>
      <c r="J650" s="79">
        <f t="shared" si="293"/>
        <v>14</v>
      </c>
      <c r="K650" s="79">
        <f t="shared" si="294"/>
        <v>0</v>
      </c>
      <c r="L650" s="84"/>
      <c r="M650" s="81">
        <v>3.8028003300000002</v>
      </c>
      <c r="N650" s="82">
        <f t="shared" si="296"/>
        <v>53.23</v>
      </c>
      <c r="O650" s="82">
        <f t="shared" si="297"/>
        <v>53.23</v>
      </c>
      <c r="P650" s="82">
        <f t="shared" si="298"/>
        <v>53.23</v>
      </c>
      <c r="Q650" s="82">
        <f t="shared" si="299"/>
        <v>0</v>
      </c>
      <c r="R650" s="82">
        <f t="shared" si="300"/>
        <v>0</v>
      </c>
      <c r="S650" s="82">
        <f t="shared" si="301"/>
        <v>53.23</v>
      </c>
      <c r="T650" s="82">
        <f t="shared" si="302"/>
        <v>0</v>
      </c>
    </row>
    <row r="651" spans="2:20" s="34" customFormat="1" ht="34.799999999999997">
      <c r="B651" s="298" t="s">
        <v>1845</v>
      </c>
      <c r="C651" s="299" t="s">
        <v>472</v>
      </c>
      <c r="D651" s="309" t="s">
        <v>39</v>
      </c>
      <c r="E651" s="93"/>
      <c r="F651" s="93">
        <v>15</v>
      </c>
      <c r="G651" s="79">
        <v>15</v>
      </c>
      <c r="H651" s="79">
        <f>G651</f>
        <v>15</v>
      </c>
      <c r="I651" s="79"/>
      <c r="J651" s="79">
        <f t="shared" si="293"/>
        <v>15</v>
      </c>
      <c r="K651" s="79">
        <f t="shared" si="294"/>
        <v>0</v>
      </c>
      <c r="L651" s="84"/>
      <c r="M651" s="81">
        <v>4.3985723817000002</v>
      </c>
      <c r="N651" s="82">
        <f t="shared" si="296"/>
        <v>65.97</v>
      </c>
      <c r="O651" s="82">
        <f t="shared" si="297"/>
        <v>65.97</v>
      </c>
      <c r="P651" s="82">
        <f t="shared" si="298"/>
        <v>65.97</v>
      </c>
      <c r="Q651" s="82">
        <f t="shared" si="299"/>
        <v>0</v>
      </c>
      <c r="R651" s="82">
        <f t="shared" si="300"/>
        <v>0</v>
      </c>
      <c r="S651" s="82">
        <f t="shared" si="301"/>
        <v>65.97</v>
      </c>
      <c r="T651" s="82">
        <f t="shared" si="302"/>
        <v>0</v>
      </c>
    </row>
    <row r="652" spans="2:20" s="34" customFormat="1" ht="46.2">
      <c r="B652" s="298" t="s">
        <v>1846</v>
      </c>
      <c r="C652" s="299" t="s">
        <v>478</v>
      </c>
      <c r="D652" s="309" t="s">
        <v>124</v>
      </c>
      <c r="E652" s="93"/>
      <c r="F652" s="93">
        <v>200</v>
      </c>
      <c r="G652" s="79">
        <v>200</v>
      </c>
      <c r="H652" s="79">
        <f>G652</f>
        <v>200</v>
      </c>
      <c r="I652" s="79"/>
      <c r="J652" s="79">
        <f t="shared" si="293"/>
        <v>200</v>
      </c>
      <c r="K652" s="79">
        <f t="shared" si="294"/>
        <v>0</v>
      </c>
      <c r="L652" s="84"/>
      <c r="M652" s="81">
        <v>4.4366003850000002</v>
      </c>
      <c r="N652" s="82">
        <f t="shared" si="296"/>
        <v>887.32</v>
      </c>
      <c r="O652" s="82">
        <f t="shared" si="297"/>
        <v>887.32</v>
      </c>
      <c r="P652" s="82">
        <f t="shared" si="298"/>
        <v>887.32</v>
      </c>
      <c r="Q652" s="82">
        <f t="shared" si="299"/>
        <v>0</v>
      </c>
      <c r="R652" s="82">
        <f t="shared" si="300"/>
        <v>0</v>
      </c>
      <c r="S652" s="82">
        <f t="shared" si="301"/>
        <v>887.32</v>
      </c>
      <c r="T652" s="82">
        <f t="shared" si="302"/>
        <v>0</v>
      </c>
    </row>
    <row r="653" spans="2:20" s="34" customFormat="1" ht="57.6">
      <c r="B653" s="298" t="s">
        <v>1847</v>
      </c>
      <c r="C653" s="299" t="s">
        <v>480</v>
      </c>
      <c r="D653" s="309" t="s">
        <v>82</v>
      </c>
      <c r="E653" s="93"/>
      <c r="F653" s="93">
        <v>210</v>
      </c>
      <c r="G653" s="79">
        <v>210</v>
      </c>
      <c r="H653" s="79">
        <f>G653</f>
        <v>210</v>
      </c>
      <c r="I653" s="79"/>
      <c r="J653" s="79">
        <f t="shared" si="293"/>
        <v>210</v>
      </c>
      <c r="K653" s="79">
        <f t="shared" si="294"/>
        <v>0</v>
      </c>
      <c r="L653" s="84"/>
      <c r="M653" s="81">
        <v>5.7042004950000003</v>
      </c>
      <c r="N653" s="82">
        <f t="shared" si="296"/>
        <v>1197.8800000000001</v>
      </c>
      <c r="O653" s="82">
        <f t="shared" si="297"/>
        <v>1197.8800000000001</v>
      </c>
      <c r="P653" s="82">
        <f t="shared" si="298"/>
        <v>1197.8800000000001</v>
      </c>
      <c r="Q653" s="82">
        <f t="shared" si="299"/>
        <v>0</v>
      </c>
      <c r="R653" s="82">
        <f t="shared" si="300"/>
        <v>0</v>
      </c>
      <c r="S653" s="82">
        <f t="shared" si="301"/>
        <v>1197.8800000000001</v>
      </c>
      <c r="T653" s="82">
        <f t="shared" si="302"/>
        <v>0</v>
      </c>
    </row>
    <row r="654" spans="2:20" s="34" customFormat="1" ht="13.2">
      <c r="B654" s="66" t="s">
        <v>1848</v>
      </c>
      <c r="C654" s="67" t="s">
        <v>272</v>
      </c>
      <c r="D654" s="68"/>
      <c r="E654" s="69"/>
      <c r="F654" s="69"/>
      <c r="G654" s="70"/>
      <c r="H654" s="70"/>
      <c r="I654" s="70"/>
      <c r="J654" s="70">
        <f t="shared" si="293"/>
        <v>0</v>
      </c>
      <c r="K654" s="70">
        <f t="shared" si="294"/>
        <v>0</v>
      </c>
      <c r="L654" s="308"/>
      <c r="M654" s="72">
        <v>0</v>
      </c>
      <c r="N654" s="73">
        <f t="shared" ref="N654:T654" si="303">SUM(N655:N667)</f>
        <v>74634.990000000005</v>
      </c>
      <c r="O654" s="73">
        <f t="shared" si="303"/>
        <v>74634.990000000005</v>
      </c>
      <c r="P654" s="73">
        <f t="shared" si="303"/>
        <v>74634.990000000005</v>
      </c>
      <c r="Q654" s="73">
        <f t="shared" si="303"/>
        <v>0</v>
      </c>
      <c r="R654" s="73">
        <f t="shared" si="303"/>
        <v>0</v>
      </c>
      <c r="S654" s="73">
        <f t="shared" si="303"/>
        <v>89117.430000000008</v>
      </c>
      <c r="T654" s="73">
        <f t="shared" si="303"/>
        <v>14482.44</v>
      </c>
    </row>
    <row r="655" spans="2:20" s="34" customFormat="1" ht="57.6">
      <c r="B655" s="298" t="s">
        <v>1849</v>
      </c>
      <c r="C655" s="299" t="s">
        <v>1850</v>
      </c>
      <c r="D655" s="300" t="s">
        <v>79</v>
      </c>
      <c r="E655" s="93"/>
      <c r="F655" s="93">
        <v>218.31</v>
      </c>
      <c r="G655" s="79">
        <v>218.31</v>
      </c>
      <c r="H655" s="79">
        <f t="shared" ref="H655:H662" si="304">G655</f>
        <v>218.31</v>
      </c>
      <c r="I655" s="79"/>
      <c r="J655" s="79">
        <f t="shared" si="293"/>
        <v>218.31</v>
      </c>
      <c r="K655" s="79">
        <f t="shared" si="294"/>
        <v>0</v>
      </c>
      <c r="L655" s="84"/>
      <c r="M655" s="81">
        <v>7.2306451749240601</v>
      </c>
      <c r="N655" s="82">
        <f t="shared" ref="N655:N667" si="305">TRUNC(G655*M655,2)</f>
        <v>1578.52</v>
      </c>
      <c r="O655" s="82">
        <f t="shared" ref="O655:O667" si="306">TRUNC(H655*M655,2)</f>
        <v>1578.52</v>
      </c>
      <c r="P655" s="82">
        <f t="shared" ref="P655:P667" si="307">O655</f>
        <v>1578.52</v>
      </c>
      <c r="Q655" s="82">
        <f t="shared" ref="Q655:Q667" si="308">TRUNC(K655*P655,2)</f>
        <v>0</v>
      </c>
      <c r="R655" s="82">
        <f t="shared" ref="R655:R667" si="309">TRUNC(E655*M655,2)</f>
        <v>0</v>
      </c>
      <c r="S655" s="82">
        <f t="shared" ref="S655:S667" si="310">TRUNC(F655*$M655,2)</f>
        <v>1578.52</v>
      </c>
      <c r="T655" s="82">
        <f t="shared" ref="T655:T667" si="311">S655-P655</f>
        <v>0</v>
      </c>
    </row>
    <row r="656" spans="2:20" s="34" customFormat="1" ht="57.6">
      <c r="B656" s="298" t="s">
        <v>1851</v>
      </c>
      <c r="C656" s="299" t="s">
        <v>292</v>
      </c>
      <c r="D656" s="300" t="s">
        <v>79</v>
      </c>
      <c r="E656" s="93"/>
      <c r="F656" s="93">
        <v>153.85</v>
      </c>
      <c r="G656" s="79">
        <v>153.85</v>
      </c>
      <c r="H656" s="79">
        <f t="shared" si="304"/>
        <v>153.85</v>
      </c>
      <c r="I656" s="79"/>
      <c r="J656" s="79">
        <f t="shared" si="293"/>
        <v>153.85</v>
      </c>
      <c r="K656" s="79">
        <f t="shared" si="294"/>
        <v>0</v>
      </c>
      <c r="L656" s="84"/>
      <c r="M656" s="81">
        <v>19.280197673100002</v>
      </c>
      <c r="N656" s="82">
        <f t="shared" si="305"/>
        <v>2966.25</v>
      </c>
      <c r="O656" s="82">
        <f t="shared" si="306"/>
        <v>2966.25</v>
      </c>
      <c r="P656" s="82">
        <f t="shared" si="307"/>
        <v>2966.25</v>
      </c>
      <c r="Q656" s="82">
        <f t="shared" si="308"/>
        <v>0</v>
      </c>
      <c r="R656" s="82">
        <f t="shared" si="309"/>
        <v>0</v>
      </c>
      <c r="S656" s="82">
        <f t="shared" si="310"/>
        <v>2966.25</v>
      </c>
      <c r="T656" s="82">
        <f t="shared" si="311"/>
        <v>0</v>
      </c>
    </row>
    <row r="657" spans="2:20" s="34" customFormat="1" ht="69">
      <c r="B657" s="298" t="s">
        <v>1852</v>
      </c>
      <c r="C657" s="299" t="s">
        <v>294</v>
      </c>
      <c r="D657" s="300" t="s">
        <v>79</v>
      </c>
      <c r="E657" s="93"/>
      <c r="F657" s="93">
        <v>153.85</v>
      </c>
      <c r="G657" s="79">
        <v>153.85</v>
      </c>
      <c r="H657" s="79">
        <f t="shared" si="304"/>
        <v>153.85</v>
      </c>
      <c r="I657" s="79"/>
      <c r="J657" s="79">
        <f t="shared" si="293"/>
        <v>153.85</v>
      </c>
      <c r="K657" s="79">
        <f t="shared" si="294"/>
        <v>0</v>
      </c>
      <c r="L657" s="84"/>
      <c r="M657" s="81">
        <v>99.620692644900004</v>
      </c>
      <c r="N657" s="82">
        <f t="shared" si="305"/>
        <v>15326.64</v>
      </c>
      <c r="O657" s="82">
        <f t="shared" si="306"/>
        <v>15326.64</v>
      </c>
      <c r="P657" s="82">
        <f t="shared" si="307"/>
        <v>15326.64</v>
      </c>
      <c r="Q657" s="82">
        <f t="shared" si="308"/>
        <v>0</v>
      </c>
      <c r="R657" s="82">
        <f t="shared" si="309"/>
        <v>0</v>
      </c>
      <c r="S657" s="82">
        <f t="shared" si="310"/>
        <v>15326.64</v>
      </c>
      <c r="T657" s="82">
        <f t="shared" si="311"/>
        <v>0</v>
      </c>
    </row>
    <row r="658" spans="2:20" s="34" customFormat="1" ht="69">
      <c r="B658" s="298" t="s">
        <v>1853</v>
      </c>
      <c r="C658" s="299" t="s">
        <v>1854</v>
      </c>
      <c r="D658" s="300" t="s">
        <v>79</v>
      </c>
      <c r="E658" s="93"/>
      <c r="F658" s="93">
        <v>218.31</v>
      </c>
      <c r="G658" s="79">
        <v>218.31</v>
      </c>
      <c r="H658" s="79">
        <f t="shared" si="304"/>
        <v>218.31</v>
      </c>
      <c r="I658" s="79"/>
      <c r="J658" s="79">
        <f t="shared" si="293"/>
        <v>218.31</v>
      </c>
      <c r="K658" s="79">
        <f t="shared" si="294"/>
        <v>0</v>
      </c>
      <c r="L658" s="84"/>
      <c r="M658" s="81">
        <v>48.206832183300001</v>
      </c>
      <c r="N658" s="82">
        <f t="shared" si="305"/>
        <v>10524.03</v>
      </c>
      <c r="O658" s="82">
        <f t="shared" si="306"/>
        <v>10524.03</v>
      </c>
      <c r="P658" s="82">
        <f t="shared" si="307"/>
        <v>10524.03</v>
      </c>
      <c r="Q658" s="82">
        <f t="shared" si="308"/>
        <v>0</v>
      </c>
      <c r="R658" s="82">
        <f t="shared" si="309"/>
        <v>0</v>
      </c>
      <c r="S658" s="82">
        <f t="shared" si="310"/>
        <v>10524.03</v>
      </c>
      <c r="T658" s="82">
        <f t="shared" si="311"/>
        <v>0</v>
      </c>
    </row>
    <row r="659" spans="2:20" s="34" customFormat="1" ht="46.2">
      <c r="B659" s="298" t="s">
        <v>1855</v>
      </c>
      <c r="C659" s="299" t="s">
        <v>1856</v>
      </c>
      <c r="D659" s="309" t="s">
        <v>79</v>
      </c>
      <c r="E659" s="93"/>
      <c r="F659" s="93">
        <v>218.31</v>
      </c>
      <c r="G659" s="79">
        <v>218.31</v>
      </c>
      <c r="H659" s="79">
        <f t="shared" si="304"/>
        <v>218.31</v>
      </c>
      <c r="I659" s="79"/>
      <c r="J659" s="79">
        <f t="shared" si="293"/>
        <v>218.31</v>
      </c>
      <c r="K659" s="79">
        <f t="shared" si="294"/>
        <v>0</v>
      </c>
      <c r="L659" s="84"/>
      <c r="M659" s="81">
        <v>112</v>
      </c>
      <c r="N659" s="82">
        <f t="shared" si="305"/>
        <v>24450.720000000001</v>
      </c>
      <c r="O659" s="82">
        <f t="shared" si="306"/>
        <v>24450.720000000001</v>
      </c>
      <c r="P659" s="82">
        <f t="shared" si="307"/>
        <v>24450.720000000001</v>
      </c>
      <c r="Q659" s="82">
        <f t="shared" si="308"/>
        <v>0</v>
      </c>
      <c r="R659" s="82">
        <f t="shared" si="309"/>
        <v>0</v>
      </c>
      <c r="S659" s="82">
        <f t="shared" si="310"/>
        <v>24450.720000000001</v>
      </c>
      <c r="T659" s="82">
        <f t="shared" si="311"/>
        <v>0</v>
      </c>
    </row>
    <row r="660" spans="2:20" s="34" customFormat="1" ht="46.2">
      <c r="B660" s="298" t="s">
        <v>1857</v>
      </c>
      <c r="C660" s="299" t="s">
        <v>310</v>
      </c>
      <c r="D660" s="300" t="s">
        <v>79</v>
      </c>
      <c r="E660" s="93"/>
      <c r="F660" s="93">
        <v>90.44</v>
      </c>
      <c r="G660" s="79">
        <v>90.44</v>
      </c>
      <c r="H660" s="79">
        <f t="shared" si="304"/>
        <v>90.44</v>
      </c>
      <c r="I660" s="79"/>
      <c r="J660" s="79">
        <f t="shared" si="293"/>
        <v>90.44</v>
      </c>
      <c r="K660" s="79">
        <f t="shared" si="294"/>
        <v>0</v>
      </c>
      <c r="L660" s="84"/>
      <c r="M660" s="81">
        <v>56.560316908200001</v>
      </c>
      <c r="N660" s="82">
        <f t="shared" si="305"/>
        <v>5115.3100000000004</v>
      </c>
      <c r="O660" s="82">
        <f t="shared" si="306"/>
        <v>5115.3100000000004</v>
      </c>
      <c r="P660" s="82">
        <f t="shared" si="307"/>
        <v>5115.3100000000004</v>
      </c>
      <c r="Q660" s="82">
        <f t="shared" si="308"/>
        <v>0</v>
      </c>
      <c r="R660" s="82">
        <f t="shared" si="309"/>
        <v>0</v>
      </c>
      <c r="S660" s="82">
        <f t="shared" si="310"/>
        <v>5115.3100000000004</v>
      </c>
      <c r="T660" s="82">
        <f t="shared" si="311"/>
        <v>0</v>
      </c>
    </row>
    <row r="661" spans="2:20" s="34" customFormat="1" ht="23.4">
      <c r="B661" s="298" t="s">
        <v>1858</v>
      </c>
      <c r="C661" s="299" t="s">
        <v>149</v>
      </c>
      <c r="D661" s="300" t="s">
        <v>79</v>
      </c>
      <c r="E661" s="93"/>
      <c r="F661" s="93">
        <v>90.44</v>
      </c>
      <c r="G661" s="79">
        <v>90.44</v>
      </c>
      <c r="H661" s="79">
        <f t="shared" si="304"/>
        <v>90.44</v>
      </c>
      <c r="I661" s="79"/>
      <c r="J661" s="79">
        <f t="shared" si="293"/>
        <v>90.44</v>
      </c>
      <c r="K661" s="79">
        <f t="shared" si="294"/>
        <v>0</v>
      </c>
      <c r="L661" s="84"/>
      <c r="M661" s="81">
        <v>44.366003849999998</v>
      </c>
      <c r="N661" s="82">
        <f t="shared" si="305"/>
        <v>4012.46</v>
      </c>
      <c r="O661" s="82">
        <f t="shared" si="306"/>
        <v>4012.46</v>
      </c>
      <c r="P661" s="82">
        <f t="shared" si="307"/>
        <v>4012.46</v>
      </c>
      <c r="Q661" s="82">
        <f t="shared" si="308"/>
        <v>0</v>
      </c>
      <c r="R661" s="82">
        <f t="shared" si="309"/>
        <v>0</v>
      </c>
      <c r="S661" s="82">
        <f t="shared" si="310"/>
        <v>4012.46</v>
      </c>
      <c r="T661" s="82">
        <f t="shared" si="311"/>
        <v>0</v>
      </c>
    </row>
    <row r="662" spans="2:20" s="34" customFormat="1" ht="46.2">
      <c r="B662" s="298" t="s">
        <v>1859</v>
      </c>
      <c r="C662" s="299" t="s">
        <v>1860</v>
      </c>
      <c r="D662" s="309" t="s">
        <v>79</v>
      </c>
      <c r="E662" s="93"/>
      <c r="F662" s="93">
        <v>90.44</v>
      </c>
      <c r="G662" s="79">
        <v>90.44</v>
      </c>
      <c r="H662" s="79">
        <f t="shared" si="304"/>
        <v>90.44</v>
      </c>
      <c r="I662" s="79"/>
      <c r="J662" s="79">
        <f t="shared" si="293"/>
        <v>90.44</v>
      </c>
      <c r="K662" s="79">
        <f t="shared" si="294"/>
        <v>0</v>
      </c>
      <c r="L662" s="84"/>
      <c r="M662" s="81">
        <v>117.88</v>
      </c>
      <c r="N662" s="82">
        <f t="shared" si="305"/>
        <v>10661.06</v>
      </c>
      <c r="O662" s="82">
        <f t="shared" si="306"/>
        <v>10661.06</v>
      </c>
      <c r="P662" s="82">
        <f t="shared" si="307"/>
        <v>10661.06</v>
      </c>
      <c r="Q662" s="82">
        <f t="shared" si="308"/>
        <v>0</v>
      </c>
      <c r="R662" s="82">
        <f t="shared" si="309"/>
        <v>0</v>
      </c>
      <c r="S662" s="82">
        <f t="shared" si="310"/>
        <v>10661.06</v>
      </c>
      <c r="T662" s="82">
        <f t="shared" si="311"/>
        <v>0</v>
      </c>
    </row>
    <row r="663" spans="2:20" s="34" customFormat="1" ht="23.4">
      <c r="B663" s="298" t="s">
        <v>1861</v>
      </c>
      <c r="C663" s="299" t="s">
        <v>430</v>
      </c>
      <c r="D663" s="300" t="s">
        <v>79</v>
      </c>
      <c r="E663" s="93"/>
      <c r="F663" s="93">
        <v>153.85</v>
      </c>
      <c r="G663" s="79"/>
      <c r="H663" s="79"/>
      <c r="I663" s="79"/>
      <c r="J663" s="79">
        <f t="shared" si="293"/>
        <v>0</v>
      </c>
      <c r="K663" s="79">
        <f t="shared" si="294"/>
        <v>153.85</v>
      </c>
      <c r="L663" s="84"/>
      <c r="M663" s="81">
        <v>7.2253206270000003</v>
      </c>
      <c r="N663" s="82">
        <f t="shared" si="305"/>
        <v>0</v>
      </c>
      <c r="O663" s="82">
        <f t="shared" si="306"/>
        <v>0</v>
      </c>
      <c r="P663" s="82">
        <f t="shared" si="307"/>
        <v>0</v>
      </c>
      <c r="Q663" s="82">
        <f t="shared" si="308"/>
        <v>0</v>
      </c>
      <c r="R663" s="82">
        <f t="shared" si="309"/>
        <v>0</v>
      </c>
      <c r="S663" s="82">
        <f t="shared" si="310"/>
        <v>1111.6099999999999</v>
      </c>
      <c r="T663" s="82">
        <f t="shared" si="311"/>
        <v>1111.6099999999999</v>
      </c>
    </row>
    <row r="664" spans="2:20" s="34" customFormat="1" ht="23.4">
      <c r="B664" s="298" t="s">
        <v>1862</v>
      </c>
      <c r="C664" s="299" t="s">
        <v>432</v>
      </c>
      <c r="D664" s="300" t="s">
        <v>79</v>
      </c>
      <c r="E664" s="93"/>
      <c r="F664" s="93">
        <v>90.44</v>
      </c>
      <c r="G664" s="79"/>
      <c r="H664" s="79"/>
      <c r="I664" s="79"/>
      <c r="J664" s="79">
        <f t="shared" ref="J664:J681" si="312">SUM(H664:I664)</f>
        <v>0</v>
      </c>
      <c r="K664" s="79">
        <f t="shared" ref="K664:K681" si="313">F664-J664</f>
        <v>90.44</v>
      </c>
      <c r="L664" s="84"/>
      <c r="M664" s="81">
        <v>8.0365846974000004</v>
      </c>
      <c r="N664" s="82">
        <f t="shared" si="305"/>
        <v>0</v>
      </c>
      <c r="O664" s="82">
        <f t="shared" si="306"/>
        <v>0</v>
      </c>
      <c r="P664" s="82">
        <f t="shared" si="307"/>
        <v>0</v>
      </c>
      <c r="Q664" s="82">
        <f t="shared" si="308"/>
        <v>0</v>
      </c>
      <c r="R664" s="82">
        <f t="shared" si="309"/>
        <v>0</v>
      </c>
      <c r="S664" s="82">
        <f t="shared" si="310"/>
        <v>726.82</v>
      </c>
      <c r="T664" s="82">
        <f t="shared" si="311"/>
        <v>726.82</v>
      </c>
    </row>
    <row r="665" spans="2:20" s="34" customFormat="1" ht="23.4">
      <c r="B665" s="298" t="s">
        <v>1863</v>
      </c>
      <c r="C665" s="299" t="s">
        <v>428</v>
      </c>
      <c r="D665" s="300" t="s">
        <v>79</v>
      </c>
      <c r="E665" s="93"/>
      <c r="F665" s="93">
        <v>90.44</v>
      </c>
      <c r="G665" s="79"/>
      <c r="H665" s="79"/>
      <c r="I665" s="79"/>
      <c r="J665" s="79">
        <f t="shared" si="312"/>
        <v>0</v>
      </c>
      <c r="K665" s="79">
        <f t="shared" si="313"/>
        <v>90.44</v>
      </c>
      <c r="L665" s="84"/>
      <c r="M665" s="81">
        <v>40.1702509718003</v>
      </c>
      <c r="N665" s="82">
        <f t="shared" si="305"/>
        <v>0</v>
      </c>
      <c r="O665" s="82">
        <f t="shared" si="306"/>
        <v>0</v>
      </c>
      <c r="P665" s="82">
        <f t="shared" si="307"/>
        <v>0</v>
      </c>
      <c r="Q665" s="82">
        <f t="shared" si="308"/>
        <v>0</v>
      </c>
      <c r="R665" s="82">
        <f t="shared" si="309"/>
        <v>0</v>
      </c>
      <c r="S665" s="82">
        <f t="shared" si="310"/>
        <v>3632.99</v>
      </c>
      <c r="T665" s="82">
        <f t="shared" si="311"/>
        <v>3632.99</v>
      </c>
    </row>
    <row r="666" spans="2:20" s="34" customFormat="1" ht="23.4">
      <c r="B666" s="298" t="s">
        <v>1864</v>
      </c>
      <c r="C666" s="299" t="s">
        <v>436</v>
      </c>
      <c r="D666" s="300" t="s">
        <v>79</v>
      </c>
      <c r="E666" s="93"/>
      <c r="F666" s="93">
        <v>90.44</v>
      </c>
      <c r="G666" s="79"/>
      <c r="H666" s="79"/>
      <c r="I666" s="79"/>
      <c r="J666" s="79">
        <f t="shared" si="312"/>
        <v>0</v>
      </c>
      <c r="K666" s="79">
        <f t="shared" si="313"/>
        <v>90.44</v>
      </c>
      <c r="L666" s="84"/>
      <c r="M666" s="81">
        <v>37.760035913492302</v>
      </c>
      <c r="N666" s="82">
        <f t="shared" si="305"/>
        <v>0</v>
      </c>
      <c r="O666" s="82">
        <f t="shared" si="306"/>
        <v>0</v>
      </c>
      <c r="P666" s="82">
        <f t="shared" si="307"/>
        <v>0</v>
      </c>
      <c r="Q666" s="82">
        <f t="shared" si="308"/>
        <v>0</v>
      </c>
      <c r="R666" s="82">
        <f t="shared" si="309"/>
        <v>0</v>
      </c>
      <c r="S666" s="82">
        <f t="shared" si="310"/>
        <v>3415.01</v>
      </c>
      <c r="T666" s="82">
        <f t="shared" si="311"/>
        <v>3415.01</v>
      </c>
    </row>
    <row r="667" spans="2:20" s="34" customFormat="1" ht="34.799999999999997">
      <c r="B667" s="298" t="s">
        <v>1865</v>
      </c>
      <c r="C667" s="299" t="s">
        <v>1866</v>
      </c>
      <c r="D667" s="309" t="s">
        <v>79</v>
      </c>
      <c r="E667" s="93"/>
      <c r="F667" s="93">
        <v>153.85</v>
      </c>
      <c r="G667" s="79"/>
      <c r="H667" s="79"/>
      <c r="I667" s="79"/>
      <c r="J667" s="79">
        <f t="shared" si="312"/>
        <v>0</v>
      </c>
      <c r="K667" s="79">
        <f t="shared" si="313"/>
        <v>153.85</v>
      </c>
      <c r="L667" s="84"/>
      <c r="M667" s="81">
        <v>36.373220000000003</v>
      </c>
      <c r="N667" s="82">
        <f t="shared" si="305"/>
        <v>0</v>
      </c>
      <c r="O667" s="82">
        <f t="shared" si="306"/>
        <v>0</v>
      </c>
      <c r="P667" s="82">
        <f t="shared" si="307"/>
        <v>0</v>
      </c>
      <c r="Q667" s="82">
        <f t="shared" si="308"/>
        <v>0</v>
      </c>
      <c r="R667" s="82">
        <f t="shared" si="309"/>
        <v>0</v>
      </c>
      <c r="S667" s="82">
        <f t="shared" si="310"/>
        <v>5596.01</v>
      </c>
      <c r="T667" s="82">
        <f t="shared" si="311"/>
        <v>5596.01</v>
      </c>
    </row>
    <row r="668" spans="2:20" s="34" customFormat="1" ht="13.2">
      <c r="B668" s="66" t="s">
        <v>1867</v>
      </c>
      <c r="C668" s="67" t="s">
        <v>1868</v>
      </c>
      <c r="D668" s="68"/>
      <c r="E668" s="69"/>
      <c r="F668" s="69"/>
      <c r="G668" s="70"/>
      <c r="H668" s="70"/>
      <c r="I668" s="70"/>
      <c r="J668" s="70">
        <f t="shared" si="312"/>
        <v>0</v>
      </c>
      <c r="K668" s="70">
        <f t="shared" si="313"/>
        <v>0</v>
      </c>
      <c r="L668" s="308"/>
      <c r="M668" s="72">
        <v>0</v>
      </c>
      <c r="N668" s="73">
        <f t="shared" ref="N668:T668" si="314">SUM(N669)</f>
        <v>0</v>
      </c>
      <c r="O668" s="73">
        <f t="shared" si="314"/>
        <v>0</v>
      </c>
      <c r="P668" s="73">
        <f t="shared" si="314"/>
        <v>0</v>
      </c>
      <c r="Q668" s="73">
        <f t="shared" si="314"/>
        <v>0</v>
      </c>
      <c r="R668" s="73">
        <f t="shared" si="314"/>
        <v>0</v>
      </c>
      <c r="S668" s="73">
        <f t="shared" si="314"/>
        <v>14665.05</v>
      </c>
      <c r="T668" s="73">
        <f t="shared" si="314"/>
        <v>14665.05</v>
      </c>
    </row>
    <row r="669" spans="2:20" s="34" customFormat="1" ht="34.799999999999997">
      <c r="B669" s="298" t="s">
        <v>1869</v>
      </c>
      <c r="C669" s="299" t="s">
        <v>1870</v>
      </c>
      <c r="D669" s="309" t="s">
        <v>39</v>
      </c>
      <c r="E669" s="93"/>
      <c r="F669" s="93">
        <v>5</v>
      </c>
      <c r="G669" s="79"/>
      <c r="H669" s="79"/>
      <c r="I669" s="79"/>
      <c r="J669" s="79">
        <f t="shared" si="312"/>
        <v>0</v>
      </c>
      <c r="K669" s="79">
        <f t="shared" si="313"/>
        <v>5</v>
      </c>
      <c r="L669" s="84"/>
      <c r="M669" s="81">
        <v>2933.0110552480501</v>
      </c>
      <c r="N669" s="82">
        <f>TRUNC(G669*M669,2)</f>
        <v>0</v>
      </c>
      <c r="O669" s="82">
        <f>TRUNC(H669*M669,2)</f>
        <v>0</v>
      </c>
      <c r="P669" s="82">
        <f>O669</f>
        <v>0</v>
      </c>
      <c r="Q669" s="82">
        <f>TRUNC(K669*P669,2)</f>
        <v>0</v>
      </c>
      <c r="R669" s="82">
        <f>TRUNC(E669*M669,2)</f>
        <v>0</v>
      </c>
      <c r="S669" s="82">
        <f>TRUNC(F669*$M669,2)</f>
        <v>14665.05</v>
      </c>
      <c r="T669" s="82">
        <f>S669-P669</f>
        <v>14665.05</v>
      </c>
    </row>
    <row r="670" spans="2:20" s="34" customFormat="1" ht="13.2">
      <c r="B670" s="66" t="s">
        <v>1871</v>
      </c>
      <c r="C670" s="67" t="s">
        <v>1872</v>
      </c>
      <c r="D670" s="68"/>
      <c r="E670" s="69"/>
      <c r="F670" s="69"/>
      <c r="G670" s="70"/>
      <c r="H670" s="70"/>
      <c r="I670" s="70"/>
      <c r="J670" s="70">
        <f t="shared" si="312"/>
        <v>0</v>
      </c>
      <c r="K670" s="70">
        <f t="shared" si="313"/>
        <v>0</v>
      </c>
      <c r="L670" s="308"/>
      <c r="M670" s="72">
        <v>0</v>
      </c>
      <c r="N670" s="73">
        <f t="shared" ref="N670:T670" si="315">SUM(N671:N672)</f>
        <v>0</v>
      </c>
      <c r="O670" s="73">
        <f t="shared" si="315"/>
        <v>0</v>
      </c>
      <c r="P670" s="73">
        <f t="shared" si="315"/>
        <v>0</v>
      </c>
      <c r="Q670" s="73">
        <f t="shared" si="315"/>
        <v>0</v>
      </c>
      <c r="R670" s="73">
        <f t="shared" si="315"/>
        <v>0</v>
      </c>
      <c r="S670" s="73">
        <f t="shared" si="315"/>
        <v>7825.7</v>
      </c>
      <c r="T670" s="73">
        <f t="shared" si="315"/>
        <v>7825.7</v>
      </c>
    </row>
    <row r="671" spans="2:20" s="34" customFormat="1" ht="46.2">
      <c r="B671" s="298" t="s">
        <v>1873</v>
      </c>
      <c r="C671" s="299" t="s">
        <v>335</v>
      </c>
      <c r="D671" s="300" t="s">
        <v>79</v>
      </c>
      <c r="E671" s="93"/>
      <c r="F671" s="93">
        <v>82.84</v>
      </c>
      <c r="G671" s="79"/>
      <c r="H671" s="79"/>
      <c r="I671" s="79"/>
      <c r="J671" s="79">
        <f t="shared" si="312"/>
        <v>0</v>
      </c>
      <c r="K671" s="79">
        <f t="shared" si="313"/>
        <v>82.84</v>
      </c>
      <c r="L671" s="84"/>
      <c r="M671" s="81">
        <v>88.732007699999997</v>
      </c>
      <c r="N671" s="82">
        <f>TRUNC(G671*M671,2)</f>
        <v>0</v>
      </c>
      <c r="O671" s="82">
        <f>TRUNC(H671*M671,2)</f>
        <v>0</v>
      </c>
      <c r="P671" s="82">
        <f>O671</f>
        <v>0</v>
      </c>
      <c r="Q671" s="82">
        <f>TRUNC(K671*P671,2)</f>
        <v>0</v>
      </c>
      <c r="R671" s="82">
        <f>TRUNC(E671*M671,2)</f>
        <v>0</v>
      </c>
      <c r="S671" s="82">
        <f>TRUNC(F671*$M671,2)</f>
        <v>7350.55</v>
      </c>
      <c r="T671" s="82">
        <f>S671-P671</f>
        <v>7350.55</v>
      </c>
    </row>
    <row r="672" spans="2:20" s="34" customFormat="1" ht="23.4">
      <c r="B672" s="298" t="s">
        <v>1874</v>
      </c>
      <c r="C672" s="299" t="s">
        <v>1875</v>
      </c>
      <c r="D672" s="309" t="s">
        <v>39</v>
      </c>
      <c r="E672" s="93"/>
      <c r="F672" s="93">
        <v>6</v>
      </c>
      <c r="G672" s="79"/>
      <c r="H672" s="79"/>
      <c r="I672" s="79"/>
      <c r="J672" s="79">
        <f t="shared" si="312"/>
        <v>0</v>
      </c>
      <c r="K672" s="79">
        <f t="shared" si="313"/>
        <v>6</v>
      </c>
      <c r="L672" s="84"/>
      <c r="M672" s="81">
        <v>79.193244000000007</v>
      </c>
      <c r="N672" s="82">
        <f>TRUNC(G672*M672,2)</f>
        <v>0</v>
      </c>
      <c r="O672" s="82">
        <f>TRUNC(H672*M672,2)</f>
        <v>0</v>
      </c>
      <c r="P672" s="82">
        <f>O672</f>
        <v>0</v>
      </c>
      <c r="Q672" s="82">
        <f>TRUNC(K672*P672,2)</f>
        <v>0</v>
      </c>
      <c r="R672" s="82">
        <f>TRUNC(E672*M672,2)</f>
        <v>0</v>
      </c>
      <c r="S672" s="82">
        <f>TRUNC(F672*$M672,2)</f>
        <v>475.15</v>
      </c>
      <c r="T672" s="82">
        <f>S672-P672</f>
        <v>475.15</v>
      </c>
    </row>
    <row r="673" spans="1:25" s="34" customFormat="1" ht="13.2">
      <c r="B673" s="66" t="s">
        <v>1876</v>
      </c>
      <c r="C673" s="67" t="s">
        <v>438</v>
      </c>
      <c r="D673" s="68"/>
      <c r="E673" s="69"/>
      <c r="F673" s="69"/>
      <c r="G673" s="70"/>
      <c r="H673" s="70"/>
      <c r="I673" s="70"/>
      <c r="J673" s="70">
        <f t="shared" si="312"/>
        <v>0</v>
      </c>
      <c r="K673" s="70">
        <f t="shared" si="313"/>
        <v>0</v>
      </c>
      <c r="L673" s="308"/>
      <c r="M673" s="72">
        <v>0</v>
      </c>
      <c r="N673" s="73">
        <f t="shared" ref="N673:T673" si="316">SUM(N674:N679)</f>
        <v>19788.390000000003</v>
      </c>
      <c r="O673" s="73">
        <f t="shared" si="316"/>
        <v>19788.390000000003</v>
      </c>
      <c r="P673" s="73">
        <f t="shared" si="316"/>
        <v>19788.390000000003</v>
      </c>
      <c r="Q673" s="73">
        <f t="shared" si="316"/>
        <v>0</v>
      </c>
      <c r="R673" s="73">
        <f t="shared" si="316"/>
        <v>0</v>
      </c>
      <c r="S673" s="73">
        <f t="shared" si="316"/>
        <v>19788.390000000003</v>
      </c>
      <c r="T673" s="73">
        <f t="shared" si="316"/>
        <v>0</v>
      </c>
    </row>
    <row r="674" spans="1:25" ht="69.599999999999994">
      <c r="A674" s="34"/>
      <c r="B674" s="298" t="s">
        <v>1877</v>
      </c>
      <c r="C674" s="299" t="s">
        <v>1878</v>
      </c>
      <c r="D674" s="309" t="s">
        <v>79</v>
      </c>
      <c r="E674" s="93"/>
      <c r="F674" s="93">
        <v>86.185000000000002</v>
      </c>
      <c r="G674" s="79">
        <v>86.185000000000002</v>
      </c>
      <c r="H674" s="79">
        <f t="shared" ref="H674:H679" si="317">G674</f>
        <v>86.185000000000002</v>
      </c>
      <c r="I674" s="79"/>
      <c r="J674" s="79">
        <f t="shared" si="312"/>
        <v>86.185000000000002</v>
      </c>
      <c r="K674" s="79">
        <f t="shared" si="313"/>
        <v>0</v>
      </c>
      <c r="L674" s="84"/>
      <c r="M674" s="81">
        <v>31.664877897452001</v>
      </c>
      <c r="N674" s="82">
        <f t="shared" ref="N674:N679" si="318">TRUNC(G674*M674,2)</f>
        <v>2729.03</v>
      </c>
      <c r="O674" s="82">
        <f t="shared" ref="O674:O679" si="319">TRUNC(H674*M674,2)</f>
        <v>2729.03</v>
      </c>
      <c r="P674" s="82">
        <f t="shared" ref="P674:P679" si="320">O674</f>
        <v>2729.03</v>
      </c>
      <c r="Q674" s="82">
        <f t="shared" ref="Q674:Q679" si="321">TRUNC(K674*P674,2)</f>
        <v>0</v>
      </c>
      <c r="R674" s="82">
        <f t="shared" ref="R674:R679" si="322">TRUNC(E674*M674,2)</f>
        <v>0</v>
      </c>
      <c r="S674" s="82">
        <f t="shared" ref="S674:S679" si="323">TRUNC(F674*$M674,2)</f>
        <v>2729.03</v>
      </c>
      <c r="T674" s="82">
        <f t="shared" ref="T674:T679" si="324">S674-P674</f>
        <v>0</v>
      </c>
      <c r="U674" s="34"/>
      <c r="V674" s="34"/>
      <c r="W674" s="34"/>
      <c r="X674" s="34"/>
      <c r="Y674" s="34"/>
    </row>
    <row r="675" spans="1:25" ht="58.2">
      <c r="A675" s="34"/>
      <c r="B675" s="298" t="s">
        <v>1879</v>
      </c>
      <c r="C675" s="299" t="s">
        <v>1880</v>
      </c>
      <c r="D675" s="309" t="s">
        <v>79</v>
      </c>
      <c r="E675" s="93"/>
      <c r="F675" s="93">
        <v>86.185000000000002</v>
      </c>
      <c r="G675" s="79">
        <v>86.185000000000002</v>
      </c>
      <c r="H675" s="79">
        <f t="shared" si="317"/>
        <v>86.185000000000002</v>
      </c>
      <c r="I675" s="79"/>
      <c r="J675" s="79">
        <f t="shared" si="312"/>
        <v>86.185000000000002</v>
      </c>
      <c r="K675" s="79">
        <f t="shared" si="313"/>
        <v>0</v>
      </c>
      <c r="L675" s="84"/>
      <c r="M675" s="81">
        <v>81.489999999999995</v>
      </c>
      <c r="N675" s="82">
        <f t="shared" si="318"/>
        <v>7023.21</v>
      </c>
      <c r="O675" s="82">
        <f t="shared" si="319"/>
        <v>7023.21</v>
      </c>
      <c r="P675" s="82">
        <f t="shared" si="320"/>
        <v>7023.21</v>
      </c>
      <c r="Q675" s="82">
        <f t="shared" si="321"/>
        <v>0</v>
      </c>
      <c r="R675" s="82">
        <f t="shared" si="322"/>
        <v>0</v>
      </c>
      <c r="S675" s="82">
        <f t="shared" si="323"/>
        <v>7023.21</v>
      </c>
      <c r="T675" s="82">
        <f t="shared" si="324"/>
        <v>0</v>
      </c>
      <c r="U675" s="34"/>
      <c r="V675" s="34"/>
      <c r="W675" s="34"/>
      <c r="X675" s="34"/>
      <c r="Y675" s="34"/>
    </row>
    <row r="676" spans="1:25" ht="35.4">
      <c r="A676" s="34"/>
      <c r="B676" s="298" t="s">
        <v>1881</v>
      </c>
      <c r="C676" s="299" t="s">
        <v>1882</v>
      </c>
      <c r="D676" s="309" t="s">
        <v>124</v>
      </c>
      <c r="E676" s="93"/>
      <c r="F676" s="93">
        <v>9</v>
      </c>
      <c r="G676" s="79">
        <v>9</v>
      </c>
      <c r="H676" s="79">
        <f t="shared" si="317"/>
        <v>9</v>
      </c>
      <c r="I676" s="79"/>
      <c r="J676" s="79">
        <f t="shared" si="312"/>
        <v>9</v>
      </c>
      <c r="K676" s="79">
        <f t="shared" si="313"/>
        <v>0</v>
      </c>
      <c r="L676" s="84"/>
      <c r="M676" s="81">
        <v>77.609994846695997</v>
      </c>
      <c r="N676" s="82">
        <f t="shared" si="318"/>
        <v>698.48</v>
      </c>
      <c r="O676" s="82">
        <f t="shared" si="319"/>
        <v>698.48</v>
      </c>
      <c r="P676" s="82">
        <f t="shared" si="320"/>
        <v>698.48</v>
      </c>
      <c r="Q676" s="82">
        <f t="shared" si="321"/>
        <v>0</v>
      </c>
      <c r="R676" s="82">
        <f t="shared" si="322"/>
        <v>0</v>
      </c>
      <c r="S676" s="82">
        <f t="shared" si="323"/>
        <v>698.48</v>
      </c>
      <c r="T676" s="82">
        <f t="shared" si="324"/>
        <v>0</v>
      </c>
      <c r="U676" s="34"/>
      <c r="V676" s="34"/>
      <c r="W676" s="34"/>
      <c r="X676" s="34"/>
      <c r="Y676" s="34"/>
    </row>
    <row r="677" spans="1:25" ht="24">
      <c r="A677" s="34"/>
      <c r="B677" s="298" t="s">
        <v>1883</v>
      </c>
      <c r="C677" s="299" t="s">
        <v>1884</v>
      </c>
      <c r="D677" s="309" t="s">
        <v>124</v>
      </c>
      <c r="E677" s="93"/>
      <c r="F677" s="93">
        <v>17.5</v>
      </c>
      <c r="G677" s="79">
        <v>17.5</v>
      </c>
      <c r="H677" s="79">
        <f t="shared" si="317"/>
        <v>17.5</v>
      </c>
      <c r="I677" s="79"/>
      <c r="J677" s="79">
        <f t="shared" si="312"/>
        <v>17.5</v>
      </c>
      <c r="K677" s="79">
        <f t="shared" si="313"/>
        <v>0</v>
      </c>
      <c r="L677" s="84"/>
      <c r="M677" s="81">
        <v>388.05</v>
      </c>
      <c r="N677" s="82">
        <f t="shared" si="318"/>
        <v>6790.87</v>
      </c>
      <c r="O677" s="82">
        <f t="shared" si="319"/>
        <v>6790.87</v>
      </c>
      <c r="P677" s="82">
        <f t="shared" si="320"/>
        <v>6790.87</v>
      </c>
      <c r="Q677" s="82">
        <f t="shared" si="321"/>
        <v>0</v>
      </c>
      <c r="R677" s="82">
        <f t="shared" si="322"/>
        <v>0</v>
      </c>
      <c r="S677" s="82">
        <f t="shared" si="323"/>
        <v>6790.87</v>
      </c>
      <c r="T677" s="82">
        <f t="shared" si="324"/>
        <v>0</v>
      </c>
      <c r="U677" s="34"/>
      <c r="V677" s="34"/>
      <c r="W677" s="34"/>
      <c r="X677" s="34"/>
      <c r="Y677" s="34"/>
    </row>
    <row r="678" spans="1:25" ht="24">
      <c r="A678" s="34"/>
      <c r="B678" s="298" t="s">
        <v>1885</v>
      </c>
      <c r="C678" s="299" t="s">
        <v>1886</v>
      </c>
      <c r="D678" s="309" t="s">
        <v>124</v>
      </c>
      <c r="E678" s="93"/>
      <c r="F678" s="93">
        <v>24.05</v>
      </c>
      <c r="G678" s="79">
        <v>24.05</v>
      </c>
      <c r="H678" s="79">
        <f t="shared" si="317"/>
        <v>24.05</v>
      </c>
      <c r="I678" s="79"/>
      <c r="J678" s="79">
        <f t="shared" si="312"/>
        <v>24.05</v>
      </c>
      <c r="K678" s="79">
        <f t="shared" si="313"/>
        <v>0</v>
      </c>
      <c r="L678" s="84"/>
      <c r="M678" s="81">
        <v>51.015636612561501</v>
      </c>
      <c r="N678" s="82">
        <f t="shared" si="318"/>
        <v>1226.92</v>
      </c>
      <c r="O678" s="82">
        <f t="shared" si="319"/>
        <v>1226.92</v>
      </c>
      <c r="P678" s="82">
        <f t="shared" si="320"/>
        <v>1226.92</v>
      </c>
      <c r="Q678" s="82">
        <f t="shared" si="321"/>
        <v>0</v>
      </c>
      <c r="R678" s="82">
        <f t="shared" si="322"/>
        <v>0</v>
      </c>
      <c r="S678" s="82">
        <f t="shared" si="323"/>
        <v>1226.92</v>
      </c>
      <c r="T678" s="82">
        <f t="shared" si="324"/>
        <v>0</v>
      </c>
      <c r="U678" s="34"/>
      <c r="V678" s="34"/>
      <c r="W678" s="34"/>
      <c r="X678" s="34"/>
      <c r="Y678" s="34"/>
    </row>
    <row r="679" spans="1:25">
      <c r="A679" s="34"/>
      <c r="B679" s="298" t="s">
        <v>1887</v>
      </c>
      <c r="C679" s="299" t="s">
        <v>440</v>
      </c>
      <c r="D679" s="300" t="s">
        <v>124</v>
      </c>
      <c r="E679" s="93"/>
      <c r="F679" s="93">
        <v>41.65</v>
      </c>
      <c r="G679" s="79">
        <v>41.65</v>
      </c>
      <c r="H679" s="79">
        <f t="shared" si="317"/>
        <v>41.65</v>
      </c>
      <c r="I679" s="79"/>
      <c r="J679" s="79">
        <f t="shared" si="312"/>
        <v>41.65</v>
      </c>
      <c r="K679" s="79">
        <f t="shared" si="313"/>
        <v>0</v>
      </c>
      <c r="L679" s="84"/>
      <c r="M679" s="81">
        <v>31.69</v>
      </c>
      <c r="N679" s="82">
        <f t="shared" si="318"/>
        <v>1319.88</v>
      </c>
      <c r="O679" s="82">
        <f t="shared" si="319"/>
        <v>1319.88</v>
      </c>
      <c r="P679" s="82">
        <f t="shared" si="320"/>
        <v>1319.88</v>
      </c>
      <c r="Q679" s="82">
        <f t="shared" si="321"/>
        <v>0</v>
      </c>
      <c r="R679" s="82">
        <f t="shared" si="322"/>
        <v>0</v>
      </c>
      <c r="S679" s="82">
        <f t="shared" si="323"/>
        <v>1319.88</v>
      </c>
      <c r="T679" s="82">
        <f t="shared" si="324"/>
        <v>0</v>
      </c>
      <c r="U679" s="34"/>
      <c r="V679" s="34"/>
      <c r="W679" s="34"/>
      <c r="X679" s="34"/>
      <c r="Y679" s="34"/>
    </row>
    <row r="680" spans="1:25">
      <c r="A680" s="34"/>
      <c r="B680" s="66" t="s">
        <v>1888</v>
      </c>
      <c r="C680" s="67" t="s">
        <v>1889</v>
      </c>
      <c r="D680" s="68"/>
      <c r="E680" s="69"/>
      <c r="F680" s="69"/>
      <c r="G680" s="70"/>
      <c r="H680" s="70"/>
      <c r="I680" s="70"/>
      <c r="J680" s="70">
        <f t="shared" si="312"/>
        <v>0</v>
      </c>
      <c r="K680" s="70">
        <f t="shared" si="313"/>
        <v>0</v>
      </c>
      <c r="L680" s="308"/>
      <c r="M680" s="72">
        <v>0</v>
      </c>
      <c r="N680" s="73">
        <f t="shared" ref="N680:T680" si="325">SUM(N681)</f>
        <v>0</v>
      </c>
      <c r="O680" s="73">
        <f t="shared" si="325"/>
        <v>0</v>
      </c>
      <c r="P680" s="73">
        <f t="shared" si="325"/>
        <v>0</v>
      </c>
      <c r="Q680" s="73">
        <f t="shared" si="325"/>
        <v>0</v>
      </c>
      <c r="R680" s="73">
        <f t="shared" si="325"/>
        <v>0</v>
      </c>
      <c r="S680" s="73">
        <f t="shared" si="325"/>
        <v>670.26</v>
      </c>
      <c r="T680" s="73">
        <f t="shared" si="325"/>
        <v>670.26</v>
      </c>
      <c r="U680" s="34"/>
      <c r="V680" s="34"/>
      <c r="W680" s="34"/>
      <c r="X680" s="34"/>
      <c r="Y680" s="34"/>
    </row>
    <row r="681" spans="1:25" s="122" customFormat="1" ht="13.8">
      <c r="A681" s="34"/>
      <c r="B681" s="298" t="s">
        <v>1890</v>
      </c>
      <c r="C681" s="299" t="s">
        <v>1156</v>
      </c>
      <c r="D681" s="300" t="s">
        <v>79</v>
      </c>
      <c r="E681" s="93"/>
      <c r="F681" s="93">
        <v>132.1925</v>
      </c>
      <c r="G681" s="79"/>
      <c r="H681" s="79"/>
      <c r="I681" s="79"/>
      <c r="J681" s="79">
        <f t="shared" si="312"/>
        <v>0</v>
      </c>
      <c r="K681" s="79">
        <f t="shared" si="313"/>
        <v>132.1925</v>
      </c>
      <c r="L681" s="84"/>
      <c r="M681" s="81">
        <v>5.0704004400000002</v>
      </c>
      <c r="N681" s="82">
        <f>TRUNC(G681*M681,2)</f>
        <v>0</v>
      </c>
      <c r="O681" s="82">
        <f>TRUNC(H681*M681,2)</f>
        <v>0</v>
      </c>
      <c r="P681" s="82">
        <f>O681</f>
        <v>0</v>
      </c>
      <c r="Q681" s="82">
        <f>TRUNC(K681*P681,2)</f>
        <v>0</v>
      </c>
      <c r="R681" s="82">
        <f>TRUNC(E681*M681,2)</f>
        <v>0</v>
      </c>
      <c r="S681" s="82">
        <f>TRUNC(F681*$M681,2)</f>
        <v>670.26</v>
      </c>
      <c r="T681" s="82">
        <f>S681-P681</f>
        <v>670.26</v>
      </c>
      <c r="U681" s="34"/>
      <c r="V681" s="34"/>
      <c r="W681" s="34"/>
      <c r="X681" s="34"/>
      <c r="Y681" s="34"/>
    </row>
    <row r="682" spans="1:25" s="122" customFormat="1" ht="31.5" customHeight="1">
      <c r="A682" s="2"/>
      <c r="B682" s="533" t="s">
        <v>1157</v>
      </c>
      <c r="C682" s="533"/>
      <c r="D682" s="533"/>
      <c r="E682" s="533"/>
      <c r="F682" s="533"/>
      <c r="G682" s="533"/>
      <c r="H682" s="533"/>
      <c r="I682" s="533"/>
      <c r="J682" s="533"/>
      <c r="K682" s="533"/>
      <c r="L682" s="533"/>
      <c r="M682" s="533"/>
      <c r="N682" s="311">
        <f>N28+N47+N59+N90+N128+N137+N151+N165+N170+N174+N219+N228+N237+N322+N436+N451+N467+N498</f>
        <v>374806.27</v>
      </c>
      <c r="O682" s="312">
        <f t="shared" ref="O682:T682" si="326">SUM(O28,O53,O63,O96,O134,O142,O158,O173,O178,O181,O218,O225,O228,O320,O331,O488,O514,O573,O595,O598)</f>
        <v>2166076</v>
      </c>
      <c r="P682" s="312">
        <f t="shared" si="326"/>
        <v>9541991.9999999963</v>
      </c>
      <c r="Q682" s="312">
        <f t="shared" si="326"/>
        <v>20732092.142300002</v>
      </c>
      <c r="R682" s="312">
        <f t="shared" si="326"/>
        <v>26279999.999999993</v>
      </c>
      <c r="S682" s="312">
        <f t="shared" si="326"/>
        <v>28719537.48</v>
      </c>
      <c r="T682" s="312">
        <f t="shared" si="326"/>
        <v>19177545.480000004</v>
      </c>
      <c r="U682" s="2"/>
      <c r="V682" s="2"/>
      <c r="W682" s="2"/>
      <c r="X682" s="2"/>
      <c r="Y682" s="2"/>
    </row>
    <row r="683" spans="1:25" s="122" customFormat="1" ht="31.5" customHeight="1">
      <c r="A683" s="2"/>
      <c r="B683" s="533" t="s">
        <v>1196</v>
      </c>
      <c r="C683" s="533"/>
      <c r="D683" s="533"/>
      <c r="E683" s="533"/>
      <c r="F683" s="533"/>
      <c r="G683" s="533"/>
      <c r="H683" s="533"/>
      <c r="I683" s="533"/>
      <c r="J683" s="533"/>
      <c r="K683" s="533"/>
      <c r="L683" s="533"/>
      <c r="M683" s="533"/>
      <c r="N683" s="131"/>
      <c r="O683" s="133"/>
      <c r="P683" s="131"/>
      <c r="Q683" s="132"/>
      <c r="R683" s="132"/>
      <c r="S683" s="313"/>
      <c r="T683" s="134"/>
      <c r="U683" s="2"/>
      <c r="V683" s="2"/>
      <c r="W683" s="2"/>
      <c r="X683" s="2"/>
      <c r="Y683" s="2"/>
    </row>
    <row r="684" spans="1:25" s="122" customFormat="1" ht="31.5" customHeight="1">
      <c r="A684" s="2"/>
      <c r="B684" s="533" t="s">
        <v>1430</v>
      </c>
      <c r="C684" s="533"/>
      <c r="D684" s="533"/>
      <c r="E684" s="533"/>
      <c r="F684" s="533"/>
      <c r="G684" s="533"/>
      <c r="H684" s="533"/>
      <c r="I684" s="533"/>
      <c r="J684" s="533"/>
      <c r="K684" s="533"/>
      <c r="L684" s="533"/>
      <c r="M684" s="533"/>
      <c r="N684" s="131"/>
      <c r="O684" s="133">
        <v>328296.45</v>
      </c>
      <c r="P684" s="131"/>
      <c r="Q684" s="132"/>
      <c r="R684" s="132"/>
      <c r="S684" s="313"/>
      <c r="T684" s="134"/>
      <c r="U684" s="2"/>
      <c r="V684" s="2"/>
      <c r="W684" s="2"/>
      <c r="X684" s="2"/>
      <c r="Y684" s="2"/>
    </row>
    <row r="685" spans="1:25" s="122" customFormat="1" ht="31.5" customHeight="1">
      <c r="A685" s="2"/>
      <c r="B685" s="533" t="s">
        <v>1320</v>
      </c>
      <c r="C685" s="533"/>
      <c r="D685" s="533"/>
      <c r="E685" s="533"/>
      <c r="F685" s="533"/>
      <c r="G685" s="533"/>
      <c r="H685" s="533"/>
      <c r="I685" s="533"/>
      <c r="J685" s="533"/>
      <c r="K685" s="533"/>
      <c r="L685" s="533"/>
      <c r="M685" s="533"/>
      <c r="N685" s="131"/>
      <c r="O685" s="133">
        <v>151200.1</v>
      </c>
      <c r="P685" s="131"/>
      <c r="Q685" s="132"/>
      <c r="R685" s="132"/>
      <c r="S685" s="313"/>
      <c r="T685" s="134"/>
      <c r="U685" s="2"/>
      <c r="V685" s="2"/>
      <c r="W685" s="2"/>
      <c r="X685" s="2"/>
      <c r="Y685" s="2"/>
    </row>
    <row r="686" spans="1:25" s="122" customFormat="1" ht="31.5" customHeight="1">
      <c r="A686" s="2"/>
      <c r="B686" s="533" t="s">
        <v>1591</v>
      </c>
      <c r="C686" s="533"/>
      <c r="D686" s="533"/>
      <c r="E686" s="533"/>
      <c r="F686" s="533"/>
      <c r="G686" s="533"/>
      <c r="H686" s="533"/>
      <c r="I686" s="533"/>
      <c r="J686" s="533"/>
      <c r="K686" s="533"/>
      <c r="L686" s="533"/>
      <c r="M686" s="533"/>
      <c r="N686" s="131"/>
      <c r="O686" s="133"/>
      <c r="P686" s="131"/>
      <c r="Q686" s="132"/>
      <c r="R686" s="132"/>
      <c r="S686" s="313"/>
      <c r="T686" s="134"/>
      <c r="U686" s="2"/>
      <c r="V686" s="2"/>
      <c r="W686" s="2"/>
      <c r="X686" s="2"/>
      <c r="Y686" s="2"/>
    </row>
    <row r="687" spans="1:25" s="122" customFormat="1" ht="31.5" hidden="1" customHeight="1">
      <c r="A687" s="2"/>
      <c r="B687" s="272"/>
      <c r="C687" s="273"/>
      <c r="D687" s="273"/>
      <c r="E687" s="273"/>
      <c r="F687" s="273"/>
      <c r="G687" s="273"/>
      <c r="H687" s="273"/>
      <c r="I687" s="273"/>
      <c r="J687" s="273"/>
      <c r="K687" s="273"/>
      <c r="L687" s="273"/>
      <c r="M687" s="274"/>
      <c r="N687" s="131"/>
      <c r="O687" s="133"/>
      <c r="P687" s="131"/>
      <c r="Q687" s="132"/>
      <c r="R687" s="132"/>
      <c r="S687" s="313"/>
      <c r="T687" s="134"/>
      <c r="U687" s="2"/>
      <c r="V687" s="2"/>
      <c r="W687" s="2"/>
      <c r="X687" s="2"/>
      <c r="Y687" s="2"/>
    </row>
    <row r="688" spans="1:25" s="122" customFormat="1" ht="31.5" customHeight="1">
      <c r="A688" s="2"/>
      <c r="B688" s="533" t="s">
        <v>1161</v>
      </c>
      <c r="C688" s="533"/>
      <c r="D688" s="533"/>
      <c r="E688" s="533"/>
      <c r="F688" s="533"/>
      <c r="G688" s="533"/>
      <c r="H688" s="533"/>
      <c r="I688" s="533"/>
      <c r="J688" s="533"/>
      <c r="K688" s="533"/>
      <c r="L688" s="533"/>
      <c r="M688" s="533"/>
      <c r="N688" s="131">
        <f>N29+N48+N60+N91+N129+N138+N152+N166+N171+N175+N220+N229+N238+N323+N437+N452+N468+N499</f>
        <v>304602.99</v>
      </c>
      <c r="O688" s="131">
        <f>O682-SUM(O683:O687)</f>
        <v>1686579.45</v>
      </c>
      <c r="P688" s="131" t="s">
        <v>1162</v>
      </c>
      <c r="Q688" s="132">
        <f>Q29+Q48+Q60+Q91+Q129+Q138+Q152+Q166+Q171+Q175+Q220+Q229+Q238+Q323+Q437+Q452+Q468+Q499</f>
        <v>1855118.2200000002</v>
      </c>
      <c r="R688" s="132" t="s">
        <v>1162</v>
      </c>
      <c r="S688" s="313"/>
      <c r="T688" s="134" t="s">
        <v>1162</v>
      </c>
      <c r="U688" s="2"/>
      <c r="V688" s="2"/>
      <c r="W688" s="2"/>
      <c r="X688" s="2"/>
      <c r="Y688" s="2"/>
    </row>
    <row r="689" spans="1:25" s="122" customFormat="1" ht="8.25" customHeight="1">
      <c r="D689" s="135"/>
      <c r="E689" s="136"/>
      <c r="F689" s="136"/>
      <c r="G689" s="136"/>
      <c r="H689" s="136"/>
      <c r="I689" s="136"/>
      <c r="J689" s="136"/>
      <c r="K689" s="137"/>
      <c r="L689" s="137"/>
      <c r="M689" s="137"/>
      <c r="N689" s="137"/>
      <c r="O689" s="137"/>
      <c r="P689" s="138"/>
      <c r="Q689" s="139"/>
      <c r="R689" s="139"/>
      <c r="S689" s="139"/>
      <c r="T689" s="137"/>
    </row>
    <row r="690" spans="1:25" s="122" customFormat="1" ht="15.75" customHeight="1">
      <c r="B690" s="140" t="s">
        <v>1163</v>
      </c>
      <c r="C690" s="141" t="s">
        <v>1164</v>
      </c>
      <c r="D690" s="534" t="s">
        <v>1165</v>
      </c>
      <c r="E690" s="534"/>
      <c r="F690" s="534"/>
      <c r="G690" s="142" t="s">
        <v>1163</v>
      </c>
      <c r="H690" s="143" t="s">
        <v>1164</v>
      </c>
      <c r="I690" s="144"/>
      <c r="J690" s="534" t="s">
        <v>1165</v>
      </c>
      <c r="K690" s="534"/>
      <c r="L690" s="145"/>
      <c r="M690" s="142" t="s">
        <v>1166</v>
      </c>
      <c r="N690" s="142"/>
      <c r="O690" s="146"/>
      <c r="P690" s="535" t="s">
        <v>1167</v>
      </c>
      <c r="Q690" s="535"/>
      <c r="R690" s="535"/>
      <c r="S690" s="314"/>
      <c r="T690" s="137"/>
    </row>
    <row r="691" spans="1:25" s="122" customFormat="1" ht="19.5" customHeight="1">
      <c r="B691" s="147" t="s">
        <v>1168</v>
      </c>
      <c r="C691" s="148" t="s">
        <v>1169</v>
      </c>
      <c r="D691" s="570">
        <f>TRUNC(35%*11%*O688,2)</f>
        <v>64933.3</v>
      </c>
      <c r="E691" s="570"/>
      <c r="F691" s="570"/>
      <c r="G691" s="149" t="s">
        <v>1170</v>
      </c>
      <c r="H691" s="150"/>
      <c r="I691" s="151"/>
      <c r="J691" s="537"/>
      <c r="K691" s="537"/>
      <c r="L691" s="152"/>
      <c r="M691" s="149" t="s">
        <v>1171</v>
      </c>
      <c r="N691" s="150" t="e">
        <f>#REF!</f>
        <v>#REF!</v>
      </c>
      <c r="O691" s="150"/>
      <c r="P691" s="535"/>
      <c r="Q691" s="535"/>
      <c r="R691" s="535"/>
      <c r="S691" s="314"/>
      <c r="T691" s="137"/>
    </row>
    <row r="692" spans="1:25" s="122" customFormat="1" ht="19.5" customHeight="1">
      <c r="B692" s="147" t="s">
        <v>1172</v>
      </c>
      <c r="C692" s="148" t="s">
        <v>1198</v>
      </c>
      <c r="D692" s="570">
        <f>F700</f>
        <v>59030.28</v>
      </c>
      <c r="E692" s="570"/>
      <c r="F692" s="570"/>
      <c r="G692" s="149" t="s">
        <v>1174</v>
      </c>
      <c r="H692" s="150"/>
      <c r="I692" s="151"/>
      <c r="J692" s="537"/>
      <c r="K692" s="537"/>
      <c r="L692" s="152"/>
      <c r="M692" s="149" t="s">
        <v>1175</v>
      </c>
      <c r="N692" s="150" t="e">
        <f>#REF!</f>
        <v>#REF!</v>
      </c>
      <c r="O692" s="150"/>
      <c r="P692" s="538">
        <f>O688-D691-D692-D693-J691-J692-J693-O691-O692-O693</f>
        <v>1562615.8699999999</v>
      </c>
      <c r="Q692" s="538"/>
      <c r="R692" s="538"/>
      <c r="S692" s="315"/>
      <c r="T692" s="137"/>
    </row>
    <row r="693" spans="1:25" ht="19.5" customHeight="1">
      <c r="A693" s="122"/>
      <c r="B693" s="153" t="s">
        <v>1176</v>
      </c>
      <c r="C693" s="154">
        <v>0</v>
      </c>
      <c r="D693" s="571"/>
      <c r="E693" s="571"/>
      <c r="F693" s="571"/>
      <c r="G693" s="155" t="s">
        <v>1177</v>
      </c>
      <c r="H693" s="156"/>
      <c r="I693" s="157"/>
      <c r="J693" s="540"/>
      <c r="K693" s="540"/>
      <c r="L693" s="159"/>
      <c r="M693" s="155" t="s">
        <v>1178</v>
      </c>
      <c r="N693" s="158"/>
      <c r="O693" s="158"/>
      <c r="P693" s="538"/>
      <c r="Q693" s="538"/>
      <c r="R693" s="538"/>
      <c r="S693" s="315"/>
      <c r="T693" s="137"/>
      <c r="U693" s="122"/>
      <c r="V693" s="122"/>
      <c r="W693" s="122"/>
      <c r="X693" s="122"/>
      <c r="Y693" s="122"/>
    </row>
    <row r="694" spans="1:25">
      <c r="A694" s="122"/>
      <c r="B694" s="122"/>
      <c r="C694" s="122"/>
      <c r="D694" s="135"/>
      <c r="E694" s="136"/>
      <c r="F694" s="136"/>
      <c r="G694" s="136"/>
      <c r="H694" s="136"/>
      <c r="I694" s="136"/>
      <c r="J694" s="136"/>
      <c r="K694" s="137"/>
      <c r="L694" s="137"/>
      <c r="M694" s="137"/>
      <c r="N694" s="137"/>
      <c r="O694" s="137"/>
      <c r="P694" s="137"/>
      <c r="Q694" s="139"/>
      <c r="R694" s="139"/>
      <c r="S694" s="139"/>
      <c r="T694" s="137"/>
      <c r="U694" s="122"/>
      <c r="V694" s="122"/>
      <c r="W694" s="122"/>
      <c r="X694" s="122"/>
      <c r="Y694" s="122"/>
    </row>
    <row r="695" spans="1:25">
      <c r="A695" s="122"/>
      <c r="B695" s="122"/>
      <c r="C695" s="122"/>
      <c r="D695" s="135"/>
      <c r="E695" s="136"/>
      <c r="F695" s="136"/>
      <c r="G695" s="136"/>
      <c r="H695" s="136"/>
      <c r="I695" s="136"/>
      <c r="J695" s="136"/>
      <c r="K695" s="137"/>
      <c r="L695" s="137"/>
      <c r="M695" s="137"/>
      <c r="N695" s="137"/>
      <c r="O695" s="137"/>
      <c r="P695" s="137"/>
      <c r="Q695" s="139"/>
      <c r="R695" s="139"/>
      <c r="S695" s="139"/>
      <c r="T695" s="137"/>
      <c r="U695" s="122"/>
      <c r="V695" s="122"/>
      <c r="W695" s="122"/>
      <c r="X695" s="122"/>
      <c r="Y695" s="122"/>
    </row>
    <row r="696" spans="1:25" ht="27.75" customHeight="1">
      <c r="A696" s="122"/>
      <c r="B696" s="122"/>
      <c r="C696" s="541" t="s">
        <v>1179</v>
      </c>
      <c r="D696" s="541"/>
      <c r="E696" s="541"/>
      <c r="F696" s="541"/>
      <c r="G696" s="136"/>
      <c r="H696" s="136"/>
      <c r="I696" s="136"/>
      <c r="J696" s="136"/>
      <c r="K696" s="137"/>
      <c r="L696" s="137"/>
      <c r="M696" s="137"/>
      <c r="N696" s="137"/>
      <c r="O696" s="137"/>
      <c r="P696" s="137"/>
      <c r="Q696" s="139"/>
      <c r="R696" s="139"/>
      <c r="S696" s="139"/>
      <c r="T696" s="137"/>
      <c r="U696" s="122"/>
      <c r="V696" s="122"/>
      <c r="W696" s="122"/>
      <c r="X696" s="122"/>
      <c r="Y696" s="122"/>
    </row>
    <row r="697" spans="1:25" ht="24.75" customHeight="1">
      <c r="A697" s="122"/>
      <c r="B697" s="122"/>
      <c r="C697" s="542" t="s">
        <v>1180</v>
      </c>
      <c r="D697" s="542"/>
      <c r="E697" s="122"/>
      <c r="F697" s="160">
        <f>O688</f>
        <v>1686579.45</v>
      </c>
      <c r="G697" s="136"/>
      <c r="H697" s="136"/>
      <c r="I697" s="136"/>
      <c r="J697" s="136"/>
      <c r="K697" s="137"/>
      <c r="L697" s="137"/>
      <c r="M697" s="137"/>
      <c r="N697" s="137"/>
      <c r="O697" s="137"/>
      <c r="P697" s="137"/>
      <c r="Q697" s="139"/>
      <c r="R697" s="139"/>
      <c r="S697" s="139"/>
      <c r="T697" s="137"/>
      <c r="U697" s="122"/>
      <c r="V697" s="122"/>
      <c r="W697" s="122"/>
      <c r="X697" s="122"/>
      <c r="Y697" s="122"/>
    </row>
    <row r="698" spans="1:25" ht="24.75" customHeight="1">
      <c r="A698" s="122"/>
      <c r="B698" s="122"/>
      <c r="C698" s="543" t="s">
        <v>1183</v>
      </c>
      <c r="D698" s="543"/>
      <c r="E698" s="122"/>
      <c r="F698" s="162">
        <f>0.7*F697</f>
        <v>1180605.615</v>
      </c>
      <c r="G698" s="136"/>
      <c r="H698" s="136"/>
      <c r="I698" s="136"/>
      <c r="J698" s="136"/>
      <c r="K698" s="137"/>
      <c r="L698" s="137"/>
      <c r="M698" s="137"/>
      <c r="N698" s="137"/>
      <c r="O698" s="137"/>
      <c r="P698" s="137"/>
      <c r="Q698" s="139"/>
      <c r="R698" s="139"/>
      <c r="S698" s="139"/>
      <c r="T698" s="137"/>
      <c r="U698" s="122"/>
      <c r="V698" s="122"/>
      <c r="W698" s="122"/>
      <c r="X698" s="122"/>
      <c r="Y698" s="122"/>
    </row>
    <row r="699" spans="1:25" ht="24.75" customHeight="1">
      <c r="A699" s="122"/>
      <c r="B699" s="122"/>
      <c r="C699" s="543" t="s">
        <v>1184</v>
      </c>
      <c r="D699" s="543"/>
      <c r="E699" s="122"/>
      <c r="F699" s="163">
        <f>F698/F697</f>
        <v>0.70000000000000007</v>
      </c>
      <c r="G699" s="136"/>
      <c r="H699" s="136"/>
      <c r="I699" s="136"/>
      <c r="J699" s="136"/>
      <c r="K699" s="137"/>
      <c r="L699" s="137"/>
      <c r="M699" s="137"/>
      <c r="N699" s="137"/>
      <c r="O699" s="137"/>
      <c r="P699" s="137"/>
      <c r="Q699" s="139"/>
      <c r="R699" s="139"/>
      <c r="S699" s="139"/>
      <c r="T699" s="137"/>
      <c r="U699" s="122"/>
      <c r="V699" s="122"/>
      <c r="W699" s="122"/>
      <c r="X699" s="122"/>
      <c r="Y699" s="122"/>
    </row>
    <row r="700" spans="1:25" ht="24.75" customHeight="1">
      <c r="A700" s="122"/>
      <c r="B700" s="122"/>
      <c r="C700" s="545" t="s">
        <v>1185</v>
      </c>
      <c r="D700" s="545"/>
      <c r="E700" s="316"/>
      <c r="F700" s="164">
        <f>TRUNC(F698*5%,2)</f>
        <v>59030.28</v>
      </c>
      <c r="G700" s="136"/>
      <c r="H700" s="136"/>
      <c r="I700" s="136"/>
      <c r="J700" s="136"/>
      <c r="K700" s="137"/>
      <c r="L700" s="137"/>
      <c r="M700" s="137"/>
      <c r="N700" s="137"/>
      <c r="O700" s="137"/>
      <c r="P700" s="137"/>
      <c r="Q700" s="139"/>
      <c r="R700" s="139"/>
      <c r="S700" s="139"/>
      <c r="T700" s="137"/>
      <c r="U700" s="122"/>
      <c r="V700" s="122"/>
      <c r="W700" s="122"/>
      <c r="X700" s="122"/>
      <c r="Y700" s="122"/>
    </row>
    <row r="702" spans="1:25" ht="19.5" customHeight="1">
      <c r="C702" s="546" t="s">
        <v>1186</v>
      </c>
      <c r="D702" s="546"/>
      <c r="E702" s="546"/>
      <c r="F702" s="546"/>
      <c r="G702" s="546"/>
      <c r="H702" s="546"/>
      <c r="K702" s="4"/>
      <c r="O702" s="546" t="s">
        <v>1187</v>
      </c>
      <c r="P702" s="546"/>
      <c r="Q702" s="546"/>
      <c r="R702" s="546"/>
      <c r="S702" s="546"/>
      <c r="T702" s="546"/>
      <c r="U702" s="5"/>
    </row>
    <row r="703" spans="1:25" ht="19.5" customHeight="1">
      <c r="C703" s="548" t="s">
        <v>1188</v>
      </c>
      <c r="D703" s="548"/>
      <c r="E703" s="168">
        <v>45390</v>
      </c>
      <c r="F703" s="168">
        <v>45390</v>
      </c>
      <c r="G703" s="166" t="s">
        <v>1189</v>
      </c>
      <c r="H703" s="167">
        <v>157132.10999999999</v>
      </c>
      <c r="K703" s="4"/>
      <c r="L703" s="4"/>
      <c r="O703" s="548" t="s">
        <v>1190</v>
      </c>
      <c r="P703" s="548"/>
      <c r="Q703" s="168">
        <v>44973</v>
      </c>
      <c r="R703" s="169" t="s">
        <v>1162</v>
      </c>
      <c r="S703" s="317"/>
      <c r="T703" s="225"/>
      <c r="U703" s="6"/>
      <c r="V703" s="5"/>
    </row>
    <row r="704" spans="1:25" ht="19.5" customHeight="1">
      <c r="C704" s="549" t="s">
        <v>1191</v>
      </c>
      <c r="D704" s="549"/>
      <c r="E704" s="173">
        <v>45390</v>
      </c>
      <c r="F704" s="173">
        <v>45390</v>
      </c>
      <c r="G704" s="171" t="s">
        <v>1189</v>
      </c>
      <c r="H704" s="172">
        <v>12663.81</v>
      </c>
      <c r="K704" s="4"/>
      <c r="L704" s="4"/>
      <c r="O704" s="549" t="s">
        <v>1199</v>
      </c>
      <c r="P704" s="549"/>
      <c r="Q704" s="173">
        <v>44973</v>
      </c>
      <c r="R704" s="171" t="s">
        <v>1162</v>
      </c>
      <c r="S704" s="318"/>
      <c r="T704" s="172">
        <v>354202.96</v>
      </c>
      <c r="U704" s="6"/>
      <c r="V704" s="5"/>
    </row>
    <row r="705" spans="3:22" ht="19.5" customHeight="1">
      <c r="C705" s="549" t="s">
        <v>1200</v>
      </c>
      <c r="D705" s="549"/>
      <c r="E705" s="173">
        <v>45421</v>
      </c>
      <c r="F705" s="173">
        <v>45421</v>
      </c>
      <c r="G705" s="171" t="s">
        <v>1189</v>
      </c>
      <c r="H705" s="172">
        <v>60499.5</v>
      </c>
      <c r="K705" s="4"/>
      <c r="L705" s="4"/>
      <c r="O705" s="549" t="s">
        <v>1201</v>
      </c>
      <c r="P705" s="549"/>
      <c r="Q705" s="173"/>
      <c r="R705" s="171"/>
      <c r="S705" s="318"/>
      <c r="T705" s="172">
        <v>119528.5</v>
      </c>
      <c r="U705" s="6"/>
      <c r="V705" s="5"/>
    </row>
    <row r="706" spans="3:22" ht="19.5" customHeight="1">
      <c r="C706" s="549" t="s">
        <v>1202</v>
      </c>
      <c r="D706" s="549"/>
      <c r="E706" s="173">
        <v>45446</v>
      </c>
      <c r="F706" s="173">
        <v>45446</v>
      </c>
      <c r="G706" s="171" t="s">
        <v>1203</v>
      </c>
      <c r="H706" s="172">
        <v>60640</v>
      </c>
      <c r="K706" s="4"/>
      <c r="L706" s="4"/>
      <c r="O706" s="549" t="s">
        <v>1250</v>
      </c>
      <c r="P706" s="549"/>
      <c r="Q706" s="173"/>
      <c r="R706" s="171"/>
      <c r="S706" s="318"/>
      <c r="T706" s="172">
        <v>155349.44</v>
      </c>
      <c r="U706" s="6"/>
      <c r="V706" s="5"/>
    </row>
    <row r="707" spans="3:22" ht="19.5" customHeight="1">
      <c r="C707" s="549" t="s">
        <v>1204</v>
      </c>
      <c r="D707" s="549"/>
      <c r="E707" s="173">
        <v>45446</v>
      </c>
      <c r="F707" s="173">
        <v>45446</v>
      </c>
      <c r="G707" s="171" t="s">
        <v>1203</v>
      </c>
      <c r="H707" s="172">
        <v>15160</v>
      </c>
      <c r="K707" s="4"/>
      <c r="L707" s="4"/>
      <c r="O707" s="549" t="s">
        <v>1431</v>
      </c>
      <c r="P707" s="549"/>
      <c r="Q707" s="173"/>
      <c r="R707" s="171"/>
      <c r="S707" s="318"/>
      <c r="T707" s="172">
        <v>118394.27</v>
      </c>
      <c r="U707" s="6"/>
      <c r="V707" s="5"/>
    </row>
    <row r="708" spans="3:22" ht="19.5" customHeight="1">
      <c r="C708" s="549" t="s">
        <v>1205</v>
      </c>
      <c r="D708" s="549"/>
      <c r="E708" s="173">
        <v>45447</v>
      </c>
      <c r="F708" s="173">
        <v>45447</v>
      </c>
      <c r="G708" s="171" t="s">
        <v>1203</v>
      </c>
      <c r="H708" s="172">
        <v>193505</v>
      </c>
      <c r="K708" s="4"/>
      <c r="L708" s="4"/>
      <c r="O708" s="549" t="s">
        <v>1435</v>
      </c>
      <c r="P708" s="549"/>
      <c r="Q708" s="173"/>
      <c r="R708" s="171"/>
      <c r="S708" s="318"/>
      <c r="T708" s="172">
        <v>146586.07999999999</v>
      </c>
      <c r="U708" s="6"/>
      <c r="V708" s="5"/>
    </row>
    <row r="709" spans="3:22" ht="19.5" customHeight="1">
      <c r="C709" s="549" t="s">
        <v>1206</v>
      </c>
      <c r="D709" s="549"/>
      <c r="E709" s="173">
        <v>45457</v>
      </c>
      <c r="F709" s="173">
        <v>45457</v>
      </c>
      <c r="G709" s="171" t="s">
        <v>1189</v>
      </c>
      <c r="H709" s="172">
        <v>101107.04</v>
      </c>
      <c r="K709" s="4"/>
      <c r="L709" s="4"/>
      <c r="O709" s="549" t="s">
        <v>1579</v>
      </c>
      <c r="P709" s="549"/>
      <c r="Q709" s="173"/>
      <c r="R709" s="171"/>
      <c r="S709" s="318"/>
      <c r="T709" s="172">
        <v>136462.16</v>
      </c>
      <c r="U709" s="6"/>
      <c r="V709" s="5"/>
    </row>
    <row r="710" spans="3:22" ht="19.5" customHeight="1">
      <c r="C710" s="549" t="s">
        <v>1251</v>
      </c>
      <c r="D710" s="549"/>
      <c r="E710" s="173">
        <v>45462</v>
      </c>
      <c r="F710" s="173">
        <v>45462</v>
      </c>
      <c r="G710" s="171" t="s">
        <v>1203</v>
      </c>
      <c r="H710" s="172">
        <v>37190</v>
      </c>
      <c r="K710" s="4"/>
      <c r="L710" s="4"/>
      <c r="O710" s="549" t="s">
        <v>1592</v>
      </c>
      <c r="P710" s="549"/>
      <c r="Q710" s="173"/>
      <c r="R710" s="171"/>
      <c r="S710" s="318"/>
      <c r="T710" s="172">
        <v>263138.58</v>
      </c>
      <c r="U710" s="6"/>
      <c r="V710" s="5"/>
    </row>
    <row r="711" spans="3:22" ht="19.5" customHeight="1">
      <c r="C711" s="549" t="s">
        <v>1252</v>
      </c>
      <c r="D711" s="549"/>
      <c r="E711" s="173">
        <v>45463</v>
      </c>
      <c r="F711" s="173">
        <v>45463</v>
      </c>
      <c r="G711" s="171" t="s">
        <v>1189</v>
      </c>
      <c r="H711" s="172">
        <v>21981.17</v>
      </c>
      <c r="K711" s="4"/>
      <c r="L711" s="4"/>
      <c r="O711" s="549" t="s">
        <v>1596</v>
      </c>
      <c r="P711" s="549"/>
      <c r="Q711" s="173"/>
      <c r="R711" s="171"/>
      <c r="S711" s="318"/>
      <c r="T711" s="172">
        <v>117604.61</v>
      </c>
      <c r="U711" s="6"/>
      <c r="V711" s="5"/>
    </row>
    <row r="712" spans="3:22" ht="19.5" customHeight="1">
      <c r="C712" s="549" t="s">
        <v>1253</v>
      </c>
      <c r="D712" s="549"/>
      <c r="E712" s="173">
        <v>45463</v>
      </c>
      <c r="F712" s="173">
        <v>45463</v>
      </c>
      <c r="G712" s="171" t="s">
        <v>1203</v>
      </c>
      <c r="H712" s="172">
        <v>65870.5</v>
      </c>
      <c r="K712" s="4"/>
      <c r="L712" s="4"/>
      <c r="O712" s="549" t="s">
        <v>1605</v>
      </c>
      <c r="P712" s="549"/>
      <c r="Q712" s="271"/>
      <c r="R712" s="269"/>
      <c r="S712" s="319"/>
      <c r="T712" s="270">
        <v>167946.61</v>
      </c>
      <c r="U712" s="6"/>
      <c r="V712" s="5"/>
    </row>
    <row r="713" spans="3:22" ht="19.5" customHeight="1">
      <c r="C713" s="549" t="s">
        <v>1254</v>
      </c>
      <c r="D713" s="549"/>
      <c r="E713" s="173">
        <v>45463</v>
      </c>
      <c r="F713" s="173">
        <v>45463</v>
      </c>
      <c r="G713" s="171" t="s">
        <v>1203</v>
      </c>
      <c r="H713" s="172">
        <v>16468</v>
      </c>
      <c r="K713" s="4"/>
      <c r="L713" s="4"/>
      <c r="O713" s="549" t="s">
        <v>1891</v>
      </c>
      <c r="P713" s="549"/>
      <c r="Q713" s="271"/>
      <c r="R713" s="269"/>
      <c r="S713" s="319"/>
      <c r="T713" s="270">
        <f>SUM(O683:O686)</f>
        <v>479496.55000000005</v>
      </c>
      <c r="U713" s="6"/>
      <c r="V713" s="5"/>
    </row>
    <row r="714" spans="3:22" ht="19.5" customHeight="1">
      <c r="C714" s="549" t="s">
        <v>1321</v>
      </c>
      <c r="D714" s="549"/>
      <c r="E714" s="173">
        <v>45502</v>
      </c>
      <c r="F714" s="173">
        <v>45502</v>
      </c>
      <c r="G714" s="171" t="s">
        <v>1189</v>
      </c>
      <c r="H714" s="172">
        <v>75035.899999999994</v>
      </c>
      <c r="K714" s="4"/>
      <c r="L714" s="4"/>
      <c r="O714" s="549" t="s">
        <v>1892</v>
      </c>
      <c r="P714" s="549"/>
      <c r="Q714" s="271"/>
      <c r="R714" s="269"/>
      <c r="S714" s="319"/>
      <c r="T714" s="270"/>
      <c r="U714" s="6"/>
      <c r="V714" s="5"/>
    </row>
    <row r="715" spans="3:22" ht="19.5" customHeight="1">
      <c r="C715" s="549" t="s">
        <v>1322</v>
      </c>
      <c r="D715" s="549"/>
      <c r="E715" s="173">
        <v>45503</v>
      </c>
      <c r="F715" s="173">
        <v>45503</v>
      </c>
      <c r="G715" s="171" t="s">
        <v>1189</v>
      </c>
      <c r="H715" s="172">
        <v>3201.96</v>
      </c>
      <c r="K715" s="4"/>
      <c r="L715" s="4"/>
      <c r="O715" s="549" t="s">
        <v>1893</v>
      </c>
      <c r="P715" s="549"/>
      <c r="Q715" s="271"/>
      <c r="R715" s="269"/>
      <c r="S715" s="319"/>
      <c r="T715" s="270"/>
      <c r="U715" s="6"/>
      <c r="V715" s="5"/>
    </row>
    <row r="716" spans="3:22" ht="19.5" customHeight="1">
      <c r="C716" s="549" t="s">
        <v>1323</v>
      </c>
      <c r="D716" s="549"/>
      <c r="E716" s="173">
        <v>45506</v>
      </c>
      <c r="F716" s="173">
        <v>45506</v>
      </c>
      <c r="G716" s="171" t="s">
        <v>1324</v>
      </c>
      <c r="H716" s="172">
        <v>43780</v>
      </c>
      <c r="K716" s="4"/>
      <c r="L716" s="4"/>
      <c r="O716" s="550"/>
      <c r="P716" s="550"/>
      <c r="Q716" s="175"/>
      <c r="R716" s="176"/>
      <c r="S716" s="320"/>
      <c r="T716" s="177"/>
      <c r="U716" s="6"/>
      <c r="V716" s="5"/>
    </row>
    <row r="717" spans="3:22" ht="19.5" customHeight="1">
      <c r="C717" s="549" t="s">
        <v>1325</v>
      </c>
      <c r="D717" s="549"/>
      <c r="E717" s="173">
        <v>45510</v>
      </c>
      <c r="F717" s="173">
        <v>45510</v>
      </c>
      <c r="G717" s="171" t="s">
        <v>1189</v>
      </c>
      <c r="H717" s="172">
        <v>13904.88</v>
      </c>
      <c r="K717" s="4"/>
      <c r="L717" s="4"/>
      <c r="O717" s="179"/>
      <c r="P717" s="180"/>
      <c r="Q717" s="180"/>
      <c r="R717" s="180"/>
      <c r="S717" s="180"/>
      <c r="T717" s="181">
        <f>SUM(T703:T716)</f>
        <v>2058709.76</v>
      </c>
      <c r="U717" s="6"/>
      <c r="V717" s="5"/>
    </row>
    <row r="718" spans="3:22" ht="19.5" customHeight="1">
      <c r="C718" s="549" t="s">
        <v>1326</v>
      </c>
      <c r="D718" s="549"/>
      <c r="E718" s="173">
        <v>45516</v>
      </c>
      <c r="F718" s="173">
        <v>45516</v>
      </c>
      <c r="G718" s="171" t="s">
        <v>1189</v>
      </c>
      <c r="H718" s="172">
        <v>171.67</v>
      </c>
      <c r="K718" s="4"/>
      <c r="L718" s="4"/>
      <c r="U718" s="6"/>
      <c r="V718" s="5"/>
    </row>
    <row r="719" spans="3:22" ht="19.5" customHeight="1">
      <c r="C719" s="549" t="s">
        <v>1327</v>
      </c>
      <c r="D719" s="549"/>
      <c r="E719" s="173">
        <v>45516</v>
      </c>
      <c r="F719" s="173">
        <v>45516</v>
      </c>
      <c r="G719" s="171" t="s">
        <v>1189</v>
      </c>
      <c r="H719" s="172">
        <v>29223.439999999999</v>
      </c>
      <c r="K719" s="4"/>
      <c r="L719" s="4"/>
      <c r="T719" s="183"/>
      <c r="U719" s="6"/>
      <c r="V719" s="5"/>
    </row>
    <row r="720" spans="3:22" ht="19.5" customHeight="1">
      <c r="C720" s="549" t="s">
        <v>1328</v>
      </c>
      <c r="D720" s="549"/>
      <c r="E720" s="173">
        <v>45518</v>
      </c>
      <c r="F720" s="173">
        <v>45518</v>
      </c>
      <c r="G720" s="171" t="s">
        <v>1189</v>
      </c>
      <c r="H720" s="172">
        <v>7038.13</v>
      </c>
      <c r="K720" s="4"/>
      <c r="L720" s="4"/>
      <c r="U720" s="6"/>
      <c r="V720" s="5"/>
    </row>
    <row r="721" spans="3:22" ht="19.5" customHeight="1">
      <c r="C721" s="549" t="s">
        <v>1436</v>
      </c>
      <c r="D721" s="549"/>
      <c r="E721" s="173">
        <v>45545</v>
      </c>
      <c r="F721" s="173">
        <v>45545</v>
      </c>
      <c r="G721" s="171" t="s">
        <v>1189</v>
      </c>
      <c r="H721" s="172">
        <v>38536.79</v>
      </c>
      <c r="K721" s="4"/>
      <c r="L721" s="4"/>
      <c r="U721" s="6"/>
      <c r="V721" s="5"/>
    </row>
    <row r="722" spans="3:22" ht="19.5" customHeight="1">
      <c r="C722" s="549" t="s">
        <v>1437</v>
      </c>
      <c r="D722" s="549"/>
      <c r="E722" s="173">
        <v>45541</v>
      </c>
      <c r="F722" s="173">
        <v>45541</v>
      </c>
      <c r="G722" s="171" t="s">
        <v>1324</v>
      </c>
      <c r="H722" s="172">
        <v>68671.320000000007</v>
      </c>
      <c r="K722" s="4"/>
      <c r="L722" s="4"/>
      <c r="U722" s="6"/>
      <c r="V722" s="5"/>
    </row>
    <row r="723" spans="3:22" ht="19.5" customHeight="1">
      <c r="C723" s="549" t="s">
        <v>1438</v>
      </c>
      <c r="D723" s="549"/>
      <c r="E723" s="173">
        <v>45566</v>
      </c>
      <c r="F723" s="173">
        <v>45566</v>
      </c>
      <c r="G723" s="171" t="s">
        <v>1324</v>
      </c>
      <c r="H723" s="172">
        <v>17795</v>
      </c>
      <c r="K723" s="4"/>
      <c r="L723" s="4"/>
      <c r="U723" s="6"/>
      <c r="V723" s="5"/>
    </row>
    <row r="724" spans="3:22" ht="19.5" customHeight="1">
      <c r="C724" s="549" t="s">
        <v>1439</v>
      </c>
      <c r="D724" s="549"/>
      <c r="E724" s="173">
        <v>45581</v>
      </c>
      <c r="F724" s="173">
        <v>45581</v>
      </c>
      <c r="G724" s="171" t="s">
        <v>1189</v>
      </c>
      <c r="H724" s="172">
        <v>86512.68</v>
      </c>
      <c r="K724" s="4"/>
      <c r="L724" s="4"/>
      <c r="U724" s="6"/>
      <c r="V724" s="5"/>
    </row>
    <row r="725" spans="3:22" ht="19.5" customHeight="1">
      <c r="C725" s="549" t="s">
        <v>1580</v>
      </c>
      <c r="D725" s="549"/>
      <c r="E725" s="173">
        <v>45572</v>
      </c>
      <c r="F725" s="173">
        <v>45572</v>
      </c>
      <c r="G725" s="171" t="s">
        <v>1324</v>
      </c>
      <c r="H725" s="172">
        <v>55880</v>
      </c>
      <c r="K725" s="4"/>
      <c r="L725" s="4"/>
      <c r="U725" s="6"/>
      <c r="V725" s="5"/>
    </row>
    <row r="726" spans="3:22" ht="19.5" customHeight="1">
      <c r="C726" s="549" t="s">
        <v>1581</v>
      </c>
      <c r="D726" s="549"/>
      <c r="E726" s="173">
        <v>45602</v>
      </c>
      <c r="F726" s="173">
        <v>45602</v>
      </c>
      <c r="G726" s="171" t="s">
        <v>1189</v>
      </c>
      <c r="H726" s="172">
        <v>38402.1</v>
      </c>
      <c r="K726" s="4"/>
      <c r="L726" s="4"/>
      <c r="U726" s="6"/>
      <c r="V726" s="5"/>
    </row>
    <row r="727" spans="3:22" ht="19.5" customHeight="1">
      <c r="C727" s="549" t="s">
        <v>1582</v>
      </c>
      <c r="D727" s="549"/>
      <c r="E727" s="173">
        <v>45609</v>
      </c>
      <c r="F727" s="173">
        <v>45609</v>
      </c>
      <c r="G727" s="171" t="s">
        <v>1189</v>
      </c>
      <c r="H727" s="172">
        <v>82512.91</v>
      </c>
      <c r="K727" s="4"/>
      <c r="L727" s="4"/>
      <c r="U727" s="6"/>
      <c r="V727" s="5"/>
    </row>
    <row r="728" spans="3:22" ht="19.5" customHeight="1">
      <c r="C728" s="549" t="s">
        <v>1583</v>
      </c>
      <c r="D728" s="549"/>
      <c r="E728" s="173">
        <v>45567</v>
      </c>
      <c r="F728" s="173">
        <v>45567</v>
      </c>
      <c r="G728" s="171" t="s">
        <v>1584</v>
      </c>
      <c r="H728" s="172">
        <v>17981.580000000002</v>
      </c>
      <c r="K728" s="4"/>
      <c r="L728" s="4"/>
      <c r="U728" s="6"/>
      <c r="V728" s="5"/>
    </row>
    <row r="729" spans="3:22" ht="19.5" customHeight="1">
      <c r="C729" s="549" t="s">
        <v>1585</v>
      </c>
      <c r="D729" s="549"/>
      <c r="E729" s="173">
        <v>45610</v>
      </c>
      <c r="F729" s="271">
        <v>45610</v>
      </c>
      <c r="G729" s="269" t="s">
        <v>1584</v>
      </c>
      <c r="H729" s="270">
        <v>27039.39</v>
      </c>
      <c r="K729" s="4"/>
      <c r="L729" s="4"/>
      <c r="U729" s="6"/>
      <c r="V729" s="5"/>
    </row>
    <row r="730" spans="3:22" ht="19.5" customHeight="1">
      <c r="C730" s="549" t="s">
        <v>1583</v>
      </c>
      <c r="D730" s="549"/>
      <c r="E730" s="173">
        <v>45610</v>
      </c>
      <c r="F730" s="271">
        <v>45610</v>
      </c>
      <c r="G730" s="269" t="s">
        <v>1584</v>
      </c>
      <c r="H730" s="270">
        <v>42442.61</v>
      </c>
      <c r="K730" s="4"/>
      <c r="L730" s="4"/>
      <c r="U730" s="6"/>
      <c r="V730" s="5"/>
    </row>
    <row r="731" spans="3:22" ht="19.5" customHeight="1">
      <c r="C731" s="549" t="s">
        <v>1586</v>
      </c>
      <c r="D731" s="549"/>
      <c r="E731" s="271">
        <v>45624</v>
      </c>
      <c r="F731" s="271">
        <v>45624</v>
      </c>
      <c r="G731" s="269" t="s">
        <v>1189</v>
      </c>
      <c r="H731" s="270">
        <v>128994.73</v>
      </c>
      <c r="K731" s="4"/>
      <c r="L731" s="4"/>
      <c r="U731" s="6"/>
      <c r="V731" s="5"/>
    </row>
    <row r="732" spans="3:22" ht="19.5" customHeight="1">
      <c r="C732" s="549" t="s">
        <v>1597</v>
      </c>
      <c r="D732" s="549"/>
      <c r="E732" s="173">
        <v>45656</v>
      </c>
      <c r="F732" s="271">
        <v>45656</v>
      </c>
      <c r="G732" s="269" t="s">
        <v>1584</v>
      </c>
      <c r="H732" s="270">
        <v>52604.61</v>
      </c>
      <c r="K732" s="4"/>
      <c r="L732" s="4"/>
      <c r="U732" s="6"/>
      <c r="V732" s="5"/>
    </row>
    <row r="733" spans="3:22" ht="19.5" customHeight="1">
      <c r="C733" s="549" t="s">
        <v>1598</v>
      </c>
      <c r="D733" s="549"/>
      <c r="E733" s="271">
        <v>45656</v>
      </c>
      <c r="F733" s="271">
        <v>45656</v>
      </c>
      <c r="G733" s="269" t="s">
        <v>1189</v>
      </c>
      <c r="H733" s="270">
        <v>3247.6</v>
      </c>
      <c r="K733" s="4"/>
      <c r="L733" s="4"/>
      <c r="U733" s="6"/>
      <c r="V733" s="5"/>
    </row>
    <row r="734" spans="3:22" ht="19.5" customHeight="1">
      <c r="C734" s="549" t="s">
        <v>1599</v>
      </c>
      <c r="D734" s="549"/>
      <c r="E734" s="271">
        <v>45656</v>
      </c>
      <c r="F734" s="271">
        <v>45656</v>
      </c>
      <c r="G734" s="269" t="s">
        <v>1189</v>
      </c>
      <c r="H734" s="270">
        <v>20177.939999999999</v>
      </c>
      <c r="K734" s="4"/>
      <c r="L734" s="4"/>
      <c r="U734" s="6"/>
      <c r="V734" s="5"/>
    </row>
    <row r="735" spans="3:22" ht="19.5" customHeight="1">
      <c r="C735" s="549" t="s">
        <v>1600</v>
      </c>
      <c r="D735" s="549"/>
      <c r="E735" s="271">
        <v>45656</v>
      </c>
      <c r="F735" s="271">
        <v>45656</v>
      </c>
      <c r="G735" s="269" t="s">
        <v>1189</v>
      </c>
      <c r="H735" s="270">
        <v>97982.98</v>
      </c>
      <c r="K735" s="4"/>
      <c r="L735" s="4"/>
      <c r="U735" s="6"/>
      <c r="V735" s="5"/>
    </row>
    <row r="736" spans="3:22" ht="19.5" customHeight="1">
      <c r="C736" s="549" t="s">
        <v>1601</v>
      </c>
      <c r="D736" s="549"/>
      <c r="E736" s="271">
        <v>45656</v>
      </c>
      <c r="F736" s="271">
        <v>45656</v>
      </c>
      <c r="G736" s="269" t="s">
        <v>1189</v>
      </c>
      <c r="H736" s="270">
        <v>10778.64</v>
      </c>
      <c r="K736" s="4"/>
      <c r="L736" s="4"/>
      <c r="U736" s="6"/>
      <c r="V736" s="5"/>
    </row>
    <row r="737" spans="1:25" ht="19.5" customHeight="1">
      <c r="C737" s="549" t="s">
        <v>1606</v>
      </c>
      <c r="D737" s="549"/>
      <c r="E737" s="271">
        <v>45687</v>
      </c>
      <c r="F737" s="271">
        <v>45687</v>
      </c>
      <c r="G737" s="269" t="s">
        <v>1189</v>
      </c>
      <c r="H737" s="270">
        <v>33875.29</v>
      </c>
      <c r="K737" s="4"/>
      <c r="L737" s="4"/>
      <c r="U737" s="6"/>
      <c r="V737" s="5"/>
    </row>
    <row r="738" spans="1:25" ht="19.5" customHeight="1">
      <c r="C738" s="549" t="s">
        <v>1607</v>
      </c>
      <c r="D738" s="549"/>
      <c r="E738" s="271">
        <v>45667</v>
      </c>
      <c r="F738" s="271">
        <v>45667</v>
      </c>
      <c r="G738" s="269" t="s">
        <v>1324</v>
      </c>
      <c r="H738" s="270">
        <v>226542.1</v>
      </c>
      <c r="K738" s="4"/>
      <c r="L738" s="4"/>
      <c r="U738" s="6"/>
      <c r="V738" s="5"/>
    </row>
    <row r="739" spans="1:25" ht="19.5" customHeight="1">
      <c r="C739" s="549" t="s">
        <v>1608</v>
      </c>
      <c r="D739" s="549"/>
      <c r="E739" s="271">
        <v>45705</v>
      </c>
      <c r="F739" s="271">
        <v>45705</v>
      </c>
      <c r="G739" s="269" t="s">
        <v>1189</v>
      </c>
      <c r="H739" s="270">
        <v>18826.669999999998</v>
      </c>
      <c r="K739" s="4"/>
      <c r="L739" s="4"/>
      <c r="U739" s="6"/>
      <c r="V739" s="5"/>
    </row>
    <row r="740" spans="1:25" ht="19.5" customHeight="1">
      <c r="C740" s="549" t="s">
        <v>1609</v>
      </c>
      <c r="D740" s="549"/>
      <c r="E740" s="271">
        <v>45702</v>
      </c>
      <c r="F740" s="271">
        <v>45702</v>
      </c>
      <c r="G740" s="269" t="s">
        <v>1189</v>
      </c>
      <c r="H740" s="270">
        <v>22727.1</v>
      </c>
      <c r="K740" s="4"/>
      <c r="L740" s="4"/>
      <c r="U740" s="6"/>
      <c r="V740" s="5"/>
    </row>
    <row r="741" spans="1:25" ht="19.5" customHeight="1">
      <c r="C741" s="549"/>
      <c r="D741" s="549"/>
      <c r="E741" s="271"/>
      <c r="F741" s="271"/>
      <c r="G741" s="269"/>
      <c r="H741" s="270"/>
      <c r="K741" s="4"/>
      <c r="L741" s="4"/>
      <c r="U741" s="6"/>
      <c r="V741" s="5"/>
    </row>
    <row r="742" spans="1:25" ht="19.5" customHeight="1">
      <c r="C742" s="550"/>
      <c r="D742" s="550"/>
      <c r="E742" s="175"/>
      <c r="F742" s="175"/>
      <c r="G742" s="176"/>
      <c r="H742" s="177"/>
      <c r="K742" s="4"/>
      <c r="L742" s="4"/>
      <c r="U742" s="6"/>
      <c r="V742" s="5"/>
    </row>
    <row r="743" spans="1:25" ht="19.5" customHeight="1">
      <c r="C743" s="179"/>
      <c r="D743" s="180"/>
      <c r="E743" s="180"/>
      <c r="F743" s="180"/>
      <c r="G743" s="180"/>
      <c r="H743" s="181">
        <f>SUM(H703:H742)</f>
        <v>2006105.1500000001</v>
      </c>
      <c r="K743" s="4"/>
      <c r="L743" s="4"/>
      <c r="U743" s="6"/>
      <c r="V743" s="5"/>
    </row>
    <row r="744" spans="1:25">
      <c r="U744" s="6"/>
      <c r="V744" s="5"/>
    </row>
    <row r="745" spans="1:25">
      <c r="U745" s="6"/>
      <c r="V745" s="5"/>
    </row>
    <row r="746" spans="1:25" ht="28.8">
      <c r="C746" s="226" t="s">
        <v>1255</v>
      </c>
      <c r="D746" s="560" t="s">
        <v>1256</v>
      </c>
      <c r="E746" s="560"/>
      <c r="F746" s="560"/>
      <c r="G746" s="560"/>
      <c r="H746" s="227" t="s">
        <v>1257</v>
      </c>
      <c r="I746" s="5"/>
      <c r="J746" s="228" t="s">
        <v>1258</v>
      </c>
      <c r="K746" s="229" t="s">
        <v>1259</v>
      </c>
    </row>
    <row r="747" spans="1:25">
      <c r="C747" s="230" t="s">
        <v>1260</v>
      </c>
      <c r="D747" s="564">
        <f>'BM 010'!D656+'BM 011'!O683</f>
        <v>388833.5</v>
      </c>
      <c r="E747" s="564"/>
      <c r="F747" s="564"/>
      <c r="G747" s="564"/>
      <c r="H747" s="232" t="s">
        <v>1261</v>
      </c>
      <c r="I747" s="2"/>
      <c r="J747" s="233">
        <f>SUMIF($G$703:$G$742,H747,$H$703:$H$742)</f>
        <v>388833.5</v>
      </c>
      <c r="K747" s="233">
        <f t="shared" ref="K747:K757" si="327">J747-D747</f>
        <v>0</v>
      </c>
    </row>
    <row r="748" spans="1:25">
      <c r="C748" s="234" t="s">
        <v>1329</v>
      </c>
      <c r="D748" s="564">
        <f>'BM 010'!D657+'BM 011'!O684</f>
        <v>1064535.04</v>
      </c>
      <c r="E748" s="564"/>
      <c r="F748" s="564"/>
      <c r="G748" s="564"/>
      <c r="H748" s="235" t="s">
        <v>1263</v>
      </c>
      <c r="I748" s="2"/>
      <c r="J748" s="236">
        <f>SUMIF($G$703:$G$742,H748,$H$703:$H$742)</f>
        <v>1064535.0399999998</v>
      </c>
      <c r="K748" s="236">
        <f t="shared" si="327"/>
        <v>0</v>
      </c>
    </row>
    <row r="749" spans="1:25">
      <c r="C749" s="234" t="s">
        <v>1330</v>
      </c>
      <c r="D749" s="564">
        <f>'BM 010'!D658+'BM 011'!O685</f>
        <v>412668.42000000004</v>
      </c>
      <c r="E749" s="564"/>
      <c r="F749" s="564"/>
      <c r="G749" s="564"/>
      <c r="H749" s="235" t="s">
        <v>1331</v>
      </c>
      <c r="I749" s="2"/>
      <c r="J749" s="236">
        <f>SUMIF($G$703:$G$742,H749,$H$703:$H$742)</f>
        <v>412668.42000000004</v>
      </c>
      <c r="K749" s="236">
        <f t="shared" si="327"/>
        <v>0</v>
      </c>
    </row>
    <row r="750" spans="1:25" s="5" customFormat="1">
      <c r="A750" s="2"/>
      <c r="B750" s="2"/>
      <c r="C750" s="234" t="s">
        <v>1587</v>
      </c>
      <c r="D750" s="564">
        <f>'BM 010'!D659+'BM 011'!O686</f>
        <v>192672.8</v>
      </c>
      <c r="E750" s="564"/>
      <c r="F750" s="564"/>
      <c r="G750" s="564"/>
      <c r="H750" s="235" t="s">
        <v>1584</v>
      </c>
      <c r="I750" s="2"/>
      <c r="J750" s="236">
        <f>SUMIF($G$703:$G$742,H750,$H$703:$H$742)</f>
        <v>140068.19</v>
      </c>
      <c r="K750" s="236">
        <f t="shared" si="327"/>
        <v>-52604.609999999986</v>
      </c>
      <c r="Q750" s="6"/>
      <c r="R750" s="6"/>
      <c r="S750" s="6"/>
      <c r="U750" s="2"/>
      <c r="V750" s="2"/>
      <c r="W750" s="2"/>
      <c r="X750" s="2"/>
      <c r="Y750" s="2"/>
    </row>
    <row r="751" spans="1:25">
      <c r="C751" s="234"/>
      <c r="D751" s="561"/>
      <c r="E751" s="561"/>
      <c r="F751" s="561"/>
      <c r="G751" s="561"/>
      <c r="H751" s="235" t="s">
        <v>1265</v>
      </c>
      <c r="I751" s="2"/>
      <c r="J751" s="238">
        <f t="shared" ref="J751:J757" si="328">SUMIF($H$772:$H$810,H751,$I$772:$J$810)</f>
        <v>0</v>
      </c>
      <c r="K751" s="236">
        <f t="shared" si="327"/>
        <v>0</v>
      </c>
    </row>
    <row r="752" spans="1:25">
      <c r="C752" s="234"/>
      <c r="D752" s="561"/>
      <c r="E752" s="561"/>
      <c r="F752" s="561"/>
      <c r="G752" s="561"/>
      <c r="H752" s="237" t="s">
        <v>1266</v>
      </c>
      <c r="I752" s="2"/>
      <c r="J752" s="238">
        <f t="shared" si="328"/>
        <v>0</v>
      </c>
      <c r="K752" s="236">
        <f t="shared" si="327"/>
        <v>0</v>
      </c>
    </row>
    <row r="753" spans="3:11">
      <c r="C753" s="234"/>
      <c r="D753" s="561"/>
      <c r="E753" s="561"/>
      <c r="F753" s="561"/>
      <c r="G753" s="561"/>
      <c r="H753" s="237" t="s">
        <v>1267</v>
      </c>
      <c r="I753" s="2"/>
      <c r="J753" s="238">
        <f t="shared" si="328"/>
        <v>0</v>
      </c>
      <c r="K753" s="236">
        <f t="shared" si="327"/>
        <v>0</v>
      </c>
    </row>
    <row r="754" spans="3:11">
      <c r="C754" s="234"/>
      <c r="D754" s="561"/>
      <c r="E754" s="561"/>
      <c r="F754" s="561"/>
      <c r="G754" s="561"/>
      <c r="H754" s="237" t="s">
        <v>1268</v>
      </c>
      <c r="I754" s="2"/>
      <c r="J754" s="238">
        <f t="shared" si="328"/>
        <v>0</v>
      </c>
      <c r="K754" s="236">
        <f t="shared" si="327"/>
        <v>0</v>
      </c>
    </row>
    <row r="755" spans="3:11">
      <c r="C755" s="234"/>
      <c r="D755" s="561"/>
      <c r="E755" s="561"/>
      <c r="F755" s="561"/>
      <c r="G755" s="561"/>
      <c r="H755" s="237" t="s">
        <v>1269</v>
      </c>
      <c r="I755" s="2"/>
      <c r="J755" s="238">
        <f t="shared" si="328"/>
        <v>0</v>
      </c>
      <c r="K755" s="236">
        <f t="shared" si="327"/>
        <v>0</v>
      </c>
    </row>
    <row r="756" spans="3:11">
      <c r="C756" s="234"/>
      <c r="D756" s="561"/>
      <c r="E756" s="561"/>
      <c r="F756" s="561"/>
      <c r="G756" s="561"/>
      <c r="H756" s="237"/>
      <c r="I756" s="2"/>
      <c r="J756" s="238">
        <f t="shared" si="328"/>
        <v>0</v>
      </c>
      <c r="K756" s="236">
        <f t="shared" si="327"/>
        <v>0</v>
      </c>
    </row>
    <row r="757" spans="3:11">
      <c r="C757" s="239"/>
      <c r="D757" s="562"/>
      <c r="E757" s="562"/>
      <c r="F757" s="562"/>
      <c r="G757" s="562"/>
      <c r="H757" s="240"/>
      <c r="I757" s="2"/>
      <c r="J757" s="241">
        <f t="shared" si="328"/>
        <v>0</v>
      </c>
      <c r="K757" s="241">
        <f t="shared" si="327"/>
        <v>0</v>
      </c>
    </row>
    <row r="758" spans="3:11">
      <c r="D758" s="563">
        <f>SUM(D747:G757)</f>
        <v>2058709.76</v>
      </c>
      <c r="E758" s="563"/>
      <c r="F758" s="563"/>
      <c r="G758" s="563"/>
      <c r="I758" s="2"/>
      <c r="J758" s="242">
        <f>SUM(J747:J757)</f>
        <v>2006105.15</v>
      </c>
      <c r="K758" s="242">
        <f>SUM(K747:K757)</f>
        <v>-52604.609999999986</v>
      </c>
    </row>
  </sheetData>
  <mergeCells count="158">
    <mergeCell ref="D754:G754"/>
    <mergeCell ref="D755:G755"/>
    <mergeCell ref="D756:G756"/>
    <mergeCell ref="D757:G757"/>
    <mergeCell ref="D758:G758"/>
    <mergeCell ref="C742:D742"/>
    <mergeCell ref="D746:G746"/>
    <mergeCell ref="D747:G747"/>
    <mergeCell ref="D748:G748"/>
    <mergeCell ref="D749:G749"/>
    <mergeCell ref="D750:G750"/>
    <mergeCell ref="D751:G751"/>
    <mergeCell ref="D752:G752"/>
    <mergeCell ref="D753:G753"/>
    <mergeCell ref="C733:D733"/>
    <mergeCell ref="C734:D734"/>
    <mergeCell ref="C735:D735"/>
    <mergeCell ref="C736:D736"/>
    <mergeCell ref="C737:D737"/>
    <mergeCell ref="C738:D738"/>
    <mergeCell ref="C739:D739"/>
    <mergeCell ref="C740:D740"/>
    <mergeCell ref="C741:D741"/>
    <mergeCell ref="C724:D724"/>
    <mergeCell ref="C725:D725"/>
    <mergeCell ref="C726:D726"/>
    <mergeCell ref="C727:D727"/>
    <mergeCell ref="C728:D728"/>
    <mergeCell ref="C729:D729"/>
    <mergeCell ref="C730:D730"/>
    <mergeCell ref="C731:D731"/>
    <mergeCell ref="C732:D732"/>
    <mergeCell ref="C716:D716"/>
    <mergeCell ref="O716:P716"/>
    <mergeCell ref="C717:D717"/>
    <mergeCell ref="C718:D718"/>
    <mergeCell ref="C719:D719"/>
    <mergeCell ref="C720:D720"/>
    <mergeCell ref="C721:D721"/>
    <mergeCell ref="C722:D722"/>
    <mergeCell ref="C723:D723"/>
    <mergeCell ref="C711:D711"/>
    <mergeCell ref="O711:P711"/>
    <mergeCell ref="C712:D712"/>
    <mergeCell ref="O712:P712"/>
    <mergeCell ref="C713:D713"/>
    <mergeCell ref="O713:P713"/>
    <mergeCell ref="C714:D714"/>
    <mergeCell ref="O714:P714"/>
    <mergeCell ref="C715:D715"/>
    <mergeCell ref="O715:P715"/>
    <mergeCell ref="C706:D706"/>
    <mergeCell ref="O706:P706"/>
    <mergeCell ref="C707:D707"/>
    <mergeCell ref="O707:P707"/>
    <mergeCell ref="C708:D708"/>
    <mergeCell ref="O708:P708"/>
    <mergeCell ref="C709:D709"/>
    <mergeCell ref="O709:P709"/>
    <mergeCell ref="C710:D710"/>
    <mergeCell ref="O710:P710"/>
    <mergeCell ref="C700:D700"/>
    <mergeCell ref="C702:H702"/>
    <mergeCell ref="O702:T702"/>
    <mergeCell ref="C703:D703"/>
    <mergeCell ref="O703:P703"/>
    <mergeCell ref="C704:D704"/>
    <mergeCell ref="O704:P704"/>
    <mergeCell ref="C705:D705"/>
    <mergeCell ref="O705:P705"/>
    <mergeCell ref="D692:F692"/>
    <mergeCell ref="J692:K692"/>
    <mergeCell ref="P692:R693"/>
    <mergeCell ref="D693:F693"/>
    <mergeCell ref="J693:K693"/>
    <mergeCell ref="C696:F696"/>
    <mergeCell ref="C697:D697"/>
    <mergeCell ref="C698:D698"/>
    <mergeCell ref="C699:D699"/>
    <mergeCell ref="B682:M682"/>
    <mergeCell ref="B683:M683"/>
    <mergeCell ref="B684:M684"/>
    <mergeCell ref="B685:M685"/>
    <mergeCell ref="B686:M686"/>
    <mergeCell ref="B688:M688"/>
    <mergeCell ref="D690:F690"/>
    <mergeCell ref="J690:K690"/>
    <mergeCell ref="P690:R691"/>
    <mergeCell ref="D691:F691"/>
    <mergeCell ref="J691:K691"/>
    <mergeCell ref="B23:C23"/>
    <mergeCell ref="D23:K23"/>
    <mergeCell ref="M23:P23"/>
    <mergeCell ref="Q23:T23"/>
    <mergeCell ref="B24:T24"/>
    <mergeCell ref="B26:B27"/>
    <mergeCell ref="C26:C27"/>
    <mergeCell ref="D26:D27"/>
    <mergeCell ref="E26:K26"/>
    <mergeCell ref="O26:T26"/>
    <mergeCell ref="B20:C20"/>
    <mergeCell ref="D20:K20"/>
    <mergeCell ref="M20:P20"/>
    <mergeCell ref="Q20:T20"/>
    <mergeCell ref="B21:C21"/>
    <mergeCell ref="D21:K21"/>
    <mergeCell ref="M21:P21"/>
    <mergeCell ref="Q21:T21"/>
    <mergeCell ref="B22:C22"/>
    <mergeCell ref="D22:K22"/>
    <mergeCell ref="M22:P22"/>
    <mergeCell ref="Q22:T22"/>
    <mergeCell ref="B16:C16"/>
    <mergeCell ref="D16:H16"/>
    <mergeCell ref="J16:K16"/>
    <mergeCell ref="M16:O16"/>
    <mergeCell ref="Q16:T16"/>
    <mergeCell ref="B17:T17"/>
    <mergeCell ref="B18:T18"/>
    <mergeCell ref="B19:C19"/>
    <mergeCell ref="D19:K19"/>
    <mergeCell ref="M19:P19"/>
    <mergeCell ref="Q19:T19"/>
    <mergeCell ref="B13:C13"/>
    <mergeCell ref="D13:K13"/>
    <mergeCell ref="M13:P13"/>
    <mergeCell ref="Q13:T13"/>
    <mergeCell ref="B14:C14"/>
    <mergeCell ref="D14:K14"/>
    <mergeCell ref="M14:P14"/>
    <mergeCell ref="Q14:T14"/>
    <mergeCell ref="B15:C15"/>
    <mergeCell ref="D15:H15"/>
    <mergeCell ref="J15:K15"/>
    <mergeCell ref="M15:O15"/>
    <mergeCell ref="Q15:T15"/>
    <mergeCell ref="B10:C10"/>
    <mergeCell ref="D10:K10"/>
    <mergeCell ref="M10:P10"/>
    <mergeCell ref="Q10:T10"/>
    <mergeCell ref="B11:C11"/>
    <mergeCell ref="D11:K11"/>
    <mergeCell ref="M11:P11"/>
    <mergeCell ref="Q11:T11"/>
    <mergeCell ref="B12:C12"/>
    <mergeCell ref="D12:H12"/>
    <mergeCell ref="J12:K12"/>
    <mergeCell ref="M12:O12"/>
    <mergeCell ref="Q12:T12"/>
    <mergeCell ref="B2:T2"/>
    <mergeCell ref="B3:T3"/>
    <mergeCell ref="B4:T4"/>
    <mergeCell ref="B5:T5"/>
    <mergeCell ref="B6:T6"/>
    <mergeCell ref="B7:T7"/>
    <mergeCell ref="B8:T8"/>
    <mergeCell ref="B9:C9"/>
    <mergeCell ref="D9:T9"/>
  </mergeCells>
  <conditionalFormatting sqref="T28:T597 T600:T604 T606:T608 T610:T620 T622:T624 T626:T631 T633:T653 T655:T667 T669 T671:T672 T674:T679 T681">
    <cfRule type="cellIs" dxfId="3" priority="2" operator="lessThan">
      <formula>0</formula>
    </cfRule>
  </conditionalFormatting>
  <printOptions horizontalCentered="1"/>
  <pageMargins left="0.51180555555555596" right="0.51180555555555596" top="0.78749999999999998" bottom="1.1812499999999999" header="0.511811023622047" footer="0.511811023622047"/>
  <pageSetup paperSize="9" scale="38" fitToHeight="26" orientation="portrait" horizontalDpi="300" verticalDpi="300" r:id="rId1"/>
  <colBreaks count="1" manualBreakCount="1">
    <brk id="20"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L1551"/>
  <sheetViews>
    <sheetView view="pageBreakPreview" topLeftCell="A22" zoomScale="75" zoomScaleNormal="80" zoomScalePageLayoutView="75" workbookViewId="0">
      <selection activeCell="O40" sqref="O40"/>
    </sheetView>
  </sheetViews>
  <sheetFormatPr defaultColWidth="8.88671875" defaultRowHeight="14.4"/>
  <cols>
    <col min="1" max="1" width="2.44140625" customWidth="1"/>
    <col min="2" max="2" width="32.88671875" customWidth="1"/>
    <col min="3" max="3" width="13.5546875" customWidth="1"/>
    <col min="4" max="4" width="9.44140625" customWidth="1"/>
    <col min="5" max="5" width="10.109375" customWidth="1"/>
    <col min="6" max="6" width="10.6640625" customWidth="1"/>
    <col min="7" max="8" width="9.44140625" customWidth="1"/>
    <col min="9" max="9" width="14.5546875" customWidth="1"/>
    <col min="10" max="10" width="10.88671875" customWidth="1"/>
    <col min="11" max="11" width="16.88671875" customWidth="1"/>
    <col min="12" max="12" width="25" customWidth="1"/>
    <col min="13" max="13" width="2.5546875" customWidth="1"/>
    <col min="15" max="15" width="10.109375" customWidth="1"/>
  </cols>
  <sheetData>
    <row r="1" spans="2:12" ht="6" customHeight="1"/>
    <row r="2" spans="2:12" ht="29.25" customHeight="1">
      <c r="B2" s="551"/>
      <c r="C2" s="551"/>
      <c r="D2" s="551"/>
      <c r="E2" s="551"/>
      <c r="F2" s="551"/>
      <c r="G2" s="551"/>
      <c r="H2" s="551"/>
      <c r="I2" s="551"/>
      <c r="J2" s="551"/>
      <c r="K2" s="551"/>
      <c r="L2" s="551"/>
    </row>
    <row r="3" spans="2:12" ht="29.25" customHeight="1">
      <c r="B3" s="552" t="s">
        <v>4</v>
      </c>
      <c r="C3" s="552"/>
      <c r="D3" s="552"/>
      <c r="E3" s="552"/>
      <c r="F3" s="552"/>
      <c r="G3" s="552"/>
      <c r="H3" s="552"/>
      <c r="I3" s="552"/>
      <c r="J3" s="552"/>
      <c r="K3" s="552"/>
      <c r="L3" s="552"/>
    </row>
    <row r="4" spans="2:12" ht="29.25" customHeight="1">
      <c r="B4" s="553"/>
      <c r="C4" s="553"/>
      <c r="D4" s="553"/>
      <c r="E4" s="553"/>
      <c r="F4" s="553"/>
      <c r="G4" s="553"/>
      <c r="H4" s="553"/>
      <c r="I4" s="553"/>
      <c r="J4" s="553"/>
      <c r="K4" s="553"/>
      <c r="L4" s="553"/>
    </row>
    <row r="5" spans="2:12" ht="6" customHeight="1">
      <c r="B5" s="186"/>
      <c r="C5" s="186"/>
      <c r="D5" s="186"/>
      <c r="E5" s="186"/>
      <c r="F5" s="186"/>
      <c r="G5" s="186"/>
      <c r="H5" s="186"/>
      <c r="I5" s="186"/>
      <c r="J5" s="186"/>
      <c r="K5" s="186"/>
      <c r="L5" s="186"/>
    </row>
    <row r="6" spans="2:12" ht="22.8">
      <c r="B6" s="554" t="s">
        <v>1894</v>
      </c>
      <c r="C6" s="554"/>
      <c r="D6" s="554"/>
      <c r="E6" s="554"/>
      <c r="F6" s="554"/>
      <c r="G6" s="554"/>
      <c r="H6" s="554"/>
      <c r="I6" s="554"/>
      <c r="J6" s="554"/>
      <c r="K6" s="554"/>
      <c r="L6" s="554"/>
    </row>
    <row r="8" spans="2:12" ht="14.25" customHeight="1">
      <c r="B8" s="555" t="s">
        <v>1208</v>
      </c>
      <c r="C8" s="555"/>
      <c r="D8" s="555"/>
      <c r="E8" s="555"/>
      <c r="F8" s="555"/>
      <c r="G8" s="555"/>
      <c r="H8" s="555"/>
      <c r="I8" s="555"/>
      <c r="J8" s="555"/>
      <c r="K8" s="555"/>
      <c r="L8" s="555"/>
    </row>
    <row r="9" spans="2:12">
      <c r="B9" s="187" t="s">
        <v>1209</v>
      </c>
      <c r="C9" s="187"/>
      <c r="D9" s="187" t="s">
        <v>39</v>
      </c>
      <c r="E9" s="187" t="s">
        <v>1210</v>
      </c>
      <c r="F9" s="187" t="s">
        <v>1211</v>
      </c>
      <c r="G9" s="187" t="s">
        <v>1212</v>
      </c>
      <c r="H9" s="187" t="s">
        <v>1213</v>
      </c>
      <c r="I9" s="187" t="s">
        <v>1214</v>
      </c>
      <c r="J9" s="187" t="s">
        <v>1215</v>
      </c>
      <c r="K9" s="187" t="s">
        <v>1216</v>
      </c>
      <c r="L9" s="187" t="s">
        <v>1217</v>
      </c>
    </row>
    <row r="10" spans="2:12">
      <c r="B10" s="188" t="s">
        <v>1218</v>
      </c>
      <c r="C10" s="189" t="s">
        <v>1219</v>
      </c>
      <c r="D10" s="190" t="s">
        <v>1220</v>
      </c>
      <c r="E10" s="191"/>
      <c r="F10" s="192"/>
      <c r="G10" s="192"/>
      <c r="H10" s="191"/>
      <c r="I10" s="193">
        <v>0.41199999999999998</v>
      </c>
      <c r="J10" s="194"/>
      <c r="K10" s="195">
        <f t="shared" ref="K10:K20" si="0">IF(E10*F10*G10&lt;&gt;0,E10*F10*G10,IF(E10*F10&lt;&gt;0,E10*F10,IF(F10*G10&lt;&gt;0,F10*G10,IF(E10*G10&lt;&gt;0,E10*G10,IF(E10&lt;&gt;0,E10,IF(F10&lt;&gt;0,F10,IF(G10&lt;&gt;0,G10,0)))))))*(IF(H10&lt;&gt;0,H10,1))+I10-J10</f>
        <v>0.41199999999999998</v>
      </c>
      <c r="L10" s="196"/>
    </row>
    <row r="11" spans="2:12">
      <c r="B11" s="197" t="s">
        <v>1218</v>
      </c>
      <c r="C11" s="189" t="s">
        <v>1240</v>
      </c>
      <c r="D11" s="190" t="s">
        <v>1226</v>
      </c>
      <c r="E11" s="199"/>
      <c r="F11" s="199"/>
      <c r="G11" s="199"/>
      <c r="H11" s="199"/>
      <c r="I11" s="193">
        <v>0.71599999999999997</v>
      </c>
      <c r="J11" s="201"/>
      <c r="K11" s="195">
        <f t="shared" si="0"/>
        <v>0.71599999999999997</v>
      </c>
      <c r="L11" s="196"/>
    </row>
    <row r="12" spans="2:12">
      <c r="B12" s="197" t="s">
        <v>1218</v>
      </c>
      <c r="C12" s="189" t="s">
        <v>1271</v>
      </c>
      <c r="D12" s="190" t="s">
        <v>1226</v>
      </c>
      <c r="E12" s="199"/>
      <c r="F12" s="199"/>
      <c r="G12" s="199"/>
      <c r="H12" s="199"/>
      <c r="I12" s="193">
        <v>0.432</v>
      </c>
      <c r="J12" s="201"/>
      <c r="K12" s="195">
        <f t="shared" si="0"/>
        <v>0.432</v>
      </c>
      <c r="L12" s="196"/>
    </row>
    <row r="13" spans="2:12">
      <c r="B13" s="197" t="s">
        <v>1218</v>
      </c>
      <c r="C13" s="189" t="s">
        <v>1333</v>
      </c>
      <c r="D13" s="190" t="s">
        <v>1226</v>
      </c>
      <c r="E13" s="199"/>
      <c r="F13" s="199"/>
      <c r="G13" s="199"/>
      <c r="H13" s="199"/>
      <c r="I13" s="193">
        <v>0.53600000000000003</v>
      </c>
      <c r="J13" s="201"/>
      <c r="K13" s="195">
        <f t="shared" si="0"/>
        <v>0.53600000000000003</v>
      </c>
      <c r="L13" s="196"/>
    </row>
    <row r="14" spans="2:12">
      <c r="B14" s="197" t="s">
        <v>1218</v>
      </c>
      <c r="C14" s="189" t="s">
        <v>1441</v>
      </c>
      <c r="D14" s="190" t="s">
        <v>1226</v>
      </c>
      <c r="E14" s="199"/>
      <c r="F14" s="199"/>
      <c r="G14" s="199"/>
      <c r="H14" s="199"/>
      <c r="I14" s="193">
        <v>0.66600000000000004</v>
      </c>
      <c r="J14" s="201"/>
      <c r="K14" s="195">
        <f t="shared" si="0"/>
        <v>0.66600000000000004</v>
      </c>
      <c r="L14" s="196"/>
    </row>
    <row r="15" spans="2:12">
      <c r="B15" s="197" t="s">
        <v>1218</v>
      </c>
      <c r="C15" s="189" t="s">
        <v>1521</v>
      </c>
      <c r="D15" s="190" t="s">
        <v>1226</v>
      </c>
      <c r="E15" s="199"/>
      <c r="F15" s="199"/>
      <c r="G15" s="199"/>
      <c r="H15" s="199"/>
      <c r="I15" s="193">
        <v>0.59399999999999997</v>
      </c>
      <c r="J15" s="201"/>
      <c r="K15" s="195">
        <f t="shared" si="0"/>
        <v>0.59399999999999997</v>
      </c>
      <c r="L15" s="196"/>
    </row>
    <row r="16" spans="2:12">
      <c r="B16" s="197" t="s">
        <v>1218</v>
      </c>
      <c r="C16" s="189" t="s">
        <v>1611</v>
      </c>
      <c r="D16" s="190" t="s">
        <v>1226</v>
      </c>
      <c r="E16" s="199"/>
      <c r="F16" s="199"/>
      <c r="G16" s="199"/>
      <c r="H16" s="199"/>
      <c r="I16" s="193">
        <v>0.59799999999999998</v>
      </c>
      <c r="J16" s="201"/>
      <c r="K16" s="195">
        <f t="shared" si="0"/>
        <v>0.59799999999999998</v>
      </c>
      <c r="L16" s="196"/>
    </row>
    <row r="17" spans="2:12">
      <c r="B17" s="197" t="s">
        <v>1218</v>
      </c>
      <c r="C17" s="189" t="s">
        <v>1612</v>
      </c>
      <c r="D17" s="190" t="s">
        <v>1226</v>
      </c>
      <c r="E17" s="199"/>
      <c r="F17" s="199"/>
      <c r="G17" s="199"/>
      <c r="H17" s="199"/>
      <c r="I17" s="193">
        <f>I36*20</f>
        <v>0.77799999999999991</v>
      </c>
      <c r="J17" s="201"/>
      <c r="K17" s="195">
        <f t="shared" si="0"/>
        <v>0.77799999999999991</v>
      </c>
      <c r="L17" s="196"/>
    </row>
    <row r="18" spans="2:12">
      <c r="B18" s="197" t="s">
        <v>1218</v>
      </c>
      <c r="C18" s="189" t="s">
        <v>1613</v>
      </c>
      <c r="D18" s="190" t="s">
        <v>1226</v>
      </c>
      <c r="E18" s="199"/>
      <c r="F18" s="199"/>
      <c r="G18" s="199"/>
      <c r="H18" s="199"/>
      <c r="I18" s="193">
        <f>I37*20</f>
        <v>0.42399999999999999</v>
      </c>
      <c r="J18" s="201"/>
      <c r="K18" s="195">
        <f t="shared" si="0"/>
        <v>0.42399999999999999</v>
      </c>
      <c r="L18" s="196"/>
    </row>
    <row r="19" spans="2:12">
      <c r="B19" s="197" t="s">
        <v>1218</v>
      </c>
      <c r="C19" s="189" t="s">
        <v>1895</v>
      </c>
      <c r="D19" s="190" t="s">
        <v>1226</v>
      </c>
      <c r="E19" s="199"/>
      <c r="F19" s="199"/>
      <c r="G19" s="199"/>
      <c r="H19" s="199"/>
      <c r="I19" s="193">
        <f>I38*20</f>
        <v>0.45800000000000002</v>
      </c>
      <c r="J19" s="201"/>
      <c r="K19" s="195">
        <f t="shared" si="0"/>
        <v>0.45800000000000002</v>
      </c>
      <c r="L19" s="196"/>
    </row>
    <row r="20" spans="2:12">
      <c r="B20" s="197"/>
      <c r="C20" s="189"/>
      <c r="D20" s="190"/>
      <c r="E20" s="199"/>
      <c r="F20" s="199"/>
      <c r="G20" s="199"/>
      <c r="H20" s="199"/>
      <c r="I20" s="193"/>
      <c r="J20" s="201"/>
      <c r="K20" s="195">
        <f t="shared" si="0"/>
        <v>0</v>
      </c>
      <c r="L20" s="196"/>
    </row>
    <row r="21" spans="2:12">
      <c r="B21" s="202"/>
      <c r="C21" s="203"/>
      <c r="D21" s="203"/>
      <c r="E21" s="203"/>
      <c r="F21" s="203"/>
      <c r="G21" s="203"/>
      <c r="H21" s="204"/>
      <c r="I21" s="556" t="s">
        <v>1221</v>
      </c>
      <c r="J21" s="556"/>
      <c r="K21" s="206">
        <f>SUM(K10:K20)</f>
        <v>5.6139999999999999</v>
      </c>
      <c r="L21" s="207"/>
    </row>
    <row r="22" spans="2:12">
      <c r="B22" s="208"/>
      <c r="C22" s="204"/>
      <c r="D22" s="204"/>
      <c r="E22" s="204"/>
      <c r="F22" s="204"/>
      <c r="G22" s="204"/>
      <c r="H22" s="209"/>
      <c r="I22" s="557" t="s">
        <v>1222</v>
      </c>
      <c r="J22" s="557"/>
      <c r="K22" s="211">
        <v>20</v>
      </c>
      <c r="L22" s="207"/>
    </row>
    <row r="23" spans="2:12">
      <c r="B23" s="208"/>
      <c r="C23" s="204"/>
      <c r="D23" s="204"/>
      <c r="E23" s="204"/>
      <c r="F23" s="204"/>
      <c r="G23" s="204"/>
      <c r="H23" s="558" t="s">
        <v>1223</v>
      </c>
      <c r="I23" s="558"/>
      <c r="J23" s="558"/>
      <c r="K23" s="212">
        <v>5.1559999999999997</v>
      </c>
      <c r="L23" s="207"/>
    </row>
    <row r="24" spans="2:12">
      <c r="B24" s="208"/>
      <c r="C24" s="204"/>
      <c r="D24" s="204"/>
      <c r="E24" s="204"/>
      <c r="F24" s="204"/>
      <c r="G24" s="204"/>
      <c r="H24" s="558" t="s">
        <v>1605</v>
      </c>
      <c r="I24" s="558"/>
      <c r="J24" s="558"/>
      <c r="K24" s="212">
        <f>IF(K21&gt;K22,K22,K21)-K23</f>
        <v>0.45800000000000018</v>
      </c>
      <c r="L24" s="207"/>
    </row>
    <row r="25" spans="2:12">
      <c r="B25" s="213"/>
      <c r="C25" s="214"/>
      <c r="D25" s="214"/>
      <c r="E25" s="214"/>
      <c r="F25" s="214"/>
      <c r="G25" s="214"/>
      <c r="H25" s="559" t="s">
        <v>1224</v>
      </c>
      <c r="I25" s="559"/>
      <c r="J25" s="559"/>
      <c r="K25" s="215">
        <f>IF(K21&gt;K22,K21-K22,0)</f>
        <v>0</v>
      </c>
      <c r="L25" s="209"/>
    </row>
    <row r="27" spans="2:12" ht="58.35" customHeight="1">
      <c r="B27" s="555" t="s">
        <v>1225</v>
      </c>
      <c r="C27" s="555"/>
      <c r="D27" s="555"/>
      <c r="E27" s="555"/>
      <c r="F27" s="555"/>
      <c r="G27" s="555"/>
      <c r="H27" s="555"/>
      <c r="I27" s="555"/>
      <c r="J27" s="555"/>
      <c r="K27" s="555"/>
      <c r="L27" s="555"/>
    </row>
    <row r="28" spans="2:12">
      <c r="B28" s="187" t="s">
        <v>1209</v>
      </c>
      <c r="C28" s="187"/>
      <c r="D28" s="187" t="s">
        <v>39</v>
      </c>
      <c r="E28" s="187" t="s">
        <v>1210</v>
      </c>
      <c r="F28" s="187" t="s">
        <v>1211</v>
      </c>
      <c r="G28" s="187" t="s">
        <v>1212</v>
      </c>
      <c r="H28" s="187" t="s">
        <v>1213</v>
      </c>
      <c r="I28" s="187" t="s">
        <v>1214</v>
      </c>
      <c r="J28" s="187" t="s">
        <v>1215</v>
      </c>
      <c r="K28" s="187" t="s">
        <v>1216</v>
      </c>
      <c r="L28" s="187" t="s">
        <v>1217</v>
      </c>
    </row>
    <row r="29" spans="2:12">
      <c r="B29" s="188" t="s">
        <v>1218</v>
      </c>
      <c r="C29" s="189" t="s">
        <v>1219</v>
      </c>
      <c r="D29" s="190" t="s">
        <v>1226</v>
      </c>
      <c r="E29" s="191"/>
      <c r="F29" s="192"/>
      <c r="G29" s="192"/>
      <c r="H29" s="191"/>
      <c r="I29" s="193">
        <v>2.06E-2</v>
      </c>
      <c r="J29" s="194"/>
      <c r="K29" s="195">
        <f t="shared" ref="K29:K39" si="1">IF(E29*F29*G29&lt;&gt;0,E29*F29*G29,IF(E29*F29&lt;&gt;0,E29*F29,IF(F29*G29&lt;&gt;0,F29*G29,IF(E29*G29&lt;&gt;0,E29*G29,IF(E29&lt;&gt;0,E29,IF(F29&lt;&gt;0,F29,IF(G29&lt;&gt;0,G29,0)))))))*(IF(H29&lt;&gt;0,H29,1))+I29-J29</f>
        <v>2.06E-2</v>
      </c>
      <c r="L29" s="196"/>
    </row>
    <row r="30" spans="2:12">
      <c r="B30" s="197" t="s">
        <v>1218</v>
      </c>
      <c r="C30" s="189" t="s">
        <v>1240</v>
      </c>
      <c r="D30" s="190" t="s">
        <v>1226</v>
      </c>
      <c r="E30" s="199"/>
      <c r="F30" s="199"/>
      <c r="G30" s="199"/>
      <c r="H30" s="199"/>
      <c r="I30" s="193">
        <v>3.5799999999999998E-2</v>
      </c>
      <c r="J30" s="201"/>
      <c r="K30" s="195">
        <f t="shared" si="1"/>
        <v>3.5799999999999998E-2</v>
      </c>
      <c r="L30" s="196"/>
    </row>
    <row r="31" spans="2:12">
      <c r="B31" s="197" t="s">
        <v>1218</v>
      </c>
      <c r="C31" s="189" t="s">
        <v>1271</v>
      </c>
      <c r="D31" s="190" t="s">
        <v>1226</v>
      </c>
      <c r="E31" s="199"/>
      <c r="F31" s="199"/>
      <c r="G31" s="199"/>
      <c r="H31" s="199"/>
      <c r="I31" s="193">
        <v>2.1600000000000001E-2</v>
      </c>
      <c r="J31" s="201"/>
      <c r="K31" s="195">
        <f t="shared" si="1"/>
        <v>2.1600000000000001E-2</v>
      </c>
      <c r="L31" s="196"/>
    </row>
    <row r="32" spans="2:12">
      <c r="B32" s="197" t="s">
        <v>1218</v>
      </c>
      <c r="C32" s="189" t="s">
        <v>1333</v>
      </c>
      <c r="D32" s="190" t="s">
        <v>1226</v>
      </c>
      <c r="E32" s="199"/>
      <c r="F32" s="199"/>
      <c r="G32" s="199"/>
      <c r="H32" s="199"/>
      <c r="I32" s="193">
        <v>2.6800000000000001E-2</v>
      </c>
      <c r="J32" s="201"/>
      <c r="K32" s="195">
        <f t="shared" si="1"/>
        <v>2.6800000000000001E-2</v>
      </c>
      <c r="L32" s="196"/>
    </row>
    <row r="33" spans="2:12">
      <c r="B33" s="197" t="s">
        <v>1218</v>
      </c>
      <c r="C33" s="189" t="s">
        <v>1441</v>
      </c>
      <c r="D33" s="190" t="s">
        <v>1226</v>
      </c>
      <c r="E33" s="199"/>
      <c r="F33" s="199"/>
      <c r="G33" s="199"/>
      <c r="H33" s="199"/>
      <c r="I33" s="193">
        <v>3.3300000000000003E-2</v>
      </c>
      <c r="J33" s="201"/>
      <c r="K33" s="195">
        <f t="shared" si="1"/>
        <v>3.3300000000000003E-2</v>
      </c>
      <c r="L33" s="196"/>
    </row>
    <row r="34" spans="2:12">
      <c r="B34" s="197" t="s">
        <v>1218</v>
      </c>
      <c r="C34" s="189" t="s">
        <v>1521</v>
      </c>
      <c r="D34" s="190" t="s">
        <v>1226</v>
      </c>
      <c r="E34" s="199"/>
      <c r="F34" s="199"/>
      <c r="G34" s="199"/>
      <c r="H34" s="199"/>
      <c r="I34" s="193">
        <v>2.9700000000000001E-2</v>
      </c>
      <c r="J34" s="201"/>
      <c r="K34" s="195">
        <f t="shared" si="1"/>
        <v>2.9700000000000001E-2</v>
      </c>
      <c r="L34" s="196"/>
    </row>
    <row r="35" spans="2:12">
      <c r="B35" s="197" t="s">
        <v>1218</v>
      </c>
      <c r="C35" s="189" t="s">
        <v>1611</v>
      </c>
      <c r="D35" s="190" t="s">
        <v>1226</v>
      </c>
      <c r="E35" s="199"/>
      <c r="F35" s="199"/>
      <c r="G35" s="199"/>
      <c r="H35" s="199"/>
      <c r="I35" s="193">
        <v>2.9899999999999999E-2</v>
      </c>
      <c r="J35" s="201"/>
      <c r="K35" s="195">
        <f t="shared" si="1"/>
        <v>2.9899999999999999E-2</v>
      </c>
      <c r="L35" s="196"/>
    </row>
    <row r="36" spans="2:12">
      <c r="B36" s="197" t="s">
        <v>1218</v>
      </c>
      <c r="C36" s="189" t="s">
        <v>1612</v>
      </c>
      <c r="D36" s="190" t="s">
        <v>1226</v>
      </c>
      <c r="E36" s="199"/>
      <c r="F36" s="199"/>
      <c r="G36" s="199"/>
      <c r="H36" s="199"/>
      <c r="I36" s="193">
        <v>3.8899999999999997E-2</v>
      </c>
      <c r="J36" s="201"/>
      <c r="K36" s="195">
        <f t="shared" si="1"/>
        <v>3.8899999999999997E-2</v>
      </c>
      <c r="L36" s="196"/>
    </row>
    <row r="37" spans="2:12">
      <c r="B37" s="197" t="s">
        <v>1218</v>
      </c>
      <c r="C37" s="189" t="s">
        <v>1613</v>
      </c>
      <c r="D37" s="190" t="s">
        <v>1226</v>
      </c>
      <c r="E37" s="199"/>
      <c r="F37" s="199"/>
      <c r="G37" s="199"/>
      <c r="H37" s="199"/>
      <c r="I37" s="193">
        <v>2.12E-2</v>
      </c>
      <c r="J37" s="201"/>
      <c r="K37" s="195">
        <f t="shared" si="1"/>
        <v>2.12E-2</v>
      </c>
      <c r="L37" s="196"/>
    </row>
    <row r="38" spans="2:12">
      <c r="B38" s="197" t="s">
        <v>1218</v>
      </c>
      <c r="C38" s="189" t="s">
        <v>1895</v>
      </c>
      <c r="D38" s="190" t="s">
        <v>1226</v>
      </c>
      <c r="E38" s="199"/>
      <c r="F38" s="199"/>
      <c r="G38" s="199"/>
      <c r="H38" s="199"/>
      <c r="I38" s="193">
        <v>2.29E-2</v>
      </c>
      <c r="J38" s="201"/>
      <c r="K38" s="195">
        <f t="shared" si="1"/>
        <v>2.29E-2</v>
      </c>
      <c r="L38" s="196"/>
    </row>
    <row r="39" spans="2:12">
      <c r="B39" s="197"/>
      <c r="C39" s="189"/>
      <c r="D39" s="190"/>
      <c r="E39" s="199"/>
      <c r="F39" s="199"/>
      <c r="G39" s="199"/>
      <c r="H39" s="199"/>
      <c r="I39" s="193"/>
      <c r="J39" s="201"/>
      <c r="K39" s="195">
        <f t="shared" si="1"/>
        <v>0</v>
      </c>
      <c r="L39" s="196"/>
    </row>
    <row r="40" spans="2:12">
      <c r="B40" s="202"/>
      <c r="C40" s="203"/>
      <c r="D40" s="203"/>
      <c r="E40" s="203"/>
      <c r="F40" s="203"/>
      <c r="G40" s="203"/>
      <c r="H40" s="204"/>
      <c r="I40" s="556" t="s">
        <v>1221</v>
      </c>
      <c r="J40" s="556"/>
      <c r="K40" s="206">
        <f>SUM(K29:K39)</f>
        <v>0.28070000000000001</v>
      </c>
      <c r="L40" s="207"/>
    </row>
    <row r="41" spans="2:12">
      <c r="B41" s="208"/>
      <c r="C41" s="204"/>
      <c r="D41" s="204"/>
      <c r="E41" s="204"/>
      <c r="F41" s="204"/>
      <c r="G41" s="204"/>
      <c r="H41" s="209"/>
      <c r="I41" s="557" t="s">
        <v>1222</v>
      </c>
      <c r="J41" s="557"/>
      <c r="K41" s="211">
        <v>1</v>
      </c>
      <c r="L41" s="207"/>
    </row>
    <row r="42" spans="2:12">
      <c r="B42" s="208"/>
      <c r="C42" s="204"/>
      <c r="D42" s="204"/>
      <c r="E42" s="204"/>
      <c r="F42" s="204"/>
      <c r="G42" s="204"/>
      <c r="H42" s="558" t="s">
        <v>1223</v>
      </c>
      <c r="I42" s="558"/>
      <c r="J42" s="558"/>
      <c r="K42" s="212">
        <v>0.25779999999999997</v>
      </c>
      <c r="L42" s="207"/>
    </row>
    <row r="43" spans="2:12">
      <c r="B43" s="208"/>
      <c r="C43" s="204"/>
      <c r="D43" s="204"/>
      <c r="E43" s="204"/>
      <c r="F43" s="204"/>
      <c r="G43" s="204"/>
      <c r="H43" s="558" t="s">
        <v>1605</v>
      </c>
      <c r="I43" s="558"/>
      <c r="J43" s="558"/>
      <c r="K43" s="212">
        <f>IF(K40&gt;K41,K41,K40)-K42</f>
        <v>2.2900000000000031E-2</v>
      </c>
      <c r="L43" s="207"/>
    </row>
    <row r="44" spans="2:12">
      <c r="B44" s="213"/>
      <c r="C44" s="214"/>
      <c r="D44" s="214"/>
      <c r="E44" s="214"/>
      <c r="F44" s="214"/>
      <c r="G44" s="214"/>
      <c r="H44" s="559" t="s">
        <v>1224</v>
      </c>
      <c r="I44" s="559"/>
      <c r="J44" s="559"/>
      <c r="K44" s="215">
        <f>IF(K40&gt;K41,K40-K41,0)</f>
        <v>0</v>
      </c>
      <c r="L44" s="209"/>
    </row>
    <row r="46" spans="2:12" ht="14.25" customHeight="1">
      <c r="B46" s="555" t="s">
        <v>1227</v>
      </c>
      <c r="C46" s="555"/>
      <c r="D46" s="555"/>
      <c r="E46" s="555"/>
      <c r="F46" s="555"/>
      <c r="G46" s="555"/>
      <c r="H46" s="555"/>
      <c r="I46" s="555"/>
      <c r="J46" s="555"/>
      <c r="K46" s="555"/>
      <c r="L46" s="555"/>
    </row>
    <row r="47" spans="2:12">
      <c r="B47" s="187" t="s">
        <v>1209</v>
      </c>
      <c r="C47" s="187"/>
      <c r="D47" s="187" t="s">
        <v>39</v>
      </c>
      <c r="E47" s="187" t="s">
        <v>1210</v>
      </c>
      <c r="F47" s="187" t="s">
        <v>1211</v>
      </c>
      <c r="G47" s="187" t="s">
        <v>1212</v>
      </c>
      <c r="H47" s="187" t="s">
        <v>1213</v>
      </c>
      <c r="I47" s="187" t="s">
        <v>1214</v>
      </c>
      <c r="J47" s="187" t="s">
        <v>1215</v>
      </c>
      <c r="K47" s="187" t="s">
        <v>1216</v>
      </c>
      <c r="L47" s="187" t="s">
        <v>1217</v>
      </c>
    </row>
    <row r="48" spans="2:12">
      <c r="B48" s="188" t="s">
        <v>1228</v>
      </c>
      <c r="C48" s="189" t="s">
        <v>1219</v>
      </c>
      <c r="D48" s="190" t="s">
        <v>39</v>
      </c>
      <c r="E48" s="191">
        <v>64</v>
      </c>
      <c r="F48" s="192"/>
      <c r="G48" s="192">
        <v>2</v>
      </c>
      <c r="H48" s="191"/>
      <c r="I48" s="191"/>
      <c r="J48" s="216"/>
      <c r="K48" s="217">
        <f>IF(E48*F48*G48&lt;&gt;0,E48*F48*G48,IF(E48*F48&lt;&gt;0,E48*F48,IF(F48*G48&lt;&gt;0,F48*G48,IF(E48*G48&lt;&gt;0,E48*G48,IF(E48&lt;&gt;0,E48,IF(F48&lt;&gt;0,F48,IF(G48&lt;&gt;0,G48,0)))))))*(IF(H48&lt;&gt;0,H48,1))+I48-J48</f>
        <v>128</v>
      </c>
      <c r="L48" s="218"/>
    </row>
    <row r="49" spans="2:12">
      <c r="B49" s="197"/>
      <c r="C49" s="189"/>
      <c r="D49" s="198"/>
      <c r="E49" s="199"/>
      <c r="F49" s="199"/>
      <c r="G49" s="199"/>
      <c r="H49" s="199"/>
      <c r="I49" s="199"/>
      <c r="J49" s="219"/>
      <c r="K49" s="217">
        <f>IF(E49*F49*G49&lt;&gt;0,E49*F49*G49,IF(E49*F49&lt;&gt;0,E49*F49,IF(F49*G49&lt;&gt;0,F49*G49,IF(E49*G49&lt;&gt;0,E49*G49,IF(E49&lt;&gt;0,E49,IF(F49&lt;&gt;0,F49,IF(G49&lt;&gt;0,G49,0)))))))*(IF(H49&lt;&gt;0,H49,1))+I49-J49</f>
        <v>0</v>
      </c>
      <c r="L49" s="218"/>
    </row>
    <row r="50" spans="2:12">
      <c r="B50" s="202"/>
      <c r="C50" s="203"/>
      <c r="D50" s="203"/>
      <c r="E50" s="203"/>
      <c r="F50" s="203"/>
      <c r="G50" s="203"/>
      <c r="H50" s="204"/>
      <c r="I50" s="556" t="s">
        <v>1221</v>
      </c>
      <c r="J50" s="556"/>
      <c r="K50" s="220">
        <f>SUM(K48:K49)</f>
        <v>128</v>
      </c>
      <c r="L50" s="207"/>
    </row>
    <row r="51" spans="2:12">
      <c r="B51" s="208"/>
      <c r="C51" s="204"/>
      <c r="D51" s="204"/>
      <c r="E51" s="204"/>
      <c r="F51" s="204"/>
      <c r="G51" s="204"/>
      <c r="H51" s="209"/>
      <c r="I51" s="557" t="s">
        <v>1222</v>
      </c>
      <c r="J51" s="557"/>
      <c r="K51" s="221">
        <v>128</v>
      </c>
      <c r="L51" s="207"/>
    </row>
    <row r="52" spans="2:12">
      <c r="B52" s="208"/>
      <c r="C52" s="204"/>
      <c r="D52" s="204"/>
      <c r="E52" s="204"/>
      <c r="F52" s="204"/>
      <c r="G52" s="204"/>
      <c r="H52" s="558" t="s">
        <v>1223</v>
      </c>
      <c r="I52" s="558"/>
      <c r="J52" s="558"/>
      <c r="K52" s="222"/>
      <c r="L52" s="207"/>
    </row>
    <row r="53" spans="2:12">
      <c r="B53" s="208"/>
      <c r="C53" s="204"/>
      <c r="D53" s="204"/>
      <c r="E53" s="204"/>
      <c r="F53" s="204"/>
      <c r="G53" s="204"/>
      <c r="H53" s="558" t="s">
        <v>1190</v>
      </c>
      <c r="I53" s="558"/>
      <c r="J53" s="558"/>
      <c r="K53" s="222">
        <f>IF(K50&gt;K51,K51,K50)-K52</f>
        <v>128</v>
      </c>
      <c r="L53" s="207"/>
    </row>
    <row r="54" spans="2:12">
      <c r="B54" s="213"/>
      <c r="C54" s="214"/>
      <c r="D54" s="214"/>
      <c r="E54" s="214"/>
      <c r="F54" s="214"/>
      <c r="G54" s="214"/>
      <c r="H54" s="559" t="s">
        <v>1224</v>
      </c>
      <c r="I54" s="559"/>
      <c r="J54" s="559"/>
      <c r="K54" s="223">
        <f>IF(K50&gt;K51,K50-K51,0)</f>
        <v>0</v>
      </c>
      <c r="L54" s="209"/>
    </row>
    <row r="56" spans="2:12" ht="14.25" customHeight="1">
      <c r="B56" s="555" t="s">
        <v>1229</v>
      </c>
      <c r="C56" s="555"/>
      <c r="D56" s="555"/>
      <c r="E56" s="555"/>
      <c r="F56" s="555"/>
      <c r="G56" s="555"/>
      <c r="H56" s="555"/>
      <c r="I56" s="555"/>
      <c r="J56" s="555"/>
      <c r="K56" s="555"/>
      <c r="L56" s="555"/>
    </row>
    <row r="57" spans="2:12">
      <c r="B57" s="187" t="s">
        <v>1209</v>
      </c>
      <c r="C57" s="187"/>
      <c r="D57" s="187" t="s">
        <v>39</v>
      </c>
      <c r="E57" s="187" t="s">
        <v>1210</v>
      </c>
      <c r="F57" s="187" t="s">
        <v>1211</v>
      </c>
      <c r="G57" s="187" t="s">
        <v>1212</v>
      </c>
      <c r="H57" s="187" t="s">
        <v>1213</v>
      </c>
      <c r="I57" s="187" t="s">
        <v>1214</v>
      </c>
      <c r="J57" s="187" t="s">
        <v>1215</v>
      </c>
      <c r="K57" s="187" t="s">
        <v>1216</v>
      </c>
      <c r="L57" s="187" t="s">
        <v>1217</v>
      </c>
    </row>
    <row r="58" spans="2:12">
      <c r="B58" s="188" t="s">
        <v>1228</v>
      </c>
      <c r="C58" s="189" t="s">
        <v>1219</v>
      </c>
      <c r="D58" s="190" t="s">
        <v>79</v>
      </c>
      <c r="E58" s="191">
        <f>30/4</f>
        <v>7.5</v>
      </c>
      <c r="F58" s="192">
        <v>4</v>
      </c>
      <c r="G58" s="192"/>
      <c r="H58" s="191"/>
      <c r="I58" s="191"/>
      <c r="J58" s="216"/>
      <c r="K58" s="217">
        <f>IF(E58*F58*G58&lt;&gt;0,E58*F58*G58,IF(E58*F58&lt;&gt;0,E58*F58,IF(F58*G58&lt;&gt;0,F58*G58,IF(E58*G58&lt;&gt;0,E58*G58,IF(E58&lt;&gt;0,E58,IF(F58&lt;&gt;0,F58,IF(G58&lt;&gt;0,G58,0)))))))*(IF(H58&lt;&gt;0,H58,1))+I58-J58</f>
        <v>30</v>
      </c>
      <c r="L58" s="218"/>
    </row>
    <row r="59" spans="2:12">
      <c r="B59" s="188" t="s">
        <v>1228</v>
      </c>
      <c r="C59" s="189" t="s">
        <v>1240</v>
      </c>
      <c r="D59" s="190" t="s">
        <v>79</v>
      </c>
      <c r="E59" s="191">
        <v>2.5</v>
      </c>
      <c r="F59" s="192">
        <v>4</v>
      </c>
      <c r="G59" s="192"/>
      <c r="H59" s="191"/>
      <c r="I59" s="191"/>
      <c r="J59" s="216"/>
      <c r="K59" s="217">
        <f>IF(E59*F59*G59&lt;&gt;0,E59*F59*G59,IF(E59*F59&lt;&gt;0,E59*F59,IF(F59*G59&lt;&gt;0,F59*G59,IF(E59*G59&lt;&gt;0,E59*G59,IF(E59&lt;&gt;0,E59,IF(F59&lt;&gt;0,F59,IF(G59&lt;&gt;0,G59,0)))))))*(IF(H59&lt;&gt;0,H59,1))+I59-J59</f>
        <v>10</v>
      </c>
      <c r="L59" s="218"/>
    </row>
    <row r="60" spans="2:12">
      <c r="B60" s="202"/>
      <c r="C60" s="203"/>
      <c r="D60" s="203"/>
      <c r="E60" s="203"/>
      <c r="F60" s="203"/>
      <c r="G60" s="203"/>
      <c r="H60" s="204"/>
      <c r="I60" s="556" t="s">
        <v>1221</v>
      </c>
      <c r="J60" s="556"/>
      <c r="K60" s="220">
        <f>SUM(K58:K59)</f>
        <v>40</v>
      </c>
      <c r="L60" s="207"/>
    </row>
    <row r="61" spans="2:12">
      <c r="B61" s="208"/>
      <c r="C61" s="204"/>
      <c r="D61" s="204"/>
      <c r="E61" s="204"/>
      <c r="F61" s="204"/>
      <c r="G61" s="204"/>
      <c r="H61" s="209"/>
      <c r="I61" s="557" t="s">
        <v>1222</v>
      </c>
      <c r="J61" s="557"/>
      <c r="K61" s="221">
        <v>40</v>
      </c>
      <c r="L61" s="207"/>
    </row>
    <row r="62" spans="2:12">
      <c r="B62" s="208"/>
      <c r="C62" s="204"/>
      <c r="D62" s="204"/>
      <c r="E62" s="204"/>
      <c r="F62" s="204"/>
      <c r="G62" s="204"/>
      <c r="H62" s="558" t="s">
        <v>1223</v>
      </c>
      <c r="I62" s="558"/>
      <c r="J62" s="558"/>
      <c r="K62" s="222">
        <v>30</v>
      </c>
      <c r="L62" s="207"/>
    </row>
    <row r="63" spans="2:12">
      <c r="B63" s="208"/>
      <c r="C63" s="204"/>
      <c r="D63" s="204"/>
      <c r="E63" s="204"/>
      <c r="F63" s="204"/>
      <c r="G63" s="204"/>
      <c r="H63" s="558" t="s">
        <v>1199</v>
      </c>
      <c r="I63" s="558"/>
      <c r="J63" s="558"/>
      <c r="K63" s="222">
        <f>IF(K60&gt;K61,K61,K60)-K62</f>
        <v>10</v>
      </c>
      <c r="L63" s="207"/>
    </row>
    <row r="64" spans="2:12">
      <c r="B64" s="213"/>
      <c r="C64" s="214"/>
      <c r="D64" s="214"/>
      <c r="E64" s="214"/>
      <c r="F64" s="214"/>
      <c r="G64" s="214"/>
      <c r="H64" s="559" t="s">
        <v>1224</v>
      </c>
      <c r="I64" s="559"/>
      <c r="J64" s="559"/>
      <c r="K64" s="223">
        <f>IF(K60&gt;K61,K60-K61,0)</f>
        <v>0</v>
      </c>
      <c r="L64" s="209"/>
    </row>
    <row r="66" spans="2:12" ht="14.25" customHeight="1">
      <c r="B66" s="555" t="s">
        <v>1230</v>
      </c>
      <c r="C66" s="555"/>
      <c r="D66" s="555"/>
      <c r="E66" s="555"/>
      <c r="F66" s="555"/>
      <c r="G66" s="555"/>
      <c r="H66" s="555"/>
      <c r="I66" s="555"/>
      <c r="J66" s="555"/>
      <c r="K66" s="555"/>
      <c r="L66" s="555"/>
    </row>
    <row r="67" spans="2:12">
      <c r="B67" s="187" t="s">
        <v>1209</v>
      </c>
      <c r="C67" s="187"/>
      <c r="D67" s="187" t="s">
        <v>39</v>
      </c>
      <c r="E67" s="187" t="s">
        <v>1210</v>
      </c>
      <c r="F67" s="187" t="s">
        <v>1211</v>
      </c>
      <c r="G67" s="187" t="s">
        <v>1212</v>
      </c>
      <c r="H67" s="187" t="s">
        <v>1213</v>
      </c>
      <c r="I67" s="187" t="s">
        <v>1214</v>
      </c>
      <c r="J67" s="187" t="s">
        <v>1215</v>
      </c>
      <c r="K67" s="187" t="s">
        <v>1216</v>
      </c>
      <c r="L67" s="187" t="s">
        <v>1217</v>
      </c>
    </row>
    <row r="68" spans="2:12">
      <c r="B68" s="188" t="s">
        <v>1228</v>
      </c>
      <c r="C68" s="189" t="s">
        <v>1219</v>
      </c>
      <c r="D68" s="190" t="s">
        <v>39</v>
      </c>
      <c r="E68" s="191">
        <f>48/4</f>
        <v>12</v>
      </c>
      <c r="F68" s="192">
        <v>4</v>
      </c>
      <c r="G68" s="192"/>
      <c r="H68" s="191"/>
      <c r="I68" s="191"/>
      <c r="J68" s="216"/>
      <c r="K68" s="217">
        <f>IF(E68*F68*G68&lt;&gt;0,E68*F68*G68,IF(E68*F68&lt;&gt;0,E68*F68,IF(F68*G68&lt;&gt;0,F68*G68,IF(E68*G68&lt;&gt;0,E68*G68,IF(E68&lt;&gt;0,E68,IF(F68&lt;&gt;0,F68,IF(G68&lt;&gt;0,G68,0)))))))*(IF(H68&lt;&gt;0,H68,1))+I68-J68</f>
        <v>48</v>
      </c>
      <c r="L68" s="218"/>
    </row>
    <row r="69" spans="2:12">
      <c r="B69" s="188" t="s">
        <v>1228</v>
      </c>
      <c r="C69" s="189" t="s">
        <v>1240</v>
      </c>
      <c r="D69" s="190" t="s">
        <v>39</v>
      </c>
      <c r="E69" s="191">
        <v>5</v>
      </c>
      <c r="F69" s="192">
        <v>4</v>
      </c>
      <c r="G69" s="192"/>
      <c r="H69" s="191"/>
      <c r="I69" s="191"/>
      <c r="J69" s="219"/>
      <c r="K69" s="217">
        <f>IF(E69*F69*G69&lt;&gt;0,E69*F69*G69,IF(E69*F69&lt;&gt;0,E69*F69,IF(F69*G69&lt;&gt;0,F69*G69,IF(E69*G69&lt;&gt;0,E69*G69,IF(E69&lt;&gt;0,E69,IF(F69&lt;&gt;0,F69,IF(G69&lt;&gt;0,G69,0)))))))*(IF(H69&lt;&gt;0,H69,1))+I69-J69</f>
        <v>20</v>
      </c>
      <c r="L69" s="218"/>
    </row>
    <row r="70" spans="2:12">
      <c r="B70" s="202"/>
      <c r="C70" s="203"/>
      <c r="D70" s="203"/>
      <c r="E70" s="203"/>
      <c r="F70" s="203"/>
      <c r="G70" s="203"/>
      <c r="H70" s="204"/>
      <c r="I70" s="556" t="s">
        <v>1221</v>
      </c>
      <c r="J70" s="556"/>
      <c r="K70" s="220">
        <f>SUM(K68:K69)</f>
        <v>68</v>
      </c>
      <c r="L70" s="207"/>
    </row>
    <row r="71" spans="2:12">
      <c r="B71" s="208"/>
      <c r="C71" s="204"/>
      <c r="D71" s="204"/>
      <c r="E71" s="204"/>
      <c r="F71" s="204"/>
      <c r="G71" s="204"/>
      <c r="H71" s="209"/>
      <c r="I71" s="557" t="s">
        <v>1222</v>
      </c>
      <c r="J71" s="557"/>
      <c r="K71" s="221">
        <v>68</v>
      </c>
      <c r="L71" s="207"/>
    </row>
    <row r="72" spans="2:12">
      <c r="B72" s="208"/>
      <c r="C72" s="204"/>
      <c r="D72" s="204"/>
      <c r="E72" s="204"/>
      <c r="F72" s="204"/>
      <c r="G72" s="204"/>
      <c r="H72" s="558" t="s">
        <v>1223</v>
      </c>
      <c r="I72" s="558"/>
      <c r="J72" s="558"/>
      <c r="K72" s="222">
        <v>48</v>
      </c>
      <c r="L72" s="207"/>
    </row>
    <row r="73" spans="2:12">
      <c r="B73" s="208"/>
      <c r="C73" s="204"/>
      <c r="D73" s="204"/>
      <c r="E73" s="204"/>
      <c r="F73" s="204"/>
      <c r="G73" s="204"/>
      <c r="H73" s="558" t="s">
        <v>1199</v>
      </c>
      <c r="I73" s="558"/>
      <c r="J73" s="558"/>
      <c r="K73" s="222">
        <f>IF(K70&gt;K71,K71,K70)-K72</f>
        <v>20</v>
      </c>
      <c r="L73" s="207"/>
    </row>
    <row r="74" spans="2:12">
      <c r="B74" s="213"/>
      <c r="C74" s="214"/>
      <c r="D74" s="214"/>
      <c r="E74" s="214"/>
      <c r="F74" s="214"/>
      <c r="G74" s="214"/>
      <c r="H74" s="559" t="s">
        <v>1224</v>
      </c>
      <c r="I74" s="559"/>
      <c r="J74" s="559"/>
      <c r="K74" s="223">
        <f>IF(K70&gt;K71,K70-K71,0)</f>
        <v>0</v>
      </c>
      <c r="L74" s="209"/>
    </row>
    <row r="76" spans="2:12" ht="14.25" customHeight="1">
      <c r="B76" s="555" t="s">
        <v>1231</v>
      </c>
      <c r="C76" s="555"/>
      <c r="D76" s="555"/>
      <c r="E76" s="555"/>
      <c r="F76" s="555"/>
      <c r="G76" s="555"/>
      <c r="H76" s="555"/>
      <c r="I76" s="555"/>
      <c r="J76" s="555"/>
      <c r="K76" s="555"/>
      <c r="L76" s="555"/>
    </row>
    <row r="77" spans="2:12">
      <c r="B77" s="187" t="s">
        <v>1209</v>
      </c>
      <c r="C77" s="187"/>
      <c r="D77" s="187" t="s">
        <v>39</v>
      </c>
      <c r="E77" s="187" t="s">
        <v>1210</v>
      </c>
      <c r="F77" s="187" t="s">
        <v>1211</v>
      </c>
      <c r="G77" s="187" t="s">
        <v>1212</v>
      </c>
      <c r="H77" s="187" t="s">
        <v>1213</v>
      </c>
      <c r="I77" s="187" t="s">
        <v>1214</v>
      </c>
      <c r="J77" s="187" t="s">
        <v>1215</v>
      </c>
      <c r="K77" s="187" t="s">
        <v>1216</v>
      </c>
      <c r="L77" s="187" t="s">
        <v>1217</v>
      </c>
    </row>
    <row r="78" spans="2:12">
      <c r="B78" s="188" t="s">
        <v>1228</v>
      </c>
      <c r="C78" s="189" t="s">
        <v>1219</v>
      </c>
      <c r="D78" s="190" t="s">
        <v>39</v>
      </c>
      <c r="E78" s="191">
        <v>15</v>
      </c>
      <c r="F78" s="192">
        <v>4</v>
      </c>
      <c r="G78" s="192"/>
      <c r="H78" s="191"/>
      <c r="I78" s="191"/>
      <c r="J78" s="216"/>
      <c r="K78" s="217">
        <f>IF(E78*F78*G78&lt;&gt;0,E78*F78*G78,IF(E78*F78&lt;&gt;0,E78*F78,IF(F78*G78&lt;&gt;0,F78*G78,IF(E78*G78&lt;&gt;0,E78*G78,IF(E78&lt;&gt;0,E78,IF(F78&lt;&gt;0,F78,IF(G78&lt;&gt;0,G78,0)))))))*(IF(H78&lt;&gt;0,H78,1))+I78-J78</f>
        <v>60</v>
      </c>
      <c r="L78" s="218"/>
    </row>
    <row r="79" spans="2:12">
      <c r="B79" s="197"/>
      <c r="C79" s="189"/>
      <c r="D79" s="198"/>
      <c r="E79" s="199"/>
      <c r="F79" s="199"/>
      <c r="G79" s="199"/>
      <c r="H79" s="199"/>
      <c r="I79" s="199"/>
      <c r="J79" s="219"/>
      <c r="K79" s="217">
        <f>IF(E79*F79*G79&lt;&gt;0,E79*F79*G79,IF(E79*F79&lt;&gt;0,E79*F79,IF(F79*G79&lt;&gt;0,F79*G79,IF(E79*G79&lt;&gt;0,E79*G79,IF(E79&lt;&gt;0,E79,IF(F79&lt;&gt;0,F79,IF(G79&lt;&gt;0,G79,0)))))))*(IF(H79&lt;&gt;0,H79,1))+I79-J79</f>
        <v>0</v>
      </c>
      <c r="L79" s="218"/>
    </row>
    <row r="80" spans="2:12">
      <c r="B80" s="202"/>
      <c r="C80" s="203"/>
      <c r="D80" s="203"/>
      <c r="E80" s="203"/>
      <c r="F80" s="203"/>
      <c r="G80" s="203"/>
      <c r="H80" s="204"/>
      <c r="I80" s="556" t="s">
        <v>1221</v>
      </c>
      <c r="J80" s="556"/>
      <c r="K80" s="220">
        <f>SUM(K78:K79)</f>
        <v>60</v>
      </c>
      <c r="L80" s="207"/>
    </row>
    <row r="81" spans="2:12">
      <c r="B81" s="208"/>
      <c r="C81" s="204"/>
      <c r="D81" s="204"/>
      <c r="E81" s="204"/>
      <c r="F81" s="204"/>
      <c r="G81" s="204"/>
      <c r="H81" s="209"/>
      <c r="I81" s="557" t="s">
        <v>1222</v>
      </c>
      <c r="J81" s="557"/>
      <c r="K81" s="221">
        <v>60</v>
      </c>
      <c r="L81" s="207"/>
    </row>
    <row r="82" spans="2:12">
      <c r="B82" s="208"/>
      <c r="C82" s="204"/>
      <c r="D82" s="204"/>
      <c r="E82" s="204"/>
      <c r="F82" s="204"/>
      <c r="G82" s="204"/>
      <c r="H82" s="558" t="s">
        <v>1223</v>
      </c>
      <c r="I82" s="558"/>
      <c r="J82" s="558"/>
      <c r="K82" s="222"/>
      <c r="L82" s="207"/>
    </row>
    <row r="83" spans="2:12">
      <c r="B83" s="208"/>
      <c r="C83" s="204"/>
      <c r="D83" s="204"/>
      <c r="E83" s="204"/>
      <c r="F83" s="204"/>
      <c r="G83" s="204"/>
      <c r="H83" s="558" t="s">
        <v>1190</v>
      </c>
      <c r="I83" s="558"/>
      <c r="J83" s="558"/>
      <c r="K83" s="222">
        <f>IF(K80&gt;K81,K81,K80)-K82</f>
        <v>60</v>
      </c>
      <c r="L83" s="207"/>
    </row>
    <row r="84" spans="2:12">
      <c r="B84" s="213"/>
      <c r="C84" s="214"/>
      <c r="D84" s="214"/>
      <c r="E84" s="214"/>
      <c r="F84" s="214"/>
      <c r="G84" s="214"/>
      <c r="H84" s="559" t="s">
        <v>1224</v>
      </c>
      <c r="I84" s="559"/>
      <c r="J84" s="559"/>
      <c r="K84" s="223">
        <f>IF(K80&gt;K81,K80-K81,0)</f>
        <v>0</v>
      </c>
      <c r="L84" s="209"/>
    </row>
    <row r="86" spans="2:12" ht="14.25" customHeight="1">
      <c r="B86" s="555" t="s">
        <v>1232</v>
      </c>
      <c r="C86" s="555"/>
      <c r="D86" s="555"/>
      <c r="E86" s="555"/>
      <c r="F86" s="555"/>
      <c r="G86" s="555"/>
      <c r="H86" s="555"/>
      <c r="I86" s="555"/>
      <c r="J86" s="555"/>
      <c r="K86" s="555"/>
      <c r="L86" s="555"/>
    </row>
    <row r="87" spans="2:12">
      <c r="B87" s="187" t="s">
        <v>1209</v>
      </c>
      <c r="C87" s="187"/>
      <c r="D87" s="187" t="s">
        <v>39</v>
      </c>
      <c r="E87" s="187" t="s">
        <v>1210</v>
      </c>
      <c r="F87" s="187" t="s">
        <v>1211</v>
      </c>
      <c r="G87" s="187" t="s">
        <v>1212</v>
      </c>
      <c r="H87" s="187" t="s">
        <v>1213</v>
      </c>
      <c r="I87" s="187" t="s">
        <v>1214</v>
      </c>
      <c r="J87" s="187" t="s">
        <v>1215</v>
      </c>
      <c r="K87" s="187" t="s">
        <v>1216</v>
      </c>
      <c r="L87" s="187" t="s">
        <v>1217</v>
      </c>
    </row>
    <row r="88" spans="2:12">
      <c r="B88" s="188" t="s">
        <v>1228</v>
      </c>
      <c r="C88" s="189" t="s">
        <v>1219</v>
      </c>
      <c r="D88" s="190" t="s">
        <v>39</v>
      </c>
      <c r="E88" s="191">
        <v>5</v>
      </c>
      <c r="F88" s="192">
        <v>4</v>
      </c>
      <c r="G88" s="192"/>
      <c r="H88" s="191"/>
      <c r="I88" s="191"/>
      <c r="J88" s="216"/>
      <c r="K88" s="217">
        <f>IF(E88*F88*G88&lt;&gt;0,E88*F88*G88,IF(E88*F88&lt;&gt;0,E88*F88,IF(F88*G88&lt;&gt;0,F88*G88,IF(E88*G88&lt;&gt;0,E88*G88,IF(E88&lt;&gt;0,E88,IF(F88&lt;&gt;0,F88,IF(G88&lt;&gt;0,G88,0)))))))*(IF(H88&lt;&gt;0,H88,1))+I88-J88</f>
        <v>20</v>
      </c>
      <c r="L88" s="218"/>
    </row>
    <row r="89" spans="2:12">
      <c r="B89" s="188" t="s">
        <v>1228</v>
      </c>
      <c r="C89" s="189" t="s">
        <v>1240</v>
      </c>
      <c r="D89" s="190" t="s">
        <v>39</v>
      </c>
      <c r="E89" s="191">
        <v>10</v>
      </c>
      <c r="F89" s="192">
        <v>4</v>
      </c>
      <c r="G89" s="192"/>
      <c r="H89" s="191"/>
      <c r="I89" s="191"/>
      <c r="J89" s="219"/>
      <c r="K89" s="217">
        <f>IF(E89*F89*G89&lt;&gt;0,E89*F89*G89,IF(E89*F89&lt;&gt;0,E89*F89,IF(F89*G89&lt;&gt;0,F89*G89,IF(E89*G89&lt;&gt;0,E89*G89,IF(E89&lt;&gt;0,E89,IF(F89&lt;&gt;0,F89,IF(G89&lt;&gt;0,G89,0)))))))*(IF(H89&lt;&gt;0,H89,1))+I89-J89</f>
        <v>40</v>
      </c>
      <c r="L89" s="218"/>
    </row>
    <row r="90" spans="2:12">
      <c r="B90" s="202"/>
      <c r="C90" s="203"/>
      <c r="D90" s="203"/>
      <c r="E90" s="203"/>
      <c r="F90" s="203"/>
      <c r="G90" s="203"/>
      <c r="H90" s="204"/>
      <c r="I90" s="556" t="s">
        <v>1221</v>
      </c>
      <c r="J90" s="556"/>
      <c r="K90" s="220">
        <f>SUM(K88:K89)</f>
        <v>60</v>
      </c>
      <c r="L90" s="207"/>
    </row>
    <row r="91" spans="2:12">
      <c r="B91" s="208"/>
      <c r="C91" s="204"/>
      <c r="D91" s="204"/>
      <c r="E91" s="204"/>
      <c r="F91" s="204"/>
      <c r="G91" s="204"/>
      <c r="H91" s="209"/>
      <c r="I91" s="557" t="s">
        <v>1222</v>
      </c>
      <c r="J91" s="557"/>
      <c r="K91" s="221">
        <v>60</v>
      </c>
      <c r="L91" s="207"/>
    </row>
    <row r="92" spans="2:12">
      <c r="B92" s="208"/>
      <c r="C92" s="204"/>
      <c r="D92" s="204"/>
      <c r="E92" s="204"/>
      <c r="F92" s="204"/>
      <c r="G92" s="204"/>
      <c r="H92" s="558" t="s">
        <v>1223</v>
      </c>
      <c r="I92" s="558"/>
      <c r="J92" s="558"/>
      <c r="K92" s="222">
        <v>20</v>
      </c>
      <c r="L92" s="207"/>
    </row>
    <row r="93" spans="2:12">
      <c r="B93" s="208"/>
      <c r="C93" s="204"/>
      <c r="D93" s="204"/>
      <c r="E93" s="204"/>
      <c r="F93" s="204"/>
      <c r="G93" s="204"/>
      <c r="H93" s="558" t="s">
        <v>1199</v>
      </c>
      <c r="I93" s="558"/>
      <c r="J93" s="558"/>
      <c r="K93" s="222">
        <f>IF(K90&gt;K91,K91,K90)-K92</f>
        <v>40</v>
      </c>
      <c r="L93" s="207"/>
    </row>
    <row r="94" spans="2:12">
      <c r="B94" s="213"/>
      <c r="C94" s="214"/>
      <c r="D94" s="214"/>
      <c r="E94" s="214"/>
      <c r="F94" s="214"/>
      <c r="G94" s="214"/>
      <c r="H94" s="559" t="s">
        <v>1224</v>
      </c>
      <c r="I94" s="559"/>
      <c r="J94" s="559"/>
      <c r="K94" s="223">
        <f>IF(K90&gt;K91,K90-K91,0)</f>
        <v>0</v>
      </c>
      <c r="L94" s="209"/>
    </row>
    <row r="96" spans="2:12" ht="14.25" customHeight="1">
      <c r="B96" s="555" t="s">
        <v>1233</v>
      </c>
      <c r="C96" s="555"/>
      <c r="D96" s="555"/>
      <c r="E96" s="555"/>
      <c r="F96" s="555"/>
      <c r="G96" s="555"/>
      <c r="H96" s="555"/>
      <c r="I96" s="555"/>
      <c r="J96" s="555"/>
      <c r="K96" s="555"/>
      <c r="L96" s="555"/>
    </row>
    <row r="97" spans="2:12">
      <c r="B97" s="187" t="s">
        <v>1209</v>
      </c>
      <c r="C97" s="187"/>
      <c r="D97" s="187" t="s">
        <v>39</v>
      </c>
      <c r="E97" s="187" t="s">
        <v>1210</v>
      </c>
      <c r="F97" s="187" t="s">
        <v>1211</v>
      </c>
      <c r="G97" s="187" t="s">
        <v>1212</v>
      </c>
      <c r="H97" s="187" t="s">
        <v>1213</v>
      </c>
      <c r="I97" s="187" t="s">
        <v>1214</v>
      </c>
      <c r="J97" s="187" t="s">
        <v>1215</v>
      </c>
      <c r="K97" s="187" t="s">
        <v>1216</v>
      </c>
      <c r="L97" s="187" t="s">
        <v>1217</v>
      </c>
    </row>
    <row r="98" spans="2:12">
      <c r="B98" s="188" t="s">
        <v>1228</v>
      </c>
      <c r="C98" s="189" t="s">
        <v>1219</v>
      </c>
      <c r="D98" s="190" t="s">
        <v>39</v>
      </c>
      <c r="E98" s="191">
        <v>5</v>
      </c>
      <c r="F98" s="192">
        <v>4</v>
      </c>
      <c r="G98" s="192"/>
      <c r="H98" s="191"/>
      <c r="I98" s="191"/>
      <c r="J98" s="216"/>
      <c r="K98" s="217">
        <f>IF(E98*F98*G98&lt;&gt;0,E98*F98*G98,IF(E98*F98&lt;&gt;0,E98*F98,IF(F98*G98&lt;&gt;0,F98*G98,IF(E98*G98&lt;&gt;0,E98*G98,IF(E98&lt;&gt;0,E98,IF(F98&lt;&gt;0,F98,IF(G98&lt;&gt;0,G98,0)))))))*(IF(H98&lt;&gt;0,H98,1))+I98-J98</f>
        <v>20</v>
      </c>
      <c r="L98" s="218"/>
    </row>
    <row r="99" spans="2:12">
      <c r="B99" s="188" t="s">
        <v>1228</v>
      </c>
      <c r="C99" s="189" t="s">
        <v>1219</v>
      </c>
      <c r="D99" s="190" t="s">
        <v>39</v>
      </c>
      <c r="E99" s="191">
        <v>7.5</v>
      </c>
      <c r="F99" s="192">
        <v>4</v>
      </c>
      <c r="G99" s="192"/>
      <c r="H99" s="191"/>
      <c r="I99" s="191"/>
      <c r="J99" s="216"/>
      <c r="K99" s="217">
        <f>IF(E99*F99*G99&lt;&gt;0,E99*F99*G99,IF(E99*F99&lt;&gt;0,E99*F99,IF(F99*G99&lt;&gt;0,F99*G99,IF(E99*G99&lt;&gt;0,E99*G99,IF(E99&lt;&gt;0,E99,IF(F99&lt;&gt;0,F99,IF(G99&lt;&gt;0,G99,0)))))))*(IF(H99&lt;&gt;0,H99,1))+I99-J99</f>
        <v>30</v>
      </c>
      <c r="L99" s="218"/>
    </row>
    <row r="100" spans="2:12">
      <c r="B100" s="202"/>
      <c r="C100" s="203"/>
      <c r="D100" s="203"/>
      <c r="E100" s="203"/>
      <c r="F100" s="203"/>
      <c r="G100" s="203"/>
      <c r="H100" s="204"/>
      <c r="I100" s="556" t="s">
        <v>1221</v>
      </c>
      <c r="J100" s="556"/>
      <c r="K100" s="220">
        <f>SUM(K98:K99)</f>
        <v>50</v>
      </c>
      <c r="L100" s="207"/>
    </row>
    <row r="101" spans="2:12">
      <c r="B101" s="208"/>
      <c r="C101" s="204"/>
      <c r="D101" s="204"/>
      <c r="E101" s="204"/>
      <c r="F101" s="204"/>
      <c r="G101" s="204"/>
      <c r="H101" s="209"/>
      <c r="I101" s="557" t="s">
        <v>1222</v>
      </c>
      <c r="J101" s="557"/>
      <c r="K101" s="221">
        <v>50</v>
      </c>
      <c r="L101" s="207"/>
    </row>
    <row r="102" spans="2:12">
      <c r="B102" s="208"/>
      <c r="C102" s="204"/>
      <c r="D102" s="204"/>
      <c r="E102" s="204"/>
      <c r="F102" s="204"/>
      <c r="G102" s="204"/>
      <c r="H102" s="558" t="s">
        <v>1223</v>
      </c>
      <c r="I102" s="558"/>
      <c r="J102" s="558"/>
      <c r="K102" s="222">
        <v>20</v>
      </c>
      <c r="L102" s="207"/>
    </row>
    <row r="103" spans="2:12">
      <c r="B103" s="208"/>
      <c r="C103" s="204"/>
      <c r="D103" s="204"/>
      <c r="E103" s="204"/>
      <c r="F103" s="204"/>
      <c r="G103" s="204"/>
      <c r="H103" s="558" t="s">
        <v>1199</v>
      </c>
      <c r="I103" s="558"/>
      <c r="J103" s="558"/>
      <c r="K103" s="222">
        <f>IF(K100&gt;K101,K101,K100)-K102</f>
        <v>30</v>
      </c>
      <c r="L103" s="207"/>
    </row>
    <row r="104" spans="2:12">
      <c r="B104" s="213"/>
      <c r="C104" s="214"/>
      <c r="D104" s="214"/>
      <c r="E104" s="214"/>
      <c r="F104" s="214"/>
      <c r="G104" s="214"/>
      <c r="H104" s="559" t="s">
        <v>1224</v>
      </c>
      <c r="I104" s="559"/>
      <c r="J104" s="559"/>
      <c r="K104" s="223">
        <f>IF(K100&gt;K101,K100-K101,0)</f>
        <v>0</v>
      </c>
      <c r="L104" s="209"/>
    </row>
    <row r="106" spans="2:12" ht="15" customHeight="1">
      <c r="B106" s="555" t="s">
        <v>1234</v>
      </c>
      <c r="C106" s="555"/>
      <c r="D106" s="555"/>
      <c r="E106" s="555"/>
      <c r="F106" s="555"/>
      <c r="G106" s="555"/>
      <c r="H106" s="555"/>
      <c r="I106" s="555"/>
      <c r="J106" s="555"/>
      <c r="K106" s="555"/>
      <c r="L106" s="555"/>
    </row>
    <row r="107" spans="2:12">
      <c r="B107" s="187" t="s">
        <v>1209</v>
      </c>
      <c r="C107" s="187"/>
      <c r="D107" s="187" t="s">
        <v>39</v>
      </c>
      <c r="E107" s="187" t="s">
        <v>1210</v>
      </c>
      <c r="F107" s="187" t="s">
        <v>1211</v>
      </c>
      <c r="G107" s="187" t="s">
        <v>1212</v>
      </c>
      <c r="H107" s="187" t="s">
        <v>1213</v>
      </c>
      <c r="I107" s="187" t="s">
        <v>1214</v>
      </c>
      <c r="J107" s="187" t="s">
        <v>1215</v>
      </c>
      <c r="K107" s="187" t="s">
        <v>1216</v>
      </c>
      <c r="L107" s="187" t="s">
        <v>1217</v>
      </c>
    </row>
    <row r="108" spans="2:12">
      <c r="B108" s="188" t="s">
        <v>1235</v>
      </c>
      <c r="C108" s="189" t="s">
        <v>1219</v>
      </c>
      <c r="D108" s="190" t="s">
        <v>169</v>
      </c>
      <c r="E108" s="191">
        <v>1616.87</v>
      </c>
      <c r="F108" s="192"/>
      <c r="G108" s="192">
        <v>0.75</v>
      </c>
      <c r="H108" s="191"/>
      <c r="I108" s="191"/>
      <c r="J108" s="216"/>
      <c r="K108" s="217">
        <f>IF(E108*F108*G108&lt;&gt;0,E108*F108*G108,IF(E108*F108&lt;&gt;0,E108*F108,IF(F108*G108&lt;&gt;0,F108*G108,IF(E108*G108&lt;&gt;0,E108*G108,IF(E108&lt;&gt;0,E108,IF(F108&lt;&gt;0,F108,IF(G108&lt;&gt;0,G108,0)))))))*(IF(H108&lt;&gt;0,H108,1))+I108-J108</f>
        <v>1212.6524999999999</v>
      </c>
      <c r="L108" s="218"/>
    </row>
    <row r="109" spans="2:12">
      <c r="B109" s="188" t="s">
        <v>1235</v>
      </c>
      <c r="C109" s="189" t="s">
        <v>1271</v>
      </c>
      <c r="D109" s="190" t="s">
        <v>169</v>
      </c>
      <c r="E109" s="199">
        <v>1616.87</v>
      </c>
      <c r="F109" s="199"/>
      <c r="G109" s="199">
        <v>0.25</v>
      </c>
      <c r="H109" s="199"/>
      <c r="I109" s="199"/>
      <c r="J109" s="219"/>
      <c r="K109" s="217">
        <f>IF(E109*F109*G109&lt;&gt;0,E109*F109*G109,IF(E109*F109&lt;&gt;0,E109*F109,IF(F109*G109&lt;&gt;0,F109*G109,IF(E109*G109&lt;&gt;0,E109*G109,IF(E109&lt;&gt;0,E109,IF(F109&lt;&gt;0,F109,IF(G109&lt;&gt;0,G109,0)))))))*(IF(H109&lt;&gt;0,H109,1))+I109-J109</f>
        <v>404.21749999999997</v>
      </c>
      <c r="L109" s="218"/>
    </row>
    <row r="110" spans="2:12">
      <c r="B110" s="197"/>
      <c r="C110" s="189"/>
      <c r="D110" s="198"/>
      <c r="E110" s="199"/>
      <c r="F110" s="199"/>
      <c r="G110" s="199"/>
      <c r="H110" s="199"/>
      <c r="I110" s="199"/>
      <c r="J110" s="219"/>
      <c r="K110" s="217">
        <f>IF(E110*F110*G110&lt;&gt;0,E110*F110*G110,IF(E110*F110&lt;&gt;0,E110*F110,IF(F110*G110&lt;&gt;0,F110*G110,IF(E110*G110&lt;&gt;0,E110*G110,IF(E110&lt;&gt;0,E110,IF(F110&lt;&gt;0,F110,IF(G110&lt;&gt;0,G110,0)))))))*(IF(H110&lt;&gt;0,H110,1))+I110-J110</f>
        <v>0</v>
      </c>
      <c r="L110" s="218"/>
    </row>
    <row r="111" spans="2:12">
      <c r="B111" s="202"/>
      <c r="C111" s="203"/>
      <c r="D111" s="203"/>
      <c r="E111" s="203"/>
      <c r="F111" s="203"/>
      <c r="G111" s="203"/>
      <c r="H111" s="204"/>
      <c r="I111" s="556" t="s">
        <v>1221</v>
      </c>
      <c r="J111" s="556"/>
      <c r="K111" s="220">
        <f>SUM(K108:K110)</f>
        <v>1616.87</v>
      </c>
      <c r="L111" s="207"/>
    </row>
    <row r="112" spans="2:12">
      <c r="B112" s="208"/>
      <c r="C112" s="204"/>
      <c r="D112" s="204"/>
      <c r="E112" s="204"/>
      <c r="F112" s="204"/>
      <c r="G112" s="204"/>
      <c r="H112" s="209"/>
      <c r="I112" s="557" t="s">
        <v>1222</v>
      </c>
      <c r="J112" s="557"/>
      <c r="K112" s="221">
        <v>4350</v>
      </c>
      <c r="L112" s="207"/>
    </row>
    <row r="113" spans="2:12">
      <c r="B113" s="208"/>
      <c r="C113" s="204"/>
      <c r="D113" s="204"/>
      <c r="E113" s="204"/>
      <c r="F113" s="204"/>
      <c r="G113" s="204"/>
      <c r="H113" s="558" t="s">
        <v>1223</v>
      </c>
      <c r="I113" s="558"/>
      <c r="J113" s="558"/>
      <c r="K113" s="222">
        <v>1616.87</v>
      </c>
      <c r="L113" s="207"/>
    </row>
    <row r="114" spans="2:12">
      <c r="B114" s="208"/>
      <c r="C114" s="204"/>
      <c r="D114" s="204"/>
      <c r="E114" s="204"/>
      <c r="F114" s="204"/>
      <c r="G114" s="204"/>
      <c r="H114" s="558" t="s">
        <v>1431</v>
      </c>
      <c r="I114" s="558"/>
      <c r="J114" s="558"/>
      <c r="K114" s="222">
        <f>IF(K111&gt;K112,K112,K111)-K113</f>
        <v>0</v>
      </c>
      <c r="L114" s="207"/>
    </row>
    <row r="115" spans="2:12">
      <c r="B115" s="213"/>
      <c r="C115" s="214"/>
      <c r="D115" s="214"/>
      <c r="E115" s="214"/>
      <c r="F115" s="214"/>
      <c r="G115" s="214"/>
      <c r="H115" s="559" t="s">
        <v>1224</v>
      </c>
      <c r="I115" s="559"/>
      <c r="J115" s="559"/>
      <c r="K115" s="223">
        <f>IF(K111&gt;K112,K111-K112,0)</f>
        <v>0</v>
      </c>
      <c r="L115" s="209"/>
    </row>
    <row r="116" spans="2:12" ht="15" customHeight="1"/>
    <row r="117" spans="2:12" ht="24" customHeight="1">
      <c r="B117" s="555" t="s">
        <v>1236</v>
      </c>
      <c r="C117" s="555"/>
      <c r="D117" s="555"/>
      <c r="E117" s="555"/>
      <c r="F117" s="555"/>
      <c r="G117" s="555"/>
      <c r="H117" s="555"/>
      <c r="I117" s="555"/>
      <c r="J117" s="555"/>
      <c r="K117" s="555"/>
      <c r="L117" s="555"/>
    </row>
    <row r="118" spans="2:12">
      <c r="B118" s="187" t="s">
        <v>1209</v>
      </c>
      <c r="C118" s="187"/>
      <c r="D118" s="187" t="s">
        <v>39</v>
      </c>
      <c r="E118" s="187" t="s">
        <v>1210</v>
      </c>
      <c r="F118" s="187" t="s">
        <v>1211</v>
      </c>
      <c r="G118" s="187" t="s">
        <v>1212</v>
      </c>
      <c r="H118" s="187" t="s">
        <v>1213</v>
      </c>
      <c r="I118" s="187" t="s">
        <v>1214</v>
      </c>
      <c r="J118" s="187" t="s">
        <v>1215</v>
      </c>
      <c r="K118" s="187" t="s">
        <v>1216</v>
      </c>
      <c r="L118" s="187" t="s">
        <v>1217</v>
      </c>
    </row>
    <row r="119" spans="2:12">
      <c r="B119" s="188" t="s">
        <v>1235</v>
      </c>
      <c r="C119" s="189" t="s">
        <v>1219</v>
      </c>
      <c r="D119" s="190" t="s">
        <v>169</v>
      </c>
      <c r="E119" s="191">
        <v>1616.87</v>
      </c>
      <c r="F119" s="192"/>
      <c r="G119" s="192">
        <v>0.75</v>
      </c>
      <c r="H119" s="191"/>
      <c r="I119" s="191"/>
      <c r="J119" s="216"/>
      <c r="K119" s="217">
        <f t="shared" ref="K119:K124" si="2">IF(E119*F119*G119&lt;&gt;0,E119*F119*G119,IF(E119*F119&lt;&gt;0,E119*F119,IF(F119*G119&lt;&gt;0,F119*G119,IF(E119*G119&lt;&gt;0,E119*G119,IF(E119&lt;&gt;0,E119,IF(F119&lt;&gt;0,F119,IF(G119&lt;&gt;0,G119,0)))))))*(IF(H119&lt;&gt;0,H119,1))+I119-J119</f>
        <v>1212.6524999999999</v>
      </c>
      <c r="L119" s="218"/>
    </row>
    <row r="120" spans="2:12">
      <c r="B120" s="188" t="s">
        <v>1235</v>
      </c>
      <c r="C120" s="189" t="s">
        <v>1271</v>
      </c>
      <c r="D120" s="190" t="s">
        <v>169</v>
      </c>
      <c r="E120" s="199">
        <v>1616.87</v>
      </c>
      <c r="F120" s="199"/>
      <c r="G120" s="199">
        <v>0.25</v>
      </c>
      <c r="H120" s="199"/>
      <c r="I120" s="199"/>
      <c r="J120" s="219"/>
      <c r="K120" s="217">
        <f t="shared" si="2"/>
        <v>404.21749999999997</v>
      </c>
      <c r="L120" s="218"/>
    </row>
    <row r="121" spans="2:12">
      <c r="B121" s="188" t="s">
        <v>1235</v>
      </c>
      <c r="C121" s="189" t="s">
        <v>1271</v>
      </c>
      <c r="D121" s="190" t="s">
        <v>169</v>
      </c>
      <c r="E121" s="199">
        <v>922</v>
      </c>
      <c r="F121" s="199"/>
      <c r="G121" s="199">
        <v>0.5</v>
      </c>
      <c r="H121" s="199"/>
      <c r="I121" s="199"/>
      <c r="J121" s="219"/>
      <c r="K121" s="217">
        <f t="shared" si="2"/>
        <v>461</v>
      </c>
      <c r="L121" s="218"/>
    </row>
    <row r="122" spans="2:12">
      <c r="B122" s="188" t="s">
        <v>1522</v>
      </c>
      <c r="C122" s="189" t="s">
        <v>1521</v>
      </c>
      <c r="D122" s="190" t="s">
        <v>169</v>
      </c>
      <c r="E122" s="199">
        <v>15</v>
      </c>
      <c r="F122" s="199"/>
      <c r="G122" s="199">
        <v>25</v>
      </c>
      <c r="H122" s="199"/>
      <c r="I122" s="199"/>
      <c r="J122" s="219"/>
      <c r="K122" s="217">
        <f t="shared" si="2"/>
        <v>375</v>
      </c>
      <c r="L122" s="218"/>
    </row>
    <row r="123" spans="2:12">
      <c r="B123" s="188" t="s">
        <v>1522</v>
      </c>
      <c r="C123" s="189" t="s">
        <v>1521</v>
      </c>
      <c r="D123" s="190" t="s">
        <v>169</v>
      </c>
      <c r="E123" s="199">
        <v>15</v>
      </c>
      <c r="F123" s="199"/>
      <c r="G123" s="199">
        <v>25</v>
      </c>
      <c r="H123" s="199"/>
      <c r="I123" s="199"/>
      <c r="J123" s="219"/>
      <c r="K123" s="217">
        <f t="shared" si="2"/>
        <v>375</v>
      </c>
      <c r="L123" s="218"/>
    </row>
    <row r="124" spans="2:12">
      <c r="B124" s="197"/>
      <c r="C124" s="189"/>
      <c r="D124" s="198"/>
      <c r="E124" s="199"/>
      <c r="F124" s="199"/>
      <c r="G124" s="199"/>
      <c r="H124" s="199"/>
      <c r="I124" s="199"/>
      <c r="J124" s="219"/>
      <c r="K124" s="217">
        <f t="shared" si="2"/>
        <v>0</v>
      </c>
      <c r="L124" s="218"/>
    </row>
    <row r="125" spans="2:12">
      <c r="B125" s="202"/>
      <c r="C125" s="203"/>
      <c r="D125" s="203"/>
      <c r="E125" s="203"/>
      <c r="F125" s="203"/>
      <c r="G125" s="203"/>
      <c r="H125" s="204"/>
      <c r="I125" s="556" t="s">
        <v>1221</v>
      </c>
      <c r="J125" s="556"/>
      <c r="K125" s="220">
        <f>SUM(K119:K124)</f>
        <v>2827.87</v>
      </c>
      <c r="L125" s="207"/>
    </row>
    <row r="126" spans="2:12">
      <c r="B126" s="208"/>
      <c r="C126" s="204"/>
      <c r="D126" s="204"/>
      <c r="E126" s="204"/>
      <c r="F126" s="204"/>
      <c r="G126" s="204"/>
      <c r="H126" s="209"/>
      <c r="I126" s="557" t="s">
        <v>1222</v>
      </c>
      <c r="J126" s="557"/>
      <c r="K126" s="221">
        <v>3985</v>
      </c>
      <c r="L126" s="207"/>
    </row>
    <row r="127" spans="2:12">
      <c r="B127" s="208"/>
      <c r="C127" s="204"/>
      <c r="D127" s="204"/>
      <c r="E127" s="204"/>
      <c r="F127" s="204"/>
      <c r="G127" s="204"/>
      <c r="H127" s="558" t="s">
        <v>1223</v>
      </c>
      <c r="I127" s="558"/>
      <c r="J127" s="558"/>
      <c r="K127" s="222">
        <v>2452.87</v>
      </c>
      <c r="L127" s="207"/>
    </row>
    <row r="128" spans="2:12">
      <c r="B128" s="208"/>
      <c r="C128" s="204"/>
      <c r="D128" s="204"/>
      <c r="E128" s="204"/>
      <c r="F128" s="204"/>
      <c r="G128" s="204"/>
      <c r="H128" s="558" t="s">
        <v>1579</v>
      </c>
      <c r="I128" s="558"/>
      <c r="J128" s="558"/>
      <c r="K128" s="222">
        <f>IF(K125&gt;K126,K126,K125)-K127</f>
        <v>375</v>
      </c>
      <c r="L128" s="207"/>
    </row>
    <row r="129" spans="2:12" ht="15" customHeight="1">
      <c r="B129" s="213"/>
      <c r="C129" s="214"/>
      <c r="D129" s="214"/>
      <c r="E129" s="214"/>
      <c r="F129" s="214"/>
      <c r="G129" s="214"/>
      <c r="H129" s="559" t="s">
        <v>1224</v>
      </c>
      <c r="I129" s="559"/>
      <c r="J129" s="559"/>
      <c r="K129" s="223">
        <f>IF(K125&gt;K126,K125-K126,0)</f>
        <v>0</v>
      </c>
      <c r="L129" s="209"/>
    </row>
    <row r="131" spans="2:12" ht="14.25" customHeight="1">
      <c r="B131" s="555" t="s">
        <v>1237</v>
      </c>
      <c r="C131" s="555"/>
      <c r="D131" s="555"/>
      <c r="E131" s="555"/>
      <c r="F131" s="555"/>
      <c r="G131" s="555"/>
      <c r="H131" s="555"/>
      <c r="I131" s="555"/>
      <c r="J131" s="555"/>
      <c r="K131" s="555"/>
      <c r="L131" s="555"/>
    </row>
    <row r="132" spans="2:12">
      <c r="B132" s="187" t="s">
        <v>1209</v>
      </c>
      <c r="C132" s="187"/>
      <c r="D132" s="187" t="s">
        <v>39</v>
      </c>
      <c r="E132" s="187" t="s">
        <v>1210</v>
      </c>
      <c r="F132" s="187" t="s">
        <v>1211</v>
      </c>
      <c r="G132" s="187" t="s">
        <v>1212</v>
      </c>
      <c r="H132" s="187" t="s">
        <v>1213</v>
      </c>
      <c r="I132" s="187" t="s">
        <v>1214</v>
      </c>
      <c r="J132" s="187" t="s">
        <v>1215</v>
      </c>
      <c r="K132" s="187" t="s">
        <v>1216</v>
      </c>
      <c r="L132" s="187" t="s">
        <v>1217</v>
      </c>
    </row>
    <row r="133" spans="2:12">
      <c r="B133" s="188" t="s">
        <v>1238</v>
      </c>
      <c r="C133" s="189" t="s">
        <v>1219</v>
      </c>
      <c r="D133" s="190" t="s">
        <v>113</v>
      </c>
      <c r="E133" s="191"/>
      <c r="F133" s="192"/>
      <c r="G133" s="192"/>
      <c r="H133" s="191"/>
      <c r="I133" s="191">
        <v>8200</v>
      </c>
      <c r="J133" s="216"/>
      <c r="K133" s="217">
        <f t="shared" ref="K133:K138" si="3">IF(E133*F133*G133&lt;&gt;0,E133*F133*G133,IF(E133*F133&lt;&gt;0,E133*F133,IF(F133*G133&lt;&gt;0,F133*G133,IF(E133*G133&lt;&gt;0,E133*G133,IF(E133&lt;&gt;0,E133,IF(F133&lt;&gt;0,F133,IF(G133&lt;&gt;0,G133,0)))))))*(IF(H133&lt;&gt;0,H133,1))+I133-J133</f>
        <v>8200</v>
      </c>
      <c r="L133" s="218"/>
    </row>
    <row r="134" spans="2:12">
      <c r="B134" s="188" t="s">
        <v>1235</v>
      </c>
      <c r="C134" s="189" t="s">
        <v>1271</v>
      </c>
      <c r="D134" s="190" t="s">
        <v>169</v>
      </c>
      <c r="E134" s="199">
        <v>1616.87</v>
      </c>
      <c r="F134" s="199"/>
      <c r="G134" s="199">
        <v>0.25</v>
      </c>
      <c r="H134" s="199">
        <v>30</v>
      </c>
      <c r="I134" s="199"/>
      <c r="J134" s="219"/>
      <c r="K134" s="217">
        <f t="shared" si="3"/>
        <v>12126.525</v>
      </c>
      <c r="L134" s="218"/>
    </row>
    <row r="135" spans="2:12">
      <c r="B135" s="188" t="s">
        <v>1235</v>
      </c>
      <c r="C135" s="189" t="s">
        <v>1271</v>
      </c>
      <c r="D135" s="190" t="s">
        <v>169</v>
      </c>
      <c r="E135" s="199">
        <v>922</v>
      </c>
      <c r="F135" s="199"/>
      <c r="G135" s="199">
        <v>0.5</v>
      </c>
      <c r="H135" s="199">
        <v>30</v>
      </c>
      <c r="I135" s="199"/>
      <c r="J135" s="219"/>
      <c r="K135" s="217">
        <f t="shared" si="3"/>
        <v>13830</v>
      </c>
      <c r="L135" s="218"/>
    </row>
    <row r="136" spans="2:12">
      <c r="B136" s="188" t="s">
        <v>1522</v>
      </c>
      <c r="C136" s="189" t="s">
        <v>1521</v>
      </c>
      <c r="D136" s="190" t="s">
        <v>169</v>
      </c>
      <c r="E136" s="199">
        <v>15</v>
      </c>
      <c r="F136" s="199"/>
      <c r="G136" s="199">
        <v>25</v>
      </c>
      <c r="H136" s="199">
        <v>30</v>
      </c>
      <c r="I136" s="199"/>
      <c r="J136" s="219"/>
      <c r="K136" s="217">
        <f t="shared" si="3"/>
        <v>11250</v>
      </c>
      <c r="L136" s="218"/>
    </row>
    <row r="137" spans="2:12">
      <c r="B137" s="188" t="s">
        <v>1522</v>
      </c>
      <c r="C137" s="189" t="s">
        <v>1521</v>
      </c>
      <c r="D137" s="190" t="s">
        <v>169</v>
      </c>
      <c r="E137" s="199">
        <v>15</v>
      </c>
      <c r="F137" s="199"/>
      <c r="G137" s="199">
        <v>25</v>
      </c>
      <c r="H137" s="199">
        <v>30</v>
      </c>
      <c r="I137" s="199"/>
      <c r="J137" s="219"/>
      <c r="K137" s="217">
        <f t="shared" si="3"/>
        <v>11250</v>
      </c>
      <c r="L137" s="218"/>
    </row>
    <row r="138" spans="2:12">
      <c r="B138" s="197"/>
      <c r="C138" s="189"/>
      <c r="D138" s="198"/>
      <c r="E138" s="199"/>
      <c r="F138" s="199"/>
      <c r="G138" s="199"/>
      <c r="H138" s="199"/>
      <c r="I138" s="199"/>
      <c r="J138" s="219"/>
      <c r="K138" s="217">
        <f t="shared" si="3"/>
        <v>0</v>
      </c>
      <c r="L138" s="218"/>
    </row>
    <row r="139" spans="2:12">
      <c r="B139" s="202"/>
      <c r="C139" s="203"/>
      <c r="D139" s="203"/>
      <c r="E139" s="203"/>
      <c r="F139" s="203"/>
      <c r="G139" s="203"/>
      <c r="H139" s="204"/>
      <c r="I139" s="556" t="s">
        <v>1221</v>
      </c>
      <c r="J139" s="556"/>
      <c r="K139" s="220">
        <f>SUM(K133:K138)</f>
        <v>56656.525000000001</v>
      </c>
      <c r="L139" s="207"/>
    </row>
    <row r="140" spans="2:12">
      <c r="B140" s="208"/>
      <c r="C140" s="204"/>
      <c r="D140" s="204"/>
      <c r="E140" s="204"/>
      <c r="F140" s="204"/>
      <c r="G140" s="204"/>
      <c r="H140" s="209"/>
      <c r="I140" s="557" t="s">
        <v>1222</v>
      </c>
      <c r="J140" s="557"/>
      <c r="K140" s="221">
        <v>119550</v>
      </c>
      <c r="L140" s="207"/>
    </row>
    <row r="141" spans="2:12">
      <c r="B141" s="208"/>
      <c r="C141" s="204"/>
      <c r="D141" s="204"/>
      <c r="E141" s="204"/>
      <c r="F141" s="204"/>
      <c r="G141" s="204"/>
      <c r="H141" s="558" t="s">
        <v>1223</v>
      </c>
      <c r="I141" s="558"/>
      <c r="J141" s="558"/>
      <c r="K141" s="222">
        <v>45406.525000000001</v>
      </c>
      <c r="L141" s="207"/>
    </row>
    <row r="142" spans="2:12">
      <c r="B142" s="208"/>
      <c r="C142" s="204"/>
      <c r="D142" s="204"/>
      <c r="E142" s="204"/>
      <c r="F142" s="204"/>
      <c r="G142" s="204"/>
      <c r="H142" s="558" t="s">
        <v>1579</v>
      </c>
      <c r="I142" s="558"/>
      <c r="J142" s="558"/>
      <c r="K142" s="222">
        <f>IF(K139&gt;K140,K140,K139)-K141</f>
        <v>11250</v>
      </c>
      <c r="L142" s="207"/>
    </row>
    <row r="143" spans="2:12">
      <c r="B143" s="213"/>
      <c r="C143" s="214"/>
      <c r="D143" s="214"/>
      <c r="E143" s="214"/>
      <c r="F143" s="214"/>
      <c r="G143" s="214"/>
      <c r="H143" s="559" t="s">
        <v>1224</v>
      </c>
      <c r="I143" s="559"/>
      <c r="J143" s="559"/>
      <c r="K143" s="223">
        <f>IF(K139&gt;K140,K139-K140,0)</f>
        <v>0</v>
      </c>
      <c r="L143" s="209"/>
    </row>
    <row r="145" spans="2:12" ht="14.25" customHeight="1">
      <c r="B145" s="555" t="s">
        <v>1241</v>
      </c>
      <c r="C145" s="555"/>
      <c r="D145" s="555"/>
      <c r="E145" s="555"/>
      <c r="F145" s="555"/>
      <c r="G145" s="555"/>
      <c r="H145" s="555"/>
      <c r="I145" s="555"/>
      <c r="J145" s="555"/>
      <c r="K145" s="555"/>
      <c r="L145" s="555"/>
    </row>
    <row r="146" spans="2:12">
      <c r="B146" s="187" t="s">
        <v>1209</v>
      </c>
      <c r="C146" s="187"/>
      <c r="D146" s="187" t="s">
        <v>39</v>
      </c>
      <c r="E146" s="187" t="s">
        <v>1210</v>
      </c>
      <c r="F146" s="187" t="s">
        <v>1211</v>
      </c>
      <c r="G146" s="187" t="s">
        <v>1212</v>
      </c>
      <c r="H146" s="187" t="s">
        <v>1213</v>
      </c>
      <c r="I146" s="187" t="s">
        <v>1214</v>
      </c>
      <c r="J146" s="187" t="s">
        <v>1215</v>
      </c>
      <c r="K146" s="187" t="s">
        <v>1216</v>
      </c>
      <c r="L146" s="187" t="s">
        <v>1217</v>
      </c>
    </row>
    <row r="147" spans="2:12">
      <c r="B147" s="188" t="s">
        <v>117</v>
      </c>
      <c r="C147" s="189" t="s">
        <v>1240</v>
      </c>
      <c r="D147" s="190" t="s">
        <v>82</v>
      </c>
      <c r="E147" s="191">
        <v>10</v>
      </c>
      <c r="F147" s="192">
        <f>45/40</f>
        <v>1.125</v>
      </c>
      <c r="G147" s="192"/>
      <c r="H147" s="191">
        <v>147</v>
      </c>
      <c r="I147" s="191"/>
      <c r="J147" s="216"/>
      <c r="K147" s="217">
        <f>IF(E147*F147*G147&lt;&gt;0,E147*F147*G147,IF(E147*F147&lt;&gt;0,E147*F147,IF(F147*G147&lt;&gt;0,F147*G147,IF(E147*G147&lt;&gt;0,E147*G147,IF(E147&lt;&gt;0,E147,IF(F147&lt;&gt;0,F147,IF(G147&lt;&gt;0,G147,0)))))))*(IF(H147&lt;&gt;0,H147,1))+I147-J147</f>
        <v>1653.75</v>
      </c>
      <c r="L147" s="218"/>
    </row>
    <row r="148" spans="2:12">
      <c r="B148" s="188" t="s">
        <v>117</v>
      </c>
      <c r="C148" s="189" t="s">
        <v>1271</v>
      </c>
      <c r="D148" s="190" t="s">
        <v>82</v>
      </c>
      <c r="E148" s="191">
        <v>10</v>
      </c>
      <c r="F148" s="192">
        <f>45/40</f>
        <v>1.125</v>
      </c>
      <c r="G148" s="192"/>
      <c r="H148" s="191">
        <f>173-147</f>
        <v>26</v>
      </c>
      <c r="I148" s="191"/>
      <c r="J148" s="216"/>
      <c r="K148" s="217">
        <f>IF(E148*F148*G148&lt;&gt;0,E148*F148*G148,IF(E148*F148&lt;&gt;0,E148*F148,IF(F148*G148&lt;&gt;0,F148*G148,IF(E148*G148&lt;&gt;0,E148*G148,IF(E148&lt;&gt;0,E148,IF(F148&lt;&gt;0,F148,IF(G148&lt;&gt;0,G148,0)))))))*(IF(H148&lt;&gt;0,H148,1))+I148-J148</f>
        <v>292.5</v>
      </c>
      <c r="L148" s="218"/>
    </row>
    <row r="149" spans="2:12">
      <c r="B149" s="197"/>
      <c r="C149" s="189"/>
      <c r="D149" s="198"/>
      <c r="E149" s="199"/>
      <c r="F149" s="199"/>
      <c r="G149" s="199"/>
      <c r="H149" s="199"/>
      <c r="I149" s="199"/>
      <c r="J149" s="219"/>
      <c r="K149" s="217">
        <f>IF(E149*F149*G149&lt;&gt;0,E149*F149*G149,IF(E149*F149&lt;&gt;0,E149*F149,IF(F149*G149&lt;&gt;0,F149*G149,IF(E149*G149&lt;&gt;0,E149*G149,IF(E149&lt;&gt;0,E149,IF(F149&lt;&gt;0,F149,IF(G149&lt;&gt;0,G149,0)))))))*(IF(H149&lt;&gt;0,H149,1))+I149-J149</f>
        <v>0</v>
      </c>
      <c r="L149" s="218"/>
    </row>
    <row r="150" spans="2:12">
      <c r="B150" s="202"/>
      <c r="C150" s="203"/>
      <c r="D150" s="203"/>
      <c r="E150" s="203"/>
      <c r="F150" s="203"/>
      <c r="G150" s="203"/>
      <c r="H150" s="204"/>
      <c r="I150" s="556" t="s">
        <v>1221</v>
      </c>
      <c r="J150" s="556"/>
      <c r="K150" s="220">
        <f>SUM(K147:K149)</f>
        <v>1946.25</v>
      </c>
      <c r="L150" s="207"/>
    </row>
    <row r="151" spans="2:12">
      <c r="B151" s="208"/>
      <c r="C151" s="204"/>
      <c r="D151" s="204"/>
      <c r="E151" s="204"/>
      <c r="F151" s="204"/>
      <c r="G151" s="204"/>
      <c r="H151" s="209"/>
      <c r="I151" s="557" t="s">
        <v>1222</v>
      </c>
      <c r="J151" s="557"/>
      <c r="K151" s="221">
        <v>1837</v>
      </c>
      <c r="L151" s="207"/>
    </row>
    <row r="152" spans="2:12">
      <c r="B152" s="208"/>
      <c r="C152" s="204"/>
      <c r="D152" s="204"/>
      <c r="E152" s="204"/>
      <c r="F152" s="204"/>
      <c r="G152" s="204"/>
      <c r="H152" s="558" t="s">
        <v>1223</v>
      </c>
      <c r="I152" s="558"/>
      <c r="J152" s="558"/>
      <c r="K152" s="222">
        <v>1653.75</v>
      </c>
      <c r="L152" s="207"/>
    </row>
    <row r="153" spans="2:12">
      <c r="B153" s="208"/>
      <c r="C153" s="204"/>
      <c r="D153" s="204"/>
      <c r="E153" s="204"/>
      <c r="F153" s="204"/>
      <c r="G153" s="204"/>
      <c r="H153" s="558" t="s">
        <v>1199</v>
      </c>
      <c r="I153" s="558"/>
      <c r="J153" s="558"/>
      <c r="K153" s="222">
        <f>IF(K150&gt;K151,K151,K150)-K152</f>
        <v>183.25</v>
      </c>
      <c r="L153" s="207"/>
    </row>
    <row r="154" spans="2:12">
      <c r="B154" s="213"/>
      <c r="C154" s="214"/>
      <c r="D154" s="214"/>
      <c r="E154" s="214"/>
      <c r="F154" s="214"/>
      <c r="G154" s="214"/>
      <c r="H154" s="559" t="s">
        <v>1224</v>
      </c>
      <c r="I154" s="559"/>
      <c r="J154" s="559"/>
      <c r="K154" s="223">
        <f>IF(K150&gt;K151,K150-K151,0)</f>
        <v>109.25</v>
      </c>
      <c r="L154" s="209"/>
    </row>
    <row r="156" spans="2:12" ht="14.25" customHeight="1">
      <c r="B156" s="555" t="s">
        <v>1242</v>
      </c>
      <c r="C156" s="555"/>
      <c r="D156" s="555"/>
      <c r="E156" s="555"/>
      <c r="F156" s="555"/>
      <c r="G156" s="555"/>
      <c r="H156" s="555"/>
      <c r="I156" s="555"/>
      <c r="J156" s="555"/>
      <c r="K156" s="555"/>
      <c r="L156" s="555"/>
    </row>
    <row r="157" spans="2:12">
      <c r="B157" s="187" t="s">
        <v>1209</v>
      </c>
      <c r="C157" s="187"/>
      <c r="D157" s="187" t="s">
        <v>39</v>
      </c>
      <c r="E157" s="187" t="s">
        <v>1210</v>
      </c>
      <c r="F157" s="187" t="s">
        <v>1211</v>
      </c>
      <c r="G157" s="187" t="s">
        <v>1212</v>
      </c>
      <c r="H157" s="187" t="s">
        <v>1213</v>
      </c>
      <c r="I157" s="187" t="s">
        <v>1214</v>
      </c>
      <c r="J157" s="187" t="s">
        <v>1215</v>
      </c>
      <c r="K157" s="187" t="s">
        <v>1216</v>
      </c>
      <c r="L157" s="187" t="s">
        <v>1217</v>
      </c>
    </row>
    <row r="158" spans="2:12">
      <c r="B158" s="188" t="s">
        <v>117</v>
      </c>
      <c r="C158" s="189" t="s">
        <v>1240</v>
      </c>
      <c r="D158" s="190" t="s">
        <v>110</v>
      </c>
      <c r="E158" s="191">
        <f>K153</f>
        <v>183.25</v>
      </c>
      <c r="F158" s="192">
        <v>0.16</v>
      </c>
      <c r="G158" s="192"/>
      <c r="H158" s="191"/>
      <c r="I158" s="191"/>
      <c r="J158" s="216"/>
      <c r="K158" s="217">
        <f>IF(E158*F158*G158&lt;&gt;0,E158*F158*G158,IF(E158*F158&lt;&gt;0,E158*F158,IF(F158*G158&lt;&gt;0,F158*G158,IF(E158*G158&lt;&gt;0,E158*G158,IF(E158&lt;&gt;0,E158,IF(F158&lt;&gt;0,F158,IF(G158&lt;&gt;0,G158,0)))))))*(IF(H158&lt;&gt;0,H158,1))+I158-J158</f>
        <v>29.32</v>
      </c>
      <c r="L158" s="218"/>
    </row>
    <row r="159" spans="2:12">
      <c r="B159" s="197"/>
      <c r="C159" s="189"/>
      <c r="D159" s="198"/>
      <c r="E159" s="199"/>
      <c r="F159" s="199"/>
      <c r="G159" s="199"/>
      <c r="H159" s="199"/>
      <c r="I159" s="199"/>
      <c r="J159" s="219"/>
      <c r="K159" s="217">
        <f>IF(E159*F159*G159&lt;&gt;0,E159*F159*G159,IF(E159*F159&lt;&gt;0,E159*F159,IF(F159*G159&lt;&gt;0,F159*G159,IF(E159*G159&lt;&gt;0,E159*G159,IF(E159&lt;&gt;0,E159,IF(F159&lt;&gt;0,F159,IF(G159&lt;&gt;0,G159,0)))))))*(IF(H159&lt;&gt;0,H159,1))+I159-J159</f>
        <v>0</v>
      </c>
      <c r="L159" s="218"/>
    </row>
    <row r="160" spans="2:12">
      <c r="B160" s="202"/>
      <c r="C160" s="203"/>
      <c r="D160" s="203"/>
      <c r="E160" s="203"/>
      <c r="F160" s="203"/>
      <c r="G160" s="203"/>
      <c r="H160" s="204"/>
      <c r="I160" s="556" t="s">
        <v>1221</v>
      </c>
      <c r="J160" s="556"/>
      <c r="K160" s="220">
        <f>SUM(K158:K159)</f>
        <v>29.32</v>
      </c>
      <c r="L160" s="207"/>
    </row>
    <row r="161" spans="2:12">
      <c r="B161" s="208"/>
      <c r="C161" s="204"/>
      <c r="D161" s="204"/>
      <c r="E161" s="204"/>
      <c r="F161" s="204"/>
      <c r="G161" s="204"/>
      <c r="H161" s="209"/>
      <c r="I161" s="557" t="s">
        <v>1222</v>
      </c>
      <c r="J161" s="557"/>
      <c r="K161" s="221">
        <v>293.92</v>
      </c>
      <c r="L161" s="207"/>
    </row>
    <row r="162" spans="2:12">
      <c r="B162" s="208"/>
      <c r="C162" s="204"/>
      <c r="D162" s="204"/>
      <c r="E162" s="204"/>
      <c r="F162" s="204"/>
      <c r="G162" s="204"/>
      <c r="H162" s="558" t="s">
        <v>1223</v>
      </c>
      <c r="I162" s="558"/>
      <c r="J162" s="558"/>
      <c r="K162" s="222"/>
      <c r="L162" s="207"/>
    </row>
    <row r="163" spans="2:12">
      <c r="B163" s="208"/>
      <c r="C163" s="204"/>
      <c r="D163" s="204"/>
      <c r="E163" s="204"/>
      <c r="F163" s="204"/>
      <c r="G163" s="204"/>
      <c r="H163" s="558" t="s">
        <v>1199</v>
      </c>
      <c r="I163" s="558"/>
      <c r="J163" s="558"/>
      <c r="K163" s="222">
        <f>IF(K160&gt;K161,K161,K160)-K162</f>
        <v>29.32</v>
      </c>
      <c r="L163" s="207"/>
    </row>
    <row r="164" spans="2:12">
      <c r="B164" s="213"/>
      <c r="C164" s="214"/>
      <c r="D164" s="214"/>
      <c r="E164" s="214"/>
      <c r="F164" s="214"/>
      <c r="G164" s="214"/>
      <c r="H164" s="559" t="s">
        <v>1224</v>
      </c>
      <c r="I164" s="559"/>
      <c r="J164" s="559"/>
      <c r="K164" s="223">
        <f>IF(K160&gt;K161,K160-K161,0)</f>
        <v>0</v>
      </c>
      <c r="L164" s="209"/>
    </row>
    <row r="166" spans="2:12" ht="14.25" customHeight="1">
      <c r="B166" s="555" t="s">
        <v>1243</v>
      </c>
      <c r="C166" s="555"/>
      <c r="D166" s="555"/>
      <c r="E166" s="555"/>
      <c r="F166" s="555"/>
      <c r="G166" s="555"/>
      <c r="H166" s="555"/>
      <c r="I166" s="555"/>
      <c r="J166" s="555"/>
      <c r="K166" s="555"/>
      <c r="L166" s="555"/>
    </row>
    <row r="167" spans="2:12">
      <c r="B167" s="187" t="s">
        <v>1209</v>
      </c>
      <c r="C167" s="187"/>
      <c r="D167" s="187" t="s">
        <v>39</v>
      </c>
      <c r="E167" s="187" t="s">
        <v>1210</v>
      </c>
      <c r="F167" s="187" t="s">
        <v>1211</v>
      </c>
      <c r="G167" s="187" t="s">
        <v>1212</v>
      </c>
      <c r="H167" s="187" t="s">
        <v>1213</v>
      </c>
      <c r="I167" s="187" t="s">
        <v>1214</v>
      </c>
      <c r="J167" s="187" t="s">
        <v>1215</v>
      </c>
      <c r="K167" s="187" t="s">
        <v>1216</v>
      </c>
      <c r="L167" s="187" t="s">
        <v>1217</v>
      </c>
    </row>
    <row r="168" spans="2:12">
      <c r="B168" s="188" t="s">
        <v>117</v>
      </c>
      <c r="C168" s="189" t="s">
        <v>1240</v>
      </c>
      <c r="D168" s="190" t="s">
        <v>113</v>
      </c>
      <c r="E168" s="191">
        <f>K153</f>
        <v>183.25</v>
      </c>
      <c r="F168" s="192">
        <v>0.16</v>
      </c>
      <c r="G168" s="192"/>
      <c r="H168" s="191">
        <v>30</v>
      </c>
      <c r="I168" s="191"/>
      <c r="J168" s="216"/>
      <c r="K168" s="217">
        <f>IF(E168*F168*G168&lt;&gt;0,E168*F168*G168,IF(E168*F168&lt;&gt;0,E168*F168,IF(F168*G168&lt;&gt;0,F168*G168,IF(E168*G168&lt;&gt;0,E168*G168,IF(E168&lt;&gt;0,E168,IF(F168&lt;&gt;0,F168,IF(G168&lt;&gt;0,G168,0)))))))*(IF(H168&lt;&gt;0,H168,1))+I168-J168</f>
        <v>879.6</v>
      </c>
      <c r="L168" s="218"/>
    </row>
    <row r="169" spans="2:12">
      <c r="B169" s="197"/>
      <c r="C169" s="189"/>
      <c r="D169" s="198"/>
      <c r="E169" s="199"/>
      <c r="F169" s="199"/>
      <c r="G169" s="199"/>
      <c r="H169" s="199"/>
      <c r="I169" s="199"/>
      <c r="J169" s="219"/>
      <c r="K169" s="217">
        <f>IF(E169*F169*G169&lt;&gt;0,E169*F169*G169,IF(E169*F169&lt;&gt;0,E169*F169,IF(F169*G169&lt;&gt;0,F169*G169,IF(E169*G169&lt;&gt;0,E169*G169,IF(E169&lt;&gt;0,E169,IF(F169&lt;&gt;0,F169,IF(G169&lt;&gt;0,G169,0)))))))*(IF(H169&lt;&gt;0,H169,1))+I169-J169</f>
        <v>0</v>
      </c>
      <c r="L169" s="218"/>
    </row>
    <row r="170" spans="2:12">
      <c r="B170" s="202"/>
      <c r="C170" s="203"/>
      <c r="D170" s="203"/>
      <c r="E170" s="203"/>
      <c r="F170" s="203"/>
      <c r="G170" s="203"/>
      <c r="H170" s="204"/>
      <c r="I170" s="556" t="s">
        <v>1221</v>
      </c>
      <c r="J170" s="556"/>
      <c r="K170" s="220">
        <f>SUM(K168:K169)</f>
        <v>879.6</v>
      </c>
      <c r="L170" s="207"/>
    </row>
    <row r="171" spans="2:12">
      <c r="B171" s="208"/>
      <c r="C171" s="204"/>
      <c r="D171" s="204"/>
      <c r="E171" s="204"/>
      <c r="F171" s="204"/>
      <c r="G171" s="204"/>
      <c r="H171" s="209"/>
      <c r="I171" s="557" t="s">
        <v>1222</v>
      </c>
      <c r="J171" s="557"/>
      <c r="K171" s="221">
        <v>8817.6</v>
      </c>
      <c r="L171" s="207"/>
    </row>
    <row r="172" spans="2:12">
      <c r="B172" s="208"/>
      <c r="C172" s="204"/>
      <c r="D172" s="204"/>
      <c r="E172" s="204"/>
      <c r="F172" s="204"/>
      <c r="G172" s="204"/>
      <c r="H172" s="558" t="s">
        <v>1223</v>
      </c>
      <c r="I172" s="558"/>
      <c r="J172" s="558"/>
      <c r="K172" s="222"/>
      <c r="L172" s="207"/>
    </row>
    <row r="173" spans="2:12">
      <c r="B173" s="208"/>
      <c r="C173" s="204"/>
      <c r="D173" s="204"/>
      <c r="E173" s="204"/>
      <c r="F173" s="204"/>
      <c r="G173" s="204"/>
      <c r="H173" s="558" t="s">
        <v>1199</v>
      </c>
      <c r="I173" s="558"/>
      <c r="J173" s="558"/>
      <c r="K173" s="222">
        <f>IF(K170&gt;K171,K171,K170)-K172</f>
        <v>879.6</v>
      </c>
      <c r="L173" s="207"/>
    </row>
    <row r="174" spans="2:12">
      <c r="B174" s="213"/>
      <c r="C174" s="214"/>
      <c r="D174" s="214"/>
      <c r="E174" s="214"/>
      <c r="F174" s="214"/>
      <c r="G174" s="214"/>
      <c r="H174" s="559" t="s">
        <v>1224</v>
      </c>
      <c r="I174" s="559"/>
      <c r="J174" s="559"/>
      <c r="K174" s="223">
        <f>IF(K170&gt;K171,K170-K171,0)</f>
        <v>0</v>
      </c>
      <c r="L174" s="209"/>
    </row>
    <row r="176" spans="2:12" ht="14.25" customHeight="1">
      <c r="B176" s="555" t="s">
        <v>1244</v>
      </c>
      <c r="C176" s="555"/>
      <c r="D176" s="555"/>
      <c r="E176" s="555"/>
      <c r="F176" s="555"/>
      <c r="G176" s="555"/>
      <c r="H176" s="555"/>
      <c r="I176" s="555"/>
      <c r="J176" s="555"/>
      <c r="K176" s="555"/>
      <c r="L176" s="555"/>
    </row>
    <row r="177" spans="2:12">
      <c r="B177" s="187" t="s">
        <v>1209</v>
      </c>
      <c r="C177" s="187"/>
      <c r="D177" s="187" t="s">
        <v>39</v>
      </c>
      <c r="E177" s="187" t="s">
        <v>1210</v>
      </c>
      <c r="F177" s="187" t="s">
        <v>1211</v>
      </c>
      <c r="G177" s="187" t="s">
        <v>1212</v>
      </c>
      <c r="H177" s="187" t="s">
        <v>1213</v>
      </c>
      <c r="I177" s="187" t="s">
        <v>1214</v>
      </c>
      <c r="J177" s="187" t="s">
        <v>1215</v>
      </c>
      <c r="K177" s="187" t="s">
        <v>1216</v>
      </c>
      <c r="L177" s="187" t="s">
        <v>1217</v>
      </c>
    </row>
    <row r="178" spans="2:12">
      <c r="B178" s="188" t="s">
        <v>117</v>
      </c>
      <c r="C178" s="189" t="s">
        <v>1240</v>
      </c>
      <c r="D178" s="190" t="s">
        <v>39</v>
      </c>
      <c r="E178" s="191"/>
      <c r="F178" s="192"/>
      <c r="G178" s="192"/>
      <c r="H178" s="191"/>
      <c r="I178" s="191">
        <v>40</v>
      </c>
      <c r="J178" s="216"/>
      <c r="K178" s="217">
        <f>IF(E178*F178*G178&lt;&gt;0,E178*F178*G178,IF(E178*F178&lt;&gt;0,E178*F178,IF(F178*G178&lt;&gt;0,F178*G178,IF(E178*G178&lt;&gt;0,E178*G178,IF(E178&lt;&gt;0,E178,IF(F178&lt;&gt;0,F178,IF(G178&lt;&gt;0,G178,0)))))))*(IF(H178&lt;&gt;0,H178,1))+I178-J178</f>
        <v>40</v>
      </c>
      <c r="L178" s="218"/>
    </row>
    <row r="179" spans="2:12">
      <c r="B179" s="188" t="s">
        <v>117</v>
      </c>
      <c r="C179" s="189" t="s">
        <v>1271</v>
      </c>
      <c r="D179" s="190" t="s">
        <v>39</v>
      </c>
      <c r="E179" s="191"/>
      <c r="F179" s="192"/>
      <c r="G179" s="192"/>
      <c r="H179" s="191"/>
      <c r="I179" s="191">
        <f>133</f>
        <v>133</v>
      </c>
      <c r="J179" s="216"/>
      <c r="K179" s="217">
        <f>IF(E179*F179*G179&lt;&gt;0,E179*F179*G179,IF(E179*F179&lt;&gt;0,E179*F179,IF(F179*G179&lt;&gt;0,F179*G179,IF(E179*G179&lt;&gt;0,E179*G179,IF(E179&lt;&gt;0,E179,IF(F179&lt;&gt;0,F179,IF(G179&lt;&gt;0,G179,0)))))))*(IF(H179&lt;&gt;0,H179,1))+I179-J179</f>
        <v>133</v>
      </c>
      <c r="L179" s="218"/>
    </row>
    <row r="180" spans="2:12">
      <c r="B180" s="197"/>
      <c r="C180" s="189"/>
      <c r="D180" s="198"/>
      <c r="E180" s="199"/>
      <c r="F180" s="199"/>
      <c r="G180" s="199"/>
      <c r="H180" s="199"/>
      <c r="I180" s="199"/>
      <c r="J180" s="219"/>
      <c r="K180" s="217">
        <f>IF(E180*F180*G180&lt;&gt;0,E180*F180*G180,IF(E180*F180&lt;&gt;0,E180*F180,IF(F180*G180&lt;&gt;0,F180*G180,IF(E180*G180&lt;&gt;0,E180*G180,IF(E180&lt;&gt;0,E180,IF(F180&lt;&gt;0,F180,IF(G180&lt;&gt;0,G180,0)))))))*(IF(H180&lt;&gt;0,H180,1))+I180-J180</f>
        <v>0</v>
      </c>
      <c r="L180" s="218"/>
    </row>
    <row r="181" spans="2:12">
      <c r="B181" s="202"/>
      <c r="C181" s="203"/>
      <c r="D181" s="203"/>
      <c r="E181" s="203"/>
      <c r="F181" s="203"/>
      <c r="G181" s="203"/>
      <c r="H181" s="204"/>
      <c r="I181" s="556" t="s">
        <v>1221</v>
      </c>
      <c r="J181" s="556"/>
      <c r="K181" s="220">
        <f>SUM(K178:K180)</f>
        <v>173</v>
      </c>
      <c r="L181" s="207"/>
    </row>
    <row r="182" spans="2:12">
      <c r="B182" s="208"/>
      <c r="C182" s="204"/>
      <c r="D182" s="204"/>
      <c r="E182" s="204"/>
      <c r="F182" s="204"/>
      <c r="G182" s="204"/>
      <c r="H182" s="209"/>
      <c r="I182" s="557" t="s">
        <v>1222</v>
      </c>
      <c r="J182" s="557"/>
      <c r="K182" s="221">
        <v>167</v>
      </c>
      <c r="L182" s="207"/>
    </row>
    <row r="183" spans="2:12">
      <c r="B183" s="208"/>
      <c r="C183" s="204"/>
      <c r="D183" s="204"/>
      <c r="E183" s="204"/>
      <c r="F183" s="204"/>
      <c r="G183" s="204"/>
      <c r="H183" s="558" t="s">
        <v>1223</v>
      </c>
      <c r="I183" s="558"/>
      <c r="J183" s="558"/>
      <c r="K183" s="222">
        <v>40</v>
      </c>
      <c r="L183" s="207"/>
    </row>
    <row r="184" spans="2:12">
      <c r="B184" s="208"/>
      <c r="C184" s="204"/>
      <c r="D184" s="204"/>
      <c r="E184" s="204"/>
      <c r="F184" s="204"/>
      <c r="G184" s="204"/>
      <c r="H184" s="558" t="s">
        <v>1199</v>
      </c>
      <c r="I184" s="558"/>
      <c r="J184" s="558"/>
      <c r="K184" s="222">
        <f>IF(K181&gt;K182,K182,K181)-K183</f>
        <v>127</v>
      </c>
      <c r="L184" s="207"/>
    </row>
    <row r="185" spans="2:12">
      <c r="B185" s="213"/>
      <c r="C185" s="214"/>
      <c r="D185" s="214"/>
      <c r="E185" s="214"/>
      <c r="F185" s="214"/>
      <c r="G185" s="214"/>
      <c r="H185" s="559" t="s">
        <v>1224</v>
      </c>
      <c r="I185" s="559"/>
      <c r="J185" s="559"/>
      <c r="K185" s="223">
        <f>IF(K181&gt;K182,K181-K182,0)</f>
        <v>6</v>
      </c>
      <c r="L185" s="209"/>
    </row>
    <row r="187" spans="2:12" ht="14.25" customHeight="1">
      <c r="B187" s="555" t="s">
        <v>1245</v>
      </c>
      <c r="C187" s="555"/>
      <c r="D187" s="555"/>
      <c r="E187" s="555"/>
      <c r="F187" s="555"/>
      <c r="G187" s="555"/>
      <c r="H187" s="555"/>
      <c r="I187" s="555"/>
      <c r="J187" s="555"/>
      <c r="K187" s="555"/>
      <c r="L187" s="555"/>
    </row>
    <row r="188" spans="2:12">
      <c r="B188" s="187" t="s">
        <v>1209</v>
      </c>
      <c r="C188" s="187"/>
      <c r="D188" s="187" t="s">
        <v>39</v>
      </c>
      <c r="E188" s="187" t="s">
        <v>1210</v>
      </c>
      <c r="F188" s="187" t="s">
        <v>1211</v>
      </c>
      <c r="G188" s="187" t="s">
        <v>1212</v>
      </c>
      <c r="H188" s="187" t="s">
        <v>1213</v>
      </c>
      <c r="I188" s="187" t="s">
        <v>1214</v>
      </c>
      <c r="J188" s="187" t="s">
        <v>1215</v>
      </c>
      <c r="K188" s="187" t="s">
        <v>1216</v>
      </c>
      <c r="L188" s="187" t="s">
        <v>1217</v>
      </c>
    </row>
    <row r="189" spans="2:12">
      <c r="B189" s="188" t="s">
        <v>1246</v>
      </c>
      <c r="C189" s="189" t="s">
        <v>1240</v>
      </c>
      <c r="D189" s="190" t="s">
        <v>39</v>
      </c>
      <c r="E189" s="191"/>
      <c r="F189" s="192"/>
      <c r="G189" s="192"/>
      <c r="H189" s="191"/>
      <c r="I189" s="191">
        <v>1</v>
      </c>
      <c r="J189" s="216"/>
      <c r="K189" s="217">
        <f>IF(E189*F189*G189&lt;&gt;0,E189*F189*G189,IF(E189*F189&lt;&gt;0,E189*F189,IF(F189*G189&lt;&gt;0,F189*G189,IF(E189*G189&lt;&gt;0,E189*G189,IF(E189&lt;&gt;0,E189,IF(F189&lt;&gt;0,F189,IF(G189&lt;&gt;0,G189,0)))))))*(IF(H189&lt;&gt;0,H189,1))+I189-J189</f>
        <v>1</v>
      </c>
      <c r="L189" s="218"/>
    </row>
    <row r="190" spans="2:12">
      <c r="B190" s="188" t="s">
        <v>1246</v>
      </c>
      <c r="C190" s="189" t="s">
        <v>1271</v>
      </c>
      <c r="D190" s="190" t="s">
        <v>39</v>
      </c>
      <c r="E190" s="191"/>
      <c r="F190" s="192"/>
      <c r="G190" s="192"/>
      <c r="H190" s="191"/>
      <c r="I190" s="191">
        <v>1</v>
      </c>
      <c r="J190" s="216"/>
      <c r="K190" s="217">
        <f>IF(E190*F190*G190&lt;&gt;0,E190*F190*G190,IF(E190*F190&lt;&gt;0,E190*F190,IF(F190*G190&lt;&gt;0,F190*G190,IF(E190*G190&lt;&gt;0,E190*G190,IF(E190&lt;&gt;0,E190,IF(F190&lt;&gt;0,F190,IF(G190&lt;&gt;0,G190,0)))))))*(IF(H190&lt;&gt;0,H190,1))+I190-J190</f>
        <v>1</v>
      </c>
      <c r="L190" s="218"/>
    </row>
    <row r="191" spans="2:12">
      <c r="B191" s="197"/>
      <c r="C191" s="189"/>
      <c r="D191" s="198"/>
      <c r="E191" s="199"/>
      <c r="F191" s="199"/>
      <c r="G191" s="199"/>
      <c r="H191" s="199"/>
      <c r="I191" s="199"/>
      <c r="J191" s="219"/>
      <c r="K191" s="217">
        <f>IF(E191*F191*G191&lt;&gt;0,E191*F191*G191,IF(E191*F191&lt;&gt;0,E191*F191,IF(F191*G191&lt;&gt;0,F191*G191,IF(E191*G191&lt;&gt;0,E191*G191,IF(E191&lt;&gt;0,E191,IF(F191&lt;&gt;0,F191,IF(G191&lt;&gt;0,G191,0)))))))*(IF(H191&lt;&gt;0,H191,1))+I191-J191</f>
        <v>0</v>
      </c>
      <c r="L191" s="218"/>
    </row>
    <row r="192" spans="2:12">
      <c r="B192" s="202"/>
      <c r="C192" s="203"/>
      <c r="D192" s="203"/>
      <c r="E192" s="203"/>
      <c r="F192" s="203"/>
      <c r="G192" s="203"/>
      <c r="H192" s="204"/>
      <c r="I192" s="556" t="s">
        <v>1221</v>
      </c>
      <c r="J192" s="556"/>
      <c r="K192" s="220">
        <f>SUM(K189:K191)</f>
        <v>2</v>
      </c>
      <c r="L192" s="207"/>
    </row>
    <row r="193" spans="2:12">
      <c r="B193" s="208"/>
      <c r="C193" s="204"/>
      <c r="D193" s="204"/>
      <c r="E193" s="204"/>
      <c r="F193" s="204"/>
      <c r="G193" s="204"/>
      <c r="H193" s="209"/>
      <c r="I193" s="557" t="s">
        <v>1222</v>
      </c>
      <c r="J193" s="557"/>
      <c r="K193" s="221">
        <v>2</v>
      </c>
      <c r="L193" s="207"/>
    </row>
    <row r="194" spans="2:12">
      <c r="B194" s="208"/>
      <c r="C194" s="204"/>
      <c r="D194" s="204"/>
      <c r="E194" s="204"/>
      <c r="F194" s="204"/>
      <c r="G194" s="204"/>
      <c r="H194" s="558" t="s">
        <v>1223</v>
      </c>
      <c r="I194" s="558"/>
      <c r="J194" s="558"/>
      <c r="K194" s="222">
        <v>1</v>
      </c>
      <c r="L194" s="207"/>
    </row>
    <row r="195" spans="2:12">
      <c r="B195" s="208"/>
      <c r="C195" s="204"/>
      <c r="D195" s="204"/>
      <c r="E195" s="204"/>
      <c r="F195" s="204"/>
      <c r="G195" s="204"/>
      <c r="H195" s="558" t="s">
        <v>1199</v>
      </c>
      <c r="I195" s="558"/>
      <c r="J195" s="558"/>
      <c r="K195" s="222">
        <f>IF(K192&gt;K193,K193,K192)-K194</f>
        <v>1</v>
      </c>
      <c r="L195" s="207"/>
    </row>
    <row r="196" spans="2:12">
      <c r="B196" s="213"/>
      <c r="C196" s="214"/>
      <c r="D196" s="214"/>
      <c r="E196" s="214"/>
      <c r="F196" s="214"/>
      <c r="G196" s="214"/>
      <c r="H196" s="559" t="s">
        <v>1224</v>
      </c>
      <c r="I196" s="559"/>
      <c r="J196" s="559"/>
      <c r="K196" s="223">
        <f>IF(K192&gt;K193,K192-K193,0)</f>
        <v>0</v>
      </c>
      <c r="L196" s="209"/>
    </row>
    <row r="198" spans="2:12" ht="14.25" customHeight="1">
      <c r="B198" s="555" t="s">
        <v>1334</v>
      </c>
      <c r="C198" s="555"/>
      <c r="D198" s="555"/>
      <c r="E198" s="555"/>
      <c r="F198" s="555"/>
      <c r="G198" s="555"/>
      <c r="H198" s="555"/>
      <c r="I198" s="555"/>
      <c r="J198" s="555"/>
      <c r="K198" s="555"/>
      <c r="L198" s="555"/>
    </row>
    <row r="199" spans="2:12">
      <c r="B199" s="187" t="s">
        <v>1209</v>
      </c>
      <c r="C199" s="187"/>
      <c r="D199" s="187" t="s">
        <v>39</v>
      </c>
      <c r="E199" s="187" t="s">
        <v>1210</v>
      </c>
      <c r="F199" s="187" t="s">
        <v>1211</v>
      </c>
      <c r="G199" s="187" t="s">
        <v>1212</v>
      </c>
      <c r="H199" s="187" t="s">
        <v>1213</v>
      </c>
      <c r="I199" s="187" t="s">
        <v>1214</v>
      </c>
      <c r="J199" s="187" t="s">
        <v>1215</v>
      </c>
      <c r="K199" s="187" t="s">
        <v>1216</v>
      </c>
      <c r="L199" s="187" t="s">
        <v>1217</v>
      </c>
    </row>
    <row r="200" spans="2:12">
      <c r="B200" s="197" t="s">
        <v>1285</v>
      </c>
      <c r="C200" s="189" t="s">
        <v>1271</v>
      </c>
      <c r="D200" s="198" t="s">
        <v>1335</v>
      </c>
      <c r="E200" s="199">
        <v>2.2999999999999998</v>
      </c>
      <c r="F200" s="199">
        <v>1.3</v>
      </c>
      <c r="G200" s="199"/>
      <c r="H200" s="199"/>
      <c r="I200" s="199"/>
      <c r="J200" s="219"/>
      <c r="K200" s="217">
        <f t="shared" ref="K200:K231" si="4">IF(E200*F200*G200&lt;&gt;0,E200*F200*G200,IF(E200*F200&lt;&gt;0,E200*F200,IF(F200*G200&lt;&gt;0,F200*G200,IF(E200*G200&lt;&gt;0,E200*G200,IF(E200&lt;&gt;0,E200,IF(F200&lt;&gt;0,F200,IF(G200&lt;&gt;0,G200,0)))))))*(IF(H200&lt;&gt;0,H200,1))+I200-J200</f>
        <v>2.9899999999999998</v>
      </c>
      <c r="L200" s="218"/>
    </row>
    <row r="201" spans="2:12">
      <c r="B201" s="197" t="s">
        <v>1286</v>
      </c>
      <c r="C201" s="189" t="s">
        <v>1271</v>
      </c>
      <c r="D201" s="198" t="s">
        <v>1335</v>
      </c>
      <c r="E201" s="199">
        <v>2.6</v>
      </c>
      <c r="F201" s="199">
        <v>2.6</v>
      </c>
      <c r="G201" s="199"/>
      <c r="H201" s="199"/>
      <c r="I201" s="199"/>
      <c r="J201" s="219"/>
      <c r="K201" s="217">
        <f t="shared" si="4"/>
        <v>6.7600000000000007</v>
      </c>
      <c r="L201" s="218"/>
    </row>
    <row r="202" spans="2:12">
      <c r="B202" s="197" t="s">
        <v>1287</v>
      </c>
      <c r="C202" s="189" t="s">
        <v>1271</v>
      </c>
      <c r="D202" s="198" t="s">
        <v>1335</v>
      </c>
      <c r="E202" s="199">
        <v>2.6</v>
      </c>
      <c r="F202" s="199">
        <v>2.6</v>
      </c>
      <c r="G202" s="199"/>
      <c r="H202" s="199"/>
      <c r="I202" s="199"/>
      <c r="J202" s="219"/>
      <c r="K202" s="217">
        <f t="shared" si="4"/>
        <v>6.7600000000000007</v>
      </c>
      <c r="L202" s="218"/>
    </row>
    <row r="203" spans="2:12">
      <c r="B203" s="197" t="s">
        <v>1288</v>
      </c>
      <c r="C203" s="189" t="s">
        <v>1271</v>
      </c>
      <c r="D203" s="198" t="s">
        <v>1335</v>
      </c>
      <c r="E203" s="199">
        <v>2.2999999999999998</v>
      </c>
      <c r="F203" s="199">
        <v>1.3</v>
      </c>
      <c r="G203" s="199"/>
      <c r="H203" s="199"/>
      <c r="I203" s="199"/>
      <c r="J203" s="219"/>
      <c r="K203" s="217">
        <f t="shared" si="4"/>
        <v>2.9899999999999998</v>
      </c>
      <c r="L203" s="218"/>
    </row>
    <row r="204" spans="2:12">
      <c r="B204" s="197" t="s">
        <v>1289</v>
      </c>
      <c r="C204" s="189" t="s">
        <v>1271</v>
      </c>
      <c r="D204" s="198" t="s">
        <v>1335</v>
      </c>
      <c r="E204" s="199">
        <v>1.4</v>
      </c>
      <c r="F204" s="199">
        <v>1.4</v>
      </c>
      <c r="G204" s="199"/>
      <c r="H204" s="199"/>
      <c r="I204" s="199"/>
      <c r="J204" s="219"/>
      <c r="K204" s="217">
        <f t="shared" si="4"/>
        <v>1.9599999999999997</v>
      </c>
      <c r="L204" s="218"/>
    </row>
    <row r="205" spans="2:12">
      <c r="B205" s="197" t="s">
        <v>1290</v>
      </c>
      <c r="C205" s="189" t="s">
        <v>1271</v>
      </c>
      <c r="D205" s="198" t="s">
        <v>1335</v>
      </c>
      <c r="E205" s="199"/>
      <c r="F205" s="199"/>
      <c r="G205" s="199"/>
      <c r="H205" s="199"/>
      <c r="I205" s="199">
        <v>3.29</v>
      </c>
      <c r="J205" s="219"/>
      <c r="K205" s="217">
        <f t="shared" si="4"/>
        <v>3.29</v>
      </c>
      <c r="L205" s="218"/>
    </row>
    <row r="206" spans="2:12">
      <c r="B206" s="197" t="s">
        <v>1291</v>
      </c>
      <c r="C206" s="189" t="s">
        <v>1271</v>
      </c>
      <c r="D206" s="198" t="s">
        <v>1335</v>
      </c>
      <c r="E206" s="199">
        <v>2.6</v>
      </c>
      <c r="F206" s="199">
        <v>2.6</v>
      </c>
      <c r="G206" s="199"/>
      <c r="H206" s="199"/>
      <c r="I206" s="199"/>
      <c r="J206" s="219"/>
      <c r="K206" s="217">
        <f t="shared" si="4"/>
        <v>6.7600000000000007</v>
      </c>
      <c r="L206" s="218"/>
    </row>
    <row r="207" spans="2:12">
      <c r="B207" s="197" t="s">
        <v>1292</v>
      </c>
      <c r="C207" s="189" t="s">
        <v>1271</v>
      </c>
      <c r="D207" s="198" t="s">
        <v>1335</v>
      </c>
      <c r="E207" s="199">
        <v>2.6</v>
      </c>
      <c r="F207" s="199">
        <v>2.6</v>
      </c>
      <c r="G207" s="199"/>
      <c r="H207" s="199"/>
      <c r="I207" s="199"/>
      <c r="J207" s="219"/>
      <c r="K207" s="217">
        <f t="shared" si="4"/>
        <v>6.7600000000000007</v>
      </c>
      <c r="L207" s="218"/>
    </row>
    <row r="208" spans="2:12">
      <c r="B208" s="197" t="s">
        <v>1293</v>
      </c>
      <c r="C208" s="189" t="s">
        <v>1271</v>
      </c>
      <c r="D208" s="198" t="s">
        <v>1335</v>
      </c>
      <c r="E208" s="199">
        <v>2.6</v>
      </c>
      <c r="F208" s="199">
        <v>2.6</v>
      </c>
      <c r="G208" s="199"/>
      <c r="H208" s="199"/>
      <c r="I208" s="199"/>
      <c r="J208" s="219"/>
      <c r="K208" s="217">
        <f t="shared" si="4"/>
        <v>6.7600000000000007</v>
      </c>
      <c r="L208" s="218"/>
    </row>
    <row r="209" spans="2:12">
      <c r="B209" s="197" t="s">
        <v>1294</v>
      </c>
      <c r="C209" s="189" t="s">
        <v>1271</v>
      </c>
      <c r="D209" s="198" t="s">
        <v>1335</v>
      </c>
      <c r="E209" s="199">
        <v>1.4</v>
      </c>
      <c r="F209" s="199">
        <v>1.4</v>
      </c>
      <c r="G209" s="199"/>
      <c r="H209" s="199"/>
      <c r="I209" s="199"/>
      <c r="J209" s="219"/>
      <c r="K209" s="217">
        <f t="shared" si="4"/>
        <v>1.9599999999999997</v>
      </c>
      <c r="L209" s="218"/>
    </row>
    <row r="210" spans="2:12">
      <c r="B210" s="197" t="s">
        <v>1295</v>
      </c>
      <c r="C210" s="189" t="s">
        <v>1271</v>
      </c>
      <c r="D210" s="198" t="s">
        <v>1335</v>
      </c>
      <c r="E210" s="199"/>
      <c r="F210" s="199"/>
      <c r="G210" s="199"/>
      <c r="H210" s="199"/>
      <c r="I210" s="199">
        <v>3.29</v>
      </c>
      <c r="J210" s="219"/>
      <c r="K210" s="217">
        <f t="shared" si="4"/>
        <v>3.29</v>
      </c>
      <c r="L210" s="218"/>
    </row>
    <row r="211" spans="2:12">
      <c r="B211" s="197" t="s">
        <v>1336</v>
      </c>
      <c r="C211" s="189" t="s">
        <v>1271</v>
      </c>
      <c r="D211" s="198" t="s">
        <v>1335</v>
      </c>
      <c r="E211" s="199">
        <v>2.6</v>
      </c>
      <c r="F211" s="199">
        <v>2.6</v>
      </c>
      <c r="G211" s="199"/>
      <c r="H211" s="199"/>
      <c r="I211" s="199"/>
      <c r="J211" s="219"/>
      <c r="K211" s="217">
        <f t="shared" si="4"/>
        <v>6.7600000000000007</v>
      </c>
      <c r="L211" s="218"/>
    </row>
    <row r="212" spans="2:12">
      <c r="B212" s="197" t="s">
        <v>1337</v>
      </c>
      <c r="C212" s="189" t="s">
        <v>1271</v>
      </c>
      <c r="D212" s="198" t="s">
        <v>1335</v>
      </c>
      <c r="E212" s="199">
        <v>2.6</v>
      </c>
      <c r="F212" s="199">
        <v>2.6</v>
      </c>
      <c r="G212" s="199"/>
      <c r="H212" s="199"/>
      <c r="I212" s="199"/>
      <c r="J212" s="219"/>
      <c r="K212" s="217">
        <f t="shared" si="4"/>
        <v>6.7600000000000007</v>
      </c>
      <c r="L212" s="218"/>
    </row>
    <row r="213" spans="2:12">
      <c r="B213" s="197" t="s">
        <v>1338</v>
      </c>
      <c r="C213" s="189" t="s">
        <v>1271</v>
      </c>
      <c r="D213" s="198" t="s">
        <v>1335</v>
      </c>
      <c r="E213" s="199">
        <v>2.6</v>
      </c>
      <c r="F213" s="199">
        <v>2.6</v>
      </c>
      <c r="G213" s="199"/>
      <c r="H213" s="199"/>
      <c r="I213" s="199"/>
      <c r="J213" s="219"/>
      <c r="K213" s="217">
        <f t="shared" si="4"/>
        <v>6.7600000000000007</v>
      </c>
      <c r="L213" s="218"/>
    </row>
    <row r="214" spans="2:12">
      <c r="B214" s="197" t="s">
        <v>1339</v>
      </c>
      <c r="C214" s="189" t="s">
        <v>1271</v>
      </c>
      <c r="D214" s="198" t="s">
        <v>1335</v>
      </c>
      <c r="E214" s="199">
        <v>1.4</v>
      </c>
      <c r="F214" s="199">
        <v>1.4</v>
      </c>
      <c r="G214" s="199"/>
      <c r="H214" s="199"/>
      <c r="I214" s="199"/>
      <c r="J214" s="219"/>
      <c r="K214" s="217">
        <f t="shared" si="4"/>
        <v>1.9599999999999997</v>
      </c>
      <c r="L214" s="218"/>
    </row>
    <row r="215" spans="2:12">
      <c r="B215" s="197" t="s">
        <v>1340</v>
      </c>
      <c r="C215" s="189" t="s">
        <v>1271</v>
      </c>
      <c r="D215" s="198" t="s">
        <v>1335</v>
      </c>
      <c r="E215" s="199">
        <v>2.2999999999999998</v>
      </c>
      <c r="F215" s="199">
        <v>1.3</v>
      </c>
      <c r="G215" s="199"/>
      <c r="H215" s="199"/>
      <c r="I215" s="199"/>
      <c r="J215" s="219"/>
      <c r="K215" s="217">
        <f t="shared" si="4"/>
        <v>2.9899999999999998</v>
      </c>
      <c r="L215" s="218"/>
    </row>
    <row r="216" spans="2:12">
      <c r="B216" s="197" t="s">
        <v>1296</v>
      </c>
      <c r="C216" s="189" t="s">
        <v>1271</v>
      </c>
      <c r="D216" s="198" t="s">
        <v>1335</v>
      </c>
      <c r="E216" s="199">
        <v>2.2999999999999998</v>
      </c>
      <c r="F216" s="199">
        <v>1.3</v>
      </c>
      <c r="G216" s="199"/>
      <c r="H216" s="199"/>
      <c r="I216" s="199"/>
      <c r="J216" s="219"/>
      <c r="K216" s="217">
        <f t="shared" si="4"/>
        <v>2.9899999999999998</v>
      </c>
      <c r="L216" s="218"/>
    </row>
    <row r="217" spans="2:12">
      <c r="B217" s="197" t="s">
        <v>1341</v>
      </c>
      <c r="C217" s="189" t="s">
        <v>1271</v>
      </c>
      <c r="D217" s="198" t="s">
        <v>1335</v>
      </c>
      <c r="E217" s="199"/>
      <c r="F217" s="199"/>
      <c r="G217" s="199"/>
      <c r="H217" s="199"/>
      <c r="I217" s="199">
        <v>3.29</v>
      </c>
      <c r="J217" s="219"/>
      <c r="K217" s="217">
        <f t="shared" si="4"/>
        <v>3.29</v>
      </c>
      <c r="L217" s="218"/>
    </row>
    <row r="218" spans="2:12">
      <c r="B218" s="197" t="s">
        <v>1342</v>
      </c>
      <c r="C218" s="189" t="s">
        <v>1333</v>
      </c>
      <c r="D218" s="198" t="s">
        <v>1335</v>
      </c>
      <c r="E218" s="199">
        <v>3.54</v>
      </c>
      <c r="F218" s="199">
        <v>3.54</v>
      </c>
      <c r="G218" s="199"/>
      <c r="H218" s="199"/>
      <c r="I218" s="199"/>
      <c r="J218" s="219"/>
      <c r="K218" s="217">
        <f t="shared" si="4"/>
        <v>12.531600000000001</v>
      </c>
      <c r="L218" s="218"/>
    </row>
    <row r="219" spans="2:12">
      <c r="B219" s="197" t="s">
        <v>1343</v>
      </c>
      <c r="C219" s="189" t="s">
        <v>1333</v>
      </c>
      <c r="D219" s="198" t="s">
        <v>1335</v>
      </c>
      <c r="E219" s="199">
        <v>2.6</v>
      </c>
      <c r="F219" s="199">
        <v>2.6</v>
      </c>
      <c r="G219" s="199"/>
      <c r="H219" s="199"/>
      <c r="I219" s="199"/>
      <c r="J219" s="219"/>
      <c r="K219" s="217">
        <f t="shared" si="4"/>
        <v>6.7600000000000007</v>
      </c>
      <c r="L219" s="218"/>
    </row>
    <row r="220" spans="2:12">
      <c r="B220" s="197" t="s">
        <v>1297</v>
      </c>
      <c r="C220" s="189" t="s">
        <v>1333</v>
      </c>
      <c r="D220" s="198" t="s">
        <v>1335</v>
      </c>
      <c r="E220" s="199">
        <v>3.8</v>
      </c>
      <c r="F220" s="199">
        <v>1.4</v>
      </c>
      <c r="G220" s="199"/>
      <c r="H220" s="199"/>
      <c r="I220" s="199"/>
      <c r="J220" s="219"/>
      <c r="K220" s="217">
        <f t="shared" si="4"/>
        <v>5.3199999999999994</v>
      </c>
      <c r="L220" s="218"/>
    </row>
    <row r="221" spans="2:12">
      <c r="B221" s="197" t="s">
        <v>1344</v>
      </c>
      <c r="C221" s="189" t="s">
        <v>1333</v>
      </c>
      <c r="D221" s="198" t="s">
        <v>1335</v>
      </c>
      <c r="E221" s="199">
        <v>2.6</v>
      </c>
      <c r="F221" s="199">
        <v>2.6</v>
      </c>
      <c r="G221" s="199"/>
      <c r="H221" s="199"/>
      <c r="I221" s="199"/>
      <c r="J221" s="219"/>
      <c r="K221" s="217">
        <f t="shared" si="4"/>
        <v>6.7600000000000007</v>
      </c>
      <c r="L221" s="218"/>
    </row>
    <row r="222" spans="2:12">
      <c r="B222" s="197" t="s">
        <v>1345</v>
      </c>
      <c r="C222" s="189" t="s">
        <v>1333</v>
      </c>
      <c r="D222" s="198" t="s">
        <v>1335</v>
      </c>
      <c r="E222" s="199">
        <v>2.6</v>
      </c>
      <c r="F222" s="199">
        <v>2.6</v>
      </c>
      <c r="G222" s="199"/>
      <c r="H222" s="199"/>
      <c r="I222" s="199"/>
      <c r="J222" s="219"/>
      <c r="K222" s="217">
        <f t="shared" si="4"/>
        <v>6.7600000000000007</v>
      </c>
      <c r="L222" s="218"/>
    </row>
    <row r="223" spans="2:12">
      <c r="B223" s="197" t="s">
        <v>1298</v>
      </c>
      <c r="C223" s="189" t="s">
        <v>1333</v>
      </c>
      <c r="D223" s="198" t="s">
        <v>1335</v>
      </c>
      <c r="E223" s="199">
        <v>3.8</v>
      </c>
      <c r="F223" s="199">
        <v>2.6</v>
      </c>
      <c r="G223" s="199"/>
      <c r="H223" s="199"/>
      <c r="I223" s="199"/>
      <c r="J223" s="219"/>
      <c r="K223" s="217">
        <f t="shared" si="4"/>
        <v>9.879999999999999</v>
      </c>
      <c r="L223" s="218"/>
    </row>
    <row r="224" spans="2:12">
      <c r="B224" s="197" t="s">
        <v>1346</v>
      </c>
      <c r="C224" s="189" t="s">
        <v>1333</v>
      </c>
      <c r="D224" s="198" t="s">
        <v>1335</v>
      </c>
      <c r="E224" s="199">
        <v>2.6</v>
      </c>
      <c r="F224" s="199">
        <v>2.6</v>
      </c>
      <c r="G224" s="199"/>
      <c r="H224" s="199"/>
      <c r="I224" s="199"/>
      <c r="J224" s="219"/>
      <c r="K224" s="217">
        <f t="shared" si="4"/>
        <v>6.7600000000000007</v>
      </c>
      <c r="L224" s="218"/>
    </row>
    <row r="225" spans="2:12">
      <c r="B225" s="197" t="s">
        <v>1347</v>
      </c>
      <c r="C225" s="189" t="s">
        <v>1333</v>
      </c>
      <c r="D225" s="198" t="s">
        <v>1335</v>
      </c>
      <c r="E225" s="199"/>
      <c r="F225" s="199"/>
      <c r="G225" s="199"/>
      <c r="H225" s="199"/>
      <c r="I225" s="199">
        <v>3.29</v>
      </c>
      <c r="J225" s="219"/>
      <c r="K225" s="217">
        <f t="shared" si="4"/>
        <v>3.29</v>
      </c>
      <c r="L225" s="218"/>
    </row>
    <row r="226" spans="2:12">
      <c r="B226" s="197" t="s">
        <v>1348</v>
      </c>
      <c r="C226" s="189" t="s">
        <v>1333</v>
      </c>
      <c r="D226" s="198" t="s">
        <v>1335</v>
      </c>
      <c r="E226" s="199">
        <v>3.54</v>
      </c>
      <c r="F226" s="199">
        <v>3.54</v>
      </c>
      <c r="G226" s="199"/>
      <c r="H226" s="199"/>
      <c r="I226" s="199"/>
      <c r="J226" s="219"/>
      <c r="K226" s="217">
        <f t="shared" si="4"/>
        <v>12.531600000000001</v>
      </c>
      <c r="L226" s="218"/>
    </row>
    <row r="227" spans="2:12">
      <c r="B227" s="197" t="s">
        <v>1349</v>
      </c>
      <c r="C227" s="189" t="s">
        <v>1333</v>
      </c>
      <c r="D227" s="198" t="s">
        <v>1335</v>
      </c>
      <c r="E227" s="199">
        <v>3.8</v>
      </c>
      <c r="F227" s="199">
        <v>2.6</v>
      </c>
      <c r="G227" s="199"/>
      <c r="H227" s="199"/>
      <c r="I227" s="199"/>
      <c r="J227" s="219"/>
      <c r="K227" s="217">
        <f t="shared" si="4"/>
        <v>9.879999999999999</v>
      </c>
      <c r="L227" s="218"/>
    </row>
    <row r="228" spans="2:12">
      <c r="B228" s="197" t="s">
        <v>1350</v>
      </c>
      <c r="C228" s="189" t="s">
        <v>1333</v>
      </c>
      <c r="D228" s="198" t="s">
        <v>1335</v>
      </c>
      <c r="E228" s="199">
        <v>3.8</v>
      </c>
      <c r="F228" s="199">
        <v>2.6</v>
      </c>
      <c r="G228" s="199"/>
      <c r="H228" s="199"/>
      <c r="I228" s="199"/>
      <c r="J228" s="219"/>
      <c r="K228" s="217">
        <f t="shared" si="4"/>
        <v>9.879999999999999</v>
      </c>
      <c r="L228" s="218"/>
    </row>
    <row r="229" spans="2:12">
      <c r="B229" s="197" t="s">
        <v>1351</v>
      </c>
      <c r="C229" s="189" t="s">
        <v>1333</v>
      </c>
      <c r="D229" s="198" t="s">
        <v>1335</v>
      </c>
      <c r="E229" s="199">
        <v>2.6</v>
      </c>
      <c r="F229" s="199">
        <v>2.6</v>
      </c>
      <c r="G229" s="199"/>
      <c r="H229" s="199"/>
      <c r="I229" s="199"/>
      <c r="J229" s="219"/>
      <c r="K229" s="217">
        <f t="shared" si="4"/>
        <v>6.7600000000000007</v>
      </c>
      <c r="L229" s="218"/>
    </row>
    <row r="230" spans="2:12">
      <c r="B230" s="197" t="s">
        <v>1352</v>
      </c>
      <c r="C230" s="189" t="s">
        <v>1333</v>
      </c>
      <c r="D230" s="198" t="s">
        <v>1335</v>
      </c>
      <c r="E230" s="199">
        <v>1.4</v>
      </c>
      <c r="F230" s="199">
        <v>1.4</v>
      </c>
      <c r="G230" s="199"/>
      <c r="H230" s="199"/>
      <c r="I230" s="199"/>
      <c r="J230" s="219"/>
      <c r="K230" s="217">
        <f t="shared" si="4"/>
        <v>1.9599999999999997</v>
      </c>
      <c r="L230" s="218"/>
    </row>
    <row r="231" spans="2:12">
      <c r="B231" s="197" t="s">
        <v>1353</v>
      </c>
      <c r="C231" s="189" t="s">
        <v>1333</v>
      </c>
      <c r="D231" s="198" t="s">
        <v>1335</v>
      </c>
      <c r="E231" s="199">
        <v>1.4</v>
      </c>
      <c r="F231" s="199">
        <v>1.4</v>
      </c>
      <c r="G231" s="199"/>
      <c r="H231" s="199"/>
      <c r="I231" s="199"/>
      <c r="J231" s="219"/>
      <c r="K231" s="217">
        <f t="shared" si="4"/>
        <v>1.9599999999999997</v>
      </c>
      <c r="L231" s="218"/>
    </row>
    <row r="232" spans="2:12">
      <c r="B232" s="197" t="s">
        <v>1354</v>
      </c>
      <c r="C232" s="189" t="s">
        <v>1333</v>
      </c>
      <c r="D232" s="198" t="s">
        <v>1335</v>
      </c>
      <c r="E232" s="199">
        <v>1.4</v>
      </c>
      <c r="F232" s="199">
        <v>1.4</v>
      </c>
      <c r="G232" s="199"/>
      <c r="H232" s="199"/>
      <c r="I232" s="199"/>
      <c r="J232" s="219"/>
      <c r="K232" s="217">
        <f t="shared" ref="K232:K252" si="5">IF(E232*F232*G232&lt;&gt;0,E232*F232*G232,IF(E232*F232&lt;&gt;0,E232*F232,IF(F232*G232&lt;&gt;0,F232*G232,IF(E232*G232&lt;&gt;0,E232*G232,IF(E232&lt;&gt;0,E232,IF(F232&lt;&gt;0,F232,IF(G232&lt;&gt;0,G232,0)))))))*(IF(H232&lt;&gt;0,H232,1))+I232-J232</f>
        <v>1.9599999999999997</v>
      </c>
      <c r="L232" s="218"/>
    </row>
    <row r="233" spans="2:12">
      <c r="B233" s="197" t="s">
        <v>1355</v>
      </c>
      <c r="C233" s="189" t="s">
        <v>1333</v>
      </c>
      <c r="D233" s="198" t="s">
        <v>1335</v>
      </c>
      <c r="E233" s="199">
        <v>1.4</v>
      </c>
      <c r="F233" s="199">
        <v>1.4</v>
      </c>
      <c r="G233" s="199"/>
      <c r="H233" s="199"/>
      <c r="I233" s="199"/>
      <c r="J233" s="219"/>
      <c r="K233" s="217">
        <f t="shared" si="5"/>
        <v>1.9599999999999997</v>
      </c>
      <c r="L233" s="218"/>
    </row>
    <row r="234" spans="2:12">
      <c r="B234" s="197" t="s">
        <v>1356</v>
      </c>
      <c r="C234" s="189" t="s">
        <v>1333</v>
      </c>
      <c r="D234" s="198" t="s">
        <v>1335</v>
      </c>
      <c r="E234" s="199">
        <v>2.6</v>
      </c>
      <c r="F234" s="199">
        <v>2.6</v>
      </c>
      <c r="G234" s="199"/>
      <c r="H234" s="199"/>
      <c r="I234" s="199"/>
      <c r="J234" s="219"/>
      <c r="K234" s="217">
        <f t="shared" si="5"/>
        <v>6.7600000000000007</v>
      </c>
      <c r="L234" s="218"/>
    </row>
    <row r="235" spans="2:12">
      <c r="B235" s="197" t="s">
        <v>1357</v>
      </c>
      <c r="C235" s="189" t="s">
        <v>1333</v>
      </c>
      <c r="D235" s="198" t="s">
        <v>1335</v>
      </c>
      <c r="E235" s="199">
        <v>2.6</v>
      </c>
      <c r="F235" s="199">
        <v>2.6</v>
      </c>
      <c r="G235" s="199"/>
      <c r="H235" s="199"/>
      <c r="I235" s="199"/>
      <c r="J235" s="219"/>
      <c r="K235" s="217">
        <f t="shared" si="5"/>
        <v>6.7600000000000007</v>
      </c>
      <c r="L235" s="218"/>
    </row>
    <row r="236" spans="2:12">
      <c r="B236" s="197" t="s">
        <v>1358</v>
      </c>
      <c r="C236" s="189" t="s">
        <v>1333</v>
      </c>
      <c r="D236" s="198" t="s">
        <v>1335</v>
      </c>
      <c r="E236" s="199">
        <v>2.6</v>
      </c>
      <c r="F236" s="199">
        <v>2.6</v>
      </c>
      <c r="G236" s="199"/>
      <c r="H236" s="199"/>
      <c r="I236" s="199"/>
      <c r="J236" s="219"/>
      <c r="K236" s="217">
        <f t="shared" si="5"/>
        <v>6.7600000000000007</v>
      </c>
      <c r="L236" s="218"/>
    </row>
    <row r="237" spans="2:12">
      <c r="B237" s="197" t="s">
        <v>1359</v>
      </c>
      <c r="C237" s="189" t="s">
        <v>1333</v>
      </c>
      <c r="D237" s="198" t="s">
        <v>1335</v>
      </c>
      <c r="E237" s="199">
        <v>2.6</v>
      </c>
      <c r="F237" s="199">
        <v>2.6</v>
      </c>
      <c r="G237" s="199"/>
      <c r="H237" s="199"/>
      <c r="I237" s="199"/>
      <c r="J237" s="219"/>
      <c r="K237" s="217">
        <f t="shared" si="5"/>
        <v>6.7600000000000007</v>
      </c>
      <c r="L237" s="218"/>
    </row>
    <row r="238" spans="2:12">
      <c r="B238" s="197" t="s">
        <v>1360</v>
      </c>
      <c r="C238" s="189" t="s">
        <v>1333</v>
      </c>
      <c r="D238" s="198" t="s">
        <v>1335</v>
      </c>
      <c r="E238" s="199">
        <v>1.4</v>
      </c>
      <c r="F238" s="199">
        <v>1.4</v>
      </c>
      <c r="G238" s="199"/>
      <c r="H238" s="199"/>
      <c r="I238" s="199"/>
      <c r="J238" s="219"/>
      <c r="K238" s="217">
        <f t="shared" si="5"/>
        <v>1.9599999999999997</v>
      </c>
      <c r="L238" s="218"/>
    </row>
    <row r="239" spans="2:12">
      <c r="B239" s="197" t="s">
        <v>1361</v>
      </c>
      <c r="C239" s="189" t="s">
        <v>1333</v>
      </c>
      <c r="D239" s="198" t="s">
        <v>1335</v>
      </c>
      <c r="E239" s="199">
        <v>1.4</v>
      </c>
      <c r="F239" s="199">
        <v>1.4</v>
      </c>
      <c r="G239" s="199"/>
      <c r="H239" s="199"/>
      <c r="I239" s="199"/>
      <c r="J239" s="219"/>
      <c r="K239" s="217">
        <f t="shared" si="5"/>
        <v>1.9599999999999997</v>
      </c>
      <c r="L239" s="218"/>
    </row>
    <row r="240" spans="2:12">
      <c r="B240" s="197" t="s">
        <v>1362</v>
      </c>
      <c r="C240" s="189" t="s">
        <v>1333</v>
      </c>
      <c r="D240" s="198" t="s">
        <v>1335</v>
      </c>
      <c r="E240" s="199">
        <v>2.6</v>
      </c>
      <c r="F240" s="199">
        <v>2.6</v>
      </c>
      <c r="G240" s="199"/>
      <c r="H240" s="199"/>
      <c r="I240" s="199"/>
      <c r="J240" s="219"/>
      <c r="K240" s="217">
        <f t="shared" si="5"/>
        <v>6.7600000000000007</v>
      </c>
      <c r="L240" s="218"/>
    </row>
    <row r="241" spans="2:12">
      <c r="B241" s="197" t="s">
        <v>1363</v>
      </c>
      <c r="C241" s="189" t="s">
        <v>1333</v>
      </c>
      <c r="D241" s="198" t="s">
        <v>1335</v>
      </c>
      <c r="E241" s="199">
        <v>2.6</v>
      </c>
      <c r="F241" s="199">
        <v>2.6</v>
      </c>
      <c r="G241" s="199"/>
      <c r="H241" s="199"/>
      <c r="I241" s="199"/>
      <c r="J241" s="219"/>
      <c r="K241" s="217">
        <f t="shared" si="5"/>
        <v>6.7600000000000007</v>
      </c>
      <c r="L241" s="218"/>
    </row>
    <row r="242" spans="2:12">
      <c r="B242" s="197" t="s">
        <v>1364</v>
      </c>
      <c r="C242" s="189" t="s">
        <v>1333</v>
      </c>
      <c r="D242" s="198" t="s">
        <v>1335</v>
      </c>
      <c r="E242" s="199">
        <v>2.2999999999999998</v>
      </c>
      <c r="F242" s="199">
        <v>1.3</v>
      </c>
      <c r="G242" s="199"/>
      <c r="H242" s="199"/>
      <c r="I242" s="199"/>
      <c r="J242" s="219"/>
      <c r="K242" s="217">
        <f t="shared" si="5"/>
        <v>2.9899999999999998</v>
      </c>
      <c r="L242" s="218"/>
    </row>
    <row r="243" spans="2:12">
      <c r="B243" s="197" t="s">
        <v>1442</v>
      </c>
      <c r="C243" s="189" t="s">
        <v>1441</v>
      </c>
      <c r="D243" s="198" t="s">
        <v>1335</v>
      </c>
      <c r="E243" s="199">
        <v>3.8</v>
      </c>
      <c r="F243" s="199">
        <v>2.4</v>
      </c>
      <c r="G243" s="199"/>
      <c r="H243" s="199"/>
      <c r="I243" s="199"/>
      <c r="J243" s="219"/>
      <c r="K243" s="217">
        <f t="shared" si="5"/>
        <v>9.1199999999999992</v>
      </c>
      <c r="L243" s="218"/>
    </row>
    <row r="244" spans="2:12">
      <c r="B244" s="197" t="s">
        <v>1443</v>
      </c>
      <c r="C244" s="189" t="s">
        <v>1441</v>
      </c>
      <c r="D244" s="198" t="s">
        <v>1335</v>
      </c>
      <c r="E244" s="199">
        <v>3.8</v>
      </c>
      <c r="F244" s="199">
        <v>2.4</v>
      </c>
      <c r="G244" s="199"/>
      <c r="H244" s="199"/>
      <c r="I244" s="199"/>
      <c r="J244" s="219"/>
      <c r="K244" s="217">
        <f t="shared" si="5"/>
        <v>9.1199999999999992</v>
      </c>
      <c r="L244" s="218"/>
    </row>
    <row r="245" spans="2:12">
      <c r="B245" s="197" t="s">
        <v>1444</v>
      </c>
      <c r="C245" s="189" t="s">
        <v>1441</v>
      </c>
      <c r="D245" s="198" t="s">
        <v>1335</v>
      </c>
      <c r="E245" s="199">
        <v>2.2999999999999998</v>
      </c>
      <c r="F245" s="199">
        <v>1.3</v>
      </c>
      <c r="G245" s="199"/>
      <c r="H245" s="199"/>
      <c r="I245" s="199"/>
      <c r="J245" s="219"/>
      <c r="K245" s="217">
        <f t="shared" si="5"/>
        <v>2.9899999999999998</v>
      </c>
      <c r="L245" s="218"/>
    </row>
    <row r="246" spans="2:12">
      <c r="B246" s="197" t="s">
        <v>1445</v>
      </c>
      <c r="C246" s="189" t="s">
        <v>1441</v>
      </c>
      <c r="D246" s="198" t="s">
        <v>1335</v>
      </c>
      <c r="E246" s="199">
        <v>2.2999999999999998</v>
      </c>
      <c r="F246" s="199">
        <v>1.3</v>
      </c>
      <c r="G246" s="199"/>
      <c r="H246" s="199"/>
      <c r="I246" s="199"/>
      <c r="J246" s="219"/>
      <c r="K246" s="217">
        <f t="shared" si="5"/>
        <v>2.9899999999999998</v>
      </c>
      <c r="L246" s="218"/>
    </row>
    <row r="247" spans="2:12">
      <c r="B247" s="197" t="s">
        <v>1446</v>
      </c>
      <c r="C247" s="189" t="s">
        <v>1441</v>
      </c>
      <c r="D247" s="198" t="s">
        <v>1335</v>
      </c>
      <c r="E247" s="199"/>
      <c r="F247" s="199"/>
      <c r="G247" s="199"/>
      <c r="H247" s="199"/>
      <c r="I247" s="199">
        <v>4.8499999999999996</v>
      </c>
      <c r="J247" s="219"/>
      <c r="K247" s="217">
        <f t="shared" si="5"/>
        <v>4.8499999999999996</v>
      </c>
      <c r="L247" s="218"/>
    </row>
    <row r="248" spans="2:12">
      <c r="B248" s="197" t="s">
        <v>1447</v>
      </c>
      <c r="C248" s="189" t="s">
        <v>1441</v>
      </c>
      <c r="D248" s="198" t="s">
        <v>1335</v>
      </c>
      <c r="E248" s="199"/>
      <c r="F248" s="199"/>
      <c r="G248" s="199"/>
      <c r="H248" s="199"/>
      <c r="I248" s="199">
        <v>4.8499999999999996</v>
      </c>
      <c r="J248" s="219"/>
      <c r="K248" s="217">
        <f t="shared" si="5"/>
        <v>4.8499999999999996</v>
      </c>
      <c r="L248" s="218"/>
    </row>
    <row r="249" spans="2:12">
      <c r="B249" s="197"/>
      <c r="C249" s="189" t="s">
        <v>1441</v>
      </c>
      <c r="D249" s="198" t="s">
        <v>1335</v>
      </c>
      <c r="E249" s="199"/>
      <c r="F249" s="199"/>
      <c r="G249" s="199"/>
      <c r="H249" s="199"/>
      <c r="I249" s="199">
        <v>2.2537750732476899E-4</v>
      </c>
      <c r="J249" s="219"/>
      <c r="K249" s="217">
        <f t="shared" si="5"/>
        <v>2.2537750732476899E-4</v>
      </c>
      <c r="L249" s="218"/>
    </row>
    <row r="250" spans="2:12">
      <c r="B250" s="197"/>
      <c r="C250" s="189" t="s">
        <v>1441</v>
      </c>
      <c r="D250" s="198" t="s">
        <v>1335</v>
      </c>
      <c r="E250" s="199"/>
      <c r="F250" s="199"/>
      <c r="G250" s="199"/>
      <c r="H250" s="199"/>
      <c r="I250" s="199"/>
      <c r="J250" s="219"/>
      <c r="K250" s="217">
        <f t="shared" si="5"/>
        <v>0</v>
      </c>
      <c r="L250" s="218"/>
    </row>
    <row r="251" spans="2:12">
      <c r="B251" s="197"/>
      <c r="C251" s="189" t="s">
        <v>1441</v>
      </c>
      <c r="D251" s="198" t="s">
        <v>1335</v>
      </c>
      <c r="E251" s="199"/>
      <c r="F251" s="199"/>
      <c r="G251" s="199"/>
      <c r="H251" s="199"/>
      <c r="I251" s="199"/>
      <c r="J251" s="219"/>
      <c r="K251" s="217">
        <f t="shared" si="5"/>
        <v>0</v>
      </c>
      <c r="L251" s="218"/>
    </row>
    <row r="252" spans="2:12">
      <c r="B252" s="197"/>
      <c r="C252" s="189"/>
      <c r="D252" s="198"/>
      <c r="E252" s="199"/>
      <c r="F252" s="199"/>
      <c r="G252" s="199"/>
      <c r="H252" s="199"/>
      <c r="I252" s="199"/>
      <c r="J252" s="219"/>
      <c r="K252" s="217">
        <f t="shared" si="5"/>
        <v>0</v>
      </c>
      <c r="L252" s="218"/>
    </row>
    <row r="253" spans="2:12">
      <c r="B253" s="202"/>
      <c r="C253" s="203"/>
      <c r="D253" s="203"/>
      <c r="E253" s="203"/>
      <c r="F253" s="203"/>
      <c r="G253" s="203"/>
      <c r="H253" s="204"/>
      <c r="I253" s="556" t="s">
        <v>1221</v>
      </c>
      <c r="J253" s="556"/>
      <c r="K253" s="220">
        <f>SUM(K200:K252)</f>
        <v>268.13342537750736</v>
      </c>
      <c r="L253" s="207"/>
    </row>
    <row r="254" spans="2:12">
      <c r="B254" s="208"/>
      <c r="C254" s="204"/>
      <c r="D254" s="204"/>
      <c r="E254" s="204"/>
      <c r="F254" s="204"/>
      <c r="G254" s="204"/>
      <c r="H254" s="209"/>
      <c r="I254" s="557" t="s">
        <v>1222</v>
      </c>
      <c r="J254" s="557"/>
      <c r="K254" s="221">
        <v>233.48</v>
      </c>
      <c r="L254" s="207"/>
    </row>
    <row r="255" spans="2:12">
      <c r="B255" s="208"/>
      <c r="C255" s="204"/>
      <c r="D255" s="204"/>
      <c r="E255" s="204"/>
      <c r="F255" s="204"/>
      <c r="G255" s="204"/>
      <c r="H255" s="558" t="s">
        <v>1223</v>
      </c>
      <c r="I255" s="558"/>
      <c r="J255" s="558"/>
      <c r="K255" s="222">
        <v>168.22919999999999</v>
      </c>
      <c r="L255" s="207"/>
    </row>
    <row r="256" spans="2:12">
      <c r="B256" s="208"/>
      <c r="C256" s="204"/>
      <c r="D256" s="204"/>
      <c r="E256" s="204"/>
      <c r="F256" s="204"/>
      <c r="G256" s="204"/>
      <c r="H256" s="558" t="s">
        <v>1431</v>
      </c>
      <c r="I256" s="558"/>
      <c r="J256" s="558"/>
      <c r="K256" s="222">
        <f>IF(K253&gt;K254,K254,K253)-K255+0.000225377507324769</f>
        <v>65.251025377507318</v>
      </c>
      <c r="L256" s="207"/>
    </row>
    <row r="257" spans="2:12">
      <c r="B257" s="213"/>
      <c r="C257" s="214"/>
      <c r="D257" s="214"/>
      <c r="E257" s="214"/>
      <c r="F257" s="214"/>
      <c r="G257" s="214"/>
      <c r="H257" s="559" t="s">
        <v>1224</v>
      </c>
      <c r="I257" s="559"/>
      <c r="J257" s="559"/>
      <c r="K257" s="223">
        <f>IF(K253&gt;K254,K253-K254,0)</f>
        <v>34.653425377507375</v>
      </c>
      <c r="L257" s="209"/>
    </row>
    <row r="259" spans="2:12" ht="14.25" customHeight="1">
      <c r="B259" s="555" t="s">
        <v>1272</v>
      </c>
      <c r="C259" s="555"/>
      <c r="D259" s="555"/>
      <c r="E259" s="555"/>
      <c r="F259" s="555"/>
      <c r="G259" s="555"/>
      <c r="H259" s="555"/>
      <c r="I259" s="555"/>
      <c r="J259" s="555"/>
      <c r="K259" s="555"/>
      <c r="L259" s="555"/>
    </row>
    <row r="260" spans="2:12">
      <c r="B260" s="187" t="s">
        <v>1209</v>
      </c>
      <c r="C260" s="187"/>
      <c r="D260" s="187" t="s">
        <v>39</v>
      </c>
      <c r="E260" s="187" t="s">
        <v>1210</v>
      </c>
      <c r="F260" s="187" t="s">
        <v>1211</v>
      </c>
      <c r="G260" s="187" t="s">
        <v>1212</v>
      </c>
      <c r="H260" s="187" t="s">
        <v>1213</v>
      </c>
      <c r="I260" s="187" t="s">
        <v>1214</v>
      </c>
      <c r="J260" s="187" t="s">
        <v>1215</v>
      </c>
      <c r="K260" s="187" t="s">
        <v>1216</v>
      </c>
      <c r="L260" s="187" t="s">
        <v>1217</v>
      </c>
    </row>
    <row r="261" spans="2:12">
      <c r="B261" s="188" t="s">
        <v>1273</v>
      </c>
      <c r="C261" s="189" t="s">
        <v>1271</v>
      </c>
      <c r="D261" s="190" t="s">
        <v>1274</v>
      </c>
      <c r="E261" s="191">
        <v>1014</v>
      </c>
      <c r="F261" s="243">
        <v>0.154</v>
      </c>
      <c r="G261" s="192">
        <v>1.1000000000000001</v>
      </c>
      <c r="H261" s="191"/>
      <c r="I261" s="191"/>
      <c r="J261" s="216"/>
      <c r="K261" s="217">
        <f>IF(E261*F261*G261&lt;&gt;0,E261*F261*G261,IF(E261*F261&lt;&gt;0,E261*F261,IF(F261*G261&lt;&gt;0,F261*G261,IF(E261*G261&lt;&gt;0,E261*G261,IF(E261&lt;&gt;0,E261,IF(F261&lt;&gt;0,F261,IF(G261&lt;&gt;0,G261,0)))))))*(IF(H261&lt;&gt;0,H261,1))+I261-J261</f>
        <v>171.77160000000001</v>
      </c>
      <c r="L261" s="218"/>
    </row>
    <row r="262" spans="2:12">
      <c r="B262" s="188" t="s">
        <v>1275</v>
      </c>
      <c r="C262" s="189" t="s">
        <v>1333</v>
      </c>
      <c r="D262" s="190" t="s">
        <v>1274</v>
      </c>
      <c r="E262" s="191"/>
      <c r="F262" s="243"/>
      <c r="G262" s="192"/>
      <c r="H262" s="191"/>
      <c r="I262" s="191"/>
      <c r="J262" s="216"/>
      <c r="K262" s="217">
        <f>IF(E262*F262*G262&lt;&gt;0,E262*F262*G262,IF(E262*F262&lt;&gt;0,E262*F262,IF(F262*G262&lt;&gt;0,F262*G262,IF(E262*G262&lt;&gt;0,E262*G262,IF(E262&lt;&gt;0,E262,IF(F262&lt;&gt;0,F262,IF(G262&lt;&gt;0,G262,0)))))))*(IF(H262&lt;&gt;0,H262,1))+I262-J262</f>
        <v>0</v>
      </c>
      <c r="L262" s="218"/>
    </row>
    <row r="263" spans="2:12">
      <c r="B263" s="188" t="s">
        <v>1448</v>
      </c>
      <c r="C263" s="189" t="s">
        <v>1441</v>
      </c>
      <c r="D263" s="190" t="s">
        <v>1274</v>
      </c>
      <c r="E263" s="191">
        <v>123.508</v>
      </c>
      <c r="F263" s="243"/>
      <c r="G263" s="192"/>
      <c r="H263" s="191">
        <v>0.25</v>
      </c>
      <c r="I263" s="191"/>
      <c r="J263" s="216"/>
      <c r="K263" s="217">
        <f>IF(E263*F263*G263&lt;&gt;0,E263*F263*G263,IF(E263*F263&lt;&gt;0,E263*F263,IF(F263*G263&lt;&gt;0,F263*G263,IF(E263*G263&lt;&gt;0,E263*G263,IF(E263&lt;&gt;0,E263,IF(F263&lt;&gt;0,F263,IF(G263&lt;&gt;0,G263,0)))))))*(IF(H263&lt;&gt;0,H263,1))+I263-J263</f>
        <v>30.876999999999999</v>
      </c>
      <c r="L263" s="218"/>
    </row>
    <row r="264" spans="2:12">
      <c r="B264" s="197"/>
      <c r="C264" s="189"/>
      <c r="D264" s="198"/>
      <c r="E264" s="199"/>
      <c r="F264" s="244"/>
      <c r="G264" s="199"/>
      <c r="H264" s="199"/>
      <c r="I264" s="199"/>
      <c r="J264" s="219"/>
      <c r="K264" s="217">
        <f>IF(E264*F264*G264&lt;&gt;0,E264*F264*G264,IF(E264*F264&lt;&gt;0,E264*F264,IF(F264*G264&lt;&gt;0,F264*G264,IF(E264*G264&lt;&gt;0,E264*G264,IF(E264&lt;&gt;0,E264,IF(F264&lt;&gt;0,F264,IF(G264&lt;&gt;0,G264,0)))))))*(IF(H264&lt;&gt;0,H264,1))+I264-J264</f>
        <v>0</v>
      </c>
      <c r="L264" s="218"/>
    </row>
    <row r="265" spans="2:12">
      <c r="B265" s="202"/>
      <c r="C265" s="203"/>
      <c r="D265" s="203"/>
      <c r="E265" s="203"/>
      <c r="F265" s="203"/>
      <c r="G265" s="203"/>
      <c r="H265" s="204"/>
      <c r="I265" s="556" t="s">
        <v>1221</v>
      </c>
      <c r="J265" s="556"/>
      <c r="K265" s="220">
        <f>SUM(K261:K264)</f>
        <v>202.64860000000002</v>
      </c>
      <c r="L265" s="207"/>
    </row>
    <row r="266" spans="2:12">
      <c r="B266" s="208"/>
      <c r="C266" s="204"/>
      <c r="D266" s="204"/>
      <c r="E266" s="204"/>
      <c r="F266" s="204"/>
      <c r="G266" s="204"/>
      <c r="H266" s="209"/>
      <c r="I266" s="557" t="s">
        <v>1222</v>
      </c>
      <c r="J266" s="557"/>
      <c r="K266" s="221">
        <v>190.3</v>
      </c>
      <c r="L266" s="207"/>
    </row>
    <row r="267" spans="2:12">
      <c r="B267" s="208"/>
      <c r="C267" s="204"/>
      <c r="D267" s="204"/>
      <c r="E267" s="204"/>
      <c r="F267" s="204"/>
      <c r="G267" s="204"/>
      <c r="H267" s="558" t="s">
        <v>1223</v>
      </c>
      <c r="I267" s="558"/>
      <c r="J267" s="558"/>
      <c r="K267" s="222">
        <v>171.77160000000001</v>
      </c>
      <c r="L267" s="207"/>
    </row>
    <row r="268" spans="2:12">
      <c r="B268" s="208"/>
      <c r="C268" s="204"/>
      <c r="D268" s="204"/>
      <c r="E268" s="204"/>
      <c r="F268" s="204"/>
      <c r="G268" s="204"/>
      <c r="H268" s="558" t="s">
        <v>1250</v>
      </c>
      <c r="I268" s="558"/>
      <c r="J268" s="558"/>
      <c r="K268" s="222">
        <f>IF(K265&gt;K266,K266,K265)-K267</f>
        <v>18.528400000000005</v>
      </c>
      <c r="L268" s="207"/>
    </row>
    <row r="269" spans="2:12">
      <c r="B269" s="213"/>
      <c r="C269" s="214"/>
      <c r="D269" s="214"/>
      <c r="E269" s="214"/>
      <c r="F269" s="214"/>
      <c r="G269" s="214"/>
      <c r="H269" s="559" t="s">
        <v>1224</v>
      </c>
      <c r="I269" s="559"/>
      <c r="J269" s="559"/>
      <c r="K269" s="223">
        <f>IF(K265&gt;K266,K265-K266,0)</f>
        <v>12.348600000000005</v>
      </c>
      <c r="L269" s="209"/>
    </row>
    <row r="271" spans="2:12" ht="14.25" customHeight="1">
      <c r="B271" s="555" t="s">
        <v>1276</v>
      </c>
      <c r="C271" s="555"/>
      <c r="D271" s="555"/>
      <c r="E271" s="555"/>
      <c r="F271" s="555"/>
      <c r="G271" s="555"/>
      <c r="H271" s="555"/>
      <c r="I271" s="555"/>
      <c r="J271" s="555"/>
      <c r="K271" s="555"/>
      <c r="L271" s="555"/>
    </row>
    <row r="272" spans="2:12">
      <c r="B272" s="187" t="s">
        <v>1209</v>
      </c>
      <c r="C272" s="187"/>
      <c r="D272" s="187" t="s">
        <v>39</v>
      </c>
      <c r="E272" s="187" t="s">
        <v>1210</v>
      </c>
      <c r="F272" s="187" t="s">
        <v>1211</v>
      </c>
      <c r="G272" s="187" t="s">
        <v>1212</v>
      </c>
      <c r="H272" s="187" t="s">
        <v>1213</v>
      </c>
      <c r="I272" s="187" t="s">
        <v>1214</v>
      </c>
      <c r="J272" s="187" t="s">
        <v>1215</v>
      </c>
      <c r="K272" s="187" t="s">
        <v>1216</v>
      </c>
      <c r="L272" s="187" t="s">
        <v>1217</v>
      </c>
    </row>
    <row r="273" spans="2:12">
      <c r="B273" s="188" t="s">
        <v>1273</v>
      </c>
      <c r="C273" s="189" t="s">
        <v>1271</v>
      </c>
      <c r="D273" s="190" t="s">
        <v>1274</v>
      </c>
      <c r="E273" s="191">
        <v>333</v>
      </c>
      <c r="F273" s="243">
        <v>0.245</v>
      </c>
      <c r="G273" s="192">
        <v>1.1000000000000001</v>
      </c>
      <c r="H273" s="191"/>
      <c r="I273" s="191"/>
      <c r="J273" s="216"/>
      <c r="K273" s="217">
        <f>IF(E273*F273*G273&lt;&gt;0,E273*F273*G273,IF(E273*F273&lt;&gt;0,E273*F273,IF(F273*G273&lt;&gt;0,F273*G273,IF(E273*G273&lt;&gt;0,E273*G273,IF(E273&lt;&gt;0,E273,IF(F273&lt;&gt;0,F273,IF(G273&lt;&gt;0,G273,0)))))))*(IF(H273&lt;&gt;0,H273,1))+I273-J273</f>
        <v>89.743499999999997</v>
      </c>
      <c r="L273" s="218"/>
    </row>
    <row r="274" spans="2:12">
      <c r="B274" s="188" t="s">
        <v>1275</v>
      </c>
      <c r="C274" s="189" t="s">
        <v>1333</v>
      </c>
      <c r="D274" s="190" t="s">
        <v>1274</v>
      </c>
      <c r="E274" s="191">
        <v>411</v>
      </c>
      <c r="F274" s="243">
        <v>0.245</v>
      </c>
      <c r="G274" s="192">
        <v>1.1000000000000001</v>
      </c>
      <c r="H274" s="191"/>
      <c r="I274" s="191"/>
      <c r="J274" s="216"/>
      <c r="K274" s="217">
        <f>IF(E274*F274*G274&lt;&gt;0,E274*F274*G274,IF(E274*F274&lt;&gt;0,E274*F274,IF(F274*G274&lt;&gt;0,F274*G274,IF(E274*G274&lt;&gt;0,E274*G274,IF(E274&lt;&gt;0,E274,IF(F274&lt;&gt;0,F274,IF(G274&lt;&gt;0,G274,0)))))))*(IF(H274&lt;&gt;0,H274,1))+I274-J274</f>
        <v>110.7645</v>
      </c>
      <c r="L274" s="218"/>
    </row>
    <row r="275" spans="2:12">
      <c r="B275" s="197"/>
      <c r="C275" s="189"/>
      <c r="D275" s="198"/>
      <c r="E275" s="199"/>
      <c r="F275" s="199"/>
      <c r="G275" s="199"/>
      <c r="H275" s="199"/>
      <c r="I275" s="199"/>
      <c r="J275" s="219"/>
      <c r="K275" s="217">
        <f>IF(E275*F275*G275&lt;&gt;0,E275*F275*G275,IF(E275*F275&lt;&gt;0,E275*F275,IF(F275*G275&lt;&gt;0,F275*G275,IF(E275*G275&lt;&gt;0,E275*G275,IF(E275&lt;&gt;0,E275,IF(F275&lt;&gt;0,F275,IF(G275&lt;&gt;0,G275,0)))))))*(IF(H275&lt;&gt;0,H275,1))+I275-J275</f>
        <v>0</v>
      </c>
      <c r="L275" s="218"/>
    </row>
    <row r="276" spans="2:12">
      <c r="B276" s="202"/>
      <c r="C276" s="203"/>
      <c r="D276" s="203"/>
      <c r="E276" s="203"/>
      <c r="F276" s="203"/>
      <c r="G276" s="203"/>
      <c r="H276" s="204"/>
      <c r="I276" s="556" t="s">
        <v>1221</v>
      </c>
      <c r="J276" s="556"/>
      <c r="K276" s="220">
        <f>SUM(K273:K275)</f>
        <v>200.50799999999998</v>
      </c>
      <c r="L276" s="207"/>
    </row>
    <row r="277" spans="2:12">
      <c r="B277" s="208"/>
      <c r="C277" s="204"/>
      <c r="D277" s="204"/>
      <c r="E277" s="204"/>
      <c r="F277" s="204"/>
      <c r="G277" s="204"/>
      <c r="H277" s="209"/>
      <c r="I277" s="557" t="s">
        <v>1222</v>
      </c>
      <c r="J277" s="557"/>
      <c r="K277" s="221">
        <v>77</v>
      </c>
      <c r="L277" s="207"/>
    </row>
    <row r="278" spans="2:12">
      <c r="B278" s="208"/>
      <c r="C278" s="204"/>
      <c r="D278" s="204"/>
      <c r="E278" s="204"/>
      <c r="F278" s="204"/>
      <c r="G278" s="204"/>
      <c r="H278" s="558" t="s">
        <v>1223</v>
      </c>
      <c r="I278" s="558"/>
      <c r="J278" s="558"/>
      <c r="K278" s="222">
        <v>77</v>
      </c>
      <c r="L278" s="207"/>
    </row>
    <row r="279" spans="2:12">
      <c r="B279" s="208"/>
      <c r="C279" s="204"/>
      <c r="D279" s="204"/>
      <c r="E279" s="204"/>
      <c r="F279" s="204"/>
      <c r="G279" s="204"/>
      <c r="H279" s="558" t="s">
        <v>1250</v>
      </c>
      <c r="I279" s="558"/>
      <c r="J279" s="558"/>
      <c r="K279" s="222">
        <f>IF(K276&gt;K277,K277,K276)-K278</f>
        <v>0</v>
      </c>
      <c r="L279" s="207"/>
    </row>
    <row r="280" spans="2:12">
      <c r="B280" s="213"/>
      <c r="C280" s="214"/>
      <c r="D280" s="214"/>
      <c r="E280" s="214"/>
      <c r="F280" s="214"/>
      <c r="G280" s="214"/>
      <c r="H280" s="559" t="s">
        <v>1224</v>
      </c>
      <c r="I280" s="559"/>
      <c r="J280" s="559"/>
      <c r="K280" s="223">
        <f>IF(K276&gt;K277,K276-K277,0)</f>
        <v>123.50799999999998</v>
      </c>
      <c r="L280" s="209"/>
    </row>
    <row r="282" spans="2:12" ht="14.25" customHeight="1">
      <c r="B282" s="555" t="s">
        <v>1277</v>
      </c>
      <c r="C282" s="555"/>
      <c r="D282" s="555"/>
      <c r="E282" s="555"/>
      <c r="F282" s="555"/>
      <c r="G282" s="555"/>
      <c r="H282" s="555"/>
      <c r="I282" s="555"/>
      <c r="J282" s="555"/>
      <c r="K282" s="555"/>
      <c r="L282" s="555"/>
    </row>
    <row r="283" spans="2:12">
      <c r="B283" s="187" t="s">
        <v>1209</v>
      </c>
      <c r="C283" s="187"/>
      <c r="D283" s="187" t="s">
        <v>39</v>
      </c>
      <c r="E283" s="187" t="s">
        <v>1210</v>
      </c>
      <c r="F283" s="187" t="s">
        <v>1211</v>
      </c>
      <c r="G283" s="187" t="s">
        <v>1212</v>
      </c>
      <c r="H283" s="187" t="s">
        <v>1213</v>
      </c>
      <c r="I283" s="187" t="s">
        <v>1214</v>
      </c>
      <c r="J283" s="187" t="s">
        <v>1215</v>
      </c>
      <c r="K283" s="187" t="s">
        <v>1216</v>
      </c>
      <c r="L283" s="187" t="s">
        <v>1217</v>
      </c>
    </row>
    <row r="284" spans="2:12">
      <c r="B284" s="188" t="s">
        <v>1273</v>
      </c>
      <c r="C284" s="189" t="s">
        <v>1271</v>
      </c>
      <c r="D284" s="190" t="s">
        <v>1274</v>
      </c>
      <c r="E284" s="191">
        <v>938</v>
      </c>
      <c r="F284" s="243">
        <v>0.39500000000000002</v>
      </c>
      <c r="G284" s="192">
        <v>1.1000000000000001</v>
      </c>
      <c r="H284" s="191"/>
      <c r="I284" s="191"/>
      <c r="J284" s="216"/>
      <c r="K284" s="217">
        <f>IF(E284*F284*G284&lt;&gt;0,E284*F284*G284,IF(E284*F284&lt;&gt;0,E284*F284,IF(F284*G284&lt;&gt;0,F284*G284,IF(E284*G284&lt;&gt;0,E284*G284,IF(E284&lt;&gt;0,E284,IF(F284&lt;&gt;0,F284,IF(G284&lt;&gt;0,G284,0)))))))*(IF(H284&lt;&gt;0,H284,1))+I284-J284</f>
        <v>407.56100000000004</v>
      </c>
      <c r="L284" s="218"/>
    </row>
    <row r="285" spans="2:12">
      <c r="B285" s="188" t="s">
        <v>1275</v>
      </c>
      <c r="C285" s="189" t="s">
        <v>1333</v>
      </c>
      <c r="D285" s="190" t="s">
        <v>1274</v>
      </c>
      <c r="E285" s="191">
        <v>197</v>
      </c>
      <c r="F285" s="243">
        <v>0.39500000000000002</v>
      </c>
      <c r="G285" s="192">
        <v>1.1000000000000001</v>
      </c>
      <c r="H285" s="191"/>
      <c r="I285" s="191"/>
      <c r="J285" s="216"/>
      <c r="K285" s="217">
        <f>IF(E285*F285*G285&lt;&gt;0,E285*F285*G285,IF(E285*F285&lt;&gt;0,E285*F285,IF(F285*G285&lt;&gt;0,F285*G285,IF(E285*G285&lt;&gt;0,E285*G285,IF(E285&lt;&gt;0,E285,IF(F285&lt;&gt;0,F285,IF(G285&lt;&gt;0,G285,0)))))))*(IF(H285&lt;&gt;0,H285,1))+I285-J285</f>
        <v>85.596500000000006</v>
      </c>
      <c r="L285" s="218"/>
    </row>
    <row r="286" spans="2:12">
      <c r="B286" s="188" t="s">
        <v>1448</v>
      </c>
      <c r="C286" s="189" t="s">
        <v>1441</v>
      </c>
      <c r="D286" s="190" t="s">
        <v>1274</v>
      </c>
      <c r="E286" s="191">
        <v>123.508</v>
      </c>
      <c r="F286" s="243"/>
      <c r="G286" s="192"/>
      <c r="H286" s="191">
        <v>0.75</v>
      </c>
      <c r="I286" s="191"/>
      <c r="J286" s="216"/>
      <c r="K286" s="217">
        <f>IF(E286*F286*G286&lt;&gt;0,E286*F286*G286,IF(E286*F286&lt;&gt;0,E286*F286,IF(F286*G286&lt;&gt;0,F286*G286,IF(E286*G286&lt;&gt;0,E286*G286,IF(E286&lt;&gt;0,E286,IF(F286&lt;&gt;0,F286,IF(G286&lt;&gt;0,G286,0)))))))*(IF(H286&lt;&gt;0,H286,1))+I286-J286</f>
        <v>92.631</v>
      </c>
      <c r="L286" s="218"/>
    </row>
    <row r="287" spans="2:12">
      <c r="B287" s="197"/>
      <c r="C287" s="189"/>
      <c r="D287" s="198"/>
      <c r="E287" s="199"/>
      <c r="F287" s="199"/>
      <c r="G287" s="199"/>
      <c r="H287" s="199"/>
      <c r="I287" s="199"/>
      <c r="J287" s="219"/>
      <c r="K287" s="217">
        <f>IF(E287*F287*G287&lt;&gt;0,E287*F287*G287,IF(E287*F287&lt;&gt;0,E287*F287,IF(F287*G287&lt;&gt;0,F287*G287,IF(E287*G287&lt;&gt;0,E287*G287,IF(E287&lt;&gt;0,E287,IF(F287&lt;&gt;0,F287,IF(G287&lt;&gt;0,G287,0)))))))*(IF(H287&lt;&gt;0,H287,1))+I287-J287</f>
        <v>0</v>
      </c>
      <c r="L287" s="218"/>
    </row>
    <row r="288" spans="2:12">
      <c r="B288" s="202"/>
      <c r="C288" s="203"/>
      <c r="D288" s="203"/>
      <c r="E288" s="203"/>
      <c r="F288" s="203"/>
      <c r="G288" s="203"/>
      <c r="H288" s="204"/>
      <c r="I288" s="556" t="s">
        <v>1221</v>
      </c>
      <c r="J288" s="556"/>
      <c r="K288" s="220">
        <f>SUM(K284:K287)</f>
        <v>585.7885</v>
      </c>
      <c r="L288" s="207"/>
    </row>
    <row r="289" spans="2:12">
      <c r="B289" s="208"/>
      <c r="C289" s="204"/>
      <c r="D289" s="204"/>
      <c r="E289" s="204"/>
      <c r="F289" s="204"/>
      <c r="G289" s="204"/>
      <c r="H289" s="209"/>
      <c r="I289" s="557" t="s">
        <v>1222</v>
      </c>
      <c r="J289" s="557"/>
      <c r="K289" s="221">
        <v>566.5</v>
      </c>
      <c r="L289" s="207"/>
    </row>
    <row r="290" spans="2:12">
      <c r="B290" s="208"/>
      <c r="C290" s="204"/>
      <c r="D290" s="204"/>
      <c r="E290" s="204"/>
      <c r="F290" s="204"/>
      <c r="G290" s="204"/>
      <c r="H290" s="558" t="s">
        <v>1223</v>
      </c>
      <c r="I290" s="558"/>
      <c r="J290" s="558"/>
      <c r="K290" s="222">
        <v>493.15750000000003</v>
      </c>
      <c r="L290" s="207"/>
    </row>
    <row r="291" spans="2:12">
      <c r="B291" s="208"/>
      <c r="C291" s="204"/>
      <c r="D291" s="204"/>
      <c r="E291" s="204"/>
      <c r="F291" s="204"/>
      <c r="G291" s="204"/>
      <c r="H291" s="558" t="s">
        <v>1250</v>
      </c>
      <c r="I291" s="558"/>
      <c r="J291" s="558"/>
      <c r="K291" s="222">
        <f>IF(K288&gt;K289,K289,K288)-K290</f>
        <v>73.342499999999973</v>
      </c>
      <c r="L291" s="207"/>
    </row>
    <row r="292" spans="2:12">
      <c r="B292" s="213"/>
      <c r="C292" s="214"/>
      <c r="D292" s="214"/>
      <c r="E292" s="214"/>
      <c r="F292" s="214"/>
      <c r="G292" s="214"/>
      <c r="H292" s="559" t="s">
        <v>1224</v>
      </c>
      <c r="I292" s="559"/>
      <c r="J292" s="559"/>
      <c r="K292" s="223">
        <f>IF(K288&gt;K289,K288-K289,0)</f>
        <v>19.288499999999999</v>
      </c>
      <c r="L292" s="209"/>
    </row>
    <row r="294" spans="2:12" ht="14.25" customHeight="1">
      <c r="B294" s="555" t="s">
        <v>1278</v>
      </c>
      <c r="C294" s="555"/>
      <c r="D294" s="555"/>
      <c r="E294" s="555"/>
      <c r="F294" s="555"/>
      <c r="G294" s="555"/>
      <c r="H294" s="555"/>
      <c r="I294" s="555"/>
      <c r="J294" s="555"/>
      <c r="K294" s="555"/>
      <c r="L294" s="555"/>
    </row>
    <row r="295" spans="2:12">
      <c r="B295" s="187" t="s">
        <v>1209</v>
      </c>
      <c r="C295" s="187"/>
      <c r="D295" s="187" t="s">
        <v>39</v>
      </c>
      <c r="E295" s="187" t="s">
        <v>1210</v>
      </c>
      <c r="F295" s="187" t="s">
        <v>1211</v>
      </c>
      <c r="G295" s="187" t="s">
        <v>1212</v>
      </c>
      <c r="H295" s="187" t="s">
        <v>1213</v>
      </c>
      <c r="I295" s="187" t="s">
        <v>1214</v>
      </c>
      <c r="J295" s="187" t="s">
        <v>1215</v>
      </c>
      <c r="K295" s="187" t="s">
        <v>1216</v>
      </c>
      <c r="L295" s="187" t="s">
        <v>1217</v>
      </c>
    </row>
    <row r="296" spans="2:12">
      <c r="B296" s="188" t="s">
        <v>1273</v>
      </c>
      <c r="C296" s="189" t="s">
        <v>1271</v>
      </c>
      <c r="D296" s="190" t="s">
        <v>1274</v>
      </c>
      <c r="E296" s="191">
        <v>737</v>
      </c>
      <c r="F296" s="243">
        <v>0.61699999999999999</v>
      </c>
      <c r="G296" s="192">
        <v>1.1000000000000001</v>
      </c>
      <c r="H296" s="191"/>
      <c r="I296" s="191"/>
      <c r="J296" s="216"/>
      <c r="K296" s="217">
        <f>IF(E296*F296*G296&lt;&gt;0,E296*F296*G296,IF(E296*F296&lt;&gt;0,E296*F296,IF(F296*G296&lt;&gt;0,F296*G296,IF(E296*G296&lt;&gt;0,E296*G296,IF(E296&lt;&gt;0,E296,IF(F296&lt;&gt;0,F296,IF(G296&lt;&gt;0,G296,0)))))))*(IF(H296&lt;&gt;0,H296,1))+I296-J296</f>
        <v>500.20190000000002</v>
      </c>
      <c r="L296" s="218"/>
    </row>
    <row r="297" spans="2:12">
      <c r="B297" s="188" t="s">
        <v>1275</v>
      </c>
      <c r="C297" s="189" t="s">
        <v>1333</v>
      </c>
      <c r="D297" s="190" t="s">
        <v>1274</v>
      </c>
      <c r="E297" s="191">
        <v>1837</v>
      </c>
      <c r="F297" s="243">
        <v>0.61699999999999999</v>
      </c>
      <c r="G297" s="192">
        <v>1.1000000000000001</v>
      </c>
      <c r="H297" s="191"/>
      <c r="I297" s="191"/>
      <c r="J297" s="216"/>
      <c r="K297" s="217">
        <f>IF(E297*F297*G297&lt;&gt;0,E297*F297*G297,IF(E297*F297&lt;&gt;0,E297*F297,IF(F297*G297&lt;&gt;0,F297*G297,IF(E297*G297&lt;&gt;0,E297*G297,IF(E297&lt;&gt;0,E297,IF(F297&lt;&gt;0,F297,IF(G297&lt;&gt;0,G297,0)))))))*(IF(H297&lt;&gt;0,H297,1))+I297-J297</f>
        <v>1246.7719000000002</v>
      </c>
      <c r="L297" s="218"/>
    </row>
    <row r="298" spans="2:12">
      <c r="B298" s="197"/>
      <c r="C298" s="189"/>
      <c r="D298" s="198"/>
      <c r="E298" s="199"/>
      <c r="F298" s="244"/>
      <c r="G298" s="199"/>
      <c r="H298" s="199"/>
      <c r="I298" s="199"/>
      <c r="J298" s="219"/>
      <c r="K298" s="217">
        <f>IF(E298*F298*G298&lt;&gt;0,E298*F298*G298,IF(E298*F298&lt;&gt;0,E298*F298,IF(F298*G298&lt;&gt;0,F298*G298,IF(E298*G298&lt;&gt;0,E298*G298,IF(E298&lt;&gt;0,E298,IF(F298&lt;&gt;0,F298,IF(G298&lt;&gt;0,G298,0)))))))*(IF(H298&lt;&gt;0,H298,1))+I298-J298</f>
        <v>0</v>
      </c>
      <c r="L298" s="218"/>
    </row>
    <row r="299" spans="2:12">
      <c r="B299" s="202"/>
      <c r="C299" s="203"/>
      <c r="D299" s="203"/>
      <c r="E299" s="203"/>
      <c r="F299" s="203"/>
      <c r="G299" s="203"/>
      <c r="H299" s="204"/>
      <c r="I299" s="556" t="s">
        <v>1221</v>
      </c>
      <c r="J299" s="556"/>
      <c r="K299" s="220">
        <f>SUM(K296:K298)</f>
        <v>1746.9738000000002</v>
      </c>
      <c r="L299" s="207"/>
    </row>
    <row r="300" spans="2:12">
      <c r="B300" s="208"/>
      <c r="C300" s="204"/>
      <c r="D300" s="204"/>
      <c r="E300" s="204"/>
      <c r="F300" s="204"/>
      <c r="G300" s="204"/>
      <c r="H300" s="209"/>
      <c r="I300" s="557" t="s">
        <v>1222</v>
      </c>
      <c r="J300" s="557"/>
      <c r="K300" s="221">
        <v>1663.2</v>
      </c>
      <c r="L300" s="207"/>
    </row>
    <row r="301" spans="2:12">
      <c r="B301" s="208"/>
      <c r="C301" s="204"/>
      <c r="D301" s="204"/>
      <c r="E301" s="204"/>
      <c r="F301" s="204"/>
      <c r="G301" s="204"/>
      <c r="H301" s="558" t="s">
        <v>1223</v>
      </c>
      <c r="I301" s="558"/>
      <c r="J301" s="558"/>
      <c r="K301" s="222">
        <v>500.20190000000002</v>
      </c>
      <c r="L301" s="207"/>
    </row>
    <row r="302" spans="2:12">
      <c r="B302" s="208"/>
      <c r="C302" s="204"/>
      <c r="D302" s="204"/>
      <c r="E302" s="204"/>
      <c r="F302" s="204"/>
      <c r="G302" s="204"/>
      <c r="H302" s="558" t="s">
        <v>1250</v>
      </c>
      <c r="I302" s="558"/>
      <c r="J302" s="558"/>
      <c r="K302" s="222">
        <f>IF(K299&gt;K300,K300,K299)-K301</f>
        <v>1162.9981</v>
      </c>
      <c r="L302" s="207"/>
    </row>
    <row r="303" spans="2:12">
      <c r="B303" s="213"/>
      <c r="C303" s="214"/>
      <c r="D303" s="214"/>
      <c r="E303" s="214"/>
      <c r="F303" s="214"/>
      <c r="G303" s="214"/>
      <c r="H303" s="559" t="s">
        <v>1224</v>
      </c>
      <c r="I303" s="559"/>
      <c r="J303" s="559"/>
      <c r="K303" s="223">
        <f>IF(K299&gt;K300,K299-K300,0)</f>
        <v>83.773800000000165</v>
      </c>
      <c r="L303" s="209"/>
    </row>
    <row r="305" spans="2:12" ht="14.25" customHeight="1">
      <c r="B305" s="555" t="s">
        <v>1279</v>
      </c>
      <c r="C305" s="555"/>
      <c r="D305" s="555"/>
      <c r="E305" s="555"/>
      <c r="F305" s="555"/>
      <c r="G305" s="555"/>
      <c r="H305" s="555"/>
      <c r="I305" s="555"/>
      <c r="J305" s="555"/>
      <c r="K305" s="555"/>
      <c r="L305" s="555"/>
    </row>
    <row r="306" spans="2:12">
      <c r="B306" s="187" t="s">
        <v>1209</v>
      </c>
      <c r="C306" s="187"/>
      <c r="D306" s="187" t="s">
        <v>39</v>
      </c>
      <c r="E306" s="187" t="s">
        <v>1210</v>
      </c>
      <c r="F306" s="187" t="s">
        <v>1211</v>
      </c>
      <c r="G306" s="187" t="s">
        <v>1212</v>
      </c>
      <c r="H306" s="187" t="s">
        <v>1213</v>
      </c>
      <c r="I306" s="187" t="s">
        <v>1214</v>
      </c>
      <c r="J306" s="187" t="s">
        <v>1215</v>
      </c>
      <c r="K306" s="187" t="s">
        <v>1216</v>
      </c>
      <c r="L306" s="187" t="s">
        <v>1217</v>
      </c>
    </row>
    <row r="307" spans="2:12">
      <c r="B307" s="188" t="s">
        <v>1273</v>
      </c>
      <c r="C307" s="189" t="s">
        <v>1271</v>
      </c>
      <c r="D307" s="190" t="s">
        <v>1274</v>
      </c>
      <c r="E307" s="191">
        <v>3329</v>
      </c>
      <c r="F307" s="243">
        <v>0.96299999999999997</v>
      </c>
      <c r="G307" s="192">
        <v>1.1000000000000001</v>
      </c>
      <c r="H307" s="191"/>
      <c r="I307" s="191"/>
      <c r="J307" s="216"/>
      <c r="K307" s="217">
        <f>IF(E307*F307*G307&lt;&gt;0,E307*F307*G307,IF(E307*F307&lt;&gt;0,E307*F307,IF(F307*G307&lt;&gt;0,F307*G307,IF(E307*G307&lt;&gt;0,E307*G307,IF(E307&lt;&gt;0,E307,IF(F307&lt;&gt;0,F307,IF(G307&lt;&gt;0,G307,0)))))))*(IF(H307&lt;&gt;0,H307,1))+I307-J307</f>
        <v>3526.4097000000002</v>
      </c>
      <c r="L307" s="218"/>
    </row>
    <row r="308" spans="2:12">
      <c r="B308" s="188" t="s">
        <v>1275</v>
      </c>
      <c r="C308" s="189" t="s">
        <v>1333</v>
      </c>
      <c r="D308" s="190" t="s">
        <v>1274</v>
      </c>
      <c r="E308" s="191">
        <v>2624</v>
      </c>
      <c r="F308" s="243">
        <v>0.96299999999999997</v>
      </c>
      <c r="G308" s="192">
        <v>1.1000000000000001</v>
      </c>
      <c r="H308" s="191"/>
      <c r="I308" s="191"/>
      <c r="J308" s="216"/>
      <c r="K308" s="217">
        <f>IF(E308*F308*G308&lt;&gt;0,E308*F308*G308,IF(E308*F308&lt;&gt;0,E308*F308,IF(F308*G308&lt;&gt;0,F308*G308,IF(E308*G308&lt;&gt;0,E308*G308,IF(E308&lt;&gt;0,E308,IF(F308&lt;&gt;0,F308,IF(G308&lt;&gt;0,G308,0)))))))*(IF(H308&lt;&gt;0,H308,1))+I308-J308</f>
        <v>2779.6032</v>
      </c>
      <c r="L308" s="218"/>
    </row>
    <row r="309" spans="2:12">
      <c r="B309" s="197"/>
      <c r="C309" s="189"/>
      <c r="D309" s="198"/>
      <c r="E309" s="199"/>
      <c r="F309" s="244"/>
      <c r="G309" s="199"/>
      <c r="H309" s="199"/>
      <c r="I309" s="199"/>
      <c r="J309" s="219"/>
      <c r="K309" s="217">
        <f>IF(E309*F309*G309&lt;&gt;0,E309*F309*G309,IF(E309*F309&lt;&gt;0,E309*F309,IF(F309*G309&lt;&gt;0,F309*G309,IF(E309*G309&lt;&gt;0,E309*G309,IF(E309&lt;&gt;0,E309,IF(F309&lt;&gt;0,F309,IF(G309&lt;&gt;0,G309,0)))))))*(IF(H309&lt;&gt;0,H309,1))+I309-J309</f>
        <v>0</v>
      </c>
      <c r="L309" s="218"/>
    </row>
    <row r="310" spans="2:12">
      <c r="B310" s="202"/>
      <c r="C310" s="203"/>
      <c r="D310" s="203"/>
      <c r="E310" s="203"/>
      <c r="F310" s="203"/>
      <c r="G310" s="203"/>
      <c r="H310" s="204"/>
      <c r="I310" s="556" t="s">
        <v>1221</v>
      </c>
      <c r="J310" s="556"/>
      <c r="K310" s="220">
        <f>SUM(K307:K309)</f>
        <v>6306.0128999999997</v>
      </c>
      <c r="L310" s="207"/>
    </row>
    <row r="311" spans="2:12">
      <c r="B311" s="208"/>
      <c r="C311" s="204"/>
      <c r="D311" s="204"/>
      <c r="E311" s="204"/>
      <c r="F311" s="204"/>
      <c r="G311" s="204"/>
      <c r="H311" s="209"/>
      <c r="I311" s="557" t="s">
        <v>1222</v>
      </c>
      <c r="J311" s="557"/>
      <c r="K311" s="221">
        <v>4944.5</v>
      </c>
      <c r="L311" s="207"/>
    </row>
    <row r="312" spans="2:12">
      <c r="B312" s="208"/>
      <c r="C312" s="204"/>
      <c r="D312" s="204"/>
      <c r="E312" s="204"/>
      <c r="F312" s="204"/>
      <c r="G312" s="204"/>
      <c r="H312" s="558" t="s">
        <v>1223</v>
      </c>
      <c r="I312" s="558"/>
      <c r="J312" s="558"/>
      <c r="K312" s="222">
        <v>3541.0572999999999</v>
      </c>
      <c r="L312" s="207"/>
    </row>
    <row r="313" spans="2:12">
      <c r="B313" s="208"/>
      <c r="C313" s="204"/>
      <c r="D313" s="204"/>
      <c r="E313" s="204"/>
      <c r="F313" s="204"/>
      <c r="G313" s="204"/>
      <c r="H313" s="558" t="s">
        <v>1250</v>
      </c>
      <c r="I313" s="558"/>
      <c r="J313" s="558"/>
      <c r="K313" s="222">
        <f>IF(K310&gt;K311,K311,K310)-K312</f>
        <v>1403.4427000000001</v>
      </c>
      <c r="L313" s="207"/>
    </row>
    <row r="314" spans="2:12">
      <c r="B314" s="213"/>
      <c r="C314" s="214"/>
      <c r="D314" s="214"/>
      <c r="E314" s="214"/>
      <c r="F314" s="214"/>
      <c r="G314" s="214"/>
      <c r="H314" s="559" t="s">
        <v>1224</v>
      </c>
      <c r="I314" s="559"/>
      <c r="J314" s="559"/>
      <c r="K314" s="223">
        <f>IF(K310&gt;K311,K310-K311,0)</f>
        <v>1361.5128999999997</v>
      </c>
      <c r="L314" s="209"/>
    </row>
    <row r="316" spans="2:12" ht="14.25" customHeight="1">
      <c r="B316" s="555" t="s">
        <v>1280</v>
      </c>
      <c r="C316" s="555"/>
      <c r="D316" s="555"/>
      <c r="E316" s="555"/>
      <c r="F316" s="555"/>
      <c r="G316" s="555"/>
      <c r="H316" s="555"/>
      <c r="I316" s="555"/>
      <c r="J316" s="555"/>
      <c r="K316" s="555"/>
      <c r="L316" s="555"/>
    </row>
    <row r="317" spans="2:12">
      <c r="B317" s="187" t="s">
        <v>1209</v>
      </c>
      <c r="C317" s="187"/>
      <c r="D317" s="187" t="s">
        <v>39</v>
      </c>
      <c r="E317" s="187" t="s">
        <v>1210</v>
      </c>
      <c r="F317" s="187" t="s">
        <v>1211</v>
      </c>
      <c r="G317" s="187" t="s">
        <v>1212</v>
      </c>
      <c r="H317" s="187" t="s">
        <v>1213</v>
      </c>
      <c r="I317" s="187" t="s">
        <v>1214</v>
      </c>
      <c r="J317" s="187" t="s">
        <v>1215</v>
      </c>
      <c r="K317" s="187" t="s">
        <v>1216</v>
      </c>
      <c r="L317" s="187" t="s">
        <v>1217</v>
      </c>
    </row>
    <row r="318" spans="2:12">
      <c r="B318" s="188" t="s">
        <v>1273</v>
      </c>
      <c r="C318" s="189" t="s">
        <v>1271</v>
      </c>
      <c r="D318" s="190" t="s">
        <v>1274</v>
      </c>
      <c r="E318" s="191"/>
      <c r="F318" s="243"/>
      <c r="G318" s="192"/>
      <c r="H318" s="191"/>
      <c r="I318" s="191"/>
      <c r="J318" s="216"/>
      <c r="K318" s="217">
        <f>IF(E318*F318*G318&lt;&gt;0,E318*F318*G318,IF(E318*F318&lt;&gt;0,E318*F318,IF(F318*G318&lt;&gt;0,F318*G318,IF(E318*G318&lt;&gt;0,E318*G318,IF(E318&lt;&gt;0,E318,IF(F318&lt;&gt;0,F318,IF(G318&lt;&gt;0,G318,0)))))))*(IF(H318&lt;&gt;0,H318,1))+I318-J318</f>
        <v>0</v>
      </c>
      <c r="L318" s="218"/>
    </row>
    <row r="319" spans="2:12">
      <c r="B319" s="188" t="s">
        <v>1275</v>
      </c>
      <c r="C319" s="189" t="s">
        <v>1333</v>
      </c>
      <c r="D319" s="190" t="s">
        <v>1274</v>
      </c>
      <c r="E319" s="191">
        <v>67</v>
      </c>
      <c r="F319" s="243">
        <v>1.5780000000000001</v>
      </c>
      <c r="G319" s="192">
        <v>1.1000000000000001</v>
      </c>
      <c r="H319" s="191"/>
      <c r="I319" s="191"/>
      <c r="J319" s="216"/>
      <c r="K319" s="217">
        <f>IF(E319*F319*G319&lt;&gt;0,E319*F319*G319,IF(E319*F319&lt;&gt;0,E319*F319,IF(F319*G319&lt;&gt;0,F319*G319,IF(E319*G319&lt;&gt;0,E319*G319,IF(E319&lt;&gt;0,E319,IF(F319&lt;&gt;0,F319,IF(G319&lt;&gt;0,G319,0)))))))*(IF(H319&lt;&gt;0,H319,1))+I319-J319</f>
        <v>116.29860000000001</v>
      </c>
      <c r="L319" s="218"/>
    </row>
    <row r="320" spans="2:12">
      <c r="B320" s="197"/>
      <c r="C320" s="189"/>
      <c r="D320" s="198"/>
      <c r="E320" s="199"/>
      <c r="F320" s="199"/>
      <c r="G320" s="199"/>
      <c r="H320" s="199"/>
      <c r="I320" s="199"/>
      <c r="J320" s="219"/>
      <c r="K320" s="217">
        <f>IF(E320*F320*G320&lt;&gt;0,E320*F320*G320,IF(E320*F320&lt;&gt;0,E320*F320,IF(F320*G320&lt;&gt;0,F320*G320,IF(E320*G320&lt;&gt;0,E320*G320,IF(E320&lt;&gt;0,E320,IF(F320&lt;&gt;0,F320,IF(G320&lt;&gt;0,G320,0)))))))*(IF(H320&lt;&gt;0,H320,1))+I320-J320</f>
        <v>0</v>
      </c>
      <c r="L320" s="218"/>
    </row>
    <row r="321" spans="2:12">
      <c r="B321" s="202"/>
      <c r="C321" s="203"/>
      <c r="D321" s="203"/>
      <c r="E321" s="203"/>
      <c r="F321" s="203"/>
      <c r="G321" s="203"/>
      <c r="H321" s="204"/>
      <c r="I321" s="556" t="s">
        <v>1221</v>
      </c>
      <c r="J321" s="556"/>
      <c r="K321" s="220">
        <f>SUM(K318:K320)</f>
        <v>116.29860000000001</v>
      </c>
      <c r="L321" s="207"/>
    </row>
    <row r="322" spans="2:12">
      <c r="B322" s="208"/>
      <c r="C322" s="204"/>
      <c r="D322" s="204"/>
      <c r="E322" s="204"/>
      <c r="F322" s="204"/>
      <c r="G322" s="204"/>
      <c r="H322" s="209"/>
      <c r="I322" s="557" t="s">
        <v>1222</v>
      </c>
      <c r="J322" s="557"/>
      <c r="K322" s="221">
        <v>115.5</v>
      </c>
      <c r="L322" s="207"/>
    </row>
    <row r="323" spans="2:12">
      <c r="B323" s="208"/>
      <c r="C323" s="204"/>
      <c r="D323" s="204"/>
      <c r="E323" s="204"/>
      <c r="F323" s="204"/>
      <c r="G323" s="204"/>
      <c r="H323" s="558" t="s">
        <v>1223</v>
      </c>
      <c r="I323" s="558"/>
      <c r="J323" s="558"/>
      <c r="K323" s="222">
        <v>115.5</v>
      </c>
      <c r="L323" s="207"/>
    </row>
    <row r="324" spans="2:12">
      <c r="B324" s="208"/>
      <c r="C324" s="204"/>
      <c r="D324" s="204"/>
      <c r="E324" s="204"/>
      <c r="F324" s="204"/>
      <c r="G324" s="204"/>
      <c r="H324" s="558" t="s">
        <v>1250</v>
      </c>
      <c r="I324" s="558"/>
      <c r="J324" s="558"/>
      <c r="K324" s="222">
        <f>IF(K321&gt;K322,K322,K321)-K323</f>
        <v>0</v>
      </c>
      <c r="L324" s="207"/>
    </row>
    <row r="325" spans="2:12">
      <c r="B325" s="213"/>
      <c r="C325" s="214"/>
      <c r="D325" s="214"/>
      <c r="E325" s="214"/>
      <c r="F325" s="214"/>
      <c r="G325" s="214"/>
      <c r="H325" s="559" t="s">
        <v>1224</v>
      </c>
      <c r="I325" s="559"/>
      <c r="J325" s="559"/>
      <c r="K325" s="223">
        <f>IF(K321&gt;K322,K321-K322,0)</f>
        <v>0.79860000000000753</v>
      </c>
      <c r="L325" s="209"/>
    </row>
    <row r="327" spans="2:12" ht="14.25" customHeight="1">
      <c r="B327" s="555" t="s">
        <v>1281</v>
      </c>
      <c r="C327" s="555"/>
      <c r="D327" s="555"/>
      <c r="E327" s="555"/>
      <c r="F327" s="555"/>
      <c r="G327" s="555"/>
      <c r="H327" s="555"/>
      <c r="I327" s="555"/>
      <c r="J327" s="555"/>
      <c r="K327" s="555"/>
      <c r="L327" s="555"/>
    </row>
    <row r="328" spans="2:12">
      <c r="B328" s="187" t="s">
        <v>1209</v>
      </c>
      <c r="C328" s="187"/>
      <c r="D328" s="187" t="s">
        <v>39</v>
      </c>
      <c r="E328" s="187" t="s">
        <v>1210</v>
      </c>
      <c r="F328" s="187" t="s">
        <v>1211</v>
      </c>
      <c r="G328" s="187" t="s">
        <v>1212</v>
      </c>
      <c r="H328" s="187" t="s">
        <v>1213</v>
      </c>
      <c r="I328" s="187" t="s">
        <v>1214</v>
      </c>
      <c r="J328" s="187" t="s">
        <v>1215</v>
      </c>
      <c r="K328" s="187" t="s">
        <v>1216</v>
      </c>
      <c r="L328" s="187" t="s">
        <v>1217</v>
      </c>
    </row>
    <row r="329" spans="2:12">
      <c r="B329" s="188" t="s">
        <v>1273</v>
      </c>
      <c r="C329" s="189" t="s">
        <v>1271</v>
      </c>
      <c r="D329" s="190" t="s">
        <v>1274</v>
      </c>
      <c r="E329" s="191">
        <v>369</v>
      </c>
      <c r="F329" s="243">
        <v>2.4660000000000002</v>
      </c>
      <c r="G329" s="192">
        <v>1.1000000000000001</v>
      </c>
      <c r="H329" s="191"/>
      <c r="I329" s="191"/>
      <c r="J329" s="216"/>
      <c r="K329" s="217">
        <f>IF(E329*F329*G329&lt;&gt;0,E329*F329*G329,IF(E329*F329&lt;&gt;0,E329*F329,IF(F329*G329&lt;&gt;0,F329*G329,IF(E329*G329&lt;&gt;0,E329*G329,IF(E329&lt;&gt;0,E329,IF(F329&lt;&gt;0,F329,IF(G329&lt;&gt;0,G329,0)))))))*(IF(H329&lt;&gt;0,H329,1))+I329-J329</f>
        <v>1000.9494000000002</v>
      </c>
      <c r="L329" s="245" t="s">
        <v>1282</v>
      </c>
    </row>
    <row r="330" spans="2:12">
      <c r="B330" s="188" t="s">
        <v>1273</v>
      </c>
      <c r="C330" s="189" t="s">
        <v>1271</v>
      </c>
      <c r="D330" s="190" t="s">
        <v>1274</v>
      </c>
      <c r="E330" s="191">
        <v>623</v>
      </c>
      <c r="F330" s="243">
        <v>3.8530000000000002</v>
      </c>
      <c r="G330" s="192">
        <v>1.1000000000000001</v>
      </c>
      <c r="H330" s="191"/>
      <c r="I330" s="191"/>
      <c r="J330" s="216"/>
      <c r="K330" s="217">
        <f>IF(E330*F330*G330&lt;&gt;0,E330*F330*G330,IF(E330*F330&lt;&gt;0,E330*F330,IF(F330*G330&lt;&gt;0,F330*G330,IF(E330*G330&lt;&gt;0,E330*G330,IF(E330&lt;&gt;0,E330,IF(F330&lt;&gt;0,F330,IF(G330&lt;&gt;0,G330,0)))))))*(IF(H330&lt;&gt;0,H330,1))+I330-J330</f>
        <v>2640.4609000000005</v>
      </c>
      <c r="L330" s="245" t="s">
        <v>1283</v>
      </c>
    </row>
    <row r="331" spans="2:12">
      <c r="B331" s="188" t="s">
        <v>1275</v>
      </c>
      <c r="C331" s="189" t="s">
        <v>1333</v>
      </c>
      <c r="D331" s="190" t="s">
        <v>1274</v>
      </c>
      <c r="E331" s="191">
        <v>1522</v>
      </c>
      <c r="F331" s="243">
        <v>2.4660000000000002</v>
      </c>
      <c r="G331" s="192">
        <v>1.1000000000000001</v>
      </c>
      <c r="H331" s="191"/>
      <c r="I331" s="191"/>
      <c r="J331" s="216"/>
      <c r="K331" s="217">
        <f>IF(E331*F331*G331&lt;&gt;0,E331*F331*G331,IF(E331*F331&lt;&gt;0,E331*F331,IF(F331*G331&lt;&gt;0,F331*G331,IF(E331*G331&lt;&gt;0,E331*G331,IF(E331&lt;&gt;0,E331,IF(F331&lt;&gt;0,F331,IF(G331&lt;&gt;0,G331,0)))))))*(IF(H331&lt;&gt;0,H331,1))+I331-J331</f>
        <v>4128.5772000000006</v>
      </c>
      <c r="L331" s="245" t="s">
        <v>1282</v>
      </c>
    </row>
    <row r="332" spans="2:12">
      <c r="B332" s="197"/>
      <c r="C332" s="189"/>
      <c r="D332" s="198"/>
      <c r="E332" s="199"/>
      <c r="F332" s="244"/>
      <c r="G332" s="199"/>
      <c r="H332" s="199"/>
      <c r="I332" s="199"/>
      <c r="J332" s="219"/>
      <c r="K332" s="217">
        <f>IF(E332*F332*G332&lt;&gt;0,E332*F332*G332,IF(E332*F332&lt;&gt;0,E332*F332,IF(F332*G332&lt;&gt;0,F332*G332,IF(E332*G332&lt;&gt;0,E332*G332,IF(E332&lt;&gt;0,E332,IF(F332&lt;&gt;0,F332,IF(G332&lt;&gt;0,G332,0)))))))*(IF(H332&lt;&gt;0,H332,1))+I332-J332</f>
        <v>0</v>
      </c>
      <c r="L332" s="218"/>
    </row>
    <row r="333" spans="2:12">
      <c r="B333" s="202"/>
      <c r="C333" s="203"/>
      <c r="D333" s="203"/>
      <c r="E333" s="203"/>
      <c r="F333" s="203"/>
      <c r="G333" s="203"/>
      <c r="H333" s="204"/>
      <c r="I333" s="556" t="s">
        <v>1221</v>
      </c>
      <c r="J333" s="556"/>
      <c r="K333" s="220">
        <f>SUM(K329:K332)</f>
        <v>7769.9875000000011</v>
      </c>
      <c r="L333" s="207"/>
    </row>
    <row r="334" spans="2:12">
      <c r="B334" s="208"/>
      <c r="C334" s="204"/>
      <c r="D334" s="204"/>
      <c r="E334" s="204"/>
      <c r="F334" s="204"/>
      <c r="G334" s="204"/>
      <c r="H334" s="209"/>
      <c r="I334" s="557" t="s">
        <v>1222</v>
      </c>
      <c r="J334" s="557"/>
      <c r="K334" s="221">
        <v>7195.1</v>
      </c>
      <c r="L334" s="207"/>
    </row>
    <row r="335" spans="2:12">
      <c r="B335" s="208"/>
      <c r="C335" s="204"/>
      <c r="D335" s="204"/>
      <c r="E335" s="204"/>
      <c r="F335" s="204"/>
      <c r="G335" s="204"/>
      <c r="H335" s="558" t="s">
        <v>1223</v>
      </c>
      <c r="I335" s="558"/>
      <c r="J335" s="558"/>
      <c r="K335" s="222">
        <v>3641.4103</v>
      </c>
      <c r="L335" s="207"/>
    </row>
    <row r="336" spans="2:12">
      <c r="B336" s="208"/>
      <c r="C336" s="204"/>
      <c r="D336" s="204"/>
      <c r="E336" s="204"/>
      <c r="F336" s="204"/>
      <c r="G336" s="204"/>
      <c r="H336" s="558" t="s">
        <v>1250</v>
      </c>
      <c r="I336" s="558"/>
      <c r="J336" s="558"/>
      <c r="K336" s="222">
        <f>IF(K333&gt;K334,K334,K333)-K335</f>
        <v>3553.6897000000004</v>
      </c>
      <c r="L336" s="207"/>
    </row>
    <row r="337" spans="2:12">
      <c r="B337" s="213"/>
      <c r="C337" s="214"/>
      <c r="D337" s="214"/>
      <c r="E337" s="214"/>
      <c r="F337" s="214"/>
      <c r="G337" s="214"/>
      <c r="H337" s="559" t="s">
        <v>1224</v>
      </c>
      <c r="I337" s="559"/>
      <c r="J337" s="559"/>
      <c r="K337" s="223">
        <f>IF(K333&gt;K334,K333-K334,0)</f>
        <v>574.88750000000073</v>
      </c>
      <c r="L337" s="209"/>
    </row>
    <row r="339" spans="2:12" ht="14.25" customHeight="1">
      <c r="B339" s="555" t="s">
        <v>1284</v>
      </c>
      <c r="C339" s="555"/>
      <c r="D339" s="555"/>
      <c r="E339" s="555"/>
      <c r="F339" s="555"/>
      <c r="G339" s="555"/>
      <c r="H339" s="555"/>
      <c r="I339" s="555"/>
      <c r="J339" s="555"/>
      <c r="K339" s="555"/>
      <c r="L339" s="555"/>
    </row>
    <row r="340" spans="2:12">
      <c r="B340" s="187" t="s">
        <v>1209</v>
      </c>
      <c r="C340" s="187"/>
      <c r="D340" s="187" t="s">
        <v>39</v>
      </c>
      <c r="E340" s="187" t="s">
        <v>1210</v>
      </c>
      <c r="F340" s="187" t="s">
        <v>1211</v>
      </c>
      <c r="G340" s="187" t="s">
        <v>1212</v>
      </c>
      <c r="H340" s="187" t="s">
        <v>1213</v>
      </c>
      <c r="I340" s="187" t="s">
        <v>1214</v>
      </c>
      <c r="J340" s="187" t="s">
        <v>1215</v>
      </c>
      <c r="K340" s="187" t="s">
        <v>1216</v>
      </c>
      <c r="L340" s="187" t="s">
        <v>1217</v>
      </c>
    </row>
    <row r="341" spans="2:12">
      <c r="B341" s="197" t="s">
        <v>1285</v>
      </c>
      <c r="C341" s="189" t="s">
        <v>1271</v>
      </c>
      <c r="D341" s="198" t="s">
        <v>169</v>
      </c>
      <c r="E341" s="199">
        <v>1.9</v>
      </c>
      <c r="F341" s="244">
        <v>0.9</v>
      </c>
      <c r="G341" s="199">
        <v>0.7</v>
      </c>
      <c r="H341" s="199"/>
      <c r="I341" s="199"/>
      <c r="J341" s="219"/>
      <c r="K341" s="217">
        <f t="shared" ref="K341:K386" si="6">IF(E341*F341*G341&lt;&gt;0,E341*F341*G341,IF(E341*F341&lt;&gt;0,E341*F341,IF(F341*G341&lt;&gt;0,F341*G341,IF(E341*G341&lt;&gt;0,E341*G341,IF(E341&lt;&gt;0,E341,IF(F341&lt;&gt;0,F341,IF(G341&lt;&gt;0,G341,0)))))))*(IF(H341&lt;&gt;0,H341,1))+I341-J341</f>
        <v>1.1969999999999998</v>
      </c>
      <c r="L341" s="218"/>
    </row>
    <row r="342" spans="2:12">
      <c r="B342" s="197" t="s">
        <v>1286</v>
      </c>
      <c r="C342" s="189" t="s">
        <v>1271</v>
      </c>
      <c r="D342" s="198" t="s">
        <v>169</v>
      </c>
      <c r="E342" s="199">
        <v>2.2000000000000002</v>
      </c>
      <c r="F342" s="244">
        <v>2.2000000000000002</v>
      </c>
      <c r="G342" s="199">
        <v>1.1000000000000001</v>
      </c>
      <c r="H342" s="199"/>
      <c r="I342" s="199"/>
      <c r="J342" s="219"/>
      <c r="K342" s="217">
        <f t="shared" si="6"/>
        <v>5.3240000000000016</v>
      </c>
      <c r="L342" s="218"/>
    </row>
    <row r="343" spans="2:12">
      <c r="B343" s="197" t="s">
        <v>1287</v>
      </c>
      <c r="C343" s="189" t="s">
        <v>1271</v>
      </c>
      <c r="D343" s="198" t="s">
        <v>169</v>
      </c>
      <c r="E343" s="199">
        <v>2.2000000000000002</v>
      </c>
      <c r="F343" s="244">
        <v>2.2000000000000002</v>
      </c>
      <c r="G343" s="199">
        <v>1.1000000000000001</v>
      </c>
      <c r="H343" s="199"/>
      <c r="I343" s="199"/>
      <c r="J343" s="219"/>
      <c r="K343" s="217">
        <f t="shared" si="6"/>
        <v>5.3240000000000016</v>
      </c>
      <c r="L343" s="218"/>
    </row>
    <row r="344" spans="2:12">
      <c r="B344" s="197" t="s">
        <v>1288</v>
      </c>
      <c r="C344" s="189" t="s">
        <v>1271</v>
      </c>
      <c r="D344" s="198" t="s">
        <v>169</v>
      </c>
      <c r="E344" s="199">
        <v>1.9</v>
      </c>
      <c r="F344" s="244">
        <v>0.9</v>
      </c>
      <c r="G344" s="199">
        <v>1</v>
      </c>
      <c r="H344" s="199"/>
      <c r="I344" s="199"/>
      <c r="J344" s="219"/>
      <c r="K344" s="217">
        <f t="shared" si="6"/>
        <v>1.71</v>
      </c>
      <c r="L344" s="218"/>
    </row>
    <row r="345" spans="2:12">
      <c r="B345" s="197" t="s">
        <v>1289</v>
      </c>
      <c r="C345" s="189" t="s">
        <v>1271</v>
      </c>
      <c r="D345" s="198" t="s">
        <v>169</v>
      </c>
      <c r="E345" s="199">
        <v>1</v>
      </c>
      <c r="F345" s="244">
        <v>1</v>
      </c>
      <c r="G345" s="199">
        <v>0.9</v>
      </c>
      <c r="H345" s="199"/>
      <c r="I345" s="199"/>
      <c r="J345" s="219"/>
      <c r="K345" s="217">
        <f t="shared" si="6"/>
        <v>0.9</v>
      </c>
      <c r="L345" s="218"/>
    </row>
    <row r="346" spans="2:12">
      <c r="B346" s="197" t="s">
        <v>1290</v>
      </c>
      <c r="C346" s="189" t="s">
        <v>1271</v>
      </c>
      <c r="D346" s="198" t="s">
        <v>169</v>
      </c>
      <c r="E346" s="199"/>
      <c r="F346" s="244"/>
      <c r="G346" s="199"/>
      <c r="H346" s="199"/>
      <c r="I346" s="199">
        <v>2.95614</v>
      </c>
      <c r="J346" s="219"/>
      <c r="K346" s="217">
        <f t="shared" si="6"/>
        <v>2.95614</v>
      </c>
      <c r="L346" s="218"/>
    </row>
    <row r="347" spans="2:12">
      <c r="B347" s="197" t="s">
        <v>1291</v>
      </c>
      <c r="C347" s="189" t="s">
        <v>1271</v>
      </c>
      <c r="D347" s="198" t="s">
        <v>169</v>
      </c>
      <c r="E347" s="199">
        <v>2.2000000000000002</v>
      </c>
      <c r="F347" s="244">
        <v>2.2000000000000002</v>
      </c>
      <c r="G347" s="199">
        <v>1.1000000000000001</v>
      </c>
      <c r="H347" s="199"/>
      <c r="I347" s="199"/>
      <c r="J347" s="219"/>
      <c r="K347" s="217">
        <f t="shared" si="6"/>
        <v>5.3240000000000016</v>
      </c>
      <c r="L347" s="218"/>
    </row>
    <row r="348" spans="2:12">
      <c r="B348" s="197" t="s">
        <v>1292</v>
      </c>
      <c r="C348" s="189" t="s">
        <v>1271</v>
      </c>
      <c r="D348" s="198" t="s">
        <v>169</v>
      </c>
      <c r="E348" s="199">
        <v>2.2000000000000002</v>
      </c>
      <c r="F348" s="244">
        <v>2.2000000000000002</v>
      </c>
      <c r="G348" s="199">
        <v>1.1000000000000001</v>
      </c>
      <c r="H348" s="199"/>
      <c r="I348" s="199"/>
      <c r="J348" s="219"/>
      <c r="K348" s="217">
        <f t="shared" si="6"/>
        <v>5.3240000000000016</v>
      </c>
      <c r="L348" s="218"/>
    </row>
    <row r="349" spans="2:12">
      <c r="B349" s="197" t="s">
        <v>1293</v>
      </c>
      <c r="C349" s="189" t="s">
        <v>1271</v>
      </c>
      <c r="D349" s="198" t="s">
        <v>169</v>
      </c>
      <c r="E349" s="199">
        <v>2.2000000000000002</v>
      </c>
      <c r="F349" s="244">
        <v>2.2000000000000002</v>
      </c>
      <c r="G349" s="199">
        <v>1.1000000000000001</v>
      </c>
      <c r="H349" s="199"/>
      <c r="I349" s="199"/>
      <c r="J349" s="219"/>
      <c r="K349" s="217">
        <f t="shared" si="6"/>
        <v>5.3240000000000016</v>
      </c>
      <c r="L349" s="218"/>
    </row>
    <row r="350" spans="2:12">
      <c r="B350" s="197" t="s">
        <v>1294</v>
      </c>
      <c r="C350" s="189" t="s">
        <v>1271</v>
      </c>
      <c r="D350" s="198" t="s">
        <v>169</v>
      </c>
      <c r="E350" s="199">
        <v>1</v>
      </c>
      <c r="F350" s="244">
        <v>1</v>
      </c>
      <c r="G350" s="199">
        <v>0.7</v>
      </c>
      <c r="H350" s="199"/>
      <c r="I350" s="199"/>
      <c r="J350" s="219"/>
      <c r="K350" s="217">
        <f t="shared" si="6"/>
        <v>0.7</v>
      </c>
      <c r="L350" s="218"/>
    </row>
    <row r="351" spans="2:12">
      <c r="B351" s="197" t="s">
        <v>1295</v>
      </c>
      <c r="C351" s="189" t="s">
        <v>1271</v>
      </c>
      <c r="D351" s="198" t="s">
        <v>169</v>
      </c>
      <c r="E351" s="199"/>
      <c r="F351" s="244"/>
      <c r="G351" s="199"/>
      <c r="H351" s="199"/>
      <c r="I351" s="199">
        <v>2.95614</v>
      </c>
      <c r="J351" s="219"/>
      <c r="K351" s="217">
        <f t="shared" si="6"/>
        <v>2.95614</v>
      </c>
      <c r="L351" s="218"/>
    </row>
    <row r="352" spans="2:12">
      <c r="B352" s="197" t="s">
        <v>1336</v>
      </c>
      <c r="C352" s="189" t="s">
        <v>1271</v>
      </c>
      <c r="D352" s="198" t="s">
        <v>169</v>
      </c>
      <c r="E352" s="199">
        <v>2.2000000000000002</v>
      </c>
      <c r="F352" s="244">
        <v>2.2000000000000002</v>
      </c>
      <c r="G352" s="199">
        <v>1.1000000000000001</v>
      </c>
      <c r="H352" s="199"/>
      <c r="I352" s="199"/>
      <c r="J352" s="219"/>
      <c r="K352" s="217">
        <f t="shared" si="6"/>
        <v>5.3240000000000016</v>
      </c>
      <c r="L352" s="218"/>
    </row>
    <row r="353" spans="2:12">
      <c r="B353" s="197" t="s">
        <v>1337</v>
      </c>
      <c r="C353" s="189" t="s">
        <v>1271</v>
      </c>
      <c r="D353" s="198" t="s">
        <v>169</v>
      </c>
      <c r="E353" s="199">
        <v>2.2000000000000002</v>
      </c>
      <c r="F353" s="244">
        <v>2.2000000000000002</v>
      </c>
      <c r="G353" s="199">
        <v>1.1000000000000001</v>
      </c>
      <c r="H353" s="199"/>
      <c r="I353" s="199"/>
      <c r="J353" s="219"/>
      <c r="K353" s="217">
        <f t="shared" si="6"/>
        <v>5.3240000000000016</v>
      </c>
      <c r="L353" s="218"/>
    </row>
    <row r="354" spans="2:12">
      <c r="B354" s="197" t="s">
        <v>1338</v>
      </c>
      <c r="C354" s="189" t="s">
        <v>1271</v>
      </c>
      <c r="D354" s="198" t="s">
        <v>169</v>
      </c>
      <c r="E354" s="199">
        <v>2.2000000000000002</v>
      </c>
      <c r="F354" s="244">
        <v>2.2000000000000002</v>
      </c>
      <c r="G354" s="199">
        <v>1.1000000000000001</v>
      </c>
      <c r="H354" s="199"/>
      <c r="I354" s="199"/>
      <c r="J354" s="219"/>
      <c r="K354" s="217">
        <f t="shared" si="6"/>
        <v>5.3240000000000016</v>
      </c>
      <c r="L354" s="218"/>
    </row>
    <row r="355" spans="2:12">
      <c r="B355" s="197" t="s">
        <v>1339</v>
      </c>
      <c r="C355" s="189" t="s">
        <v>1271</v>
      </c>
      <c r="D355" s="198" t="s">
        <v>169</v>
      </c>
      <c r="E355" s="199">
        <v>1</v>
      </c>
      <c r="F355" s="244">
        <v>1</v>
      </c>
      <c r="G355" s="199">
        <v>0.7</v>
      </c>
      <c r="H355" s="199"/>
      <c r="I355" s="199"/>
      <c r="J355" s="219"/>
      <c r="K355" s="217">
        <f t="shared" si="6"/>
        <v>0.7</v>
      </c>
      <c r="L355" s="218"/>
    </row>
    <row r="356" spans="2:12">
      <c r="B356" s="197" t="s">
        <v>1340</v>
      </c>
      <c r="C356" s="189" t="s">
        <v>1271</v>
      </c>
      <c r="D356" s="198" t="s">
        <v>169</v>
      </c>
      <c r="E356" s="199">
        <v>1.9</v>
      </c>
      <c r="F356" s="244">
        <v>0.9</v>
      </c>
      <c r="G356" s="199">
        <v>0.7</v>
      </c>
      <c r="H356" s="199"/>
      <c r="I356" s="199"/>
      <c r="J356" s="219"/>
      <c r="K356" s="217">
        <f t="shared" si="6"/>
        <v>1.1969999999999998</v>
      </c>
      <c r="L356" s="218"/>
    </row>
    <row r="357" spans="2:12">
      <c r="B357" s="197" t="s">
        <v>1296</v>
      </c>
      <c r="C357" s="189" t="s">
        <v>1271</v>
      </c>
      <c r="D357" s="198" t="s">
        <v>169</v>
      </c>
      <c r="E357" s="199">
        <v>1.9</v>
      </c>
      <c r="F357" s="244">
        <v>0.9</v>
      </c>
      <c r="G357" s="199">
        <v>0.7</v>
      </c>
      <c r="H357" s="199"/>
      <c r="I357" s="199"/>
      <c r="J357" s="219"/>
      <c r="K357" s="217">
        <f t="shared" si="6"/>
        <v>1.1969999999999998</v>
      </c>
      <c r="L357" s="218"/>
    </row>
    <row r="358" spans="2:12">
      <c r="B358" s="197" t="s">
        <v>1341</v>
      </c>
      <c r="C358" s="189" t="s">
        <v>1271</v>
      </c>
      <c r="D358" s="198" t="s">
        <v>169</v>
      </c>
      <c r="E358" s="199"/>
      <c r="F358" s="244"/>
      <c r="G358" s="199"/>
      <c r="H358" s="199"/>
      <c r="I358" s="199">
        <v>2.95614</v>
      </c>
      <c r="J358" s="219"/>
      <c r="K358" s="217">
        <f t="shared" si="6"/>
        <v>2.95614</v>
      </c>
      <c r="L358" s="218"/>
    </row>
    <row r="359" spans="2:12">
      <c r="B359" s="197" t="s">
        <v>1342</v>
      </c>
      <c r="C359" s="189" t="s">
        <v>1333</v>
      </c>
      <c r="D359" s="198" t="s">
        <v>169</v>
      </c>
      <c r="E359" s="199">
        <v>3.14</v>
      </c>
      <c r="F359" s="244">
        <v>3.14</v>
      </c>
      <c r="G359" s="199">
        <v>2.1</v>
      </c>
      <c r="H359" s="199"/>
      <c r="I359" s="199"/>
      <c r="J359" s="219"/>
      <c r="K359" s="217">
        <f t="shared" si="6"/>
        <v>20.705160000000003</v>
      </c>
      <c r="L359" s="218"/>
    </row>
    <row r="360" spans="2:12">
      <c r="B360" s="197" t="s">
        <v>1343</v>
      </c>
      <c r="C360" s="189" t="s">
        <v>1333</v>
      </c>
      <c r="D360" s="198" t="s">
        <v>169</v>
      </c>
      <c r="E360" s="199">
        <v>2.2000000000000002</v>
      </c>
      <c r="F360" s="244">
        <v>2.2000000000000002</v>
      </c>
      <c r="G360" s="199">
        <v>1.1000000000000001</v>
      </c>
      <c r="H360" s="199"/>
      <c r="I360" s="199"/>
      <c r="J360" s="219"/>
      <c r="K360" s="217">
        <f t="shared" si="6"/>
        <v>5.3240000000000016</v>
      </c>
      <c r="L360" s="218"/>
    </row>
    <row r="361" spans="2:12">
      <c r="B361" s="197" t="s">
        <v>1297</v>
      </c>
      <c r="C361" s="189" t="s">
        <v>1333</v>
      </c>
      <c r="D361" s="198" t="s">
        <v>169</v>
      </c>
      <c r="E361" s="199">
        <v>3.4</v>
      </c>
      <c r="F361" s="244">
        <v>1</v>
      </c>
      <c r="G361" s="199">
        <v>1.2</v>
      </c>
      <c r="H361" s="199"/>
      <c r="I361" s="199"/>
      <c r="J361" s="219"/>
      <c r="K361" s="217">
        <f t="shared" si="6"/>
        <v>4.08</v>
      </c>
      <c r="L361" s="218"/>
    </row>
    <row r="362" spans="2:12">
      <c r="B362" s="197" t="s">
        <v>1344</v>
      </c>
      <c r="C362" s="189" t="s">
        <v>1333</v>
      </c>
      <c r="D362" s="198" t="s">
        <v>169</v>
      </c>
      <c r="E362" s="199">
        <v>2.2000000000000002</v>
      </c>
      <c r="F362" s="244">
        <v>2.2000000000000002</v>
      </c>
      <c r="G362" s="199">
        <v>1.1000000000000001</v>
      </c>
      <c r="H362" s="199"/>
      <c r="I362" s="199"/>
      <c r="J362" s="219"/>
      <c r="K362" s="217">
        <f t="shared" si="6"/>
        <v>5.3240000000000016</v>
      </c>
      <c r="L362" s="218"/>
    </row>
    <row r="363" spans="2:12">
      <c r="B363" s="197" t="s">
        <v>1345</v>
      </c>
      <c r="C363" s="189" t="s">
        <v>1333</v>
      </c>
      <c r="D363" s="198" t="s">
        <v>169</v>
      </c>
      <c r="E363" s="199">
        <v>2.2000000000000002</v>
      </c>
      <c r="F363" s="244">
        <v>2.2000000000000002</v>
      </c>
      <c r="G363" s="199">
        <v>1.1000000000000001</v>
      </c>
      <c r="H363" s="199"/>
      <c r="I363" s="199"/>
      <c r="J363" s="219"/>
      <c r="K363" s="217">
        <f t="shared" si="6"/>
        <v>5.3240000000000016</v>
      </c>
      <c r="L363" s="218"/>
    </row>
    <row r="364" spans="2:12">
      <c r="B364" s="197" t="s">
        <v>1298</v>
      </c>
      <c r="C364" s="189" t="s">
        <v>1333</v>
      </c>
      <c r="D364" s="198" t="s">
        <v>169</v>
      </c>
      <c r="E364" s="199">
        <v>3.4</v>
      </c>
      <c r="F364" s="244">
        <v>2.2000000000000002</v>
      </c>
      <c r="G364" s="199">
        <v>1.34</v>
      </c>
      <c r="H364" s="199"/>
      <c r="I364" s="199"/>
      <c r="J364" s="219"/>
      <c r="K364" s="217">
        <f t="shared" si="6"/>
        <v>10.023200000000001</v>
      </c>
      <c r="L364" s="218"/>
    </row>
    <row r="365" spans="2:12">
      <c r="B365" s="197" t="s">
        <v>1346</v>
      </c>
      <c r="C365" s="189" t="s">
        <v>1333</v>
      </c>
      <c r="D365" s="198" t="s">
        <v>169</v>
      </c>
      <c r="E365" s="199">
        <v>2.2000000000000002</v>
      </c>
      <c r="F365" s="244">
        <v>2.2000000000000002</v>
      </c>
      <c r="G365" s="199">
        <v>1.1000000000000001</v>
      </c>
      <c r="H365" s="199"/>
      <c r="I365" s="199"/>
      <c r="J365" s="219"/>
      <c r="K365" s="217">
        <f t="shared" si="6"/>
        <v>5.3240000000000016</v>
      </c>
      <c r="L365" s="218"/>
    </row>
    <row r="366" spans="2:12">
      <c r="B366" s="197" t="s">
        <v>1347</v>
      </c>
      <c r="C366" s="189" t="s">
        <v>1333</v>
      </c>
      <c r="D366" s="198" t="s">
        <v>169</v>
      </c>
      <c r="E366" s="199"/>
      <c r="F366" s="244"/>
      <c r="G366" s="199"/>
      <c r="H366" s="199"/>
      <c r="I366" s="199">
        <v>2.95614</v>
      </c>
      <c r="J366" s="219"/>
      <c r="K366" s="217">
        <f t="shared" si="6"/>
        <v>2.95614</v>
      </c>
      <c r="L366" s="218"/>
    </row>
    <row r="367" spans="2:12">
      <c r="B367" s="197" t="s">
        <v>1348</v>
      </c>
      <c r="C367" s="189" t="s">
        <v>1333</v>
      </c>
      <c r="D367" s="198" t="s">
        <v>169</v>
      </c>
      <c r="E367" s="199">
        <v>3.14</v>
      </c>
      <c r="F367" s="244">
        <v>3.14</v>
      </c>
      <c r="G367" s="199">
        <v>2.1</v>
      </c>
      <c r="H367" s="199"/>
      <c r="I367" s="199"/>
      <c r="J367" s="219"/>
      <c r="K367" s="217">
        <f t="shared" si="6"/>
        <v>20.705160000000003</v>
      </c>
      <c r="L367" s="218"/>
    </row>
    <row r="368" spans="2:12">
      <c r="B368" s="197" t="s">
        <v>1349</v>
      </c>
      <c r="C368" s="189" t="s">
        <v>1333</v>
      </c>
      <c r="D368" s="198" t="s">
        <v>169</v>
      </c>
      <c r="E368" s="199">
        <v>3.4</v>
      </c>
      <c r="F368" s="244">
        <v>2.2000000000000002</v>
      </c>
      <c r="G368" s="199">
        <v>1.1000000000000001</v>
      </c>
      <c r="H368" s="199"/>
      <c r="I368" s="199"/>
      <c r="J368" s="219"/>
      <c r="K368" s="217">
        <f t="shared" si="6"/>
        <v>8.2280000000000015</v>
      </c>
      <c r="L368" s="218"/>
    </row>
    <row r="369" spans="2:12">
      <c r="B369" s="197" t="s">
        <v>1350</v>
      </c>
      <c r="C369" s="189" t="s">
        <v>1333</v>
      </c>
      <c r="D369" s="198" t="s">
        <v>169</v>
      </c>
      <c r="E369" s="199">
        <v>3.4</v>
      </c>
      <c r="F369" s="244">
        <v>2.2000000000000002</v>
      </c>
      <c r="G369" s="199">
        <v>1.1000000000000001</v>
      </c>
      <c r="H369" s="199"/>
      <c r="I369" s="199"/>
      <c r="J369" s="219"/>
      <c r="K369" s="217">
        <f t="shared" si="6"/>
        <v>8.2280000000000015</v>
      </c>
      <c r="L369" s="218"/>
    </row>
    <row r="370" spans="2:12">
      <c r="B370" s="197" t="s">
        <v>1351</v>
      </c>
      <c r="C370" s="189" t="s">
        <v>1333</v>
      </c>
      <c r="D370" s="198" t="s">
        <v>169</v>
      </c>
      <c r="E370" s="199">
        <v>2.2000000000000002</v>
      </c>
      <c r="F370" s="244">
        <v>2.2000000000000002</v>
      </c>
      <c r="G370" s="199">
        <v>1.1000000000000001</v>
      </c>
      <c r="H370" s="199"/>
      <c r="I370" s="199"/>
      <c r="J370" s="219"/>
      <c r="K370" s="217">
        <f t="shared" si="6"/>
        <v>5.3240000000000016</v>
      </c>
      <c r="L370" s="218"/>
    </row>
    <row r="371" spans="2:12">
      <c r="B371" s="197" t="s">
        <v>1352</v>
      </c>
      <c r="C371" s="189" t="s">
        <v>1333</v>
      </c>
      <c r="D371" s="198" t="s">
        <v>169</v>
      </c>
      <c r="E371" s="199">
        <v>1</v>
      </c>
      <c r="F371" s="244">
        <v>1</v>
      </c>
      <c r="G371" s="199">
        <v>0.7</v>
      </c>
      <c r="H371" s="199"/>
      <c r="I371" s="199"/>
      <c r="J371" s="219"/>
      <c r="K371" s="217">
        <f t="shared" si="6"/>
        <v>0.7</v>
      </c>
      <c r="L371" s="218"/>
    </row>
    <row r="372" spans="2:12">
      <c r="B372" s="197" t="s">
        <v>1353</v>
      </c>
      <c r="C372" s="189" t="s">
        <v>1333</v>
      </c>
      <c r="D372" s="198" t="s">
        <v>169</v>
      </c>
      <c r="E372" s="199">
        <v>1</v>
      </c>
      <c r="F372" s="244">
        <v>1</v>
      </c>
      <c r="G372" s="199">
        <v>0.7</v>
      </c>
      <c r="H372" s="199"/>
      <c r="I372" s="199"/>
      <c r="J372" s="219"/>
      <c r="K372" s="217">
        <f t="shared" si="6"/>
        <v>0.7</v>
      </c>
      <c r="L372" s="218"/>
    </row>
    <row r="373" spans="2:12">
      <c r="B373" s="197" t="s">
        <v>1354</v>
      </c>
      <c r="C373" s="189" t="s">
        <v>1333</v>
      </c>
      <c r="D373" s="198" t="s">
        <v>169</v>
      </c>
      <c r="E373" s="199">
        <v>1</v>
      </c>
      <c r="F373" s="244">
        <v>1</v>
      </c>
      <c r="G373" s="199">
        <v>0.7</v>
      </c>
      <c r="H373" s="199"/>
      <c r="I373" s="199"/>
      <c r="J373" s="219"/>
      <c r="K373" s="217">
        <f t="shared" si="6"/>
        <v>0.7</v>
      </c>
      <c r="L373" s="218"/>
    </row>
    <row r="374" spans="2:12">
      <c r="B374" s="197" t="s">
        <v>1355</v>
      </c>
      <c r="C374" s="189" t="s">
        <v>1333</v>
      </c>
      <c r="D374" s="198" t="s">
        <v>169</v>
      </c>
      <c r="E374" s="199">
        <v>1</v>
      </c>
      <c r="F374" s="244">
        <v>1</v>
      </c>
      <c r="G374" s="199">
        <v>0.7</v>
      </c>
      <c r="H374" s="199"/>
      <c r="I374" s="199"/>
      <c r="J374" s="219"/>
      <c r="K374" s="217">
        <f t="shared" si="6"/>
        <v>0.7</v>
      </c>
      <c r="L374" s="218"/>
    </row>
    <row r="375" spans="2:12">
      <c r="B375" s="197" t="s">
        <v>1356</v>
      </c>
      <c r="C375" s="189" t="s">
        <v>1333</v>
      </c>
      <c r="D375" s="198" t="s">
        <v>169</v>
      </c>
      <c r="E375" s="199">
        <v>2.2000000000000002</v>
      </c>
      <c r="F375" s="244">
        <v>2.2000000000000002</v>
      </c>
      <c r="G375" s="199">
        <v>1.1000000000000001</v>
      </c>
      <c r="H375" s="199"/>
      <c r="I375" s="199"/>
      <c r="J375" s="219"/>
      <c r="K375" s="217">
        <f t="shared" si="6"/>
        <v>5.3240000000000016</v>
      </c>
      <c r="L375" s="218"/>
    </row>
    <row r="376" spans="2:12">
      <c r="B376" s="197" t="s">
        <v>1357</v>
      </c>
      <c r="C376" s="189" t="s">
        <v>1333</v>
      </c>
      <c r="D376" s="198" t="s">
        <v>169</v>
      </c>
      <c r="E376" s="199">
        <v>2.2000000000000002</v>
      </c>
      <c r="F376" s="244">
        <v>2.2000000000000002</v>
      </c>
      <c r="G376" s="199">
        <v>1.1000000000000001</v>
      </c>
      <c r="H376" s="199"/>
      <c r="I376" s="199"/>
      <c r="J376" s="219"/>
      <c r="K376" s="217">
        <f t="shared" si="6"/>
        <v>5.3240000000000016</v>
      </c>
      <c r="L376" s="218"/>
    </row>
    <row r="377" spans="2:12">
      <c r="B377" s="197" t="s">
        <v>1358</v>
      </c>
      <c r="C377" s="189" t="s">
        <v>1333</v>
      </c>
      <c r="D377" s="198" t="s">
        <v>169</v>
      </c>
      <c r="E377" s="199">
        <v>2.2000000000000002</v>
      </c>
      <c r="F377" s="244">
        <v>2.2000000000000002</v>
      </c>
      <c r="G377" s="199">
        <v>1.1000000000000001</v>
      </c>
      <c r="H377" s="199"/>
      <c r="I377" s="199"/>
      <c r="J377" s="219"/>
      <c r="K377" s="217">
        <f t="shared" si="6"/>
        <v>5.3240000000000016</v>
      </c>
      <c r="L377" s="218"/>
    </row>
    <row r="378" spans="2:12">
      <c r="B378" s="197" t="s">
        <v>1359</v>
      </c>
      <c r="C378" s="189" t="s">
        <v>1333</v>
      </c>
      <c r="D378" s="198" t="s">
        <v>169</v>
      </c>
      <c r="E378" s="199">
        <v>2.2000000000000002</v>
      </c>
      <c r="F378" s="244">
        <v>2.2000000000000002</v>
      </c>
      <c r="G378" s="199">
        <v>1.1000000000000001</v>
      </c>
      <c r="H378" s="199"/>
      <c r="I378" s="199"/>
      <c r="J378" s="219"/>
      <c r="K378" s="217">
        <f t="shared" si="6"/>
        <v>5.3240000000000016</v>
      </c>
      <c r="L378" s="218"/>
    </row>
    <row r="379" spans="2:12">
      <c r="B379" s="197" t="s">
        <v>1360</v>
      </c>
      <c r="C379" s="189" t="s">
        <v>1333</v>
      </c>
      <c r="D379" s="198" t="s">
        <v>169</v>
      </c>
      <c r="E379" s="199">
        <v>1</v>
      </c>
      <c r="F379" s="244">
        <v>1</v>
      </c>
      <c r="G379" s="199">
        <v>0.7</v>
      </c>
      <c r="H379" s="199"/>
      <c r="I379" s="199"/>
      <c r="J379" s="219"/>
      <c r="K379" s="217">
        <f t="shared" si="6"/>
        <v>0.7</v>
      </c>
      <c r="L379" s="218"/>
    </row>
    <row r="380" spans="2:12">
      <c r="B380" s="197" t="s">
        <v>1361</v>
      </c>
      <c r="C380" s="189" t="s">
        <v>1333</v>
      </c>
      <c r="D380" s="198" t="s">
        <v>169</v>
      </c>
      <c r="E380" s="199">
        <v>1</v>
      </c>
      <c r="F380" s="244">
        <v>1</v>
      </c>
      <c r="G380" s="199">
        <v>0.7</v>
      </c>
      <c r="H380" s="199"/>
      <c r="I380" s="199"/>
      <c r="J380" s="219"/>
      <c r="K380" s="217">
        <f t="shared" si="6"/>
        <v>0.7</v>
      </c>
      <c r="L380" s="218"/>
    </row>
    <row r="381" spans="2:12">
      <c r="B381" s="197" t="s">
        <v>1362</v>
      </c>
      <c r="C381" s="189" t="s">
        <v>1333</v>
      </c>
      <c r="D381" s="198" t="s">
        <v>169</v>
      </c>
      <c r="E381" s="199">
        <v>2.2000000000000002</v>
      </c>
      <c r="F381" s="244">
        <v>2.2000000000000002</v>
      </c>
      <c r="G381" s="199">
        <v>1.1000000000000001</v>
      </c>
      <c r="H381" s="199"/>
      <c r="I381" s="199"/>
      <c r="J381" s="219"/>
      <c r="K381" s="217">
        <f t="shared" si="6"/>
        <v>5.3240000000000016</v>
      </c>
      <c r="L381" s="218"/>
    </row>
    <row r="382" spans="2:12">
      <c r="B382" s="197" t="s">
        <v>1363</v>
      </c>
      <c r="C382" s="189" t="s">
        <v>1333</v>
      </c>
      <c r="D382" s="198" t="s">
        <v>169</v>
      </c>
      <c r="E382" s="199">
        <v>2.2000000000000002</v>
      </c>
      <c r="F382" s="244">
        <v>2.2000000000000002</v>
      </c>
      <c r="G382" s="199">
        <v>1.1000000000000001</v>
      </c>
      <c r="H382" s="199"/>
      <c r="I382" s="199"/>
      <c r="J382" s="219"/>
      <c r="K382" s="217">
        <f t="shared" si="6"/>
        <v>5.3240000000000016</v>
      </c>
      <c r="L382" s="218"/>
    </row>
    <row r="383" spans="2:12">
      <c r="B383" s="197" t="s">
        <v>1364</v>
      </c>
      <c r="C383" s="189" t="s">
        <v>1333</v>
      </c>
      <c r="D383" s="198" t="s">
        <v>169</v>
      </c>
      <c r="E383" s="199">
        <v>1.9</v>
      </c>
      <c r="F383" s="244">
        <v>0.9</v>
      </c>
      <c r="G383" s="199">
        <v>1</v>
      </c>
      <c r="H383" s="199"/>
      <c r="I383" s="199"/>
      <c r="J383" s="219"/>
      <c r="K383" s="217">
        <f t="shared" si="6"/>
        <v>1.71</v>
      </c>
      <c r="L383" s="218"/>
    </row>
    <row r="384" spans="2:12">
      <c r="B384" s="197" t="s">
        <v>1442</v>
      </c>
      <c r="C384" s="189" t="s">
        <v>1441</v>
      </c>
      <c r="D384" s="198" t="s">
        <v>169</v>
      </c>
      <c r="E384" s="199">
        <v>3.4</v>
      </c>
      <c r="F384" s="244">
        <v>2</v>
      </c>
      <c r="G384" s="199">
        <v>1.3</v>
      </c>
      <c r="H384" s="199"/>
      <c r="I384" s="199"/>
      <c r="J384" s="219"/>
      <c r="K384" s="217">
        <f t="shared" si="6"/>
        <v>8.84</v>
      </c>
      <c r="L384" s="218"/>
    </row>
    <row r="385" spans="2:12">
      <c r="B385" s="197" t="s">
        <v>1443</v>
      </c>
      <c r="C385" s="189" t="s">
        <v>1441</v>
      </c>
      <c r="D385" s="198" t="s">
        <v>169</v>
      </c>
      <c r="E385" s="199">
        <v>3.4</v>
      </c>
      <c r="F385" s="244">
        <v>2</v>
      </c>
      <c r="G385" s="199">
        <v>1.3</v>
      </c>
      <c r="H385" s="199"/>
      <c r="I385" s="199">
        <f>0.01/'BM 005'!L78</f>
        <v>1.051856435491579E-5</v>
      </c>
      <c r="J385" s="219"/>
      <c r="K385" s="217">
        <f t="shared" si="6"/>
        <v>8.8400105185643554</v>
      </c>
      <c r="L385" s="218"/>
    </row>
    <row r="386" spans="2:12">
      <c r="B386" s="197"/>
      <c r="C386" s="189"/>
      <c r="D386" s="198"/>
      <c r="E386" s="199"/>
      <c r="F386" s="244"/>
      <c r="G386" s="199"/>
      <c r="H386" s="199"/>
      <c r="I386" s="199"/>
      <c r="J386" s="219"/>
      <c r="K386" s="217">
        <f t="shared" si="6"/>
        <v>0</v>
      </c>
      <c r="L386" s="218"/>
    </row>
    <row r="387" spans="2:12">
      <c r="B387" s="202"/>
      <c r="C387" s="203"/>
      <c r="D387" s="203"/>
      <c r="E387" s="203"/>
      <c r="F387" s="203"/>
      <c r="G387" s="203"/>
      <c r="H387" s="204"/>
      <c r="I387" s="556" t="s">
        <v>1221</v>
      </c>
      <c r="J387" s="556"/>
      <c r="K387" s="220">
        <f>SUM(K341:K386)</f>
        <v>216.14109051856443</v>
      </c>
      <c r="L387" s="207"/>
    </row>
    <row r="388" spans="2:12">
      <c r="B388" s="208"/>
      <c r="C388" s="204"/>
      <c r="D388" s="204"/>
      <c r="E388" s="204"/>
      <c r="F388" s="204"/>
      <c r="G388" s="204"/>
      <c r="H388" s="209"/>
      <c r="I388" s="557" t="s">
        <v>1222</v>
      </c>
      <c r="J388" s="557"/>
      <c r="K388" s="221">
        <v>213.07</v>
      </c>
      <c r="L388" s="207"/>
    </row>
    <row r="389" spans="2:12">
      <c r="B389" s="208"/>
      <c r="C389" s="204"/>
      <c r="D389" s="204"/>
      <c r="E389" s="204"/>
      <c r="F389" s="204"/>
      <c r="G389" s="204"/>
      <c r="H389" s="558" t="s">
        <v>1223</v>
      </c>
      <c r="I389" s="558"/>
      <c r="J389" s="558"/>
      <c r="K389" s="222">
        <v>198.46108000000001</v>
      </c>
      <c r="L389" s="207"/>
    </row>
    <row r="390" spans="2:12">
      <c r="B390" s="208"/>
      <c r="C390" s="204"/>
      <c r="D390" s="204"/>
      <c r="E390" s="204"/>
      <c r="F390" s="204"/>
      <c r="G390" s="204"/>
      <c r="H390" s="558" t="s">
        <v>1431</v>
      </c>
      <c r="I390" s="558"/>
      <c r="J390" s="558"/>
      <c r="K390" s="222">
        <f>IF(K387&gt;K388,K388,K387)-K389+0.0000105185643549158</f>
        <v>14.608930518564339</v>
      </c>
      <c r="L390" s="207"/>
    </row>
    <row r="391" spans="2:12">
      <c r="B391" s="213"/>
      <c r="C391" s="214"/>
      <c r="D391" s="214"/>
      <c r="E391" s="214"/>
      <c r="F391" s="214"/>
      <c r="G391" s="214"/>
      <c r="H391" s="559" t="s">
        <v>1224</v>
      </c>
      <c r="I391" s="559"/>
      <c r="J391" s="559"/>
      <c r="K391" s="223">
        <f>IF(K387&gt;K388,K387-K388,0)</f>
        <v>3.0710905185644322</v>
      </c>
      <c r="L391" s="209"/>
    </row>
    <row r="393" spans="2:12" ht="14.25" customHeight="1">
      <c r="B393" s="555" t="s">
        <v>1300</v>
      </c>
      <c r="C393" s="555"/>
      <c r="D393" s="555"/>
      <c r="E393" s="555"/>
      <c r="F393" s="555"/>
      <c r="G393" s="555"/>
      <c r="H393" s="555"/>
      <c r="I393" s="555"/>
      <c r="J393" s="555"/>
      <c r="K393" s="555"/>
      <c r="L393" s="555"/>
    </row>
    <row r="394" spans="2:12">
      <c r="B394" s="187" t="s">
        <v>1209</v>
      </c>
      <c r="C394" s="187"/>
      <c r="D394" s="187" t="s">
        <v>39</v>
      </c>
      <c r="E394" s="187" t="s">
        <v>1210</v>
      </c>
      <c r="F394" s="187" t="s">
        <v>1211</v>
      </c>
      <c r="G394" s="187" t="s">
        <v>1212</v>
      </c>
      <c r="H394" s="187" t="s">
        <v>1213</v>
      </c>
      <c r="I394" s="187" t="s">
        <v>1214</v>
      </c>
      <c r="J394" s="187" t="s">
        <v>1215</v>
      </c>
      <c r="K394" s="187" t="s">
        <v>1216</v>
      </c>
      <c r="L394" s="187" t="s">
        <v>1217</v>
      </c>
    </row>
    <row r="395" spans="2:12">
      <c r="B395" s="188" t="s">
        <v>1301</v>
      </c>
      <c r="C395" s="189" t="s">
        <v>1271</v>
      </c>
      <c r="D395" s="190" t="s">
        <v>1274</v>
      </c>
      <c r="E395" s="191">
        <v>646</v>
      </c>
      <c r="F395" s="243">
        <v>0.16</v>
      </c>
      <c r="G395" s="192"/>
      <c r="H395" s="191">
        <v>1.1000000000000001</v>
      </c>
      <c r="I395" s="191"/>
      <c r="J395" s="216"/>
      <c r="K395" s="217">
        <f>IF(E395*F395*G395&lt;&gt;0,E395*F395*G395,IF(E395*F395&lt;&gt;0,E395*F395,IF(F395*G395&lt;&gt;0,F395*G395,IF(E395*G395&lt;&gt;0,E395*G395,IF(E395&lt;&gt;0,E395,IF(F395&lt;&gt;0,F395,IF(G395&lt;&gt;0,G395,0)))))))*(IF(H395&lt;&gt;0,H395,1))+I395-J395</f>
        <v>113.69600000000001</v>
      </c>
      <c r="L395" s="218"/>
    </row>
    <row r="396" spans="2:12">
      <c r="B396" s="188" t="s">
        <v>1302</v>
      </c>
      <c r="C396" s="189" t="s">
        <v>1271</v>
      </c>
      <c r="D396" s="190" t="s">
        <v>1274</v>
      </c>
      <c r="E396" s="191">
        <v>348</v>
      </c>
      <c r="F396" s="243">
        <v>0.16</v>
      </c>
      <c r="G396" s="192"/>
      <c r="H396" s="191">
        <v>1.1000000000000001</v>
      </c>
      <c r="I396" s="191"/>
      <c r="J396" s="216"/>
      <c r="K396" s="217">
        <f>IF(E396*F396*G396&lt;&gt;0,E396*F396*G396,IF(E396*F396&lt;&gt;0,E396*F396,IF(F396*G396&lt;&gt;0,F396*G396,IF(E396*G396&lt;&gt;0,E396*G396,IF(E396&lt;&gt;0,E396,IF(F396&lt;&gt;0,F396,IF(G396&lt;&gt;0,G396,0)))))))*(IF(H396&lt;&gt;0,H396,1))+I396-J396</f>
        <v>61.248000000000005</v>
      </c>
      <c r="L396" s="218"/>
    </row>
    <row r="397" spans="2:12">
      <c r="B397" s="188" t="s">
        <v>1365</v>
      </c>
      <c r="C397" s="189" t="s">
        <v>1271</v>
      </c>
      <c r="D397" s="190" t="s">
        <v>1274</v>
      </c>
      <c r="E397" s="191">
        <v>43.18</v>
      </c>
      <c r="F397" s="243"/>
      <c r="G397" s="192"/>
      <c r="H397" s="191">
        <v>0.26</v>
      </c>
      <c r="I397" s="191"/>
      <c r="J397" s="216"/>
      <c r="K397" s="217">
        <f>IF(E397*F397*G397&lt;&gt;0,E397*F397*G397,IF(E397*F397&lt;&gt;0,E397*F397,IF(F397*G397&lt;&gt;0,F397*G397,IF(E397*G397&lt;&gt;0,E397*G397,IF(E397&lt;&gt;0,E397,IF(F397&lt;&gt;0,F397,IF(G397&lt;&gt;0,G397,0)))))))*(IF(H397&lt;&gt;0,H397,1))+I397-J397</f>
        <v>11.226800000000001</v>
      </c>
      <c r="L397" s="245" t="s">
        <v>1366</v>
      </c>
    </row>
    <row r="398" spans="2:12">
      <c r="B398" s="197"/>
      <c r="C398" s="189"/>
      <c r="D398" s="198"/>
      <c r="E398" s="199"/>
      <c r="F398" s="244"/>
      <c r="G398" s="199"/>
      <c r="H398" s="199"/>
      <c r="I398" s="199"/>
      <c r="J398" s="219"/>
      <c r="K398" s="217">
        <f>IF(E398*F398*G398&lt;&gt;0,E398*F398*G398,IF(E398*F398&lt;&gt;0,E398*F398,IF(F398*G398&lt;&gt;0,F398*G398,IF(E398*G398&lt;&gt;0,E398*G398,IF(E398&lt;&gt;0,E398,IF(F398&lt;&gt;0,F398,IF(G398&lt;&gt;0,G398,0)))))))*(IF(H398&lt;&gt;0,H398,1))+I398-J398</f>
        <v>0</v>
      </c>
      <c r="L398" s="218"/>
    </row>
    <row r="399" spans="2:12">
      <c r="B399" s="202"/>
      <c r="C399" s="203"/>
      <c r="D399" s="203"/>
      <c r="E399" s="203"/>
      <c r="F399" s="203"/>
      <c r="G399" s="203"/>
      <c r="H399" s="204"/>
      <c r="I399" s="556" t="s">
        <v>1221</v>
      </c>
      <c r="J399" s="556"/>
      <c r="K399" s="220">
        <f>SUM(K395:K398)</f>
        <v>186.17080000000001</v>
      </c>
      <c r="L399" s="207"/>
    </row>
    <row r="400" spans="2:12">
      <c r="B400" s="208"/>
      <c r="C400" s="204"/>
      <c r="D400" s="204"/>
      <c r="E400" s="204"/>
      <c r="F400" s="204"/>
      <c r="G400" s="204"/>
      <c r="H400" s="209"/>
      <c r="I400" s="557" t="s">
        <v>1222</v>
      </c>
      <c r="J400" s="557"/>
      <c r="K400" s="221">
        <v>185.9</v>
      </c>
      <c r="L400" s="207"/>
    </row>
    <row r="401" spans="2:12">
      <c r="B401" s="208"/>
      <c r="C401" s="204"/>
      <c r="D401" s="204"/>
      <c r="E401" s="204"/>
      <c r="F401" s="204"/>
      <c r="G401" s="204"/>
      <c r="H401" s="558" t="s">
        <v>1223</v>
      </c>
      <c r="I401" s="558"/>
      <c r="J401" s="558"/>
      <c r="K401" s="222">
        <v>163.02440000000001</v>
      </c>
      <c r="L401" s="207"/>
    </row>
    <row r="402" spans="2:12">
      <c r="B402" s="208"/>
      <c r="C402" s="204"/>
      <c r="D402" s="204"/>
      <c r="E402" s="204"/>
      <c r="F402" s="204"/>
      <c r="G402" s="204"/>
      <c r="H402" s="558" t="s">
        <v>1250</v>
      </c>
      <c r="I402" s="558"/>
      <c r="J402" s="558"/>
      <c r="K402" s="222">
        <f>IF(K399&gt;K400,K400,K399)-K401</f>
        <v>22.875599999999991</v>
      </c>
      <c r="L402" s="246">
        <f>K400-K399</f>
        <v>-0.27080000000000837</v>
      </c>
    </row>
    <row r="403" spans="2:12">
      <c r="B403" s="213"/>
      <c r="C403" s="214"/>
      <c r="D403" s="214"/>
      <c r="E403" s="214"/>
      <c r="F403" s="214"/>
      <c r="G403" s="214"/>
      <c r="H403" s="559" t="s">
        <v>1224</v>
      </c>
      <c r="I403" s="559"/>
      <c r="J403" s="559"/>
      <c r="K403" s="223">
        <f>IF(K399&gt;K400,K399-K400,0)</f>
        <v>0.27080000000000837</v>
      </c>
      <c r="L403" s="209"/>
    </row>
    <row r="405" spans="2:12" ht="14.25" customHeight="1">
      <c r="B405" s="555" t="s">
        <v>1303</v>
      </c>
      <c r="C405" s="555"/>
      <c r="D405" s="555"/>
      <c r="E405" s="555"/>
      <c r="F405" s="555"/>
      <c r="G405" s="555"/>
      <c r="H405" s="555"/>
      <c r="I405" s="555"/>
      <c r="J405" s="555"/>
      <c r="K405" s="555"/>
      <c r="L405" s="555"/>
    </row>
    <row r="406" spans="2:12">
      <c r="B406" s="187" t="s">
        <v>1209</v>
      </c>
      <c r="C406" s="187"/>
      <c r="D406" s="187" t="s">
        <v>39</v>
      </c>
      <c r="E406" s="187" t="s">
        <v>1210</v>
      </c>
      <c r="F406" s="187" t="s">
        <v>1211</v>
      </c>
      <c r="G406" s="187" t="s">
        <v>1212</v>
      </c>
      <c r="H406" s="187" t="s">
        <v>1213</v>
      </c>
      <c r="I406" s="187" t="s">
        <v>1214</v>
      </c>
      <c r="J406" s="187" t="s">
        <v>1215</v>
      </c>
      <c r="K406" s="187" t="s">
        <v>1216</v>
      </c>
      <c r="L406" s="187" t="s">
        <v>1217</v>
      </c>
    </row>
    <row r="407" spans="2:12">
      <c r="B407" s="188" t="s">
        <v>1301</v>
      </c>
      <c r="C407" s="189" t="s">
        <v>1271</v>
      </c>
      <c r="D407" s="190" t="s">
        <v>1274</v>
      </c>
      <c r="E407" s="191">
        <v>257</v>
      </c>
      <c r="F407" s="243">
        <v>0.245</v>
      </c>
      <c r="G407" s="192"/>
      <c r="H407" s="191">
        <v>1.1000000000000001</v>
      </c>
      <c r="I407" s="191"/>
      <c r="J407" s="216"/>
      <c r="K407" s="217">
        <f>IF(E407*F407*G407&lt;&gt;0,E407*F407*G407,IF(E407*F407&lt;&gt;0,E407*F407,IF(F407*G407&lt;&gt;0,F407*G407,IF(E407*G407&lt;&gt;0,E407*G407,IF(E407&lt;&gt;0,E407,IF(F407&lt;&gt;0,F407,IF(G407&lt;&gt;0,G407,0)))))))*(IF(H407&lt;&gt;0,H407,1))+I407-J407</f>
        <v>69.261499999999998</v>
      </c>
      <c r="L407" s="218"/>
    </row>
    <row r="408" spans="2:12">
      <c r="B408" s="188" t="s">
        <v>1302</v>
      </c>
      <c r="C408" s="189" t="s">
        <v>1271</v>
      </c>
      <c r="D408" s="190" t="s">
        <v>1274</v>
      </c>
      <c r="E408" s="191">
        <v>642</v>
      </c>
      <c r="F408" s="243">
        <v>0.245</v>
      </c>
      <c r="G408" s="192"/>
      <c r="H408" s="191">
        <v>1.1000000000000001</v>
      </c>
      <c r="I408" s="191"/>
      <c r="J408" s="216"/>
      <c r="K408" s="217">
        <f>IF(E408*F408*G408&lt;&gt;0,E408*F408*G408,IF(E408*F408&lt;&gt;0,E408*F408,IF(F408*G408&lt;&gt;0,F408*G408,IF(E408*G408&lt;&gt;0,E408*G408,IF(E408&lt;&gt;0,E408,IF(F408&lt;&gt;0,F408,IF(G408&lt;&gt;0,G408,0)))))))*(IF(H408&lt;&gt;0,H408,1))+I408-J408</f>
        <v>173.01900000000001</v>
      </c>
      <c r="L408" s="218"/>
    </row>
    <row r="409" spans="2:12">
      <c r="B409" s="197"/>
      <c r="C409" s="189"/>
      <c r="D409" s="198"/>
      <c r="E409" s="199"/>
      <c r="F409" s="244"/>
      <c r="G409" s="199"/>
      <c r="H409" s="199"/>
      <c r="I409" s="199"/>
      <c r="J409" s="219"/>
      <c r="K409" s="217">
        <f>IF(E409*F409*G409&lt;&gt;0,E409*F409*G409,IF(E409*F409&lt;&gt;0,E409*F409,IF(F409*G409&lt;&gt;0,F409*G409,IF(E409*G409&lt;&gt;0,E409*G409,IF(E409&lt;&gt;0,E409,IF(F409&lt;&gt;0,F409,IF(G409&lt;&gt;0,G409,0)))))))*(IF(H409&lt;&gt;0,H409,1))+I409-J409</f>
        <v>0</v>
      </c>
      <c r="L409" s="218"/>
    </row>
    <row r="410" spans="2:12">
      <c r="B410" s="202"/>
      <c r="C410" s="203"/>
      <c r="D410" s="203"/>
      <c r="E410" s="203"/>
      <c r="F410" s="203"/>
      <c r="G410" s="203"/>
      <c r="H410" s="204"/>
      <c r="I410" s="556" t="s">
        <v>1221</v>
      </c>
      <c r="J410" s="556"/>
      <c r="K410" s="220">
        <f>SUM(K407:K409)</f>
        <v>242.28050000000002</v>
      </c>
      <c r="L410" s="207"/>
    </row>
    <row r="411" spans="2:12">
      <c r="B411" s="208"/>
      <c r="C411" s="204"/>
      <c r="D411" s="204"/>
      <c r="E411" s="204"/>
      <c r="F411" s="204"/>
      <c r="G411" s="204"/>
      <c r="H411" s="209"/>
      <c r="I411" s="557" t="s">
        <v>1222</v>
      </c>
      <c r="J411" s="557"/>
      <c r="K411" s="221">
        <v>199.1</v>
      </c>
      <c r="L411" s="207"/>
    </row>
    <row r="412" spans="2:12">
      <c r="B412" s="208"/>
      <c r="C412" s="204"/>
      <c r="D412" s="204"/>
      <c r="E412" s="204"/>
      <c r="F412" s="204"/>
      <c r="G412" s="204"/>
      <c r="H412" s="558" t="s">
        <v>1223</v>
      </c>
      <c r="I412" s="558"/>
      <c r="J412" s="558"/>
      <c r="K412" s="222">
        <v>0</v>
      </c>
      <c r="L412" s="207"/>
    </row>
    <row r="413" spans="2:12">
      <c r="B413" s="208"/>
      <c r="C413" s="204"/>
      <c r="D413" s="204"/>
      <c r="E413" s="204"/>
      <c r="F413" s="204"/>
      <c r="G413" s="204"/>
      <c r="H413" s="558" t="s">
        <v>1201</v>
      </c>
      <c r="I413" s="558"/>
      <c r="J413" s="558"/>
      <c r="K413" s="222">
        <f>IF(K410&gt;K411,K411,K410)-K412</f>
        <v>199.1</v>
      </c>
      <c r="L413" s="207"/>
    </row>
    <row r="414" spans="2:12">
      <c r="B414" s="213"/>
      <c r="C414" s="214"/>
      <c r="D414" s="214"/>
      <c r="E414" s="214"/>
      <c r="F414" s="214"/>
      <c r="G414" s="214"/>
      <c r="H414" s="559" t="s">
        <v>1224</v>
      </c>
      <c r="I414" s="559"/>
      <c r="J414" s="559"/>
      <c r="K414" s="223">
        <f>IF(K410&gt;K411,K410-K411,0)</f>
        <v>43.180500000000023</v>
      </c>
      <c r="L414" s="209"/>
    </row>
    <row r="416" spans="2:12" ht="14.25" customHeight="1">
      <c r="B416" s="555" t="s">
        <v>1304</v>
      </c>
      <c r="C416" s="555"/>
      <c r="D416" s="555"/>
      <c r="E416" s="555"/>
      <c r="F416" s="555"/>
      <c r="G416" s="555"/>
      <c r="H416" s="555"/>
      <c r="I416" s="555"/>
      <c r="J416" s="555"/>
      <c r="K416" s="555"/>
      <c r="L416" s="555"/>
    </row>
    <row r="417" spans="2:12">
      <c r="B417" s="187" t="s">
        <v>1209</v>
      </c>
      <c r="C417" s="187"/>
      <c r="D417" s="187" t="s">
        <v>39</v>
      </c>
      <c r="E417" s="187" t="s">
        <v>1210</v>
      </c>
      <c r="F417" s="187" t="s">
        <v>1211</v>
      </c>
      <c r="G417" s="187" t="s">
        <v>1212</v>
      </c>
      <c r="H417" s="187" t="s">
        <v>1213</v>
      </c>
      <c r="I417" s="187" t="s">
        <v>1214</v>
      </c>
      <c r="J417" s="187" t="s">
        <v>1215</v>
      </c>
      <c r="K417" s="187" t="s">
        <v>1216</v>
      </c>
      <c r="L417" s="187" t="s">
        <v>1217</v>
      </c>
    </row>
    <row r="418" spans="2:12">
      <c r="B418" s="188" t="s">
        <v>1301</v>
      </c>
      <c r="C418" s="189" t="s">
        <v>1271</v>
      </c>
      <c r="D418" s="190" t="s">
        <v>1274</v>
      </c>
      <c r="E418" s="191">
        <v>566</v>
      </c>
      <c r="F418" s="243">
        <v>0.39500000000000002</v>
      </c>
      <c r="G418" s="192"/>
      <c r="H418" s="191">
        <v>1.1000000000000001</v>
      </c>
      <c r="I418" s="191"/>
      <c r="J418" s="216"/>
      <c r="K418" s="217">
        <f>IF(E418*F418*G418&lt;&gt;0,E418*F418*G418,IF(E418*F418&lt;&gt;0,E418*F418,IF(F418*G418&lt;&gt;0,F418*G418,IF(E418*G418&lt;&gt;0,E418*G418,IF(E418&lt;&gt;0,E418,IF(F418&lt;&gt;0,F418,IF(G418&lt;&gt;0,G418,0)))))))*(IF(H418&lt;&gt;0,H418,1))+I418-J418</f>
        <v>245.92700000000005</v>
      </c>
      <c r="L418" s="218"/>
    </row>
    <row r="419" spans="2:12">
      <c r="B419" s="188" t="s">
        <v>1302</v>
      </c>
      <c r="C419" s="189" t="s">
        <v>1271</v>
      </c>
      <c r="D419" s="190" t="s">
        <v>1274</v>
      </c>
      <c r="E419" s="191">
        <v>641</v>
      </c>
      <c r="F419" s="243">
        <v>0.39500000000000002</v>
      </c>
      <c r="G419" s="192"/>
      <c r="H419" s="191">
        <v>1.1000000000000001</v>
      </c>
      <c r="I419" s="191"/>
      <c r="J419" s="216"/>
      <c r="K419" s="217">
        <f>IF(E419*F419*G419&lt;&gt;0,E419*F419*G419,IF(E419*F419&lt;&gt;0,E419*F419,IF(F419*G419&lt;&gt;0,F419*G419,IF(E419*G419&lt;&gt;0,E419*G419,IF(E419&lt;&gt;0,E419,IF(F419&lt;&gt;0,F419,IF(G419&lt;&gt;0,G419,0)))))))*(IF(H419&lt;&gt;0,H419,1))+I419-J419</f>
        <v>278.51450000000006</v>
      </c>
      <c r="L419" s="218"/>
    </row>
    <row r="420" spans="2:12">
      <c r="B420" s="197"/>
      <c r="C420" s="189"/>
      <c r="D420" s="198"/>
      <c r="E420" s="199"/>
      <c r="F420" s="244"/>
      <c r="G420" s="199"/>
      <c r="H420" s="199"/>
      <c r="I420" s="199"/>
      <c r="J420" s="219"/>
      <c r="K420" s="217">
        <f>IF(E420*F420*G420&lt;&gt;0,E420*F420*G420,IF(E420*F420&lt;&gt;0,E420*F420,IF(F420*G420&lt;&gt;0,F420*G420,IF(E420*G420&lt;&gt;0,E420*G420,IF(E420&lt;&gt;0,E420,IF(F420&lt;&gt;0,F420,IF(G420&lt;&gt;0,G420,0)))))))*(IF(H420&lt;&gt;0,H420,1))+I420-J420</f>
        <v>0</v>
      </c>
      <c r="L420" s="218"/>
    </row>
    <row r="421" spans="2:12">
      <c r="B421" s="202"/>
      <c r="C421" s="203"/>
      <c r="D421" s="203"/>
      <c r="E421" s="203"/>
      <c r="F421" s="203"/>
      <c r="G421" s="203"/>
      <c r="H421" s="204"/>
      <c r="I421" s="556" t="s">
        <v>1221</v>
      </c>
      <c r="J421" s="556"/>
      <c r="K421" s="220">
        <f>SUM(K418:K420)</f>
        <v>524.44150000000013</v>
      </c>
      <c r="L421" s="207"/>
    </row>
    <row r="422" spans="2:12">
      <c r="B422" s="208"/>
      <c r="C422" s="204"/>
      <c r="D422" s="204"/>
      <c r="E422" s="204"/>
      <c r="F422" s="204"/>
      <c r="G422" s="204"/>
      <c r="H422" s="209"/>
      <c r="I422" s="557" t="s">
        <v>1222</v>
      </c>
      <c r="J422" s="557"/>
      <c r="K422" s="221">
        <v>378.4</v>
      </c>
      <c r="L422" s="207"/>
    </row>
    <row r="423" spans="2:12">
      <c r="B423" s="208"/>
      <c r="C423" s="204"/>
      <c r="D423" s="204"/>
      <c r="E423" s="204"/>
      <c r="F423" s="204"/>
      <c r="G423" s="204"/>
      <c r="H423" s="558" t="s">
        <v>1223</v>
      </c>
      <c r="I423" s="558"/>
      <c r="J423" s="558"/>
      <c r="K423" s="222">
        <v>0</v>
      </c>
      <c r="L423" s="207"/>
    </row>
    <row r="424" spans="2:12">
      <c r="B424" s="208"/>
      <c r="C424" s="204"/>
      <c r="D424" s="204"/>
      <c r="E424" s="204"/>
      <c r="F424" s="204"/>
      <c r="G424" s="204"/>
      <c r="H424" s="558" t="s">
        <v>1201</v>
      </c>
      <c r="I424" s="558"/>
      <c r="J424" s="558"/>
      <c r="K424" s="222">
        <f>IF(K421&gt;K422,K422,K421)-K423</f>
        <v>378.4</v>
      </c>
      <c r="L424" s="207"/>
    </row>
    <row r="425" spans="2:12">
      <c r="B425" s="213"/>
      <c r="C425" s="214"/>
      <c r="D425" s="214"/>
      <c r="E425" s="214"/>
      <c r="F425" s="214"/>
      <c r="G425" s="214"/>
      <c r="H425" s="559" t="s">
        <v>1224</v>
      </c>
      <c r="I425" s="559"/>
      <c r="J425" s="559"/>
      <c r="K425" s="223">
        <f>IF(K421&gt;K422,K421-K422,0)</f>
        <v>146.04150000000016</v>
      </c>
      <c r="L425" s="209"/>
    </row>
    <row r="427" spans="2:12" ht="14.25" customHeight="1">
      <c r="B427" s="555" t="s">
        <v>1305</v>
      </c>
      <c r="C427" s="555"/>
      <c r="D427" s="555"/>
      <c r="E427" s="555"/>
      <c r="F427" s="555"/>
      <c r="G427" s="555"/>
      <c r="H427" s="555"/>
      <c r="I427" s="555"/>
      <c r="J427" s="555"/>
      <c r="K427" s="555"/>
      <c r="L427" s="555"/>
    </row>
    <row r="428" spans="2:12">
      <c r="B428" s="187" t="s">
        <v>1209</v>
      </c>
      <c r="C428" s="187"/>
      <c r="D428" s="187" t="s">
        <v>39</v>
      </c>
      <c r="E428" s="187" t="s">
        <v>1210</v>
      </c>
      <c r="F428" s="187" t="s">
        <v>1211</v>
      </c>
      <c r="G428" s="187" t="s">
        <v>1212</v>
      </c>
      <c r="H428" s="187" t="s">
        <v>1213</v>
      </c>
      <c r="I428" s="187" t="s">
        <v>1214</v>
      </c>
      <c r="J428" s="187" t="s">
        <v>1215</v>
      </c>
      <c r="K428" s="187" t="s">
        <v>1216</v>
      </c>
      <c r="L428" s="187" t="s">
        <v>1217</v>
      </c>
    </row>
    <row r="429" spans="2:12">
      <c r="B429" s="188" t="s">
        <v>1301</v>
      </c>
      <c r="C429" s="189" t="s">
        <v>1271</v>
      </c>
      <c r="D429" s="190" t="s">
        <v>1274</v>
      </c>
      <c r="E429" s="191">
        <v>522</v>
      </c>
      <c r="F429" s="243">
        <v>0.61699999999999999</v>
      </c>
      <c r="G429" s="192"/>
      <c r="H429" s="191">
        <v>1.1000000000000001</v>
      </c>
      <c r="I429" s="191"/>
      <c r="J429" s="216"/>
      <c r="K429" s="217">
        <f>IF(E429*F429*G429&lt;&gt;0,E429*F429*G429,IF(E429*F429&lt;&gt;0,E429*F429,IF(F429*G429&lt;&gt;0,F429*G429,IF(E429*G429&lt;&gt;0,E429*G429,IF(E429&lt;&gt;0,E429,IF(F429&lt;&gt;0,F429,IF(G429&lt;&gt;0,G429,0)))))))*(IF(H429&lt;&gt;0,H429,1))+I429-J429</f>
        <v>354.28140000000002</v>
      </c>
      <c r="L429" s="218"/>
    </row>
    <row r="430" spans="2:12">
      <c r="B430" s="188" t="s">
        <v>1302</v>
      </c>
      <c r="C430" s="189" t="s">
        <v>1271</v>
      </c>
      <c r="D430" s="190" t="s">
        <v>1274</v>
      </c>
      <c r="E430" s="191">
        <v>150</v>
      </c>
      <c r="F430" s="243">
        <v>0.61699999999999999</v>
      </c>
      <c r="G430" s="192"/>
      <c r="H430" s="191">
        <v>1.1000000000000001</v>
      </c>
      <c r="I430" s="191">
        <v>1E-4</v>
      </c>
      <c r="J430" s="216"/>
      <c r="K430" s="217">
        <f>IF(E430*F430*G430&lt;&gt;0,E430*F430*G430,IF(E430*F430&lt;&gt;0,E430*F430,IF(F430*G430&lt;&gt;0,F430*G430,IF(E430*G430&lt;&gt;0,E430*G430,IF(E430&lt;&gt;0,E430,IF(F430&lt;&gt;0,F430,IF(G430&lt;&gt;0,G430,0)))))))*(IF(H430&lt;&gt;0,H430,1))+I430-J430</f>
        <v>101.80510000000001</v>
      </c>
      <c r="L430" s="218"/>
    </row>
    <row r="431" spans="2:12">
      <c r="B431" s="197"/>
      <c r="C431" s="189"/>
      <c r="D431" s="198"/>
      <c r="E431" s="199"/>
      <c r="F431" s="244"/>
      <c r="G431" s="199"/>
      <c r="H431" s="199"/>
      <c r="I431" s="199"/>
      <c r="J431" s="219"/>
      <c r="K431" s="217">
        <f>IF(E431*F431*G431&lt;&gt;0,E431*F431*G431,IF(E431*F431&lt;&gt;0,E431*F431,IF(F431*G431&lt;&gt;0,F431*G431,IF(E431*G431&lt;&gt;0,E431*G431,IF(E431&lt;&gt;0,E431,IF(F431&lt;&gt;0,F431,IF(G431&lt;&gt;0,G431,0)))))))*(IF(H431&lt;&gt;0,H431,1))+I431-J431</f>
        <v>0</v>
      </c>
      <c r="L431" s="218"/>
    </row>
    <row r="432" spans="2:12">
      <c r="B432" s="202"/>
      <c r="C432" s="203"/>
      <c r="D432" s="203"/>
      <c r="E432" s="203"/>
      <c r="F432" s="203"/>
      <c r="G432" s="203"/>
      <c r="H432" s="204"/>
      <c r="I432" s="556" t="s">
        <v>1221</v>
      </c>
      <c r="J432" s="556"/>
      <c r="K432" s="220">
        <f>SUM(K429:K431)</f>
        <v>456.0865</v>
      </c>
      <c r="L432" s="207"/>
    </row>
    <row r="433" spans="2:12">
      <c r="B433" s="208"/>
      <c r="C433" s="204"/>
      <c r="D433" s="204"/>
      <c r="E433" s="204"/>
      <c r="F433" s="204"/>
      <c r="G433" s="204"/>
      <c r="H433" s="209"/>
      <c r="I433" s="557" t="s">
        <v>1222</v>
      </c>
      <c r="J433" s="557"/>
      <c r="K433" s="221">
        <f>445.5+0.0001</f>
        <v>445.50009999999997</v>
      </c>
      <c r="L433" s="207"/>
    </row>
    <row r="434" spans="2:12">
      <c r="B434" s="208"/>
      <c r="C434" s="204"/>
      <c r="D434" s="204"/>
      <c r="E434" s="204"/>
      <c r="F434" s="204"/>
      <c r="G434" s="204"/>
      <c r="H434" s="558" t="s">
        <v>1223</v>
      </c>
      <c r="I434" s="558"/>
      <c r="J434" s="558"/>
      <c r="K434" s="222">
        <v>354.28140000000002</v>
      </c>
      <c r="L434" s="207"/>
    </row>
    <row r="435" spans="2:12">
      <c r="B435" s="208"/>
      <c r="C435" s="204"/>
      <c r="D435" s="204"/>
      <c r="E435" s="204"/>
      <c r="F435" s="204"/>
      <c r="G435" s="204"/>
      <c r="H435" s="558" t="s">
        <v>1201</v>
      </c>
      <c r="I435" s="558"/>
      <c r="J435" s="558"/>
      <c r="K435" s="222">
        <f>IF(K432&gt;K433,K433,K432)-K434</f>
        <v>91.218699999999956</v>
      </c>
      <c r="L435" s="207"/>
    </row>
    <row r="436" spans="2:12">
      <c r="B436" s="213"/>
      <c r="C436" s="214"/>
      <c r="D436" s="214"/>
      <c r="E436" s="214"/>
      <c r="F436" s="214"/>
      <c r="G436" s="214"/>
      <c r="H436" s="559" t="s">
        <v>1224</v>
      </c>
      <c r="I436" s="559"/>
      <c r="J436" s="559"/>
      <c r="K436" s="223">
        <f>IF(K432&gt;K433,K432-K433,0)</f>
        <v>10.586400000000026</v>
      </c>
      <c r="L436" s="209"/>
    </row>
    <row r="438" spans="2:12" ht="14.25" customHeight="1">
      <c r="B438" s="555" t="s">
        <v>1306</v>
      </c>
      <c r="C438" s="555"/>
      <c r="D438" s="555"/>
      <c r="E438" s="555"/>
      <c r="F438" s="555"/>
      <c r="G438" s="555"/>
      <c r="H438" s="555"/>
      <c r="I438" s="555"/>
      <c r="J438" s="555"/>
      <c r="K438" s="555"/>
      <c r="L438" s="555"/>
    </row>
    <row r="439" spans="2:12">
      <c r="B439" s="187" t="s">
        <v>1209</v>
      </c>
      <c r="C439" s="187"/>
      <c r="D439" s="187" t="s">
        <v>39</v>
      </c>
      <c r="E439" s="187" t="s">
        <v>1210</v>
      </c>
      <c r="F439" s="187" t="s">
        <v>1211</v>
      </c>
      <c r="G439" s="187" t="s">
        <v>1212</v>
      </c>
      <c r="H439" s="187" t="s">
        <v>1213</v>
      </c>
      <c r="I439" s="187" t="s">
        <v>1214</v>
      </c>
      <c r="J439" s="187" t="s">
        <v>1215</v>
      </c>
      <c r="K439" s="187" t="s">
        <v>1216</v>
      </c>
      <c r="L439" s="187" t="s">
        <v>1217</v>
      </c>
    </row>
    <row r="440" spans="2:12">
      <c r="B440" s="188" t="s">
        <v>1367</v>
      </c>
      <c r="C440" s="189" t="s">
        <v>1271</v>
      </c>
      <c r="D440" s="190" t="s">
        <v>1274</v>
      </c>
      <c r="E440" s="191"/>
      <c r="F440" s="243"/>
      <c r="G440" s="192"/>
      <c r="H440" s="191"/>
      <c r="I440" s="191"/>
      <c r="J440" s="216"/>
      <c r="K440" s="217">
        <f>IF(E440*F440*G440&lt;&gt;0,E440*F440*G440,IF(E440*F440&lt;&gt;0,E440*F440,IF(F440*G440&lt;&gt;0,F440*G440,IF(E440*G440&lt;&gt;0,E440*G440,IF(E440&lt;&gt;0,E440,IF(F440&lt;&gt;0,F440,IF(G440&lt;&gt;0,G440,0)))))))*(IF(H440&lt;&gt;0,H440,1))+I440-J440</f>
        <v>0</v>
      </c>
      <c r="L440" s="218"/>
    </row>
    <row r="441" spans="2:12">
      <c r="B441" s="188" t="s">
        <v>1302</v>
      </c>
      <c r="C441" s="189" t="s">
        <v>1271</v>
      </c>
      <c r="D441" s="190" t="s">
        <v>1274</v>
      </c>
      <c r="E441" s="191">
        <v>287</v>
      </c>
      <c r="F441" s="243">
        <v>0.96299999999999997</v>
      </c>
      <c r="G441" s="192"/>
      <c r="H441" s="191">
        <v>1.1000000000000001</v>
      </c>
      <c r="I441" s="191"/>
      <c r="J441" s="216"/>
      <c r="K441" s="217">
        <f>IF(E441*F441*G441&lt;&gt;0,E441*F441*G441,IF(E441*F441&lt;&gt;0,E441*F441,IF(F441*G441&lt;&gt;0,F441*G441,IF(E441*G441&lt;&gt;0,E441*G441,IF(E441&lt;&gt;0,E441,IF(F441&lt;&gt;0,F441,IF(G441&lt;&gt;0,G441,0)))))))*(IF(H441&lt;&gt;0,H441,1))+I441-J441</f>
        <v>304.01909999999998</v>
      </c>
      <c r="L441" s="218"/>
    </row>
    <row r="442" spans="2:12">
      <c r="B442" s="197"/>
      <c r="C442" s="189"/>
      <c r="D442" s="198"/>
      <c r="E442" s="199"/>
      <c r="F442" s="244"/>
      <c r="G442" s="199"/>
      <c r="H442" s="199"/>
      <c r="I442" s="199"/>
      <c r="J442" s="219"/>
      <c r="K442" s="217">
        <f>IF(E442*F442*G442&lt;&gt;0,E442*F442*G442,IF(E442*F442&lt;&gt;0,E442*F442,IF(F442*G442&lt;&gt;0,F442*G442,IF(E442*G442&lt;&gt;0,E442*G442,IF(E442&lt;&gt;0,E442,IF(F442&lt;&gt;0,F442,IF(G442&lt;&gt;0,G442,0)))))))*(IF(H442&lt;&gt;0,H442,1))+I442-J442</f>
        <v>0</v>
      </c>
      <c r="L442" s="218"/>
    </row>
    <row r="443" spans="2:12">
      <c r="B443" s="202"/>
      <c r="C443" s="203"/>
      <c r="D443" s="203"/>
      <c r="E443" s="203"/>
      <c r="F443" s="203"/>
      <c r="G443" s="203"/>
      <c r="H443" s="204"/>
      <c r="I443" s="556" t="s">
        <v>1221</v>
      </c>
      <c r="J443" s="556"/>
      <c r="K443" s="220">
        <f>SUM(K440:K442)</f>
        <v>304.01909999999998</v>
      </c>
      <c r="L443" s="207"/>
    </row>
    <row r="444" spans="2:12">
      <c r="B444" s="208"/>
      <c r="C444" s="204"/>
      <c r="D444" s="204"/>
      <c r="E444" s="204"/>
      <c r="F444" s="204"/>
      <c r="G444" s="204"/>
      <c r="H444" s="209"/>
      <c r="I444" s="557" t="s">
        <v>1222</v>
      </c>
      <c r="J444" s="557"/>
      <c r="K444" s="221">
        <v>177.1</v>
      </c>
      <c r="L444" s="207"/>
    </row>
    <row r="445" spans="2:12">
      <c r="B445" s="208"/>
      <c r="C445" s="204"/>
      <c r="D445" s="204"/>
      <c r="E445" s="204"/>
      <c r="F445" s="204"/>
      <c r="G445" s="204"/>
      <c r="H445" s="558" t="s">
        <v>1223</v>
      </c>
      <c r="I445" s="558"/>
      <c r="J445" s="558"/>
      <c r="K445" s="222">
        <v>0</v>
      </c>
      <c r="L445" s="207"/>
    </row>
    <row r="446" spans="2:12">
      <c r="B446" s="208"/>
      <c r="C446" s="204"/>
      <c r="D446" s="204"/>
      <c r="E446" s="204"/>
      <c r="F446" s="204"/>
      <c r="G446" s="204"/>
      <c r="H446" s="558" t="s">
        <v>1201</v>
      </c>
      <c r="I446" s="558"/>
      <c r="J446" s="558"/>
      <c r="K446" s="222">
        <f>IF(K443&gt;K444,K444,K443)-K445</f>
        <v>177.1</v>
      </c>
      <c r="L446" s="207"/>
    </row>
    <row r="447" spans="2:12">
      <c r="B447" s="213"/>
      <c r="C447" s="214"/>
      <c r="D447" s="214"/>
      <c r="E447" s="214"/>
      <c r="F447" s="214"/>
      <c r="G447" s="214"/>
      <c r="H447" s="559" t="s">
        <v>1224</v>
      </c>
      <c r="I447" s="559"/>
      <c r="J447" s="559"/>
      <c r="K447" s="223">
        <f>IF(K443&gt;K444,K443-K444,0)</f>
        <v>126.91909999999999</v>
      </c>
      <c r="L447" s="209"/>
    </row>
    <row r="449" spans="2:12" ht="14.25" customHeight="1">
      <c r="B449" s="555" t="s">
        <v>1307</v>
      </c>
      <c r="C449" s="555"/>
      <c r="D449" s="555"/>
      <c r="E449" s="555"/>
      <c r="F449" s="555"/>
      <c r="G449" s="555"/>
      <c r="H449" s="555"/>
      <c r="I449" s="555"/>
      <c r="J449" s="555"/>
      <c r="K449" s="555"/>
      <c r="L449" s="555"/>
    </row>
    <row r="450" spans="2:12">
      <c r="B450" s="187" t="s">
        <v>1209</v>
      </c>
      <c r="C450" s="187"/>
      <c r="D450" s="187" t="s">
        <v>39</v>
      </c>
      <c r="E450" s="187" t="s">
        <v>1210</v>
      </c>
      <c r="F450" s="187" t="s">
        <v>1211</v>
      </c>
      <c r="G450" s="187" t="s">
        <v>1212</v>
      </c>
      <c r="H450" s="187" t="s">
        <v>1213</v>
      </c>
      <c r="I450" s="187" t="s">
        <v>1214</v>
      </c>
      <c r="J450" s="187" t="s">
        <v>1215</v>
      </c>
      <c r="K450" s="187" t="s">
        <v>1216</v>
      </c>
      <c r="L450" s="187" t="s">
        <v>1217</v>
      </c>
    </row>
    <row r="451" spans="2:12">
      <c r="B451" s="188" t="s">
        <v>1301</v>
      </c>
      <c r="C451" s="189" t="s">
        <v>1271</v>
      </c>
      <c r="D451" s="190" t="s">
        <v>1274</v>
      </c>
      <c r="E451" s="191"/>
      <c r="F451" s="243"/>
      <c r="G451" s="192"/>
      <c r="H451" s="191"/>
      <c r="I451" s="191"/>
      <c r="J451" s="216"/>
      <c r="K451" s="217">
        <f>IF(E451*F451*G451&lt;&gt;0,E451*F451*G451,IF(E451*F451&lt;&gt;0,E451*F451,IF(F451*G451&lt;&gt;0,F451*G451,IF(E451*G451&lt;&gt;0,E451*G451,IF(E451&lt;&gt;0,E451,IF(F451&lt;&gt;0,F451,IF(G451&lt;&gt;0,G451,0)))))))*(IF(H451&lt;&gt;0,H451,1))+I451-J451</f>
        <v>0</v>
      </c>
      <c r="L451" s="218"/>
    </row>
    <row r="452" spans="2:12">
      <c r="B452" s="188" t="s">
        <v>1302</v>
      </c>
      <c r="C452" s="189" t="s">
        <v>1271</v>
      </c>
      <c r="D452" s="190" t="s">
        <v>1274</v>
      </c>
      <c r="E452" s="191">
        <v>35.5</v>
      </c>
      <c r="F452" s="243">
        <v>1.5780000000000001</v>
      </c>
      <c r="G452" s="192"/>
      <c r="H452" s="191">
        <v>1.1000000000000001</v>
      </c>
      <c r="I452" s="191"/>
      <c r="J452" s="216"/>
      <c r="K452" s="217">
        <f>IF(E452*F452*G452&lt;&gt;0,E452*F452*G452,IF(E452*F452&lt;&gt;0,E452*F452,IF(F452*G452&lt;&gt;0,F452*G452,IF(E452*G452&lt;&gt;0,E452*G452,IF(E452&lt;&gt;0,E452,IF(F452&lt;&gt;0,F452,IF(G452&lt;&gt;0,G452,0)))))))*(IF(H452&lt;&gt;0,H452,1))+I452-J452</f>
        <v>61.620900000000013</v>
      </c>
      <c r="L452" s="218"/>
    </row>
    <row r="453" spans="2:12">
      <c r="B453" s="197"/>
      <c r="C453" s="189"/>
      <c r="D453" s="198"/>
      <c r="E453" s="199"/>
      <c r="F453" s="244"/>
      <c r="G453" s="199"/>
      <c r="H453" s="199"/>
      <c r="I453" s="199"/>
      <c r="J453" s="219"/>
      <c r="K453" s="217">
        <f>IF(E453*F453*G453&lt;&gt;0,E453*F453*G453,IF(E453*F453&lt;&gt;0,E453*F453,IF(F453*G453&lt;&gt;0,F453*G453,IF(E453*G453&lt;&gt;0,E453*G453,IF(E453&lt;&gt;0,E453,IF(F453&lt;&gt;0,F453,IF(G453&lt;&gt;0,G453,0)))))))*(IF(H453&lt;&gt;0,H453,1))+I453-J453</f>
        <v>0</v>
      </c>
      <c r="L453" s="218"/>
    </row>
    <row r="454" spans="2:12">
      <c r="B454" s="202"/>
      <c r="C454" s="203"/>
      <c r="D454" s="203"/>
      <c r="E454" s="203"/>
      <c r="F454" s="203"/>
      <c r="G454" s="203"/>
      <c r="H454" s="204"/>
      <c r="I454" s="556" t="s">
        <v>1221</v>
      </c>
      <c r="J454" s="556"/>
      <c r="K454" s="220">
        <f>SUM(K451:K453)</f>
        <v>61.620900000000013</v>
      </c>
      <c r="L454" s="207"/>
    </row>
    <row r="455" spans="2:12">
      <c r="B455" s="208"/>
      <c r="C455" s="204"/>
      <c r="D455" s="204"/>
      <c r="E455" s="204"/>
      <c r="F455" s="204"/>
      <c r="G455" s="204"/>
      <c r="H455" s="209"/>
      <c r="I455" s="557" t="s">
        <v>1222</v>
      </c>
      <c r="J455" s="557"/>
      <c r="K455" s="221">
        <v>61.6</v>
      </c>
      <c r="L455" s="207"/>
    </row>
    <row r="456" spans="2:12">
      <c r="B456" s="208"/>
      <c r="C456" s="204"/>
      <c r="D456" s="204"/>
      <c r="E456" s="204"/>
      <c r="F456" s="204"/>
      <c r="G456" s="204"/>
      <c r="H456" s="558" t="s">
        <v>1223</v>
      </c>
      <c r="I456" s="558"/>
      <c r="J456" s="558"/>
      <c r="K456" s="222">
        <v>0</v>
      </c>
      <c r="L456" s="207"/>
    </row>
    <row r="457" spans="2:12">
      <c r="B457" s="208"/>
      <c r="C457" s="204"/>
      <c r="D457" s="204"/>
      <c r="E457" s="204"/>
      <c r="F457" s="204"/>
      <c r="G457" s="204"/>
      <c r="H457" s="558" t="s">
        <v>1201</v>
      </c>
      <c r="I457" s="558"/>
      <c r="J457" s="558"/>
      <c r="K457" s="222">
        <f>IF(K454&gt;K455,K455,K454)-K456</f>
        <v>61.6</v>
      </c>
      <c r="L457" s="207"/>
    </row>
    <row r="458" spans="2:12">
      <c r="B458" s="213"/>
      <c r="C458" s="214"/>
      <c r="D458" s="214"/>
      <c r="E458" s="214"/>
      <c r="F458" s="214"/>
      <c r="G458" s="214"/>
      <c r="H458" s="559" t="s">
        <v>1224</v>
      </c>
      <c r="I458" s="559"/>
      <c r="J458" s="559"/>
      <c r="K458" s="223">
        <f>IF(K454&gt;K455,K454-K455,0)</f>
        <v>2.0900000000011687E-2</v>
      </c>
      <c r="L458" s="209"/>
    </row>
    <row r="460" spans="2:12" ht="14.25" customHeight="1">
      <c r="B460" s="555" t="s">
        <v>1308</v>
      </c>
      <c r="C460" s="555"/>
      <c r="D460" s="555"/>
      <c r="E460" s="555"/>
      <c r="F460" s="555"/>
      <c r="G460" s="555"/>
      <c r="H460" s="555"/>
      <c r="I460" s="555"/>
      <c r="J460" s="555"/>
      <c r="K460" s="555"/>
      <c r="L460" s="555"/>
    </row>
    <row r="461" spans="2:12">
      <c r="B461" s="187" t="s">
        <v>1209</v>
      </c>
      <c r="C461" s="187"/>
      <c r="D461" s="187" t="s">
        <v>39</v>
      </c>
      <c r="E461" s="187" t="s">
        <v>1210</v>
      </c>
      <c r="F461" s="187" t="s">
        <v>1211</v>
      </c>
      <c r="G461" s="187" t="s">
        <v>1212</v>
      </c>
      <c r="H461" s="187" t="s">
        <v>1213</v>
      </c>
      <c r="I461" s="187" t="s">
        <v>1214</v>
      </c>
      <c r="J461" s="187" t="s">
        <v>1215</v>
      </c>
      <c r="K461" s="187" t="s">
        <v>1216</v>
      </c>
      <c r="L461" s="187" t="s">
        <v>1217</v>
      </c>
    </row>
    <row r="462" spans="2:12">
      <c r="B462" s="188" t="s">
        <v>1309</v>
      </c>
      <c r="C462" s="189" t="s">
        <v>1271</v>
      </c>
      <c r="D462" s="190" t="s">
        <v>169</v>
      </c>
      <c r="E462" s="191">
        <v>5.18</v>
      </c>
      <c r="F462" s="192">
        <v>0.7</v>
      </c>
      <c r="G462" s="192">
        <v>0.7</v>
      </c>
      <c r="H462" s="191">
        <v>1</v>
      </c>
      <c r="I462" s="191"/>
      <c r="J462" s="216"/>
      <c r="K462" s="217">
        <f t="shared" ref="K462:K496" si="7">IF(E462*F462*G462&lt;&gt;0,E462*F462*G462,IF(E462*F462&lt;&gt;0,E462*F462,IF(F462*G462&lt;&gt;0,F462*G462,IF(E462*G462&lt;&gt;0,E462*G462,IF(E462&lt;&gt;0,E462,IF(F462&lt;&gt;0,F462,IF(G462&lt;&gt;0,G462,0)))))))*(IF(H462&lt;&gt;0,H462,1))+I462-J462</f>
        <v>2.5381999999999993</v>
      </c>
      <c r="L462" s="218"/>
    </row>
    <row r="463" spans="2:12">
      <c r="B463" s="188" t="s">
        <v>1310</v>
      </c>
      <c r="C463" s="189" t="s">
        <v>1271</v>
      </c>
      <c r="D463" s="190" t="s">
        <v>169</v>
      </c>
      <c r="E463" s="191">
        <v>6.94</v>
      </c>
      <c r="F463" s="192">
        <v>0.7</v>
      </c>
      <c r="G463" s="192">
        <v>0.7</v>
      </c>
      <c r="H463" s="191">
        <v>1</v>
      </c>
      <c r="I463" s="191"/>
      <c r="J463" s="216"/>
      <c r="K463" s="217">
        <f t="shared" si="7"/>
        <v>3.4005999999999994</v>
      </c>
      <c r="L463" s="218"/>
    </row>
    <row r="464" spans="2:12">
      <c r="B464" s="188" t="s">
        <v>1311</v>
      </c>
      <c r="C464" s="189" t="s">
        <v>1271</v>
      </c>
      <c r="D464" s="190" t="s">
        <v>169</v>
      </c>
      <c r="E464" s="191">
        <v>3.89</v>
      </c>
      <c r="F464" s="192">
        <v>0.2</v>
      </c>
      <c r="G464" s="192">
        <v>0.7</v>
      </c>
      <c r="H464" s="191">
        <v>1</v>
      </c>
      <c r="I464" s="191"/>
      <c r="J464" s="216"/>
      <c r="K464" s="217">
        <f t="shared" si="7"/>
        <v>0.54459999999999997</v>
      </c>
      <c r="L464" s="218"/>
    </row>
    <row r="465" spans="2:12">
      <c r="B465" s="188" t="s">
        <v>1312</v>
      </c>
      <c r="C465" s="189" t="s">
        <v>1271</v>
      </c>
      <c r="D465" s="190" t="s">
        <v>169</v>
      </c>
      <c r="E465" s="191">
        <v>2.33</v>
      </c>
      <c r="F465" s="192">
        <v>0.2</v>
      </c>
      <c r="G465" s="192">
        <v>0.7</v>
      </c>
      <c r="H465" s="191">
        <v>1</v>
      </c>
      <c r="I465" s="191"/>
      <c r="J465" s="216"/>
      <c r="K465" s="217">
        <f t="shared" si="7"/>
        <v>0.32619999999999999</v>
      </c>
      <c r="L465" s="218"/>
    </row>
    <row r="466" spans="2:12">
      <c r="B466" s="188" t="s">
        <v>1313</v>
      </c>
      <c r="C466" s="189" t="s">
        <v>1271</v>
      </c>
      <c r="D466" s="190" t="s">
        <v>169</v>
      </c>
      <c r="E466" s="191">
        <v>2.33</v>
      </c>
      <c r="F466" s="192">
        <v>0.2</v>
      </c>
      <c r="G466" s="192">
        <v>0.7</v>
      </c>
      <c r="H466" s="191">
        <v>1</v>
      </c>
      <c r="I466" s="191"/>
      <c r="J466" s="216"/>
      <c r="K466" s="217">
        <f t="shared" si="7"/>
        <v>0.32619999999999999</v>
      </c>
      <c r="L466" s="218"/>
    </row>
    <row r="467" spans="2:12">
      <c r="B467" s="188" t="s">
        <v>1314</v>
      </c>
      <c r="C467" s="189" t="s">
        <v>1271</v>
      </c>
      <c r="D467" s="190" t="s">
        <v>169</v>
      </c>
      <c r="E467" s="191">
        <v>4.93</v>
      </c>
      <c r="F467" s="192">
        <v>0.2</v>
      </c>
      <c r="G467" s="192">
        <v>0.7</v>
      </c>
      <c r="H467" s="191">
        <v>1</v>
      </c>
      <c r="I467" s="191"/>
      <c r="J467" s="216"/>
      <c r="K467" s="217">
        <f t="shared" si="7"/>
        <v>0.69019999999999992</v>
      </c>
      <c r="L467" s="218"/>
    </row>
    <row r="468" spans="2:12">
      <c r="B468" s="188" t="s">
        <v>1315</v>
      </c>
      <c r="C468" s="189" t="s">
        <v>1271</v>
      </c>
      <c r="D468" s="190" t="s">
        <v>169</v>
      </c>
      <c r="E468" s="191">
        <v>4.33</v>
      </c>
      <c r="F468" s="192">
        <v>0.2</v>
      </c>
      <c r="G468" s="192">
        <v>0.7</v>
      </c>
      <c r="H468" s="191">
        <v>1</v>
      </c>
      <c r="I468" s="191"/>
      <c r="J468" s="216"/>
      <c r="K468" s="217">
        <f t="shared" si="7"/>
        <v>0.60620000000000007</v>
      </c>
      <c r="L468" s="218"/>
    </row>
    <row r="469" spans="2:12">
      <c r="B469" s="197" t="s">
        <v>1368</v>
      </c>
      <c r="C469" s="189" t="s">
        <v>1333</v>
      </c>
      <c r="D469" s="190" t="s">
        <v>169</v>
      </c>
      <c r="E469" s="199">
        <v>3.32</v>
      </c>
      <c r="F469" s="199">
        <v>0.2</v>
      </c>
      <c r="G469" s="199">
        <v>0.7</v>
      </c>
      <c r="H469" s="199">
        <v>1</v>
      </c>
      <c r="I469" s="199"/>
      <c r="J469" s="219"/>
      <c r="K469" s="217">
        <f t="shared" si="7"/>
        <v>0.46479999999999999</v>
      </c>
      <c r="L469" s="218"/>
    </row>
    <row r="470" spans="2:12">
      <c r="B470" s="197" t="s">
        <v>1369</v>
      </c>
      <c r="C470" s="189" t="s">
        <v>1333</v>
      </c>
      <c r="D470" s="190" t="s">
        <v>169</v>
      </c>
      <c r="E470" s="199">
        <v>4.78</v>
      </c>
      <c r="F470" s="199">
        <v>0.2</v>
      </c>
      <c r="G470" s="199">
        <v>0.7</v>
      </c>
      <c r="H470" s="199">
        <v>1</v>
      </c>
      <c r="I470" s="199"/>
      <c r="J470" s="219"/>
      <c r="K470" s="217">
        <f t="shared" si="7"/>
        <v>0.66920000000000002</v>
      </c>
      <c r="L470" s="218"/>
    </row>
    <row r="471" spans="2:12">
      <c r="B471" s="197" t="s">
        <v>1370</v>
      </c>
      <c r="C471" s="189" t="s">
        <v>1333</v>
      </c>
      <c r="D471" s="190" t="s">
        <v>169</v>
      </c>
      <c r="E471" s="199">
        <v>2.7</v>
      </c>
      <c r="F471" s="199">
        <v>0.2</v>
      </c>
      <c r="G471" s="199">
        <v>0.7</v>
      </c>
      <c r="H471" s="199">
        <v>1</v>
      </c>
      <c r="I471" s="199"/>
      <c r="J471" s="219"/>
      <c r="K471" s="217">
        <f t="shared" si="7"/>
        <v>0.378</v>
      </c>
      <c r="L471" s="218"/>
    </row>
    <row r="472" spans="2:12">
      <c r="B472" s="197" t="s">
        <v>1371</v>
      </c>
      <c r="C472" s="189" t="s">
        <v>1333</v>
      </c>
      <c r="D472" s="190" t="s">
        <v>169</v>
      </c>
      <c r="E472" s="199">
        <v>2.7</v>
      </c>
      <c r="F472" s="199">
        <v>0.2</v>
      </c>
      <c r="G472" s="199">
        <v>0.7</v>
      </c>
      <c r="H472" s="199">
        <v>1</v>
      </c>
      <c r="I472" s="199"/>
      <c r="J472" s="219"/>
      <c r="K472" s="217">
        <f t="shared" si="7"/>
        <v>0.378</v>
      </c>
      <c r="L472" s="218"/>
    </row>
    <row r="473" spans="2:12">
      <c r="B473" s="197" t="s">
        <v>1372</v>
      </c>
      <c r="C473" s="189" t="s">
        <v>1333</v>
      </c>
      <c r="D473" s="190" t="s">
        <v>169</v>
      </c>
      <c r="E473" s="199">
        <v>5.62</v>
      </c>
      <c r="F473" s="199">
        <v>0.2</v>
      </c>
      <c r="G473" s="199">
        <v>0.7</v>
      </c>
      <c r="H473" s="199">
        <v>1</v>
      </c>
      <c r="I473" s="199"/>
      <c r="J473" s="219"/>
      <c r="K473" s="217">
        <f t="shared" si="7"/>
        <v>0.78680000000000005</v>
      </c>
      <c r="L473" s="218"/>
    </row>
    <row r="474" spans="2:12">
      <c r="B474" s="197" t="s">
        <v>1373</v>
      </c>
      <c r="C474" s="189" t="s">
        <v>1333</v>
      </c>
      <c r="D474" s="190" t="s">
        <v>169</v>
      </c>
      <c r="E474" s="199">
        <v>5.62</v>
      </c>
      <c r="F474" s="199">
        <v>0.2</v>
      </c>
      <c r="G474" s="199">
        <v>0.7</v>
      </c>
      <c r="H474" s="199">
        <v>1</v>
      </c>
      <c r="I474" s="199"/>
      <c r="J474" s="219"/>
      <c r="K474" s="217">
        <f t="shared" si="7"/>
        <v>0.78680000000000005</v>
      </c>
      <c r="L474" s="218"/>
    </row>
    <row r="475" spans="2:12">
      <c r="B475" s="197" t="s">
        <v>1374</v>
      </c>
      <c r="C475" s="189" t="s">
        <v>1333</v>
      </c>
      <c r="D475" s="190" t="s">
        <v>169</v>
      </c>
      <c r="E475" s="199">
        <v>2.38</v>
      </c>
      <c r="F475" s="199">
        <v>0.2</v>
      </c>
      <c r="G475" s="199">
        <v>0.7</v>
      </c>
      <c r="H475" s="199">
        <v>1</v>
      </c>
      <c r="I475" s="199"/>
      <c r="J475" s="219"/>
      <c r="K475" s="217">
        <f t="shared" si="7"/>
        <v>0.33319999999999994</v>
      </c>
      <c r="L475" s="218"/>
    </row>
    <row r="476" spans="2:12">
      <c r="B476" s="197" t="s">
        <v>1375</v>
      </c>
      <c r="C476" s="189" t="s">
        <v>1333</v>
      </c>
      <c r="D476" s="190" t="s">
        <v>169</v>
      </c>
      <c r="E476" s="199">
        <v>3.84</v>
      </c>
      <c r="F476" s="199">
        <v>0.2</v>
      </c>
      <c r="G476" s="199">
        <v>0.7</v>
      </c>
      <c r="H476" s="199">
        <v>1</v>
      </c>
      <c r="I476" s="199"/>
      <c r="J476" s="219"/>
      <c r="K476" s="217">
        <f t="shared" si="7"/>
        <v>0.53759999999999997</v>
      </c>
      <c r="L476" s="218"/>
    </row>
    <row r="477" spans="2:12">
      <c r="B477" s="197" t="s">
        <v>1376</v>
      </c>
      <c r="C477" s="189" t="s">
        <v>1333</v>
      </c>
      <c r="D477" s="190" t="s">
        <v>169</v>
      </c>
      <c r="E477" s="199">
        <v>4.4400000000000004</v>
      </c>
      <c r="F477" s="199">
        <v>0.3</v>
      </c>
      <c r="G477" s="199">
        <v>0.7</v>
      </c>
      <c r="H477" s="199">
        <v>1</v>
      </c>
      <c r="I477" s="199"/>
      <c r="J477" s="219"/>
      <c r="K477" s="217">
        <f t="shared" si="7"/>
        <v>0.93240000000000001</v>
      </c>
      <c r="L477" s="218"/>
    </row>
    <row r="478" spans="2:12">
      <c r="B478" s="197" t="s">
        <v>1377</v>
      </c>
      <c r="C478" s="189" t="s">
        <v>1333</v>
      </c>
      <c r="D478" s="190" t="s">
        <v>169</v>
      </c>
      <c r="E478" s="199">
        <f>1.73+0.66</f>
        <v>2.39</v>
      </c>
      <c r="F478" s="199">
        <v>0.7</v>
      </c>
      <c r="G478" s="199">
        <v>0.7</v>
      </c>
      <c r="H478" s="199">
        <v>1</v>
      </c>
      <c r="I478" s="199"/>
      <c r="J478" s="219"/>
      <c r="K478" s="217">
        <f t="shared" si="7"/>
        <v>1.1711</v>
      </c>
      <c r="L478" s="218"/>
    </row>
    <row r="479" spans="2:12">
      <c r="B479" s="197" t="s">
        <v>1378</v>
      </c>
      <c r="C479" s="189" t="s">
        <v>1333</v>
      </c>
      <c r="D479" s="190" t="s">
        <v>169</v>
      </c>
      <c r="E479" s="199">
        <v>1.46</v>
      </c>
      <c r="F479" s="199">
        <v>0.2</v>
      </c>
      <c r="G479" s="199">
        <v>0.7</v>
      </c>
      <c r="H479" s="199">
        <v>1</v>
      </c>
      <c r="I479" s="199"/>
      <c r="J479" s="219"/>
      <c r="K479" s="217">
        <f t="shared" si="7"/>
        <v>0.20439999999999997</v>
      </c>
      <c r="L479" s="218"/>
    </row>
    <row r="480" spans="2:12">
      <c r="B480" s="197" t="s">
        <v>1379</v>
      </c>
      <c r="C480" s="189" t="s">
        <v>1333</v>
      </c>
      <c r="D480" s="190" t="s">
        <v>169</v>
      </c>
      <c r="E480" s="199">
        <v>0.91</v>
      </c>
      <c r="F480" s="199">
        <v>0.2</v>
      </c>
      <c r="G480" s="199">
        <v>0.7</v>
      </c>
      <c r="H480" s="199">
        <v>1</v>
      </c>
      <c r="I480" s="199"/>
      <c r="J480" s="219"/>
      <c r="K480" s="217">
        <f t="shared" si="7"/>
        <v>0.12740000000000001</v>
      </c>
      <c r="L480" s="218"/>
    </row>
    <row r="481" spans="2:12">
      <c r="B481" s="197" t="s">
        <v>1380</v>
      </c>
      <c r="C481" s="189" t="s">
        <v>1333</v>
      </c>
      <c r="D481" s="190" t="s">
        <v>169</v>
      </c>
      <c r="E481" s="199">
        <v>0.97</v>
      </c>
      <c r="F481" s="199">
        <v>0.2</v>
      </c>
      <c r="G481" s="199">
        <v>0.7</v>
      </c>
      <c r="H481" s="199">
        <v>1</v>
      </c>
      <c r="I481" s="199"/>
      <c r="J481" s="219"/>
      <c r="K481" s="217">
        <f t="shared" si="7"/>
        <v>0.1358</v>
      </c>
      <c r="L481" s="218"/>
    </row>
    <row r="482" spans="2:12">
      <c r="B482" s="197" t="s">
        <v>1381</v>
      </c>
      <c r="C482" s="189" t="s">
        <v>1333</v>
      </c>
      <c r="D482" s="190" t="s">
        <v>169</v>
      </c>
      <c r="E482" s="199">
        <v>1.37</v>
      </c>
      <c r="F482" s="199">
        <v>0.2</v>
      </c>
      <c r="G482" s="199">
        <v>0.7</v>
      </c>
      <c r="H482" s="199">
        <v>1</v>
      </c>
      <c r="I482" s="199"/>
      <c r="J482" s="219"/>
      <c r="K482" s="217">
        <f t="shared" si="7"/>
        <v>0.1918</v>
      </c>
      <c r="L482" s="218"/>
    </row>
    <row r="483" spans="2:12">
      <c r="B483" s="197" t="s">
        <v>1449</v>
      </c>
      <c r="C483" s="189" t="s">
        <v>1441</v>
      </c>
      <c r="D483" s="190" t="s">
        <v>169</v>
      </c>
      <c r="E483" s="199">
        <v>10.96</v>
      </c>
      <c r="F483" s="199">
        <v>0.2</v>
      </c>
      <c r="G483" s="199">
        <v>0.7</v>
      </c>
      <c r="H483" s="199">
        <v>1</v>
      </c>
      <c r="I483" s="199"/>
      <c r="J483" s="219"/>
      <c r="K483" s="217">
        <f t="shared" si="7"/>
        <v>1.5344</v>
      </c>
      <c r="L483" s="218"/>
    </row>
    <row r="484" spans="2:12">
      <c r="B484" s="197" t="s">
        <v>1450</v>
      </c>
      <c r="C484" s="189" t="s">
        <v>1441</v>
      </c>
      <c r="D484" s="190" t="s">
        <v>169</v>
      </c>
      <c r="E484" s="199">
        <v>8.35</v>
      </c>
      <c r="F484" s="199">
        <v>0.2</v>
      </c>
      <c r="G484" s="199">
        <v>0.7</v>
      </c>
      <c r="H484" s="199">
        <v>1</v>
      </c>
      <c r="I484" s="199"/>
      <c r="J484" s="219"/>
      <c r="K484" s="217">
        <f t="shared" si="7"/>
        <v>1.1689999999999998</v>
      </c>
      <c r="L484" s="218"/>
    </row>
    <row r="485" spans="2:12">
      <c r="B485" s="197" t="s">
        <v>1451</v>
      </c>
      <c r="C485" s="189" t="s">
        <v>1441</v>
      </c>
      <c r="D485" s="190" t="s">
        <v>169</v>
      </c>
      <c r="E485" s="199">
        <v>6.88</v>
      </c>
      <c r="F485" s="199">
        <v>0.2</v>
      </c>
      <c r="G485" s="199">
        <v>0.7</v>
      </c>
      <c r="H485" s="199">
        <v>1</v>
      </c>
      <c r="I485" s="199"/>
      <c r="J485" s="219"/>
      <c r="K485" s="217">
        <f t="shared" si="7"/>
        <v>0.96320000000000006</v>
      </c>
      <c r="L485" s="218"/>
    </row>
    <row r="486" spans="2:12">
      <c r="B486" s="197" t="s">
        <v>1452</v>
      </c>
      <c r="C486" s="189" t="s">
        <v>1441</v>
      </c>
      <c r="D486" s="190" t="s">
        <v>169</v>
      </c>
      <c r="E486" s="199">
        <v>6.93</v>
      </c>
      <c r="F486" s="199">
        <v>0.2</v>
      </c>
      <c r="G486" s="199">
        <v>0.7</v>
      </c>
      <c r="H486" s="199">
        <v>1</v>
      </c>
      <c r="I486" s="199"/>
      <c r="J486" s="219"/>
      <c r="K486" s="217">
        <f t="shared" si="7"/>
        <v>0.97020000000000006</v>
      </c>
      <c r="L486" s="218"/>
    </row>
    <row r="487" spans="2:12">
      <c r="B487" s="197" t="s">
        <v>1453</v>
      </c>
      <c r="C487" s="189" t="s">
        <v>1441</v>
      </c>
      <c r="D487" s="190" t="s">
        <v>169</v>
      </c>
      <c r="E487" s="199">
        <v>8.01</v>
      </c>
      <c r="F487" s="199">
        <v>0.2</v>
      </c>
      <c r="G487" s="199">
        <v>0.7</v>
      </c>
      <c r="H487" s="199">
        <v>1</v>
      </c>
      <c r="I487" s="199"/>
      <c r="J487" s="219"/>
      <c r="K487" s="217">
        <f t="shared" si="7"/>
        <v>1.1214</v>
      </c>
      <c r="L487" s="218"/>
    </row>
    <row r="488" spans="2:12">
      <c r="B488" s="197" t="s">
        <v>1454</v>
      </c>
      <c r="C488" s="189" t="s">
        <v>1441</v>
      </c>
      <c r="D488" s="190" t="s">
        <v>169</v>
      </c>
      <c r="E488" s="199">
        <v>3.6</v>
      </c>
      <c r="F488" s="199">
        <v>1</v>
      </c>
      <c r="G488" s="199">
        <v>0.6</v>
      </c>
      <c r="H488" s="199">
        <v>1</v>
      </c>
      <c r="I488" s="199">
        <v>1.05185643549158E-5</v>
      </c>
      <c r="J488" s="219"/>
      <c r="K488" s="217">
        <f t="shared" si="7"/>
        <v>2.1600105185643552</v>
      </c>
      <c r="L488" s="218"/>
    </row>
    <row r="489" spans="2:12">
      <c r="B489" s="197" t="s">
        <v>1523</v>
      </c>
      <c r="C489" s="189" t="s">
        <v>1521</v>
      </c>
      <c r="D489" s="190" t="s">
        <v>169</v>
      </c>
      <c r="E489" s="199">
        <v>4.71</v>
      </c>
      <c r="F489" s="199">
        <v>0.25</v>
      </c>
      <c r="G489" s="199">
        <v>1.7</v>
      </c>
      <c r="H489" s="199">
        <v>1</v>
      </c>
      <c r="I489" s="199"/>
      <c r="J489" s="219"/>
      <c r="K489" s="217">
        <f t="shared" si="7"/>
        <v>2.0017499999999999</v>
      </c>
      <c r="L489" s="245" t="s">
        <v>1524</v>
      </c>
    </row>
    <row r="490" spans="2:12">
      <c r="B490" s="197" t="s">
        <v>1525</v>
      </c>
      <c r="C490" s="189" t="s">
        <v>1521</v>
      </c>
      <c r="D490" s="190" t="s">
        <v>169</v>
      </c>
      <c r="E490" s="199">
        <v>4.71</v>
      </c>
      <c r="F490" s="199">
        <v>0.15</v>
      </c>
      <c r="G490" s="199">
        <v>1.7</v>
      </c>
      <c r="H490" s="199">
        <v>1</v>
      </c>
      <c r="I490" s="199"/>
      <c r="J490" s="219"/>
      <c r="K490" s="217">
        <f t="shared" si="7"/>
        <v>1.20105</v>
      </c>
      <c r="L490" s="245" t="s">
        <v>1524</v>
      </c>
    </row>
    <row r="491" spans="2:12">
      <c r="B491" s="197" t="s">
        <v>1526</v>
      </c>
      <c r="C491" s="189" t="s">
        <v>1521</v>
      </c>
      <c r="D491" s="190" t="s">
        <v>169</v>
      </c>
      <c r="E491" s="199">
        <v>2.54</v>
      </c>
      <c r="F491" s="199">
        <v>0.15</v>
      </c>
      <c r="G491" s="199">
        <v>1.7</v>
      </c>
      <c r="H491" s="199">
        <v>1</v>
      </c>
      <c r="I491" s="199"/>
      <c r="J491" s="219"/>
      <c r="K491" s="217">
        <f t="shared" si="7"/>
        <v>0.64769999999999994</v>
      </c>
      <c r="L491" s="245" t="s">
        <v>1524</v>
      </c>
    </row>
    <row r="492" spans="2:12">
      <c r="B492" s="197" t="s">
        <v>1527</v>
      </c>
      <c r="C492" s="189" t="s">
        <v>1521</v>
      </c>
      <c r="D492" s="190" t="s">
        <v>169</v>
      </c>
      <c r="E492" s="199">
        <v>2.2000000000000002</v>
      </c>
      <c r="F492" s="199">
        <v>0.15</v>
      </c>
      <c r="G492" s="199">
        <v>1.7</v>
      </c>
      <c r="H492" s="199">
        <v>1</v>
      </c>
      <c r="I492" s="199"/>
      <c r="J492" s="219"/>
      <c r="K492" s="217">
        <f t="shared" si="7"/>
        <v>0.56100000000000005</v>
      </c>
      <c r="L492" s="245" t="s">
        <v>1524</v>
      </c>
    </row>
    <row r="493" spans="2:12">
      <c r="B493" s="197" t="s">
        <v>1528</v>
      </c>
      <c r="C493" s="189" t="s">
        <v>1521</v>
      </c>
      <c r="D493" s="190" t="s">
        <v>169</v>
      </c>
      <c r="E493" s="199">
        <v>2.2000000000000002</v>
      </c>
      <c r="F493" s="199">
        <v>0.15</v>
      </c>
      <c r="G493" s="199">
        <v>1.7</v>
      </c>
      <c r="H493" s="199">
        <v>1</v>
      </c>
      <c r="I493" s="199"/>
      <c r="J493" s="219"/>
      <c r="K493" s="217">
        <f t="shared" si="7"/>
        <v>0.56100000000000005</v>
      </c>
      <c r="L493" s="245" t="s">
        <v>1524</v>
      </c>
    </row>
    <row r="494" spans="2:12">
      <c r="B494" s="197" t="s">
        <v>1529</v>
      </c>
      <c r="C494" s="189" t="s">
        <v>1521</v>
      </c>
      <c r="D494" s="190" t="s">
        <v>169</v>
      </c>
      <c r="E494" s="199">
        <v>1.24</v>
      </c>
      <c r="F494" s="199">
        <v>0.2</v>
      </c>
      <c r="G494" s="199">
        <v>1.7</v>
      </c>
      <c r="H494" s="199">
        <v>1</v>
      </c>
      <c r="I494" s="199"/>
      <c r="J494" s="219"/>
      <c r="K494" s="217">
        <f t="shared" si="7"/>
        <v>0.42159999999999997</v>
      </c>
      <c r="L494" s="245" t="s">
        <v>1524</v>
      </c>
    </row>
    <row r="495" spans="2:12">
      <c r="B495" s="197" t="s">
        <v>1530</v>
      </c>
      <c r="C495" s="189" t="s">
        <v>1521</v>
      </c>
      <c r="D495" s="190" t="s">
        <v>169</v>
      </c>
      <c r="E495" s="199">
        <v>1.24</v>
      </c>
      <c r="F495" s="199">
        <v>0.2</v>
      </c>
      <c r="G495" s="199">
        <v>1.7</v>
      </c>
      <c r="H495" s="199">
        <v>1</v>
      </c>
      <c r="I495" s="199"/>
      <c r="J495" s="219"/>
      <c r="K495" s="217">
        <f t="shared" si="7"/>
        <v>0.42159999999999997</v>
      </c>
      <c r="L495" s="245" t="s">
        <v>1524</v>
      </c>
    </row>
    <row r="496" spans="2:12">
      <c r="B496" s="197"/>
      <c r="C496" s="189"/>
      <c r="D496" s="198"/>
      <c r="E496" s="199"/>
      <c r="F496" s="199"/>
      <c r="G496" s="199"/>
      <c r="H496" s="199"/>
      <c r="I496" s="199"/>
      <c r="J496" s="219"/>
      <c r="K496" s="217">
        <f t="shared" si="7"/>
        <v>0</v>
      </c>
      <c r="L496" s="218"/>
    </row>
    <row r="497" spans="2:12">
      <c r="B497" s="202"/>
      <c r="C497" s="203"/>
      <c r="D497" s="203"/>
      <c r="E497" s="203"/>
      <c r="F497" s="203"/>
      <c r="G497" s="203"/>
      <c r="H497" s="204"/>
      <c r="I497" s="556" t="s">
        <v>1221</v>
      </c>
      <c r="J497" s="556"/>
      <c r="K497" s="220">
        <f>SUM(K462:K496)</f>
        <v>29.263410518564356</v>
      </c>
      <c r="L497" s="207"/>
    </row>
    <row r="498" spans="2:12">
      <c r="B498" s="208"/>
      <c r="C498" s="204"/>
      <c r="D498" s="204"/>
      <c r="E498" s="204"/>
      <c r="F498" s="204"/>
      <c r="G498" s="204"/>
      <c r="H498" s="209"/>
      <c r="I498" s="557" t="s">
        <v>1222</v>
      </c>
      <c r="J498" s="557"/>
      <c r="K498" s="221">
        <v>22.99</v>
      </c>
      <c r="L498" s="207"/>
    </row>
    <row r="499" spans="2:12">
      <c r="B499" s="208"/>
      <c r="C499" s="204"/>
      <c r="D499" s="204"/>
      <c r="E499" s="204"/>
      <c r="F499" s="204"/>
      <c r="G499" s="204"/>
      <c r="H499" s="558" t="s">
        <v>1223</v>
      </c>
      <c r="I499" s="558"/>
      <c r="J499" s="558"/>
      <c r="K499" s="222">
        <v>22.9900105185644</v>
      </c>
      <c r="L499" s="207"/>
    </row>
    <row r="500" spans="2:12">
      <c r="B500" s="208"/>
      <c r="C500" s="204"/>
      <c r="D500" s="204"/>
      <c r="E500" s="204"/>
      <c r="F500" s="204"/>
      <c r="G500" s="204"/>
      <c r="H500" s="558" t="s">
        <v>1435</v>
      </c>
      <c r="I500" s="558"/>
      <c r="J500" s="558"/>
      <c r="K500" s="222">
        <f>IF(K497&gt;K498,K498,K497)-K499+0.0000105185643549158</f>
        <v>-4.6791153715313935E-14</v>
      </c>
      <c r="L500" s="207"/>
    </row>
    <row r="501" spans="2:12">
      <c r="B501" s="213"/>
      <c r="C501" s="214"/>
      <c r="D501" s="214"/>
      <c r="E501" s="214"/>
      <c r="F501" s="214"/>
      <c r="G501" s="214"/>
      <c r="H501" s="559" t="s">
        <v>1224</v>
      </c>
      <c r="I501" s="559"/>
      <c r="J501" s="559"/>
      <c r="K501" s="223">
        <f>IF(K497&gt;K498,K497-K498,0)</f>
        <v>6.2734105185643578</v>
      </c>
      <c r="L501" s="209"/>
    </row>
    <row r="504" spans="2:12">
      <c r="B504" s="247" t="s">
        <v>197</v>
      </c>
      <c r="C504" s="565" t="str">
        <f>VLOOKUP(B504,'BM 004'!$B$27:$R$590,2,0)</f>
        <v xml:space="preserve">Armação de pilar ou viga de uma estrutura convencional de concreto armado em um edifício de múltiplos pavimentos utilizando aço ca-60 de 5,0 mm - montagem. </v>
      </c>
      <c r="D504" s="565"/>
      <c r="E504" s="565"/>
      <c r="F504" s="565"/>
      <c r="G504" s="565"/>
      <c r="H504" s="565"/>
      <c r="I504" s="565"/>
      <c r="J504" s="565"/>
      <c r="K504" s="565"/>
      <c r="L504" s="565"/>
    </row>
    <row r="505" spans="2:12">
      <c r="B505" s="248" t="s">
        <v>1209</v>
      </c>
      <c r="C505" s="248"/>
      <c r="D505" s="248" t="s">
        <v>39</v>
      </c>
      <c r="E505" s="248" t="s">
        <v>1210</v>
      </c>
      <c r="F505" s="248" t="s">
        <v>1382</v>
      </c>
      <c r="G505" s="248" t="s">
        <v>1383</v>
      </c>
      <c r="H505" s="248" t="s">
        <v>1384</v>
      </c>
      <c r="I505" s="248" t="s">
        <v>1214</v>
      </c>
      <c r="J505" s="248" t="s">
        <v>1385</v>
      </c>
      <c r="K505" s="248" t="s">
        <v>1216</v>
      </c>
      <c r="L505" s="248" t="s">
        <v>1217</v>
      </c>
    </row>
    <row r="506" spans="2:12">
      <c r="B506" s="249" t="s">
        <v>1367</v>
      </c>
      <c r="C506" s="250" t="s">
        <v>1333</v>
      </c>
      <c r="D506" s="205" t="s">
        <v>152</v>
      </c>
      <c r="E506" s="251">
        <v>661</v>
      </c>
      <c r="F506" s="252">
        <v>0.154</v>
      </c>
      <c r="G506" s="251"/>
      <c r="H506" s="251">
        <v>1.1000000000000001</v>
      </c>
      <c r="I506" s="251"/>
      <c r="J506" s="253"/>
      <c r="K506" s="254">
        <f t="shared" ref="K506:K518" si="8">IF(E506*F506*G506&lt;&gt;0,E506*F506*G506,IF(E506*F506&lt;&gt;0,E506*F506,IF(F506*G506&lt;&gt;0,F506*G506,IF(E506*G506&lt;&gt;0,E506*G506,IF(E506&lt;&gt;0,E506,IF(F506&lt;&gt;0,F506,IF(G506&lt;&gt;0,G506,0)))))))*(IF(H506&lt;&gt;0,H506,1))+I506-J506</f>
        <v>111.97340000000001</v>
      </c>
      <c r="L506" s="255"/>
    </row>
    <row r="507" spans="2:12">
      <c r="B507" s="249" t="s">
        <v>1386</v>
      </c>
      <c r="C507" s="250" t="s">
        <v>1333</v>
      </c>
      <c r="D507" s="205" t="s">
        <v>152</v>
      </c>
      <c r="E507" s="251">
        <v>433</v>
      </c>
      <c r="F507" s="252">
        <v>0.154</v>
      </c>
      <c r="G507" s="251"/>
      <c r="H507" s="251">
        <v>1.1000000000000001</v>
      </c>
      <c r="I507" s="251"/>
      <c r="J507" s="253"/>
      <c r="K507" s="254">
        <f t="shared" si="8"/>
        <v>73.350200000000015</v>
      </c>
      <c r="L507" s="255"/>
    </row>
    <row r="508" spans="2:12">
      <c r="B508" s="263" t="s">
        <v>1475</v>
      </c>
      <c r="C508" s="264" t="s">
        <v>1441</v>
      </c>
      <c r="D508" s="205" t="s">
        <v>152</v>
      </c>
      <c r="E508" s="251">
        <v>257</v>
      </c>
      <c r="F508" s="252">
        <v>0.154</v>
      </c>
      <c r="G508" s="251"/>
      <c r="H508" s="251">
        <v>1.1000000000000001</v>
      </c>
      <c r="I508" s="251"/>
      <c r="J508" s="253"/>
      <c r="K508" s="254">
        <f t="shared" si="8"/>
        <v>43.535800000000009</v>
      </c>
      <c r="L508" s="255"/>
    </row>
    <row r="509" spans="2:12">
      <c r="B509" s="263" t="s">
        <v>1476</v>
      </c>
      <c r="C509" s="264" t="s">
        <v>1441</v>
      </c>
      <c r="D509" s="205" t="s">
        <v>152</v>
      </c>
      <c r="E509" s="251">
        <v>402</v>
      </c>
      <c r="F509" s="252">
        <v>0.154</v>
      </c>
      <c r="G509" s="251"/>
      <c r="H509" s="251">
        <v>1.1000000000000001</v>
      </c>
      <c r="I509" s="251"/>
      <c r="J509" s="253"/>
      <c r="K509" s="254">
        <f t="shared" si="8"/>
        <v>68.098800000000011</v>
      </c>
      <c r="L509" s="255"/>
    </row>
    <row r="510" spans="2:12">
      <c r="B510" s="263" t="s">
        <v>1552</v>
      </c>
      <c r="C510" s="264" t="s">
        <v>1521</v>
      </c>
      <c r="D510" s="205" t="s">
        <v>152</v>
      </c>
      <c r="E510" s="251">
        <v>759</v>
      </c>
      <c r="F510" s="252">
        <v>0.154</v>
      </c>
      <c r="G510" s="251"/>
      <c r="H510" s="251">
        <v>1.1000000000000001</v>
      </c>
      <c r="I510" s="251"/>
      <c r="J510" s="253"/>
      <c r="K510" s="254">
        <f t="shared" si="8"/>
        <v>128.5746</v>
      </c>
      <c r="L510" s="266"/>
    </row>
    <row r="511" spans="2:12">
      <c r="B511" s="263" t="s">
        <v>1553</v>
      </c>
      <c r="C511" s="264" t="s">
        <v>1521</v>
      </c>
      <c r="D511" s="205" t="s">
        <v>152</v>
      </c>
      <c r="E511" s="251">
        <v>239</v>
      </c>
      <c r="F511" s="252">
        <v>0.154</v>
      </c>
      <c r="G511" s="251"/>
      <c r="H511" s="251">
        <v>1.1000000000000001</v>
      </c>
      <c r="I511" s="251"/>
      <c r="J511" s="253"/>
      <c r="K511" s="254">
        <f t="shared" si="8"/>
        <v>40.486600000000003</v>
      </c>
      <c r="L511" s="266"/>
    </row>
    <row r="512" spans="2:12">
      <c r="B512" s="263" t="s">
        <v>1642</v>
      </c>
      <c r="C512" s="264" t="s">
        <v>1611</v>
      </c>
      <c r="D512" s="205" t="s">
        <v>152</v>
      </c>
      <c r="E512" s="251">
        <v>433</v>
      </c>
      <c r="F512" s="252">
        <v>0.154</v>
      </c>
      <c r="G512" s="251"/>
      <c r="H512" s="251">
        <v>1.1000000000000001</v>
      </c>
      <c r="I512" s="251"/>
      <c r="J512" s="253"/>
      <c r="K512" s="254">
        <f t="shared" si="8"/>
        <v>73.350200000000015</v>
      </c>
      <c r="L512" s="266"/>
    </row>
    <row r="513" spans="2:12">
      <c r="B513" s="263" t="s">
        <v>1643</v>
      </c>
      <c r="C513" s="264" t="s">
        <v>1611</v>
      </c>
      <c r="D513" s="205" t="s">
        <v>152</v>
      </c>
      <c r="E513" s="251">
        <v>276</v>
      </c>
      <c r="F513" s="252">
        <v>0.154</v>
      </c>
      <c r="G513" s="251"/>
      <c r="H513" s="251">
        <v>1.1000000000000001</v>
      </c>
      <c r="I513" s="251"/>
      <c r="J513" s="253"/>
      <c r="K513" s="254">
        <f t="shared" si="8"/>
        <v>46.754400000000004</v>
      </c>
      <c r="L513" s="266"/>
    </row>
    <row r="514" spans="2:12">
      <c r="B514" s="263" t="s">
        <v>1644</v>
      </c>
      <c r="C514" s="264" t="s">
        <v>1612</v>
      </c>
      <c r="D514" s="205" t="s">
        <v>152</v>
      </c>
      <c r="E514" s="251">
        <v>214</v>
      </c>
      <c r="F514" s="252">
        <v>0.154</v>
      </c>
      <c r="G514" s="251"/>
      <c r="H514" s="251">
        <v>1.1000000000000001</v>
      </c>
      <c r="I514" s="251"/>
      <c r="J514" s="253"/>
      <c r="K514" s="254">
        <f t="shared" si="8"/>
        <v>36.251600000000003</v>
      </c>
      <c r="L514" s="266"/>
    </row>
    <row r="515" spans="2:12">
      <c r="B515" s="263" t="s">
        <v>1645</v>
      </c>
      <c r="C515" s="264" t="s">
        <v>1612</v>
      </c>
      <c r="D515" s="205" t="s">
        <v>152</v>
      </c>
      <c r="E515" s="251">
        <v>580</v>
      </c>
      <c r="F515" s="252">
        <v>0.154</v>
      </c>
      <c r="G515" s="251"/>
      <c r="H515" s="251">
        <v>1.1000000000000001</v>
      </c>
      <c r="I515" s="251"/>
      <c r="J515" s="253"/>
      <c r="K515" s="254">
        <f t="shared" si="8"/>
        <v>98.251999999999995</v>
      </c>
      <c r="L515" s="255"/>
    </row>
    <row r="516" spans="2:12">
      <c r="B516" s="263" t="s">
        <v>1646</v>
      </c>
      <c r="C516" s="264" t="s">
        <v>1612</v>
      </c>
      <c r="D516" s="205" t="s">
        <v>152</v>
      </c>
      <c r="E516" s="251">
        <v>565</v>
      </c>
      <c r="F516" s="252">
        <v>0.154</v>
      </c>
      <c r="G516" s="251"/>
      <c r="H516" s="251">
        <v>1.1000000000000001</v>
      </c>
      <c r="I516" s="251"/>
      <c r="J516" s="253"/>
      <c r="K516" s="254">
        <f t="shared" si="8"/>
        <v>95.711000000000013</v>
      </c>
      <c r="L516" s="255"/>
    </row>
    <row r="517" spans="2:12">
      <c r="B517" s="263" t="s">
        <v>1647</v>
      </c>
      <c r="C517" s="264" t="s">
        <v>1613</v>
      </c>
      <c r="D517" s="205" t="s">
        <v>152</v>
      </c>
      <c r="E517" s="257">
        <v>951</v>
      </c>
      <c r="F517" s="258">
        <v>0.154</v>
      </c>
      <c r="G517" s="257"/>
      <c r="H517" s="257">
        <v>1.1000000000000001</v>
      </c>
      <c r="I517" s="251"/>
      <c r="J517" s="253"/>
      <c r="K517" s="254">
        <f t="shared" si="8"/>
        <v>161.09940000000003</v>
      </c>
      <c r="L517" s="255"/>
    </row>
    <row r="518" spans="2:12">
      <c r="B518" s="263" t="s">
        <v>1896</v>
      </c>
      <c r="C518" s="264" t="s">
        <v>1895</v>
      </c>
      <c r="D518" s="205" t="s">
        <v>152</v>
      </c>
      <c r="E518" s="257">
        <v>1190</v>
      </c>
      <c r="F518" s="258">
        <v>0.154</v>
      </c>
      <c r="G518" s="257"/>
      <c r="H518" s="257">
        <v>1.1000000000000001</v>
      </c>
      <c r="I518" s="251"/>
      <c r="J518" s="253"/>
      <c r="K518" s="254">
        <f t="shared" si="8"/>
        <v>201.58600000000001</v>
      </c>
      <c r="L518" s="255"/>
    </row>
    <row r="519" spans="2:12">
      <c r="B519" s="263"/>
      <c r="C519" s="264"/>
      <c r="D519" s="210"/>
      <c r="E519" s="257"/>
      <c r="F519" s="258"/>
      <c r="G519" s="257"/>
      <c r="H519" s="257"/>
      <c r="I519" s="251"/>
      <c r="J519" s="253"/>
      <c r="K519" s="254"/>
      <c r="L519" s="255"/>
    </row>
    <row r="520" spans="2:12">
      <c r="B520" s="256"/>
      <c r="C520" s="210"/>
      <c r="D520" s="210"/>
      <c r="E520" s="257"/>
      <c r="F520" s="258"/>
      <c r="G520" s="257"/>
      <c r="H520" s="257"/>
      <c r="I520" s="251"/>
      <c r="J520" s="253"/>
      <c r="K520" s="254">
        <f>IF(E520*F520*G520&lt;&gt;0,E520*F520*G520,IF(E520*F520&lt;&gt;0,E520*F520,IF(F520*G520&lt;&gt;0,F520*G520,IF(E520*G520&lt;&gt;0,E520*G520,IF(E520&lt;&gt;0,E520,IF(F520&lt;&gt;0,F520,IF(G520&lt;&gt;0,G520,0)))))))*(IF(H520&lt;&gt;0,H520,1))+I520-J520</f>
        <v>0</v>
      </c>
      <c r="L520" s="205"/>
    </row>
    <row r="521" spans="2:12">
      <c r="B521" s="202"/>
      <c r="C521" s="203"/>
      <c r="D521" s="203"/>
      <c r="E521" s="203"/>
      <c r="F521" s="203"/>
      <c r="G521" s="203"/>
      <c r="H521" s="204"/>
      <c r="I521" s="557" t="s">
        <v>1221</v>
      </c>
      <c r="J521" s="557"/>
      <c r="K521" s="262">
        <f>SUM(K506:K520)</f>
        <v>1179.0240000000003</v>
      </c>
      <c r="L521" s="207"/>
    </row>
    <row r="522" spans="2:12">
      <c r="B522" s="208"/>
      <c r="C522" s="204"/>
      <c r="D522" s="204"/>
      <c r="E522" s="204"/>
      <c r="F522" s="204"/>
      <c r="G522" s="204"/>
      <c r="H522" s="209"/>
      <c r="I522" s="557" t="s">
        <v>1222</v>
      </c>
      <c r="J522" s="557"/>
      <c r="K522" s="221">
        <f>VLOOKUP(B504,'BM 004'!$B$27:$R$590,4,0)</f>
        <v>2130.6999999999998</v>
      </c>
      <c r="L522" s="207"/>
    </row>
    <row r="523" spans="2:12">
      <c r="B523" s="208"/>
      <c r="C523" s="204"/>
      <c r="D523" s="204"/>
      <c r="E523" s="204"/>
      <c r="F523" s="204"/>
      <c r="G523" s="204"/>
      <c r="H523" s="558" t="s">
        <v>1223</v>
      </c>
      <c r="I523" s="558"/>
      <c r="J523" s="558"/>
      <c r="K523" s="222">
        <v>977.43799999999999</v>
      </c>
      <c r="L523" s="207"/>
    </row>
    <row r="524" spans="2:12">
      <c r="B524" s="208"/>
      <c r="C524" s="204"/>
      <c r="D524" s="204"/>
      <c r="E524" s="204"/>
      <c r="F524" s="204"/>
      <c r="G524" s="204"/>
      <c r="H524" s="558" t="s">
        <v>1605</v>
      </c>
      <c r="I524" s="558"/>
      <c r="J524" s="558"/>
      <c r="K524" s="222">
        <f>TRUNC(SUMIF(C506:C520,H524,K506:K520),2)</f>
        <v>201.58</v>
      </c>
      <c r="L524" s="207"/>
    </row>
    <row r="525" spans="2:12">
      <c r="B525" s="213"/>
      <c r="C525" s="214"/>
      <c r="D525" s="214"/>
      <c r="E525" s="214"/>
      <c r="F525" s="214"/>
      <c r="G525" s="214"/>
      <c r="H525" s="559" t="s">
        <v>1224</v>
      </c>
      <c r="I525" s="559"/>
      <c r="J525" s="559"/>
      <c r="K525" s="223">
        <f>IF(K521&gt;K522,K521-K522,0)</f>
        <v>0</v>
      </c>
      <c r="L525" s="209"/>
    </row>
    <row r="527" spans="2:12">
      <c r="B527" s="247" t="s">
        <v>199</v>
      </c>
      <c r="C527" s="565" t="str">
        <f>VLOOKUP(B527,'BM 004'!$B$27:$R$590,2,0)</f>
        <v xml:space="preserve">Armação de pilar ou viga de uma estrutura convencional de concreto armado em um edifício de múltiplos pavimentos utilizando aço ca-50 de 6,3 mm - montagem.  </v>
      </c>
      <c r="D527" s="565"/>
      <c r="E527" s="565"/>
      <c r="F527" s="565"/>
      <c r="G527" s="565"/>
      <c r="H527" s="565"/>
      <c r="I527" s="565"/>
      <c r="J527" s="565"/>
      <c r="K527" s="565"/>
      <c r="L527" s="565"/>
    </row>
    <row r="528" spans="2:12">
      <c r="B528" s="248" t="s">
        <v>1209</v>
      </c>
      <c r="C528" s="248"/>
      <c r="D528" s="248" t="s">
        <v>39</v>
      </c>
      <c r="E528" s="248" t="s">
        <v>1210</v>
      </c>
      <c r="F528" s="248" t="s">
        <v>1382</v>
      </c>
      <c r="G528" s="248" t="s">
        <v>1383</v>
      </c>
      <c r="H528" s="248" t="s">
        <v>1384</v>
      </c>
      <c r="I528" s="248" t="s">
        <v>1214</v>
      </c>
      <c r="J528" s="248" t="s">
        <v>1385</v>
      </c>
      <c r="K528" s="248" t="s">
        <v>1216</v>
      </c>
      <c r="L528" s="248" t="s">
        <v>1217</v>
      </c>
    </row>
    <row r="529" spans="2:12">
      <c r="B529" s="249" t="s">
        <v>1367</v>
      </c>
      <c r="C529" s="250" t="s">
        <v>1333</v>
      </c>
      <c r="D529" s="205" t="s">
        <v>152</v>
      </c>
      <c r="E529" s="251">
        <v>510</v>
      </c>
      <c r="F529" s="252">
        <v>0.245</v>
      </c>
      <c r="G529" s="251"/>
      <c r="H529" s="251">
        <v>1.1000000000000001</v>
      </c>
      <c r="I529" s="251"/>
      <c r="J529" s="253"/>
      <c r="K529" s="254">
        <f t="shared" ref="K529:K542" si="9">IF(E529*F529*G529&lt;&gt;0,E529*F529*G529,IF(E529*F529&lt;&gt;0,E529*F529,IF(F529*G529&lt;&gt;0,F529*G529,IF(E529*G529&lt;&gt;0,E529*G529,IF(E529&lt;&gt;0,E529,IF(F529&lt;&gt;0,F529,IF(G529&lt;&gt;0,G529,0)))))))*(IF(H529&lt;&gt;0,H529,1))+I529-J529</f>
        <v>137.44500000000002</v>
      </c>
      <c r="L529" s="255"/>
    </row>
    <row r="530" spans="2:12">
      <c r="B530" s="249" t="s">
        <v>1386</v>
      </c>
      <c r="C530" s="250" t="s">
        <v>1333</v>
      </c>
      <c r="D530" s="205" t="s">
        <v>152</v>
      </c>
      <c r="E530" s="251">
        <v>363</v>
      </c>
      <c r="F530" s="252">
        <v>0.245</v>
      </c>
      <c r="G530" s="251"/>
      <c r="H530" s="251">
        <v>1.1000000000000001</v>
      </c>
      <c r="I530" s="251"/>
      <c r="J530" s="253"/>
      <c r="K530" s="254">
        <f t="shared" si="9"/>
        <v>97.828500000000005</v>
      </c>
      <c r="L530" s="255"/>
    </row>
    <row r="531" spans="2:12">
      <c r="B531" s="263" t="s">
        <v>1475</v>
      </c>
      <c r="C531" s="264" t="s">
        <v>1441</v>
      </c>
      <c r="D531" s="205" t="s">
        <v>152</v>
      </c>
      <c r="E531" s="251">
        <v>425</v>
      </c>
      <c r="F531" s="252">
        <v>0.245</v>
      </c>
      <c r="G531" s="251"/>
      <c r="H531" s="251">
        <v>1.1000000000000001</v>
      </c>
      <c r="I531" s="251"/>
      <c r="J531" s="253"/>
      <c r="K531" s="254">
        <f t="shared" si="9"/>
        <v>114.53750000000001</v>
      </c>
      <c r="L531" s="255"/>
    </row>
    <row r="532" spans="2:12">
      <c r="B532" s="263" t="s">
        <v>1476</v>
      </c>
      <c r="C532" s="264" t="s">
        <v>1441</v>
      </c>
      <c r="D532" s="205" t="s">
        <v>152</v>
      </c>
      <c r="E532" s="251">
        <v>443</v>
      </c>
      <c r="F532" s="252">
        <v>0.245</v>
      </c>
      <c r="G532" s="251"/>
      <c r="H532" s="251">
        <v>1.1000000000000001</v>
      </c>
      <c r="I532" s="251"/>
      <c r="J532" s="253"/>
      <c r="K532" s="254">
        <f t="shared" si="9"/>
        <v>119.38850000000001</v>
      </c>
      <c r="L532" s="255"/>
    </row>
    <row r="533" spans="2:12">
      <c r="B533" s="263" t="s">
        <v>1552</v>
      </c>
      <c r="C533" s="264" t="s">
        <v>1521</v>
      </c>
      <c r="D533" s="205" t="s">
        <v>152</v>
      </c>
      <c r="E533" s="251">
        <v>1139</v>
      </c>
      <c r="F533" s="252">
        <v>0.245</v>
      </c>
      <c r="G533" s="251"/>
      <c r="H533" s="251">
        <v>1.1000000000000001</v>
      </c>
      <c r="I533" s="251"/>
      <c r="J533" s="253"/>
      <c r="K533" s="254">
        <f t="shared" si="9"/>
        <v>306.96050000000002</v>
      </c>
      <c r="L533" s="266"/>
    </row>
    <row r="534" spans="2:12">
      <c r="B534" s="263" t="s">
        <v>1553</v>
      </c>
      <c r="C534" s="264" t="s">
        <v>1521</v>
      </c>
      <c r="D534" s="205" t="s">
        <v>152</v>
      </c>
      <c r="E534" s="251">
        <v>362</v>
      </c>
      <c r="F534" s="252">
        <v>0.245</v>
      </c>
      <c r="G534" s="251"/>
      <c r="H534" s="251">
        <v>1.1000000000000001</v>
      </c>
      <c r="I534" s="251"/>
      <c r="J534" s="253"/>
      <c r="K534" s="254">
        <f t="shared" si="9"/>
        <v>97.559000000000012</v>
      </c>
      <c r="L534" s="266"/>
    </row>
    <row r="535" spans="2:12">
      <c r="B535" s="263" t="s">
        <v>1642</v>
      </c>
      <c r="C535" s="264" t="s">
        <v>1611</v>
      </c>
      <c r="D535" s="205" t="s">
        <v>152</v>
      </c>
      <c r="E535" s="251">
        <v>452</v>
      </c>
      <c r="F535" s="252">
        <v>0.245</v>
      </c>
      <c r="G535" s="251"/>
      <c r="H535" s="251">
        <v>1.1000000000000001</v>
      </c>
      <c r="I535" s="251"/>
      <c r="J535" s="253"/>
      <c r="K535" s="254">
        <f t="shared" si="9"/>
        <v>121.81400000000001</v>
      </c>
      <c r="L535" s="266"/>
    </row>
    <row r="536" spans="2:12">
      <c r="B536" s="263" t="s">
        <v>1643</v>
      </c>
      <c r="C536" s="264" t="s">
        <v>1611</v>
      </c>
      <c r="D536" s="205" t="s">
        <v>152</v>
      </c>
      <c r="E536" s="251">
        <v>421</v>
      </c>
      <c r="F536" s="252">
        <v>0.245</v>
      </c>
      <c r="G536" s="251"/>
      <c r="H536" s="251">
        <v>1.1000000000000001</v>
      </c>
      <c r="I536" s="251"/>
      <c r="J536" s="253"/>
      <c r="K536" s="254">
        <f t="shared" si="9"/>
        <v>113.45950000000001</v>
      </c>
      <c r="L536" s="266"/>
    </row>
    <row r="537" spans="2:12">
      <c r="B537" s="263" t="s">
        <v>1644</v>
      </c>
      <c r="C537" s="264" t="s">
        <v>1612</v>
      </c>
      <c r="D537" s="205" t="s">
        <v>152</v>
      </c>
      <c r="E537" s="251">
        <v>376</v>
      </c>
      <c r="F537" s="252">
        <v>0.245</v>
      </c>
      <c r="G537" s="251"/>
      <c r="H537" s="251">
        <v>1.1000000000000001</v>
      </c>
      <c r="I537" s="251"/>
      <c r="J537" s="253"/>
      <c r="K537" s="254">
        <f t="shared" si="9"/>
        <v>101.33200000000001</v>
      </c>
      <c r="L537" s="266"/>
    </row>
    <row r="538" spans="2:12">
      <c r="B538" s="263" t="s">
        <v>1645</v>
      </c>
      <c r="C538" s="264" t="s">
        <v>1612</v>
      </c>
      <c r="D538" s="205" t="s">
        <v>152</v>
      </c>
      <c r="E538" s="251">
        <v>524</v>
      </c>
      <c r="F538" s="252">
        <v>0.245</v>
      </c>
      <c r="G538" s="251"/>
      <c r="H538" s="251">
        <v>1.1000000000000001</v>
      </c>
      <c r="I538" s="251"/>
      <c r="J538" s="253"/>
      <c r="K538" s="254">
        <f t="shared" si="9"/>
        <v>141.21800000000002</v>
      </c>
      <c r="L538" s="266"/>
    </row>
    <row r="539" spans="2:12">
      <c r="B539" s="263" t="s">
        <v>1646</v>
      </c>
      <c r="C539" s="264" t="s">
        <v>1612</v>
      </c>
      <c r="D539" s="205" t="s">
        <v>152</v>
      </c>
      <c r="E539" s="251">
        <v>933</v>
      </c>
      <c r="F539" s="252">
        <v>0.245</v>
      </c>
      <c r="G539" s="251"/>
      <c r="H539" s="251">
        <v>1.1000000000000001</v>
      </c>
      <c r="I539" s="251"/>
      <c r="J539" s="253"/>
      <c r="K539" s="254">
        <f t="shared" si="9"/>
        <v>251.44350000000003</v>
      </c>
      <c r="L539" s="266"/>
    </row>
    <row r="540" spans="2:12">
      <c r="B540" s="263" t="s">
        <v>1647</v>
      </c>
      <c r="C540" s="264" t="s">
        <v>1613</v>
      </c>
      <c r="D540" s="205" t="s">
        <v>152</v>
      </c>
      <c r="E540" s="257">
        <v>992</v>
      </c>
      <c r="F540" s="258">
        <v>0.245</v>
      </c>
      <c r="G540" s="257"/>
      <c r="H540" s="257">
        <v>1.1000000000000001</v>
      </c>
      <c r="I540" s="251"/>
      <c r="J540" s="253"/>
      <c r="K540" s="254">
        <f t="shared" si="9"/>
        <v>267.34399999999999</v>
      </c>
      <c r="L540" s="255"/>
    </row>
    <row r="541" spans="2:12">
      <c r="B541" s="263" t="s">
        <v>1896</v>
      </c>
      <c r="C541" s="264" t="s">
        <v>1895</v>
      </c>
      <c r="D541" s="205" t="s">
        <v>152</v>
      </c>
      <c r="E541" s="257">
        <v>1009</v>
      </c>
      <c r="F541" s="258">
        <v>0.245</v>
      </c>
      <c r="G541" s="257"/>
      <c r="H541" s="257">
        <v>1.1000000000000001</v>
      </c>
      <c r="I541" s="251"/>
      <c r="J541" s="253"/>
      <c r="K541" s="254">
        <f t="shared" si="9"/>
        <v>271.9255</v>
      </c>
      <c r="L541" s="255"/>
    </row>
    <row r="542" spans="2:12">
      <c r="B542" s="256"/>
      <c r="C542" s="210"/>
      <c r="D542" s="210"/>
      <c r="E542" s="257"/>
      <c r="F542" s="258"/>
      <c r="G542" s="257"/>
      <c r="H542" s="257"/>
      <c r="I542" s="257"/>
      <c r="J542" s="259"/>
      <c r="K542" s="254">
        <f t="shared" si="9"/>
        <v>0</v>
      </c>
      <c r="L542" s="210"/>
    </row>
    <row r="543" spans="2:12">
      <c r="B543" s="202"/>
      <c r="C543" s="203"/>
      <c r="D543" s="203"/>
      <c r="E543" s="203"/>
      <c r="F543" s="203"/>
      <c r="G543" s="203"/>
      <c r="H543" s="204"/>
      <c r="I543" s="556" t="s">
        <v>1221</v>
      </c>
      <c r="J543" s="556"/>
      <c r="K543" s="220">
        <f>SUM(K529:K542)</f>
        <v>2142.2555000000002</v>
      </c>
      <c r="L543" s="207"/>
    </row>
    <row r="544" spans="2:12">
      <c r="B544" s="208"/>
      <c r="C544" s="204"/>
      <c r="D544" s="204"/>
      <c r="E544" s="204"/>
      <c r="F544" s="204"/>
      <c r="G544" s="204"/>
      <c r="H544" s="209"/>
      <c r="I544" s="557" t="s">
        <v>1222</v>
      </c>
      <c r="J544" s="557"/>
      <c r="K544" s="221">
        <f>VLOOKUP(B527,'BM 004'!$B$27:$R$590,4,0)</f>
        <v>3031.6</v>
      </c>
      <c r="L544" s="207"/>
    </row>
    <row r="545" spans="2:12">
      <c r="B545" s="208"/>
      <c r="C545" s="204"/>
      <c r="D545" s="204"/>
      <c r="E545" s="204"/>
      <c r="F545" s="204"/>
      <c r="G545" s="204"/>
      <c r="H545" s="558" t="s">
        <v>1223</v>
      </c>
      <c r="I545" s="558"/>
      <c r="J545" s="558"/>
      <c r="K545" s="222">
        <v>1870.33</v>
      </c>
      <c r="L545" s="207"/>
    </row>
    <row r="546" spans="2:12">
      <c r="B546" s="208"/>
      <c r="C546" s="204"/>
      <c r="D546" s="204"/>
      <c r="E546" s="204"/>
      <c r="F546" s="204"/>
      <c r="G546" s="204"/>
      <c r="H546" s="558" t="s">
        <v>1605</v>
      </c>
      <c r="I546" s="558"/>
      <c r="J546" s="558"/>
      <c r="K546" s="222">
        <f>TRUNC(SUMIF(C529:C542,H546,K529:K542),2)</f>
        <v>271.92</v>
      </c>
      <c r="L546" s="207"/>
    </row>
    <row r="547" spans="2:12">
      <c r="B547" s="213"/>
      <c r="C547" s="214"/>
      <c r="D547" s="214"/>
      <c r="E547" s="214"/>
      <c r="F547" s="214"/>
      <c r="G547" s="214"/>
      <c r="H547" s="559" t="s">
        <v>1224</v>
      </c>
      <c r="I547" s="559"/>
      <c r="J547" s="559"/>
      <c r="K547" s="223">
        <f>IF(K543&gt;K544,K543-K544,0)</f>
        <v>0</v>
      </c>
      <c r="L547" s="209"/>
    </row>
    <row r="549" spans="2:12">
      <c r="B549" s="247" t="s">
        <v>201</v>
      </c>
      <c r="C549" s="565" t="str">
        <f>VLOOKUP(B549,'BM 004'!$B$27:$R$590,2,0)</f>
        <v xml:space="preserve">Armação de pilar ou viga de uma estrutura convencional de concreto armado em um edifício de múltiplos pavimentos utilizando aço ca-50 de 8,0 mm - montagem. </v>
      </c>
      <c r="D549" s="565"/>
      <c r="E549" s="565"/>
      <c r="F549" s="565"/>
      <c r="G549" s="565"/>
      <c r="H549" s="565"/>
      <c r="I549" s="565"/>
      <c r="J549" s="565"/>
      <c r="K549" s="565"/>
      <c r="L549" s="565"/>
    </row>
    <row r="550" spans="2:12">
      <c r="B550" s="248" t="s">
        <v>1209</v>
      </c>
      <c r="C550" s="248"/>
      <c r="D550" s="248" t="s">
        <v>39</v>
      </c>
      <c r="E550" s="248" t="s">
        <v>1210</v>
      </c>
      <c r="F550" s="248" t="s">
        <v>1382</v>
      </c>
      <c r="G550" s="248" t="s">
        <v>1383</v>
      </c>
      <c r="H550" s="248" t="s">
        <v>1384</v>
      </c>
      <c r="I550" s="248" t="s">
        <v>1214</v>
      </c>
      <c r="J550" s="248" t="s">
        <v>1385</v>
      </c>
      <c r="K550" s="248" t="s">
        <v>1216</v>
      </c>
      <c r="L550" s="248" t="s">
        <v>1217</v>
      </c>
    </row>
    <row r="551" spans="2:12">
      <c r="B551" s="249" t="s">
        <v>1367</v>
      </c>
      <c r="C551" s="250" t="s">
        <v>1333</v>
      </c>
      <c r="D551" s="205" t="s">
        <v>152</v>
      </c>
      <c r="E551" s="251">
        <v>415</v>
      </c>
      <c r="F551" s="252">
        <v>0.39500000000000002</v>
      </c>
      <c r="G551" s="251"/>
      <c r="H551" s="251">
        <v>1.1000000000000001</v>
      </c>
      <c r="I551" s="251"/>
      <c r="J551" s="253"/>
      <c r="K551" s="254">
        <f t="shared" ref="K551:K565" si="10">IF(E551*F551*G551&lt;&gt;0,E551*F551*G551,IF(E551*F551&lt;&gt;0,E551*F551,IF(F551*G551&lt;&gt;0,F551*G551,IF(E551*G551&lt;&gt;0,E551*G551,IF(E551&lt;&gt;0,E551,IF(F551&lt;&gt;0,F551,IF(G551&lt;&gt;0,G551,0)))))))*(IF(H551&lt;&gt;0,H551,1))+I551-J551</f>
        <v>180.31750000000002</v>
      </c>
      <c r="L551" s="255"/>
    </row>
    <row r="552" spans="2:12">
      <c r="B552" s="249" t="s">
        <v>1386</v>
      </c>
      <c r="C552" s="250" t="s">
        <v>1333</v>
      </c>
      <c r="D552" s="205" t="s">
        <v>152</v>
      </c>
      <c r="E552" s="251">
        <v>427</v>
      </c>
      <c r="F552" s="252">
        <v>0.39500000000000002</v>
      </c>
      <c r="G552" s="251"/>
      <c r="H552" s="251">
        <v>1.1000000000000001</v>
      </c>
      <c r="I552" s="251"/>
      <c r="J552" s="253"/>
      <c r="K552" s="254">
        <f t="shared" si="10"/>
        <v>185.53150000000005</v>
      </c>
      <c r="L552" s="255"/>
    </row>
    <row r="553" spans="2:12">
      <c r="B553" s="263" t="s">
        <v>1475</v>
      </c>
      <c r="C553" s="264" t="s">
        <v>1441</v>
      </c>
      <c r="D553" s="205" t="s">
        <v>152</v>
      </c>
      <c r="E553" s="251">
        <v>851</v>
      </c>
      <c r="F553" s="252">
        <v>0.39500000000000002</v>
      </c>
      <c r="G553" s="251"/>
      <c r="H553" s="251">
        <v>1.1000000000000001</v>
      </c>
      <c r="I553" s="251"/>
      <c r="J553" s="253"/>
      <c r="K553" s="254">
        <f t="shared" si="10"/>
        <v>369.75950000000006</v>
      </c>
      <c r="L553" s="255"/>
    </row>
    <row r="554" spans="2:12">
      <c r="B554" s="263" t="s">
        <v>1476</v>
      </c>
      <c r="C554" s="264" t="s">
        <v>1441</v>
      </c>
      <c r="D554" s="205" t="s">
        <v>152</v>
      </c>
      <c r="E554" s="251">
        <v>950</v>
      </c>
      <c r="F554" s="252">
        <v>0.39500000000000002</v>
      </c>
      <c r="G554" s="251"/>
      <c r="H554" s="251">
        <v>1.1000000000000001</v>
      </c>
      <c r="I554" s="251"/>
      <c r="J554" s="253"/>
      <c r="K554" s="254">
        <f t="shared" si="10"/>
        <v>412.77500000000003</v>
      </c>
      <c r="L554" s="255"/>
    </row>
    <row r="555" spans="2:12">
      <c r="B555" s="263" t="s">
        <v>1477</v>
      </c>
      <c r="C555" s="264" t="s">
        <v>1441</v>
      </c>
      <c r="D555" s="205" t="s">
        <v>152</v>
      </c>
      <c r="E555" s="251"/>
      <c r="F555" s="252"/>
      <c r="G555" s="251"/>
      <c r="H555" s="251"/>
      <c r="I555" s="251">
        <v>146.04</v>
      </c>
      <c r="J555" s="253"/>
      <c r="K555" s="254">
        <f t="shared" si="10"/>
        <v>146.04</v>
      </c>
      <c r="L555" s="255"/>
    </row>
    <row r="556" spans="2:12">
      <c r="B556" s="263" t="s">
        <v>1552</v>
      </c>
      <c r="C556" s="264" t="s">
        <v>1521</v>
      </c>
      <c r="D556" s="205" t="s">
        <v>152</v>
      </c>
      <c r="E556" s="251">
        <v>343</v>
      </c>
      <c r="F556" s="252">
        <v>0.39500000000000002</v>
      </c>
      <c r="G556" s="251"/>
      <c r="H556" s="251">
        <v>1.1000000000000001</v>
      </c>
      <c r="I556" s="251"/>
      <c r="J556" s="253"/>
      <c r="K556" s="254">
        <f t="shared" si="10"/>
        <v>149.03350000000003</v>
      </c>
      <c r="L556" s="266"/>
    </row>
    <row r="557" spans="2:12">
      <c r="B557" s="263" t="s">
        <v>1553</v>
      </c>
      <c r="C557" s="264" t="s">
        <v>1521</v>
      </c>
      <c r="D557" s="205" t="s">
        <v>152</v>
      </c>
      <c r="E557" s="251">
        <v>313</v>
      </c>
      <c r="F557" s="252">
        <v>0.39500000000000002</v>
      </c>
      <c r="G557" s="251"/>
      <c r="H557" s="251">
        <v>1.1000000000000001</v>
      </c>
      <c r="I557" s="251"/>
      <c r="J557" s="253"/>
      <c r="K557" s="254">
        <f t="shared" si="10"/>
        <v>135.99850000000001</v>
      </c>
      <c r="L557" s="266"/>
    </row>
    <row r="558" spans="2:12">
      <c r="B558" s="263" t="s">
        <v>1642</v>
      </c>
      <c r="C558" s="264" t="s">
        <v>1611</v>
      </c>
      <c r="D558" s="205" t="s">
        <v>152</v>
      </c>
      <c r="E558" s="251">
        <v>369</v>
      </c>
      <c r="F558" s="252">
        <v>0.39500000000000002</v>
      </c>
      <c r="G558" s="251"/>
      <c r="H558" s="251">
        <v>1.1000000000000001</v>
      </c>
      <c r="I558" s="251"/>
      <c r="J558" s="253"/>
      <c r="K558" s="254">
        <f t="shared" si="10"/>
        <v>160.3305</v>
      </c>
      <c r="L558" s="266"/>
    </row>
    <row r="559" spans="2:12">
      <c r="B559" s="263" t="s">
        <v>1643</v>
      </c>
      <c r="C559" s="264" t="s">
        <v>1611</v>
      </c>
      <c r="D559" s="205" t="s">
        <v>152</v>
      </c>
      <c r="E559" s="251">
        <v>427</v>
      </c>
      <c r="F559" s="252">
        <v>0.39500000000000002</v>
      </c>
      <c r="G559" s="251"/>
      <c r="H559" s="251">
        <v>1.1000000000000001</v>
      </c>
      <c r="I559" s="251"/>
      <c r="J559" s="253"/>
      <c r="K559" s="254">
        <f t="shared" si="10"/>
        <v>185.53150000000005</v>
      </c>
      <c r="L559" s="266"/>
    </row>
    <row r="560" spans="2:12">
      <c r="B560" s="263" t="s">
        <v>1644</v>
      </c>
      <c r="C560" s="264" t="s">
        <v>1612</v>
      </c>
      <c r="D560" s="205" t="s">
        <v>152</v>
      </c>
      <c r="E560" s="251">
        <v>866</v>
      </c>
      <c r="F560" s="252">
        <v>0.39500000000000002</v>
      </c>
      <c r="G560" s="251"/>
      <c r="H560" s="251">
        <v>1.1000000000000001</v>
      </c>
      <c r="I560" s="251"/>
      <c r="J560" s="253"/>
      <c r="K560" s="254">
        <f t="shared" si="10"/>
        <v>376.27700000000004</v>
      </c>
      <c r="L560" s="266"/>
    </row>
    <row r="561" spans="2:12">
      <c r="B561" s="263" t="s">
        <v>1645</v>
      </c>
      <c r="C561" s="264" t="s">
        <v>1612</v>
      </c>
      <c r="D561" s="205" t="s">
        <v>152</v>
      </c>
      <c r="E561" s="251">
        <v>550</v>
      </c>
      <c r="F561" s="252">
        <v>0.39500000000000002</v>
      </c>
      <c r="G561" s="251"/>
      <c r="H561" s="251">
        <v>1.1000000000000001</v>
      </c>
      <c r="I561" s="251"/>
      <c r="J561" s="253"/>
      <c r="K561" s="254">
        <f t="shared" si="10"/>
        <v>238.97500000000002</v>
      </c>
      <c r="L561" s="266"/>
    </row>
    <row r="562" spans="2:12">
      <c r="B562" s="263" t="s">
        <v>1646</v>
      </c>
      <c r="C562" s="264" t="s">
        <v>1612</v>
      </c>
      <c r="D562" s="205" t="s">
        <v>152</v>
      </c>
      <c r="E562" s="251">
        <v>186</v>
      </c>
      <c r="F562" s="252">
        <v>0.39500000000000002</v>
      </c>
      <c r="G562" s="251"/>
      <c r="H562" s="251">
        <v>1.1000000000000001</v>
      </c>
      <c r="I562" s="251"/>
      <c r="J562" s="253"/>
      <c r="K562" s="254">
        <f t="shared" si="10"/>
        <v>80.817000000000007</v>
      </c>
      <c r="L562" s="266"/>
    </row>
    <row r="563" spans="2:12">
      <c r="B563" s="263" t="s">
        <v>1647</v>
      </c>
      <c r="C563" s="264" t="s">
        <v>1613</v>
      </c>
      <c r="D563" s="205" t="s">
        <v>152</v>
      </c>
      <c r="E563" s="257">
        <v>922</v>
      </c>
      <c r="F563" s="258">
        <v>0.39500000000000002</v>
      </c>
      <c r="G563" s="257"/>
      <c r="H563" s="257">
        <v>1.1000000000000001</v>
      </c>
      <c r="I563" s="251"/>
      <c r="J563" s="253"/>
      <c r="K563" s="254">
        <f t="shared" si="10"/>
        <v>400.60900000000004</v>
      </c>
      <c r="L563" s="255"/>
    </row>
    <row r="564" spans="2:12">
      <c r="B564" s="263" t="s">
        <v>1896</v>
      </c>
      <c r="C564" s="264" t="s">
        <v>1895</v>
      </c>
      <c r="D564" s="205" t="s">
        <v>152</v>
      </c>
      <c r="E564" s="257">
        <v>1422</v>
      </c>
      <c r="F564" s="258">
        <v>0.39500000000000002</v>
      </c>
      <c r="G564" s="257"/>
      <c r="H564" s="257">
        <v>1.1000000000000001</v>
      </c>
      <c r="I564" s="251"/>
      <c r="J564" s="253"/>
      <c r="K564" s="254">
        <f t="shared" si="10"/>
        <v>617.85900000000015</v>
      </c>
      <c r="L564" s="255"/>
    </row>
    <row r="565" spans="2:12">
      <c r="B565" s="256"/>
      <c r="C565" s="210"/>
      <c r="D565" s="210"/>
      <c r="E565" s="257"/>
      <c r="F565" s="258"/>
      <c r="G565" s="257"/>
      <c r="H565" s="257"/>
      <c r="I565" s="257"/>
      <c r="J565" s="259"/>
      <c r="K565" s="254">
        <f t="shared" si="10"/>
        <v>0</v>
      </c>
      <c r="L565" s="210"/>
    </row>
    <row r="566" spans="2:12">
      <c r="B566" s="202"/>
      <c r="C566" s="203"/>
      <c r="D566" s="203"/>
      <c r="E566" s="203"/>
      <c r="F566" s="203"/>
      <c r="G566" s="203"/>
      <c r="H566" s="204"/>
      <c r="I566" s="556" t="s">
        <v>1221</v>
      </c>
      <c r="J566" s="556"/>
      <c r="K566" s="220">
        <f>SUM(K551:K565)</f>
        <v>3639.8545000000004</v>
      </c>
      <c r="L566" s="207"/>
    </row>
    <row r="567" spans="2:12">
      <c r="B567" s="208"/>
      <c r="C567" s="204"/>
      <c r="D567" s="204"/>
      <c r="E567" s="204"/>
      <c r="F567" s="204"/>
      <c r="G567" s="204"/>
      <c r="H567" s="209"/>
      <c r="I567" s="557" t="s">
        <v>1222</v>
      </c>
      <c r="J567" s="557"/>
      <c r="K567" s="221">
        <f>VLOOKUP(B549,'BM 004'!$B$27:$R$590,4,0)</f>
        <v>5608.9</v>
      </c>
      <c r="L567" s="207"/>
    </row>
    <row r="568" spans="2:12">
      <c r="B568" s="208"/>
      <c r="C568" s="204"/>
      <c r="D568" s="204"/>
      <c r="E568" s="204"/>
      <c r="F568" s="204"/>
      <c r="G568" s="204"/>
      <c r="H568" s="558" t="s">
        <v>1223</v>
      </c>
      <c r="I568" s="558"/>
      <c r="J568" s="558"/>
      <c r="K568" s="222">
        <v>3021.9955</v>
      </c>
      <c r="L568" s="207"/>
    </row>
    <row r="569" spans="2:12">
      <c r="B569" s="208"/>
      <c r="C569" s="204"/>
      <c r="D569" s="204"/>
      <c r="E569" s="204"/>
      <c r="F569" s="204"/>
      <c r="G569" s="204"/>
      <c r="H569" s="558" t="s">
        <v>1605</v>
      </c>
      <c r="I569" s="558"/>
      <c r="J569" s="558"/>
      <c r="K569" s="222">
        <f>TRUNC(SUMIF(C551:C565,H569,K551:K565),2)</f>
        <v>617.85</v>
      </c>
      <c r="L569" s="207"/>
    </row>
    <row r="570" spans="2:12">
      <c r="B570" s="213"/>
      <c r="C570" s="214"/>
      <c r="D570" s="214"/>
      <c r="E570" s="214"/>
      <c r="F570" s="214"/>
      <c r="G570" s="214"/>
      <c r="H570" s="559" t="s">
        <v>1224</v>
      </c>
      <c r="I570" s="559"/>
      <c r="J570" s="559"/>
      <c r="K570" s="223">
        <f>IF(K566&gt;K567,K566-K567,0)</f>
        <v>0</v>
      </c>
      <c r="L570" s="209"/>
    </row>
    <row r="572" spans="2:12">
      <c r="B572" s="247" t="s">
        <v>203</v>
      </c>
      <c r="C572" s="565" t="str">
        <f>VLOOKUP(B572,'BM 004'!$B$27:$R$590,2,0)</f>
        <v xml:space="preserve">Armação de pilar ou viga de uma estrutura convencional de concreto armado em um edifício de múltiplos pavimentos utilizando aço ca-50 de 10,0 mm - montagem. </v>
      </c>
      <c r="D572" s="565"/>
      <c r="E572" s="565"/>
      <c r="F572" s="565"/>
      <c r="G572" s="565"/>
      <c r="H572" s="565"/>
      <c r="I572" s="565"/>
      <c r="J572" s="565"/>
      <c r="K572" s="565"/>
      <c r="L572" s="565"/>
    </row>
    <row r="573" spans="2:12">
      <c r="B573" s="248" t="s">
        <v>1209</v>
      </c>
      <c r="C573" s="248"/>
      <c r="D573" s="248" t="s">
        <v>39</v>
      </c>
      <c r="E573" s="248" t="s">
        <v>1210</v>
      </c>
      <c r="F573" s="248" t="s">
        <v>1382</v>
      </c>
      <c r="G573" s="248" t="s">
        <v>1383</v>
      </c>
      <c r="H573" s="248" t="s">
        <v>1384</v>
      </c>
      <c r="I573" s="248" t="s">
        <v>1214</v>
      </c>
      <c r="J573" s="248" t="s">
        <v>1385</v>
      </c>
      <c r="K573" s="248" t="s">
        <v>1216</v>
      </c>
      <c r="L573" s="248" t="s">
        <v>1217</v>
      </c>
    </row>
    <row r="574" spans="2:12">
      <c r="B574" s="249" t="s">
        <v>1367</v>
      </c>
      <c r="C574" s="250" t="s">
        <v>1333</v>
      </c>
      <c r="D574" s="205" t="s">
        <v>152</v>
      </c>
      <c r="E574" s="251">
        <v>89</v>
      </c>
      <c r="F574" s="252">
        <v>0.61699999999999999</v>
      </c>
      <c r="G574" s="251"/>
      <c r="H574" s="251">
        <v>1.1000000000000001</v>
      </c>
      <c r="I574" s="251"/>
      <c r="J574" s="253"/>
      <c r="K574" s="254">
        <f t="shared" ref="K574:K587" si="11">IF(E574*F574*G574&lt;&gt;0,E574*F574*G574,IF(E574*F574&lt;&gt;0,E574*F574,IF(F574*G574&lt;&gt;0,F574*G574,IF(E574*G574&lt;&gt;0,E574*G574,IF(E574&lt;&gt;0,E574,IF(F574&lt;&gt;0,F574,IF(G574&lt;&gt;0,G574,0)))))))*(IF(H574&lt;&gt;0,H574,1))+I574-J574</f>
        <v>60.404299999999999</v>
      </c>
      <c r="L574" s="255"/>
    </row>
    <row r="575" spans="2:12">
      <c r="B575" s="249" t="s">
        <v>1386</v>
      </c>
      <c r="C575" s="250" t="s">
        <v>1333</v>
      </c>
      <c r="D575" s="205" t="s">
        <v>152</v>
      </c>
      <c r="E575" s="251">
        <v>92</v>
      </c>
      <c r="F575" s="252">
        <v>0.61699999999999999</v>
      </c>
      <c r="G575" s="251"/>
      <c r="H575" s="251">
        <v>1.1000000000000001</v>
      </c>
      <c r="I575" s="251"/>
      <c r="J575" s="253"/>
      <c r="K575" s="254">
        <f t="shared" si="11"/>
        <v>62.440400000000004</v>
      </c>
      <c r="L575" s="255"/>
    </row>
    <row r="576" spans="2:12">
      <c r="B576" s="263" t="s">
        <v>1475</v>
      </c>
      <c r="C576" s="264" t="s">
        <v>1441</v>
      </c>
      <c r="D576" s="205" t="s">
        <v>152</v>
      </c>
      <c r="E576" s="251">
        <v>238</v>
      </c>
      <c r="F576" s="252">
        <v>0.61699999999999999</v>
      </c>
      <c r="G576" s="251"/>
      <c r="H576" s="251">
        <v>1.1000000000000001</v>
      </c>
      <c r="I576" s="251"/>
      <c r="J576" s="253"/>
      <c r="K576" s="254">
        <f t="shared" si="11"/>
        <v>161.53060000000002</v>
      </c>
      <c r="L576" s="255"/>
    </row>
    <row r="577" spans="2:12">
      <c r="B577" s="263" t="s">
        <v>1476</v>
      </c>
      <c r="C577" s="264" t="s">
        <v>1441</v>
      </c>
      <c r="D577" s="205" t="s">
        <v>152</v>
      </c>
      <c r="E577" s="251">
        <v>167</v>
      </c>
      <c r="F577" s="252">
        <v>0.61699999999999999</v>
      </c>
      <c r="G577" s="251"/>
      <c r="H577" s="251">
        <v>1.1000000000000001</v>
      </c>
      <c r="I577" s="251"/>
      <c r="J577" s="253"/>
      <c r="K577" s="254">
        <f t="shared" si="11"/>
        <v>113.34290000000001</v>
      </c>
      <c r="L577" s="255"/>
    </row>
    <row r="578" spans="2:12">
      <c r="B578" s="263" t="s">
        <v>1552</v>
      </c>
      <c r="C578" s="264" t="s">
        <v>1521</v>
      </c>
      <c r="D578" s="205" t="s">
        <v>152</v>
      </c>
      <c r="E578" s="251">
        <v>538</v>
      </c>
      <c r="F578" s="252">
        <v>0.61699999999999999</v>
      </c>
      <c r="G578" s="251"/>
      <c r="H578" s="251">
        <v>1.1000000000000001</v>
      </c>
      <c r="I578" s="251"/>
      <c r="J578" s="253"/>
      <c r="K578" s="254">
        <f t="shared" si="11"/>
        <v>365.14060000000001</v>
      </c>
      <c r="L578" s="266"/>
    </row>
    <row r="579" spans="2:12">
      <c r="B579" s="263" t="s">
        <v>1553</v>
      </c>
      <c r="C579" s="264" t="s">
        <v>1521</v>
      </c>
      <c r="D579" s="205" t="s">
        <v>152</v>
      </c>
      <c r="E579" s="251">
        <v>109</v>
      </c>
      <c r="F579" s="252">
        <v>0.61699999999999999</v>
      </c>
      <c r="G579" s="251"/>
      <c r="H579" s="251">
        <v>1.1000000000000001</v>
      </c>
      <c r="I579" s="251"/>
      <c r="J579" s="253"/>
      <c r="K579" s="254">
        <f t="shared" si="11"/>
        <v>73.978300000000004</v>
      </c>
      <c r="L579" s="266"/>
    </row>
    <row r="580" spans="2:12">
      <c r="B580" s="263" t="s">
        <v>1642</v>
      </c>
      <c r="C580" s="264" t="s">
        <v>1611</v>
      </c>
      <c r="D580" s="205" t="s">
        <v>152</v>
      </c>
      <c r="E580" s="251">
        <v>199</v>
      </c>
      <c r="F580" s="252">
        <v>0.61699999999999999</v>
      </c>
      <c r="G580" s="251"/>
      <c r="H580" s="251">
        <v>1.1000000000000001</v>
      </c>
      <c r="I580" s="251"/>
      <c r="J580" s="253"/>
      <c r="K580" s="254">
        <f t="shared" si="11"/>
        <v>135.06130000000002</v>
      </c>
      <c r="L580" s="266"/>
    </row>
    <row r="581" spans="2:12">
      <c r="B581" s="263" t="s">
        <v>1643</v>
      </c>
      <c r="C581" s="264" t="s">
        <v>1611</v>
      </c>
      <c r="D581" s="205" t="s">
        <v>152</v>
      </c>
      <c r="E581" s="251">
        <v>150</v>
      </c>
      <c r="F581" s="252">
        <v>0.61699999999999999</v>
      </c>
      <c r="G581" s="251"/>
      <c r="H581" s="251">
        <v>1.1000000000000001</v>
      </c>
      <c r="I581" s="251"/>
      <c r="J581" s="253"/>
      <c r="K581" s="254">
        <f t="shared" si="11"/>
        <v>101.80500000000001</v>
      </c>
      <c r="L581" s="266"/>
    </row>
    <row r="582" spans="2:12">
      <c r="B582" s="263" t="s">
        <v>1644</v>
      </c>
      <c r="C582" s="264" t="s">
        <v>1612</v>
      </c>
      <c r="D582" s="205" t="s">
        <v>152</v>
      </c>
      <c r="E582" s="251">
        <v>100</v>
      </c>
      <c r="F582" s="252">
        <v>0.61699999999999999</v>
      </c>
      <c r="G582" s="251"/>
      <c r="H582" s="251">
        <v>1.1000000000000001</v>
      </c>
      <c r="I582" s="251"/>
      <c r="J582" s="253"/>
      <c r="K582" s="254">
        <f t="shared" si="11"/>
        <v>67.87</v>
      </c>
      <c r="L582" s="266"/>
    </row>
    <row r="583" spans="2:12">
      <c r="B583" s="263" t="s">
        <v>1645</v>
      </c>
      <c r="C583" s="264" t="s">
        <v>1612</v>
      </c>
      <c r="D583" s="205" t="s">
        <v>152</v>
      </c>
      <c r="E583" s="251">
        <v>346</v>
      </c>
      <c r="F583" s="252">
        <v>0.61699999999999999</v>
      </c>
      <c r="G583" s="251"/>
      <c r="H583" s="251">
        <v>1.1000000000000001</v>
      </c>
      <c r="I583" s="251"/>
      <c r="J583" s="253"/>
      <c r="K583" s="254">
        <f t="shared" si="11"/>
        <v>234.83020000000002</v>
      </c>
      <c r="L583" s="266"/>
    </row>
    <row r="584" spans="2:12">
      <c r="B584" s="263" t="s">
        <v>1646</v>
      </c>
      <c r="C584" s="264" t="s">
        <v>1612</v>
      </c>
      <c r="D584" s="205" t="s">
        <v>152</v>
      </c>
      <c r="E584" s="251">
        <v>256</v>
      </c>
      <c r="F584" s="252">
        <v>0.61699999999999999</v>
      </c>
      <c r="G584" s="251"/>
      <c r="H584" s="251">
        <v>1.1000000000000001</v>
      </c>
      <c r="I584" s="251"/>
      <c r="J584" s="253"/>
      <c r="K584" s="254">
        <f t="shared" si="11"/>
        <v>173.74720000000002</v>
      </c>
      <c r="L584" s="266"/>
    </row>
    <row r="585" spans="2:12">
      <c r="B585" s="263" t="s">
        <v>1647</v>
      </c>
      <c r="C585" s="264" t="s">
        <v>1613</v>
      </c>
      <c r="D585" s="205" t="s">
        <v>152</v>
      </c>
      <c r="E585" s="257">
        <v>646</v>
      </c>
      <c r="F585" s="258">
        <v>0.61699999999999999</v>
      </c>
      <c r="G585" s="257"/>
      <c r="H585" s="257">
        <v>1.1000000000000001</v>
      </c>
      <c r="I585" s="251"/>
      <c r="J585" s="253"/>
      <c r="K585" s="254">
        <f t="shared" si="11"/>
        <v>438.4402</v>
      </c>
      <c r="L585" s="255"/>
    </row>
    <row r="586" spans="2:12">
      <c r="B586" s="263" t="s">
        <v>1896</v>
      </c>
      <c r="C586" s="264" t="s">
        <v>1895</v>
      </c>
      <c r="D586" s="205" t="s">
        <v>152</v>
      </c>
      <c r="E586" s="257">
        <v>589</v>
      </c>
      <c r="F586" s="258">
        <v>0.61699999999999999</v>
      </c>
      <c r="G586" s="257"/>
      <c r="H586" s="257">
        <v>1.1000000000000001</v>
      </c>
      <c r="I586" s="251"/>
      <c r="J586" s="253"/>
      <c r="K586" s="254">
        <f t="shared" si="11"/>
        <v>399.75430000000006</v>
      </c>
      <c r="L586" s="255"/>
    </row>
    <row r="587" spans="2:12">
      <c r="B587" s="256"/>
      <c r="C587" s="210"/>
      <c r="D587" s="210"/>
      <c r="E587" s="257"/>
      <c r="F587" s="258"/>
      <c r="G587" s="257"/>
      <c r="H587" s="257"/>
      <c r="I587" s="257"/>
      <c r="J587" s="259"/>
      <c r="K587" s="254">
        <f t="shared" si="11"/>
        <v>0</v>
      </c>
      <c r="L587" s="210"/>
    </row>
    <row r="588" spans="2:12">
      <c r="B588" s="202"/>
      <c r="C588" s="203"/>
      <c r="D588" s="203"/>
      <c r="E588" s="203"/>
      <c r="F588" s="203"/>
      <c r="G588" s="203"/>
      <c r="H588" s="204"/>
      <c r="I588" s="556" t="s">
        <v>1221</v>
      </c>
      <c r="J588" s="556"/>
      <c r="K588" s="220">
        <f>SUM(K574:K587)</f>
        <v>2388.3453000000004</v>
      </c>
      <c r="L588" s="207"/>
    </row>
    <row r="589" spans="2:12">
      <c r="B589" s="208"/>
      <c r="C589" s="204"/>
      <c r="D589" s="204"/>
      <c r="E589" s="204"/>
      <c r="F589" s="204"/>
      <c r="G589" s="204"/>
      <c r="H589" s="209"/>
      <c r="I589" s="557" t="s">
        <v>1222</v>
      </c>
      <c r="J589" s="557"/>
      <c r="K589" s="221">
        <f>VLOOKUP(B572,'BM 004'!$B$27:$R$590,4,0)</f>
        <v>4215.2</v>
      </c>
      <c r="L589" s="207"/>
    </row>
    <row r="590" spans="2:12">
      <c r="B590" s="208"/>
      <c r="C590" s="204"/>
      <c r="D590" s="204"/>
      <c r="E590" s="204"/>
      <c r="F590" s="204"/>
      <c r="G590" s="204"/>
      <c r="H590" s="558" t="s">
        <v>1223</v>
      </c>
      <c r="I590" s="558"/>
      <c r="J590" s="558"/>
      <c r="K590" s="222">
        <v>1988.5909999999999</v>
      </c>
      <c r="L590" s="207"/>
    </row>
    <row r="591" spans="2:12">
      <c r="B591" s="208"/>
      <c r="C591" s="204"/>
      <c r="D591" s="204"/>
      <c r="E591" s="204"/>
      <c r="F591" s="204"/>
      <c r="G591" s="204"/>
      <c r="H591" s="558" t="s">
        <v>1605</v>
      </c>
      <c r="I591" s="558"/>
      <c r="J591" s="558"/>
      <c r="K591" s="222">
        <f>TRUNC(SUMIF(C574:C587,H591,K574:K587),2)</f>
        <v>399.75</v>
      </c>
      <c r="L591" s="207"/>
    </row>
    <row r="592" spans="2:12">
      <c r="B592" s="213"/>
      <c r="C592" s="214"/>
      <c r="D592" s="214"/>
      <c r="E592" s="214"/>
      <c r="F592" s="214"/>
      <c r="G592" s="214"/>
      <c r="H592" s="559" t="s">
        <v>1224</v>
      </c>
      <c r="I592" s="559"/>
      <c r="J592" s="559"/>
      <c r="K592" s="223">
        <f>IF(K588&gt;K589,K588-K589,0)</f>
        <v>0</v>
      </c>
      <c r="L592" s="209"/>
    </row>
    <row r="594" spans="2:12">
      <c r="B594" s="247" t="s">
        <v>205</v>
      </c>
      <c r="C594" s="565" t="str">
        <f>VLOOKUP(B594,'BM 004'!$B$27:$R$590,2,0)</f>
        <v xml:space="preserve">Armação de pilar ou viga de uma estrutura convencional de concreto armado em um edifício de múltiplos pavimentos utilizando aço ca-50 de 12,5 mm - montagem. </v>
      </c>
      <c r="D594" s="565"/>
      <c r="E594" s="565"/>
      <c r="F594" s="565"/>
      <c r="G594" s="565"/>
      <c r="H594" s="565"/>
      <c r="I594" s="565"/>
      <c r="J594" s="565"/>
      <c r="K594" s="565"/>
      <c r="L594" s="565"/>
    </row>
    <row r="595" spans="2:12">
      <c r="B595" s="248" t="s">
        <v>1209</v>
      </c>
      <c r="C595" s="248"/>
      <c r="D595" s="248" t="s">
        <v>39</v>
      </c>
      <c r="E595" s="248" t="s">
        <v>1210</v>
      </c>
      <c r="F595" s="248" t="s">
        <v>1382</v>
      </c>
      <c r="G595" s="248" t="s">
        <v>1383</v>
      </c>
      <c r="H595" s="248" t="s">
        <v>1384</v>
      </c>
      <c r="I595" s="248" t="s">
        <v>1214</v>
      </c>
      <c r="J595" s="248" t="s">
        <v>1385</v>
      </c>
      <c r="K595" s="248" t="s">
        <v>1216</v>
      </c>
      <c r="L595" s="248" t="s">
        <v>1217</v>
      </c>
    </row>
    <row r="596" spans="2:12">
      <c r="B596" s="249" t="s">
        <v>1367</v>
      </c>
      <c r="C596" s="250" t="s">
        <v>1333</v>
      </c>
      <c r="D596" s="205" t="s">
        <v>152</v>
      </c>
      <c r="E596" s="251">
        <v>89</v>
      </c>
      <c r="F596" s="252">
        <v>0.96299999999999997</v>
      </c>
      <c r="G596" s="251"/>
      <c r="H596" s="251">
        <v>1.1000000000000001</v>
      </c>
      <c r="I596" s="251"/>
      <c r="J596" s="253"/>
      <c r="K596" s="254">
        <f t="shared" ref="K596:K611" si="12">IF(E596*F596*G596&lt;&gt;0,E596*F596*G596,IF(E596*F596&lt;&gt;0,E596*F596,IF(F596*G596&lt;&gt;0,F596*G596,IF(E596*G596&lt;&gt;0,E596*G596,IF(E596&lt;&gt;0,E596,IF(F596&lt;&gt;0,F596,IF(G596&lt;&gt;0,G596,0)))))))*(IF(H596&lt;&gt;0,H596,1))+I596-J596</f>
        <v>94.277699999999996</v>
      </c>
      <c r="L596" s="255"/>
    </row>
    <row r="597" spans="2:12">
      <c r="B597" s="249" t="s">
        <v>1386</v>
      </c>
      <c r="C597" s="250" t="s">
        <v>1333</v>
      </c>
      <c r="D597" s="205" t="s">
        <v>152</v>
      </c>
      <c r="E597" s="251">
        <v>72</v>
      </c>
      <c r="F597" s="252">
        <v>0.96299999999999997</v>
      </c>
      <c r="G597" s="251"/>
      <c r="H597" s="251">
        <v>1.1000000000000001</v>
      </c>
      <c r="I597" s="251"/>
      <c r="J597" s="253"/>
      <c r="K597" s="254">
        <f t="shared" si="12"/>
        <v>76.269600000000011</v>
      </c>
      <c r="L597" s="255"/>
    </row>
    <row r="598" spans="2:12">
      <c r="B598" s="263" t="s">
        <v>1475</v>
      </c>
      <c r="C598" s="264" t="s">
        <v>1441</v>
      </c>
      <c r="D598" s="205" t="s">
        <v>152</v>
      </c>
      <c r="E598" s="251">
        <v>140</v>
      </c>
      <c r="F598" s="252">
        <v>0.96299999999999997</v>
      </c>
      <c r="G598" s="251"/>
      <c r="H598" s="251">
        <v>1.1000000000000001</v>
      </c>
      <c r="I598" s="251"/>
      <c r="J598" s="253"/>
      <c r="K598" s="254">
        <f t="shared" si="12"/>
        <v>148.30199999999999</v>
      </c>
      <c r="L598" s="255"/>
    </row>
    <row r="599" spans="2:12">
      <c r="B599" s="263" t="s">
        <v>1476</v>
      </c>
      <c r="C599" s="264" t="s">
        <v>1441</v>
      </c>
      <c r="D599" s="205" t="s">
        <v>152</v>
      </c>
      <c r="E599" s="251">
        <v>119</v>
      </c>
      <c r="F599" s="252">
        <v>0.96299999999999997</v>
      </c>
      <c r="G599" s="251"/>
      <c r="H599" s="251">
        <v>1.1000000000000001</v>
      </c>
      <c r="I599" s="251"/>
      <c r="J599" s="253"/>
      <c r="K599" s="254">
        <f t="shared" si="12"/>
        <v>126.05670000000001</v>
      </c>
      <c r="L599" s="255"/>
    </row>
    <row r="600" spans="2:12">
      <c r="B600" s="256" t="s">
        <v>1478</v>
      </c>
      <c r="C600" s="210" t="s">
        <v>1441</v>
      </c>
      <c r="D600" s="210" t="s">
        <v>152</v>
      </c>
      <c r="E600" s="258"/>
      <c r="F600" s="258"/>
      <c r="G600" s="257"/>
      <c r="H600" s="257"/>
      <c r="I600" s="257">
        <v>1361.5128999999999</v>
      </c>
      <c r="J600" s="259"/>
      <c r="K600" s="260">
        <f t="shared" si="12"/>
        <v>1361.5128999999999</v>
      </c>
      <c r="L600" s="210"/>
    </row>
    <row r="601" spans="2:12">
      <c r="B601" s="256" t="s">
        <v>1479</v>
      </c>
      <c r="C601" s="210" t="s">
        <v>1441</v>
      </c>
      <c r="D601" s="210" t="s">
        <v>152</v>
      </c>
      <c r="E601" s="258"/>
      <c r="F601" s="258"/>
      <c r="G601" s="257"/>
      <c r="H601" s="257"/>
      <c r="I601" s="257">
        <v>126.92</v>
      </c>
      <c r="J601" s="259"/>
      <c r="K601" s="260">
        <f t="shared" si="12"/>
        <v>126.92</v>
      </c>
      <c r="L601" s="210"/>
    </row>
    <row r="602" spans="2:12">
      <c r="B602" s="263" t="s">
        <v>1552</v>
      </c>
      <c r="C602" s="264" t="s">
        <v>1521</v>
      </c>
      <c r="D602" s="205" t="s">
        <v>152</v>
      </c>
      <c r="E602" s="251">
        <v>144</v>
      </c>
      <c r="F602" s="252">
        <v>0.96299999999999997</v>
      </c>
      <c r="G602" s="251"/>
      <c r="H602" s="251">
        <v>1.1000000000000001</v>
      </c>
      <c r="I602" s="251"/>
      <c r="J602" s="253"/>
      <c r="K602" s="254">
        <f t="shared" si="12"/>
        <v>152.53920000000002</v>
      </c>
      <c r="L602" s="266"/>
    </row>
    <row r="603" spans="2:12">
      <c r="B603" s="263" t="s">
        <v>1553</v>
      </c>
      <c r="C603" s="264" t="s">
        <v>1521</v>
      </c>
      <c r="D603" s="205" t="s">
        <v>152</v>
      </c>
      <c r="E603" s="251">
        <v>34</v>
      </c>
      <c r="F603" s="252">
        <v>0.96299999999999997</v>
      </c>
      <c r="G603" s="251"/>
      <c r="H603" s="251">
        <v>1.1000000000000001</v>
      </c>
      <c r="I603" s="251"/>
      <c r="J603" s="253"/>
      <c r="K603" s="254">
        <f t="shared" si="12"/>
        <v>36.016199999999998</v>
      </c>
      <c r="L603" s="266"/>
    </row>
    <row r="604" spans="2:12">
      <c r="B604" s="263" t="s">
        <v>1642</v>
      </c>
      <c r="C604" s="264" t="s">
        <v>1611</v>
      </c>
      <c r="D604" s="205" t="s">
        <v>152</v>
      </c>
      <c r="E604" s="251">
        <v>187</v>
      </c>
      <c r="F604" s="252">
        <v>0.96299999999999997</v>
      </c>
      <c r="G604" s="251"/>
      <c r="H604" s="251">
        <v>1.1000000000000001</v>
      </c>
      <c r="I604" s="251"/>
      <c r="J604" s="253"/>
      <c r="K604" s="254">
        <f t="shared" si="12"/>
        <v>198.0891</v>
      </c>
      <c r="L604" s="266"/>
    </row>
    <row r="605" spans="2:12">
      <c r="B605" s="263" t="s">
        <v>1643</v>
      </c>
      <c r="C605" s="264" t="s">
        <v>1611</v>
      </c>
      <c r="D605" s="205" t="s">
        <v>152</v>
      </c>
      <c r="E605" s="251">
        <v>105</v>
      </c>
      <c r="F605" s="252">
        <v>0.96299999999999997</v>
      </c>
      <c r="G605" s="251"/>
      <c r="H605" s="251">
        <v>1.1000000000000001</v>
      </c>
      <c r="I605" s="251"/>
      <c r="J605" s="253"/>
      <c r="K605" s="254">
        <f t="shared" si="12"/>
        <v>111.2265</v>
      </c>
      <c r="L605" s="266"/>
    </row>
    <row r="606" spans="2:12">
      <c r="B606" s="263" t="s">
        <v>1644</v>
      </c>
      <c r="C606" s="264" t="s">
        <v>1612</v>
      </c>
      <c r="D606" s="205" t="s">
        <v>152</v>
      </c>
      <c r="E606" s="251">
        <v>168</v>
      </c>
      <c r="F606" s="252">
        <v>0.96299999999999997</v>
      </c>
      <c r="G606" s="251"/>
      <c r="H606" s="251">
        <v>1.1000000000000001</v>
      </c>
      <c r="I606" s="251"/>
      <c r="J606" s="253"/>
      <c r="K606" s="254">
        <f t="shared" si="12"/>
        <v>177.9624</v>
      </c>
      <c r="L606" s="266"/>
    </row>
    <row r="607" spans="2:12">
      <c r="B607" s="263" t="s">
        <v>1645</v>
      </c>
      <c r="C607" s="264" t="s">
        <v>1612</v>
      </c>
      <c r="D607" s="205" t="s">
        <v>152</v>
      </c>
      <c r="E607" s="251">
        <v>94</v>
      </c>
      <c r="F607" s="252">
        <v>0.96299999999999997</v>
      </c>
      <c r="G607" s="251"/>
      <c r="H607" s="251">
        <v>1.1000000000000001</v>
      </c>
      <c r="I607" s="251"/>
      <c r="J607" s="253"/>
      <c r="K607" s="254">
        <f t="shared" si="12"/>
        <v>99.574200000000005</v>
      </c>
      <c r="L607" s="266"/>
    </row>
    <row r="608" spans="2:12">
      <c r="B608" s="263" t="s">
        <v>1646</v>
      </c>
      <c r="C608" s="264" t="s">
        <v>1612</v>
      </c>
      <c r="D608" s="205" t="s">
        <v>152</v>
      </c>
      <c r="E608" s="251">
        <v>86</v>
      </c>
      <c r="F608" s="252">
        <v>0.96299999999999997</v>
      </c>
      <c r="G608" s="251"/>
      <c r="H608" s="251">
        <v>1.1000000000000001</v>
      </c>
      <c r="I608" s="251"/>
      <c r="J608" s="253"/>
      <c r="K608" s="254">
        <f t="shared" si="12"/>
        <v>91.099800000000002</v>
      </c>
      <c r="L608" s="266"/>
    </row>
    <row r="609" spans="2:12">
      <c r="B609" s="263" t="s">
        <v>1647</v>
      </c>
      <c r="C609" s="264" t="s">
        <v>1613</v>
      </c>
      <c r="D609" s="205" t="s">
        <v>152</v>
      </c>
      <c r="E609" s="257">
        <v>228</v>
      </c>
      <c r="F609" s="258">
        <v>0.96299999999999997</v>
      </c>
      <c r="G609" s="257"/>
      <c r="H609" s="257">
        <v>1.1000000000000001</v>
      </c>
      <c r="I609" s="251"/>
      <c r="J609" s="253"/>
      <c r="K609" s="254">
        <f t="shared" si="12"/>
        <v>241.52040000000002</v>
      </c>
      <c r="L609" s="255"/>
    </row>
    <row r="610" spans="2:12">
      <c r="B610" s="263" t="s">
        <v>1896</v>
      </c>
      <c r="C610" s="264" t="s">
        <v>1895</v>
      </c>
      <c r="D610" s="205" t="s">
        <v>152</v>
      </c>
      <c r="E610" s="257">
        <v>442</v>
      </c>
      <c r="F610" s="258">
        <v>0.96299999999999997</v>
      </c>
      <c r="G610" s="257"/>
      <c r="H610" s="257">
        <v>1.1000000000000001</v>
      </c>
      <c r="I610" s="251"/>
      <c r="J610" s="253">
        <v>242.57730000000001</v>
      </c>
      <c r="K610" s="254">
        <f t="shared" si="12"/>
        <v>225.63329999999999</v>
      </c>
      <c r="L610" s="255" t="s">
        <v>1897</v>
      </c>
    </row>
    <row r="611" spans="2:12">
      <c r="B611" s="263"/>
      <c r="C611" s="264"/>
      <c r="D611" s="210"/>
      <c r="E611" s="257"/>
      <c r="F611" s="258"/>
      <c r="G611" s="257"/>
      <c r="H611" s="257"/>
      <c r="I611" s="257"/>
      <c r="J611" s="259"/>
      <c r="K611" s="254">
        <f t="shared" si="12"/>
        <v>0</v>
      </c>
      <c r="L611" s="266"/>
    </row>
    <row r="612" spans="2:12">
      <c r="B612" s="202"/>
      <c r="C612" s="203"/>
      <c r="D612" s="203"/>
      <c r="E612" s="203"/>
      <c r="F612" s="203"/>
      <c r="G612" s="203"/>
      <c r="H612" s="204"/>
      <c r="I612" s="556" t="s">
        <v>1221</v>
      </c>
      <c r="J612" s="556"/>
      <c r="K612" s="220">
        <f>SUM(K596:K611)</f>
        <v>3267</v>
      </c>
      <c r="L612" s="207"/>
    </row>
    <row r="613" spans="2:12">
      <c r="B613" s="208"/>
      <c r="C613" s="204"/>
      <c r="D613" s="204"/>
      <c r="E613" s="204"/>
      <c r="F613" s="204"/>
      <c r="G613" s="204"/>
      <c r="H613" s="209"/>
      <c r="I613" s="557" t="s">
        <v>1222</v>
      </c>
      <c r="J613" s="557"/>
      <c r="K613" s="221">
        <f>VLOOKUP(B594,'BM 004'!$B$27:$R$590,4,0)</f>
        <v>3267</v>
      </c>
      <c r="L613" s="207"/>
    </row>
    <row r="614" spans="2:12">
      <c r="B614" s="208"/>
      <c r="C614" s="204"/>
      <c r="D614" s="204"/>
      <c r="E614" s="204"/>
      <c r="F614" s="204"/>
      <c r="G614" s="204"/>
      <c r="H614" s="558" t="s">
        <v>1223</v>
      </c>
      <c r="I614" s="558"/>
      <c r="J614" s="558"/>
      <c r="K614" s="222">
        <v>3041.3667</v>
      </c>
      <c r="L614" s="207"/>
    </row>
    <row r="615" spans="2:12">
      <c r="B615" s="208"/>
      <c r="C615" s="204"/>
      <c r="D615" s="204"/>
      <c r="E615" s="204"/>
      <c r="F615" s="204"/>
      <c r="G615" s="204"/>
      <c r="H615" s="558" t="s">
        <v>1605</v>
      </c>
      <c r="I615" s="558"/>
      <c r="J615" s="558"/>
      <c r="K615" s="222">
        <f>TRUNC(SUMIF(C596:C611,H615,K596:K611),2)</f>
        <v>225.63</v>
      </c>
      <c r="L615" s="207"/>
    </row>
    <row r="616" spans="2:12">
      <c r="B616" s="213"/>
      <c r="C616" s="214"/>
      <c r="D616" s="214"/>
      <c r="E616" s="214"/>
      <c r="F616" s="214"/>
      <c r="G616" s="214"/>
      <c r="H616" s="559" t="s">
        <v>1224</v>
      </c>
      <c r="I616" s="559"/>
      <c r="J616" s="559"/>
      <c r="K616" s="223">
        <f>IF(K612&gt;K613,K612-K613,0)</f>
        <v>0</v>
      </c>
      <c r="L616" s="209"/>
    </row>
    <row r="618" spans="2:12">
      <c r="B618" s="247" t="s">
        <v>207</v>
      </c>
      <c r="C618" s="565" t="str">
        <f>VLOOKUP(B618,'BM 004'!$B$27:$R$590,2,0)</f>
        <v xml:space="preserve">Armação de pilar ou viga de uma estrutura convencional de concreto armado em um edifício de múltiplos pavimentos utilizando aço ca-50 de 16,0 mm - montagem. </v>
      </c>
      <c r="D618" s="565"/>
      <c r="E618" s="565"/>
      <c r="F618" s="565"/>
      <c r="G618" s="565"/>
      <c r="H618" s="565"/>
      <c r="I618" s="565"/>
      <c r="J618" s="565"/>
      <c r="K618" s="565"/>
      <c r="L618" s="565"/>
    </row>
    <row r="619" spans="2:12">
      <c r="B619" s="248" t="s">
        <v>1209</v>
      </c>
      <c r="C619" s="248"/>
      <c r="D619" s="248" t="s">
        <v>39</v>
      </c>
      <c r="E619" s="248" t="s">
        <v>1210</v>
      </c>
      <c r="F619" s="248" t="s">
        <v>1382</v>
      </c>
      <c r="G619" s="248" t="s">
        <v>1383</v>
      </c>
      <c r="H619" s="248" t="s">
        <v>1384</v>
      </c>
      <c r="I619" s="248" t="s">
        <v>1214</v>
      </c>
      <c r="J619" s="248" t="s">
        <v>1385</v>
      </c>
      <c r="K619" s="248" t="s">
        <v>1216</v>
      </c>
      <c r="L619" s="248" t="s">
        <v>1217</v>
      </c>
    </row>
    <row r="620" spans="2:12">
      <c r="B620" s="249" t="s">
        <v>1367</v>
      </c>
      <c r="C620" s="250" t="s">
        <v>1333</v>
      </c>
      <c r="D620" s="205" t="s">
        <v>152</v>
      </c>
      <c r="E620" s="251">
        <v>221</v>
      </c>
      <c r="F620" s="252">
        <v>1.5780000000000001</v>
      </c>
      <c r="G620" s="251"/>
      <c r="H620" s="251">
        <v>1.1000000000000001</v>
      </c>
      <c r="I620" s="251"/>
      <c r="J620" s="253"/>
      <c r="K620" s="254">
        <f t="shared" ref="K620:K633" si="13">IF(E620*F620*G620&lt;&gt;0,E620*F620*G620,IF(E620*F620&lt;&gt;0,E620*F620,IF(F620*G620&lt;&gt;0,F620*G620,IF(E620*G620&lt;&gt;0,E620*G620,IF(E620&lt;&gt;0,E620,IF(F620&lt;&gt;0,F620,IF(G620&lt;&gt;0,G620,0)))))))*(IF(H620&lt;&gt;0,H620,1))+I620-J620</f>
        <v>383.61180000000002</v>
      </c>
      <c r="L620" s="255"/>
    </row>
    <row r="621" spans="2:12">
      <c r="B621" s="249" t="s">
        <v>1386</v>
      </c>
      <c r="C621" s="250" t="s">
        <v>1333</v>
      </c>
      <c r="D621" s="205" t="s">
        <v>152</v>
      </c>
      <c r="E621" s="251">
        <v>236</v>
      </c>
      <c r="F621" s="252">
        <v>1.5780000000000001</v>
      </c>
      <c r="G621" s="251"/>
      <c r="H621" s="251">
        <v>1.1000000000000001</v>
      </c>
      <c r="I621" s="251"/>
      <c r="J621" s="253"/>
      <c r="K621" s="254">
        <f t="shared" si="13"/>
        <v>409.64880000000005</v>
      </c>
      <c r="L621" s="255"/>
    </row>
    <row r="622" spans="2:12">
      <c r="B622" s="263" t="s">
        <v>1475</v>
      </c>
      <c r="C622" s="264" t="s">
        <v>1441</v>
      </c>
      <c r="D622" s="205" t="s">
        <v>152</v>
      </c>
      <c r="E622" s="251">
        <v>201</v>
      </c>
      <c r="F622" s="252">
        <v>1.5780000000000001</v>
      </c>
      <c r="G622" s="251"/>
      <c r="H622" s="251">
        <v>1.1000000000000001</v>
      </c>
      <c r="I622" s="251"/>
      <c r="J622" s="253"/>
      <c r="K622" s="254">
        <f t="shared" si="13"/>
        <v>348.89580000000001</v>
      </c>
      <c r="L622" s="255"/>
    </row>
    <row r="623" spans="2:12">
      <c r="B623" s="263" t="s">
        <v>1476</v>
      </c>
      <c r="C623" s="264" t="s">
        <v>1441</v>
      </c>
      <c r="D623" s="205" t="s">
        <v>152</v>
      </c>
      <c r="E623" s="251">
        <v>215</v>
      </c>
      <c r="F623" s="252">
        <v>1.5780000000000001</v>
      </c>
      <c r="G623" s="251"/>
      <c r="H623" s="251">
        <v>1.1000000000000001</v>
      </c>
      <c r="I623" s="251"/>
      <c r="J623" s="253"/>
      <c r="K623" s="254">
        <f t="shared" si="13"/>
        <v>373.19700000000006</v>
      </c>
      <c r="L623" s="255"/>
    </row>
    <row r="624" spans="2:12">
      <c r="B624" s="263" t="s">
        <v>1552</v>
      </c>
      <c r="C624" s="264" t="s">
        <v>1521</v>
      </c>
      <c r="D624" s="205" t="s">
        <v>152</v>
      </c>
      <c r="E624" s="251">
        <v>67</v>
      </c>
      <c r="F624" s="252">
        <v>1.5780000000000001</v>
      </c>
      <c r="G624" s="251"/>
      <c r="H624" s="251">
        <v>1.1000000000000001</v>
      </c>
      <c r="I624" s="251"/>
      <c r="J624" s="253"/>
      <c r="K624" s="254">
        <f t="shared" si="13"/>
        <v>116.29860000000001</v>
      </c>
      <c r="L624" s="266"/>
    </row>
    <row r="625" spans="2:12">
      <c r="B625" s="263" t="s">
        <v>1553</v>
      </c>
      <c r="C625" s="264" t="s">
        <v>1521</v>
      </c>
      <c r="D625" s="205" t="s">
        <v>152</v>
      </c>
      <c r="E625" s="251">
        <v>188</v>
      </c>
      <c r="F625" s="252">
        <v>1.5780000000000001</v>
      </c>
      <c r="G625" s="251"/>
      <c r="H625" s="251">
        <v>1.1000000000000001</v>
      </c>
      <c r="I625" s="251"/>
      <c r="J625" s="253"/>
      <c r="K625" s="254">
        <f t="shared" si="13"/>
        <v>326.3304</v>
      </c>
      <c r="L625" s="266"/>
    </row>
    <row r="626" spans="2:12">
      <c r="B626" s="263" t="s">
        <v>1642</v>
      </c>
      <c r="C626" s="264" t="s">
        <v>1611</v>
      </c>
      <c r="D626" s="205" t="s">
        <v>152</v>
      </c>
      <c r="E626" s="251">
        <v>161</v>
      </c>
      <c r="F626" s="252">
        <v>1.5780000000000001</v>
      </c>
      <c r="G626" s="251"/>
      <c r="H626" s="251">
        <v>1.1000000000000001</v>
      </c>
      <c r="I626" s="251"/>
      <c r="J626" s="253"/>
      <c r="K626" s="254">
        <f t="shared" si="13"/>
        <v>279.46380000000005</v>
      </c>
      <c r="L626" s="266"/>
    </row>
    <row r="627" spans="2:12">
      <c r="B627" s="263" t="s">
        <v>1643</v>
      </c>
      <c r="C627" s="264" t="s">
        <v>1611</v>
      </c>
      <c r="D627" s="205" t="s">
        <v>152</v>
      </c>
      <c r="E627" s="251">
        <v>205</v>
      </c>
      <c r="F627" s="252">
        <v>1.5780000000000001</v>
      </c>
      <c r="G627" s="251"/>
      <c r="H627" s="251">
        <v>1.1000000000000001</v>
      </c>
      <c r="I627" s="251"/>
      <c r="J627" s="253"/>
      <c r="K627" s="254">
        <f t="shared" si="13"/>
        <v>355.83900000000006</v>
      </c>
      <c r="L627" s="266"/>
    </row>
    <row r="628" spans="2:12">
      <c r="B628" s="263" t="s">
        <v>1644</v>
      </c>
      <c r="C628" s="264" t="s">
        <v>1612</v>
      </c>
      <c r="D628" s="205" t="s">
        <v>152</v>
      </c>
      <c r="E628" s="251">
        <v>44</v>
      </c>
      <c r="F628" s="252">
        <v>1.5780000000000001</v>
      </c>
      <c r="G628" s="251"/>
      <c r="H628" s="251">
        <v>1.1000000000000001</v>
      </c>
      <c r="I628" s="251"/>
      <c r="J628" s="253"/>
      <c r="K628" s="254">
        <f t="shared" si="13"/>
        <v>76.375200000000007</v>
      </c>
      <c r="L628" s="266"/>
    </row>
    <row r="629" spans="2:12">
      <c r="B629" s="263" t="s">
        <v>1645</v>
      </c>
      <c r="C629" s="264" t="s">
        <v>1612</v>
      </c>
      <c r="D629" s="205" t="s">
        <v>152</v>
      </c>
      <c r="E629" s="251">
        <v>141</v>
      </c>
      <c r="F629" s="252">
        <v>1.5780000000000001</v>
      </c>
      <c r="G629" s="251"/>
      <c r="H629" s="251">
        <v>1.1000000000000001</v>
      </c>
      <c r="I629" s="251"/>
      <c r="J629" s="253"/>
      <c r="K629" s="254">
        <f t="shared" si="13"/>
        <v>244.74780000000004</v>
      </c>
      <c r="L629" s="266"/>
    </row>
    <row r="630" spans="2:12">
      <c r="B630" s="263" t="s">
        <v>1646</v>
      </c>
      <c r="C630" s="264" t="s">
        <v>1612</v>
      </c>
      <c r="D630" s="205" t="s">
        <v>152</v>
      </c>
      <c r="E630" s="251">
        <v>223</v>
      </c>
      <c r="F630" s="252">
        <v>1.5780000000000001</v>
      </c>
      <c r="G630" s="251"/>
      <c r="H630" s="251">
        <v>1.1000000000000001</v>
      </c>
      <c r="I630" s="251"/>
      <c r="J630" s="253"/>
      <c r="K630" s="254">
        <f t="shared" si="13"/>
        <v>387.08340000000004</v>
      </c>
      <c r="L630" s="266"/>
    </row>
    <row r="631" spans="2:12">
      <c r="B631" s="263" t="s">
        <v>1647</v>
      </c>
      <c r="C631" s="264" t="s">
        <v>1613</v>
      </c>
      <c r="D631" s="205" t="s">
        <v>152</v>
      </c>
      <c r="E631" s="257">
        <v>614</v>
      </c>
      <c r="F631" s="258">
        <v>1.5780000000000001</v>
      </c>
      <c r="G631" s="257"/>
      <c r="H631" s="257">
        <v>1.1000000000000001</v>
      </c>
      <c r="I631" s="251"/>
      <c r="J631" s="253"/>
      <c r="K631" s="254">
        <f t="shared" si="13"/>
        <v>1065.7812000000001</v>
      </c>
      <c r="L631" s="255"/>
    </row>
    <row r="632" spans="2:12">
      <c r="B632" s="263" t="s">
        <v>1896</v>
      </c>
      <c r="C632" s="264" t="s">
        <v>1895</v>
      </c>
      <c r="D632" s="205" t="s">
        <v>152</v>
      </c>
      <c r="E632" s="257">
        <v>492</v>
      </c>
      <c r="F632" s="258">
        <v>1.5780000000000001</v>
      </c>
      <c r="G632" s="257"/>
      <c r="H632" s="257">
        <v>1.1000000000000001</v>
      </c>
      <c r="I632" s="251"/>
      <c r="J632" s="253"/>
      <c r="K632" s="254">
        <f t="shared" si="13"/>
        <v>854.01360000000022</v>
      </c>
      <c r="L632" s="255"/>
    </row>
    <row r="633" spans="2:12">
      <c r="B633" s="256"/>
      <c r="C633" s="210"/>
      <c r="D633" s="210"/>
      <c r="E633" s="257"/>
      <c r="F633" s="258"/>
      <c r="G633" s="257"/>
      <c r="H633" s="257"/>
      <c r="I633" s="257"/>
      <c r="J633" s="259"/>
      <c r="K633" s="254">
        <f t="shared" si="13"/>
        <v>0</v>
      </c>
      <c r="L633" s="210"/>
    </row>
    <row r="634" spans="2:12">
      <c r="B634" s="202"/>
      <c r="C634" s="203"/>
      <c r="D634" s="203"/>
      <c r="E634" s="203"/>
      <c r="F634" s="203"/>
      <c r="G634" s="203"/>
      <c r="H634" s="204"/>
      <c r="I634" s="556" t="s">
        <v>1221</v>
      </c>
      <c r="J634" s="556"/>
      <c r="K634" s="220">
        <f>SUM(K620:K633)</f>
        <v>5221.2864000000009</v>
      </c>
      <c r="L634" s="207"/>
    </row>
    <row r="635" spans="2:12">
      <c r="B635" s="208"/>
      <c r="C635" s="204"/>
      <c r="D635" s="204"/>
      <c r="E635" s="204"/>
      <c r="F635" s="204"/>
      <c r="G635" s="204"/>
      <c r="H635" s="209"/>
      <c r="I635" s="557" t="s">
        <v>1222</v>
      </c>
      <c r="J635" s="557"/>
      <c r="K635" s="221">
        <f>VLOOKUP(B618,'BM 004'!$B$27:$R$590,4,0)</f>
        <v>8421.6</v>
      </c>
      <c r="L635" s="207"/>
    </row>
    <row r="636" spans="2:12">
      <c r="B636" s="208"/>
      <c r="C636" s="204"/>
      <c r="D636" s="204"/>
      <c r="E636" s="204"/>
      <c r="F636" s="204"/>
      <c r="G636" s="204"/>
      <c r="H636" s="558" t="s">
        <v>1223</v>
      </c>
      <c r="I636" s="558"/>
      <c r="J636" s="558"/>
      <c r="K636" s="222">
        <v>4367.2727999999997</v>
      </c>
      <c r="L636" s="207"/>
    </row>
    <row r="637" spans="2:12">
      <c r="B637" s="208"/>
      <c r="C637" s="204"/>
      <c r="D637" s="204"/>
      <c r="E637" s="204"/>
      <c r="F637" s="204"/>
      <c r="G637" s="204"/>
      <c r="H637" s="558" t="s">
        <v>1605</v>
      </c>
      <c r="I637" s="558"/>
      <c r="J637" s="558"/>
      <c r="K637" s="222">
        <f>TRUNC(SUMIF(C620:C633,H637,K620:K633),2)</f>
        <v>854.01</v>
      </c>
      <c r="L637" s="207"/>
    </row>
    <row r="638" spans="2:12">
      <c r="B638" s="213"/>
      <c r="C638" s="214"/>
      <c r="D638" s="214"/>
      <c r="E638" s="214"/>
      <c r="F638" s="214"/>
      <c r="G638" s="214"/>
      <c r="H638" s="559" t="s">
        <v>1224</v>
      </c>
      <c r="I638" s="559"/>
      <c r="J638" s="559"/>
      <c r="K638" s="223">
        <f>IF(K634&gt;K635,K634-K635,0)</f>
        <v>0</v>
      </c>
      <c r="L638" s="209"/>
    </row>
    <row r="640" spans="2:12">
      <c r="B640" s="247" t="s">
        <v>209</v>
      </c>
      <c r="C640" s="565" t="str">
        <f>VLOOKUP(B640,'BM 004'!$B$27:$R$590,2,0)</f>
        <v xml:space="preserve">Armação de pilar ou viga de uma estrutura convencional de concreto armado em um edifício de múltiplos pavimentos utilizando aço ca-50 de 20,0 mm - montagem. </v>
      </c>
      <c r="D640" s="565"/>
      <c r="E640" s="565"/>
      <c r="F640" s="565"/>
      <c r="G640" s="565"/>
      <c r="H640" s="565"/>
      <c r="I640" s="565"/>
      <c r="J640" s="565"/>
      <c r="K640" s="565"/>
      <c r="L640" s="565"/>
    </row>
    <row r="641" spans="2:12">
      <c r="B641" s="248" t="s">
        <v>1209</v>
      </c>
      <c r="C641" s="248"/>
      <c r="D641" s="248" t="s">
        <v>39</v>
      </c>
      <c r="E641" s="248" t="s">
        <v>1210</v>
      </c>
      <c r="F641" s="248" t="s">
        <v>1382</v>
      </c>
      <c r="G641" s="248" t="s">
        <v>1383</v>
      </c>
      <c r="H641" s="248" t="s">
        <v>1384</v>
      </c>
      <c r="I641" s="248" t="s">
        <v>1214</v>
      </c>
      <c r="J641" s="248" t="s">
        <v>1385</v>
      </c>
      <c r="K641" s="248" t="s">
        <v>1216</v>
      </c>
      <c r="L641" s="248" t="s">
        <v>1217</v>
      </c>
    </row>
    <row r="642" spans="2:12">
      <c r="B642" s="249" t="s">
        <v>1367</v>
      </c>
      <c r="C642" s="250" t="s">
        <v>1333</v>
      </c>
      <c r="D642" s="205" t="s">
        <v>152</v>
      </c>
      <c r="E642" s="251">
        <v>75</v>
      </c>
      <c r="F642" s="252">
        <v>2.4660000000000002</v>
      </c>
      <c r="G642" s="251"/>
      <c r="H642" s="251">
        <v>1.1000000000000001</v>
      </c>
      <c r="I642" s="251"/>
      <c r="J642" s="253"/>
      <c r="K642" s="254">
        <f t="shared" ref="K642:K656" si="14">IF(E642*F642*G642&lt;&gt;0,E642*F642*G642,IF(E642*F642&lt;&gt;0,E642*F642,IF(F642*G642&lt;&gt;0,F642*G642,IF(E642*G642&lt;&gt;0,E642*G642,IF(E642&lt;&gt;0,E642,IF(F642&lt;&gt;0,F642,IF(G642&lt;&gt;0,G642,0)))))))*(IF(H642&lt;&gt;0,H642,1))+I642-J642</f>
        <v>203.44500000000002</v>
      </c>
      <c r="L642" s="255"/>
    </row>
    <row r="643" spans="2:12">
      <c r="B643" s="249" t="s">
        <v>1386</v>
      </c>
      <c r="C643" s="250" t="s">
        <v>1333</v>
      </c>
      <c r="D643" s="205" t="s">
        <v>152</v>
      </c>
      <c r="E643" s="251">
        <v>95</v>
      </c>
      <c r="F643" s="252">
        <v>2.4660000000000002</v>
      </c>
      <c r="G643" s="251"/>
      <c r="H643" s="251">
        <v>1.1000000000000001</v>
      </c>
      <c r="I643" s="251"/>
      <c r="J643" s="253"/>
      <c r="K643" s="254">
        <f t="shared" si="14"/>
        <v>257.69700000000006</v>
      </c>
      <c r="L643" s="255"/>
    </row>
    <row r="644" spans="2:12">
      <c r="B644" s="263" t="s">
        <v>1475</v>
      </c>
      <c r="C644" s="264" t="s">
        <v>1441</v>
      </c>
      <c r="D644" s="205" t="s">
        <v>152</v>
      </c>
      <c r="E644" s="251">
        <v>150</v>
      </c>
      <c r="F644" s="252">
        <v>2.4660000000000002</v>
      </c>
      <c r="G644" s="251"/>
      <c r="H644" s="251">
        <v>1.1000000000000001</v>
      </c>
      <c r="I644" s="251"/>
      <c r="J644" s="253"/>
      <c r="K644" s="254">
        <f t="shared" si="14"/>
        <v>406.89000000000004</v>
      </c>
      <c r="L644" s="255"/>
    </row>
    <row r="645" spans="2:12">
      <c r="B645" s="263" t="s">
        <v>1476</v>
      </c>
      <c r="C645" s="264" t="s">
        <v>1441</v>
      </c>
      <c r="D645" s="205" t="s">
        <v>152</v>
      </c>
      <c r="E645" s="251">
        <v>137</v>
      </c>
      <c r="F645" s="252">
        <v>2.4660000000000002</v>
      </c>
      <c r="G645" s="251"/>
      <c r="H645" s="251">
        <v>1.1000000000000001</v>
      </c>
      <c r="I645" s="251"/>
      <c r="J645" s="253"/>
      <c r="K645" s="254">
        <f t="shared" si="14"/>
        <v>371.6262000000001</v>
      </c>
      <c r="L645" s="255"/>
    </row>
    <row r="646" spans="2:12">
      <c r="B646" s="263" t="s">
        <v>1302</v>
      </c>
      <c r="C646" s="264" t="s">
        <v>1441</v>
      </c>
      <c r="D646" s="205" t="s">
        <v>152</v>
      </c>
      <c r="E646" s="251">
        <v>157</v>
      </c>
      <c r="F646" s="252">
        <v>2.4660000000000002</v>
      </c>
      <c r="G646" s="251"/>
      <c r="H646" s="251">
        <v>1.1000000000000001</v>
      </c>
      <c r="I646" s="251"/>
      <c r="J646" s="253"/>
      <c r="K646" s="254">
        <f t="shared" si="14"/>
        <v>425.87820000000005</v>
      </c>
      <c r="L646" s="255"/>
    </row>
    <row r="647" spans="2:12">
      <c r="B647" s="263" t="s">
        <v>1552</v>
      </c>
      <c r="C647" s="264" t="s">
        <v>1521</v>
      </c>
      <c r="D647" s="205" t="s">
        <v>152</v>
      </c>
      <c r="E647" s="251">
        <v>172</v>
      </c>
      <c r="F647" s="252">
        <v>2.4660000000000002</v>
      </c>
      <c r="G647" s="251"/>
      <c r="H647" s="251">
        <v>1.1000000000000001</v>
      </c>
      <c r="I647" s="251"/>
      <c r="J647" s="253"/>
      <c r="K647" s="254">
        <f t="shared" si="14"/>
        <v>466.56720000000007</v>
      </c>
      <c r="L647" s="266"/>
    </row>
    <row r="648" spans="2:12">
      <c r="B648" s="263" t="s">
        <v>1553</v>
      </c>
      <c r="C648" s="264" t="s">
        <v>1521</v>
      </c>
      <c r="D648" s="205" t="s">
        <v>152</v>
      </c>
      <c r="E648" s="251">
        <v>47</v>
      </c>
      <c r="F648" s="252">
        <v>2.4660000000000002</v>
      </c>
      <c r="G648" s="251"/>
      <c r="H648" s="251">
        <v>1.1000000000000001</v>
      </c>
      <c r="I648" s="251"/>
      <c r="J648" s="253"/>
      <c r="K648" s="254">
        <f t="shared" si="14"/>
        <v>127.49220000000003</v>
      </c>
      <c r="L648" s="266"/>
    </row>
    <row r="649" spans="2:12">
      <c r="B649" s="263" t="s">
        <v>1642</v>
      </c>
      <c r="C649" s="264" t="s">
        <v>1611</v>
      </c>
      <c r="D649" s="205" t="s">
        <v>152</v>
      </c>
      <c r="E649" s="251">
        <v>105</v>
      </c>
      <c r="F649" s="252">
        <v>2.4660000000000002</v>
      </c>
      <c r="G649" s="251"/>
      <c r="H649" s="251">
        <v>1.1000000000000001</v>
      </c>
      <c r="I649" s="251"/>
      <c r="J649" s="253"/>
      <c r="K649" s="254">
        <f t="shared" si="14"/>
        <v>284.82300000000004</v>
      </c>
      <c r="L649" s="266"/>
    </row>
    <row r="650" spans="2:12">
      <c r="B650" s="263" t="s">
        <v>1643</v>
      </c>
      <c r="C650" s="264" t="s">
        <v>1611</v>
      </c>
      <c r="D650" s="205" t="s">
        <v>152</v>
      </c>
      <c r="E650" s="251">
        <v>117</v>
      </c>
      <c r="F650" s="252">
        <v>2.4660000000000002</v>
      </c>
      <c r="G650" s="251"/>
      <c r="H650" s="251">
        <v>1.1000000000000001</v>
      </c>
      <c r="I650" s="251"/>
      <c r="J650" s="253"/>
      <c r="K650" s="254">
        <f t="shared" si="14"/>
        <v>317.37420000000009</v>
      </c>
      <c r="L650" s="266"/>
    </row>
    <row r="651" spans="2:12">
      <c r="B651" s="263" t="s">
        <v>1644</v>
      </c>
      <c r="C651" s="264" t="s">
        <v>1612</v>
      </c>
      <c r="D651" s="205" t="s">
        <v>152</v>
      </c>
      <c r="E651" s="251">
        <v>126</v>
      </c>
      <c r="F651" s="252">
        <v>2.4660000000000002</v>
      </c>
      <c r="G651" s="251"/>
      <c r="H651" s="251">
        <v>1.1000000000000001</v>
      </c>
      <c r="I651" s="251"/>
      <c r="J651" s="253"/>
      <c r="K651" s="254">
        <f t="shared" si="14"/>
        <v>341.78760000000005</v>
      </c>
      <c r="L651" s="266"/>
    </row>
    <row r="652" spans="2:12">
      <c r="B652" s="263" t="s">
        <v>1645</v>
      </c>
      <c r="C652" s="264" t="s">
        <v>1612</v>
      </c>
      <c r="D652" s="205" t="s">
        <v>152</v>
      </c>
      <c r="E652" s="251">
        <v>78</v>
      </c>
      <c r="F652" s="252">
        <v>2.4660000000000002</v>
      </c>
      <c r="G652" s="251"/>
      <c r="H652" s="251">
        <v>1.1000000000000001</v>
      </c>
      <c r="I652" s="251"/>
      <c r="J652" s="253"/>
      <c r="K652" s="254">
        <f t="shared" si="14"/>
        <v>211.58280000000002</v>
      </c>
      <c r="L652" s="266"/>
    </row>
    <row r="653" spans="2:12">
      <c r="B653" s="263" t="s">
        <v>1646</v>
      </c>
      <c r="C653" s="264" t="s">
        <v>1612</v>
      </c>
      <c r="D653" s="205" t="s">
        <v>152</v>
      </c>
      <c r="E653" s="251">
        <v>75</v>
      </c>
      <c r="F653" s="252">
        <v>2.4660000000000002</v>
      </c>
      <c r="G653" s="251"/>
      <c r="H653" s="251">
        <v>1.1000000000000001</v>
      </c>
      <c r="I653" s="251"/>
      <c r="J653" s="253"/>
      <c r="K653" s="254">
        <f t="shared" si="14"/>
        <v>203.44500000000002</v>
      </c>
      <c r="L653" s="266"/>
    </row>
    <row r="654" spans="2:12">
      <c r="B654" s="263" t="s">
        <v>1647</v>
      </c>
      <c r="C654" s="264" t="s">
        <v>1613</v>
      </c>
      <c r="D654" s="205" t="s">
        <v>152</v>
      </c>
      <c r="E654" s="257">
        <v>139</v>
      </c>
      <c r="F654" s="258">
        <v>2.4660000000000002</v>
      </c>
      <c r="G654" s="257"/>
      <c r="H654" s="257">
        <v>1.1000000000000001</v>
      </c>
      <c r="I654" s="251"/>
      <c r="J654" s="253"/>
      <c r="K654" s="254">
        <f t="shared" si="14"/>
        <v>377.05140000000006</v>
      </c>
      <c r="L654" s="255"/>
    </row>
    <row r="655" spans="2:12">
      <c r="B655" s="263" t="s">
        <v>1896</v>
      </c>
      <c r="C655" s="264" t="s">
        <v>1895</v>
      </c>
      <c r="D655" s="205" t="s">
        <v>152</v>
      </c>
      <c r="E655" s="257">
        <v>213</v>
      </c>
      <c r="F655" s="258">
        <v>2.4660000000000002</v>
      </c>
      <c r="G655" s="257"/>
      <c r="H655" s="257">
        <v>1.1000000000000001</v>
      </c>
      <c r="I655" s="251"/>
      <c r="J655" s="253"/>
      <c r="K655" s="254">
        <f t="shared" si="14"/>
        <v>577.78380000000004</v>
      </c>
      <c r="L655" s="255"/>
    </row>
    <row r="656" spans="2:12">
      <c r="B656" s="256"/>
      <c r="C656" s="210"/>
      <c r="D656" s="210"/>
      <c r="E656" s="257"/>
      <c r="F656" s="258"/>
      <c r="G656" s="257"/>
      <c r="H656" s="257"/>
      <c r="I656" s="257"/>
      <c r="J656" s="259"/>
      <c r="K656" s="260">
        <f t="shared" si="14"/>
        <v>0</v>
      </c>
      <c r="L656" s="210"/>
    </row>
    <row r="657" spans="2:12">
      <c r="B657" s="202"/>
      <c r="C657" s="203"/>
      <c r="D657" s="203"/>
      <c r="E657" s="203"/>
      <c r="F657" s="203"/>
      <c r="G657" s="203"/>
      <c r="H657" s="204"/>
      <c r="I657" s="556" t="s">
        <v>1221</v>
      </c>
      <c r="J657" s="556"/>
      <c r="K657" s="220">
        <f>SUM(K642:K656)</f>
        <v>4573.4436000000014</v>
      </c>
      <c r="L657" s="207"/>
    </row>
    <row r="658" spans="2:12">
      <c r="B658" s="208"/>
      <c r="C658" s="204"/>
      <c r="D658" s="204"/>
      <c r="E658" s="204"/>
      <c r="F658" s="204"/>
      <c r="G658" s="204"/>
      <c r="H658" s="209"/>
      <c r="I658" s="557" t="s">
        <v>1222</v>
      </c>
      <c r="J658" s="557"/>
      <c r="K658" s="221">
        <f>VLOOKUP(B640,'BM 004'!$B$27:$R$590,4,0)</f>
        <v>7144.5</v>
      </c>
      <c r="L658" s="207"/>
    </row>
    <row r="659" spans="2:12">
      <c r="B659" s="208"/>
      <c r="C659" s="204"/>
      <c r="D659" s="204"/>
      <c r="E659" s="204"/>
      <c r="F659" s="204"/>
      <c r="G659" s="204"/>
      <c r="H659" s="558" t="s">
        <v>1223</v>
      </c>
      <c r="I659" s="558"/>
      <c r="J659" s="558"/>
      <c r="K659" s="222">
        <v>3995.6597999999999</v>
      </c>
      <c r="L659" s="207"/>
    </row>
    <row r="660" spans="2:12">
      <c r="B660" s="208"/>
      <c r="C660" s="204"/>
      <c r="D660" s="204"/>
      <c r="E660" s="204"/>
      <c r="F660" s="204"/>
      <c r="G660" s="204"/>
      <c r="H660" s="558" t="s">
        <v>1605</v>
      </c>
      <c r="I660" s="558"/>
      <c r="J660" s="558"/>
      <c r="K660" s="222">
        <f>TRUNC(SUMIF(C642:C656,H660,K642:K656),2)</f>
        <v>577.78</v>
      </c>
      <c r="L660" s="207"/>
    </row>
    <row r="661" spans="2:12">
      <c r="B661" s="213"/>
      <c r="C661" s="214"/>
      <c r="D661" s="214"/>
      <c r="E661" s="214"/>
      <c r="F661" s="214"/>
      <c r="G661" s="214"/>
      <c r="H661" s="559" t="s">
        <v>1224</v>
      </c>
      <c r="I661" s="559"/>
      <c r="J661" s="559"/>
      <c r="K661" s="223">
        <f>IF(K657&gt;K658,K657-K658,0)</f>
        <v>0</v>
      </c>
      <c r="L661" s="209"/>
    </row>
    <row r="663" spans="2:12">
      <c r="B663" s="247" t="s">
        <v>211</v>
      </c>
      <c r="C663" s="565" t="str">
        <f>VLOOKUP(B663,'BM 004'!$B$27:$R$590,2,0)</f>
        <v xml:space="preserve">Armação de pilar ou viga de uma estrutura convencional de concreto armado em um edifício de múltiplos pavimentos utilizando aço ca-50 de 25,0 mm - montagem. </v>
      </c>
      <c r="D663" s="565"/>
      <c r="E663" s="565"/>
      <c r="F663" s="565"/>
      <c r="G663" s="565"/>
      <c r="H663" s="565"/>
      <c r="I663" s="565"/>
      <c r="J663" s="565"/>
      <c r="K663" s="565"/>
      <c r="L663" s="565"/>
    </row>
    <row r="664" spans="2:12">
      <c r="B664" s="248" t="s">
        <v>1209</v>
      </c>
      <c r="C664" s="248"/>
      <c r="D664" s="248" t="s">
        <v>39</v>
      </c>
      <c r="E664" s="248" t="s">
        <v>1210</v>
      </c>
      <c r="F664" s="248" t="s">
        <v>1382</v>
      </c>
      <c r="G664" s="248" t="s">
        <v>1383</v>
      </c>
      <c r="H664" s="248" t="s">
        <v>1384</v>
      </c>
      <c r="I664" s="248" t="s">
        <v>1214</v>
      </c>
      <c r="J664" s="248" t="s">
        <v>1385</v>
      </c>
      <c r="K664" s="248" t="s">
        <v>1216</v>
      </c>
      <c r="L664" s="248" t="s">
        <v>1217</v>
      </c>
    </row>
    <row r="665" spans="2:12">
      <c r="B665" s="249" t="s">
        <v>1367</v>
      </c>
      <c r="C665" s="250" t="s">
        <v>1333</v>
      </c>
      <c r="D665" s="205" t="s">
        <v>152</v>
      </c>
      <c r="E665" s="251">
        <v>16</v>
      </c>
      <c r="F665" s="252">
        <v>3.8530000000000002</v>
      </c>
      <c r="G665" s="251"/>
      <c r="H665" s="251">
        <v>1.1000000000000001</v>
      </c>
      <c r="I665" s="251"/>
      <c r="J665" s="253"/>
      <c r="K665" s="254">
        <f t="shared" ref="K665:K679" si="15">IF(E665*F665*G665&lt;&gt;0,E665*F665*G665,IF(E665*F665&lt;&gt;0,E665*F665,IF(F665*G665&lt;&gt;0,F665*G665,IF(E665*G665&lt;&gt;0,E665*G665,IF(E665&lt;&gt;0,E665,IF(F665&lt;&gt;0,F665,IF(G665&lt;&gt;0,G665,0)))))))*(IF(H665&lt;&gt;0,H665,1))+I665-J665</f>
        <v>67.81280000000001</v>
      </c>
      <c r="L665" s="255"/>
    </row>
    <row r="666" spans="2:12">
      <c r="B666" s="249" t="s">
        <v>1386</v>
      </c>
      <c r="C666" s="250" t="s">
        <v>1333</v>
      </c>
      <c r="D666" s="205" t="s">
        <v>152</v>
      </c>
      <c r="E666" s="251">
        <v>44</v>
      </c>
      <c r="F666" s="252">
        <v>3.8530000000000002</v>
      </c>
      <c r="G666" s="251"/>
      <c r="H666" s="251">
        <v>1.1000000000000001</v>
      </c>
      <c r="I666" s="251"/>
      <c r="J666" s="253"/>
      <c r="K666" s="254">
        <f t="shared" si="15"/>
        <v>186.48520000000002</v>
      </c>
      <c r="L666" s="255"/>
    </row>
    <row r="667" spans="2:12">
      <c r="B667" s="263" t="s">
        <v>1475</v>
      </c>
      <c r="C667" s="264" t="s">
        <v>1441</v>
      </c>
      <c r="D667" s="205" t="s">
        <v>152</v>
      </c>
      <c r="E667" s="251">
        <v>148</v>
      </c>
      <c r="F667" s="252">
        <v>3.8530000000000002</v>
      </c>
      <c r="G667" s="251"/>
      <c r="H667" s="251">
        <v>1.1000000000000001</v>
      </c>
      <c r="I667" s="251"/>
      <c r="J667" s="253"/>
      <c r="K667" s="254">
        <f t="shared" si="15"/>
        <v>627.26840000000004</v>
      </c>
      <c r="L667" s="255"/>
    </row>
    <row r="668" spans="2:12">
      <c r="B668" s="263" t="s">
        <v>1476</v>
      </c>
      <c r="C668" s="264" t="s">
        <v>1441</v>
      </c>
      <c r="D668" s="205" t="s">
        <v>152</v>
      </c>
      <c r="E668" s="251">
        <v>96</v>
      </c>
      <c r="F668" s="252">
        <v>3.8530000000000002</v>
      </c>
      <c r="G668" s="251"/>
      <c r="H668" s="251">
        <v>1.1000000000000001</v>
      </c>
      <c r="I668" s="251"/>
      <c r="J668" s="253"/>
      <c r="K668" s="254">
        <f t="shared" si="15"/>
        <v>406.87680000000006</v>
      </c>
      <c r="L668" s="255"/>
    </row>
    <row r="669" spans="2:12">
      <c r="B669" s="263" t="s">
        <v>1302</v>
      </c>
      <c r="C669" s="264" t="s">
        <v>1441</v>
      </c>
      <c r="D669" s="205" t="s">
        <v>152</v>
      </c>
      <c r="E669" s="251">
        <v>222</v>
      </c>
      <c r="F669" s="252">
        <v>3.8530000000000002</v>
      </c>
      <c r="G669" s="251"/>
      <c r="H669" s="251">
        <v>1.1000000000000001</v>
      </c>
      <c r="I669" s="251"/>
      <c r="J669" s="253"/>
      <c r="K669" s="254">
        <f t="shared" si="15"/>
        <v>940.90260000000023</v>
      </c>
      <c r="L669" s="255"/>
    </row>
    <row r="670" spans="2:12">
      <c r="B670" s="263" t="s">
        <v>1552</v>
      </c>
      <c r="C670" s="264" t="s">
        <v>1521</v>
      </c>
      <c r="D670" s="205" t="s">
        <v>152</v>
      </c>
      <c r="E670" s="251">
        <v>57</v>
      </c>
      <c r="F670" s="252">
        <v>3.8530000000000002</v>
      </c>
      <c r="G670" s="251"/>
      <c r="H670" s="251">
        <v>1.1000000000000001</v>
      </c>
      <c r="I670" s="251"/>
      <c r="J670" s="253"/>
      <c r="K670" s="254">
        <f t="shared" si="15"/>
        <v>241.58310000000003</v>
      </c>
      <c r="L670" s="266"/>
    </row>
    <row r="671" spans="2:12">
      <c r="B671" s="263" t="s">
        <v>1553</v>
      </c>
      <c r="C671" s="264" t="s">
        <v>1521</v>
      </c>
      <c r="D671" s="205" t="s">
        <v>152</v>
      </c>
      <c r="E671" s="251">
        <v>34</v>
      </c>
      <c r="F671" s="252">
        <v>3.8530000000000002</v>
      </c>
      <c r="G671" s="251"/>
      <c r="H671" s="251">
        <v>1.1000000000000001</v>
      </c>
      <c r="I671" s="251"/>
      <c r="J671" s="253"/>
      <c r="K671" s="254">
        <f t="shared" si="15"/>
        <v>144.10220000000001</v>
      </c>
      <c r="L671" s="266"/>
    </row>
    <row r="672" spans="2:12">
      <c r="B672" s="263" t="s">
        <v>1642</v>
      </c>
      <c r="C672" s="264" t="s">
        <v>1611</v>
      </c>
      <c r="D672" s="205" t="s">
        <v>152</v>
      </c>
      <c r="E672" s="251">
        <v>120</v>
      </c>
      <c r="F672" s="252">
        <v>3.8530000000000002</v>
      </c>
      <c r="G672" s="251"/>
      <c r="H672" s="251">
        <v>1.1000000000000001</v>
      </c>
      <c r="I672" s="251"/>
      <c r="J672" s="253"/>
      <c r="K672" s="254">
        <f t="shared" si="15"/>
        <v>508.59600000000006</v>
      </c>
      <c r="L672" s="266"/>
    </row>
    <row r="673" spans="2:12">
      <c r="B673" s="263" t="s">
        <v>1643</v>
      </c>
      <c r="C673" s="264" t="s">
        <v>1611</v>
      </c>
      <c r="D673" s="205" t="s">
        <v>152</v>
      </c>
      <c r="E673" s="251">
        <v>118</v>
      </c>
      <c r="F673" s="252">
        <v>3.8530000000000002</v>
      </c>
      <c r="G673" s="251"/>
      <c r="H673" s="251">
        <v>1.1000000000000001</v>
      </c>
      <c r="I673" s="251"/>
      <c r="J673" s="253"/>
      <c r="K673" s="254">
        <f t="shared" si="15"/>
        <v>500.11940000000004</v>
      </c>
      <c r="L673" s="266"/>
    </row>
    <row r="674" spans="2:12">
      <c r="B674" s="263" t="s">
        <v>1644</v>
      </c>
      <c r="C674" s="264" t="s">
        <v>1612</v>
      </c>
      <c r="D674" s="205" t="s">
        <v>152</v>
      </c>
      <c r="E674" s="251">
        <v>69</v>
      </c>
      <c r="F674" s="252">
        <v>3.8530000000000002</v>
      </c>
      <c r="G674" s="251"/>
      <c r="H674" s="251">
        <v>1.1000000000000001</v>
      </c>
      <c r="I674" s="251"/>
      <c r="J674" s="253"/>
      <c r="K674" s="254">
        <f t="shared" si="15"/>
        <v>292.44270000000006</v>
      </c>
      <c r="L674" s="266"/>
    </row>
    <row r="675" spans="2:12">
      <c r="B675" s="263" t="s">
        <v>1645</v>
      </c>
      <c r="C675" s="264" t="s">
        <v>1612</v>
      </c>
      <c r="D675" s="205" t="s">
        <v>152</v>
      </c>
      <c r="E675" s="251">
        <v>20</v>
      </c>
      <c r="F675" s="252">
        <v>3.8530000000000002</v>
      </c>
      <c r="G675" s="251"/>
      <c r="H675" s="251">
        <v>1.1000000000000001</v>
      </c>
      <c r="I675" s="251"/>
      <c r="J675" s="253"/>
      <c r="K675" s="254">
        <f t="shared" si="15"/>
        <v>84.766000000000005</v>
      </c>
      <c r="L675" s="266"/>
    </row>
    <row r="676" spans="2:12">
      <c r="B676" s="263" t="s">
        <v>1646</v>
      </c>
      <c r="C676" s="264" t="s">
        <v>1612</v>
      </c>
      <c r="D676" s="205" t="s">
        <v>152</v>
      </c>
      <c r="E676" s="251">
        <v>11</v>
      </c>
      <c r="F676" s="252">
        <v>3.8530000000000002</v>
      </c>
      <c r="G676" s="251"/>
      <c r="H676" s="251">
        <v>1.1000000000000001</v>
      </c>
      <c r="I676" s="251"/>
      <c r="J676" s="253"/>
      <c r="K676" s="254">
        <f t="shared" si="15"/>
        <v>46.621300000000005</v>
      </c>
      <c r="L676" s="266"/>
    </row>
    <row r="677" spans="2:12">
      <c r="B677" s="263" t="s">
        <v>1647</v>
      </c>
      <c r="C677" s="264" t="s">
        <v>1613</v>
      </c>
      <c r="D677" s="205" t="s">
        <v>152</v>
      </c>
      <c r="E677" s="257">
        <v>222</v>
      </c>
      <c r="F677" s="258">
        <v>3.8530000000000002</v>
      </c>
      <c r="G677" s="257"/>
      <c r="H677" s="257">
        <v>1.1000000000000001</v>
      </c>
      <c r="I677" s="251"/>
      <c r="J677" s="253"/>
      <c r="K677" s="254">
        <f t="shared" si="15"/>
        <v>940.90260000000023</v>
      </c>
      <c r="L677" s="255"/>
    </row>
    <row r="678" spans="2:12">
      <c r="B678" s="263" t="s">
        <v>1896</v>
      </c>
      <c r="C678" s="264" t="s">
        <v>1895</v>
      </c>
      <c r="D678" s="205" t="s">
        <v>152</v>
      </c>
      <c r="E678" s="257">
        <v>95</v>
      </c>
      <c r="F678" s="258">
        <v>3.8530000000000002</v>
      </c>
      <c r="G678" s="257"/>
      <c r="H678" s="257">
        <v>1.1000000000000001</v>
      </c>
      <c r="I678" s="251"/>
      <c r="J678" s="253"/>
      <c r="K678" s="254">
        <f t="shared" si="15"/>
        <v>402.63850000000008</v>
      </c>
      <c r="L678" s="255"/>
    </row>
    <row r="679" spans="2:12">
      <c r="B679" s="256"/>
      <c r="C679" s="210"/>
      <c r="D679" s="210"/>
      <c r="E679" s="257"/>
      <c r="F679" s="258"/>
      <c r="G679" s="257"/>
      <c r="H679" s="257"/>
      <c r="I679" s="257"/>
      <c r="J679" s="259"/>
      <c r="K679" s="260">
        <f t="shared" si="15"/>
        <v>0</v>
      </c>
      <c r="L679" s="210"/>
    </row>
    <row r="680" spans="2:12">
      <c r="B680" s="202"/>
      <c r="C680" s="203"/>
      <c r="D680" s="203"/>
      <c r="E680" s="203"/>
      <c r="F680" s="203"/>
      <c r="G680" s="203"/>
      <c r="H680" s="204"/>
      <c r="I680" s="556" t="s">
        <v>1221</v>
      </c>
      <c r="J680" s="556"/>
      <c r="K680" s="220">
        <f>SUM(K665:K679)</f>
        <v>5391.1176000000005</v>
      </c>
      <c r="L680" s="207"/>
    </row>
    <row r="681" spans="2:12">
      <c r="B681" s="208"/>
      <c r="C681" s="204"/>
      <c r="D681" s="204"/>
      <c r="E681" s="204"/>
      <c r="F681" s="204"/>
      <c r="G681" s="204"/>
      <c r="H681" s="209"/>
      <c r="I681" s="557" t="s">
        <v>1222</v>
      </c>
      <c r="J681" s="557"/>
      <c r="K681" s="221">
        <f>VLOOKUP(B663,'BM 004'!$B$27:$R$590,4,0)</f>
        <v>6531.8</v>
      </c>
      <c r="L681" s="207"/>
    </row>
    <row r="682" spans="2:12">
      <c r="B682" s="208"/>
      <c r="C682" s="204"/>
      <c r="D682" s="204"/>
      <c r="E682" s="204"/>
      <c r="F682" s="204"/>
      <c r="G682" s="204"/>
      <c r="H682" s="558" t="s">
        <v>1223</v>
      </c>
      <c r="I682" s="558"/>
      <c r="J682" s="558"/>
      <c r="K682" s="222">
        <v>4988.4790999999996</v>
      </c>
      <c r="L682" s="207"/>
    </row>
    <row r="683" spans="2:12">
      <c r="B683" s="208"/>
      <c r="C683" s="204"/>
      <c r="D683" s="204"/>
      <c r="E683" s="204"/>
      <c r="F683" s="204"/>
      <c r="G683" s="204"/>
      <c r="H683" s="558" t="s">
        <v>1605</v>
      </c>
      <c r="I683" s="558"/>
      <c r="J683" s="558"/>
      <c r="K683" s="222">
        <f>TRUNC(SUMIF(C665:C679,H683,K665:K679),2)</f>
        <v>402.63</v>
      </c>
      <c r="L683" s="207"/>
    </row>
    <row r="684" spans="2:12">
      <c r="B684" s="213"/>
      <c r="C684" s="214"/>
      <c r="D684" s="214"/>
      <c r="E684" s="214"/>
      <c r="F684" s="214"/>
      <c r="G684" s="214"/>
      <c r="H684" s="559" t="s">
        <v>1224</v>
      </c>
      <c r="I684" s="559"/>
      <c r="J684" s="559"/>
      <c r="K684" s="223">
        <f>IF(K680&gt;K681,K680-K681,0)</f>
        <v>0</v>
      </c>
      <c r="L684" s="209"/>
    </row>
    <row r="686" spans="2:12">
      <c r="B686" s="247" t="s">
        <v>214</v>
      </c>
      <c r="C686" s="565" t="str">
        <f>VLOOKUP(B686,'BM 004'!$B$27:$R$590,2,0)</f>
        <v xml:space="preserve">Concreto simples usinado fck=35mpa, bombeado, lançado e adensado em superestrutura </v>
      </c>
      <c r="D686" s="565"/>
      <c r="E686" s="565"/>
      <c r="F686" s="565"/>
      <c r="G686" s="565"/>
      <c r="H686" s="565"/>
      <c r="I686" s="565"/>
      <c r="J686" s="565"/>
      <c r="K686" s="565"/>
      <c r="L686" s="565"/>
    </row>
    <row r="687" spans="2:12">
      <c r="B687" s="248" t="s">
        <v>1209</v>
      </c>
      <c r="C687" s="248"/>
      <c r="D687" s="248" t="s">
        <v>39</v>
      </c>
      <c r="E687" s="248" t="s">
        <v>1210</v>
      </c>
      <c r="F687" s="248" t="s">
        <v>1388</v>
      </c>
      <c r="G687" s="248" t="s">
        <v>1212</v>
      </c>
      <c r="H687" s="248" t="s">
        <v>1455</v>
      </c>
      <c r="I687" s="248" t="s">
        <v>1214</v>
      </c>
      <c r="J687" s="248" t="s">
        <v>1385</v>
      </c>
      <c r="K687" s="248" t="s">
        <v>1216</v>
      </c>
      <c r="L687" s="248" t="s">
        <v>1217</v>
      </c>
    </row>
    <row r="688" spans="2:12">
      <c r="B688" s="249" t="s">
        <v>1456</v>
      </c>
      <c r="C688" s="250" t="s">
        <v>1441</v>
      </c>
      <c r="D688" s="205" t="s">
        <v>169</v>
      </c>
      <c r="E688" s="199">
        <v>0.64</v>
      </c>
      <c r="F688" s="199">
        <v>0.15</v>
      </c>
      <c r="G688" s="199">
        <v>1</v>
      </c>
      <c r="H688" s="199"/>
      <c r="I688" s="199"/>
      <c r="J688" s="219"/>
      <c r="K688" s="220">
        <f t="shared" ref="K688:K719" si="16">IF(E688*F688*G688&lt;&gt;0,E688*F688*G688,IF(E688*F688&lt;&gt;0,E688*F688,IF(F688*G688&lt;&gt;0,F688*G688,IF(E688*G688&lt;&gt;0,E688*G688,IF(E688&lt;&gt;0,E688,IF(F688&lt;&gt;0,F688,IF(G688&lt;&gt;0,G688,0)))))))*(IF(H688&lt;&gt;0,H688,1))+I688-J688</f>
        <v>9.6000000000000002E-2</v>
      </c>
      <c r="L688" s="255"/>
    </row>
    <row r="689" spans="2:12">
      <c r="B689" s="249" t="s">
        <v>1457</v>
      </c>
      <c r="C689" s="250" t="s">
        <v>1441</v>
      </c>
      <c r="D689" s="205" t="s">
        <v>169</v>
      </c>
      <c r="E689" s="199">
        <v>7.2</v>
      </c>
      <c r="F689" s="199">
        <v>0.15</v>
      </c>
      <c r="G689" s="199">
        <v>0.7</v>
      </c>
      <c r="H689" s="199"/>
      <c r="I689" s="199"/>
      <c r="J689" s="219"/>
      <c r="K689" s="220">
        <f t="shared" si="16"/>
        <v>0.75600000000000001</v>
      </c>
      <c r="L689" s="255"/>
    </row>
    <row r="690" spans="2:12">
      <c r="B690" s="249" t="s">
        <v>1458</v>
      </c>
      <c r="C690" s="250" t="s">
        <v>1441</v>
      </c>
      <c r="D690" s="205" t="s">
        <v>169</v>
      </c>
      <c r="E690" s="199">
        <v>13.07</v>
      </c>
      <c r="F690" s="199">
        <v>0.15</v>
      </c>
      <c r="G690" s="199">
        <v>0.7</v>
      </c>
      <c r="H690" s="199"/>
      <c r="I690" s="199"/>
      <c r="J690" s="219"/>
      <c r="K690" s="220">
        <f t="shared" si="16"/>
        <v>1.37235</v>
      </c>
      <c r="L690" s="255"/>
    </row>
    <row r="691" spans="2:12">
      <c r="B691" s="249" t="s">
        <v>1459</v>
      </c>
      <c r="C691" s="250" t="s">
        <v>1441</v>
      </c>
      <c r="D691" s="205" t="s">
        <v>169</v>
      </c>
      <c r="E691" s="199">
        <v>0.94</v>
      </c>
      <c r="F691" s="199">
        <v>0.2</v>
      </c>
      <c r="G691" s="199">
        <v>0.6</v>
      </c>
      <c r="H691" s="199"/>
      <c r="I691" s="199"/>
      <c r="J691" s="219"/>
      <c r="K691" s="220">
        <f t="shared" si="16"/>
        <v>0.1128</v>
      </c>
      <c r="L691" s="255"/>
    </row>
    <row r="692" spans="2:12">
      <c r="B692" s="249" t="s">
        <v>1460</v>
      </c>
      <c r="C692" s="250" t="s">
        <v>1441</v>
      </c>
      <c r="D692" s="205" t="s">
        <v>169</v>
      </c>
      <c r="E692" s="199">
        <v>6.7</v>
      </c>
      <c r="F692" s="199">
        <v>0.2</v>
      </c>
      <c r="G692" s="199">
        <v>0.6</v>
      </c>
      <c r="H692" s="199"/>
      <c r="I692" s="199"/>
      <c r="J692" s="219"/>
      <c r="K692" s="220">
        <f t="shared" si="16"/>
        <v>0.80400000000000005</v>
      </c>
      <c r="L692" s="255"/>
    </row>
    <row r="693" spans="2:12">
      <c r="B693" s="249" t="s">
        <v>1460</v>
      </c>
      <c r="C693" s="250" t="s">
        <v>1441</v>
      </c>
      <c r="D693" s="205" t="s">
        <v>169</v>
      </c>
      <c r="E693" s="199">
        <v>14.04</v>
      </c>
      <c r="F693" s="199">
        <v>0.2</v>
      </c>
      <c r="G693" s="199">
        <v>1.2</v>
      </c>
      <c r="H693" s="199"/>
      <c r="I693" s="199"/>
      <c r="J693" s="219"/>
      <c r="K693" s="220">
        <f t="shared" si="16"/>
        <v>3.3695999999999997</v>
      </c>
      <c r="L693" s="255"/>
    </row>
    <row r="694" spans="2:12">
      <c r="B694" s="249" t="s">
        <v>1461</v>
      </c>
      <c r="C694" s="250" t="s">
        <v>1441</v>
      </c>
      <c r="D694" s="205" t="s">
        <v>169</v>
      </c>
      <c r="E694" s="199">
        <v>7.64</v>
      </c>
      <c r="F694" s="199">
        <v>0.15</v>
      </c>
      <c r="G694" s="199">
        <v>0.8</v>
      </c>
      <c r="H694" s="199"/>
      <c r="I694" s="199"/>
      <c r="J694" s="219"/>
      <c r="K694" s="220">
        <f t="shared" si="16"/>
        <v>0.91679999999999995</v>
      </c>
      <c r="L694" s="255"/>
    </row>
    <row r="695" spans="2:12">
      <c r="B695" s="249" t="s">
        <v>1461</v>
      </c>
      <c r="C695" s="250" t="s">
        <v>1441</v>
      </c>
      <c r="D695" s="205" t="s">
        <v>169</v>
      </c>
      <c r="E695" s="199">
        <v>20.96</v>
      </c>
      <c r="F695" s="199">
        <v>0.15</v>
      </c>
      <c r="G695" s="199">
        <v>1.2</v>
      </c>
      <c r="H695" s="199"/>
      <c r="I695" s="199"/>
      <c r="J695" s="219"/>
      <c r="K695" s="220">
        <f t="shared" si="16"/>
        <v>3.7728000000000002</v>
      </c>
      <c r="L695" s="255"/>
    </row>
    <row r="696" spans="2:12">
      <c r="B696" s="249" t="s">
        <v>1462</v>
      </c>
      <c r="C696" s="250" t="s">
        <v>1441</v>
      </c>
      <c r="D696" s="205" t="s">
        <v>169</v>
      </c>
      <c r="E696" s="199">
        <v>22.34</v>
      </c>
      <c r="F696" s="199">
        <v>0.2</v>
      </c>
      <c r="G696" s="199">
        <v>0.6</v>
      </c>
      <c r="H696" s="199"/>
      <c r="I696" s="199"/>
      <c r="J696" s="219"/>
      <c r="K696" s="220">
        <f t="shared" si="16"/>
        <v>2.6808000000000001</v>
      </c>
      <c r="L696" s="255"/>
    </row>
    <row r="697" spans="2:12">
      <c r="B697" s="249" t="s">
        <v>1463</v>
      </c>
      <c r="C697" s="250" t="s">
        <v>1441</v>
      </c>
      <c r="D697" s="205" t="s">
        <v>169</v>
      </c>
      <c r="E697" s="199">
        <v>5.72</v>
      </c>
      <c r="F697" s="199">
        <v>0.15</v>
      </c>
      <c r="G697" s="199">
        <v>0.6</v>
      </c>
      <c r="H697" s="199"/>
      <c r="I697" s="199"/>
      <c r="J697" s="219"/>
      <c r="K697" s="220">
        <f t="shared" si="16"/>
        <v>0.51479999999999992</v>
      </c>
      <c r="L697" s="255"/>
    </row>
    <row r="698" spans="2:12">
      <c r="B698" s="249" t="s">
        <v>1464</v>
      </c>
      <c r="C698" s="250" t="s">
        <v>1441</v>
      </c>
      <c r="D698" s="205" t="s">
        <v>169</v>
      </c>
      <c r="E698" s="199">
        <v>22.34</v>
      </c>
      <c r="F698" s="199">
        <v>0.2</v>
      </c>
      <c r="G698" s="199">
        <v>0.6</v>
      </c>
      <c r="H698" s="199"/>
      <c r="I698" s="199"/>
      <c r="J698" s="219"/>
      <c r="K698" s="220">
        <f t="shared" si="16"/>
        <v>2.6808000000000001</v>
      </c>
      <c r="L698" s="255"/>
    </row>
    <row r="699" spans="2:12">
      <c r="B699" s="249" t="s">
        <v>1465</v>
      </c>
      <c r="C699" s="250" t="s">
        <v>1441</v>
      </c>
      <c r="D699" s="205" t="s">
        <v>169</v>
      </c>
      <c r="E699" s="199">
        <v>4.42</v>
      </c>
      <c r="F699" s="199">
        <v>0.2</v>
      </c>
      <c r="G699" s="199">
        <v>0.6</v>
      </c>
      <c r="H699" s="199"/>
      <c r="I699" s="199"/>
      <c r="J699" s="219"/>
      <c r="K699" s="220">
        <f t="shared" si="16"/>
        <v>0.53039999999999998</v>
      </c>
      <c r="L699" s="255"/>
    </row>
    <row r="700" spans="2:12">
      <c r="B700" s="249" t="s">
        <v>1466</v>
      </c>
      <c r="C700" s="250" t="s">
        <v>1441</v>
      </c>
      <c r="D700" s="205" t="s">
        <v>169</v>
      </c>
      <c r="E700" s="199">
        <v>28.84</v>
      </c>
      <c r="F700" s="199">
        <v>0.2</v>
      </c>
      <c r="G700" s="199">
        <v>0.6</v>
      </c>
      <c r="H700" s="199"/>
      <c r="I700" s="199"/>
      <c r="J700" s="219"/>
      <c r="K700" s="220">
        <f t="shared" si="16"/>
        <v>3.4608000000000003</v>
      </c>
      <c r="L700" s="255"/>
    </row>
    <row r="701" spans="2:12">
      <c r="B701" s="249" t="s">
        <v>1467</v>
      </c>
      <c r="C701" s="250" t="s">
        <v>1441</v>
      </c>
      <c r="D701" s="205" t="s">
        <v>169</v>
      </c>
      <c r="E701" s="199">
        <v>24.09</v>
      </c>
      <c r="F701" s="199">
        <v>0.15</v>
      </c>
      <c r="G701" s="199">
        <v>1</v>
      </c>
      <c r="H701" s="199"/>
      <c r="I701" s="199"/>
      <c r="J701" s="219"/>
      <c r="K701" s="220">
        <f t="shared" si="16"/>
        <v>3.6134999999999997</v>
      </c>
      <c r="L701" s="255"/>
    </row>
    <row r="702" spans="2:12">
      <c r="B702" s="249" t="s">
        <v>1468</v>
      </c>
      <c r="C702" s="250" t="s">
        <v>1441</v>
      </c>
      <c r="D702" s="205" t="s">
        <v>169</v>
      </c>
      <c r="E702" s="199">
        <v>9.8800000000000008</v>
      </c>
      <c r="F702" s="199">
        <v>0.15</v>
      </c>
      <c r="G702" s="199">
        <v>0.6</v>
      </c>
      <c r="H702" s="199"/>
      <c r="I702" s="199"/>
      <c r="J702" s="219"/>
      <c r="K702" s="220">
        <f t="shared" si="16"/>
        <v>0.88919999999999999</v>
      </c>
      <c r="L702" s="255"/>
    </row>
    <row r="703" spans="2:12">
      <c r="B703" s="249" t="s">
        <v>1469</v>
      </c>
      <c r="C703" s="250" t="s">
        <v>1441</v>
      </c>
      <c r="D703" s="205" t="s">
        <v>169</v>
      </c>
      <c r="E703" s="199">
        <v>12</v>
      </c>
      <c r="F703" s="199">
        <v>0.2</v>
      </c>
      <c r="G703" s="199">
        <v>0.6</v>
      </c>
      <c r="H703" s="199"/>
      <c r="I703" s="199"/>
      <c r="J703" s="219"/>
      <c r="K703" s="220">
        <f t="shared" si="16"/>
        <v>1.4400000000000002</v>
      </c>
      <c r="L703" s="255"/>
    </row>
    <row r="704" spans="2:12">
      <c r="B704" s="249" t="s">
        <v>1470</v>
      </c>
      <c r="C704" s="250" t="s">
        <v>1441</v>
      </c>
      <c r="D704" s="205" t="s">
        <v>169</v>
      </c>
      <c r="E704" s="199">
        <v>1.81</v>
      </c>
      <c r="F704" s="199">
        <v>0.2</v>
      </c>
      <c r="G704" s="199">
        <v>0.8</v>
      </c>
      <c r="H704" s="199"/>
      <c r="I704" s="199"/>
      <c r="J704" s="219"/>
      <c r="K704" s="220">
        <f t="shared" si="16"/>
        <v>0.28960000000000002</v>
      </c>
      <c r="L704" s="255"/>
    </row>
    <row r="705" spans="2:12">
      <c r="B705" s="249" t="s">
        <v>1471</v>
      </c>
      <c r="C705" s="250" t="s">
        <v>1441</v>
      </c>
      <c r="D705" s="205" t="s">
        <v>169</v>
      </c>
      <c r="E705" s="199">
        <v>5.92</v>
      </c>
      <c r="F705" s="199">
        <v>0.15</v>
      </c>
      <c r="G705" s="199">
        <v>1.2</v>
      </c>
      <c r="H705" s="199"/>
      <c r="I705" s="199"/>
      <c r="J705" s="219"/>
      <c r="K705" s="220">
        <f t="shared" si="16"/>
        <v>1.0655999999999999</v>
      </c>
      <c r="L705" s="255"/>
    </row>
    <row r="706" spans="2:12">
      <c r="B706" s="249" t="s">
        <v>1472</v>
      </c>
      <c r="C706" s="250" t="s">
        <v>1441</v>
      </c>
      <c r="D706" s="205" t="s">
        <v>169</v>
      </c>
      <c r="E706" s="199">
        <v>12.49</v>
      </c>
      <c r="F706" s="199">
        <v>0.15</v>
      </c>
      <c r="G706" s="199">
        <v>1</v>
      </c>
      <c r="H706" s="199"/>
      <c r="I706" s="199"/>
      <c r="J706" s="219"/>
      <c r="K706" s="220">
        <f t="shared" si="16"/>
        <v>1.8734999999999999</v>
      </c>
      <c r="L706" s="255"/>
    </row>
    <row r="707" spans="2:12">
      <c r="B707" s="249" t="s">
        <v>1472</v>
      </c>
      <c r="C707" s="250" t="s">
        <v>1441</v>
      </c>
      <c r="D707" s="205" t="s">
        <v>169</v>
      </c>
      <c r="E707" s="199">
        <v>6</v>
      </c>
      <c r="F707" s="199">
        <v>0.15</v>
      </c>
      <c r="G707" s="199">
        <v>1.2</v>
      </c>
      <c r="H707" s="199"/>
      <c r="I707" s="199"/>
      <c r="J707" s="219"/>
      <c r="K707" s="220">
        <f t="shared" si="16"/>
        <v>1.0799999999999998</v>
      </c>
      <c r="L707" s="255"/>
    </row>
    <row r="708" spans="2:12">
      <c r="B708" s="249" t="s">
        <v>1473</v>
      </c>
      <c r="C708" s="250" t="s">
        <v>1441</v>
      </c>
      <c r="D708" s="205" t="s">
        <v>169</v>
      </c>
      <c r="E708" s="199">
        <v>4.83</v>
      </c>
      <c r="F708" s="199">
        <v>0.15</v>
      </c>
      <c r="G708" s="199">
        <v>0.6</v>
      </c>
      <c r="H708" s="199"/>
      <c r="I708" s="199"/>
      <c r="J708" s="219"/>
      <c r="K708" s="220">
        <f t="shared" si="16"/>
        <v>0.43470000000000003</v>
      </c>
      <c r="L708" s="255"/>
    </row>
    <row r="709" spans="2:12">
      <c r="B709" s="249" t="s">
        <v>1474</v>
      </c>
      <c r="C709" s="250" t="s">
        <v>1441</v>
      </c>
      <c r="D709" s="205" t="s">
        <v>169</v>
      </c>
      <c r="E709" s="199">
        <v>13.85</v>
      </c>
      <c r="F709" s="199">
        <v>0.15</v>
      </c>
      <c r="G709" s="199">
        <v>0.7</v>
      </c>
      <c r="H709" s="199"/>
      <c r="I709" s="199"/>
      <c r="J709" s="219"/>
      <c r="K709" s="220">
        <f t="shared" si="16"/>
        <v>1.4542499999999996</v>
      </c>
      <c r="L709" s="255"/>
    </row>
    <row r="710" spans="2:12">
      <c r="B710" s="249" t="s">
        <v>1531</v>
      </c>
      <c r="C710" s="250" t="s">
        <v>1521</v>
      </c>
      <c r="D710" s="205" t="s">
        <v>169</v>
      </c>
      <c r="E710" s="199">
        <v>12.69</v>
      </c>
      <c r="F710" s="199">
        <v>0.15</v>
      </c>
      <c r="G710" s="199">
        <v>0.6</v>
      </c>
      <c r="H710" s="199"/>
      <c r="I710" s="199"/>
      <c r="J710" s="219"/>
      <c r="K710" s="220">
        <f t="shared" si="16"/>
        <v>1.1420999999999999</v>
      </c>
      <c r="L710" s="255"/>
    </row>
    <row r="711" spans="2:12">
      <c r="B711" s="249" t="s">
        <v>1532</v>
      </c>
      <c r="C711" s="250" t="s">
        <v>1521</v>
      </c>
      <c r="D711" s="205" t="s">
        <v>169</v>
      </c>
      <c r="E711" s="199">
        <v>1.83</v>
      </c>
      <c r="F711" s="199">
        <v>0.15</v>
      </c>
      <c r="G711" s="199">
        <v>0.6</v>
      </c>
      <c r="H711" s="199"/>
      <c r="I711" s="199"/>
      <c r="J711" s="219"/>
      <c r="K711" s="220">
        <f t="shared" si="16"/>
        <v>0.16470000000000001</v>
      </c>
      <c r="L711" s="255"/>
    </row>
    <row r="712" spans="2:12">
      <c r="B712" s="249" t="s">
        <v>1533</v>
      </c>
      <c r="C712" s="250" t="s">
        <v>1521</v>
      </c>
      <c r="D712" s="205" t="s">
        <v>169</v>
      </c>
      <c r="E712" s="199">
        <v>8.27</v>
      </c>
      <c r="F712" s="199">
        <v>0.15</v>
      </c>
      <c r="G712" s="199">
        <v>0.6</v>
      </c>
      <c r="H712" s="199"/>
      <c r="I712" s="199"/>
      <c r="J712" s="219"/>
      <c r="K712" s="220">
        <f t="shared" si="16"/>
        <v>0.74429999999999996</v>
      </c>
      <c r="L712" s="255"/>
    </row>
    <row r="713" spans="2:12">
      <c r="B713" s="249" t="s">
        <v>1534</v>
      </c>
      <c r="C713" s="250" t="s">
        <v>1521</v>
      </c>
      <c r="D713" s="205" t="s">
        <v>169</v>
      </c>
      <c r="E713" s="199">
        <v>28.74</v>
      </c>
      <c r="F713" s="199">
        <v>0.15</v>
      </c>
      <c r="G713" s="199">
        <v>1</v>
      </c>
      <c r="H713" s="199"/>
      <c r="I713" s="199"/>
      <c r="J713" s="219"/>
      <c r="K713" s="220">
        <f t="shared" si="16"/>
        <v>4.3109999999999999</v>
      </c>
      <c r="L713" s="255"/>
    </row>
    <row r="714" spans="2:12">
      <c r="B714" s="249" t="s">
        <v>1535</v>
      </c>
      <c r="C714" s="250" t="s">
        <v>1521</v>
      </c>
      <c r="D714" s="205" t="s">
        <v>169</v>
      </c>
      <c r="E714" s="199">
        <v>28.53</v>
      </c>
      <c r="F714" s="199">
        <v>0.2</v>
      </c>
      <c r="G714" s="199">
        <v>0.6</v>
      </c>
      <c r="H714" s="199"/>
      <c r="I714" s="199"/>
      <c r="J714" s="219"/>
      <c r="K714" s="220">
        <f t="shared" si="16"/>
        <v>3.4236</v>
      </c>
      <c r="L714" s="255"/>
    </row>
    <row r="715" spans="2:12">
      <c r="B715" s="249" t="s">
        <v>1536</v>
      </c>
      <c r="C715" s="250" t="s">
        <v>1521</v>
      </c>
      <c r="D715" s="205" t="s">
        <v>169</v>
      </c>
      <c r="E715" s="199">
        <v>6.34</v>
      </c>
      <c r="F715" s="199">
        <v>0.15</v>
      </c>
      <c r="G715" s="199">
        <v>0.6</v>
      </c>
      <c r="H715" s="199"/>
      <c r="I715" s="199"/>
      <c r="J715" s="219"/>
      <c r="K715" s="220">
        <f t="shared" si="16"/>
        <v>0.5706</v>
      </c>
      <c r="L715" s="255"/>
    </row>
    <row r="716" spans="2:12">
      <c r="B716" s="249" t="s">
        <v>1537</v>
      </c>
      <c r="C716" s="250" t="s">
        <v>1521</v>
      </c>
      <c r="D716" s="205" t="s">
        <v>169</v>
      </c>
      <c r="E716" s="199">
        <v>21.99</v>
      </c>
      <c r="F716" s="199">
        <v>0.2</v>
      </c>
      <c r="G716" s="199">
        <v>0.6</v>
      </c>
      <c r="H716" s="199"/>
      <c r="I716" s="199"/>
      <c r="J716" s="219"/>
      <c r="K716" s="220">
        <f t="shared" si="16"/>
        <v>2.6387999999999998</v>
      </c>
      <c r="L716" s="255"/>
    </row>
    <row r="717" spans="2:12">
      <c r="B717" s="249" t="s">
        <v>1538</v>
      </c>
      <c r="C717" s="250" t="s">
        <v>1521</v>
      </c>
      <c r="D717" s="205" t="s">
        <v>169</v>
      </c>
      <c r="E717" s="199">
        <v>21.99</v>
      </c>
      <c r="F717" s="199">
        <v>0.2</v>
      </c>
      <c r="G717" s="199">
        <v>0.6</v>
      </c>
      <c r="H717" s="199"/>
      <c r="I717" s="199"/>
      <c r="J717" s="219"/>
      <c r="K717" s="220">
        <f t="shared" si="16"/>
        <v>2.6387999999999998</v>
      </c>
      <c r="L717" s="255"/>
    </row>
    <row r="718" spans="2:12">
      <c r="B718" s="249" t="s">
        <v>1539</v>
      </c>
      <c r="C718" s="250" t="s">
        <v>1521</v>
      </c>
      <c r="D718" s="205" t="s">
        <v>169</v>
      </c>
      <c r="E718" s="199">
        <v>3.45</v>
      </c>
      <c r="F718" s="199">
        <v>0.2</v>
      </c>
      <c r="G718" s="199">
        <v>0.6</v>
      </c>
      <c r="H718" s="199"/>
      <c r="I718" s="199"/>
      <c r="J718" s="219"/>
      <c r="K718" s="220">
        <f t="shared" si="16"/>
        <v>0.41400000000000003</v>
      </c>
      <c r="L718" s="255"/>
    </row>
    <row r="719" spans="2:12">
      <c r="B719" s="249" t="s">
        <v>1540</v>
      </c>
      <c r="C719" s="250" t="s">
        <v>1521</v>
      </c>
      <c r="D719" s="205" t="s">
        <v>169</v>
      </c>
      <c r="E719" s="199">
        <v>28.53</v>
      </c>
      <c r="F719" s="199">
        <v>0.2</v>
      </c>
      <c r="G719" s="199">
        <v>0.6</v>
      </c>
      <c r="H719" s="199"/>
      <c r="I719" s="199"/>
      <c r="J719" s="219"/>
      <c r="K719" s="220">
        <f t="shared" si="16"/>
        <v>3.4236</v>
      </c>
      <c r="L719" s="255"/>
    </row>
    <row r="720" spans="2:12">
      <c r="B720" s="249" t="s">
        <v>1541</v>
      </c>
      <c r="C720" s="250" t="s">
        <v>1521</v>
      </c>
      <c r="D720" s="205" t="s">
        <v>169</v>
      </c>
      <c r="E720" s="199">
        <v>24.09</v>
      </c>
      <c r="F720" s="199">
        <v>0.15</v>
      </c>
      <c r="G720" s="199">
        <v>1</v>
      </c>
      <c r="H720" s="199"/>
      <c r="I720" s="199"/>
      <c r="J720" s="219"/>
      <c r="K720" s="220">
        <f t="shared" ref="K720:K751" si="17">IF(E720*F720*G720&lt;&gt;0,E720*F720*G720,IF(E720*F720&lt;&gt;0,E720*F720,IF(F720*G720&lt;&gt;0,F720*G720,IF(E720*G720&lt;&gt;0,E720*G720,IF(E720&lt;&gt;0,E720,IF(F720&lt;&gt;0,F720,IF(G720&lt;&gt;0,G720,0)))))))*(IF(H720&lt;&gt;0,H720,1))+I720-J720</f>
        <v>3.6134999999999997</v>
      </c>
      <c r="L720" s="255"/>
    </row>
    <row r="721" spans="2:12">
      <c r="B721" s="249" t="s">
        <v>1541</v>
      </c>
      <c r="C721" s="250" t="s">
        <v>1521</v>
      </c>
      <c r="D721" s="205" t="s">
        <v>169</v>
      </c>
      <c r="E721" s="199">
        <v>0.48</v>
      </c>
      <c r="F721" s="199">
        <v>0.15</v>
      </c>
      <c r="G721" s="199">
        <v>0.6</v>
      </c>
      <c r="H721" s="199"/>
      <c r="I721" s="199"/>
      <c r="J721" s="219"/>
      <c r="K721" s="220">
        <f t="shared" si="17"/>
        <v>4.3199999999999995E-2</v>
      </c>
      <c r="L721" s="255"/>
    </row>
    <row r="722" spans="2:12">
      <c r="B722" s="249" t="s">
        <v>1542</v>
      </c>
      <c r="C722" s="250" t="s">
        <v>1521</v>
      </c>
      <c r="D722" s="205" t="s">
        <v>169</v>
      </c>
      <c r="E722" s="199">
        <v>2.7</v>
      </c>
      <c r="F722" s="199">
        <v>0.15</v>
      </c>
      <c r="G722" s="199">
        <v>0.6</v>
      </c>
      <c r="H722" s="199"/>
      <c r="I722" s="199"/>
      <c r="J722" s="219"/>
      <c r="K722" s="220">
        <f t="shared" si="17"/>
        <v>0.24299999999999999</v>
      </c>
      <c r="L722" s="255"/>
    </row>
    <row r="723" spans="2:12">
      <c r="B723" s="249" t="s">
        <v>1543</v>
      </c>
      <c r="C723" s="250" t="s">
        <v>1521</v>
      </c>
      <c r="D723" s="205" t="s">
        <v>169</v>
      </c>
      <c r="E723" s="199">
        <v>2.7</v>
      </c>
      <c r="F723" s="199">
        <v>0.15</v>
      </c>
      <c r="G723" s="199">
        <v>0.6</v>
      </c>
      <c r="H723" s="199"/>
      <c r="I723" s="199"/>
      <c r="J723" s="219"/>
      <c r="K723" s="220">
        <f t="shared" si="17"/>
        <v>0.24299999999999999</v>
      </c>
      <c r="L723" s="255"/>
    </row>
    <row r="724" spans="2:12">
      <c r="B724" s="249" t="s">
        <v>1544</v>
      </c>
      <c r="C724" s="250" t="s">
        <v>1521</v>
      </c>
      <c r="D724" s="205" t="s">
        <v>169</v>
      </c>
      <c r="E724" s="199">
        <v>9.35</v>
      </c>
      <c r="F724" s="199">
        <v>0.2</v>
      </c>
      <c r="G724" s="199">
        <v>0.7</v>
      </c>
      <c r="H724" s="199"/>
      <c r="I724" s="199"/>
      <c r="J724" s="219"/>
      <c r="K724" s="220">
        <f t="shared" si="17"/>
        <v>1.3089999999999999</v>
      </c>
      <c r="L724" s="255"/>
    </row>
    <row r="725" spans="2:12">
      <c r="B725" s="249" t="s">
        <v>1545</v>
      </c>
      <c r="C725" s="250" t="s">
        <v>1521</v>
      </c>
      <c r="D725" s="205" t="s">
        <v>169</v>
      </c>
      <c r="E725" s="199">
        <v>2.85</v>
      </c>
      <c r="F725" s="199">
        <v>0.15</v>
      </c>
      <c r="G725" s="199">
        <v>1</v>
      </c>
      <c r="H725" s="199"/>
      <c r="I725" s="199"/>
      <c r="J725" s="219"/>
      <c r="K725" s="220">
        <f t="shared" si="17"/>
        <v>0.42749999999999999</v>
      </c>
      <c r="L725" s="255"/>
    </row>
    <row r="726" spans="2:12">
      <c r="B726" s="249" t="s">
        <v>1546</v>
      </c>
      <c r="C726" s="250" t="s">
        <v>1521</v>
      </c>
      <c r="D726" s="205" t="s">
        <v>169</v>
      </c>
      <c r="E726" s="199">
        <v>23.39</v>
      </c>
      <c r="F726" s="199">
        <v>0.15</v>
      </c>
      <c r="G726" s="199">
        <v>1</v>
      </c>
      <c r="H726" s="199"/>
      <c r="I726" s="199"/>
      <c r="J726" s="219"/>
      <c r="K726" s="220">
        <f t="shared" si="17"/>
        <v>3.5085000000000002</v>
      </c>
      <c r="L726" s="255"/>
    </row>
    <row r="727" spans="2:12">
      <c r="B727" s="249" t="s">
        <v>1547</v>
      </c>
      <c r="C727" s="250" t="s">
        <v>1521</v>
      </c>
      <c r="D727" s="205" t="s">
        <v>169</v>
      </c>
      <c r="E727" s="199">
        <v>13.7</v>
      </c>
      <c r="F727" s="199">
        <v>0.15</v>
      </c>
      <c r="G727" s="199">
        <v>0.6</v>
      </c>
      <c r="H727" s="199"/>
      <c r="I727" s="199"/>
      <c r="J727" s="219"/>
      <c r="K727" s="220">
        <f t="shared" si="17"/>
        <v>1.2329999999999999</v>
      </c>
      <c r="L727" s="255"/>
    </row>
    <row r="728" spans="2:12">
      <c r="B728" s="249" t="s">
        <v>1548</v>
      </c>
      <c r="C728" s="250" t="s">
        <v>1521</v>
      </c>
      <c r="D728" s="205" t="s">
        <v>169</v>
      </c>
      <c r="E728" s="199">
        <v>0.48</v>
      </c>
      <c r="F728" s="199">
        <v>0.15</v>
      </c>
      <c r="G728" s="199">
        <v>0.6</v>
      </c>
      <c r="H728" s="199"/>
      <c r="I728" s="199"/>
      <c r="J728" s="219"/>
      <c r="K728" s="220">
        <f t="shared" si="17"/>
        <v>4.3199999999999995E-2</v>
      </c>
      <c r="L728" s="255"/>
    </row>
    <row r="729" spans="2:12">
      <c r="B729" s="249" t="s">
        <v>1549</v>
      </c>
      <c r="C729" s="250" t="s">
        <v>1521</v>
      </c>
      <c r="D729" s="205" t="s">
        <v>169</v>
      </c>
      <c r="E729" s="199">
        <v>12.95</v>
      </c>
      <c r="F729" s="199">
        <v>0.2</v>
      </c>
      <c r="G729" s="199">
        <v>0.6</v>
      </c>
      <c r="H729" s="199"/>
      <c r="I729" s="199"/>
      <c r="J729" s="219"/>
      <c r="K729" s="220">
        <f t="shared" si="17"/>
        <v>1.5539999999999998</v>
      </c>
      <c r="L729" s="255"/>
    </row>
    <row r="730" spans="2:12">
      <c r="B730" s="249" t="s">
        <v>1550</v>
      </c>
      <c r="C730" s="250" t="s">
        <v>1521</v>
      </c>
      <c r="D730" s="205" t="s">
        <v>169</v>
      </c>
      <c r="E730" s="199">
        <v>21.37</v>
      </c>
      <c r="F730" s="199">
        <v>0.15</v>
      </c>
      <c r="G730" s="199">
        <v>1</v>
      </c>
      <c r="H730" s="199"/>
      <c r="I730" s="199"/>
      <c r="J730" s="219"/>
      <c r="K730" s="220">
        <f t="shared" si="17"/>
        <v>3.2055000000000002</v>
      </c>
      <c r="L730" s="255"/>
    </row>
    <row r="731" spans="2:12">
      <c r="B731" s="249" t="s">
        <v>1551</v>
      </c>
      <c r="C731" s="250" t="s">
        <v>1521</v>
      </c>
      <c r="D731" s="205" t="s">
        <v>169</v>
      </c>
      <c r="E731" s="199">
        <v>2.86</v>
      </c>
      <c r="F731" s="199">
        <v>0.15</v>
      </c>
      <c r="G731" s="199">
        <v>1</v>
      </c>
      <c r="H731" s="199"/>
      <c r="I731" s="199"/>
      <c r="J731" s="219"/>
      <c r="K731" s="220">
        <f t="shared" si="17"/>
        <v>0.42899999999999999</v>
      </c>
      <c r="L731" s="255"/>
    </row>
    <row r="732" spans="2:12">
      <c r="B732" s="197" t="s">
        <v>1523</v>
      </c>
      <c r="C732" s="189" t="s">
        <v>1521</v>
      </c>
      <c r="D732" s="190" t="s">
        <v>169</v>
      </c>
      <c r="E732" s="199">
        <v>4.71</v>
      </c>
      <c r="F732" s="199">
        <v>0.25</v>
      </c>
      <c r="G732" s="199">
        <v>1.7</v>
      </c>
      <c r="H732" s="199">
        <v>1</v>
      </c>
      <c r="I732" s="199"/>
      <c r="J732" s="219"/>
      <c r="K732" s="217">
        <f t="shared" si="17"/>
        <v>2.0017499999999999</v>
      </c>
      <c r="L732" s="245" t="s">
        <v>1554</v>
      </c>
    </row>
    <row r="733" spans="2:12">
      <c r="B733" s="197" t="s">
        <v>1525</v>
      </c>
      <c r="C733" s="189" t="s">
        <v>1521</v>
      </c>
      <c r="D733" s="190" t="s">
        <v>169</v>
      </c>
      <c r="E733" s="199">
        <v>4.71</v>
      </c>
      <c r="F733" s="199">
        <v>0.15</v>
      </c>
      <c r="G733" s="199">
        <v>1.7</v>
      </c>
      <c r="H733" s="199">
        <v>1</v>
      </c>
      <c r="I733" s="199"/>
      <c r="J733" s="219"/>
      <c r="K733" s="217">
        <f t="shared" si="17"/>
        <v>1.20105</v>
      </c>
      <c r="L733" s="245" t="s">
        <v>1554</v>
      </c>
    </row>
    <row r="734" spans="2:12">
      <c r="B734" s="197" t="s">
        <v>1526</v>
      </c>
      <c r="C734" s="189" t="s">
        <v>1521</v>
      </c>
      <c r="D734" s="190" t="s">
        <v>169</v>
      </c>
      <c r="E734" s="199">
        <v>2.54</v>
      </c>
      <c r="F734" s="199">
        <v>0.15</v>
      </c>
      <c r="G734" s="199">
        <v>1.7</v>
      </c>
      <c r="H734" s="199">
        <v>1</v>
      </c>
      <c r="I734" s="199"/>
      <c r="J734" s="219"/>
      <c r="K734" s="217">
        <f t="shared" si="17"/>
        <v>0.64769999999999994</v>
      </c>
      <c r="L734" s="245" t="s">
        <v>1554</v>
      </c>
    </row>
    <row r="735" spans="2:12">
      <c r="B735" s="197" t="s">
        <v>1527</v>
      </c>
      <c r="C735" s="189" t="s">
        <v>1521</v>
      </c>
      <c r="D735" s="190" t="s">
        <v>169</v>
      </c>
      <c r="E735" s="199">
        <v>2.2000000000000002</v>
      </c>
      <c r="F735" s="199">
        <v>0.15</v>
      </c>
      <c r="G735" s="199">
        <v>1.7</v>
      </c>
      <c r="H735" s="199">
        <v>1</v>
      </c>
      <c r="I735" s="199"/>
      <c r="J735" s="219"/>
      <c r="K735" s="217">
        <f t="shared" si="17"/>
        <v>0.56100000000000005</v>
      </c>
      <c r="L735" s="245" t="s">
        <v>1554</v>
      </c>
    </row>
    <row r="736" spans="2:12">
      <c r="B736" s="197" t="s">
        <v>1528</v>
      </c>
      <c r="C736" s="189" t="s">
        <v>1521</v>
      </c>
      <c r="D736" s="190" t="s">
        <v>169</v>
      </c>
      <c r="E736" s="199">
        <v>2.2000000000000002</v>
      </c>
      <c r="F736" s="199">
        <v>0.15</v>
      </c>
      <c r="G736" s="199">
        <v>1.7</v>
      </c>
      <c r="H736" s="199">
        <v>1</v>
      </c>
      <c r="I736" s="199"/>
      <c r="J736" s="219"/>
      <c r="K736" s="217">
        <f t="shared" si="17"/>
        <v>0.56100000000000005</v>
      </c>
      <c r="L736" s="245" t="s">
        <v>1554</v>
      </c>
    </row>
    <row r="737" spans="2:12">
      <c r="B737" s="197" t="s">
        <v>1529</v>
      </c>
      <c r="C737" s="189" t="s">
        <v>1521</v>
      </c>
      <c r="D737" s="190" t="s">
        <v>169</v>
      </c>
      <c r="E737" s="199">
        <v>1.24</v>
      </c>
      <c r="F737" s="199">
        <v>0.2</v>
      </c>
      <c r="G737" s="199">
        <v>1.7</v>
      </c>
      <c r="H737" s="199">
        <v>1</v>
      </c>
      <c r="I737" s="199"/>
      <c r="J737" s="219"/>
      <c r="K737" s="217">
        <f t="shared" si="17"/>
        <v>0.42159999999999997</v>
      </c>
      <c r="L737" s="245" t="s">
        <v>1554</v>
      </c>
    </row>
    <row r="738" spans="2:12">
      <c r="B738" s="197" t="s">
        <v>1530</v>
      </c>
      <c r="C738" s="189" t="s">
        <v>1521</v>
      </c>
      <c r="D738" s="190" t="s">
        <v>169</v>
      </c>
      <c r="E738" s="199">
        <v>1.24</v>
      </c>
      <c r="F738" s="199">
        <v>0.2</v>
      </c>
      <c r="G738" s="199">
        <v>1.7</v>
      </c>
      <c r="H738" s="199">
        <v>1</v>
      </c>
      <c r="I738" s="199"/>
      <c r="J738" s="219"/>
      <c r="K738" s="217">
        <f t="shared" si="17"/>
        <v>0.42159999999999997</v>
      </c>
      <c r="L738" s="245" t="s">
        <v>1554</v>
      </c>
    </row>
    <row r="739" spans="2:12">
      <c r="B739" s="197" t="s">
        <v>1614</v>
      </c>
      <c r="C739" s="189" t="s">
        <v>1611</v>
      </c>
      <c r="D739" s="190" t="s">
        <v>169</v>
      </c>
      <c r="E739" s="199">
        <v>3.63</v>
      </c>
      <c r="F739" s="199">
        <v>0.2</v>
      </c>
      <c r="G739" s="199">
        <v>0.7</v>
      </c>
      <c r="H739" s="199"/>
      <c r="I739" s="199"/>
      <c r="J739" s="219"/>
      <c r="K739" s="217">
        <f t="shared" si="17"/>
        <v>0.50819999999999999</v>
      </c>
      <c r="L739" s="218"/>
    </row>
    <row r="740" spans="2:12">
      <c r="B740" s="197" t="s">
        <v>1614</v>
      </c>
      <c r="C740" s="189" t="s">
        <v>1611</v>
      </c>
      <c r="D740" s="190" t="s">
        <v>169</v>
      </c>
      <c r="E740" s="199">
        <v>27.92</v>
      </c>
      <c r="F740" s="199">
        <v>0.2</v>
      </c>
      <c r="G740" s="199">
        <v>0.6</v>
      </c>
      <c r="H740" s="199"/>
      <c r="I740" s="199"/>
      <c r="J740" s="219"/>
      <c r="K740" s="217">
        <f t="shared" si="17"/>
        <v>3.3504</v>
      </c>
      <c r="L740" s="218"/>
    </row>
    <row r="741" spans="2:12">
      <c r="B741" s="197" t="s">
        <v>1615</v>
      </c>
      <c r="C741" s="189" t="s">
        <v>1611</v>
      </c>
      <c r="D741" s="190" t="s">
        <v>169</v>
      </c>
      <c r="E741" s="199">
        <v>2.7</v>
      </c>
      <c r="F741" s="199">
        <v>0.15</v>
      </c>
      <c r="G741" s="199">
        <v>0.6</v>
      </c>
      <c r="H741" s="199"/>
      <c r="I741" s="199"/>
      <c r="J741" s="219"/>
      <c r="K741" s="217">
        <f t="shared" si="17"/>
        <v>0.24299999999999999</v>
      </c>
      <c r="L741" s="218"/>
    </row>
    <row r="742" spans="2:12">
      <c r="B742" s="197" t="s">
        <v>1616</v>
      </c>
      <c r="C742" s="189" t="s">
        <v>1611</v>
      </c>
      <c r="D742" s="190" t="s">
        <v>169</v>
      </c>
      <c r="E742" s="199">
        <v>4.62</v>
      </c>
      <c r="F742" s="199">
        <v>0.15</v>
      </c>
      <c r="G742" s="199">
        <v>0.6</v>
      </c>
      <c r="H742" s="199"/>
      <c r="I742" s="199"/>
      <c r="J742" s="219"/>
      <c r="K742" s="217">
        <f t="shared" si="17"/>
        <v>0.41579999999999995</v>
      </c>
      <c r="L742" s="218"/>
    </row>
    <row r="743" spans="2:12">
      <c r="B743" s="197" t="s">
        <v>1617</v>
      </c>
      <c r="C743" s="189" t="s">
        <v>1611</v>
      </c>
      <c r="D743" s="190" t="s">
        <v>169</v>
      </c>
      <c r="E743" s="199">
        <v>1.92</v>
      </c>
      <c r="F743" s="199">
        <v>0.15</v>
      </c>
      <c r="G743" s="199">
        <v>0.7</v>
      </c>
      <c r="H743" s="199"/>
      <c r="I743" s="199"/>
      <c r="J743" s="219"/>
      <c r="K743" s="217">
        <f t="shared" si="17"/>
        <v>0.20159999999999997</v>
      </c>
      <c r="L743" s="218"/>
    </row>
    <row r="744" spans="2:12">
      <c r="B744" s="197" t="s">
        <v>1618</v>
      </c>
      <c r="C744" s="189" t="s">
        <v>1611</v>
      </c>
      <c r="D744" s="190" t="s">
        <v>169</v>
      </c>
      <c r="E744" s="199">
        <v>0.84</v>
      </c>
      <c r="F744" s="199">
        <v>0.4</v>
      </c>
      <c r="G744" s="199">
        <v>1</v>
      </c>
      <c r="H744" s="199"/>
      <c r="I744" s="199"/>
      <c r="J744" s="219"/>
      <c r="K744" s="217">
        <f t="shared" si="17"/>
        <v>0.33600000000000002</v>
      </c>
      <c r="L744" s="218"/>
    </row>
    <row r="745" spans="2:12">
      <c r="B745" s="197" t="s">
        <v>1618</v>
      </c>
      <c r="C745" s="189" t="s">
        <v>1611</v>
      </c>
      <c r="D745" s="190" t="s">
        <v>169</v>
      </c>
      <c r="E745" s="199">
        <v>25.92</v>
      </c>
      <c r="F745" s="199">
        <v>0.3</v>
      </c>
      <c r="G745" s="199">
        <v>0.8</v>
      </c>
      <c r="H745" s="199"/>
      <c r="I745" s="199"/>
      <c r="J745" s="219"/>
      <c r="K745" s="217">
        <f t="shared" si="17"/>
        <v>6.2208000000000006</v>
      </c>
      <c r="L745" s="218"/>
    </row>
    <row r="746" spans="2:12">
      <c r="B746" s="197" t="s">
        <v>1619</v>
      </c>
      <c r="C746" s="189" t="s">
        <v>1611</v>
      </c>
      <c r="D746" s="190" t="s">
        <v>169</v>
      </c>
      <c r="E746" s="199">
        <v>16.71</v>
      </c>
      <c r="F746" s="199">
        <v>0.2</v>
      </c>
      <c r="G746" s="199">
        <v>0.7</v>
      </c>
      <c r="H746" s="199"/>
      <c r="I746" s="199"/>
      <c r="J746" s="219"/>
      <c r="K746" s="217">
        <f t="shared" si="17"/>
        <v>2.3394000000000004</v>
      </c>
      <c r="L746" s="218"/>
    </row>
    <row r="747" spans="2:12">
      <c r="B747" s="197" t="s">
        <v>1620</v>
      </c>
      <c r="C747" s="189" t="s">
        <v>1611</v>
      </c>
      <c r="D747" s="190" t="s">
        <v>169</v>
      </c>
      <c r="E747" s="199">
        <v>9.59</v>
      </c>
      <c r="F747" s="199">
        <v>0.15</v>
      </c>
      <c r="G747" s="199">
        <v>0.7</v>
      </c>
      <c r="H747" s="199"/>
      <c r="I747" s="199"/>
      <c r="J747" s="219"/>
      <c r="K747" s="217">
        <f t="shared" si="17"/>
        <v>1.0069499999999998</v>
      </c>
      <c r="L747" s="218"/>
    </row>
    <row r="748" spans="2:12">
      <c r="B748" s="197" t="s">
        <v>1621</v>
      </c>
      <c r="C748" s="189" t="s">
        <v>1611</v>
      </c>
      <c r="D748" s="190" t="s">
        <v>169</v>
      </c>
      <c r="E748" s="199">
        <v>1.44</v>
      </c>
      <c r="F748" s="199">
        <v>0.15</v>
      </c>
      <c r="G748" s="199">
        <v>0.7</v>
      </c>
      <c r="H748" s="199"/>
      <c r="I748" s="199"/>
      <c r="J748" s="219"/>
      <c r="K748" s="217">
        <f t="shared" si="17"/>
        <v>0.1512</v>
      </c>
      <c r="L748" s="218"/>
    </row>
    <row r="749" spans="2:12">
      <c r="B749" s="197" t="s">
        <v>1622</v>
      </c>
      <c r="C749" s="189" t="s">
        <v>1611</v>
      </c>
      <c r="D749" s="190" t="s">
        <v>169</v>
      </c>
      <c r="E749" s="199">
        <v>6.83</v>
      </c>
      <c r="F749" s="199">
        <v>0.25</v>
      </c>
      <c r="G749" s="199">
        <v>0.6</v>
      </c>
      <c r="H749" s="199"/>
      <c r="I749" s="199"/>
      <c r="J749" s="219"/>
      <c r="K749" s="217">
        <f t="shared" si="17"/>
        <v>1.0245</v>
      </c>
      <c r="L749" s="218"/>
    </row>
    <row r="750" spans="2:12">
      <c r="B750" s="197" t="s">
        <v>1622</v>
      </c>
      <c r="C750" s="189" t="s">
        <v>1611</v>
      </c>
      <c r="D750" s="190" t="s">
        <v>169</v>
      </c>
      <c r="E750" s="199">
        <v>7.5</v>
      </c>
      <c r="F750" s="199">
        <v>0.25</v>
      </c>
      <c r="G750" s="199">
        <v>1</v>
      </c>
      <c r="H750" s="199"/>
      <c r="I750" s="199"/>
      <c r="J750" s="219"/>
      <c r="K750" s="217">
        <f t="shared" si="17"/>
        <v>1.875</v>
      </c>
      <c r="L750" s="218"/>
    </row>
    <row r="751" spans="2:12">
      <c r="B751" s="197" t="s">
        <v>1622</v>
      </c>
      <c r="C751" s="189" t="s">
        <v>1611</v>
      </c>
      <c r="D751" s="190" t="s">
        <v>169</v>
      </c>
      <c r="E751" s="199">
        <v>6.17</v>
      </c>
      <c r="F751" s="199">
        <v>0.25</v>
      </c>
      <c r="G751" s="199">
        <v>0.6</v>
      </c>
      <c r="H751" s="199"/>
      <c r="I751" s="199"/>
      <c r="J751" s="219"/>
      <c r="K751" s="217">
        <f t="shared" si="17"/>
        <v>0.92549999999999999</v>
      </c>
      <c r="L751" s="218"/>
    </row>
    <row r="752" spans="2:12">
      <c r="B752" s="197" t="s">
        <v>1623</v>
      </c>
      <c r="C752" s="189" t="s">
        <v>1611</v>
      </c>
      <c r="D752" s="190" t="s">
        <v>169</v>
      </c>
      <c r="E752" s="199">
        <v>11.82</v>
      </c>
      <c r="F752" s="199">
        <v>0.2</v>
      </c>
      <c r="G752" s="199">
        <v>0.8</v>
      </c>
      <c r="H752" s="199"/>
      <c r="I752" s="199"/>
      <c r="J752" s="219"/>
      <c r="K752" s="217">
        <f t="shared" ref="K752:K783" si="18">IF(E752*F752*G752&lt;&gt;0,E752*F752*G752,IF(E752*F752&lt;&gt;0,E752*F752,IF(F752*G752&lt;&gt;0,F752*G752,IF(E752*G752&lt;&gt;0,E752*G752,IF(E752&lt;&gt;0,E752,IF(F752&lt;&gt;0,F752,IF(G752&lt;&gt;0,G752,0)))))))*(IF(H752&lt;&gt;0,H752,1))+I752-J752</f>
        <v>1.8912000000000004</v>
      </c>
      <c r="L752" s="218"/>
    </row>
    <row r="753" spans="2:12">
      <c r="B753" s="197" t="s">
        <v>1624</v>
      </c>
      <c r="C753" s="189" t="s">
        <v>1611</v>
      </c>
      <c r="D753" s="190" t="s">
        <v>169</v>
      </c>
      <c r="E753" s="199">
        <v>19.25</v>
      </c>
      <c r="F753" s="199">
        <v>0.25</v>
      </c>
      <c r="G753" s="199">
        <v>0.7</v>
      </c>
      <c r="H753" s="199"/>
      <c r="I753" s="199"/>
      <c r="J753" s="219"/>
      <c r="K753" s="217">
        <f t="shared" si="18"/>
        <v>3.3687499999999999</v>
      </c>
      <c r="L753" s="218"/>
    </row>
    <row r="754" spans="2:12">
      <c r="B754" s="197" t="s">
        <v>1625</v>
      </c>
      <c r="C754" s="189" t="s">
        <v>1611</v>
      </c>
      <c r="D754" s="190" t="s">
        <v>169</v>
      </c>
      <c r="E754" s="199">
        <v>5.14</v>
      </c>
      <c r="F754" s="199">
        <v>0.15</v>
      </c>
      <c r="G754" s="199">
        <v>0.6</v>
      </c>
      <c r="H754" s="199"/>
      <c r="I754" s="199"/>
      <c r="J754" s="219"/>
      <c r="K754" s="217">
        <f t="shared" si="18"/>
        <v>0.4625999999999999</v>
      </c>
      <c r="L754" s="218"/>
    </row>
    <row r="755" spans="2:12">
      <c r="B755" s="197" t="s">
        <v>1626</v>
      </c>
      <c r="C755" s="189" t="s">
        <v>1611</v>
      </c>
      <c r="D755" s="190" t="s">
        <v>169</v>
      </c>
      <c r="E755" s="199">
        <v>6.34</v>
      </c>
      <c r="F755" s="199">
        <v>0.2</v>
      </c>
      <c r="G755" s="199">
        <v>0.6</v>
      </c>
      <c r="H755" s="199"/>
      <c r="I755" s="199"/>
      <c r="J755" s="219"/>
      <c r="K755" s="217">
        <f t="shared" si="18"/>
        <v>0.76080000000000003</v>
      </c>
      <c r="L755" s="218"/>
    </row>
    <row r="756" spans="2:12">
      <c r="B756" s="197" t="s">
        <v>1626</v>
      </c>
      <c r="C756" s="189" t="s">
        <v>1611</v>
      </c>
      <c r="D756" s="190" t="s">
        <v>169</v>
      </c>
      <c r="E756" s="199">
        <v>3.78</v>
      </c>
      <c r="F756" s="199">
        <v>0.2</v>
      </c>
      <c r="G756" s="199">
        <v>0.7</v>
      </c>
      <c r="H756" s="199"/>
      <c r="I756" s="199"/>
      <c r="J756" s="219"/>
      <c r="K756" s="217">
        <f t="shared" si="18"/>
        <v>0.5292</v>
      </c>
      <c r="L756" s="218"/>
    </row>
    <row r="757" spans="2:12">
      <c r="B757" s="197" t="s">
        <v>1627</v>
      </c>
      <c r="C757" s="189" t="s">
        <v>1611</v>
      </c>
      <c r="D757" s="190" t="s">
        <v>169</v>
      </c>
      <c r="E757" s="199">
        <v>35.049999999999997</v>
      </c>
      <c r="F757" s="199">
        <v>0.2</v>
      </c>
      <c r="G757" s="199">
        <v>0.7</v>
      </c>
      <c r="H757" s="199"/>
      <c r="I757" s="199"/>
      <c r="J757" s="219"/>
      <c r="K757" s="217">
        <f t="shared" si="18"/>
        <v>4.9069999999999991</v>
      </c>
      <c r="L757" s="218"/>
    </row>
    <row r="758" spans="2:12">
      <c r="B758" s="197" t="s">
        <v>1627</v>
      </c>
      <c r="C758" s="189" t="s">
        <v>1611</v>
      </c>
      <c r="D758" s="190" t="s">
        <v>169</v>
      </c>
      <c r="E758" s="199">
        <v>5.05</v>
      </c>
      <c r="F758" s="199">
        <v>0.2</v>
      </c>
      <c r="G758" s="199">
        <v>1</v>
      </c>
      <c r="H758" s="199"/>
      <c r="I758" s="199"/>
      <c r="J758" s="219"/>
      <c r="K758" s="217">
        <f t="shared" si="18"/>
        <v>1.01</v>
      </c>
      <c r="L758" s="218"/>
    </row>
    <row r="759" spans="2:12">
      <c r="B759" s="197" t="s">
        <v>1628</v>
      </c>
      <c r="C759" s="189" t="s">
        <v>1611</v>
      </c>
      <c r="D759" s="190" t="s">
        <v>169</v>
      </c>
      <c r="E759" s="199">
        <v>12.91</v>
      </c>
      <c r="F759" s="199">
        <v>0.25</v>
      </c>
      <c r="G759" s="199">
        <v>0.7</v>
      </c>
      <c r="H759" s="199"/>
      <c r="I759" s="199"/>
      <c r="J759" s="219"/>
      <c r="K759" s="217">
        <f t="shared" si="18"/>
        <v>2.2592499999999998</v>
      </c>
      <c r="L759" s="218"/>
    </row>
    <row r="760" spans="2:12">
      <c r="B760" s="197" t="s">
        <v>1629</v>
      </c>
      <c r="C760" s="189" t="s">
        <v>1611</v>
      </c>
      <c r="D760" s="190" t="s">
        <v>169</v>
      </c>
      <c r="E760" s="199">
        <v>9.65</v>
      </c>
      <c r="F760" s="199">
        <v>0.3</v>
      </c>
      <c r="G760" s="199">
        <v>0.7</v>
      </c>
      <c r="H760" s="199"/>
      <c r="I760" s="199"/>
      <c r="J760" s="219"/>
      <c r="K760" s="217">
        <f t="shared" si="18"/>
        <v>2.0265</v>
      </c>
      <c r="L760" s="218"/>
    </row>
    <row r="761" spans="2:12">
      <c r="B761" s="197" t="s">
        <v>1629</v>
      </c>
      <c r="C761" s="189" t="s">
        <v>1611</v>
      </c>
      <c r="D761" s="190" t="s">
        <v>169</v>
      </c>
      <c r="E761" s="199">
        <v>2.91</v>
      </c>
      <c r="F761" s="199">
        <v>0.3</v>
      </c>
      <c r="G761" s="199">
        <v>0.65</v>
      </c>
      <c r="H761" s="199"/>
      <c r="I761" s="199"/>
      <c r="J761" s="219"/>
      <c r="K761" s="217">
        <f t="shared" si="18"/>
        <v>0.56745000000000001</v>
      </c>
      <c r="L761" s="218"/>
    </row>
    <row r="762" spans="2:12">
      <c r="B762" s="197" t="s">
        <v>1630</v>
      </c>
      <c r="C762" s="189" t="s">
        <v>1611</v>
      </c>
      <c r="D762" s="190" t="s">
        <v>169</v>
      </c>
      <c r="E762" s="199">
        <v>12.35</v>
      </c>
      <c r="F762" s="199">
        <v>0.15</v>
      </c>
      <c r="G762" s="199">
        <v>0.7</v>
      </c>
      <c r="H762" s="199"/>
      <c r="I762" s="199"/>
      <c r="J762" s="219"/>
      <c r="K762" s="217">
        <f t="shared" si="18"/>
        <v>1.2967499999999998</v>
      </c>
      <c r="L762" s="218"/>
    </row>
    <row r="763" spans="2:12">
      <c r="B763" s="197" t="s">
        <v>1631</v>
      </c>
      <c r="C763" s="189" t="s">
        <v>1611</v>
      </c>
      <c r="D763" s="190" t="s">
        <v>169</v>
      </c>
      <c r="E763" s="199">
        <v>16.260000000000002</v>
      </c>
      <c r="F763" s="199">
        <v>0.15</v>
      </c>
      <c r="G763" s="199">
        <v>1</v>
      </c>
      <c r="H763" s="199"/>
      <c r="I763" s="199"/>
      <c r="J763" s="219"/>
      <c r="K763" s="217">
        <f t="shared" si="18"/>
        <v>2.4390000000000001</v>
      </c>
      <c r="L763" s="218"/>
    </row>
    <row r="764" spans="2:12">
      <c r="B764" s="197" t="s">
        <v>1632</v>
      </c>
      <c r="C764" s="189" t="s">
        <v>1611</v>
      </c>
      <c r="D764" s="190" t="s">
        <v>169</v>
      </c>
      <c r="E764" s="199">
        <v>9.77</v>
      </c>
      <c r="F764" s="199">
        <v>0.3</v>
      </c>
      <c r="G764" s="199">
        <v>0.6</v>
      </c>
      <c r="H764" s="199"/>
      <c r="I764" s="199"/>
      <c r="J764" s="219"/>
      <c r="K764" s="217">
        <f t="shared" si="18"/>
        <v>1.7585999999999997</v>
      </c>
      <c r="L764" s="218"/>
    </row>
    <row r="765" spans="2:12">
      <c r="B765" s="197" t="s">
        <v>1633</v>
      </c>
      <c r="C765" s="189" t="s">
        <v>1611</v>
      </c>
      <c r="D765" s="190" t="s">
        <v>169</v>
      </c>
      <c r="E765" s="199">
        <v>8.8000000000000007</v>
      </c>
      <c r="F765" s="199">
        <v>0.15</v>
      </c>
      <c r="G765" s="199">
        <v>0.8</v>
      </c>
      <c r="H765" s="199"/>
      <c r="I765" s="199"/>
      <c r="J765" s="219"/>
      <c r="K765" s="217">
        <f t="shared" si="18"/>
        <v>1.056</v>
      </c>
      <c r="L765" s="218"/>
    </row>
    <row r="766" spans="2:12">
      <c r="B766" s="197" t="s">
        <v>1634</v>
      </c>
      <c r="C766" s="189" t="s">
        <v>1611</v>
      </c>
      <c r="D766" s="190" t="s">
        <v>169</v>
      </c>
      <c r="E766" s="199">
        <v>3.82</v>
      </c>
      <c r="F766" s="199">
        <v>0.3</v>
      </c>
      <c r="G766" s="199">
        <v>0.6</v>
      </c>
      <c r="H766" s="199"/>
      <c r="I766" s="199"/>
      <c r="J766" s="219"/>
      <c r="K766" s="217">
        <f t="shared" si="18"/>
        <v>0.68759999999999988</v>
      </c>
      <c r="L766" s="218"/>
    </row>
    <row r="767" spans="2:12">
      <c r="B767" s="197" t="s">
        <v>1635</v>
      </c>
      <c r="C767" s="189" t="s">
        <v>1611</v>
      </c>
      <c r="D767" s="190" t="s">
        <v>169</v>
      </c>
      <c r="E767" s="199">
        <v>2.54</v>
      </c>
      <c r="F767" s="199">
        <v>0.15</v>
      </c>
      <c r="G767" s="199">
        <v>0.6</v>
      </c>
      <c r="H767" s="199"/>
      <c r="I767" s="199"/>
      <c r="J767" s="219"/>
      <c r="K767" s="217">
        <f t="shared" si="18"/>
        <v>0.2286</v>
      </c>
      <c r="L767" s="218"/>
    </row>
    <row r="768" spans="2:12">
      <c r="B768" s="197" t="s">
        <v>1636</v>
      </c>
      <c r="C768" s="189" t="s">
        <v>1611</v>
      </c>
      <c r="D768" s="190" t="s">
        <v>169</v>
      </c>
      <c r="E768" s="199">
        <v>9.4</v>
      </c>
      <c r="F768" s="199">
        <v>0.2</v>
      </c>
      <c r="G768" s="199">
        <v>0.6</v>
      </c>
      <c r="H768" s="199"/>
      <c r="I768" s="199"/>
      <c r="J768" s="219"/>
      <c r="K768" s="217">
        <f t="shared" si="18"/>
        <v>1.1280000000000001</v>
      </c>
      <c r="L768" s="218"/>
    </row>
    <row r="769" spans="2:12">
      <c r="B769" s="197" t="s">
        <v>1637</v>
      </c>
      <c r="C769" s="189" t="s">
        <v>1611</v>
      </c>
      <c r="D769" s="190" t="s">
        <v>169</v>
      </c>
      <c r="E769" s="199">
        <v>3.84</v>
      </c>
      <c r="F769" s="199">
        <v>0.2</v>
      </c>
      <c r="G769" s="199">
        <v>0.7</v>
      </c>
      <c r="H769" s="199"/>
      <c r="I769" s="199"/>
      <c r="J769" s="219"/>
      <c r="K769" s="217">
        <f t="shared" si="18"/>
        <v>0.53759999999999997</v>
      </c>
      <c r="L769" s="218"/>
    </row>
    <row r="770" spans="2:12">
      <c r="B770" s="197" t="s">
        <v>1638</v>
      </c>
      <c r="C770" s="189" t="s">
        <v>1611</v>
      </c>
      <c r="D770" s="190" t="s">
        <v>169</v>
      </c>
      <c r="E770" s="199">
        <v>2.84</v>
      </c>
      <c r="F770" s="199">
        <v>0.2</v>
      </c>
      <c r="G770" s="199">
        <v>0.6</v>
      </c>
      <c r="H770" s="199"/>
      <c r="I770" s="199"/>
      <c r="J770" s="219"/>
      <c r="K770" s="217">
        <f t="shared" si="18"/>
        <v>0.34079999999999994</v>
      </c>
      <c r="L770" s="218"/>
    </row>
    <row r="771" spans="2:12">
      <c r="B771" s="197" t="s">
        <v>1639</v>
      </c>
      <c r="C771" s="189" t="s">
        <v>1611</v>
      </c>
      <c r="D771" s="190" t="s">
        <v>169</v>
      </c>
      <c r="E771" s="199">
        <v>9.4700000000000006</v>
      </c>
      <c r="F771" s="199">
        <v>0.15</v>
      </c>
      <c r="G771" s="199">
        <v>1</v>
      </c>
      <c r="H771" s="199"/>
      <c r="I771" s="199"/>
      <c r="J771" s="219"/>
      <c r="K771" s="217">
        <f t="shared" si="18"/>
        <v>1.4205000000000001</v>
      </c>
      <c r="L771" s="218"/>
    </row>
    <row r="772" spans="2:12">
      <c r="B772" s="197" t="s">
        <v>1640</v>
      </c>
      <c r="C772" s="189" t="s">
        <v>1611</v>
      </c>
      <c r="D772" s="190" t="s">
        <v>169</v>
      </c>
      <c r="E772" s="199">
        <v>21.33</v>
      </c>
      <c r="F772" s="199">
        <v>0.15</v>
      </c>
      <c r="G772" s="199">
        <v>1</v>
      </c>
      <c r="H772" s="199"/>
      <c r="I772" s="199"/>
      <c r="J772" s="219"/>
      <c r="K772" s="217">
        <f t="shared" si="18"/>
        <v>3.1994999999999996</v>
      </c>
      <c r="L772" s="218"/>
    </row>
    <row r="773" spans="2:12">
      <c r="B773" s="197" t="s">
        <v>1641</v>
      </c>
      <c r="C773" s="189" t="s">
        <v>1611</v>
      </c>
      <c r="D773" s="190" t="s">
        <v>169</v>
      </c>
      <c r="E773" s="199">
        <v>4.58</v>
      </c>
      <c r="F773" s="199">
        <v>0.2</v>
      </c>
      <c r="G773" s="199">
        <v>0.6</v>
      </c>
      <c r="H773" s="199"/>
      <c r="I773" s="199"/>
      <c r="J773" s="219"/>
      <c r="K773" s="217">
        <f t="shared" si="18"/>
        <v>0.54959999999999998</v>
      </c>
      <c r="L773" s="218"/>
    </row>
    <row r="774" spans="2:12">
      <c r="B774" s="197" t="s">
        <v>1648</v>
      </c>
      <c r="C774" s="189" t="s">
        <v>1612</v>
      </c>
      <c r="D774" s="190" t="s">
        <v>169</v>
      </c>
      <c r="E774" s="199">
        <v>21.7</v>
      </c>
      <c r="F774" s="199">
        <v>0.15</v>
      </c>
      <c r="G774" s="199">
        <v>1</v>
      </c>
      <c r="H774" s="199"/>
      <c r="I774" s="199"/>
      <c r="J774" s="219"/>
      <c r="K774" s="217">
        <f t="shared" si="18"/>
        <v>3.2549999999999999</v>
      </c>
      <c r="L774" s="218"/>
    </row>
    <row r="775" spans="2:12">
      <c r="B775" s="197" t="s">
        <v>1649</v>
      </c>
      <c r="C775" s="189" t="s">
        <v>1612</v>
      </c>
      <c r="D775" s="190" t="s">
        <v>169</v>
      </c>
      <c r="E775" s="199">
        <v>21.4</v>
      </c>
      <c r="F775" s="199">
        <v>0.2</v>
      </c>
      <c r="G775" s="199">
        <v>0.6</v>
      </c>
      <c r="H775" s="199"/>
      <c r="I775" s="199"/>
      <c r="J775" s="219"/>
      <c r="K775" s="217">
        <f t="shared" si="18"/>
        <v>2.5680000000000001</v>
      </c>
      <c r="L775" s="218"/>
    </row>
    <row r="776" spans="2:12">
      <c r="B776" s="197" t="s">
        <v>1650</v>
      </c>
      <c r="C776" s="189" t="s">
        <v>1612</v>
      </c>
      <c r="D776" s="190" t="s">
        <v>169</v>
      </c>
      <c r="E776" s="199">
        <v>21.4</v>
      </c>
      <c r="F776" s="199">
        <v>0.2</v>
      </c>
      <c r="G776" s="199">
        <v>0.6</v>
      </c>
      <c r="H776" s="199"/>
      <c r="I776" s="199"/>
      <c r="J776" s="219"/>
      <c r="K776" s="217">
        <f t="shared" si="18"/>
        <v>2.5680000000000001</v>
      </c>
      <c r="L776" s="218"/>
    </row>
    <row r="777" spans="2:12">
      <c r="B777" s="197" t="s">
        <v>1651</v>
      </c>
      <c r="C777" s="189" t="s">
        <v>1612</v>
      </c>
      <c r="D777" s="190" t="s">
        <v>169</v>
      </c>
      <c r="E777" s="199">
        <v>21.4</v>
      </c>
      <c r="F777" s="199">
        <v>0.2</v>
      </c>
      <c r="G777" s="199">
        <v>0.6</v>
      </c>
      <c r="H777" s="199"/>
      <c r="I777" s="199"/>
      <c r="J777" s="219"/>
      <c r="K777" s="217">
        <f t="shared" si="18"/>
        <v>2.5680000000000001</v>
      </c>
      <c r="L777" s="218"/>
    </row>
    <row r="778" spans="2:12">
      <c r="B778" s="197" t="s">
        <v>1652</v>
      </c>
      <c r="C778" s="189" t="s">
        <v>1612</v>
      </c>
      <c r="D778" s="190" t="s">
        <v>169</v>
      </c>
      <c r="E778" s="199">
        <v>3.45</v>
      </c>
      <c r="F778" s="199">
        <v>0.2</v>
      </c>
      <c r="G778" s="199">
        <v>0.6</v>
      </c>
      <c r="H778" s="199"/>
      <c r="I778" s="199"/>
      <c r="J778" s="219"/>
      <c r="K778" s="217">
        <f t="shared" si="18"/>
        <v>0.41400000000000003</v>
      </c>
      <c r="L778" s="218"/>
    </row>
    <row r="779" spans="2:12">
      <c r="B779" s="197" t="s">
        <v>1653</v>
      </c>
      <c r="C779" s="189" t="s">
        <v>1612</v>
      </c>
      <c r="D779" s="190" t="s">
        <v>169</v>
      </c>
      <c r="E779" s="199">
        <v>26.12</v>
      </c>
      <c r="F779" s="199">
        <v>0.2</v>
      </c>
      <c r="G779" s="199">
        <v>0.6</v>
      </c>
      <c r="H779" s="199"/>
      <c r="I779" s="199"/>
      <c r="J779" s="219"/>
      <c r="K779" s="217">
        <f t="shared" si="18"/>
        <v>3.1343999999999999</v>
      </c>
      <c r="L779" s="218"/>
    </row>
    <row r="780" spans="2:12">
      <c r="B780" s="197" t="s">
        <v>1654</v>
      </c>
      <c r="C780" s="189" t="s">
        <v>1612</v>
      </c>
      <c r="D780" s="190" t="s">
        <v>169</v>
      </c>
      <c r="E780" s="199">
        <v>24.11</v>
      </c>
      <c r="F780" s="199">
        <v>0.15</v>
      </c>
      <c r="G780" s="199">
        <v>1</v>
      </c>
      <c r="H780" s="199"/>
      <c r="I780" s="199"/>
      <c r="J780" s="219"/>
      <c r="K780" s="217">
        <f t="shared" si="18"/>
        <v>3.6164999999999998</v>
      </c>
      <c r="L780" s="218"/>
    </row>
    <row r="781" spans="2:12">
      <c r="B781" s="197" t="s">
        <v>1655</v>
      </c>
      <c r="C781" s="189" t="s">
        <v>1612</v>
      </c>
      <c r="D781" s="190" t="s">
        <v>169</v>
      </c>
      <c r="E781" s="199">
        <v>24.09</v>
      </c>
      <c r="F781" s="199">
        <v>0.15</v>
      </c>
      <c r="G781" s="199">
        <v>1</v>
      </c>
      <c r="H781" s="199"/>
      <c r="I781" s="199"/>
      <c r="J781" s="219"/>
      <c r="K781" s="217">
        <f t="shared" si="18"/>
        <v>3.6134999999999997</v>
      </c>
      <c r="L781" s="218"/>
    </row>
    <row r="782" spans="2:12">
      <c r="B782" s="197" t="s">
        <v>1656</v>
      </c>
      <c r="C782" s="189" t="s">
        <v>1612</v>
      </c>
      <c r="D782" s="190" t="s">
        <v>169</v>
      </c>
      <c r="E782" s="199">
        <v>7.87</v>
      </c>
      <c r="F782" s="199">
        <v>0.15</v>
      </c>
      <c r="G782" s="199">
        <v>0.6</v>
      </c>
      <c r="H782" s="199"/>
      <c r="I782" s="199"/>
      <c r="J782" s="219"/>
      <c r="K782" s="217">
        <f t="shared" si="18"/>
        <v>0.70829999999999993</v>
      </c>
      <c r="L782" s="218"/>
    </row>
    <row r="783" spans="2:12">
      <c r="B783" s="197" t="s">
        <v>1657</v>
      </c>
      <c r="C783" s="189" t="s">
        <v>1612</v>
      </c>
      <c r="D783" s="190" t="s">
        <v>169</v>
      </c>
      <c r="E783" s="199">
        <v>7.77</v>
      </c>
      <c r="F783" s="199">
        <v>0.2</v>
      </c>
      <c r="G783" s="199">
        <v>0.6</v>
      </c>
      <c r="H783" s="199"/>
      <c r="I783" s="199"/>
      <c r="J783" s="219"/>
      <c r="K783" s="217">
        <f t="shared" si="18"/>
        <v>0.93240000000000001</v>
      </c>
      <c r="L783" s="218"/>
    </row>
    <row r="784" spans="2:12">
      <c r="B784" s="197" t="s">
        <v>1658</v>
      </c>
      <c r="C784" s="189" t="s">
        <v>1612</v>
      </c>
      <c r="D784" s="190" t="s">
        <v>169</v>
      </c>
      <c r="E784" s="199">
        <v>28.53</v>
      </c>
      <c r="F784" s="199">
        <v>0.2</v>
      </c>
      <c r="G784" s="199">
        <v>0.6</v>
      </c>
      <c r="H784" s="199"/>
      <c r="I784" s="199"/>
      <c r="J784" s="219"/>
      <c r="K784" s="217">
        <f t="shared" ref="K784:K815" si="19">IF(E784*F784*G784&lt;&gt;0,E784*F784*G784,IF(E784*F784&lt;&gt;0,E784*F784,IF(F784*G784&lt;&gt;0,F784*G784,IF(E784*G784&lt;&gt;0,E784*G784,IF(E784&lt;&gt;0,E784,IF(F784&lt;&gt;0,F784,IF(G784&lt;&gt;0,G784,0)))))))*(IF(H784&lt;&gt;0,H784,1))+I784-J784</f>
        <v>3.4236</v>
      </c>
      <c r="L784" s="218"/>
    </row>
    <row r="785" spans="2:12">
      <c r="B785" s="197" t="s">
        <v>1659</v>
      </c>
      <c r="C785" s="189" t="s">
        <v>1612</v>
      </c>
      <c r="D785" s="190" t="s">
        <v>169</v>
      </c>
      <c r="E785" s="199">
        <v>2.2000000000000002</v>
      </c>
      <c r="F785" s="199">
        <v>0.15</v>
      </c>
      <c r="G785" s="199">
        <v>0.6</v>
      </c>
      <c r="H785" s="199"/>
      <c r="I785" s="199"/>
      <c r="J785" s="219"/>
      <c r="K785" s="217">
        <f t="shared" si="19"/>
        <v>0.19800000000000001</v>
      </c>
      <c r="L785" s="218"/>
    </row>
    <row r="786" spans="2:12">
      <c r="B786" s="197" t="s">
        <v>1660</v>
      </c>
      <c r="C786" s="189" t="s">
        <v>1612</v>
      </c>
      <c r="D786" s="190" t="s">
        <v>169</v>
      </c>
      <c r="E786" s="199">
        <v>4.2699999999999996</v>
      </c>
      <c r="F786" s="199">
        <v>0.15</v>
      </c>
      <c r="G786" s="199">
        <v>0.6</v>
      </c>
      <c r="H786" s="199"/>
      <c r="I786" s="199"/>
      <c r="J786" s="219"/>
      <c r="K786" s="217">
        <f t="shared" si="19"/>
        <v>0.38429999999999997</v>
      </c>
      <c r="L786" s="218"/>
    </row>
    <row r="787" spans="2:12">
      <c r="B787" s="197" t="s">
        <v>1661</v>
      </c>
      <c r="C787" s="189" t="s">
        <v>1612</v>
      </c>
      <c r="D787" s="190" t="s">
        <v>169</v>
      </c>
      <c r="E787" s="199">
        <v>2.12</v>
      </c>
      <c r="F787" s="199">
        <v>0.15</v>
      </c>
      <c r="G787" s="199">
        <v>1</v>
      </c>
      <c r="H787" s="199"/>
      <c r="I787" s="199"/>
      <c r="J787" s="219"/>
      <c r="K787" s="217">
        <f t="shared" si="19"/>
        <v>0.318</v>
      </c>
      <c r="L787" s="218"/>
    </row>
    <row r="788" spans="2:12">
      <c r="B788" s="197" t="s">
        <v>1662</v>
      </c>
      <c r="C788" s="189" t="s">
        <v>1612</v>
      </c>
      <c r="D788" s="190" t="s">
        <v>169</v>
      </c>
      <c r="E788" s="199">
        <v>0.84</v>
      </c>
      <c r="F788" s="199">
        <v>0.25</v>
      </c>
      <c r="G788" s="199">
        <v>1</v>
      </c>
      <c r="H788" s="199"/>
      <c r="I788" s="199"/>
      <c r="J788" s="219"/>
      <c r="K788" s="217">
        <f t="shared" si="19"/>
        <v>0.21</v>
      </c>
      <c r="L788" s="218"/>
    </row>
    <row r="789" spans="2:12">
      <c r="B789" s="197" t="s">
        <v>1662</v>
      </c>
      <c r="C789" s="189" t="s">
        <v>1612</v>
      </c>
      <c r="D789" s="190" t="s">
        <v>169</v>
      </c>
      <c r="E789" s="199">
        <v>20.5</v>
      </c>
      <c r="F789" s="199">
        <v>0.25</v>
      </c>
      <c r="G789" s="199">
        <v>0.7</v>
      </c>
      <c r="H789" s="199"/>
      <c r="I789" s="199"/>
      <c r="J789" s="219"/>
      <c r="K789" s="217">
        <f t="shared" si="19"/>
        <v>3.5874999999999999</v>
      </c>
      <c r="L789" s="218"/>
    </row>
    <row r="790" spans="2:12">
      <c r="B790" s="197" t="s">
        <v>1662</v>
      </c>
      <c r="C790" s="189" t="s">
        <v>1612</v>
      </c>
      <c r="D790" s="190" t="s">
        <v>169</v>
      </c>
      <c r="E790" s="199">
        <v>4.0199999999999996</v>
      </c>
      <c r="F790" s="199">
        <v>0.25</v>
      </c>
      <c r="G790" s="199">
        <v>1</v>
      </c>
      <c r="H790" s="199"/>
      <c r="I790" s="199"/>
      <c r="J790" s="219"/>
      <c r="K790" s="217">
        <f t="shared" si="19"/>
        <v>1.0049999999999999</v>
      </c>
      <c r="L790" s="218"/>
    </row>
    <row r="791" spans="2:12">
      <c r="B791" s="197" t="s">
        <v>1663</v>
      </c>
      <c r="C791" s="189" t="s">
        <v>1612</v>
      </c>
      <c r="D791" s="190" t="s">
        <v>169</v>
      </c>
      <c r="E791" s="199">
        <v>11.03</v>
      </c>
      <c r="F791" s="199">
        <v>0.15</v>
      </c>
      <c r="G791" s="199">
        <v>1</v>
      </c>
      <c r="H791" s="199"/>
      <c r="I791" s="199"/>
      <c r="J791" s="219"/>
      <c r="K791" s="217">
        <f t="shared" si="19"/>
        <v>1.6544999999999999</v>
      </c>
      <c r="L791" s="218"/>
    </row>
    <row r="792" spans="2:12">
      <c r="B792" s="197" t="s">
        <v>1664</v>
      </c>
      <c r="C792" s="189" t="s">
        <v>1612</v>
      </c>
      <c r="D792" s="190" t="s">
        <v>169</v>
      </c>
      <c r="E792" s="199">
        <v>15.92</v>
      </c>
      <c r="F792" s="199">
        <v>0.25</v>
      </c>
      <c r="G792" s="199">
        <v>0.8</v>
      </c>
      <c r="H792" s="199"/>
      <c r="I792" s="199"/>
      <c r="J792" s="219"/>
      <c r="K792" s="217">
        <f t="shared" si="19"/>
        <v>3.1840000000000002</v>
      </c>
      <c r="L792" s="218"/>
    </row>
    <row r="793" spans="2:12">
      <c r="B793" s="197" t="s">
        <v>1664</v>
      </c>
      <c r="C793" s="189" t="s">
        <v>1612</v>
      </c>
      <c r="D793" s="190" t="s">
        <v>169</v>
      </c>
      <c r="E793" s="199">
        <v>2.1</v>
      </c>
      <c r="F793" s="199">
        <v>0.25</v>
      </c>
      <c r="G793" s="199">
        <v>1</v>
      </c>
      <c r="H793" s="199"/>
      <c r="I793" s="199"/>
      <c r="J793" s="219"/>
      <c r="K793" s="217">
        <f t="shared" si="19"/>
        <v>0.52500000000000002</v>
      </c>
      <c r="L793" s="218"/>
    </row>
    <row r="794" spans="2:12">
      <c r="B794" s="197" t="s">
        <v>1665</v>
      </c>
      <c r="C794" s="189" t="s">
        <v>1612</v>
      </c>
      <c r="D794" s="190" t="s">
        <v>169</v>
      </c>
      <c r="E794" s="199">
        <v>4.74</v>
      </c>
      <c r="F794" s="199">
        <v>0.15</v>
      </c>
      <c r="G794" s="199">
        <v>0.6</v>
      </c>
      <c r="H794" s="199"/>
      <c r="I794" s="199"/>
      <c r="J794" s="219"/>
      <c r="K794" s="217">
        <f t="shared" si="19"/>
        <v>0.42659999999999998</v>
      </c>
      <c r="L794" s="218"/>
    </row>
    <row r="795" spans="2:12">
      <c r="B795" s="197" t="s">
        <v>1666</v>
      </c>
      <c r="C795" s="189" t="s">
        <v>1612</v>
      </c>
      <c r="D795" s="190" t="s">
        <v>169</v>
      </c>
      <c r="E795" s="199">
        <v>6.44</v>
      </c>
      <c r="F795" s="199">
        <v>0.3</v>
      </c>
      <c r="G795" s="199">
        <v>0.6</v>
      </c>
      <c r="H795" s="199"/>
      <c r="I795" s="199"/>
      <c r="J795" s="219"/>
      <c r="K795" s="217">
        <f t="shared" si="19"/>
        <v>1.1592</v>
      </c>
      <c r="L795" s="218"/>
    </row>
    <row r="796" spans="2:12">
      <c r="B796" s="197" t="s">
        <v>1666</v>
      </c>
      <c r="C796" s="189" t="s">
        <v>1612</v>
      </c>
      <c r="D796" s="190" t="s">
        <v>169</v>
      </c>
      <c r="E796" s="199">
        <v>3.53</v>
      </c>
      <c r="F796" s="199">
        <v>0.3</v>
      </c>
      <c r="G796" s="199">
        <v>1</v>
      </c>
      <c r="H796" s="199"/>
      <c r="I796" s="199"/>
      <c r="J796" s="219"/>
      <c r="K796" s="217">
        <f t="shared" si="19"/>
        <v>1.0589999999999999</v>
      </c>
      <c r="L796" s="218"/>
    </row>
    <row r="797" spans="2:12">
      <c r="B797" s="197" t="s">
        <v>1667</v>
      </c>
      <c r="C797" s="189" t="s">
        <v>1612</v>
      </c>
      <c r="D797" s="190" t="s">
        <v>169</v>
      </c>
      <c r="E797" s="199">
        <v>1.06</v>
      </c>
      <c r="F797" s="199">
        <v>0.15</v>
      </c>
      <c r="G797" s="199">
        <v>1</v>
      </c>
      <c r="H797" s="199"/>
      <c r="I797" s="199"/>
      <c r="J797" s="219"/>
      <c r="K797" s="217">
        <f t="shared" si="19"/>
        <v>0.159</v>
      </c>
      <c r="L797" s="218"/>
    </row>
    <row r="798" spans="2:12">
      <c r="B798" s="197" t="s">
        <v>1668</v>
      </c>
      <c r="C798" s="189" t="s">
        <v>1612</v>
      </c>
      <c r="D798" s="190" t="s">
        <v>169</v>
      </c>
      <c r="E798" s="199">
        <v>14.42</v>
      </c>
      <c r="F798" s="199">
        <v>0.15</v>
      </c>
      <c r="G798" s="199">
        <v>1</v>
      </c>
      <c r="H798" s="199"/>
      <c r="I798" s="199"/>
      <c r="J798" s="219"/>
      <c r="K798" s="217">
        <f t="shared" si="19"/>
        <v>2.1629999999999998</v>
      </c>
      <c r="L798" s="218"/>
    </row>
    <row r="799" spans="2:12">
      <c r="B799" s="197" t="s">
        <v>1669</v>
      </c>
      <c r="C799" s="189" t="s">
        <v>1612</v>
      </c>
      <c r="D799" s="190" t="s">
        <v>169</v>
      </c>
      <c r="E799" s="199">
        <v>7.31</v>
      </c>
      <c r="F799" s="199">
        <v>0.15</v>
      </c>
      <c r="G799" s="199">
        <v>1</v>
      </c>
      <c r="H799" s="199"/>
      <c r="I799" s="199"/>
      <c r="J799" s="219"/>
      <c r="K799" s="217">
        <f t="shared" si="19"/>
        <v>1.0964999999999998</v>
      </c>
      <c r="L799" s="218"/>
    </row>
    <row r="800" spans="2:12">
      <c r="B800" s="197" t="s">
        <v>1670</v>
      </c>
      <c r="C800" s="189" t="s">
        <v>1612</v>
      </c>
      <c r="D800" s="190" t="s">
        <v>169</v>
      </c>
      <c r="E800" s="199">
        <v>10.97</v>
      </c>
      <c r="F800" s="199">
        <v>0.4</v>
      </c>
      <c r="G800" s="199">
        <v>0.6</v>
      </c>
      <c r="H800" s="199"/>
      <c r="I800" s="199"/>
      <c r="J800" s="219"/>
      <c r="K800" s="217">
        <f t="shared" si="19"/>
        <v>2.6328000000000005</v>
      </c>
      <c r="L800" s="218"/>
    </row>
    <row r="801" spans="2:12">
      <c r="B801" s="197" t="s">
        <v>1671</v>
      </c>
      <c r="C801" s="189" t="s">
        <v>1612</v>
      </c>
      <c r="D801" s="190" t="s">
        <v>169</v>
      </c>
      <c r="E801" s="199">
        <v>7.65</v>
      </c>
      <c r="F801" s="199">
        <v>0.15</v>
      </c>
      <c r="G801" s="199">
        <v>1</v>
      </c>
      <c r="H801" s="199"/>
      <c r="I801" s="199"/>
      <c r="J801" s="219"/>
      <c r="K801" s="217">
        <f t="shared" si="19"/>
        <v>1.1475</v>
      </c>
      <c r="L801" s="218"/>
    </row>
    <row r="802" spans="2:12">
      <c r="B802" s="197" t="s">
        <v>1672</v>
      </c>
      <c r="C802" s="189" t="s">
        <v>1612</v>
      </c>
      <c r="D802" s="190" t="s">
        <v>169</v>
      </c>
      <c r="E802" s="199">
        <v>2.54</v>
      </c>
      <c r="F802" s="199">
        <v>0.15</v>
      </c>
      <c r="G802" s="199">
        <v>0.6</v>
      </c>
      <c r="H802" s="199"/>
      <c r="I802" s="199"/>
      <c r="J802" s="219"/>
      <c r="K802" s="217">
        <f t="shared" si="19"/>
        <v>0.2286</v>
      </c>
      <c r="L802" s="218"/>
    </row>
    <row r="803" spans="2:12">
      <c r="B803" s="197" t="s">
        <v>1544</v>
      </c>
      <c r="C803" s="189" t="s">
        <v>1612</v>
      </c>
      <c r="D803" s="190" t="s">
        <v>169</v>
      </c>
      <c r="E803" s="199">
        <v>9.35</v>
      </c>
      <c r="F803" s="199">
        <v>0.2</v>
      </c>
      <c r="G803" s="199">
        <v>0.7</v>
      </c>
      <c r="H803" s="199"/>
      <c r="I803" s="199"/>
      <c r="J803" s="219"/>
      <c r="K803" s="217">
        <f t="shared" si="19"/>
        <v>1.3089999999999999</v>
      </c>
      <c r="L803" s="218"/>
    </row>
    <row r="804" spans="2:12">
      <c r="B804" s="197" t="s">
        <v>1673</v>
      </c>
      <c r="C804" s="189" t="s">
        <v>1612</v>
      </c>
      <c r="D804" s="190" t="s">
        <v>169</v>
      </c>
      <c r="E804" s="199">
        <v>1.55</v>
      </c>
      <c r="F804" s="199">
        <v>0.15</v>
      </c>
      <c r="G804" s="199">
        <v>1</v>
      </c>
      <c r="H804" s="199"/>
      <c r="I804" s="199"/>
      <c r="J804" s="219"/>
      <c r="K804" s="217">
        <f t="shared" si="19"/>
        <v>0.23249999999999998</v>
      </c>
      <c r="L804" s="218"/>
    </row>
    <row r="805" spans="2:12">
      <c r="B805" s="197" t="s">
        <v>1674</v>
      </c>
      <c r="C805" s="189" t="s">
        <v>1612</v>
      </c>
      <c r="D805" s="190" t="s">
        <v>169</v>
      </c>
      <c r="E805" s="199">
        <v>1.24</v>
      </c>
      <c r="F805" s="199">
        <v>0.2</v>
      </c>
      <c r="G805" s="199">
        <v>0.6</v>
      </c>
      <c r="H805" s="199"/>
      <c r="I805" s="199"/>
      <c r="J805" s="219"/>
      <c r="K805" s="217">
        <f t="shared" si="19"/>
        <v>0.14879999999999999</v>
      </c>
      <c r="L805" s="218"/>
    </row>
    <row r="806" spans="2:12">
      <c r="B806" s="197" t="s">
        <v>1675</v>
      </c>
      <c r="C806" s="189" t="s">
        <v>1612</v>
      </c>
      <c r="D806" s="190" t="s">
        <v>169</v>
      </c>
      <c r="E806" s="199">
        <v>8.8000000000000007</v>
      </c>
      <c r="F806" s="199">
        <v>0.2</v>
      </c>
      <c r="G806" s="199">
        <v>0.7</v>
      </c>
      <c r="H806" s="199"/>
      <c r="I806" s="199"/>
      <c r="J806" s="219"/>
      <c r="K806" s="217">
        <f t="shared" si="19"/>
        <v>1.232</v>
      </c>
      <c r="L806" s="218"/>
    </row>
    <row r="807" spans="2:12">
      <c r="B807" s="197" t="s">
        <v>1676</v>
      </c>
      <c r="C807" s="189" t="s">
        <v>1612</v>
      </c>
      <c r="D807" s="190" t="s">
        <v>169</v>
      </c>
      <c r="E807" s="199">
        <v>4.7</v>
      </c>
      <c r="F807" s="199">
        <v>0.15</v>
      </c>
      <c r="G807" s="199">
        <v>1</v>
      </c>
      <c r="H807" s="199"/>
      <c r="I807" s="199"/>
      <c r="J807" s="219"/>
      <c r="K807" s="217">
        <f t="shared" si="19"/>
        <v>0.70499999999999996</v>
      </c>
      <c r="L807" s="218"/>
    </row>
    <row r="808" spans="2:12">
      <c r="B808" s="197" t="s">
        <v>1677</v>
      </c>
      <c r="C808" s="189" t="s">
        <v>1612</v>
      </c>
      <c r="D808" s="190" t="s">
        <v>169</v>
      </c>
      <c r="E808" s="199">
        <v>2.98</v>
      </c>
      <c r="F808" s="199">
        <v>0.15</v>
      </c>
      <c r="G808" s="199">
        <v>1</v>
      </c>
      <c r="H808" s="199"/>
      <c r="I808" s="199"/>
      <c r="J808" s="219"/>
      <c r="K808" s="217">
        <f t="shared" si="19"/>
        <v>0.44700000000000001</v>
      </c>
      <c r="L808" s="218"/>
    </row>
    <row r="809" spans="2:12">
      <c r="B809" s="197" t="s">
        <v>1678</v>
      </c>
      <c r="C809" s="189" t="s">
        <v>1612</v>
      </c>
      <c r="D809" s="190" t="s">
        <v>169</v>
      </c>
      <c r="E809" s="199">
        <v>1.24</v>
      </c>
      <c r="F809" s="199">
        <v>0.2</v>
      </c>
      <c r="G809" s="199">
        <v>0.6</v>
      </c>
      <c r="H809" s="199"/>
      <c r="I809" s="199"/>
      <c r="J809" s="219"/>
      <c r="K809" s="217">
        <f t="shared" si="19"/>
        <v>0.14879999999999999</v>
      </c>
      <c r="L809" s="218"/>
    </row>
    <row r="810" spans="2:12">
      <c r="B810" s="197" t="s">
        <v>1679</v>
      </c>
      <c r="C810" s="189" t="s">
        <v>1612</v>
      </c>
      <c r="D810" s="190" t="s">
        <v>169</v>
      </c>
      <c r="E810" s="199">
        <v>1.94</v>
      </c>
      <c r="F810" s="199">
        <v>0.2</v>
      </c>
      <c r="G810" s="199">
        <v>1</v>
      </c>
      <c r="H810" s="199"/>
      <c r="I810" s="199"/>
      <c r="J810" s="219"/>
      <c r="K810" s="217">
        <f t="shared" si="19"/>
        <v>0.38800000000000001</v>
      </c>
      <c r="L810" s="218"/>
    </row>
    <row r="811" spans="2:12">
      <c r="B811" s="197" t="s">
        <v>1680</v>
      </c>
      <c r="C811" s="189" t="s">
        <v>1612</v>
      </c>
      <c r="D811" s="190" t="s">
        <v>169</v>
      </c>
      <c r="E811" s="199">
        <v>6.31</v>
      </c>
      <c r="F811" s="199">
        <v>0.15</v>
      </c>
      <c r="G811" s="199">
        <v>1</v>
      </c>
      <c r="H811" s="199"/>
      <c r="I811" s="199"/>
      <c r="J811" s="219"/>
      <c r="K811" s="217">
        <f t="shared" si="19"/>
        <v>0.9464999999999999</v>
      </c>
      <c r="L811" s="218"/>
    </row>
    <row r="812" spans="2:12">
      <c r="B812" s="197" t="s">
        <v>1648</v>
      </c>
      <c r="C812" s="189" t="s">
        <v>1613</v>
      </c>
      <c r="D812" s="190" t="s">
        <v>169</v>
      </c>
      <c r="E812" s="199">
        <v>21.7</v>
      </c>
      <c r="F812" s="199">
        <v>0.15</v>
      </c>
      <c r="G812" s="199">
        <v>1</v>
      </c>
      <c r="H812" s="199"/>
      <c r="I812" s="199"/>
      <c r="J812" s="219"/>
      <c r="K812" s="217">
        <f t="shared" si="19"/>
        <v>3.2549999999999999</v>
      </c>
      <c r="L812" s="218"/>
    </row>
    <row r="813" spans="2:12">
      <c r="B813" s="197" t="s">
        <v>1649</v>
      </c>
      <c r="C813" s="189" t="s">
        <v>1613</v>
      </c>
      <c r="D813" s="190" t="s">
        <v>169</v>
      </c>
      <c r="E813" s="199">
        <v>21.4</v>
      </c>
      <c r="F813" s="199">
        <v>0.2</v>
      </c>
      <c r="G813" s="199">
        <v>0.6</v>
      </c>
      <c r="H813" s="199"/>
      <c r="I813" s="199"/>
      <c r="J813" s="219"/>
      <c r="K813" s="217">
        <f t="shared" si="19"/>
        <v>2.5680000000000001</v>
      </c>
      <c r="L813" s="218"/>
    </row>
    <row r="814" spans="2:12">
      <c r="B814" s="197" t="s">
        <v>1650</v>
      </c>
      <c r="C814" s="189" t="s">
        <v>1613</v>
      </c>
      <c r="D814" s="190" t="s">
        <v>169</v>
      </c>
      <c r="E814" s="199">
        <v>21.4</v>
      </c>
      <c r="F814" s="199">
        <v>0.2</v>
      </c>
      <c r="G814" s="199">
        <v>0.6</v>
      </c>
      <c r="H814" s="199"/>
      <c r="I814" s="199"/>
      <c r="J814" s="219"/>
      <c r="K814" s="217">
        <f t="shared" si="19"/>
        <v>2.5680000000000001</v>
      </c>
      <c r="L814" s="218"/>
    </row>
    <row r="815" spans="2:12">
      <c r="B815" s="197" t="s">
        <v>1651</v>
      </c>
      <c r="C815" s="189" t="s">
        <v>1613</v>
      </c>
      <c r="D815" s="190" t="s">
        <v>169</v>
      </c>
      <c r="E815" s="199">
        <v>21.4</v>
      </c>
      <c r="F815" s="199">
        <v>0.2</v>
      </c>
      <c r="G815" s="199">
        <v>0.6</v>
      </c>
      <c r="H815" s="199"/>
      <c r="I815" s="199"/>
      <c r="J815" s="219"/>
      <c r="K815" s="217">
        <f t="shared" si="19"/>
        <v>2.5680000000000001</v>
      </c>
      <c r="L815" s="218"/>
    </row>
    <row r="816" spans="2:12">
      <c r="B816" s="197" t="s">
        <v>1652</v>
      </c>
      <c r="C816" s="189" t="s">
        <v>1613</v>
      </c>
      <c r="D816" s="190" t="s">
        <v>169</v>
      </c>
      <c r="E816" s="199">
        <v>3.45</v>
      </c>
      <c r="F816" s="199">
        <v>0.2</v>
      </c>
      <c r="G816" s="199">
        <v>0.6</v>
      </c>
      <c r="H816" s="199"/>
      <c r="I816" s="199"/>
      <c r="J816" s="219"/>
      <c r="K816" s="217">
        <f t="shared" ref="K816:K847" si="20">IF(E816*F816*G816&lt;&gt;0,E816*F816*G816,IF(E816*F816&lt;&gt;0,E816*F816,IF(F816*G816&lt;&gt;0,F816*G816,IF(E816*G816&lt;&gt;0,E816*G816,IF(E816&lt;&gt;0,E816,IF(F816&lt;&gt;0,F816,IF(G816&lt;&gt;0,G816,0)))))))*(IF(H816&lt;&gt;0,H816,1))+I816-J816</f>
        <v>0.41400000000000003</v>
      </c>
      <c r="L816" s="218"/>
    </row>
    <row r="817" spans="2:12">
      <c r="B817" s="197" t="s">
        <v>1653</v>
      </c>
      <c r="C817" s="189" t="s">
        <v>1613</v>
      </c>
      <c r="D817" s="190" t="s">
        <v>169</v>
      </c>
      <c r="E817" s="199">
        <v>26.12</v>
      </c>
      <c r="F817" s="199">
        <v>0.2</v>
      </c>
      <c r="G817" s="199">
        <v>0.6</v>
      </c>
      <c r="H817" s="199"/>
      <c r="I817" s="199"/>
      <c r="J817" s="219"/>
      <c r="K817" s="217">
        <f t="shared" si="20"/>
        <v>3.1343999999999999</v>
      </c>
      <c r="L817" s="218"/>
    </row>
    <row r="818" spans="2:12">
      <c r="B818" s="197" t="s">
        <v>1654</v>
      </c>
      <c r="C818" s="189" t="s">
        <v>1613</v>
      </c>
      <c r="D818" s="190" t="s">
        <v>169</v>
      </c>
      <c r="E818" s="199">
        <v>24.11</v>
      </c>
      <c r="F818" s="199">
        <v>0.15</v>
      </c>
      <c r="G818" s="199">
        <v>1</v>
      </c>
      <c r="H818" s="199"/>
      <c r="I818" s="199"/>
      <c r="J818" s="219"/>
      <c r="K818" s="217">
        <f t="shared" si="20"/>
        <v>3.6164999999999998</v>
      </c>
      <c r="L818" s="218"/>
    </row>
    <row r="819" spans="2:12">
      <c r="B819" s="197" t="s">
        <v>1655</v>
      </c>
      <c r="C819" s="189" t="s">
        <v>1613</v>
      </c>
      <c r="D819" s="190" t="s">
        <v>169</v>
      </c>
      <c r="E819" s="199">
        <v>24.09</v>
      </c>
      <c r="F819" s="199">
        <v>0.15</v>
      </c>
      <c r="G819" s="199">
        <v>1</v>
      </c>
      <c r="H819" s="199"/>
      <c r="I819" s="199"/>
      <c r="J819" s="219"/>
      <c r="K819" s="217">
        <f t="shared" si="20"/>
        <v>3.6134999999999997</v>
      </c>
      <c r="L819" s="218"/>
    </row>
    <row r="820" spans="2:12">
      <c r="B820" s="197" t="s">
        <v>1656</v>
      </c>
      <c r="C820" s="189" t="s">
        <v>1613</v>
      </c>
      <c r="D820" s="190" t="s">
        <v>169</v>
      </c>
      <c r="E820" s="199">
        <v>7.87</v>
      </c>
      <c r="F820" s="199">
        <v>0.15</v>
      </c>
      <c r="G820" s="199">
        <v>0.6</v>
      </c>
      <c r="H820" s="199"/>
      <c r="I820" s="199"/>
      <c r="J820" s="219"/>
      <c r="K820" s="217">
        <f t="shared" si="20"/>
        <v>0.70829999999999993</v>
      </c>
      <c r="L820" s="218"/>
    </row>
    <row r="821" spans="2:12">
      <c r="B821" s="197" t="s">
        <v>1657</v>
      </c>
      <c r="C821" s="189" t="s">
        <v>1613</v>
      </c>
      <c r="D821" s="190" t="s">
        <v>169</v>
      </c>
      <c r="E821" s="199">
        <v>7.77</v>
      </c>
      <c r="F821" s="199">
        <v>0.2</v>
      </c>
      <c r="G821" s="199">
        <v>0.6</v>
      </c>
      <c r="H821" s="199"/>
      <c r="I821" s="199"/>
      <c r="J821" s="219"/>
      <c r="K821" s="217">
        <f t="shared" si="20"/>
        <v>0.93240000000000001</v>
      </c>
      <c r="L821" s="218"/>
    </row>
    <row r="822" spans="2:12">
      <c r="B822" s="197" t="s">
        <v>1898</v>
      </c>
      <c r="C822" s="189" t="s">
        <v>1895</v>
      </c>
      <c r="D822" s="190" t="s">
        <v>169</v>
      </c>
      <c r="E822" s="199">
        <v>25.82</v>
      </c>
      <c r="F822" s="199">
        <v>0.2</v>
      </c>
      <c r="G822" s="199">
        <v>0.6</v>
      </c>
      <c r="H822" s="199">
        <v>1</v>
      </c>
      <c r="I822" s="199"/>
      <c r="J822" s="219"/>
      <c r="K822" s="217">
        <f t="shared" si="20"/>
        <v>3.0984000000000003</v>
      </c>
      <c r="L822" s="218"/>
    </row>
    <row r="823" spans="2:12">
      <c r="B823" s="197" t="s">
        <v>1899</v>
      </c>
      <c r="C823" s="189" t="s">
        <v>1895</v>
      </c>
      <c r="D823" s="190" t="s">
        <v>169</v>
      </c>
      <c r="E823" s="199">
        <v>2.2000000000000002</v>
      </c>
      <c r="F823" s="199">
        <v>0.15</v>
      </c>
      <c r="G823" s="199">
        <v>0.6</v>
      </c>
      <c r="H823" s="199">
        <v>1</v>
      </c>
      <c r="I823" s="199"/>
      <c r="J823" s="219"/>
      <c r="K823" s="217">
        <f t="shared" si="20"/>
        <v>0.19800000000000001</v>
      </c>
      <c r="L823" s="218"/>
    </row>
    <row r="824" spans="2:12">
      <c r="B824" s="197" t="s">
        <v>1900</v>
      </c>
      <c r="C824" s="189" t="s">
        <v>1895</v>
      </c>
      <c r="D824" s="190" t="s">
        <v>169</v>
      </c>
      <c r="E824" s="199">
        <v>2.2000000000000002</v>
      </c>
      <c r="F824" s="199">
        <v>0.15</v>
      </c>
      <c r="G824" s="199">
        <v>1</v>
      </c>
      <c r="H824" s="199">
        <v>1</v>
      </c>
      <c r="I824" s="199"/>
      <c r="J824" s="219"/>
      <c r="K824" s="217">
        <f t="shared" si="20"/>
        <v>0.33</v>
      </c>
      <c r="L824" s="218"/>
    </row>
    <row r="825" spans="2:12">
      <c r="B825" s="197" t="s">
        <v>1901</v>
      </c>
      <c r="C825" s="189" t="s">
        <v>1895</v>
      </c>
      <c r="D825" s="190" t="s">
        <v>169</v>
      </c>
      <c r="E825" s="199">
        <v>20.5</v>
      </c>
      <c r="F825" s="199">
        <v>0.25</v>
      </c>
      <c r="G825" s="199">
        <v>0.7</v>
      </c>
      <c r="H825" s="199">
        <v>1</v>
      </c>
      <c r="I825" s="199"/>
      <c r="J825" s="219"/>
      <c r="K825" s="217">
        <f t="shared" si="20"/>
        <v>3.5874999999999999</v>
      </c>
      <c r="L825" s="218"/>
    </row>
    <row r="826" spans="2:12">
      <c r="B826" s="197" t="s">
        <v>1901</v>
      </c>
      <c r="C826" s="189" t="s">
        <v>1895</v>
      </c>
      <c r="D826" s="190" t="s">
        <v>169</v>
      </c>
      <c r="E826" s="199">
        <v>4.0199999999999996</v>
      </c>
      <c r="F826" s="199">
        <v>0.25</v>
      </c>
      <c r="G826" s="199">
        <v>1</v>
      </c>
      <c r="H826" s="199">
        <v>1</v>
      </c>
      <c r="I826" s="199"/>
      <c r="J826" s="219"/>
      <c r="K826" s="217">
        <f t="shared" si="20"/>
        <v>1.0049999999999999</v>
      </c>
      <c r="L826" s="218"/>
    </row>
    <row r="827" spans="2:12">
      <c r="B827" s="197" t="s">
        <v>1902</v>
      </c>
      <c r="C827" s="189" t="s">
        <v>1895</v>
      </c>
      <c r="D827" s="190" t="s">
        <v>169</v>
      </c>
      <c r="E827" s="199">
        <v>11.03</v>
      </c>
      <c r="F827" s="199">
        <v>0.15</v>
      </c>
      <c r="G827" s="199">
        <v>1</v>
      </c>
      <c r="H827" s="199">
        <v>1</v>
      </c>
      <c r="I827" s="199"/>
      <c r="J827" s="219"/>
      <c r="K827" s="217">
        <f t="shared" si="20"/>
        <v>1.6544999999999999</v>
      </c>
      <c r="L827" s="218"/>
    </row>
    <row r="828" spans="2:12">
      <c r="B828" s="197" t="s">
        <v>1903</v>
      </c>
      <c r="C828" s="189" t="s">
        <v>1895</v>
      </c>
      <c r="D828" s="190" t="s">
        <v>169</v>
      </c>
      <c r="E828" s="199">
        <v>14.73</v>
      </c>
      <c r="F828" s="199">
        <v>0.25</v>
      </c>
      <c r="G828" s="199">
        <v>0.6</v>
      </c>
      <c r="H828" s="199">
        <v>1</v>
      </c>
      <c r="I828" s="199"/>
      <c r="J828" s="219"/>
      <c r="K828" s="217">
        <f t="shared" si="20"/>
        <v>2.2094999999999998</v>
      </c>
      <c r="L828" s="218"/>
    </row>
    <row r="829" spans="2:12">
      <c r="B829" s="197" t="s">
        <v>1904</v>
      </c>
      <c r="C829" s="189" t="s">
        <v>1895</v>
      </c>
      <c r="D829" s="190" t="s">
        <v>169</v>
      </c>
      <c r="E829" s="199">
        <v>4.74</v>
      </c>
      <c r="F829" s="199">
        <v>0.15</v>
      </c>
      <c r="G829" s="199">
        <v>0.6</v>
      </c>
      <c r="H829" s="199">
        <v>1</v>
      </c>
      <c r="I829" s="199"/>
      <c r="J829" s="219"/>
      <c r="K829" s="217">
        <f t="shared" si="20"/>
        <v>0.42659999999999998</v>
      </c>
      <c r="L829" s="218"/>
    </row>
    <row r="830" spans="2:12">
      <c r="B830" s="197" t="s">
        <v>1905</v>
      </c>
      <c r="C830" s="189" t="s">
        <v>1895</v>
      </c>
      <c r="D830" s="190" t="s">
        <v>169</v>
      </c>
      <c r="E830" s="199">
        <v>5.6</v>
      </c>
      <c r="F830" s="199">
        <v>0.3</v>
      </c>
      <c r="G830" s="199">
        <v>0.6</v>
      </c>
      <c r="H830" s="199">
        <v>1</v>
      </c>
      <c r="I830" s="199"/>
      <c r="J830" s="219"/>
      <c r="K830" s="217">
        <f t="shared" si="20"/>
        <v>1.008</v>
      </c>
      <c r="L830" s="218"/>
    </row>
    <row r="831" spans="2:12">
      <c r="B831" s="197" t="s">
        <v>1906</v>
      </c>
      <c r="C831" s="189" t="s">
        <v>1895</v>
      </c>
      <c r="D831" s="190" t="s">
        <v>169</v>
      </c>
      <c r="E831" s="199">
        <v>14.52</v>
      </c>
      <c r="F831" s="199">
        <v>0.15</v>
      </c>
      <c r="G831" s="199">
        <v>1</v>
      </c>
      <c r="H831" s="199">
        <v>1</v>
      </c>
      <c r="I831" s="199"/>
      <c r="J831" s="219"/>
      <c r="K831" s="217">
        <f t="shared" si="20"/>
        <v>2.1779999999999999</v>
      </c>
      <c r="L831" s="218"/>
    </row>
    <row r="832" spans="2:12">
      <c r="B832" s="197" t="s">
        <v>1907</v>
      </c>
      <c r="C832" s="189" t="s">
        <v>1895</v>
      </c>
      <c r="D832" s="190" t="s">
        <v>169</v>
      </c>
      <c r="E832" s="199">
        <v>0.2</v>
      </c>
      <c r="F832" s="199">
        <v>0.25</v>
      </c>
      <c r="G832" s="199">
        <v>1</v>
      </c>
      <c r="H832" s="199">
        <v>1</v>
      </c>
      <c r="I832" s="199"/>
      <c r="J832" s="219"/>
      <c r="K832" s="217">
        <f t="shared" si="20"/>
        <v>0.05</v>
      </c>
      <c r="L832" s="218"/>
    </row>
    <row r="833" spans="2:12">
      <c r="B833" s="197" t="s">
        <v>1907</v>
      </c>
      <c r="C833" s="189" t="s">
        <v>1895</v>
      </c>
      <c r="D833" s="190" t="s">
        <v>169</v>
      </c>
      <c r="E833" s="199">
        <v>7.06</v>
      </c>
      <c r="F833" s="199">
        <v>0.15</v>
      </c>
      <c r="G833" s="199">
        <v>1</v>
      </c>
      <c r="H833" s="199">
        <v>1</v>
      </c>
      <c r="I833" s="199"/>
      <c r="J833" s="219"/>
      <c r="K833" s="217">
        <f t="shared" si="20"/>
        <v>1.0589999999999999</v>
      </c>
      <c r="L833" s="218"/>
    </row>
    <row r="834" spans="2:12">
      <c r="B834" s="197" t="s">
        <v>1908</v>
      </c>
      <c r="C834" s="189" t="s">
        <v>1895</v>
      </c>
      <c r="D834" s="190" t="s">
        <v>169</v>
      </c>
      <c r="E834" s="199">
        <v>10.9</v>
      </c>
      <c r="F834" s="199">
        <v>0.4</v>
      </c>
      <c r="G834" s="199">
        <v>0.6</v>
      </c>
      <c r="H834" s="199">
        <v>1</v>
      </c>
      <c r="I834" s="199"/>
      <c r="J834" s="219"/>
      <c r="K834" s="217">
        <f t="shared" si="20"/>
        <v>2.6160000000000001</v>
      </c>
      <c r="L834" s="218"/>
    </row>
    <row r="835" spans="2:12">
      <c r="B835" s="197" t="s">
        <v>1909</v>
      </c>
      <c r="C835" s="189" t="s">
        <v>1895</v>
      </c>
      <c r="D835" s="190" t="s">
        <v>169</v>
      </c>
      <c r="E835" s="199">
        <v>10.130000000000001</v>
      </c>
      <c r="F835" s="199">
        <v>0.15</v>
      </c>
      <c r="G835" s="199">
        <v>1</v>
      </c>
      <c r="H835" s="199">
        <v>1</v>
      </c>
      <c r="I835" s="199"/>
      <c r="J835" s="219"/>
      <c r="K835" s="217">
        <f t="shared" si="20"/>
        <v>1.5195000000000001</v>
      </c>
      <c r="L835" s="218"/>
    </row>
    <row r="836" spans="2:12">
      <c r="B836" s="197" t="s">
        <v>1909</v>
      </c>
      <c r="C836" s="189" t="s">
        <v>1895</v>
      </c>
      <c r="D836" s="190" t="s">
        <v>169</v>
      </c>
      <c r="E836" s="199">
        <v>0.18</v>
      </c>
      <c r="F836" s="199">
        <v>0.25</v>
      </c>
      <c r="G836" s="199">
        <v>1</v>
      </c>
      <c r="H836" s="199">
        <v>1</v>
      </c>
      <c r="I836" s="199"/>
      <c r="J836" s="219"/>
      <c r="K836" s="217">
        <f t="shared" si="20"/>
        <v>4.4999999999999998E-2</v>
      </c>
      <c r="L836" s="218"/>
    </row>
    <row r="837" spans="2:12">
      <c r="B837" s="197" t="s">
        <v>1910</v>
      </c>
      <c r="C837" s="189" t="s">
        <v>1895</v>
      </c>
      <c r="D837" s="190" t="s">
        <v>169</v>
      </c>
      <c r="E837" s="199">
        <v>2.54</v>
      </c>
      <c r="F837" s="199">
        <v>0.15</v>
      </c>
      <c r="G837" s="199">
        <v>0.6</v>
      </c>
      <c r="H837" s="199">
        <v>1</v>
      </c>
      <c r="I837" s="199"/>
      <c r="J837" s="219"/>
      <c r="K837" s="217">
        <f t="shared" si="20"/>
        <v>0.2286</v>
      </c>
      <c r="L837" s="218"/>
    </row>
    <row r="838" spans="2:12">
      <c r="B838" s="197" t="s">
        <v>1911</v>
      </c>
      <c r="C838" s="189" t="s">
        <v>1895</v>
      </c>
      <c r="D838" s="190" t="s">
        <v>169</v>
      </c>
      <c r="E838" s="199">
        <v>9.35</v>
      </c>
      <c r="F838" s="199">
        <v>0.15</v>
      </c>
      <c r="G838" s="199">
        <v>0.6</v>
      </c>
      <c r="H838" s="199">
        <v>1</v>
      </c>
      <c r="I838" s="199"/>
      <c r="J838" s="219"/>
      <c r="K838" s="217">
        <f t="shared" si="20"/>
        <v>0.84149999999999991</v>
      </c>
      <c r="L838" s="218"/>
    </row>
    <row r="839" spans="2:12">
      <c r="B839" s="197" t="s">
        <v>1912</v>
      </c>
      <c r="C839" s="189" t="s">
        <v>1895</v>
      </c>
      <c r="D839" s="190" t="s">
        <v>169</v>
      </c>
      <c r="E839" s="199">
        <v>4.75</v>
      </c>
      <c r="F839" s="199">
        <v>0.15</v>
      </c>
      <c r="G839" s="199">
        <v>1</v>
      </c>
      <c r="H839" s="199">
        <v>1</v>
      </c>
      <c r="I839" s="199"/>
      <c r="J839" s="219"/>
      <c r="K839" s="217">
        <f t="shared" si="20"/>
        <v>0.71250000000000002</v>
      </c>
      <c r="L839" s="218"/>
    </row>
    <row r="840" spans="2:12">
      <c r="B840" s="197" t="s">
        <v>1912</v>
      </c>
      <c r="C840" s="189" t="s">
        <v>1895</v>
      </c>
      <c r="D840" s="190" t="s">
        <v>169</v>
      </c>
      <c r="E840" s="199">
        <v>0.86</v>
      </c>
      <c r="F840" s="199">
        <v>0.3</v>
      </c>
      <c r="G840" s="199">
        <v>1</v>
      </c>
      <c r="H840" s="199">
        <v>1</v>
      </c>
      <c r="I840" s="199"/>
      <c r="J840" s="219"/>
      <c r="K840" s="217">
        <f t="shared" si="20"/>
        <v>0.25800000000000001</v>
      </c>
      <c r="L840" s="218"/>
    </row>
    <row r="841" spans="2:12">
      <c r="B841" s="197" t="s">
        <v>1913</v>
      </c>
      <c r="C841" s="189" t="s">
        <v>1895</v>
      </c>
      <c r="D841" s="190" t="s">
        <v>169</v>
      </c>
      <c r="E841" s="199">
        <v>4.1500000000000004</v>
      </c>
      <c r="F841" s="199">
        <v>0.15</v>
      </c>
      <c r="G841" s="199">
        <v>1</v>
      </c>
      <c r="H841" s="199">
        <v>1</v>
      </c>
      <c r="I841" s="199"/>
      <c r="J841" s="219"/>
      <c r="K841" s="217">
        <f t="shared" si="20"/>
        <v>0.62250000000000005</v>
      </c>
      <c r="L841" s="218"/>
    </row>
    <row r="842" spans="2:12">
      <c r="B842" s="197" t="s">
        <v>1913</v>
      </c>
      <c r="C842" s="189" t="s">
        <v>1895</v>
      </c>
      <c r="D842" s="190" t="s">
        <v>169</v>
      </c>
      <c r="E842" s="199">
        <v>1.18</v>
      </c>
      <c r="F842" s="199">
        <v>0.25</v>
      </c>
      <c r="G842" s="199">
        <v>1</v>
      </c>
      <c r="H842" s="199">
        <v>1</v>
      </c>
      <c r="I842" s="199"/>
      <c r="J842" s="219"/>
      <c r="K842" s="217">
        <f t="shared" si="20"/>
        <v>0.29499999999999998</v>
      </c>
      <c r="L842" s="218"/>
    </row>
    <row r="843" spans="2:12">
      <c r="B843" s="197" t="s">
        <v>1914</v>
      </c>
      <c r="C843" s="189" t="s">
        <v>1895</v>
      </c>
      <c r="D843" s="190" t="s">
        <v>169</v>
      </c>
      <c r="E843" s="199">
        <v>1.24</v>
      </c>
      <c r="F843" s="199">
        <v>0.2</v>
      </c>
      <c r="G843" s="199">
        <v>0.6</v>
      </c>
      <c r="H843" s="199">
        <v>1</v>
      </c>
      <c r="I843" s="199"/>
      <c r="J843" s="219"/>
      <c r="K843" s="217">
        <f t="shared" si="20"/>
        <v>0.14879999999999999</v>
      </c>
      <c r="L843" s="218"/>
    </row>
    <row r="844" spans="2:12">
      <c r="B844" s="197" t="s">
        <v>1915</v>
      </c>
      <c r="C844" s="189" t="s">
        <v>1895</v>
      </c>
      <c r="D844" s="190" t="s">
        <v>169</v>
      </c>
      <c r="E844" s="199">
        <v>8.8000000000000007</v>
      </c>
      <c r="F844" s="199">
        <v>0.2</v>
      </c>
      <c r="G844" s="199">
        <v>0.7</v>
      </c>
      <c r="H844" s="199">
        <v>1</v>
      </c>
      <c r="I844" s="199"/>
      <c r="J844" s="219"/>
      <c r="K844" s="217">
        <f t="shared" si="20"/>
        <v>1.232</v>
      </c>
      <c r="L844" s="218"/>
    </row>
    <row r="845" spans="2:12">
      <c r="B845" s="197" t="s">
        <v>1916</v>
      </c>
      <c r="C845" s="189" t="s">
        <v>1895</v>
      </c>
      <c r="D845" s="190" t="s">
        <v>169</v>
      </c>
      <c r="E845" s="199">
        <v>2.98</v>
      </c>
      <c r="F845" s="199">
        <v>0.15</v>
      </c>
      <c r="G845" s="199">
        <v>1</v>
      </c>
      <c r="H845" s="199">
        <v>1</v>
      </c>
      <c r="I845" s="199"/>
      <c r="J845" s="219"/>
      <c r="K845" s="217">
        <f t="shared" si="20"/>
        <v>0.44700000000000001</v>
      </c>
      <c r="L845" s="218"/>
    </row>
    <row r="846" spans="2:12">
      <c r="B846" s="197" t="s">
        <v>1917</v>
      </c>
      <c r="C846" s="189" t="s">
        <v>1895</v>
      </c>
      <c r="D846" s="190" t="s">
        <v>169</v>
      </c>
      <c r="E846" s="199">
        <v>1.24</v>
      </c>
      <c r="F846" s="199">
        <v>0.2</v>
      </c>
      <c r="G846" s="199">
        <v>0.6</v>
      </c>
      <c r="H846" s="199">
        <v>1</v>
      </c>
      <c r="I846" s="199"/>
      <c r="J846" s="219"/>
      <c r="K846" s="217">
        <f t="shared" si="20"/>
        <v>0.14879999999999999</v>
      </c>
      <c r="L846" s="218"/>
    </row>
    <row r="847" spans="2:12">
      <c r="B847" s="197" t="s">
        <v>1918</v>
      </c>
      <c r="C847" s="189" t="s">
        <v>1895</v>
      </c>
      <c r="D847" s="190" t="s">
        <v>169</v>
      </c>
      <c r="E847" s="199">
        <v>1.94</v>
      </c>
      <c r="F847" s="199">
        <v>0.2</v>
      </c>
      <c r="G847" s="199">
        <v>1</v>
      </c>
      <c r="H847" s="199">
        <v>1</v>
      </c>
      <c r="I847" s="199"/>
      <c r="J847" s="219"/>
      <c r="K847" s="217">
        <f t="shared" si="20"/>
        <v>0.38800000000000001</v>
      </c>
      <c r="L847" s="218"/>
    </row>
    <row r="848" spans="2:12">
      <c r="B848" s="197"/>
      <c r="C848" s="189"/>
      <c r="D848" s="190"/>
      <c r="E848" s="199"/>
      <c r="F848" s="199"/>
      <c r="G848" s="199"/>
      <c r="H848" s="199"/>
      <c r="I848" s="199"/>
      <c r="J848" s="219"/>
      <c r="K848" s="217">
        <f t="shared" ref="K848:K849" si="21">IF(E848*F848*G848&lt;&gt;0,E848*F848*G848,IF(E848*F848&lt;&gt;0,E848*F848,IF(F848*G848&lt;&gt;0,F848*G848,IF(E848*G848&lt;&gt;0,E848*G848,IF(E848&lt;&gt;0,E848,IF(F848&lt;&gt;0,F848,IF(G848&lt;&gt;0,G848,0)))))))*(IF(H848&lt;&gt;0,H848,1))+I848-J848</f>
        <v>0</v>
      </c>
      <c r="L848" s="218"/>
    </row>
    <row r="849" spans="2:12">
      <c r="B849" s="197"/>
      <c r="C849" s="189"/>
      <c r="D849" s="190"/>
      <c r="E849" s="199"/>
      <c r="F849" s="199"/>
      <c r="G849" s="199"/>
      <c r="H849" s="199"/>
      <c r="I849" s="199"/>
      <c r="J849" s="219"/>
      <c r="K849" s="217">
        <f t="shared" si="21"/>
        <v>0</v>
      </c>
      <c r="L849" s="218"/>
    </row>
    <row r="850" spans="2:12">
      <c r="B850" s="208"/>
      <c r="C850" s="204"/>
      <c r="D850" s="204"/>
      <c r="E850" s="204"/>
      <c r="F850" s="204"/>
      <c r="G850" s="204"/>
      <c r="H850" s="204"/>
      <c r="I850" s="557" t="s">
        <v>1221</v>
      </c>
      <c r="J850" s="557"/>
      <c r="K850" s="262">
        <f>SUM(K688:K849)</f>
        <v>228.55515000000011</v>
      </c>
      <c r="L850" s="207"/>
    </row>
    <row r="851" spans="2:12">
      <c r="B851" s="208"/>
      <c r="C851" s="204"/>
      <c r="D851" s="204"/>
      <c r="E851" s="204"/>
      <c r="F851" s="204"/>
      <c r="G851" s="204"/>
      <c r="H851" s="209"/>
      <c r="I851" s="557" t="s">
        <v>1222</v>
      </c>
      <c r="J851" s="557"/>
      <c r="K851" s="221">
        <f>VLOOKUP(B686,'BM 004'!$B$27:$R$590,4,0)</f>
        <v>364.43</v>
      </c>
      <c r="L851" s="207"/>
    </row>
    <row r="852" spans="2:12">
      <c r="B852" s="208"/>
      <c r="C852" s="204"/>
      <c r="D852" s="204"/>
      <c r="E852" s="204"/>
      <c r="F852" s="204"/>
      <c r="G852" s="204"/>
      <c r="H852" s="558" t="s">
        <v>1223</v>
      </c>
      <c r="I852" s="558"/>
      <c r="J852" s="558"/>
      <c r="K852" s="222">
        <v>202.24744999999999</v>
      </c>
      <c r="L852" s="207"/>
    </row>
    <row r="853" spans="2:12">
      <c r="B853" s="208"/>
      <c r="C853" s="204"/>
      <c r="D853" s="204"/>
      <c r="E853" s="204"/>
      <c r="F853" s="204"/>
      <c r="G853" s="204"/>
      <c r="H853" s="558" t="s">
        <v>1605</v>
      </c>
      <c r="I853" s="558"/>
      <c r="J853" s="558"/>
      <c r="K853" s="222">
        <f>TRUNC(SUMIF(C688:C849,H853,K688:K849),2)</f>
        <v>26.3</v>
      </c>
      <c r="L853" s="207"/>
    </row>
    <row r="854" spans="2:12">
      <c r="B854" s="213"/>
      <c r="C854" s="214"/>
      <c r="D854" s="214"/>
      <c r="E854" s="214"/>
      <c r="F854" s="214"/>
      <c r="G854" s="214"/>
      <c r="H854" s="559" t="s">
        <v>1224</v>
      </c>
      <c r="I854" s="559"/>
      <c r="J854" s="559"/>
      <c r="K854" s="223">
        <f>IF(K850&gt;K851,K850-K851,0)</f>
        <v>0</v>
      </c>
      <c r="L854" s="209"/>
    </row>
    <row r="856" spans="2:12">
      <c r="B856" s="247" t="s">
        <v>220</v>
      </c>
      <c r="C856" s="565" t="str">
        <f>VLOOKUP(B856,'BM 004'!$B$27:$R$590,2,0)</f>
        <v xml:space="preserve">Armação de pilar ou viga de uma estrutura convencional de concreto armado em um edifício de múltiplos pavimentos utilizando aço ca-60 de 5,0 mm - montagem. </v>
      </c>
      <c r="D856" s="565"/>
      <c r="E856" s="565"/>
      <c r="F856" s="565"/>
      <c r="G856" s="565"/>
      <c r="H856" s="565"/>
      <c r="I856" s="565"/>
      <c r="J856" s="565"/>
      <c r="K856" s="565"/>
      <c r="L856" s="565"/>
    </row>
    <row r="857" spans="2:12">
      <c r="B857" s="248" t="s">
        <v>1209</v>
      </c>
      <c r="C857" s="248"/>
      <c r="D857" s="248" t="s">
        <v>39</v>
      </c>
      <c r="E857" s="248" t="s">
        <v>1210</v>
      </c>
      <c r="F857" s="248" t="s">
        <v>1382</v>
      </c>
      <c r="G857" s="248" t="s">
        <v>1383</v>
      </c>
      <c r="H857" s="248" t="s">
        <v>1384</v>
      </c>
      <c r="I857" s="248" t="s">
        <v>1214</v>
      </c>
      <c r="J857" s="248" t="s">
        <v>1385</v>
      </c>
      <c r="K857" s="248" t="s">
        <v>1216</v>
      </c>
      <c r="L857" s="248" t="s">
        <v>1217</v>
      </c>
    </row>
    <row r="858" spans="2:12">
      <c r="B858" s="249" t="s">
        <v>1387</v>
      </c>
      <c r="C858" s="250" t="s">
        <v>1333</v>
      </c>
      <c r="D858" s="205" t="s">
        <v>152</v>
      </c>
      <c r="E858" s="251">
        <v>208</v>
      </c>
      <c r="F858" s="252">
        <v>0.154</v>
      </c>
      <c r="G858" s="251">
        <v>1.1000000000000001</v>
      </c>
      <c r="H858" s="251">
        <v>0.55000000000000004</v>
      </c>
      <c r="I858" s="251"/>
      <c r="J858" s="253"/>
      <c r="K858" s="254">
        <f t="shared" ref="K858:K866" si="22">IF(E858*F858*G858&lt;&gt;0,E858*F858*G858,IF(E858*F858&lt;&gt;0,E858*F858,IF(F858*G858&lt;&gt;0,F858*G858,IF(E858*G858&lt;&gt;0,E858*G858,IF(E858&lt;&gt;0,E858,IF(F858&lt;&gt;0,F858,IF(G858&lt;&gt;0,G858,0)))))))*(IF(H858&lt;&gt;0,H858,1))+I858-J858</f>
        <v>19.379360000000002</v>
      </c>
      <c r="L858" s="255"/>
    </row>
    <row r="859" spans="2:12">
      <c r="B859" s="249" t="s">
        <v>1480</v>
      </c>
      <c r="C859" s="250" t="s">
        <v>1441</v>
      </c>
      <c r="D859" s="205" t="s">
        <v>152</v>
      </c>
      <c r="E859" s="251">
        <v>1109</v>
      </c>
      <c r="F859" s="252">
        <f>F858</f>
        <v>0.154</v>
      </c>
      <c r="G859" s="251">
        <f>G858</f>
        <v>1.1000000000000001</v>
      </c>
      <c r="H859" s="251">
        <v>0.5</v>
      </c>
      <c r="I859" s="251"/>
      <c r="J859" s="253"/>
      <c r="K859" s="254">
        <f t="shared" si="22"/>
        <v>93.932300000000012</v>
      </c>
      <c r="L859" s="205"/>
    </row>
    <row r="860" spans="2:12">
      <c r="B860" s="249" t="s">
        <v>1555</v>
      </c>
      <c r="C860" s="250" t="s">
        <v>1441</v>
      </c>
      <c r="D860" s="205" t="s">
        <v>152</v>
      </c>
      <c r="E860" s="251"/>
      <c r="F860" s="252"/>
      <c r="G860" s="251"/>
      <c r="H860" s="251">
        <v>0</v>
      </c>
      <c r="I860" s="251"/>
      <c r="J860" s="253"/>
      <c r="K860" s="254">
        <f t="shared" si="22"/>
        <v>0</v>
      </c>
      <c r="L860" s="205"/>
    </row>
    <row r="861" spans="2:12">
      <c r="B861" s="249" t="s">
        <v>1681</v>
      </c>
      <c r="C861" s="250" t="s">
        <v>1611</v>
      </c>
      <c r="D861" s="205" t="s">
        <v>152</v>
      </c>
      <c r="E861" s="251">
        <v>735</v>
      </c>
      <c r="F861" s="252">
        <v>0.154</v>
      </c>
      <c r="G861" s="251">
        <v>1.1000000000000001</v>
      </c>
      <c r="H861" s="251">
        <v>0.3</v>
      </c>
      <c r="I861" s="251"/>
      <c r="J861" s="253"/>
      <c r="K861" s="254">
        <f t="shared" si="22"/>
        <v>37.352700000000006</v>
      </c>
      <c r="L861" s="205"/>
    </row>
    <row r="862" spans="2:12">
      <c r="B862" s="249" t="s">
        <v>1681</v>
      </c>
      <c r="C862" s="250" t="s">
        <v>1612</v>
      </c>
      <c r="D862" s="205" t="s">
        <v>152</v>
      </c>
      <c r="E862" s="251">
        <v>735</v>
      </c>
      <c r="F862" s="252">
        <v>0.154</v>
      </c>
      <c r="G862" s="251">
        <v>1.1000000000000001</v>
      </c>
      <c r="H862" s="251">
        <v>0.3</v>
      </c>
      <c r="I862" s="251"/>
      <c r="J862" s="253"/>
      <c r="K862" s="254">
        <f t="shared" si="22"/>
        <v>37.352700000000006</v>
      </c>
      <c r="L862" s="205"/>
    </row>
    <row r="863" spans="2:12">
      <c r="B863" s="249" t="s">
        <v>1681</v>
      </c>
      <c r="C863" s="250" t="s">
        <v>1613</v>
      </c>
      <c r="D863" s="205" t="s">
        <v>152</v>
      </c>
      <c r="E863" s="251">
        <v>735</v>
      </c>
      <c r="F863" s="252">
        <v>0.154</v>
      </c>
      <c r="G863" s="251">
        <v>1.1000000000000001</v>
      </c>
      <c r="H863" s="251">
        <v>0.2</v>
      </c>
      <c r="I863" s="251"/>
      <c r="J863" s="253"/>
      <c r="K863" s="254">
        <f t="shared" si="22"/>
        <v>24.901800000000005</v>
      </c>
      <c r="L863" s="205"/>
    </row>
    <row r="864" spans="2:12">
      <c r="B864" s="249" t="s">
        <v>1387</v>
      </c>
      <c r="C864" s="250" t="s">
        <v>1895</v>
      </c>
      <c r="D864" s="205" t="s">
        <v>152</v>
      </c>
      <c r="E864" s="251">
        <v>208</v>
      </c>
      <c r="F864" s="252">
        <v>0.154</v>
      </c>
      <c r="G864" s="251">
        <v>1.1000000000000001</v>
      </c>
      <c r="H864" s="251">
        <v>0.15</v>
      </c>
      <c r="I864" s="251"/>
      <c r="J864" s="253"/>
      <c r="K864" s="254">
        <f t="shared" si="22"/>
        <v>5.2852799999999993</v>
      </c>
      <c r="L864" s="255"/>
    </row>
    <row r="865" spans="2:12">
      <c r="B865" s="249" t="s">
        <v>1480</v>
      </c>
      <c r="C865" s="250" t="s">
        <v>1895</v>
      </c>
      <c r="D865" s="205" t="s">
        <v>152</v>
      </c>
      <c r="E865" s="251">
        <v>1109</v>
      </c>
      <c r="F865" s="252">
        <f>F864</f>
        <v>0.154</v>
      </c>
      <c r="G865" s="251">
        <f>G864</f>
        <v>1.1000000000000001</v>
      </c>
      <c r="H865" s="251">
        <v>0.3</v>
      </c>
      <c r="I865" s="251"/>
      <c r="J865" s="253"/>
      <c r="K865" s="254">
        <f t="shared" si="22"/>
        <v>56.359380000000009</v>
      </c>
      <c r="L865" s="205"/>
    </row>
    <row r="866" spans="2:12">
      <c r="B866" s="267"/>
      <c r="C866" s="205"/>
      <c r="D866" s="205"/>
      <c r="E866" s="251"/>
      <c r="F866" s="252"/>
      <c r="G866" s="251"/>
      <c r="H866" s="251"/>
      <c r="I866" s="251"/>
      <c r="J866" s="253"/>
      <c r="K866" s="254">
        <f t="shared" si="22"/>
        <v>0</v>
      </c>
      <c r="L866" s="205"/>
    </row>
    <row r="867" spans="2:12">
      <c r="B867" s="208"/>
      <c r="C867" s="204"/>
      <c r="D867" s="204"/>
      <c r="E867" s="204"/>
      <c r="F867" s="204"/>
      <c r="G867" s="204"/>
      <c r="H867" s="204"/>
      <c r="I867" s="556" t="s">
        <v>1221</v>
      </c>
      <c r="J867" s="556"/>
      <c r="K867" s="262">
        <f>SUM(K858:K866)</f>
        <v>274.56352000000004</v>
      </c>
      <c r="L867" s="207"/>
    </row>
    <row r="868" spans="2:12">
      <c r="B868" s="208"/>
      <c r="C868" s="204"/>
      <c r="D868" s="204"/>
      <c r="E868" s="204"/>
      <c r="F868" s="204"/>
      <c r="G868" s="204"/>
      <c r="H868" s="209"/>
      <c r="I868" s="557" t="s">
        <v>1222</v>
      </c>
      <c r="J868" s="557"/>
      <c r="K868" s="221">
        <f>VLOOKUP(B856,'BM 004'!$B$27:$R$590,4,0)</f>
        <v>347.6</v>
      </c>
      <c r="L868" s="207"/>
    </row>
    <row r="869" spans="2:12">
      <c r="B869" s="208"/>
      <c r="C869" s="204"/>
      <c r="D869" s="204"/>
      <c r="E869" s="204"/>
      <c r="F869" s="204"/>
      <c r="G869" s="204"/>
      <c r="H869" s="558" t="s">
        <v>1223</v>
      </c>
      <c r="I869" s="558"/>
      <c r="J869" s="558"/>
      <c r="K869" s="222">
        <v>212.91886</v>
      </c>
      <c r="L869" s="207"/>
    </row>
    <row r="870" spans="2:12">
      <c r="B870" s="208"/>
      <c r="C870" s="204"/>
      <c r="D870" s="204"/>
      <c r="E870" s="204"/>
      <c r="F870" s="204"/>
      <c r="G870" s="204"/>
      <c r="H870" s="558" t="s">
        <v>1605</v>
      </c>
      <c r="I870" s="558"/>
      <c r="J870" s="558"/>
      <c r="K870" s="222">
        <f>TRUNC(SUMIF(C858:C866,H870,K858:K866),2)</f>
        <v>61.64</v>
      </c>
      <c r="L870" s="207"/>
    </row>
    <row r="871" spans="2:12">
      <c r="B871" s="213"/>
      <c r="C871" s="214"/>
      <c r="D871" s="214"/>
      <c r="E871" s="214"/>
      <c r="F871" s="214"/>
      <c r="G871" s="214"/>
      <c r="H871" s="559" t="s">
        <v>1224</v>
      </c>
      <c r="I871" s="559"/>
      <c r="J871" s="559"/>
      <c r="K871" s="223">
        <f>IF(K867&gt;K868,K867-K868,0)</f>
        <v>0</v>
      </c>
      <c r="L871" s="209"/>
    </row>
    <row r="873" spans="2:12">
      <c r="B873" s="247" t="s">
        <v>221</v>
      </c>
      <c r="C873" s="565" t="str">
        <f>VLOOKUP(B873,'BM 004'!$B$27:$R$590,2,0)</f>
        <v>Armação de pilar ou viga de uma estrutura convencional de concreto armado em um edifício de múltiplos pavimentos utilizando aço ca-50 de 6,3 mm - montagem.</v>
      </c>
      <c r="D873" s="565"/>
      <c r="E873" s="565"/>
      <c r="F873" s="565"/>
      <c r="G873" s="565"/>
      <c r="H873" s="565"/>
      <c r="I873" s="565"/>
      <c r="J873" s="565"/>
      <c r="K873" s="565"/>
      <c r="L873" s="565"/>
    </row>
    <row r="874" spans="2:12">
      <c r="B874" s="248" t="s">
        <v>1209</v>
      </c>
      <c r="C874" s="248"/>
      <c r="D874" s="248" t="s">
        <v>39</v>
      </c>
      <c r="E874" s="248" t="s">
        <v>1210</v>
      </c>
      <c r="F874" s="248" t="s">
        <v>1382</v>
      </c>
      <c r="G874" s="248" t="s">
        <v>1383</v>
      </c>
      <c r="H874" s="248" t="s">
        <v>1384</v>
      </c>
      <c r="I874" s="248" t="s">
        <v>1214</v>
      </c>
      <c r="J874" s="248" t="s">
        <v>1385</v>
      </c>
      <c r="K874" s="248" t="s">
        <v>1216</v>
      </c>
      <c r="L874" s="248" t="s">
        <v>1217</v>
      </c>
    </row>
    <row r="875" spans="2:12">
      <c r="B875" s="249" t="s">
        <v>1387</v>
      </c>
      <c r="C875" s="250" t="s">
        <v>1333</v>
      </c>
      <c r="D875" s="205" t="s">
        <v>152</v>
      </c>
      <c r="E875" s="251">
        <v>4472</v>
      </c>
      <c r="F875" s="252">
        <v>0.245</v>
      </c>
      <c r="G875" s="251">
        <v>1.1000000000000001</v>
      </c>
      <c r="H875" s="251">
        <v>0.55000000000000004</v>
      </c>
      <c r="I875" s="251"/>
      <c r="J875" s="253"/>
      <c r="K875" s="254">
        <f t="shared" ref="K875:K883" si="23">IF(E875*F875*G875&lt;&gt;0,E875*F875*G875,IF(E875*F875&lt;&gt;0,E875*F875,IF(F875*G875&lt;&gt;0,F875*G875,IF(E875*G875&lt;&gt;0,E875*G875,IF(E875&lt;&gt;0,E875,IF(F875&lt;&gt;0,F875,IF(G875&lt;&gt;0,G875,0)))))))*(IF(H875&lt;&gt;0,H875,1))+I875-J875</f>
        <v>662.86220000000003</v>
      </c>
      <c r="L875" s="255"/>
    </row>
    <row r="876" spans="2:12">
      <c r="B876" s="249" t="s">
        <v>1480</v>
      </c>
      <c r="C876" s="250" t="s">
        <v>1441</v>
      </c>
      <c r="D876" s="205" t="s">
        <v>152</v>
      </c>
      <c r="E876" s="251">
        <v>2134</v>
      </c>
      <c r="F876" s="252">
        <f>F875</f>
        <v>0.245</v>
      </c>
      <c r="G876" s="251">
        <f>G875</f>
        <v>1.1000000000000001</v>
      </c>
      <c r="H876" s="251">
        <v>0.5</v>
      </c>
      <c r="I876" s="251"/>
      <c r="J876" s="253"/>
      <c r="K876" s="254">
        <f t="shared" si="23"/>
        <v>287.55650000000003</v>
      </c>
      <c r="L876" s="205"/>
    </row>
    <row r="877" spans="2:12">
      <c r="B877" s="249" t="s">
        <v>1555</v>
      </c>
      <c r="C877" s="250" t="s">
        <v>1521</v>
      </c>
      <c r="D877" s="205" t="s">
        <v>152</v>
      </c>
      <c r="E877" s="251">
        <v>2992</v>
      </c>
      <c r="F877" s="252">
        <f>F876</f>
        <v>0.245</v>
      </c>
      <c r="G877" s="251">
        <f>G876</f>
        <v>1.1000000000000001</v>
      </c>
      <c r="H877" s="251">
        <v>0.3</v>
      </c>
      <c r="I877" s="251"/>
      <c r="J877" s="253"/>
      <c r="K877" s="254">
        <f t="shared" si="23"/>
        <v>241.9032</v>
      </c>
      <c r="L877" s="205"/>
    </row>
    <row r="878" spans="2:12">
      <c r="B878" s="249" t="s">
        <v>1681</v>
      </c>
      <c r="C878" s="250" t="s">
        <v>1611</v>
      </c>
      <c r="D878" s="205" t="s">
        <v>152</v>
      </c>
      <c r="E878" s="251">
        <v>3859</v>
      </c>
      <c r="F878" s="252">
        <v>0.245</v>
      </c>
      <c r="G878" s="251">
        <v>1.1000000000000001</v>
      </c>
      <c r="H878" s="251">
        <v>0.3</v>
      </c>
      <c r="I878" s="251"/>
      <c r="J878" s="253"/>
      <c r="K878" s="254">
        <f t="shared" si="23"/>
        <v>312.00015000000002</v>
      </c>
      <c r="L878" s="205"/>
    </row>
    <row r="879" spans="2:12">
      <c r="B879" s="249" t="s">
        <v>1681</v>
      </c>
      <c r="C879" s="250" t="s">
        <v>1612</v>
      </c>
      <c r="D879" s="205" t="s">
        <v>152</v>
      </c>
      <c r="E879" s="251">
        <v>3859</v>
      </c>
      <c r="F879" s="252">
        <v>0.245</v>
      </c>
      <c r="G879" s="251">
        <v>1.1000000000000001</v>
      </c>
      <c r="H879" s="251">
        <v>0.3</v>
      </c>
      <c r="I879" s="251"/>
      <c r="J879" s="253"/>
      <c r="K879" s="254">
        <f t="shared" si="23"/>
        <v>312.00015000000002</v>
      </c>
      <c r="L879" s="205"/>
    </row>
    <row r="880" spans="2:12">
      <c r="B880" s="249" t="s">
        <v>1681</v>
      </c>
      <c r="C880" s="250" t="s">
        <v>1613</v>
      </c>
      <c r="D880" s="205" t="s">
        <v>152</v>
      </c>
      <c r="E880" s="251">
        <v>3859</v>
      </c>
      <c r="F880" s="252">
        <v>0.245</v>
      </c>
      <c r="G880" s="251">
        <v>1.1000000000000001</v>
      </c>
      <c r="H880" s="251">
        <v>0.2</v>
      </c>
      <c r="I880" s="251"/>
      <c r="J880" s="253"/>
      <c r="K880" s="254">
        <f t="shared" si="23"/>
        <v>208.00010000000003</v>
      </c>
      <c r="L880" s="205"/>
    </row>
    <row r="881" spans="2:12">
      <c r="B881" s="249" t="s">
        <v>1555</v>
      </c>
      <c r="C881" s="250" t="s">
        <v>1895</v>
      </c>
      <c r="D881" s="205" t="s">
        <v>152</v>
      </c>
      <c r="E881" s="251">
        <v>2992</v>
      </c>
      <c r="F881" s="252">
        <f>F880</f>
        <v>0.245</v>
      </c>
      <c r="G881" s="251">
        <f>G880</f>
        <v>1.1000000000000001</v>
      </c>
      <c r="H881" s="251">
        <v>0.2</v>
      </c>
      <c r="I881" s="251"/>
      <c r="J881" s="253"/>
      <c r="K881" s="254">
        <f t="shared" si="23"/>
        <v>161.26880000000003</v>
      </c>
      <c r="L881" s="205"/>
    </row>
    <row r="882" spans="2:12">
      <c r="B882" s="249"/>
      <c r="C882" s="250"/>
      <c r="D882" s="205"/>
      <c r="E882" s="251"/>
      <c r="F882" s="252"/>
      <c r="G882" s="251"/>
      <c r="H882" s="251"/>
      <c r="I882" s="251"/>
      <c r="J882" s="253"/>
      <c r="K882" s="254">
        <f t="shared" si="23"/>
        <v>0</v>
      </c>
      <c r="L882" s="205"/>
    </row>
    <row r="883" spans="2:12">
      <c r="B883" s="267"/>
      <c r="C883" s="205"/>
      <c r="D883" s="205"/>
      <c r="E883" s="251"/>
      <c r="F883" s="252"/>
      <c r="G883" s="251"/>
      <c r="H883" s="251"/>
      <c r="I883" s="251"/>
      <c r="J883" s="253"/>
      <c r="K883" s="254">
        <f t="shared" si="23"/>
        <v>0</v>
      </c>
      <c r="L883" s="205"/>
    </row>
    <row r="884" spans="2:12">
      <c r="B884" s="208"/>
      <c r="C884" s="204"/>
      <c r="D884" s="204"/>
      <c r="E884" s="204"/>
      <c r="F884" s="204"/>
      <c r="G884" s="204"/>
      <c r="H884" s="204"/>
      <c r="I884" s="556" t="s">
        <v>1221</v>
      </c>
      <c r="J884" s="556"/>
      <c r="K884" s="262">
        <f>SUM(K875:K883)</f>
        <v>2185.5911000000001</v>
      </c>
      <c r="L884" s="207"/>
    </row>
    <row r="885" spans="2:12">
      <c r="B885" s="208"/>
      <c r="C885" s="204"/>
      <c r="D885" s="204"/>
      <c r="E885" s="204"/>
      <c r="F885" s="204"/>
      <c r="G885" s="204"/>
      <c r="H885" s="209"/>
      <c r="I885" s="557" t="s">
        <v>1222</v>
      </c>
      <c r="J885" s="557"/>
      <c r="K885" s="221">
        <f>VLOOKUP(B873,'BM 004'!$B$27:$R$590,4,0)</f>
        <v>3626.7</v>
      </c>
      <c r="L885" s="207"/>
    </row>
    <row r="886" spans="2:12">
      <c r="B886" s="208"/>
      <c r="C886" s="204"/>
      <c r="D886" s="204"/>
      <c r="E886" s="204"/>
      <c r="F886" s="204"/>
      <c r="G886" s="204"/>
      <c r="H886" s="558" t="s">
        <v>1223</v>
      </c>
      <c r="I886" s="558"/>
      <c r="J886" s="558"/>
      <c r="K886" s="222">
        <v>2024.3223</v>
      </c>
      <c r="L886" s="207"/>
    </row>
    <row r="887" spans="2:12">
      <c r="B887" s="208"/>
      <c r="C887" s="204"/>
      <c r="D887" s="204"/>
      <c r="E887" s="204"/>
      <c r="F887" s="204"/>
      <c r="G887" s="204"/>
      <c r="H887" s="558" t="s">
        <v>1605</v>
      </c>
      <c r="I887" s="558"/>
      <c r="J887" s="558"/>
      <c r="K887" s="222">
        <f>TRUNC(SUMIF(C875:C883,H887,K875:K883),2)</f>
        <v>161.26</v>
      </c>
      <c r="L887" s="207"/>
    </row>
    <row r="888" spans="2:12">
      <c r="B888" s="213"/>
      <c r="C888" s="214"/>
      <c r="D888" s="214"/>
      <c r="E888" s="214"/>
      <c r="F888" s="214"/>
      <c r="G888" s="214"/>
      <c r="H888" s="559" t="s">
        <v>1224</v>
      </c>
      <c r="I888" s="559"/>
      <c r="J888" s="559"/>
      <c r="K888" s="223">
        <f>IF(K884&gt;K885,K884-K885,0)</f>
        <v>0</v>
      </c>
      <c r="L888" s="209"/>
    </row>
    <row r="890" spans="2:12">
      <c r="B890" s="247" t="s">
        <v>223</v>
      </c>
      <c r="C890" s="565" t="str">
        <f>VLOOKUP(B890,'BM 004'!$B$27:$R$590,2,0)</f>
        <v xml:space="preserve">Armação de pilar ou viga de uma estrutura convencional de concreto armado em um edifício de múltiplos pavimentos utilizando aço ca-50 de 8,0 mm - montagem. </v>
      </c>
      <c r="D890" s="565"/>
      <c r="E890" s="565"/>
      <c r="F890" s="565"/>
      <c r="G890" s="565"/>
      <c r="H890" s="565"/>
      <c r="I890" s="565"/>
      <c r="J890" s="565"/>
      <c r="K890" s="565"/>
      <c r="L890" s="565"/>
    </row>
    <row r="891" spans="2:12">
      <c r="B891" s="248" t="s">
        <v>1209</v>
      </c>
      <c r="C891" s="248"/>
      <c r="D891" s="248" t="s">
        <v>39</v>
      </c>
      <c r="E891" s="248" t="s">
        <v>1210</v>
      </c>
      <c r="F891" s="248" t="s">
        <v>1382</v>
      </c>
      <c r="G891" s="248" t="s">
        <v>1383</v>
      </c>
      <c r="H891" s="248" t="s">
        <v>1384</v>
      </c>
      <c r="I891" s="248" t="s">
        <v>1214</v>
      </c>
      <c r="J891" s="248" t="s">
        <v>1385</v>
      </c>
      <c r="K891" s="248" t="s">
        <v>1216</v>
      </c>
      <c r="L891" s="248" t="s">
        <v>1217</v>
      </c>
    </row>
    <row r="892" spans="2:12">
      <c r="B892" s="249" t="s">
        <v>1387</v>
      </c>
      <c r="C892" s="250" t="s">
        <v>1333</v>
      </c>
      <c r="D892" s="205" t="s">
        <v>152</v>
      </c>
      <c r="E892" s="251">
        <v>1288</v>
      </c>
      <c r="F892" s="252">
        <v>0.39500000000000002</v>
      </c>
      <c r="G892" s="251">
        <v>1.1000000000000001</v>
      </c>
      <c r="H892" s="251">
        <v>0.55000000000000004</v>
      </c>
      <c r="I892" s="251"/>
      <c r="J892" s="253"/>
      <c r="K892" s="254">
        <f t="shared" ref="K892:K901" si="24">IF(E892*F892*G892&lt;&gt;0,E892*F892*G892,IF(E892*F892&lt;&gt;0,E892*F892,IF(F892*G892&lt;&gt;0,F892*G892,IF(E892*G892&lt;&gt;0,E892*G892,IF(E892&lt;&gt;0,E892,IF(F892&lt;&gt;0,F892,IF(G892&lt;&gt;0,G892,0)))))))*(IF(H892&lt;&gt;0,H892,1))+I892-J892</f>
        <v>307.79980000000006</v>
      </c>
      <c r="L892" s="255"/>
    </row>
    <row r="893" spans="2:12">
      <c r="B893" s="249" t="s">
        <v>1480</v>
      </c>
      <c r="C893" s="250" t="s">
        <v>1441</v>
      </c>
      <c r="D893" s="205" t="s">
        <v>152</v>
      </c>
      <c r="E893" s="251">
        <v>203</v>
      </c>
      <c r="F893" s="252">
        <f>F892</f>
        <v>0.39500000000000002</v>
      </c>
      <c r="G893" s="251">
        <f>G892</f>
        <v>1.1000000000000001</v>
      </c>
      <c r="H893" s="251">
        <v>0.5</v>
      </c>
      <c r="I893" s="251"/>
      <c r="J893" s="253"/>
      <c r="K893" s="254">
        <f t="shared" si="24"/>
        <v>44.101750000000003</v>
      </c>
      <c r="L893" s="205"/>
    </row>
    <row r="894" spans="2:12">
      <c r="B894" s="249" t="s">
        <v>1480</v>
      </c>
      <c r="C894" s="250" t="s">
        <v>1521</v>
      </c>
      <c r="D894" s="205" t="s">
        <v>152</v>
      </c>
      <c r="E894" s="251">
        <v>1750</v>
      </c>
      <c r="F894" s="252">
        <f>F893</f>
        <v>0.39500000000000002</v>
      </c>
      <c r="G894" s="251">
        <f>G893</f>
        <v>1.1000000000000001</v>
      </c>
      <c r="H894" s="251">
        <v>0.3</v>
      </c>
      <c r="I894" s="251"/>
      <c r="J894" s="253"/>
      <c r="K894" s="254">
        <f t="shared" si="24"/>
        <v>228.11250000000004</v>
      </c>
      <c r="L894" s="205"/>
    </row>
    <row r="895" spans="2:12">
      <c r="B895" s="249" t="s">
        <v>1555</v>
      </c>
      <c r="C895" s="250" t="s">
        <v>1611</v>
      </c>
      <c r="D895" s="205" t="s">
        <v>152</v>
      </c>
      <c r="E895" s="251"/>
      <c r="F895" s="252"/>
      <c r="G895" s="251"/>
      <c r="H895" s="251"/>
      <c r="I895" s="251"/>
      <c r="J895" s="253"/>
      <c r="K895" s="254">
        <f t="shared" si="24"/>
        <v>0</v>
      </c>
      <c r="L895" s="205"/>
    </row>
    <row r="896" spans="2:12">
      <c r="B896" s="249" t="s">
        <v>1681</v>
      </c>
      <c r="C896" s="250" t="s">
        <v>1611</v>
      </c>
      <c r="D896" s="205" t="s">
        <v>152</v>
      </c>
      <c r="E896" s="251">
        <v>815</v>
      </c>
      <c r="F896" s="252">
        <v>0.39500000000000002</v>
      </c>
      <c r="G896" s="251">
        <v>1.1000000000000001</v>
      </c>
      <c r="H896" s="251">
        <v>0.3</v>
      </c>
      <c r="I896" s="251"/>
      <c r="J896" s="253"/>
      <c r="K896" s="254">
        <f t="shared" si="24"/>
        <v>106.23525000000002</v>
      </c>
      <c r="L896" s="205"/>
    </row>
    <row r="897" spans="2:12">
      <c r="B897" s="249" t="s">
        <v>1681</v>
      </c>
      <c r="C897" s="250" t="s">
        <v>1612</v>
      </c>
      <c r="D897" s="205" t="s">
        <v>152</v>
      </c>
      <c r="E897" s="251">
        <v>815</v>
      </c>
      <c r="F897" s="252">
        <v>0.39500000000000002</v>
      </c>
      <c r="G897" s="251">
        <v>1.1000000000000001</v>
      </c>
      <c r="H897" s="251">
        <v>0.3</v>
      </c>
      <c r="I897" s="251"/>
      <c r="J897" s="253"/>
      <c r="K897" s="254">
        <f t="shared" si="24"/>
        <v>106.23525000000002</v>
      </c>
      <c r="L897" s="205"/>
    </row>
    <row r="898" spans="2:12">
      <c r="B898" s="249" t="s">
        <v>1681</v>
      </c>
      <c r="C898" s="250" t="s">
        <v>1613</v>
      </c>
      <c r="D898" s="205" t="s">
        <v>152</v>
      </c>
      <c r="E898" s="251">
        <v>815</v>
      </c>
      <c r="F898" s="252">
        <v>0.39500000000000002</v>
      </c>
      <c r="G898" s="251">
        <v>1.1000000000000001</v>
      </c>
      <c r="H898" s="251">
        <v>0.2</v>
      </c>
      <c r="I898" s="251"/>
      <c r="J898" s="253"/>
      <c r="K898" s="254">
        <f t="shared" si="24"/>
        <v>70.82350000000001</v>
      </c>
      <c r="L898" s="205"/>
    </row>
    <row r="899" spans="2:12">
      <c r="B899" s="249" t="s">
        <v>1387</v>
      </c>
      <c r="C899" s="250" t="s">
        <v>1895</v>
      </c>
      <c r="D899" s="205" t="s">
        <v>152</v>
      </c>
      <c r="E899" s="251">
        <v>1288</v>
      </c>
      <c r="F899" s="252">
        <v>0.39500000000000002</v>
      </c>
      <c r="G899" s="251">
        <v>1.1000000000000001</v>
      </c>
      <c r="H899" s="251">
        <v>0.25</v>
      </c>
      <c r="I899" s="251"/>
      <c r="J899" s="253"/>
      <c r="K899" s="254">
        <f t="shared" si="24"/>
        <v>139.90900000000002</v>
      </c>
      <c r="L899" s="255"/>
    </row>
    <row r="900" spans="2:12">
      <c r="B900" s="249"/>
      <c r="C900" s="250"/>
      <c r="D900" s="205"/>
      <c r="E900" s="251"/>
      <c r="F900" s="252"/>
      <c r="G900" s="251"/>
      <c r="H900" s="251"/>
      <c r="I900" s="251"/>
      <c r="J900" s="253"/>
      <c r="K900" s="254">
        <f t="shared" si="24"/>
        <v>0</v>
      </c>
      <c r="L900" s="205"/>
    </row>
    <row r="901" spans="2:12">
      <c r="B901" s="267"/>
      <c r="C901" s="205"/>
      <c r="D901" s="205"/>
      <c r="E901" s="251"/>
      <c r="F901" s="252"/>
      <c r="G901" s="251"/>
      <c r="H901" s="251"/>
      <c r="I901" s="251"/>
      <c r="J901" s="253"/>
      <c r="K901" s="254">
        <f t="shared" si="24"/>
        <v>0</v>
      </c>
      <c r="L901" s="205"/>
    </row>
    <row r="902" spans="2:12">
      <c r="B902" s="208"/>
      <c r="C902" s="204"/>
      <c r="D902" s="204"/>
      <c r="E902" s="204"/>
      <c r="F902" s="204"/>
      <c r="G902" s="204"/>
      <c r="H902" s="204"/>
      <c r="I902" s="556" t="s">
        <v>1221</v>
      </c>
      <c r="J902" s="556"/>
      <c r="K902" s="262">
        <f>SUM(K892:K901)</f>
        <v>1003.2170500000002</v>
      </c>
      <c r="L902" s="207"/>
    </row>
    <row r="903" spans="2:12">
      <c r="B903" s="208"/>
      <c r="C903" s="204"/>
      <c r="D903" s="204"/>
      <c r="E903" s="204"/>
      <c r="F903" s="204"/>
      <c r="G903" s="204"/>
      <c r="H903" s="209"/>
      <c r="I903" s="557" t="s">
        <v>1222</v>
      </c>
      <c r="J903" s="557"/>
      <c r="K903" s="221">
        <f>VLOOKUP(B890,'BM 004'!$B$27:$R$590,4,0)</f>
        <v>1762.2</v>
      </c>
      <c r="L903" s="207"/>
    </row>
    <row r="904" spans="2:12">
      <c r="B904" s="208"/>
      <c r="C904" s="204"/>
      <c r="D904" s="204"/>
      <c r="E904" s="204"/>
      <c r="F904" s="204"/>
      <c r="G904" s="204"/>
      <c r="H904" s="558" t="s">
        <v>1223</v>
      </c>
      <c r="I904" s="558"/>
      <c r="J904" s="558"/>
      <c r="K904" s="222">
        <v>863.30804999999998</v>
      </c>
      <c r="L904" s="207"/>
    </row>
    <row r="905" spans="2:12">
      <c r="B905" s="208"/>
      <c r="C905" s="204"/>
      <c r="D905" s="204"/>
      <c r="E905" s="204"/>
      <c r="F905" s="204"/>
      <c r="G905" s="204"/>
      <c r="H905" s="558" t="s">
        <v>1605</v>
      </c>
      <c r="I905" s="558"/>
      <c r="J905" s="558"/>
      <c r="K905" s="222">
        <f>TRUNC(SUMIF(C892:C901,H905,K892:K901),2)</f>
        <v>139.9</v>
      </c>
      <c r="L905" s="207"/>
    </row>
    <row r="906" spans="2:12">
      <c r="B906" s="213"/>
      <c r="C906" s="214"/>
      <c r="D906" s="214"/>
      <c r="E906" s="214"/>
      <c r="F906" s="214"/>
      <c r="G906" s="214"/>
      <c r="H906" s="559" t="s">
        <v>1224</v>
      </c>
      <c r="I906" s="559"/>
      <c r="J906" s="559"/>
      <c r="K906" s="223">
        <f>IF(K902&gt;K903,K902-K903,0)</f>
        <v>0</v>
      </c>
      <c r="L906" s="209"/>
    </row>
    <row r="908" spans="2:12">
      <c r="B908" s="247" t="s">
        <v>224</v>
      </c>
      <c r="C908" s="565" t="str">
        <f>VLOOKUP(B908,'BM 004'!$B$27:$R$590,2,0)</f>
        <v xml:space="preserve">Armação de pilar ou viga de uma estrutura convencional de concreto armado em um edifício de múltiplos pavimentos utilizando aço ca-50 de 10,0 mm - montagem. </v>
      </c>
      <c r="D908" s="565"/>
      <c r="E908" s="565"/>
      <c r="F908" s="565"/>
      <c r="G908" s="565"/>
      <c r="H908" s="565"/>
      <c r="I908" s="565"/>
      <c r="J908" s="565"/>
      <c r="K908" s="565"/>
      <c r="L908" s="565"/>
    </row>
    <row r="909" spans="2:12">
      <c r="B909" s="248" t="s">
        <v>1209</v>
      </c>
      <c r="C909" s="248"/>
      <c r="D909" s="248" t="s">
        <v>39</v>
      </c>
      <c r="E909" s="248" t="s">
        <v>1210</v>
      </c>
      <c r="F909" s="248" t="s">
        <v>1382</v>
      </c>
      <c r="G909" s="248" t="s">
        <v>1383</v>
      </c>
      <c r="H909" s="248" t="s">
        <v>1384</v>
      </c>
      <c r="I909" s="248" t="s">
        <v>1214</v>
      </c>
      <c r="J909" s="248" t="s">
        <v>1385</v>
      </c>
      <c r="K909" s="248" t="s">
        <v>1216</v>
      </c>
      <c r="L909" s="248" t="s">
        <v>1217</v>
      </c>
    </row>
    <row r="910" spans="2:12">
      <c r="B910" s="249" t="s">
        <v>1387</v>
      </c>
      <c r="C910" s="250" t="s">
        <v>1333</v>
      </c>
      <c r="D910" s="205" t="s">
        <v>152</v>
      </c>
      <c r="E910" s="251">
        <v>82</v>
      </c>
      <c r="F910" s="252">
        <v>0.61699999999999999</v>
      </c>
      <c r="G910" s="251">
        <v>1.1000000000000001</v>
      </c>
      <c r="H910" s="251">
        <v>0.55000000000000004</v>
      </c>
      <c r="I910" s="251"/>
      <c r="J910" s="253"/>
      <c r="K910" s="254">
        <f t="shared" ref="K910:K918" si="25">IF(E910*F910*G910&lt;&gt;0,E910*F910*G910,IF(E910*F910&lt;&gt;0,E910*F910,IF(F910*G910&lt;&gt;0,F910*G910,IF(E910*G910&lt;&gt;0,E910*G910,IF(E910&lt;&gt;0,E910,IF(F910&lt;&gt;0,F910,IF(G910&lt;&gt;0,G910,0)))))))*(IF(H910&lt;&gt;0,H910,1))+I910-J910</f>
        <v>30.609370000000006</v>
      </c>
      <c r="L910" s="255"/>
    </row>
    <row r="911" spans="2:12">
      <c r="B911" s="249" t="s">
        <v>1480</v>
      </c>
      <c r="C911" s="250" t="s">
        <v>1441</v>
      </c>
      <c r="D911" s="205" t="s">
        <v>152</v>
      </c>
      <c r="E911" s="251">
        <v>494</v>
      </c>
      <c r="F911" s="252">
        <f>F910</f>
        <v>0.61699999999999999</v>
      </c>
      <c r="G911" s="251">
        <f>G910</f>
        <v>1.1000000000000001</v>
      </c>
      <c r="H911" s="251">
        <v>0.5</v>
      </c>
      <c r="I911" s="251"/>
      <c r="J911" s="253"/>
      <c r="K911" s="254">
        <f t="shared" si="25"/>
        <v>167.63890000000001</v>
      </c>
      <c r="L911" s="205"/>
    </row>
    <row r="912" spans="2:12">
      <c r="B912" s="249" t="s">
        <v>1555</v>
      </c>
      <c r="C912" s="250" t="s">
        <v>1611</v>
      </c>
      <c r="D912" s="205" t="s">
        <v>152</v>
      </c>
      <c r="E912" s="251"/>
      <c r="F912" s="252"/>
      <c r="G912" s="251"/>
      <c r="H912" s="251"/>
      <c r="I912" s="251"/>
      <c r="J912" s="253"/>
      <c r="K912" s="254">
        <f t="shared" si="25"/>
        <v>0</v>
      </c>
      <c r="L912" s="205"/>
    </row>
    <row r="913" spans="2:12">
      <c r="B913" s="249" t="s">
        <v>1681</v>
      </c>
      <c r="C913" s="250" t="s">
        <v>1611</v>
      </c>
      <c r="D913" s="205" t="s">
        <v>152</v>
      </c>
      <c r="E913" s="251">
        <v>222</v>
      </c>
      <c r="F913" s="252">
        <v>0.61699999999999999</v>
      </c>
      <c r="G913" s="251">
        <v>1.1000000000000001</v>
      </c>
      <c r="H913" s="251">
        <v>0.3</v>
      </c>
      <c r="I913" s="251"/>
      <c r="J913" s="253"/>
      <c r="K913" s="254">
        <f t="shared" si="25"/>
        <v>45.201419999999999</v>
      </c>
      <c r="L913" s="205"/>
    </row>
    <row r="914" spans="2:12">
      <c r="B914" s="249" t="s">
        <v>1681</v>
      </c>
      <c r="C914" s="250" t="s">
        <v>1612</v>
      </c>
      <c r="D914" s="205" t="s">
        <v>152</v>
      </c>
      <c r="E914" s="251">
        <v>222</v>
      </c>
      <c r="F914" s="252">
        <v>0.61699999999999999</v>
      </c>
      <c r="G914" s="251">
        <v>1.1000000000000001</v>
      </c>
      <c r="H914" s="251">
        <v>0.2</v>
      </c>
      <c r="I914" s="251"/>
      <c r="J914" s="253"/>
      <c r="K914" s="254">
        <f t="shared" si="25"/>
        <v>30.134280000000004</v>
      </c>
      <c r="L914" s="205"/>
    </row>
    <row r="915" spans="2:12">
      <c r="B915" s="249" t="s">
        <v>1681</v>
      </c>
      <c r="C915" s="250" t="s">
        <v>1613</v>
      </c>
      <c r="D915" s="205" t="s">
        <v>152</v>
      </c>
      <c r="E915" s="251">
        <v>222</v>
      </c>
      <c r="F915" s="252">
        <v>0.61699999999999999</v>
      </c>
      <c r="G915" s="251">
        <v>1.1000000000000001</v>
      </c>
      <c r="H915" s="251">
        <v>0.3</v>
      </c>
      <c r="I915" s="251"/>
      <c r="J915" s="253"/>
      <c r="K915" s="254">
        <f t="shared" si="25"/>
        <v>45.201419999999999</v>
      </c>
      <c r="L915" s="205"/>
    </row>
    <row r="916" spans="2:12">
      <c r="B916" s="249" t="s">
        <v>1387</v>
      </c>
      <c r="C916" s="250" t="s">
        <v>1895</v>
      </c>
      <c r="D916" s="205" t="s">
        <v>152</v>
      </c>
      <c r="E916" s="251">
        <v>82</v>
      </c>
      <c r="F916" s="252">
        <v>0.61699999999999999</v>
      </c>
      <c r="G916" s="251">
        <v>1.1000000000000001</v>
      </c>
      <c r="H916" s="251">
        <v>0.15</v>
      </c>
      <c r="I916" s="251"/>
      <c r="J916" s="253"/>
      <c r="K916" s="254">
        <f t="shared" si="25"/>
        <v>8.3480100000000004</v>
      </c>
      <c r="L916" s="255"/>
    </row>
    <row r="917" spans="2:12">
      <c r="B917" s="249" t="s">
        <v>1480</v>
      </c>
      <c r="C917" s="250" t="s">
        <v>1895</v>
      </c>
      <c r="D917" s="205" t="s">
        <v>152</v>
      </c>
      <c r="E917" s="251">
        <v>494</v>
      </c>
      <c r="F917" s="252">
        <f>F916</f>
        <v>0.61699999999999999</v>
      </c>
      <c r="G917" s="251">
        <f>G916</f>
        <v>1.1000000000000001</v>
      </c>
      <c r="H917" s="251">
        <v>0.2</v>
      </c>
      <c r="I917" s="251"/>
      <c r="J917" s="253"/>
      <c r="K917" s="254">
        <f t="shared" si="25"/>
        <v>67.05556</v>
      </c>
      <c r="L917" s="205"/>
    </row>
    <row r="918" spans="2:12">
      <c r="B918" s="267"/>
      <c r="C918" s="205"/>
      <c r="D918" s="205"/>
      <c r="E918" s="251"/>
      <c r="F918" s="252"/>
      <c r="G918" s="251"/>
      <c r="H918" s="251"/>
      <c r="I918" s="251"/>
      <c r="J918" s="253"/>
      <c r="K918" s="254">
        <f t="shared" si="25"/>
        <v>0</v>
      </c>
      <c r="L918" s="205"/>
    </row>
    <row r="919" spans="2:12">
      <c r="B919" s="208"/>
      <c r="C919" s="204"/>
      <c r="D919" s="204"/>
      <c r="E919" s="204"/>
      <c r="F919" s="204"/>
      <c r="G919" s="204"/>
      <c r="H919" s="204"/>
      <c r="I919" s="556" t="s">
        <v>1221</v>
      </c>
      <c r="J919" s="556"/>
      <c r="K919" s="262">
        <f>SUM(K910:K918)</f>
        <v>394.18896000000001</v>
      </c>
      <c r="L919" s="207"/>
    </row>
    <row r="920" spans="2:12">
      <c r="B920" s="208"/>
      <c r="C920" s="204"/>
      <c r="D920" s="204"/>
      <c r="E920" s="204"/>
      <c r="F920" s="204"/>
      <c r="G920" s="204"/>
      <c r="H920" s="209"/>
      <c r="I920" s="557" t="s">
        <v>1222</v>
      </c>
      <c r="J920" s="557"/>
      <c r="K920" s="221">
        <f>VLOOKUP(B908,'BM 004'!$B$27:$R$590,4,0)</f>
        <v>542.29999999999995</v>
      </c>
      <c r="L920" s="207"/>
    </row>
    <row r="921" spans="2:12">
      <c r="B921" s="208"/>
      <c r="C921" s="204"/>
      <c r="D921" s="204"/>
      <c r="E921" s="204"/>
      <c r="F921" s="204"/>
      <c r="G921" s="204"/>
      <c r="H921" s="558" t="s">
        <v>1223</v>
      </c>
      <c r="I921" s="558"/>
      <c r="J921" s="558"/>
      <c r="K921" s="222">
        <v>318.78539000000001</v>
      </c>
      <c r="L921" s="207"/>
    </row>
    <row r="922" spans="2:12">
      <c r="B922" s="208"/>
      <c r="C922" s="204"/>
      <c r="D922" s="204"/>
      <c r="E922" s="204"/>
      <c r="F922" s="204"/>
      <c r="G922" s="204"/>
      <c r="H922" s="558" t="s">
        <v>1605</v>
      </c>
      <c r="I922" s="558"/>
      <c r="J922" s="558"/>
      <c r="K922" s="222">
        <f>TRUNC(SUMIF(C910:C918,H922,K910:K918),2)</f>
        <v>75.400000000000006</v>
      </c>
      <c r="L922" s="207"/>
    </row>
    <row r="923" spans="2:12">
      <c r="B923" s="213"/>
      <c r="C923" s="214"/>
      <c r="D923" s="214"/>
      <c r="E923" s="214"/>
      <c r="F923" s="214"/>
      <c r="G923" s="214"/>
      <c r="H923" s="559" t="s">
        <v>1224</v>
      </c>
      <c r="I923" s="559"/>
      <c r="J923" s="559"/>
      <c r="K923" s="223">
        <f>IF(K919&gt;K920,K919-K920,0)</f>
        <v>0</v>
      </c>
      <c r="L923" s="209"/>
    </row>
    <row r="925" spans="2:12">
      <c r="B925" s="247" t="s">
        <v>225</v>
      </c>
      <c r="C925" s="565" t="str">
        <f>VLOOKUP(B925,'BM 004'!$B$27:$R$590,2,0)</f>
        <v xml:space="preserve">Armação de pilar ou viga de uma estrutura convencional de concreto armado em um edifício de múltiplos pavimentos utilizando aço ca-50 de 12,5 mm - montagem. </v>
      </c>
      <c r="D925" s="565"/>
      <c r="E925" s="565"/>
      <c r="F925" s="565"/>
      <c r="G925" s="565"/>
      <c r="H925" s="565"/>
      <c r="I925" s="565"/>
      <c r="J925" s="565"/>
      <c r="K925" s="565"/>
      <c r="L925" s="565"/>
    </row>
    <row r="926" spans="2:12">
      <c r="B926" s="248" t="s">
        <v>1209</v>
      </c>
      <c r="C926" s="248"/>
      <c r="D926" s="248" t="s">
        <v>39</v>
      </c>
      <c r="E926" s="248" t="s">
        <v>1210</v>
      </c>
      <c r="F926" s="248" t="s">
        <v>1382</v>
      </c>
      <c r="G926" s="248" t="s">
        <v>1383</v>
      </c>
      <c r="H926" s="248" t="s">
        <v>1384</v>
      </c>
      <c r="I926" s="248" t="s">
        <v>1214</v>
      </c>
      <c r="J926" s="248" t="s">
        <v>1385</v>
      </c>
      <c r="K926" s="248" t="s">
        <v>1216</v>
      </c>
      <c r="L926" s="248" t="s">
        <v>1217</v>
      </c>
    </row>
    <row r="927" spans="2:12">
      <c r="B927" s="249" t="s">
        <v>1387</v>
      </c>
      <c r="C927" s="250" t="s">
        <v>1333</v>
      </c>
      <c r="D927" s="205" t="s">
        <v>152</v>
      </c>
      <c r="E927" s="251">
        <v>169</v>
      </c>
      <c r="F927" s="252">
        <v>0.96299999999999997</v>
      </c>
      <c r="G927" s="251">
        <v>1.1000000000000001</v>
      </c>
      <c r="H927" s="251">
        <v>0.55000000000000004</v>
      </c>
      <c r="I927" s="251"/>
      <c r="J927" s="253"/>
      <c r="K927" s="254">
        <f t="shared" ref="K927:K937" si="26">IF(E927*F927*G927&lt;&gt;0,E927*F927*G927,IF(E927*F927&lt;&gt;0,E927*F927,IF(F927*G927&lt;&gt;0,F927*G927,IF(E927*G927&lt;&gt;0,E927*G927,IF(E927&lt;&gt;0,E927,IF(F927&lt;&gt;0,F927,IF(G927&lt;&gt;0,G927,0)))))))*(IF(H927&lt;&gt;0,H927,1))+I927-J927</f>
        <v>98.461935000000011</v>
      </c>
      <c r="L927" s="255"/>
    </row>
    <row r="928" spans="2:12">
      <c r="B928" s="249" t="s">
        <v>1480</v>
      </c>
      <c r="C928" s="250" t="s">
        <v>1441</v>
      </c>
      <c r="D928" s="205" t="s">
        <v>152</v>
      </c>
      <c r="E928" s="251">
        <v>653</v>
      </c>
      <c r="F928" s="252">
        <f>F927</f>
        <v>0.96299999999999997</v>
      </c>
      <c r="G928" s="251">
        <f>G927</f>
        <v>1.1000000000000001</v>
      </c>
      <c r="H928" s="251">
        <v>0.5</v>
      </c>
      <c r="I928" s="251"/>
      <c r="J928" s="253"/>
      <c r="K928" s="254">
        <f t="shared" si="26"/>
        <v>345.86144999999999</v>
      </c>
      <c r="L928" s="205"/>
    </row>
    <row r="929" spans="2:12">
      <c r="B929" s="249" t="s">
        <v>1555</v>
      </c>
      <c r="C929" s="250" t="s">
        <v>1521</v>
      </c>
      <c r="D929" s="205" t="s">
        <v>152</v>
      </c>
      <c r="E929" s="251">
        <v>1331</v>
      </c>
      <c r="F929" s="252">
        <f>F928</f>
        <v>0.96299999999999997</v>
      </c>
      <c r="G929" s="251">
        <f>G928</f>
        <v>1.1000000000000001</v>
      </c>
      <c r="H929" s="251">
        <v>0.3</v>
      </c>
      <c r="I929" s="251"/>
      <c r="J929" s="253"/>
      <c r="K929" s="254">
        <f t="shared" si="26"/>
        <v>422.97849000000002</v>
      </c>
      <c r="L929" s="205"/>
    </row>
    <row r="930" spans="2:12">
      <c r="B930" s="249" t="s">
        <v>1681</v>
      </c>
      <c r="C930" s="250" t="s">
        <v>1611</v>
      </c>
      <c r="D930" s="205" t="s">
        <v>152</v>
      </c>
      <c r="E930" s="251">
        <v>1181</v>
      </c>
      <c r="F930" s="252">
        <v>0.96299999999999997</v>
      </c>
      <c r="G930" s="251">
        <v>1.1000000000000001</v>
      </c>
      <c r="H930" s="251">
        <v>0.3</v>
      </c>
      <c r="I930" s="251"/>
      <c r="J930" s="253"/>
      <c r="K930" s="254">
        <f t="shared" si="26"/>
        <v>375.30999000000003</v>
      </c>
      <c r="L930" s="205"/>
    </row>
    <row r="931" spans="2:12">
      <c r="B931" s="249" t="s">
        <v>1555</v>
      </c>
      <c r="C931" s="250" t="s">
        <v>1612</v>
      </c>
      <c r="D931" s="205" t="s">
        <v>152</v>
      </c>
      <c r="E931" s="251">
        <v>1331</v>
      </c>
      <c r="F931" s="252">
        <f>F930</f>
        <v>0.96299999999999997</v>
      </c>
      <c r="G931" s="251">
        <f>G930</f>
        <v>1.1000000000000001</v>
      </c>
      <c r="H931" s="251">
        <v>0.2</v>
      </c>
      <c r="I931" s="251"/>
      <c r="J931" s="253"/>
      <c r="K931" s="254">
        <f t="shared" si="26"/>
        <v>281.98566</v>
      </c>
      <c r="L931" s="205"/>
    </row>
    <row r="932" spans="2:12">
      <c r="B932" s="249" t="s">
        <v>1681</v>
      </c>
      <c r="C932" s="250" t="s">
        <v>1613</v>
      </c>
      <c r="D932" s="205" t="s">
        <v>152</v>
      </c>
      <c r="E932" s="251">
        <v>1181</v>
      </c>
      <c r="F932" s="252">
        <v>0.96299999999999997</v>
      </c>
      <c r="G932" s="251">
        <v>1.1000000000000001</v>
      </c>
      <c r="H932" s="251">
        <v>0.2</v>
      </c>
      <c r="I932" s="251"/>
      <c r="J932" s="253"/>
      <c r="K932" s="254">
        <f t="shared" si="26"/>
        <v>250.20666000000003</v>
      </c>
      <c r="L932" s="205"/>
    </row>
    <row r="933" spans="2:12">
      <c r="B933" s="249" t="s">
        <v>1387</v>
      </c>
      <c r="C933" s="250" t="s">
        <v>1895</v>
      </c>
      <c r="D933" s="205" t="s">
        <v>152</v>
      </c>
      <c r="E933" s="251">
        <v>169</v>
      </c>
      <c r="F933" s="252">
        <v>0.96299999999999997</v>
      </c>
      <c r="G933" s="251">
        <v>1.1000000000000001</v>
      </c>
      <c r="H933" s="251">
        <v>0.15</v>
      </c>
      <c r="I933" s="251"/>
      <c r="J933" s="253"/>
      <c r="K933" s="254">
        <f t="shared" si="26"/>
        <v>26.853255000000001</v>
      </c>
      <c r="L933" s="255"/>
    </row>
    <row r="934" spans="2:12">
      <c r="B934" s="249" t="s">
        <v>1480</v>
      </c>
      <c r="C934" s="250" t="s">
        <v>1895</v>
      </c>
      <c r="D934" s="205" t="s">
        <v>152</v>
      </c>
      <c r="E934" s="251">
        <v>653</v>
      </c>
      <c r="F934" s="252">
        <f>F933</f>
        <v>0.96299999999999997</v>
      </c>
      <c r="G934" s="251">
        <f>G933</f>
        <v>1.1000000000000001</v>
      </c>
      <c r="H934" s="251">
        <v>0.3</v>
      </c>
      <c r="I934" s="251"/>
      <c r="J934" s="253"/>
      <c r="K934" s="254">
        <f t="shared" si="26"/>
        <v>207.51686999999998</v>
      </c>
      <c r="L934" s="205"/>
    </row>
    <row r="935" spans="2:12">
      <c r="B935" s="249" t="s">
        <v>1555</v>
      </c>
      <c r="C935" s="250" t="s">
        <v>1895</v>
      </c>
      <c r="D935" s="205" t="s">
        <v>152</v>
      </c>
      <c r="E935" s="251">
        <v>1331</v>
      </c>
      <c r="F935" s="252">
        <f>F934</f>
        <v>0.96299999999999997</v>
      </c>
      <c r="G935" s="251">
        <f>G934</f>
        <v>1.1000000000000001</v>
      </c>
      <c r="H935" s="251">
        <v>0.1</v>
      </c>
      <c r="I935" s="251"/>
      <c r="J935" s="253"/>
      <c r="K935" s="254">
        <f t="shared" si="26"/>
        <v>140.99283</v>
      </c>
      <c r="L935" s="205"/>
    </row>
    <row r="936" spans="2:12">
      <c r="B936" s="249" t="s">
        <v>1681</v>
      </c>
      <c r="C936" s="250" t="s">
        <v>1895</v>
      </c>
      <c r="D936" s="205" t="s">
        <v>152</v>
      </c>
      <c r="E936" s="251">
        <v>1181</v>
      </c>
      <c r="F936" s="252">
        <v>0.96299999999999997</v>
      </c>
      <c r="G936" s="251">
        <v>1.1000000000000001</v>
      </c>
      <c r="H936" s="251">
        <v>0.1</v>
      </c>
      <c r="I936" s="251"/>
      <c r="J936" s="253"/>
      <c r="K936" s="254">
        <f t="shared" si="26"/>
        <v>125.10333000000001</v>
      </c>
      <c r="L936" s="205"/>
    </row>
    <row r="937" spans="2:12">
      <c r="B937" s="267"/>
      <c r="C937" s="205"/>
      <c r="D937" s="205"/>
      <c r="E937" s="251"/>
      <c r="F937" s="252"/>
      <c r="G937" s="251"/>
      <c r="H937" s="251"/>
      <c r="I937" s="251"/>
      <c r="J937" s="253"/>
      <c r="K937" s="254">
        <f t="shared" si="26"/>
        <v>0</v>
      </c>
      <c r="L937" s="205"/>
    </row>
    <row r="938" spans="2:12">
      <c r="B938" s="208"/>
      <c r="C938" s="204"/>
      <c r="D938" s="204"/>
      <c r="E938" s="204"/>
      <c r="F938" s="204"/>
      <c r="G938" s="204"/>
      <c r="H938" s="204"/>
      <c r="I938" s="556" t="s">
        <v>1221</v>
      </c>
      <c r="J938" s="556"/>
      <c r="K938" s="262">
        <f>SUM(K927:K937)</f>
        <v>2275.2704699999999</v>
      </c>
      <c r="L938" s="207"/>
    </row>
    <row r="939" spans="2:12">
      <c r="B939" s="208"/>
      <c r="C939" s="204"/>
      <c r="D939" s="204"/>
      <c r="E939" s="204"/>
      <c r="F939" s="204"/>
      <c r="G939" s="204"/>
      <c r="H939" s="209"/>
      <c r="I939" s="557" t="s">
        <v>1222</v>
      </c>
      <c r="J939" s="557"/>
      <c r="K939" s="221">
        <f>VLOOKUP(B925,'BM 004'!$B$27:$R$590,4,0)</f>
        <v>3532.1</v>
      </c>
      <c r="L939" s="207"/>
    </row>
    <row r="940" spans="2:12">
      <c r="B940" s="208"/>
      <c r="C940" s="204"/>
      <c r="D940" s="204"/>
      <c r="E940" s="204"/>
      <c r="F940" s="204"/>
      <c r="G940" s="204"/>
      <c r="H940" s="558" t="s">
        <v>1223</v>
      </c>
      <c r="I940" s="558"/>
      <c r="J940" s="558"/>
      <c r="K940" s="222">
        <v>1774.804185</v>
      </c>
      <c r="L940" s="207"/>
    </row>
    <row r="941" spans="2:12">
      <c r="B941" s="208"/>
      <c r="C941" s="204"/>
      <c r="D941" s="204"/>
      <c r="E941" s="204"/>
      <c r="F941" s="204"/>
      <c r="G941" s="204"/>
      <c r="H941" s="558" t="s">
        <v>1605</v>
      </c>
      <c r="I941" s="558"/>
      <c r="J941" s="558"/>
      <c r="K941" s="222">
        <f>TRUNC(SUMIF(C927:C937,H941,K927:K937),2)</f>
        <v>500.46</v>
      </c>
      <c r="L941" s="207"/>
    </row>
    <row r="942" spans="2:12">
      <c r="B942" s="213"/>
      <c r="C942" s="214"/>
      <c r="D942" s="214"/>
      <c r="E942" s="214"/>
      <c r="F942" s="214"/>
      <c r="G942" s="214"/>
      <c r="H942" s="559" t="s">
        <v>1224</v>
      </c>
      <c r="I942" s="559"/>
      <c r="J942" s="559"/>
      <c r="K942" s="223">
        <f>IF(K938&gt;K939,K938-K939,0)</f>
        <v>0</v>
      </c>
      <c r="L942" s="209"/>
    </row>
    <row r="944" spans="2:12">
      <c r="B944" s="247" t="s">
        <v>226</v>
      </c>
      <c r="C944" s="565" t="str">
        <f>VLOOKUP(B944,'BM 004'!$B$27:$R$590,2,0)</f>
        <v xml:space="preserve">Armação de pilar ou viga de uma estrutura convencional de concreto armado em um edifício de múltiplos pavimentos utilizando aço ca-50 de 16,0 mm - montagem. </v>
      </c>
      <c r="D944" s="565"/>
      <c r="E944" s="565"/>
      <c r="F944" s="565"/>
      <c r="G944" s="565"/>
      <c r="H944" s="565"/>
      <c r="I944" s="565"/>
      <c r="J944" s="565"/>
      <c r="K944" s="565"/>
      <c r="L944" s="565"/>
    </row>
    <row r="945" spans="2:12">
      <c r="B945" s="248" t="s">
        <v>1209</v>
      </c>
      <c r="C945" s="248"/>
      <c r="D945" s="248" t="s">
        <v>39</v>
      </c>
      <c r="E945" s="248" t="s">
        <v>1210</v>
      </c>
      <c r="F945" s="248" t="s">
        <v>1382</v>
      </c>
      <c r="G945" s="248" t="s">
        <v>1383</v>
      </c>
      <c r="H945" s="248" t="s">
        <v>1384</v>
      </c>
      <c r="I945" s="248" t="s">
        <v>1214</v>
      </c>
      <c r="J945" s="248" t="s">
        <v>1385</v>
      </c>
      <c r="K945" s="248" t="s">
        <v>1216</v>
      </c>
      <c r="L945" s="248" t="s">
        <v>1217</v>
      </c>
    </row>
    <row r="946" spans="2:12">
      <c r="B946" s="249" t="s">
        <v>1387</v>
      </c>
      <c r="C946" s="250" t="s">
        <v>1333</v>
      </c>
      <c r="D946" s="205" t="s">
        <v>152</v>
      </c>
      <c r="E946" s="251">
        <v>3239</v>
      </c>
      <c r="F946" s="252">
        <v>1.5780000000000001</v>
      </c>
      <c r="G946" s="251">
        <v>1.1000000000000001</v>
      </c>
      <c r="H946" s="251">
        <v>0.55000000000000004</v>
      </c>
      <c r="I946" s="251"/>
      <c r="J946" s="253"/>
      <c r="K946" s="254">
        <f t="shared" ref="K946:K957" si="27">IF(E946*F946*G946&lt;&gt;0,E946*F946*G946,IF(E946*F946&lt;&gt;0,E946*F946,IF(F946*G946&lt;&gt;0,F946*G946,IF(E946*G946&lt;&gt;0,E946*G946,IF(E946&lt;&gt;0,E946,IF(F946&lt;&gt;0,F946,IF(G946&lt;&gt;0,G946,0)))))))*(IF(H946&lt;&gt;0,H946,1))+I946-J946</f>
        <v>3092.24091</v>
      </c>
      <c r="L946" s="255"/>
    </row>
    <row r="947" spans="2:12">
      <c r="B947" s="249" t="s">
        <v>1480</v>
      </c>
      <c r="C947" s="250" t="s">
        <v>1441</v>
      </c>
      <c r="D947" s="205" t="s">
        <v>152</v>
      </c>
      <c r="E947" s="251">
        <v>153</v>
      </c>
      <c r="F947" s="252">
        <f>F946</f>
        <v>1.5780000000000001</v>
      </c>
      <c r="G947" s="251">
        <f>G946</f>
        <v>1.1000000000000001</v>
      </c>
      <c r="H947" s="251">
        <v>0.5</v>
      </c>
      <c r="I947" s="251"/>
      <c r="J947" s="253"/>
      <c r="K947" s="254">
        <f t="shared" si="27"/>
        <v>132.78870000000001</v>
      </c>
      <c r="L947" s="205"/>
    </row>
    <row r="948" spans="2:12">
      <c r="B948" s="249" t="s">
        <v>1555</v>
      </c>
      <c r="C948" s="250" t="s">
        <v>1611</v>
      </c>
      <c r="D948" s="205" t="s">
        <v>152</v>
      </c>
      <c r="E948" s="251"/>
      <c r="F948" s="252"/>
      <c r="G948" s="251"/>
      <c r="H948" s="251"/>
      <c r="I948" s="251"/>
      <c r="J948" s="253"/>
      <c r="K948" s="254">
        <f t="shared" si="27"/>
        <v>0</v>
      </c>
      <c r="L948" s="205"/>
    </row>
    <row r="949" spans="2:12">
      <c r="B949" s="249" t="s">
        <v>1681</v>
      </c>
      <c r="C949" s="250" t="s">
        <v>1611</v>
      </c>
      <c r="D949" s="205" t="s">
        <v>152</v>
      </c>
      <c r="E949" s="251">
        <v>822</v>
      </c>
      <c r="F949" s="252">
        <v>1.5780000000000001</v>
      </c>
      <c r="G949" s="251">
        <v>1.1000000000000001</v>
      </c>
      <c r="H949" s="251">
        <v>0.3</v>
      </c>
      <c r="I949" s="251"/>
      <c r="J949" s="253"/>
      <c r="K949" s="254">
        <f t="shared" si="27"/>
        <v>428.04828000000003</v>
      </c>
      <c r="L949" s="205"/>
    </row>
    <row r="950" spans="2:12">
      <c r="B950" s="249" t="s">
        <v>1681</v>
      </c>
      <c r="C950" s="250" t="s">
        <v>1612</v>
      </c>
      <c r="D950" s="205" t="s">
        <v>152</v>
      </c>
      <c r="E950" s="251">
        <v>822</v>
      </c>
      <c r="F950" s="252">
        <v>1.5780000000000001</v>
      </c>
      <c r="G950" s="251">
        <v>1.1000000000000001</v>
      </c>
      <c r="H950" s="251">
        <v>0.3</v>
      </c>
      <c r="I950" s="251"/>
      <c r="J950" s="253"/>
      <c r="K950" s="254">
        <f t="shared" si="27"/>
        <v>428.04828000000003</v>
      </c>
      <c r="L950" s="205"/>
    </row>
    <row r="951" spans="2:12">
      <c r="B951" s="249" t="s">
        <v>1681</v>
      </c>
      <c r="C951" s="250" t="s">
        <v>1613</v>
      </c>
      <c r="D951" s="205" t="s">
        <v>152</v>
      </c>
      <c r="E951" s="251">
        <v>822</v>
      </c>
      <c r="F951" s="252">
        <v>1.5780000000000001</v>
      </c>
      <c r="G951" s="251">
        <v>1.1000000000000001</v>
      </c>
      <c r="H951" s="251">
        <v>0.2</v>
      </c>
      <c r="I951" s="251"/>
      <c r="J951" s="253"/>
      <c r="K951" s="254">
        <f t="shared" si="27"/>
        <v>285.36552</v>
      </c>
      <c r="L951" s="205"/>
    </row>
    <row r="952" spans="2:12">
      <c r="B952" s="249" t="s">
        <v>1387</v>
      </c>
      <c r="C952" s="250" t="s">
        <v>1895</v>
      </c>
      <c r="D952" s="205" t="s">
        <v>152</v>
      </c>
      <c r="E952" s="251">
        <v>3239</v>
      </c>
      <c r="F952" s="252">
        <v>1.5780000000000001</v>
      </c>
      <c r="G952" s="251">
        <v>1.1000000000000001</v>
      </c>
      <c r="H952" s="251">
        <v>0.15</v>
      </c>
      <c r="I952" s="251"/>
      <c r="J952" s="253"/>
      <c r="K952" s="254">
        <f t="shared" si="27"/>
        <v>843.3384299999999</v>
      </c>
      <c r="L952" s="255"/>
    </row>
    <row r="953" spans="2:12">
      <c r="B953" s="249" t="s">
        <v>1480</v>
      </c>
      <c r="C953" s="250" t="s">
        <v>1895</v>
      </c>
      <c r="D953" s="205" t="s">
        <v>152</v>
      </c>
      <c r="E953" s="251">
        <v>153</v>
      </c>
      <c r="F953" s="252">
        <f>F952</f>
        <v>1.5780000000000001</v>
      </c>
      <c r="G953" s="251">
        <f>G952</f>
        <v>1.1000000000000001</v>
      </c>
      <c r="H953" s="251">
        <v>0.3</v>
      </c>
      <c r="I953" s="251"/>
      <c r="J953" s="253"/>
      <c r="K953" s="254">
        <f t="shared" si="27"/>
        <v>79.673220000000001</v>
      </c>
      <c r="L953" s="205"/>
    </row>
    <row r="954" spans="2:12">
      <c r="B954" s="249"/>
      <c r="C954" s="250"/>
      <c r="D954" s="205"/>
      <c r="E954" s="251"/>
      <c r="F954" s="252"/>
      <c r="G954" s="251"/>
      <c r="H954" s="251"/>
      <c r="I954" s="251"/>
      <c r="J954" s="253"/>
      <c r="K954" s="254">
        <f t="shared" si="27"/>
        <v>0</v>
      </c>
      <c r="L954" s="205"/>
    </row>
    <row r="955" spans="2:12">
      <c r="B955" s="249"/>
      <c r="C955" s="250"/>
      <c r="D955" s="205"/>
      <c r="E955" s="251"/>
      <c r="F955" s="252"/>
      <c r="G955" s="251"/>
      <c r="H955" s="251"/>
      <c r="I955" s="251"/>
      <c r="J955" s="253"/>
      <c r="K955" s="254">
        <f t="shared" si="27"/>
        <v>0</v>
      </c>
      <c r="L955" s="205"/>
    </row>
    <row r="956" spans="2:12">
      <c r="B956" s="267"/>
      <c r="C956" s="205"/>
      <c r="D956" s="205"/>
      <c r="E956" s="251"/>
      <c r="F956" s="252"/>
      <c r="G956" s="251"/>
      <c r="H956" s="251"/>
      <c r="I956" s="251"/>
      <c r="J956" s="253"/>
      <c r="K956" s="254">
        <f t="shared" si="27"/>
        <v>0</v>
      </c>
      <c r="L956" s="205"/>
    </row>
    <row r="957" spans="2:12">
      <c r="B957" s="267"/>
      <c r="C957" s="205"/>
      <c r="D957" s="205"/>
      <c r="E957" s="251"/>
      <c r="F957" s="252"/>
      <c r="G957" s="251"/>
      <c r="H957" s="251"/>
      <c r="I957" s="251"/>
      <c r="J957" s="253"/>
      <c r="K957" s="254">
        <f t="shared" si="27"/>
        <v>0</v>
      </c>
      <c r="L957" s="205"/>
    </row>
    <row r="958" spans="2:12">
      <c r="B958" s="208"/>
      <c r="C958" s="204"/>
      <c r="D958" s="204"/>
      <c r="E958" s="204"/>
      <c r="F958" s="204"/>
      <c r="G958" s="204"/>
      <c r="H958" s="204"/>
      <c r="I958" s="556" t="s">
        <v>1221</v>
      </c>
      <c r="J958" s="556"/>
      <c r="K958" s="262">
        <f>SUM(K946:K957)</f>
        <v>5289.5033399999993</v>
      </c>
      <c r="L958" s="207"/>
    </row>
    <row r="959" spans="2:12">
      <c r="B959" s="208"/>
      <c r="C959" s="204"/>
      <c r="D959" s="204"/>
      <c r="E959" s="204"/>
      <c r="F959" s="204"/>
      <c r="G959" s="204"/>
      <c r="H959" s="209"/>
      <c r="I959" s="557" t="s">
        <v>1222</v>
      </c>
      <c r="J959" s="557"/>
      <c r="K959" s="221">
        <f>VLOOKUP(B944,'BM 004'!$B$27:$R$590,4,0)</f>
        <v>7313.9</v>
      </c>
      <c r="L959" s="207"/>
    </row>
    <row r="960" spans="2:12">
      <c r="B960" s="208"/>
      <c r="C960" s="204"/>
      <c r="D960" s="204"/>
      <c r="E960" s="204"/>
      <c r="F960" s="204"/>
      <c r="G960" s="204"/>
      <c r="H960" s="558" t="s">
        <v>1223</v>
      </c>
      <c r="I960" s="558"/>
      <c r="J960" s="558"/>
      <c r="K960" s="222">
        <v>4366.4916899999998</v>
      </c>
      <c r="L960" s="207"/>
    </row>
    <row r="961" spans="2:12">
      <c r="B961" s="208"/>
      <c r="C961" s="204"/>
      <c r="D961" s="204"/>
      <c r="E961" s="204"/>
      <c r="F961" s="204"/>
      <c r="G961" s="204"/>
      <c r="H961" s="558" t="s">
        <v>1605</v>
      </c>
      <c r="I961" s="558"/>
      <c r="J961" s="558"/>
      <c r="K961" s="222">
        <f>TRUNC(SUMIF(C946:C957,H961,K946:K957),2)</f>
        <v>923.01</v>
      </c>
      <c r="L961" s="207"/>
    </row>
    <row r="962" spans="2:12">
      <c r="B962" s="213"/>
      <c r="C962" s="214"/>
      <c r="D962" s="214"/>
      <c r="E962" s="214"/>
      <c r="F962" s="214"/>
      <c r="G962" s="214"/>
      <c r="H962" s="559" t="s">
        <v>1224</v>
      </c>
      <c r="I962" s="559"/>
      <c r="J962" s="559"/>
      <c r="K962" s="223">
        <f>IF(K958&gt;K959,K958-K959,0)</f>
        <v>0</v>
      </c>
      <c r="L962" s="209"/>
    </row>
    <row r="964" spans="2:12">
      <c r="B964" s="247" t="s">
        <v>227</v>
      </c>
      <c r="C964" s="565" t="str">
        <f>VLOOKUP(B964,'BM 004'!$B$27:$R$590,2,0)</f>
        <v xml:space="preserve">Armação de pilar ou viga de uma estrutura convencional de concreto armado em um edifício de múltiplos pavimentos utilizando aço ca-50 de 20,0 mm - montagem. </v>
      </c>
      <c r="D964" s="565"/>
      <c r="E964" s="565"/>
      <c r="F964" s="565"/>
      <c r="G964" s="565"/>
      <c r="H964" s="565"/>
      <c r="I964" s="565"/>
      <c r="J964" s="565"/>
      <c r="K964" s="565"/>
      <c r="L964" s="565"/>
    </row>
    <row r="965" spans="2:12">
      <c r="B965" s="248" t="s">
        <v>1209</v>
      </c>
      <c r="C965" s="248"/>
      <c r="D965" s="248" t="s">
        <v>39</v>
      </c>
      <c r="E965" s="248" t="s">
        <v>1210</v>
      </c>
      <c r="F965" s="248" t="s">
        <v>1382</v>
      </c>
      <c r="G965" s="248" t="s">
        <v>1383</v>
      </c>
      <c r="H965" s="248" t="s">
        <v>1384</v>
      </c>
      <c r="I965" s="248" t="s">
        <v>1214</v>
      </c>
      <c r="J965" s="248" t="s">
        <v>1385</v>
      </c>
      <c r="K965" s="248" t="s">
        <v>1216</v>
      </c>
      <c r="L965" s="248" t="s">
        <v>1217</v>
      </c>
    </row>
    <row r="966" spans="2:12">
      <c r="B966" s="249" t="s">
        <v>1387</v>
      </c>
      <c r="C966" s="250" t="s">
        <v>1333</v>
      </c>
      <c r="D966" s="205" t="s">
        <v>152</v>
      </c>
      <c r="E966" s="251">
        <v>991</v>
      </c>
      <c r="F966" s="252">
        <v>2.4660000000000002</v>
      </c>
      <c r="G966" s="251">
        <v>1.1000000000000001</v>
      </c>
      <c r="H966" s="251">
        <v>0.55000000000000004</v>
      </c>
      <c r="I966" s="251"/>
      <c r="J966" s="253"/>
      <c r="K966" s="254">
        <f t="shared" ref="K966:K976" si="28">IF(E966*F966*G966&lt;&gt;0,E966*F966*G966,IF(E966*F966&lt;&gt;0,E966*F966,IF(F966*G966&lt;&gt;0,F966*G966,IF(E966*G966&lt;&gt;0,E966*G966,IF(E966&lt;&gt;0,E966,IF(F966&lt;&gt;0,F966,IF(G966&lt;&gt;0,G966,0)))))))*(IF(H966&lt;&gt;0,H966,1))+I966-J966</f>
        <v>1478.5026300000004</v>
      </c>
      <c r="L966" s="255"/>
    </row>
    <row r="967" spans="2:12">
      <c r="B967" s="249" t="s">
        <v>1480</v>
      </c>
      <c r="C967" s="250" t="s">
        <v>1441</v>
      </c>
      <c r="D967" s="205" t="s">
        <v>152</v>
      </c>
      <c r="E967" s="251">
        <v>425</v>
      </c>
      <c r="F967" s="252">
        <f>F966</f>
        <v>2.4660000000000002</v>
      </c>
      <c r="G967" s="251">
        <f>G966</f>
        <v>1.1000000000000001</v>
      </c>
      <c r="H967" s="251">
        <v>0.5</v>
      </c>
      <c r="I967" s="251"/>
      <c r="J967" s="253"/>
      <c r="K967" s="254">
        <f t="shared" si="28"/>
        <v>576.42750000000012</v>
      </c>
      <c r="L967" s="205"/>
    </row>
    <row r="968" spans="2:12">
      <c r="B968" s="249" t="s">
        <v>1555</v>
      </c>
      <c r="C968" s="250" t="s">
        <v>1611</v>
      </c>
      <c r="D968" s="205" t="s">
        <v>152</v>
      </c>
      <c r="E968" s="251"/>
      <c r="F968" s="252"/>
      <c r="G968" s="251"/>
      <c r="H968" s="251"/>
      <c r="I968" s="251"/>
      <c r="J968" s="253"/>
      <c r="K968" s="254">
        <f t="shared" si="28"/>
        <v>0</v>
      </c>
      <c r="L968" s="205"/>
    </row>
    <row r="969" spans="2:12">
      <c r="B969" s="249" t="s">
        <v>1681</v>
      </c>
      <c r="C969" s="250" t="s">
        <v>1611</v>
      </c>
      <c r="D969" s="205" t="s">
        <v>152</v>
      </c>
      <c r="E969" s="251">
        <v>247</v>
      </c>
      <c r="F969" s="252">
        <v>2.4660000000000002</v>
      </c>
      <c r="G969" s="251">
        <v>1.1000000000000001</v>
      </c>
      <c r="H969" s="251">
        <v>0.3</v>
      </c>
      <c r="I969" s="251"/>
      <c r="J969" s="253"/>
      <c r="K969" s="254">
        <f t="shared" si="28"/>
        <v>201.00366000000002</v>
      </c>
      <c r="L969" s="205"/>
    </row>
    <row r="970" spans="2:12">
      <c r="B970" s="249" t="s">
        <v>1681</v>
      </c>
      <c r="C970" s="250" t="s">
        <v>1612</v>
      </c>
      <c r="D970" s="205" t="s">
        <v>152</v>
      </c>
      <c r="E970" s="251">
        <v>247</v>
      </c>
      <c r="F970" s="252">
        <v>2.4660000000000002</v>
      </c>
      <c r="G970" s="251">
        <v>1.1000000000000001</v>
      </c>
      <c r="H970" s="251">
        <v>0.25</v>
      </c>
      <c r="I970" s="251"/>
      <c r="J970" s="253"/>
      <c r="K970" s="254">
        <f t="shared" si="28"/>
        <v>167.50305000000003</v>
      </c>
      <c r="L970" s="205"/>
    </row>
    <row r="971" spans="2:12">
      <c r="B971" s="249" t="s">
        <v>1681</v>
      </c>
      <c r="C971" s="250" t="s">
        <v>1613</v>
      </c>
      <c r="D971" s="205" t="s">
        <v>152</v>
      </c>
      <c r="E971" s="251">
        <v>247</v>
      </c>
      <c r="F971" s="252">
        <v>2.4660000000000002</v>
      </c>
      <c r="G971" s="251">
        <v>1.1000000000000001</v>
      </c>
      <c r="H971" s="251">
        <v>0.2</v>
      </c>
      <c r="I971" s="251"/>
      <c r="J971" s="253"/>
      <c r="K971" s="254">
        <f t="shared" si="28"/>
        <v>134.00244000000004</v>
      </c>
      <c r="L971" s="205"/>
    </row>
    <row r="972" spans="2:12">
      <c r="B972" s="249" t="s">
        <v>1387</v>
      </c>
      <c r="C972" s="250" t="s">
        <v>1895</v>
      </c>
      <c r="D972" s="205" t="s">
        <v>152</v>
      </c>
      <c r="E972" s="251">
        <v>991</v>
      </c>
      <c r="F972" s="252">
        <v>2.4660000000000002</v>
      </c>
      <c r="G972" s="251">
        <v>1.1000000000000001</v>
      </c>
      <c r="H972" s="251">
        <v>0.15</v>
      </c>
      <c r="I972" s="251"/>
      <c r="J972" s="253"/>
      <c r="K972" s="254">
        <f t="shared" si="28"/>
        <v>403.22799000000003</v>
      </c>
      <c r="L972" s="255"/>
    </row>
    <row r="973" spans="2:12">
      <c r="B973" s="249" t="s">
        <v>1480</v>
      </c>
      <c r="C973" s="250" t="s">
        <v>1895</v>
      </c>
      <c r="D973" s="205" t="s">
        <v>152</v>
      </c>
      <c r="E973" s="251">
        <v>425</v>
      </c>
      <c r="F973" s="252">
        <f>F972</f>
        <v>2.4660000000000002</v>
      </c>
      <c r="G973" s="251">
        <f>G972</f>
        <v>1.1000000000000001</v>
      </c>
      <c r="H973" s="251">
        <v>0.3</v>
      </c>
      <c r="I973" s="251"/>
      <c r="J973" s="253"/>
      <c r="K973" s="254">
        <f t="shared" si="28"/>
        <v>345.85650000000004</v>
      </c>
      <c r="L973" s="205"/>
    </row>
    <row r="974" spans="2:12">
      <c r="B974" s="249"/>
      <c r="C974" s="250"/>
      <c r="D974" s="205"/>
      <c r="E974" s="251"/>
      <c r="F974" s="252"/>
      <c r="G974" s="251"/>
      <c r="H974" s="251"/>
      <c r="I974" s="251"/>
      <c r="J974" s="253"/>
      <c r="K974" s="254">
        <f t="shared" si="28"/>
        <v>0</v>
      </c>
      <c r="L974" s="205"/>
    </row>
    <row r="975" spans="2:12">
      <c r="B975" s="249"/>
      <c r="C975" s="250"/>
      <c r="D975" s="205"/>
      <c r="E975" s="251"/>
      <c r="F975" s="252"/>
      <c r="G975" s="251"/>
      <c r="H975" s="251"/>
      <c r="I975" s="251"/>
      <c r="J975" s="253"/>
      <c r="K975" s="254">
        <f t="shared" si="28"/>
        <v>0</v>
      </c>
      <c r="L975" s="205"/>
    </row>
    <row r="976" spans="2:12">
      <c r="B976" s="267"/>
      <c r="C976" s="205"/>
      <c r="D976" s="205"/>
      <c r="E976" s="251"/>
      <c r="F976" s="252"/>
      <c r="G976" s="251"/>
      <c r="H976" s="251"/>
      <c r="I976" s="251"/>
      <c r="J976" s="253"/>
      <c r="K976" s="254">
        <f t="shared" si="28"/>
        <v>0</v>
      </c>
      <c r="L976" s="205"/>
    </row>
    <row r="977" spans="2:12">
      <c r="B977" s="208"/>
      <c r="C977" s="204"/>
      <c r="D977" s="204"/>
      <c r="E977" s="204"/>
      <c r="F977" s="204"/>
      <c r="G977" s="204"/>
      <c r="H977" s="204"/>
      <c r="I977" s="556" t="s">
        <v>1221</v>
      </c>
      <c r="J977" s="556"/>
      <c r="K977" s="262">
        <f>SUM(K966:K976)</f>
        <v>3306.5237700000002</v>
      </c>
      <c r="L977" s="207"/>
    </row>
    <row r="978" spans="2:12">
      <c r="B978" s="208"/>
      <c r="C978" s="204"/>
      <c r="D978" s="204"/>
      <c r="E978" s="204"/>
      <c r="F978" s="204"/>
      <c r="G978" s="204"/>
      <c r="H978" s="209"/>
      <c r="I978" s="557" t="s">
        <v>1222</v>
      </c>
      <c r="J978" s="557"/>
      <c r="K978" s="221">
        <f>VLOOKUP(B964,'BM 004'!$B$27:$R$590,4,0)</f>
        <v>4513.3</v>
      </c>
      <c r="L978" s="207"/>
    </row>
    <row r="979" spans="2:12">
      <c r="B979" s="208"/>
      <c r="C979" s="204"/>
      <c r="D979" s="204"/>
      <c r="E979" s="204"/>
      <c r="F979" s="204"/>
      <c r="G979" s="204"/>
      <c r="H979" s="558" t="s">
        <v>1223</v>
      </c>
      <c r="I979" s="558"/>
      <c r="J979" s="558"/>
      <c r="K979" s="222">
        <v>2557.4392800000001</v>
      </c>
      <c r="L979" s="207"/>
    </row>
    <row r="980" spans="2:12">
      <c r="B980" s="208"/>
      <c r="C980" s="204"/>
      <c r="D980" s="204"/>
      <c r="E980" s="204"/>
      <c r="F980" s="204"/>
      <c r="G980" s="204"/>
      <c r="H980" s="558" t="s">
        <v>1605</v>
      </c>
      <c r="I980" s="558"/>
      <c r="J980" s="558"/>
      <c r="K980" s="222">
        <f>TRUNC(SUMIF(C966:C976,H980,K966:K976),2)</f>
        <v>749.08</v>
      </c>
      <c r="L980" s="207"/>
    </row>
    <row r="981" spans="2:12">
      <c r="B981" s="213"/>
      <c r="C981" s="214"/>
      <c r="D981" s="214"/>
      <c r="E981" s="214"/>
      <c r="F981" s="214"/>
      <c r="G981" s="214"/>
      <c r="H981" s="559" t="s">
        <v>1224</v>
      </c>
      <c r="I981" s="559"/>
      <c r="J981" s="559"/>
      <c r="K981" s="223">
        <f>IF(K977&gt;K978,K977-K978,0)</f>
        <v>0</v>
      </c>
      <c r="L981" s="209"/>
    </row>
    <row r="983" spans="2:12">
      <c r="B983" s="247" t="s">
        <v>228</v>
      </c>
      <c r="C983" s="565" t="str">
        <f>VLOOKUP(B983,'BM 004'!$B$27:$R$590,2,0)</f>
        <v xml:space="preserve">Armação de pilar ou viga de uma estrutura convencional de concreto armado em um edifício de múltiplos pavimentos utilizando aço ca-50 de 25,0 mm - montagem. </v>
      </c>
      <c r="D983" s="565"/>
      <c r="E983" s="565"/>
      <c r="F983" s="565"/>
      <c r="G983" s="565"/>
      <c r="H983" s="565"/>
      <c r="I983" s="565"/>
      <c r="J983" s="565"/>
      <c r="K983" s="565"/>
      <c r="L983" s="565"/>
    </row>
    <row r="984" spans="2:12">
      <c r="B984" s="248" t="s">
        <v>1209</v>
      </c>
      <c r="C984" s="248"/>
      <c r="D984" s="248" t="s">
        <v>39</v>
      </c>
      <c r="E984" s="248" t="s">
        <v>1210</v>
      </c>
      <c r="F984" s="248" t="s">
        <v>1382</v>
      </c>
      <c r="G984" s="248" t="s">
        <v>1383</v>
      </c>
      <c r="H984" s="248" t="s">
        <v>1384</v>
      </c>
      <c r="I984" s="248" t="s">
        <v>1214</v>
      </c>
      <c r="J984" s="248" t="s">
        <v>1385</v>
      </c>
      <c r="K984" s="248" t="s">
        <v>1216</v>
      </c>
      <c r="L984" s="248" t="s">
        <v>1217</v>
      </c>
    </row>
    <row r="985" spans="2:12">
      <c r="B985" s="249" t="s">
        <v>1387</v>
      </c>
      <c r="C985" s="250" t="s">
        <v>1333</v>
      </c>
      <c r="D985" s="205" t="s">
        <v>152</v>
      </c>
      <c r="E985" s="251">
        <v>928</v>
      </c>
      <c r="F985" s="252">
        <v>3.8530000000000002</v>
      </c>
      <c r="G985" s="251">
        <v>1.1000000000000001</v>
      </c>
      <c r="H985" s="251">
        <v>0.55000000000000004</v>
      </c>
      <c r="I985" s="251"/>
      <c r="J985" s="253"/>
      <c r="K985" s="254">
        <f t="shared" ref="K985:K996" si="29">IF(E985*F985*G985&lt;&gt;0,E985*F985*G985,IF(E985*F985&lt;&gt;0,E985*F985,IF(F985*G985&lt;&gt;0,F985*G985,IF(E985*G985&lt;&gt;0,E985*G985,IF(E985&lt;&gt;0,E985,IF(F985&lt;&gt;0,F985,IF(G985&lt;&gt;0,G985,0)))))))*(IF(H985&lt;&gt;0,H985,1))+I985-J985</f>
        <v>2163.2283200000006</v>
      </c>
      <c r="L985" s="255"/>
    </row>
    <row r="986" spans="2:12">
      <c r="B986" s="249" t="s">
        <v>1480</v>
      </c>
      <c r="C986" s="250" t="s">
        <v>1441</v>
      </c>
      <c r="D986" s="205" t="s">
        <v>152</v>
      </c>
      <c r="E986" s="251">
        <v>142</v>
      </c>
      <c r="F986" s="252">
        <f>F985</f>
        <v>3.8530000000000002</v>
      </c>
      <c r="G986" s="251">
        <f>G985</f>
        <v>1.1000000000000001</v>
      </c>
      <c r="H986" s="251">
        <v>0.5</v>
      </c>
      <c r="I986" s="251"/>
      <c r="J986" s="253"/>
      <c r="K986" s="254">
        <f t="shared" si="29"/>
        <v>300.91930000000002</v>
      </c>
      <c r="L986" s="205"/>
    </row>
    <row r="987" spans="2:12">
      <c r="B987" s="249" t="s">
        <v>1555</v>
      </c>
      <c r="C987" s="250" t="s">
        <v>1521</v>
      </c>
      <c r="D987" s="205" t="s">
        <v>152</v>
      </c>
      <c r="E987" s="251">
        <v>1728</v>
      </c>
      <c r="F987" s="252">
        <f>F986</f>
        <v>3.8530000000000002</v>
      </c>
      <c r="G987" s="251">
        <f>G986</f>
        <v>1.1000000000000001</v>
      </c>
      <c r="H987" s="251">
        <v>0.3</v>
      </c>
      <c r="I987" s="251"/>
      <c r="J987" s="253"/>
      <c r="K987" s="254">
        <f t="shared" si="29"/>
        <v>2197.13472</v>
      </c>
      <c r="L987" s="205"/>
    </row>
    <row r="988" spans="2:12">
      <c r="B988" s="249" t="s">
        <v>1681</v>
      </c>
      <c r="C988" s="250" t="s">
        <v>1611</v>
      </c>
      <c r="D988" s="205" t="s">
        <v>152</v>
      </c>
      <c r="E988" s="251">
        <v>653</v>
      </c>
      <c r="F988" s="252">
        <v>3.8530000000000002</v>
      </c>
      <c r="G988" s="251">
        <v>1.1000000000000001</v>
      </c>
      <c r="H988" s="251">
        <v>0.3</v>
      </c>
      <c r="I988" s="251"/>
      <c r="J988" s="253"/>
      <c r="K988" s="254">
        <f t="shared" si="29"/>
        <v>830.28297000000009</v>
      </c>
      <c r="L988" s="205"/>
    </row>
    <row r="989" spans="2:12">
      <c r="B989" s="249" t="s">
        <v>1555</v>
      </c>
      <c r="C989" s="250" t="s">
        <v>1612</v>
      </c>
      <c r="D989" s="205" t="s">
        <v>152</v>
      </c>
      <c r="E989" s="251">
        <v>1728</v>
      </c>
      <c r="F989" s="252">
        <f>F988</f>
        <v>3.8530000000000002</v>
      </c>
      <c r="G989" s="251">
        <f>G988</f>
        <v>1.1000000000000001</v>
      </c>
      <c r="H989" s="251">
        <v>0.5</v>
      </c>
      <c r="I989" s="251"/>
      <c r="J989" s="253"/>
      <c r="K989" s="254">
        <f t="shared" si="29"/>
        <v>3661.8912000000005</v>
      </c>
      <c r="L989" s="205"/>
    </row>
    <row r="990" spans="2:12">
      <c r="B990" s="249" t="s">
        <v>1681</v>
      </c>
      <c r="C990" s="250" t="s">
        <v>1612</v>
      </c>
      <c r="D990" s="205" t="s">
        <v>152</v>
      </c>
      <c r="E990" s="251">
        <v>653</v>
      </c>
      <c r="F990" s="252">
        <v>3.8530000000000002</v>
      </c>
      <c r="G990" s="251">
        <v>1.1000000000000001</v>
      </c>
      <c r="H990" s="251">
        <v>0.1</v>
      </c>
      <c r="I990" s="251"/>
      <c r="J990" s="253"/>
      <c r="K990" s="254">
        <f t="shared" si="29"/>
        <v>276.76099000000005</v>
      </c>
      <c r="L990" s="205"/>
    </row>
    <row r="991" spans="2:12">
      <c r="B991" s="249" t="s">
        <v>1681</v>
      </c>
      <c r="C991" s="250" t="s">
        <v>1613</v>
      </c>
      <c r="D991" s="205" t="s">
        <v>152</v>
      </c>
      <c r="E991" s="251">
        <v>653</v>
      </c>
      <c r="F991" s="252">
        <v>3.8530000000000002</v>
      </c>
      <c r="G991" s="251">
        <v>1.1000000000000001</v>
      </c>
      <c r="H991" s="251">
        <v>0.1</v>
      </c>
      <c r="I991" s="251"/>
      <c r="J991" s="253"/>
      <c r="K991" s="254">
        <f t="shared" si="29"/>
        <v>276.76099000000005</v>
      </c>
      <c r="L991" s="205"/>
    </row>
    <row r="992" spans="2:12">
      <c r="B992" s="249" t="s">
        <v>1387</v>
      </c>
      <c r="C992" s="250" t="s">
        <v>1895</v>
      </c>
      <c r="D992" s="205" t="s">
        <v>152</v>
      </c>
      <c r="E992" s="251">
        <v>928</v>
      </c>
      <c r="F992" s="252">
        <v>3.8530000000000002</v>
      </c>
      <c r="G992" s="251">
        <v>1.1000000000000001</v>
      </c>
      <c r="H992" s="251">
        <v>0.15</v>
      </c>
      <c r="I992" s="251"/>
      <c r="J992" s="253"/>
      <c r="K992" s="254">
        <f t="shared" si="29"/>
        <v>589.97136000000012</v>
      </c>
      <c r="L992" s="255"/>
    </row>
    <row r="993" spans="2:12">
      <c r="B993" s="249" t="s">
        <v>1480</v>
      </c>
      <c r="C993" s="250" t="s">
        <v>1895</v>
      </c>
      <c r="D993" s="205" t="s">
        <v>152</v>
      </c>
      <c r="E993" s="251">
        <v>142</v>
      </c>
      <c r="F993" s="252">
        <f>F992</f>
        <v>3.8530000000000002</v>
      </c>
      <c r="G993" s="251">
        <f>G992</f>
        <v>1.1000000000000001</v>
      </c>
      <c r="H993" s="251">
        <v>0.3</v>
      </c>
      <c r="I993" s="251"/>
      <c r="J993" s="253"/>
      <c r="K993" s="254">
        <f t="shared" si="29"/>
        <v>180.55158</v>
      </c>
      <c r="L993" s="205"/>
    </row>
    <row r="994" spans="2:12">
      <c r="B994" s="249" t="s">
        <v>1555</v>
      </c>
      <c r="C994" s="250" t="s">
        <v>1895</v>
      </c>
      <c r="D994" s="205" t="s">
        <v>152</v>
      </c>
      <c r="E994" s="251">
        <v>1728</v>
      </c>
      <c r="F994" s="252">
        <f>F993</f>
        <v>3.8530000000000002</v>
      </c>
      <c r="G994" s="251">
        <f>G993</f>
        <v>1.1000000000000001</v>
      </c>
      <c r="H994" s="251">
        <v>0.1</v>
      </c>
      <c r="I994" s="251"/>
      <c r="J994" s="253"/>
      <c r="K994" s="254">
        <f t="shared" si="29"/>
        <v>732.37824000000012</v>
      </c>
      <c r="L994" s="205"/>
    </row>
    <row r="995" spans="2:12">
      <c r="B995" s="249"/>
      <c r="C995" s="250"/>
      <c r="D995" s="205"/>
      <c r="E995" s="251"/>
      <c r="F995" s="252"/>
      <c r="G995" s="251"/>
      <c r="H995" s="251"/>
      <c r="I995" s="251"/>
      <c r="J995" s="253"/>
      <c r="K995" s="254">
        <f t="shared" si="29"/>
        <v>0</v>
      </c>
      <c r="L995" s="205"/>
    </row>
    <row r="996" spans="2:12">
      <c r="B996" s="267"/>
      <c r="C996" s="205"/>
      <c r="D996" s="205"/>
      <c r="E996" s="251"/>
      <c r="F996" s="252"/>
      <c r="G996" s="251"/>
      <c r="H996" s="251"/>
      <c r="I996" s="251"/>
      <c r="J996" s="253"/>
      <c r="K996" s="254">
        <f t="shared" si="29"/>
        <v>0</v>
      </c>
      <c r="L996" s="205"/>
    </row>
    <row r="997" spans="2:12">
      <c r="B997" s="208"/>
      <c r="C997" s="204"/>
      <c r="D997" s="204"/>
      <c r="E997" s="204"/>
      <c r="F997" s="204"/>
      <c r="G997" s="204"/>
      <c r="H997" s="204"/>
      <c r="I997" s="556" t="s">
        <v>1221</v>
      </c>
      <c r="J997" s="556"/>
      <c r="K997" s="262">
        <f>SUM(K985:K996)</f>
        <v>11209.879670000002</v>
      </c>
      <c r="L997" s="207"/>
    </row>
    <row r="998" spans="2:12">
      <c r="B998" s="208"/>
      <c r="C998" s="204"/>
      <c r="D998" s="204"/>
      <c r="E998" s="204"/>
      <c r="F998" s="204"/>
      <c r="G998" s="204"/>
      <c r="H998" s="209"/>
      <c r="I998" s="557" t="s">
        <v>1222</v>
      </c>
      <c r="J998" s="557"/>
      <c r="K998" s="221">
        <f>VLOOKUP(B983,'BM 004'!$B$27:$R$590,4,0)</f>
        <v>14626.7</v>
      </c>
      <c r="L998" s="207"/>
    </row>
    <row r="999" spans="2:12">
      <c r="B999" s="208"/>
      <c r="C999" s="204"/>
      <c r="D999" s="204"/>
      <c r="E999" s="204"/>
      <c r="F999" s="204"/>
      <c r="G999" s="204"/>
      <c r="H999" s="558" t="s">
        <v>1223</v>
      </c>
      <c r="I999" s="558"/>
      <c r="J999" s="558"/>
      <c r="K999" s="222">
        <v>9706.9784899999995</v>
      </c>
      <c r="L999" s="207"/>
    </row>
    <row r="1000" spans="2:12">
      <c r="B1000" s="208"/>
      <c r="C1000" s="204"/>
      <c r="D1000" s="204"/>
      <c r="E1000" s="204"/>
      <c r="F1000" s="204"/>
      <c r="G1000" s="204"/>
      <c r="H1000" s="558" t="s">
        <v>1605</v>
      </c>
      <c r="I1000" s="558"/>
      <c r="J1000" s="558"/>
      <c r="K1000" s="222">
        <f>TRUNC(SUMIF(C985:C996,H1000,K985:K996),2)</f>
        <v>1502.9</v>
      </c>
      <c r="L1000" s="207"/>
    </row>
    <row r="1001" spans="2:12">
      <c r="B1001" s="213"/>
      <c r="C1001" s="214"/>
      <c r="D1001" s="214"/>
      <c r="E1001" s="214"/>
      <c r="F1001" s="214"/>
      <c r="G1001" s="214"/>
      <c r="H1001" s="559" t="s">
        <v>1224</v>
      </c>
      <c r="I1001" s="559"/>
      <c r="J1001" s="559"/>
      <c r="K1001" s="223">
        <f>IF(K997&gt;K998,K997-K998,0)</f>
        <v>0</v>
      </c>
      <c r="L1001" s="209"/>
    </row>
    <row r="1003" spans="2:12">
      <c r="B1003" s="247" t="s">
        <v>233</v>
      </c>
      <c r="C1003" s="565" t="str">
        <f>VLOOKUP(B1003,'BM 004'!$B$27:$R$590,2,0)</f>
        <v xml:space="preserve">Concreto simples usinado fck=35mpa, bombeado, lançado e adensado em superestrutura </v>
      </c>
      <c r="D1003" s="565"/>
      <c r="E1003" s="565"/>
      <c r="F1003" s="565"/>
      <c r="G1003" s="565"/>
      <c r="H1003" s="565"/>
      <c r="I1003" s="565"/>
      <c r="J1003" s="565"/>
      <c r="K1003" s="565"/>
      <c r="L1003" s="565"/>
    </row>
    <row r="1004" spans="2:12">
      <c r="B1004" s="248" t="s">
        <v>1209</v>
      </c>
      <c r="C1004" s="248"/>
      <c r="D1004" s="248" t="s">
        <v>39</v>
      </c>
      <c r="E1004" s="248" t="s">
        <v>1210</v>
      </c>
      <c r="F1004" s="248" t="s">
        <v>1388</v>
      </c>
      <c r="G1004" s="248" t="s">
        <v>1212</v>
      </c>
      <c r="H1004" s="248" t="s">
        <v>1213</v>
      </c>
      <c r="I1004" s="248" t="s">
        <v>1214</v>
      </c>
      <c r="J1004" s="248" t="s">
        <v>1385</v>
      </c>
      <c r="K1004" s="248" t="s">
        <v>1216</v>
      </c>
      <c r="L1004" s="248" t="s">
        <v>1217</v>
      </c>
    </row>
    <row r="1005" spans="2:12">
      <c r="B1005" s="249" t="s">
        <v>1389</v>
      </c>
      <c r="C1005" s="250" t="s">
        <v>1333</v>
      </c>
      <c r="D1005" s="205" t="s">
        <v>110</v>
      </c>
      <c r="E1005" s="199">
        <v>0.5</v>
      </c>
      <c r="F1005" s="199">
        <v>0.4</v>
      </c>
      <c r="G1005" s="199">
        <v>5.12</v>
      </c>
      <c r="H1005" s="199">
        <v>1</v>
      </c>
      <c r="I1005" s="199"/>
      <c r="J1005" s="253"/>
      <c r="K1005" s="254">
        <f t="shared" ref="K1005:K1068" si="30">IF(E1005*F1005*G1005&lt;&gt;0,E1005*F1005*G1005,IF(E1005*F1005&lt;&gt;0,E1005*F1005,IF(F1005*G1005&lt;&gt;0,F1005*G1005,IF(E1005*G1005&lt;&gt;0,E1005*G1005,IF(E1005&lt;&gt;0,E1005,IF(F1005&lt;&gt;0,F1005,IF(G1005&lt;&gt;0,G1005,0)))))))*(IF(H1005&lt;&gt;0,H1005,1))+I1005-J1005</f>
        <v>1.024</v>
      </c>
      <c r="L1005" s="255" t="s">
        <v>1556</v>
      </c>
    </row>
    <row r="1006" spans="2:12">
      <c r="B1006" s="256" t="s">
        <v>1390</v>
      </c>
      <c r="C1006" s="250" t="s">
        <v>1333</v>
      </c>
      <c r="D1006" s="205" t="s">
        <v>110</v>
      </c>
      <c r="E1006" s="261">
        <v>1</v>
      </c>
      <c r="F1006" s="261">
        <v>0.2</v>
      </c>
      <c r="G1006" s="261">
        <v>5.12</v>
      </c>
      <c r="H1006" s="261">
        <v>1</v>
      </c>
      <c r="I1006" s="261"/>
      <c r="J1006" s="259"/>
      <c r="K1006" s="260">
        <f t="shared" si="30"/>
        <v>1.024</v>
      </c>
      <c r="L1006" s="266" t="s">
        <v>1556</v>
      </c>
    </row>
    <row r="1007" spans="2:12">
      <c r="B1007" s="256" t="s">
        <v>1391</v>
      </c>
      <c r="C1007" s="250" t="s">
        <v>1333</v>
      </c>
      <c r="D1007" s="205" t="s">
        <v>110</v>
      </c>
      <c r="E1007" s="261">
        <v>1</v>
      </c>
      <c r="F1007" s="261">
        <v>0.2</v>
      </c>
      <c r="G1007" s="261">
        <v>5.12</v>
      </c>
      <c r="H1007" s="261">
        <v>1</v>
      </c>
      <c r="I1007" s="261"/>
      <c r="J1007" s="259"/>
      <c r="K1007" s="260">
        <f t="shared" si="30"/>
        <v>1.024</v>
      </c>
      <c r="L1007" s="266" t="s">
        <v>1556</v>
      </c>
    </row>
    <row r="1008" spans="2:12">
      <c r="B1008" s="256" t="s">
        <v>1392</v>
      </c>
      <c r="C1008" s="250" t="s">
        <v>1333</v>
      </c>
      <c r="D1008" s="205" t="s">
        <v>110</v>
      </c>
      <c r="E1008" s="261">
        <v>0.4</v>
      </c>
      <c r="F1008" s="261">
        <v>0.4</v>
      </c>
      <c r="G1008" s="261">
        <v>5.12</v>
      </c>
      <c r="H1008" s="261">
        <v>1</v>
      </c>
      <c r="I1008" s="261"/>
      <c r="J1008" s="259"/>
      <c r="K1008" s="260">
        <f t="shared" si="30"/>
        <v>0.81920000000000015</v>
      </c>
      <c r="L1008" s="266" t="s">
        <v>1556</v>
      </c>
    </row>
    <row r="1009" spans="2:12">
      <c r="B1009" s="256" t="s">
        <v>1393</v>
      </c>
      <c r="C1009" s="250" t="s">
        <v>1333</v>
      </c>
      <c r="D1009" s="205" t="s">
        <v>110</v>
      </c>
      <c r="E1009" s="261">
        <v>0.3</v>
      </c>
      <c r="F1009" s="261">
        <v>0.3</v>
      </c>
      <c r="G1009" s="261">
        <v>5.12</v>
      </c>
      <c r="H1009" s="261">
        <v>1</v>
      </c>
      <c r="I1009" s="261"/>
      <c r="J1009" s="259"/>
      <c r="K1009" s="260">
        <f t="shared" si="30"/>
        <v>0.46079999999999999</v>
      </c>
      <c r="L1009" s="266" t="s">
        <v>1556</v>
      </c>
    </row>
    <row r="1010" spans="2:12">
      <c r="B1010" s="256" t="s">
        <v>1394</v>
      </c>
      <c r="C1010" s="250" t="s">
        <v>1333</v>
      </c>
      <c r="D1010" s="205" t="s">
        <v>110</v>
      </c>
      <c r="E1010" s="261">
        <v>0.4</v>
      </c>
      <c r="F1010" s="261">
        <v>0.4</v>
      </c>
      <c r="G1010" s="261">
        <v>5.12</v>
      </c>
      <c r="H1010" s="261">
        <v>1</v>
      </c>
      <c r="I1010" s="261"/>
      <c r="J1010" s="259"/>
      <c r="K1010" s="260">
        <f t="shared" si="30"/>
        <v>0.81920000000000015</v>
      </c>
      <c r="L1010" s="266" t="s">
        <v>1556</v>
      </c>
    </row>
    <row r="1011" spans="2:12">
      <c r="B1011" s="256" t="s">
        <v>1395</v>
      </c>
      <c r="C1011" s="250" t="s">
        <v>1333</v>
      </c>
      <c r="D1011" s="205" t="s">
        <v>110</v>
      </c>
      <c r="E1011" s="199">
        <v>0.5</v>
      </c>
      <c r="F1011" s="199">
        <v>0.4</v>
      </c>
      <c r="G1011" s="261">
        <v>5.12</v>
      </c>
      <c r="H1011" s="261">
        <v>1</v>
      </c>
      <c r="I1011" s="261"/>
      <c r="J1011" s="259"/>
      <c r="K1011" s="260">
        <f t="shared" si="30"/>
        <v>1.024</v>
      </c>
      <c r="L1011" s="266" t="s">
        <v>1556</v>
      </c>
    </row>
    <row r="1012" spans="2:12">
      <c r="B1012" s="256" t="s">
        <v>1396</v>
      </c>
      <c r="C1012" s="250" t="s">
        <v>1333</v>
      </c>
      <c r="D1012" s="205" t="s">
        <v>110</v>
      </c>
      <c r="E1012" s="199">
        <v>0.5</v>
      </c>
      <c r="F1012" s="199">
        <v>0.4</v>
      </c>
      <c r="G1012" s="261">
        <v>5.12</v>
      </c>
      <c r="H1012" s="261">
        <v>1</v>
      </c>
      <c r="I1012" s="261"/>
      <c r="J1012" s="259"/>
      <c r="K1012" s="260">
        <f t="shared" si="30"/>
        <v>1.024</v>
      </c>
      <c r="L1012" s="266" t="s">
        <v>1556</v>
      </c>
    </row>
    <row r="1013" spans="2:12">
      <c r="B1013" s="256" t="s">
        <v>1397</v>
      </c>
      <c r="C1013" s="250" t="s">
        <v>1333</v>
      </c>
      <c r="D1013" s="205" t="s">
        <v>110</v>
      </c>
      <c r="E1013" s="261">
        <v>1</v>
      </c>
      <c r="F1013" s="261">
        <v>0.2</v>
      </c>
      <c r="G1013" s="261">
        <v>5.12</v>
      </c>
      <c r="H1013" s="261">
        <v>1</v>
      </c>
      <c r="I1013" s="261"/>
      <c r="J1013" s="259"/>
      <c r="K1013" s="260">
        <f t="shared" si="30"/>
        <v>1.024</v>
      </c>
      <c r="L1013" s="266" t="s">
        <v>1556</v>
      </c>
    </row>
    <row r="1014" spans="2:12">
      <c r="B1014" s="256" t="s">
        <v>1398</v>
      </c>
      <c r="C1014" s="250" t="s">
        <v>1333</v>
      </c>
      <c r="D1014" s="205" t="s">
        <v>110</v>
      </c>
      <c r="E1014" s="261">
        <v>0.3</v>
      </c>
      <c r="F1014" s="261">
        <v>0.3</v>
      </c>
      <c r="G1014" s="261">
        <v>5.12</v>
      </c>
      <c r="H1014" s="261">
        <v>1</v>
      </c>
      <c r="I1014" s="261"/>
      <c r="J1014" s="259"/>
      <c r="K1014" s="260">
        <f t="shared" si="30"/>
        <v>0.46079999999999999</v>
      </c>
      <c r="L1014" s="266" t="s">
        <v>1556</v>
      </c>
    </row>
    <row r="1015" spans="2:12">
      <c r="B1015" s="256" t="s">
        <v>1399</v>
      </c>
      <c r="C1015" s="250" t="s">
        <v>1333</v>
      </c>
      <c r="D1015" s="205" t="s">
        <v>110</v>
      </c>
      <c r="E1015" s="261">
        <v>0.4</v>
      </c>
      <c r="F1015" s="261">
        <v>0.4</v>
      </c>
      <c r="G1015" s="261">
        <v>5.12</v>
      </c>
      <c r="H1015" s="261">
        <v>1</v>
      </c>
      <c r="I1015" s="261"/>
      <c r="J1015" s="259"/>
      <c r="K1015" s="260">
        <f t="shared" si="30"/>
        <v>0.81920000000000015</v>
      </c>
      <c r="L1015" s="266" t="s">
        <v>1556</v>
      </c>
    </row>
    <row r="1016" spans="2:12">
      <c r="B1016" s="256" t="s">
        <v>1400</v>
      </c>
      <c r="C1016" s="250" t="s">
        <v>1333</v>
      </c>
      <c r="D1016" s="205" t="s">
        <v>110</v>
      </c>
      <c r="E1016" s="199">
        <v>0.5</v>
      </c>
      <c r="F1016" s="199">
        <v>0.4</v>
      </c>
      <c r="G1016" s="261">
        <v>5.12</v>
      </c>
      <c r="H1016" s="261">
        <v>1</v>
      </c>
      <c r="I1016" s="261"/>
      <c r="J1016" s="259"/>
      <c r="K1016" s="260">
        <f t="shared" si="30"/>
        <v>1.024</v>
      </c>
      <c r="L1016" s="266" t="s">
        <v>1556</v>
      </c>
    </row>
    <row r="1017" spans="2:12">
      <c r="B1017" s="256" t="s">
        <v>1401</v>
      </c>
      <c r="C1017" s="250" t="s">
        <v>1333</v>
      </c>
      <c r="D1017" s="205" t="s">
        <v>110</v>
      </c>
      <c r="E1017" s="199">
        <v>0.5</v>
      </c>
      <c r="F1017" s="199">
        <v>0.4</v>
      </c>
      <c r="G1017" s="261">
        <v>5.12</v>
      </c>
      <c r="H1017" s="261">
        <v>1</v>
      </c>
      <c r="I1017" s="261"/>
      <c r="J1017" s="259"/>
      <c r="K1017" s="260">
        <f t="shared" si="30"/>
        <v>1.024</v>
      </c>
      <c r="L1017" s="266" t="s">
        <v>1556</v>
      </c>
    </row>
    <row r="1018" spans="2:12">
      <c r="B1018" s="256" t="s">
        <v>1402</v>
      </c>
      <c r="C1018" s="250" t="s">
        <v>1333</v>
      </c>
      <c r="D1018" s="205" t="s">
        <v>110</v>
      </c>
      <c r="E1018" s="261">
        <v>1</v>
      </c>
      <c r="F1018" s="261">
        <v>0.2</v>
      </c>
      <c r="G1018" s="261">
        <v>5.12</v>
      </c>
      <c r="H1018" s="261">
        <v>1</v>
      </c>
      <c r="I1018" s="261"/>
      <c r="J1018" s="259"/>
      <c r="K1018" s="260">
        <f t="shared" si="30"/>
        <v>1.024</v>
      </c>
      <c r="L1018" s="266" t="s">
        <v>1556</v>
      </c>
    </row>
    <row r="1019" spans="2:12">
      <c r="B1019" s="256" t="s">
        <v>1403</v>
      </c>
      <c r="C1019" s="250" t="s">
        <v>1333</v>
      </c>
      <c r="D1019" s="205" t="s">
        <v>110</v>
      </c>
      <c r="E1019" s="261">
        <v>0.3</v>
      </c>
      <c r="F1019" s="261">
        <v>0.3</v>
      </c>
      <c r="G1019" s="261">
        <v>5.12</v>
      </c>
      <c r="H1019" s="261">
        <v>1</v>
      </c>
      <c r="I1019" s="261"/>
      <c r="J1019" s="259"/>
      <c r="K1019" s="260">
        <f t="shared" si="30"/>
        <v>0.46079999999999999</v>
      </c>
      <c r="L1019" s="266" t="s">
        <v>1556</v>
      </c>
    </row>
    <row r="1020" spans="2:12">
      <c r="B1020" s="256" t="s">
        <v>1404</v>
      </c>
      <c r="C1020" s="250" t="s">
        <v>1333</v>
      </c>
      <c r="D1020" s="205" t="s">
        <v>110</v>
      </c>
      <c r="E1020" s="261">
        <v>0.6</v>
      </c>
      <c r="F1020" s="261">
        <v>0.2</v>
      </c>
      <c r="G1020" s="261">
        <v>5.12</v>
      </c>
      <c r="H1020" s="261">
        <v>1</v>
      </c>
      <c r="I1020" s="261"/>
      <c r="J1020" s="259"/>
      <c r="K1020" s="260">
        <f t="shared" si="30"/>
        <v>0.61439999999999995</v>
      </c>
      <c r="L1020" s="266" t="s">
        <v>1556</v>
      </c>
    </row>
    <row r="1021" spans="2:12">
      <c r="B1021" s="256" t="s">
        <v>1405</v>
      </c>
      <c r="C1021" s="250" t="s">
        <v>1333</v>
      </c>
      <c r="D1021" s="205" t="s">
        <v>110</v>
      </c>
      <c r="E1021" s="261">
        <v>0.6</v>
      </c>
      <c r="F1021" s="261">
        <v>0.2</v>
      </c>
      <c r="G1021" s="261">
        <v>5.12</v>
      </c>
      <c r="H1021" s="261">
        <v>1</v>
      </c>
      <c r="I1021" s="261"/>
      <c r="J1021" s="259"/>
      <c r="K1021" s="260">
        <f t="shared" si="30"/>
        <v>0.61439999999999995</v>
      </c>
      <c r="L1021" s="266" t="s">
        <v>1556</v>
      </c>
    </row>
    <row r="1022" spans="2:12">
      <c r="B1022" s="256" t="s">
        <v>1406</v>
      </c>
      <c r="C1022" s="250" t="s">
        <v>1333</v>
      </c>
      <c r="D1022" s="205" t="s">
        <v>110</v>
      </c>
      <c r="E1022" s="261">
        <v>0.4</v>
      </c>
      <c r="F1022" s="261">
        <v>0.4</v>
      </c>
      <c r="G1022" s="261">
        <v>5.12</v>
      </c>
      <c r="H1022" s="261">
        <v>1</v>
      </c>
      <c r="I1022" s="261"/>
      <c r="J1022" s="259"/>
      <c r="K1022" s="260">
        <f t="shared" si="30"/>
        <v>0.81920000000000015</v>
      </c>
      <c r="L1022" s="266" t="s">
        <v>1556</v>
      </c>
    </row>
    <row r="1023" spans="2:12">
      <c r="B1023" s="256" t="s">
        <v>1407</v>
      </c>
      <c r="C1023" s="250" t="s">
        <v>1333</v>
      </c>
      <c r="D1023" s="205" t="s">
        <v>110</v>
      </c>
      <c r="E1023" s="199">
        <v>0.5</v>
      </c>
      <c r="F1023" s="199">
        <v>0.4</v>
      </c>
      <c r="G1023" s="261">
        <v>5.12</v>
      </c>
      <c r="H1023" s="261">
        <v>1</v>
      </c>
      <c r="I1023" s="261"/>
      <c r="J1023" s="259"/>
      <c r="K1023" s="260">
        <f t="shared" si="30"/>
        <v>1.024</v>
      </c>
      <c r="L1023" s="266" t="s">
        <v>1556</v>
      </c>
    </row>
    <row r="1024" spans="2:12">
      <c r="B1024" s="256" t="s">
        <v>1408</v>
      </c>
      <c r="C1024" s="250" t="s">
        <v>1333</v>
      </c>
      <c r="D1024" s="205" t="s">
        <v>110</v>
      </c>
      <c r="E1024" s="261">
        <v>0.5</v>
      </c>
      <c r="F1024" s="261">
        <v>0.4</v>
      </c>
      <c r="G1024" s="261">
        <v>5.12</v>
      </c>
      <c r="H1024" s="261">
        <v>1</v>
      </c>
      <c r="I1024" s="261"/>
      <c r="J1024" s="259"/>
      <c r="K1024" s="260">
        <f t="shared" si="30"/>
        <v>1.024</v>
      </c>
      <c r="L1024" s="266" t="s">
        <v>1556</v>
      </c>
    </row>
    <row r="1025" spans="2:12">
      <c r="B1025" s="256" t="s">
        <v>1409</v>
      </c>
      <c r="C1025" s="250" t="s">
        <v>1333</v>
      </c>
      <c r="D1025" s="205" t="s">
        <v>110</v>
      </c>
      <c r="E1025" s="261">
        <v>1</v>
      </c>
      <c r="F1025" s="261">
        <v>0.2</v>
      </c>
      <c r="G1025" s="261">
        <v>5.12</v>
      </c>
      <c r="H1025" s="261">
        <v>1</v>
      </c>
      <c r="I1025" s="261"/>
      <c r="J1025" s="259"/>
      <c r="K1025" s="260">
        <f t="shared" si="30"/>
        <v>1.024</v>
      </c>
      <c r="L1025" s="266" t="s">
        <v>1556</v>
      </c>
    </row>
    <row r="1026" spans="2:12">
      <c r="B1026" s="256" t="s">
        <v>1410</v>
      </c>
      <c r="C1026" s="250" t="s">
        <v>1333</v>
      </c>
      <c r="D1026" s="205" t="s">
        <v>110</v>
      </c>
      <c r="E1026" s="261">
        <v>0.45</v>
      </c>
      <c r="F1026" s="261">
        <v>0.3</v>
      </c>
      <c r="G1026" s="261">
        <v>5.12</v>
      </c>
      <c r="H1026" s="261">
        <v>1</v>
      </c>
      <c r="I1026" s="261"/>
      <c r="J1026" s="259"/>
      <c r="K1026" s="260">
        <f t="shared" si="30"/>
        <v>0.69120000000000004</v>
      </c>
      <c r="L1026" s="266" t="s">
        <v>1556</v>
      </c>
    </row>
    <row r="1027" spans="2:12">
      <c r="B1027" s="256" t="s">
        <v>1411</v>
      </c>
      <c r="C1027" s="250" t="s">
        <v>1333</v>
      </c>
      <c r="D1027" s="205" t="s">
        <v>110</v>
      </c>
      <c r="E1027" s="261">
        <v>0.45</v>
      </c>
      <c r="F1027" s="261">
        <v>0.3</v>
      </c>
      <c r="G1027" s="261">
        <v>5.12</v>
      </c>
      <c r="H1027" s="261">
        <v>1</v>
      </c>
      <c r="I1027" s="261"/>
      <c r="J1027" s="259"/>
      <c r="K1027" s="260">
        <f t="shared" si="30"/>
        <v>0.69120000000000004</v>
      </c>
      <c r="L1027" s="266" t="s">
        <v>1556</v>
      </c>
    </row>
    <row r="1028" spans="2:12">
      <c r="B1028" s="256" t="s">
        <v>1412</v>
      </c>
      <c r="C1028" s="250" t="s">
        <v>1333</v>
      </c>
      <c r="D1028" s="205" t="s">
        <v>110</v>
      </c>
      <c r="E1028" s="261">
        <v>0.55000000000000004</v>
      </c>
      <c r="F1028" s="261">
        <v>0.3</v>
      </c>
      <c r="G1028" s="261">
        <v>5.12</v>
      </c>
      <c r="H1028" s="261">
        <v>1</v>
      </c>
      <c r="I1028" s="261"/>
      <c r="J1028" s="259"/>
      <c r="K1028" s="260">
        <f t="shared" si="30"/>
        <v>0.84480000000000011</v>
      </c>
      <c r="L1028" s="266" t="s">
        <v>1556</v>
      </c>
    </row>
    <row r="1029" spans="2:12">
      <c r="B1029" s="256" t="s">
        <v>1413</v>
      </c>
      <c r="C1029" s="250" t="s">
        <v>1333</v>
      </c>
      <c r="D1029" s="205" t="s">
        <v>110</v>
      </c>
      <c r="E1029" s="261">
        <v>0.55000000000000004</v>
      </c>
      <c r="F1029" s="261">
        <v>0.3</v>
      </c>
      <c r="G1029" s="261">
        <v>5.12</v>
      </c>
      <c r="H1029" s="261">
        <v>1</v>
      </c>
      <c r="I1029" s="261"/>
      <c r="J1029" s="259"/>
      <c r="K1029" s="260">
        <f t="shared" si="30"/>
        <v>0.84480000000000011</v>
      </c>
      <c r="L1029" s="266" t="s">
        <v>1556</v>
      </c>
    </row>
    <row r="1030" spans="2:12">
      <c r="B1030" s="256" t="s">
        <v>1414</v>
      </c>
      <c r="C1030" s="250" t="s">
        <v>1333</v>
      </c>
      <c r="D1030" s="205" t="s">
        <v>110</v>
      </c>
      <c r="E1030" s="261">
        <v>0.55000000000000004</v>
      </c>
      <c r="F1030" s="261">
        <v>0.3</v>
      </c>
      <c r="G1030" s="261">
        <v>5.12</v>
      </c>
      <c r="H1030" s="261">
        <v>1</v>
      </c>
      <c r="I1030" s="261"/>
      <c r="J1030" s="259"/>
      <c r="K1030" s="260">
        <f t="shared" si="30"/>
        <v>0.84480000000000011</v>
      </c>
      <c r="L1030" s="266" t="s">
        <v>1556</v>
      </c>
    </row>
    <row r="1031" spans="2:12">
      <c r="B1031" s="256" t="s">
        <v>1415</v>
      </c>
      <c r="C1031" s="250" t="s">
        <v>1333</v>
      </c>
      <c r="D1031" s="205" t="s">
        <v>110</v>
      </c>
      <c r="E1031" s="261">
        <v>0.55000000000000004</v>
      </c>
      <c r="F1031" s="261">
        <v>0.3</v>
      </c>
      <c r="G1031" s="261">
        <v>5.12</v>
      </c>
      <c r="H1031" s="261">
        <v>1</v>
      </c>
      <c r="I1031" s="261"/>
      <c r="J1031" s="259"/>
      <c r="K1031" s="260">
        <f t="shared" si="30"/>
        <v>0.84480000000000011</v>
      </c>
      <c r="L1031" s="266" t="s">
        <v>1556</v>
      </c>
    </row>
    <row r="1032" spans="2:12">
      <c r="B1032" s="256" t="s">
        <v>1416</v>
      </c>
      <c r="C1032" s="250" t="s">
        <v>1333</v>
      </c>
      <c r="D1032" s="205" t="s">
        <v>110</v>
      </c>
      <c r="E1032" s="261">
        <v>0.45</v>
      </c>
      <c r="F1032" s="261">
        <v>0.3</v>
      </c>
      <c r="G1032" s="261">
        <v>5.12</v>
      </c>
      <c r="H1032" s="261">
        <v>1</v>
      </c>
      <c r="I1032" s="261"/>
      <c r="J1032" s="259"/>
      <c r="K1032" s="260">
        <f t="shared" si="30"/>
        <v>0.69120000000000004</v>
      </c>
      <c r="L1032" s="266" t="s">
        <v>1556</v>
      </c>
    </row>
    <row r="1033" spans="2:12">
      <c r="B1033" s="256" t="s">
        <v>1417</v>
      </c>
      <c r="C1033" s="250" t="s">
        <v>1333</v>
      </c>
      <c r="D1033" s="205" t="s">
        <v>110</v>
      </c>
      <c r="E1033" s="261">
        <v>0.45</v>
      </c>
      <c r="F1033" s="261">
        <v>0.3</v>
      </c>
      <c r="G1033" s="261">
        <v>5.12</v>
      </c>
      <c r="H1033" s="261">
        <v>1</v>
      </c>
      <c r="I1033" s="261"/>
      <c r="J1033" s="259"/>
      <c r="K1033" s="260">
        <f t="shared" si="30"/>
        <v>0.69120000000000004</v>
      </c>
      <c r="L1033" s="266" t="s">
        <v>1556</v>
      </c>
    </row>
    <row r="1034" spans="2:12">
      <c r="B1034" s="256" t="s">
        <v>1418</v>
      </c>
      <c r="C1034" s="250" t="s">
        <v>1333</v>
      </c>
      <c r="D1034" s="205" t="s">
        <v>110</v>
      </c>
      <c r="E1034" s="261">
        <v>0.8</v>
      </c>
      <c r="F1034" s="261">
        <v>0.2</v>
      </c>
      <c r="G1034" s="261">
        <v>5.12</v>
      </c>
      <c r="H1034" s="261">
        <v>1</v>
      </c>
      <c r="I1034" s="261"/>
      <c r="J1034" s="259"/>
      <c r="K1034" s="260">
        <f t="shared" si="30"/>
        <v>0.81920000000000015</v>
      </c>
      <c r="L1034" s="266" t="s">
        <v>1556</v>
      </c>
    </row>
    <row r="1035" spans="2:12">
      <c r="B1035" s="256" t="s">
        <v>1419</v>
      </c>
      <c r="C1035" s="250" t="s">
        <v>1333</v>
      </c>
      <c r="D1035" s="205" t="s">
        <v>110</v>
      </c>
      <c r="E1035" s="261">
        <v>0.8</v>
      </c>
      <c r="F1035" s="261">
        <v>0.2</v>
      </c>
      <c r="G1035" s="261">
        <v>6.62</v>
      </c>
      <c r="H1035" s="261">
        <v>1</v>
      </c>
      <c r="I1035" s="261"/>
      <c r="J1035" s="259"/>
      <c r="K1035" s="260">
        <f t="shared" si="30"/>
        <v>1.0592000000000001</v>
      </c>
      <c r="L1035" s="266" t="s">
        <v>1556</v>
      </c>
    </row>
    <row r="1036" spans="2:12">
      <c r="B1036" s="256" t="s">
        <v>1420</v>
      </c>
      <c r="C1036" s="250" t="s">
        <v>1333</v>
      </c>
      <c r="D1036" s="205" t="s">
        <v>110</v>
      </c>
      <c r="E1036" s="261">
        <v>0.8</v>
      </c>
      <c r="F1036" s="261">
        <v>0.3</v>
      </c>
      <c r="G1036" s="261">
        <v>6.62</v>
      </c>
      <c r="H1036" s="261">
        <v>1</v>
      </c>
      <c r="I1036" s="261"/>
      <c r="J1036" s="259"/>
      <c r="K1036" s="260">
        <f t="shared" si="30"/>
        <v>1.5888</v>
      </c>
      <c r="L1036" s="266" t="s">
        <v>1556</v>
      </c>
    </row>
    <row r="1037" spans="2:12">
      <c r="B1037" s="256" t="s">
        <v>1421</v>
      </c>
      <c r="C1037" s="250" t="s">
        <v>1333</v>
      </c>
      <c r="D1037" s="205" t="s">
        <v>110</v>
      </c>
      <c r="E1037" s="261">
        <v>0.8</v>
      </c>
      <c r="F1037" s="261">
        <v>0.2</v>
      </c>
      <c r="G1037" s="261">
        <v>6.62</v>
      </c>
      <c r="H1037" s="261">
        <v>1</v>
      </c>
      <c r="I1037" s="261"/>
      <c r="J1037" s="259"/>
      <c r="K1037" s="260">
        <f t="shared" si="30"/>
        <v>1.0592000000000001</v>
      </c>
      <c r="L1037" s="266" t="s">
        <v>1556</v>
      </c>
    </row>
    <row r="1038" spans="2:12">
      <c r="B1038" s="256" t="s">
        <v>1422</v>
      </c>
      <c r="C1038" s="250" t="s">
        <v>1333</v>
      </c>
      <c r="D1038" s="205" t="s">
        <v>110</v>
      </c>
      <c r="E1038" s="261">
        <v>0.8</v>
      </c>
      <c r="F1038" s="261">
        <v>0.3</v>
      </c>
      <c r="G1038" s="261">
        <v>6.62</v>
      </c>
      <c r="H1038" s="261">
        <v>1</v>
      </c>
      <c r="I1038" s="261"/>
      <c r="J1038" s="259"/>
      <c r="K1038" s="260">
        <f t="shared" si="30"/>
        <v>1.5888</v>
      </c>
      <c r="L1038" s="266" t="s">
        <v>1556</v>
      </c>
    </row>
    <row r="1039" spans="2:12">
      <c r="B1039" s="256" t="s">
        <v>1423</v>
      </c>
      <c r="C1039" s="250" t="s">
        <v>1333</v>
      </c>
      <c r="D1039" s="205" t="s">
        <v>110</v>
      </c>
      <c r="E1039" s="261">
        <v>0.7</v>
      </c>
      <c r="F1039" s="261">
        <v>0.4</v>
      </c>
      <c r="G1039" s="261">
        <v>5.12</v>
      </c>
      <c r="H1039" s="261">
        <v>1</v>
      </c>
      <c r="I1039" s="261"/>
      <c r="J1039" s="259"/>
      <c r="K1039" s="260">
        <f t="shared" si="30"/>
        <v>1.4336</v>
      </c>
      <c r="L1039" s="266" t="s">
        <v>1556</v>
      </c>
    </row>
    <row r="1040" spans="2:12">
      <c r="B1040" s="256" t="s">
        <v>1424</v>
      </c>
      <c r="C1040" s="250" t="s">
        <v>1333</v>
      </c>
      <c r="D1040" s="205" t="s">
        <v>110</v>
      </c>
      <c r="E1040" s="261">
        <v>0.7</v>
      </c>
      <c r="F1040" s="261">
        <v>0.5</v>
      </c>
      <c r="G1040" s="261">
        <v>5.12</v>
      </c>
      <c r="H1040" s="261">
        <v>1</v>
      </c>
      <c r="I1040" s="261"/>
      <c r="J1040" s="259"/>
      <c r="K1040" s="260">
        <f t="shared" si="30"/>
        <v>1.7919999999999998</v>
      </c>
      <c r="L1040" s="266" t="s">
        <v>1556</v>
      </c>
    </row>
    <row r="1041" spans="2:12">
      <c r="B1041" s="256" t="s">
        <v>1425</v>
      </c>
      <c r="C1041" s="250" t="s">
        <v>1333</v>
      </c>
      <c r="D1041" s="205" t="s">
        <v>110</v>
      </c>
      <c r="E1041" s="261">
        <v>0.7</v>
      </c>
      <c r="F1041" s="261">
        <v>0.5</v>
      </c>
      <c r="G1041" s="261">
        <v>5.12</v>
      </c>
      <c r="H1041" s="261">
        <v>1</v>
      </c>
      <c r="I1041" s="261"/>
      <c r="J1041" s="259"/>
      <c r="K1041" s="260">
        <f t="shared" si="30"/>
        <v>1.7919999999999998</v>
      </c>
      <c r="L1041" s="266" t="s">
        <v>1556</v>
      </c>
    </row>
    <row r="1042" spans="2:12">
      <c r="B1042" s="256" t="s">
        <v>1426</v>
      </c>
      <c r="C1042" s="250" t="s">
        <v>1333</v>
      </c>
      <c r="D1042" s="205" t="s">
        <v>110</v>
      </c>
      <c r="E1042" s="261">
        <v>0.5</v>
      </c>
      <c r="F1042" s="261">
        <v>0.4</v>
      </c>
      <c r="G1042" s="261">
        <v>5.12</v>
      </c>
      <c r="H1042" s="261">
        <v>1</v>
      </c>
      <c r="I1042" s="261"/>
      <c r="J1042" s="259"/>
      <c r="K1042" s="260">
        <f t="shared" si="30"/>
        <v>1.024</v>
      </c>
      <c r="L1042" s="266" t="s">
        <v>1556</v>
      </c>
    </row>
    <row r="1043" spans="2:12">
      <c r="B1043" s="256" t="s">
        <v>1481</v>
      </c>
      <c r="C1043" s="250" t="s">
        <v>1441</v>
      </c>
      <c r="D1043" s="205" t="s">
        <v>110</v>
      </c>
      <c r="E1043" s="261">
        <v>0.25</v>
      </c>
      <c r="F1043" s="261">
        <v>0.4</v>
      </c>
      <c r="G1043" s="261">
        <v>5.12</v>
      </c>
      <c r="H1043" s="261">
        <v>1</v>
      </c>
      <c r="I1043" s="261"/>
      <c r="J1043" s="259"/>
      <c r="K1043" s="260">
        <f t="shared" si="30"/>
        <v>0.51200000000000001</v>
      </c>
      <c r="L1043" s="266" t="s">
        <v>1556</v>
      </c>
    </row>
    <row r="1044" spans="2:12">
      <c r="B1044" s="256" t="s">
        <v>1482</v>
      </c>
      <c r="C1044" s="250" t="s">
        <v>1441</v>
      </c>
      <c r="D1044" s="205" t="s">
        <v>110</v>
      </c>
      <c r="E1044" s="261">
        <v>0.3</v>
      </c>
      <c r="F1044" s="261">
        <v>0.3</v>
      </c>
      <c r="G1044" s="261">
        <v>5.12</v>
      </c>
      <c r="H1044" s="261">
        <v>1</v>
      </c>
      <c r="I1044" s="261"/>
      <c r="J1044" s="259"/>
      <c r="K1044" s="260">
        <f t="shared" si="30"/>
        <v>0.46079999999999999</v>
      </c>
      <c r="L1044" s="266" t="s">
        <v>1556</v>
      </c>
    </row>
    <row r="1045" spans="2:12">
      <c r="B1045" s="256" t="s">
        <v>1483</v>
      </c>
      <c r="C1045" s="250" t="s">
        <v>1441</v>
      </c>
      <c r="D1045" s="205" t="s">
        <v>110</v>
      </c>
      <c r="E1045" s="261">
        <v>0.3</v>
      </c>
      <c r="F1045" s="261">
        <v>0.3</v>
      </c>
      <c r="G1045" s="261">
        <v>5.12</v>
      </c>
      <c r="H1045" s="261">
        <v>1</v>
      </c>
      <c r="I1045" s="261"/>
      <c r="J1045" s="259"/>
      <c r="K1045" s="260">
        <f t="shared" si="30"/>
        <v>0.46079999999999999</v>
      </c>
      <c r="L1045" s="266" t="s">
        <v>1556</v>
      </c>
    </row>
    <row r="1046" spans="2:12">
      <c r="B1046" s="256" t="s">
        <v>1484</v>
      </c>
      <c r="C1046" s="250" t="s">
        <v>1441</v>
      </c>
      <c r="D1046" s="205" t="s">
        <v>110</v>
      </c>
      <c r="E1046" s="261">
        <v>0.4</v>
      </c>
      <c r="F1046" s="261">
        <v>0.4</v>
      </c>
      <c r="G1046" s="261">
        <v>5.12</v>
      </c>
      <c r="H1046" s="261">
        <v>1</v>
      </c>
      <c r="I1046" s="261"/>
      <c r="J1046" s="259"/>
      <c r="K1046" s="260">
        <f t="shared" si="30"/>
        <v>0.81920000000000015</v>
      </c>
      <c r="L1046" s="266" t="s">
        <v>1556</v>
      </c>
    </row>
    <row r="1047" spans="2:12">
      <c r="B1047" s="256" t="s">
        <v>1485</v>
      </c>
      <c r="C1047" s="250" t="s">
        <v>1441</v>
      </c>
      <c r="D1047" s="205" t="s">
        <v>110</v>
      </c>
      <c r="E1047" s="261">
        <v>0.4</v>
      </c>
      <c r="F1047" s="261">
        <v>0.6</v>
      </c>
      <c r="G1047" s="261">
        <v>5.12</v>
      </c>
      <c r="H1047" s="261">
        <v>1</v>
      </c>
      <c r="I1047" s="261"/>
      <c r="J1047" s="259"/>
      <c r="K1047" s="260">
        <f t="shared" si="30"/>
        <v>1.2287999999999999</v>
      </c>
      <c r="L1047" s="266" t="s">
        <v>1556</v>
      </c>
    </row>
    <row r="1048" spans="2:12">
      <c r="B1048" s="256" t="s">
        <v>1486</v>
      </c>
      <c r="C1048" s="250" t="s">
        <v>1441</v>
      </c>
      <c r="D1048" s="205" t="s">
        <v>110</v>
      </c>
      <c r="E1048" s="261">
        <v>0.2</v>
      </c>
      <c r="F1048" s="261">
        <v>2.94</v>
      </c>
      <c r="G1048" s="261">
        <f>5.12+2</f>
        <v>7.12</v>
      </c>
      <c r="H1048" s="261">
        <v>1</v>
      </c>
      <c r="I1048" s="261"/>
      <c r="J1048" s="259"/>
      <c r="K1048" s="260">
        <f t="shared" si="30"/>
        <v>4.1865600000000001</v>
      </c>
      <c r="L1048" s="266" t="s">
        <v>1556</v>
      </c>
    </row>
    <row r="1049" spans="2:12">
      <c r="B1049" s="256" t="s">
        <v>1487</v>
      </c>
      <c r="C1049" s="250" t="s">
        <v>1441</v>
      </c>
      <c r="D1049" s="205" t="s">
        <v>110</v>
      </c>
      <c r="E1049" s="261">
        <v>0.2</v>
      </c>
      <c r="F1049" s="261">
        <v>2.94</v>
      </c>
      <c r="G1049" s="261">
        <f>5.12+2</f>
        <v>7.12</v>
      </c>
      <c r="H1049" s="261">
        <v>1</v>
      </c>
      <c r="I1049" s="261"/>
      <c r="J1049" s="259"/>
      <c r="K1049" s="260">
        <f t="shared" si="30"/>
        <v>4.1865600000000001</v>
      </c>
      <c r="L1049" s="266" t="s">
        <v>1556</v>
      </c>
    </row>
    <row r="1050" spans="2:12">
      <c r="B1050" s="256" t="s">
        <v>1488</v>
      </c>
      <c r="C1050" s="250" t="s">
        <v>1441</v>
      </c>
      <c r="D1050" s="205" t="s">
        <v>110</v>
      </c>
      <c r="E1050" s="261">
        <v>0.6</v>
      </c>
      <c r="F1050" s="261">
        <v>0.5</v>
      </c>
      <c r="G1050" s="261">
        <v>5.12</v>
      </c>
      <c r="H1050" s="261">
        <v>1</v>
      </c>
      <c r="I1050" s="261"/>
      <c r="J1050" s="259"/>
      <c r="K1050" s="260">
        <f t="shared" si="30"/>
        <v>1.536</v>
      </c>
      <c r="L1050" s="266" t="s">
        <v>1556</v>
      </c>
    </row>
    <row r="1051" spans="2:12">
      <c r="B1051" s="256" t="s">
        <v>1489</v>
      </c>
      <c r="C1051" s="250" t="s">
        <v>1441</v>
      </c>
      <c r="D1051" s="205" t="s">
        <v>110</v>
      </c>
      <c r="E1051" s="261">
        <v>0.4</v>
      </c>
      <c r="F1051" s="261">
        <v>0.4</v>
      </c>
      <c r="G1051" s="261">
        <v>5.12</v>
      </c>
      <c r="H1051" s="261">
        <v>1</v>
      </c>
      <c r="I1051" s="261"/>
      <c r="J1051" s="259"/>
      <c r="K1051" s="260">
        <f t="shared" si="30"/>
        <v>0.81920000000000015</v>
      </c>
      <c r="L1051" s="266" t="s">
        <v>1556</v>
      </c>
    </row>
    <row r="1052" spans="2:12">
      <c r="B1052" s="256" t="s">
        <v>1490</v>
      </c>
      <c r="C1052" s="250" t="s">
        <v>1441</v>
      </c>
      <c r="D1052" s="205" t="s">
        <v>110</v>
      </c>
      <c r="E1052" s="261">
        <v>0.2</v>
      </c>
      <c r="F1052" s="261">
        <v>0.8</v>
      </c>
      <c r="G1052" s="261">
        <v>5.12</v>
      </c>
      <c r="H1052" s="261">
        <v>1</v>
      </c>
      <c r="I1052" s="261"/>
      <c r="J1052" s="259"/>
      <c r="K1052" s="260">
        <f t="shared" si="30"/>
        <v>0.81920000000000015</v>
      </c>
      <c r="L1052" s="266" t="s">
        <v>1556</v>
      </c>
    </row>
    <row r="1053" spans="2:12">
      <c r="B1053" s="256" t="s">
        <v>1491</v>
      </c>
      <c r="C1053" s="250" t="s">
        <v>1441</v>
      </c>
      <c r="D1053" s="205" t="s">
        <v>110</v>
      </c>
      <c r="E1053" s="261">
        <v>0.3</v>
      </c>
      <c r="F1053" s="261">
        <v>0.3</v>
      </c>
      <c r="G1053" s="261">
        <v>5.12</v>
      </c>
      <c r="H1053" s="261">
        <v>1</v>
      </c>
      <c r="I1053" s="261"/>
      <c r="J1053" s="259"/>
      <c r="K1053" s="260">
        <f t="shared" si="30"/>
        <v>0.46079999999999999</v>
      </c>
      <c r="L1053" s="266" t="s">
        <v>1556</v>
      </c>
    </row>
    <row r="1054" spans="2:12">
      <c r="B1054" s="256" t="s">
        <v>1492</v>
      </c>
      <c r="C1054" s="250" t="s">
        <v>1441</v>
      </c>
      <c r="D1054" s="205" t="s">
        <v>110</v>
      </c>
      <c r="E1054" s="261">
        <v>0.3</v>
      </c>
      <c r="F1054" s="261">
        <v>0.3</v>
      </c>
      <c r="G1054" s="261">
        <v>5.12</v>
      </c>
      <c r="H1054" s="261">
        <v>1</v>
      </c>
      <c r="I1054" s="261"/>
      <c r="J1054" s="259"/>
      <c r="K1054" s="260">
        <f t="shared" si="30"/>
        <v>0.46079999999999999</v>
      </c>
      <c r="L1054" s="266" t="s">
        <v>1556</v>
      </c>
    </row>
    <row r="1055" spans="2:12">
      <c r="B1055" s="256" t="s">
        <v>1493</v>
      </c>
      <c r="C1055" s="250" t="s">
        <v>1441</v>
      </c>
      <c r="D1055" s="205" t="s">
        <v>110</v>
      </c>
      <c r="E1055" s="261">
        <v>0.4</v>
      </c>
      <c r="F1055" s="261">
        <v>0.4</v>
      </c>
      <c r="G1055" s="261">
        <v>5.12</v>
      </c>
      <c r="H1055" s="261">
        <v>1</v>
      </c>
      <c r="I1055" s="261"/>
      <c r="J1055" s="259"/>
      <c r="K1055" s="260">
        <f t="shared" si="30"/>
        <v>0.81920000000000015</v>
      </c>
      <c r="L1055" s="266" t="s">
        <v>1556</v>
      </c>
    </row>
    <row r="1056" spans="2:12">
      <c r="B1056" s="256" t="s">
        <v>1494</v>
      </c>
      <c r="C1056" s="250" t="s">
        <v>1441</v>
      </c>
      <c r="D1056" s="205" t="s">
        <v>110</v>
      </c>
      <c r="E1056" s="261">
        <v>0.4</v>
      </c>
      <c r="F1056" s="261">
        <v>0.4</v>
      </c>
      <c r="G1056" s="261">
        <v>5.12</v>
      </c>
      <c r="H1056" s="261">
        <v>1</v>
      </c>
      <c r="I1056" s="261"/>
      <c r="J1056" s="259"/>
      <c r="K1056" s="260">
        <f t="shared" si="30"/>
        <v>0.81920000000000015</v>
      </c>
      <c r="L1056" s="266" t="s">
        <v>1556</v>
      </c>
    </row>
    <row r="1057" spans="2:12">
      <c r="B1057" s="256" t="s">
        <v>1495</v>
      </c>
      <c r="C1057" s="250" t="s">
        <v>1441</v>
      </c>
      <c r="D1057" s="205" t="s">
        <v>110</v>
      </c>
      <c r="E1057" s="261">
        <v>0.4</v>
      </c>
      <c r="F1057" s="261">
        <v>0.4</v>
      </c>
      <c r="G1057" s="261">
        <v>5.12</v>
      </c>
      <c r="H1057" s="261">
        <v>1</v>
      </c>
      <c r="I1057" s="261"/>
      <c r="J1057" s="259"/>
      <c r="K1057" s="260">
        <f t="shared" si="30"/>
        <v>0.81920000000000015</v>
      </c>
      <c r="L1057" s="266" t="s">
        <v>1556</v>
      </c>
    </row>
    <row r="1058" spans="2:12">
      <c r="B1058" s="249" t="s">
        <v>1389</v>
      </c>
      <c r="C1058" s="250" t="s">
        <v>1521</v>
      </c>
      <c r="D1058" s="205" t="s">
        <v>110</v>
      </c>
      <c r="E1058" s="199">
        <v>0.5</v>
      </c>
      <c r="F1058" s="199">
        <v>0.4</v>
      </c>
      <c r="G1058" s="199">
        <v>3.6</v>
      </c>
      <c r="H1058" s="199">
        <v>1</v>
      </c>
      <c r="I1058" s="199"/>
      <c r="J1058" s="253"/>
      <c r="K1058" s="254">
        <f t="shared" si="30"/>
        <v>0.72000000000000008</v>
      </c>
      <c r="L1058" s="255" t="s">
        <v>1557</v>
      </c>
    </row>
    <row r="1059" spans="2:12">
      <c r="B1059" s="256" t="s">
        <v>1390</v>
      </c>
      <c r="C1059" s="250" t="s">
        <v>1521</v>
      </c>
      <c r="D1059" s="205" t="s">
        <v>110</v>
      </c>
      <c r="E1059" s="261">
        <v>1</v>
      </c>
      <c r="F1059" s="261">
        <v>0.2</v>
      </c>
      <c r="G1059" s="261">
        <v>3.6</v>
      </c>
      <c r="H1059" s="261">
        <v>1</v>
      </c>
      <c r="I1059" s="261"/>
      <c r="J1059" s="259"/>
      <c r="K1059" s="260">
        <f t="shared" si="30"/>
        <v>0.72000000000000008</v>
      </c>
      <c r="L1059" s="266" t="s">
        <v>1557</v>
      </c>
    </row>
    <row r="1060" spans="2:12">
      <c r="B1060" s="256" t="s">
        <v>1391</v>
      </c>
      <c r="C1060" s="250" t="s">
        <v>1521</v>
      </c>
      <c r="D1060" s="205" t="s">
        <v>110</v>
      </c>
      <c r="E1060" s="261">
        <v>1</v>
      </c>
      <c r="F1060" s="261">
        <v>0.2</v>
      </c>
      <c r="G1060" s="261">
        <v>3.6</v>
      </c>
      <c r="H1060" s="261">
        <v>1</v>
      </c>
      <c r="I1060" s="261"/>
      <c r="J1060" s="259"/>
      <c r="K1060" s="260">
        <f t="shared" si="30"/>
        <v>0.72000000000000008</v>
      </c>
      <c r="L1060" s="266" t="s">
        <v>1557</v>
      </c>
    </row>
    <row r="1061" spans="2:12">
      <c r="B1061" s="256" t="s">
        <v>1392</v>
      </c>
      <c r="C1061" s="250" t="s">
        <v>1521</v>
      </c>
      <c r="D1061" s="205" t="s">
        <v>110</v>
      </c>
      <c r="E1061" s="261">
        <v>0.4</v>
      </c>
      <c r="F1061" s="261">
        <v>0.4</v>
      </c>
      <c r="G1061" s="261">
        <v>3.6</v>
      </c>
      <c r="H1061" s="261">
        <v>1</v>
      </c>
      <c r="I1061" s="261"/>
      <c r="J1061" s="259"/>
      <c r="K1061" s="260">
        <f t="shared" si="30"/>
        <v>0.57600000000000018</v>
      </c>
      <c r="L1061" s="266" t="s">
        <v>1557</v>
      </c>
    </row>
    <row r="1062" spans="2:12">
      <c r="B1062" s="256" t="s">
        <v>1393</v>
      </c>
      <c r="C1062" s="250" t="s">
        <v>1521</v>
      </c>
      <c r="D1062" s="205" t="s">
        <v>110</v>
      </c>
      <c r="E1062" s="261">
        <v>0.3</v>
      </c>
      <c r="F1062" s="261">
        <v>0.3</v>
      </c>
      <c r="G1062" s="261">
        <v>3.6</v>
      </c>
      <c r="H1062" s="261">
        <v>1</v>
      </c>
      <c r="I1062" s="261"/>
      <c r="J1062" s="259"/>
      <c r="K1062" s="260">
        <f t="shared" si="30"/>
        <v>0.32400000000000001</v>
      </c>
      <c r="L1062" s="266" t="s">
        <v>1557</v>
      </c>
    </row>
    <row r="1063" spans="2:12">
      <c r="B1063" s="256" t="s">
        <v>1394</v>
      </c>
      <c r="C1063" s="250" t="s">
        <v>1521</v>
      </c>
      <c r="D1063" s="205" t="s">
        <v>110</v>
      </c>
      <c r="E1063" s="261">
        <v>0.4</v>
      </c>
      <c r="F1063" s="261">
        <v>0.4</v>
      </c>
      <c r="G1063" s="261">
        <v>3.6</v>
      </c>
      <c r="H1063" s="261">
        <v>1</v>
      </c>
      <c r="I1063" s="261"/>
      <c r="J1063" s="259"/>
      <c r="K1063" s="260">
        <f t="shared" si="30"/>
        <v>0.57600000000000018</v>
      </c>
      <c r="L1063" s="266" t="s">
        <v>1557</v>
      </c>
    </row>
    <row r="1064" spans="2:12">
      <c r="B1064" s="256" t="s">
        <v>1395</v>
      </c>
      <c r="C1064" s="250" t="s">
        <v>1521</v>
      </c>
      <c r="D1064" s="205" t="s">
        <v>110</v>
      </c>
      <c r="E1064" s="199">
        <v>0.5</v>
      </c>
      <c r="F1064" s="199">
        <v>0.4</v>
      </c>
      <c r="G1064" s="261">
        <v>3.6</v>
      </c>
      <c r="H1064" s="261">
        <v>1</v>
      </c>
      <c r="I1064" s="261"/>
      <c r="J1064" s="259"/>
      <c r="K1064" s="260">
        <f t="shared" si="30"/>
        <v>0.72000000000000008</v>
      </c>
      <c r="L1064" s="266" t="s">
        <v>1557</v>
      </c>
    </row>
    <row r="1065" spans="2:12">
      <c r="B1065" s="256" t="s">
        <v>1396</v>
      </c>
      <c r="C1065" s="250" t="s">
        <v>1521</v>
      </c>
      <c r="D1065" s="205" t="s">
        <v>110</v>
      </c>
      <c r="E1065" s="199">
        <v>0.5</v>
      </c>
      <c r="F1065" s="199">
        <v>0.4</v>
      </c>
      <c r="G1065" s="261">
        <v>3.6</v>
      </c>
      <c r="H1065" s="261">
        <v>1</v>
      </c>
      <c r="I1065" s="261"/>
      <c r="J1065" s="259"/>
      <c r="K1065" s="260">
        <f t="shared" si="30"/>
        <v>0.72000000000000008</v>
      </c>
      <c r="L1065" s="266" t="s">
        <v>1557</v>
      </c>
    </row>
    <row r="1066" spans="2:12">
      <c r="B1066" s="256" t="s">
        <v>1397</v>
      </c>
      <c r="C1066" s="250" t="s">
        <v>1521</v>
      </c>
      <c r="D1066" s="205" t="s">
        <v>110</v>
      </c>
      <c r="E1066" s="261">
        <v>1</v>
      </c>
      <c r="F1066" s="261">
        <v>0.2</v>
      </c>
      <c r="G1066" s="261">
        <v>3.6</v>
      </c>
      <c r="H1066" s="261">
        <v>1</v>
      </c>
      <c r="I1066" s="261"/>
      <c r="J1066" s="259"/>
      <c r="K1066" s="260">
        <f t="shared" si="30"/>
        <v>0.72000000000000008</v>
      </c>
      <c r="L1066" s="266" t="s">
        <v>1557</v>
      </c>
    </row>
    <row r="1067" spans="2:12">
      <c r="B1067" s="256" t="s">
        <v>1398</v>
      </c>
      <c r="C1067" s="250" t="s">
        <v>1521</v>
      </c>
      <c r="D1067" s="205" t="s">
        <v>110</v>
      </c>
      <c r="E1067" s="261">
        <v>0.3</v>
      </c>
      <c r="F1067" s="261">
        <v>0.3</v>
      </c>
      <c r="G1067" s="261">
        <v>3.6</v>
      </c>
      <c r="H1067" s="261">
        <v>1</v>
      </c>
      <c r="I1067" s="261"/>
      <c r="J1067" s="259"/>
      <c r="K1067" s="260">
        <f t="shared" si="30"/>
        <v>0.32400000000000001</v>
      </c>
      <c r="L1067" s="266" t="s">
        <v>1557</v>
      </c>
    </row>
    <row r="1068" spans="2:12">
      <c r="B1068" s="256" t="s">
        <v>1399</v>
      </c>
      <c r="C1068" s="250" t="s">
        <v>1521</v>
      </c>
      <c r="D1068" s="205" t="s">
        <v>110</v>
      </c>
      <c r="E1068" s="261">
        <v>0.4</v>
      </c>
      <c r="F1068" s="261">
        <v>0.4</v>
      </c>
      <c r="G1068" s="261">
        <v>3.6</v>
      </c>
      <c r="H1068" s="261">
        <v>1</v>
      </c>
      <c r="I1068" s="261"/>
      <c r="J1068" s="259"/>
      <c r="K1068" s="260">
        <f t="shared" si="30"/>
        <v>0.57600000000000018</v>
      </c>
      <c r="L1068" s="266" t="s">
        <v>1557</v>
      </c>
    </row>
    <row r="1069" spans="2:12">
      <c r="B1069" s="256" t="s">
        <v>1400</v>
      </c>
      <c r="C1069" s="250" t="s">
        <v>1521</v>
      </c>
      <c r="D1069" s="205" t="s">
        <v>110</v>
      </c>
      <c r="E1069" s="199">
        <v>0.5</v>
      </c>
      <c r="F1069" s="199">
        <v>0.4</v>
      </c>
      <c r="G1069" s="261">
        <v>3.6</v>
      </c>
      <c r="H1069" s="261">
        <v>1</v>
      </c>
      <c r="I1069" s="261"/>
      <c r="J1069" s="259"/>
      <c r="K1069" s="260">
        <f t="shared" ref="K1069:K1132" si="31">IF(E1069*F1069*G1069&lt;&gt;0,E1069*F1069*G1069,IF(E1069*F1069&lt;&gt;0,E1069*F1069,IF(F1069*G1069&lt;&gt;0,F1069*G1069,IF(E1069*G1069&lt;&gt;0,E1069*G1069,IF(E1069&lt;&gt;0,E1069,IF(F1069&lt;&gt;0,F1069,IF(G1069&lt;&gt;0,G1069,0)))))))*(IF(H1069&lt;&gt;0,H1069,1))+I1069-J1069</f>
        <v>0.72000000000000008</v>
      </c>
      <c r="L1069" s="266" t="s">
        <v>1557</v>
      </c>
    </row>
    <row r="1070" spans="2:12">
      <c r="B1070" s="256" t="s">
        <v>1401</v>
      </c>
      <c r="C1070" s="250" t="s">
        <v>1521</v>
      </c>
      <c r="D1070" s="205" t="s">
        <v>110</v>
      </c>
      <c r="E1070" s="199">
        <v>0.5</v>
      </c>
      <c r="F1070" s="199">
        <v>0.4</v>
      </c>
      <c r="G1070" s="261">
        <v>3.6</v>
      </c>
      <c r="H1070" s="261">
        <v>1</v>
      </c>
      <c r="I1070" s="261"/>
      <c r="J1070" s="259"/>
      <c r="K1070" s="260">
        <f t="shared" si="31"/>
        <v>0.72000000000000008</v>
      </c>
      <c r="L1070" s="266" t="s">
        <v>1557</v>
      </c>
    </row>
    <row r="1071" spans="2:12">
      <c r="B1071" s="256" t="s">
        <v>1402</v>
      </c>
      <c r="C1071" s="250" t="s">
        <v>1521</v>
      </c>
      <c r="D1071" s="205" t="s">
        <v>110</v>
      </c>
      <c r="E1071" s="261">
        <v>1</v>
      </c>
      <c r="F1071" s="261">
        <v>0.2</v>
      </c>
      <c r="G1071" s="261">
        <v>3.6</v>
      </c>
      <c r="H1071" s="261">
        <v>1</v>
      </c>
      <c r="I1071" s="261"/>
      <c r="J1071" s="259"/>
      <c r="K1071" s="260">
        <f t="shared" si="31"/>
        <v>0.72000000000000008</v>
      </c>
      <c r="L1071" s="266" t="s">
        <v>1557</v>
      </c>
    </row>
    <row r="1072" spans="2:12">
      <c r="B1072" s="256" t="s">
        <v>1403</v>
      </c>
      <c r="C1072" s="250" t="s">
        <v>1521</v>
      </c>
      <c r="D1072" s="205" t="s">
        <v>110</v>
      </c>
      <c r="E1072" s="261">
        <v>0.3</v>
      </c>
      <c r="F1072" s="261">
        <v>0.3</v>
      </c>
      <c r="G1072" s="261">
        <v>3.6</v>
      </c>
      <c r="H1072" s="261">
        <v>1</v>
      </c>
      <c r="I1072" s="261"/>
      <c r="J1072" s="259"/>
      <c r="K1072" s="260">
        <f t="shared" si="31"/>
        <v>0.32400000000000001</v>
      </c>
      <c r="L1072" s="266" t="s">
        <v>1557</v>
      </c>
    </row>
    <row r="1073" spans="2:12">
      <c r="B1073" s="256" t="s">
        <v>1404</v>
      </c>
      <c r="C1073" s="250" t="s">
        <v>1521</v>
      </c>
      <c r="D1073" s="205" t="s">
        <v>110</v>
      </c>
      <c r="E1073" s="261">
        <v>0.6</v>
      </c>
      <c r="F1073" s="261">
        <v>0.2</v>
      </c>
      <c r="G1073" s="261">
        <v>3.6</v>
      </c>
      <c r="H1073" s="261">
        <v>1</v>
      </c>
      <c r="I1073" s="261"/>
      <c r="J1073" s="259"/>
      <c r="K1073" s="260">
        <f t="shared" si="31"/>
        <v>0.432</v>
      </c>
      <c r="L1073" s="266" t="s">
        <v>1557</v>
      </c>
    </row>
    <row r="1074" spans="2:12">
      <c r="B1074" s="256" t="s">
        <v>1405</v>
      </c>
      <c r="C1074" s="250" t="s">
        <v>1521</v>
      </c>
      <c r="D1074" s="205" t="s">
        <v>110</v>
      </c>
      <c r="E1074" s="261">
        <v>0.6</v>
      </c>
      <c r="F1074" s="261">
        <v>0.2</v>
      </c>
      <c r="G1074" s="261">
        <v>3.6</v>
      </c>
      <c r="H1074" s="261">
        <v>1</v>
      </c>
      <c r="I1074" s="261"/>
      <c r="J1074" s="259"/>
      <c r="K1074" s="260">
        <f t="shared" si="31"/>
        <v>0.432</v>
      </c>
      <c r="L1074" s="266" t="s">
        <v>1557</v>
      </c>
    </row>
    <row r="1075" spans="2:12">
      <c r="B1075" s="256" t="s">
        <v>1406</v>
      </c>
      <c r="C1075" s="250" t="s">
        <v>1521</v>
      </c>
      <c r="D1075" s="205" t="s">
        <v>110</v>
      </c>
      <c r="E1075" s="261">
        <v>0.4</v>
      </c>
      <c r="F1075" s="261">
        <v>0.4</v>
      </c>
      <c r="G1075" s="261">
        <v>3.6</v>
      </c>
      <c r="H1075" s="261">
        <v>1</v>
      </c>
      <c r="I1075" s="261"/>
      <c r="J1075" s="259"/>
      <c r="K1075" s="260">
        <f t="shared" si="31"/>
        <v>0.57600000000000018</v>
      </c>
      <c r="L1075" s="266" t="s">
        <v>1557</v>
      </c>
    </row>
    <row r="1076" spans="2:12">
      <c r="B1076" s="256" t="s">
        <v>1407</v>
      </c>
      <c r="C1076" s="250" t="s">
        <v>1521</v>
      </c>
      <c r="D1076" s="205" t="s">
        <v>110</v>
      </c>
      <c r="E1076" s="199">
        <v>0.5</v>
      </c>
      <c r="F1076" s="199">
        <v>0.4</v>
      </c>
      <c r="G1076" s="261">
        <v>3.6</v>
      </c>
      <c r="H1076" s="261">
        <v>1</v>
      </c>
      <c r="I1076" s="261"/>
      <c r="J1076" s="259"/>
      <c r="K1076" s="260">
        <f t="shared" si="31"/>
        <v>0.72000000000000008</v>
      </c>
      <c r="L1076" s="266" t="s">
        <v>1557</v>
      </c>
    </row>
    <row r="1077" spans="2:12">
      <c r="B1077" s="256" t="s">
        <v>1408</v>
      </c>
      <c r="C1077" s="250" t="s">
        <v>1521</v>
      </c>
      <c r="D1077" s="205" t="s">
        <v>110</v>
      </c>
      <c r="E1077" s="261">
        <v>0.5</v>
      </c>
      <c r="F1077" s="261">
        <v>0.4</v>
      </c>
      <c r="G1077" s="261">
        <v>3.6</v>
      </c>
      <c r="H1077" s="261">
        <v>1</v>
      </c>
      <c r="I1077" s="261"/>
      <c r="J1077" s="259"/>
      <c r="K1077" s="260">
        <f t="shared" si="31"/>
        <v>0.72000000000000008</v>
      </c>
      <c r="L1077" s="266" t="s">
        <v>1557</v>
      </c>
    </row>
    <row r="1078" spans="2:12">
      <c r="B1078" s="256" t="s">
        <v>1409</v>
      </c>
      <c r="C1078" s="250" t="s">
        <v>1521</v>
      </c>
      <c r="D1078" s="205" t="s">
        <v>110</v>
      </c>
      <c r="E1078" s="261">
        <v>1</v>
      </c>
      <c r="F1078" s="261">
        <v>0.2</v>
      </c>
      <c r="G1078" s="261">
        <v>3.6</v>
      </c>
      <c r="H1078" s="261">
        <v>1</v>
      </c>
      <c r="I1078" s="261"/>
      <c r="J1078" s="259"/>
      <c r="K1078" s="260">
        <f t="shared" si="31"/>
        <v>0.72000000000000008</v>
      </c>
      <c r="L1078" s="266" t="s">
        <v>1557</v>
      </c>
    </row>
    <row r="1079" spans="2:12">
      <c r="B1079" s="256" t="s">
        <v>1410</v>
      </c>
      <c r="C1079" s="250" t="s">
        <v>1521</v>
      </c>
      <c r="D1079" s="205" t="s">
        <v>110</v>
      </c>
      <c r="E1079" s="261">
        <v>0.45</v>
      </c>
      <c r="F1079" s="261">
        <v>0.3</v>
      </c>
      <c r="G1079" s="261">
        <v>3.6</v>
      </c>
      <c r="H1079" s="261">
        <v>1</v>
      </c>
      <c r="I1079" s="261"/>
      <c r="J1079" s="259"/>
      <c r="K1079" s="260">
        <f t="shared" si="31"/>
        <v>0.48600000000000004</v>
      </c>
      <c r="L1079" s="266" t="s">
        <v>1557</v>
      </c>
    </row>
    <row r="1080" spans="2:12">
      <c r="B1080" s="256" t="s">
        <v>1411</v>
      </c>
      <c r="C1080" s="250" t="s">
        <v>1521</v>
      </c>
      <c r="D1080" s="205" t="s">
        <v>110</v>
      </c>
      <c r="E1080" s="261">
        <v>0.45</v>
      </c>
      <c r="F1080" s="261">
        <v>0.3</v>
      </c>
      <c r="G1080" s="261">
        <v>3.6</v>
      </c>
      <c r="H1080" s="261">
        <v>1</v>
      </c>
      <c r="I1080" s="261"/>
      <c r="J1080" s="259"/>
      <c r="K1080" s="260">
        <f t="shared" si="31"/>
        <v>0.48600000000000004</v>
      </c>
      <c r="L1080" s="266" t="s">
        <v>1557</v>
      </c>
    </row>
    <row r="1081" spans="2:12">
      <c r="B1081" s="256" t="s">
        <v>1412</v>
      </c>
      <c r="C1081" s="250" t="s">
        <v>1521</v>
      </c>
      <c r="D1081" s="205" t="s">
        <v>110</v>
      </c>
      <c r="E1081" s="261">
        <v>0.55000000000000004</v>
      </c>
      <c r="F1081" s="261">
        <v>0.3</v>
      </c>
      <c r="G1081" s="261">
        <v>3.6</v>
      </c>
      <c r="H1081" s="261">
        <v>1</v>
      </c>
      <c r="I1081" s="261"/>
      <c r="J1081" s="259"/>
      <c r="K1081" s="260">
        <f t="shared" si="31"/>
        <v>0.59400000000000008</v>
      </c>
      <c r="L1081" s="266" t="s">
        <v>1557</v>
      </c>
    </row>
    <row r="1082" spans="2:12">
      <c r="B1082" s="256" t="s">
        <v>1413</v>
      </c>
      <c r="C1082" s="250" t="s">
        <v>1521</v>
      </c>
      <c r="D1082" s="205" t="s">
        <v>110</v>
      </c>
      <c r="E1082" s="261">
        <v>0.55000000000000004</v>
      </c>
      <c r="F1082" s="261">
        <v>0.3</v>
      </c>
      <c r="G1082" s="261">
        <v>3.6</v>
      </c>
      <c r="H1082" s="261">
        <v>1</v>
      </c>
      <c r="I1082" s="261"/>
      <c r="J1082" s="259"/>
      <c r="K1082" s="260">
        <f t="shared" si="31"/>
        <v>0.59400000000000008</v>
      </c>
      <c r="L1082" s="266" t="s">
        <v>1557</v>
      </c>
    </row>
    <row r="1083" spans="2:12">
      <c r="B1083" s="256" t="s">
        <v>1414</v>
      </c>
      <c r="C1083" s="250" t="s">
        <v>1521</v>
      </c>
      <c r="D1083" s="205" t="s">
        <v>110</v>
      </c>
      <c r="E1083" s="261">
        <v>0.55000000000000004</v>
      </c>
      <c r="F1083" s="261">
        <v>0.3</v>
      </c>
      <c r="G1083" s="261">
        <v>3.6</v>
      </c>
      <c r="H1083" s="261">
        <v>1</v>
      </c>
      <c r="I1083" s="261"/>
      <c r="J1083" s="259"/>
      <c r="K1083" s="260">
        <f t="shared" si="31"/>
        <v>0.59400000000000008</v>
      </c>
      <c r="L1083" s="266" t="s">
        <v>1557</v>
      </c>
    </row>
    <row r="1084" spans="2:12">
      <c r="B1084" s="256" t="s">
        <v>1415</v>
      </c>
      <c r="C1084" s="250" t="s">
        <v>1521</v>
      </c>
      <c r="D1084" s="205" t="s">
        <v>110</v>
      </c>
      <c r="E1084" s="261">
        <v>0.55000000000000004</v>
      </c>
      <c r="F1084" s="261">
        <v>0.3</v>
      </c>
      <c r="G1084" s="261">
        <v>3.6</v>
      </c>
      <c r="H1084" s="261">
        <v>1</v>
      </c>
      <c r="I1084" s="261"/>
      <c r="J1084" s="259"/>
      <c r="K1084" s="260">
        <f t="shared" si="31"/>
        <v>0.59400000000000008</v>
      </c>
      <c r="L1084" s="266" t="s">
        <v>1557</v>
      </c>
    </row>
    <row r="1085" spans="2:12">
      <c r="B1085" s="256" t="s">
        <v>1416</v>
      </c>
      <c r="C1085" s="250" t="s">
        <v>1521</v>
      </c>
      <c r="D1085" s="205" t="s">
        <v>110</v>
      </c>
      <c r="E1085" s="261">
        <v>0.45</v>
      </c>
      <c r="F1085" s="261">
        <v>0.3</v>
      </c>
      <c r="G1085" s="261">
        <v>3.6</v>
      </c>
      <c r="H1085" s="261">
        <v>1</v>
      </c>
      <c r="I1085" s="261"/>
      <c r="J1085" s="259"/>
      <c r="K1085" s="260">
        <f t="shared" si="31"/>
        <v>0.48600000000000004</v>
      </c>
      <c r="L1085" s="266" t="s">
        <v>1557</v>
      </c>
    </row>
    <row r="1086" spans="2:12">
      <c r="B1086" s="256" t="s">
        <v>1417</v>
      </c>
      <c r="C1086" s="250" t="s">
        <v>1521</v>
      </c>
      <c r="D1086" s="205" t="s">
        <v>110</v>
      </c>
      <c r="E1086" s="261">
        <v>0.45</v>
      </c>
      <c r="F1086" s="261">
        <v>0.3</v>
      </c>
      <c r="G1086" s="261">
        <v>3.6</v>
      </c>
      <c r="H1086" s="261">
        <v>1</v>
      </c>
      <c r="I1086" s="261"/>
      <c r="J1086" s="259"/>
      <c r="K1086" s="260">
        <f t="shared" si="31"/>
        <v>0.48600000000000004</v>
      </c>
      <c r="L1086" s="266" t="s">
        <v>1557</v>
      </c>
    </row>
    <row r="1087" spans="2:12">
      <c r="B1087" s="256" t="s">
        <v>1418</v>
      </c>
      <c r="C1087" s="250" t="s">
        <v>1521</v>
      </c>
      <c r="D1087" s="205" t="s">
        <v>110</v>
      </c>
      <c r="E1087" s="261">
        <v>0.8</v>
      </c>
      <c r="F1087" s="261">
        <v>0.2</v>
      </c>
      <c r="G1087" s="261">
        <v>3.6</v>
      </c>
      <c r="H1087" s="261">
        <v>1</v>
      </c>
      <c r="I1087" s="261"/>
      <c r="J1087" s="259"/>
      <c r="K1087" s="260">
        <f t="shared" si="31"/>
        <v>0.57600000000000018</v>
      </c>
      <c r="L1087" s="266" t="s">
        <v>1557</v>
      </c>
    </row>
    <row r="1088" spans="2:12">
      <c r="B1088" s="249" t="s">
        <v>1389</v>
      </c>
      <c r="C1088" s="250" t="s">
        <v>1521</v>
      </c>
      <c r="D1088" s="205" t="s">
        <v>110</v>
      </c>
      <c r="E1088" s="199">
        <v>0.5</v>
      </c>
      <c r="F1088" s="199">
        <v>0.4</v>
      </c>
      <c r="G1088" s="199">
        <v>3.6</v>
      </c>
      <c r="H1088" s="199">
        <v>1</v>
      </c>
      <c r="I1088" s="199"/>
      <c r="J1088" s="253"/>
      <c r="K1088" s="254">
        <f t="shared" si="31"/>
        <v>0.72000000000000008</v>
      </c>
      <c r="L1088" s="266" t="s">
        <v>1714</v>
      </c>
    </row>
    <row r="1089" spans="2:12">
      <c r="B1089" s="256" t="s">
        <v>1390</v>
      </c>
      <c r="C1089" s="250" t="s">
        <v>1521</v>
      </c>
      <c r="D1089" s="205" t="s">
        <v>110</v>
      </c>
      <c r="E1089" s="261">
        <v>1</v>
      </c>
      <c r="F1089" s="261">
        <v>0.2</v>
      </c>
      <c r="G1089" s="261">
        <v>3.6</v>
      </c>
      <c r="H1089" s="261">
        <v>1</v>
      </c>
      <c r="I1089" s="261"/>
      <c r="J1089" s="259"/>
      <c r="K1089" s="260">
        <f t="shared" si="31"/>
        <v>0.72000000000000008</v>
      </c>
      <c r="L1089" s="266" t="s">
        <v>1714</v>
      </c>
    </row>
    <row r="1090" spans="2:12">
      <c r="B1090" s="256" t="s">
        <v>1391</v>
      </c>
      <c r="C1090" s="250" t="s">
        <v>1521</v>
      </c>
      <c r="D1090" s="205" t="s">
        <v>110</v>
      </c>
      <c r="E1090" s="261">
        <v>1</v>
      </c>
      <c r="F1090" s="261">
        <v>0.2</v>
      </c>
      <c r="G1090" s="261">
        <v>3.6</v>
      </c>
      <c r="H1090" s="261">
        <v>1</v>
      </c>
      <c r="I1090" s="261"/>
      <c r="J1090" s="259"/>
      <c r="K1090" s="260">
        <f t="shared" si="31"/>
        <v>0.72000000000000008</v>
      </c>
      <c r="L1090" s="266" t="s">
        <v>1714</v>
      </c>
    </row>
    <row r="1091" spans="2:12">
      <c r="B1091" s="256" t="s">
        <v>1392</v>
      </c>
      <c r="C1091" s="250" t="s">
        <v>1521</v>
      </c>
      <c r="D1091" s="205" t="s">
        <v>110</v>
      </c>
      <c r="E1091" s="261">
        <v>0.4</v>
      </c>
      <c r="F1091" s="261">
        <v>0.4</v>
      </c>
      <c r="G1091" s="261">
        <v>3.6</v>
      </c>
      <c r="H1091" s="261">
        <v>1</v>
      </c>
      <c r="I1091" s="261"/>
      <c r="J1091" s="259"/>
      <c r="K1091" s="260">
        <f t="shared" si="31"/>
        <v>0.57600000000000018</v>
      </c>
      <c r="L1091" s="266" t="s">
        <v>1714</v>
      </c>
    </row>
    <row r="1092" spans="2:12">
      <c r="B1092" s="256" t="s">
        <v>1394</v>
      </c>
      <c r="C1092" s="250" t="s">
        <v>1521</v>
      </c>
      <c r="D1092" s="205" t="s">
        <v>110</v>
      </c>
      <c r="E1092" s="261">
        <v>0.4</v>
      </c>
      <c r="F1092" s="261">
        <v>0.4</v>
      </c>
      <c r="G1092" s="261">
        <v>3.6</v>
      </c>
      <c r="H1092" s="261">
        <v>1</v>
      </c>
      <c r="I1092" s="261"/>
      <c r="J1092" s="259"/>
      <c r="K1092" s="260">
        <f t="shared" si="31"/>
        <v>0.57600000000000018</v>
      </c>
      <c r="L1092" s="266" t="s">
        <v>1714</v>
      </c>
    </row>
    <row r="1093" spans="2:12">
      <c r="B1093" s="256" t="s">
        <v>1395</v>
      </c>
      <c r="C1093" s="250" t="s">
        <v>1521</v>
      </c>
      <c r="D1093" s="205" t="s">
        <v>110</v>
      </c>
      <c r="E1093" s="199">
        <v>0.5</v>
      </c>
      <c r="F1093" s="199">
        <v>0.4</v>
      </c>
      <c r="G1093" s="261">
        <v>3.6</v>
      </c>
      <c r="H1093" s="261">
        <v>1</v>
      </c>
      <c r="I1093" s="261"/>
      <c r="J1093" s="259"/>
      <c r="K1093" s="260">
        <f t="shared" si="31"/>
        <v>0.72000000000000008</v>
      </c>
      <c r="L1093" s="266" t="s">
        <v>1714</v>
      </c>
    </row>
    <row r="1094" spans="2:12">
      <c r="B1094" s="256" t="s">
        <v>1396</v>
      </c>
      <c r="C1094" s="250" t="s">
        <v>1521</v>
      </c>
      <c r="D1094" s="205" t="s">
        <v>110</v>
      </c>
      <c r="E1094" s="199">
        <v>0.5</v>
      </c>
      <c r="F1094" s="199">
        <v>0.4</v>
      </c>
      <c r="G1094" s="261">
        <v>3.6</v>
      </c>
      <c r="H1094" s="261">
        <v>1</v>
      </c>
      <c r="I1094" s="261"/>
      <c r="J1094" s="259"/>
      <c r="K1094" s="260">
        <f t="shared" si="31"/>
        <v>0.72000000000000008</v>
      </c>
      <c r="L1094" s="266" t="s">
        <v>1714</v>
      </c>
    </row>
    <row r="1095" spans="2:12">
      <c r="B1095" s="256" t="s">
        <v>1397</v>
      </c>
      <c r="C1095" s="250" t="s">
        <v>1521</v>
      </c>
      <c r="D1095" s="205" t="s">
        <v>110</v>
      </c>
      <c r="E1095" s="261">
        <v>1</v>
      </c>
      <c r="F1095" s="261">
        <v>0.2</v>
      </c>
      <c r="G1095" s="261">
        <v>3.6</v>
      </c>
      <c r="H1095" s="261">
        <v>1</v>
      </c>
      <c r="I1095" s="261"/>
      <c r="J1095" s="259"/>
      <c r="K1095" s="260">
        <f t="shared" si="31"/>
        <v>0.72000000000000008</v>
      </c>
      <c r="L1095" s="266" t="s">
        <v>1714</v>
      </c>
    </row>
    <row r="1096" spans="2:12">
      <c r="B1096" s="256" t="s">
        <v>1399</v>
      </c>
      <c r="C1096" s="250" t="s">
        <v>1521</v>
      </c>
      <c r="D1096" s="205" t="s">
        <v>110</v>
      </c>
      <c r="E1096" s="261">
        <v>0.4</v>
      </c>
      <c r="F1096" s="261">
        <v>0.4</v>
      </c>
      <c r="G1096" s="261">
        <v>3.6</v>
      </c>
      <c r="H1096" s="261">
        <v>1</v>
      </c>
      <c r="I1096" s="261"/>
      <c r="J1096" s="259"/>
      <c r="K1096" s="260">
        <f t="shared" si="31"/>
        <v>0.57600000000000018</v>
      </c>
      <c r="L1096" s="266" t="s">
        <v>1714</v>
      </c>
    </row>
    <row r="1097" spans="2:12">
      <c r="B1097" s="256" t="s">
        <v>1400</v>
      </c>
      <c r="C1097" s="250" t="s">
        <v>1521</v>
      </c>
      <c r="D1097" s="205" t="s">
        <v>110</v>
      </c>
      <c r="E1097" s="199">
        <v>0.5</v>
      </c>
      <c r="F1097" s="199">
        <v>0.4</v>
      </c>
      <c r="G1097" s="261">
        <v>3.6</v>
      </c>
      <c r="H1097" s="261">
        <v>1</v>
      </c>
      <c r="I1097" s="261"/>
      <c r="J1097" s="259"/>
      <c r="K1097" s="260">
        <f t="shared" si="31"/>
        <v>0.72000000000000008</v>
      </c>
      <c r="L1097" s="266" t="s">
        <v>1714</v>
      </c>
    </row>
    <row r="1098" spans="2:12">
      <c r="B1098" s="256" t="s">
        <v>1401</v>
      </c>
      <c r="C1098" s="250" t="s">
        <v>1521</v>
      </c>
      <c r="D1098" s="205" t="s">
        <v>110</v>
      </c>
      <c r="E1098" s="199">
        <v>0.5</v>
      </c>
      <c r="F1098" s="199">
        <v>0.4</v>
      </c>
      <c r="G1098" s="261">
        <v>3.6</v>
      </c>
      <c r="H1098" s="261">
        <v>1</v>
      </c>
      <c r="I1098" s="261"/>
      <c r="J1098" s="259"/>
      <c r="K1098" s="260">
        <f t="shared" si="31"/>
        <v>0.72000000000000008</v>
      </c>
      <c r="L1098" s="266" t="s">
        <v>1714</v>
      </c>
    </row>
    <row r="1099" spans="2:12">
      <c r="B1099" s="256" t="s">
        <v>1402</v>
      </c>
      <c r="C1099" s="250" t="s">
        <v>1521</v>
      </c>
      <c r="D1099" s="205" t="s">
        <v>110</v>
      </c>
      <c r="E1099" s="261">
        <v>1</v>
      </c>
      <c r="F1099" s="261">
        <v>0.2</v>
      </c>
      <c r="G1099" s="261">
        <v>3.6</v>
      </c>
      <c r="H1099" s="261">
        <v>1</v>
      </c>
      <c r="I1099" s="261"/>
      <c r="J1099" s="259"/>
      <c r="K1099" s="260">
        <f t="shared" si="31"/>
        <v>0.72000000000000008</v>
      </c>
      <c r="L1099" s="266" t="s">
        <v>1714</v>
      </c>
    </row>
    <row r="1100" spans="2:12">
      <c r="B1100" s="256" t="s">
        <v>1404</v>
      </c>
      <c r="C1100" s="250" t="s">
        <v>1611</v>
      </c>
      <c r="D1100" s="205" t="s">
        <v>110</v>
      </c>
      <c r="E1100" s="261">
        <v>0.2</v>
      </c>
      <c r="F1100" s="261">
        <v>0.6</v>
      </c>
      <c r="G1100" s="261">
        <v>3.6</v>
      </c>
      <c r="H1100" s="261">
        <v>1</v>
      </c>
      <c r="I1100" s="261"/>
      <c r="J1100" s="259"/>
      <c r="K1100" s="260">
        <f t="shared" si="31"/>
        <v>0.432</v>
      </c>
      <c r="L1100" s="266" t="s">
        <v>1714</v>
      </c>
    </row>
    <row r="1101" spans="2:12">
      <c r="B1101" s="256" t="s">
        <v>1405</v>
      </c>
      <c r="C1101" s="250" t="s">
        <v>1611</v>
      </c>
      <c r="D1101" s="205" t="s">
        <v>110</v>
      </c>
      <c r="E1101" s="261">
        <v>0.2</v>
      </c>
      <c r="F1101" s="261">
        <v>0.6</v>
      </c>
      <c r="G1101" s="261">
        <v>3.6</v>
      </c>
      <c r="H1101" s="261">
        <v>1</v>
      </c>
      <c r="I1101" s="261"/>
      <c r="J1101" s="259"/>
      <c r="K1101" s="260">
        <f t="shared" si="31"/>
        <v>0.432</v>
      </c>
      <c r="L1101" s="266" t="s">
        <v>1714</v>
      </c>
    </row>
    <row r="1102" spans="2:12">
      <c r="B1102" s="256" t="s">
        <v>1406</v>
      </c>
      <c r="C1102" s="250" t="s">
        <v>1611</v>
      </c>
      <c r="D1102" s="205" t="s">
        <v>110</v>
      </c>
      <c r="E1102" s="261">
        <v>0.4</v>
      </c>
      <c r="F1102" s="261">
        <v>0.4</v>
      </c>
      <c r="G1102" s="261">
        <v>3.6</v>
      </c>
      <c r="H1102" s="261">
        <v>1</v>
      </c>
      <c r="I1102" s="261"/>
      <c r="J1102" s="259"/>
      <c r="K1102" s="260">
        <f t="shared" si="31"/>
        <v>0.57600000000000018</v>
      </c>
      <c r="L1102" s="266" t="s">
        <v>1714</v>
      </c>
    </row>
    <row r="1103" spans="2:12">
      <c r="B1103" s="256" t="s">
        <v>1407</v>
      </c>
      <c r="C1103" s="250" t="s">
        <v>1611</v>
      </c>
      <c r="D1103" s="205" t="s">
        <v>110</v>
      </c>
      <c r="E1103" s="261">
        <v>0.5</v>
      </c>
      <c r="F1103" s="261">
        <v>0.4</v>
      </c>
      <c r="G1103" s="261">
        <v>3.6</v>
      </c>
      <c r="H1103" s="261">
        <v>1</v>
      </c>
      <c r="I1103" s="261"/>
      <c r="J1103" s="259"/>
      <c r="K1103" s="260">
        <f t="shared" si="31"/>
        <v>0.72000000000000008</v>
      </c>
      <c r="L1103" s="266" t="s">
        <v>1714</v>
      </c>
    </row>
    <row r="1104" spans="2:12">
      <c r="B1104" s="256" t="s">
        <v>1408</v>
      </c>
      <c r="C1104" s="250" t="s">
        <v>1611</v>
      </c>
      <c r="D1104" s="205" t="s">
        <v>110</v>
      </c>
      <c r="E1104" s="261">
        <v>0.5</v>
      </c>
      <c r="F1104" s="261">
        <v>0.4</v>
      </c>
      <c r="G1104" s="261">
        <v>3.6</v>
      </c>
      <c r="H1104" s="261">
        <v>1</v>
      </c>
      <c r="I1104" s="261"/>
      <c r="J1104" s="259"/>
      <c r="K1104" s="260">
        <f t="shared" si="31"/>
        <v>0.72000000000000008</v>
      </c>
      <c r="L1104" s="266" t="s">
        <v>1714</v>
      </c>
    </row>
    <row r="1105" spans="2:12">
      <c r="B1105" s="256" t="s">
        <v>1409</v>
      </c>
      <c r="C1105" s="250" t="s">
        <v>1611</v>
      </c>
      <c r="D1105" s="205" t="s">
        <v>110</v>
      </c>
      <c r="E1105" s="261">
        <v>0.2</v>
      </c>
      <c r="F1105" s="261">
        <v>1</v>
      </c>
      <c r="G1105" s="261">
        <v>3.6</v>
      </c>
      <c r="H1105" s="261">
        <v>1</v>
      </c>
      <c r="I1105" s="261"/>
      <c r="J1105" s="259"/>
      <c r="K1105" s="260">
        <f t="shared" si="31"/>
        <v>0.72000000000000008</v>
      </c>
      <c r="L1105" s="266" t="s">
        <v>1714</v>
      </c>
    </row>
    <row r="1106" spans="2:12">
      <c r="B1106" s="256" t="s">
        <v>1410</v>
      </c>
      <c r="C1106" s="250" t="s">
        <v>1611</v>
      </c>
      <c r="D1106" s="205" t="s">
        <v>110</v>
      </c>
      <c r="E1106" s="261">
        <v>0.45</v>
      </c>
      <c r="F1106" s="261">
        <v>0.3</v>
      </c>
      <c r="G1106" s="261">
        <v>3.6</v>
      </c>
      <c r="H1106" s="261">
        <v>1</v>
      </c>
      <c r="I1106" s="261"/>
      <c r="J1106" s="259"/>
      <c r="K1106" s="260">
        <f t="shared" si="31"/>
        <v>0.48600000000000004</v>
      </c>
      <c r="L1106" s="266" t="s">
        <v>1714</v>
      </c>
    </row>
    <row r="1107" spans="2:12">
      <c r="B1107" s="256" t="s">
        <v>1412</v>
      </c>
      <c r="C1107" s="250" t="s">
        <v>1611</v>
      </c>
      <c r="D1107" s="205" t="s">
        <v>110</v>
      </c>
      <c r="E1107" s="261">
        <v>0.55000000000000004</v>
      </c>
      <c r="F1107" s="261">
        <v>0.3</v>
      </c>
      <c r="G1107" s="261">
        <v>3.6</v>
      </c>
      <c r="H1107" s="261">
        <v>1</v>
      </c>
      <c r="I1107" s="261"/>
      <c r="J1107" s="259"/>
      <c r="K1107" s="260">
        <f t="shared" si="31"/>
        <v>0.59400000000000008</v>
      </c>
      <c r="L1107" s="266" t="s">
        <v>1714</v>
      </c>
    </row>
    <row r="1108" spans="2:12">
      <c r="B1108" s="256" t="s">
        <v>1414</v>
      </c>
      <c r="C1108" s="250" t="s">
        <v>1611</v>
      </c>
      <c r="D1108" s="205" t="s">
        <v>110</v>
      </c>
      <c r="E1108" s="261">
        <v>0.55000000000000004</v>
      </c>
      <c r="F1108" s="261">
        <v>0.3</v>
      </c>
      <c r="G1108" s="261">
        <v>3.6</v>
      </c>
      <c r="H1108" s="261">
        <v>1</v>
      </c>
      <c r="I1108" s="261"/>
      <c r="J1108" s="259"/>
      <c r="K1108" s="260">
        <f t="shared" si="31"/>
        <v>0.59400000000000008</v>
      </c>
      <c r="L1108" s="266" t="s">
        <v>1714</v>
      </c>
    </row>
    <row r="1109" spans="2:12">
      <c r="B1109" s="256" t="s">
        <v>1416</v>
      </c>
      <c r="C1109" s="250" t="s">
        <v>1611</v>
      </c>
      <c r="D1109" s="205" t="s">
        <v>110</v>
      </c>
      <c r="E1109" s="261">
        <v>0.45</v>
      </c>
      <c r="F1109" s="261">
        <v>0.3</v>
      </c>
      <c r="G1109" s="261">
        <v>3.6</v>
      </c>
      <c r="H1109" s="261">
        <v>1</v>
      </c>
      <c r="I1109" s="261"/>
      <c r="J1109" s="259"/>
      <c r="K1109" s="260">
        <f t="shared" si="31"/>
        <v>0.48600000000000004</v>
      </c>
      <c r="L1109" s="266" t="s">
        <v>1714</v>
      </c>
    </row>
    <row r="1110" spans="2:12">
      <c r="B1110" s="256" t="s">
        <v>1418</v>
      </c>
      <c r="C1110" s="250" t="s">
        <v>1611</v>
      </c>
      <c r="D1110" s="205" t="s">
        <v>110</v>
      </c>
      <c r="E1110" s="261">
        <v>0.2</v>
      </c>
      <c r="F1110" s="261">
        <v>0.8</v>
      </c>
      <c r="G1110" s="261">
        <v>3.6</v>
      </c>
      <c r="H1110" s="261">
        <v>1</v>
      </c>
      <c r="I1110" s="261"/>
      <c r="J1110" s="259"/>
      <c r="K1110" s="260">
        <f t="shared" si="31"/>
        <v>0.57600000000000018</v>
      </c>
      <c r="L1110" s="266" t="s">
        <v>1714</v>
      </c>
    </row>
    <row r="1111" spans="2:12">
      <c r="B1111" s="256" t="s">
        <v>1411</v>
      </c>
      <c r="C1111" s="250" t="s">
        <v>1611</v>
      </c>
      <c r="D1111" s="205" t="s">
        <v>110</v>
      </c>
      <c r="E1111" s="261">
        <v>0.45</v>
      </c>
      <c r="F1111" s="261">
        <v>0.3</v>
      </c>
      <c r="G1111" s="261">
        <v>3.6</v>
      </c>
      <c r="H1111" s="261">
        <v>1</v>
      </c>
      <c r="I1111" s="261"/>
      <c r="J1111" s="259"/>
      <c r="K1111" s="260">
        <f t="shared" si="31"/>
        <v>0.48600000000000004</v>
      </c>
      <c r="L1111" s="266" t="s">
        <v>1682</v>
      </c>
    </row>
    <row r="1112" spans="2:12">
      <c r="B1112" s="256" t="s">
        <v>1413</v>
      </c>
      <c r="C1112" s="250" t="s">
        <v>1611</v>
      </c>
      <c r="D1112" s="205" t="s">
        <v>110</v>
      </c>
      <c r="E1112" s="261">
        <v>0.55000000000000004</v>
      </c>
      <c r="F1112" s="261">
        <v>0.3</v>
      </c>
      <c r="G1112" s="261">
        <v>3.6</v>
      </c>
      <c r="H1112" s="261">
        <v>1</v>
      </c>
      <c r="I1112" s="261"/>
      <c r="J1112" s="259"/>
      <c r="K1112" s="260">
        <f t="shared" si="31"/>
        <v>0.59400000000000008</v>
      </c>
      <c r="L1112" s="266" t="s">
        <v>1682</v>
      </c>
    </row>
    <row r="1113" spans="2:12">
      <c r="B1113" s="256" t="s">
        <v>1415</v>
      </c>
      <c r="C1113" s="250" t="s">
        <v>1611</v>
      </c>
      <c r="D1113" s="205" t="s">
        <v>110</v>
      </c>
      <c r="E1113" s="261">
        <v>0.55000000000000004</v>
      </c>
      <c r="F1113" s="261">
        <v>0.3</v>
      </c>
      <c r="G1113" s="261">
        <v>3.6</v>
      </c>
      <c r="H1113" s="261">
        <v>1</v>
      </c>
      <c r="I1113" s="261"/>
      <c r="J1113" s="259"/>
      <c r="K1113" s="260">
        <f t="shared" si="31"/>
        <v>0.59400000000000008</v>
      </c>
      <c r="L1113" s="266" t="s">
        <v>1682</v>
      </c>
    </row>
    <row r="1114" spans="2:12">
      <c r="B1114" s="256" t="s">
        <v>1417</v>
      </c>
      <c r="C1114" s="250" t="s">
        <v>1611</v>
      </c>
      <c r="D1114" s="205" t="s">
        <v>110</v>
      </c>
      <c r="E1114" s="261">
        <v>0.45</v>
      </c>
      <c r="F1114" s="261">
        <v>0.3</v>
      </c>
      <c r="G1114" s="261">
        <v>3.6</v>
      </c>
      <c r="H1114" s="261">
        <v>1</v>
      </c>
      <c r="I1114" s="261"/>
      <c r="J1114" s="259"/>
      <c r="K1114" s="260">
        <f t="shared" si="31"/>
        <v>0.48600000000000004</v>
      </c>
      <c r="L1114" s="266" t="s">
        <v>1682</v>
      </c>
    </row>
    <row r="1115" spans="2:12">
      <c r="B1115" s="256" t="s">
        <v>1419</v>
      </c>
      <c r="C1115" s="250" t="s">
        <v>1611</v>
      </c>
      <c r="D1115" s="205" t="s">
        <v>110</v>
      </c>
      <c r="E1115" s="261">
        <v>0.2</v>
      </c>
      <c r="F1115" s="261">
        <v>0.8</v>
      </c>
      <c r="G1115" s="261">
        <v>3.6</v>
      </c>
      <c r="H1115" s="261">
        <v>1</v>
      </c>
      <c r="I1115" s="261"/>
      <c r="J1115" s="259"/>
      <c r="K1115" s="260">
        <f t="shared" si="31"/>
        <v>0.57600000000000018</v>
      </c>
      <c r="L1115" s="266" t="s">
        <v>1682</v>
      </c>
    </row>
    <row r="1116" spans="2:12">
      <c r="B1116" s="256" t="s">
        <v>1420</v>
      </c>
      <c r="C1116" s="250" t="s">
        <v>1611</v>
      </c>
      <c r="D1116" s="205" t="s">
        <v>110</v>
      </c>
      <c r="E1116" s="261">
        <v>0.3</v>
      </c>
      <c r="F1116" s="261">
        <v>0.8</v>
      </c>
      <c r="G1116" s="261">
        <v>3.6</v>
      </c>
      <c r="H1116" s="261">
        <v>1</v>
      </c>
      <c r="I1116" s="261"/>
      <c r="J1116" s="259"/>
      <c r="K1116" s="260">
        <f t="shared" si="31"/>
        <v>0.86399999999999999</v>
      </c>
      <c r="L1116" s="266" t="s">
        <v>1682</v>
      </c>
    </row>
    <row r="1117" spans="2:12">
      <c r="B1117" s="256" t="s">
        <v>1421</v>
      </c>
      <c r="C1117" s="250" t="s">
        <v>1611</v>
      </c>
      <c r="D1117" s="205" t="s">
        <v>110</v>
      </c>
      <c r="E1117" s="261">
        <v>0.2</v>
      </c>
      <c r="F1117" s="261">
        <v>0.8</v>
      </c>
      <c r="G1117" s="261">
        <v>3.6</v>
      </c>
      <c r="H1117" s="261">
        <v>1</v>
      </c>
      <c r="I1117" s="261"/>
      <c r="J1117" s="259"/>
      <c r="K1117" s="260">
        <f t="shared" si="31"/>
        <v>0.57600000000000018</v>
      </c>
      <c r="L1117" s="266" t="s">
        <v>1682</v>
      </c>
    </row>
    <row r="1118" spans="2:12">
      <c r="B1118" s="256" t="s">
        <v>1422</v>
      </c>
      <c r="C1118" s="250" t="s">
        <v>1611</v>
      </c>
      <c r="D1118" s="205" t="s">
        <v>110</v>
      </c>
      <c r="E1118" s="261">
        <v>0.3</v>
      </c>
      <c r="F1118" s="261">
        <v>0.8</v>
      </c>
      <c r="G1118" s="261">
        <v>3.6</v>
      </c>
      <c r="H1118" s="261">
        <v>1</v>
      </c>
      <c r="I1118" s="261"/>
      <c r="J1118" s="259"/>
      <c r="K1118" s="260">
        <f t="shared" si="31"/>
        <v>0.86399999999999999</v>
      </c>
      <c r="L1118" s="266" t="s">
        <v>1682</v>
      </c>
    </row>
    <row r="1119" spans="2:12">
      <c r="B1119" s="256" t="s">
        <v>1423</v>
      </c>
      <c r="C1119" s="250" t="s">
        <v>1611</v>
      </c>
      <c r="D1119" s="205" t="s">
        <v>110</v>
      </c>
      <c r="E1119" s="261">
        <v>0.4</v>
      </c>
      <c r="F1119" s="261">
        <v>0.7</v>
      </c>
      <c r="G1119" s="261">
        <v>3.6</v>
      </c>
      <c r="H1119" s="261">
        <v>1</v>
      </c>
      <c r="I1119" s="261"/>
      <c r="J1119" s="259"/>
      <c r="K1119" s="260">
        <f t="shared" si="31"/>
        <v>1.008</v>
      </c>
      <c r="L1119" s="266" t="s">
        <v>1682</v>
      </c>
    </row>
    <row r="1120" spans="2:12">
      <c r="B1120" s="256" t="s">
        <v>1424</v>
      </c>
      <c r="C1120" s="250" t="s">
        <v>1611</v>
      </c>
      <c r="D1120" s="205" t="s">
        <v>110</v>
      </c>
      <c r="E1120" s="261">
        <v>0.5</v>
      </c>
      <c r="F1120" s="261">
        <v>0.7</v>
      </c>
      <c r="G1120" s="261">
        <v>3.6</v>
      </c>
      <c r="H1120" s="261">
        <v>1</v>
      </c>
      <c r="I1120" s="261"/>
      <c r="J1120" s="259"/>
      <c r="K1120" s="260">
        <f t="shared" si="31"/>
        <v>1.26</v>
      </c>
      <c r="L1120" s="266" t="s">
        <v>1682</v>
      </c>
    </row>
    <row r="1121" spans="2:12">
      <c r="B1121" s="256" t="s">
        <v>1425</v>
      </c>
      <c r="C1121" s="250" t="s">
        <v>1611</v>
      </c>
      <c r="D1121" s="205" t="s">
        <v>110</v>
      </c>
      <c r="E1121" s="261">
        <v>0.5</v>
      </c>
      <c r="F1121" s="261">
        <v>0.7</v>
      </c>
      <c r="G1121" s="261">
        <v>3.6</v>
      </c>
      <c r="H1121" s="261">
        <v>1</v>
      </c>
      <c r="I1121" s="261"/>
      <c r="J1121" s="259"/>
      <c r="K1121" s="260">
        <f t="shared" si="31"/>
        <v>1.26</v>
      </c>
      <c r="L1121" s="266" t="s">
        <v>1682</v>
      </c>
    </row>
    <row r="1122" spans="2:12">
      <c r="B1122" s="256" t="s">
        <v>1426</v>
      </c>
      <c r="C1122" s="250" t="s">
        <v>1611</v>
      </c>
      <c r="D1122" s="205" t="s">
        <v>110</v>
      </c>
      <c r="E1122" s="261">
        <v>0.4</v>
      </c>
      <c r="F1122" s="261">
        <v>0.5</v>
      </c>
      <c r="G1122" s="261">
        <v>3.6</v>
      </c>
      <c r="H1122" s="261">
        <v>1</v>
      </c>
      <c r="I1122" s="261"/>
      <c r="J1122" s="259"/>
      <c r="K1122" s="260">
        <f t="shared" si="31"/>
        <v>0.72000000000000008</v>
      </c>
      <c r="L1122" s="266" t="s">
        <v>1682</v>
      </c>
    </row>
    <row r="1123" spans="2:12">
      <c r="B1123" s="256" t="s">
        <v>1485</v>
      </c>
      <c r="C1123" s="250" t="s">
        <v>1611</v>
      </c>
      <c r="D1123" s="205" t="s">
        <v>110</v>
      </c>
      <c r="E1123" s="261">
        <v>0.6</v>
      </c>
      <c r="F1123" s="261">
        <v>0.4</v>
      </c>
      <c r="G1123" s="261">
        <v>3.6</v>
      </c>
      <c r="H1123" s="261">
        <v>1</v>
      </c>
      <c r="I1123" s="261"/>
      <c r="J1123" s="259"/>
      <c r="K1123" s="260">
        <f t="shared" si="31"/>
        <v>0.86399999999999999</v>
      </c>
      <c r="L1123" s="266" t="s">
        <v>1682</v>
      </c>
    </row>
    <row r="1124" spans="2:12">
      <c r="B1124" s="256" t="s">
        <v>1486</v>
      </c>
      <c r="C1124" s="250" t="s">
        <v>1611</v>
      </c>
      <c r="D1124" s="205" t="s">
        <v>110</v>
      </c>
      <c r="E1124" s="261">
        <v>0.2</v>
      </c>
      <c r="F1124" s="261">
        <v>2.94</v>
      </c>
      <c r="G1124" s="261">
        <v>3.6</v>
      </c>
      <c r="H1124" s="261">
        <v>1</v>
      </c>
      <c r="I1124" s="261"/>
      <c r="J1124" s="259"/>
      <c r="K1124" s="260">
        <f t="shared" si="31"/>
        <v>2.1168</v>
      </c>
      <c r="L1124" s="266" t="s">
        <v>1682</v>
      </c>
    </row>
    <row r="1125" spans="2:12">
      <c r="B1125" s="256" t="s">
        <v>1487</v>
      </c>
      <c r="C1125" s="250" t="s">
        <v>1611</v>
      </c>
      <c r="D1125" s="205" t="s">
        <v>110</v>
      </c>
      <c r="E1125" s="261">
        <v>0.2</v>
      </c>
      <c r="F1125" s="261">
        <v>2.94</v>
      </c>
      <c r="G1125" s="261">
        <v>3.6</v>
      </c>
      <c r="H1125" s="261">
        <v>1</v>
      </c>
      <c r="I1125" s="261"/>
      <c r="J1125" s="259"/>
      <c r="K1125" s="260">
        <f t="shared" si="31"/>
        <v>2.1168</v>
      </c>
      <c r="L1125" s="266" t="s">
        <v>1682</v>
      </c>
    </row>
    <row r="1126" spans="2:12">
      <c r="B1126" s="256" t="s">
        <v>1488</v>
      </c>
      <c r="C1126" s="250" t="s">
        <v>1611</v>
      </c>
      <c r="D1126" s="205" t="s">
        <v>110</v>
      </c>
      <c r="E1126" s="261">
        <v>0.6</v>
      </c>
      <c r="F1126" s="261">
        <v>0.5</v>
      </c>
      <c r="G1126" s="261">
        <v>3.6</v>
      </c>
      <c r="H1126" s="261">
        <v>1</v>
      </c>
      <c r="I1126" s="261"/>
      <c r="J1126" s="259"/>
      <c r="K1126" s="260">
        <f t="shared" si="31"/>
        <v>1.08</v>
      </c>
      <c r="L1126" s="266" t="s">
        <v>1682</v>
      </c>
    </row>
    <row r="1127" spans="2:12">
      <c r="B1127" s="256" t="s">
        <v>1489</v>
      </c>
      <c r="C1127" s="250" t="s">
        <v>1611</v>
      </c>
      <c r="D1127" s="205" t="s">
        <v>110</v>
      </c>
      <c r="E1127" s="261">
        <v>0.4</v>
      </c>
      <c r="F1127" s="261">
        <v>0.4</v>
      </c>
      <c r="G1127" s="261">
        <v>3.6</v>
      </c>
      <c r="H1127" s="261">
        <v>1</v>
      </c>
      <c r="I1127" s="261"/>
      <c r="J1127" s="259"/>
      <c r="K1127" s="260">
        <f t="shared" si="31"/>
        <v>0.57600000000000018</v>
      </c>
      <c r="L1127" s="266" t="s">
        <v>1682</v>
      </c>
    </row>
    <row r="1128" spans="2:12">
      <c r="B1128" s="256" t="s">
        <v>1490</v>
      </c>
      <c r="C1128" s="250" t="s">
        <v>1611</v>
      </c>
      <c r="D1128" s="205" t="s">
        <v>110</v>
      </c>
      <c r="E1128" s="261">
        <v>0.2</v>
      </c>
      <c r="F1128" s="261">
        <v>0.8</v>
      </c>
      <c r="G1128" s="261">
        <v>3.6</v>
      </c>
      <c r="H1128" s="261">
        <v>1</v>
      </c>
      <c r="I1128" s="261"/>
      <c r="J1128" s="259"/>
      <c r="K1128" s="260">
        <f t="shared" si="31"/>
        <v>0.57600000000000018</v>
      </c>
      <c r="L1128" s="266" t="s">
        <v>1682</v>
      </c>
    </row>
    <row r="1129" spans="2:12">
      <c r="B1129" s="256" t="s">
        <v>1493</v>
      </c>
      <c r="C1129" s="250" t="s">
        <v>1611</v>
      </c>
      <c r="D1129" s="205" t="s">
        <v>110</v>
      </c>
      <c r="E1129" s="261">
        <v>0.4</v>
      </c>
      <c r="F1129" s="261">
        <v>0.4</v>
      </c>
      <c r="G1129" s="261">
        <v>3.6</v>
      </c>
      <c r="H1129" s="261">
        <v>1</v>
      </c>
      <c r="I1129" s="261"/>
      <c r="J1129" s="259"/>
      <c r="K1129" s="260">
        <f t="shared" si="31"/>
        <v>0.57600000000000018</v>
      </c>
      <c r="L1129" s="266" t="s">
        <v>1682</v>
      </c>
    </row>
    <row r="1130" spans="2:12">
      <c r="B1130" s="256" t="s">
        <v>1494</v>
      </c>
      <c r="C1130" s="250" t="s">
        <v>1611</v>
      </c>
      <c r="D1130" s="205" t="s">
        <v>110</v>
      </c>
      <c r="E1130" s="261">
        <v>0.4</v>
      </c>
      <c r="F1130" s="261">
        <v>0.4</v>
      </c>
      <c r="G1130" s="261">
        <v>3.6</v>
      </c>
      <c r="H1130" s="261">
        <v>1</v>
      </c>
      <c r="I1130" s="261"/>
      <c r="J1130" s="259"/>
      <c r="K1130" s="260">
        <f t="shared" si="31"/>
        <v>0.57600000000000018</v>
      </c>
      <c r="L1130" s="266" t="s">
        <v>1682</v>
      </c>
    </row>
    <row r="1131" spans="2:12">
      <c r="B1131" s="256" t="s">
        <v>1495</v>
      </c>
      <c r="C1131" s="250" t="s">
        <v>1611</v>
      </c>
      <c r="D1131" s="205" t="s">
        <v>110</v>
      </c>
      <c r="E1131" s="261">
        <v>0.4</v>
      </c>
      <c r="F1131" s="261">
        <v>0.4</v>
      </c>
      <c r="G1131" s="261">
        <v>3.6</v>
      </c>
      <c r="H1131" s="261">
        <v>1</v>
      </c>
      <c r="I1131" s="261"/>
      <c r="J1131" s="259"/>
      <c r="K1131" s="260">
        <f t="shared" si="31"/>
        <v>0.57600000000000018</v>
      </c>
      <c r="L1131" s="266" t="s">
        <v>1682</v>
      </c>
    </row>
    <row r="1132" spans="2:12">
      <c r="B1132" s="256" t="s">
        <v>1389</v>
      </c>
      <c r="C1132" s="264" t="s">
        <v>1612</v>
      </c>
      <c r="D1132" s="210" t="s">
        <v>110</v>
      </c>
      <c r="E1132" s="261">
        <v>0.5</v>
      </c>
      <c r="F1132" s="261">
        <v>0.4</v>
      </c>
      <c r="G1132" s="261">
        <v>3.6</v>
      </c>
      <c r="H1132" s="261">
        <v>1</v>
      </c>
      <c r="I1132" s="261"/>
      <c r="J1132" s="259"/>
      <c r="K1132" s="260">
        <f t="shared" si="31"/>
        <v>0.72000000000000008</v>
      </c>
      <c r="L1132" s="266" t="s">
        <v>1683</v>
      </c>
    </row>
    <row r="1133" spans="2:12">
      <c r="B1133" s="256" t="s">
        <v>1390</v>
      </c>
      <c r="C1133" s="264" t="s">
        <v>1612</v>
      </c>
      <c r="D1133" s="210" t="s">
        <v>110</v>
      </c>
      <c r="E1133" s="261">
        <v>1</v>
      </c>
      <c r="F1133" s="261">
        <v>0.2</v>
      </c>
      <c r="G1133" s="261">
        <v>3.6</v>
      </c>
      <c r="H1133" s="261">
        <v>1</v>
      </c>
      <c r="I1133" s="261"/>
      <c r="J1133" s="259"/>
      <c r="K1133" s="260">
        <f t="shared" ref="K1133:K1196" si="32">IF(E1133*F1133*G1133&lt;&gt;0,E1133*F1133*G1133,IF(E1133*F1133&lt;&gt;0,E1133*F1133,IF(F1133*G1133&lt;&gt;0,F1133*G1133,IF(E1133*G1133&lt;&gt;0,E1133*G1133,IF(E1133&lt;&gt;0,E1133,IF(F1133&lt;&gt;0,F1133,IF(G1133&lt;&gt;0,G1133,0)))))))*(IF(H1133&lt;&gt;0,H1133,1))+I1133-J1133</f>
        <v>0.72000000000000008</v>
      </c>
      <c r="L1133" s="266" t="s">
        <v>1683</v>
      </c>
    </row>
    <row r="1134" spans="2:12">
      <c r="B1134" s="256" t="s">
        <v>1391</v>
      </c>
      <c r="C1134" s="264" t="s">
        <v>1612</v>
      </c>
      <c r="D1134" s="210" t="s">
        <v>110</v>
      </c>
      <c r="E1134" s="261">
        <v>1</v>
      </c>
      <c r="F1134" s="261">
        <v>0.2</v>
      </c>
      <c r="G1134" s="261">
        <v>3.6</v>
      </c>
      <c r="H1134" s="261">
        <v>1</v>
      </c>
      <c r="I1134" s="261"/>
      <c r="J1134" s="259"/>
      <c r="K1134" s="260">
        <f t="shared" si="32"/>
        <v>0.72000000000000008</v>
      </c>
      <c r="L1134" s="266" t="s">
        <v>1683</v>
      </c>
    </row>
    <row r="1135" spans="2:12">
      <c r="B1135" s="256" t="s">
        <v>1392</v>
      </c>
      <c r="C1135" s="264" t="s">
        <v>1612</v>
      </c>
      <c r="D1135" s="210" t="s">
        <v>110</v>
      </c>
      <c r="E1135" s="261">
        <v>0.4</v>
      </c>
      <c r="F1135" s="261">
        <v>0.4</v>
      </c>
      <c r="G1135" s="261">
        <v>3.6</v>
      </c>
      <c r="H1135" s="261">
        <v>1</v>
      </c>
      <c r="I1135" s="261"/>
      <c r="J1135" s="259"/>
      <c r="K1135" s="260">
        <f t="shared" si="32"/>
        <v>0.57600000000000018</v>
      </c>
      <c r="L1135" s="266" t="s">
        <v>1683</v>
      </c>
    </row>
    <row r="1136" spans="2:12">
      <c r="B1136" s="256" t="s">
        <v>1394</v>
      </c>
      <c r="C1136" s="264" t="s">
        <v>1612</v>
      </c>
      <c r="D1136" s="210" t="s">
        <v>110</v>
      </c>
      <c r="E1136" s="261">
        <v>0.4</v>
      </c>
      <c r="F1136" s="261">
        <v>0.4</v>
      </c>
      <c r="G1136" s="261">
        <v>3.6</v>
      </c>
      <c r="H1136" s="261">
        <v>1</v>
      </c>
      <c r="I1136" s="261"/>
      <c r="J1136" s="259"/>
      <c r="K1136" s="260">
        <f t="shared" si="32"/>
        <v>0.57600000000000018</v>
      </c>
      <c r="L1136" s="266" t="s">
        <v>1683</v>
      </c>
    </row>
    <row r="1137" spans="2:12">
      <c r="B1137" s="256" t="s">
        <v>1395</v>
      </c>
      <c r="C1137" s="264" t="s">
        <v>1612</v>
      </c>
      <c r="D1137" s="210" t="s">
        <v>110</v>
      </c>
      <c r="E1137" s="261">
        <v>0.5</v>
      </c>
      <c r="F1137" s="261">
        <v>0.4</v>
      </c>
      <c r="G1137" s="261">
        <v>3.6</v>
      </c>
      <c r="H1137" s="261">
        <v>1</v>
      </c>
      <c r="I1137" s="261"/>
      <c r="J1137" s="259"/>
      <c r="K1137" s="260">
        <f t="shared" si="32"/>
        <v>0.72000000000000008</v>
      </c>
      <c r="L1137" s="266" t="s">
        <v>1683</v>
      </c>
    </row>
    <row r="1138" spans="2:12">
      <c r="B1138" s="256" t="s">
        <v>1396</v>
      </c>
      <c r="C1138" s="264" t="s">
        <v>1612</v>
      </c>
      <c r="D1138" s="210" t="s">
        <v>110</v>
      </c>
      <c r="E1138" s="261">
        <v>0.5</v>
      </c>
      <c r="F1138" s="261">
        <v>0.4</v>
      </c>
      <c r="G1138" s="261">
        <v>3.6</v>
      </c>
      <c r="H1138" s="261">
        <v>1</v>
      </c>
      <c r="I1138" s="261"/>
      <c r="J1138" s="259"/>
      <c r="K1138" s="260">
        <f t="shared" si="32"/>
        <v>0.72000000000000008</v>
      </c>
      <c r="L1138" s="266" t="s">
        <v>1683</v>
      </c>
    </row>
    <row r="1139" spans="2:12">
      <c r="B1139" s="256" t="s">
        <v>1397</v>
      </c>
      <c r="C1139" s="264" t="s">
        <v>1612</v>
      </c>
      <c r="D1139" s="210" t="s">
        <v>110</v>
      </c>
      <c r="E1139" s="261">
        <v>1</v>
      </c>
      <c r="F1139" s="261">
        <v>0.2</v>
      </c>
      <c r="G1139" s="261">
        <v>3.6</v>
      </c>
      <c r="H1139" s="261">
        <v>1</v>
      </c>
      <c r="I1139" s="261"/>
      <c r="J1139" s="259"/>
      <c r="K1139" s="260">
        <f t="shared" si="32"/>
        <v>0.72000000000000008</v>
      </c>
      <c r="L1139" s="266" t="s">
        <v>1683</v>
      </c>
    </row>
    <row r="1140" spans="2:12">
      <c r="B1140" s="256" t="s">
        <v>1399</v>
      </c>
      <c r="C1140" s="264" t="s">
        <v>1612</v>
      </c>
      <c r="D1140" s="210" t="s">
        <v>110</v>
      </c>
      <c r="E1140" s="261">
        <v>0.4</v>
      </c>
      <c r="F1140" s="261">
        <v>0.4</v>
      </c>
      <c r="G1140" s="261">
        <v>3.6</v>
      </c>
      <c r="H1140" s="261">
        <v>1</v>
      </c>
      <c r="I1140" s="261"/>
      <c r="J1140" s="259"/>
      <c r="K1140" s="260">
        <f t="shared" si="32"/>
        <v>0.57600000000000018</v>
      </c>
      <c r="L1140" s="266" t="s">
        <v>1683</v>
      </c>
    </row>
    <row r="1141" spans="2:12">
      <c r="B1141" s="256" t="s">
        <v>1400</v>
      </c>
      <c r="C1141" s="264" t="s">
        <v>1612</v>
      </c>
      <c r="D1141" s="210" t="s">
        <v>110</v>
      </c>
      <c r="E1141" s="261">
        <v>0.5</v>
      </c>
      <c r="F1141" s="261">
        <v>0.4</v>
      </c>
      <c r="G1141" s="261">
        <v>3.6</v>
      </c>
      <c r="H1141" s="261">
        <v>1</v>
      </c>
      <c r="I1141" s="261"/>
      <c r="J1141" s="259"/>
      <c r="K1141" s="260">
        <f t="shared" si="32"/>
        <v>0.72000000000000008</v>
      </c>
      <c r="L1141" s="266" t="s">
        <v>1683</v>
      </c>
    </row>
    <row r="1142" spans="2:12">
      <c r="B1142" s="256" t="s">
        <v>1401</v>
      </c>
      <c r="C1142" s="264" t="s">
        <v>1612</v>
      </c>
      <c r="D1142" s="210" t="s">
        <v>110</v>
      </c>
      <c r="E1142" s="261">
        <v>0.5</v>
      </c>
      <c r="F1142" s="261">
        <v>0.4</v>
      </c>
      <c r="G1142" s="261">
        <v>3.6</v>
      </c>
      <c r="H1142" s="261">
        <v>1</v>
      </c>
      <c r="I1142" s="261"/>
      <c r="J1142" s="259"/>
      <c r="K1142" s="260">
        <f t="shared" si="32"/>
        <v>0.72000000000000008</v>
      </c>
      <c r="L1142" s="266" t="s">
        <v>1683</v>
      </c>
    </row>
    <row r="1143" spans="2:12">
      <c r="B1143" s="256" t="s">
        <v>1402</v>
      </c>
      <c r="C1143" s="264" t="s">
        <v>1612</v>
      </c>
      <c r="D1143" s="210" t="s">
        <v>110</v>
      </c>
      <c r="E1143" s="261">
        <v>1</v>
      </c>
      <c r="F1143" s="261">
        <v>0.2</v>
      </c>
      <c r="G1143" s="261">
        <v>3.6</v>
      </c>
      <c r="H1143" s="261">
        <v>1</v>
      </c>
      <c r="I1143" s="261"/>
      <c r="J1143" s="259"/>
      <c r="K1143" s="260">
        <f t="shared" si="32"/>
        <v>0.72000000000000008</v>
      </c>
      <c r="L1143" s="266" t="s">
        <v>1683</v>
      </c>
    </row>
    <row r="1144" spans="2:12">
      <c r="B1144" s="256" t="s">
        <v>1404</v>
      </c>
      <c r="C1144" s="264" t="s">
        <v>1612</v>
      </c>
      <c r="D1144" s="210" t="s">
        <v>110</v>
      </c>
      <c r="E1144" s="261">
        <v>0.2</v>
      </c>
      <c r="F1144" s="261">
        <v>0.6</v>
      </c>
      <c r="G1144" s="261">
        <v>3.6</v>
      </c>
      <c r="H1144" s="261">
        <v>1</v>
      </c>
      <c r="I1144" s="261"/>
      <c r="J1144" s="259"/>
      <c r="K1144" s="260">
        <f t="shared" si="32"/>
        <v>0.432</v>
      </c>
      <c r="L1144" s="266" t="s">
        <v>1683</v>
      </c>
    </row>
    <row r="1145" spans="2:12">
      <c r="B1145" s="256" t="s">
        <v>1405</v>
      </c>
      <c r="C1145" s="264" t="s">
        <v>1612</v>
      </c>
      <c r="D1145" s="210" t="s">
        <v>110</v>
      </c>
      <c r="E1145" s="261">
        <v>0.2</v>
      </c>
      <c r="F1145" s="261">
        <v>0.6</v>
      </c>
      <c r="G1145" s="261">
        <v>3.6</v>
      </c>
      <c r="H1145" s="261">
        <v>1</v>
      </c>
      <c r="I1145" s="261"/>
      <c r="J1145" s="259"/>
      <c r="K1145" s="260">
        <f t="shared" si="32"/>
        <v>0.432</v>
      </c>
      <c r="L1145" s="266" t="s">
        <v>1683</v>
      </c>
    </row>
    <row r="1146" spans="2:12">
      <c r="B1146" s="256" t="s">
        <v>1406</v>
      </c>
      <c r="C1146" s="264" t="s">
        <v>1612</v>
      </c>
      <c r="D1146" s="210" t="s">
        <v>110</v>
      </c>
      <c r="E1146" s="261">
        <v>0.4</v>
      </c>
      <c r="F1146" s="261">
        <v>0.4</v>
      </c>
      <c r="G1146" s="261">
        <v>3.6</v>
      </c>
      <c r="H1146" s="261">
        <v>1</v>
      </c>
      <c r="I1146" s="261"/>
      <c r="J1146" s="259"/>
      <c r="K1146" s="260">
        <f t="shared" si="32"/>
        <v>0.57600000000000018</v>
      </c>
      <c r="L1146" s="266" t="s">
        <v>1683</v>
      </c>
    </row>
    <row r="1147" spans="2:12">
      <c r="B1147" s="256" t="s">
        <v>1407</v>
      </c>
      <c r="C1147" s="264" t="s">
        <v>1612</v>
      </c>
      <c r="D1147" s="210" t="s">
        <v>110</v>
      </c>
      <c r="E1147" s="261">
        <v>0.5</v>
      </c>
      <c r="F1147" s="261">
        <v>0.4</v>
      </c>
      <c r="G1147" s="261">
        <v>3.6</v>
      </c>
      <c r="H1147" s="261">
        <v>1</v>
      </c>
      <c r="I1147" s="261"/>
      <c r="J1147" s="259"/>
      <c r="K1147" s="260">
        <f t="shared" si="32"/>
        <v>0.72000000000000008</v>
      </c>
      <c r="L1147" s="266" t="s">
        <v>1683</v>
      </c>
    </row>
    <row r="1148" spans="2:12">
      <c r="B1148" s="256" t="s">
        <v>1408</v>
      </c>
      <c r="C1148" s="264" t="s">
        <v>1612</v>
      </c>
      <c r="D1148" s="210" t="s">
        <v>110</v>
      </c>
      <c r="E1148" s="261">
        <v>0.5</v>
      </c>
      <c r="F1148" s="261">
        <v>0.4</v>
      </c>
      <c r="G1148" s="261">
        <v>3.6</v>
      </c>
      <c r="H1148" s="261">
        <v>1</v>
      </c>
      <c r="I1148" s="261"/>
      <c r="J1148" s="259"/>
      <c r="K1148" s="260">
        <f t="shared" si="32"/>
        <v>0.72000000000000008</v>
      </c>
      <c r="L1148" s="266" t="s">
        <v>1683</v>
      </c>
    </row>
    <row r="1149" spans="2:12">
      <c r="B1149" s="256" t="s">
        <v>1409</v>
      </c>
      <c r="C1149" s="264" t="s">
        <v>1612</v>
      </c>
      <c r="D1149" s="210" t="s">
        <v>110</v>
      </c>
      <c r="E1149" s="261">
        <v>0.2</v>
      </c>
      <c r="F1149" s="261">
        <v>1</v>
      </c>
      <c r="G1149" s="261">
        <v>3.6</v>
      </c>
      <c r="H1149" s="261">
        <v>1</v>
      </c>
      <c r="I1149" s="261"/>
      <c r="J1149" s="259"/>
      <c r="K1149" s="260">
        <f t="shared" si="32"/>
        <v>0.72000000000000008</v>
      </c>
      <c r="L1149" s="266" t="s">
        <v>1683</v>
      </c>
    </row>
    <row r="1150" spans="2:12">
      <c r="B1150" s="256" t="s">
        <v>1410</v>
      </c>
      <c r="C1150" s="264" t="s">
        <v>1612</v>
      </c>
      <c r="D1150" s="210" t="s">
        <v>110</v>
      </c>
      <c r="E1150" s="261">
        <v>0.45</v>
      </c>
      <c r="F1150" s="261">
        <v>0.3</v>
      </c>
      <c r="G1150" s="261">
        <v>3.6</v>
      </c>
      <c r="H1150" s="261">
        <v>1</v>
      </c>
      <c r="I1150" s="261"/>
      <c r="J1150" s="259"/>
      <c r="K1150" s="260">
        <f t="shared" si="32"/>
        <v>0.48600000000000004</v>
      </c>
      <c r="L1150" s="266" t="s">
        <v>1683</v>
      </c>
    </row>
    <row r="1151" spans="2:12">
      <c r="B1151" s="256" t="s">
        <v>1412</v>
      </c>
      <c r="C1151" s="264" t="s">
        <v>1612</v>
      </c>
      <c r="D1151" s="210" t="s">
        <v>110</v>
      </c>
      <c r="E1151" s="261">
        <v>0.55000000000000004</v>
      </c>
      <c r="F1151" s="261">
        <v>0.3</v>
      </c>
      <c r="G1151" s="261">
        <v>3.6</v>
      </c>
      <c r="H1151" s="261">
        <v>1</v>
      </c>
      <c r="I1151" s="261"/>
      <c r="J1151" s="259"/>
      <c r="K1151" s="260">
        <f t="shared" si="32"/>
        <v>0.59400000000000008</v>
      </c>
      <c r="L1151" s="266" t="s">
        <v>1683</v>
      </c>
    </row>
    <row r="1152" spans="2:12">
      <c r="B1152" s="256" t="s">
        <v>1414</v>
      </c>
      <c r="C1152" s="264" t="s">
        <v>1612</v>
      </c>
      <c r="D1152" s="210" t="s">
        <v>110</v>
      </c>
      <c r="E1152" s="261">
        <v>0.55000000000000004</v>
      </c>
      <c r="F1152" s="261">
        <v>0.3</v>
      </c>
      <c r="G1152" s="261">
        <v>3.6</v>
      </c>
      <c r="H1152" s="261">
        <v>1</v>
      </c>
      <c r="I1152" s="261"/>
      <c r="J1152" s="259"/>
      <c r="K1152" s="260">
        <f t="shared" si="32"/>
        <v>0.59400000000000008</v>
      </c>
      <c r="L1152" s="266" t="s">
        <v>1683</v>
      </c>
    </row>
    <row r="1153" spans="2:12">
      <c r="B1153" s="256" t="s">
        <v>1416</v>
      </c>
      <c r="C1153" s="264" t="s">
        <v>1612</v>
      </c>
      <c r="D1153" s="210" t="s">
        <v>110</v>
      </c>
      <c r="E1153" s="261">
        <v>0.45</v>
      </c>
      <c r="F1153" s="261">
        <v>0.3</v>
      </c>
      <c r="G1153" s="261">
        <v>3.6</v>
      </c>
      <c r="H1153" s="261">
        <v>1</v>
      </c>
      <c r="I1153" s="261"/>
      <c r="J1153" s="259"/>
      <c r="K1153" s="260">
        <f t="shared" si="32"/>
        <v>0.48600000000000004</v>
      </c>
      <c r="L1153" s="266" t="s">
        <v>1683</v>
      </c>
    </row>
    <row r="1154" spans="2:12">
      <c r="B1154" s="256" t="s">
        <v>1418</v>
      </c>
      <c r="C1154" s="264" t="s">
        <v>1612</v>
      </c>
      <c r="D1154" s="210" t="s">
        <v>110</v>
      </c>
      <c r="E1154" s="261">
        <v>0.2</v>
      </c>
      <c r="F1154" s="261">
        <v>0.8</v>
      </c>
      <c r="G1154" s="261">
        <v>3.6</v>
      </c>
      <c r="H1154" s="261">
        <v>1</v>
      </c>
      <c r="I1154" s="261"/>
      <c r="J1154" s="259"/>
      <c r="K1154" s="260">
        <f t="shared" si="32"/>
        <v>0.57600000000000018</v>
      </c>
      <c r="L1154" s="266" t="s">
        <v>1683</v>
      </c>
    </row>
    <row r="1155" spans="2:12">
      <c r="B1155" s="256" t="s">
        <v>1411</v>
      </c>
      <c r="C1155" s="264" t="s">
        <v>1612</v>
      </c>
      <c r="D1155" s="205" t="s">
        <v>110</v>
      </c>
      <c r="E1155" s="261">
        <v>0.45</v>
      </c>
      <c r="F1155" s="261">
        <v>0.3</v>
      </c>
      <c r="G1155" s="261">
        <v>3.6</v>
      </c>
      <c r="H1155" s="261">
        <v>1</v>
      </c>
      <c r="I1155" s="261"/>
      <c r="J1155" s="259"/>
      <c r="K1155" s="260">
        <f t="shared" si="32"/>
        <v>0.48600000000000004</v>
      </c>
      <c r="L1155" s="266" t="s">
        <v>1682</v>
      </c>
    </row>
    <row r="1156" spans="2:12">
      <c r="B1156" s="256" t="s">
        <v>1413</v>
      </c>
      <c r="C1156" s="264" t="s">
        <v>1612</v>
      </c>
      <c r="D1156" s="205" t="s">
        <v>110</v>
      </c>
      <c r="E1156" s="261">
        <v>0.55000000000000004</v>
      </c>
      <c r="F1156" s="261">
        <v>0.3</v>
      </c>
      <c r="G1156" s="261">
        <v>3.6</v>
      </c>
      <c r="H1156" s="261">
        <v>1</v>
      </c>
      <c r="I1156" s="261"/>
      <c r="J1156" s="259"/>
      <c r="K1156" s="260">
        <f t="shared" si="32"/>
        <v>0.59400000000000008</v>
      </c>
      <c r="L1156" s="266" t="s">
        <v>1682</v>
      </c>
    </row>
    <row r="1157" spans="2:12">
      <c r="B1157" s="256" t="s">
        <v>1415</v>
      </c>
      <c r="C1157" s="264" t="s">
        <v>1612</v>
      </c>
      <c r="D1157" s="205" t="s">
        <v>110</v>
      </c>
      <c r="E1157" s="261">
        <v>0.55000000000000004</v>
      </c>
      <c r="F1157" s="261">
        <v>0.3</v>
      </c>
      <c r="G1157" s="261">
        <v>3.6</v>
      </c>
      <c r="H1157" s="261">
        <v>1</v>
      </c>
      <c r="I1157" s="261"/>
      <c r="J1157" s="259"/>
      <c r="K1157" s="260">
        <f t="shared" si="32"/>
        <v>0.59400000000000008</v>
      </c>
      <c r="L1157" s="266" t="s">
        <v>1682</v>
      </c>
    </row>
    <row r="1158" spans="2:12">
      <c r="B1158" s="256" t="s">
        <v>1417</v>
      </c>
      <c r="C1158" s="264" t="s">
        <v>1612</v>
      </c>
      <c r="D1158" s="205" t="s">
        <v>110</v>
      </c>
      <c r="E1158" s="261">
        <v>0.45</v>
      </c>
      <c r="F1158" s="261">
        <v>0.3</v>
      </c>
      <c r="G1158" s="261">
        <v>3.6</v>
      </c>
      <c r="H1158" s="261">
        <v>1</v>
      </c>
      <c r="I1158" s="261"/>
      <c r="J1158" s="259"/>
      <c r="K1158" s="260">
        <f t="shared" si="32"/>
        <v>0.48600000000000004</v>
      </c>
      <c r="L1158" s="266" t="s">
        <v>1682</v>
      </c>
    </row>
    <row r="1159" spans="2:12">
      <c r="B1159" s="256" t="s">
        <v>1419</v>
      </c>
      <c r="C1159" s="264" t="s">
        <v>1612</v>
      </c>
      <c r="D1159" s="205" t="s">
        <v>110</v>
      </c>
      <c r="E1159" s="261">
        <v>0.2</v>
      </c>
      <c r="F1159" s="261">
        <v>0.8</v>
      </c>
      <c r="G1159" s="261">
        <v>3.6</v>
      </c>
      <c r="H1159" s="261">
        <v>1</v>
      </c>
      <c r="I1159" s="261"/>
      <c r="J1159" s="259"/>
      <c r="K1159" s="260">
        <f t="shared" si="32"/>
        <v>0.57600000000000018</v>
      </c>
      <c r="L1159" s="266" t="s">
        <v>1682</v>
      </c>
    </row>
    <row r="1160" spans="2:12">
      <c r="B1160" s="256" t="s">
        <v>1420</v>
      </c>
      <c r="C1160" s="264" t="s">
        <v>1612</v>
      </c>
      <c r="D1160" s="205" t="s">
        <v>110</v>
      </c>
      <c r="E1160" s="261">
        <v>0.3</v>
      </c>
      <c r="F1160" s="261">
        <v>0.8</v>
      </c>
      <c r="G1160" s="261">
        <v>3.6</v>
      </c>
      <c r="H1160" s="261">
        <v>1</v>
      </c>
      <c r="I1160" s="261"/>
      <c r="J1160" s="259"/>
      <c r="K1160" s="260">
        <f t="shared" si="32"/>
        <v>0.86399999999999999</v>
      </c>
      <c r="L1160" s="266" t="s">
        <v>1682</v>
      </c>
    </row>
    <row r="1161" spans="2:12">
      <c r="B1161" s="256" t="s">
        <v>1421</v>
      </c>
      <c r="C1161" s="264" t="s">
        <v>1612</v>
      </c>
      <c r="D1161" s="205" t="s">
        <v>110</v>
      </c>
      <c r="E1161" s="261">
        <v>0.2</v>
      </c>
      <c r="F1161" s="261">
        <v>0.8</v>
      </c>
      <c r="G1161" s="261">
        <v>3.6</v>
      </c>
      <c r="H1161" s="261">
        <v>1</v>
      </c>
      <c r="I1161" s="261"/>
      <c r="J1161" s="259"/>
      <c r="K1161" s="260">
        <f t="shared" si="32"/>
        <v>0.57600000000000018</v>
      </c>
      <c r="L1161" s="266" t="s">
        <v>1682</v>
      </c>
    </row>
    <row r="1162" spans="2:12">
      <c r="B1162" s="256" t="s">
        <v>1422</v>
      </c>
      <c r="C1162" s="264" t="s">
        <v>1612</v>
      </c>
      <c r="D1162" s="205" t="s">
        <v>110</v>
      </c>
      <c r="E1162" s="261">
        <v>0.3</v>
      </c>
      <c r="F1162" s="261">
        <v>0.8</v>
      </c>
      <c r="G1162" s="261">
        <v>3.6</v>
      </c>
      <c r="H1162" s="261">
        <v>1</v>
      </c>
      <c r="I1162" s="261"/>
      <c r="J1162" s="259"/>
      <c r="K1162" s="260">
        <f t="shared" si="32"/>
        <v>0.86399999999999999</v>
      </c>
      <c r="L1162" s="266" t="s">
        <v>1682</v>
      </c>
    </row>
    <row r="1163" spans="2:12">
      <c r="B1163" s="256" t="s">
        <v>1423</v>
      </c>
      <c r="C1163" s="264" t="s">
        <v>1612</v>
      </c>
      <c r="D1163" s="205" t="s">
        <v>110</v>
      </c>
      <c r="E1163" s="261">
        <v>0.4</v>
      </c>
      <c r="F1163" s="261">
        <v>0.7</v>
      </c>
      <c r="G1163" s="261">
        <v>3.6</v>
      </c>
      <c r="H1163" s="261">
        <v>1</v>
      </c>
      <c r="I1163" s="261"/>
      <c r="J1163" s="259"/>
      <c r="K1163" s="260">
        <f t="shared" si="32"/>
        <v>1.008</v>
      </c>
      <c r="L1163" s="266" t="s">
        <v>1682</v>
      </c>
    </row>
    <row r="1164" spans="2:12">
      <c r="B1164" s="256" t="s">
        <v>1424</v>
      </c>
      <c r="C1164" s="264" t="s">
        <v>1612</v>
      </c>
      <c r="D1164" s="205" t="s">
        <v>110</v>
      </c>
      <c r="E1164" s="261">
        <v>0.5</v>
      </c>
      <c r="F1164" s="261">
        <v>0.7</v>
      </c>
      <c r="G1164" s="261">
        <v>3.6</v>
      </c>
      <c r="H1164" s="261">
        <v>1</v>
      </c>
      <c r="I1164" s="261"/>
      <c r="J1164" s="259"/>
      <c r="K1164" s="260">
        <f t="shared" si="32"/>
        <v>1.26</v>
      </c>
      <c r="L1164" s="266" t="s">
        <v>1682</v>
      </c>
    </row>
    <row r="1165" spans="2:12">
      <c r="B1165" s="256" t="s">
        <v>1425</v>
      </c>
      <c r="C1165" s="264" t="s">
        <v>1612</v>
      </c>
      <c r="D1165" s="205" t="s">
        <v>110</v>
      </c>
      <c r="E1165" s="261">
        <v>0.5</v>
      </c>
      <c r="F1165" s="261">
        <v>0.7</v>
      </c>
      <c r="G1165" s="261">
        <v>3.6</v>
      </c>
      <c r="H1165" s="261">
        <v>1</v>
      </c>
      <c r="I1165" s="261"/>
      <c r="J1165" s="259"/>
      <c r="K1165" s="260">
        <f t="shared" si="32"/>
        <v>1.26</v>
      </c>
      <c r="L1165" s="266" t="s">
        <v>1682</v>
      </c>
    </row>
    <row r="1166" spans="2:12">
      <c r="B1166" s="256" t="s">
        <v>1426</v>
      </c>
      <c r="C1166" s="264" t="s">
        <v>1612</v>
      </c>
      <c r="D1166" s="205" t="s">
        <v>110</v>
      </c>
      <c r="E1166" s="261">
        <v>0.4</v>
      </c>
      <c r="F1166" s="261">
        <v>0.5</v>
      </c>
      <c r="G1166" s="261">
        <v>3.6</v>
      </c>
      <c r="H1166" s="261">
        <v>1</v>
      </c>
      <c r="I1166" s="261"/>
      <c r="J1166" s="259"/>
      <c r="K1166" s="260">
        <f t="shared" si="32"/>
        <v>0.72000000000000008</v>
      </c>
      <c r="L1166" s="266" t="s">
        <v>1682</v>
      </c>
    </row>
    <row r="1167" spans="2:12">
      <c r="B1167" s="256" t="s">
        <v>1485</v>
      </c>
      <c r="C1167" s="264" t="s">
        <v>1613</v>
      </c>
      <c r="D1167" s="205" t="s">
        <v>110</v>
      </c>
      <c r="E1167" s="261">
        <v>0.6</v>
      </c>
      <c r="F1167" s="261">
        <v>0.4</v>
      </c>
      <c r="G1167" s="261">
        <v>3.6</v>
      </c>
      <c r="H1167" s="261">
        <v>1</v>
      </c>
      <c r="I1167" s="261"/>
      <c r="J1167" s="259"/>
      <c r="K1167" s="260">
        <f t="shared" si="32"/>
        <v>0.86399999999999999</v>
      </c>
      <c r="L1167" s="266" t="s">
        <v>1682</v>
      </c>
    </row>
    <row r="1168" spans="2:12">
      <c r="B1168" s="256" t="s">
        <v>1486</v>
      </c>
      <c r="C1168" s="264" t="s">
        <v>1613</v>
      </c>
      <c r="D1168" s="205" t="s">
        <v>110</v>
      </c>
      <c r="E1168" s="261">
        <v>2.94</v>
      </c>
      <c r="F1168" s="261">
        <v>0.2</v>
      </c>
      <c r="G1168" s="261">
        <v>3.6</v>
      </c>
      <c r="H1168" s="261">
        <v>1</v>
      </c>
      <c r="I1168" s="261"/>
      <c r="J1168" s="259"/>
      <c r="K1168" s="260">
        <f t="shared" si="32"/>
        <v>2.1168</v>
      </c>
      <c r="L1168" s="266" t="s">
        <v>1682</v>
      </c>
    </row>
    <row r="1169" spans="2:12">
      <c r="B1169" s="256" t="s">
        <v>1487</v>
      </c>
      <c r="C1169" s="264" t="s">
        <v>1613</v>
      </c>
      <c r="D1169" s="205" t="s">
        <v>110</v>
      </c>
      <c r="E1169" s="261">
        <v>2.94</v>
      </c>
      <c r="F1169" s="261">
        <v>0.2</v>
      </c>
      <c r="G1169" s="261">
        <v>3.6</v>
      </c>
      <c r="H1169" s="261">
        <v>1</v>
      </c>
      <c r="I1169" s="261"/>
      <c r="J1169" s="259"/>
      <c r="K1169" s="260">
        <f t="shared" si="32"/>
        <v>2.1168</v>
      </c>
      <c r="L1169" s="266" t="s">
        <v>1682</v>
      </c>
    </row>
    <row r="1170" spans="2:12">
      <c r="B1170" s="256" t="s">
        <v>1488</v>
      </c>
      <c r="C1170" s="264" t="s">
        <v>1613</v>
      </c>
      <c r="D1170" s="205" t="s">
        <v>110</v>
      </c>
      <c r="E1170" s="261">
        <v>0.6</v>
      </c>
      <c r="F1170" s="261">
        <v>0.5</v>
      </c>
      <c r="G1170" s="261">
        <v>3.6</v>
      </c>
      <c r="H1170" s="261">
        <v>1</v>
      </c>
      <c r="I1170" s="261"/>
      <c r="J1170" s="259"/>
      <c r="K1170" s="260">
        <f t="shared" si="32"/>
        <v>1.08</v>
      </c>
      <c r="L1170" s="266" t="s">
        <v>1682</v>
      </c>
    </row>
    <row r="1171" spans="2:12">
      <c r="B1171" s="256" t="s">
        <v>1489</v>
      </c>
      <c r="C1171" s="264" t="s">
        <v>1613</v>
      </c>
      <c r="D1171" s="205" t="s">
        <v>110</v>
      </c>
      <c r="E1171" s="261">
        <v>0.4</v>
      </c>
      <c r="F1171" s="261">
        <v>0.4</v>
      </c>
      <c r="G1171" s="261">
        <v>3.6</v>
      </c>
      <c r="H1171" s="261">
        <v>1</v>
      </c>
      <c r="I1171" s="261"/>
      <c r="J1171" s="259"/>
      <c r="K1171" s="260">
        <f t="shared" si="32"/>
        <v>0.57600000000000018</v>
      </c>
      <c r="L1171" s="266" t="s">
        <v>1682</v>
      </c>
    </row>
    <row r="1172" spans="2:12">
      <c r="B1172" s="256" t="s">
        <v>1490</v>
      </c>
      <c r="C1172" s="264" t="s">
        <v>1613</v>
      </c>
      <c r="D1172" s="205" t="s">
        <v>110</v>
      </c>
      <c r="E1172" s="261">
        <v>0.2</v>
      </c>
      <c r="F1172" s="261">
        <v>0.8</v>
      </c>
      <c r="G1172" s="261">
        <v>3.6</v>
      </c>
      <c r="H1172" s="261">
        <v>1</v>
      </c>
      <c r="I1172" s="261"/>
      <c r="J1172" s="259"/>
      <c r="K1172" s="260">
        <f t="shared" si="32"/>
        <v>0.57600000000000018</v>
      </c>
      <c r="L1172" s="266" t="s">
        <v>1682</v>
      </c>
    </row>
    <row r="1173" spans="2:12">
      <c r="B1173" s="256" t="s">
        <v>1493</v>
      </c>
      <c r="C1173" s="264" t="s">
        <v>1613</v>
      </c>
      <c r="D1173" s="205" t="s">
        <v>110</v>
      </c>
      <c r="E1173" s="261">
        <v>0.4</v>
      </c>
      <c r="F1173" s="261">
        <v>0.4</v>
      </c>
      <c r="G1173" s="261">
        <v>3.6</v>
      </c>
      <c r="H1173" s="261">
        <v>1</v>
      </c>
      <c r="I1173" s="261"/>
      <c r="J1173" s="259"/>
      <c r="K1173" s="260">
        <f t="shared" si="32"/>
        <v>0.57600000000000018</v>
      </c>
      <c r="L1173" s="266" t="s">
        <v>1682</v>
      </c>
    </row>
    <row r="1174" spans="2:12">
      <c r="B1174" s="256" t="s">
        <v>1494</v>
      </c>
      <c r="C1174" s="264" t="s">
        <v>1613</v>
      </c>
      <c r="D1174" s="205" t="s">
        <v>110</v>
      </c>
      <c r="E1174" s="261">
        <v>0.4</v>
      </c>
      <c r="F1174" s="261">
        <v>0.4</v>
      </c>
      <c r="G1174" s="261">
        <v>3.6</v>
      </c>
      <c r="H1174" s="261">
        <v>1</v>
      </c>
      <c r="I1174" s="261"/>
      <c r="J1174" s="259"/>
      <c r="K1174" s="260">
        <f t="shared" si="32"/>
        <v>0.57600000000000018</v>
      </c>
      <c r="L1174" s="266" t="s">
        <v>1682</v>
      </c>
    </row>
    <row r="1175" spans="2:12">
      <c r="B1175" s="256" t="s">
        <v>1495</v>
      </c>
      <c r="C1175" s="264" t="s">
        <v>1613</v>
      </c>
      <c r="D1175" s="205" t="s">
        <v>110</v>
      </c>
      <c r="E1175" s="261">
        <v>0.4</v>
      </c>
      <c r="F1175" s="261">
        <v>0.4</v>
      </c>
      <c r="G1175" s="261">
        <v>3.6</v>
      </c>
      <c r="H1175" s="261">
        <v>1</v>
      </c>
      <c r="I1175" s="261"/>
      <c r="J1175" s="259"/>
      <c r="K1175" s="260">
        <f t="shared" si="32"/>
        <v>0.57600000000000018</v>
      </c>
      <c r="L1175" s="266" t="s">
        <v>1682</v>
      </c>
    </row>
    <row r="1176" spans="2:12">
      <c r="B1176" s="256" t="s">
        <v>1389</v>
      </c>
      <c r="C1176" s="264" t="s">
        <v>1613</v>
      </c>
      <c r="D1176" s="210" t="s">
        <v>110</v>
      </c>
      <c r="E1176" s="261">
        <v>0.5</v>
      </c>
      <c r="F1176" s="261">
        <v>0.4</v>
      </c>
      <c r="G1176" s="261">
        <v>3.6</v>
      </c>
      <c r="H1176" s="261">
        <v>1</v>
      </c>
      <c r="I1176" s="261"/>
      <c r="J1176" s="259"/>
      <c r="K1176" s="260">
        <f t="shared" si="32"/>
        <v>0.72000000000000008</v>
      </c>
      <c r="L1176" s="266" t="s">
        <v>1684</v>
      </c>
    </row>
    <row r="1177" spans="2:12">
      <c r="B1177" s="256" t="s">
        <v>1390</v>
      </c>
      <c r="C1177" s="264" t="s">
        <v>1613</v>
      </c>
      <c r="D1177" s="210" t="s">
        <v>110</v>
      </c>
      <c r="E1177" s="261">
        <v>1</v>
      </c>
      <c r="F1177" s="261">
        <v>0.2</v>
      </c>
      <c r="G1177" s="261">
        <v>3.6</v>
      </c>
      <c r="H1177" s="261">
        <v>1</v>
      </c>
      <c r="I1177" s="261"/>
      <c r="J1177" s="259"/>
      <c r="K1177" s="260">
        <f t="shared" si="32"/>
        <v>0.72000000000000008</v>
      </c>
      <c r="L1177" s="266" t="s">
        <v>1684</v>
      </c>
    </row>
    <row r="1178" spans="2:12">
      <c r="B1178" s="256" t="s">
        <v>1391</v>
      </c>
      <c r="C1178" s="264" t="s">
        <v>1613</v>
      </c>
      <c r="D1178" s="210" t="s">
        <v>110</v>
      </c>
      <c r="E1178" s="261">
        <v>1</v>
      </c>
      <c r="F1178" s="261">
        <v>0.2</v>
      </c>
      <c r="G1178" s="261">
        <v>3.6</v>
      </c>
      <c r="H1178" s="261">
        <v>1</v>
      </c>
      <c r="I1178" s="261"/>
      <c r="J1178" s="259"/>
      <c r="K1178" s="260">
        <f t="shared" si="32"/>
        <v>0.72000000000000008</v>
      </c>
      <c r="L1178" s="266" t="s">
        <v>1684</v>
      </c>
    </row>
    <row r="1179" spans="2:12">
      <c r="B1179" s="256" t="s">
        <v>1392</v>
      </c>
      <c r="C1179" s="264" t="s">
        <v>1613</v>
      </c>
      <c r="D1179" s="210" t="s">
        <v>110</v>
      </c>
      <c r="E1179" s="261">
        <v>0.4</v>
      </c>
      <c r="F1179" s="261">
        <v>0.4</v>
      </c>
      <c r="G1179" s="261">
        <v>3.6</v>
      </c>
      <c r="H1179" s="261">
        <v>1</v>
      </c>
      <c r="I1179" s="261"/>
      <c r="J1179" s="259"/>
      <c r="K1179" s="260">
        <f t="shared" si="32"/>
        <v>0.57600000000000018</v>
      </c>
      <c r="L1179" s="266" t="s">
        <v>1684</v>
      </c>
    </row>
    <row r="1180" spans="2:12">
      <c r="B1180" s="256" t="s">
        <v>1394</v>
      </c>
      <c r="C1180" s="264" t="s">
        <v>1613</v>
      </c>
      <c r="D1180" s="210" t="s">
        <v>110</v>
      </c>
      <c r="E1180" s="261">
        <v>0.4</v>
      </c>
      <c r="F1180" s="261">
        <v>0.4</v>
      </c>
      <c r="G1180" s="261">
        <v>3.6</v>
      </c>
      <c r="H1180" s="261">
        <v>1</v>
      </c>
      <c r="I1180" s="261"/>
      <c r="J1180" s="259"/>
      <c r="K1180" s="260">
        <f t="shared" si="32"/>
        <v>0.57600000000000018</v>
      </c>
      <c r="L1180" s="266" t="s">
        <v>1684</v>
      </c>
    </row>
    <row r="1181" spans="2:12">
      <c r="B1181" s="256" t="s">
        <v>1395</v>
      </c>
      <c r="C1181" s="264" t="s">
        <v>1613</v>
      </c>
      <c r="D1181" s="210" t="s">
        <v>110</v>
      </c>
      <c r="E1181" s="261">
        <v>0.5</v>
      </c>
      <c r="F1181" s="261">
        <v>0.4</v>
      </c>
      <c r="G1181" s="261">
        <v>3.6</v>
      </c>
      <c r="H1181" s="261">
        <v>1</v>
      </c>
      <c r="I1181" s="261"/>
      <c r="J1181" s="259"/>
      <c r="K1181" s="260">
        <f t="shared" si="32"/>
        <v>0.72000000000000008</v>
      </c>
      <c r="L1181" s="266" t="s">
        <v>1684</v>
      </c>
    </row>
    <row r="1182" spans="2:12">
      <c r="B1182" s="256" t="s">
        <v>1396</v>
      </c>
      <c r="C1182" s="264" t="s">
        <v>1613</v>
      </c>
      <c r="D1182" s="210" t="s">
        <v>110</v>
      </c>
      <c r="E1182" s="261">
        <v>0.5</v>
      </c>
      <c r="F1182" s="261">
        <v>0.4</v>
      </c>
      <c r="G1182" s="261">
        <v>3.6</v>
      </c>
      <c r="H1182" s="261">
        <v>1</v>
      </c>
      <c r="I1182" s="261"/>
      <c r="J1182" s="259"/>
      <c r="K1182" s="260">
        <f t="shared" si="32"/>
        <v>0.72000000000000008</v>
      </c>
      <c r="L1182" s="266" t="s">
        <v>1684</v>
      </c>
    </row>
    <row r="1183" spans="2:12">
      <c r="B1183" s="256" t="s">
        <v>1397</v>
      </c>
      <c r="C1183" s="264" t="s">
        <v>1613</v>
      </c>
      <c r="D1183" s="210" t="s">
        <v>110</v>
      </c>
      <c r="E1183" s="261">
        <v>1</v>
      </c>
      <c r="F1183" s="261">
        <v>0.2</v>
      </c>
      <c r="G1183" s="261">
        <v>3.6</v>
      </c>
      <c r="H1183" s="261">
        <v>1</v>
      </c>
      <c r="I1183" s="261"/>
      <c r="J1183" s="259"/>
      <c r="K1183" s="260">
        <f t="shared" si="32"/>
        <v>0.72000000000000008</v>
      </c>
      <c r="L1183" s="266" t="s">
        <v>1684</v>
      </c>
    </row>
    <row r="1184" spans="2:12">
      <c r="B1184" s="256" t="s">
        <v>1399</v>
      </c>
      <c r="C1184" s="264" t="s">
        <v>1613</v>
      </c>
      <c r="D1184" s="210" t="s">
        <v>110</v>
      </c>
      <c r="E1184" s="261">
        <v>0.4</v>
      </c>
      <c r="F1184" s="261">
        <v>0.4</v>
      </c>
      <c r="G1184" s="261">
        <v>3.6</v>
      </c>
      <c r="H1184" s="261">
        <v>1</v>
      </c>
      <c r="I1184" s="261"/>
      <c r="J1184" s="259"/>
      <c r="K1184" s="260">
        <f t="shared" si="32"/>
        <v>0.57600000000000018</v>
      </c>
      <c r="L1184" s="266" t="s">
        <v>1684</v>
      </c>
    </row>
    <row r="1185" spans="2:12">
      <c r="B1185" s="256" t="s">
        <v>1400</v>
      </c>
      <c r="C1185" s="264" t="s">
        <v>1613</v>
      </c>
      <c r="D1185" s="210" t="s">
        <v>110</v>
      </c>
      <c r="E1185" s="261">
        <v>0.5</v>
      </c>
      <c r="F1185" s="261">
        <v>0.4</v>
      </c>
      <c r="G1185" s="261">
        <v>3.6</v>
      </c>
      <c r="H1185" s="261">
        <v>1</v>
      </c>
      <c r="I1185" s="261"/>
      <c r="J1185" s="259"/>
      <c r="K1185" s="260">
        <f t="shared" si="32"/>
        <v>0.72000000000000008</v>
      </c>
      <c r="L1185" s="266" t="s">
        <v>1684</v>
      </c>
    </row>
    <row r="1186" spans="2:12">
      <c r="B1186" s="256" t="s">
        <v>1401</v>
      </c>
      <c r="C1186" s="264" t="s">
        <v>1613</v>
      </c>
      <c r="D1186" s="210" t="s">
        <v>110</v>
      </c>
      <c r="E1186" s="261">
        <v>0.5</v>
      </c>
      <c r="F1186" s="261">
        <v>0.4</v>
      </c>
      <c r="G1186" s="261">
        <v>3.6</v>
      </c>
      <c r="H1186" s="261">
        <v>1</v>
      </c>
      <c r="I1186" s="261"/>
      <c r="J1186" s="259"/>
      <c r="K1186" s="260">
        <f t="shared" si="32"/>
        <v>0.72000000000000008</v>
      </c>
      <c r="L1186" s="266" t="s">
        <v>1684</v>
      </c>
    </row>
    <row r="1187" spans="2:12">
      <c r="B1187" s="256" t="s">
        <v>1402</v>
      </c>
      <c r="C1187" s="264" t="s">
        <v>1613</v>
      </c>
      <c r="D1187" s="210" t="s">
        <v>110</v>
      </c>
      <c r="E1187" s="261">
        <v>1</v>
      </c>
      <c r="F1187" s="261">
        <v>0.2</v>
      </c>
      <c r="G1187" s="261">
        <v>3.6</v>
      </c>
      <c r="H1187" s="261">
        <v>1</v>
      </c>
      <c r="I1187" s="261"/>
      <c r="J1187" s="259"/>
      <c r="K1187" s="260">
        <f t="shared" si="32"/>
        <v>0.72000000000000008</v>
      </c>
      <c r="L1187" s="266" t="s">
        <v>1684</v>
      </c>
    </row>
    <row r="1188" spans="2:12">
      <c r="B1188" s="256" t="s">
        <v>1404</v>
      </c>
      <c r="C1188" s="264" t="s">
        <v>1613</v>
      </c>
      <c r="D1188" s="210" t="s">
        <v>110</v>
      </c>
      <c r="E1188" s="261">
        <v>0.2</v>
      </c>
      <c r="F1188" s="261">
        <v>0.6</v>
      </c>
      <c r="G1188" s="261">
        <v>3.6</v>
      </c>
      <c r="H1188" s="261">
        <v>1</v>
      </c>
      <c r="I1188" s="261"/>
      <c r="J1188" s="259"/>
      <c r="K1188" s="260">
        <f t="shared" si="32"/>
        <v>0.432</v>
      </c>
      <c r="L1188" s="266" t="s">
        <v>1684</v>
      </c>
    </row>
    <row r="1189" spans="2:12">
      <c r="B1189" s="256" t="s">
        <v>1405</v>
      </c>
      <c r="C1189" s="264" t="s">
        <v>1613</v>
      </c>
      <c r="D1189" s="210" t="s">
        <v>110</v>
      </c>
      <c r="E1189" s="261">
        <v>0.2</v>
      </c>
      <c r="F1189" s="261">
        <v>0.6</v>
      </c>
      <c r="G1189" s="261">
        <v>3.6</v>
      </c>
      <c r="H1189" s="261">
        <v>1</v>
      </c>
      <c r="I1189" s="261"/>
      <c r="J1189" s="259"/>
      <c r="K1189" s="260">
        <f t="shared" si="32"/>
        <v>0.432</v>
      </c>
      <c r="L1189" s="266" t="s">
        <v>1684</v>
      </c>
    </row>
    <row r="1190" spans="2:12">
      <c r="B1190" s="256" t="s">
        <v>1406</v>
      </c>
      <c r="C1190" s="264" t="s">
        <v>1613</v>
      </c>
      <c r="D1190" s="210" t="s">
        <v>110</v>
      </c>
      <c r="E1190" s="261">
        <v>0.4</v>
      </c>
      <c r="F1190" s="261">
        <v>0.4</v>
      </c>
      <c r="G1190" s="261">
        <v>3.6</v>
      </c>
      <c r="H1190" s="261">
        <v>1</v>
      </c>
      <c r="I1190" s="261"/>
      <c r="J1190" s="259"/>
      <c r="K1190" s="260">
        <f t="shared" si="32"/>
        <v>0.57600000000000018</v>
      </c>
      <c r="L1190" s="266" t="s">
        <v>1684</v>
      </c>
    </row>
    <row r="1191" spans="2:12">
      <c r="B1191" s="256" t="s">
        <v>1407</v>
      </c>
      <c r="C1191" s="264" t="s">
        <v>1613</v>
      </c>
      <c r="D1191" s="210" t="s">
        <v>110</v>
      </c>
      <c r="E1191" s="261">
        <v>0.5</v>
      </c>
      <c r="F1191" s="261">
        <v>0.4</v>
      </c>
      <c r="G1191" s="261">
        <v>3.6</v>
      </c>
      <c r="H1191" s="261">
        <v>1</v>
      </c>
      <c r="I1191" s="261"/>
      <c r="J1191" s="259"/>
      <c r="K1191" s="260">
        <f t="shared" si="32"/>
        <v>0.72000000000000008</v>
      </c>
      <c r="L1191" s="266" t="s">
        <v>1684</v>
      </c>
    </row>
    <row r="1192" spans="2:12">
      <c r="B1192" s="256" t="s">
        <v>1408</v>
      </c>
      <c r="C1192" s="264" t="s">
        <v>1613</v>
      </c>
      <c r="D1192" s="210" t="s">
        <v>110</v>
      </c>
      <c r="E1192" s="261">
        <v>0.5</v>
      </c>
      <c r="F1192" s="261">
        <v>0.4</v>
      </c>
      <c r="G1192" s="261">
        <v>3.6</v>
      </c>
      <c r="H1192" s="261">
        <v>1</v>
      </c>
      <c r="I1192" s="261"/>
      <c r="J1192" s="259"/>
      <c r="K1192" s="260">
        <f t="shared" si="32"/>
        <v>0.72000000000000008</v>
      </c>
      <c r="L1192" s="266" t="s">
        <v>1684</v>
      </c>
    </row>
    <row r="1193" spans="2:12">
      <c r="B1193" s="256" t="s">
        <v>1409</v>
      </c>
      <c r="C1193" s="264" t="s">
        <v>1613</v>
      </c>
      <c r="D1193" s="210" t="s">
        <v>110</v>
      </c>
      <c r="E1193" s="261">
        <v>0.2</v>
      </c>
      <c r="F1193" s="261">
        <v>1</v>
      </c>
      <c r="G1193" s="261">
        <v>3.6</v>
      </c>
      <c r="H1193" s="261">
        <v>1</v>
      </c>
      <c r="I1193" s="261"/>
      <c r="J1193" s="259"/>
      <c r="K1193" s="260">
        <f t="shared" si="32"/>
        <v>0.72000000000000008</v>
      </c>
      <c r="L1193" s="266" t="s">
        <v>1684</v>
      </c>
    </row>
    <row r="1194" spans="2:12">
      <c r="B1194" s="256" t="s">
        <v>1410</v>
      </c>
      <c r="C1194" s="264" t="s">
        <v>1613</v>
      </c>
      <c r="D1194" s="210" t="s">
        <v>110</v>
      </c>
      <c r="E1194" s="261">
        <v>0.45</v>
      </c>
      <c r="F1194" s="261">
        <v>0.3</v>
      </c>
      <c r="G1194" s="261">
        <v>3.6</v>
      </c>
      <c r="H1194" s="261">
        <v>1</v>
      </c>
      <c r="I1194" s="261"/>
      <c r="J1194" s="259"/>
      <c r="K1194" s="260">
        <f t="shared" si="32"/>
        <v>0.48600000000000004</v>
      </c>
      <c r="L1194" s="266" t="s">
        <v>1684</v>
      </c>
    </row>
    <row r="1195" spans="2:12">
      <c r="B1195" s="256" t="s">
        <v>1412</v>
      </c>
      <c r="C1195" s="264" t="s">
        <v>1613</v>
      </c>
      <c r="D1195" s="210" t="s">
        <v>110</v>
      </c>
      <c r="E1195" s="261">
        <v>0.55000000000000004</v>
      </c>
      <c r="F1195" s="261">
        <v>0.3</v>
      </c>
      <c r="G1195" s="261">
        <v>3.6</v>
      </c>
      <c r="H1195" s="261">
        <v>1</v>
      </c>
      <c r="I1195" s="261"/>
      <c r="J1195" s="259"/>
      <c r="K1195" s="260">
        <f t="shared" si="32"/>
        <v>0.59400000000000008</v>
      </c>
      <c r="L1195" s="266" t="s">
        <v>1684</v>
      </c>
    </row>
    <row r="1196" spans="2:12">
      <c r="B1196" s="256" t="s">
        <v>1414</v>
      </c>
      <c r="C1196" s="264" t="s">
        <v>1613</v>
      </c>
      <c r="D1196" s="210" t="s">
        <v>110</v>
      </c>
      <c r="E1196" s="261">
        <v>0.55000000000000004</v>
      </c>
      <c r="F1196" s="261">
        <v>0.3</v>
      </c>
      <c r="G1196" s="261">
        <v>3.6</v>
      </c>
      <c r="H1196" s="261">
        <v>1</v>
      </c>
      <c r="I1196" s="261"/>
      <c r="J1196" s="259"/>
      <c r="K1196" s="260">
        <f t="shared" si="32"/>
        <v>0.59400000000000008</v>
      </c>
      <c r="L1196" s="266" t="s">
        <v>1684</v>
      </c>
    </row>
    <row r="1197" spans="2:12">
      <c r="B1197" s="256" t="s">
        <v>1416</v>
      </c>
      <c r="C1197" s="264" t="s">
        <v>1613</v>
      </c>
      <c r="D1197" s="210" t="s">
        <v>110</v>
      </c>
      <c r="E1197" s="261">
        <v>0.45</v>
      </c>
      <c r="F1197" s="261">
        <v>0.3</v>
      </c>
      <c r="G1197" s="261">
        <v>3.6</v>
      </c>
      <c r="H1197" s="261">
        <v>1</v>
      </c>
      <c r="I1197" s="261"/>
      <c r="J1197" s="259"/>
      <c r="K1197" s="260">
        <f t="shared" ref="K1197:K1244" si="33">IF(E1197*F1197*G1197&lt;&gt;0,E1197*F1197*G1197,IF(E1197*F1197&lt;&gt;0,E1197*F1197,IF(F1197*G1197&lt;&gt;0,F1197*G1197,IF(E1197*G1197&lt;&gt;0,E1197*G1197,IF(E1197&lt;&gt;0,E1197,IF(F1197&lt;&gt;0,F1197,IF(G1197&lt;&gt;0,G1197,0)))))))*(IF(H1197&lt;&gt;0,H1197,1))+I1197-J1197</f>
        <v>0.48600000000000004</v>
      </c>
      <c r="L1197" s="266" t="s">
        <v>1684</v>
      </c>
    </row>
    <row r="1198" spans="2:12">
      <c r="B1198" s="256" t="s">
        <v>1418</v>
      </c>
      <c r="C1198" s="264" t="s">
        <v>1613</v>
      </c>
      <c r="D1198" s="210" t="s">
        <v>110</v>
      </c>
      <c r="E1198" s="261">
        <v>0.2</v>
      </c>
      <c r="F1198" s="261">
        <v>0.8</v>
      </c>
      <c r="G1198" s="261">
        <v>3.6</v>
      </c>
      <c r="H1198" s="261">
        <v>1</v>
      </c>
      <c r="I1198" s="261"/>
      <c r="J1198" s="259"/>
      <c r="K1198" s="260">
        <f t="shared" si="33"/>
        <v>0.57600000000000018</v>
      </c>
      <c r="L1198" s="266" t="s">
        <v>1684</v>
      </c>
    </row>
    <row r="1199" spans="2:12">
      <c r="B1199" s="256" t="s">
        <v>1411</v>
      </c>
      <c r="C1199" s="264" t="s">
        <v>1613</v>
      </c>
      <c r="D1199" s="205" t="s">
        <v>110</v>
      </c>
      <c r="E1199" s="261">
        <v>0.45</v>
      </c>
      <c r="F1199" s="261">
        <v>0.3</v>
      </c>
      <c r="G1199" s="261">
        <v>3.6</v>
      </c>
      <c r="H1199" s="261">
        <v>1</v>
      </c>
      <c r="I1199" s="261"/>
      <c r="J1199" s="259"/>
      <c r="K1199" s="260">
        <f t="shared" si="33"/>
        <v>0.48600000000000004</v>
      </c>
      <c r="L1199" s="266" t="s">
        <v>1685</v>
      </c>
    </row>
    <row r="1200" spans="2:12">
      <c r="B1200" s="256" t="s">
        <v>1413</v>
      </c>
      <c r="C1200" s="264" t="s">
        <v>1613</v>
      </c>
      <c r="D1200" s="205" t="s">
        <v>110</v>
      </c>
      <c r="E1200" s="261">
        <v>0.55000000000000004</v>
      </c>
      <c r="F1200" s="261">
        <v>0.3</v>
      </c>
      <c r="G1200" s="261">
        <v>3.6</v>
      </c>
      <c r="H1200" s="261">
        <v>1</v>
      </c>
      <c r="I1200" s="261"/>
      <c r="J1200" s="259"/>
      <c r="K1200" s="260">
        <f t="shared" si="33"/>
        <v>0.59400000000000008</v>
      </c>
      <c r="L1200" s="266" t="s">
        <v>1685</v>
      </c>
    </row>
    <row r="1201" spans="2:12">
      <c r="B1201" s="256" t="s">
        <v>1415</v>
      </c>
      <c r="C1201" s="264" t="s">
        <v>1613</v>
      </c>
      <c r="D1201" s="205" t="s">
        <v>110</v>
      </c>
      <c r="E1201" s="261">
        <v>0.55000000000000004</v>
      </c>
      <c r="F1201" s="261">
        <v>0.3</v>
      </c>
      <c r="G1201" s="261">
        <v>3.6</v>
      </c>
      <c r="H1201" s="261">
        <v>1</v>
      </c>
      <c r="I1201" s="261"/>
      <c r="J1201" s="259"/>
      <c r="K1201" s="260">
        <f t="shared" si="33"/>
        <v>0.59400000000000008</v>
      </c>
      <c r="L1201" s="266" t="s">
        <v>1685</v>
      </c>
    </row>
    <row r="1202" spans="2:12">
      <c r="B1202" s="256" t="s">
        <v>1417</v>
      </c>
      <c r="C1202" s="264" t="s">
        <v>1613</v>
      </c>
      <c r="D1202" s="205" t="s">
        <v>110</v>
      </c>
      <c r="E1202" s="261">
        <v>0.45</v>
      </c>
      <c r="F1202" s="261">
        <v>0.3</v>
      </c>
      <c r="G1202" s="261">
        <v>3.6</v>
      </c>
      <c r="H1202" s="261">
        <v>1</v>
      </c>
      <c r="I1202" s="261"/>
      <c r="J1202" s="259"/>
      <c r="K1202" s="260">
        <f t="shared" si="33"/>
        <v>0.48600000000000004</v>
      </c>
      <c r="L1202" s="266" t="s">
        <v>1685</v>
      </c>
    </row>
    <row r="1203" spans="2:12">
      <c r="B1203" s="256" t="s">
        <v>1419</v>
      </c>
      <c r="C1203" s="264" t="s">
        <v>1613</v>
      </c>
      <c r="D1203" s="205" t="s">
        <v>110</v>
      </c>
      <c r="E1203" s="261">
        <v>0.2</v>
      </c>
      <c r="F1203" s="261">
        <v>0.8</v>
      </c>
      <c r="G1203" s="261">
        <v>3.6</v>
      </c>
      <c r="H1203" s="261">
        <v>1</v>
      </c>
      <c r="I1203" s="261"/>
      <c r="J1203" s="259"/>
      <c r="K1203" s="260">
        <f t="shared" si="33"/>
        <v>0.57600000000000018</v>
      </c>
      <c r="L1203" s="266" t="s">
        <v>1685</v>
      </c>
    </row>
    <row r="1204" spans="2:12">
      <c r="B1204" s="256" t="s">
        <v>1420</v>
      </c>
      <c r="C1204" s="264" t="s">
        <v>1613</v>
      </c>
      <c r="D1204" s="205" t="s">
        <v>110</v>
      </c>
      <c r="E1204" s="261">
        <v>0.3</v>
      </c>
      <c r="F1204" s="261">
        <v>0.8</v>
      </c>
      <c r="G1204" s="261">
        <v>3.6</v>
      </c>
      <c r="H1204" s="261">
        <v>1</v>
      </c>
      <c r="I1204" s="261"/>
      <c r="J1204" s="259"/>
      <c r="K1204" s="260">
        <f t="shared" si="33"/>
        <v>0.86399999999999999</v>
      </c>
      <c r="L1204" s="266" t="s">
        <v>1685</v>
      </c>
    </row>
    <row r="1205" spans="2:12">
      <c r="B1205" s="256" t="s">
        <v>1421</v>
      </c>
      <c r="C1205" s="264" t="s">
        <v>1613</v>
      </c>
      <c r="D1205" s="205" t="s">
        <v>110</v>
      </c>
      <c r="E1205" s="261">
        <v>0.2</v>
      </c>
      <c r="F1205" s="261">
        <v>0.8</v>
      </c>
      <c r="G1205" s="261">
        <v>3.6</v>
      </c>
      <c r="H1205" s="261">
        <v>1</v>
      </c>
      <c r="I1205" s="261"/>
      <c r="J1205" s="259"/>
      <c r="K1205" s="260">
        <f t="shared" si="33"/>
        <v>0.57600000000000018</v>
      </c>
      <c r="L1205" s="266" t="s">
        <v>1685</v>
      </c>
    </row>
    <row r="1206" spans="2:12">
      <c r="B1206" s="256" t="s">
        <v>1422</v>
      </c>
      <c r="C1206" s="264" t="s">
        <v>1613</v>
      </c>
      <c r="D1206" s="205" t="s">
        <v>110</v>
      </c>
      <c r="E1206" s="261">
        <v>0.3</v>
      </c>
      <c r="F1206" s="261">
        <v>0.8</v>
      </c>
      <c r="G1206" s="261">
        <v>3.6</v>
      </c>
      <c r="H1206" s="261">
        <v>1</v>
      </c>
      <c r="I1206" s="261"/>
      <c r="J1206" s="259"/>
      <c r="K1206" s="260">
        <f t="shared" si="33"/>
        <v>0.86399999999999999</v>
      </c>
      <c r="L1206" s="266" t="s">
        <v>1685</v>
      </c>
    </row>
    <row r="1207" spans="2:12">
      <c r="B1207" s="256" t="s">
        <v>1423</v>
      </c>
      <c r="C1207" s="264" t="s">
        <v>1613</v>
      </c>
      <c r="D1207" s="205" t="s">
        <v>110</v>
      </c>
      <c r="E1207" s="261">
        <v>0.4</v>
      </c>
      <c r="F1207" s="261">
        <v>0.7</v>
      </c>
      <c r="G1207" s="261">
        <v>3.6</v>
      </c>
      <c r="H1207" s="261">
        <v>1</v>
      </c>
      <c r="I1207" s="261"/>
      <c r="J1207" s="259"/>
      <c r="K1207" s="260">
        <f t="shared" si="33"/>
        <v>1.008</v>
      </c>
      <c r="L1207" s="266" t="s">
        <v>1685</v>
      </c>
    </row>
    <row r="1208" spans="2:12">
      <c r="B1208" s="256" t="s">
        <v>1424</v>
      </c>
      <c r="C1208" s="264" t="s">
        <v>1613</v>
      </c>
      <c r="D1208" s="205" t="s">
        <v>110</v>
      </c>
      <c r="E1208" s="261">
        <v>0.5</v>
      </c>
      <c r="F1208" s="261">
        <v>0.7</v>
      </c>
      <c r="G1208" s="261">
        <v>3.6</v>
      </c>
      <c r="H1208" s="261">
        <v>1</v>
      </c>
      <c r="I1208" s="261"/>
      <c r="J1208" s="259"/>
      <c r="K1208" s="260">
        <f t="shared" si="33"/>
        <v>1.26</v>
      </c>
      <c r="L1208" s="266" t="s">
        <v>1685</v>
      </c>
    </row>
    <row r="1209" spans="2:12">
      <c r="B1209" s="256" t="s">
        <v>1425</v>
      </c>
      <c r="C1209" s="264" t="s">
        <v>1613</v>
      </c>
      <c r="D1209" s="205" t="s">
        <v>110</v>
      </c>
      <c r="E1209" s="261">
        <v>0.5</v>
      </c>
      <c r="F1209" s="261">
        <v>0.7</v>
      </c>
      <c r="G1209" s="261">
        <v>3.6</v>
      </c>
      <c r="H1209" s="261">
        <v>1</v>
      </c>
      <c r="I1209" s="261"/>
      <c r="J1209" s="259"/>
      <c r="K1209" s="260">
        <f t="shared" si="33"/>
        <v>1.26</v>
      </c>
      <c r="L1209" s="266" t="s">
        <v>1685</v>
      </c>
    </row>
    <row r="1210" spans="2:12">
      <c r="B1210" s="256" t="s">
        <v>1426</v>
      </c>
      <c r="C1210" s="264" t="s">
        <v>1613</v>
      </c>
      <c r="D1210" s="205" t="s">
        <v>110</v>
      </c>
      <c r="E1210" s="261">
        <v>0.4</v>
      </c>
      <c r="F1210" s="261">
        <v>0.5</v>
      </c>
      <c r="G1210" s="261">
        <v>3.6</v>
      </c>
      <c r="H1210" s="261">
        <v>1</v>
      </c>
      <c r="I1210" s="261"/>
      <c r="J1210" s="259"/>
      <c r="K1210" s="260">
        <f t="shared" si="33"/>
        <v>0.72000000000000008</v>
      </c>
      <c r="L1210" s="266" t="s">
        <v>1685</v>
      </c>
    </row>
    <row r="1211" spans="2:12">
      <c r="B1211" s="256" t="s">
        <v>1485</v>
      </c>
      <c r="C1211" s="264" t="s">
        <v>1613</v>
      </c>
      <c r="D1211" s="205" t="s">
        <v>110</v>
      </c>
      <c r="E1211" s="261">
        <v>0.6</v>
      </c>
      <c r="F1211" s="261">
        <v>0.4</v>
      </c>
      <c r="G1211" s="261">
        <v>3.6</v>
      </c>
      <c r="H1211" s="261">
        <v>1</v>
      </c>
      <c r="I1211" s="261"/>
      <c r="J1211" s="259"/>
      <c r="K1211" s="260">
        <f t="shared" si="33"/>
        <v>0.86399999999999999</v>
      </c>
      <c r="L1211" s="266" t="s">
        <v>1685</v>
      </c>
    </row>
    <row r="1212" spans="2:12">
      <c r="B1212" s="256" t="s">
        <v>1486</v>
      </c>
      <c r="C1212" s="264" t="s">
        <v>1613</v>
      </c>
      <c r="D1212" s="205" t="s">
        <v>110</v>
      </c>
      <c r="E1212" s="261">
        <v>2.94</v>
      </c>
      <c r="F1212" s="261">
        <v>0.2</v>
      </c>
      <c r="G1212" s="261">
        <v>3.6</v>
      </c>
      <c r="H1212" s="261">
        <v>1</v>
      </c>
      <c r="I1212" s="261"/>
      <c r="J1212" s="259"/>
      <c r="K1212" s="260">
        <f t="shared" si="33"/>
        <v>2.1168</v>
      </c>
      <c r="L1212" s="266" t="s">
        <v>1685</v>
      </c>
    </row>
    <row r="1213" spans="2:12">
      <c r="B1213" s="256" t="s">
        <v>1487</v>
      </c>
      <c r="C1213" s="264" t="s">
        <v>1613</v>
      </c>
      <c r="D1213" s="205" t="s">
        <v>110</v>
      </c>
      <c r="E1213" s="261">
        <v>2.94</v>
      </c>
      <c r="F1213" s="261">
        <v>0.2</v>
      </c>
      <c r="G1213" s="261">
        <v>3.6</v>
      </c>
      <c r="H1213" s="261">
        <v>1</v>
      </c>
      <c r="I1213" s="261"/>
      <c r="J1213" s="259"/>
      <c r="K1213" s="260">
        <f t="shared" si="33"/>
        <v>2.1168</v>
      </c>
      <c r="L1213" s="266" t="s">
        <v>1685</v>
      </c>
    </row>
    <row r="1214" spans="2:12">
      <c r="B1214" s="256" t="s">
        <v>1488</v>
      </c>
      <c r="C1214" s="264" t="s">
        <v>1613</v>
      </c>
      <c r="D1214" s="205" t="s">
        <v>110</v>
      </c>
      <c r="E1214" s="261">
        <v>0.6</v>
      </c>
      <c r="F1214" s="261">
        <v>0.5</v>
      </c>
      <c r="G1214" s="261">
        <v>3.6</v>
      </c>
      <c r="H1214" s="261">
        <v>1</v>
      </c>
      <c r="I1214" s="261"/>
      <c r="J1214" s="259"/>
      <c r="K1214" s="260">
        <f t="shared" si="33"/>
        <v>1.08</v>
      </c>
      <c r="L1214" s="266" t="s">
        <v>1685</v>
      </c>
    </row>
    <row r="1215" spans="2:12">
      <c r="B1215" s="256" t="s">
        <v>1489</v>
      </c>
      <c r="C1215" s="264" t="s">
        <v>1613</v>
      </c>
      <c r="D1215" s="205" t="s">
        <v>110</v>
      </c>
      <c r="E1215" s="261">
        <v>0.4</v>
      </c>
      <c r="F1215" s="261">
        <v>0.4</v>
      </c>
      <c r="G1215" s="261">
        <v>3.6</v>
      </c>
      <c r="H1215" s="261">
        <v>1</v>
      </c>
      <c r="I1215" s="261"/>
      <c r="J1215" s="259"/>
      <c r="K1215" s="260">
        <f t="shared" si="33"/>
        <v>0.57600000000000018</v>
      </c>
      <c r="L1215" s="266" t="s">
        <v>1685</v>
      </c>
    </row>
    <row r="1216" spans="2:12">
      <c r="B1216" s="256" t="s">
        <v>1490</v>
      </c>
      <c r="C1216" s="264" t="s">
        <v>1613</v>
      </c>
      <c r="D1216" s="205" t="s">
        <v>110</v>
      </c>
      <c r="E1216" s="261">
        <v>0.2</v>
      </c>
      <c r="F1216" s="261">
        <v>0.8</v>
      </c>
      <c r="G1216" s="261">
        <v>3.6</v>
      </c>
      <c r="H1216" s="261">
        <v>1</v>
      </c>
      <c r="I1216" s="261"/>
      <c r="J1216" s="259"/>
      <c r="K1216" s="260">
        <f t="shared" si="33"/>
        <v>0.57600000000000018</v>
      </c>
      <c r="L1216" s="266" t="s">
        <v>1685</v>
      </c>
    </row>
    <row r="1217" spans="2:12">
      <c r="B1217" s="256" t="s">
        <v>1493</v>
      </c>
      <c r="C1217" s="264" t="s">
        <v>1613</v>
      </c>
      <c r="D1217" s="205" t="s">
        <v>110</v>
      </c>
      <c r="E1217" s="261">
        <v>0.4</v>
      </c>
      <c r="F1217" s="261">
        <v>0.4</v>
      </c>
      <c r="G1217" s="261">
        <v>3.6</v>
      </c>
      <c r="H1217" s="261">
        <v>1</v>
      </c>
      <c r="I1217" s="261"/>
      <c r="J1217" s="259"/>
      <c r="K1217" s="260">
        <f t="shared" si="33"/>
        <v>0.57600000000000018</v>
      </c>
      <c r="L1217" s="266" t="s">
        <v>1685</v>
      </c>
    </row>
    <row r="1218" spans="2:12">
      <c r="B1218" s="256" t="s">
        <v>1494</v>
      </c>
      <c r="C1218" s="264" t="s">
        <v>1613</v>
      </c>
      <c r="D1218" s="205" t="s">
        <v>110</v>
      </c>
      <c r="E1218" s="261">
        <v>0.4</v>
      </c>
      <c r="F1218" s="261">
        <v>0.4</v>
      </c>
      <c r="G1218" s="261">
        <v>3.6</v>
      </c>
      <c r="H1218" s="261">
        <v>1</v>
      </c>
      <c r="I1218" s="261"/>
      <c r="J1218" s="259"/>
      <c r="K1218" s="260">
        <f t="shared" si="33"/>
        <v>0.57600000000000018</v>
      </c>
      <c r="L1218" s="266" t="s">
        <v>1685</v>
      </c>
    </row>
    <row r="1219" spans="2:12">
      <c r="B1219" s="256" t="s">
        <v>1495</v>
      </c>
      <c r="C1219" s="264" t="s">
        <v>1613</v>
      </c>
      <c r="D1219" s="205" t="s">
        <v>110</v>
      </c>
      <c r="E1219" s="261">
        <v>0.4</v>
      </c>
      <c r="F1219" s="261">
        <v>0.4</v>
      </c>
      <c r="G1219" s="261">
        <v>3.6</v>
      </c>
      <c r="H1219" s="261">
        <v>1</v>
      </c>
      <c r="I1219" s="261"/>
      <c r="J1219" s="259"/>
      <c r="K1219" s="260">
        <f t="shared" si="33"/>
        <v>0.57600000000000018</v>
      </c>
      <c r="L1219" s="266" t="s">
        <v>1685</v>
      </c>
    </row>
    <row r="1220" spans="2:12">
      <c r="B1220" s="256" t="s">
        <v>1411</v>
      </c>
      <c r="C1220" s="264" t="s">
        <v>1895</v>
      </c>
      <c r="D1220" s="205" t="s">
        <v>110</v>
      </c>
      <c r="E1220" s="261">
        <v>0.45</v>
      </c>
      <c r="F1220" s="261">
        <v>0.3</v>
      </c>
      <c r="G1220" s="261">
        <v>3.6</v>
      </c>
      <c r="H1220" s="261">
        <v>1</v>
      </c>
      <c r="I1220" s="261"/>
      <c r="J1220" s="259"/>
      <c r="K1220" s="260">
        <f t="shared" si="33"/>
        <v>0.48600000000000004</v>
      </c>
      <c r="L1220" s="266" t="s">
        <v>1685</v>
      </c>
    </row>
    <row r="1221" spans="2:12">
      <c r="B1221" s="256" t="s">
        <v>1413</v>
      </c>
      <c r="C1221" s="264" t="s">
        <v>1895</v>
      </c>
      <c r="D1221" s="205" t="s">
        <v>110</v>
      </c>
      <c r="E1221" s="261">
        <v>0.55000000000000004</v>
      </c>
      <c r="F1221" s="261">
        <v>0.3</v>
      </c>
      <c r="G1221" s="261">
        <v>3.6</v>
      </c>
      <c r="H1221" s="261">
        <v>1</v>
      </c>
      <c r="I1221" s="261"/>
      <c r="J1221" s="259"/>
      <c r="K1221" s="260">
        <f t="shared" si="33"/>
        <v>0.59400000000000008</v>
      </c>
      <c r="L1221" s="266" t="s">
        <v>1919</v>
      </c>
    </row>
    <row r="1222" spans="2:12">
      <c r="B1222" s="256" t="s">
        <v>1415</v>
      </c>
      <c r="C1222" s="264" t="s">
        <v>1895</v>
      </c>
      <c r="D1222" s="205" t="s">
        <v>110</v>
      </c>
      <c r="E1222" s="261">
        <v>0.55000000000000004</v>
      </c>
      <c r="F1222" s="261">
        <v>0.3</v>
      </c>
      <c r="G1222" s="261">
        <v>3.6</v>
      </c>
      <c r="H1222" s="261">
        <v>1</v>
      </c>
      <c r="I1222" s="261"/>
      <c r="J1222" s="259"/>
      <c r="K1222" s="260">
        <f t="shared" si="33"/>
        <v>0.59400000000000008</v>
      </c>
      <c r="L1222" s="266" t="s">
        <v>1919</v>
      </c>
    </row>
    <row r="1223" spans="2:12">
      <c r="B1223" s="256" t="s">
        <v>1417</v>
      </c>
      <c r="C1223" s="264" t="s">
        <v>1895</v>
      </c>
      <c r="D1223" s="205" t="s">
        <v>110</v>
      </c>
      <c r="E1223" s="261">
        <v>0.45</v>
      </c>
      <c r="F1223" s="261">
        <v>0.3</v>
      </c>
      <c r="G1223" s="261">
        <v>3.6</v>
      </c>
      <c r="H1223" s="261">
        <v>1</v>
      </c>
      <c r="I1223" s="261"/>
      <c r="J1223" s="259"/>
      <c r="K1223" s="260">
        <f t="shared" si="33"/>
        <v>0.48600000000000004</v>
      </c>
      <c r="L1223" s="266" t="s">
        <v>1919</v>
      </c>
    </row>
    <row r="1224" spans="2:12">
      <c r="B1224" s="256" t="s">
        <v>1419</v>
      </c>
      <c r="C1224" s="264" t="s">
        <v>1895</v>
      </c>
      <c r="D1224" s="205" t="s">
        <v>110</v>
      </c>
      <c r="E1224" s="261">
        <v>0.2</v>
      </c>
      <c r="F1224" s="261">
        <v>0.8</v>
      </c>
      <c r="G1224" s="261">
        <v>3.6</v>
      </c>
      <c r="H1224" s="261">
        <v>1</v>
      </c>
      <c r="I1224" s="261"/>
      <c r="J1224" s="259"/>
      <c r="K1224" s="260">
        <f t="shared" si="33"/>
        <v>0.57600000000000018</v>
      </c>
      <c r="L1224" s="266" t="s">
        <v>1919</v>
      </c>
    </row>
    <row r="1225" spans="2:12">
      <c r="B1225" s="256" t="s">
        <v>1420</v>
      </c>
      <c r="C1225" s="264" t="s">
        <v>1895</v>
      </c>
      <c r="D1225" s="205" t="s">
        <v>110</v>
      </c>
      <c r="E1225" s="261">
        <v>0.3</v>
      </c>
      <c r="F1225" s="261">
        <v>0.8</v>
      </c>
      <c r="G1225" s="261">
        <v>3.6</v>
      </c>
      <c r="H1225" s="261">
        <v>1</v>
      </c>
      <c r="I1225" s="261"/>
      <c r="J1225" s="259"/>
      <c r="K1225" s="260">
        <f t="shared" si="33"/>
        <v>0.86399999999999999</v>
      </c>
      <c r="L1225" s="266" t="s">
        <v>1919</v>
      </c>
    </row>
    <row r="1226" spans="2:12">
      <c r="B1226" s="256" t="s">
        <v>1421</v>
      </c>
      <c r="C1226" s="264" t="s">
        <v>1895</v>
      </c>
      <c r="D1226" s="205" t="s">
        <v>110</v>
      </c>
      <c r="E1226" s="261">
        <v>0.2</v>
      </c>
      <c r="F1226" s="261">
        <v>0.8</v>
      </c>
      <c r="G1226" s="261">
        <v>3.6</v>
      </c>
      <c r="H1226" s="261">
        <v>1</v>
      </c>
      <c r="I1226" s="261"/>
      <c r="J1226" s="259"/>
      <c r="K1226" s="260">
        <f t="shared" si="33"/>
        <v>0.57600000000000018</v>
      </c>
      <c r="L1226" s="266" t="s">
        <v>1919</v>
      </c>
    </row>
    <row r="1227" spans="2:12">
      <c r="B1227" s="256" t="s">
        <v>1422</v>
      </c>
      <c r="C1227" s="264" t="s">
        <v>1895</v>
      </c>
      <c r="D1227" s="205" t="s">
        <v>110</v>
      </c>
      <c r="E1227" s="261">
        <v>0.3</v>
      </c>
      <c r="F1227" s="261">
        <v>0.8</v>
      </c>
      <c r="G1227" s="261">
        <v>3.6</v>
      </c>
      <c r="H1227" s="261">
        <v>1</v>
      </c>
      <c r="I1227" s="261"/>
      <c r="J1227" s="259"/>
      <c r="K1227" s="260">
        <f t="shared" si="33"/>
        <v>0.86399999999999999</v>
      </c>
      <c r="L1227" s="266" t="s">
        <v>1919</v>
      </c>
    </row>
    <row r="1228" spans="2:12">
      <c r="B1228" s="256" t="s">
        <v>1423</v>
      </c>
      <c r="C1228" s="264" t="s">
        <v>1895</v>
      </c>
      <c r="D1228" s="205" t="s">
        <v>110</v>
      </c>
      <c r="E1228" s="261">
        <v>0.4</v>
      </c>
      <c r="F1228" s="261">
        <v>0.7</v>
      </c>
      <c r="G1228" s="261">
        <v>3.6</v>
      </c>
      <c r="H1228" s="261">
        <v>1</v>
      </c>
      <c r="I1228" s="261"/>
      <c r="J1228" s="259"/>
      <c r="K1228" s="260">
        <f t="shared" si="33"/>
        <v>1.008</v>
      </c>
      <c r="L1228" s="266" t="s">
        <v>1919</v>
      </c>
    </row>
    <row r="1229" spans="2:12">
      <c r="B1229" s="256" t="s">
        <v>1424</v>
      </c>
      <c r="C1229" s="264" t="s">
        <v>1895</v>
      </c>
      <c r="D1229" s="205" t="s">
        <v>110</v>
      </c>
      <c r="E1229" s="261">
        <v>0.5</v>
      </c>
      <c r="F1229" s="261">
        <v>0.7</v>
      </c>
      <c r="G1229" s="261">
        <v>3.6</v>
      </c>
      <c r="H1229" s="261">
        <v>1</v>
      </c>
      <c r="I1229" s="261"/>
      <c r="J1229" s="259"/>
      <c r="K1229" s="260">
        <f t="shared" si="33"/>
        <v>1.26</v>
      </c>
      <c r="L1229" s="266" t="s">
        <v>1919</v>
      </c>
    </row>
    <row r="1230" spans="2:12">
      <c r="B1230" s="256" t="s">
        <v>1425</v>
      </c>
      <c r="C1230" s="264" t="s">
        <v>1895</v>
      </c>
      <c r="D1230" s="205" t="s">
        <v>110</v>
      </c>
      <c r="E1230" s="261">
        <v>0.5</v>
      </c>
      <c r="F1230" s="261">
        <v>0.7</v>
      </c>
      <c r="G1230" s="261">
        <v>3.6</v>
      </c>
      <c r="H1230" s="261">
        <v>1</v>
      </c>
      <c r="I1230" s="261"/>
      <c r="J1230" s="259"/>
      <c r="K1230" s="260">
        <f t="shared" si="33"/>
        <v>1.26</v>
      </c>
      <c r="L1230" s="266" t="s">
        <v>1919</v>
      </c>
    </row>
    <row r="1231" spans="2:12">
      <c r="B1231" s="256" t="s">
        <v>1426</v>
      </c>
      <c r="C1231" s="264" t="s">
        <v>1895</v>
      </c>
      <c r="D1231" s="205" t="s">
        <v>110</v>
      </c>
      <c r="E1231" s="261">
        <v>0.4</v>
      </c>
      <c r="F1231" s="261">
        <v>0.5</v>
      </c>
      <c r="G1231" s="261">
        <v>3.6</v>
      </c>
      <c r="H1231" s="261">
        <v>1</v>
      </c>
      <c r="I1231" s="261"/>
      <c r="J1231" s="259"/>
      <c r="K1231" s="260">
        <f t="shared" si="33"/>
        <v>0.72000000000000008</v>
      </c>
      <c r="L1231" s="266" t="s">
        <v>1919</v>
      </c>
    </row>
    <row r="1232" spans="2:12">
      <c r="B1232" s="256" t="s">
        <v>1485</v>
      </c>
      <c r="C1232" s="264" t="s">
        <v>1895</v>
      </c>
      <c r="D1232" s="205" t="s">
        <v>110</v>
      </c>
      <c r="E1232" s="261">
        <v>0.6</v>
      </c>
      <c r="F1232" s="261">
        <v>0.4</v>
      </c>
      <c r="G1232" s="261">
        <v>3.6</v>
      </c>
      <c r="H1232" s="261">
        <v>1</v>
      </c>
      <c r="I1232" s="261"/>
      <c r="J1232" s="259"/>
      <c r="K1232" s="260">
        <f t="shared" si="33"/>
        <v>0.86399999999999999</v>
      </c>
      <c r="L1232" s="266" t="s">
        <v>1919</v>
      </c>
    </row>
    <row r="1233" spans="2:12">
      <c r="B1233" s="256" t="s">
        <v>1486</v>
      </c>
      <c r="C1233" s="264" t="s">
        <v>1895</v>
      </c>
      <c r="D1233" s="205" t="s">
        <v>110</v>
      </c>
      <c r="E1233" s="261">
        <v>2.94</v>
      </c>
      <c r="F1233" s="261">
        <v>0.2</v>
      </c>
      <c r="G1233" s="261">
        <v>3.6</v>
      </c>
      <c r="H1233" s="261">
        <v>1</v>
      </c>
      <c r="I1233" s="261"/>
      <c r="J1233" s="259"/>
      <c r="K1233" s="260">
        <f t="shared" si="33"/>
        <v>2.1168</v>
      </c>
      <c r="L1233" s="266" t="s">
        <v>1919</v>
      </c>
    </row>
    <row r="1234" spans="2:12">
      <c r="B1234" s="256" t="s">
        <v>1487</v>
      </c>
      <c r="C1234" s="264" t="s">
        <v>1895</v>
      </c>
      <c r="D1234" s="205" t="s">
        <v>110</v>
      </c>
      <c r="E1234" s="261">
        <v>2.94</v>
      </c>
      <c r="F1234" s="261">
        <v>0.2</v>
      </c>
      <c r="G1234" s="261">
        <v>3.6</v>
      </c>
      <c r="H1234" s="261">
        <v>1</v>
      </c>
      <c r="I1234" s="261"/>
      <c r="J1234" s="259"/>
      <c r="K1234" s="260">
        <f t="shared" si="33"/>
        <v>2.1168</v>
      </c>
      <c r="L1234" s="266" t="s">
        <v>1919</v>
      </c>
    </row>
    <row r="1235" spans="2:12">
      <c r="B1235" s="256" t="s">
        <v>1488</v>
      </c>
      <c r="C1235" s="264" t="s">
        <v>1895</v>
      </c>
      <c r="D1235" s="205" t="s">
        <v>110</v>
      </c>
      <c r="E1235" s="261">
        <v>0.6</v>
      </c>
      <c r="F1235" s="261">
        <v>0.5</v>
      </c>
      <c r="G1235" s="261">
        <v>3.6</v>
      </c>
      <c r="H1235" s="261">
        <v>1</v>
      </c>
      <c r="I1235" s="261"/>
      <c r="J1235" s="259"/>
      <c r="K1235" s="260">
        <f t="shared" si="33"/>
        <v>1.08</v>
      </c>
      <c r="L1235" s="266" t="s">
        <v>1919</v>
      </c>
    </row>
    <row r="1236" spans="2:12">
      <c r="B1236" s="256" t="s">
        <v>1489</v>
      </c>
      <c r="C1236" s="264" t="s">
        <v>1895</v>
      </c>
      <c r="D1236" s="205" t="s">
        <v>110</v>
      </c>
      <c r="E1236" s="261">
        <v>0.4</v>
      </c>
      <c r="F1236" s="261">
        <v>0.4</v>
      </c>
      <c r="G1236" s="261">
        <v>3.6</v>
      </c>
      <c r="H1236" s="261">
        <v>1</v>
      </c>
      <c r="I1236" s="261"/>
      <c r="J1236" s="259"/>
      <c r="K1236" s="260">
        <f t="shared" si="33"/>
        <v>0.57600000000000018</v>
      </c>
      <c r="L1236" s="266" t="s">
        <v>1919</v>
      </c>
    </row>
    <row r="1237" spans="2:12">
      <c r="B1237" s="256" t="s">
        <v>1490</v>
      </c>
      <c r="C1237" s="264" t="s">
        <v>1895</v>
      </c>
      <c r="D1237" s="205" t="s">
        <v>110</v>
      </c>
      <c r="E1237" s="261">
        <v>0.2</v>
      </c>
      <c r="F1237" s="261">
        <v>0.8</v>
      </c>
      <c r="G1237" s="261">
        <v>3.6</v>
      </c>
      <c r="H1237" s="261">
        <v>1</v>
      </c>
      <c r="I1237" s="261"/>
      <c r="J1237" s="259"/>
      <c r="K1237" s="260">
        <f t="shared" si="33"/>
        <v>0.57600000000000018</v>
      </c>
      <c r="L1237" s="266" t="s">
        <v>1919</v>
      </c>
    </row>
    <row r="1238" spans="2:12">
      <c r="B1238" s="256" t="s">
        <v>1493</v>
      </c>
      <c r="C1238" s="264" t="s">
        <v>1895</v>
      </c>
      <c r="D1238" s="205" t="s">
        <v>110</v>
      </c>
      <c r="E1238" s="261">
        <v>0.4</v>
      </c>
      <c r="F1238" s="261">
        <v>0.4</v>
      </c>
      <c r="G1238" s="261">
        <v>3.6</v>
      </c>
      <c r="H1238" s="261">
        <v>1</v>
      </c>
      <c r="I1238" s="261"/>
      <c r="J1238" s="259"/>
      <c r="K1238" s="260">
        <f t="shared" si="33"/>
        <v>0.57600000000000018</v>
      </c>
      <c r="L1238" s="266" t="s">
        <v>1919</v>
      </c>
    </row>
    <row r="1239" spans="2:12">
      <c r="B1239" s="256" t="s">
        <v>1494</v>
      </c>
      <c r="C1239" s="264" t="s">
        <v>1895</v>
      </c>
      <c r="D1239" s="205" t="s">
        <v>110</v>
      </c>
      <c r="E1239" s="261">
        <v>0.4</v>
      </c>
      <c r="F1239" s="261">
        <v>0.4</v>
      </c>
      <c r="G1239" s="261">
        <v>3.6</v>
      </c>
      <c r="H1239" s="261">
        <v>1</v>
      </c>
      <c r="I1239" s="261"/>
      <c r="J1239" s="259"/>
      <c r="K1239" s="260">
        <f t="shared" si="33"/>
        <v>0.57600000000000018</v>
      </c>
      <c r="L1239" s="266" t="s">
        <v>1919</v>
      </c>
    </row>
    <row r="1240" spans="2:12">
      <c r="B1240" s="256" t="s">
        <v>1495</v>
      </c>
      <c r="C1240" s="264" t="s">
        <v>1895</v>
      </c>
      <c r="D1240" s="205" t="s">
        <v>110</v>
      </c>
      <c r="E1240" s="261">
        <v>0.4</v>
      </c>
      <c r="F1240" s="261">
        <v>0.4</v>
      </c>
      <c r="G1240" s="261">
        <v>3.6</v>
      </c>
      <c r="H1240" s="261">
        <v>1</v>
      </c>
      <c r="I1240" s="261"/>
      <c r="J1240" s="259"/>
      <c r="K1240" s="260">
        <f t="shared" si="33"/>
        <v>0.57600000000000018</v>
      </c>
      <c r="L1240" s="266" t="s">
        <v>1919</v>
      </c>
    </row>
    <row r="1241" spans="2:12">
      <c r="B1241" s="256"/>
      <c r="C1241" s="264"/>
      <c r="D1241" s="210"/>
      <c r="E1241" s="261"/>
      <c r="F1241" s="261"/>
      <c r="G1241" s="261"/>
      <c r="H1241" s="261"/>
      <c r="I1241" s="261"/>
      <c r="J1241" s="259"/>
      <c r="K1241" s="260">
        <f t="shared" si="33"/>
        <v>0</v>
      </c>
      <c r="L1241" s="266"/>
    </row>
    <row r="1242" spans="2:12">
      <c r="B1242" s="256"/>
      <c r="C1242" s="264"/>
      <c r="D1242" s="210"/>
      <c r="E1242" s="261"/>
      <c r="F1242" s="261"/>
      <c r="G1242" s="261"/>
      <c r="H1242" s="261"/>
      <c r="I1242" s="261"/>
      <c r="J1242" s="259"/>
      <c r="K1242" s="260">
        <f t="shared" si="33"/>
        <v>0</v>
      </c>
      <c r="L1242" s="266"/>
    </row>
    <row r="1243" spans="2:12">
      <c r="B1243" s="256"/>
      <c r="C1243" s="264"/>
      <c r="D1243" s="210"/>
      <c r="E1243" s="261"/>
      <c r="F1243" s="261"/>
      <c r="G1243" s="261"/>
      <c r="H1243" s="261"/>
      <c r="I1243" s="261"/>
      <c r="J1243" s="259"/>
      <c r="K1243" s="260">
        <f t="shared" si="33"/>
        <v>0</v>
      </c>
      <c r="L1243" s="266"/>
    </row>
    <row r="1244" spans="2:12">
      <c r="B1244" s="256"/>
      <c r="C1244" s="210"/>
      <c r="D1244" s="210"/>
      <c r="E1244" s="261"/>
      <c r="F1244" s="261"/>
      <c r="G1244" s="261"/>
      <c r="H1244" s="261"/>
      <c r="I1244" s="261"/>
      <c r="J1244" s="259"/>
      <c r="K1244" s="260">
        <f t="shared" si="33"/>
        <v>0</v>
      </c>
      <c r="L1244" s="210"/>
    </row>
    <row r="1245" spans="2:12">
      <c r="B1245" s="202"/>
      <c r="C1245" s="203"/>
      <c r="D1245" s="203"/>
      <c r="E1245" s="203"/>
      <c r="F1245" s="203"/>
      <c r="G1245" s="203"/>
      <c r="H1245" s="204"/>
      <c r="I1245" s="556" t="s">
        <v>1221</v>
      </c>
      <c r="J1245" s="556"/>
      <c r="K1245" s="220">
        <f>SUM(K1005:K1244)</f>
        <v>189.57551999999967</v>
      </c>
      <c r="L1245" s="207"/>
    </row>
    <row r="1246" spans="2:12">
      <c r="B1246" s="208"/>
      <c r="C1246" s="204"/>
      <c r="D1246" s="204"/>
      <c r="E1246" s="204"/>
      <c r="F1246" s="204"/>
      <c r="G1246" s="204"/>
      <c r="H1246" s="209"/>
      <c r="I1246" s="556" t="s">
        <v>1222</v>
      </c>
      <c r="J1246" s="556"/>
      <c r="K1246" s="221">
        <f>VLOOKUP(B1003,'BM 004'!$B$27:$R$590,4,0)</f>
        <v>226.93</v>
      </c>
      <c r="L1246" s="207"/>
    </row>
    <row r="1247" spans="2:12">
      <c r="B1247" s="208"/>
      <c r="C1247" s="204"/>
      <c r="D1247" s="204"/>
      <c r="E1247" s="204"/>
      <c r="F1247" s="204"/>
      <c r="G1247" s="204"/>
      <c r="H1247" s="558" t="s">
        <v>1223</v>
      </c>
      <c r="I1247" s="558"/>
      <c r="J1247" s="558"/>
      <c r="K1247" s="222">
        <v>171.71592000000001</v>
      </c>
      <c r="L1247" s="207"/>
    </row>
    <row r="1248" spans="2:12">
      <c r="B1248" s="208"/>
      <c r="C1248" s="204"/>
      <c r="D1248" s="204"/>
      <c r="E1248" s="204"/>
      <c r="F1248" s="204"/>
      <c r="G1248" s="204"/>
      <c r="H1248" s="558" t="s">
        <v>1605</v>
      </c>
      <c r="I1248" s="558"/>
      <c r="J1248" s="558"/>
      <c r="K1248" s="222">
        <f>TRUNC(SUMIF(C1005:C1244,H1248,K1005:K1244),2)</f>
        <v>18.34</v>
      </c>
      <c r="L1248" s="246"/>
    </row>
    <row r="1249" spans="2:12">
      <c r="B1249" s="213"/>
      <c r="C1249" s="214"/>
      <c r="D1249" s="214"/>
      <c r="E1249" s="214"/>
      <c r="F1249" s="214"/>
      <c r="G1249" s="214"/>
      <c r="H1249" s="566" t="s">
        <v>1224</v>
      </c>
      <c r="I1249" s="566"/>
      <c r="J1249" s="566"/>
      <c r="K1249" s="223">
        <f>IF(K1245&gt;K1246,K1245-K1246,0)</f>
        <v>0</v>
      </c>
      <c r="L1249" s="209"/>
    </row>
    <row r="1251" spans="2:12">
      <c r="B1251" s="247" t="s">
        <v>240</v>
      </c>
      <c r="C1251" s="565" t="str">
        <f>VLOOKUP(B1251,'BM 004'!$B$27:$R$590,2,0)</f>
        <v xml:space="preserve">Armação de laje de uma estrutura convencional de concreto armado em um edifício de múltiplos pavimentos utilizando aço ca-50 de 6,3 mm - montagem. </v>
      </c>
      <c r="D1251" s="565"/>
      <c r="E1251" s="565"/>
      <c r="F1251" s="565"/>
      <c r="G1251" s="565"/>
      <c r="H1251" s="565"/>
      <c r="I1251" s="565"/>
      <c r="J1251" s="565"/>
      <c r="K1251" s="565"/>
      <c r="L1251" s="565"/>
    </row>
    <row r="1252" spans="2:12">
      <c r="B1252" s="248" t="s">
        <v>1209</v>
      </c>
      <c r="C1252" s="248"/>
      <c r="D1252" s="248" t="s">
        <v>39</v>
      </c>
      <c r="E1252" s="248" t="s">
        <v>1210</v>
      </c>
      <c r="F1252" s="248" t="s">
        <v>1388</v>
      </c>
      <c r="G1252" s="248" t="s">
        <v>1212</v>
      </c>
      <c r="H1252" s="248" t="s">
        <v>1213</v>
      </c>
      <c r="I1252" s="248" t="s">
        <v>1214</v>
      </c>
      <c r="J1252" s="248" t="s">
        <v>1385</v>
      </c>
      <c r="K1252" s="248" t="s">
        <v>1216</v>
      </c>
      <c r="L1252" s="248" t="s">
        <v>1217</v>
      </c>
    </row>
    <row r="1253" spans="2:12">
      <c r="B1253" s="205" t="s">
        <v>1510</v>
      </c>
      <c r="C1253" s="250" t="s">
        <v>1441</v>
      </c>
      <c r="D1253" s="205" t="s">
        <v>1274</v>
      </c>
      <c r="E1253" s="251">
        <v>1148.82</v>
      </c>
      <c r="F1253" s="252">
        <v>0.245</v>
      </c>
      <c r="G1253" s="251">
        <v>0.45</v>
      </c>
      <c r="H1253" s="251">
        <v>1.1000000000000001</v>
      </c>
      <c r="I1253" s="251"/>
      <c r="J1253" s="253"/>
      <c r="K1253" s="254">
        <f t="shared" ref="K1253:K1273" si="34">IF(E1253*F1253*G1253&lt;&gt;0,E1253*F1253*G1253,IF(E1253*F1253&lt;&gt;0,E1253*F1253,IF(F1253*G1253&lt;&gt;0,F1253*G1253,IF(E1253*G1253&lt;&gt;0,E1253*G1253,IF(E1253&lt;&gt;0,E1253,IF(F1253&lt;&gt;0,F1253,IF(G1253&lt;&gt;0,G1253,0)))))))*(IF(H1253&lt;&gt;0,H1253,1))+I1253-J1253</f>
        <v>139.32314550000001</v>
      </c>
      <c r="L1253" s="255" t="s">
        <v>1511</v>
      </c>
    </row>
    <row r="1254" spans="2:12">
      <c r="B1254" s="205" t="s">
        <v>1512</v>
      </c>
      <c r="C1254" s="250" t="s">
        <v>1441</v>
      </c>
      <c r="D1254" s="205" t="s">
        <v>1274</v>
      </c>
      <c r="E1254" s="251">
        <v>764.81</v>
      </c>
      <c r="F1254" s="252">
        <v>0.245</v>
      </c>
      <c r="G1254" s="251">
        <v>0.45</v>
      </c>
      <c r="H1254" s="251">
        <v>1.1000000000000001</v>
      </c>
      <c r="I1254" s="251"/>
      <c r="J1254" s="253"/>
      <c r="K1254" s="254">
        <f t="shared" si="34"/>
        <v>92.752332750000008</v>
      </c>
      <c r="L1254" s="255" t="s">
        <v>1511</v>
      </c>
    </row>
    <row r="1255" spans="2:12">
      <c r="B1255" s="205" t="s">
        <v>1513</v>
      </c>
      <c r="C1255" s="250" t="s">
        <v>1441</v>
      </c>
      <c r="D1255" s="205" t="s">
        <v>1274</v>
      </c>
      <c r="E1255" s="251">
        <v>803</v>
      </c>
      <c r="F1255" s="252">
        <v>0.245</v>
      </c>
      <c r="G1255" s="251"/>
      <c r="H1255" s="251">
        <v>1.1000000000000001</v>
      </c>
      <c r="I1255" s="251"/>
      <c r="J1255" s="253"/>
      <c r="K1255" s="254">
        <f t="shared" si="34"/>
        <v>216.4085</v>
      </c>
      <c r="L1255" s="255" t="s">
        <v>1511</v>
      </c>
    </row>
    <row r="1256" spans="2:12">
      <c r="B1256" s="205" t="s">
        <v>1514</v>
      </c>
      <c r="C1256" s="250" t="s">
        <v>1441</v>
      </c>
      <c r="D1256" s="205" t="s">
        <v>1274</v>
      </c>
      <c r="E1256" s="251">
        <v>329</v>
      </c>
      <c r="F1256" s="252">
        <v>0.245</v>
      </c>
      <c r="G1256" s="251"/>
      <c r="H1256" s="251">
        <v>1.1000000000000001</v>
      </c>
      <c r="I1256" s="251"/>
      <c r="J1256" s="253"/>
      <c r="K1256" s="254">
        <f t="shared" si="34"/>
        <v>88.665500000000009</v>
      </c>
      <c r="L1256" s="255" t="s">
        <v>1511</v>
      </c>
    </row>
    <row r="1257" spans="2:12">
      <c r="B1257" s="205" t="s">
        <v>1513</v>
      </c>
      <c r="C1257" s="250" t="s">
        <v>1441</v>
      </c>
      <c r="D1257" s="205" t="s">
        <v>1274</v>
      </c>
      <c r="E1257" s="251">
        <v>8265</v>
      </c>
      <c r="F1257" s="252">
        <v>0.154</v>
      </c>
      <c r="G1257" s="251"/>
      <c r="H1257" s="251">
        <v>1.1000000000000001</v>
      </c>
      <c r="I1257" s="251"/>
      <c r="J1257" s="253"/>
      <c r="K1257" s="254">
        <f t="shared" si="34"/>
        <v>1400.0910000000001</v>
      </c>
      <c r="L1257" s="266" t="s">
        <v>1515</v>
      </c>
    </row>
    <row r="1258" spans="2:12">
      <c r="B1258" s="205" t="s">
        <v>1516</v>
      </c>
      <c r="C1258" s="250" t="s">
        <v>1441</v>
      </c>
      <c r="D1258" s="205" t="s">
        <v>1274</v>
      </c>
      <c r="E1258" s="251">
        <v>43.18</v>
      </c>
      <c r="F1258" s="252"/>
      <c r="G1258" s="251"/>
      <c r="H1258" s="251">
        <v>0.74</v>
      </c>
      <c r="I1258" s="251"/>
      <c r="J1258" s="253"/>
      <c r="K1258" s="254">
        <f t="shared" si="34"/>
        <v>31.953199999999999</v>
      </c>
      <c r="L1258" s="266"/>
    </row>
    <row r="1259" spans="2:12">
      <c r="B1259" s="205" t="s">
        <v>1572</v>
      </c>
      <c r="C1259" s="250" t="s">
        <v>1521</v>
      </c>
      <c r="D1259" s="205" t="s">
        <v>1274</v>
      </c>
      <c r="E1259" s="251">
        <v>1237.52</v>
      </c>
      <c r="F1259" s="252">
        <v>0.245</v>
      </c>
      <c r="G1259" s="251">
        <v>0.5</v>
      </c>
      <c r="H1259" s="251">
        <v>1.1000000000000001</v>
      </c>
      <c r="I1259" s="251"/>
      <c r="J1259" s="253"/>
      <c r="K1259" s="254">
        <f t="shared" si="34"/>
        <v>166.75582</v>
      </c>
      <c r="L1259" s="255" t="s">
        <v>1511</v>
      </c>
    </row>
    <row r="1260" spans="2:12">
      <c r="B1260" s="205" t="s">
        <v>1573</v>
      </c>
      <c r="C1260" s="250" t="s">
        <v>1521</v>
      </c>
      <c r="D1260" s="205" t="s">
        <v>1274</v>
      </c>
      <c r="E1260" s="251">
        <v>749</v>
      </c>
      <c r="F1260" s="252">
        <v>0.245</v>
      </c>
      <c r="G1260" s="251">
        <v>0.5</v>
      </c>
      <c r="H1260" s="251">
        <v>1.1000000000000001</v>
      </c>
      <c r="I1260" s="251"/>
      <c r="J1260" s="253"/>
      <c r="K1260" s="254">
        <f t="shared" si="34"/>
        <v>100.92775</v>
      </c>
      <c r="L1260" s="255" t="s">
        <v>1511</v>
      </c>
    </row>
    <row r="1261" spans="2:12">
      <c r="B1261" s="205" t="s">
        <v>1510</v>
      </c>
      <c r="C1261" s="250" t="s">
        <v>1611</v>
      </c>
      <c r="D1261" s="205" t="s">
        <v>1274</v>
      </c>
      <c r="E1261" s="251">
        <v>1148.82</v>
      </c>
      <c r="F1261" s="252">
        <v>0.245</v>
      </c>
      <c r="G1261" s="251">
        <v>0.55000000000000004</v>
      </c>
      <c r="H1261" s="251">
        <v>1.1000000000000001</v>
      </c>
      <c r="I1261" s="251"/>
      <c r="J1261" s="253"/>
      <c r="K1261" s="254">
        <f t="shared" si="34"/>
        <v>170.28384450000001</v>
      </c>
      <c r="L1261" s="255" t="s">
        <v>1511</v>
      </c>
    </row>
    <row r="1262" spans="2:12">
      <c r="B1262" s="205" t="s">
        <v>1512</v>
      </c>
      <c r="C1262" s="250" t="s">
        <v>1611</v>
      </c>
      <c r="D1262" s="205" t="s">
        <v>1274</v>
      </c>
      <c r="E1262" s="251">
        <v>764.81</v>
      </c>
      <c r="F1262" s="252">
        <v>0.245</v>
      </c>
      <c r="G1262" s="251">
        <v>0.55000000000000004</v>
      </c>
      <c r="H1262" s="251">
        <v>1.1000000000000001</v>
      </c>
      <c r="I1262" s="251">
        <v>4.15206487694044E-4</v>
      </c>
      <c r="J1262" s="253"/>
      <c r="K1262" s="254">
        <f t="shared" si="34"/>
        <v>113.3643774564877</v>
      </c>
      <c r="L1262" s="255" t="s">
        <v>1511</v>
      </c>
    </row>
    <row r="1263" spans="2:12">
      <c r="B1263" s="210"/>
      <c r="C1263" s="264"/>
      <c r="D1263" s="210"/>
      <c r="E1263" s="257"/>
      <c r="F1263" s="258"/>
      <c r="G1263" s="257"/>
      <c r="H1263" s="257"/>
      <c r="I1263" s="257"/>
      <c r="J1263" s="259"/>
      <c r="K1263" s="254">
        <f t="shared" si="34"/>
        <v>0</v>
      </c>
      <c r="L1263" s="266"/>
    </row>
    <row r="1264" spans="2:12">
      <c r="B1264" s="210"/>
      <c r="C1264" s="264"/>
      <c r="D1264" s="210"/>
      <c r="E1264" s="257"/>
      <c r="F1264" s="258"/>
      <c r="G1264" s="257"/>
      <c r="H1264" s="257"/>
      <c r="I1264" s="257"/>
      <c r="J1264" s="259"/>
      <c r="K1264" s="254">
        <f t="shared" si="34"/>
        <v>0</v>
      </c>
      <c r="L1264" s="266"/>
    </row>
    <row r="1265" spans="2:12">
      <c r="B1265" s="210"/>
      <c r="C1265" s="264"/>
      <c r="D1265" s="210"/>
      <c r="E1265" s="257"/>
      <c r="F1265" s="258"/>
      <c r="G1265" s="257"/>
      <c r="H1265" s="257"/>
      <c r="I1265" s="257"/>
      <c r="J1265" s="259"/>
      <c r="K1265" s="254">
        <f t="shared" si="34"/>
        <v>0</v>
      </c>
      <c r="L1265" s="266"/>
    </row>
    <row r="1266" spans="2:12">
      <c r="B1266" s="210"/>
      <c r="C1266" s="264"/>
      <c r="D1266" s="210"/>
      <c r="E1266" s="257"/>
      <c r="F1266" s="258"/>
      <c r="G1266" s="257"/>
      <c r="H1266" s="257"/>
      <c r="I1266" s="257"/>
      <c r="J1266" s="259"/>
      <c r="K1266" s="254">
        <f t="shared" si="34"/>
        <v>0</v>
      </c>
      <c r="L1266" s="266"/>
    </row>
    <row r="1267" spans="2:12">
      <c r="B1267" s="210"/>
      <c r="C1267" s="264"/>
      <c r="D1267" s="210"/>
      <c r="E1267" s="257"/>
      <c r="F1267" s="258"/>
      <c r="G1267" s="257"/>
      <c r="H1267" s="257"/>
      <c r="I1267" s="257"/>
      <c r="J1267" s="259"/>
      <c r="K1267" s="254">
        <f t="shared" si="34"/>
        <v>0</v>
      </c>
      <c r="L1267" s="266"/>
    </row>
    <row r="1268" spans="2:12">
      <c r="B1268" s="210"/>
      <c r="C1268" s="264"/>
      <c r="D1268" s="210"/>
      <c r="E1268" s="257"/>
      <c r="F1268" s="258"/>
      <c r="G1268" s="257"/>
      <c r="H1268" s="257"/>
      <c r="I1268" s="257"/>
      <c r="J1268" s="259"/>
      <c r="K1268" s="254">
        <f t="shared" si="34"/>
        <v>0</v>
      </c>
      <c r="L1268" s="266"/>
    </row>
    <row r="1269" spans="2:12">
      <c r="B1269" s="210"/>
      <c r="C1269" s="264"/>
      <c r="D1269" s="210"/>
      <c r="E1269" s="257"/>
      <c r="F1269" s="258"/>
      <c r="G1269" s="257"/>
      <c r="H1269" s="257"/>
      <c r="I1269" s="257"/>
      <c r="J1269" s="259"/>
      <c r="K1269" s="254">
        <f t="shared" si="34"/>
        <v>0</v>
      </c>
      <c r="L1269" s="266"/>
    </row>
    <row r="1270" spans="2:12">
      <c r="B1270" s="210"/>
      <c r="C1270" s="264"/>
      <c r="D1270" s="210"/>
      <c r="E1270" s="257"/>
      <c r="F1270" s="258"/>
      <c r="G1270" s="257"/>
      <c r="H1270" s="257"/>
      <c r="I1270" s="257"/>
      <c r="J1270" s="259"/>
      <c r="K1270" s="254">
        <f t="shared" si="34"/>
        <v>0</v>
      </c>
      <c r="L1270" s="266"/>
    </row>
    <row r="1271" spans="2:12">
      <c r="B1271" s="210"/>
      <c r="C1271" s="264"/>
      <c r="D1271" s="210"/>
      <c r="E1271" s="257"/>
      <c r="F1271" s="258"/>
      <c r="G1271" s="257"/>
      <c r="H1271" s="257"/>
      <c r="I1271" s="257"/>
      <c r="J1271" s="259"/>
      <c r="K1271" s="254">
        <f t="shared" si="34"/>
        <v>0</v>
      </c>
      <c r="L1271" s="266"/>
    </row>
    <row r="1272" spans="2:12">
      <c r="B1272" s="210"/>
      <c r="C1272" s="264"/>
      <c r="D1272" s="210"/>
      <c r="E1272" s="257"/>
      <c r="F1272" s="258"/>
      <c r="G1272" s="257"/>
      <c r="H1272" s="257"/>
      <c r="I1272" s="257"/>
      <c r="J1272" s="259"/>
      <c r="K1272" s="254">
        <f t="shared" si="34"/>
        <v>0</v>
      </c>
      <c r="L1272" s="266"/>
    </row>
    <row r="1273" spans="2:12">
      <c r="B1273" s="256"/>
      <c r="C1273" s="210"/>
      <c r="D1273" s="210"/>
      <c r="E1273" s="257"/>
      <c r="F1273" s="258"/>
      <c r="G1273" s="257"/>
      <c r="H1273" s="257"/>
      <c r="I1273" s="257"/>
      <c r="J1273" s="259"/>
      <c r="K1273" s="254">
        <f t="shared" si="34"/>
        <v>0</v>
      </c>
      <c r="L1273" s="210"/>
    </row>
    <row r="1274" spans="2:12">
      <c r="B1274" s="202"/>
      <c r="C1274" s="203"/>
      <c r="D1274" s="203"/>
      <c r="E1274" s="203"/>
      <c r="F1274" s="203"/>
      <c r="G1274" s="203"/>
      <c r="H1274" s="204"/>
      <c r="I1274" s="556" t="s">
        <v>1221</v>
      </c>
      <c r="J1274" s="556"/>
      <c r="K1274" s="220">
        <f>SUM(K1253:K1273)</f>
        <v>2520.5254702064876</v>
      </c>
      <c r="L1274" s="207"/>
    </row>
    <row r="1275" spans="2:12">
      <c r="B1275" s="208"/>
      <c r="C1275" s="204"/>
      <c r="D1275" s="204"/>
      <c r="E1275" s="204"/>
      <c r="F1275" s="204"/>
      <c r="G1275" s="204"/>
      <c r="H1275" s="209"/>
      <c r="I1275" s="557" t="s">
        <v>1222</v>
      </c>
      <c r="J1275" s="557"/>
      <c r="K1275" s="221">
        <f>VLOOKUP(B1251,'BM 004'!$B$27:$R$590,4,0)</f>
        <v>2362.8000000000002</v>
      </c>
      <c r="L1275" s="207"/>
    </row>
    <row r="1276" spans="2:12">
      <c r="B1276" s="208"/>
      <c r="C1276" s="204"/>
      <c r="D1276" s="204"/>
      <c r="E1276" s="204"/>
      <c r="F1276" s="204"/>
      <c r="G1276" s="204"/>
      <c r="H1276" s="558" t="s">
        <v>1223</v>
      </c>
      <c r="I1276" s="558"/>
      <c r="J1276" s="558"/>
      <c r="K1276" s="222">
        <v>2236.87</v>
      </c>
      <c r="L1276" s="207"/>
    </row>
    <row r="1277" spans="2:12">
      <c r="B1277" s="208"/>
      <c r="C1277" s="204"/>
      <c r="D1277" s="204"/>
      <c r="E1277" s="204"/>
      <c r="F1277" s="204"/>
      <c r="G1277" s="204"/>
      <c r="H1277" s="558" t="s">
        <v>1579</v>
      </c>
      <c r="I1277" s="558"/>
      <c r="J1277" s="558"/>
      <c r="K1277" s="222">
        <f>IF(K1274&gt;K1275,K1275,K1274)-K1276+0.000415206487694044</f>
        <v>125.93041520648798</v>
      </c>
      <c r="L1277" s="207"/>
    </row>
    <row r="1278" spans="2:12">
      <c r="B1278" s="213"/>
      <c r="C1278" s="214"/>
      <c r="D1278" s="214"/>
      <c r="E1278" s="214"/>
      <c r="F1278" s="214"/>
      <c r="G1278" s="214"/>
      <c r="H1278" s="559" t="s">
        <v>1224</v>
      </c>
      <c r="I1278" s="559"/>
      <c r="J1278" s="559"/>
      <c r="K1278" s="223">
        <f>IF(K1274&gt;K1275,K1274-K1275,0)</f>
        <v>157.72547020648744</v>
      </c>
      <c r="L1278" s="209"/>
    </row>
    <row r="1280" spans="2:12">
      <c r="B1280" s="247" t="s">
        <v>242</v>
      </c>
      <c r="C1280" s="565" t="str">
        <f>VLOOKUP(B1280,'BM 004'!$B$27:$R$590,2,0)</f>
        <v>Armação de laje de uma estrutura convencional de concreto armado em um edifício de múltiplos pavimentos utilizando aço ca-50 de 8,0 mm - montagem.</v>
      </c>
      <c r="D1280" s="565"/>
      <c r="E1280" s="565"/>
      <c r="F1280" s="565"/>
      <c r="G1280" s="565"/>
      <c r="H1280" s="565"/>
      <c r="I1280" s="565"/>
      <c r="J1280" s="565"/>
      <c r="K1280" s="565"/>
      <c r="L1280" s="565"/>
    </row>
    <row r="1281" spans="2:12">
      <c r="B1281" s="248" t="s">
        <v>1209</v>
      </c>
      <c r="C1281" s="248"/>
      <c r="D1281" s="248" t="s">
        <v>39</v>
      </c>
      <c r="E1281" s="248" t="s">
        <v>1210</v>
      </c>
      <c r="F1281" s="248" t="s">
        <v>1388</v>
      </c>
      <c r="G1281" s="248" t="s">
        <v>1212</v>
      </c>
      <c r="H1281" s="248" t="s">
        <v>1213</v>
      </c>
      <c r="I1281" s="248" t="s">
        <v>1214</v>
      </c>
      <c r="J1281" s="248" t="s">
        <v>1385</v>
      </c>
      <c r="K1281" s="248" t="s">
        <v>1216</v>
      </c>
      <c r="L1281" s="248" t="s">
        <v>1217</v>
      </c>
    </row>
    <row r="1282" spans="2:12">
      <c r="B1282" s="205" t="s">
        <v>1510</v>
      </c>
      <c r="C1282" s="250" t="s">
        <v>1441</v>
      </c>
      <c r="D1282" s="205" t="s">
        <v>1274</v>
      </c>
      <c r="E1282" s="251">
        <v>224.4</v>
      </c>
      <c r="F1282" s="252">
        <v>0.39500000000000002</v>
      </c>
      <c r="G1282" s="251">
        <v>0.45</v>
      </c>
      <c r="H1282" s="251">
        <v>1.1000000000000001</v>
      </c>
      <c r="I1282" s="251"/>
      <c r="J1282" s="253"/>
      <c r="K1282" s="254">
        <f t="shared" ref="K1282:K1288" si="35">IF(E1282*F1282*G1282&lt;&gt;0,E1282*F1282*G1282,IF(E1282*F1282&lt;&gt;0,E1282*F1282,IF(F1282*G1282&lt;&gt;0,F1282*G1282,IF(E1282*G1282&lt;&gt;0,E1282*G1282,IF(E1282&lt;&gt;0,E1282,IF(F1282&lt;&gt;0,F1282,IF(G1282&lt;&gt;0,G1282,0)))))))*(IF(H1282&lt;&gt;0,H1282,1))+I1282-J1282</f>
        <v>43.875810000000008</v>
      </c>
      <c r="L1282" s="255"/>
    </row>
    <row r="1283" spans="2:12">
      <c r="B1283" s="205" t="s">
        <v>1512</v>
      </c>
      <c r="C1283" s="250" t="s">
        <v>1441</v>
      </c>
      <c r="D1283" s="205" t="s">
        <v>1274</v>
      </c>
      <c r="E1283" s="251">
        <v>322.89999999999998</v>
      </c>
      <c r="F1283" s="252">
        <v>0.39500000000000002</v>
      </c>
      <c r="G1283" s="251">
        <v>0.45</v>
      </c>
      <c r="H1283" s="251">
        <v>1.1000000000000001</v>
      </c>
      <c r="I1283" s="251"/>
      <c r="J1283" s="253"/>
      <c r="K1283" s="254">
        <f t="shared" si="35"/>
        <v>63.135022500000005</v>
      </c>
      <c r="L1283" s="255"/>
    </row>
    <row r="1284" spans="2:12">
      <c r="B1284" s="205" t="s">
        <v>1513</v>
      </c>
      <c r="C1284" s="250" t="s">
        <v>1441</v>
      </c>
      <c r="D1284" s="205" t="s">
        <v>1274</v>
      </c>
      <c r="E1284" s="251">
        <v>99</v>
      </c>
      <c r="F1284" s="252">
        <v>0.39500000000000002</v>
      </c>
      <c r="G1284" s="251"/>
      <c r="H1284" s="251">
        <v>1.1000000000000001</v>
      </c>
      <c r="I1284" s="251"/>
      <c r="J1284" s="253"/>
      <c r="K1284" s="254">
        <f t="shared" si="35"/>
        <v>43.01550000000001</v>
      </c>
      <c r="L1284" s="255"/>
    </row>
    <row r="1285" spans="2:12">
      <c r="B1285" s="205" t="s">
        <v>1514</v>
      </c>
      <c r="C1285" s="250" t="s">
        <v>1441</v>
      </c>
      <c r="D1285" s="205" t="s">
        <v>1274</v>
      </c>
      <c r="E1285" s="251">
        <v>1170</v>
      </c>
      <c r="F1285" s="252">
        <v>0.39500000000000002</v>
      </c>
      <c r="G1285" s="251"/>
      <c r="H1285" s="251">
        <v>1.1000000000000001</v>
      </c>
      <c r="I1285" s="251"/>
      <c r="J1285" s="253"/>
      <c r="K1285" s="254">
        <f t="shared" si="35"/>
        <v>508.36500000000007</v>
      </c>
      <c r="L1285" s="255"/>
    </row>
    <row r="1286" spans="2:12">
      <c r="B1286" s="205" t="s">
        <v>1572</v>
      </c>
      <c r="C1286" s="250" t="s">
        <v>1521</v>
      </c>
      <c r="D1286" s="205" t="s">
        <v>1274</v>
      </c>
      <c r="E1286" s="251">
        <v>224.54</v>
      </c>
      <c r="F1286" s="252">
        <v>0.39500000000000002</v>
      </c>
      <c r="G1286" s="251">
        <v>0.5</v>
      </c>
      <c r="H1286" s="251">
        <v>1.1000000000000001</v>
      </c>
      <c r="I1286" s="251"/>
      <c r="J1286" s="253"/>
      <c r="K1286" s="254">
        <f t="shared" si="35"/>
        <v>48.781315000000006</v>
      </c>
      <c r="L1286" s="255"/>
    </row>
    <row r="1287" spans="2:12">
      <c r="B1287" s="205" t="s">
        <v>1573</v>
      </c>
      <c r="C1287" s="250" t="s">
        <v>1521</v>
      </c>
      <c r="D1287" s="205" t="s">
        <v>1274</v>
      </c>
      <c r="E1287" s="251">
        <v>163</v>
      </c>
      <c r="F1287" s="252">
        <v>0.39500000000000002</v>
      </c>
      <c r="G1287" s="251">
        <v>0.5</v>
      </c>
      <c r="H1287" s="251">
        <v>1.1000000000000001</v>
      </c>
      <c r="I1287" s="251"/>
      <c r="J1287" s="253"/>
      <c r="K1287" s="254">
        <f t="shared" si="35"/>
        <v>35.411750000000005</v>
      </c>
      <c r="L1287" s="255"/>
    </row>
    <row r="1288" spans="2:12">
      <c r="B1288" s="256"/>
      <c r="C1288" s="210"/>
      <c r="D1288" s="210"/>
      <c r="E1288" s="257"/>
      <c r="F1288" s="258"/>
      <c r="G1288" s="257"/>
      <c r="H1288" s="257"/>
      <c r="I1288" s="257"/>
      <c r="J1288" s="259"/>
      <c r="K1288" s="260">
        <f t="shared" si="35"/>
        <v>0</v>
      </c>
      <c r="L1288" s="210"/>
    </row>
    <row r="1289" spans="2:12">
      <c r="B1289" s="202"/>
      <c r="C1289" s="203"/>
      <c r="D1289" s="203"/>
      <c r="E1289" s="203"/>
      <c r="F1289" s="203"/>
      <c r="G1289" s="203"/>
      <c r="H1289" s="204"/>
      <c r="I1289" s="556" t="s">
        <v>1221</v>
      </c>
      <c r="J1289" s="556"/>
      <c r="K1289" s="220">
        <f>SUM(K1282:K1288)</f>
        <v>742.58439750000002</v>
      </c>
      <c r="L1289" s="207"/>
    </row>
    <row r="1290" spans="2:12">
      <c r="B1290" s="208"/>
      <c r="C1290" s="204"/>
      <c r="D1290" s="204"/>
      <c r="E1290" s="204"/>
      <c r="F1290" s="204"/>
      <c r="G1290" s="204"/>
      <c r="H1290" s="209"/>
      <c r="I1290" s="557" t="s">
        <v>1222</v>
      </c>
      <c r="J1290" s="557"/>
      <c r="K1290" s="221">
        <f>VLOOKUP(B1280,'BM 004'!$B$27:$R$590,4,0)</f>
        <v>602.79999999999995</v>
      </c>
      <c r="L1290" s="207"/>
    </row>
    <row r="1291" spans="2:12">
      <c r="B1291" s="208"/>
      <c r="C1291" s="204"/>
      <c r="D1291" s="204"/>
      <c r="E1291" s="204"/>
      <c r="F1291" s="204"/>
      <c r="G1291" s="204"/>
      <c r="H1291" s="558" t="s">
        <v>1223</v>
      </c>
      <c r="I1291" s="558"/>
      <c r="J1291" s="558"/>
      <c r="K1291" s="222">
        <v>602.79999999999995</v>
      </c>
      <c r="L1291" s="207"/>
    </row>
    <row r="1292" spans="2:12">
      <c r="B1292" s="208"/>
      <c r="C1292" s="204"/>
      <c r="D1292" s="204"/>
      <c r="E1292" s="204"/>
      <c r="F1292" s="204"/>
      <c r="G1292" s="204"/>
      <c r="H1292" s="558" t="s">
        <v>1435</v>
      </c>
      <c r="I1292" s="558"/>
      <c r="J1292" s="558"/>
      <c r="K1292" s="222">
        <f>IF(K1289&gt;K1290,0,TRUNC(SUMIF(C1282:C1288,H1292,K1282:K1288),L9714))</f>
        <v>0</v>
      </c>
      <c r="L1292" s="207"/>
    </row>
    <row r="1293" spans="2:12">
      <c r="B1293" s="213"/>
      <c r="C1293" s="214"/>
      <c r="D1293" s="214"/>
      <c r="E1293" s="214"/>
      <c r="F1293" s="214"/>
      <c r="G1293" s="214"/>
      <c r="H1293" s="559" t="s">
        <v>1224</v>
      </c>
      <c r="I1293" s="559"/>
      <c r="J1293" s="559"/>
      <c r="K1293" s="223">
        <f>IF(K1289&gt;K1290,K1289-K1290,0)</f>
        <v>139.78439750000007</v>
      </c>
      <c r="L1293" s="209"/>
    </row>
    <row r="1295" spans="2:12">
      <c r="B1295" s="247" t="s">
        <v>244</v>
      </c>
      <c r="C1295" s="565" t="str">
        <f>VLOOKUP(B1295,'BM 004'!$B$27:$R$590,2,0)</f>
        <v xml:space="preserve">Armação de laje de uma estrutura convencional de concreto armado em um edifício de múltiplos pavimentos utilizando aço ca-50 de 10,0 mm - montagem. </v>
      </c>
      <c r="D1295" s="565"/>
      <c r="E1295" s="565"/>
      <c r="F1295" s="565"/>
      <c r="G1295" s="565"/>
      <c r="H1295" s="565"/>
      <c r="I1295" s="565"/>
      <c r="J1295" s="565"/>
      <c r="K1295" s="565"/>
      <c r="L1295" s="565"/>
    </row>
    <row r="1296" spans="2:12">
      <c r="B1296" s="248" t="s">
        <v>1209</v>
      </c>
      <c r="C1296" s="248"/>
      <c r="D1296" s="248" t="s">
        <v>39</v>
      </c>
      <c r="E1296" s="248" t="s">
        <v>1210</v>
      </c>
      <c r="F1296" s="248" t="s">
        <v>1388</v>
      </c>
      <c r="G1296" s="248" t="s">
        <v>1212</v>
      </c>
      <c r="H1296" s="248" t="s">
        <v>1213</v>
      </c>
      <c r="I1296" s="248" t="s">
        <v>1214</v>
      </c>
      <c r="J1296" s="248" t="s">
        <v>1385</v>
      </c>
      <c r="K1296" s="248" t="s">
        <v>1216</v>
      </c>
      <c r="L1296" s="248" t="s">
        <v>1217</v>
      </c>
    </row>
    <row r="1297" spans="2:12">
      <c r="B1297" s="205" t="s">
        <v>1510</v>
      </c>
      <c r="C1297" s="250" t="s">
        <v>1441</v>
      </c>
      <c r="D1297" s="205" t="s">
        <v>1274</v>
      </c>
      <c r="E1297" s="251">
        <v>922.65</v>
      </c>
      <c r="F1297" s="252">
        <v>0.61699999999999999</v>
      </c>
      <c r="G1297" s="251">
        <v>0.45</v>
      </c>
      <c r="H1297" s="251">
        <v>1.1000000000000001</v>
      </c>
      <c r="I1297" s="251"/>
      <c r="J1297" s="253"/>
      <c r="K1297" s="254">
        <f t="shared" ref="K1297:K1310" si="36">IF(E1297*F1297*G1297&lt;&gt;0,E1297*F1297*G1297,IF(E1297*F1297&lt;&gt;0,E1297*F1297,IF(F1297*G1297&lt;&gt;0,F1297*G1297,IF(E1297*G1297&lt;&gt;0,E1297*G1297,IF(E1297&lt;&gt;0,E1297,IF(F1297&lt;&gt;0,F1297,IF(G1297&lt;&gt;0,G1297,0)))))))*(IF(H1297&lt;&gt;0,H1297,1))+I1297-J1297</f>
        <v>281.79114974999999</v>
      </c>
      <c r="L1297" s="255"/>
    </row>
    <row r="1298" spans="2:12">
      <c r="B1298" s="205" t="s">
        <v>1512</v>
      </c>
      <c r="C1298" s="250" t="s">
        <v>1441</v>
      </c>
      <c r="D1298" s="205" t="s">
        <v>1274</v>
      </c>
      <c r="E1298" s="251">
        <v>886.9</v>
      </c>
      <c r="F1298" s="252">
        <v>0.61699999999999999</v>
      </c>
      <c r="G1298" s="251">
        <v>0.45</v>
      </c>
      <c r="H1298" s="251">
        <v>1.1000000000000001</v>
      </c>
      <c r="I1298" s="251"/>
      <c r="J1298" s="253"/>
      <c r="K1298" s="254">
        <f t="shared" si="36"/>
        <v>270.87256350000007</v>
      </c>
      <c r="L1298" s="255"/>
    </row>
    <row r="1299" spans="2:12">
      <c r="B1299" s="205" t="s">
        <v>1513</v>
      </c>
      <c r="C1299" s="250" t="s">
        <v>1441</v>
      </c>
      <c r="D1299" s="205" t="s">
        <v>1274</v>
      </c>
      <c r="E1299" s="251">
        <v>459</v>
      </c>
      <c r="F1299" s="252">
        <v>0.61699999999999999</v>
      </c>
      <c r="G1299" s="251"/>
      <c r="H1299" s="251">
        <v>1.1000000000000001</v>
      </c>
      <c r="I1299" s="251"/>
      <c r="J1299" s="253"/>
      <c r="K1299" s="254">
        <f t="shared" si="36"/>
        <v>311.52330000000001</v>
      </c>
      <c r="L1299" s="255"/>
    </row>
    <row r="1300" spans="2:12">
      <c r="B1300" s="205" t="s">
        <v>1514</v>
      </c>
      <c r="C1300" s="250" t="s">
        <v>1441</v>
      </c>
      <c r="D1300" s="205" t="s">
        <v>1274</v>
      </c>
      <c r="E1300" s="251">
        <v>332</v>
      </c>
      <c r="F1300" s="252">
        <v>0.61699999999999999</v>
      </c>
      <c r="G1300" s="251"/>
      <c r="H1300" s="251">
        <v>1.1000000000000001</v>
      </c>
      <c r="I1300" s="251"/>
      <c r="J1300" s="253"/>
      <c r="K1300" s="254">
        <f t="shared" si="36"/>
        <v>225.32840000000002</v>
      </c>
      <c r="L1300" s="255"/>
    </row>
    <row r="1301" spans="2:12">
      <c r="B1301" s="205" t="s">
        <v>1517</v>
      </c>
      <c r="C1301" s="250" t="s">
        <v>1441</v>
      </c>
      <c r="D1301" s="205" t="s">
        <v>1274</v>
      </c>
      <c r="E1301" s="251">
        <v>55.59</v>
      </c>
      <c r="F1301" s="252"/>
      <c r="G1301" s="251"/>
      <c r="H1301" s="251"/>
      <c r="I1301" s="251"/>
      <c r="J1301" s="253"/>
      <c r="K1301" s="254">
        <f t="shared" si="36"/>
        <v>55.59</v>
      </c>
      <c r="L1301" s="255"/>
    </row>
    <row r="1302" spans="2:12">
      <c r="B1302" s="205" t="s">
        <v>1572</v>
      </c>
      <c r="C1302" s="250" t="s">
        <v>1521</v>
      </c>
      <c r="D1302" s="205" t="s">
        <v>1274</v>
      </c>
      <c r="E1302" s="251">
        <v>1476.23</v>
      </c>
      <c r="F1302" s="252">
        <v>0.61699999999999999</v>
      </c>
      <c r="G1302" s="251">
        <v>0.5</v>
      </c>
      <c r="H1302" s="251">
        <v>1.1000000000000001</v>
      </c>
      <c r="I1302" s="251"/>
      <c r="J1302" s="253"/>
      <c r="K1302" s="254">
        <f t="shared" si="36"/>
        <v>500.95865050000003</v>
      </c>
      <c r="L1302" s="255"/>
    </row>
    <row r="1303" spans="2:12">
      <c r="B1303" s="205" t="s">
        <v>1573</v>
      </c>
      <c r="C1303" s="250" t="s">
        <v>1521</v>
      </c>
      <c r="D1303" s="205" t="s">
        <v>1274</v>
      </c>
      <c r="E1303" s="251">
        <v>1207</v>
      </c>
      <c r="F1303" s="252">
        <v>0.61699999999999999</v>
      </c>
      <c r="G1303" s="251">
        <v>0.5</v>
      </c>
      <c r="H1303" s="251">
        <v>1.1000000000000001</v>
      </c>
      <c r="I1303" s="251"/>
      <c r="J1303" s="253"/>
      <c r="K1303" s="254">
        <f t="shared" si="36"/>
        <v>409.59544999999997</v>
      </c>
      <c r="L1303" s="255"/>
    </row>
    <row r="1304" spans="2:12">
      <c r="B1304" s="205" t="s">
        <v>1510</v>
      </c>
      <c r="C1304" s="250" t="s">
        <v>1611</v>
      </c>
      <c r="D1304" s="205" t="s">
        <v>1274</v>
      </c>
      <c r="E1304" s="251">
        <v>922.65</v>
      </c>
      <c r="F1304" s="252">
        <v>0.61699999999999999</v>
      </c>
      <c r="G1304" s="251">
        <v>0.55000000000000004</v>
      </c>
      <c r="H1304" s="251">
        <v>1.1000000000000001</v>
      </c>
      <c r="I1304" s="251"/>
      <c r="J1304" s="253"/>
      <c r="K1304" s="254">
        <f t="shared" si="36"/>
        <v>344.41140525000003</v>
      </c>
      <c r="L1304" s="255"/>
    </row>
    <row r="1305" spans="2:12">
      <c r="B1305" s="205" t="s">
        <v>1512</v>
      </c>
      <c r="C1305" s="250" t="s">
        <v>1611</v>
      </c>
      <c r="D1305" s="205" t="s">
        <v>1274</v>
      </c>
      <c r="E1305" s="251">
        <v>886.9</v>
      </c>
      <c r="F1305" s="252">
        <v>0.61699999999999999</v>
      </c>
      <c r="G1305" s="251">
        <v>0.55000000000000004</v>
      </c>
      <c r="H1305" s="251">
        <v>1.1000000000000001</v>
      </c>
      <c r="I1305" s="251"/>
      <c r="J1305" s="253"/>
      <c r="K1305" s="254">
        <f t="shared" si="36"/>
        <v>331.0664665000001</v>
      </c>
      <c r="L1305" s="255"/>
    </row>
    <row r="1306" spans="2:12">
      <c r="B1306" s="205" t="s">
        <v>1572</v>
      </c>
      <c r="C1306" s="250" t="s">
        <v>1612</v>
      </c>
      <c r="D1306" s="205" t="s">
        <v>1274</v>
      </c>
      <c r="E1306" s="251">
        <v>1476.23</v>
      </c>
      <c r="F1306" s="252">
        <v>0.61699999999999999</v>
      </c>
      <c r="G1306" s="251">
        <v>0.3</v>
      </c>
      <c r="H1306" s="251">
        <v>1.1000000000000001</v>
      </c>
      <c r="I1306" s="251"/>
      <c r="J1306" s="253"/>
      <c r="K1306" s="254">
        <f t="shared" si="36"/>
        <v>300.57519029999997</v>
      </c>
      <c r="L1306" s="255"/>
    </row>
    <row r="1307" spans="2:12">
      <c r="B1307" s="205" t="s">
        <v>1573</v>
      </c>
      <c r="C1307" s="250" t="s">
        <v>1612</v>
      </c>
      <c r="D1307" s="205" t="s">
        <v>1274</v>
      </c>
      <c r="E1307" s="251">
        <v>1207</v>
      </c>
      <c r="F1307" s="252">
        <v>0.61699999999999999</v>
      </c>
      <c r="G1307" s="251">
        <v>0.3</v>
      </c>
      <c r="H1307" s="251">
        <v>1.1000000000000001</v>
      </c>
      <c r="I1307" s="251"/>
      <c r="J1307" s="253"/>
      <c r="K1307" s="254">
        <f t="shared" si="36"/>
        <v>245.75727000000001</v>
      </c>
      <c r="L1307" s="255"/>
    </row>
    <row r="1308" spans="2:12">
      <c r="B1308" s="205" t="s">
        <v>1572</v>
      </c>
      <c r="C1308" s="250" t="s">
        <v>1895</v>
      </c>
      <c r="D1308" s="205" t="s">
        <v>1274</v>
      </c>
      <c r="E1308" s="251">
        <v>1476.23</v>
      </c>
      <c r="F1308" s="252">
        <v>0.61699999999999999</v>
      </c>
      <c r="G1308" s="251">
        <v>0.08</v>
      </c>
      <c r="H1308" s="251">
        <v>1.1000000000000001</v>
      </c>
      <c r="I1308" s="251"/>
      <c r="J1308" s="253"/>
      <c r="K1308" s="254">
        <f t="shared" si="36"/>
        <v>80.153384080000009</v>
      </c>
      <c r="L1308" s="255"/>
    </row>
    <row r="1309" spans="2:12">
      <c r="B1309" s="205" t="s">
        <v>1573</v>
      </c>
      <c r="C1309" s="250" t="s">
        <v>1895</v>
      </c>
      <c r="D1309" s="205" t="s">
        <v>1274</v>
      </c>
      <c r="E1309" s="251">
        <v>1207</v>
      </c>
      <c r="F1309" s="252">
        <v>0.61699999999999999</v>
      </c>
      <c r="G1309" s="251">
        <v>0.08</v>
      </c>
      <c r="H1309" s="251">
        <v>1.1000000000000001</v>
      </c>
      <c r="I1309" s="251"/>
      <c r="J1309" s="253"/>
      <c r="K1309" s="254">
        <f t="shared" si="36"/>
        <v>65.535271999999992</v>
      </c>
      <c r="L1309" s="255"/>
    </row>
    <row r="1310" spans="2:12">
      <c r="B1310" s="256"/>
      <c r="C1310" s="210"/>
      <c r="D1310" s="210"/>
      <c r="E1310" s="257"/>
      <c r="F1310" s="258"/>
      <c r="G1310" s="257"/>
      <c r="H1310" s="257"/>
      <c r="I1310" s="257"/>
      <c r="J1310" s="259"/>
      <c r="K1310" s="260">
        <f t="shared" si="36"/>
        <v>0</v>
      </c>
      <c r="L1310" s="210"/>
    </row>
    <row r="1311" spans="2:12">
      <c r="B1311" s="202"/>
      <c r="C1311" s="203"/>
      <c r="D1311" s="203"/>
      <c r="E1311" s="203"/>
      <c r="F1311" s="203"/>
      <c r="G1311" s="203"/>
      <c r="H1311" s="204"/>
      <c r="I1311" s="556" t="s">
        <v>1221</v>
      </c>
      <c r="J1311" s="556"/>
      <c r="K1311" s="220">
        <f>SUM(K1297:K1310)</f>
        <v>3423.1585018799997</v>
      </c>
      <c r="L1311" s="207"/>
    </row>
    <row r="1312" spans="2:12">
      <c r="B1312" s="208"/>
      <c r="C1312" s="204"/>
      <c r="D1312" s="204"/>
      <c r="E1312" s="204"/>
      <c r="F1312" s="204"/>
      <c r="G1312" s="204"/>
      <c r="H1312" s="209"/>
      <c r="I1312" s="557" t="s">
        <v>1222</v>
      </c>
      <c r="J1312" s="557"/>
      <c r="K1312" s="221">
        <f>VLOOKUP(B1295,'BM 004'!$B$27:$R$590,4,0)</f>
        <v>3562.9</v>
      </c>
      <c r="L1312" s="207"/>
    </row>
    <row r="1313" spans="2:12">
      <c r="B1313" s="208"/>
      <c r="C1313" s="204"/>
      <c r="D1313" s="204"/>
      <c r="E1313" s="204"/>
      <c r="F1313" s="204"/>
      <c r="G1313" s="204"/>
      <c r="H1313" s="558" t="s">
        <v>1223</v>
      </c>
      <c r="I1313" s="558"/>
      <c r="J1313" s="558"/>
      <c r="K1313" s="222">
        <v>3277.4698457999998</v>
      </c>
      <c r="L1313" s="207"/>
    </row>
    <row r="1314" spans="2:12">
      <c r="B1314" s="208"/>
      <c r="C1314" s="204"/>
      <c r="D1314" s="204"/>
      <c r="E1314" s="204"/>
      <c r="F1314" s="204"/>
      <c r="G1314" s="204"/>
      <c r="H1314" s="558" t="s">
        <v>1605</v>
      </c>
      <c r="I1314" s="558"/>
      <c r="J1314" s="558"/>
      <c r="K1314" s="222">
        <f>TRUNC(SUMIF(C1297:C1310,H1314,K1297:K1310),2)-K1315</f>
        <v>145.68</v>
      </c>
      <c r="L1314" s="207"/>
    </row>
    <row r="1315" spans="2:12">
      <c r="B1315" s="213"/>
      <c r="C1315" s="214"/>
      <c r="D1315" s="214"/>
      <c r="E1315" s="214"/>
      <c r="F1315" s="214"/>
      <c r="G1315" s="214"/>
      <c r="H1315" s="559" t="s">
        <v>1224</v>
      </c>
      <c r="I1315" s="559"/>
      <c r="J1315" s="559"/>
      <c r="K1315" s="223">
        <f>IF(K1311&gt;K1312,K1311-K1312,0)</f>
        <v>0</v>
      </c>
      <c r="L1315" s="209"/>
    </row>
    <row r="1317" spans="2:12">
      <c r="B1317" s="247" t="s">
        <v>246</v>
      </c>
      <c r="C1317" s="565" t="str">
        <f>VLOOKUP(B1317,'BM 004'!$B$27:$R$590,2,0)</f>
        <v xml:space="preserve">Armação de laje de uma estrutura convencional de concreto armado em um edifício de múltiplos pavimentos utilizando aço ca-50 de 12,5 mm - montagem. </v>
      </c>
      <c r="D1317" s="565"/>
      <c r="E1317" s="565"/>
      <c r="F1317" s="565"/>
      <c r="G1317" s="565"/>
      <c r="H1317" s="565"/>
      <c r="I1317" s="565"/>
      <c r="J1317" s="565"/>
      <c r="K1317" s="565"/>
      <c r="L1317" s="565"/>
    </row>
    <row r="1318" spans="2:12">
      <c r="B1318" s="248" t="s">
        <v>1209</v>
      </c>
      <c r="C1318" s="248"/>
      <c r="D1318" s="248" t="s">
        <v>39</v>
      </c>
      <c r="E1318" s="248" t="s">
        <v>1210</v>
      </c>
      <c r="F1318" s="248" t="s">
        <v>1388</v>
      </c>
      <c r="G1318" s="248" t="s">
        <v>1212</v>
      </c>
      <c r="H1318" s="248" t="s">
        <v>1213</v>
      </c>
      <c r="I1318" s="248" t="s">
        <v>1214</v>
      </c>
      <c r="J1318" s="248" t="s">
        <v>1385</v>
      </c>
      <c r="K1318" s="248" t="s">
        <v>1216</v>
      </c>
      <c r="L1318" s="248" t="s">
        <v>1217</v>
      </c>
    </row>
    <row r="1319" spans="2:12">
      <c r="B1319" s="321" t="s">
        <v>1510</v>
      </c>
      <c r="C1319" s="250" t="s">
        <v>1441</v>
      </c>
      <c r="D1319" s="205" t="s">
        <v>1274</v>
      </c>
      <c r="E1319" s="251">
        <v>815.6</v>
      </c>
      <c r="F1319" s="252">
        <v>0.96299999999999997</v>
      </c>
      <c r="G1319" s="251">
        <v>0.45</v>
      </c>
      <c r="H1319" s="251">
        <v>1.1000000000000001</v>
      </c>
      <c r="I1319" s="251"/>
      <c r="J1319" s="253"/>
      <c r="K1319" s="254">
        <f t="shared" ref="K1319:K1332" si="37">IF(E1319*F1319*G1319&lt;&gt;0,E1319*F1319*G1319,IF(E1319*F1319&lt;&gt;0,E1319*F1319,IF(F1319*G1319&lt;&gt;0,F1319*G1319,IF(E1319*G1319&lt;&gt;0,E1319*G1319,IF(E1319&lt;&gt;0,E1319,IF(F1319&lt;&gt;0,F1319,IF(G1319&lt;&gt;0,G1319,0)))))))*(IF(H1319&lt;&gt;0,H1319,1))+I1319-J1319</f>
        <v>388.78428600000001</v>
      </c>
      <c r="L1319" s="255"/>
    </row>
    <row r="1320" spans="2:12">
      <c r="B1320" s="321" t="s">
        <v>1512</v>
      </c>
      <c r="C1320" s="250" t="s">
        <v>1441</v>
      </c>
      <c r="D1320" s="205" t="s">
        <v>1274</v>
      </c>
      <c r="E1320" s="251">
        <v>760.5</v>
      </c>
      <c r="F1320" s="252">
        <v>0.96299999999999997</v>
      </c>
      <c r="G1320" s="251">
        <v>0.45</v>
      </c>
      <c r="H1320" s="251">
        <v>1.1000000000000001</v>
      </c>
      <c r="I1320" s="251"/>
      <c r="J1320" s="253"/>
      <c r="K1320" s="254">
        <f t="shared" si="37"/>
        <v>362.51894250000004</v>
      </c>
      <c r="L1320" s="255"/>
    </row>
    <row r="1321" spans="2:12">
      <c r="B1321" s="205" t="s">
        <v>1513</v>
      </c>
      <c r="C1321" s="250" t="s">
        <v>1441</v>
      </c>
      <c r="D1321" s="205" t="s">
        <v>1274</v>
      </c>
      <c r="E1321" s="251">
        <v>1053</v>
      </c>
      <c r="F1321" s="252">
        <v>0.96299999999999997</v>
      </c>
      <c r="G1321" s="251">
        <v>1</v>
      </c>
      <c r="H1321" s="251">
        <v>1.1000000000000001</v>
      </c>
      <c r="I1321" s="251"/>
      <c r="J1321" s="253"/>
      <c r="K1321" s="254">
        <f t="shared" si="37"/>
        <v>1115.4429</v>
      </c>
      <c r="L1321" s="255"/>
    </row>
    <row r="1322" spans="2:12">
      <c r="B1322" s="205" t="s">
        <v>1514</v>
      </c>
      <c r="C1322" s="250" t="s">
        <v>1441</v>
      </c>
      <c r="D1322" s="205" t="s">
        <v>1274</v>
      </c>
      <c r="E1322" s="251">
        <v>165</v>
      </c>
      <c r="F1322" s="252">
        <v>0.96299999999999997</v>
      </c>
      <c r="G1322" s="251">
        <v>1</v>
      </c>
      <c r="H1322" s="251">
        <v>1.1000000000000001</v>
      </c>
      <c r="I1322" s="251"/>
      <c r="J1322" s="253"/>
      <c r="K1322" s="254">
        <f t="shared" si="37"/>
        <v>174.78449999999998</v>
      </c>
      <c r="L1322" s="255"/>
    </row>
    <row r="1323" spans="2:12">
      <c r="B1323" s="321" t="s">
        <v>1572</v>
      </c>
      <c r="C1323" s="250" t="s">
        <v>1521</v>
      </c>
      <c r="D1323" s="205" t="s">
        <v>1274</v>
      </c>
      <c r="E1323" s="251">
        <v>1210.6500000000001</v>
      </c>
      <c r="F1323" s="252">
        <v>0.96299999999999997</v>
      </c>
      <c r="G1323" s="251">
        <v>0.5</v>
      </c>
      <c r="H1323" s="251">
        <v>1.1000000000000001</v>
      </c>
      <c r="I1323" s="251"/>
      <c r="J1323" s="253"/>
      <c r="K1323" s="254">
        <f t="shared" si="37"/>
        <v>641.22077250000007</v>
      </c>
      <c r="L1323" s="255"/>
    </row>
    <row r="1324" spans="2:12">
      <c r="B1324" s="321" t="s">
        <v>1573</v>
      </c>
      <c r="C1324" s="250" t="s">
        <v>1521</v>
      </c>
      <c r="D1324" s="205" t="s">
        <v>1274</v>
      </c>
      <c r="E1324" s="251">
        <v>1168.92</v>
      </c>
      <c r="F1324" s="252">
        <v>0.96299999999999997</v>
      </c>
      <c r="G1324" s="251">
        <v>0.5</v>
      </c>
      <c r="H1324" s="251">
        <v>1.1000000000000001</v>
      </c>
      <c r="I1324" s="251"/>
      <c r="J1324" s="253"/>
      <c r="K1324" s="254">
        <f t="shared" si="37"/>
        <v>619.11847799999998</v>
      </c>
      <c r="L1324" s="255"/>
    </row>
    <row r="1325" spans="2:12">
      <c r="B1325" s="321" t="s">
        <v>1510</v>
      </c>
      <c r="C1325" s="250" t="s">
        <v>1611</v>
      </c>
      <c r="D1325" s="205" t="s">
        <v>1274</v>
      </c>
      <c r="E1325" s="251">
        <v>815.6</v>
      </c>
      <c r="F1325" s="252">
        <v>0.96299999999999997</v>
      </c>
      <c r="G1325" s="251">
        <v>0.55000000000000004</v>
      </c>
      <c r="H1325" s="251">
        <v>1.1000000000000001</v>
      </c>
      <c r="I1325" s="251"/>
      <c r="J1325" s="253"/>
      <c r="K1325" s="254">
        <f t="shared" si="37"/>
        <v>475.18079400000005</v>
      </c>
      <c r="L1325" s="255"/>
    </row>
    <row r="1326" spans="2:12">
      <c r="B1326" s="321" t="s">
        <v>1512</v>
      </c>
      <c r="C1326" s="250" t="s">
        <v>1611</v>
      </c>
      <c r="D1326" s="205" t="s">
        <v>1274</v>
      </c>
      <c r="E1326" s="251">
        <v>760.5</v>
      </c>
      <c r="F1326" s="252">
        <v>0.96299999999999997</v>
      </c>
      <c r="G1326" s="251">
        <v>0.55000000000000004</v>
      </c>
      <c r="H1326" s="251">
        <v>1.1000000000000001</v>
      </c>
      <c r="I1326" s="251"/>
      <c r="J1326" s="253"/>
      <c r="K1326" s="254">
        <f t="shared" si="37"/>
        <v>443.07870750000006</v>
      </c>
      <c r="L1326" s="255"/>
    </row>
    <row r="1327" spans="2:12">
      <c r="B1327" s="321" t="s">
        <v>1572</v>
      </c>
      <c r="C1327" s="250" t="s">
        <v>1612</v>
      </c>
      <c r="D1327" s="205" t="s">
        <v>1274</v>
      </c>
      <c r="E1327" s="251">
        <v>1210.6500000000001</v>
      </c>
      <c r="F1327" s="252">
        <v>0.96299999999999997</v>
      </c>
      <c r="G1327" s="251">
        <v>0.5</v>
      </c>
      <c r="H1327" s="251">
        <v>1.1000000000000001</v>
      </c>
      <c r="I1327" s="251"/>
      <c r="J1327" s="253"/>
      <c r="K1327" s="254">
        <f t="shared" si="37"/>
        <v>641.22077250000007</v>
      </c>
      <c r="L1327" s="255"/>
    </row>
    <row r="1328" spans="2:12">
      <c r="B1328" s="321" t="s">
        <v>1573</v>
      </c>
      <c r="C1328" s="250" t="s">
        <v>1612</v>
      </c>
      <c r="D1328" s="205" t="s">
        <v>1274</v>
      </c>
      <c r="E1328" s="251">
        <v>1168.92</v>
      </c>
      <c r="F1328" s="252">
        <v>0.96299999999999997</v>
      </c>
      <c r="G1328" s="251">
        <v>0.5</v>
      </c>
      <c r="H1328" s="251">
        <v>1.1000000000000001</v>
      </c>
      <c r="I1328" s="251"/>
      <c r="J1328" s="253"/>
      <c r="K1328" s="254">
        <f t="shared" si="37"/>
        <v>619.11847799999998</v>
      </c>
      <c r="L1328" s="255"/>
    </row>
    <row r="1329" spans="2:12">
      <c r="B1329" s="205" t="s">
        <v>1686</v>
      </c>
      <c r="C1329" s="250" t="s">
        <v>1613</v>
      </c>
      <c r="D1329" s="205" t="s">
        <v>1274</v>
      </c>
      <c r="E1329" s="251">
        <v>2056.25</v>
      </c>
      <c r="F1329" s="252">
        <v>0.96299999999999997</v>
      </c>
      <c r="G1329" s="251">
        <v>0.3</v>
      </c>
      <c r="H1329" s="251">
        <v>1.1000000000000001</v>
      </c>
      <c r="I1329" s="251"/>
      <c r="J1329" s="253"/>
      <c r="K1329" s="254">
        <f t="shared" si="37"/>
        <v>653.45568750000007</v>
      </c>
      <c r="L1329" s="255"/>
    </row>
    <row r="1330" spans="2:12">
      <c r="B1330" s="205" t="s">
        <v>1686</v>
      </c>
      <c r="C1330" s="250" t="s">
        <v>1895</v>
      </c>
      <c r="D1330" s="205" t="s">
        <v>1274</v>
      </c>
      <c r="E1330" s="251">
        <v>2056.25</v>
      </c>
      <c r="F1330" s="252">
        <v>0.96299999999999997</v>
      </c>
      <c r="G1330" s="251">
        <v>0.3</v>
      </c>
      <c r="H1330" s="251">
        <v>1.1000000000000001</v>
      </c>
      <c r="I1330" s="251"/>
      <c r="J1330" s="253"/>
      <c r="K1330" s="254">
        <f t="shared" si="37"/>
        <v>653.45568750000007</v>
      </c>
      <c r="L1330" s="255"/>
    </row>
    <row r="1331" spans="2:12">
      <c r="B1331" s="256"/>
      <c r="C1331" s="210"/>
      <c r="D1331" s="210"/>
      <c r="E1331" s="257"/>
      <c r="F1331" s="258"/>
      <c r="G1331" s="257"/>
      <c r="H1331" s="257"/>
      <c r="I1331" s="257"/>
      <c r="J1331" s="259"/>
      <c r="K1331" s="260">
        <f t="shared" si="37"/>
        <v>0</v>
      </c>
      <c r="L1331" s="210"/>
    </row>
    <row r="1332" spans="2:12">
      <c r="B1332" s="256"/>
      <c r="C1332" s="210"/>
      <c r="D1332" s="210"/>
      <c r="E1332" s="257"/>
      <c r="F1332" s="258"/>
      <c r="G1332" s="257"/>
      <c r="H1332" s="257"/>
      <c r="I1332" s="257"/>
      <c r="J1332" s="259"/>
      <c r="K1332" s="260">
        <f t="shared" si="37"/>
        <v>0</v>
      </c>
      <c r="L1332" s="210"/>
    </row>
    <row r="1333" spans="2:12">
      <c r="B1333" s="202"/>
      <c r="C1333" s="203"/>
      <c r="D1333" s="203"/>
      <c r="E1333" s="203"/>
      <c r="F1333" s="203"/>
      <c r="G1333" s="203"/>
      <c r="H1333" s="204"/>
      <c r="I1333" s="556" t="s">
        <v>1221</v>
      </c>
      <c r="J1333" s="556"/>
      <c r="K1333" s="220">
        <f>SUM(K1319:K1332)</f>
        <v>6787.3800059999994</v>
      </c>
      <c r="L1333" s="207"/>
    </row>
    <row r="1334" spans="2:12">
      <c r="B1334" s="208"/>
      <c r="C1334" s="204"/>
      <c r="D1334" s="204"/>
      <c r="E1334" s="204"/>
      <c r="F1334" s="204"/>
      <c r="G1334" s="204"/>
      <c r="H1334" s="209"/>
      <c r="I1334" s="557" t="s">
        <v>1222</v>
      </c>
      <c r="J1334" s="557"/>
      <c r="K1334" s="221">
        <f>VLOOKUP(B1317,'BM 004'!$B$27:$R$590,4,0)</f>
        <v>8278.6</v>
      </c>
      <c r="L1334" s="207"/>
    </row>
    <row r="1335" spans="2:12">
      <c r="B1335" s="208"/>
      <c r="C1335" s="204"/>
      <c r="D1335" s="204"/>
      <c r="E1335" s="204"/>
      <c r="F1335" s="204"/>
      <c r="G1335" s="204"/>
      <c r="H1335" s="558" t="s">
        <v>1223</v>
      </c>
      <c r="I1335" s="558"/>
      <c r="J1335" s="558"/>
      <c r="K1335" s="222">
        <v>5480.4686309999997</v>
      </c>
      <c r="L1335" s="207"/>
    </row>
    <row r="1336" spans="2:12">
      <c r="B1336" s="208"/>
      <c r="C1336" s="204"/>
      <c r="D1336" s="204"/>
      <c r="E1336" s="204"/>
      <c r="F1336" s="204"/>
      <c r="G1336" s="204"/>
      <c r="H1336" s="558" t="s">
        <v>1605</v>
      </c>
      <c r="I1336" s="558"/>
      <c r="J1336" s="558"/>
      <c r="K1336" s="222">
        <f>IF(K1333&gt;K1334,0,TRUNC(SUMIF(C1319:C1332,H1336,K1319:K1332),L9745))</f>
        <v>653</v>
      </c>
      <c r="L1336" s="207"/>
    </row>
    <row r="1337" spans="2:12">
      <c r="B1337" s="213"/>
      <c r="C1337" s="214"/>
      <c r="D1337" s="214"/>
      <c r="E1337" s="214"/>
      <c r="F1337" s="214"/>
      <c r="G1337" s="214"/>
      <c r="H1337" s="559" t="s">
        <v>1224</v>
      </c>
      <c r="I1337" s="559"/>
      <c r="J1337" s="559"/>
      <c r="K1337" s="223">
        <f>IF(K1333&gt;K1334,K1333-K1334,0)</f>
        <v>0</v>
      </c>
      <c r="L1337" s="209"/>
    </row>
    <row r="1339" spans="2:12">
      <c r="B1339" s="247" t="s">
        <v>248</v>
      </c>
      <c r="C1339" s="565" t="str">
        <f>VLOOKUP(B1339,'BM 004'!$B$27:$R$590,2,0)</f>
        <v xml:space="preserve">Armação de laje de uma estrutura convencional de concreto armado em um edifício de múltiplos pavimentos utilizando aço ca-50 de 16,0 mm - montagem. </v>
      </c>
      <c r="D1339" s="565"/>
      <c r="E1339" s="565"/>
      <c r="F1339" s="565"/>
      <c r="G1339" s="565"/>
      <c r="H1339" s="565"/>
      <c r="I1339" s="565"/>
      <c r="J1339" s="565"/>
      <c r="K1339" s="565"/>
      <c r="L1339" s="565"/>
    </row>
    <row r="1340" spans="2:12">
      <c r="B1340" s="248" t="s">
        <v>1209</v>
      </c>
      <c r="C1340" s="248"/>
      <c r="D1340" s="248" t="s">
        <v>39</v>
      </c>
      <c r="E1340" s="248" t="s">
        <v>1210</v>
      </c>
      <c r="F1340" s="248" t="s">
        <v>1388</v>
      </c>
      <c r="G1340" s="248" t="s">
        <v>1212</v>
      </c>
      <c r="H1340" s="248" t="s">
        <v>1213</v>
      </c>
      <c r="I1340" s="248" t="s">
        <v>1214</v>
      </c>
      <c r="J1340" s="248" t="s">
        <v>1385</v>
      </c>
      <c r="K1340" s="248" t="s">
        <v>1216</v>
      </c>
      <c r="L1340" s="248" t="s">
        <v>1217</v>
      </c>
    </row>
    <row r="1341" spans="2:12">
      <c r="B1341" s="205" t="s">
        <v>1510</v>
      </c>
      <c r="C1341" s="250" t="s">
        <v>1441</v>
      </c>
      <c r="D1341" s="205" t="s">
        <v>1274</v>
      </c>
      <c r="E1341" s="251">
        <v>758.1</v>
      </c>
      <c r="F1341" s="252">
        <v>1.5780000000000001</v>
      </c>
      <c r="G1341" s="251">
        <v>0.45</v>
      </c>
      <c r="H1341" s="251">
        <v>1.1000000000000001</v>
      </c>
      <c r="I1341" s="251"/>
      <c r="J1341" s="253"/>
      <c r="K1341" s="254">
        <f t="shared" ref="K1341:K1351" si="38">IF(E1341*F1341*G1341&lt;&gt;0,E1341*F1341*G1341,IF(E1341*F1341&lt;&gt;0,E1341*F1341,IF(F1341*G1341&lt;&gt;0,F1341*G1341,IF(E1341*G1341&lt;&gt;0,E1341*G1341,IF(E1341&lt;&gt;0,E1341,IF(F1341&lt;&gt;0,F1341,IF(G1341&lt;&gt;0,G1341,0)))))))*(IF(H1341&lt;&gt;0,H1341,1))+I1341-J1341</f>
        <v>592.15949100000012</v>
      </c>
      <c r="L1341" s="255"/>
    </row>
    <row r="1342" spans="2:12">
      <c r="B1342" s="205" t="s">
        <v>1512</v>
      </c>
      <c r="C1342" s="250" t="s">
        <v>1441</v>
      </c>
      <c r="D1342" s="205" t="s">
        <v>1274</v>
      </c>
      <c r="E1342" s="251">
        <v>365.1</v>
      </c>
      <c r="F1342" s="252">
        <v>1.5780000000000001</v>
      </c>
      <c r="G1342" s="251">
        <v>0.45</v>
      </c>
      <c r="H1342" s="251">
        <v>1.1000000000000001</v>
      </c>
      <c r="I1342" s="251"/>
      <c r="J1342" s="253"/>
      <c r="K1342" s="254">
        <f t="shared" si="38"/>
        <v>285.18326100000007</v>
      </c>
      <c r="L1342" s="255"/>
    </row>
    <row r="1343" spans="2:12">
      <c r="B1343" s="205" t="s">
        <v>1513</v>
      </c>
      <c r="C1343" s="250" t="s">
        <v>1441</v>
      </c>
      <c r="D1343" s="205" t="s">
        <v>1274</v>
      </c>
      <c r="E1343" s="251">
        <v>584</v>
      </c>
      <c r="F1343" s="252">
        <v>1.5780000000000001</v>
      </c>
      <c r="G1343" s="251"/>
      <c r="H1343" s="251">
        <v>1.1000000000000001</v>
      </c>
      <c r="I1343" s="251"/>
      <c r="J1343" s="253"/>
      <c r="K1343" s="254">
        <f t="shared" si="38"/>
        <v>1013.7072000000001</v>
      </c>
      <c r="L1343" s="255"/>
    </row>
    <row r="1344" spans="2:12">
      <c r="B1344" s="205" t="s">
        <v>1514</v>
      </c>
      <c r="C1344" s="250" t="s">
        <v>1441</v>
      </c>
      <c r="D1344" s="205" t="s">
        <v>1274</v>
      </c>
      <c r="E1344" s="251">
        <v>722</v>
      </c>
      <c r="F1344" s="252">
        <v>1.5780000000000001</v>
      </c>
      <c r="G1344" s="251"/>
      <c r="H1344" s="251">
        <v>1.1000000000000001</v>
      </c>
      <c r="I1344" s="251"/>
      <c r="J1344" s="253"/>
      <c r="K1344" s="254">
        <f t="shared" si="38"/>
        <v>1253.2476000000001</v>
      </c>
      <c r="L1344" s="255"/>
    </row>
    <row r="1345" spans="2:12">
      <c r="B1345" s="205" t="s">
        <v>1572</v>
      </c>
      <c r="C1345" s="250" t="s">
        <v>1521</v>
      </c>
      <c r="D1345" s="205" t="s">
        <v>1274</v>
      </c>
      <c r="E1345" s="251">
        <v>1168.92</v>
      </c>
      <c r="F1345" s="252">
        <v>1.5780000000000001</v>
      </c>
      <c r="G1345" s="251">
        <v>0.5</v>
      </c>
      <c r="H1345" s="251">
        <v>1.1000000000000001</v>
      </c>
      <c r="I1345" s="251"/>
      <c r="J1345" s="253"/>
      <c r="K1345" s="254">
        <f t="shared" si="38"/>
        <v>1014.5056680000002</v>
      </c>
      <c r="L1345" s="255"/>
    </row>
    <row r="1346" spans="2:12">
      <c r="B1346" s="205" t="s">
        <v>1573</v>
      </c>
      <c r="C1346" s="250" t="s">
        <v>1521</v>
      </c>
      <c r="D1346" s="205" t="s">
        <v>1274</v>
      </c>
      <c r="E1346" s="251">
        <v>5626</v>
      </c>
      <c r="F1346" s="252">
        <v>1.5780000000000001</v>
      </c>
      <c r="G1346" s="251">
        <v>0.5</v>
      </c>
      <c r="H1346" s="251">
        <v>1.1000000000000001</v>
      </c>
      <c r="I1346" s="251"/>
      <c r="J1346" s="253"/>
      <c r="K1346" s="254">
        <f t="shared" si="38"/>
        <v>4882.8054000000002</v>
      </c>
      <c r="L1346" s="255"/>
    </row>
    <row r="1347" spans="2:12">
      <c r="B1347" s="256"/>
      <c r="C1347" s="210"/>
      <c r="D1347" s="210"/>
      <c r="E1347" s="257"/>
      <c r="F1347" s="258"/>
      <c r="G1347" s="257"/>
      <c r="H1347" s="257"/>
      <c r="I1347" s="257"/>
      <c r="J1347" s="259"/>
      <c r="K1347" s="260">
        <f t="shared" si="38"/>
        <v>0</v>
      </c>
      <c r="L1347" s="210"/>
    </row>
    <row r="1348" spans="2:12">
      <c r="B1348" s="256"/>
      <c r="C1348" s="210"/>
      <c r="D1348" s="210"/>
      <c r="E1348" s="257"/>
      <c r="F1348" s="258"/>
      <c r="G1348" s="257"/>
      <c r="H1348" s="257"/>
      <c r="I1348" s="257"/>
      <c r="J1348" s="259"/>
      <c r="K1348" s="260">
        <f t="shared" si="38"/>
        <v>0</v>
      </c>
      <c r="L1348" s="210"/>
    </row>
    <row r="1349" spans="2:12">
      <c r="B1349" s="256"/>
      <c r="C1349" s="210"/>
      <c r="D1349" s="210"/>
      <c r="E1349" s="257"/>
      <c r="F1349" s="258"/>
      <c r="G1349" s="257"/>
      <c r="H1349" s="257"/>
      <c r="I1349" s="257"/>
      <c r="J1349" s="259"/>
      <c r="K1349" s="260">
        <f t="shared" si="38"/>
        <v>0</v>
      </c>
      <c r="L1349" s="210"/>
    </row>
    <row r="1350" spans="2:12">
      <c r="B1350" s="256"/>
      <c r="C1350" s="210"/>
      <c r="D1350" s="210"/>
      <c r="E1350" s="257"/>
      <c r="F1350" s="258"/>
      <c r="G1350" s="257"/>
      <c r="H1350" s="257"/>
      <c r="I1350" s="257"/>
      <c r="J1350" s="259"/>
      <c r="K1350" s="260">
        <f t="shared" si="38"/>
        <v>0</v>
      </c>
      <c r="L1350" s="210"/>
    </row>
    <row r="1351" spans="2:12">
      <c r="B1351" s="256"/>
      <c r="C1351" s="210"/>
      <c r="D1351" s="210"/>
      <c r="E1351" s="257"/>
      <c r="F1351" s="258"/>
      <c r="G1351" s="257"/>
      <c r="H1351" s="257"/>
      <c r="I1351" s="257"/>
      <c r="J1351" s="259"/>
      <c r="K1351" s="260">
        <f t="shared" si="38"/>
        <v>0</v>
      </c>
      <c r="L1351" s="210"/>
    </row>
    <row r="1352" spans="2:12">
      <c r="B1352" s="202"/>
      <c r="C1352" s="203"/>
      <c r="D1352" s="203"/>
      <c r="E1352" s="203"/>
      <c r="F1352" s="203"/>
      <c r="G1352" s="203"/>
      <c r="H1352" s="204"/>
      <c r="I1352" s="556" t="s">
        <v>1221</v>
      </c>
      <c r="J1352" s="556"/>
      <c r="K1352" s="220">
        <f>SUM(K1341:K1351)</f>
        <v>9041.6086200000009</v>
      </c>
      <c r="L1352" s="207"/>
    </row>
    <row r="1353" spans="2:12">
      <c r="B1353" s="208"/>
      <c r="C1353" s="204"/>
      <c r="D1353" s="204"/>
      <c r="E1353" s="204"/>
      <c r="F1353" s="204"/>
      <c r="G1353" s="204"/>
      <c r="H1353" s="209"/>
      <c r="I1353" s="557" t="s">
        <v>1222</v>
      </c>
      <c r="J1353" s="557"/>
      <c r="K1353" s="221">
        <f>VLOOKUP(B1339,'BM 004'!$B$27:$R$590,4,0)</f>
        <v>8114.7</v>
      </c>
      <c r="L1353" s="207"/>
    </row>
    <row r="1354" spans="2:12">
      <c r="B1354" s="208"/>
      <c r="C1354" s="204"/>
      <c r="D1354" s="204"/>
      <c r="E1354" s="204"/>
      <c r="F1354" s="204"/>
      <c r="G1354" s="204"/>
      <c r="H1354" s="558" t="s">
        <v>1223</v>
      </c>
      <c r="I1354" s="558"/>
      <c r="J1354" s="558"/>
      <c r="K1354" s="222">
        <f>VLOOKUP(B1339,'BM 007'!$B$27:$R$590,6,0)</f>
        <v>0</v>
      </c>
      <c r="L1354" s="207"/>
    </row>
    <row r="1355" spans="2:12">
      <c r="B1355" s="208"/>
      <c r="C1355" s="204"/>
      <c r="D1355" s="204"/>
      <c r="E1355" s="204"/>
      <c r="F1355" s="204"/>
      <c r="G1355" s="204"/>
      <c r="H1355" s="558" t="s">
        <v>1592</v>
      </c>
      <c r="I1355" s="558"/>
      <c r="J1355" s="558"/>
      <c r="K1355" s="222">
        <f>IF(K1352&gt;K1353,K1353-K1354,K1352-K1354)</f>
        <v>8114.7</v>
      </c>
      <c r="L1355" s="207"/>
    </row>
    <row r="1356" spans="2:12">
      <c r="B1356" s="213"/>
      <c r="C1356" s="214"/>
      <c r="D1356" s="214"/>
      <c r="E1356" s="214"/>
      <c r="F1356" s="214"/>
      <c r="G1356" s="214"/>
      <c r="H1356" s="559" t="s">
        <v>1224</v>
      </c>
      <c r="I1356" s="559"/>
      <c r="J1356" s="559"/>
      <c r="K1356" s="223">
        <f>IF(K1352&gt;K1353,K1352-K1353,0)</f>
        <v>926.90862000000106</v>
      </c>
      <c r="L1356" s="209"/>
    </row>
    <row r="1358" spans="2:12">
      <c r="B1358" s="247" t="s">
        <v>250</v>
      </c>
      <c r="C1358" s="565" t="str">
        <f>VLOOKUP(B1358,'BM 004'!$B$27:$R$590,2,0)</f>
        <v xml:space="preserve">Armação de laje de uma estrutura convencional de concreto armado em um edifício de múltiplos pavimentos utilizando aço ca-50 de 20,0 mm - montagem. </v>
      </c>
      <c r="D1358" s="565"/>
      <c r="E1358" s="565"/>
      <c r="F1358" s="565"/>
      <c r="G1358" s="565"/>
      <c r="H1358" s="565"/>
      <c r="I1358" s="565"/>
      <c r="J1358" s="565"/>
      <c r="K1358" s="565"/>
      <c r="L1358" s="565"/>
    </row>
    <row r="1359" spans="2:12">
      <c r="B1359" s="248" t="s">
        <v>1209</v>
      </c>
      <c r="C1359" s="248"/>
      <c r="D1359" s="248" t="s">
        <v>39</v>
      </c>
      <c r="E1359" s="248" t="s">
        <v>1210</v>
      </c>
      <c r="F1359" s="248" t="s">
        <v>1388</v>
      </c>
      <c r="G1359" s="248" t="s">
        <v>1212</v>
      </c>
      <c r="H1359" s="248" t="s">
        <v>1213</v>
      </c>
      <c r="I1359" s="248" t="s">
        <v>1214</v>
      </c>
      <c r="J1359" s="248" t="s">
        <v>1385</v>
      </c>
      <c r="K1359" s="248" t="s">
        <v>1216</v>
      </c>
      <c r="L1359" s="248" t="s">
        <v>1217</v>
      </c>
    </row>
    <row r="1360" spans="2:12">
      <c r="B1360" s="321" t="s">
        <v>1510</v>
      </c>
      <c r="C1360" s="250" t="s">
        <v>1441</v>
      </c>
      <c r="D1360" s="205" t="s">
        <v>1274</v>
      </c>
      <c r="E1360" s="251">
        <v>156.41999999999999</v>
      </c>
      <c r="F1360" s="252">
        <v>2.4660000000000002</v>
      </c>
      <c r="G1360" s="251">
        <v>0.45</v>
      </c>
      <c r="H1360" s="251">
        <v>1.1000000000000001</v>
      </c>
      <c r="I1360" s="251"/>
      <c r="J1360" s="253"/>
      <c r="K1360" s="254">
        <f t="shared" ref="K1360:K1375" si="39">IF(E1360*F1360*G1360&lt;&gt;0,E1360*F1360*G1360,IF(E1360*F1360&lt;&gt;0,E1360*F1360,IF(F1360*G1360&lt;&gt;0,F1360*G1360,IF(E1360*G1360&lt;&gt;0,E1360*G1360,IF(E1360&lt;&gt;0,E1360,IF(F1360&lt;&gt;0,F1360,IF(G1360&lt;&gt;0,G1360,0)))))))*(IF(H1360&lt;&gt;0,H1360,1))+I1360-J1360</f>
        <v>190.93720140000002</v>
      </c>
      <c r="L1360" s="255"/>
    </row>
    <row r="1361" spans="2:12">
      <c r="B1361" s="321" t="s">
        <v>1512</v>
      </c>
      <c r="C1361" s="250" t="s">
        <v>1441</v>
      </c>
      <c r="D1361" s="205" t="s">
        <v>1274</v>
      </c>
      <c r="E1361" s="251">
        <v>154.41999999999999</v>
      </c>
      <c r="F1361" s="252">
        <v>2.4660000000000002</v>
      </c>
      <c r="G1361" s="251">
        <v>0.45</v>
      </c>
      <c r="H1361" s="251">
        <v>1.1000000000000001</v>
      </c>
      <c r="I1361" s="251"/>
      <c r="J1361" s="253"/>
      <c r="K1361" s="254">
        <f t="shared" si="39"/>
        <v>188.4958614</v>
      </c>
      <c r="L1361" s="255"/>
    </row>
    <row r="1362" spans="2:12">
      <c r="B1362" s="321" t="s">
        <v>1513</v>
      </c>
      <c r="C1362" s="250" t="s">
        <v>1441</v>
      </c>
      <c r="D1362" s="205" t="s">
        <v>1274</v>
      </c>
      <c r="E1362" s="251">
        <v>51</v>
      </c>
      <c r="F1362" s="252">
        <v>2.4660000000000002</v>
      </c>
      <c r="G1362" s="251"/>
      <c r="H1362" s="251">
        <v>1.1000000000000001</v>
      </c>
      <c r="I1362" s="251"/>
      <c r="J1362" s="253"/>
      <c r="K1362" s="254">
        <f t="shared" si="39"/>
        <v>138.3426</v>
      </c>
      <c r="L1362" s="255"/>
    </row>
    <row r="1363" spans="2:12">
      <c r="B1363" s="321" t="s">
        <v>1514</v>
      </c>
      <c r="C1363" s="250" t="s">
        <v>1441</v>
      </c>
      <c r="D1363" s="205" t="s">
        <v>1274</v>
      </c>
      <c r="E1363" s="251">
        <v>298</v>
      </c>
      <c r="F1363" s="252">
        <v>2.4660000000000002</v>
      </c>
      <c r="G1363" s="251"/>
      <c r="H1363" s="251">
        <v>1.1000000000000001</v>
      </c>
      <c r="I1363" s="251"/>
      <c r="J1363" s="253"/>
      <c r="K1363" s="254">
        <f t="shared" si="39"/>
        <v>808.35480000000007</v>
      </c>
      <c r="L1363" s="255"/>
    </row>
    <row r="1364" spans="2:12">
      <c r="B1364" s="321" t="s">
        <v>1572</v>
      </c>
      <c r="C1364" s="250" t="s">
        <v>1521</v>
      </c>
      <c r="D1364" s="205" t="s">
        <v>1274</v>
      </c>
      <c r="E1364" s="251">
        <v>1019.89</v>
      </c>
      <c r="F1364" s="252">
        <v>2.4660000000000002</v>
      </c>
      <c r="G1364" s="251">
        <v>0.5</v>
      </c>
      <c r="H1364" s="251">
        <v>1.1000000000000001</v>
      </c>
      <c r="I1364" s="251"/>
      <c r="J1364" s="253"/>
      <c r="K1364" s="254">
        <f t="shared" si="39"/>
        <v>1383.2768070000002</v>
      </c>
      <c r="L1364" s="255"/>
    </row>
    <row r="1365" spans="2:12">
      <c r="B1365" s="205" t="s">
        <v>1573</v>
      </c>
      <c r="C1365" s="250" t="s">
        <v>1521</v>
      </c>
      <c r="D1365" s="205" t="s">
        <v>1274</v>
      </c>
      <c r="E1365" s="251">
        <v>804</v>
      </c>
      <c r="F1365" s="252">
        <v>2.4660000000000002</v>
      </c>
      <c r="G1365" s="251">
        <v>0.5</v>
      </c>
      <c r="H1365" s="251">
        <v>1.1000000000000001</v>
      </c>
      <c r="I1365" s="251"/>
      <c r="J1365" s="253"/>
      <c r="K1365" s="254">
        <f t="shared" si="39"/>
        <v>1090.4652000000001</v>
      </c>
      <c r="L1365" s="255"/>
    </row>
    <row r="1366" spans="2:12">
      <c r="B1366" s="321" t="s">
        <v>1510</v>
      </c>
      <c r="C1366" s="250" t="s">
        <v>1611</v>
      </c>
      <c r="D1366" s="205" t="s">
        <v>1274</v>
      </c>
      <c r="E1366" s="251">
        <v>156.41999999999999</v>
      </c>
      <c r="F1366" s="252">
        <v>2.4660000000000002</v>
      </c>
      <c r="G1366" s="251">
        <v>0.55000000000000004</v>
      </c>
      <c r="H1366" s="251">
        <v>1.1000000000000001</v>
      </c>
      <c r="I1366" s="251"/>
      <c r="J1366" s="253"/>
      <c r="K1366" s="254">
        <f t="shared" si="39"/>
        <v>233.36769060000006</v>
      </c>
      <c r="L1366" s="255"/>
    </row>
    <row r="1367" spans="2:12">
      <c r="B1367" s="321" t="s">
        <v>1512</v>
      </c>
      <c r="C1367" s="250" t="s">
        <v>1611</v>
      </c>
      <c r="D1367" s="205" t="s">
        <v>1274</v>
      </c>
      <c r="E1367" s="251">
        <v>154.41999999999999</v>
      </c>
      <c r="F1367" s="252">
        <v>2.4660000000000002</v>
      </c>
      <c r="G1367" s="251">
        <v>0.55000000000000004</v>
      </c>
      <c r="H1367" s="251">
        <v>1.1000000000000001</v>
      </c>
      <c r="I1367" s="251"/>
      <c r="J1367" s="253"/>
      <c r="K1367" s="254">
        <f t="shared" si="39"/>
        <v>230.38383060000004</v>
      </c>
      <c r="L1367" s="255"/>
    </row>
    <row r="1368" spans="2:12">
      <c r="B1368" s="205" t="s">
        <v>1687</v>
      </c>
      <c r="C1368" s="264" t="s">
        <v>1611</v>
      </c>
      <c r="D1368" s="210" t="s">
        <v>1274</v>
      </c>
      <c r="E1368" s="257">
        <f>954+522</f>
        <v>1476</v>
      </c>
      <c r="F1368" s="258">
        <f>(45.8/(6*2.45))</f>
        <v>3.1156462585034008</v>
      </c>
      <c r="G1368" s="257"/>
      <c r="H1368" s="257">
        <v>1</v>
      </c>
      <c r="I1368" s="257"/>
      <c r="J1368" s="253"/>
      <c r="K1368" s="254">
        <f t="shared" si="39"/>
        <v>4598.6938775510198</v>
      </c>
      <c r="L1368" s="255"/>
    </row>
    <row r="1369" spans="2:12">
      <c r="B1369" s="321" t="s">
        <v>1572</v>
      </c>
      <c r="C1369" s="250" t="s">
        <v>1612</v>
      </c>
      <c r="D1369" s="205" t="s">
        <v>1274</v>
      </c>
      <c r="E1369" s="251">
        <v>1019.89</v>
      </c>
      <c r="F1369" s="252">
        <v>2.4660000000000002</v>
      </c>
      <c r="G1369" s="251">
        <v>0.5</v>
      </c>
      <c r="H1369" s="251">
        <v>1.1000000000000001</v>
      </c>
      <c r="I1369" s="251"/>
      <c r="J1369" s="253"/>
      <c r="K1369" s="254">
        <f t="shared" si="39"/>
        <v>1383.2768070000002</v>
      </c>
      <c r="L1369" s="255"/>
    </row>
    <row r="1370" spans="2:12">
      <c r="B1370" s="205" t="s">
        <v>1573</v>
      </c>
      <c r="C1370" s="250" t="s">
        <v>1613</v>
      </c>
      <c r="D1370" s="205" t="s">
        <v>1274</v>
      </c>
      <c r="E1370" s="251">
        <v>804</v>
      </c>
      <c r="F1370" s="252">
        <v>2.4660000000000002</v>
      </c>
      <c r="G1370" s="251">
        <v>0.3</v>
      </c>
      <c r="H1370" s="251">
        <v>1.1000000000000001</v>
      </c>
      <c r="I1370" s="251"/>
      <c r="J1370" s="253"/>
      <c r="K1370" s="254">
        <f t="shared" si="39"/>
        <v>654.27912000000015</v>
      </c>
      <c r="L1370" s="255"/>
    </row>
    <row r="1371" spans="2:12">
      <c r="B1371" s="205" t="s">
        <v>1573</v>
      </c>
      <c r="C1371" s="250" t="s">
        <v>1895</v>
      </c>
      <c r="D1371" s="205" t="s">
        <v>1274</v>
      </c>
      <c r="E1371" s="251">
        <v>804</v>
      </c>
      <c r="F1371" s="252">
        <v>2.4660000000000002</v>
      </c>
      <c r="G1371" s="251">
        <v>0.1</v>
      </c>
      <c r="H1371" s="251">
        <v>1.1000000000000001</v>
      </c>
      <c r="I1371" s="257"/>
      <c r="J1371" s="259"/>
      <c r="K1371" s="254">
        <f t="shared" si="39"/>
        <v>218.09304000000006</v>
      </c>
      <c r="L1371" s="210"/>
    </row>
    <row r="1372" spans="2:12">
      <c r="B1372" s="256"/>
      <c r="C1372" s="210"/>
      <c r="D1372" s="210"/>
      <c r="E1372" s="257"/>
      <c r="F1372" s="258"/>
      <c r="G1372" s="257"/>
      <c r="H1372" s="257"/>
      <c r="I1372" s="257"/>
      <c r="J1372" s="259"/>
      <c r="K1372" s="254">
        <f t="shared" si="39"/>
        <v>0</v>
      </c>
      <c r="L1372" s="210"/>
    </row>
    <row r="1373" spans="2:12">
      <c r="B1373" s="256"/>
      <c r="C1373" s="210"/>
      <c r="D1373" s="210"/>
      <c r="E1373" s="257"/>
      <c r="F1373" s="258"/>
      <c r="G1373" s="257"/>
      <c r="H1373" s="257"/>
      <c r="I1373" s="257"/>
      <c r="J1373" s="259"/>
      <c r="K1373" s="254">
        <f t="shared" si="39"/>
        <v>0</v>
      </c>
      <c r="L1373" s="210"/>
    </row>
    <row r="1374" spans="2:12">
      <c r="B1374" s="256"/>
      <c r="C1374" s="210"/>
      <c r="D1374" s="210"/>
      <c r="E1374" s="257"/>
      <c r="F1374" s="258"/>
      <c r="G1374" s="257"/>
      <c r="H1374" s="257"/>
      <c r="I1374" s="257"/>
      <c r="J1374" s="259"/>
      <c r="K1374" s="254">
        <f t="shared" si="39"/>
        <v>0</v>
      </c>
      <c r="L1374" s="210"/>
    </row>
    <row r="1375" spans="2:12">
      <c r="B1375" s="256"/>
      <c r="C1375" s="210"/>
      <c r="D1375" s="210"/>
      <c r="E1375" s="257"/>
      <c r="F1375" s="258"/>
      <c r="G1375" s="257"/>
      <c r="H1375" s="257"/>
      <c r="I1375" s="257"/>
      <c r="J1375" s="259"/>
      <c r="K1375" s="260">
        <f t="shared" si="39"/>
        <v>0</v>
      </c>
      <c r="L1375" s="210"/>
    </row>
    <row r="1376" spans="2:12">
      <c r="B1376" s="202"/>
      <c r="C1376" s="203"/>
      <c r="D1376" s="203"/>
      <c r="E1376" s="203"/>
      <c r="F1376" s="203"/>
      <c r="G1376" s="203"/>
      <c r="H1376" s="204"/>
      <c r="I1376" s="556" t="s">
        <v>1221</v>
      </c>
      <c r="J1376" s="556"/>
      <c r="K1376" s="220">
        <f>SUM(K1360:K1375)</f>
        <v>11117.966835551022</v>
      </c>
      <c r="L1376" s="207"/>
    </row>
    <row r="1377" spans="2:12">
      <c r="B1377" s="208"/>
      <c r="C1377" s="204"/>
      <c r="D1377" s="204"/>
      <c r="E1377" s="204"/>
      <c r="F1377" s="204"/>
      <c r="G1377" s="204"/>
      <c r="H1377" s="209"/>
      <c r="I1377" s="557" t="s">
        <v>1222</v>
      </c>
      <c r="J1377" s="557"/>
      <c r="K1377" s="221">
        <f>VLOOKUP(B1358,'BM 004'!$B$27:$R$590,4,0)</f>
        <v>11554.4</v>
      </c>
      <c r="L1377" s="207"/>
    </row>
    <row r="1378" spans="2:12">
      <c r="B1378" s="208"/>
      <c r="C1378" s="204"/>
      <c r="D1378" s="204"/>
      <c r="E1378" s="204"/>
      <c r="F1378" s="204"/>
      <c r="G1378" s="204"/>
      <c r="H1378" s="558" t="s">
        <v>1223</v>
      </c>
      <c r="I1378" s="558"/>
      <c r="J1378" s="558"/>
      <c r="K1378" s="222">
        <v>10899.873795551001</v>
      </c>
      <c r="L1378" s="207"/>
    </row>
    <row r="1379" spans="2:12">
      <c r="B1379" s="208"/>
      <c r="C1379" s="204"/>
      <c r="D1379" s="204"/>
      <c r="E1379" s="204"/>
      <c r="F1379" s="204"/>
      <c r="G1379" s="204"/>
      <c r="H1379" s="558" t="s">
        <v>1605</v>
      </c>
      <c r="I1379" s="558"/>
      <c r="J1379" s="558"/>
      <c r="K1379" s="222">
        <f>TRUNC(SUMIF(C1360:C1375,H1379,K1360:K1375),2)</f>
        <v>218.09</v>
      </c>
      <c r="L1379" s="207"/>
    </row>
    <row r="1380" spans="2:12">
      <c r="B1380" s="213"/>
      <c r="C1380" s="214"/>
      <c r="D1380" s="214"/>
      <c r="E1380" s="214"/>
      <c r="F1380" s="214"/>
      <c r="G1380" s="214"/>
      <c r="H1380" s="559" t="s">
        <v>1224</v>
      </c>
      <c r="I1380" s="559"/>
      <c r="J1380" s="559"/>
      <c r="K1380" s="223">
        <f>IF(K1376&gt;K1377,K1376-K1377,0)</f>
        <v>0</v>
      </c>
      <c r="L1380" s="209"/>
    </row>
    <row r="1382" spans="2:12">
      <c r="B1382" s="247" t="s">
        <v>252</v>
      </c>
      <c r="C1382" s="565" t="str">
        <f>VLOOKUP(B1382,'BM 004'!$B$27:$R$590,2,0)</f>
        <v>ARMAÇÃO DE LAJE DE UMA ESTRUTURA CONVENCIONAL DE CONCRETO ARMADO EM UM EDIFÍCIO DE MÚLTIPLOS PAVIMENTOS UTILIZANDO AÇO CA-50 DE 25,0 MM - MONTAGEM.</v>
      </c>
      <c r="D1382" s="565"/>
      <c r="E1382" s="565"/>
      <c r="F1382" s="565"/>
      <c r="G1382" s="565"/>
      <c r="H1382" s="565"/>
      <c r="I1382" s="565"/>
      <c r="J1382" s="565"/>
      <c r="K1382" s="565"/>
      <c r="L1382" s="565"/>
    </row>
    <row r="1383" spans="2:12">
      <c r="B1383" s="248" t="s">
        <v>1209</v>
      </c>
      <c r="C1383" s="248"/>
      <c r="D1383" s="248" t="s">
        <v>39</v>
      </c>
      <c r="E1383" s="248" t="s">
        <v>1210</v>
      </c>
      <c r="F1383" s="248" t="s">
        <v>1388</v>
      </c>
      <c r="G1383" s="248" t="s">
        <v>1212</v>
      </c>
      <c r="H1383" s="248" t="s">
        <v>1213</v>
      </c>
      <c r="I1383" s="248" t="s">
        <v>1214</v>
      </c>
      <c r="J1383" s="248" t="s">
        <v>1385</v>
      </c>
      <c r="K1383" s="248" t="s">
        <v>1216</v>
      </c>
      <c r="L1383" s="248" t="s">
        <v>1217</v>
      </c>
    </row>
    <row r="1384" spans="2:12">
      <c r="B1384" s="205" t="s">
        <v>1510</v>
      </c>
      <c r="C1384" s="250" t="s">
        <v>1441</v>
      </c>
      <c r="D1384" s="205" t="s">
        <v>1274</v>
      </c>
      <c r="E1384" s="251">
        <v>372.94</v>
      </c>
      <c r="F1384" s="252">
        <v>3.8530000000000002</v>
      </c>
      <c r="G1384" s="251">
        <v>0.45</v>
      </c>
      <c r="H1384" s="251">
        <v>1.1000000000000001</v>
      </c>
      <c r="I1384" s="251"/>
      <c r="J1384" s="253"/>
      <c r="K1384" s="254">
        <f t="shared" ref="K1384:K1398" si="40">IF(E1384*F1384*G1384&lt;&gt;0,E1384*F1384*G1384,IF(E1384*F1384&lt;&gt;0,E1384*F1384,IF(F1384*G1384&lt;&gt;0,F1384*G1384,IF(E1384*G1384&lt;&gt;0,E1384*G1384,IF(E1384&lt;&gt;0,E1384,IF(F1384&lt;&gt;0,F1384,IF(G1384&lt;&gt;0,G1384,0)))))))*(IF(H1384&lt;&gt;0,H1384,1))+I1384-J1384</f>
        <v>711.28422090000004</v>
      </c>
      <c r="L1384" s="255"/>
    </row>
    <row r="1385" spans="2:12">
      <c r="B1385" s="205" t="s">
        <v>1512</v>
      </c>
      <c r="C1385" s="250" t="s">
        <v>1441</v>
      </c>
      <c r="D1385" s="205" t="s">
        <v>1274</v>
      </c>
      <c r="E1385" s="251">
        <v>47.06</v>
      </c>
      <c r="F1385" s="252">
        <v>3.8530000000000002</v>
      </c>
      <c r="G1385" s="251">
        <v>0.45</v>
      </c>
      <c r="H1385" s="251">
        <v>1.1000000000000001</v>
      </c>
      <c r="I1385" s="251"/>
      <c r="J1385" s="253"/>
      <c r="K1385" s="254">
        <f t="shared" si="40"/>
        <v>89.754479100000026</v>
      </c>
      <c r="L1385" s="255"/>
    </row>
    <row r="1386" spans="2:12">
      <c r="B1386" s="205" t="s">
        <v>1513</v>
      </c>
      <c r="C1386" s="250" t="s">
        <v>1441</v>
      </c>
      <c r="D1386" s="205" t="s">
        <v>1274</v>
      </c>
      <c r="E1386" s="251">
        <v>6</v>
      </c>
      <c r="F1386" s="252">
        <v>3.8530000000000002</v>
      </c>
      <c r="G1386" s="251"/>
      <c r="H1386" s="251">
        <v>1.1000000000000001</v>
      </c>
      <c r="I1386" s="251"/>
      <c r="J1386" s="253"/>
      <c r="K1386" s="254">
        <f t="shared" si="40"/>
        <v>25.429800000000004</v>
      </c>
      <c r="L1386" s="255"/>
    </row>
    <row r="1387" spans="2:12">
      <c r="B1387" s="205" t="s">
        <v>1514</v>
      </c>
      <c r="C1387" s="250" t="s">
        <v>1441</v>
      </c>
      <c r="D1387" s="205" t="s">
        <v>1274</v>
      </c>
      <c r="E1387" s="251">
        <v>3</v>
      </c>
      <c r="F1387" s="252">
        <v>3.8530000000000002</v>
      </c>
      <c r="G1387" s="251"/>
      <c r="H1387" s="251">
        <v>1.1000000000000001</v>
      </c>
      <c r="I1387" s="251"/>
      <c r="J1387" s="253"/>
      <c r="K1387" s="254">
        <f t="shared" si="40"/>
        <v>12.714900000000002</v>
      </c>
      <c r="L1387" s="255"/>
    </row>
    <row r="1388" spans="2:12">
      <c r="B1388" s="205" t="s">
        <v>1572</v>
      </c>
      <c r="C1388" s="250" t="s">
        <v>1521</v>
      </c>
      <c r="D1388" s="205" t="s">
        <v>1274</v>
      </c>
      <c r="E1388" s="251">
        <v>37.869999999999997</v>
      </c>
      <c r="F1388" s="252">
        <v>3.8530000000000002</v>
      </c>
      <c r="G1388" s="251">
        <v>0.5</v>
      </c>
      <c r="H1388" s="251">
        <v>1.1000000000000001</v>
      </c>
      <c r="I1388" s="251"/>
      <c r="J1388" s="253"/>
      <c r="K1388" s="254">
        <f t="shared" si="40"/>
        <v>80.252210500000004</v>
      </c>
      <c r="L1388" s="255"/>
    </row>
    <row r="1389" spans="2:12">
      <c r="B1389" s="205" t="s">
        <v>1573</v>
      </c>
      <c r="C1389" s="250" t="s">
        <v>1521</v>
      </c>
      <c r="D1389" s="205" t="s">
        <v>1274</v>
      </c>
      <c r="E1389" s="251">
        <v>5</v>
      </c>
      <c r="F1389" s="252">
        <v>3.8530000000000002</v>
      </c>
      <c r="G1389" s="251">
        <v>0.5</v>
      </c>
      <c r="H1389" s="251">
        <v>1.1000000000000001</v>
      </c>
      <c r="I1389" s="251"/>
      <c r="J1389" s="253"/>
      <c r="K1389" s="254">
        <f t="shared" si="40"/>
        <v>10.595750000000001</v>
      </c>
      <c r="L1389" s="255"/>
    </row>
    <row r="1390" spans="2:12">
      <c r="B1390" s="205" t="s">
        <v>1510</v>
      </c>
      <c r="C1390" s="250" t="s">
        <v>1611</v>
      </c>
      <c r="D1390" s="205" t="s">
        <v>1274</v>
      </c>
      <c r="E1390" s="251">
        <v>372.94</v>
      </c>
      <c r="F1390" s="252">
        <v>3.8530000000000002</v>
      </c>
      <c r="G1390" s="251">
        <v>0.55000000000000004</v>
      </c>
      <c r="H1390" s="251">
        <v>1.1000000000000001</v>
      </c>
      <c r="I1390" s="251"/>
      <c r="J1390" s="253"/>
      <c r="K1390" s="254">
        <f t="shared" si="40"/>
        <v>869.34738110000012</v>
      </c>
      <c r="L1390" s="255"/>
    </row>
    <row r="1391" spans="2:12">
      <c r="B1391" s="205" t="s">
        <v>1512</v>
      </c>
      <c r="C1391" s="250" t="s">
        <v>1611</v>
      </c>
      <c r="D1391" s="205" t="s">
        <v>1274</v>
      </c>
      <c r="E1391" s="251">
        <v>47.06</v>
      </c>
      <c r="F1391" s="252">
        <v>3.8530000000000002</v>
      </c>
      <c r="G1391" s="251">
        <v>0.55000000000000004</v>
      </c>
      <c r="H1391" s="251">
        <v>1.1000000000000001</v>
      </c>
      <c r="I1391" s="251"/>
      <c r="J1391" s="253"/>
      <c r="K1391" s="254">
        <f t="shared" si="40"/>
        <v>109.69991890000004</v>
      </c>
      <c r="L1391" s="255"/>
    </row>
    <row r="1392" spans="2:12">
      <c r="B1392" s="205" t="s">
        <v>1572</v>
      </c>
      <c r="C1392" s="250" t="s">
        <v>1612</v>
      </c>
      <c r="D1392" s="205" t="s">
        <v>1274</v>
      </c>
      <c r="E1392" s="251">
        <v>37.869999999999997</v>
      </c>
      <c r="F1392" s="252">
        <v>3.8530000000000002</v>
      </c>
      <c r="G1392" s="251">
        <v>0.5</v>
      </c>
      <c r="H1392" s="251">
        <v>1.1000000000000001</v>
      </c>
      <c r="I1392" s="251"/>
      <c r="J1392" s="253"/>
      <c r="K1392" s="254">
        <f t="shared" si="40"/>
        <v>80.252210500000004</v>
      </c>
      <c r="L1392" s="255"/>
    </row>
    <row r="1393" spans="2:12">
      <c r="B1393" s="205" t="s">
        <v>1573</v>
      </c>
      <c r="C1393" s="250" t="s">
        <v>1612</v>
      </c>
      <c r="D1393" s="205" t="s">
        <v>1274</v>
      </c>
      <c r="E1393" s="251">
        <v>5</v>
      </c>
      <c r="F1393" s="252">
        <v>3.8530000000000002</v>
      </c>
      <c r="G1393" s="251">
        <v>0.5</v>
      </c>
      <c r="H1393" s="251">
        <v>1.1000000000000001</v>
      </c>
      <c r="I1393" s="251"/>
      <c r="J1393" s="253"/>
      <c r="K1393" s="254">
        <f t="shared" si="40"/>
        <v>10.595750000000001</v>
      </c>
      <c r="L1393" s="255"/>
    </row>
    <row r="1394" spans="2:12">
      <c r="B1394" s="205" t="s">
        <v>1686</v>
      </c>
      <c r="C1394" s="250" t="s">
        <v>1612</v>
      </c>
      <c r="D1394" s="205" t="s">
        <v>1274</v>
      </c>
      <c r="E1394" s="251">
        <v>709</v>
      </c>
      <c r="F1394" s="252">
        <v>3.8530000000000002</v>
      </c>
      <c r="G1394" s="251">
        <v>0.4</v>
      </c>
      <c r="H1394" s="251">
        <v>1.1000000000000001</v>
      </c>
      <c r="I1394" s="251"/>
      <c r="J1394" s="253"/>
      <c r="K1394" s="254">
        <f t="shared" si="40"/>
        <v>1201.9818800000003</v>
      </c>
      <c r="L1394" s="255"/>
    </row>
    <row r="1395" spans="2:12">
      <c r="B1395" s="205" t="s">
        <v>1686</v>
      </c>
      <c r="C1395" s="250" t="s">
        <v>1613</v>
      </c>
      <c r="D1395" s="205" t="s">
        <v>1274</v>
      </c>
      <c r="E1395" s="251">
        <v>709</v>
      </c>
      <c r="F1395" s="252">
        <v>3.8530000000000002</v>
      </c>
      <c r="G1395" s="251">
        <v>0.25</v>
      </c>
      <c r="H1395" s="251">
        <v>1.1000000000000001</v>
      </c>
      <c r="I1395" s="251"/>
      <c r="J1395" s="253"/>
      <c r="K1395" s="254">
        <f t="shared" si="40"/>
        <v>751.23867500000006</v>
      </c>
      <c r="L1395" s="255"/>
    </row>
    <row r="1396" spans="2:12">
      <c r="B1396" s="205" t="s">
        <v>1686</v>
      </c>
      <c r="C1396" s="250" t="s">
        <v>1895</v>
      </c>
      <c r="D1396" s="205" t="s">
        <v>1274</v>
      </c>
      <c r="E1396" s="251">
        <v>709</v>
      </c>
      <c r="F1396" s="252">
        <v>3.8530000000000002</v>
      </c>
      <c r="G1396" s="251">
        <v>0.15</v>
      </c>
      <c r="H1396" s="251">
        <v>1.1000000000000001</v>
      </c>
      <c r="I1396" s="251"/>
      <c r="J1396" s="253"/>
      <c r="K1396" s="254">
        <f t="shared" si="40"/>
        <v>450.74320500000005</v>
      </c>
      <c r="L1396" s="255"/>
    </row>
    <row r="1397" spans="2:12">
      <c r="B1397" s="256"/>
      <c r="C1397" s="210"/>
      <c r="D1397" s="210"/>
      <c r="E1397" s="257"/>
      <c r="F1397" s="258"/>
      <c r="G1397" s="257"/>
      <c r="H1397" s="257"/>
      <c r="I1397" s="257"/>
      <c r="J1397" s="259"/>
      <c r="K1397" s="254">
        <f t="shared" si="40"/>
        <v>0</v>
      </c>
      <c r="L1397" s="210"/>
    </row>
    <row r="1398" spans="2:12">
      <c r="B1398" s="256"/>
      <c r="C1398" s="210"/>
      <c r="D1398" s="210"/>
      <c r="E1398" s="257"/>
      <c r="F1398" s="258"/>
      <c r="G1398" s="257"/>
      <c r="H1398" s="257"/>
      <c r="I1398" s="257"/>
      <c r="J1398" s="259"/>
      <c r="K1398" s="260">
        <f t="shared" si="40"/>
        <v>0</v>
      </c>
      <c r="L1398" s="210"/>
    </row>
    <row r="1399" spans="2:12">
      <c r="B1399" s="202"/>
      <c r="C1399" s="203"/>
      <c r="D1399" s="203"/>
      <c r="E1399" s="203"/>
      <c r="F1399" s="203"/>
      <c r="G1399" s="203"/>
      <c r="H1399" s="204"/>
      <c r="I1399" s="556" t="s">
        <v>1221</v>
      </c>
      <c r="J1399" s="556"/>
      <c r="K1399" s="220">
        <f>SUM(K1384:K1398)</f>
        <v>4403.8903810000011</v>
      </c>
      <c r="L1399" s="207"/>
    </row>
    <row r="1400" spans="2:12">
      <c r="B1400" s="208"/>
      <c r="C1400" s="204"/>
      <c r="D1400" s="204"/>
      <c r="E1400" s="204"/>
      <c r="F1400" s="204"/>
      <c r="G1400" s="204"/>
      <c r="H1400" s="209"/>
      <c r="I1400" s="557" t="s">
        <v>1222</v>
      </c>
      <c r="J1400" s="557"/>
      <c r="K1400" s="221">
        <f>VLOOKUP(B1382,'BM 004'!$B$27:$R$590,4,0)</f>
        <v>5166.7</v>
      </c>
      <c r="L1400" s="207"/>
    </row>
    <row r="1401" spans="2:12">
      <c r="B1401" s="208"/>
      <c r="C1401" s="204"/>
      <c r="D1401" s="204"/>
      <c r="E1401" s="204"/>
      <c r="F1401" s="204"/>
      <c r="G1401" s="204"/>
      <c r="H1401" s="558" t="s">
        <v>1223</v>
      </c>
      <c r="I1401" s="558"/>
      <c r="J1401" s="558"/>
      <c r="K1401" s="222">
        <v>3953.1471759999999</v>
      </c>
      <c r="L1401" s="207"/>
    </row>
    <row r="1402" spans="2:12">
      <c r="B1402" s="208"/>
      <c r="C1402" s="204"/>
      <c r="D1402" s="204"/>
      <c r="E1402" s="204"/>
      <c r="F1402" s="204"/>
      <c r="G1402" s="204"/>
      <c r="H1402" s="558" t="s">
        <v>1605</v>
      </c>
      <c r="I1402" s="558"/>
      <c r="J1402" s="558"/>
      <c r="K1402" s="222">
        <f>TRUNC(SUMIF(C1384:C1398,H1402,K1384:K1398),2)</f>
        <v>450.74</v>
      </c>
      <c r="L1402" s="207"/>
    </row>
    <row r="1403" spans="2:12">
      <c r="B1403" s="213"/>
      <c r="C1403" s="214"/>
      <c r="D1403" s="214"/>
      <c r="E1403" s="214"/>
      <c r="F1403" s="214"/>
      <c r="G1403" s="214"/>
      <c r="H1403" s="559" t="s">
        <v>1224</v>
      </c>
      <c r="I1403" s="559"/>
      <c r="J1403" s="559"/>
      <c r="K1403" s="223">
        <f>IF(K1399&gt;K1400,K1399-K1400,0)</f>
        <v>0</v>
      </c>
      <c r="L1403" s="209"/>
    </row>
    <row r="1405" spans="2:12">
      <c r="B1405" s="247" t="s">
        <v>254</v>
      </c>
      <c r="C1405" s="565" t="str">
        <f>VLOOKUP(B1405,'BM 004'!$B$27:$R$590,2,0)</f>
        <v xml:space="preserve">Concreto simples usinado fck=35mpa, bombeado, lançado e adensado em superestrutura </v>
      </c>
      <c r="D1405" s="565"/>
      <c r="E1405" s="565"/>
      <c r="F1405" s="565"/>
      <c r="G1405" s="565"/>
      <c r="H1405" s="565"/>
      <c r="I1405" s="565"/>
      <c r="J1405" s="565"/>
      <c r="K1405" s="565"/>
      <c r="L1405" s="565"/>
    </row>
    <row r="1406" spans="2:12">
      <c r="B1406" s="248" t="s">
        <v>1209</v>
      </c>
      <c r="C1406" s="248"/>
      <c r="D1406" s="248" t="s">
        <v>39</v>
      </c>
      <c r="E1406" s="248" t="s">
        <v>1210</v>
      </c>
      <c r="F1406" s="248" t="s">
        <v>1388</v>
      </c>
      <c r="G1406" s="248" t="s">
        <v>1212</v>
      </c>
      <c r="H1406" s="248" t="s">
        <v>1213</v>
      </c>
      <c r="I1406" s="248" t="s">
        <v>1214</v>
      </c>
      <c r="J1406" s="248" t="s">
        <v>1385</v>
      </c>
      <c r="K1406" s="248" t="s">
        <v>1216</v>
      </c>
      <c r="L1406" s="248" t="s">
        <v>1217</v>
      </c>
    </row>
    <row r="1407" spans="2:12">
      <c r="B1407" s="255" t="s">
        <v>1501</v>
      </c>
      <c r="C1407" s="250" t="s">
        <v>1441</v>
      </c>
      <c r="D1407" s="205" t="s">
        <v>169</v>
      </c>
      <c r="E1407" s="251">
        <v>1</v>
      </c>
      <c r="F1407" s="252">
        <v>7</v>
      </c>
      <c r="G1407" s="251">
        <v>5.91</v>
      </c>
      <c r="H1407" s="251">
        <v>0.3</v>
      </c>
      <c r="I1407" s="251"/>
      <c r="J1407" s="253">
        <v>6.3423999999999996</v>
      </c>
      <c r="K1407" s="254">
        <f t="shared" ref="K1407:K1438" si="41">IF(E1407*F1407*G1407&lt;&gt;0,E1407*F1407*G1407,IF(E1407*F1407&lt;&gt;0,E1407*F1407,IF(F1407*G1407&lt;&gt;0,F1407*G1407,IF(E1407*G1407&lt;&gt;0,E1407*G1407,IF(E1407&lt;&gt;0,E1407,IF(F1407&lt;&gt;0,F1407,IF(G1407&lt;&gt;0,G1407,0)))))))*(IF(H1407&lt;&gt;0,H1407,1))+I1407-J1407</f>
        <v>6.0686000000000018</v>
      </c>
      <c r="L1407" s="255" t="s">
        <v>1518</v>
      </c>
    </row>
    <row r="1408" spans="2:12">
      <c r="B1408" s="255" t="s">
        <v>1502</v>
      </c>
      <c r="C1408" s="250" t="s">
        <v>1441</v>
      </c>
      <c r="D1408" s="205" t="s">
        <v>169</v>
      </c>
      <c r="E1408" s="251">
        <v>1</v>
      </c>
      <c r="F1408" s="252">
        <v>13.72</v>
      </c>
      <c r="G1408" s="251">
        <v>5.91</v>
      </c>
      <c r="H1408" s="251">
        <v>0.3</v>
      </c>
      <c r="I1408" s="251"/>
      <c r="J1408" s="253">
        <v>12.56235</v>
      </c>
      <c r="K1408" s="254">
        <f t="shared" si="41"/>
        <v>11.763209999999999</v>
      </c>
      <c r="L1408" s="255" t="s">
        <v>1518</v>
      </c>
    </row>
    <row r="1409" spans="2:12">
      <c r="B1409" s="255" t="s">
        <v>1503</v>
      </c>
      <c r="C1409" s="250" t="s">
        <v>1441</v>
      </c>
      <c r="D1409" s="205" t="s">
        <v>169</v>
      </c>
      <c r="E1409" s="251">
        <v>1</v>
      </c>
      <c r="F1409" s="252">
        <v>14.35</v>
      </c>
      <c r="G1409" s="251">
        <v>3.73</v>
      </c>
      <c r="H1409" s="251">
        <v>0.25</v>
      </c>
      <c r="I1409" s="251"/>
      <c r="J1409" s="253">
        <v>6.8421599999999998</v>
      </c>
      <c r="K1409" s="254">
        <f t="shared" si="41"/>
        <v>6.5392150000000004</v>
      </c>
      <c r="L1409" s="255" t="s">
        <v>1519</v>
      </c>
    </row>
    <row r="1410" spans="2:12">
      <c r="B1410" s="255" t="s">
        <v>1504</v>
      </c>
      <c r="C1410" s="250" t="s">
        <v>1441</v>
      </c>
      <c r="D1410" s="205" t="s">
        <v>169</v>
      </c>
      <c r="E1410" s="251">
        <v>1</v>
      </c>
      <c r="F1410" s="252">
        <v>6.49</v>
      </c>
      <c r="G1410" s="251">
        <v>3.73</v>
      </c>
      <c r="H1410" s="251">
        <v>0.25</v>
      </c>
      <c r="I1410" s="251"/>
      <c r="J1410" s="253">
        <v>2.8173599999999999</v>
      </c>
      <c r="K1410" s="254">
        <f t="shared" si="41"/>
        <v>3.2345649999999999</v>
      </c>
      <c r="L1410" s="255" t="s">
        <v>1519</v>
      </c>
    </row>
    <row r="1411" spans="2:12">
      <c r="B1411" s="255" t="s">
        <v>1505</v>
      </c>
      <c r="C1411" s="250" t="s">
        <v>1441</v>
      </c>
      <c r="D1411" s="205" t="s">
        <v>169</v>
      </c>
      <c r="E1411" s="251">
        <v>1</v>
      </c>
      <c r="F1411" s="252">
        <v>7.49</v>
      </c>
      <c r="G1411" s="251">
        <v>1.81</v>
      </c>
      <c r="H1411" s="251">
        <v>0.25</v>
      </c>
      <c r="I1411" s="251"/>
      <c r="J1411" s="253">
        <v>1.55844</v>
      </c>
      <c r="K1411" s="254">
        <f t="shared" si="41"/>
        <v>1.8307850000000001</v>
      </c>
      <c r="L1411" s="255" t="s">
        <v>1519</v>
      </c>
    </row>
    <row r="1412" spans="2:12">
      <c r="B1412" s="255" t="s">
        <v>1506</v>
      </c>
      <c r="C1412" s="250" t="s">
        <v>1441</v>
      </c>
      <c r="D1412" s="205" t="s">
        <v>169</v>
      </c>
      <c r="E1412" s="251">
        <v>1</v>
      </c>
      <c r="F1412" s="252">
        <v>7.1</v>
      </c>
      <c r="G1412" s="251">
        <v>1.81</v>
      </c>
      <c r="H1412" s="251">
        <v>0.25</v>
      </c>
      <c r="I1412" s="251"/>
      <c r="J1412" s="253">
        <v>1.3852800000000001</v>
      </c>
      <c r="K1412" s="254">
        <f t="shared" si="41"/>
        <v>1.8274699999999997</v>
      </c>
      <c r="L1412" s="255" t="s">
        <v>1519</v>
      </c>
    </row>
    <row r="1413" spans="2:12">
      <c r="B1413" s="255" t="s">
        <v>1507</v>
      </c>
      <c r="C1413" s="250" t="s">
        <v>1441</v>
      </c>
      <c r="D1413" s="205" t="s">
        <v>169</v>
      </c>
      <c r="E1413" s="251">
        <v>1</v>
      </c>
      <c r="F1413" s="252">
        <v>7.05</v>
      </c>
      <c r="G1413" s="251">
        <v>1.81</v>
      </c>
      <c r="H1413" s="251">
        <v>0.25</v>
      </c>
      <c r="I1413" s="251"/>
      <c r="J1413" s="253">
        <v>1.3852800000000001</v>
      </c>
      <c r="K1413" s="254">
        <f t="shared" si="41"/>
        <v>1.804845</v>
      </c>
      <c r="L1413" s="255" t="s">
        <v>1519</v>
      </c>
    </row>
    <row r="1414" spans="2:12">
      <c r="B1414" s="255" t="s">
        <v>1508</v>
      </c>
      <c r="C1414" s="250" t="s">
        <v>1441</v>
      </c>
      <c r="D1414" s="205" t="s">
        <v>169</v>
      </c>
      <c r="E1414" s="251">
        <v>1</v>
      </c>
      <c r="F1414" s="252">
        <v>22.04</v>
      </c>
      <c r="G1414" s="251">
        <v>5.8</v>
      </c>
      <c r="H1414" s="251">
        <v>0.25</v>
      </c>
      <c r="I1414" s="251"/>
      <c r="J1414" s="253">
        <v>16.595279999999999</v>
      </c>
      <c r="K1414" s="254">
        <f t="shared" si="41"/>
        <v>15.362719999999999</v>
      </c>
      <c r="L1414" s="255" t="s">
        <v>1519</v>
      </c>
    </row>
    <row r="1415" spans="2:12">
      <c r="B1415" s="255" t="s">
        <v>1509</v>
      </c>
      <c r="C1415" s="250" t="s">
        <v>1441</v>
      </c>
      <c r="D1415" s="205" t="s">
        <v>169</v>
      </c>
      <c r="E1415" s="251">
        <v>1</v>
      </c>
      <c r="F1415" s="252">
        <v>22.04</v>
      </c>
      <c r="G1415" s="251">
        <v>5.69</v>
      </c>
      <c r="H1415" s="251">
        <v>0.25</v>
      </c>
      <c r="I1415" s="251"/>
      <c r="J1415" s="253">
        <v>15.54228</v>
      </c>
      <c r="K1415" s="254">
        <f t="shared" si="41"/>
        <v>15.809620000000001</v>
      </c>
      <c r="L1415" s="255" t="s">
        <v>1519</v>
      </c>
    </row>
    <row r="1416" spans="2:12">
      <c r="B1416" s="255" t="s">
        <v>1496</v>
      </c>
      <c r="C1416" s="250" t="s">
        <v>1441</v>
      </c>
      <c r="D1416" s="205" t="s">
        <v>169</v>
      </c>
      <c r="E1416" s="251">
        <v>1</v>
      </c>
      <c r="F1416" s="252">
        <v>5.85</v>
      </c>
      <c r="G1416" s="251">
        <v>0.49</v>
      </c>
      <c r="H1416" s="251">
        <v>0.12</v>
      </c>
      <c r="I1416" s="251"/>
      <c r="J1416" s="253"/>
      <c r="K1416" s="254">
        <f t="shared" si="41"/>
        <v>0.34397999999999995</v>
      </c>
      <c r="L1416" s="255"/>
    </row>
    <row r="1417" spans="2:12">
      <c r="B1417" s="255" t="s">
        <v>1497</v>
      </c>
      <c r="C1417" s="250" t="s">
        <v>1441</v>
      </c>
      <c r="D1417" s="205" t="s">
        <v>169</v>
      </c>
      <c r="E1417" s="251">
        <v>1</v>
      </c>
      <c r="F1417" s="252">
        <v>3.83</v>
      </c>
      <c r="G1417" s="251">
        <v>0.49</v>
      </c>
      <c r="H1417" s="251">
        <v>0.12</v>
      </c>
      <c r="I1417" s="251"/>
      <c r="J1417" s="253"/>
      <c r="K1417" s="254">
        <f t="shared" si="41"/>
        <v>0.22520399999999999</v>
      </c>
      <c r="L1417" s="255"/>
    </row>
    <row r="1418" spans="2:12">
      <c r="B1418" s="255" t="s">
        <v>1498</v>
      </c>
      <c r="C1418" s="250" t="s">
        <v>1441</v>
      </c>
      <c r="D1418" s="205" t="s">
        <v>169</v>
      </c>
      <c r="E1418" s="251">
        <v>1</v>
      </c>
      <c r="F1418" s="252">
        <v>5.93</v>
      </c>
      <c r="G1418" s="251">
        <v>1.92</v>
      </c>
      <c r="H1418" s="251">
        <v>0.15</v>
      </c>
      <c r="I1418" s="251"/>
      <c r="J1418" s="253"/>
      <c r="K1418" s="254">
        <f t="shared" si="41"/>
        <v>1.7078399999999998</v>
      </c>
      <c r="L1418" s="255"/>
    </row>
    <row r="1419" spans="2:12">
      <c r="B1419" s="255" t="s">
        <v>1499</v>
      </c>
      <c r="C1419" s="250" t="s">
        <v>1441</v>
      </c>
      <c r="D1419" s="205" t="s">
        <v>169</v>
      </c>
      <c r="E1419" s="251">
        <v>1</v>
      </c>
      <c r="F1419" s="252">
        <v>7.62</v>
      </c>
      <c r="G1419" s="251">
        <v>1.92</v>
      </c>
      <c r="H1419" s="251">
        <v>0.15</v>
      </c>
      <c r="I1419" s="251"/>
      <c r="J1419" s="253"/>
      <c r="K1419" s="254">
        <f t="shared" si="41"/>
        <v>2.1945600000000001</v>
      </c>
      <c r="L1419" s="255"/>
    </row>
    <row r="1420" spans="2:12">
      <c r="B1420" s="255" t="s">
        <v>1500</v>
      </c>
      <c r="C1420" s="250" t="s">
        <v>1441</v>
      </c>
      <c r="D1420" s="205" t="s">
        <v>169</v>
      </c>
      <c r="E1420" s="251">
        <v>1</v>
      </c>
      <c r="F1420" s="252">
        <v>4.42</v>
      </c>
      <c r="G1420" s="251">
        <v>2.74</v>
      </c>
      <c r="H1420" s="251">
        <v>0.15</v>
      </c>
      <c r="I1420" s="251"/>
      <c r="J1420" s="253"/>
      <c r="K1420" s="254">
        <f t="shared" si="41"/>
        <v>1.8166200000000001</v>
      </c>
      <c r="L1420" s="255"/>
    </row>
    <row r="1421" spans="2:12">
      <c r="B1421" s="256" t="s">
        <v>1565</v>
      </c>
      <c r="C1421" s="250" t="s">
        <v>1521</v>
      </c>
      <c r="D1421" s="205" t="s">
        <v>169</v>
      </c>
      <c r="E1421" s="257">
        <v>1</v>
      </c>
      <c r="F1421" s="258">
        <v>12.39</v>
      </c>
      <c r="G1421" s="257">
        <v>2.5499999999999998</v>
      </c>
      <c r="H1421" s="257">
        <v>0.25</v>
      </c>
      <c r="I1421" s="257"/>
      <c r="J1421" s="259">
        <v>4.048476</v>
      </c>
      <c r="K1421" s="260">
        <f t="shared" si="41"/>
        <v>3.850149</v>
      </c>
      <c r="L1421" s="266" t="s">
        <v>1574</v>
      </c>
    </row>
    <row r="1422" spans="2:12">
      <c r="B1422" s="256" t="s">
        <v>1559</v>
      </c>
      <c r="C1422" s="250" t="s">
        <v>1521</v>
      </c>
      <c r="D1422" s="205" t="s">
        <v>169</v>
      </c>
      <c r="E1422" s="257">
        <v>1</v>
      </c>
      <c r="F1422" s="258">
        <v>1.68</v>
      </c>
      <c r="G1422" s="257">
        <v>0.33</v>
      </c>
      <c r="H1422" s="257">
        <v>0.15</v>
      </c>
      <c r="I1422" s="257"/>
      <c r="J1422" s="259">
        <v>0</v>
      </c>
      <c r="K1422" s="260">
        <f t="shared" si="41"/>
        <v>8.3159999999999998E-2</v>
      </c>
      <c r="L1422" s="266"/>
    </row>
    <row r="1423" spans="2:12">
      <c r="B1423" s="256" t="s">
        <v>1560</v>
      </c>
      <c r="C1423" s="250" t="s">
        <v>1521</v>
      </c>
      <c r="D1423" s="205" t="s">
        <v>169</v>
      </c>
      <c r="E1423" s="257">
        <v>1</v>
      </c>
      <c r="F1423" s="258">
        <v>7.67</v>
      </c>
      <c r="G1423" s="257">
        <v>0.33</v>
      </c>
      <c r="H1423" s="257">
        <v>0.15</v>
      </c>
      <c r="I1423" s="257"/>
      <c r="J1423" s="259">
        <v>0</v>
      </c>
      <c r="K1423" s="260">
        <f t="shared" si="41"/>
        <v>0.37966499999999997</v>
      </c>
      <c r="L1423" s="266"/>
    </row>
    <row r="1424" spans="2:12">
      <c r="B1424" s="256" t="s">
        <v>1561</v>
      </c>
      <c r="C1424" s="250" t="s">
        <v>1521</v>
      </c>
      <c r="D1424" s="205" t="s">
        <v>169</v>
      </c>
      <c r="E1424" s="257">
        <v>1</v>
      </c>
      <c r="F1424" s="258">
        <v>0.31</v>
      </c>
      <c r="G1424" s="257">
        <v>0.33</v>
      </c>
      <c r="H1424" s="257">
        <v>0.15</v>
      </c>
      <c r="I1424" s="257"/>
      <c r="J1424" s="259">
        <v>0</v>
      </c>
      <c r="K1424" s="260">
        <f t="shared" si="41"/>
        <v>1.5344999999999999E-2</v>
      </c>
      <c r="L1424" s="266"/>
    </row>
    <row r="1425" spans="2:12">
      <c r="B1425" s="256" t="s">
        <v>1566</v>
      </c>
      <c r="C1425" s="250" t="s">
        <v>1521</v>
      </c>
      <c r="D1425" s="205" t="s">
        <v>169</v>
      </c>
      <c r="E1425" s="257">
        <v>1</v>
      </c>
      <c r="F1425" s="258">
        <v>22.04</v>
      </c>
      <c r="G1425" s="257">
        <v>5.85</v>
      </c>
      <c r="H1425" s="257">
        <v>0.25</v>
      </c>
      <c r="I1425" s="257"/>
      <c r="J1425" s="259">
        <v>3.4898359999999999</v>
      </c>
      <c r="K1425" s="260">
        <f t="shared" si="41"/>
        <v>28.743663999999999</v>
      </c>
      <c r="L1425" s="266" t="s">
        <v>1574</v>
      </c>
    </row>
    <row r="1426" spans="2:12">
      <c r="B1426" s="256" t="s">
        <v>1567</v>
      </c>
      <c r="C1426" s="250" t="s">
        <v>1521</v>
      </c>
      <c r="D1426" s="205" t="s">
        <v>169</v>
      </c>
      <c r="E1426" s="257">
        <v>1</v>
      </c>
      <c r="F1426" s="258">
        <v>6.24</v>
      </c>
      <c r="G1426" s="257">
        <v>5.85</v>
      </c>
      <c r="H1426" s="257">
        <v>0.25</v>
      </c>
      <c r="I1426" s="257"/>
      <c r="J1426" s="259">
        <v>4.6484759999999996</v>
      </c>
      <c r="K1426" s="260">
        <f t="shared" si="41"/>
        <v>4.4775239999999998</v>
      </c>
      <c r="L1426" s="266" t="s">
        <v>1574</v>
      </c>
    </row>
    <row r="1427" spans="2:12">
      <c r="B1427" s="256" t="s">
        <v>1568</v>
      </c>
      <c r="C1427" s="250" t="s">
        <v>1521</v>
      </c>
      <c r="D1427" s="205" t="s">
        <v>169</v>
      </c>
      <c r="E1427" s="257">
        <v>1</v>
      </c>
      <c r="F1427" s="258">
        <v>6.34</v>
      </c>
      <c r="G1427" s="257">
        <v>3.83</v>
      </c>
      <c r="H1427" s="257">
        <v>0.25</v>
      </c>
      <c r="I1427" s="257"/>
      <c r="J1427" s="259">
        <v>2.6242380000000001</v>
      </c>
      <c r="K1427" s="260">
        <f t="shared" si="41"/>
        <v>3.4463119999999998</v>
      </c>
      <c r="L1427" s="266" t="s">
        <v>1574</v>
      </c>
    </row>
    <row r="1428" spans="2:12">
      <c r="B1428" s="256" t="s">
        <v>1569</v>
      </c>
      <c r="C1428" s="250" t="s">
        <v>1521</v>
      </c>
      <c r="D1428" s="205" t="s">
        <v>169</v>
      </c>
      <c r="E1428" s="257">
        <v>1</v>
      </c>
      <c r="F1428" s="258">
        <v>22.04</v>
      </c>
      <c r="G1428" s="257">
        <v>5.8</v>
      </c>
      <c r="H1428" s="257">
        <v>0.25</v>
      </c>
      <c r="I1428" s="257"/>
      <c r="J1428" s="259">
        <v>16.849836</v>
      </c>
      <c r="K1428" s="260">
        <f t="shared" si="41"/>
        <v>15.108163999999999</v>
      </c>
      <c r="L1428" s="266" t="s">
        <v>1574</v>
      </c>
    </row>
    <row r="1429" spans="2:12">
      <c r="B1429" s="256" t="s">
        <v>1570</v>
      </c>
      <c r="C1429" s="250" t="s">
        <v>1521</v>
      </c>
      <c r="D1429" s="205" t="s">
        <v>169</v>
      </c>
      <c r="E1429" s="257">
        <v>1</v>
      </c>
      <c r="F1429" s="258">
        <v>22.04</v>
      </c>
      <c r="G1429" s="257">
        <v>5.8</v>
      </c>
      <c r="H1429" s="257">
        <v>0.25</v>
      </c>
      <c r="I1429" s="257"/>
      <c r="J1429" s="259">
        <v>16.849836</v>
      </c>
      <c r="K1429" s="260">
        <f t="shared" si="41"/>
        <v>15.108163999999999</v>
      </c>
      <c r="L1429" s="266" t="s">
        <v>1574</v>
      </c>
    </row>
    <row r="1430" spans="2:12">
      <c r="B1430" s="256" t="s">
        <v>1562</v>
      </c>
      <c r="C1430" s="250" t="s">
        <v>1521</v>
      </c>
      <c r="D1430" s="205" t="s">
        <v>169</v>
      </c>
      <c r="E1430" s="257">
        <v>1</v>
      </c>
      <c r="F1430" s="258">
        <v>13.7</v>
      </c>
      <c r="G1430" s="257">
        <v>0.77</v>
      </c>
      <c r="H1430" s="257">
        <v>0.15</v>
      </c>
      <c r="I1430" s="257"/>
      <c r="J1430" s="259">
        <v>0</v>
      </c>
      <c r="K1430" s="260">
        <f t="shared" si="41"/>
        <v>1.5823499999999999</v>
      </c>
      <c r="L1430" s="266"/>
    </row>
    <row r="1431" spans="2:12">
      <c r="B1431" s="256" t="s">
        <v>1563</v>
      </c>
      <c r="C1431" s="250" t="s">
        <v>1521</v>
      </c>
      <c r="D1431" s="205" t="s">
        <v>169</v>
      </c>
      <c r="E1431" s="257">
        <v>1</v>
      </c>
      <c r="F1431" s="258">
        <v>13.7</v>
      </c>
      <c r="G1431" s="257">
        <v>1.77</v>
      </c>
      <c r="H1431" s="257">
        <v>0.15</v>
      </c>
      <c r="I1431" s="257"/>
      <c r="J1431" s="259">
        <v>0</v>
      </c>
      <c r="K1431" s="260">
        <f t="shared" si="41"/>
        <v>3.6373499999999996</v>
      </c>
      <c r="L1431" s="266"/>
    </row>
    <row r="1432" spans="2:12">
      <c r="B1432" s="256" t="s">
        <v>1571</v>
      </c>
      <c r="C1432" s="250" t="s">
        <v>1521</v>
      </c>
      <c r="D1432" s="205" t="s">
        <v>169</v>
      </c>
      <c r="E1432" s="257">
        <v>1</v>
      </c>
      <c r="F1432" s="258">
        <v>22.04</v>
      </c>
      <c r="G1432" s="257">
        <v>5.69</v>
      </c>
      <c r="H1432" s="257">
        <v>0.25</v>
      </c>
      <c r="I1432" s="257"/>
      <c r="J1432" s="259">
        <v>15.769836</v>
      </c>
      <c r="K1432" s="260">
        <f t="shared" si="41"/>
        <v>15.582064000000001</v>
      </c>
      <c r="L1432" s="266" t="s">
        <v>1574</v>
      </c>
    </row>
    <row r="1433" spans="2:12">
      <c r="B1433" s="256" t="s">
        <v>1564</v>
      </c>
      <c r="C1433" s="250" t="s">
        <v>1521</v>
      </c>
      <c r="D1433" s="205" t="s">
        <v>169</v>
      </c>
      <c r="E1433" s="257">
        <v>1</v>
      </c>
      <c r="F1433" s="258">
        <v>3.45</v>
      </c>
      <c r="G1433" s="257">
        <v>2.74</v>
      </c>
      <c r="H1433" s="257">
        <v>0.15</v>
      </c>
      <c r="I1433" s="257"/>
      <c r="J1433" s="259"/>
      <c r="K1433" s="260">
        <f t="shared" si="41"/>
        <v>1.41795</v>
      </c>
      <c r="L1433" s="266"/>
    </row>
    <row r="1434" spans="2:12">
      <c r="B1434" s="256" t="s">
        <v>1688</v>
      </c>
      <c r="C1434" s="250" t="s">
        <v>1611</v>
      </c>
      <c r="D1434" s="205" t="s">
        <v>169</v>
      </c>
      <c r="E1434" s="257">
        <v>4.58</v>
      </c>
      <c r="F1434" s="258">
        <v>1.92</v>
      </c>
      <c r="G1434" s="257">
        <v>0.15</v>
      </c>
      <c r="H1434" s="257">
        <v>1</v>
      </c>
      <c r="I1434" s="257"/>
      <c r="J1434" s="259"/>
      <c r="K1434" s="260">
        <f t="shared" si="41"/>
        <v>1.31904</v>
      </c>
      <c r="L1434" s="266"/>
    </row>
    <row r="1435" spans="2:12">
      <c r="B1435" s="256" t="s">
        <v>1689</v>
      </c>
      <c r="C1435" s="250" t="s">
        <v>1611</v>
      </c>
      <c r="D1435" s="205" t="s">
        <v>169</v>
      </c>
      <c r="E1435" s="257">
        <v>25.45</v>
      </c>
      <c r="F1435" s="258">
        <v>6.84</v>
      </c>
      <c r="G1435" s="257">
        <v>0.3</v>
      </c>
      <c r="H1435" s="257">
        <v>1</v>
      </c>
      <c r="I1435" s="257"/>
      <c r="J1435" s="259">
        <v>27.54</v>
      </c>
      <c r="K1435" s="260">
        <f t="shared" si="41"/>
        <v>24.683399999999999</v>
      </c>
      <c r="L1435" s="266"/>
    </row>
    <row r="1436" spans="2:12">
      <c r="B1436" s="256" t="s">
        <v>1690</v>
      </c>
      <c r="C1436" s="250" t="s">
        <v>1611</v>
      </c>
      <c r="D1436" s="205" t="s">
        <v>169</v>
      </c>
      <c r="E1436" s="257">
        <v>1.92</v>
      </c>
      <c r="F1436" s="258">
        <v>1.38</v>
      </c>
      <c r="G1436" s="257">
        <v>0.15</v>
      </c>
      <c r="H1436" s="257">
        <v>1</v>
      </c>
      <c r="I1436" s="257"/>
      <c r="J1436" s="259">
        <v>0</v>
      </c>
      <c r="K1436" s="260">
        <f t="shared" si="41"/>
        <v>0.3974399999999999</v>
      </c>
      <c r="L1436" s="266"/>
    </row>
    <row r="1437" spans="2:12">
      <c r="B1437" s="256" t="s">
        <v>1691</v>
      </c>
      <c r="C1437" s="250" t="s">
        <v>1611</v>
      </c>
      <c r="D1437" s="205" t="s">
        <v>169</v>
      </c>
      <c r="E1437" s="257">
        <v>0.81</v>
      </c>
      <c r="F1437" s="258">
        <v>1.99</v>
      </c>
      <c r="G1437" s="257">
        <v>0.15</v>
      </c>
      <c r="H1437" s="257">
        <v>1</v>
      </c>
      <c r="I1437" s="257"/>
      <c r="J1437" s="259">
        <v>0</v>
      </c>
      <c r="K1437" s="260">
        <f t="shared" si="41"/>
        <v>0.241785</v>
      </c>
      <c r="L1437" s="266"/>
    </row>
    <row r="1438" spans="2:12">
      <c r="B1438" s="256" t="s">
        <v>1692</v>
      </c>
      <c r="C1438" s="250" t="s">
        <v>1611</v>
      </c>
      <c r="D1438" s="205" t="s">
        <v>169</v>
      </c>
      <c r="E1438" s="257">
        <v>17.421875</v>
      </c>
      <c r="F1438" s="258">
        <v>2.56</v>
      </c>
      <c r="G1438" s="257">
        <v>0.12</v>
      </c>
      <c r="H1438" s="257">
        <v>1</v>
      </c>
      <c r="I1438" s="257"/>
      <c r="J1438" s="259">
        <v>0</v>
      </c>
      <c r="K1438" s="260">
        <f t="shared" si="41"/>
        <v>5.3520000000000003</v>
      </c>
      <c r="L1438" s="266"/>
    </row>
    <row r="1439" spans="2:12">
      <c r="B1439" s="256" t="s">
        <v>1693</v>
      </c>
      <c r="C1439" s="250" t="s">
        <v>1611</v>
      </c>
      <c r="D1439" s="205" t="s">
        <v>169</v>
      </c>
      <c r="E1439" s="257">
        <v>3.94</v>
      </c>
      <c r="F1439" s="258">
        <v>3.82</v>
      </c>
      <c r="G1439" s="257">
        <v>0.25</v>
      </c>
      <c r="H1439" s="257">
        <v>1</v>
      </c>
      <c r="I1439" s="257"/>
      <c r="J1439" s="259">
        <v>1.71</v>
      </c>
      <c r="K1439" s="260">
        <f t="shared" ref="K1439:K1470" si="42">IF(E1439*F1439*G1439&lt;&gt;0,E1439*F1439*G1439,IF(E1439*F1439&lt;&gt;0,E1439*F1439,IF(F1439*G1439&lt;&gt;0,F1439*G1439,IF(E1439*G1439&lt;&gt;0,E1439*G1439,IF(E1439&lt;&gt;0,E1439,IF(F1439&lt;&gt;0,F1439,IF(G1439&lt;&gt;0,G1439,0)))))))*(IF(H1439&lt;&gt;0,H1439,1))+I1439-J1439</f>
        <v>2.0526999999999997</v>
      </c>
      <c r="L1439" s="266"/>
    </row>
    <row r="1440" spans="2:12">
      <c r="B1440" s="256" t="s">
        <v>1694</v>
      </c>
      <c r="C1440" s="250" t="s">
        <v>1611</v>
      </c>
      <c r="D1440" s="205" t="s">
        <v>169</v>
      </c>
      <c r="E1440" s="257">
        <v>6.13</v>
      </c>
      <c r="F1440" s="258">
        <v>3.82</v>
      </c>
      <c r="G1440" s="257">
        <v>0.25</v>
      </c>
      <c r="H1440" s="257">
        <v>1</v>
      </c>
      <c r="I1440" s="257"/>
      <c r="J1440" s="259">
        <v>2.72</v>
      </c>
      <c r="K1440" s="260">
        <f t="shared" si="42"/>
        <v>3.1341499999999995</v>
      </c>
      <c r="L1440" s="266"/>
    </row>
    <row r="1441" spans="2:12">
      <c r="B1441" s="256" t="s">
        <v>1695</v>
      </c>
      <c r="C1441" s="250" t="s">
        <v>1611</v>
      </c>
      <c r="D1441" s="205" t="s">
        <v>169</v>
      </c>
      <c r="E1441" s="257">
        <v>16.71</v>
      </c>
      <c r="F1441" s="258">
        <v>4.9000000000000004</v>
      </c>
      <c r="G1441" s="257">
        <v>0.3</v>
      </c>
      <c r="H1441" s="257">
        <v>1</v>
      </c>
      <c r="I1441" s="257"/>
      <c r="J1441" s="259">
        <v>13.52</v>
      </c>
      <c r="K1441" s="260">
        <f t="shared" si="42"/>
        <v>11.043700000000001</v>
      </c>
      <c r="L1441" s="266"/>
    </row>
    <row r="1442" spans="2:12">
      <c r="B1442" s="256" t="s">
        <v>1696</v>
      </c>
      <c r="C1442" s="250" t="s">
        <v>1611</v>
      </c>
      <c r="D1442" s="205" t="s">
        <v>169</v>
      </c>
      <c r="E1442" s="257">
        <v>9.09</v>
      </c>
      <c r="F1442" s="258">
        <v>2.91</v>
      </c>
      <c r="G1442" s="257">
        <v>0.12</v>
      </c>
      <c r="H1442" s="257">
        <v>1</v>
      </c>
      <c r="I1442" s="257"/>
      <c r="J1442" s="259">
        <v>0</v>
      </c>
      <c r="K1442" s="260">
        <f t="shared" si="42"/>
        <v>3.1742280000000003</v>
      </c>
      <c r="L1442" s="266"/>
    </row>
    <row r="1443" spans="2:12">
      <c r="B1443" s="256" t="s">
        <v>1697</v>
      </c>
      <c r="C1443" s="250" t="s">
        <v>1611</v>
      </c>
      <c r="D1443" s="205" t="s">
        <v>169</v>
      </c>
      <c r="E1443" s="257">
        <v>7.0864197530864201</v>
      </c>
      <c r="F1443" s="258">
        <v>3.24</v>
      </c>
      <c r="G1443" s="257">
        <v>0.15</v>
      </c>
      <c r="H1443" s="257">
        <v>1</v>
      </c>
      <c r="I1443" s="257"/>
      <c r="J1443" s="259">
        <v>0</v>
      </c>
      <c r="K1443" s="260">
        <f t="shared" si="42"/>
        <v>3.4440000000000004</v>
      </c>
      <c r="L1443" s="266"/>
    </row>
    <row r="1444" spans="2:12">
      <c r="B1444" s="256" t="s">
        <v>1698</v>
      </c>
      <c r="C1444" s="250" t="s">
        <v>1611</v>
      </c>
      <c r="D1444" s="205" t="s">
        <v>169</v>
      </c>
      <c r="E1444" s="257">
        <v>10.119999999999999</v>
      </c>
      <c r="F1444" s="258">
        <v>4.1500000000000004</v>
      </c>
      <c r="G1444" s="257">
        <v>0.25</v>
      </c>
      <c r="H1444" s="257">
        <v>1</v>
      </c>
      <c r="I1444" s="257"/>
      <c r="J1444" s="259">
        <v>5.29</v>
      </c>
      <c r="K1444" s="260">
        <f t="shared" si="42"/>
        <v>5.2094999999999994</v>
      </c>
      <c r="L1444" s="266"/>
    </row>
    <row r="1445" spans="2:12">
      <c r="B1445" s="256" t="s">
        <v>1699</v>
      </c>
      <c r="C1445" s="250" t="s">
        <v>1611</v>
      </c>
      <c r="D1445" s="205" t="s">
        <v>169</v>
      </c>
      <c r="E1445" s="257">
        <v>9.09</v>
      </c>
      <c r="F1445" s="258">
        <v>9.4</v>
      </c>
      <c r="G1445" s="257">
        <v>0.35</v>
      </c>
      <c r="H1445" s="257">
        <v>1</v>
      </c>
      <c r="I1445" s="257"/>
      <c r="J1445" s="259">
        <v>15.35</v>
      </c>
      <c r="K1445" s="260">
        <f t="shared" si="42"/>
        <v>14.556099999999999</v>
      </c>
      <c r="L1445" s="266"/>
    </row>
    <row r="1446" spans="2:12">
      <c r="B1446" s="256" t="s">
        <v>1700</v>
      </c>
      <c r="C1446" s="250" t="s">
        <v>1611</v>
      </c>
      <c r="D1446" s="205" t="s">
        <v>169</v>
      </c>
      <c r="E1446" s="257">
        <v>11.23</v>
      </c>
      <c r="F1446" s="258">
        <v>9.4</v>
      </c>
      <c r="G1446" s="257">
        <v>0.35</v>
      </c>
      <c r="H1446" s="257">
        <v>1</v>
      </c>
      <c r="I1446" s="257"/>
      <c r="J1446" s="259">
        <v>18.670000000000002</v>
      </c>
      <c r="K1446" s="260">
        <f t="shared" si="42"/>
        <v>18.276699999999998</v>
      </c>
      <c r="L1446" s="266"/>
    </row>
    <row r="1447" spans="2:12">
      <c r="B1447" s="256" t="s">
        <v>1701</v>
      </c>
      <c r="C1447" s="250" t="s">
        <v>1611</v>
      </c>
      <c r="D1447" s="205" t="s">
        <v>169</v>
      </c>
      <c r="E1447" s="257">
        <v>7.2202127659574504</v>
      </c>
      <c r="F1447" s="258">
        <v>9.4</v>
      </c>
      <c r="G1447" s="257">
        <v>0.18</v>
      </c>
      <c r="H1447" s="257">
        <v>1</v>
      </c>
      <c r="I1447" s="257"/>
      <c r="J1447" s="259">
        <v>0</v>
      </c>
      <c r="K1447" s="260">
        <f t="shared" si="42"/>
        <v>12.216600000000005</v>
      </c>
      <c r="L1447" s="266"/>
    </row>
    <row r="1448" spans="2:12">
      <c r="B1448" s="256" t="s">
        <v>1702</v>
      </c>
      <c r="C1448" s="250" t="s">
        <v>1611</v>
      </c>
      <c r="D1448" s="205" t="s">
        <v>169</v>
      </c>
      <c r="E1448" s="257">
        <v>10.119999999999999</v>
      </c>
      <c r="F1448" s="258">
        <v>5.05</v>
      </c>
      <c r="G1448" s="257">
        <v>0.25</v>
      </c>
      <c r="H1448" s="257">
        <v>1</v>
      </c>
      <c r="I1448" s="257"/>
      <c r="J1448" s="259">
        <v>6.31</v>
      </c>
      <c r="K1448" s="260">
        <f t="shared" si="42"/>
        <v>6.466499999999999</v>
      </c>
      <c r="L1448" s="266"/>
    </row>
    <row r="1449" spans="2:12">
      <c r="B1449" s="256" t="s">
        <v>1703</v>
      </c>
      <c r="C1449" s="250" t="s">
        <v>1612</v>
      </c>
      <c r="D1449" s="205" t="s">
        <v>169</v>
      </c>
      <c r="E1449" s="257">
        <v>4.43</v>
      </c>
      <c r="F1449" s="258">
        <v>1.87</v>
      </c>
      <c r="G1449" s="257">
        <v>0.15</v>
      </c>
      <c r="H1449" s="257">
        <v>1</v>
      </c>
      <c r="I1449" s="257"/>
      <c r="J1449" s="259">
        <v>0</v>
      </c>
      <c r="K1449" s="260">
        <f t="shared" si="42"/>
        <v>1.242615</v>
      </c>
      <c r="L1449" s="266" t="s">
        <v>1682</v>
      </c>
    </row>
    <row r="1450" spans="2:12">
      <c r="B1450" s="256" t="s">
        <v>1704</v>
      </c>
      <c r="C1450" s="250" t="s">
        <v>1612</v>
      </c>
      <c r="D1450" s="205" t="s">
        <v>169</v>
      </c>
      <c r="E1450" s="257">
        <v>26.41</v>
      </c>
      <c r="F1450" s="258">
        <v>6.86</v>
      </c>
      <c r="G1450" s="257">
        <v>0.3</v>
      </c>
      <c r="H1450" s="257">
        <v>1</v>
      </c>
      <c r="I1450" s="257"/>
      <c r="J1450" s="259">
        <v>25.665299999999998</v>
      </c>
      <c r="K1450" s="260">
        <f t="shared" si="42"/>
        <v>28.686480000000007</v>
      </c>
      <c r="L1450" s="266" t="s">
        <v>1682</v>
      </c>
    </row>
    <row r="1451" spans="2:12">
      <c r="B1451" s="256" t="s">
        <v>1705</v>
      </c>
      <c r="C1451" s="250" t="s">
        <v>1612</v>
      </c>
      <c r="D1451" s="205" t="s">
        <v>169</v>
      </c>
      <c r="E1451" s="257">
        <v>1.97</v>
      </c>
      <c r="F1451" s="258">
        <v>1.38</v>
      </c>
      <c r="G1451" s="257">
        <v>0.15</v>
      </c>
      <c r="H1451" s="257">
        <v>1</v>
      </c>
      <c r="I1451" s="257"/>
      <c r="J1451" s="259">
        <v>0</v>
      </c>
      <c r="K1451" s="260">
        <f t="shared" si="42"/>
        <v>0.40778999999999999</v>
      </c>
      <c r="L1451" s="266" t="s">
        <v>1682</v>
      </c>
    </row>
    <row r="1452" spans="2:12">
      <c r="B1452" s="256" t="s">
        <v>1706</v>
      </c>
      <c r="C1452" s="250" t="s">
        <v>1612</v>
      </c>
      <c r="D1452" s="205" t="s">
        <v>169</v>
      </c>
      <c r="E1452" s="257">
        <v>3.95</v>
      </c>
      <c r="F1452" s="258">
        <v>0.15</v>
      </c>
      <c r="G1452" s="257">
        <v>0.15</v>
      </c>
      <c r="H1452" s="257">
        <v>1</v>
      </c>
      <c r="I1452" s="257"/>
      <c r="J1452" s="259">
        <v>0</v>
      </c>
      <c r="K1452" s="260">
        <f t="shared" si="42"/>
        <v>8.8874999999999996E-2</v>
      </c>
      <c r="L1452" s="266" t="s">
        <v>1682</v>
      </c>
    </row>
    <row r="1453" spans="2:12">
      <c r="B1453" s="256" t="s">
        <v>1707</v>
      </c>
      <c r="C1453" s="250" t="s">
        <v>1612</v>
      </c>
      <c r="D1453" s="205" t="s">
        <v>169</v>
      </c>
      <c r="E1453" s="257">
        <v>19.21</v>
      </c>
      <c r="F1453" s="258">
        <v>8.9499999999999993</v>
      </c>
      <c r="G1453" s="257">
        <v>0.35</v>
      </c>
      <c r="H1453" s="257">
        <v>1</v>
      </c>
      <c r="I1453" s="257"/>
      <c r="J1453" s="259">
        <v>28.693059999999999</v>
      </c>
      <c r="K1453" s="260">
        <f t="shared" si="42"/>
        <v>31.482264999999995</v>
      </c>
      <c r="L1453" s="266" t="s">
        <v>1682</v>
      </c>
    </row>
    <row r="1454" spans="2:12">
      <c r="B1454" s="256" t="s">
        <v>1708</v>
      </c>
      <c r="C1454" s="250" t="s">
        <v>1612</v>
      </c>
      <c r="D1454" s="205" t="s">
        <v>169</v>
      </c>
      <c r="E1454" s="257">
        <v>10.61</v>
      </c>
      <c r="F1454" s="258">
        <v>0.83</v>
      </c>
      <c r="G1454" s="257">
        <v>0.15</v>
      </c>
      <c r="H1454" s="257">
        <v>1</v>
      </c>
      <c r="I1454" s="257"/>
      <c r="J1454" s="259">
        <v>0</v>
      </c>
      <c r="K1454" s="260">
        <f t="shared" si="42"/>
        <v>1.3209449999999998</v>
      </c>
      <c r="L1454" s="266" t="s">
        <v>1682</v>
      </c>
    </row>
    <row r="1455" spans="2:12">
      <c r="B1455" s="256" t="s">
        <v>1709</v>
      </c>
      <c r="C1455" s="250" t="s">
        <v>1612</v>
      </c>
      <c r="D1455" s="205" t="s">
        <v>169</v>
      </c>
      <c r="E1455" s="257">
        <v>3</v>
      </c>
      <c r="F1455" s="258">
        <v>0.15</v>
      </c>
      <c r="G1455" s="257">
        <v>0.15</v>
      </c>
      <c r="H1455" s="257">
        <v>1</v>
      </c>
      <c r="I1455" s="257"/>
      <c r="J1455" s="259">
        <v>0</v>
      </c>
      <c r="K1455" s="260">
        <f t="shared" si="42"/>
        <v>6.7499999999999991E-2</v>
      </c>
      <c r="L1455" s="266" t="s">
        <v>1682</v>
      </c>
    </row>
    <row r="1456" spans="2:12">
      <c r="B1456" s="256" t="s">
        <v>1710</v>
      </c>
      <c r="C1456" s="250" t="s">
        <v>1612</v>
      </c>
      <c r="D1456" s="205" t="s">
        <v>169</v>
      </c>
      <c r="E1456" s="257">
        <v>10.02</v>
      </c>
      <c r="F1456" s="258">
        <v>4.1500000000000004</v>
      </c>
      <c r="G1456" s="257">
        <v>0.25</v>
      </c>
      <c r="H1456" s="257">
        <v>1</v>
      </c>
      <c r="I1456" s="257"/>
      <c r="J1456" s="259">
        <v>4.9834800000000001</v>
      </c>
      <c r="K1456" s="260">
        <f t="shared" si="42"/>
        <v>5.4122699999999995</v>
      </c>
      <c r="L1456" s="266" t="s">
        <v>1682</v>
      </c>
    </row>
    <row r="1457" spans="2:12">
      <c r="B1457" s="256" t="s">
        <v>1711</v>
      </c>
      <c r="C1457" s="250" t="s">
        <v>1612</v>
      </c>
      <c r="D1457" s="205" t="s">
        <v>169</v>
      </c>
      <c r="E1457" s="257">
        <v>8.0399999999999991</v>
      </c>
      <c r="F1457" s="258">
        <v>9.35</v>
      </c>
      <c r="G1457" s="257">
        <v>0.18</v>
      </c>
      <c r="H1457" s="257">
        <v>1</v>
      </c>
      <c r="I1457" s="257"/>
      <c r="J1457" s="259">
        <v>0</v>
      </c>
      <c r="K1457" s="260">
        <f t="shared" si="42"/>
        <v>13.531319999999997</v>
      </c>
      <c r="L1457" s="266" t="s">
        <v>1682</v>
      </c>
    </row>
    <row r="1458" spans="2:12">
      <c r="B1458" s="256" t="s">
        <v>1712</v>
      </c>
      <c r="C1458" s="250" t="s">
        <v>1612</v>
      </c>
      <c r="D1458" s="205" t="s">
        <v>169</v>
      </c>
      <c r="E1458" s="257">
        <v>5.57</v>
      </c>
      <c r="F1458" s="258">
        <v>4.95</v>
      </c>
      <c r="G1458" s="257">
        <v>0.25</v>
      </c>
      <c r="H1458" s="257">
        <v>1</v>
      </c>
      <c r="I1458" s="257"/>
      <c r="J1458" s="259">
        <v>3.3962699999999999</v>
      </c>
      <c r="K1458" s="260">
        <f t="shared" si="42"/>
        <v>3.4966050000000011</v>
      </c>
      <c r="L1458" s="266" t="s">
        <v>1682</v>
      </c>
    </row>
    <row r="1459" spans="2:12">
      <c r="B1459" s="256" t="s">
        <v>1713</v>
      </c>
      <c r="C1459" s="250" t="s">
        <v>1612</v>
      </c>
      <c r="D1459" s="205" t="s">
        <v>169</v>
      </c>
      <c r="E1459" s="257">
        <v>17.97</v>
      </c>
      <c r="F1459" s="258">
        <v>0.55000000000000004</v>
      </c>
      <c r="G1459" s="257">
        <v>0.1</v>
      </c>
      <c r="H1459" s="257">
        <v>1</v>
      </c>
      <c r="I1459" s="257"/>
      <c r="J1459" s="259">
        <v>0</v>
      </c>
      <c r="K1459" s="260">
        <f t="shared" si="42"/>
        <v>0.98835000000000006</v>
      </c>
      <c r="L1459" s="266" t="s">
        <v>1714</v>
      </c>
    </row>
    <row r="1460" spans="2:12">
      <c r="B1460" s="256" t="s">
        <v>1715</v>
      </c>
      <c r="C1460" s="250" t="s">
        <v>1612</v>
      </c>
      <c r="D1460" s="205" t="s">
        <v>169</v>
      </c>
      <c r="E1460" s="257">
        <v>21.4</v>
      </c>
      <c r="F1460" s="258">
        <v>5.85</v>
      </c>
      <c r="G1460" s="257">
        <v>0.25</v>
      </c>
      <c r="H1460" s="257">
        <v>1</v>
      </c>
      <c r="I1460" s="257"/>
      <c r="J1460" s="259">
        <v>14.8062</v>
      </c>
      <c r="K1460" s="260">
        <f t="shared" si="42"/>
        <v>16.491299999999995</v>
      </c>
      <c r="L1460" s="266" t="s">
        <v>1714</v>
      </c>
    </row>
    <row r="1461" spans="2:12">
      <c r="B1461" s="256" t="s">
        <v>1716</v>
      </c>
      <c r="C1461" s="250" t="s">
        <v>1612</v>
      </c>
      <c r="D1461" s="205" t="s">
        <v>169</v>
      </c>
      <c r="E1461" s="257">
        <v>21.4</v>
      </c>
      <c r="F1461" s="258">
        <v>5.8</v>
      </c>
      <c r="G1461" s="257">
        <v>0.25</v>
      </c>
      <c r="H1461" s="257">
        <v>1</v>
      </c>
      <c r="I1461" s="257"/>
      <c r="J1461" s="259">
        <v>14.8062</v>
      </c>
      <c r="K1461" s="260">
        <f t="shared" si="42"/>
        <v>16.223799999999997</v>
      </c>
      <c r="L1461" s="266" t="s">
        <v>1714</v>
      </c>
    </row>
    <row r="1462" spans="2:12">
      <c r="B1462" s="256" t="s">
        <v>1717</v>
      </c>
      <c r="C1462" s="250" t="s">
        <v>1612</v>
      </c>
      <c r="D1462" s="205" t="s">
        <v>169</v>
      </c>
      <c r="E1462" s="257">
        <v>24.49</v>
      </c>
      <c r="F1462" s="258">
        <v>0.55000000000000004</v>
      </c>
      <c r="G1462" s="257">
        <v>0.1</v>
      </c>
      <c r="H1462" s="257">
        <v>1</v>
      </c>
      <c r="I1462" s="257"/>
      <c r="J1462" s="259">
        <v>0</v>
      </c>
      <c r="K1462" s="260">
        <f t="shared" si="42"/>
        <v>1.3469500000000001</v>
      </c>
      <c r="L1462" s="266" t="s">
        <v>1714</v>
      </c>
    </row>
    <row r="1463" spans="2:12">
      <c r="B1463" s="256" t="s">
        <v>1718</v>
      </c>
      <c r="C1463" s="250" t="s">
        <v>1612</v>
      </c>
      <c r="D1463" s="205" t="s">
        <v>169</v>
      </c>
      <c r="E1463" s="257">
        <v>21.4</v>
      </c>
      <c r="F1463" s="258">
        <v>5.8</v>
      </c>
      <c r="G1463" s="257">
        <v>0.25</v>
      </c>
      <c r="H1463" s="257">
        <v>1</v>
      </c>
      <c r="I1463" s="257"/>
      <c r="J1463" s="259">
        <v>14.76966</v>
      </c>
      <c r="K1463" s="260">
        <f t="shared" si="42"/>
        <v>16.260339999999999</v>
      </c>
      <c r="L1463" s="266" t="s">
        <v>1714</v>
      </c>
    </row>
    <row r="1464" spans="2:12">
      <c r="B1464" s="256" t="s">
        <v>1719</v>
      </c>
      <c r="C1464" s="250" t="s">
        <v>1612</v>
      </c>
      <c r="D1464" s="205" t="s">
        <v>169</v>
      </c>
      <c r="E1464" s="257">
        <v>7.77</v>
      </c>
      <c r="F1464" s="258">
        <v>0.18</v>
      </c>
      <c r="G1464" s="257">
        <v>0.12</v>
      </c>
      <c r="H1464" s="257">
        <v>1</v>
      </c>
      <c r="I1464" s="257"/>
      <c r="J1464" s="259">
        <v>0</v>
      </c>
      <c r="K1464" s="260">
        <f t="shared" si="42"/>
        <v>0.16783199999999998</v>
      </c>
      <c r="L1464" s="266" t="s">
        <v>1714</v>
      </c>
    </row>
    <row r="1465" spans="2:12">
      <c r="B1465" s="256" t="s">
        <v>1720</v>
      </c>
      <c r="C1465" s="250" t="s">
        <v>1612</v>
      </c>
      <c r="D1465" s="205" t="s">
        <v>169</v>
      </c>
      <c r="E1465" s="257">
        <v>21.4</v>
      </c>
      <c r="F1465" s="258">
        <v>5.69</v>
      </c>
      <c r="G1465" s="257">
        <v>0.25</v>
      </c>
      <c r="H1465" s="257">
        <v>1</v>
      </c>
      <c r="I1465" s="257"/>
      <c r="J1465" s="259">
        <v>13.92924</v>
      </c>
      <c r="K1465" s="260">
        <f t="shared" si="42"/>
        <v>16.512260000000001</v>
      </c>
      <c r="L1465" s="266" t="s">
        <v>1714</v>
      </c>
    </row>
    <row r="1466" spans="2:12">
      <c r="B1466" s="256" t="s">
        <v>1721</v>
      </c>
      <c r="C1466" s="250" t="s">
        <v>1612</v>
      </c>
      <c r="D1466" s="205" t="s">
        <v>169</v>
      </c>
      <c r="E1466" s="257">
        <v>3.45</v>
      </c>
      <c r="F1466" s="258">
        <v>2.74</v>
      </c>
      <c r="G1466" s="257">
        <v>0.15</v>
      </c>
      <c r="H1466" s="257">
        <v>1</v>
      </c>
      <c r="I1466" s="257"/>
      <c r="J1466" s="259">
        <v>0</v>
      </c>
      <c r="K1466" s="260">
        <f t="shared" si="42"/>
        <v>1.41795</v>
      </c>
      <c r="L1466" s="266" t="s">
        <v>1714</v>
      </c>
    </row>
    <row r="1467" spans="2:12">
      <c r="B1467" s="256" t="s">
        <v>1713</v>
      </c>
      <c r="C1467" s="250" t="s">
        <v>1613</v>
      </c>
      <c r="D1467" s="205" t="s">
        <v>169</v>
      </c>
      <c r="E1467" s="257">
        <v>17.97</v>
      </c>
      <c r="F1467" s="258">
        <v>0.55000000000000004</v>
      </c>
      <c r="G1467" s="257">
        <v>0.1</v>
      </c>
      <c r="H1467" s="257">
        <v>1</v>
      </c>
      <c r="I1467" s="257"/>
      <c r="J1467" s="259">
        <v>0</v>
      </c>
      <c r="K1467" s="260">
        <f t="shared" si="42"/>
        <v>0.98835000000000006</v>
      </c>
      <c r="L1467" s="266" t="s">
        <v>1683</v>
      </c>
    </row>
    <row r="1468" spans="2:12">
      <c r="B1468" s="256" t="s">
        <v>1715</v>
      </c>
      <c r="C1468" s="250" t="s">
        <v>1613</v>
      </c>
      <c r="D1468" s="205" t="s">
        <v>169</v>
      </c>
      <c r="E1468" s="257">
        <v>21.4</v>
      </c>
      <c r="F1468" s="258">
        <v>5.85</v>
      </c>
      <c r="G1468" s="257">
        <v>0.25</v>
      </c>
      <c r="H1468" s="257">
        <v>1</v>
      </c>
      <c r="I1468" s="257"/>
      <c r="J1468" s="259">
        <v>14.8062</v>
      </c>
      <c r="K1468" s="260">
        <f t="shared" si="42"/>
        <v>16.491299999999995</v>
      </c>
      <c r="L1468" s="266" t="s">
        <v>1683</v>
      </c>
    </row>
    <row r="1469" spans="2:12">
      <c r="B1469" s="256" t="s">
        <v>1716</v>
      </c>
      <c r="C1469" s="250" t="s">
        <v>1613</v>
      </c>
      <c r="D1469" s="205" t="s">
        <v>169</v>
      </c>
      <c r="E1469" s="257">
        <v>21.4</v>
      </c>
      <c r="F1469" s="258">
        <v>5.8</v>
      </c>
      <c r="G1469" s="257">
        <v>0.25</v>
      </c>
      <c r="H1469" s="257">
        <v>1</v>
      </c>
      <c r="I1469" s="257"/>
      <c r="J1469" s="259">
        <v>14.8062</v>
      </c>
      <c r="K1469" s="260">
        <f t="shared" si="42"/>
        <v>16.223799999999997</v>
      </c>
      <c r="L1469" s="266" t="s">
        <v>1683</v>
      </c>
    </row>
    <row r="1470" spans="2:12">
      <c r="B1470" s="256" t="s">
        <v>1717</v>
      </c>
      <c r="C1470" s="250" t="s">
        <v>1613</v>
      </c>
      <c r="D1470" s="205" t="s">
        <v>169</v>
      </c>
      <c r="E1470" s="257">
        <v>24.49</v>
      </c>
      <c r="F1470" s="258">
        <v>0.55000000000000004</v>
      </c>
      <c r="G1470" s="257">
        <v>0.1</v>
      </c>
      <c r="H1470" s="257">
        <v>1</v>
      </c>
      <c r="I1470" s="257"/>
      <c r="J1470" s="259">
        <v>0</v>
      </c>
      <c r="K1470" s="260">
        <f t="shared" si="42"/>
        <v>1.3469500000000001</v>
      </c>
      <c r="L1470" s="266" t="s">
        <v>1683</v>
      </c>
    </row>
    <row r="1471" spans="2:12">
      <c r="B1471" s="256" t="s">
        <v>1718</v>
      </c>
      <c r="C1471" s="250" t="s">
        <v>1613</v>
      </c>
      <c r="D1471" s="205" t="s">
        <v>169</v>
      </c>
      <c r="E1471" s="257">
        <v>21.4</v>
      </c>
      <c r="F1471" s="258">
        <v>5.8</v>
      </c>
      <c r="G1471" s="257">
        <v>0.25</v>
      </c>
      <c r="H1471" s="257">
        <v>1</v>
      </c>
      <c r="I1471" s="257"/>
      <c r="J1471" s="259">
        <v>14.76966</v>
      </c>
      <c r="K1471" s="260">
        <f t="shared" ref="K1471:K1484" si="43">IF(E1471*F1471*G1471&lt;&gt;0,E1471*F1471*G1471,IF(E1471*F1471&lt;&gt;0,E1471*F1471,IF(F1471*G1471&lt;&gt;0,F1471*G1471,IF(E1471*G1471&lt;&gt;0,E1471*G1471,IF(E1471&lt;&gt;0,E1471,IF(F1471&lt;&gt;0,F1471,IF(G1471&lt;&gt;0,G1471,0)))))))*(IF(H1471&lt;&gt;0,H1471,1))+I1471-J1471</f>
        <v>16.260339999999999</v>
      </c>
      <c r="L1471" s="266" t="s">
        <v>1683</v>
      </c>
    </row>
    <row r="1472" spans="2:12">
      <c r="B1472" s="256" t="s">
        <v>1719</v>
      </c>
      <c r="C1472" s="250" t="s">
        <v>1613</v>
      </c>
      <c r="D1472" s="205" t="s">
        <v>169</v>
      </c>
      <c r="E1472" s="257">
        <v>7.77</v>
      </c>
      <c r="F1472" s="258">
        <v>0.18</v>
      </c>
      <c r="G1472" s="257">
        <v>0.12</v>
      </c>
      <c r="H1472" s="257">
        <v>1</v>
      </c>
      <c r="I1472" s="257"/>
      <c r="J1472" s="259">
        <v>0</v>
      </c>
      <c r="K1472" s="260">
        <f t="shared" si="43"/>
        <v>0.16783199999999998</v>
      </c>
      <c r="L1472" s="266" t="s">
        <v>1683</v>
      </c>
    </row>
    <row r="1473" spans="2:12">
      <c r="B1473" s="256" t="s">
        <v>1720</v>
      </c>
      <c r="C1473" s="250" t="s">
        <v>1613</v>
      </c>
      <c r="D1473" s="205" t="s">
        <v>169</v>
      </c>
      <c r="E1473" s="257">
        <v>21.4</v>
      </c>
      <c r="F1473" s="258">
        <v>5.69</v>
      </c>
      <c r="G1473" s="257">
        <v>0.25</v>
      </c>
      <c r="H1473" s="257">
        <v>1</v>
      </c>
      <c r="I1473" s="257"/>
      <c r="J1473" s="259">
        <v>13.92924</v>
      </c>
      <c r="K1473" s="260">
        <f t="shared" si="43"/>
        <v>16.512260000000001</v>
      </c>
      <c r="L1473" s="266" t="s">
        <v>1683</v>
      </c>
    </row>
    <row r="1474" spans="2:12">
      <c r="B1474" s="256" t="s">
        <v>1721</v>
      </c>
      <c r="C1474" s="250" t="s">
        <v>1613</v>
      </c>
      <c r="D1474" s="205" t="s">
        <v>169</v>
      </c>
      <c r="E1474" s="257">
        <v>3.45</v>
      </c>
      <c r="F1474" s="258">
        <v>2.74</v>
      </c>
      <c r="G1474" s="257">
        <v>0.15</v>
      </c>
      <c r="H1474" s="257">
        <v>1</v>
      </c>
      <c r="I1474" s="257"/>
      <c r="J1474" s="259">
        <v>0</v>
      </c>
      <c r="K1474" s="260">
        <f t="shared" si="43"/>
        <v>1.41795</v>
      </c>
      <c r="L1474" s="266" t="s">
        <v>1683</v>
      </c>
    </row>
    <row r="1475" spans="2:12">
      <c r="B1475" s="256" t="s">
        <v>1920</v>
      </c>
      <c r="C1475" s="250" t="s">
        <v>1895</v>
      </c>
      <c r="D1475" s="205" t="s">
        <v>169</v>
      </c>
      <c r="E1475" s="257">
        <v>25.82</v>
      </c>
      <c r="F1475" s="258">
        <v>6.86</v>
      </c>
      <c r="G1475" s="257">
        <v>0.3</v>
      </c>
      <c r="H1475" s="257">
        <v>1</v>
      </c>
      <c r="I1475" s="257"/>
      <c r="J1475" s="259">
        <v>26.362084374999998</v>
      </c>
      <c r="K1475" s="260">
        <f t="shared" si="43"/>
        <v>26.775475625000002</v>
      </c>
      <c r="L1475" s="266" t="s">
        <v>1685</v>
      </c>
    </row>
    <row r="1476" spans="2:12">
      <c r="B1476" s="256" t="s">
        <v>1921</v>
      </c>
      <c r="C1476" s="250" t="s">
        <v>1895</v>
      </c>
      <c r="D1476" s="205" t="s">
        <v>169</v>
      </c>
      <c r="E1476" s="257">
        <v>7.39</v>
      </c>
      <c r="F1476" s="258">
        <v>0.5</v>
      </c>
      <c r="G1476" s="257">
        <v>0.1</v>
      </c>
      <c r="H1476" s="257">
        <v>1</v>
      </c>
      <c r="I1476" s="257"/>
      <c r="J1476" s="259">
        <v>0</v>
      </c>
      <c r="K1476" s="260">
        <f t="shared" si="43"/>
        <v>0.3695</v>
      </c>
      <c r="L1476" s="266" t="s">
        <v>1685</v>
      </c>
    </row>
    <row r="1477" spans="2:12">
      <c r="B1477" s="256" t="s">
        <v>1922</v>
      </c>
      <c r="C1477" s="250" t="s">
        <v>1895</v>
      </c>
      <c r="D1477" s="205" t="s">
        <v>169</v>
      </c>
      <c r="E1477" s="257">
        <v>3.95</v>
      </c>
      <c r="F1477" s="258">
        <v>0.15</v>
      </c>
      <c r="G1477" s="257">
        <v>0.15</v>
      </c>
      <c r="H1477" s="257">
        <v>1</v>
      </c>
      <c r="I1477" s="257"/>
      <c r="J1477" s="259">
        <v>0</v>
      </c>
      <c r="K1477" s="260">
        <f t="shared" si="43"/>
        <v>8.8874999999999996E-2</v>
      </c>
      <c r="L1477" s="266" t="s">
        <v>1685</v>
      </c>
    </row>
    <row r="1478" spans="2:12">
      <c r="B1478" s="256" t="s">
        <v>1923</v>
      </c>
      <c r="C1478" s="250" t="s">
        <v>1895</v>
      </c>
      <c r="D1478" s="205" t="s">
        <v>169</v>
      </c>
      <c r="E1478" s="257">
        <v>19.7</v>
      </c>
      <c r="F1478" s="258">
        <v>8.9499999999999993</v>
      </c>
      <c r="G1478" s="257">
        <v>0.35</v>
      </c>
      <c r="H1478" s="257">
        <v>1</v>
      </c>
      <c r="I1478" s="257"/>
      <c r="J1478" s="259">
        <v>30.36582881</v>
      </c>
      <c r="K1478" s="260">
        <f t="shared" si="43"/>
        <v>31.344421189999988</v>
      </c>
      <c r="L1478" s="266" t="s">
        <v>1685</v>
      </c>
    </row>
    <row r="1479" spans="2:12">
      <c r="B1479" s="256" t="s">
        <v>1924</v>
      </c>
      <c r="C1479" s="250" t="s">
        <v>1895</v>
      </c>
      <c r="D1479" s="205" t="s">
        <v>169</v>
      </c>
      <c r="E1479" s="257">
        <v>10.61</v>
      </c>
      <c r="F1479" s="258">
        <v>0.83</v>
      </c>
      <c r="G1479" s="257">
        <v>0.15</v>
      </c>
      <c r="H1479" s="257">
        <v>1</v>
      </c>
      <c r="I1479" s="257"/>
      <c r="J1479" s="259">
        <v>0</v>
      </c>
      <c r="K1479" s="260">
        <f t="shared" si="43"/>
        <v>1.3209449999999998</v>
      </c>
      <c r="L1479" s="266" t="s">
        <v>1685</v>
      </c>
    </row>
    <row r="1480" spans="2:12">
      <c r="B1480" s="256" t="s">
        <v>1925</v>
      </c>
      <c r="C1480" s="250" t="s">
        <v>1895</v>
      </c>
      <c r="D1480" s="205" t="s">
        <v>169</v>
      </c>
      <c r="E1480" s="257">
        <v>3.65</v>
      </c>
      <c r="F1480" s="258">
        <v>0.15</v>
      </c>
      <c r="G1480" s="257">
        <v>0.15</v>
      </c>
      <c r="H1480" s="257">
        <v>1</v>
      </c>
      <c r="I1480" s="257"/>
      <c r="J1480" s="259">
        <v>0</v>
      </c>
      <c r="K1480" s="260">
        <f t="shared" si="43"/>
        <v>8.212499999999999E-2</v>
      </c>
      <c r="L1480" s="266" t="s">
        <v>1685</v>
      </c>
    </row>
    <row r="1481" spans="2:12">
      <c r="B1481" s="256" t="s">
        <v>1926</v>
      </c>
      <c r="C1481" s="250" t="s">
        <v>1895</v>
      </c>
      <c r="D1481" s="205" t="s">
        <v>169</v>
      </c>
      <c r="E1481" s="257">
        <v>6.51</v>
      </c>
      <c r="F1481" s="258">
        <v>4.1500000000000004</v>
      </c>
      <c r="G1481" s="257">
        <v>0.25</v>
      </c>
      <c r="H1481" s="257">
        <v>1</v>
      </c>
      <c r="I1481" s="257"/>
      <c r="J1481" s="259">
        <v>3.5522191200000002</v>
      </c>
      <c r="K1481" s="260">
        <f t="shared" si="43"/>
        <v>3.20190588</v>
      </c>
      <c r="L1481" s="266" t="s">
        <v>1685</v>
      </c>
    </row>
    <row r="1482" spans="2:12">
      <c r="B1482" s="256" t="s">
        <v>1927</v>
      </c>
      <c r="C1482" s="250" t="s">
        <v>1895</v>
      </c>
      <c r="D1482" s="205" t="s">
        <v>169</v>
      </c>
      <c r="E1482" s="257">
        <v>8.07</v>
      </c>
      <c r="F1482" s="258">
        <v>9.35</v>
      </c>
      <c r="G1482" s="257">
        <v>0.18</v>
      </c>
      <c r="H1482" s="257">
        <v>1</v>
      </c>
      <c r="I1482" s="257"/>
      <c r="J1482" s="259">
        <v>0</v>
      </c>
      <c r="K1482" s="260">
        <f t="shared" si="43"/>
        <v>13.581809999999999</v>
      </c>
      <c r="L1482" s="266" t="s">
        <v>1685</v>
      </c>
    </row>
    <row r="1483" spans="2:12">
      <c r="B1483" s="256" t="s">
        <v>1928</v>
      </c>
      <c r="C1483" s="250" t="s">
        <v>1895</v>
      </c>
      <c r="D1483" s="205" t="s">
        <v>169</v>
      </c>
      <c r="E1483" s="257">
        <v>5.6</v>
      </c>
      <c r="F1483" s="258">
        <v>5</v>
      </c>
      <c r="G1483" s="257">
        <v>0.25</v>
      </c>
      <c r="H1483" s="257">
        <v>1</v>
      </c>
      <c r="I1483" s="257"/>
      <c r="J1483" s="259">
        <v>3.3947491200000002</v>
      </c>
      <c r="K1483" s="260">
        <f t="shared" si="43"/>
        <v>3.6052508799999998</v>
      </c>
      <c r="L1483" s="266" t="s">
        <v>1685</v>
      </c>
    </row>
    <row r="1484" spans="2:12">
      <c r="B1484" s="256"/>
      <c r="C1484" s="210"/>
      <c r="D1484" s="210"/>
      <c r="E1484" s="257"/>
      <c r="F1484" s="258"/>
      <c r="G1484" s="257"/>
      <c r="H1484" s="257"/>
      <c r="I1484" s="257"/>
      <c r="J1484" s="259"/>
      <c r="K1484" s="260">
        <f t="shared" si="43"/>
        <v>0</v>
      </c>
      <c r="L1484" s="210"/>
    </row>
    <row r="1485" spans="2:12">
      <c r="B1485" s="202"/>
      <c r="C1485" s="203"/>
      <c r="D1485" s="203"/>
      <c r="E1485" s="203"/>
      <c r="F1485" s="203"/>
      <c r="G1485" s="203"/>
      <c r="H1485" s="204"/>
      <c r="I1485" s="556" t="s">
        <v>1221</v>
      </c>
      <c r="J1485" s="556"/>
      <c r="K1485" s="220">
        <f>SUM(K1407:K1484)</f>
        <v>580.45347557499997</v>
      </c>
      <c r="L1485" s="207"/>
    </row>
    <row r="1486" spans="2:12">
      <c r="B1486" s="208"/>
      <c r="C1486" s="204"/>
      <c r="D1486" s="204"/>
      <c r="E1486" s="204"/>
      <c r="F1486" s="204"/>
      <c r="G1486" s="204"/>
      <c r="H1486" s="209"/>
      <c r="I1486" s="557" t="s">
        <v>1222</v>
      </c>
      <c r="J1486" s="557"/>
      <c r="K1486" s="221">
        <f>VLOOKUP(B1405,'BM 004'!$B$27:$R$590,4,0)</f>
        <v>803.99</v>
      </c>
      <c r="L1486" s="246"/>
    </row>
    <row r="1487" spans="2:12">
      <c r="B1487" s="208"/>
      <c r="C1487" s="204"/>
      <c r="D1487" s="204"/>
      <c r="E1487" s="204"/>
      <c r="F1487" s="204"/>
      <c r="G1487" s="204"/>
      <c r="H1487" s="558" t="s">
        <v>1223</v>
      </c>
      <c r="I1487" s="558"/>
      <c r="J1487" s="558"/>
      <c r="K1487" s="222">
        <v>430.68316700000003</v>
      </c>
      <c r="L1487" s="207"/>
    </row>
    <row r="1488" spans="2:12">
      <c r="B1488" s="208"/>
      <c r="C1488" s="204"/>
      <c r="D1488" s="204"/>
      <c r="E1488" s="204"/>
      <c r="F1488" s="204"/>
      <c r="G1488" s="204"/>
      <c r="H1488" s="558" t="s">
        <v>1596</v>
      </c>
      <c r="I1488" s="558"/>
      <c r="J1488" s="558"/>
      <c r="K1488" s="222">
        <f>TRUNC(SUMIF(C1407:C1484,H1488,K1407:K1484),2)</f>
        <v>69.400000000000006</v>
      </c>
      <c r="L1488" s="246"/>
    </row>
    <row r="1489" spans="2:12">
      <c r="B1489" s="213"/>
      <c r="C1489" s="214"/>
      <c r="D1489" s="214"/>
      <c r="E1489" s="214"/>
      <c r="F1489" s="214"/>
      <c r="G1489" s="214"/>
      <c r="H1489" s="559" t="s">
        <v>1224</v>
      </c>
      <c r="I1489" s="559"/>
      <c r="J1489" s="559"/>
      <c r="K1489" s="223">
        <f>IF(K1485&gt;K1486,K1485-K1486,0)</f>
        <v>0</v>
      </c>
      <c r="L1489" s="209"/>
    </row>
    <row r="1491" spans="2:12">
      <c r="B1491" s="247" t="s">
        <v>261</v>
      </c>
      <c r="C1491" s="565" t="str">
        <f>VLOOKUP(B1491,'BM 004'!$B$27:$R$590,2,0)</f>
        <v xml:space="preserve">ALVENARIA DE EMBASAMENTO COM BLOCO ESTRUTURAL DE CONCRETO, DE 14X19X29CM E ARGAMASSA DE ASSENTAMENTO COM PREPARO EM BETONEIRA. </v>
      </c>
      <c r="D1491" s="565"/>
      <c r="E1491" s="565"/>
      <c r="F1491" s="565"/>
      <c r="G1491" s="565"/>
      <c r="H1491" s="565"/>
      <c r="I1491" s="565"/>
      <c r="J1491" s="565"/>
      <c r="K1491" s="565"/>
      <c r="L1491" s="565"/>
    </row>
    <row r="1492" spans="2:12">
      <c r="B1492" s="248" t="s">
        <v>1209</v>
      </c>
      <c r="C1492" s="248"/>
      <c r="D1492" s="248" t="s">
        <v>39</v>
      </c>
      <c r="E1492" s="248" t="s">
        <v>1210</v>
      </c>
      <c r="F1492" s="248" t="s">
        <v>1388</v>
      </c>
      <c r="G1492" s="248" t="s">
        <v>1212</v>
      </c>
      <c r="H1492" s="248" t="s">
        <v>1213</v>
      </c>
      <c r="I1492" s="248" t="s">
        <v>1214</v>
      </c>
      <c r="J1492" s="248" t="s">
        <v>1385</v>
      </c>
      <c r="K1492" s="248" t="s">
        <v>1216</v>
      </c>
      <c r="L1492" s="248" t="s">
        <v>1217</v>
      </c>
    </row>
    <row r="1493" spans="2:12">
      <c r="B1493" s="256" t="s">
        <v>1722</v>
      </c>
      <c r="C1493" s="250" t="s">
        <v>1612</v>
      </c>
      <c r="D1493" s="205" t="s">
        <v>79</v>
      </c>
      <c r="E1493" s="261">
        <v>26.18</v>
      </c>
      <c r="F1493" s="261">
        <v>0.19</v>
      </c>
      <c r="G1493" s="261">
        <v>0.4</v>
      </c>
      <c r="H1493" s="261">
        <v>1</v>
      </c>
      <c r="I1493" s="261"/>
      <c r="J1493" s="275"/>
      <c r="K1493" s="260">
        <f>IF(E1493*F1493*G1493&lt;&gt;0,E1493*F1493*G1493,IF(E1493*F1493&lt;&gt;0,E1493*F1493,IF(F1493*G1493&lt;&gt;0,F1493*G1493,IF(E1493*G1493&lt;&gt;0,E1493*G1493,IF(E1493&lt;&gt;0,E1493,IF(F1493&lt;&gt;0,F1493,IF(G1493&lt;&gt;0,G1493,0)))))))*(IF(H1493&lt;&gt;0,H1493,1))+I1493-J1493</f>
        <v>1.9896799999999999</v>
      </c>
      <c r="L1493" s="266" t="s">
        <v>1723</v>
      </c>
    </row>
    <row r="1494" spans="2:12">
      <c r="B1494" s="256" t="s">
        <v>1724</v>
      </c>
      <c r="C1494" s="250" t="s">
        <v>1612</v>
      </c>
      <c r="D1494" s="205" t="s">
        <v>79</v>
      </c>
      <c r="E1494" s="261">
        <v>8.84</v>
      </c>
      <c r="F1494" s="261">
        <v>0.19</v>
      </c>
      <c r="G1494" s="261">
        <v>0.4</v>
      </c>
      <c r="H1494" s="261">
        <v>1</v>
      </c>
      <c r="I1494" s="261"/>
      <c r="J1494" s="275"/>
      <c r="K1494" s="260">
        <f>IF(E1494*F1494*G1494&lt;&gt;0,E1494*F1494*G1494,IF(E1494*F1494&lt;&gt;0,E1494*F1494,IF(F1494*G1494&lt;&gt;0,F1494*G1494,IF(E1494*G1494&lt;&gt;0,E1494*G1494,IF(E1494&lt;&gt;0,E1494,IF(F1494&lt;&gt;0,F1494,IF(G1494&lt;&gt;0,G1494,0)))))))*(IF(H1494&lt;&gt;0,H1494,1))+I1494-J1494</f>
        <v>0.67183999999999999</v>
      </c>
      <c r="L1494" s="266"/>
    </row>
    <row r="1495" spans="2:12">
      <c r="B1495" s="256" t="s">
        <v>1929</v>
      </c>
      <c r="C1495" s="264" t="s">
        <v>1895</v>
      </c>
      <c r="D1495" s="210" t="s">
        <v>79</v>
      </c>
      <c r="E1495" s="261">
        <f>10*3+5.5*3</f>
        <v>46.5</v>
      </c>
      <c r="F1495" s="261">
        <v>0.19</v>
      </c>
      <c r="G1495" s="261">
        <v>0.4</v>
      </c>
      <c r="H1495" s="261">
        <v>1</v>
      </c>
      <c r="I1495" s="261"/>
      <c r="J1495" s="275"/>
      <c r="K1495" s="260">
        <f>IF(E1495*F1495*G1495&lt;&gt;0,E1495*F1495*G1495,IF(E1495*F1495&lt;&gt;0,E1495*F1495,IF(F1495*G1495&lt;&gt;0,F1495*G1495,IF(E1495*G1495&lt;&gt;0,E1495*G1495,IF(E1495&lt;&gt;0,E1495,IF(F1495&lt;&gt;0,F1495,IF(G1495&lt;&gt;0,G1495,0)))))))*(IF(H1495&lt;&gt;0,H1495,1))+I1495-J1495</f>
        <v>3.5340000000000007</v>
      </c>
      <c r="L1495" s="266"/>
    </row>
    <row r="1496" spans="2:12">
      <c r="B1496" s="256"/>
      <c r="C1496" s="264"/>
      <c r="D1496" s="210"/>
      <c r="E1496" s="261"/>
      <c r="F1496" s="261"/>
      <c r="G1496" s="261"/>
      <c r="H1496" s="261"/>
      <c r="I1496" s="261"/>
      <c r="J1496" s="275"/>
      <c r="K1496" s="260">
        <f>IF(E1496*F1496*G1496&lt;&gt;0,E1496*F1496*G1496,IF(E1496*F1496&lt;&gt;0,E1496*F1496,IF(F1496*G1496&lt;&gt;0,F1496*G1496,IF(E1496*G1496&lt;&gt;0,E1496*G1496,IF(E1496&lt;&gt;0,E1496,IF(F1496&lt;&gt;0,F1496,IF(G1496&lt;&gt;0,G1496,0)))))))*(IF(H1496&lt;&gt;0,H1496,1))+I1496-J1496</f>
        <v>0</v>
      </c>
      <c r="L1496" s="266"/>
    </row>
    <row r="1497" spans="2:12">
      <c r="B1497" s="256"/>
      <c r="C1497" s="210"/>
      <c r="D1497" s="210"/>
      <c r="E1497" s="261"/>
      <c r="F1497" s="261"/>
      <c r="G1497" s="261"/>
      <c r="H1497" s="261"/>
      <c r="I1497" s="261"/>
      <c r="J1497" s="275"/>
      <c r="K1497" s="260">
        <f>IF(E1497*F1497*G1497&lt;&gt;0,E1497*F1497*G1497,IF(E1497*F1497&lt;&gt;0,E1497*F1497,IF(F1497*G1497&lt;&gt;0,F1497*G1497,IF(E1497*G1497&lt;&gt;0,E1497*G1497,IF(E1497&lt;&gt;0,E1497,IF(F1497&lt;&gt;0,F1497,IF(G1497&lt;&gt;0,G1497,0)))))))*(IF(H1497&lt;&gt;0,H1497,1))+I1497-J1497</f>
        <v>0</v>
      </c>
      <c r="L1497" s="210"/>
    </row>
    <row r="1498" spans="2:12">
      <c r="B1498" s="202"/>
      <c r="C1498" s="203"/>
      <c r="D1498" s="203"/>
      <c r="E1498" s="203"/>
      <c r="F1498" s="203"/>
      <c r="G1498" s="203"/>
      <c r="H1498" s="204"/>
      <c r="I1498" s="556" t="s">
        <v>1221</v>
      </c>
      <c r="J1498" s="556"/>
      <c r="K1498" s="220">
        <f>SUM(K1493:K1497)</f>
        <v>6.1955200000000001</v>
      </c>
      <c r="L1498" s="207"/>
    </row>
    <row r="1499" spans="2:12">
      <c r="B1499" s="208"/>
      <c r="C1499" s="204"/>
      <c r="D1499" s="204"/>
      <c r="E1499" s="204"/>
      <c r="F1499" s="204"/>
      <c r="G1499" s="204"/>
      <c r="H1499" s="209"/>
      <c r="I1499" s="556" t="s">
        <v>1222</v>
      </c>
      <c r="J1499" s="556"/>
      <c r="K1499" s="221">
        <f>VLOOKUP(B1491,'BM 004'!$B$27:$R$590,4,0)</f>
        <v>112</v>
      </c>
      <c r="L1499" s="246"/>
    </row>
    <row r="1500" spans="2:12">
      <c r="B1500" s="208"/>
      <c r="C1500" s="204"/>
      <c r="D1500" s="204"/>
      <c r="E1500" s="204"/>
      <c r="F1500" s="204"/>
      <c r="G1500" s="204"/>
      <c r="H1500" s="558" t="s">
        <v>1223</v>
      </c>
      <c r="I1500" s="558"/>
      <c r="J1500" s="558"/>
      <c r="K1500" s="222">
        <v>2.6615199999999999</v>
      </c>
      <c r="L1500" s="207"/>
    </row>
    <row r="1501" spans="2:12">
      <c r="B1501" s="208"/>
      <c r="C1501" s="204"/>
      <c r="D1501" s="204"/>
      <c r="E1501" s="204"/>
      <c r="F1501" s="204"/>
      <c r="G1501" s="204"/>
      <c r="H1501" s="558" t="s">
        <v>1605</v>
      </c>
      <c r="I1501" s="558"/>
      <c r="J1501" s="558"/>
      <c r="K1501" s="222">
        <f>TRUNC(SUMIF(C1493:C1497,H1501,K1493:K1497),2)</f>
        <v>3.53</v>
      </c>
      <c r="L1501" s="207"/>
    </row>
    <row r="1502" spans="2:12">
      <c r="B1502" s="213"/>
      <c r="C1502" s="214"/>
      <c r="D1502" s="214"/>
      <c r="E1502" s="214"/>
      <c r="F1502" s="214"/>
      <c r="G1502" s="214"/>
      <c r="H1502" s="566" t="s">
        <v>1224</v>
      </c>
      <c r="I1502" s="566"/>
      <c r="J1502" s="566"/>
      <c r="K1502" s="223">
        <f>IF(K1498&gt;K1499,K1498-K1499,0)</f>
        <v>0</v>
      </c>
      <c r="L1502" s="209"/>
    </row>
    <row r="1504" spans="2:12">
      <c r="B1504" s="247" t="s">
        <v>263</v>
      </c>
      <c r="C1504" s="565" t="str">
        <f>VLOOKUP(B1504,'BM 004'!$B$27:$R$590,2,0)</f>
        <v xml:space="preserve">ALVENARIA DE VEDAÇÃO DE BLOCOS CERÂMICOS FURADOS NA HORIZONTAL DE 9X19X19CM (ESPESSURA 9CM) DE PAREDES COM ÁREA LÍQUIDA MAIOR OU IGUAL A 6M² COM VÃOS E ARGAMASSA DE ASSENTAMENTO COM PREPARO EM BETONEIRA. </v>
      </c>
      <c r="D1504" s="565"/>
      <c r="E1504" s="565"/>
      <c r="F1504" s="565"/>
      <c r="G1504" s="565"/>
      <c r="H1504" s="565"/>
      <c r="I1504" s="565"/>
      <c r="J1504" s="565"/>
      <c r="K1504" s="565"/>
      <c r="L1504" s="565"/>
    </row>
    <row r="1505" spans="2:12">
      <c r="B1505" s="248" t="s">
        <v>1209</v>
      </c>
      <c r="C1505" s="248"/>
      <c r="D1505" s="248" t="s">
        <v>39</v>
      </c>
      <c r="E1505" s="248" t="s">
        <v>1210</v>
      </c>
      <c r="F1505" s="248" t="s">
        <v>1388</v>
      </c>
      <c r="G1505" s="248" t="s">
        <v>1212</v>
      </c>
      <c r="H1505" s="248" t="s">
        <v>1213</v>
      </c>
      <c r="I1505" s="248" t="s">
        <v>1214</v>
      </c>
      <c r="J1505" s="248" t="s">
        <v>1385</v>
      </c>
      <c r="K1505" s="248" t="s">
        <v>1216</v>
      </c>
      <c r="L1505" s="248" t="s">
        <v>1217</v>
      </c>
    </row>
    <row r="1506" spans="2:12">
      <c r="B1506" s="256" t="s">
        <v>1722</v>
      </c>
      <c r="C1506" s="250" t="s">
        <v>1612</v>
      </c>
      <c r="D1506" s="205" t="s">
        <v>79</v>
      </c>
      <c r="E1506" s="261">
        <v>26.18</v>
      </c>
      <c r="F1506" s="261"/>
      <c r="G1506" s="261">
        <v>1.8</v>
      </c>
      <c r="H1506" s="261">
        <v>1</v>
      </c>
      <c r="I1506" s="261"/>
      <c r="J1506" s="275"/>
      <c r="K1506" s="260">
        <f t="shared" ref="K1506:K1523" si="44">IF(E1506*F1506*G1506&lt;&gt;0,E1506*F1506*G1506,IF(E1506*F1506&lt;&gt;0,E1506*F1506,IF(F1506*G1506&lt;&gt;0,F1506*G1506,IF(E1506*G1506&lt;&gt;0,E1506*G1506,IF(E1506&lt;&gt;0,E1506,IF(F1506&lt;&gt;0,F1506,IF(G1506&lt;&gt;0,G1506,0)))))))*(IF(H1506&lt;&gt;0,H1506,1))+I1506-J1506</f>
        <v>47.124000000000002</v>
      </c>
      <c r="L1506" s="266"/>
    </row>
    <row r="1507" spans="2:12">
      <c r="B1507" s="256" t="s">
        <v>1725</v>
      </c>
      <c r="C1507" s="250" t="s">
        <v>1612</v>
      </c>
      <c r="D1507" s="205" t="s">
        <v>79</v>
      </c>
      <c r="E1507" s="261">
        <v>4.1500000000000004</v>
      </c>
      <c r="F1507" s="261"/>
      <c r="G1507" s="261">
        <v>1.8</v>
      </c>
      <c r="H1507" s="261">
        <v>2</v>
      </c>
      <c r="I1507" s="261"/>
      <c r="J1507" s="275"/>
      <c r="K1507" s="260">
        <f t="shared" si="44"/>
        <v>14.940000000000001</v>
      </c>
      <c r="L1507" s="266"/>
    </row>
    <row r="1508" spans="2:12">
      <c r="B1508" s="256" t="s">
        <v>1725</v>
      </c>
      <c r="C1508" s="250" t="s">
        <v>1612</v>
      </c>
      <c r="D1508" s="205" t="s">
        <v>79</v>
      </c>
      <c r="E1508" s="261">
        <v>3.08</v>
      </c>
      <c r="F1508" s="261"/>
      <c r="G1508" s="261">
        <v>1.8</v>
      </c>
      <c r="H1508" s="261">
        <v>2</v>
      </c>
      <c r="I1508" s="261"/>
      <c r="J1508" s="275"/>
      <c r="K1508" s="260">
        <f t="shared" si="44"/>
        <v>11.088000000000001</v>
      </c>
      <c r="L1508" s="266"/>
    </row>
    <row r="1509" spans="2:12">
      <c r="B1509" s="256" t="s">
        <v>1726</v>
      </c>
      <c r="C1509" s="250" t="s">
        <v>1612</v>
      </c>
      <c r="D1509" s="205" t="s">
        <v>79</v>
      </c>
      <c r="E1509" s="261">
        <v>1.84</v>
      </c>
      <c r="F1509" s="261"/>
      <c r="G1509" s="261">
        <v>1.8</v>
      </c>
      <c r="H1509" s="261">
        <v>2</v>
      </c>
      <c r="I1509" s="261"/>
      <c r="J1509" s="275"/>
      <c r="K1509" s="260">
        <f t="shared" si="44"/>
        <v>6.6240000000000006</v>
      </c>
      <c r="L1509" s="266"/>
    </row>
    <row r="1510" spans="2:12">
      <c r="B1510" s="256" t="s">
        <v>1726</v>
      </c>
      <c r="C1510" s="250" t="s">
        <v>1612</v>
      </c>
      <c r="D1510" s="205" t="s">
        <v>79</v>
      </c>
      <c r="E1510" s="261">
        <v>2.15</v>
      </c>
      <c r="F1510" s="261"/>
      <c r="G1510" s="261">
        <v>1.8</v>
      </c>
      <c r="H1510" s="261">
        <v>2</v>
      </c>
      <c r="I1510" s="261"/>
      <c r="J1510" s="275"/>
      <c r="K1510" s="260">
        <f t="shared" si="44"/>
        <v>7.74</v>
      </c>
      <c r="L1510" s="266"/>
    </row>
    <row r="1511" spans="2:12">
      <c r="B1511" s="256" t="s">
        <v>1727</v>
      </c>
      <c r="C1511" s="250" t="s">
        <v>1612</v>
      </c>
      <c r="D1511" s="205" t="s">
        <v>79</v>
      </c>
      <c r="E1511" s="261">
        <v>4.1500000000000004</v>
      </c>
      <c r="F1511" s="261"/>
      <c r="G1511" s="261">
        <v>1.8</v>
      </c>
      <c r="H1511" s="261">
        <v>1</v>
      </c>
      <c r="I1511" s="261"/>
      <c r="J1511" s="275"/>
      <c r="K1511" s="260">
        <f t="shared" si="44"/>
        <v>7.4700000000000006</v>
      </c>
      <c r="L1511" s="266"/>
    </row>
    <row r="1512" spans="2:12">
      <c r="B1512" s="256" t="s">
        <v>1727</v>
      </c>
      <c r="C1512" s="250" t="s">
        <v>1612</v>
      </c>
      <c r="D1512" s="205" t="s">
        <v>79</v>
      </c>
      <c r="E1512" s="261">
        <v>3.25</v>
      </c>
      <c r="F1512" s="261"/>
      <c r="G1512" s="261">
        <v>1.8</v>
      </c>
      <c r="H1512" s="261">
        <v>1</v>
      </c>
      <c r="I1512" s="261"/>
      <c r="J1512" s="275"/>
      <c r="K1512" s="260">
        <f t="shared" si="44"/>
        <v>5.8500000000000005</v>
      </c>
      <c r="L1512" s="266"/>
    </row>
    <row r="1513" spans="2:12">
      <c r="B1513" s="256" t="s">
        <v>1728</v>
      </c>
      <c r="C1513" s="250" t="s">
        <v>1612</v>
      </c>
      <c r="D1513" s="205" t="s">
        <v>79</v>
      </c>
      <c r="E1513" s="261">
        <v>4.1500000000000004</v>
      </c>
      <c r="F1513" s="261"/>
      <c r="G1513" s="261">
        <v>1.8</v>
      </c>
      <c r="H1513" s="261">
        <v>1</v>
      </c>
      <c r="I1513" s="261"/>
      <c r="J1513" s="275"/>
      <c r="K1513" s="260">
        <f t="shared" si="44"/>
        <v>7.4700000000000006</v>
      </c>
      <c r="L1513" s="266"/>
    </row>
    <row r="1514" spans="2:12">
      <c r="B1514" s="256" t="s">
        <v>1728</v>
      </c>
      <c r="C1514" s="250" t="s">
        <v>1612</v>
      </c>
      <c r="D1514" s="205" t="s">
        <v>79</v>
      </c>
      <c r="E1514" s="261">
        <v>3.25</v>
      </c>
      <c r="F1514" s="261"/>
      <c r="G1514" s="261">
        <v>1.8</v>
      </c>
      <c r="H1514" s="261">
        <v>1</v>
      </c>
      <c r="I1514" s="261"/>
      <c r="J1514" s="275"/>
      <c r="K1514" s="260">
        <f t="shared" si="44"/>
        <v>5.8500000000000005</v>
      </c>
      <c r="L1514" s="266"/>
    </row>
    <row r="1515" spans="2:12">
      <c r="B1515" s="256" t="s">
        <v>1729</v>
      </c>
      <c r="C1515" s="250" t="s">
        <v>1612</v>
      </c>
      <c r="D1515" s="205" t="s">
        <v>79</v>
      </c>
      <c r="E1515" s="261">
        <v>1.79</v>
      </c>
      <c r="F1515" s="261"/>
      <c r="G1515" s="261">
        <v>1.8</v>
      </c>
      <c r="H1515" s="261">
        <v>2</v>
      </c>
      <c r="I1515" s="261"/>
      <c r="J1515" s="275"/>
      <c r="K1515" s="260">
        <f t="shared" si="44"/>
        <v>6.444</v>
      </c>
      <c r="L1515" s="266"/>
    </row>
    <row r="1516" spans="2:12">
      <c r="B1516" s="256" t="s">
        <v>1729</v>
      </c>
      <c r="C1516" s="250" t="s">
        <v>1612</v>
      </c>
      <c r="D1516" s="205" t="s">
        <v>79</v>
      </c>
      <c r="E1516" s="261">
        <v>2.15</v>
      </c>
      <c r="F1516" s="261"/>
      <c r="G1516" s="261">
        <v>1.8</v>
      </c>
      <c r="H1516" s="261">
        <v>2</v>
      </c>
      <c r="I1516" s="261"/>
      <c r="J1516" s="275"/>
      <c r="K1516" s="260">
        <f t="shared" si="44"/>
        <v>7.74</v>
      </c>
      <c r="L1516" s="266"/>
    </row>
    <row r="1517" spans="2:12">
      <c r="B1517" s="256" t="s">
        <v>1730</v>
      </c>
      <c r="C1517" s="250" t="s">
        <v>1612</v>
      </c>
      <c r="D1517" s="205" t="s">
        <v>79</v>
      </c>
      <c r="E1517" s="261">
        <v>4.1500000000000004</v>
      </c>
      <c r="F1517" s="261"/>
      <c r="G1517" s="261">
        <v>1.8</v>
      </c>
      <c r="H1517" s="261">
        <v>2</v>
      </c>
      <c r="I1517" s="261"/>
      <c r="J1517" s="275"/>
      <c r="K1517" s="260">
        <f t="shared" si="44"/>
        <v>14.940000000000001</v>
      </c>
      <c r="L1517" s="266"/>
    </row>
    <row r="1518" spans="2:12">
      <c r="B1518" s="256" t="s">
        <v>1730</v>
      </c>
      <c r="C1518" s="250" t="s">
        <v>1612</v>
      </c>
      <c r="D1518" s="205" t="s">
        <v>79</v>
      </c>
      <c r="E1518" s="261">
        <v>3.43</v>
      </c>
      <c r="F1518" s="261"/>
      <c r="G1518" s="261">
        <v>1.8</v>
      </c>
      <c r="H1518" s="261">
        <v>2</v>
      </c>
      <c r="I1518" s="261"/>
      <c r="J1518" s="275"/>
      <c r="K1518" s="260">
        <f t="shared" si="44"/>
        <v>12.348000000000001</v>
      </c>
      <c r="L1518" s="266"/>
    </row>
    <row r="1519" spans="2:12">
      <c r="B1519" s="256" t="s">
        <v>1731</v>
      </c>
      <c r="C1519" s="250" t="s">
        <v>1612</v>
      </c>
      <c r="D1519" s="205" t="s">
        <v>79</v>
      </c>
      <c r="E1519" s="261">
        <v>8.31</v>
      </c>
      <c r="F1519" s="261"/>
      <c r="G1519" s="261">
        <v>1.8</v>
      </c>
      <c r="H1519" s="261">
        <v>1</v>
      </c>
      <c r="I1519" s="261"/>
      <c r="J1519" s="275"/>
      <c r="K1519" s="260">
        <f t="shared" si="44"/>
        <v>14.958000000000002</v>
      </c>
      <c r="L1519" s="266"/>
    </row>
    <row r="1520" spans="2:12">
      <c r="B1520" s="256" t="s">
        <v>1731</v>
      </c>
      <c r="C1520" s="250" t="s">
        <v>1612</v>
      </c>
      <c r="D1520" s="205" t="s">
        <v>79</v>
      </c>
      <c r="E1520" s="261">
        <v>6.03</v>
      </c>
      <c r="F1520" s="261"/>
      <c r="G1520" s="261">
        <v>1.8</v>
      </c>
      <c r="H1520" s="261">
        <v>1</v>
      </c>
      <c r="I1520" s="261"/>
      <c r="J1520" s="275"/>
      <c r="K1520" s="260">
        <f t="shared" si="44"/>
        <v>10.854000000000001</v>
      </c>
      <c r="L1520" s="266"/>
    </row>
    <row r="1521" spans="2:12">
      <c r="B1521" s="256" t="s">
        <v>1557</v>
      </c>
      <c r="C1521" s="264" t="s">
        <v>1613</v>
      </c>
      <c r="D1521" s="210" t="s">
        <v>79</v>
      </c>
      <c r="E1521" s="261"/>
      <c r="F1521" s="261"/>
      <c r="G1521" s="261"/>
      <c r="H1521" s="261"/>
      <c r="I1521" s="261">
        <v>145</v>
      </c>
      <c r="J1521" s="275"/>
      <c r="K1521" s="260">
        <f t="shared" si="44"/>
        <v>145</v>
      </c>
      <c r="L1521" s="266"/>
    </row>
    <row r="1522" spans="2:12">
      <c r="B1522" s="256" t="s">
        <v>1557</v>
      </c>
      <c r="C1522" s="264" t="s">
        <v>1895</v>
      </c>
      <c r="D1522" s="210" t="s">
        <v>79</v>
      </c>
      <c r="E1522" s="261"/>
      <c r="F1522" s="261"/>
      <c r="G1522" s="261"/>
      <c r="H1522" s="261"/>
      <c r="I1522" s="261">
        <v>550</v>
      </c>
      <c r="J1522" s="275"/>
      <c r="K1522" s="260">
        <f t="shared" si="44"/>
        <v>550</v>
      </c>
      <c r="L1522" s="266"/>
    </row>
    <row r="1523" spans="2:12">
      <c r="B1523" s="256"/>
      <c r="C1523" s="210"/>
      <c r="D1523" s="210"/>
      <c r="E1523" s="261"/>
      <c r="F1523" s="261"/>
      <c r="G1523" s="261"/>
      <c r="H1523" s="261"/>
      <c r="I1523" s="261"/>
      <c r="J1523" s="275"/>
      <c r="K1523" s="260">
        <f t="shared" si="44"/>
        <v>0</v>
      </c>
      <c r="L1523" s="210"/>
    </row>
    <row r="1524" spans="2:12">
      <c r="B1524" s="202"/>
      <c r="C1524" s="203"/>
      <c r="D1524" s="203"/>
      <c r="E1524" s="203"/>
      <c r="F1524" s="203"/>
      <c r="G1524" s="203"/>
      <c r="H1524" s="204"/>
      <c r="I1524" s="556" t="s">
        <v>1221</v>
      </c>
      <c r="J1524" s="556"/>
      <c r="K1524" s="220">
        <f>SUM(K1506:K1523)</f>
        <v>876.44</v>
      </c>
      <c r="L1524" s="207"/>
    </row>
    <row r="1525" spans="2:12">
      <c r="B1525" s="208"/>
      <c r="C1525" s="204"/>
      <c r="D1525" s="204"/>
      <c r="E1525" s="204"/>
      <c r="F1525" s="204"/>
      <c r="G1525" s="204"/>
      <c r="H1525" s="209"/>
      <c r="I1525" s="557" t="s">
        <v>1222</v>
      </c>
      <c r="J1525" s="557"/>
      <c r="K1525" s="221">
        <f>VLOOKUP(B1504,'BM 004'!$B$27:$R$590,4,0)</f>
        <v>15102.2</v>
      </c>
      <c r="L1525" s="246"/>
    </row>
    <row r="1526" spans="2:12">
      <c r="B1526" s="208"/>
      <c r="C1526" s="204"/>
      <c r="D1526" s="204"/>
      <c r="E1526" s="204"/>
      <c r="F1526" s="204"/>
      <c r="G1526" s="204"/>
      <c r="H1526" s="558" t="s">
        <v>1223</v>
      </c>
      <c r="I1526" s="558"/>
      <c r="J1526" s="558"/>
      <c r="K1526" s="222">
        <v>326.44</v>
      </c>
      <c r="L1526" s="207"/>
    </row>
    <row r="1527" spans="2:12">
      <c r="B1527" s="208"/>
      <c r="C1527" s="204"/>
      <c r="D1527" s="204"/>
      <c r="E1527" s="204"/>
      <c r="F1527" s="204"/>
      <c r="G1527" s="204"/>
      <c r="H1527" s="558" t="s">
        <v>1605</v>
      </c>
      <c r="I1527" s="558"/>
      <c r="J1527" s="558"/>
      <c r="K1527" s="222">
        <f>TRUNC(SUMIF(C1506:C1523,H1527,K1506:K1523),2)</f>
        <v>550</v>
      </c>
      <c r="L1527" s="207"/>
    </row>
    <row r="1528" spans="2:12">
      <c r="B1528" s="213"/>
      <c r="C1528" s="214"/>
      <c r="D1528" s="214"/>
      <c r="E1528" s="214"/>
      <c r="F1528" s="214"/>
      <c r="G1528" s="214"/>
      <c r="H1528" s="559" t="s">
        <v>1224</v>
      </c>
      <c r="I1528" s="559"/>
      <c r="J1528" s="559"/>
      <c r="K1528" s="223">
        <f>IF(K1524&gt;K1525,K1524-K1525,0)</f>
        <v>0</v>
      </c>
      <c r="L1528" s="209"/>
    </row>
    <row r="1530" spans="2:12">
      <c r="B1530" s="247" t="s">
        <v>346</v>
      </c>
      <c r="C1530" s="565" t="str">
        <f>VLOOKUP(B1530,'BM 004'!$B$27:$R$590,2,0)</f>
        <v xml:space="preserve">IMPERMEABILIZAÇÃO DE SUPERFÍCIE ENTERRADA COM EMULSÃO ASFÁLTICA, 2 DEMÃOS </v>
      </c>
      <c r="D1530" s="565"/>
      <c r="E1530" s="565"/>
      <c r="F1530" s="565"/>
      <c r="G1530" s="565"/>
      <c r="H1530" s="565"/>
      <c r="I1530" s="565"/>
      <c r="J1530" s="565"/>
      <c r="K1530" s="565"/>
      <c r="L1530" s="565"/>
    </row>
    <row r="1531" spans="2:12">
      <c r="B1531" s="248" t="s">
        <v>1209</v>
      </c>
      <c r="C1531" s="248"/>
      <c r="D1531" s="248" t="s">
        <v>39</v>
      </c>
      <c r="E1531" s="248" t="s">
        <v>1210</v>
      </c>
      <c r="F1531" s="248" t="s">
        <v>1388</v>
      </c>
      <c r="G1531" s="248" t="s">
        <v>1212</v>
      </c>
      <c r="H1531" s="248" t="s">
        <v>1213</v>
      </c>
      <c r="I1531" s="248" t="s">
        <v>1214</v>
      </c>
      <c r="J1531" s="248" t="s">
        <v>1385</v>
      </c>
      <c r="K1531" s="248" t="s">
        <v>1216</v>
      </c>
      <c r="L1531" s="248" t="s">
        <v>1217</v>
      </c>
    </row>
    <row r="1532" spans="2:12">
      <c r="B1532" s="256" t="s">
        <v>1732</v>
      </c>
      <c r="C1532" s="250" t="s">
        <v>1613</v>
      </c>
      <c r="D1532" s="205" t="s">
        <v>1335</v>
      </c>
      <c r="E1532" s="257">
        <v>48</v>
      </c>
      <c r="F1532" s="261">
        <f>0.2+0.8+0.2</f>
        <v>1.2</v>
      </c>
      <c r="G1532" s="261"/>
      <c r="H1532" s="261"/>
      <c r="I1532" s="261"/>
      <c r="J1532" s="275"/>
      <c r="K1532" s="260">
        <f>IF(E1532*F1532*G1532&lt;&gt;0,E1532*F1532*G1532,IF(E1532*F1532&lt;&gt;0,E1532*F1532,IF(F1532*G1532&lt;&gt;0,F1532*G1532,IF(E1532*G1532&lt;&gt;0,E1532*G1532,IF(E1532&lt;&gt;0,E1532,IF(F1532&lt;&gt;0,F1532,IF(G1532&lt;&gt;0,G1532,0)))))))*(IF(H1532&lt;&gt;0,H1532,1))+I1532-J1532</f>
        <v>57.599999999999994</v>
      </c>
      <c r="L1532" s="266"/>
    </row>
    <row r="1533" spans="2:12">
      <c r="B1533" s="256" t="s">
        <v>1732</v>
      </c>
      <c r="C1533" s="250" t="s">
        <v>1895</v>
      </c>
      <c r="D1533" s="205" t="s">
        <v>1335</v>
      </c>
      <c r="E1533" s="257">
        <v>150</v>
      </c>
      <c r="F1533" s="261">
        <f>0.2+0.8+0.2</f>
        <v>1.2</v>
      </c>
      <c r="G1533" s="261"/>
      <c r="H1533" s="261"/>
      <c r="I1533" s="261"/>
      <c r="J1533" s="275"/>
      <c r="K1533" s="260">
        <f>IF(E1533*F1533*G1533&lt;&gt;0,E1533*F1533*G1533,IF(E1533*F1533&lt;&gt;0,E1533*F1533,IF(F1533*G1533&lt;&gt;0,F1533*G1533,IF(E1533*G1533&lt;&gt;0,E1533*G1533,IF(E1533&lt;&gt;0,E1533,IF(F1533&lt;&gt;0,F1533,IF(G1533&lt;&gt;0,G1533,0)))))))*(IF(H1533&lt;&gt;0,H1533,1))+I1533-J1533</f>
        <v>180</v>
      </c>
      <c r="L1533" s="266"/>
    </row>
    <row r="1534" spans="2:12">
      <c r="B1534" s="256"/>
      <c r="C1534" s="250"/>
      <c r="D1534" s="205"/>
      <c r="E1534" s="257"/>
      <c r="F1534" s="261"/>
      <c r="G1534" s="261"/>
      <c r="H1534" s="261"/>
      <c r="I1534" s="261"/>
      <c r="J1534" s="275"/>
      <c r="K1534" s="260">
        <f>IF(E1534*F1534*G1534&lt;&gt;0,E1534*F1534*G1534,IF(E1534*F1534&lt;&gt;0,E1534*F1534,IF(F1534*G1534&lt;&gt;0,F1534*G1534,IF(E1534*G1534&lt;&gt;0,E1534*G1534,IF(E1534&lt;&gt;0,E1534,IF(F1534&lt;&gt;0,F1534,IF(G1534&lt;&gt;0,G1534,0)))))))*(IF(H1534&lt;&gt;0,H1534,1))+I1534-J1534</f>
        <v>0</v>
      </c>
      <c r="L1534" s="266"/>
    </row>
    <row r="1535" spans="2:12">
      <c r="B1535" s="256"/>
      <c r="C1535" s="250"/>
      <c r="D1535" s="205"/>
      <c r="E1535" s="257"/>
      <c r="F1535" s="261"/>
      <c r="G1535" s="261"/>
      <c r="H1535" s="261"/>
      <c r="I1535" s="261"/>
      <c r="J1535" s="275"/>
      <c r="K1535" s="260">
        <f>IF(E1535*F1535*G1535&lt;&gt;0,E1535*F1535*G1535,IF(E1535*F1535&lt;&gt;0,E1535*F1535,IF(F1535*G1535&lt;&gt;0,F1535*G1535,IF(E1535*G1535&lt;&gt;0,E1535*G1535,IF(E1535&lt;&gt;0,E1535,IF(F1535&lt;&gt;0,F1535,IF(G1535&lt;&gt;0,G1535,0)))))))*(IF(H1535&lt;&gt;0,H1535,1))+I1535-J1535</f>
        <v>0</v>
      </c>
      <c r="L1535" s="266"/>
    </row>
    <row r="1536" spans="2:12">
      <c r="B1536" s="256"/>
      <c r="C1536" s="210"/>
      <c r="D1536" s="210"/>
      <c r="E1536" s="257"/>
      <c r="F1536" s="261"/>
      <c r="G1536" s="261"/>
      <c r="H1536" s="261"/>
      <c r="I1536" s="261"/>
      <c r="J1536" s="275"/>
      <c r="K1536" s="260">
        <f>IF(E1536*F1536*G1536&lt;&gt;0,E1536*F1536*G1536,IF(E1536*F1536&lt;&gt;0,E1536*F1536,IF(F1536*G1536&lt;&gt;0,F1536*G1536,IF(E1536*G1536&lt;&gt;0,E1536*G1536,IF(E1536&lt;&gt;0,E1536,IF(F1536&lt;&gt;0,F1536,IF(G1536&lt;&gt;0,G1536,0)))))))*(IF(H1536&lt;&gt;0,H1536,1))+I1536-J1536</f>
        <v>0</v>
      </c>
      <c r="L1536" s="210"/>
    </row>
    <row r="1537" spans="2:12">
      <c r="B1537" s="202"/>
      <c r="C1537" s="203"/>
      <c r="D1537" s="203"/>
      <c r="E1537" s="203"/>
      <c r="F1537" s="203"/>
      <c r="G1537" s="203"/>
      <c r="H1537" s="204"/>
      <c r="I1537" s="556" t="s">
        <v>1221</v>
      </c>
      <c r="J1537" s="556"/>
      <c r="K1537" s="220">
        <f>SUM(K1532:K1536)</f>
        <v>237.6</v>
      </c>
      <c r="L1537" s="207"/>
    </row>
    <row r="1538" spans="2:12">
      <c r="B1538" s="208"/>
      <c r="C1538" s="204"/>
      <c r="D1538" s="204"/>
      <c r="E1538" s="204"/>
      <c r="F1538" s="204"/>
      <c r="G1538" s="204"/>
      <c r="H1538" s="209"/>
      <c r="I1538" s="557" t="s">
        <v>1222</v>
      </c>
      <c r="J1538" s="557"/>
      <c r="K1538" s="221">
        <f>VLOOKUP(B1530,'BM 004'!$B$27:$R$590,4,0)</f>
        <v>880</v>
      </c>
      <c r="L1538" s="246"/>
    </row>
    <row r="1539" spans="2:12">
      <c r="B1539" s="208"/>
      <c r="C1539" s="204"/>
      <c r="D1539" s="204"/>
      <c r="E1539" s="204"/>
      <c r="F1539" s="204"/>
      <c r="G1539" s="204"/>
      <c r="H1539" s="558" t="s">
        <v>1223</v>
      </c>
      <c r="I1539" s="558"/>
      <c r="J1539" s="558"/>
      <c r="K1539" s="222">
        <v>57.6</v>
      </c>
      <c r="L1539" s="207"/>
    </row>
    <row r="1540" spans="2:12">
      <c r="B1540" s="208"/>
      <c r="C1540" s="204"/>
      <c r="D1540" s="204"/>
      <c r="E1540" s="204"/>
      <c r="F1540" s="204"/>
      <c r="G1540" s="204"/>
      <c r="H1540" s="558" t="s">
        <v>1605</v>
      </c>
      <c r="I1540" s="558"/>
      <c r="J1540" s="558"/>
      <c r="K1540" s="222">
        <f>TRUNC(SUMIF(C1532:C1536,H1540,K1532:K1536),2)</f>
        <v>180</v>
      </c>
      <c r="L1540" s="207"/>
    </row>
    <row r="1541" spans="2:12">
      <c r="B1541" s="213"/>
      <c r="C1541" s="214"/>
      <c r="D1541" s="214"/>
      <c r="E1541" s="214"/>
      <c r="F1541" s="214"/>
      <c r="G1541" s="214"/>
      <c r="H1541" s="559" t="s">
        <v>1224</v>
      </c>
      <c r="I1541" s="559"/>
      <c r="J1541" s="559"/>
      <c r="K1541" s="223">
        <f>IF(K1537&gt;K1538,K1537-K1538,0)</f>
        <v>0</v>
      </c>
      <c r="L1541" s="209"/>
    </row>
    <row r="1543" spans="2:12">
      <c r="B1543" s="247" t="s">
        <v>664</v>
      </c>
      <c r="C1543" s="565" t="str">
        <f>VLOOKUP(B1543,'BM 004'!$B$27:$R$590,2,0)</f>
        <v xml:space="preserve">Tubo pvc rígido soldável marrom p/ água, d = 75 mm (2 1/2")	</v>
      </c>
      <c r="D1543" s="565"/>
      <c r="E1543" s="565"/>
      <c r="F1543" s="565"/>
      <c r="G1543" s="565"/>
      <c r="H1543" s="565"/>
      <c r="I1543" s="565"/>
      <c r="J1543" s="565"/>
      <c r="K1543" s="565"/>
      <c r="L1543" s="565"/>
    </row>
    <row r="1544" spans="2:12">
      <c r="B1544" s="248" t="s">
        <v>1209</v>
      </c>
      <c r="C1544" s="248"/>
      <c r="D1544" s="248" t="s">
        <v>39</v>
      </c>
      <c r="E1544" s="248" t="s">
        <v>1210</v>
      </c>
      <c r="F1544" s="248" t="s">
        <v>1388</v>
      </c>
      <c r="G1544" s="248" t="s">
        <v>1212</v>
      </c>
      <c r="H1544" s="248" t="s">
        <v>1213</v>
      </c>
      <c r="I1544" s="248" t="s">
        <v>1214</v>
      </c>
      <c r="J1544" s="248" t="s">
        <v>1385</v>
      </c>
      <c r="K1544" s="248" t="s">
        <v>1216</v>
      </c>
      <c r="L1544" s="248" t="s">
        <v>1217</v>
      </c>
    </row>
    <row r="1545" spans="2:12">
      <c r="B1545" s="256" t="s">
        <v>1575</v>
      </c>
      <c r="C1545" s="250" t="s">
        <v>1521</v>
      </c>
      <c r="D1545" s="205" t="s">
        <v>82</v>
      </c>
      <c r="E1545" s="257">
        <v>30</v>
      </c>
      <c r="F1545" s="258"/>
      <c r="G1545" s="257"/>
      <c r="H1545" s="257"/>
      <c r="I1545" s="257"/>
      <c r="J1545" s="259"/>
      <c r="K1545" s="260">
        <f>IF(E1545*F1545*G1545&lt;&gt;0,E1545*F1545*G1545,IF(E1545*F1545&lt;&gt;0,E1545*F1545,IF(F1545*G1545&lt;&gt;0,F1545*G1545,IF(E1545*G1545&lt;&gt;0,E1545*G1545,IF(E1545&lt;&gt;0,E1545,IF(F1545&lt;&gt;0,F1545,IF(G1545&lt;&gt;0,G1545,0)))))))*(IF(H1545&lt;&gt;0,H1545,1))+I1545-J1545</f>
        <v>30</v>
      </c>
      <c r="L1545" s="266"/>
    </row>
    <row r="1546" spans="2:12">
      <c r="B1546" s="256"/>
      <c r="C1546" s="210"/>
      <c r="D1546" s="210"/>
      <c r="E1546" s="257"/>
      <c r="F1546" s="258"/>
      <c r="G1546" s="257"/>
      <c r="H1546" s="257"/>
      <c r="I1546" s="257"/>
      <c r="J1546" s="259"/>
      <c r="K1546" s="260">
        <f>IF(E1546*F1546*G1546&lt;&gt;0,E1546*F1546*G1546,IF(E1546*F1546&lt;&gt;0,E1546*F1546,IF(F1546*G1546&lt;&gt;0,F1546*G1546,IF(E1546*G1546&lt;&gt;0,E1546*G1546,IF(E1546&lt;&gt;0,E1546,IF(F1546&lt;&gt;0,F1546,IF(G1546&lt;&gt;0,G1546,0)))))))*(IF(H1546&lt;&gt;0,H1546,1))+I1546-J1546</f>
        <v>0</v>
      </c>
      <c r="L1546" s="210"/>
    </row>
    <row r="1547" spans="2:12">
      <c r="B1547" s="202"/>
      <c r="C1547" s="203"/>
      <c r="D1547" s="203"/>
      <c r="E1547" s="203"/>
      <c r="F1547" s="203"/>
      <c r="G1547" s="203"/>
      <c r="H1547" s="204"/>
      <c r="I1547" s="556" t="s">
        <v>1221</v>
      </c>
      <c r="J1547" s="556"/>
      <c r="K1547" s="220">
        <f>SUM(K1545:K1546)</f>
        <v>30</v>
      </c>
      <c r="L1547" s="207"/>
    </row>
    <row r="1548" spans="2:12">
      <c r="B1548" s="208"/>
      <c r="C1548" s="204"/>
      <c r="D1548" s="204"/>
      <c r="E1548" s="204"/>
      <c r="F1548" s="204"/>
      <c r="G1548" s="204"/>
      <c r="H1548" s="209"/>
      <c r="I1548" s="557" t="s">
        <v>1222</v>
      </c>
      <c r="J1548" s="557"/>
      <c r="K1548" s="221">
        <f>VLOOKUP(B1543,'BM 004'!$B$27:$R$590,4,0)</f>
        <v>162.16999999999999</v>
      </c>
      <c r="L1548" s="246"/>
    </row>
    <row r="1549" spans="2:12">
      <c r="B1549" s="208"/>
      <c r="C1549" s="204"/>
      <c r="D1549" s="204"/>
      <c r="E1549" s="204"/>
      <c r="F1549" s="204"/>
      <c r="G1549" s="204"/>
      <c r="H1549" s="558" t="s">
        <v>1223</v>
      </c>
      <c r="I1549" s="558"/>
      <c r="J1549" s="558"/>
      <c r="K1549" s="222">
        <v>0</v>
      </c>
      <c r="L1549" s="207"/>
    </row>
    <row r="1550" spans="2:12">
      <c r="B1550" s="208"/>
      <c r="C1550" s="204"/>
      <c r="D1550" s="204"/>
      <c r="E1550" s="204"/>
      <c r="F1550" s="204"/>
      <c r="G1550" s="204"/>
      <c r="H1550" s="558" t="s">
        <v>1435</v>
      </c>
      <c r="I1550" s="558"/>
      <c r="J1550" s="558"/>
      <c r="K1550" s="222">
        <f>TRUNC(SUMIF(C1545:C1546,H1550,K1545:K1546),2)</f>
        <v>30</v>
      </c>
      <c r="L1550" s="207"/>
    </row>
    <row r="1551" spans="2:12">
      <c r="B1551" s="213"/>
      <c r="C1551" s="214"/>
      <c r="D1551" s="214"/>
      <c r="E1551" s="214"/>
      <c r="F1551" s="214"/>
      <c r="G1551" s="214"/>
      <c r="H1551" s="559" t="s">
        <v>1224</v>
      </c>
      <c r="I1551" s="559"/>
      <c r="J1551" s="559"/>
      <c r="K1551" s="223">
        <f>IF(K1547&gt;K1548,K1547-K1548,0)</f>
        <v>0</v>
      </c>
      <c r="L1551" s="209"/>
    </row>
  </sheetData>
  <mergeCells count="376">
    <mergeCell ref="H1541:J1541"/>
    <mergeCell ref="C1543:L1543"/>
    <mergeCell ref="I1547:J1547"/>
    <mergeCell ref="I1548:J1548"/>
    <mergeCell ref="H1549:J1549"/>
    <mergeCell ref="H1550:J1550"/>
    <mergeCell ref="H1551:J1551"/>
    <mergeCell ref="I1525:J1525"/>
    <mergeCell ref="H1526:J1526"/>
    <mergeCell ref="H1527:J1527"/>
    <mergeCell ref="H1528:J1528"/>
    <mergeCell ref="C1530:L1530"/>
    <mergeCell ref="I1537:J1537"/>
    <mergeCell ref="I1538:J1538"/>
    <mergeCell ref="H1539:J1539"/>
    <mergeCell ref="H1540:J1540"/>
    <mergeCell ref="H1489:J1489"/>
    <mergeCell ref="C1491:L1491"/>
    <mergeCell ref="I1498:J1498"/>
    <mergeCell ref="I1499:J1499"/>
    <mergeCell ref="H1500:J1500"/>
    <mergeCell ref="H1501:J1501"/>
    <mergeCell ref="H1502:J1502"/>
    <mergeCell ref="C1504:L1504"/>
    <mergeCell ref="I1524:J1524"/>
    <mergeCell ref="I1400:J1400"/>
    <mergeCell ref="H1401:J1401"/>
    <mergeCell ref="H1402:J1402"/>
    <mergeCell ref="H1403:J1403"/>
    <mergeCell ref="C1405:L1405"/>
    <mergeCell ref="I1485:J1485"/>
    <mergeCell ref="I1486:J1486"/>
    <mergeCell ref="H1487:J1487"/>
    <mergeCell ref="H1488:J1488"/>
    <mergeCell ref="H1356:J1356"/>
    <mergeCell ref="C1358:L1358"/>
    <mergeCell ref="I1376:J1376"/>
    <mergeCell ref="I1377:J1377"/>
    <mergeCell ref="H1378:J1378"/>
    <mergeCell ref="H1379:J1379"/>
    <mergeCell ref="H1380:J1380"/>
    <mergeCell ref="C1382:L1382"/>
    <mergeCell ref="I1399:J1399"/>
    <mergeCell ref="I1334:J1334"/>
    <mergeCell ref="H1335:J1335"/>
    <mergeCell ref="H1336:J1336"/>
    <mergeCell ref="H1337:J1337"/>
    <mergeCell ref="C1339:L1339"/>
    <mergeCell ref="I1352:J1352"/>
    <mergeCell ref="I1353:J1353"/>
    <mergeCell ref="H1354:J1354"/>
    <mergeCell ref="H1355:J1355"/>
    <mergeCell ref="H1293:J1293"/>
    <mergeCell ref="C1295:L1295"/>
    <mergeCell ref="I1311:J1311"/>
    <mergeCell ref="I1312:J1312"/>
    <mergeCell ref="H1313:J1313"/>
    <mergeCell ref="H1314:J1314"/>
    <mergeCell ref="H1315:J1315"/>
    <mergeCell ref="C1317:L1317"/>
    <mergeCell ref="I1333:J1333"/>
    <mergeCell ref="I1275:J1275"/>
    <mergeCell ref="H1276:J1276"/>
    <mergeCell ref="H1277:J1277"/>
    <mergeCell ref="H1278:J1278"/>
    <mergeCell ref="C1280:L1280"/>
    <mergeCell ref="I1289:J1289"/>
    <mergeCell ref="I1290:J1290"/>
    <mergeCell ref="H1291:J1291"/>
    <mergeCell ref="H1292:J1292"/>
    <mergeCell ref="H1001:J1001"/>
    <mergeCell ref="C1003:L1003"/>
    <mergeCell ref="I1245:J1245"/>
    <mergeCell ref="I1246:J1246"/>
    <mergeCell ref="H1247:J1247"/>
    <mergeCell ref="H1248:J1248"/>
    <mergeCell ref="H1249:J1249"/>
    <mergeCell ref="C1251:L1251"/>
    <mergeCell ref="I1274:J1274"/>
    <mergeCell ref="I978:J978"/>
    <mergeCell ref="H979:J979"/>
    <mergeCell ref="H980:J980"/>
    <mergeCell ref="H981:J981"/>
    <mergeCell ref="C983:L983"/>
    <mergeCell ref="I997:J997"/>
    <mergeCell ref="I998:J998"/>
    <mergeCell ref="H999:J999"/>
    <mergeCell ref="H1000:J1000"/>
    <mergeCell ref="H942:J942"/>
    <mergeCell ref="C944:L944"/>
    <mergeCell ref="I958:J958"/>
    <mergeCell ref="I959:J959"/>
    <mergeCell ref="H960:J960"/>
    <mergeCell ref="H961:J961"/>
    <mergeCell ref="H962:J962"/>
    <mergeCell ref="C964:L964"/>
    <mergeCell ref="I977:J977"/>
    <mergeCell ref="I920:J920"/>
    <mergeCell ref="H921:J921"/>
    <mergeCell ref="H922:J922"/>
    <mergeCell ref="H923:J923"/>
    <mergeCell ref="C925:L925"/>
    <mergeCell ref="I938:J938"/>
    <mergeCell ref="I939:J939"/>
    <mergeCell ref="H940:J940"/>
    <mergeCell ref="H941:J941"/>
    <mergeCell ref="H888:J888"/>
    <mergeCell ref="C890:L890"/>
    <mergeCell ref="I902:J902"/>
    <mergeCell ref="I903:J903"/>
    <mergeCell ref="H904:J904"/>
    <mergeCell ref="H905:J905"/>
    <mergeCell ref="H906:J906"/>
    <mergeCell ref="C908:L908"/>
    <mergeCell ref="I919:J919"/>
    <mergeCell ref="I868:J868"/>
    <mergeCell ref="H869:J869"/>
    <mergeCell ref="H870:J870"/>
    <mergeCell ref="H871:J871"/>
    <mergeCell ref="C873:L873"/>
    <mergeCell ref="I884:J884"/>
    <mergeCell ref="I885:J885"/>
    <mergeCell ref="H886:J886"/>
    <mergeCell ref="H887:J887"/>
    <mergeCell ref="H684:J684"/>
    <mergeCell ref="C686:L686"/>
    <mergeCell ref="I850:J850"/>
    <mergeCell ref="I851:J851"/>
    <mergeCell ref="H852:J852"/>
    <mergeCell ref="H853:J853"/>
    <mergeCell ref="H854:J854"/>
    <mergeCell ref="C856:L856"/>
    <mergeCell ref="I867:J867"/>
    <mergeCell ref="I658:J658"/>
    <mergeCell ref="H659:J659"/>
    <mergeCell ref="H660:J660"/>
    <mergeCell ref="H661:J661"/>
    <mergeCell ref="C663:L663"/>
    <mergeCell ref="I680:J680"/>
    <mergeCell ref="I681:J681"/>
    <mergeCell ref="H682:J682"/>
    <mergeCell ref="H683:J683"/>
    <mergeCell ref="H616:J616"/>
    <mergeCell ref="C618:L618"/>
    <mergeCell ref="I634:J634"/>
    <mergeCell ref="I635:J635"/>
    <mergeCell ref="H636:J636"/>
    <mergeCell ref="H637:J637"/>
    <mergeCell ref="H638:J638"/>
    <mergeCell ref="C640:L640"/>
    <mergeCell ref="I657:J657"/>
    <mergeCell ref="I589:J589"/>
    <mergeCell ref="H590:J590"/>
    <mergeCell ref="H591:J591"/>
    <mergeCell ref="H592:J592"/>
    <mergeCell ref="C594:L594"/>
    <mergeCell ref="I612:J612"/>
    <mergeCell ref="I613:J613"/>
    <mergeCell ref="H614:J614"/>
    <mergeCell ref="H615:J615"/>
    <mergeCell ref="H547:J547"/>
    <mergeCell ref="C549:L549"/>
    <mergeCell ref="I566:J566"/>
    <mergeCell ref="I567:J567"/>
    <mergeCell ref="H568:J568"/>
    <mergeCell ref="H569:J569"/>
    <mergeCell ref="H570:J570"/>
    <mergeCell ref="C572:L572"/>
    <mergeCell ref="I588:J588"/>
    <mergeCell ref="I522:J522"/>
    <mergeCell ref="H523:J523"/>
    <mergeCell ref="H524:J524"/>
    <mergeCell ref="H525:J525"/>
    <mergeCell ref="C527:L527"/>
    <mergeCell ref="I543:J543"/>
    <mergeCell ref="I544:J544"/>
    <mergeCell ref="H545:J545"/>
    <mergeCell ref="H546:J546"/>
    <mergeCell ref="H458:J458"/>
    <mergeCell ref="B460:L460"/>
    <mergeCell ref="I497:J497"/>
    <mergeCell ref="I498:J498"/>
    <mergeCell ref="H499:J499"/>
    <mergeCell ref="H500:J500"/>
    <mergeCell ref="H501:J501"/>
    <mergeCell ref="C504:L504"/>
    <mergeCell ref="I521:J521"/>
    <mergeCell ref="I444:J444"/>
    <mergeCell ref="H445:J445"/>
    <mergeCell ref="H446:J446"/>
    <mergeCell ref="H447:J447"/>
    <mergeCell ref="B449:L449"/>
    <mergeCell ref="I454:J454"/>
    <mergeCell ref="I455:J455"/>
    <mergeCell ref="H456:J456"/>
    <mergeCell ref="H457:J457"/>
    <mergeCell ref="H425:J425"/>
    <mergeCell ref="B427:L427"/>
    <mergeCell ref="I432:J432"/>
    <mergeCell ref="I433:J433"/>
    <mergeCell ref="H434:J434"/>
    <mergeCell ref="H435:J435"/>
    <mergeCell ref="H436:J436"/>
    <mergeCell ref="B438:L438"/>
    <mergeCell ref="I443:J443"/>
    <mergeCell ref="I411:J411"/>
    <mergeCell ref="H412:J412"/>
    <mergeCell ref="H413:J413"/>
    <mergeCell ref="H414:J414"/>
    <mergeCell ref="B416:L416"/>
    <mergeCell ref="I421:J421"/>
    <mergeCell ref="I422:J422"/>
    <mergeCell ref="H423:J423"/>
    <mergeCell ref="H424:J424"/>
    <mergeCell ref="H391:J391"/>
    <mergeCell ref="B393:L393"/>
    <mergeCell ref="I399:J399"/>
    <mergeCell ref="I400:J400"/>
    <mergeCell ref="H401:J401"/>
    <mergeCell ref="H402:J402"/>
    <mergeCell ref="H403:J403"/>
    <mergeCell ref="B405:L405"/>
    <mergeCell ref="I410:J410"/>
    <mergeCell ref="I334:J334"/>
    <mergeCell ref="H335:J335"/>
    <mergeCell ref="H336:J336"/>
    <mergeCell ref="H337:J337"/>
    <mergeCell ref="B339:L339"/>
    <mergeCell ref="I387:J387"/>
    <mergeCell ref="I388:J388"/>
    <mergeCell ref="H389:J389"/>
    <mergeCell ref="H390:J390"/>
    <mergeCell ref="H314:J314"/>
    <mergeCell ref="B316:L316"/>
    <mergeCell ref="I321:J321"/>
    <mergeCell ref="I322:J322"/>
    <mergeCell ref="H323:J323"/>
    <mergeCell ref="H324:J324"/>
    <mergeCell ref="H325:J325"/>
    <mergeCell ref="B327:L327"/>
    <mergeCell ref="I333:J333"/>
    <mergeCell ref="I300:J300"/>
    <mergeCell ref="H301:J301"/>
    <mergeCell ref="H302:J302"/>
    <mergeCell ref="H303:J303"/>
    <mergeCell ref="B305:L305"/>
    <mergeCell ref="I310:J310"/>
    <mergeCell ref="I311:J311"/>
    <mergeCell ref="H312:J312"/>
    <mergeCell ref="H313:J313"/>
    <mergeCell ref="H280:J280"/>
    <mergeCell ref="B282:L282"/>
    <mergeCell ref="I288:J288"/>
    <mergeCell ref="I289:J289"/>
    <mergeCell ref="H290:J290"/>
    <mergeCell ref="H291:J291"/>
    <mergeCell ref="H292:J292"/>
    <mergeCell ref="B294:L294"/>
    <mergeCell ref="I299:J299"/>
    <mergeCell ref="I266:J266"/>
    <mergeCell ref="H267:J267"/>
    <mergeCell ref="H268:J268"/>
    <mergeCell ref="H269:J269"/>
    <mergeCell ref="B271:L271"/>
    <mergeCell ref="I276:J276"/>
    <mergeCell ref="I277:J277"/>
    <mergeCell ref="H278:J278"/>
    <mergeCell ref="H279:J279"/>
    <mergeCell ref="H196:J196"/>
    <mergeCell ref="B198:L198"/>
    <mergeCell ref="I253:J253"/>
    <mergeCell ref="I254:J254"/>
    <mergeCell ref="H255:J255"/>
    <mergeCell ref="H256:J256"/>
    <mergeCell ref="H257:J257"/>
    <mergeCell ref="B259:L259"/>
    <mergeCell ref="I265:J265"/>
    <mergeCell ref="I182:J182"/>
    <mergeCell ref="H183:J183"/>
    <mergeCell ref="H184:J184"/>
    <mergeCell ref="H185:J185"/>
    <mergeCell ref="B187:L187"/>
    <mergeCell ref="I192:J192"/>
    <mergeCell ref="I193:J193"/>
    <mergeCell ref="H194:J194"/>
    <mergeCell ref="H195:J195"/>
    <mergeCell ref="H164:J164"/>
    <mergeCell ref="B166:L166"/>
    <mergeCell ref="I170:J170"/>
    <mergeCell ref="I171:J171"/>
    <mergeCell ref="H172:J172"/>
    <mergeCell ref="H173:J173"/>
    <mergeCell ref="H174:J174"/>
    <mergeCell ref="B176:L176"/>
    <mergeCell ref="I181:J181"/>
    <mergeCell ref="I151:J151"/>
    <mergeCell ref="H152:J152"/>
    <mergeCell ref="H153:J153"/>
    <mergeCell ref="H154:J154"/>
    <mergeCell ref="B156:L156"/>
    <mergeCell ref="I160:J160"/>
    <mergeCell ref="I161:J161"/>
    <mergeCell ref="H162:J162"/>
    <mergeCell ref="H163:J163"/>
    <mergeCell ref="H129:J129"/>
    <mergeCell ref="B131:L131"/>
    <mergeCell ref="I139:J139"/>
    <mergeCell ref="I140:J140"/>
    <mergeCell ref="H141:J141"/>
    <mergeCell ref="H142:J142"/>
    <mergeCell ref="H143:J143"/>
    <mergeCell ref="B145:L145"/>
    <mergeCell ref="I150:J150"/>
    <mergeCell ref="I112:J112"/>
    <mergeCell ref="H113:J113"/>
    <mergeCell ref="H114:J114"/>
    <mergeCell ref="H115:J115"/>
    <mergeCell ref="B117:L117"/>
    <mergeCell ref="I125:J125"/>
    <mergeCell ref="I126:J126"/>
    <mergeCell ref="H127:J127"/>
    <mergeCell ref="H128:J128"/>
    <mergeCell ref="H94:J94"/>
    <mergeCell ref="B96:L96"/>
    <mergeCell ref="I100:J100"/>
    <mergeCell ref="I101:J101"/>
    <mergeCell ref="H102:J102"/>
    <mergeCell ref="H103:J103"/>
    <mergeCell ref="H104:J104"/>
    <mergeCell ref="B106:L106"/>
    <mergeCell ref="I111:J111"/>
    <mergeCell ref="I81:J81"/>
    <mergeCell ref="H82:J82"/>
    <mergeCell ref="H83:J83"/>
    <mergeCell ref="H84:J84"/>
    <mergeCell ref="B86:L86"/>
    <mergeCell ref="I90:J90"/>
    <mergeCell ref="I91:J91"/>
    <mergeCell ref="H92:J92"/>
    <mergeCell ref="H93:J93"/>
    <mergeCell ref="H64:J64"/>
    <mergeCell ref="B66:L66"/>
    <mergeCell ref="I70:J70"/>
    <mergeCell ref="I71:J71"/>
    <mergeCell ref="H72:J72"/>
    <mergeCell ref="H73:J73"/>
    <mergeCell ref="H74:J74"/>
    <mergeCell ref="B76:L76"/>
    <mergeCell ref="I80:J80"/>
    <mergeCell ref="I51:J51"/>
    <mergeCell ref="H52:J52"/>
    <mergeCell ref="H53:J53"/>
    <mergeCell ref="H54:J54"/>
    <mergeCell ref="B56:L56"/>
    <mergeCell ref="I60:J60"/>
    <mergeCell ref="I61:J61"/>
    <mergeCell ref="H62:J62"/>
    <mergeCell ref="H63:J63"/>
    <mergeCell ref="H25:J25"/>
    <mergeCell ref="B27:L27"/>
    <mergeCell ref="I40:J40"/>
    <mergeCell ref="I41:J41"/>
    <mergeCell ref="H42:J42"/>
    <mergeCell ref="H43:J43"/>
    <mergeCell ref="H44:J44"/>
    <mergeCell ref="B46:L46"/>
    <mergeCell ref="I50:J50"/>
    <mergeCell ref="B2:L2"/>
    <mergeCell ref="B3:L3"/>
    <mergeCell ref="B4:L4"/>
    <mergeCell ref="B6:L6"/>
    <mergeCell ref="B8:L8"/>
    <mergeCell ref="I21:J21"/>
    <mergeCell ref="I22:J22"/>
    <mergeCell ref="H23:J23"/>
    <mergeCell ref="H24:J24"/>
  </mergeCells>
  <printOptions horizontalCentered="1"/>
  <pageMargins left="0.51180555555555596" right="0.51180555555555596" top="0.78749999999999998" bottom="0.98402777777777795" header="0.511811023622047" footer="0.511811023622047"/>
  <pageSetup paperSize="9" scale="47" fitToHeight="16"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L1734"/>
  <sheetViews>
    <sheetView view="pageBreakPreview" topLeftCell="A656" zoomScale="75" zoomScaleNormal="80" zoomScalePageLayoutView="75" workbookViewId="0">
      <selection activeCell="K685" sqref="K685"/>
    </sheetView>
  </sheetViews>
  <sheetFormatPr defaultColWidth="8.88671875" defaultRowHeight="14.4"/>
  <cols>
    <col min="1" max="1" width="2.44140625" customWidth="1"/>
    <col min="2" max="2" width="32.88671875" customWidth="1"/>
    <col min="3" max="3" width="13.5546875" customWidth="1"/>
    <col min="4" max="4" width="9.44140625" customWidth="1"/>
    <col min="5" max="5" width="10.109375" customWidth="1"/>
    <col min="6" max="6" width="10.6640625" customWidth="1"/>
    <col min="7" max="8" width="9.44140625" customWidth="1"/>
    <col min="9" max="9" width="14.5546875" customWidth="1"/>
    <col min="10" max="10" width="10.88671875" customWidth="1"/>
    <col min="11" max="11" width="16.88671875" customWidth="1"/>
    <col min="12" max="12" width="25" customWidth="1"/>
    <col min="13" max="13" width="2.5546875" customWidth="1"/>
    <col min="15" max="15" width="10.109375" customWidth="1"/>
  </cols>
  <sheetData>
    <row r="1" spans="2:12" ht="6" customHeight="1"/>
    <row r="2" spans="2:12" ht="29.25" customHeight="1">
      <c r="B2" s="551"/>
      <c r="C2" s="551"/>
      <c r="D2" s="551"/>
      <c r="E2" s="551"/>
      <c r="F2" s="551"/>
      <c r="G2" s="551"/>
      <c r="H2" s="551"/>
      <c r="I2" s="551"/>
      <c r="J2" s="551"/>
      <c r="K2" s="551"/>
      <c r="L2" s="551"/>
    </row>
    <row r="3" spans="2:12" ht="29.25" customHeight="1">
      <c r="B3" s="552" t="s">
        <v>4</v>
      </c>
      <c r="C3" s="552"/>
      <c r="D3" s="552"/>
      <c r="E3" s="552"/>
      <c r="F3" s="552"/>
      <c r="G3" s="552"/>
      <c r="H3" s="552"/>
      <c r="I3" s="552"/>
      <c r="J3" s="552"/>
      <c r="K3" s="552"/>
      <c r="L3" s="552"/>
    </row>
    <row r="4" spans="2:12" ht="29.25" customHeight="1">
      <c r="B4" s="553"/>
      <c r="C4" s="553"/>
      <c r="D4" s="553"/>
      <c r="E4" s="553"/>
      <c r="F4" s="553"/>
      <c r="G4" s="553"/>
      <c r="H4" s="553"/>
      <c r="I4" s="553"/>
      <c r="J4" s="553"/>
      <c r="K4" s="553"/>
      <c r="L4" s="553"/>
    </row>
    <row r="5" spans="2:12" ht="6" customHeight="1">
      <c r="B5" s="186"/>
      <c r="C5" s="186"/>
      <c r="D5" s="186"/>
      <c r="E5" s="186"/>
      <c r="F5" s="186"/>
      <c r="G5" s="186"/>
      <c r="H5" s="186"/>
      <c r="I5" s="186"/>
      <c r="J5" s="186"/>
      <c r="K5" s="186"/>
      <c r="L5" s="186"/>
    </row>
    <row r="6" spans="2:12" ht="22.8">
      <c r="B6" s="554" t="s">
        <v>1930</v>
      </c>
      <c r="C6" s="554"/>
      <c r="D6" s="554"/>
      <c r="E6" s="554"/>
      <c r="F6" s="554"/>
      <c r="G6" s="554"/>
      <c r="H6" s="554"/>
      <c r="I6" s="554"/>
      <c r="J6" s="554"/>
      <c r="K6" s="554"/>
      <c r="L6" s="554"/>
    </row>
    <row r="8" spans="2:12" ht="14.25" customHeight="1">
      <c r="B8" s="247" t="s">
        <v>69</v>
      </c>
      <c r="C8" s="565" t="str">
        <f>VLOOKUP(B8,'BM 011'!$B$28:$R$681,2,0)</f>
        <v>ADMINISTRAÇÃO LOCAL DE OBRA</v>
      </c>
      <c r="D8" s="565"/>
      <c r="E8" s="565"/>
      <c r="F8" s="565"/>
      <c r="G8" s="565"/>
      <c r="H8" s="565"/>
      <c r="I8" s="565"/>
      <c r="J8" s="565"/>
      <c r="K8" s="565"/>
      <c r="L8" s="565"/>
    </row>
    <row r="9" spans="2:12">
      <c r="B9" s="187" t="s">
        <v>1209</v>
      </c>
      <c r="C9" s="187"/>
      <c r="D9" s="187" t="s">
        <v>39</v>
      </c>
      <c r="E9" s="187" t="s">
        <v>1210</v>
      </c>
      <c r="F9" s="187" t="s">
        <v>1211</v>
      </c>
      <c r="G9" s="187" t="s">
        <v>1212</v>
      </c>
      <c r="H9" s="187" t="s">
        <v>1213</v>
      </c>
      <c r="I9" s="187" t="s">
        <v>1214</v>
      </c>
      <c r="J9" s="187" t="s">
        <v>1215</v>
      </c>
      <c r="K9" s="187" t="s">
        <v>1216</v>
      </c>
      <c r="L9" s="187" t="s">
        <v>1217</v>
      </c>
    </row>
    <row r="10" spans="2:12">
      <c r="B10" s="188" t="s">
        <v>1218</v>
      </c>
      <c r="C10" s="189" t="s">
        <v>1219</v>
      </c>
      <c r="D10" s="190" t="s">
        <v>1220</v>
      </c>
      <c r="E10" s="191"/>
      <c r="F10" s="192"/>
      <c r="G10" s="192"/>
      <c r="H10" s="191"/>
      <c r="I10" s="193">
        <v>0.41199999999999998</v>
      </c>
      <c r="J10" s="194"/>
      <c r="K10" s="195">
        <f t="shared" ref="K10:K21" si="0">IF(E10*F10*G10&lt;&gt;0,E10*F10*G10,IF(E10*F10&lt;&gt;0,E10*F10,IF(F10*G10&lt;&gt;0,F10*G10,IF(E10*G10&lt;&gt;0,E10*G10,IF(E10&lt;&gt;0,E10,IF(F10&lt;&gt;0,F10,IF(G10&lt;&gt;0,G10,0)))))))*(IF(H10&lt;&gt;0,H10,1))+I10-J10</f>
        <v>0.41199999999999998</v>
      </c>
      <c r="L10" s="196"/>
    </row>
    <row r="11" spans="2:12">
      <c r="B11" s="197" t="s">
        <v>1218</v>
      </c>
      <c r="C11" s="189" t="s">
        <v>1240</v>
      </c>
      <c r="D11" s="190" t="s">
        <v>1226</v>
      </c>
      <c r="E11" s="199"/>
      <c r="F11" s="199"/>
      <c r="G11" s="199"/>
      <c r="H11" s="199"/>
      <c r="I11" s="193">
        <v>0.71599999999999997</v>
      </c>
      <c r="J11" s="201"/>
      <c r="K11" s="195">
        <f t="shared" si="0"/>
        <v>0.71599999999999997</v>
      </c>
      <c r="L11" s="196"/>
    </row>
    <row r="12" spans="2:12">
      <c r="B12" s="197" t="s">
        <v>1218</v>
      </c>
      <c r="C12" s="189" t="s">
        <v>1271</v>
      </c>
      <c r="D12" s="190" t="s">
        <v>1226</v>
      </c>
      <c r="E12" s="199"/>
      <c r="F12" s="199"/>
      <c r="G12" s="199"/>
      <c r="H12" s="199"/>
      <c r="I12" s="193">
        <v>0.432</v>
      </c>
      <c r="J12" s="201"/>
      <c r="K12" s="195">
        <f t="shared" si="0"/>
        <v>0.432</v>
      </c>
      <c r="L12" s="196"/>
    </row>
    <row r="13" spans="2:12">
      <c r="B13" s="197" t="s">
        <v>1218</v>
      </c>
      <c r="C13" s="189" t="s">
        <v>1333</v>
      </c>
      <c r="D13" s="190" t="s">
        <v>1226</v>
      </c>
      <c r="E13" s="199"/>
      <c r="F13" s="199"/>
      <c r="G13" s="199"/>
      <c r="H13" s="199"/>
      <c r="I13" s="193">
        <v>0.53600000000000003</v>
      </c>
      <c r="J13" s="201"/>
      <c r="K13" s="195">
        <f t="shared" si="0"/>
        <v>0.53600000000000003</v>
      </c>
      <c r="L13" s="196"/>
    </row>
    <row r="14" spans="2:12">
      <c r="B14" s="197" t="s">
        <v>1218</v>
      </c>
      <c r="C14" s="189" t="s">
        <v>1441</v>
      </c>
      <c r="D14" s="190" t="s">
        <v>1226</v>
      </c>
      <c r="E14" s="199"/>
      <c r="F14" s="199"/>
      <c r="G14" s="199"/>
      <c r="H14" s="199"/>
      <c r="I14" s="193">
        <v>0.66600000000000004</v>
      </c>
      <c r="J14" s="201"/>
      <c r="K14" s="195">
        <f t="shared" si="0"/>
        <v>0.66600000000000004</v>
      </c>
      <c r="L14" s="196"/>
    </row>
    <row r="15" spans="2:12">
      <c r="B15" s="197" t="s">
        <v>1218</v>
      </c>
      <c r="C15" s="189" t="s">
        <v>1521</v>
      </c>
      <c r="D15" s="190" t="s">
        <v>1226</v>
      </c>
      <c r="E15" s="199"/>
      <c r="F15" s="199"/>
      <c r="G15" s="199"/>
      <c r="H15" s="199"/>
      <c r="I15" s="193">
        <v>0.59399999999999997</v>
      </c>
      <c r="J15" s="201"/>
      <c r="K15" s="195">
        <f t="shared" si="0"/>
        <v>0.59399999999999997</v>
      </c>
      <c r="L15" s="196"/>
    </row>
    <row r="16" spans="2:12">
      <c r="B16" s="197" t="s">
        <v>1218</v>
      </c>
      <c r="C16" s="189" t="s">
        <v>1611</v>
      </c>
      <c r="D16" s="190" t="s">
        <v>1226</v>
      </c>
      <c r="E16" s="199"/>
      <c r="F16" s="199"/>
      <c r="G16" s="199"/>
      <c r="H16" s="199"/>
      <c r="I16" s="193">
        <v>0.59799999999999998</v>
      </c>
      <c r="J16" s="201"/>
      <c r="K16" s="195">
        <f t="shared" si="0"/>
        <v>0.59799999999999998</v>
      </c>
      <c r="L16" s="196"/>
    </row>
    <row r="17" spans="2:12">
      <c r="B17" s="197" t="s">
        <v>1218</v>
      </c>
      <c r="C17" s="189" t="s">
        <v>1612</v>
      </c>
      <c r="D17" s="190" t="s">
        <v>1226</v>
      </c>
      <c r="E17" s="199"/>
      <c r="F17" s="199"/>
      <c r="G17" s="199"/>
      <c r="H17" s="199"/>
      <c r="I17" s="193">
        <f>I37*20</f>
        <v>0.77799999999999991</v>
      </c>
      <c r="J17" s="201"/>
      <c r="K17" s="195">
        <f t="shared" si="0"/>
        <v>0.77799999999999991</v>
      </c>
      <c r="L17" s="196"/>
    </row>
    <row r="18" spans="2:12">
      <c r="B18" s="197" t="s">
        <v>1218</v>
      </c>
      <c r="C18" s="189" t="s">
        <v>1613</v>
      </c>
      <c r="D18" s="190" t="s">
        <v>1226</v>
      </c>
      <c r="E18" s="199"/>
      <c r="F18" s="199"/>
      <c r="G18" s="199"/>
      <c r="H18" s="199"/>
      <c r="I18" s="193">
        <f>I38*20</f>
        <v>0.42399999999999999</v>
      </c>
      <c r="J18" s="201"/>
      <c r="K18" s="195">
        <f t="shared" si="0"/>
        <v>0.42399999999999999</v>
      </c>
      <c r="L18" s="196"/>
    </row>
    <row r="19" spans="2:12">
      <c r="B19" s="197" t="s">
        <v>1218</v>
      </c>
      <c r="C19" s="189" t="s">
        <v>1895</v>
      </c>
      <c r="D19" s="190" t="s">
        <v>1226</v>
      </c>
      <c r="E19" s="199"/>
      <c r="F19" s="199"/>
      <c r="G19" s="199"/>
      <c r="H19" s="199"/>
      <c r="I19" s="193">
        <f>I39*20</f>
        <v>0.45800000000000002</v>
      </c>
      <c r="J19" s="201"/>
      <c r="K19" s="195">
        <f t="shared" si="0"/>
        <v>0.45800000000000002</v>
      </c>
      <c r="L19" s="196"/>
    </row>
    <row r="20" spans="2:12">
      <c r="B20" s="197" t="s">
        <v>1218</v>
      </c>
      <c r="C20" s="189" t="s">
        <v>1931</v>
      </c>
      <c r="D20" s="190" t="s">
        <v>1226</v>
      </c>
      <c r="E20" s="199"/>
      <c r="F20" s="199"/>
      <c r="G20" s="199"/>
      <c r="H20" s="199"/>
      <c r="I20" s="193">
        <v>1.6474</v>
      </c>
      <c r="J20" s="201"/>
      <c r="K20" s="195">
        <f t="shared" si="0"/>
        <v>1.6474</v>
      </c>
      <c r="L20" s="196"/>
    </row>
    <row r="21" spans="2:12">
      <c r="B21" s="197"/>
      <c r="C21" s="189"/>
      <c r="D21" s="190"/>
      <c r="E21" s="199"/>
      <c r="F21" s="199"/>
      <c r="G21" s="199"/>
      <c r="H21" s="199"/>
      <c r="I21" s="193"/>
      <c r="J21" s="201"/>
      <c r="K21" s="195">
        <f t="shared" si="0"/>
        <v>0</v>
      </c>
      <c r="L21" s="196"/>
    </row>
    <row r="22" spans="2:12">
      <c r="B22" s="202"/>
      <c r="C22" s="203"/>
      <c r="D22" s="203"/>
      <c r="E22" s="203"/>
      <c r="F22" s="203"/>
      <c r="G22" s="203"/>
      <c r="H22" s="204"/>
      <c r="I22" s="556" t="s">
        <v>1221</v>
      </c>
      <c r="J22" s="556"/>
      <c r="K22" s="206">
        <f>SUM(K10:K21)</f>
        <v>7.2614000000000001</v>
      </c>
      <c r="L22" s="207"/>
    </row>
    <row r="23" spans="2:12">
      <c r="B23" s="208"/>
      <c r="C23" s="204"/>
      <c r="D23" s="204"/>
      <c r="E23" s="204"/>
      <c r="F23" s="204"/>
      <c r="G23" s="204"/>
      <c r="H23" s="209"/>
      <c r="I23" s="557" t="s">
        <v>1222</v>
      </c>
      <c r="J23" s="557"/>
      <c r="K23" s="211">
        <v>20</v>
      </c>
      <c r="L23" s="207"/>
    </row>
    <row r="24" spans="2:12">
      <c r="B24" s="208"/>
      <c r="C24" s="204"/>
      <c r="D24" s="204"/>
      <c r="E24" s="204"/>
      <c r="F24" s="204"/>
      <c r="G24" s="204"/>
      <c r="H24" s="558" t="s">
        <v>1223</v>
      </c>
      <c r="I24" s="558"/>
      <c r="J24" s="558"/>
      <c r="K24" s="212">
        <v>5.6139999999999999</v>
      </c>
      <c r="L24" s="207"/>
    </row>
    <row r="25" spans="2:12">
      <c r="B25" s="208"/>
      <c r="C25" s="204"/>
      <c r="D25" s="204"/>
      <c r="E25" s="204"/>
      <c r="F25" s="204"/>
      <c r="G25" s="204"/>
      <c r="H25" s="558" t="s">
        <v>1891</v>
      </c>
      <c r="I25" s="558"/>
      <c r="J25" s="558"/>
      <c r="K25" s="212">
        <f>IF(K22&gt;K23,K23,K22)-K24</f>
        <v>1.6474000000000002</v>
      </c>
      <c r="L25" s="207"/>
    </row>
    <row r="26" spans="2:12">
      <c r="B26" s="213"/>
      <c r="C26" s="214"/>
      <c r="D26" s="214"/>
      <c r="E26" s="214"/>
      <c r="F26" s="214"/>
      <c r="G26" s="214"/>
      <c r="H26" s="559" t="s">
        <v>1224</v>
      </c>
      <c r="I26" s="559"/>
      <c r="J26" s="559"/>
      <c r="K26" s="215">
        <f>IF(K22&gt;K23,K22-K23,0)</f>
        <v>0</v>
      </c>
      <c r="L26" s="209"/>
    </row>
    <row r="28" spans="2:12" ht="14.25" customHeight="1">
      <c r="B28" s="247" t="s">
        <v>71</v>
      </c>
      <c r="C28" s="565" t="str">
        <f>VLOOKUP(B28,'BM 011'!$B$28:$R$681,2,0)</f>
        <v>Atendimento as normas da legislação de segurança e medicina do trabalho, incluindo encargos intersindicais (alimentação e vale transportes, exames médicos, epi, epc), projeto e execução das instalações provisórias de energia (exceto consumo), inclusive laudos técnicos, fretes e transportes internos, (incluindo vertical), ferramentas e equipamentos necessários, iluminação e sinalização provisórias, seguro de vida de engenharia, materiais de consumo e limpeza do canteiro, segurança, combustíveis, equipamentos de proteção coletiva (projeto de linha de vida, projeto de execução de estruturas necessárias de trabalho em fachadas, bandejas de proteção e telas, laudos de inspeção de segurança), duto coletor de entulho, controle tecnológico dos materiais e ensaios, implantação e atendimento ao PGRCC.</v>
      </c>
      <c r="D28" s="565"/>
      <c r="E28" s="565"/>
      <c r="F28" s="565"/>
      <c r="G28" s="565"/>
      <c r="H28" s="565"/>
      <c r="I28" s="565"/>
      <c r="J28" s="565"/>
      <c r="K28" s="565"/>
      <c r="L28" s="565"/>
    </row>
    <row r="29" spans="2:12">
      <c r="B29" s="187" t="s">
        <v>1209</v>
      </c>
      <c r="C29" s="187"/>
      <c r="D29" s="187" t="s">
        <v>39</v>
      </c>
      <c r="E29" s="187" t="s">
        <v>1210</v>
      </c>
      <c r="F29" s="187" t="s">
        <v>1211</v>
      </c>
      <c r="G29" s="187" t="s">
        <v>1212</v>
      </c>
      <c r="H29" s="187" t="s">
        <v>1213</v>
      </c>
      <c r="I29" s="187" t="s">
        <v>1214</v>
      </c>
      <c r="J29" s="187" t="s">
        <v>1215</v>
      </c>
      <c r="K29" s="187" t="s">
        <v>1216</v>
      </c>
      <c r="L29" s="187" t="s">
        <v>1217</v>
      </c>
    </row>
    <row r="30" spans="2:12">
      <c r="B30" s="188" t="s">
        <v>1218</v>
      </c>
      <c r="C30" s="189" t="s">
        <v>1219</v>
      </c>
      <c r="D30" s="190" t="s">
        <v>1226</v>
      </c>
      <c r="E30" s="191"/>
      <c r="F30" s="192"/>
      <c r="G30" s="192"/>
      <c r="H30" s="191"/>
      <c r="I30" s="193">
        <v>2.06E-2</v>
      </c>
      <c r="J30" s="194"/>
      <c r="K30" s="195">
        <f t="shared" ref="K30:K41" si="1">IF(E30*F30*G30&lt;&gt;0,E30*F30*G30,IF(E30*F30&lt;&gt;0,E30*F30,IF(F30*G30&lt;&gt;0,F30*G30,IF(E30*G30&lt;&gt;0,E30*G30,IF(E30&lt;&gt;0,E30,IF(F30&lt;&gt;0,F30,IF(G30&lt;&gt;0,G30,0)))))))*(IF(H30&lt;&gt;0,H30,1))+I30-J30</f>
        <v>2.06E-2</v>
      </c>
      <c r="L30" s="196"/>
    </row>
    <row r="31" spans="2:12">
      <c r="B31" s="197" t="s">
        <v>1218</v>
      </c>
      <c r="C31" s="189" t="s">
        <v>1240</v>
      </c>
      <c r="D31" s="190" t="s">
        <v>1226</v>
      </c>
      <c r="E31" s="199"/>
      <c r="F31" s="199"/>
      <c r="G31" s="199"/>
      <c r="H31" s="199"/>
      <c r="I31" s="193">
        <v>3.5799999999999998E-2</v>
      </c>
      <c r="J31" s="201"/>
      <c r="K31" s="195">
        <f t="shared" si="1"/>
        <v>3.5799999999999998E-2</v>
      </c>
      <c r="L31" s="196"/>
    </row>
    <row r="32" spans="2:12">
      <c r="B32" s="197" t="s">
        <v>1218</v>
      </c>
      <c r="C32" s="189" t="s">
        <v>1271</v>
      </c>
      <c r="D32" s="190" t="s">
        <v>1226</v>
      </c>
      <c r="E32" s="199"/>
      <c r="F32" s="199"/>
      <c r="G32" s="199"/>
      <c r="H32" s="199"/>
      <c r="I32" s="193">
        <v>2.1600000000000001E-2</v>
      </c>
      <c r="J32" s="201"/>
      <c r="K32" s="195">
        <f t="shared" si="1"/>
        <v>2.1600000000000001E-2</v>
      </c>
      <c r="L32" s="196"/>
    </row>
    <row r="33" spans="2:12">
      <c r="B33" s="197" t="s">
        <v>1218</v>
      </c>
      <c r="C33" s="189" t="s">
        <v>1333</v>
      </c>
      <c r="D33" s="190" t="s">
        <v>1226</v>
      </c>
      <c r="E33" s="199"/>
      <c r="F33" s="199"/>
      <c r="G33" s="199"/>
      <c r="H33" s="199"/>
      <c r="I33" s="193">
        <v>2.6800000000000001E-2</v>
      </c>
      <c r="J33" s="201"/>
      <c r="K33" s="195">
        <f t="shared" si="1"/>
        <v>2.6800000000000001E-2</v>
      </c>
      <c r="L33" s="196"/>
    </row>
    <row r="34" spans="2:12">
      <c r="B34" s="197" t="s">
        <v>1218</v>
      </c>
      <c r="C34" s="189" t="s">
        <v>1441</v>
      </c>
      <c r="D34" s="190" t="s">
        <v>1226</v>
      </c>
      <c r="E34" s="199"/>
      <c r="F34" s="199"/>
      <c r="G34" s="199"/>
      <c r="H34" s="199"/>
      <c r="I34" s="193">
        <v>3.3300000000000003E-2</v>
      </c>
      <c r="J34" s="201"/>
      <c r="K34" s="195">
        <f t="shared" si="1"/>
        <v>3.3300000000000003E-2</v>
      </c>
      <c r="L34" s="196"/>
    </row>
    <row r="35" spans="2:12">
      <c r="B35" s="197" t="s">
        <v>1218</v>
      </c>
      <c r="C35" s="189" t="s">
        <v>1521</v>
      </c>
      <c r="D35" s="190" t="s">
        <v>1226</v>
      </c>
      <c r="E35" s="199"/>
      <c r="F35" s="199"/>
      <c r="G35" s="199"/>
      <c r="H35" s="199"/>
      <c r="I35" s="193">
        <v>2.9700000000000001E-2</v>
      </c>
      <c r="J35" s="201"/>
      <c r="K35" s="195">
        <f t="shared" si="1"/>
        <v>2.9700000000000001E-2</v>
      </c>
      <c r="L35" s="196"/>
    </row>
    <row r="36" spans="2:12">
      <c r="B36" s="197" t="s">
        <v>1218</v>
      </c>
      <c r="C36" s="189" t="s">
        <v>1611</v>
      </c>
      <c r="D36" s="190" t="s">
        <v>1226</v>
      </c>
      <c r="E36" s="199"/>
      <c r="F36" s="199"/>
      <c r="G36" s="199"/>
      <c r="H36" s="199"/>
      <c r="I36" s="193">
        <v>2.9899999999999999E-2</v>
      </c>
      <c r="J36" s="201"/>
      <c r="K36" s="195">
        <f t="shared" si="1"/>
        <v>2.9899999999999999E-2</v>
      </c>
      <c r="L36" s="196"/>
    </row>
    <row r="37" spans="2:12">
      <c r="B37" s="197" t="s">
        <v>1218</v>
      </c>
      <c r="C37" s="189" t="s">
        <v>1612</v>
      </c>
      <c r="D37" s="190" t="s">
        <v>1226</v>
      </c>
      <c r="E37" s="199"/>
      <c r="F37" s="199"/>
      <c r="G37" s="199"/>
      <c r="H37" s="199"/>
      <c r="I37" s="193">
        <v>3.8899999999999997E-2</v>
      </c>
      <c r="J37" s="201"/>
      <c r="K37" s="195">
        <f t="shared" si="1"/>
        <v>3.8899999999999997E-2</v>
      </c>
      <c r="L37" s="196"/>
    </row>
    <row r="38" spans="2:12">
      <c r="B38" s="197" t="s">
        <v>1218</v>
      </c>
      <c r="C38" s="189" t="s">
        <v>1613</v>
      </c>
      <c r="D38" s="190" t="s">
        <v>1226</v>
      </c>
      <c r="E38" s="199"/>
      <c r="F38" s="199"/>
      <c r="G38" s="199"/>
      <c r="H38" s="199"/>
      <c r="I38" s="193">
        <v>2.12E-2</v>
      </c>
      <c r="J38" s="201"/>
      <c r="K38" s="195">
        <f t="shared" si="1"/>
        <v>2.12E-2</v>
      </c>
      <c r="L38" s="196"/>
    </row>
    <row r="39" spans="2:12">
      <c r="B39" s="197" t="s">
        <v>1218</v>
      </c>
      <c r="C39" s="189" t="s">
        <v>1895</v>
      </c>
      <c r="D39" s="190" t="s">
        <v>1226</v>
      </c>
      <c r="E39" s="199"/>
      <c r="F39" s="199"/>
      <c r="G39" s="199"/>
      <c r="H39" s="199"/>
      <c r="I39" s="193">
        <v>2.29E-2</v>
      </c>
      <c r="J39" s="201"/>
      <c r="K39" s="195">
        <f t="shared" si="1"/>
        <v>2.29E-2</v>
      </c>
      <c r="L39" s="196"/>
    </row>
    <row r="40" spans="2:12">
      <c r="B40" s="197" t="s">
        <v>1218</v>
      </c>
      <c r="C40" s="189" t="s">
        <v>1931</v>
      </c>
      <c r="D40" s="190" t="s">
        <v>1226</v>
      </c>
      <c r="E40" s="199"/>
      <c r="F40" s="199"/>
      <c r="G40" s="199"/>
      <c r="H40" s="199"/>
      <c r="I40" s="193">
        <v>8.2299999999999998E-2</v>
      </c>
      <c r="J40" s="201"/>
      <c r="K40" s="195">
        <f t="shared" si="1"/>
        <v>8.2299999999999998E-2</v>
      </c>
      <c r="L40" s="196"/>
    </row>
    <row r="41" spans="2:12">
      <c r="B41" s="197"/>
      <c r="C41" s="189"/>
      <c r="D41" s="190"/>
      <c r="E41" s="199"/>
      <c r="F41" s="199"/>
      <c r="G41" s="199"/>
      <c r="H41" s="199"/>
      <c r="I41" s="193"/>
      <c r="J41" s="201"/>
      <c r="K41" s="195">
        <f t="shared" si="1"/>
        <v>0</v>
      </c>
      <c r="L41" s="196"/>
    </row>
    <row r="42" spans="2:12">
      <c r="B42" s="202"/>
      <c r="C42" s="203"/>
      <c r="D42" s="203"/>
      <c r="E42" s="203"/>
      <c r="F42" s="203"/>
      <c r="G42" s="203"/>
      <c r="H42" s="204"/>
      <c r="I42" s="556" t="s">
        <v>1221</v>
      </c>
      <c r="J42" s="556"/>
      <c r="K42" s="206">
        <f>SUM(K30:K41)</f>
        <v>0.36299999999999999</v>
      </c>
      <c r="L42" s="207"/>
    </row>
    <row r="43" spans="2:12">
      <c r="B43" s="208"/>
      <c r="C43" s="204"/>
      <c r="D43" s="204"/>
      <c r="E43" s="204"/>
      <c r="F43" s="204"/>
      <c r="G43" s="204"/>
      <c r="H43" s="209"/>
      <c r="I43" s="557" t="s">
        <v>1222</v>
      </c>
      <c r="J43" s="557"/>
      <c r="K43" s="211">
        <v>1</v>
      </c>
      <c r="L43" s="207"/>
    </row>
    <row r="44" spans="2:12">
      <c r="B44" s="208"/>
      <c r="C44" s="204"/>
      <c r="D44" s="204"/>
      <c r="E44" s="204"/>
      <c r="F44" s="204"/>
      <c r="G44" s="204"/>
      <c r="H44" s="558" t="s">
        <v>1223</v>
      </c>
      <c r="I44" s="558"/>
      <c r="J44" s="558"/>
      <c r="K44" s="212">
        <v>0.28070000000000001</v>
      </c>
      <c r="L44" s="207"/>
    </row>
    <row r="45" spans="2:12">
      <c r="B45" s="208"/>
      <c r="C45" s="204"/>
      <c r="D45" s="204"/>
      <c r="E45" s="204"/>
      <c r="F45" s="204"/>
      <c r="G45" s="204"/>
      <c r="H45" s="558" t="s">
        <v>1891</v>
      </c>
      <c r="I45" s="558"/>
      <c r="J45" s="558"/>
      <c r="K45" s="212">
        <f>IF(K42&gt;K43,K43,K42)-K44</f>
        <v>8.2299999999999984E-2</v>
      </c>
      <c r="L45" s="207"/>
    </row>
    <row r="46" spans="2:12">
      <c r="B46" s="213"/>
      <c r="C46" s="214"/>
      <c r="D46" s="214"/>
      <c r="E46" s="214"/>
      <c r="F46" s="214"/>
      <c r="G46" s="214"/>
      <c r="H46" s="559" t="s">
        <v>1224</v>
      </c>
      <c r="I46" s="559"/>
      <c r="J46" s="559"/>
      <c r="K46" s="215">
        <f>IF(K42&gt;K43,K42-K43,0)</f>
        <v>0</v>
      </c>
      <c r="L46" s="209"/>
    </row>
    <row r="48" spans="2:12" ht="14.25" customHeight="1">
      <c r="B48" s="555" t="s">
        <v>1227</v>
      </c>
      <c r="C48" s="555"/>
      <c r="D48" s="555"/>
      <c r="E48" s="555"/>
      <c r="F48" s="555"/>
      <c r="G48" s="555"/>
      <c r="H48" s="555"/>
      <c r="I48" s="555"/>
      <c r="J48" s="555"/>
      <c r="K48" s="555"/>
      <c r="L48" s="555"/>
    </row>
    <row r="49" spans="2:12">
      <c r="B49" s="187" t="s">
        <v>1209</v>
      </c>
      <c r="C49" s="187"/>
      <c r="D49" s="187" t="s">
        <v>39</v>
      </c>
      <c r="E49" s="187" t="s">
        <v>1210</v>
      </c>
      <c r="F49" s="187" t="s">
        <v>1211</v>
      </c>
      <c r="G49" s="187" t="s">
        <v>1212</v>
      </c>
      <c r="H49" s="187" t="s">
        <v>1213</v>
      </c>
      <c r="I49" s="187" t="s">
        <v>1214</v>
      </c>
      <c r="J49" s="187" t="s">
        <v>1215</v>
      </c>
      <c r="K49" s="187" t="s">
        <v>1216</v>
      </c>
      <c r="L49" s="187" t="s">
        <v>1217</v>
      </c>
    </row>
    <row r="50" spans="2:12">
      <c r="B50" s="188" t="s">
        <v>1228</v>
      </c>
      <c r="C50" s="189" t="s">
        <v>1219</v>
      </c>
      <c r="D50" s="190" t="s">
        <v>39</v>
      </c>
      <c r="E50" s="191">
        <v>64</v>
      </c>
      <c r="F50" s="192"/>
      <c r="G50" s="192">
        <v>2</v>
      </c>
      <c r="H50" s="191"/>
      <c r="I50" s="191"/>
      <c r="J50" s="216"/>
      <c r="K50" s="217">
        <f>IF(E50*F50*G50&lt;&gt;0,E50*F50*G50,IF(E50*F50&lt;&gt;0,E50*F50,IF(F50*G50&lt;&gt;0,F50*G50,IF(E50*G50&lt;&gt;0,E50*G50,IF(E50&lt;&gt;0,E50,IF(F50&lt;&gt;0,F50,IF(G50&lt;&gt;0,G50,0)))))))*(IF(H50&lt;&gt;0,H50,1))+I50-J50</f>
        <v>128</v>
      </c>
      <c r="L50" s="218"/>
    </row>
    <row r="51" spans="2:12">
      <c r="B51" s="197"/>
      <c r="C51" s="189"/>
      <c r="D51" s="198"/>
      <c r="E51" s="199"/>
      <c r="F51" s="199"/>
      <c r="G51" s="199"/>
      <c r="H51" s="199"/>
      <c r="I51" s="199"/>
      <c r="J51" s="219"/>
      <c r="K51" s="217">
        <f>IF(E51*F51*G51&lt;&gt;0,E51*F51*G51,IF(E51*F51&lt;&gt;0,E51*F51,IF(F51*G51&lt;&gt;0,F51*G51,IF(E51*G51&lt;&gt;0,E51*G51,IF(E51&lt;&gt;0,E51,IF(F51&lt;&gt;0,F51,IF(G51&lt;&gt;0,G51,0)))))))*(IF(H51&lt;&gt;0,H51,1))+I51-J51</f>
        <v>0</v>
      </c>
      <c r="L51" s="218"/>
    </row>
    <row r="52" spans="2:12">
      <c r="B52" s="202"/>
      <c r="C52" s="203"/>
      <c r="D52" s="203"/>
      <c r="E52" s="203"/>
      <c r="F52" s="203"/>
      <c r="G52" s="203"/>
      <c r="H52" s="204"/>
      <c r="I52" s="556" t="s">
        <v>1221</v>
      </c>
      <c r="J52" s="556"/>
      <c r="K52" s="220">
        <f>SUM(K50:K51)</f>
        <v>128</v>
      </c>
      <c r="L52" s="207"/>
    </row>
    <row r="53" spans="2:12">
      <c r="B53" s="208"/>
      <c r="C53" s="204"/>
      <c r="D53" s="204"/>
      <c r="E53" s="204"/>
      <c r="F53" s="204"/>
      <c r="G53" s="204"/>
      <c r="H53" s="209"/>
      <c r="I53" s="557" t="s">
        <v>1222</v>
      </c>
      <c r="J53" s="557"/>
      <c r="K53" s="221">
        <v>128</v>
      </c>
      <c r="L53" s="207"/>
    </row>
    <row r="54" spans="2:12">
      <c r="B54" s="208"/>
      <c r="C54" s="204"/>
      <c r="D54" s="204"/>
      <c r="E54" s="204"/>
      <c r="F54" s="204"/>
      <c r="G54" s="204"/>
      <c r="H54" s="558" t="s">
        <v>1223</v>
      </c>
      <c r="I54" s="558"/>
      <c r="J54" s="558"/>
      <c r="K54" s="222"/>
      <c r="L54" s="207"/>
    </row>
    <row r="55" spans="2:12">
      <c r="B55" s="208"/>
      <c r="C55" s="204"/>
      <c r="D55" s="204"/>
      <c r="E55" s="204"/>
      <c r="F55" s="204"/>
      <c r="G55" s="204"/>
      <c r="H55" s="558" t="s">
        <v>1190</v>
      </c>
      <c r="I55" s="558"/>
      <c r="J55" s="558"/>
      <c r="K55" s="222">
        <f>IF(K52&gt;K53,K53,K52)-K54</f>
        <v>128</v>
      </c>
      <c r="L55" s="207"/>
    </row>
    <row r="56" spans="2:12">
      <c r="B56" s="213"/>
      <c r="C56" s="214"/>
      <c r="D56" s="214"/>
      <c r="E56" s="214"/>
      <c r="F56" s="214"/>
      <c r="G56" s="214"/>
      <c r="H56" s="559" t="s">
        <v>1224</v>
      </c>
      <c r="I56" s="559"/>
      <c r="J56" s="559"/>
      <c r="K56" s="223">
        <f>IF(K52&gt;K53,K52-K53,0)</f>
        <v>0</v>
      </c>
      <c r="L56" s="209"/>
    </row>
    <row r="58" spans="2:12">
      <c r="B58" s="247" t="s">
        <v>80</v>
      </c>
      <c r="C58" s="572" t="str">
        <f>VLOOKUP(B58,'BM 004'!$B$27:$R$590,2,0)</f>
        <v xml:space="preserve">Guarda-corpo fixado em fôrma de madeira com travessões em madeira pregada e fechamento em tela de polipropileno para edificações com até 6 pavimentos. </v>
      </c>
      <c r="D58" s="572"/>
      <c r="E58" s="572"/>
      <c r="F58" s="572"/>
      <c r="G58" s="572"/>
      <c r="H58" s="572"/>
      <c r="I58" s="572"/>
      <c r="J58" s="572"/>
      <c r="K58" s="572"/>
      <c r="L58" s="322">
        <f>K71</f>
        <v>625.58990000000006</v>
      </c>
    </row>
    <row r="59" spans="2:12">
      <c r="B59" s="248" t="s">
        <v>1209</v>
      </c>
      <c r="C59" s="248"/>
      <c r="D59" s="248" t="s">
        <v>39</v>
      </c>
      <c r="E59" s="248" t="s">
        <v>1210</v>
      </c>
      <c r="F59" s="248" t="s">
        <v>1388</v>
      </c>
      <c r="G59" s="248" t="s">
        <v>1212</v>
      </c>
      <c r="H59" s="248" t="s">
        <v>1213</v>
      </c>
      <c r="I59" s="248" t="s">
        <v>1214</v>
      </c>
      <c r="J59" s="248" t="s">
        <v>1385</v>
      </c>
      <c r="K59" s="248" t="s">
        <v>1216</v>
      </c>
      <c r="L59" s="248" t="s">
        <v>1217</v>
      </c>
    </row>
    <row r="60" spans="2:12">
      <c r="B60" s="256" t="s">
        <v>1932</v>
      </c>
      <c r="C60" s="250" t="s">
        <v>1933</v>
      </c>
      <c r="D60" s="205" t="s">
        <v>82</v>
      </c>
      <c r="E60" s="257">
        <v>156.0001</v>
      </c>
      <c r="F60" s="261"/>
      <c r="G60" s="261"/>
      <c r="H60" s="261"/>
      <c r="I60" s="261"/>
      <c r="J60" s="275"/>
      <c r="K60" s="260">
        <f t="shared" ref="K60:K65" si="2">IF(E60*F60*G60&lt;&gt;0,E60*F60*G60,IF(E60*F60&lt;&gt;0,E60*F60,IF(F60*G60&lt;&gt;0,F60*G60,IF(E60*G60&lt;&gt;0,E60*G60,IF(E60&lt;&gt;0,E60,IF(F60&lt;&gt;0,F60,IF(G60&lt;&gt;0,G60,0)))))))*(IF(H60&lt;&gt;0,H60,1))+I60-J60</f>
        <v>156.0001</v>
      </c>
      <c r="L60" s="266"/>
    </row>
    <row r="61" spans="2:12">
      <c r="B61" s="256" t="s">
        <v>1932</v>
      </c>
      <c r="C61" s="250" t="s">
        <v>1931</v>
      </c>
      <c r="D61" s="205" t="s">
        <v>82</v>
      </c>
      <c r="E61" s="257">
        <v>47.859900000000003</v>
      </c>
      <c r="F61" s="261"/>
      <c r="G61" s="261"/>
      <c r="H61" s="261"/>
      <c r="I61" s="261"/>
      <c r="J61" s="275"/>
      <c r="K61" s="260">
        <f t="shared" si="2"/>
        <v>47.859900000000003</v>
      </c>
      <c r="L61" s="266"/>
    </row>
    <row r="62" spans="2:12">
      <c r="B62" s="256" t="s">
        <v>1934</v>
      </c>
      <c r="C62" s="250" t="s">
        <v>1931</v>
      </c>
      <c r="D62" s="205" t="s">
        <v>82</v>
      </c>
      <c r="E62" s="257">
        <v>164.63</v>
      </c>
      <c r="F62" s="261"/>
      <c r="G62" s="261"/>
      <c r="H62" s="261"/>
      <c r="I62" s="261"/>
      <c r="J62" s="275"/>
      <c r="K62" s="260">
        <f t="shared" si="2"/>
        <v>164.63</v>
      </c>
      <c r="L62" s="266"/>
    </row>
    <row r="63" spans="2:12">
      <c r="B63" s="256" t="s">
        <v>1935</v>
      </c>
      <c r="C63" s="250" t="s">
        <v>1931</v>
      </c>
      <c r="D63" s="205" t="s">
        <v>82</v>
      </c>
      <c r="E63" s="257">
        <v>165.24</v>
      </c>
      <c r="F63" s="261"/>
      <c r="G63" s="261"/>
      <c r="H63" s="261"/>
      <c r="I63" s="261"/>
      <c r="J63" s="275"/>
      <c r="K63" s="260">
        <f t="shared" si="2"/>
        <v>165.24</v>
      </c>
      <c r="L63" s="266"/>
    </row>
    <row r="64" spans="2:12">
      <c r="B64" s="256" t="s">
        <v>1936</v>
      </c>
      <c r="C64" s="250" t="s">
        <v>1931</v>
      </c>
      <c r="D64" s="205" t="s">
        <v>82</v>
      </c>
      <c r="E64" s="257">
        <v>165.24</v>
      </c>
      <c r="F64" s="261"/>
      <c r="G64" s="261"/>
      <c r="H64" s="261"/>
      <c r="I64" s="261"/>
      <c r="J64" s="275"/>
      <c r="K64" s="260">
        <f t="shared" si="2"/>
        <v>165.24</v>
      </c>
      <c r="L64" s="266"/>
    </row>
    <row r="65" spans="2:12">
      <c r="B65" s="323" t="s">
        <v>1937</v>
      </c>
      <c r="C65" s="324" t="s">
        <v>1931</v>
      </c>
      <c r="D65" s="324" t="s">
        <v>82</v>
      </c>
      <c r="E65" s="325">
        <v>165.24</v>
      </c>
      <c r="F65" s="231"/>
      <c r="G65" s="231"/>
      <c r="H65" s="231">
        <v>0.5</v>
      </c>
      <c r="I65" s="231"/>
      <c r="J65" s="231"/>
      <c r="K65" s="326">
        <f t="shared" si="2"/>
        <v>82.62</v>
      </c>
      <c r="L65" s="327"/>
    </row>
    <row r="66" spans="2:12">
      <c r="B66" s="328" t="s">
        <v>1938</v>
      </c>
      <c r="C66" s="329" t="s">
        <v>1931</v>
      </c>
      <c r="D66" s="329" t="s">
        <v>82</v>
      </c>
      <c r="E66" s="259">
        <v>97.21</v>
      </c>
      <c r="F66" s="275"/>
      <c r="G66" s="275"/>
      <c r="H66" s="275"/>
      <c r="I66" s="275">
        <v>1.12698903802669E-4</v>
      </c>
      <c r="J66" s="275"/>
      <c r="K66" s="330"/>
      <c r="L66" s="331"/>
    </row>
    <row r="67" spans="2:12">
      <c r="B67" s="256"/>
      <c r="C67" s="210"/>
      <c r="D67" s="210"/>
      <c r="E67" s="257"/>
      <c r="F67" s="261"/>
      <c r="G67" s="261"/>
      <c r="H67" s="261"/>
      <c r="I67" s="261"/>
      <c r="J67" s="275"/>
      <c r="K67" s="260">
        <f>IF(E67*F67*G67&lt;&gt;0,E67*F67*G67,IF(E67*F67&lt;&gt;0,E67*F67,IF(F67*G67&lt;&gt;0,F67*G67,IF(E67*G67&lt;&gt;0,E67*G67,IF(E67&lt;&gt;0,E67,IF(F67&lt;&gt;0,F67,IF(G67&lt;&gt;0,G67,0)))))))*(IF(H67&lt;&gt;0,H67,1))+I67-J67</f>
        <v>0</v>
      </c>
      <c r="L67" s="210"/>
    </row>
    <row r="68" spans="2:12">
      <c r="B68" s="202"/>
      <c r="C68" s="203"/>
      <c r="D68" s="203"/>
      <c r="E68" s="203"/>
      <c r="F68" s="203"/>
      <c r="G68" s="203"/>
      <c r="H68" s="204"/>
      <c r="I68" s="556" t="s">
        <v>1221</v>
      </c>
      <c r="J68" s="556"/>
      <c r="K68" s="220">
        <f>SUM(K60:K67)</f>
        <v>781.59</v>
      </c>
      <c r="L68" s="207"/>
    </row>
    <row r="69" spans="2:12">
      <c r="B69" s="208"/>
      <c r="C69" s="204"/>
      <c r="D69" s="204"/>
      <c r="E69" s="204"/>
      <c r="F69" s="204"/>
      <c r="G69" s="204"/>
      <c r="H69" s="209"/>
      <c r="I69" s="557" t="s">
        <v>1222</v>
      </c>
      <c r="J69" s="557"/>
      <c r="K69" s="221">
        <f>VLOOKUP(B58,'BM 011'!$B$28:$R$681,5,0)+0.000112698903802669</f>
        <v>961.42011269890372</v>
      </c>
      <c r="L69" s="246"/>
    </row>
    <row r="70" spans="2:12">
      <c r="B70" s="208"/>
      <c r="C70" s="204"/>
      <c r="D70" s="204"/>
      <c r="E70" s="204"/>
      <c r="F70" s="204"/>
      <c r="G70" s="204"/>
      <c r="H70" s="558" t="s">
        <v>1223</v>
      </c>
      <c r="I70" s="558"/>
      <c r="J70" s="558"/>
      <c r="K70" s="222">
        <v>156.0001</v>
      </c>
      <c r="L70" s="207"/>
    </row>
    <row r="71" spans="2:12">
      <c r="B71" s="208"/>
      <c r="C71" s="204"/>
      <c r="D71" s="204"/>
      <c r="E71" s="204"/>
      <c r="F71" s="204"/>
      <c r="G71" s="204"/>
      <c r="H71" s="558" t="s">
        <v>1891</v>
      </c>
      <c r="I71" s="558"/>
      <c r="J71" s="558"/>
      <c r="K71" s="222">
        <f>SUMIF(C60:C67,H71,K60:K67)</f>
        <v>625.58990000000006</v>
      </c>
      <c r="L71" s="207"/>
    </row>
    <row r="72" spans="2:12">
      <c r="B72" s="213"/>
      <c r="C72" s="214"/>
      <c r="D72" s="214"/>
      <c r="E72" s="214"/>
      <c r="F72" s="214"/>
      <c r="G72" s="214"/>
      <c r="H72" s="559" t="s">
        <v>1224</v>
      </c>
      <c r="I72" s="559"/>
      <c r="J72" s="559"/>
      <c r="K72" s="223">
        <f>IF(K68&gt;K69,K68-K69,0)</f>
        <v>0</v>
      </c>
      <c r="L72" s="209"/>
    </row>
    <row r="74" spans="2:12" ht="14.25" customHeight="1">
      <c r="B74" s="555" t="s">
        <v>1229</v>
      </c>
      <c r="C74" s="555"/>
      <c r="D74" s="555"/>
      <c r="E74" s="555"/>
      <c r="F74" s="555"/>
      <c r="G74" s="555"/>
      <c r="H74" s="555"/>
      <c r="I74" s="555"/>
      <c r="J74" s="555"/>
      <c r="K74" s="555"/>
      <c r="L74" s="555"/>
    </row>
    <row r="75" spans="2:12">
      <c r="B75" s="187" t="s">
        <v>1209</v>
      </c>
      <c r="C75" s="187"/>
      <c r="D75" s="187" t="s">
        <v>39</v>
      </c>
      <c r="E75" s="187" t="s">
        <v>1210</v>
      </c>
      <c r="F75" s="187" t="s">
        <v>1211</v>
      </c>
      <c r="G75" s="187" t="s">
        <v>1212</v>
      </c>
      <c r="H75" s="187" t="s">
        <v>1213</v>
      </c>
      <c r="I75" s="187" t="s">
        <v>1214</v>
      </c>
      <c r="J75" s="187" t="s">
        <v>1215</v>
      </c>
      <c r="K75" s="187" t="s">
        <v>1216</v>
      </c>
      <c r="L75" s="187" t="s">
        <v>1217</v>
      </c>
    </row>
    <row r="76" spans="2:12">
      <c r="B76" s="188" t="s">
        <v>1228</v>
      </c>
      <c r="C76" s="189" t="s">
        <v>1219</v>
      </c>
      <c r="D76" s="190" t="s">
        <v>79</v>
      </c>
      <c r="E76" s="191">
        <f>30/4</f>
        <v>7.5</v>
      </c>
      <c r="F76" s="192">
        <v>4</v>
      </c>
      <c r="G76" s="192"/>
      <c r="H76" s="191"/>
      <c r="I76" s="191"/>
      <c r="J76" s="216"/>
      <c r="K76" s="217">
        <f>IF(E76*F76*G76&lt;&gt;0,E76*F76*G76,IF(E76*F76&lt;&gt;0,E76*F76,IF(F76*G76&lt;&gt;0,F76*G76,IF(E76*G76&lt;&gt;0,E76*G76,IF(E76&lt;&gt;0,E76,IF(F76&lt;&gt;0,F76,IF(G76&lt;&gt;0,G76,0)))))))*(IF(H76&lt;&gt;0,H76,1))+I76-J76</f>
        <v>30</v>
      </c>
      <c r="L76" s="218"/>
    </row>
    <row r="77" spans="2:12">
      <c r="B77" s="188" t="s">
        <v>1228</v>
      </c>
      <c r="C77" s="189" t="s">
        <v>1240</v>
      </c>
      <c r="D77" s="190" t="s">
        <v>79</v>
      </c>
      <c r="E77" s="191">
        <v>2.5</v>
      </c>
      <c r="F77" s="192">
        <v>4</v>
      </c>
      <c r="G77" s="192"/>
      <c r="H77" s="191"/>
      <c r="I77" s="191"/>
      <c r="J77" s="216"/>
      <c r="K77" s="217">
        <f>IF(E77*F77*G77&lt;&gt;0,E77*F77*G77,IF(E77*F77&lt;&gt;0,E77*F77,IF(F77*G77&lt;&gt;0,F77*G77,IF(E77*G77&lt;&gt;0,E77*G77,IF(E77&lt;&gt;0,E77,IF(F77&lt;&gt;0,F77,IF(G77&lt;&gt;0,G77,0)))))))*(IF(H77&lt;&gt;0,H77,1))+I77-J77</f>
        <v>10</v>
      </c>
      <c r="L77" s="218"/>
    </row>
    <row r="78" spans="2:12">
      <c r="B78" s="202"/>
      <c r="C78" s="203"/>
      <c r="D78" s="203"/>
      <c r="E78" s="203"/>
      <c r="F78" s="203"/>
      <c r="G78" s="203"/>
      <c r="H78" s="204"/>
      <c r="I78" s="556" t="s">
        <v>1221</v>
      </c>
      <c r="J78" s="556"/>
      <c r="K78" s="220">
        <f>SUM(K76:K77)</f>
        <v>40</v>
      </c>
      <c r="L78" s="207"/>
    </row>
    <row r="79" spans="2:12">
      <c r="B79" s="208"/>
      <c r="C79" s="204"/>
      <c r="D79" s="204"/>
      <c r="E79" s="204"/>
      <c r="F79" s="204"/>
      <c r="G79" s="204"/>
      <c r="H79" s="209"/>
      <c r="I79" s="557" t="s">
        <v>1222</v>
      </c>
      <c r="J79" s="557"/>
      <c r="K79" s="221">
        <v>40</v>
      </c>
      <c r="L79" s="207"/>
    </row>
    <row r="80" spans="2:12">
      <c r="B80" s="208"/>
      <c r="C80" s="204"/>
      <c r="D80" s="204"/>
      <c r="E80" s="204"/>
      <c r="F80" s="204"/>
      <c r="G80" s="204"/>
      <c r="H80" s="558" t="s">
        <v>1223</v>
      </c>
      <c r="I80" s="558"/>
      <c r="J80" s="558"/>
      <c r="K80" s="222">
        <v>30</v>
      </c>
      <c r="L80" s="207"/>
    </row>
    <row r="81" spans="2:12">
      <c r="B81" s="208"/>
      <c r="C81" s="204"/>
      <c r="D81" s="204"/>
      <c r="E81" s="204"/>
      <c r="F81" s="204"/>
      <c r="G81" s="204"/>
      <c r="H81" s="558" t="s">
        <v>1199</v>
      </c>
      <c r="I81" s="558"/>
      <c r="J81" s="558"/>
      <c r="K81" s="222">
        <f>IF(K78&gt;K79,K79,K78)-K80</f>
        <v>10</v>
      </c>
      <c r="L81" s="207"/>
    </row>
    <row r="82" spans="2:12">
      <c r="B82" s="213"/>
      <c r="C82" s="214"/>
      <c r="D82" s="214"/>
      <c r="E82" s="214"/>
      <c r="F82" s="214"/>
      <c r="G82" s="214"/>
      <c r="H82" s="559" t="s">
        <v>1224</v>
      </c>
      <c r="I82" s="559"/>
      <c r="J82" s="559"/>
      <c r="K82" s="223">
        <f>IF(K78&gt;K79,K78-K79,0)</f>
        <v>0</v>
      </c>
      <c r="L82" s="209"/>
    </row>
    <row r="84" spans="2:12" ht="14.25" customHeight="1">
      <c r="B84" s="555" t="s">
        <v>1230</v>
      </c>
      <c r="C84" s="555"/>
      <c r="D84" s="555"/>
      <c r="E84" s="555"/>
      <c r="F84" s="555"/>
      <c r="G84" s="555"/>
      <c r="H84" s="555"/>
      <c r="I84" s="555"/>
      <c r="J84" s="555"/>
      <c r="K84" s="555"/>
      <c r="L84" s="555"/>
    </row>
    <row r="85" spans="2:12">
      <c r="B85" s="187" t="s">
        <v>1209</v>
      </c>
      <c r="C85" s="187"/>
      <c r="D85" s="187" t="s">
        <v>39</v>
      </c>
      <c r="E85" s="187" t="s">
        <v>1210</v>
      </c>
      <c r="F85" s="187" t="s">
        <v>1211</v>
      </c>
      <c r="G85" s="187" t="s">
        <v>1212</v>
      </c>
      <c r="H85" s="187" t="s">
        <v>1213</v>
      </c>
      <c r="I85" s="187" t="s">
        <v>1214</v>
      </c>
      <c r="J85" s="187" t="s">
        <v>1215</v>
      </c>
      <c r="K85" s="187" t="s">
        <v>1216</v>
      </c>
      <c r="L85" s="187" t="s">
        <v>1217</v>
      </c>
    </row>
    <row r="86" spans="2:12">
      <c r="B86" s="188" t="s">
        <v>1228</v>
      </c>
      <c r="C86" s="189" t="s">
        <v>1219</v>
      </c>
      <c r="D86" s="190" t="s">
        <v>39</v>
      </c>
      <c r="E86" s="191">
        <f>48/4</f>
        <v>12</v>
      </c>
      <c r="F86" s="192">
        <v>4</v>
      </c>
      <c r="G86" s="192"/>
      <c r="H86" s="191"/>
      <c r="I86" s="191"/>
      <c r="J86" s="216"/>
      <c r="K86" s="217">
        <f>IF(E86*F86*G86&lt;&gt;0,E86*F86*G86,IF(E86*F86&lt;&gt;0,E86*F86,IF(F86*G86&lt;&gt;0,F86*G86,IF(E86*G86&lt;&gt;0,E86*G86,IF(E86&lt;&gt;0,E86,IF(F86&lt;&gt;0,F86,IF(G86&lt;&gt;0,G86,0)))))))*(IF(H86&lt;&gt;0,H86,1))+I86-J86</f>
        <v>48</v>
      </c>
      <c r="L86" s="218"/>
    </row>
    <row r="87" spans="2:12">
      <c r="B87" s="188" t="s">
        <v>1228</v>
      </c>
      <c r="C87" s="189" t="s">
        <v>1240</v>
      </c>
      <c r="D87" s="190" t="s">
        <v>39</v>
      </c>
      <c r="E87" s="191">
        <v>5</v>
      </c>
      <c r="F87" s="192">
        <v>4</v>
      </c>
      <c r="G87" s="192"/>
      <c r="H87" s="191"/>
      <c r="I87" s="191"/>
      <c r="J87" s="219"/>
      <c r="K87" s="217">
        <f>IF(E87*F87*G87&lt;&gt;0,E87*F87*G87,IF(E87*F87&lt;&gt;0,E87*F87,IF(F87*G87&lt;&gt;0,F87*G87,IF(E87*G87&lt;&gt;0,E87*G87,IF(E87&lt;&gt;0,E87,IF(F87&lt;&gt;0,F87,IF(G87&lt;&gt;0,G87,0)))))))*(IF(H87&lt;&gt;0,H87,1))+I87-J87</f>
        <v>20</v>
      </c>
      <c r="L87" s="218"/>
    </row>
    <row r="88" spans="2:12">
      <c r="B88" s="202"/>
      <c r="C88" s="203"/>
      <c r="D88" s="203"/>
      <c r="E88" s="203"/>
      <c r="F88" s="203"/>
      <c r="G88" s="203"/>
      <c r="H88" s="204"/>
      <c r="I88" s="556" t="s">
        <v>1221</v>
      </c>
      <c r="J88" s="556"/>
      <c r="K88" s="220">
        <f>SUM(K86:K87)</f>
        <v>68</v>
      </c>
      <c r="L88" s="207"/>
    </row>
    <row r="89" spans="2:12">
      <c r="B89" s="208"/>
      <c r="C89" s="204"/>
      <c r="D89" s="204"/>
      <c r="E89" s="204"/>
      <c r="F89" s="204"/>
      <c r="G89" s="204"/>
      <c r="H89" s="209"/>
      <c r="I89" s="557" t="s">
        <v>1222</v>
      </c>
      <c r="J89" s="557"/>
      <c r="K89" s="221">
        <v>68</v>
      </c>
      <c r="L89" s="207"/>
    </row>
    <row r="90" spans="2:12">
      <c r="B90" s="208"/>
      <c r="C90" s="204"/>
      <c r="D90" s="204"/>
      <c r="E90" s="204"/>
      <c r="F90" s="204"/>
      <c r="G90" s="204"/>
      <c r="H90" s="558" t="s">
        <v>1223</v>
      </c>
      <c r="I90" s="558"/>
      <c r="J90" s="558"/>
      <c r="K90" s="222">
        <v>48</v>
      </c>
      <c r="L90" s="207"/>
    </row>
    <row r="91" spans="2:12">
      <c r="B91" s="208"/>
      <c r="C91" s="204"/>
      <c r="D91" s="204"/>
      <c r="E91" s="204"/>
      <c r="F91" s="204"/>
      <c r="G91" s="204"/>
      <c r="H91" s="558" t="s">
        <v>1199</v>
      </c>
      <c r="I91" s="558"/>
      <c r="J91" s="558"/>
      <c r="K91" s="222">
        <f>IF(K88&gt;K89,K89,K88)-K90</f>
        <v>20</v>
      </c>
      <c r="L91" s="207"/>
    </row>
    <row r="92" spans="2:12">
      <c r="B92" s="213"/>
      <c r="C92" s="214"/>
      <c r="D92" s="214"/>
      <c r="E92" s="214"/>
      <c r="F92" s="214"/>
      <c r="G92" s="214"/>
      <c r="H92" s="559" t="s">
        <v>1224</v>
      </c>
      <c r="I92" s="559"/>
      <c r="J92" s="559"/>
      <c r="K92" s="223">
        <f>IF(K88&gt;K89,K88-K89,0)</f>
        <v>0</v>
      </c>
      <c r="L92" s="209"/>
    </row>
    <row r="94" spans="2:12" ht="14.25" customHeight="1">
      <c r="B94" s="555" t="s">
        <v>1231</v>
      </c>
      <c r="C94" s="555"/>
      <c r="D94" s="555"/>
      <c r="E94" s="555"/>
      <c r="F94" s="555"/>
      <c r="G94" s="555"/>
      <c r="H94" s="555"/>
      <c r="I94" s="555"/>
      <c r="J94" s="555"/>
      <c r="K94" s="555"/>
      <c r="L94" s="555"/>
    </row>
    <row r="95" spans="2:12">
      <c r="B95" s="187" t="s">
        <v>1209</v>
      </c>
      <c r="C95" s="187"/>
      <c r="D95" s="187" t="s">
        <v>39</v>
      </c>
      <c r="E95" s="187" t="s">
        <v>1210</v>
      </c>
      <c r="F95" s="187" t="s">
        <v>1211</v>
      </c>
      <c r="G95" s="187" t="s">
        <v>1212</v>
      </c>
      <c r="H95" s="187" t="s">
        <v>1213</v>
      </c>
      <c r="I95" s="187" t="s">
        <v>1214</v>
      </c>
      <c r="J95" s="187" t="s">
        <v>1215</v>
      </c>
      <c r="K95" s="187" t="s">
        <v>1216</v>
      </c>
      <c r="L95" s="187" t="s">
        <v>1217</v>
      </c>
    </row>
    <row r="96" spans="2:12">
      <c r="B96" s="188" t="s">
        <v>1228</v>
      </c>
      <c r="C96" s="189" t="s">
        <v>1219</v>
      </c>
      <c r="D96" s="190" t="s">
        <v>39</v>
      </c>
      <c r="E96" s="191">
        <v>15</v>
      </c>
      <c r="F96" s="192">
        <v>4</v>
      </c>
      <c r="G96" s="192"/>
      <c r="H96" s="191"/>
      <c r="I96" s="191"/>
      <c r="J96" s="216"/>
      <c r="K96" s="217">
        <f>IF(E96*F96*G96&lt;&gt;0,E96*F96*G96,IF(E96*F96&lt;&gt;0,E96*F96,IF(F96*G96&lt;&gt;0,F96*G96,IF(E96*G96&lt;&gt;0,E96*G96,IF(E96&lt;&gt;0,E96,IF(F96&lt;&gt;0,F96,IF(G96&lt;&gt;0,G96,0)))))))*(IF(H96&lt;&gt;0,H96,1))+I96-J96</f>
        <v>60</v>
      </c>
      <c r="L96" s="218"/>
    </row>
    <row r="97" spans="2:12">
      <c r="B97" s="197"/>
      <c r="C97" s="189"/>
      <c r="D97" s="198"/>
      <c r="E97" s="199"/>
      <c r="F97" s="199"/>
      <c r="G97" s="199"/>
      <c r="H97" s="199"/>
      <c r="I97" s="199"/>
      <c r="J97" s="219"/>
      <c r="K97" s="217">
        <f>IF(E97*F97*G97&lt;&gt;0,E97*F97*G97,IF(E97*F97&lt;&gt;0,E97*F97,IF(F97*G97&lt;&gt;0,F97*G97,IF(E97*G97&lt;&gt;0,E97*G97,IF(E97&lt;&gt;0,E97,IF(F97&lt;&gt;0,F97,IF(G97&lt;&gt;0,G97,0)))))))*(IF(H97&lt;&gt;0,H97,1))+I97-J97</f>
        <v>0</v>
      </c>
      <c r="L97" s="218"/>
    </row>
    <row r="98" spans="2:12">
      <c r="B98" s="202"/>
      <c r="C98" s="203"/>
      <c r="D98" s="203"/>
      <c r="E98" s="203"/>
      <c r="F98" s="203"/>
      <c r="G98" s="203"/>
      <c r="H98" s="204"/>
      <c r="I98" s="556" t="s">
        <v>1221</v>
      </c>
      <c r="J98" s="556"/>
      <c r="K98" s="220">
        <f>SUM(K96:K97)</f>
        <v>60</v>
      </c>
      <c r="L98" s="207"/>
    </row>
    <row r="99" spans="2:12">
      <c r="B99" s="208"/>
      <c r="C99" s="204"/>
      <c r="D99" s="204"/>
      <c r="E99" s="204"/>
      <c r="F99" s="204"/>
      <c r="G99" s="204"/>
      <c r="H99" s="209"/>
      <c r="I99" s="557" t="s">
        <v>1222</v>
      </c>
      <c r="J99" s="557"/>
      <c r="K99" s="221">
        <v>60</v>
      </c>
      <c r="L99" s="207"/>
    </row>
    <row r="100" spans="2:12">
      <c r="B100" s="208"/>
      <c r="C100" s="204"/>
      <c r="D100" s="204"/>
      <c r="E100" s="204"/>
      <c r="F100" s="204"/>
      <c r="G100" s="204"/>
      <c r="H100" s="558" t="s">
        <v>1223</v>
      </c>
      <c r="I100" s="558"/>
      <c r="J100" s="558"/>
      <c r="K100" s="222"/>
      <c r="L100" s="207"/>
    </row>
    <row r="101" spans="2:12">
      <c r="B101" s="208"/>
      <c r="C101" s="204"/>
      <c r="D101" s="204"/>
      <c r="E101" s="204"/>
      <c r="F101" s="204"/>
      <c r="G101" s="204"/>
      <c r="H101" s="558" t="s">
        <v>1190</v>
      </c>
      <c r="I101" s="558"/>
      <c r="J101" s="558"/>
      <c r="K101" s="222">
        <f>IF(K98&gt;K99,K99,K98)-K100</f>
        <v>60</v>
      </c>
      <c r="L101" s="207"/>
    </row>
    <row r="102" spans="2:12">
      <c r="B102" s="213"/>
      <c r="C102" s="214"/>
      <c r="D102" s="214"/>
      <c r="E102" s="214"/>
      <c r="F102" s="214"/>
      <c r="G102" s="214"/>
      <c r="H102" s="559" t="s">
        <v>1224</v>
      </c>
      <c r="I102" s="559"/>
      <c r="J102" s="559"/>
      <c r="K102" s="223">
        <f>IF(K98&gt;K99,K98-K99,0)</f>
        <v>0</v>
      </c>
      <c r="L102" s="209"/>
    </row>
    <row r="104" spans="2:12" ht="14.25" customHeight="1">
      <c r="B104" s="555" t="s">
        <v>1232</v>
      </c>
      <c r="C104" s="555"/>
      <c r="D104" s="555"/>
      <c r="E104" s="555"/>
      <c r="F104" s="555"/>
      <c r="G104" s="555"/>
      <c r="H104" s="555"/>
      <c r="I104" s="555"/>
      <c r="J104" s="555"/>
      <c r="K104" s="555"/>
      <c r="L104" s="555"/>
    </row>
    <row r="105" spans="2:12">
      <c r="B105" s="187" t="s">
        <v>1209</v>
      </c>
      <c r="C105" s="187"/>
      <c r="D105" s="187" t="s">
        <v>39</v>
      </c>
      <c r="E105" s="187" t="s">
        <v>1210</v>
      </c>
      <c r="F105" s="187" t="s">
        <v>1211</v>
      </c>
      <c r="G105" s="187" t="s">
        <v>1212</v>
      </c>
      <c r="H105" s="187" t="s">
        <v>1213</v>
      </c>
      <c r="I105" s="187" t="s">
        <v>1214</v>
      </c>
      <c r="J105" s="187" t="s">
        <v>1215</v>
      </c>
      <c r="K105" s="187" t="s">
        <v>1216</v>
      </c>
      <c r="L105" s="187" t="s">
        <v>1217</v>
      </c>
    </row>
    <row r="106" spans="2:12">
      <c r="B106" s="188" t="s">
        <v>1228</v>
      </c>
      <c r="C106" s="189" t="s">
        <v>1219</v>
      </c>
      <c r="D106" s="190" t="s">
        <v>39</v>
      </c>
      <c r="E106" s="191">
        <v>5</v>
      </c>
      <c r="F106" s="192">
        <v>4</v>
      </c>
      <c r="G106" s="192"/>
      <c r="H106" s="191"/>
      <c r="I106" s="191"/>
      <c r="J106" s="216"/>
      <c r="K106" s="217">
        <f>IF(E106*F106*G106&lt;&gt;0,E106*F106*G106,IF(E106*F106&lt;&gt;0,E106*F106,IF(F106*G106&lt;&gt;0,F106*G106,IF(E106*G106&lt;&gt;0,E106*G106,IF(E106&lt;&gt;0,E106,IF(F106&lt;&gt;0,F106,IF(G106&lt;&gt;0,G106,0)))))))*(IF(H106&lt;&gt;0,H106,1))+I106-J106</f>
        <v>20</v>
      </c>
      <c r="L106" s="218"/>
    </row>
    <row r="107" spans="2:12">
      <c r="B107" s="188" t="s">
        <v>1228</v>
      </c>
      <c r="C107" s="189" t="s">
        <v>1240</v>
      </c>
      <c r="D107" s="190" t="s">
        <v>39</v>
      </c>
      <c r="E107" s="191">
        <v>10</v>
      </c>
      <c r="F107" s="192">
        <v>4</v>
      </c>
      <c r="G107" s="192"/>
      <c r="H107" s="191"/>
      <c r="I107" s="191"/>
      <c r="J107" s="219"/>
      <c r="K107" s="217">
        <f>IF(E107*F107*G107&lt;&gt;0,E107*F107*G107,IF(E107*F107&lt;&gt;0,E107*F107,IF(F107*G107&lt;&gt;0,F107*G107,IF(E107*G107&lt;&gt;0,E107*G107,IF(E107&lt;&gt;0,E107,IF(F107&lt;&gt;0,F107,IF(G107&lt;&gt;0,G107,0)))))))*(IF(H107&lt;&gt;0,H107,1))+I107-J107</f>
        <v>40</v>
      </c>
      <c r="L107" s="218"/>
    </row>
    <row r="108" spans="2:12">
      <c r="B108" s="202"/>
      <c r="C108" s="203"/>
      <c r="D108" s="203"/>
      <c r="E108" s="203"/>
      <c r="F108" s="203"/>
      <c r="G108" s="203"/>
      <c r="H108" s="204"/>
      <c r="I108" s="556" t="s">
        <v>1221</v>
      </c>
      <c r="J108" s="556"/>
      <c r="K108" s="220">
        <f>SUM(K106:K107)</f>
        <v>60</v>
      </c>
      <c r="L108" s="207"/>
    </row>
    <row r="109" spans="2:12">
      <c r="B109" s="208"/>
      <c r="C109" s="204"/>
      <c r="D109" s="204"/>
      <c r="E109" s="204"/>
      <c r="F109" s="204"/>
      <c r="G109" s="204"/>
      <c r="H109" s="209"/>
      <c r="I109" s="557" t="s">
        <v>1222</v>
      </c>
      <c r="J109" s="557"/>
      <c r="K109" s="221">
        <v>60</v>
      </c>
      <c r="L109" s="207"/>
    </row>
    <row r="110" spans="2:12">
      <c r="B110" s="208"/>
      <c r="C110" s="204"/>
      <c r="D110" s="204"/>
      <c r="E110" s="204"/>
      <c r="F110" s="204"/>
      <c r="G110" s="204"/>
      <c r="H110" s="558" t="s">
        <v>1223</v>
      </c>
      <c r="I110" s="558"/>
      <c r="J110" s="558"/>
      <c r="K110" s="222">
        <v>20</v>
      </c>
      <c r="L110" s="207"/>
    </row>
    <row r="111" spans="2:12">
      <c r="B111" s="208"/>
      <c r="C111" s="204"/>
      <c r="D111" s="204"/>
      <c r="E111" s="204"/>
      <c r="F111" s="204"/>
      <c r="G111" s="204"/>
      <c r="H111" s="558" t="s">
        <v>1199</v>
      </c>
      <c r="I111" s="558"/>
      <c r="J111" s="558"/>
      <c r="K111" s="222">
        <f>IF(K108&gt;K109,K109,K108)-K110</f>
        <v>40</v>
      </c>
      <c r="L111" s="207"/>
    </row>
    <row r="112" spans="2:12">
      <c r="B112" s="213"/>
      <c r="C112" s="214"/>
      <c r="D112" s="214"/>
      <c r="E112" s="214"/>
      <c r="F112" s="214"/>
      <c r="G112" s="214"/>
      <c r="H112" s="559" t="s">
        <v>1224</v>
      </c>
      <c r="I112" s="559"/>
      <c r="J112" s="559"/>
      <c r="K112" s="223">
        <f>IF(K108&gt;K109,K108-K109,0)</f>
        <v>0</v>
      </c>
      <c r="L112" s="209"/>
    </row>
    <row r="114" spans="2:12" ht="14.25" customHeight="1">
      <c r="B114" s="555" t="s">
        <v>1233</v>
      </c>
      <c r="C114" s="555"/>
      <c r="D114" s="555"/>
      <c r="E114" s="555"/>
      <c r="F114" s="555"/>
      <c r="G114" s="555"/>
      <c r="H114" s="555"/>
      <c r="I114" s="555"/>
      <c r="J114" s="555"/>
      <c r="K114" s="555"/>
      <c r="L114" s="555"/>
    </row>
    <row r="115" spans="2:12">
      <c r="B115" s="187" t="s">
        <v>1209</v>
      </c>
      <c r="C115" s="187"/>
      <c r="D115" s="187" t="s">
        <v>39</v>
      </c>
      <c r="E115" s="187" t="s">
        <v>1210</v>
      </c>
      <c r="F115" s="187" t="s">
        <v>1211</v>
      </c>
      <c r="G115" s="187" t="s">
        <v>1212</v>
      </c>
      <c r="H115" s="187" t="s">
        <v>1213</v>
      </c>
      <c r="I115" s="187" t="s">
        <v>1214</v>
      </c>
      <c r="J115" s="187" t="s">
        <v>1215</v>
      </c>
      <c r="K115" s="187" t="s">
        <v>1216</v>
      </c>
      <c r="L115" s="187" t="s">
        <v>1217</v>
      </c>
    </row>
    <row r="116" spans="2:12">
      <c r="B116" s="188" t="s">
        <v>1228</v>
      </c>
      <c r="C116" s="189" t="s">
        <v>1219</v>
      </c>
      <c r="D116" s="190" t="s">
        <v>39</v>
      </c>
      <c r="E116" s="191">
        <v>5</v>
      </c>
      <c r="F116" s="192">
        <v>4</v>
      </c>
      <c r="G116" s="192"/>
      <c r="H116" s="191"/>
      <c r="I116" s="191"/>
      <c r="J116" s="216"/>
      <c r="K116" s="217">
        <f>IF(E116*F116*G116&lt;&gt;0,E116*F116*G116,IF(E116*F116&lt;&gt;0,E116*F116,IF(F116*G116&lt;&gt;0,F116*G116,IF(E116*G116&lt;&gt;0,E116*G116,IF(E116&lt;&gt;0,E116,IF(F116&lt;&gt;0,F116,IF(G116&lt;&gt;0,G116,0)))))))*(IF(H116&lt;&gt;0,H116,1))+I116-J116</f>
        <v>20</v>
      </c>
      <c r="L116" s="218"/>
    </row>
    <row r="117" spans="2:12">
      <c r="B117" s="188" t="s">
        <v>1228</v>
      </c>
      <c r="C117" s="189" t="s">
        <v>1219</v>
      </c>
      <c r="D117" s="190" t="s">
        <v>39</v>
      </c>
      <c r="E117" s="191">
        <v>7.5</v>
      </c>
      <c r="F117" s="192">
        <v>4</v>
      </c>
      <c r="G117" s="192"/>
      <c r="H117" s="191"/>
      <c r="I117" s="191"/>
      <c r="J117" s="216"/>
      <c r="K117" s="217">
        <f>IF(E117*F117*G117&lt;&gt;0,E117*F117*G117,IF(E117*F117&lt;&gt;0,E117*F117,IF(F117*G117&lt;&gt;0,F117*G117,IF(E117*G117&lt;&gt;0,E117*G117,IF(E117&lt;&gt;0,E117,IF(F117&lt;&gt;0,F117,IF(G117&lt;&gt;0,G117,0)))))))*(IF(H117&lt;&gt;0,H117,1))+I117-J117</f>
        <v>30</v>
      </c>
      <c r="L117" s="218"/>
    </row>
    <row r="118" spans="2:12">
      <c r="B118" s="202"/>
      <c r="C118" s="203"/>
      <c r="D118" s="203"/>
      <c r="E118" s="203"/>
      <c r="F118" s="203"/>
      <c r="G118" s="203"/>
      <c r="H118" s="204"/>
      <c r="I118" s="556" t="s">
        <v>1221</v>
      </c>
      <c r="J118" s="556"/>
      <c r="K118" s="220">
        <f>SUM(K116:K117)</f>
        <v>50</v>
      </c>
      <c r="L118" s="207"/>
    </row>
    <row r="119" spans="2:12">
      <c r="B119" s="208"/>
      <c r="C119" s="204"/>
      <c r="D119" s="204"/>
      <c r="E119" s="204"/>
      <c r="F119" s="204"/>
      <c r="G119" s="204"/>
      <c r="H119" s="209"/>
      <c r="I119" s="557" t="s">
        <v>1222</v>
      </c>
      <c r="J119" s="557"/>
      <c r="K119" s="221">
        <v>50</v>
      </c>
      <c r="L119" s="207"/>
    </row>
    <row r="120" spans="2:12">
      <c r="B120" s="208"/>
      <c r="C120" s="204"/>
      <c r="D120" s="204"/>
      <c r="E120" s="204"/>
      <c r="F120" s="204"/>
      <c r="G120" s="204"/>
      <c r="H120" s="558" t="s">
        <v>1223</v>
      </c>
      <c r="I120" s="558"/>
      <c r="J120" s="558"/>
      <c r="K120" s="222">
        <v>20</v>
      </c>
      <c r="L120" s="207"/>
    </row>
    <row r="121" spans="2:12">
      <c r="B121" s="208"/>
      <c r="C121" s="204"/>
      <c r="D121" s="204"/>
      <c r="E121" s="204"/>
      <c r="F121" s="204"/>
      <c r="G121" s="204"/>
      <c r="H121" s="558" t="s">
        <v>1199</v>
      </c>
      <c r="I121" s="558"/>
      <c r="J121" s="558"/>
      <c r="K121" s="222">
        <f>IF(K118&gt;K119,K119,K118)-K120</f>
        <v>30</v>
      </c>
      <c r="L121" s="207"/>
    </row>
    <row r="122" spans="2:12">
      <c r="B122" s="213"/>
      <c r="C122" s="214"/>
      <c r="D122" s="214"/>
      <c r="E122" s="214"/>
      <c r="F122" s="214"/>
      <c r="G122" s="214"/>
      <c r="H122" s="559" t="s">
        <v>1224</v>
      </c>
      <c r="I122" s="559"/>
      <c r="J122" s="559"/>
      <c r="K122" s="223">
        <f>IF(K118&gt;K119,K118-K119,0)</f>
        <v>0</v>
      </c>
      <c r="L122" s="209"/>
    </row>
    <row r="124" spans="2:12" ht="15" customHeight="1">
      <c r="B124" s="555" t="s">
        <v>1234</v>
      </c>
      <c r="C124" s="555"/>
      <c r="D124" s="555"/>
      <c r="E124" s="555"/>
      <c r="F124" s="555"/>
      <c r="G124" s="555"/>
      <c r="H124" s="555"/>
      <c r="I124" s="555"/>
      <c r="J124" s="555"/>
      <c r="K124" s="555"/>
      <c r="L124" s="555"/>
    </row>
    <row r="125" spans="2:12">
      <c r="B125" s="187" t="s">
        <v>1209</v>
      </c>
      <c r="C125" s="187"/>
      <c r="D125" s="187" t="s">
        <v>39</v>
      </c>
      <c r="E125" s="187" t="s">
        <v>1210</v>
      </c>
      <c r="F125" s="187" t="s">
        <v>1211</v>
      </c>
      <c r="G125" s="187" t="s">
        <v>1212</v>
      </c>
      <c r="H125" s="187" t="s">
        <v>1213</v>
      </c>
      <c r="I125" s="187" t="s">
        <v>1214</v>
      </c>
      <c r="J125" s="187" t="s">
        <v>1215</v>
      </c>
      <c r="K125" s="187" t="s">
        <v>1216</v>
      </c>
      <c r="L125" s="187" t="s">
        <v>1217</v>
      </c>
    </row>
    <row r="126" spans="2:12">
      <c r="B126" s="188" t="s">
        <v>1235</v>
      </c>
      <c r="C126" s="189" t="s">
        <v>1219</v>
      </c>
      <c r="D126" s="190" t="s">
        <v>169</v>
      </c>
      <c r="E126" s="191">
        <v>1616.87</v>
      </c>
      <c r="F126" s="192"/>
      <c r="G126" s="192">
        <v>0.75</v>
      </c>
      <c r="H126" s="191"/>
      <c r="I126" s="191"/>
      <c r="J126" s="216"/>
      <c r="K126" s="217">
        <f>IF(E126*F126*G126&lt;&gt;0,E126*F126*G126,IF(E126*F126&lt;&gt;0,E126*F126,IF(F126*G126&lt;&gt;0,F126*G126,IF(E126*G126&lt;&gt;0,E126*G126,IF(E126&lt;&gt;0,E126,IF(F126&lt;&gt;0,F126,IF(G126&lt;&gt;0,G126,0)))))))*(IF(H126&lt;&gt;0,H126,1))+I126-J126</f>
        <v>1212.6524999999999</v>
      </c>
      <c r="L126" s="218"/>
    </row>
    <row r="127" spans="2:12">
      <c r="B127" s="188" t="s">
        <v>1235</v>
      </c>
      <c r="C127" s="189" t="s">
        <v>1271</v>
      </c>
      <c r="D127" s="190" t="s">
        <v>169</v>
      </c>
      <c r="E127" s="199">
        <v>1616.87</v>
      </c>
      <c r="F127" s="199"/>
      <c r="G127" s="199">
        <v>0.25</v>
      </c>
      <c r="H127" s="199"/>
      <c r="I127" s="199"/>
      <c r="J127" s="219"/>
      <c r="K127" s="217">
        <f>IF(E127*F127*G127&lt;&gt;0,E127*F127*G127,IF(E127*F127&lt;&gt;0,E127*F127,IF(F127*G127&lt;&gt;0,F127*G127,IF(E127*G127&lt;&gt;0,E127*G127,IF(E127&lt;&gt;0,E127,IF(F127&lt;&gt;0,F127,IF(G127&lt;&gt;0,G127,0)))))))*(IF(H127&lt;&gt;0,H127,1))+I127-J127</f>
        <v>404.21749999999997</v>
      </c>
      <c r="L127" s="218"/>
    </row>
    <row r="128" spans="2:12">
      <c r="B128" s="197"/>
      <c r="C128" s="189"/>
      <c r="D128" s="198"/>
      <c r="E128" s="199"/>
      <c r="F128" s="199"/>
      <c r="G128" s="199"/>
      <c r="H128" s="199"/>
      <c r="I128" s="199"/>
      <c r="J128" s="219"/>
      <c r="K128" s="217">
        <f>IF(E128*F128*G128&lt;&gt;0,E128*F128*G128,IF(E128*F128&lt;&gt;0,E128*F128,IF(F128*G128&lt;&gt;0,F128*G128,IF(E128*G128&lt;&gt;0,E128*G128,IF(E128&lt;&gt;0,E128,IF(F128&lt;&gt;0,F128,IF(G128&lt;&gt;0,G128,0)))))))*(IF(H128&lt;&gt;0,H128,1))+I128-J128</f>
        <v>0</v>
      </c>
      <c r="L128" s="218"/>
    </row>
    <row r="129" spans="2:12">
      <c r="B129" s="202"/>
      <c r="C129" s="203"/>
      <c r="D129" s="203"/>
      <c r="E129" s="203"/>
      <c r="F129" s="203"/>
      <c r="G129" s="203"/>
      <c r="H129" s="204"/>
      <c r="I129" s="556" t="s">
        <v>1221</v>
      </c>
      <c r="J129" s="556"/>
      <c r="K129" s="220">
        <f>SUM(K126:K128)</f>
        <v>1616.87</v>
      </c>
      <c r="L129" s="207"/>
    </row>
    <row r="130" spans="2:12">
      <c r="B130" s="208"/>
      <c r="C130" s="204"/>
      <c r="D130" s="204"/>
      <c r="E130" s="204"/>
      <c r="F130" s="204"/>
      <c r="G130" s="204"/>
      <c r="H130" s="209"/>
      <c r="I130" s="557" t="s">
        <v>1222</v>
      </c>
      <c r="J130" s="557"/>
      <c r="K130" s="221">
        <v>4350</v>
      </c>
      <c r="L130" s="207"/>
    </row>
    <row r="131" spans="2:12">
      <c r="B131" s="208"/>
      <c r="C131" s="204"/>
      <c r="D131" s="204"/>
      <c r="E131" s="204"/>
      <c r="F131" s="204"/>
      <c r="G131" s="204"/>
      <c r="H131" s="558" t="s">
        <v>1223</v>
      </c>
      <c r="I131" s="558"/>
      <c r="J131" s="558"/>
      <c r="K131" s="222">
        <v>1616.87</v>
      </c>
      <c r="L131" s="207"/>
    </row>
    <row r="132" spans="2:12">
      <c r="B132" s="208"/>
      <c r="C132" s="204"/>
      <c r="D132" s="204"/>
      <c r="E132" s="204"/>
      <c r="F132" s="204"/>
      <c r="G132" s="204"/>
      <c r="H132" s="558" t="s">
        <v>1431</v>
      </c>
      <c r="I132" s="558"/>
      <c r="J132" s="558"/>
      <c r="K132" s="222">
        <f>IF(K129&gt;K130,K130,K129)-K131</f>
        <v>0</v>
      </c>
      <c r="L132" s="207"/>
    </row>
    <row r="133" spans="2:12">
      <c r="B133" s="213"/>
      <c r="C133" s="214"/>
      <c r="D133" s="214"/>
      <c r="E133" s="214"/>
      <c r="F133" s="214"/>
      <c r="G133" s="214"/>
      <c r="H133" s="559" t="s">
        <v>1224</v>
      </c>
      <c r="I133" s="559"/>
      <c r="J133" s="559"/>
      <c r="K133" s="223">
        <f>IF(K129&gt;K130,K129-K130,0)</f>
        <v>0</v>
      </c>
      <c r="L133" s="209"/>
    </row>
    <row r="134" spans="2:12" ht="15" customHeight="1"/>
    <row r="135" spans="2:12" ht="24" customHeight="1">
      <c r="B135" s="555" t="s">
        <v>1236</v>
      </c>
      <c r="C135" s="555"/>
      <c r="D135" s="555"/>
      <c r="E135" s="555"/>
      <c r="F135" s="555"/>
      <c r="G135" s="555"/>
      <c r="H135" s="555"/>
      <c r="I135" s="555"/>
      <c r="J135" s="555"/>
      <c r="K135" s="555"/>
      <c r="L135" s="555"/>
    </row>
    <row r="136" spans="2:12">
      <c r="B136" s="187" t="s">
        <v>1209</v>
      </c>
      <c r="C136" s="187"/>
      <c r="D136" s="187" t="s">
        <v>39</v>
      </c>
      <c r="E136" s="187" t="s">
        <v>1210</v>
      </c>
      <c r="F136" s="187" t="s">
        <v>1211</v>
      </c>
      <c r="G136" s="187" t="s">
        <v>1212</v>
      </c>
      <c r="H136" s="187" t="s">
        <v>1213</v>
      </c>
      <c r="I136" s="187" t="s">
        <v>1214</v>
      </c>
      <c r="J136" s="187" t="s">
        <v>1215</v>
      </c>
      <c r="K136" s="187" t="s">
        <v>1216</v>
      </c>
      <c r="L136" s="187" t="s">
        <v>1217</v>
      </c>
    </row>
    <row r="137" spans="2:12">
      <c r="B137" s="188" t="s">
        <v>1235</v>
      </c>
      <c r="C137" s="189" t="s">
        <v>1219</v>
      </c>
      <c r="D137" s="190" t="s">
        <v>169</v>
      </c>
      <c r="E137" s="191">
        <v>1616.87</v>
      </c>
      <c r="F137" s="192"/>
      <c r="G137" s="192">
        <v>0.75</v>
      </c>
      <c r="H137" s="191"/>
      <c r="I137" s="191"/>
      <c r="J137" s="216"/>
      <c r="K137" s="217">
        <f t="shared" ref="K137:K142" si="3">IF(E137*F137*G137&lt;&gt;0,E137*F137*G137,IF(E137*F137&lt;&gt;0,E137*F137,IF(F137*G137&lt;&gt;0,F137*G137,IF(E137*G137&lt;&gt;0,E137*G137,IF(E137&lt;&gt;0,E137,IF(F137&lt;&gt;0,F137,IF(G137&lt;&gt;0,G137,0)))))))*(IF(H137&lt;&gt;0,H137,1))+I137-J137</f>
        <v>1212.6524999999999</v>
      </c>
      <c r="L137" s="218"/>
    </row>
    <row r="138" spans="2:12">
      <c r="B138" s="188" t="s">
        <v>1235</v>
      </c>
      <c r="C138" s="189" t="s">
        <v>1271</v>
      </c>
      <c r="D138" s="190" t="s">
        <v>169</v>
      </c>
      <c r="E138" s="199">
        <v>1616.87</v>
      </c>
      <c r="F138" s="199"/>
      <c r="G138" s="199">
        <v>0.25</v>
      </c>
      <c r="H138" s="199"/>
      <c r="I138" s="199"/>
      <c r="J138" s="219"/>
      <c r="K138" s="217">
        <f t="shared" si="3"/>
        <v>404.21749999999997</v>
      </c>
      <c r="L138" s="218"/>
    </row>
    <row r="139" spans="2:12">
      <c r="B139" s="188" t="s">
        <v>1235</v>
      </c>
      <c r="C139" s="189" t="s">
        <v>1271</v>
      </c>
      <c r="D139" s="190" t="s">
        <v>169</v>
      </c>
      <c r="E139" s="199">
        <v>922</v>
      </c>
      <c r="F139" s="199"/>
      <c r="G139" s="199">
        <v>0.5</v>
      </c>
      <c r="H139" s="199"/>
      <c r="I139" s="199"/>
      <c r="J139" s="219"/>
      <c r="K139" s="217">
        <f t="shared" si="3"/>
        <v>461</v>
      </c>
      <c r="L139" s="218"/>
    </row>
    <row r="140" spans="2:12">
      <c r="B140" s="188" t="s">
        <v>1522</v>
      </c>
      <c r="C140" s="189" t="s">
        <v>1521</v>
      </c>
      <c r="D140" s="190" t="s">
        <v>169</v>
      </c>
      <c r="E140" s="199">
        <v>15</v>
      </c>
      <c r="F140" s="199"/>
      <c r="G140" s="199">
        <v>25</v>
      </c>
      <c r="H140" s="199"/>
      <c r="I140" s="199"/>
      <c r="J140" s="219"/>
      <c r="K140" s="217">
        <f t="shared" si="3"/>
        <v>375</v>
      </c>
      <c r="L140" s="218"/>
    </row>
    <row r="141" spans="2:12">
      <c r="B141" s="188" t="s">
        <v>1522</v>
      </c>
      <c r="C141" s="189" t="s">
        <v>1521</v>
      </c>
      <c r="D141" s="190" t="s">
        <v>169</v>
      </c>
      <c r="E141" s="199">
        <v>15</v>
      </c>
      <c r="F141" s="199"/>
      <c r="G141" s="199">
        <v>25</v>
      </c>
      <c r="H141" s="199"/>
      <c r="I141" s="199"/>
      <c r="J141" s="219"/>
      <c r="K141" s="217">
        <f t="shared" si="3"/>
        <v>375</v>
      </c>
      <c r="L141" s="218"/>
    </row>
    <row r="142" spans="2:12">
      <c r="B142" s="197"/>
      <c r="C142" s="189"/>
      <c r="D142" s="198"/>
      <c r="E142" s="199"/>
      <c r="F142" s="199"/>
      <c r="G142" s="199"/>
      <c r="H142" s="199"/>
      <c r="I142" s="199"/>
      <c r="J142" s="219"/>
      <c r="K142" s="217">
        <f t="shared" si="3"/>
        <v>0</v>
      </c>
      <c r="L142" s="218"/>
    </row>
    <row r="143" spans="2:12">
      <c r="B143" s="202"/>
      <c r="C143" s="203"/>
      <c r="D143" s="203"/>
      <c r="E143" s="203"/>
      <c r="F143" s="203"/>
      <c r="G143" s="203"/>
      <c r="H143" s="204"/>
      <c r="I143" s="556" t="s">
        <v>1221</v>
      </c>
      <c r="J143" s="556"/>
      <c r="K143" s="220">
        <f>SUM(K137:K142)</f>
        <v>2827.87</v>
      </c>
      <c r="L143" s="207"/>
    </row>
    <row r="144" spans="2:12">
      <c r="B144" s="208"/>
      <c r="C144" s="204"/>
      <c r="D144" s="204"/>
      <c r="E144" s="204"/>
      <c r="F144" s="204"/>
      <c r="G144" s="204"/>
      <c r="H144" s="209"/>
      <c r="I144" s="557" t="s">
        <v>1222</v>
      </c>
      <c r="J144" s="557"/>
      <c r="K144" s="221">
        <v>3985</v>
      </c>
      <c r="L144" s="207"/>
    </row>
    <row r="145" spans="2:12">
      <c r="B145" s="208"/>
      <c r="C145" s="204"/>
      <c r="D145" s="204"/>
      <c r="E145" s="204"/>
      <c r="F145" s="204"/>
      <c r="G145" s="204"/>
      <c r="H145" s="558" t="s">
        <v>1223</v>
      </c>
      <c r="I145" s="558"/>
      <c r="J145" s="558"/>
      <c r="K145" s="222">
        <v>2452.87</v>
      </c>
      <c r="L145" s="207"/>
    </row>
    <row r="146" spans="2:12">
      <c r="B146" s="208"/>
      <c r="C146" s="204"/>
      <c r="D146" s="204"/>
      <c r="E146" s="204"/>
      <c r="F146" s="204"/>
      <c r="G146" s="204"/>
      <c r="H146" s="558" t="s">
        <v>1579</v>
      </c>
      <c r="I146" s="558"/>
      <c r="J146" s="558"/>
      <c r="K146" s="222">
        <f>IF(K143&gt;K144,K144,K143)-K145</f>
        <v>375</v>
      </c>
      <c r="L146" s="207"/>
    </row>
    <row r="147" spans="2:12" ht="15" customHeight="1">
      <c r="B147" s="213"/>
      <c r="C147" s="214"/>
      <c r="D147" s="214"/>
      <c r="E147" s="214"/>
      <c r="F147" s="214"/>
      <c r="G147" s="214"/>
      <c r="H147" s="559" t="s">
        <v>1224</v>
      </c>
      <c r="I147" s="559"/>
      <c r="J147" s="559"/>
      <c r="K147" s="223">
        <f>IF(K143&gt;K144,K143-K144,0)</f>
        <v>0</v>
      </c>
      <c r="L147" s="209"/>
    </row>
    <row r="149" spans="2:12" ht="14.25" customHeight="1">
      <c r="B149" s="555" t="s">
        <v>1237</v>
      </c>
      <c r="C149" s="555"/>
      <c r="D149" s="555"/>
      <c r="E149" s="555"/>
      <c r="F149" s="555"/>
      <c r="G149" s="555"/>
      <c r="H149" s="555"/>
      <c r="I149" s="555"/>
      <c r="J149" s="555"/>
      <c r="K149" s="555"/>
      <c r="L149" s="555"/>
    </row>
    <row r="150" spans="2:12">
      <c r="B150" s="187" t="s">
        <v>1209</v>
      </c>
      <c r="C150" s="187"/>
      <c r="D150" s="187" t="s">
        <v>39</v>
      </c>
      <c r="E150" s="187" t="s">
        <v>1210</v>
      </c>
      <c r="F150" s="187" t="s">
        <v>1211</v>
      </c>
      <c r="G150" s="187" t="s">
        <v>1212</v>
      </c>
      <c r="H150" s="187" t="s">
        <v>1213</v>
      </c>
      <c r="I150" s="187" t="s">
        <v>1214</v>
      </c>
      <c r="J150" s="187" t="s">
        <v>1215</v>
      </c>
      <c r="K150" s="187" t="s">
        <v>1216</v>
      </c>
      <c r="L150" s="187" t="s">
        <v>1217</v>
      </c>
    </row>
    <row r="151" spans="2:12">
      <c r="B151" s="188" t="s">
        <v>1238</v>
      </c>
      <c r="C151" s="189" t="s">
        <v>1219</v>
      </c>
      <c r="D151" s="190" t="s">
        <v>113</v>
      </c>
      <c r="E151" s="191"/>
      <c r="F151" s="192"/>
      <c r="G151" s="192"/>
      <c r="H151" s="191"/>
      <c r="I151" s="191">
        <v>8200</v>
      </c>
      <c r="J151" s="216"/>
      <c r="K151" s="217">
        <f t="shared" ref="K151:K156" si="4">IF(E151*F151*G151&lt;&gt;0,E151*F151*G151,IF(E151*F151&lt;&gt;0,E151*F151,IF(F151*G151&lt;&gt;0,F151*G151,IF(E151*G151&lt;&gt;0,E151*G151,IF(E151&lt;&gt;0,E151,IF(F151&lt;&gt;0,F151,IF(G151&lt;&gt;0,G151,0)))))))*(IF(H151&lt;&gt;0,H151,1))+I151-J151</f>
        <v>8200</v>
      </c>
      <c r="L151" s="218"/>
    </row>
    <row r="152" spans="2:12">
      <c r="B152" s="188" t="s">
        <v>1235</v>
      </c>
      <c r="C152" s="189" t="s">
        <v>1271</v>
      </c>
      <c r="D152" s="190" t="s">
        <v>169</v>
      </c>
      <c r="E152" s="199">
        <v>1616.87</v>
      </c>
      <c r="F152" s="199"/>
      <c r="G152" s="199">
        <v>0.25</v>
      </c>
      <c r="H152" s="199">
        <v>30</v>
      </c>
      <c r="I152" s="199"/>
      <c r="J152" s="219"/>
      <c r="K152" s="217">
        <f t="shared" si="4"/>
        <v>12126.525</v>
      </c>
      <c r="L152" s="218"/>
    </row>
    <row r="153" spans="2:12">
      <c r="B153" s="188" t="s">
        <v>1235</v>
      </c>
      <c r="C153" s="189" t="s">
        <v>1271</v>
      </c>
      <c r="D153" s="190" t="s">
        <v>169</v>
      </c>
      <c r="E153" s="199">
        <v>922</v>
      </c>
      <c r="F153" s="199"/>
      <c r="G153" s="199">
        <v>0.5</v>
      </c>
      <c r="H153" s="199">
        <v>30</v>
      </c>
      <c r="I153" s="199"/>
      <c r="J153" s="219"/>
      <c r="K153" s="217">
        <f t="shared" si="4"/>
        <v>13830</v>
      </c>
      <c r="L153" s="218"/>
    </row>
    <row r="154" spans="2:12">
      <c r="B154" s="188" t="s">
        <v>1522</v>
      </c>
      <c r="C154" s="189" t="s">
        <v>1521</v>
      </c>
      <c r="D154" s="190" t="s">
        <v>169</v>
      </c>
      <c r="E154" s="199">
        <v>15</v>
      </c>
      <c r="F154" s="199"/>
      <c r="G154" s="199">
        <v>25</v>
      </c>
      <c r="H154" s="199">
        <v>30</v>
      </c>
      <c r="I154" s="199"/>
      <c r="J154" s="219"/>
      <c r="K154" s="217">
        <f t="shared" si="4"/>
        <v>11250</v>
      </c>
      <c r="L154" s="218"/>
    </row>
    <row r="155" spans="2:12">
      <c r="B155" s="188" t="s">
        <v>1522</v>
      </c>
      <c r="C155" s="189" t="s">
        <v>1521</v>
      </c>
      <c r="D155" s="190" t="s">
        <v>169</v>
      </c>
      <c r="E155" s="199">
        <v>15</v>
      </c>
      <c r="F155" s="199"/>
      <c r="G155" s="199">
        <v>25</v>
      </c>
      <c r="H155" s="199">
        <v>30</v>
      </c>
      <c r="I155" s="199"/>
      <c r="J155" s="219"/>
      <c r="K155" s="217">
        <f t="shared" si="4"/>
        <v>11250</v>
      </c>
      <c r="L155" s="218"/>
    </row>
    <row r="156" spans="2:12">
      <c r="B156" s="197"/>
      <c r="C156" s="189"/>
      <c r="D156" s="198"/>
      <c r="E156" s="199"/>
      <c r="F156" s="199"/>
      <c r="G156" s="199"/>
      <c r="H156" s="199"/>
      <c r="I156" s="199"/>
      <c r="J156" s="219"/>
      <c r="K156" s="217">
        <f t="shared" si="4"/>
        <v>0</v>
      </c>
      <c r="L156" s="218"/>
    </row>
    <row r="157" spans="2:12">
      <c r="B157" s="202"/>
      <c r="C157" s="203"/>
      <c r="D157" s="203"/>
      <c r="E157" s="203"/>
      <c r="F157" s="203"/>
      <c r="G157" s="203"/>
      <c r="H157" s="204"/>
      <c r="I157" s="556" t="s">
        <v>1221</v>
      </c>
      <c r="J157" s="556"/>
      <c r="K157" s="220">
        <f>SUM(K151:K156)</f>
        <v>56656.525000000001</v>
      </c>
      <c r="L157" s="207"/>
    </row>
    <row r="158" spans="2:12">
      <c r="B158" s="208"/>
      <c r="C158" s="204"/>
      <c r="D158" s="204"/>
      <c r="E158" s="204"/>
      <c r="F158" s="204"/>
      <c r="G158" s="204"/>
      <c r="H158" s="209"/>
      <c r="I158" s="557" t="s">
        <v>1222</v>
      </c>
      <c r="J158" s="557"/>
      <c r="K158" s="221">
        <v>119550</v>
      </c>
      <c r="L158" s="207"/>
    </row>
    <row r="159" spans="2:12">
      <c r="B159" s="208"/>
      <c r="C159" s="204"/>
      <c r="D159" s="204"/>
      <c r="E159" s="204"/>
      <c r="F159" s="204"/>
      <c r="G159" s="204"/>
      <c r="H159" s="558" t="s">
        <v>1223</v>
      </c>
      <c r="I159" s="558"/>
      <c r="J159" s="558"/>
      <c r="K159" s="222">
        <v>45406.525000000001</v>
      </c>
      <c r="L159" s="207"/>
    </row>
    <row r="160" spans="2:12">
      <c r="B160" s="208"/>
      <c r="C160" s="204"/>
      <c r="D160" s="204"/>
      <c r="E160" s="204"/>
      <c r="F160" s="204"/>
      <c r="G160" s="204"/>
      <c r="H160" s="558" t="s">
        <v>1579</v>
      </c>
      <c r="I160" s="558"/>
      <c r="J160" s="558"/>
      <c r="K160" s="222">
        <f>IF(K157&gt;K158,K158,K157)-K159</f>
        <v>11250</v>
      </c>
      <c r="L160" s="207"/>
    </row>
    <row r="161" spans="2:12">
      <c r="B161" s="213"/>
      <c r="C161" s="214"/>
      <c r="D161" s="214"/>
      <c r="E161" s="214"/>
      <c r="F161" s="214"/>
      <c r="G161" s="214"/>
      <c r="H161" s="559" t="s">
        <v>1224</v>
      </c>
      <c r="I161" s="559"/>
      <c r="J161" s="559"/>
      <c r="K161" s="223">
        <f>IF(K157&gt;K158,K157-K158,0)</f>
        <v>0</v>
      </c>
      <c r="L161" s="209"/>
    </row>
    <row r="163" spans="2:12" ht="14.25" customHeight="1">
      <c r="B163" s="555" t="s">
        <v>1241</v>
      </c>
      <c r="C163" s="555"/>
      <c r="D163" s="555"/>
      <c r="E163" s="555"/>
      <c r="F163" s="555"/>
      <c r="G163" s="555"/>
      <c r="H163" s="555"/>
      <c r="I163" s="555"/>
      <c r="J163" s="555"/>
      <c r="K163" s="555"/>
      <c r="L163" s="555"/>
    </row>
    <row r="164" spans="2:12">
      <c r="B164" s="187" t="s">
        <v>1209</v>
      </c>
      <c r="C164" s="187"/>
      <c r="D164" s="187" t="s">
        <v>39</v>
      </c>
      <c r="E164" s="187" t="s">
        <v>1210</v>
      </c>
      <c r="F164" s="187" t="s">
        <v>1211</v>
      </c>
      <c r="G164" s="187" t="s">
        <v>1212</v>
      </c>
      <c r="H164" s="187" t="s">
        <v>1213</v>
      </c>
      <c r="I164" s="187" t="s">
        <v>1214</v>
      </c>
      <c r="J164" s="187" t="s">
        <v>1215</v>
      </c>
      <c r="K164" s="187" t="s">
        <v>1216</v>
      </c>
      <c r="L164" s="187" t="s">
        <v>1217</v>
      </c>
    </row>
    <row r="165" spans="2:12">
      <c r="B165" s="188" t="s">
        <v>117</v>
      </c>
      <c r="C165" s="189" t="s">
        <v>1240</v>
      </c>
      <c r="D165" s="190" t="s">
        <v>82</v>
      </c>
      <c r="E165" s="191">
        <v>10</v>
      </c>
      <c r="F165" s="192">
        <f>45/40</f>
        <v>1.125</v>
      </c>
      <c r="G165" s="192"/>
      <c r="H165" s="191">
        <v>147</v>
      </c>
      <c r="I165" s="191"/>
      <c r="J165" s="216"/>
      <c r="K165" s="217">
        <f>IF(E165*F165*G165&lt;&gt;0,E165*F165*G165,IF(E165*F165&lt;&gt;0,E165*F165,IF(F165*G165&lt;&gt;0,F165*G165,IF(E165*G165&lt;&gt;0,E165*G165,IF(E165&lt;&gt;0,E165,IF(F165&lt;&gt;0,F165,IF(G165&lt;&gt;0,G165,0)))))))*(IF(H165&lt;&gt;0,H165,1))+I165-J165</f>
        <v>1653.75</v>
      </c>
      <c r="L165" s="218"/>
    </row>
    <row r="166" spans="2:12">
      <c r="B166" s="188" t="s">
        <v>117</v>
      </c>
      <c r="C166" s="189" t="s">
        <v>1271</v>
      </c>
      <c r="D166" s="190" t="s">
        <v>82</v>
      </c>
      <c r="E166" s="191">
        <v>10</v>
      </c>
      <c r="F166" s="192">
        <f>45/40</f>
        <v>1.125</v>
      </c>
      <c r="G166" s="192"/>
      <c r="H166" s="191">
        <f>173-147</f>
        <v>26</v>
      </c>
      <c r="I166" s="191"/>
      <c r="J166" s="216"/>
      <c r="K166" s="217">
        <f>IF(E166*F166*G166&lt;&gt;0,E166*F166*G166,IF(E166*F166&lt;&gt;0,E166*F166,IF(F166*G166&lt;&gt;0,F166*G166,IF(E166*G166&lt;&gt;0,E166*G166,IF(E166&lt;&gt;0,E166,IF(F166&lt;&gt;0,F166,IF(G166&lt;&gt;0,G166,0)))))))*(IF(H166&lt;&gt;0,H166,1))+I166-J166</f>
        <v>292.5</v>
      </c>
      <c r="L166" s="218"/>
    </row>
    <row r="167" spans="2:12">
      <c r="B167" s="197"/>
      <c r="C167" s="189"/>
      <c r="D167" s="198"/>
      <c r="E167" s="199"/>
      <c r="F167" s="199"/>
      <c r="G167" s="199"/>
      <c r="H167" s="199"/>
      <c r="I167" s="199"/>
      <c r="J167" s="219"/>
      <c r="K167" s="217">
        <f>IF(E167*F167*G167&lt;&gt;0,E167*F167*G167,IF(E167*F167&lt;&gt;0,E167*F167,IF(F167*G167&lt;&gt;0,F167*G167,IF(E167*G167&lt;&gt;0,E167*G167,IF(E167&lt;&gt;0,E167,IF(F167&lt;&gt;0,F167,IF(G167&lt;&gt;0,G167,0)))))))*(IF(H167&lt;&gt;0,H167,1))+I167-J167</f>
        <v>0</v>
      </c>
      <c r="L167" s="218"/>
    </row>
    <row r="168" spans="2:12">
      <c r="B168" s="202"/>
      <c r="C168" s="203"/>
      <c r="D168" s="203"/>
      <c r="E168" s="203"/>
      <c r="F168" s="203"/>
      <c r="G168" s="203"/>
      <c r="H168" s="204"/>
      <c r="I168" s="556" t="s">
        <v>1221</v>
      </c>
      <c r="J168" s="556"/>
      <c r="K168" s="220">
        <f>SUM(K165:K167)</f>
        <v>1946.25</v>
      </c>
      <c r="L168" s="207"/>
    </row>
    <row r="169" spans="2:12">
      <c r="B169" s="208"/>
      <c r="C169" s="204"/>
      <c r="D169" s="204"/>
      <c r="E169" s="204"/>
      <c r="F169" s="204"/>
      <c r="G169" s="204"/>
      <c r="H169" s="209"/>
      <c r="I169" s="557" t="s">
        <v>1222</v>
      </c>
      <c r="J169" s="557"/>
      <c r="K169" s="221">
        <v>1837</v>
      </c>
      <c r="L169" s="207"/>
    </row>
    <row r="170" spans="2:12">
      <c r="B170" s="208"/>
      <c r="C170" s="204"/>
      <c r="D170" s="204"/>
      <c r="E170" s="204"/>
      <c r="F170" s="204"/>
      <c r="G170" s="204"/>
      <c r="H170" s="558" t="s">
        <v>1223</v>
      </c>
      <c r="I170" s="558"/>
      <c r="J170" s="558"/>
      <c r="K170" s="222">
        <v>1653.75</v>
      </c>
      <c r="L170" s="207"/>
    </row>
    <row r="171" spans="2:12">
      <c r="B171" s="208"/>
      <c r="C171" s="204"/>
      <c r="D171" s="204"/>
      <c r="E171" s="204"/>
      <c r="F171" s="204"/>
      <c r="G171" s="204"/>
      <c r="H171" s="558" t="s">
        <v>1199</v>
      </c>
      <c r="I171" s="558"/>
      <c r="J171" s="558"/>
      <c r="K171" s="222">
        <f>IF(K168&gt;K169,K169,K168)-K170</f>
        <v>183.25</v>
      </c>
      <c r="L171" s="207"/>
    </row>
    <row r="172" spans="2:12">
      <c r="B172" s="213"/>
      <c r="C172" s="214"/>
      <c r="D172" s="214"/>
      <c r="E172" s="214"/>
      <c r="F172" s="214"/>
      <c r="G172" s="214"/>
      <c r="H172" s="559" t="s">
        <v>1224</v>
      </c>
      <c r="I172" s="559"/>
      <c r="J172" s="559"/>
      <c r="K172" s="223">
        <f>IF(K168&gt;K169,K168-K169,0)</f>
        <v>109.25</v>
      </c>
      <c r="L172" s="209"/>
    </row>
    <row r="174" spans="2:12" ht="14.25" customHeight="1">
      <c r="B174" s="555" t="s">
        <v>1242</v>
      </c>
      <c r="C174" s="555"/>
      <c r="D174" s="555"/>
      <c r="E174" s="555"/>
      <c r="F174" s="555"/>
      <c r="G174" s="555"/>
      <c r="H174" s="555"/>
      <c r="I174" s="555"/>
      <c r="J174" s="555"/>
      <c r="K174" s="555"/>
      <c r="L174" s="555"/>
    </row>
    <row r="175" spans="2:12">
      <c r="B175" s="187" t="s">
        <v>1209</v>
      </c>
      <c r="C175" s="187"/>
      <c r="D175" s="187" t="s">
        <v>39</v>
      </c>
      <c r="E175" s="187" t="s">
        <v>1210</v>
      </c>
      <c r="F175" s="187" t="s">
        <v>1211</v>
      </c>
      <c r="G175" s="187" t="s">
        <v>1212</v>
      </c>
      <c r="H175" s="187" t="s">
        <v>1213</v>
      </c>
      <c r="I175" s="187" t="s">
        <v>1214</v>
      </c>
      <c r="J175" s="187" t="s">
        <v>1215</v>
      </c>
      <c r="K175" s="187" t="s">
        <v>1216</v>
      </c>
      <c r="L175" s="187" t="s">
        <v>1217</v>
      </c>
    </row>
    <row r="176" spans="2:12">
      <c r="B176" s="188" t="s">
        <v>117</v>
      </c>
      <c r="C176" s="189" t="s">
        <v>1240</v>
      </c>
      <c r="D176" s="190" t="s">
        <v>110</v>
      </c>
      <c r="E176" s="191">
        <f>K171</f>
        <v>183.25</v>
      </c>
      <c r="F176" s="192">
        <v>0.16</v>
      </c>
      <c r="G176" s="192"/>
      <c r="H176" s="191"/>
      <c r="I176" s="191"/>
      <c r="J176" s="216"/>
      <c r="K176" s="217">
        <f>IF(E176*F176*G176&lt;&gt;0,E176*F176*G176,IF(E176*F176&lt;&gt;0,E176*F176,IF(F176*G176&lt;&gt;0,F176*G176,IF(E176*G176&lt;&gt;0,E176*G176,IF(E176&lt;&gt;0,E176,IF(F176&lt;&gt;0,F176,IF(G176&lt;&gt;0,G176,0)))))))*(IF(H176&lt;&gt;0,H176,1))+I176-J176</f>
        <v>29.32</v>
      </c>
      <c r="L176" s="218"/>
    </row>
    <row r="177" spans="2:12">
      <c r="B177" s="197"/>
      <c r="C177" s="189"/>
      <c r="D177" s="198"/>
      <c r="E177" s="199"/>
      <c r="F177" s="199"/>
      <c r="G177" s="199"/>
      <c r="H177" s="199"/>
      <c r="I177" s="199"/>
      <c r="J177" s="219"/>
      <c r="K177" s="217">
        <f>IF(E177*F177*G177&lt;&gt;0,E177*F177*G177,IF(E177*F177&lt;&gt;0,E177*F177,IF(F177*G177&lt;&gt;0,F177*G177,IF(E177*G177&lt;&gt;0,E177*G177,IF(E177&lt;&gt;0,E177,IF(F177&lt;&gt;0,F177,IF(G177&lt;&gt;0,G177,0)))))))*(IF(H177&lt;&gt;0,H177,1))+I177-J177</f>
        <v>0</v>
      </c>
      <c r="L177" s="218"/>
    </row>
    <row r="178" spans="2:12">
      <c r="B178" s="202"/>
      <c r="C178" s="203"/>
      <c r="D178" s="203"/>
      <c r="E178" s="203"/>
      <c r="F178" s="203"/>
      <c r="G178" s="203"/>
      <c r="H178" s="204"/>
      <c r="I178" s="556" t="s">
        <v>1221</v>
      </c>
      <c r="J178" s="556"/>
      <c r="K178" s="220">
        <f>SUM(K176:K177)</f>
        <v>29.32</v>
      </c>
      <c r="L178" s="207"/>
    </row>
    <row r="179" spans="2:12">
      <c r="B179" s="208"/>
      <c r="C179" s="204"/>
      <c r="D179" s="204"/>
      <c r="E179" s="204"/>
      <c r="F179" s="204"/>
      <c r="G179" s="204"/>
      <c r="H179" s="209"/>
      <c r="I179" s="557" t="s">
        <v>1222</v>
      </c>
      <c r="J179" s="557"/>
      <c r="K179" s="221">
        <v>293.92</v>
      </c>
      <c r="L179" s="207"/>
    </row>
    <row r="180" spans="2:12">
      <c r="B180" s="208"/>
      <c r="C180" s="204"/>
      <c r="D180" s="204"/>
      <c r="E180" s="204"/>
      <c r="F180" s="204"/>
      <c r="G180" s="204"/>
      <c r="H180" s="558" t="s">
        <v>1223</v>
      </c>
      <c r="I180" s="558"/>
      <c r="J180" s="558"/>
      <c r="K180" s="222"/>
      <c r="L180" s="207"/>
    </row>
    <row r="181" spans="2:12">
      <c r="B181" s="208"/>
      <c r="C181" s="204"/>
      <c r="D181" s="204"/>
      <c r="E181" s="204"/>
      <c r="F181" s="204"/>
      <c r="G181" s="204"/>
      <c r="H181" s="558" t="s">
        <v>1199</v>
      </c>
      <c r="I181" s="558"/>
      <c r="J181" s="558"/>
      <c r="K181" s="222">
        <f>IF(K178&gt;K179,K179,K178)-K180</f>
        <v>29.32</v>
      </c>
      <c r="L181" s="207"/>
    </row>
    <row r="182" spans="2:12">
      <c r="B182" s="213"/>
      <c r="C182" s="214"/>
      <c r="D182" s="214"/>
      <c r="E182" s="214"/>
      <c r="F182" s="214"/>
      <c r="G182" s="214"/>
      <c r="H182" s="559" t="s">
        <v>1224</v>
      </c>
      <c r="I182" s="559"/>
      <c r="J182" s="559"/>
      <c r="K182" s="223">
        <f>IF(K178&gt;K179,K178-K179,0)</f>
        <v>0</v>
      </c>
      <c r="L182" s="209"/>
    </row>
    <row r="184" spans="2:12" ht="14.25" customHeight="1">
      <c r="B184" s="555" t="s">
        <v>1243</v>
      </c>
      <c r="C184" s="555"/>
      <c r="D184" s="555"/>
      <c r="E184" s="555"/>
      <c r="F184" s="555"/>
      <c r="G184" s="555"/>
      <c r="H184" s="555"/>
      <c r="I184" s="555"/>
      <c r="J184" s="555"/>
      <c r="K184" s="555"/>
      <c r="L184" s="555"/>
    </row>
    <row r="185" spans="2:12">
      <c r="B185" s="187" t="s">
        <v>1209</v>
      </c>
      <c r="C185" s="187"/>
      <c r="D185" s="187" t="s">
        <v>39</v>
      </c>
      <c r="E185" s="187" t="s">
        <v>1210</v>
      </c>
      <c r="F185" s="187" t="s">
        <v>1211</v>
      </c>
      <c r="G185" s="187" t="s">
        <v>1212</v>
      </c>
      <c r="H185" s="187" t="s">
        <v>1213</v>
      </c>
      <c r="I185" s="187" t="s">
        <v>1214</v>
      </c>
      <c r="J185" s="187" t="s">
        <v>1215</v>
      </c>
      <c r="K185" s="187" t="s">
        <v>1216</v>
      </c>
      <c r="L185" s="187" t="s">
        <v>1217</v>
      </c>
    </row>
    <row r="186" spans="2:12">
      <c r="B186" s="188" t="s">
        <v>117</v>
      </c>
      <c r="C186" s="189" t="s">
        <v>1240</v>
      </c>
      <c r="D186" s="190" t="s">
        <v>113</v>
      </c>
      <c r="E186" s="191">
        <f>K171</f>
        <v>183.25</v>
      </c>
      <c r="F186" s="192">
        <v>0.16</v>
      </c>
      <c r="G186" s="192"/>
      <c r="H186" s="191">
        <v>30</v>
      </c>
      <c r="I186" s="191"/>
      <c r="J186" s="216"/>
      <c r="K186" s="217">
        <f>IF(E186*F186*G186&lt;&gt;0,E186*F186*G186,IF(E186*F186&lt;&gt;0,E186*F186,IF(F186*G186&lt;&gt;0,F186*G186,IF(E186*G186&lt;&gt;0,E186*G186,IF(E186&lt;&gt;0,E186,IF(F186&lt;&gt;0,F186,IF(G186&lt;&gt;0,G186,0)))))))*(IF(H186&lt;&gt;0,H186,1))+I186-J186</f>
        <v>879.6</v>
      </c>
      <c r="L186" s="218"/>
    </row>
    <row r="187" spans="2:12">
      <c r="B187" s="197"/>
      <c r="C187" s="189"/>
      <c r="D187" s="198"/>
      <c r="E187" s="199"/>
      <c r="F187" s="199"/>
      <c r="G187" s="199"/>
      <c r="H187" s="199"/>
      <c r="I187" s="199"/>
      <c r="J187" s="219"/>
      <c r="K187" s="217">
        <f>IF(E187*F187*G187&lt;&gt;0,E187*F187*G187,IF(E187*F187&lt;&gt;0,E187*F187,IF(F187*G187&lt;&gt;0,F187*G187,IF(E187*G187&lt;&gt;0,E187*G187,IF(E187&lt;&gt;0,E187,IF(F187&lt;&gt;0,F187,IF(G187&lt;&gt;0,G187,0)))))))*(IF(H187&lt;&gt;0,H187,1))+I187-J187</f>
        <v>0</v>
      </c>
      <c r="L187" s="218"/>
    </row>
    <row r="188" spans="2:12">
      <c r="B188" s="202"/>
      <c r="C188" s="203"/>
      <c r="D188" s="203"/>
      <c r="E188" s="203"/>
      <c r="F188" s="203"/>
      <c r="G188" s="203"/>
      <c r="H188" s="204"/>
      <c r="I188" s="556" t="s">
        <v>1221</v>
      </c>
      <c r="J188" s="556"/>
      <c r="K188" s="220">
        <f>SUM(K186:K187)</f>
        <v>879.6</v>
      </c>
      <c r="L188" s="207"/>
    </row>
    <row r="189" spans="2:12">
      <c r="B189" s="208"/>
      <c r="C189" s="204"/>
      <c r="D189" s="204"/>
      <c r="E189" s="204"/>
      <c r="F189" s="204"/>
      <c r="G189" s="204"/>
      <c r="H189" s="209"/>
      <c r="I189" s="557" t="s">
        <v>1222</v>
      </c>
      <c r="J189" s="557"/>
      <c r="K189" s="221">
        <v>8817.6</v>
      </c>
      <c r="L189" s="207"/>
    </row>
    <row r="190" spans="2:12">
      <c r="B190" s="208"/>
      <c r="C190" s="204"/>
      <c r="D190" s="204"/>
      <c r="E190" s="204"/>
      <c r="F190" s="204"/>
      <c r="G190" s="204"/>
      <c r="H190" s="558" t="s">
        <v>1223</v>
      </c>
      <c r="I190" s="558"/>
      <c r="J190" s="558"/>
      <c r="K190" s="222"/>
      <c r="L190" s="207"/>
    </row>
    <row r="191" spans="2:12">
      <c r="B191" s="208"/>
      <c r="C191" s="204"/>
      <c r="D191" s="204"/>
      <c r="E191" s="204"/>
      <c r="F191" s="204"/>
      <c r="G191" s="204"/>
      <c r="H191" s="558" t="s">
        <v>1199</v>
      </c>
      <c r="I191" s="558"/>
      <c r="J191" s="558"/>
      <c r="K191" s="222">
        <f>IF(K188&gt;K189,K189,K188)-K190</f>
        <v>879.6</v>
      </c>
      <c r="L191" s="207"/>
    </row>
    <row r="192" spans="2:12">
      <c r="B192" s="213"/>
      <c r="C192" s="214"/>
      <c r="D192" s="214"/>
      <c r="E192" s="214"/>
      <c r="F192" s="214"/>
      <c r="G192" s="214"/>
      <c r="H192" s="559" t="s">
        <v>1224</v>
      </c>
      <c r="I192" s="559"/>
      <c r="J192" s="559"/>
      <c r="K192" s="223">
        <f>IF(K188&gt;K189,K188-K189,0)</f>
        <v>0</v>
      </c>
      <c r="L192" s="209"/>
    </row>
    <row r="194" spans="2:12" ht="14.25" customHeight="1">
      <c r="B194" s="555" t="s">
        <v>1244</v>
      </c>
      <c r="C194" s="555"/>
      <c r="D194" s="555"/>
      <c r="E194" s="555"/>
      <c r="F194" s="555"/>
      <c r="G194" s="555"/>
      <c r="H194" s="555"/>
      <c r="I194" s="555"/>
      <c r="J194" s="555"/>
      <c r="K194" s="555"/>
      <c r="L194" s="555"/>
    </row>
    <row r="195" spans="2:12">
      <c r="B195" s="187" t="s">
        <v>1209</v>
      </c>
      <c r="C195" s="187"/>
      <c r="D195" s="187" t="s">
        <v>39</v>
      </c>
      <c r="E195" s="187" t="s">
        <v>1210</v>
      </c>
      <c r="F195" s="187" t="s">
        <v>1211</v>
      </c>
      <c r="G195" s="187" t="s">
        <v>1212</v>
      </c>
      <c r="H195" s="187" t="s">
        <v>1213</v>
      </c>
      <c r="I195" s="187" t="s">
        <v>1214</v>
      </c>
      <c r="J195" s="187" t="s">
        <v>1215</v>
      </c>
      <c r="K195" s="187" t="s">
        <v>1216</v>
      </c>
      <c r="L195" s="187" t="s">
        <v>1217</v>
      </c>
    </row>
    <row r="196" spans="2:12">
      <c r="B196" s="188" t="s">
        <v>117</v>
      </c>
      <c r="C196" s="189" t="s">
        <v>1240</v>
      </c>
      <c r="D196" s="190" t="s">
        <v>39</v>
      </c>
      <c r="E196" s="191"/>
      <c r="F196" s="192"/>
      <c r="G196" s="192"/>
      <c r="H196" s="191"/>
      <c r="I196" s="191">
        <v>40</v>
      </c>
      <c r="J196" s="216"/>
      <c r="K196" s="217">
        <f>IF(E196*F196*G196&lt;&gt;0,E196*F196*G196,IF(E196*F196&lt;&gt;0,E196*F196,IF(F196*G196&lt;&gt;0,F196*G196,IF(E196*G196&lt;&gt;0,E196*G196,IF(E196&lt;&gt;0,E196,IF(F196&lt;&gt;0,F196,IF(G196&lt;&gt;0,G196,0)))))))*(IF(H196&lt;&gt;0,H196,1))+I196-J196</f>
        <v>40</v>
      </c>
      <c r="L196" s="218"/>
    </row>
    <row r="197" spans="2:12">
      <c r="B197" s="188" t="s">
        <v>117</v>
      </c>
      <c r="C197" s="189" t="s">
        <v>1271</v>
      </c>
      <c r="D197" s="190" t="s">
        <v>39</v>
      </c>
      <c r="E197" s="191"/>
      <c r="F197" s="192"/>
      <c r="G197" s="192"/>
      <c r="H197" s="191"/>
      <c r="I197" s="191">
        <f>133</f>
        <v>133</v>
      </c>
      <c r="J197" s="216"/>
      <c r="K197" s="217">
        <f>IF(E197*F197*G197&lt;&gt;0,E197*F197*G197,IF(E197*F197&lt;&gt;0,E197*F197,IF(F197*G197&lt;&gt;0,F197*G197,IF(E197*G197&lt;&gt;0,E197*G197,IF(E197&lt;&gt;0,E197,IF(F197&lt;&gt;0,F197,IF(G197&lt;&gt;0,G197,0)))))))*(IF(H197&lt;&gt;0,H197,1))+I197-J197</f>
        <v>133</v>
      </c>
      <c r="L197" s="218"/>
    </row>
    <row r="198" spans="2:12">
      <c r="B198" s="197"/>
      <c r="C198" s="189"/>
      <c r="D198" s="198"/>
      <c r="E198" s="199"/>
      <c r="F198" s="199"/>
      <c r="G198" s="199"/>
      <c r="H198" s="199"/>
      <c r="I198" s="199"/>
      <c r="J198" s="219"/>
      <c r="K198" s="217">
        <f>IF(E198*F198*G198&lt;&gt;0,E198*F198*G198,IF(E198*F198&lt;&gt;0,E198*F198,IF(F198*G198&lt;&gt;0,F198*G198,IF(E198*G198&lt;&gt;0,E198*G198,IF(E198&lt;&gt;0,E198,IF(F198&lt;&gt;0,F198,IF(G198&lt;&gt;0,G198,0)))))))*(IF(H198&lt;&gt;0,H198,1))+I198-J198</f>
        <v>0</v>
      </c>
      <c r="L198" s="218"/>
    </row>
    <row r="199" spans="2:12">
      <c r="B199" s="202"/>
      <c r="C199" s="203"/>
      <c r="D199" s="203"/>
      <c r="E199" s="203"/>
      <c r="F199" s="203"/>
      <c r="G199" s="203"/>
      <c r="H199" s="204"/>
      <c r="I199" s="556" t="s">
        <v>1221</v>
      </c>
      <c r="J199" s="556"/>
      <c r="K199" s="220">
        <f>SUM(K196:K198)</f>
        <v>173</v>
      </c>
      <c r="L199" s="207"/>
    </row>
    <row r="200" spans="2:12">
      <c r="B200" s="208"/>
      <c r="C200" s="204"/>
      <c r="D200" s="204"/>
      <c r="E200" s="204"/>
      <c r="F200" s="204"/>
      <c r="G200" s="204"/>
      <c r="H200" s="209"/>
      <c r="I200" s="557" t="s">
        <v>1222</v>
      </c>
      <c r="J200" s="557"/>
      <c r="K200" s="221">
        <v>167</v>
      </c>
      <c r="L200" s="207"/>
    </row>
    <row r="201" spans="2:12">
      <c r="B201" s="208"/>
      <c r="C201" s="204"/>
      <c r="D201" s="204"/>
      <c r="E201" s="204"/>
      <c r="F201" s="204"/>
      <c r="G201" s="204"/>
      <c r="H201" s="558" t="s">
        <v>1223</v>
      </c>
      <c r="I201" s="558"/>
      <c r="J201" s="558"/>
      <c r="K201" s="222">
        <v>40</v>
      </c>
      <c r="L201" s="207"/>
    </row>
    <row r="202" spans="2:12">
      <c r="B202" s="208"/>
      <c r="C202" s="204"/>
      <c r="D202" s="204"/>
      <c r="E202" s="204"/>
      <c r="F202" s="204"/>
      <c r="G202" s="204"/>
      <c r="H202" s="558" t="s">
        <v>1199</v>
      </c>
      <c r="I202" s="558"/>
      <c r="J202" s="558"/>
      <c r="K202" s="222">
        <f>IF(K199&gt;K200,K200,K199)-K201</f>
        <v>127</v>
      </c>
      <c r="L202" s="207"/>
    </row>
    <row r="203" spans="2:12">
      <c r="B203" s="213"/>
      <c r="C203" s="214"/>
      <c r="D203" s="214"/>
      <c r="E203" s="214"/>
      <c r="F203" s="214"/>
      <c r="G203" s="214"/>
      <c r="H203" s="559" t="s">
        <v>1224</v>
      </c>
      <c r="I203" s="559"/>
      <c r="J203" s="559"/>
      <c r="K203" s="223">
        <f>IF(K199&gt;K200,K199-K200,0)</f>
        <v>6</v>
      </c>
      <c r="L203" s="209"/>
    </row>
    <row r="205" spans="2:12" ht="14.25" customHeight="1">
      <c r="B205" s="555" t="s">
        <v>1245</v>
      </c>
      <c r="C205" s="555"/>
      <c r="D205" s="555"/>
      <c r="E205" s="555"/>
      <c r="F205" s="555"/>
      <c r="G205" s="555"/>
      <c r="H205" s="555"/>
      <c r="I205" s="555"/>
      <c r="J205" s="555"/>
      <c r="K205" s="555"/>
      <c r="L205" s="555"/>
    </row>
    <row r="206" spans="2:12">
      <c r="B206" s="187" t="s">
        <v>1209</v>
      </c>
      <c r="C206" s="187"/>
      <c r="D206" s="187" t="s">
        <v>39</v>
      </c>
      <c r="E206" s="187" t="s">
        <v>1210</v>
      </c>
      <c r="F206" s="187" t="s">
        <v>1211</v>
      </c>
      <c r="G206" s="187" t="s">
        <v>1212</v>
      </c>
      <c r="H206" s="187" t="s">
        <v>1213</v>
      </c>
      <c r="I206" s="187" t="s">
        <v>1214</v>
      </c>
      <c r="J206" s="187" t="s">
        <v>1215</v>
      </c>
      <c r="K206" s="187" t="s">
        <v>1216</v>
      </c>
      <c r="L206" s="187" t="s">
        <v>1217</v>
      </c>
    </row>
    <row r="207" spans="2:12">
      <c r="B207" s="188" t="s">
        <v>1246</v>
      </c>
      <c r="C207" s="189" t="s">
        <v>1240</v>
      </c>
      <c r="D207" s="190" t="s">
        <v>39</v>
      </c>
      <c r="E207" s="191"/>
      <c r="F207" s="192"/>
      <c r="G207" s="192"/>
      <c r="H207" s="191"/>
      <c r="I207" s="191">
        <v>1</v>
      </c>
      <c r="J207" s="216"/>
      <c r="K207" s="217">
        <f>IF(E207*F207*G207&lt;&gt;0,E207*F207*G207,IF(E207*F207&lt;&gt;0,E207*F207,IF(F207*G207&lt;&gt;0,F207*G207,IF(E207*G207&lt;&gt;0,E207*G207,IF(E207&lt;&gt;0,E207,IF(F207&lt;&gt;0,F207,IF(G207&lt;&gt;0,G207,0)))))))*(IF(H207&lt;&gt;0,H207,1))+I207-J207</f>
        <v>1</v>
      </c>
      <c r="L207" s="218"/>
    </row>
    <row r="208" spans="2:12">
      <c r="B208" s="188" t="s">
        <v>1246</v>
      </c>
      <c r="C208" s="189" t="s">
        <v>1271</v>
      </c>
      <c r="D208" s="190" t="s">
        <v>39</v>
      </c>
      <c r="E208" s="191"/>
      <c r="F208" s="192"/>
      <c r="G208" s="192"/>
      <c r="H208" s="191"/>
      <c r="I208" s="191">
        <v>1</v>
      </c>
      <c r="J208" s="216"/>
      <c r="K208" s="217">
        <f>IF(E208*F208*G208&lt;&gt;0,E208*F208*G208,IF(E208*F208&lt;&gt;0,E208*F208,IF(F208*G208&lt;&gt;0,F208*G208,IF(E208*G208&lt;&gt;0,E208*G208,IF(E208&lt;&gt;0,E208,IF(F208&lt;&gt;0,F208,IF(G208&lt;&gt;0,G208,0)))))))*(IF(H208&lt;&gt;0,H208,1))+I208-J208</f>
        <v>1</v>
      </c>
      <c r="L208" s="218"/>
    </row>
    <row r="209" spans="2:12">
      <c r="B209" s="197"/>
      <c r="C209" s="189"/>
      <c r="D209" s="198"/>
      <c r="E209" s="199"/>
      <c r="F209" s="199"/>
      <c r="G209" s="199"/>
      <c r="H209" s="199"/>
      <c r="I209" s="199"/>
      <c r="J209" s="219"/>
      <c r="K209" s="217">
        <f>IF(E209*F209*G209&lt;&gt;0,E209*F209*G209,IF(E209*F209&lt;&gt;0,E209*F209,IF(F209*G209&lt;&gt;0,F209*G209,IF(E209*G209&lt;&gt;0,E209*G209,IF(E209&lt;&gt;0,E209,IF(F209&lt;&gt;0,F209,IF(G209&lt;&gt;0,G209,0)))))))*(IF(H209&lt;&gt;0,H209,1))+I209-J209</f>
        <v>0</v>
      </c>
      <c r="L209" s="218"/>
    </row>
    <row r="210" spans="2:12">
      <c r="B210" s="202"/>
      <c r="C210" s="203"/>
      <c r="D210" s="203"/>
      <c r="E210" s="203"/>
      <c r="F210" s="203"/>
      <c r="G210" s="203"/>
      <c r="H210" s="204"/>
      <c r="I210" s="556" t="s">
        <v>1221</v>
      </c>
      <c r="J210" s="556"/>
      <c r="K210" s="220">
        <f>SUM(K207:K209)</f>
        <v>2</v>
      </c>
      <c r="L210" s="207"/>
    </row>
    <row r="211" spans="2:12">
      <c r="B211" s="208"/>
      <c r="C211" s="204"/>
      <c r="D211" s="204"/>
      <c r="E211" s="204"/>
      <c r="F211" s="204"/>
      <c r="G211" s="204"/>
      <c r="H211" s="209"/>
      <c r="I211" s="557" t="s">
        <v>1222</v>
      </c>
      <c r="J211" s="557"/>
      <c r="K211" s="221">
        <v>2</v>
      </c>
      <c r="L211" s="207"/>
    </row>
    <row r="212" spans="2:12">
      <c r="B212" s="208"/>
      <c r="C212" s="204"/>
      <c r="D212" s="204"/>
      <c r="E212" s="204"/>
      <c r="F212" s="204"/>
      <c r="G212" s="204"/>
      <c r="H212" s="558" t="s">
        <v>1223</v>
      </c>
      <c r="I212" s="558"/>
      <c r="J212" s="558"/>
      <c r="K212" s="222">
        <v>1</v>
      </c>
      <c r="L212" s="207"/>
    </row>
    <row r="213" spans="2:12">
      <c r="B213" s="208"/>
      <c r="C213" s="204"/>
      <c r="D213" s="204"/>
      <c r="E213" s="204"/>
      <c r="F213" s="204"/>
      <c r="G213" s="204"/>
      <c r="H213" s="558" t="s">
        <v>1199</v>
      </c>
      <c r="I213" s="558"/>
      <c r="J213" s="558"/>
      <c r="K213" s="222">
        <f>IF(K210&gt;K211,K211,K210)-K212</f>
        <v>1</v>
      </c>
      <c r="L213" s="207"/>
    </row>
    <row r="214" spans="2:12">
      <c r="B214" s="213"/>
      <c r="C214" s="214"/>
      <c r="D214" s="214"/>
      <c r="E214" s="214"/>
      <c r="F214" s="214"/>
      <c r="G214" s="214"/>
      <c r="H214" s="559" t="s">
        <v>1224</v>
      </c>
      <c r="I214" s="559"/>
      <c r="J214" s="559"/>
      <c r="K214" s="223">
        <f>IF(K210&gt;K211,K210-K211,0)</f>
        <v>0</v>
      </c>
      <c r="L214" s="209"/>
    </row>
    <row r="216" spans="2:12" ht="14.25" customHeight="1">
      <c r="B216" s="555" t="s">
        <v>1334</v>
      </c>
      <c r="C216" s="555"/>
      <c r="D216" s="555"/>
      <c r="E216" s="555"/>
      <c r="F216" s="555"/>
      <c r="G216" s="555"/>
      <c r="H216" s="555"/>
      <c r="I216" s="555"/>
      <c r="J216" s="555"/>
      <c r="K216" s="555"/>
      <c r="L216" s="555"/>
    </row>
    <row r="217" spans="2:12">
      <c r="B217" s="187" t="s">
        <v>1209</v>
      </c>
      <c r="C217" s="187"/>
      <c r="D217" s="187" t="s">
        <v>39</v>
      </c>
      <c r="E217" s="187" t="s">
        <v>1210</v>
      </c>
      <c r="F217" s="187" t="s">
        <v>1211</v>
      </c>
      <c r="G217" s="187" t="s">
        <v>1212</v>
      </c>
      <c r="H217" s="187" t="s">
        <v>1213</v>
      </c>
      <c r="I217" s="187" t="s">
        <v>1214</v>
      </c>
      <c r="J217" s="187" t="s">
        <v>1215</v>
      </c>
      <c r="K217" s="187" t="s">
        <v>1216</v>
      </c>
      <c r="L217" s="187" t="s">
        <v>1217</v>
      </c>
    </row>
    <row r="218" spans="2:12">
      <c r="B218" s="197" t="s">
        <v>1285</v>
      </c>
      <c r="C218" s="189" t="s">
        <v>1271</v>
      </c>
      <c r="D218" s="198" t="s">
        <v>1335</v>
      </c>
      <c r="E218" s="199">
        <v>2.2999999999999998</v>
      </c>
      <c r="F218" s="199">
        <v>1.3</v>
      </c>
      <c r="G218" s="199"/>
      <c r="H218" s="199"/>
      <c r="I218" s="199"/>
      <c r="J218" s="219"/>
      <c r="K218" s="217">
        <f t="shared" ref="K218:K249" si="5">IF(E218*F218*G218&lt;&gt;0,E218*F218*G218,IF(E218*F218&lt;&gt;0,E218*F218,IF(F218*G218&lt;&gt;0,F218*G218,IF(E218*G218&lt;&gt;0,E218*G218,IF(E218&lt;&gt;0,E218,IF(F218&lt;&gt;0,F218,IF(G218&lt;&gt;0,G218,0)))))))*(IF(H218&lt;&gt;0,H218,1))+I218-J218</f>
        <v>2.9899999999999998</v>
      </c>
      <c r="L218" s="218"/>
    </row>
    <row r="219" spans="2:12">
      <c r="B219" s="197" t="s">
        <v>1286</v>
      </c>
      <c r="C219" s="189" t="s">
        <v>1271</v>
      </c>
      <c r="D219" s="198" t="s">
        <v>1335</v>
      </c>
      <c r="E219" s="199">
        <v>2.6</v>
      </c>
      <c r="F219" s="199">
        <v>2.6</v>
      </c>
      <c r="G219" s="199"/>
      <c r="H219" s="199"/>
      <c r="I219" s="199"/>
      <c r="J219" s="219"/>
      <c r="K219" s="217">
        <f t="shared" si="5"/>
        <v>6.7600000000000007</v>
      </c>
      <c r="L219" s="218"/>
    </row>
    <row r="220" spans="2:12">
      <c r="B220" s="197" t="s">
        <v>1287</v>
      </c>
      <c r="C220" s="189" t="s">
        <v>1271</v>
      </c>
      <c r="D220" s="198" t="s">
        <v>1335</v>
      </c>
      <c r="E220" s="199">
        <v>2.6</v>
      </c>
      <c r="F220" s="199">
        <v>2.6</v>
      </c>
      <c r="G220" s="199"/>
      <c r="H220" s="199"/>
      <c r="I220" s="199"/>
      <c r="J220" s="219"/>
      <c r="K220" s="217">
        <f t="shared" si="5"/>
        <v>6.7600000000000007</v>
      </c>
      <c r="L220" s="218"/>
    </row>
    <row r="221" spans="2:12">
      <c r="B221" s="197" t="s">
        <v>1288</v>
      </c>
      <c r="C221" s="189" t="s">
        <v>1271</v>
      </c>
      <c r="D221" s="198" t="s">
        <v>1335</v>
      </c>
      <c r="E221" s="199">
        <v>2.2999999999999998</v>
      </c>
      <c r="F221" s="199">
        <v>1.3</v>
      </c>
      <c r="G221" s="199"/>
      <c r="H221" s="199"/>
      <c r="I221" s="199"/>
      <c r="J221" s="219"/>
      <c r="K221" s="217">
        <f t="shared" si="5"/>
        <v>2.9899999999999998</v>
      </c>
      <c r="L221" s="218"/>
    </row>
    <row r="222" spans="2:12">
      <c r="B222" s="197" t="s">
        <v>1289</v>
      </c>
      <c r="C222" s="189" t="s">
        <v>1271</v>
      </c>
      <c r="D222" s="198" t="s">
        <v>1335</v>
      </c>
      <c r="E222" s="199">
        <v>1.4</v>
      </c>
      <c r="F222" s="199">
        <v>1.4</v>
      </c>
      <c r="G222" s="199"/>
      <c r="H222" s="199"/>
      <c r="I222" s="199"/>
      <c r="J222" s="219"/>
      <c r="K222" s="217">
        <f t="shared" si="5"/>
        <v>1.9599999999999997</v>
      </c>
      <c r="L222" s="218"/>
    </row>
    <row r="223" spans="2:12">
      <c r="B223" s="197" t="s">
        <v>1290</v>
      </c>
      <c r="C223" s="189" t="s">
        <v>1271</v>
      </c>
      <c r="D223" s="198" t="s">
        <v>1335</v>
      </c>
      <c r="E223" s="199"/>
      <c r="F223" s="199"/>
      <c r="G223" s="199"/>
      <c r="H223" s="199"/>
      <c r="I223" s="199">
        <v>3.29</v>
      </c>
      <c r="J223" s="219"/>
      <c r="K223" s="217">
        <f t="shared" si="5"/>
        <v>3.29</v>
      </c>
      <c r="L223" s="218"/>
    </row>
    <row r="224" spans="2:12">
      <c r="B224" s="197" t="s">
        <v>1291</v>
      </c>
      <c r="C224" s="189" t="s">
        <v>1271</v>
      </c>
      <c r="D224" s="198" t="s">
        <v>1335</v>
      </c>
      <c r="E224" s="199">
        <v>2.6</v>
      </c>
      <c r="F224" s="199">
        <v>2.6</v>
      </c>
      <c r="G224" s="199"/>
      <c r="H224" s="199"/>
      <c r="I224" s="199"/>
      <c r="J224" s="219"/>
      <c r="K224" s="217">
        <f t="shared" si="5"/>
        <v>6.7600000000000007</v>
      </c>
      <c r="L224" s="218"/>
    </row>
    <row r="225" spans="2:12">
      <c r="B225" s="197" t="s">
        <v>1292</v>
      </c>
      <c r="C225" s="189" t="s">
        <v>1271</v>
      </c>
      <c r="D225" s="198" t="s">
        <v>1335</v>
      </c>
      <c r="E225" s="199">
        <v>2.6</v>
      </c>
      <c r="F225" s="199">
        <v>2.6</v>
      </c>
      <c r="G225" s="199"/>
      <c r="H225" s="199"/>
      <c r="I225" s="199"/>
      <c r="J225" s="219"/>
      <c r="K225" s="217">
        <f t="shared" si="5"/>
        <v>6.7600000000000007</v>
      </c>
      <c r="L225" s="218"/>
    </row>
    <row r="226" spans="2:12">
      <c r="B226" s="197" t="s">
        <v>1293</v>
      </c>
      <c r="C226" s="189" t="s">
        <v>1271</v>
      </c>
      <c r="D226" s="198" t="s">
        <v>1335</v>
      </c>
      <c r="E226" s="199">
        <v>2.6</v>
      </c>
      <c r="F226" s="199">
        <v>2.6</v>
      </c>
      <c r="G226" s="199"/>
      <c r="H226" s="199"/>
      <c r="I226" s="199"/>
      <c r="J226" s="219"/>
      <c r="K226" s="217">
        <f t="shared" si="5"/>
        <v>6.7600000000000007</v>
      </c>
      <c r="L226" s="218"/>
    </row>
    <row r="227" spans="2:12">
      <c r="B227" s="197" t="s">
        <v>1294</v>
      </c>
      <c r="C227" s="189" t="s">
        <v>1271</v>
      </c>
      <c r="D227" s="198" t="s">
        <v>1335</v>
      </c>
      <c r="E227" s="199">
        <v>1.4</v>
      </c>
      <c r="F227" s="199">
        <v>1.4</v>
      </c>
      <c r="G227" s="199"/>
      <c r="H227" s="199"/>
      <c r="I227" s="199"/>
      <c r="J227" s="219"/>
      <c r="K227" s="217">
        <f t="shared" si="5"/>
        <v>1.9599999999999997</v>
      </c>
      <c r="L227" s="218"/>
    </row>
    <row r="228" spans="2:12">
      <c r="B228" s="197" t="s">
        <v>1295</v>
      </c>
      <c r="C228" s="189" t="s">
        <v>1271</v>
      </c>
      <c r="D228" s="198" t="s">
        <v>1335</v>
      </c>
      <c r="E228" s="199"/>
      <c r="F228" s="199"/>
      <c r="G228" s="199"/>
      <c r="H228" s="199"/>
      <c r="I228" s="199">
        <v>3.29</v>
      </c>
      <c r="J228" s="219"/>
      <c r="K228" s="217">
        <f t="shared" si="5"/>
        <v>3.29</v>
      </c>
      <c r="L228" s="218"/>
    </row>
    <row r="229" spans="2:12">
      <c r="B229" s="197" t="s">
        <v>1336</v>
      </c>
      <c r="C229" s="189" t="s">
        <v>1271</v>
      </c>
      <c r="D229" s="198" t="s">
        <v>1335</v>
      </c>
      <c r="E229" s="199">
        <v>2.6</v>
      </c>
      <c r="F229" s="199">
        <v>2.6</v>
      </c>
      <c r="G229" s="199"/>
      <c r="H229" s="199"/>
      <c r="I229" s="199"/>
      <c r="J229" s="219"/>
      <c r="K229" s="217">
        <f t="shared" si="5"/>
        <v>6.7600000000000007</v>
      </c>
      <c r="L229" s="218"/>
    </row>
    <row r="230" spans="2:12">
      <c r="B230" s="197" t="s">
        <v>1337</v>
      </c>
      <c r="C230" s="189" t="s">
        <v>1271</v>
      </c>
      <c r="D230" s="198" t="s">
        <v>1335</v>
      </c>
      <c r="E230" s="199">
        <v>2.6</v>
      </c>
      <c r="F230" s="199">
        <v>2.6</v>
      </c>
      <c r="G230" s="199"/>
      <c r="H230" s="199"/>
      <c r="I230" s="199"/>
      <c r="J230" s="219"/>
      <c r="K230" s="217">
        <f t="shared" si="5"/>
        <v>6.7600000000000007</v>
      </c>
      <c r="L230" s="218"/>
    </row>
    <row r="231" spans="2:12">
      <c r="B231" s="197" t="s">
        <v>1338</v>
      </c>
      <c r="C231" s="189" t="s">
        <v>1271</v>
      </c>
      <c r="D231" s="198" t="s">
        <v>1335</v>
      </c>
      <c r="E231" s="199">
        <v>2.6</v>
      </c>
      <c r="F231" s="199">
        <v>2.6</v>
      </c>
      <c r="G231" s="199"/>
      <c r="H231" s="199"/>
      <c r="I231" s="199"/>
      <c r="J231" s="219"/>
      <c r="K231" s="217">
        <f t="shared" si="5"/>
        <v>6.7600000000000007</v>
      </c>
      <c r="L231" s="218"/>
    </row>
    <row r="232" spans="2:12">
      <c r="B232" s="197" t="s">
        <v>1339</v>
      </c>
      <c r="C232" s="189" t="s">
        <v>1271</v>
      </c>
      <c r="D232" s="198" t="s">
        <v>1335</v>
      </c>
      <c r="E232" s="199">
        <v>1.4</v>
      </c>
      <c r="F232" s="199">
        <v>1.4</v>
      </c>
      <c r="G232" s="199"/>
      <c r="H232" s="199"/>
      <c r="I232" s="199"/>
      <c r="J232" s="219"/>
      <c r="K232" s="217">
        <f t="shared" si="5"/>
        <v>1.9599999999999997</v>
      </c>
      <c r="L232" s="218"/>
    </row>
    <row r="233" spans="2:12">
      <c r="B233" s="197" t="s">
        <v>1340</v>
      </c>
      <c r="C233" s="189" t="s">
        <v>1271</v>
      </c>
      <c r="D233" s="198" t="s">
        <v>1335</v>
      </c>
      <c r="E233" s="199">
        <v>2.2999999999999998</v>
      </c>
      <c r="F233" s="199">
        <v>1.3</v>
      </c>
      <c r="G233" s="199"/>
      <c r="H233" s="199"/>
      <c r="I233" s="199"/>
      <c r="J233" s="219"/>
      <c r="K233" s="217">
        <f t="shared" si="5"/>
        <v>2.9899999999999998</v>
      </c>
      <c r="L233" s="218"/>
    </row>
    <row r="234" spans="2:12">
      <c r="B234" s="197" t="s">
        <v>1296</v>
      </c>
      <c r="C234" s="189" t="s">
        <v>1271</v>
      </c>
      <c r="D234" s="198" t="s">
        <v>1335</v>
      </c>
      <c r="E234" s="199">
        <v>2.2999999999999998</v>
      </c>
      <c r="F234" s="199">
        <v>1.3</v>
      </c>
      <c r="G234" s="199"/>
      <c r="H234" s="199"/>
      <c r="I234" s="199"/>
      <c r="J234" s="219"/>
      <c r="K234" s="217">
        <f t="shared" si="5"/>
        <v>2.9899999999999998</v>
      </c>
      <c r="L234" s="218"/>
    </row>
    <row r="235" spans="2:12">
      <c r="B235" s="197" t="s">
        <v>1341</v>
      </c>
      <c r="C235" s="189" t="s">
        <v>1271</v>
      </c>
      <c r="D235" s="198" t="s">
        <v>1335</v>
      </c>
      <c r="E235" s="199"/>
      <c r="F235" s="199"/>
      <c r="G235" s="199"/>
      <c r="H235" s="199"/>
      <c r="I235" s="199">
        <v>3.29</v>
      </c>
      <c r="J235" s="219"/>
      <c r="K235" s="217">
        <f t="shared" si="5"/>
        <v>3.29</v>
      </c>
      <c r="L235" s="218"/>
    </row>
    <row r="236" spans="2:12">
      <c r="B236" s="197" t="s">
        <v>1342</v>
      </c>
      <c r="C236" s="189" t="s">
        <v>1333</v>
      </c>
      <c r="D236" s="198" t="s">
        <v>1335</v>
      </c>
      <c r="E236" s="199">
        <v>3.54</v>
      </c>
      <c r="F236" s="199">
        <v>3.54</v>
      </c>
      <c r="G236" s="199"/>
      <c r="H236" s="199"/>
      <c r="I236" s="199"/>
      <c r="J236" s="219"/>
      <c r="K236" s="217">
        <f t="shared" si="5"/>
        <v>12.531600000000001</v>
      </c>
      <c r="L236" s="218"/>
    </row>
    <row r="237" spans="2:12">
      <c r="B237" s="197" t="s">
        <v>1343</v>
      </c>
      <c r="C237" s="189" t="s">
        <v>1333</v>
      </c>
      <c r="D237" s="198" t="s">
        <v>1335</v>
      </c>
      <c r="E237" s="199">
        <v>2.6</v>
      </c>
      <c r="F237" s="199">
        <v>2.6</v>
      </c>
      <c r="G237" s="199"/>
      <c r="H237" s="199"/>
      <c r="I237" s="199"/>
      <c r="J237" s="219"/>
      <c r="K237" s="217">
        <f t="shared" si="5"/>
        <v>6.7600000000000007</v>
      </c>
      <c r="L237" s="218"/>
    </row>
    <row r="238" spans="2:12">
      <c r="B238" s="197" t="s">
        <v>1297</v>
      </c>
      <c r="C238" s="189" t="s">
        <v>1333</v>
      </c>
      <c r="D238" s="198" t="s">
        <v>1335</v>
      </c>
      <c r="E238" s="199">
        <v>3.8</v>
      </c>
      <c r="F238" s="199">
        <v>1.4</v>
      </c>
      <c r="G238" s="199"/>
      <c r="H238" s="199"/>
      <c r="I238" s="199"/>
      <c r="J238" s="219"/>
      <c r="K238" s="217">
        <f t="shared" si="5"/>
        <v>5.3199999999999994</v>
      </c>
      <c r="L238" s="218"/>
    </row>
    <row r="239" spans="2:12">
      <c r="B239" s="197" t="s">
        <v>1344</v>
      </c>
      <c r="C239" s="189" t="s">
        <v>1333</v>
      </c>
      <c r="D239" s="198" t="s">
        <v>1335</v>
      </c>
      <c r="E239" s="199">
        <v>2.6</v>
      </c>
      <c r="F239" s="199">
        <v>2.6</v>
      </c>
      <c r="G239" s="199"/>
      <c r="H239" s="199"/>
      <c r="I239" s="199"/>
      <c r="J239" s="219"/>
      <c r="K239" s="217">
        <f t="shared" si="5"/>
        <v>6.7600000000000007</v>
      </c>
      <c r="L239" s="218"/>
    </row>
    <row r="240" spans="2:12">
      <c r="B240" s="197" t="s">
        <v>1345</v>
      </c>
      <c r="C240" s="189" t="s">
        <v>1333</v>
      </c>
      <c r="D240" s="198" t="s">
        <v>1335</v>
      </c>
      <c r="E240" s="199">
        <v>2.6</v>
      </c>
      <c r="F240" s="199">
        <v>2.6</v>
      </c>
      <c r="G240" s="199"/>
      <c r="H240" s="199"/>
      <c r="I240" s="199"/>
      <c r="J240" s="219"/>
      <c r="K240" s="217">
        <f t="shared" si="5"/>
        <v>6.7600000000000007</v>
      </c>
      <c r="L240" s="218"/>
    </row>
    <row r="241" spans="2:12">
      <c r="B241" s="197" t="s">
        <v>1298</v>
      </c>
      <c r="C241" s="189" t="s">
        <v>1333</v>
      </c>
      <c r="D241" s="198" t="s">
        <v>1335</v>
      </c>
      <c r="E241" s="199">
        <v>3.8</v>
      </c>
      <c r="F241" s="199">
        <v>2.6</v>
      </c>
      <c r="G241" s="199"/>
      <c r="H241" s="199"/>
      <c r="I241" s="199"/>
      <c r="J241" s="219"/>
      <c r="K241" s="217">
        <f t="shared" si="5"/>
        <v>9.879999999999999</v>
      </c>
      <c r="L241" s="218"/>
    </row>
    <row r="242" spans="2:12">
      <c r="B242" s="197" t="s">
        <v>1346</v>
      </c>
      <c r="C242" s="189" t="s">
        <v>1333</v>
      </c>
      <c r="D242" s="198" t="s">
        <v>1335</v>
      </c>
      <c r="E242" s="199">
        <v>2.6</v>
      </c>
      <c r="F242" s="199">
        <v>2.6</v>
      </c>
      <c r="G242" s="199"/>
      <c r="H242" s="199"/>
      <c r="I242" s="199"/>
      <c r="J242" s="219"/>
      <c r="K242" s="217">
        <f t="shared" si="5"/>
        <v>6.7600000000000007</v>
      </c>
      <c r="L242" s="218"/>
    </row>
    <row r="243" spans="2:12">
      <c r="B243" s="197" t="s">
        <v>1347</v>
      </c>
      <c r="C243" s="189" t="s">
        <v>1333</v>
      </c>
      <c r="D243" s="198" t="s">
        <v>1335</v>
      </c>
      <c r="E243" s="199"/>
      <c r="F243" s="199"/>
      <c r="G243" s="199"/>
      <c r="H243" s="199"/>
      <c r="I243" s="199">
        <v>3.29</v>
      </c>
      <c r="J243" s="219"/>
      <c r="K243" s="217">
        <f t="shared" si="5"/>
        <v>3.29</v>
      </c>
      <c r="L243" s="218"/>
    </row>
    <row r="244" spans="2:12">
      <c r="B244" s="197" t="s">
        <v>1348</v>
      </c>
      <c r="C244" s="189" t="s">
        <v>1333</v>
      </c>
      <c r="D244" s="198" t="s">
        <v>1335</v>
      </c>
      <c r="E244" s="199">
        <v>3.54</v>
      </c>
      <c r="F244" s="199">
        <v>3.54</v>
      </c>
      <c r="G244" s="199"/>
      <c r="H244" s="199"/>
      <c r="I244" s="199"/>
      <c r="J244" s="219"/>
      <c r="K244" s="217">
        <f t="shared" si="5"/>
        <v>12.531600000000001</v>
      </c>
      <c r="L244" s="218"/>
    </row>
    <row r="245" spans="2:12">
      <c r="B245" s="197" t="s">
        <v>1349</v>
      </c>
      <c r="C245" s="189" t="s">
        <v>1333</v>
      </c>
      <c r="D245" s="198" t="s">
        <v>1335</v>
      </c>
      <c r="E245" s="199">
        <v>3.8</v>
      </c>
      <c r="F245" s="199">
        <v>2.6</v>
      </c>
      <c r="G245" s="199"/>
      <c r="H245" s="199"/>
      <c r="I245" s="199"/>
      <c r="J245" s="219"/>
      <c r="K245" s="217">
        <f t="shared" si="5"/>
        <v>9.879999999999999</v>
      </c>
      <c r="L245" s="218"/>
    </row>
    <row r="246" spans="2:12">
      <c r="B246" s="197" t="s">
        <v>1350</v>
      </c>
      <c r="C246" s="189" t="s">
        <v>1333</v>
      </c>
      <c r="D246" s="198" t="s">
        <v>1335</v>
      </c>
      <c r="E246" s="199">
        <v>3.8</v>
      </c>
      <c r="F246" s="199">
        <v>2.6</v>
      </c>
      <c r="G246" s="199"/>
      <c r="H246" s="199"/>
      <c r="I246" s="199"/>
      <c r="J246" s="219"/>
      <c r="K246" s="217">
        <f t="shared" si="5"/>
        <v>9.879999999999999</v>
      </c>
      <c r="L246" s="218"/>
    </row>
    <row r="247" spans="2:12">
      <c r="B247" s="197" t="s">
        <v>1351</v>
      </c>
      <c r="C247" s="189" t="s">
        <v>1333</v>
      </c>
      <c r="D247" s="198" t="s">
        <v>1335</v>
      </c>
      <c r="E247" s="199">
        <v>2.6</v>
      </c>
      <c r="F247" s="199">
        <v>2.6</v>
      </c>
      <c r="G247" s="199"/>
      <c r="H247" s="199"/>
      <c r="I247" s="199"/>
      <c r="J247" s="219"/>
      <c r="K247" s="217">
        <f t="shared" si="5"/>
        <v>6.7600000000000007</v>
      </c>
      <c r="L247" s="218"/>
    </row>
    <row r="248" spans="2:12">
      <c r="B248" s="197" t="s">
        <v>1352</v>
      </c>
      <c r="C248" s="189" t="s">
        <v>1333</v>
      </c>
      <c r="D248" s="198" t="s">
        <v>1335</v>
      </c>
      <c r="E248" s="199">
        <v>1.4</v>
      </c>
      <c r="F248" s="199">
        <v>1.4</v>
      </c>
      <c r="G248" s="199"/>
      <c r="H248" s="199"/>
      <c r="I248" s="199"/>
      <c r="J248" s="219"/>
      <c r="K248" s="217">
        <f t="shared" si="5"/>
        <v>1.9599999999999997</v>
      </c>
      <c r="L248" s="218"/>
    </row>
    <row r="249" spans="2:12">
      <c r="B249" s="197" t="s">
        <v>1353</v>
      </c>
      <c r="C249" s="189" t="s">
        <v>1333</v>
      </c>
      <c r="D249" s="198" t="s">
        <v>1335</v>
      </c>
      <c r="E249" s="199">
        <v>1.4</v>
      </c>
      <c r="F249" s="199">
        <v>1.4</v>
      </c>
      <c r="G249" s="199"/>
      <c r="H249" s="199"/>
      <c r="I249" s="199"/>
      <c r="J249" s="219"/>
      <c r="K249" s="217">
        <f t="shared" si="5"/>
        <v>1.9599999999999997</v>
      </c>
      <c r="L249" s="218"/>
    </row>
    <row r="250" spans="2:12">
      <c r="B250" s="197" t="s">
        <v>1354</v>
      </c>
      <c r="C250" s="189" t="s">
        <v>1333</v>
      </c>
      <c r="D250" s="198" t="s">
        <v>1335</v>
      </c>
      <c r="E250" s="199">
        <v>1.4</v>
      </c>
      <c r="F250" s="199">
        <v>1.4</v>
      </c>
      <c r="G250" s="199"/>
      <c r="H250" s="199"/>
      <c r="I250" s="199"/>
      <c r="J250" s="219"/>
      <c r="K250" s="217">
        <f t="shared" ref="K250:K270" si="6">IF(E250*F250*G250&lt;&gt;0,E250*F250*G250,IF(E250*F250&lt;&gt;0,E250*F250,IF(F250*G250&lt;&gt;0,F250*G250,IF(E250*G250&lt;&gt;0,E250*G250,IF(E250&lt;&gt;0,E250,IF(F250&lt;&gt;0,F250,IF(G250&lt;&gt;0,G250,0)))))))*(IF(H250&lt;&gt;0,H250,1))+I250-J250</f>
        <v>1.9599999999999997</v>
      </c>
      <c r="L250" s="218"/>
    </row>
    <row r="251" spans="2:12">
      <c r="B251" s="197" t="s">
        <v>1355</v>
      </c>
      <c r="C251" s="189" t="s">
        <v>1333</v>
      </c>
      <c r="D251" s="198" t="s">
        <v>1335</v>
      </c>
      <c r="E251" s="199">
        <v>1.4</v>
      </c>
      <c r="F251" s="199">
        <v>1.4</v>
      </c>
      <c r="G251" s="199"/>
      <c r="H251" s="199"/>
      <c r="I251" s="199"/>
      <c r="J251" s="219"/>
      <c r="K251" s="217">
        <f t="shared" si="6"/>
        <v>1.9599999999999997</v>
      </c>
      <c r="L251" s="218"/>
    </row>
    <row r="252" spans="2:12">
      <c r="B252" s="197" t="s">
        <v>1356</v>
      </c>
      <c r="C252" s="189" t="s">
        <v>1333</v>
      </c>
      <c r="D252" s="198" t="s">
        <v>1335</v>
      </c>
      <c r="E252" s="199">
        <v>2.6</v>
      </c>
      <c r="F252" s="199">
        <v>2.6</v>
      </c>
      <c r="G252" s="199"/>
      <c r="H252" s="199"/>
      <c r="I252" s="199"/>
      <c r="J252" s="219"/>
      <c r="K252" s="217">
        <f t="shared" si="6"/>
        <v>6.7600000000000007</v>
      </c>
      <c r="L252" s="218"/>
    </row>
    <row r="253" spans="2:12">
      <c r="B253" s="197" t="s">
        <v>1357</v>
      </c>
      <c r="C253" s="189" t="s">
        <v>1333</v>
      </c>
      <c r="D253" s="198" t="s">
        <v>1335</v>
      </c>
      <c r="E253" s="199">
        <v>2.6</v>
      </c>
      <c r="F253" s="199">
        <v>2.6</v>
      </c>
      <c r="G253" s="199"/>
      <c r="H253" s="199"/>
      <c r="I253" s="199"/>
      <c r="J253" s="219"/>
      <c r="K253" s="217">
        <f t="shared" si="6"/>
        <v>6.7600000000000007</v>
      </c>
      <c r="L253" s="218"/>
    </row>
    <row r="254" spans="2:12">
      <c r="B254" s="197" t="s">
        <v>1358</v>
      </c>
      <c r="C254" s="189" t="s">
        <v>1333</v>
      </c>
      <c r="D254" s="198" t="s">
        <v>1335</v>
      </c>
      <c r="E254" s="199">
        <v>2.6</v>
      </c>
      <c r="F254" s="199">
        <v>2.6</v>
      </c>
      <c r="G254" s="199"/>
      <c r="H254" s="199"/>
      <c r="I254" s="199"/>
      <c r="J254" s="219"/>
      <c r="K254" s="217">
        <f t="shared" si="6"/>
        <v>6.7600000000000007</v>
      </c>
      <c r="L254" s="218"/>
    </row>
    <row r="255" spans="2:12">
      <c r="B255" s="197" t="s">
        <v>1359</v>
      </c>
      <c r="C255" s="189" t="s">
        <v>1333</v>
      </c>
      <c r="D255" s="198" t="s">
        <v>1335</v>
      </c>
      <c r="E255" s="199">
        <v>2.6</v>
      </c>
      <c r="F255" s="199">
        <v>2.6</v>
      </c>
      <c r="G255" s="199"/>
      <c r="H255" s="199"/>
      <c r="I255" s="199"/>
      <c r="J255" s="219"/>
      <c r="K255" s="217">
        <f t="shared" si="6"/>
        <v>6.7600000000000007</v>
      </c>
      <c r="L255" s="218"/>
    </row>
    <row r="256" spans="2:12">
      <c r="B256" s="197" t="s">
        <v>1360</v>
      </c>
      <c r="C256" s="189" t="s">
        <v>1333</v>
      </c>
      <c r="D256" s="198" t="s">
        <v>1335</v>
      </c>
      <c r="E256" s="199">
        <v>1.4</v>
      </c>
      <c r="F256" s="199">
        <v>1.4</v>
      </c>
      <c r="G256" s="199"/>
      <c r="H256" s="199"/>
      <c r="I256" s="199"/>
      <c r="J256" s="219"/>
      <c r="K256" s="217">
        <f t="shared" si="6"/>
        <v>1.9599999999999997</v>
      </c>
      <c r="L256" s="218"/>
    </row>
    <row r="257" spans="2:12">
      <c r="B257" s="197" t="s">
        <v>1361</v>
      </c>
      <c r="C257" s="189" t="s">
        <v>1333</v>
      </c>
      <c r="D257" s="198" t="s">
        <v>1335</v>
      </c>
      <c r="E257" s="199">
        <v>1.4</v>
      </c>
      <c r="F257" s="199">
        <v>1.4</v>
      </c>
      <c r="G257" s="199"/>
      <c r="H257" s="199"/>
      <c r="I257" s="199"/>
      <c r="J257" s="219"/>
      <c r="K257" s="217">
        <f t="shared" si="6"/>
        <v>1.9599999999999997</v>
      </c>
      <c r="L257" s="218"/>
    </row>
    <row r="258" spans="2:12">
      <c r="B258" s="197" t="s">
        <v>1362</v>
      </c>
      <c r="C258" s="189" t="s">
        <v>1333</v>
      </c>
      <c r="D258" s="198" t="s">
        <v>1335</v>
      </c>
      <c r="E258" s="199">
        <v>2.6</v>
      </c>
      <c r="F258" s="199">
        <v>2.6</v>
      </c>
      <c r="G258" s="199"/>
      <c r="H258" s="199"/>
      <c r="I258" s="199"/>
      <c r="J258" s="219"/>
      <c r="K258" s="217">
        <f t="shared" si="6"/>
        <v>6.7600000000000007</v>
      </c>
      <c r="L258" s="218"/>
    </row>
    <row r="259" spans="2:12">
      <c r="B259" s="197" t="s">
        <v>1363</v>
      </c>
      <c r="C259" s="189" t="s">
        <v>1333</v>
      </c>
      <c r="D259" s="198" t="s">
        <v>1335</v>
      </c>
      <c r="E259" s="199">
        <v>2.6</v>
      </c>
      <c r="F259" s="199">
        <v>2.6</v>
      </c>
      <c r="G259" s="199"/>
      <c r="H259" s="199"/>
      <c r="I259" s="199"/>
      <c r="J259" s="219"/>
      <c r="K259" s="217">
        <f t="shared" si="6"/>
        <v>6.7600000000000007</v>
      </c>
      <c r="L259" s="218"/>
    </row>
    <row r="260" spans="2:12">
      <c r="B260" s="197" t="s">
        <v>1364</v>
      </c>
      <c r="C260" s="189" t="s">
        <v>1333</v>
      </c>
      <c r="D260" s="198" t="s">
        <v>1335</v>
      </c>
      <c r="E260" s="199">
        <v>2.2999999999999998</v>
      </c>
      <c r="F260" s="199">
        <v>1.3</v>
      </c>
      <c r="G260" s="199"/>
      <c r="H260" s="199"/>
      <c r="I260" s="199"/>
      <c r="J260" s="219"/>
      <c r="K260" s="217">
        <f t="shared" si="6"/>
        <v>2.9899999999999998</v>
      </c>
      <c r="L260" s="218"/>
    </row>
    <row r="261" spans="2:12">
      <c r="B261" s="197" t="s">
        <v>1442</v>
      </c>
      <c r="C261" s="189" t="s">
        <v>1441</v>
      </c>
      <c r="D261" s="198" t="s">
        <v>1335</v>
      </c>
      <c r="E261" s="199">
        <v>3.8</v>
      </c>
      <c r="F261" s="199">
        <v>2.4</v>
      </c>
      <c r="G261" s="199"/>
      <c r="H261" s="199"/>
      <c r="I261" s="199"/>
      <c r="J261" s="219"/>
      <c r="K261" s="217">
        <f t="shared" si="6"/>
        <v>9.1199999999999992</v>
      </c>
      <c r="L261" s="218"/>
    </row>
    <row r="262" spans="2:12">
      <c r="B262" s="197" t="s">
        <v>1443</v>
      </c>
      <c r="C262" s="189" t="s">
        <v>1441</v>
      </c>
      <c r="D262" s="198" t="s">
        <v>1335</v>
      </c>
      <c r="E262" s="199">
        <v>3.8</v>
      </c>
      <c r="F262" s="199">
        <v>2.4</v>
      </c>
      <c r="G262" s="199"/>
      <c r="H262" s="199"/>
      <c r="I262" s="199"/>
      <c r="J262" s="219"/>
      <c r="K262" s="217">
        <f t="shared" si="6"/>
        <v>9.1199999999999992</v>
      </c>
      <c r="L262" s="218"/>
    </row>
    <row r="263" spans="2:12">
      <c r="B263" s="197" t="s">
        <v>1444</v>
      </c>
      <c r="C263" s="189" t="s">
        <v>1441</v>
      </c>
      <c r="D263" s="198" t="s">
        <v>1335</v>
      </c>
      <c r="E263" s="199">
        <v>2.2999999999999998</v>
      </c>
      <c r="F263" s="199">
        <v>1.3</v>
      </c>
      <c r="G263" s="199"/>
      <c r="H263" s="199"/>
      <c r="I263" s="199"/>
      <c r="J263" s="219"/>
      <c r="K263" s="217">
        <f t="shared" si="6"/>
        <v>2.9899999999999998</v>
      </c>
      <c r="L263" s="218"/>
    </row>
    <row r="264" spans="2:12">
      <c r="B264" s="197" t="s">
        <v>1445</v>
      </c>
      <c r="C264" s="189" t="s">
        <v>1441</v>
      </c>
      <c r="D264" s="198" t="s">
        <v>1335</v>
      </c>
      <c r="E264" s="199">
        <v>2.2999999999999998</v>
      </c>
      <c r="F264" s="199">
        <v>1.3</v>
      </c>
      <c r="G264" s="199"/>
      <c r="H264" s="199"/>
      <c r="I264" s="199"/>
      <c r="J264" s="219"/>
      <c r="K264" s="217">
        <f t="shared" si="6"/>
        <v>2.9899999999999998</v>
      </c>
      <c r="L264" s="218"/>
    </row>
    <row r="265" spans="2:12">
      <c r="B265" s="197" t="s">
        <v>1446</v>
      </c>
      <c r="C265" s="189" t="s">
        <v>1441</v>
      </c>
      <c r="D265" s="198" t="s">
        <v>1335</v>
      </c>
      <c r="E265" s="199"/>
      <c r="F265" s="199"/>
      <c r="G265" s="199"/>
      <c r="H265" s="199"/>
      <c r="I265" s="199">
        <v>4.8499999999999996</v>
      </c>
      <c r="J265" s="219"/>
      <c r="K265" s="217">
        <f t="shared" si="6"/>
        <v>4.8499999999999996</v>
      </c>
      <c r="L265" s="218"/>
    </row>
    <row r="266" spans="2:12">
      <c r="B266" s="197" t="s">
        <v>1447</v>
      </c>
      <c r="C266" s="189" t="s">
        <v>1441</v>
      </c>
      <c r="D266" s="198" t="s">
        <v>1335</v>
      </c>
      <c r="E266" s="199"/>
      <c r="F266" s="199"/>
      <c r="G266" s="199"/>
      <c r="H266" s="199"/>
      <c r="I266" s="199">
        <v>4.8499999999999996</v>
      </c>
      <c r="J266" s="219"/>
      <c r="K266" s="217">
        <f t="shared" si="6"/>
        <v>4.8499999999999996</v>
      </c>
      <c r="L266" s="218"/>
    </row>
    <row r="267" spans="2:12">
      <c r="B267" s="197"/>
      <c r="C267" s="189" t="s">
        <v>1441</v>
      </c>
      <c r="D267" s="198" t="s">
        <v>1335</v>
      </c>
      <c r="E267" s="199"/>
      <c r="F267" s="199"/>
      <c r="G267" s="199"/>
      <c r="H267" s="199"/>
      <c r="I267" s="199">
        <v>2.2537750732476899E-4</v>
      </c>
      <c r="J267" s="219"/>
      <c r="K267" s="217">
        <f t="shared" si="6"/>
        <v>2.2537750732476899E-4</v>
      </c>
      <c r="L267" s="218"/>
    </row>
    <row r="268" spans="2:12">
      <c r="B268" s="197"/>
      <c r="C268" s="189" t="s">
        <v>1441</v>
      </c>
      <c r="D268" s="198" t="s">
        <v>1335</v>
      </c>
      <c r="E268" s="199"/>
      <c r="F268" s="199"/>
      <c r="G268" s="199"/>
      <c r="H268" s="199"/>
      <c r="I268" s="199"/>
      <c r="J268" s="219"/>
      <c r="K268" s="217">
        <f t="shared" si="6"/>
        <v>0</v>
      </c>
      <c r="L268" s="218"/>
    </row>
    <row r="269" spans="2:12">
      <c r="B269" s="197"/>
      <c r="C269" s="189" t="s">
        <v>1441</v>
      </c>
      <c r="D269" s="198" t="s">
        <v>1335</v>
      </c>
      <c r="E269" s="199"/>
      <c r="F269" s="199"/>
      <c r="G269" s="199"/>
      <c r="H269" s="199"/>
      <c r="I269" s="199"/>
      <c r="J269" s="219"/>
      <c r="K269" s="217">
        <f t="shared" si="6"/>
        <v>0</v>
      </c>
      <c r="L269" s="218"/>
    </row>
    <row r="270" spans="2:12">
      <c r="B270" s="197"/>
      <c r="C270" s="189"/>
      <c r="D270" s="198"/>
      <c r="E270" s="199"/>
      <c r="F270" s="199"/>
      <c r="G270" s="199"/>
      <c r="H270" s="199"/>
      <c r="I270" s="199"/>
      <c r="J270" s="219"/>
      <c r="K270" s="217">
        <f t="shared" si="6"/>
        <v>0</v>
      </c>
      <c r="L270" s="218"/>
    </row>
    <row r="271" spans="2:12">
      <c r="B271" s="202"/>
      <c r="C271" s="203"/>
      <c r="D271" s="203"/>
      <c r="E271" s="203"/>
      <c r="F271" s="203"/>
      <c r="G271" s="203"/>
      <c r="H271" s="204"/>
      <c r="I271" s="556" t="s">
        <v>1221</v>
      </c>
      <c r="J271" s="556"/>
      <c r="K271" s="220">
        <f>SUM(K218:K270)</f>
        <v>268.13342537750736</v>
      </c>
      <c r="L271" s="207"/>
    </row>
    <row r="272" spans="2:12">
      <c r="B272" s="208"/>
      <c r="C272" s="204"/>
      <c r="D272" s="204"/>
      <c r="E272" s="204"/>
      <c r="F272" s="204"/>
      <c r="G272" s="204"/>
      <c r="H272" s="209"/>
      <c r="I272" s="557" t="s">
        <v>1222</v>
      </c>
      <c r="J272" s="557"/>
      <c r="K272" s="221">
        <v>233.48</v>
      </c>
      <c r="L272" s="207"/>
    </row>
    <row r="273" spans="2:12">
      <c r="B273" s="208"/>
      <c r="C273" s="204"/>
      <c r="D273" s="204"/>
      <c r="E273" s="204"/>
      <c r="F273" s="204"/>
      <c r="G273" s="204"/>
      <c r="H273" s="558" t="s">
        <v>1223</v>
      </c>
      <c r="I273" s="558"/>
      <c r="J273" s="558"/>
      <c r="K273" s="222">
        <v>168.22919999999999</v>
      </c>
      <c r="L273" s="207"/>
    </row>
    <row r="274" spans="2:12">
      <c r="B274" s="208"/>
      <c r="C274" s="204"/>
      <c r="D274" s="204"/>
      <c r="E274" s="204"/>
      <c r="F274" s="204"/>
      <c r="G274" s="204"/>
      <c r="H274" s="558" t="s">
        <v>1431</v>
      </c>
      <c r="I274" s="558"/>
      <c r="J274" s="558"/>
      <c r="K274" s="222">
        <f>IF(K271&gt;K272,K272,K271)-K273+0.000225377507324769</f>
        <v>65.251025377507318</v>
      </c>
      <c r="L274" s="207"/>
    </row>
    <row r="275" spans="2:12">
      <c r="B275" s="213"/>
      <c r="C275" s="214"/>
      <c r="D275" s="214"/>
      <c r="E275" s="214"/>
      <c r="F275" s="214"/>
      <c r="G275" s="214"/>
      <c r="H275" s="559" t="s">
        <v>1224</v>
      </c>
      <c r="I275" s="559"/>
      <c r="J275" s="559"/>
      <c r="K275" s="223">
        <f>IF(K271&gt;K272,K271-K272,0)</f>
        <v>34.653425377507375</v>
      </c>
      <c r="L275" s="209"/>
    </row>
    <row r="277" spans="2:12" ht="14.25" customHeight="1">
      <c r="B277" s="555" t="s">
        <v>1272</v>
      </c>
      <c r="C277" s="555"/>
      <c r="D277" s="555"/>
      <c r="E277" s="555"/>
      <c r="F277" s="555"/>
      <c r="G277" s="555"/>
      <c r="H277" s="555"/>
      <c r="I277" s="555"/>
      <c r="J277" s="555"/>
      <c r="K277" s="555"/>
      <c r="L277" s="555"/>
    </row>
    <row r="278" spans="2:12">
      <c r="B278" s="187" t="s">
        <v>1209</v>
      </c>
      <c r="C278" s="187"/>
      <c r="D278" s="187" t="s">
        <v>39</v>
      </c>
      <c r="E278" s="187" t="s">
        <v>1210</v>
      </c>
      <c r="F278" s="187" t="s">
        <v>1211</v>
      </c>
      <c r="G278" s="187" t="s">
        <v>1212</v>
      </c>
      <c r="H278" s="187" t="s">
        <v>1213</v>
      </c>
      <c r="I278" s="187" t="s">
        <v>1214</v>
      </c>
      <c r="J278" s="187" t="s">
        <v>1215</v>
      </c>
      <c r="K278" s="187" t="s">
        <v>1216</v>
      </c>
      <c r="L278" s="187" t="s">
        <v>1217</v>
      </c>
    </row>
    <row r="279" spans="2:12">
      <c r="B279" s="188" t="s">
        <v>1273</v>
      </c>
      <c r="C279" s="189" t="s">
        <v>1271</v>
      </c>
      <c r="D279" s="190" t="s">
        <v>1274</v>
      </c>
      <c r="E279" s="191">
        <v>1014</v>
      </c>
      <c r="F279" s="243">
        <v>0.154</v>
      </c>
      <c r="G279" s="192">
        <v>1.1000000000000001</v>
      </c>
      <c r="H279" s="191"/>
      <c r="I279" s="191"/>
      <c r="J279" s="216"/>
      <c r="K279" s="217">
        <f>IF(E279*F279*G279&lt;&gt;0,E279*F279*G279,IF(E279*F279&lt;&gt;0,E279*F279,IF(F279*G279&lt;&gt;0,F279*G279,IF(E279*G279&lt;&gt;0,E279*G279,IF(E279&lt;&gt;0,E279,IF(F279&lt;&gt;0,F279,IF(G279&lt;&gt;0,G279,0)))))))*(IF(H279&lt;&gt;0,H279,1))+I279-J279</f>
        <v>171.77160000000001</v>
      </c>
      <c r="L279" s="218"/>
    </row>
    <row r="280" spans="2:12">
      <c r="B280" s="188" t="s">
        <v>1275</v>
      </c>
      <c r="C280" s="189" t="s">
        <v>1333</v>
      </c>
      <c r="D280" s="190" t="s">
        <v>1274</v>
      </c>
      <c r="E280" s="191"/>
      <c r="F280" s="243"/>
      <c r="G280" s="192"/>
      <c r="H280" s="191"/>
      <c r="I280" s="191"/>
      <c r="J280" s="216"/>
      <c r="K280" s="217">
        <f>IF(E280*F280*G280&lt;&gt;0,E280*F280*G280,IF(E280*F280&lt;&gt;0,E280*F280,IF(F280*G280&lt;&gt;0,F280*G280,IF(E280*G280&lt;&gt;0,E280*G280,IF(E280&lt;&gt;0,E280,IF(F280&lt;&gt;0,F280,IF(G280&lt;&gt;0,G280,0)))))))*(IF(H280&lt;&gt;0,H280,1))+I280-J280</f>
        <v>0</v>
      </c>
      <c r="L280" s="218"/>
    </row>
    <row r="281" spans="2:12">
      <c r="B281" s="188" t="s">
        <v>1448</v>
      </c>
      <c r="C281" s="189" t="s">
        <v>1441</v>
      </c>
      <c r="D281" s="190" t="s">
        <v>1274</v>
      </c>
      <c r="E281" s="191">
        <v>123.508</v>
      </c>
      <c r="F281" s="243"/>
      <c r="G281" s="192"/>
      <c r="H281" s="191">
        <v>0.25</v>
      </c>
      <c r="I281" s="191"/>
      <c r="J281" s="216"/>
      <c r="K281" s="217">
        <f>IF(E281*F281*G281&lt;&gt;0,E281*F281*G281,IF(E281*F281&lt;&gt;0,E281*F281,IF(F281*G281&lt;&gt;0,F281*G281,IF(E281*G281&lt;&gt;0,E281*G281,IF(E281&lt;&gt;0,E281,IF(F281&lt;&gt;0,F281,IF(G281&lt;&gt;0,G281,0)))))))*(IF(H281&lt;&gt;0,H281,1))+I281-J281</f>
        <v>30.876999999999999</v>
      </c>
      <c r="L281" s="218"/>
    </row>
    <row r="282" spans="2:12">
      <c r="B282" s="197"/>
      <c r="C282" s="189"/>
      <c r="D282" s="198"/>
      <c r="E282" s="199"/>
      <c r="F282" s="244"/>
      <c r="G282" s="199"/>
      <c r="H282" s="199"/>
      <c r="I282" s="199"/>
      <c r="J282" s="219"/>
      <c r="K282" s="217">
        <f>IF(E282*F282*G282&lt;&gt;0,E282*F282*G282,IF(E282*F282&lt;&gt;0,E282*F282,IF(F282*G282&lt;&gt;0,F282*G282,IF(E282*G282&lt;&gt;0,E282*G282,IF(E282&lt;&gt;0,E282,IF(F282&lt;&gt;0,F282,IF(G282&lt;&gt;0,G282,0)))))))*(IF(H282&lt;&gt;0,H282,1))+I282-J282</f>
        <v>0</v>
      </c>
      <c r="L282" s="218"/>
    </row>
    <row r="283" spans="2:12">
      <c r="B283" s="202"/>
      <c r="C283" s="203"/>
      <c r="D283" s="203"/>
      <c r="E283" s="203"/>
      <c r="F283" s="203"/>
      <c r="G283" s="203"/>
      <c r="H283" s="204"/>
      <c r="I283" s="556" t="s">
        <v>1221</v>
      </c>
      <c r="J283" s="556"/>
      <c r="K283" s="220">
        <f>SUM(K279:K282)</f>
        <v>202.64860000000002</v>
      </c>
      <c r="L283" s="207"/>
    </row>
    <row r="284" spans="2:12">
      <c r="B284" s="208"/>
      <c r="C284" s="204"/>
      <c r="D284" s="204"/>
      <c r="E284" s="204"/>
      <c r="F284" s="204"/>
      <c r="G284" s="204"/>
      <c r="H284" s="209"/>
      <c r="I284" s="557" t="s">
        <v>1222</v>
      </c>
      <c r="J284" s="557"/>
      <c r="K284" s="221">
        <v>190.3</v>
      </c>
      <c r="L284" s="207"/>
    </row>
    <row r="285" spans="2:12">
      <c r="B285" s="208"/>
      <c r="C285" s="204"/>
      <c r="D285" s="204"/>
      <c r="E285" s="204"/>
      <c r="F285" s="204"/>
      <c r="G285" s="204"/>
      <c r="H285" s="558" t="s">
        <v>1223</v>
      </c>
      <c r="I285" s="558"/>
      <c r="J285" s="558"/>
      <c r="K285" s="222">
        <v>171.77160000000001</v>
      </c>
      <c r="L285" s="207"/>
    </row>
    <row r="286" spans="2:12">
      <c r="B286" s="208"/>
      <c r="C286" s="204"/>
      <c r="D286" s="204"/>
      <c r="E286" s="204"/>
      <c r="F286" s="204"/>
      <c r="G286" s="204"/>
      <c r="H286" s="558" t="s">
        <v>1250</v>
      </c>
      <c r="I286" s="558"/>
      <c r="J286" s="558"/>
      <c r="K286" s="222">
        <f>IF(K283&gt;K284,K284,K283)-K285</f>
        <v>18.528400000000005</v>
      </c>
      <c r="L286" s="207"/>
    </row>
    <row r="287" spans="2:12">
      <c r="B287" s="213"/>
      <c r="C287" s="214"/>
      <c r="D287" s="214"/>
      <c r="E287" s="214"/>
      <c r="F287" s="214"/>
      <c r="G287" s="214"/>
      <c r="H287" s="559" t="s">
        <v>1224</v>
      </c>
      <c r="I287" s="559"/>
      <c r="J287" s="559"/>
      <c r="K287" s="223">
        <f>IF(K283&gt;K284,K283-K284,0)</f>
        <v>12.348600000000005</v>
      </c>
      <c r="L287" s="209"/>
    </row>
    <row r="289" spans="2:12" ht="14.25" customHeight="1">
      <c r="B289" s="555" t="s">
        <v>1276</v>
      </c>
      <c r="C289" s="555"/>
      <c r="D289" s="555"/>
      <c r="E289" s="555"/>
      <c r="F289" s="555"/>
      <c r="G289" s="555"/>
      <c r="H289" s="555"/>
      <c r="I289" s="555"/>
      <c r="J289" s="555"/>
      <c r="K289" s="555"/>
      <c r="L289" s="555"/>
    </row>
    <row r="290" spans="2:12">
      <c r="B290" s="187" t="s">
        <v>1209</v>
      </c>
      <c r="C290" s="187"/>
      <c r="D290" s="187" t="s">
        <v>39</v>
      </c>
      <c r="E290" s="187" t="s">
        <v>1210</v>
      </c>
      <c r="F290" s="187" t="s">
        <v>1211</v>
      </c>
      <c r="G290" s="187" t="s">
        <v>1212</v>
      </c>
      <c r="H290" s="187" t="s">
        <v>1213</v>
      </c>
      <c r="I290" s="187" t="s">
        <v>1214</v>
      </c>
      <c r="J290" s="187" t="s">
        <v>1215</v>
      </c>
      <c r="K290" s="187" t="s">
        <v>1216</v>
      </c>
      <c r="L290" s="187" t="s">
        <v>1217</v>
      </c>
    </row>
    <row r="291" spans="2:12">
      <c r="B291" s="188" t="s">
        <v>1273</v>
      </c>
      <c r="C291" s="189" t="s">
        <v>1271</v>
      </c>
      <c r="D291" s="190" t="s">
        <v>1274</v>
      </c>
      <c r="E291" s="191">
        <v>333</v>
      </c>
      <c r="F291" s="243">
        <v>0.245</v>
      </c>
      <c r="G291" s="192">
        <v>1.1000000000000001</v>
      </c>
      <c r="H291" s="191"/>
      <c r="I291" s="191"/>
      <c r="J291" s="216"/>
      <c r="K291" s="217">
        <f>IF(E291*F291*G291&lt;&gt;0,E291*F291*G291,IF(E291*F291&lt;&gt;0,E291*F291,IF(F291*G291&lt;&gt;0,F291*G291,IF(E291*G291&lt;&gt;0,E291*G291,IF(E291&lt;&gt;0,E291,IF(F291&lt;&gt;0,F291,IF(G291&lt;&gt;0,G291,0)))))))*(IF(H291&lt;&gt;0,H291,1))+I291-J291</f>
        <v>89.743499999999997</v>
      </c>
      <c r="L291" s="218"/>
    </row>
    <row r="292" spans="2:12">
      <c r="B292" s="188" t="s">
        <v>1275</v>
      </c>
      <c r="C292" s="189" t="s">
        <v>1333</v>
      </c>
      <c r="D292" s="190" t="s">
        <v>1274</v>
      </c>
      <c r="E292" s="191">
        <v>411</v>
      </c>
      <c r="F292" s="243">
        <v>0.245</v>
      </c>
      <c r="G292" s="192">
        <v>1.1000000000000001</v>
      </c>
      <c r="H292" s="191"/>
      <c r="I292" s="191"/>
      <c r="J292" s="216"/>
      <c r="K292" s="217">
        <f>IF(E292*F292*G292&lt;&gt;0,E292*F292*G292,IF(E292*F292&lt;&gt;0,E292*F292,IF(F292*G292&lt;&gt;0,F292*G292,IF(E292*G292&lt;&gt;0,E292*G292,IF(E292&lt;&gt;0,E292,IF(F292&lt;&gt;0,F292,IF(G292&lt;&gt;0,G292,0)))))))*(IF(H292&lt;&gt;0,H292,1))+I292-J292</f>
        <v>110.7645</v>
      </c>
      <c r="L292" s="218"/>
    </row>
    <row r="293" spans="2:12">
      <c r="B293" s="197"/>
      <c r="C293" s="189"/>
      <c r="D293" s="198"/>
      <c r="E293" s="199"/>
      <c r="F293" s="199"/>
      <c r="G293" s="199"/>
      <c r="H293" s="199"/>
      <c r="I293" s="199"/>
      <c r="J293" s="219"/>
      <c r="K293" s="217">
        <f>IF(E293*F293*G293&lt;&gt;0,E293*F293*G293,IF(E293*F293&lt;&gt;0,E293*F293,IF(F293*G293&lt;&gt;0,F293*G293,IF(E293*G293&lt;&gt;0,E293*G293,IF(E293&lt;&gt;0,E293,IF(F293&lt;&gt;0,F293,IF(G293&lt;&gt;0,G293,0)))))))*(IF(H293&lt;&gt;0,H293,1))+I293-J293</f>
        <v>0</v>
      </c>
      <c r="L293" s="218"/>
    </row>
    <row r="294" spans="2:12">
      <c r="B294" s="202"/>
      <c r="C294" s="203"/>
      <c r="D294" s="203"/>
      <c r="E294" s="203"/>
      <c r="F294" s="203"/>
      <c r="G294" s="203"/>
      <c r="H294" s="204"/>
      <c r="I294" s="556" t="s">
        <v>1221</v>
      </c>
      <c r="J294" s="556"/>
      <c r="K294" s="220">
        <f>SUM(K291:K293)</f>
        <v>200.50799999999998</v>
      </c>
      <c r="L294" s="207"/>
    </row>
    <row r="295" spans="2:12">
      <c r="B295" s="208"/>
      <c r="C295" s="204"/>
      <c r="D295" s="204"/>
      <c r="E295" s="204"/>
      <c r="F295" s="204"/>
      <c r="G295" s="204"/>
      <c r="H295" s="209"/>
      <c r="I295" s="557" t="s">
        <v>1222</v>
      </c>
      <c r="J295" s="557"/>
      <c r="K295" s="221">
        <v>77</v>
      </c>
      <c r="L295" s="207"/>
    </row>
    <row r="296" spans="2:12">
      <c r="B296" s="208"/>
      <c r="C296" s="204"/>
      <c r="D296" s="204"/>
      <c r="E296" s="204"/>
      <c r="F296" s="204"/>
      <c r="G296" s="204"/>
      <c r="H296" s="558" t="s">
        <v>1223</v>
      </c>
      <c r="I296" s="558"/>
      <c r="J296" s="558"/>
      <c r="K296" s="222">
        <v>77</v>
      </c>
      <c r="L296" s="207"/>
    </row>
    <row r="297" spans="2:12">
      <c r="B297" s="208"/>
      <c r="C297" s="204"/>
      <c r="D297" s="204"/>
      <c r="E297" s="204"/>
      <c r="F297" s="204"/>
      <c r="G297" s="204"/>
      <c r="H297" s="558" t="s">
        <v>1250</v>
      </c>
      <c r="I297" s="558"/>
      <c r="J297" s="558"/>
      <c r="K297" s="222">
        <f>IF(K294&gt;K295,K295,K294)-K296</f>
        <v>0</v>
      </c>
      <c r="L297" s="207"/>
    </row>
    <row r="298" spans="2:12">
      <c r="B298" s="213"/>
      <c r="C298" s="214"/>
      <c r="D298" s="214"/>
      <c r="E298" s="214"/>
      <c r="F298" s="214"/>
      <c r="G298" s="214"/>
      <c r="H298" s="559" t="s">
        <v>1224</v>
      </c>
      <c r="I298" s="559"/>
      <c r="J298" s="559"/>
      <c r="K298" s="223">
        <f>IF(K294&gt;K295,K294-K295,0)</f>
        <v>123.50799999999998</v>
      </c>
      <c r="L298" s="209"/>
    </row>
    <row r="300" spans="2:12" ht="14.25" customHeight="1">
      <c r="B300" s="555" t="s">
        <v>1277</v>
      </c>
      <c r="C300" s="555"/>
      <c r="D300" s="555"/>
      <c r="E300" s="555"/>
      <c r="F300" s="555"/>
      <c r="G300" s="555"/>
      <c r="H300" s="555"/>
      <c r="I300" s="555"/>
      <c r="J300" s="555"/>
      <c r="K300" s="555"/>
      <c r="L300" s="555"/>
    </row>
    <row r="301" spans="2:12">
      <c r="B301" s="187" t="s">
        <v>1209</v>
      </c>
      <c r="C301" s="187"/>
      <c r="D301" s="187" t="s">
        <v>39</v>
      </c>
      <c r="E301" s="187" t="s">
        <v>1210</v>
      </c>
      <c r="F301" s="187" t="s">
        <v>1211</v>
      </c>
      <c r="G301" s="187" t="s">
        <v>1212</v>
      </c>
      <c r="H301" s="187" t="s">
        <v>1213</v>
      </c>
      <c r="I301" s="187" t="s">
        <v>1214</v>
      </c>
      <c r="J301" s="187" t="s">
        <v>1215</v>
      </c>
      <c r="K301" s="187" t="s">
        <v>1216</v>
      </c>
      <c r="L301" s="187" t="s">
        <v>1217</v>
      </c>
    </row>
    <row r="302" spans="2:12">
      <c r="B302" s="188" t="s">
        <v>1273</v>
      </c>
      <c r="C302" s="189" t="s">
        <v>1271</v>
      </c>
      <c r="D302" s="190" t="s">
        <v>1274</v>
      </c>
      <c r="E302" s="191">
        <v>938</v>
      </c>
      <c r="F302" s="243">
        <v>0.39500000000000002</v>
      </c>
      <c r="G302" s="192">
        <v>1.1000000000000001</v>
      </c>
      <c r="H302" s="191"/>
      <c r="I302" s="191"/>
      <c r="J302" s="216"/>
      <c r="K302" s="217">
        <f>IF(E302*F302*G302&lt;&gt;0,E302*F302*G302,IF(E302*F302&lt;&gt;0,E302*F302,IF(F302*G302&lt;&gt;0,F302*G302,IF(E302*G302&lt;&gt;0,E302*G302,IF(E302&lt;&gt;0,E302,IF(F302&lt;&gt;0,F302,IF(G302&lt;&gt;0,G302,0)))))))*(IF(H302&lt;&gt;0,H302,1))+I302-J302</f>
        <v>407.56100000000004</v>
      </c>
      <c r="L302" s="218"/>
    </row>
    <row r="303" spans="2:12">
      <c r="B303" s="188" t="s">
        <v>1275</v>
      </c>
      <c r="C303" s="189" t="s">
        <v>1333</v>
      </c>
      <c r="D303" s="190" t="s">
        <v>1274</v>
      </c>
      <c r="E303" s="191">
        <v>197</v>
      </c>
      <c r="F303" s="243">
        <v>0.39500000000000002</v>
      </c>
      <c r="G303" s="192">
        <v>1.1000000000000001</v>
      </c>
      <c r="H303" s="191"/>
      <c r="I303" s="191"/>
      <c r="J303" s="216"/>
      <c r="K303" s="217">
        <f>IF(E303*F303*G303&lt;&gt;0,E303*F303*G303,IF(E303*F303&lt;&gt;0,E303*F303,IF(F303*G303&lt;&gt;0,F303*G303,IF(E303*G303&lt;&gt;0,E303*G303,IF(E303&lt;&gt;0,E303,IF(F303&lt;&gt;0,F303,IF(G303&lt;&gt;0,G303,0)))))))*(IF(H303&lt;&gt;0,H303,1))+I303-J303</f>
        <v>85.596500000000006</v>
      </c>
      <c r="L303" s="218"/>
    </row>
    <row r="304" spans="2:12">
      <c r="B304" s="188" t="s">
        <v>1448</v>
      </c>
      <c r="C304" s="189" t="s">
        <v>1441</v>
      </c>
      <c r="D304" s="190" t="s">
        <v>1274</v>
      </c>
      <c r="E304" s="191">
        <v>123.508</v>
      </c>
      <c r="F304" s="243"/>
      <c r="G304" s="192"/>
      <c r="H304" s="191">
        <v>0.75</v>
      </c>
      <c r="I304" s="191"/>
      <c r="J304" s="216"/>
      <c r="K304" s="217">
        <f>IF(E304*F304*G304&lt;&gt;0,E304*F304*G304,IF(E304*F304&lt;&gt;0,E304*F304,IF(F304*G304&lt;&gt;0,F304*G304,IF(E304*G304&lt;&gt;0,E304*G304,IF(E304&lt;&gt;0,E304,IF(F304&lt;&gt;0,F304,IF(G304&lt;&gt;0,G304,0)))))))*(IF(H304&lt;&gt;0,H304,1))+I304-J304</f>
        <v>92.631</v>
      </c>
      <c r="L304" s="218"/>
    </row>
    <row r="305" spans="2:12">
      <c r="B305" s="197"/>
      <c r="C305" s="189"/>
      <c r="D305" s="198"/>
      <c r="E305" s="199"/>
      <c r="F305" s="199"/>
      <c r="G305" s="199"/>
      <c r="H305" s="199"/>
      <c r="I305" s="199"/>
      <c r="J305" s="219"/>
      <c r="K305" s="217">
        <f>IF(E305*F305*G305&lt;&gt;0,E305*F305*G305,IF(E305*F305&lt;&gt;0,E305*F305,IF(F305*G305&lt;&gt;0,F305*G305,IF(E305*G305&lt;&gt;0,E305*G305,IF(E305&lt;&gt;0,E305,IF(F305&lt;&gt;0,F305,IF(G305&lt;&gt;0,G305,0)))))))*(IF(H305&lt;&gt;0,H305,1))+I305-J305</f>
        <v>0</v>
      </c>
      <c r="L305" s="218"/>
    </row>
    <row r="306" spans="2:12">
      <c r="B306" s="202"/>
      <c r="C306" s="203"/>
      <c r="D306" s="203"/>
      <c r="E306" s="203"/>
      <c r="F306" s="203"/>
      <c r="G306" s="203"/>
      <c r="H306" s="204"/>
      <c r="I306" s="556" t="s">
        <v>1221</v>
      </c>
      <c r="J306" s="556"/>
      <c r="K306" s="220">
        <f>SUM(K302:K305)</f>
        <v>585.7885</v>
      </c>
      <c r="L306" s="207"/>
    </row>
    <row r="307" spans="2:12">
      <c r="B307" s="208"/>
      <c r="C307" s="204"/>
      <c r="D307" s="204"/>
      <c r="E307" s="204"/>
      <c r="F307" s="204"/>
      <c r="G307" s="204"/>
      <c r="H307" s="209"/>
      <c r="I307" s="557" t="s">
        <v>1222</v>
      </c>
      <c r="J307" s="557"/>
      <c r="K307" s="221">
        <v>566.5</v>
      </c>
      <c r="L307" s="207"/>
    </row>
    <row r="308" spans="2:12">
      <c r="B308" s="208"/>
      <c r="C308" s="204"/>
      <c r="D308" s="204"/>
      <c r="E308" s="204"/>
      <c r="F308" s="204"/>
      <c r="G308" s="204"/>
      <c r="H308" s="558" t="s">
        <v>1223</v>
      </c>
      <c r="I308" s="558"/>
      <c r="J308" s="558"/>
      <c r="K308" s="222">
        <v>493.15750000000003</v>
      </c>
      <c r="L308" s="207"/>
    </row>
    <row r="309" spans="2:12">
      <c r="B309" s="208"/>
      <c r="C309" s="204"/>
      <c r="D309" s="204"/>
      <c r="E309" s="204"/>
      <c r="F309" s="204"/>
      <c r="G309" s="204"/>
      <c r="H309" s="558" t="s">
        <v>1250</v>
      </c>
      <c r="I309" s="558"/>
      <c r="J309" s="558"/>
      <c r="K309" s="222">
        <f>IF(K306&gt;K307,K307,K306)-K308</f>
        <v>73.342499999999973</v>
      </c>
      <c r="L309" s="207"/>
    </row>
    <row r="310" spans="2:12">
      <c r="B310" s="213"/>
      <c r="C310" s="214"/>
      <c r="D310" s="214"/>
      <c r="E310" s="214"/>
      <c r="F310" s="214"/>
      <c r="G310" s="214"/>
      <c r="H310" s="559" t="s">
        <v>1224</v>
      </c>
      <c r="I310" s="559"/>
      <c r="J310" s="559"/>
      <c r="K310" s="223">
        <f>IF(K306&gt;K307,K306-K307,0)</f>
        <v>19.288499999999999</v>
      </c>
      <c r="L310" s="209"/>
    </row>
    <row r="312" spans="2:12" ht="14.25" customHeight="1">
      <c r="B312" s="555" t="s">
        <v>1278</v>
      </c>
      <c r="C312" s="555"/>
      <c r="D312" s="555"/>
      <c r="E312" s="555"/>
      <c r="F312" s="555"/>
      <c r="G312" s="555"/>
      <c r="H312" s="555"/>
      <c r="I312" s="555"/>
      <c r="J312" s="555"/>
      <c r="K312" s="555"/>
      <c r="L312" s="555"/>
    </row>
    <row r="313" spans="2:12">
      <c r="B313" s="187" t="s">
        <v>1209</v>
      </c>
      <c r="C313" s="187"/>
      <c r="D313" s="187" t="s">
        <v>39</v>
      </c>
      <c r="E313" s="187" t="s">
        <v>1210</v>
      </c>
      <c r="F313" s="187" t="s">
        <v>1211</v>
      </c>
      <c r="G313" s="187" t="s">
        <v>1212</v>
      </c>
      <c r="H313" s="187" t="s">
        <v>1213</v>
      </c>
      <c r="I313" s="187" t="s">
        <v>1214</v>
      </c>
      <c r="J313" s="187" t="s">
        <v>1215</v>
      </c>
      <c r="K313" s="187" t="s">
        <v>1216</v>
      </c>
      <c r="L313" s="187" t="s">
        <v>1217</v>
      </c>
    </row>
    <row r="314" spans="2:12">
      <c r="B314" s="188" t="s">
        <v>1273</v>
      </c>
      <c r="C314" s="189" t="s">
        <v>1271</v>
      </c>
      <c r="D314" s="190" t="s">
        <v>1274</v>
      </c>
      <c r="E314" s="191">
        <v>737</v>
      </c>
      <c r="F314" s="243">
        <v>0.61699999999999999</v>
      </c>
      <c r="G314" s="192">
        <v>1.1000000000000001</v>
      </c>
      <c r="H314" s="191"/>
      <c r="I314" s="191"/>
      <c r="J314" s="216"/>
      <c r="K314" s="217">
        <f>IF(E314*F314*G314&lt;&gt;0,E314*F314*G314,IF(E314*F314&lt;&gt;0,E314*F314,IF(F314*G314&lt;&gt;0,F314*G314,IF(E314*G314&lt;&gt;0,E314*G314,IF(E314&lt;&gt;0,E314,IF(F314&lt;&gt;0,F314,IF(G314&lt;&gt;0,G314,0)))))))*(IF(H314&lt;&gt;0,H314,1))+I314-J314</f>
        <v>500.20190000000002</v>
      </c>
      <c r="L314" s="218"/>
    </row>
    <row r="315" spans="2:12">
      <c r="B315" s="188" t="s">
        <v>1275</v>
      </c>
      <c r="C315" s="189" t="s">
        <v>1333</v>
      </c>
      <c r="D315" s="190" t="s">
        <v>1274</v>
      </c>
      <c r="E315" s="191">
        <v>1837</v>
      </c>
      <c r="F315" s="243">
        <v>0.61699999999999999</v>
      </c>
      <c r="G315" s="192">
        <v>1.1000000000000001</v>
      </c>
      <c r="H315" s="191"/>
      <c r="I315" s="191"/>
      <c r="J315" s="216"/>
      <c r="K315" s="217">
        <f>IF(E315*F315*G315&lt;&gt;0,E315*F315*G315,IF(E315*F315&lt;&gt;0,E315*F315,IF(F315*G315&lt;&gt;0,F315*G315,IF(E315*G315&lt;&gt;0,E315*G315,IF(E315&lt;&gt;0,E315,IF(F315&lt;&gt;0,F315,IF(G315&lt;&gt;0,G315,0)))))))*(IF(H315&lt;&gt;0,H315,1))+I315-J315</f>
        <v>1246.7719000000002</v>
      </c>
      <c r="L315" s="218"/>
    </row>
    <row r="316" spans="2:12">
      <c r="B316" s="197"/>
      <c r="C316" s="189"/>
      <c r="D316" s="198"/>
      <c r="E316" s="199"/>
      <c r="F316" s="244"/>
      <c r="G316" s="199"/>
      <c r="H316" s="199"/>
      <c r="I316" s="199"/>
      <c r="J316" s="219"/>
      <c r="K316" s="217">
        <f>IF(E316*F316*G316&lt;&gt;0,E316*F316*G316,IF(E316*F316&lt;&gt;0,E316*F316,IF(F316*G316&lt;&gt;0,F316*G316,IF(E316*G316&lt;&gt;0,E316*G316,IF(E316&lt;&gt;0,E316,IF(F316&lt;&gt;0,F316,IF(G316&lt;&gt;0,G316,0)))))))*(IF(H316&lt;&gt;0,H316,1))+I316-J316</f>
        <v>0</v>
      </c>
      <c r="L316" s="218"/>
    </row>
    <row r="317" spans="2:12">
      <c r="B317" s="202"/>
      <c r="C317" s="203"/>
      <c r="D317" s="203"/>
      <c r="E317" s="203"/>
      <c r="F317" s="203"/>
      <c r="G317" s="203"/>
      <c r="H317" s="204"/>
      <c r="I317" s="556" t="s">
        <v>1221</v>
      </c>
      <c r="J317" s="556"/>
      <c r="K317" s="220">
        <f>SUM(K314:K316)</f>
        <v>1746.9738000000002</v>
      </c>
      <c r="L317" s="207"/>
    </row>
    <row r="318" spans="2:12">
      <c r="B318" s="208"/>
      <c r="C318" s="204"/>
      <c r="D318" s="204"/>
      <c r="E318" s="204"/>
      <c r="F318" s="204"/>
      <c r="G318" s="204"/>
      <c r="H318" s="209"/>
      <c r="I318" s="557" t="s">
        <v>1222</v>
      </c>
      <c r="J318" s="557"/>
      <c r="K318" s="221">
        <v>1663.2</v>
      </c>
      <c r="L318" s="207"/>
    </row>
    <row r="319" spans="2:12">
      <c r="B319" s="208"/>
      <c r="C319" s="204"/>
      <c r="D319" s="204"/>
      <c r="E319" s="204"/>
      <c r="F319" s="204"/>
      <c r="G319" s="204"/>
      <c r="H319" s="558" t="s">
        <v>1223</v>
      </c>
      <c r="I319" s="558"/>
      <c r="J319" s="558"/>
      <c r="K319" s="222">
        <v>500.20190000000002</v>
      </c>
      <c r="L319" s="207"/>
    </row>
    <row r="320" spans="2:12">
      <c r="B320" s="208"/>
      <c r="C320" s="204"/>
      <c r="D320" s="204"/>
      <c r="E320" s="204"/>
      <c r="F320" s="204"/>
      <c r="G320" s="204"/>
      <c r="H320" s="558" t="s">
        <v>1250</v>
      </c>
      <c r="I320" s="558"/>
      <c r="J320" s="558"/>
      <c r="K320" s="222">
        <f>IF(K317&gt;K318,K318,K317)-K319</f>
        <v>1162.9981</v>
      </c>
      <c r="L320" s="207"/>
    </row>
    <row r="321" spans="2:12">
      <c r="B321" s="213"/>
      <c r="C321" s="214"/>
      <c r="D321" s="214"/>
      <c r="E321" s="214"/>
      <c r="F321" s="214"/>
      <c r="G321" s="214"/>
      <c r="H321" s="559" t="s">
        <v>1224</v>
      </c>
      <c r="I321" s="559"/>
      <c r="J321" s="559"/>
      <c r="K321" s="223">
        <f>IF(K317&gt;K318,K317-K318,0)</f>
        <v>83.773800000000165</v>
      </c>
      <c r="L321" s="209"/>
    </row>
    <row r="323" spans="2:12" ht="14.25" customHeight="1">
      <c r="B323" s="555" t="s">
        <v>1279</v>
      </c>
      <c r="C323" s="555"/>
      <c r="D323" s="555"/>
      <c r="E323" s="555"/>
      <c r="F323" s="555"/>
      <c r="G323" s="555"/>
      <c r="H323" s="555"/>
      <c r="I323" s="555"/>
      <c r="J323" s="555"/>
      <c r="K323" s="555"/>
      <c r="L323" s="555"/>
    </row>
    <row r="324" spans="2:12">
      <c r="B324" s="187" t="s">
        <v>1209</v>
      </c>
      <c r="C324" s="187"/>
      <c r="D324" s="187" t="s">
        <v>39</v>
      </c>
      <c r="E324" s="187" t="s">
        <v>1210</v>
      </c>
      <c r="F324" s="187" t="s">
        <v>1211</v>
      </c>
      <c r="G324" s="187" t="s">
        <v>1212</v>
      </c>
      <c r="H324" s="187" t="s">
        <v>1213</v>
      </c>
      <c r="I324" s="187" t="s">
        <v>1214</v>
      </c>
      <c r="J324" s="187" t="s">
        <v>1215</v>
      </c>
      <c r="K324" s="187" t="s">
        <v>1216</v>
      </c>
      <c r="L324" s="187" t="s">
        <v>1217</v>
      </c>
    </row>
    <row r="325" spans="2:12">
      <c r="B325" s="188" t="s">
        <v>1273</v>
      </c>
      <c r="C325" s="189" t="s">
        <v>1271</v>
      </c>
      <c r="D325" s="190" t="s">
        <v>1274</v>
      </c>
      <c r="E325" s="191">
        <v>3329</v>
      </c>
      <c r="F325" s="243">
        <v>0.96299999999999997</v>
      </c>
      <c r="G325" s="192">
        <v>1.1000000000000001</v>
      </c>
      <c r="H325" s="191"/>
      <c r="I325" s="191"/>
      <c r="J325" s="216"/>
      <c r="K325" s="217">
        <f>IF(E325*F325*G325&lt;&gt;0,E325*F325*G325,IF(E325*F325&lt;&gt;0,E325*F325,IF(F325*G325&lt;&gt;0,F325*G325,IF(E325*G325&lt;&gt;0,E325*G325,IF(E325&lt;&gt;0,E325,IF(F325&lt;&gt;0,F325,IF(G325&lt;&gt;0,G325,0)))))))*(IF(H325&lt;&gt;0,H325,1))+I325-J325</f>
        <v>3526.4097000000002</v>
      </c>
      <c r="L325" s="218"/>
    </row>
    <row r="326" spans="2:12">
      <c r="B326" s="188" t="s">
        <v>1275</v>
      </c>
      <c r="C326" s="189" t="s">
        <v>1333</v>
      </c>
      <c r="D326" s="190" t="s">
        <v>1274</v>
      </c>
      <c r="E326" s="191">
        <v>2624</v>
      </c>
      <c r="F326" s="243">
        <v>0.96299999999999997</v>
      </c>
      <c r="G326" s="192">
        <v>1.1000000000000001</v>
      </c>
      <c r="H326" s="191"/>
      <c r="I326" s="191"/>
      <c r="J326" s="216"/>
      <c r="K326" s="217">
        <f>IF(E326*F326*G326&lt;&gt;0,E326*F326*G326,IF(E326*F326&lt;&gt;0,E326*F326,IF(F326*G326&lt;&gt;0,F326*G326,IF(E326*G326&lt;&gt;0,E326*G326,IF(E326&lt;&gt;0,E326,IF(F326&lt;&gt;0,F326,IF(G326&lt;&gt;0,G326,0)))))))*(IF(H326&lt;&gt;0,H326,1))+I326-J326</f>
        <v>2779.6032</v>
      </c>
      <c r="L326" s="218"/>
    </row>
    <row r="327" spans="2:12">
      <c r="B327" s="197"/>
      <c r="C327" s="189"/>
      <c r="D327" s="198"/>
      <c r="E327" s="199"/>
      <c r="F327" s="244"/>
      <c r="G327" s="199"/>
      <c r="H327" s="199"/>
      <c r="I327" s="199"/>
      <c r="J327" s="219"/>
      <c r="K327" s="217">
        <f>IF(E327*F327*G327&lt;&gt;0,E327*F327*G327,IF(E327*F327&lt;&gt;0,E327*F327,IF(F327*G327&lt;&gt;0,F327*G327,IF(E327*G327&lt;&gt;0,E327*G327,IF(E327&lt;&gt;0,E327,IF(F327&lt;&gt;0,F327,IF(G327&lt;&gt;0,G327,0)))))))*(IF(H327&lt;&gt;0,H327,1))+I327-J327</f>
        <v>0</v>
      </c>
      <c r="L327" s="218"/>
    </row>
    <row r="328" spans="2:12">
      <c r="B328" s="202"/>
      <c r="C328" s="203"/>
      <c r="D328" s="203"/>
      <c r="E328" s="203"/>
      <c r="F328" s="203"/>
      <c r="G328" s="203"/>
      <c r="H328" s="204"/>
      <c r="I328" s="556" t="s">
        <v>1221</v>
      </c>
      <c r="J328" s="556"/>
      <c r="K328" s="220">
        <f>SUM(K325:K327)</f>
        <v>6306.0128999999997</v>
      </c>
      <c r="L328" s="207"/>
    </row>
    <row r="329" spans="2:12">
      <c r="B329" s="208"/>
      <c r="C329" s="204"/>
      <c r="D329" s="204"/>
      <c r="E329" s="204"/>
      <c r="F329" s="204"/>
      <c r="G329" s="204"/>
      <c r="H329" s="209"/>
      <c r="I329" s="557" t="s">
        <v>1222</v>
      </c>
      <c r="J329" s="557"/>
      <c r="K329" s="221">
        <v>4944.5</v>
      </c>
      <c r="L329" s="207"/>
    </row>
    <row r="330" spans="2:12">
      <c r="B330" s="208"/>
      <c r="C330" s="204"/>
      <c r="D330" s="204"/>
      <c r="E330" s="204"/>
      <c r="F330" s="204"/>
      <c r="G330" s="204"/>
      <c r="H330" s="558" t="s">
        <v>1223</v>
      </c>
      <c r="I330" s="558"/>
      <c r="J330" s="558"/>
      <c r="K330" s="222">
        <v>3541.0572999999999</v>
      </c>
      <c r="L330" s="207"/>
    </row>
    <row r="331" spans="2:12">
      <c r="B331" s="208"/>
      <c r="C331" s="204"/>
      <c r="D331" s="204"/>
      <c r="E331" s="204"/>
      <c r="F331" s="204"/>
      <c r="G331" s="204"/>
      <c r="H331" s="558" t="s">
        <v>1250</v>
      </c>
      <c r="I331" s="558"/>
      <c r="J331" s="558"/>
      <c r="K331" s="222">
        <f>IF(K328&gt;K329,K329,K328)-K330</f>
        <v>1403.4427000000001</v>
      </c>
      <c r="L331" s="207"/>
    </row>
    <row r="332" spans="2:12">
      <c r="B332" s="213"/>
      <c r="C332" s="214"/>
      <c r="D332" s="214"/>
      <c r="E332" s="214"/>
      <c r="F332" s="214"/>
      <c r="G332" s="214"/>
      <c r="H332" s="559" t="s">
        <v>1224</v>
      </c>
      <c r="I332" s="559"/>
      <c r="J332" s="559"/>
      <c r="K332" s="223">
        <f>IF(K328&gt;K329,K328-K329,0)</f>
        <v>1361.5128999999997</v>
      </c>
      <c r="L332" s="209"/>
    </row>
    <row r="334" spans="2:12" ht="14.25" customHeight="1">
      <c r="B334" s="555" t="s">
        <v>1280</v>
      </c>
      <c r="C334" s="555"/>
      <c r="D334" s="555"/>
      <c r="E334" s="555"/>
      <c r="F334" s="555"/>
      <c r="G334" s="555"/>
      <c r="H334" s="555"/>
      <c r="I334" s="555"/>
      <c r="J334" s="555"/>
      <c r="K334" s="555"/>
      <c r="L334" s="555"/>
    </row>
    <row r="335" spans="2:12">
      <c r="B335" s="187" t="s">
        <v>1209</v>
      </c>
      <c r="C335" s="187"/>
      <c r="D335" s="187" t="s">
        <v>39</v>
      </c>
      <c r="E335" s="187" t="s">
        <v>1210</v>
      </c>
      <c r="F335" s="187" t="s">
        <v>1211</v>
      </c>
      <c r="G335" s="187" t="s">
        <v>1212</v>
      </c>
      <c r="H335" s="187" t="s">
        <v>1213</v>
      </c>
      <c r="I335" s="187" t="s">
        <v>1214</v>
      </c>
      <c r="J335" s="187" t="s">
        <v>1215</v>
      </c>
      <c r="K335" s="187" t="s">
        <v>1216</v>
      </c>
      <c r="L335" s="187" t="s">
        <v>1217</v>
      </c>
    </row>
    <row r="336" spans="2:12">
      <c r="B336" s="188" t="s">
        <v>1273</v>
      </c>
      <c r="C336" s="189" t="s">
        <v>1271</v>
      </c>
      <c r="D336" s="190" t="s">
        <v>1274</v>
      </c>
      <c r="E336" s="191"/>
      <c r="F336" s="243"/>
      <c r="G336" s="192"/>
      <c r="H336" s="191"/>
      <c r="I336" s="191"/>
      <c r="J336" s="216"/>
      <c r="K336" s="217">
        <f>IF(E336*F336*G336&lt;&gt;0,E336*F336*G336,IF(E336*F336&lt;&gt;0,E336*F336,IF(F336*G336&lt;&gt;0,F336*G336,IF(E336*G336&lt;&gt;0,E336*G336,IF(E336&lt;&gt;0,E336,IF(F336&lt;&gt;0,F336,IF(G336&lt;&gt;0,G336,0)))))))*(IF(H336&lt;&gt;0,H336,1))+I336-J336</f>
        <v>0</v>
      </c>
      <c r="L336" s="218"/>
    </row>
    <row r="337" spans="2:12">
      <c r="B337" s="188" t="s">
        <v>1275</v>
      </c>
      <c r="C337" s="189" t="s">
        <v>1333</v>
      </c>
      <c r="D337" s="190" t="s">
        <v>1274</v>
      </c>
      <c r="E337" s="191">
        <v>67</v>
      </c>
      <c r="F337" s="243">
        <v>1.5780000000000001</v>
      </c>
      <c r="G337" s="192">
        <v>1.1000000000000001</v>
      </c>
      <c r="H337" s="191"/>
      <c r="I337" s="191"/>
      <c r="J337" s="216"/>
      <c r="K337" s="217">
        <f>IF(E337*F337*G337&lt;&gt;0,E337*F337*G337,IF(E337*F337&lt;&gt;0,E337*F337,IF(F337*G337&lt;&gt;0,F337*G337,IF(E337*G337&lt;&gt;0,E337*G337,IF(E337&lt;&gt;0,E337,IF(F337&lt;&gt;0,F337,IF(G337&lt;&gt;0,G337,0)))))))*(IF(H337&lt;&gt;0,H337,1))+I337-J337</f>
        <v>116.29860000000001</v>
      </c>
      <c r="L337" s="218"/>
    </row>
    <row r="338" spans="2:12">
      <c r="B338" s="197"/>
      <c r="C338" s="189"/>
      <c r="D338" s="198"/>
      <c r="E338" s="199"/>
      <c r="F338" s="199"/>
      <c r="G338" s="199"/>
      <c r="H338" s="199"/>
      <c r="I338" s="199"/>
      <c r="J338" s="219"/>
      <c r="K338" s="217">
        <f>IF(E338*F338*G338&lt;&gt;0,E338*F338*G338,IF(E338*F338&lt;&gt;0,E338*F338,IF(F338*G338&lt;&gt;0,F338*G338,IF(E338*G338&lt;&gt;0,E338*G338,IF(E338&lt;&gt;0,E338,IF(F338&lt;&gt;0,F338,IF(G338&lt;&gt;0,G338,0)))))))*(IF(H338&lt;&gt;0,H338,1))+I338-J338</f>
        <v>0</v>
      </c>
      <c r="L338" s="218"/>
    </row>
    <row r="339" spans="2:12">
      <c r="B339" s="202"/>
      <c r="C339" s="203"/>
      <c r="D339" s="203"/>
      <c r="E339" s="203"/>
      <c r="F339" s="203"/>
      <c r="G339" s="203"/>
      <c r="H339" s="204"/>
      <c r="I339" s="556" t="s">
        <v>1221</v>
      </c>
      <c r="J339" s="556"/>
      <c r="K339" s="220">
        <f>SUM(K336:K338)</f>
        <v>116.29860000000001</v>
      </c>
      <c r="L339" s="207"/>
    </row>
    <row r="340" spans="2:12">
      <c r="B340" s="208"/>
      <c r="C340" s="204"/>
      <c r="D340" s="204"/>
      <c r="E340" s="204"/>
      <c r="F340" s="204"/>
      <c r="G340" s="204"/>
      <c r="H340" s="209"/>
      <c r="I340" s="557" t="s">
        <v>1222</v>
      </c>
      <c r="J340" s="557"/>
      <c r="K340" s="221">
        <v>115.5</v>
      </c>
      <c r="L340" s="207"/>
    </row>
    <row r="341" spans="2:12">
      <c r="B341" s="208"/>
      <c r="C341" s="204"/>
      <c r="D341" s="204"/>
      <c r="E341" s="204"/>
      <c r="F341" s="204"/>
      <c r="G341" s="204"/>
      <c r="H341" s="558" t="s">
        <v>1223</v>
      </c>
      <c r="I341" s="558"/>
      <c r="J341" s="558"/>
      <c r="K341" s="222">
        <v>115.5</v>
      </c>
      <c r="L341" s="207"/>
    </row>
    <row r="342" spans="2:12">
      <c r="B342" s="208"/>
      <c r="C342" s="204"/>
      <c r="D342" s="204"/>
      <c r="E342" s="204"/>
      <c r="F342" s="204"/>
      <c r="G342" s="204"/>
      <c r="H342" s="558" t="s">
        <v>1250</v>
      </c>
      <c r="I342" s="558"/>
      <c r="J342" s="558"/>
      <c r="K342" s="222">
        <f>IF(K339&gt;K340,K340,K339)-K341</f>
        <v>0</v>
      </c>
      <c r="L342" s="207"/>
    </row>
    <row r="343" spans="2:12">
      <c r="B343" s="213"/>
      <c r="C343" s="214"/>
      <c r="D343" s="214"/>
      <c r="E343" s="214"/>
      <c r="F343" s="214"/>
      <c r="G343" s="214"/>
      <c r="H343" s="559" t="s">
        <v>1224</v>
      </c>
      <c r="I343" s="559"/>
      <c r="J343" s="559"/>
      <c r="K343" s="223">
        <f>IF(K339&gt;K340,K339-K340,0)</f>
        <v>0.79860000000000753</v>
      </c>
      <c r="L343" s="209"/>
    </row>
    <row r="345" spans="2:12" ht="14.25" customHeight="1">
      <c r="B345" s="555" t="s">
        <v>1281</v>
      </c>
      <c r="C345" s="555"/>
      <c r="D345" s="555"/>
      <c r="E345" s="555"/>
      <c r="F345" s="555"/>
      <c r="G345" s="555"/>
      <c r="H345" s="555"/>
      <c r="I345" s="555"/>
      <c r="J345" s="555"/>
      <c r="K345" s="555"/>
      <c r="L345" s="555"/>
    </row>
    <row r="346" spans="2:12">
      <c r="B346" s="187" t="s">
        <v>1209</v>
      </c>
      <c r="C346" s="187"/>
      <c r="D346" s="187" t="s">
        <v>39</v>
      </c>
      <c r="E346" s="187" t="s">
        <v>1210</v>
      </c>
      <c r="F346" s="187" t="s">
        <v>1211</v>
      </c>
      <c r="G346" s="187" t="s">
        <v>1212</v>
      </c>
      <c r="H346" s="187" t="s">
        <v>1213</v>
      </c>
      <c r="I346" s="187" t="s">
        <v>1214</v>
      </c>
      <c r="J346" s="187" t="s">
        <v>1215</v>
      </c>
      <c r="K346" s="187" t="s">
        <v>1216</v>
      </c>
      <c r="L346" s="187" t="s">
        <v>1217</v>
      </c>
    </row>
    <row r="347" spans="2:12">
      <c r="B347" s="188" t="s">
        <v>1273</v>
      </c>
      <c r="C347" s="189" t="s">
        <v>1271</v>
      </c>
      <c r="D347" s="190" t="s">
        <v>1274</v>
      </c>
      <c r="E347" s="191">
        <v>369</v>
      </c>
      <c r="F347" s="243">
        <v>2.4660000000000002</v>
      </c>
      <c r="G347" s="192">
        <v>1.1000000000000001</v>
      </c>
      <c r="H347" s="191"/>
      <c r="I347" s="191"/>
      <c r="J347" s="216"/>
      <c r="K347" s="217">
        <f>IF(E347*F347*G347&lt;&gt;0,E347*F347*G347,IF(E347*F347&lt;&gt;0,E347*F347,IF(F347*G347&lt;&gt;0,F347*G347,IF(E347*G347&lt;&gt;0,E347*G347,IF(E347&lt;&gt;0,E347,IF(F347&lt;&gt;0,F347,IF(G347&lt;&gt;0,G347,0)))))))*(IF(H347&lt;&gt;0,H347,1))+I347-J347</f>
        <v>1000.9494000000002</v>
      </c>
      <c r="L347" s="245" t="s">
        <v>1282</v>
      </c>
    </row>
    <row r="348" spans="2:12">
      <c r="B348" s="188" t="s">
        <v>1273</v>
      </c>
      <c r="C348" s="189" t="s">
        <v>1271</v>
      </c>
      <c r="D348" s="190" t="s">
        <v>1274</v>
      </c>
      <c r="E348" s="191">
        <v>623</v>
      </c>
      <c r="F348" s="243">
        <v>3.8530000000000002</v>
      </c>
      <c r="G348" s="192">
        <v>1.1000000000000001</v>
      </c>
      <c r="H348" s="191"/>
      <c r="I348" s="191"/>
      <c r="J348" s="216"/>
      <c r="K348" s="217">
        <f>IF(E348*F348*G348&lt;&gt;0,E348*F348*G348,IF(E348*F348&lt;&gt;0,E348*F348,IF(F348*G348&lt;&gt;0,F348*G348,IF(E348*G348&lt;&gt;0,E348*G348,IF(E348&lt;&gt;0,E348,IF(F348&lt;&gt;0,F348,IF(G348&lt;&gt;0,G348,0)))))))*(IF(H348&lt;&gt;0,H348,1))+I348-J348</f>
        <v>2640.4609000000005</v>
      </c>
      <c r="L348" s="245" t="s">
        <v>1283</v>
      </c>
    </row>
    <row r="349" spans="2:12">
      <c r="B349" s="188" t="s">
        <v>1275</v>
      </c>
      <c r="C349" s="189" t="s">
        <v>1333</v>
      </c>
      <c r="D349" s="190" t="s">
        <v>1274</v>
      </c>
      <c r="E349" s="191">
        <v>1522</v>
      </c>
      <c r="F349" s="243">
        <v>2.4660000000000002</v>
      </c>
      <c r="G349" s="192">
        <v>1.1000000000000001</v>
      </c>
      <c r="H349" s="191"/>
      <c r="I349" s="191"/>
      <c r="J349" s="216"/>
      <c r="K349" s="217">
        <f>IF(E349*F349*G349&lt;&gt;0,E349*F349*G349,IF(E349*F349&lt;&gt;0,E349*F349,IF(F349*G349&lt;&gt;0,F349*G349,IF(E349*G349&lt;&gt;0,E349*G349,IF(E349&lt;&gt;0,E349,IF(F349&lt;&gt;0,F349,IF(G349&lt;&gt;0,G349,0)))))))*(IF(H349&lt;&gt;0,H349,1))+I349-J349</f>
        <v>4128.5772000000006</v>
      </c>
      <c r="L349" s="245" t="s">
        <v>1282</v>
      </c>
    </row>
    <row r="350" spans="2:12">
      <c r="B350" s="197"/>
      <c r="C350" s="189"/>
      <c r="D350" s="198"/>
      <c r="E350" s="199"/>
      <c r="F350" s="244"/>
      <c r="G350" s="199"/>
      <c r="H350" s="199"/>
      <c r="I350" s="199"/>
      <c r="J350" s="219"/>
      <c r="K350" s="217">
        <f>IF(E350*F350*G350&lt;&gt;0,E350*F350*G350,IF(E350*F350&lt;&gt;0,E350*F350,IF(F350*G350&lt;&gt;0,F350*G350,IF(E350*G350&lt;&gt;0,E350*G350,IF(E350&lt;&gt;0,E350,IF(F350&lt;&gt;0,F350,IF(G350&lt;&gt;0,G350,0)))))))*(IF(H350&lt;&gt;0,H350,1))+I350-J350</f>
        <v>0</v>
      </c>
      <c r="L350" s="218"/>
    </row>
    <row r="351" spans="2:12">
      <c r="B351" s="202"/>
      <c r="C351" s="203"/>
      <c r="D351" s="203"/>
      <c r="E351" s="203"/>
      <c r="F351" s="203"/>
      <c r="G351" s="203"/>
      <c r="H351" s="204"/>
      <c r="I351" s="556" t="s">
        <v>1221</v>
      </c>
      <c r="J351" s="556"/>
      <c r="K351" s="220">
        <f>SUM(K347:K350)</f>
        <v>7769.9875000000011</v>
      </c>
      <c r="L351" s="207"/>
    </row>
    <row r="352" spans="2:12">
      <c r="B352" s="208"/>
      <c r="C352" s="204"/>
      <c r="D352" s="204"/>
      <c r="E352" s="204"/>
      <c r="F352" s="204"/>
      <c r="G352" s="204"/>
      <c r="H352" s="209"/>
      <c r="I352" s="557" t="s">
        <v>1222</v>
      </c>
      <c r="J352" s="557"/>
      <c r="K352" s="221">
        <v>7195.1</v>
      </c>
      <c r="L352" s="207"/>
    </row>
    <row r="353" spans="2:12">
      <c r="B353" s="208"/>
      <c r="C353" s="204"/>
      <c r="D353" s="204"/>
      <c r="E353" s="204"/>
      <c r="F353" s="204"/>
      <c r="G353" s="204"/>
      <c r="H353" s="558" t="s">
        <v>1223</v>
      </c>
      <c r="I353" s="558"/>
      <c r="J353" s="558"/>
      <c r="K353" s="222">
        <v>3641.4103</v>
      </c>
      <c r="L353" s="207"/>
    </row>
    <row r="354" spans="2:12">
      <c r="B354" s="208"/>
      <c r="C354" s="204"/>
      <c r="D354" s="204"/>
      <c r="E354" s="204"/>
      <c r="F354" s="204"/>
      <c r="G354" s="204"/>
      <c r="H354" s="558" t="s">
        <v>1250</v>
      </c>
      <c r="I354" s="558"/>
      <c r="J354" s="558"/>
      <c r="K354" s="222">
        <f>IF(K351&gt;K352,K352,K351)-K353</f>
        <v>3553.6897000000004</v>
      </c>
      <c r="L354" s="207"/>
    </row>
    <row r="355" spans="2:12">
      <c r="B355" s="213"/>
      <c r="C355" s="214"/>
      <c r="D355" s="214"/>
      <c r="E355" s="214"/>
      <c r="F355" s="214"/>
      <c r="G355" s="214"/>
      <c r="H355" s="559" t="s">
        <v>1224</v>
      </c>
      <c r="I355" s="559"/>
      <c r="J355" s="559"/>
      <c r="K355" s="223">
        <f>IF(K351&gt;K352,K351-K352,0)</f>
        <v>574.88750000000073</v>
      </c>
      <c r="L355" s="209"/>
    </row>
    <row r="357" spans="2:12" ht="14.25" customHeight="1">
      <c r="B357" s="555" t="s">
        <v>1284</v>
      </c>
      <c r="C357" s="555"/>
      <c r="D357" s="555"/>
      <c r="E357" s="555"/>
      <c r="F357" s="555"/>
      <c r="G357" s="555"/>
      <c r="H357" s="555"/>
      <c r="I357" s="555"/>
      <c r="J357" s="555"/>
      <c r="K357" s="555"/>
      <c r="L357" s="555"/>
    </row>
    <row r="358" spans="2:12">
      <c r="B358" s="187" t="s">
        <v>1209</v>
      </c>
      <c r="C358" s="187"/>
      <c r="D358" s="187" t="s">
        <v>39</v>
      </c>
      <c r="E358" s="187" t="s">
        <v>1210</v>
      </c>
      <c r="F358" s="187" t="s">
        <v>1211</v>
      </c>
      <c r="G358" s="187" t="s">
        <v>1212</v>
      </c>
      <c r="H358" s="187" t="s">
        <v>1213</v>
      </c>
      <c r="I358" s="187" t="s">
        <v>1214</v>
      </c>
      <c r="J358" s="187" t="s">
        <v>1215</v>
      </c>
      <c r="K358" s="187" t="s">
        <v>1216</v>
      </c>
      <c r="L358" s="187" t="s">
        <v>1217</v>
      </c>
    </row>
    <row r="359" spans="2:12">
      <c r="B359" s="197" t="s">
        <v>1285</v>
      </c>
      <c r="C359" s="189" t="s">
        <v>1271</v>
      </c>
      <c r="D359" s="198" t="s">
        <v>169</v>
      </c>
      <c r="E359" s="199">
        <v>1.9</v>
      </c>
      <c r="F359" s="244">
        <v>0.9</v>
      </c>
      <c r="G359" s="199">
        <v>0.7</v>
      </c>
      <c r="H359" s="199"/>
      <c r="I359" s="199"/>
      <c r="J359" s="219"/>
      <c r="K359" s="217">
        <f t="shared" ref="K359:K404" si="7">IF(E359*F359*G359&lt;&gt;0,E359*F359*G359,IF(E359*F359&lt;&gt;0,E359*F359,IF(F359*G359&lt;&gt;0,F359*G359,IF(E359*G359&lt;&gt;0,E359*G359,IF(E359&lt;&gt;0,E359,IF(F359&lt;&gt;0,F359,IF(G359&lt;&gt;0,G359,0)))))))*(IF(H359&lt;&gt;0,H359,1))+I359-J359</f>
        <v>1.1969999999999998</v>
      </c>
      <c r="L359" s="218"/>
    </row>
    <row r="360" spans="2:12">
      <c r="B360" s="197" t="s">
        <v>1286</v>
      </c>
      <c r="C360" s="189" t="s">
        <v>1271</v>
      </c>
      <c r="D360" s="198" t="s">
        <v>169</v>
      </c>
      <c r="E360" s="199">
        <v>2.2000000000000002</v>
      </c>
      <c r="F360" s="244">
        <v>2.2000000000000002</v>
      </c>
      <c r="G360" s="199">
        <v>1.1000000000000001</v>
      </c>
      <c r="H360" s="199"/>
      <c r="I360" s="199"/>
      <c r="J360" s="219"/>
      <c r="K360" s="217">
        <f t="shared" si="7"/>
        <v>5.3240000000000016</v>
      </c>
      <c r="L360" s="218"/>
    </row>
    <row r="361" spans="2:12">
      <c r="B361" s="197" t="s">
        <v>1287</v>
      </c>
      <c r="C361" s="189" t="s">
        <v>1271</v>
      </c>
      <c r="D361" s="198" t="s">
        <v>169</v>
      </c>
      <c r="E361" s="199">
        <v>2.2000000000000002</v>
      </c>
      <c r="F361" s="244">
        <v>2.2000000000000002</v>
      </c>
      <c r="G361" s="199">
        <v>1.1000000000000001</v>
      </c>
      <c r="H361" s="199"/>
      <c r="I361" s="199"/>
      <c r="J361" s="219"/>
      <c r="K361" s="217">
        <f t="shared" si="7"/>
        <v>5.3240000000000016</v>
      </c>
      <c r="L361" s="218"/>
    </row>
    <row r="362" spans="2:12">
      <c r="B362" s="197" t="s">
        <v>1288</v>
      </c>
      <c r="C362" s="189" t="s">
        <v>1271</v>
      </c>
      <c r="D362" s="198" t="s">
        <v>169</v>
      </c>
      <c r="E362" s="199">
        <v>1.9</v>
      </c>
      <c r="F362" s="244">
        <v>0.9</v>
      </c>
      <c r="G362" s="199">
        <v>1</v>
      </c>
      <c r="H362" s="199"/>
      <c r="I362" s="199"/>
      <c r="J362" s="219"/>
      <c r="K362" s="217">
        <f t="shared" si="7"/>
        <v>1.71</v>
      </c>
      <c r="L362" s="218"/>
    </row>
    <row r="363" spans="2:12">
      <c r="B363" s="197" t="s">
        <v>1289</v>
      </c>
      <c r="C363" s="189" t="s">
        <v>1271</v>
      </c>
      <c r="D363" s="198" t="s">
        <v>169</v>
      </c>
      <c r="E363" s="199">
        <v>1</v>
      </c>
      <c r="F363" s="244">
        <v>1</v>
      </c>
      <c r="G363" s="199">
        <v>0.9</v>
      </c>
      <c r="H363" s="199"/>
      <c r="I363" s="199"/>
      <c r="J363" s="219"/>
      <c r="K363" s="217">
        <f t="shared" si="7"/>
        <v>0.9</v>
      </c>
      <c r="L363" s="218"/>
    </row>
    <row r="364" spans="2:12">
      <c r="B364" s="197" t="s">
        <v>1290</v>
      </c>
      <c r="C364" s="189" t="s">
        <v>1271</v>
      </c>
      <c r="D364" s="198" t="s">
        <v>169</v>
      </c>
      <c r="E364" s="199"/>
      <c r="F364" s="244"/>
      <c r="G364" s="199"/>
      <c r="H364" s="199"/>
      <c r="I364" s="199">
        <v>2.95614</v>
      </c>
      <c r="J364" s="219"/>
      <c r="K364" s="217">
        <f t="shared" si="7"/>
        <v>2.95614</v>
      </c>
      <c r="L364" s="218"/>
    </row>
    <row r="365" spans="2:12">
      <c r="B365" s="197" t="s">
        <v>1291</v>
      </c>
      <c r="C365" s="189" t="s">
        <v>1271</v>
      </c>
      <c r="D365" s="198" t="s">
        <v>169</v>
      </c>
      <c r="E365" s="199">
        <v>2.2000000000000002</v>
      </c>
      <c r="F365" s="244">
        <v>2.2000000000000002</v>
      </c>
      <c r="G365" s="199">
        <v>1.1000000000000001</v>
      </c>
      <c r="H365" s="199"/>
      <c r="I365" s="199"/>
      <c r="J365" s="219"/>
      <c r="K365" s="217">
        <f t="shared" si="7"/>
        <v>5.3240000000000016</v>
      </c>
      <c r="L365" s="218"/>
    </row>
    <row r="366" spans="2:12">
      <c r="B366" s="197" t="s">
        <v>1292</v>
      </c>
      <c r="C366" s="189" t="s">
        <v>1271</v>
      </c>
      <c r="D366" s="198" t="s">
        <v>169</v>
      </c>
      <c r="E366" s="199">
        <v>2.2000000000000002</v>
      </c>
      <c r="F366" s="244">
        <v>2.2000000000000002</v>
      </c>
      <c r="G366" s="199">
        <v>1.1000000000000001</v>
      </c>
      <c r="H366" s="199"/>
      <c r="I366" s="199"/>
      <c r="J366" s="219"/>
      <c r="K366" s="217">
        <f t="shared" si="7"/>
        <v>5.3240000000000016</v>
      </c>
      <c r="L366" s="218"/>
    </row>
    <row r="367" spans="2:12">
      <c r="B367" s="197" t="s">
        <v>1293</v>
      </c>
      <c r="C367" s="189" t="s">
        <v>1271</v>
      </c>
      <c r="D367" s="198" t="s">
        <v>169</v>
      </c>
      <c r="E367" s="199">
        <v>2.2000000000000002</v>
      </c>
      <c r="F367" s="244">
        <v>2.2000000000000002</v>
      </c>
      <c r="G367" s="199">
        <v>1.1000000000000001</v>
      </c>
      <c r="H367" s="199"/>
      <c r="I367" s="199"/>
      <c r="J367" s="219"/>
      <c r="K367" s="217">
        <f t="shared" si="7"/>
        <v>5.3240000000000016</v>
      </c>
      <c r="L367" s="218"/>
    </row>
    <row r="368" spans="2:12">
      <c r="B368" s="197" t="s">
        <v>1294</v>
      </c>
      <c r="C368" s="189" t="s">
        <v>1271</v>
      </c>
      <c r="D368" s="198" t="s">
        <v>169</v>
      </c>
      <c r="E368" s="199">
        <v>1</v>
      </c>
      <c r="F368" s="244">
        <v>1</v>
      </c>
      <c r="G368" s="199">
        <v>0.7</v>
      </c>
      <c r="H368" s="199"/>
      <c r="I368" s="199"/>
      <c r="J368" s="219"/>
      <c r="K368" s="217">
        <f t="shared" si="7"/>
        <v>0.7</v>
      </c>
      <c r="L368" s="218"/>
    </row>
    <row r="369" spans="2:12">
      <c r="B369" s="197" t="s">
        <v>1295</v>
      </c>
      <c r="C369" s="189" t="s">
        <v>1271</v>
      </c>
      <c r="D369" s="198" t="s">
        <v>169</v>
      </c>
      <c r="E369" s="199"/>
      <c r="F369" s="244"/>
      <c r="G369" s="199"/>
      <c r="H369" s="199"/>
      <c r="I369" s="199">
        <v>2.95614</v>
      </c>
      <c r="J369" s="219"/>
      <c r="K369" s="217">
        <f t="shared" si="7"/>
        <v>2.95614</v>
      </c>
      <c r="L369" s="218"/>
    </row>
    <row r="370" spans="2:12">
      <c r="B370" s="197" t="s">
        <v>1336</v>
      </c>
      <c r="C370" s="189" t="s">
        <v>1271</v>
      </c>
      <c r="D370" s="198" t="s">
        <v>169</v>
      </c>
      <c r="E370" s="199">
        <v>2.2000000000000002</v>
      </c>
      <c r="F370" s="244">
        <v>2.2000000000000002</v>
      </c>
      <c r="G370" s="199">
        <v>1.1000000000000001</v>
      </c>
      <c r="H370" s="199"/>
      <c r="I370" s="199"/>
      <c r="J370" s="219"/>
      <c r="K370" s="217">
        <f t="shared" si="7"/>
        <v>5.3240000000000016</v>
      </c>
      <c r="L370" s="218"/>
    </row>
    <row r="371" spans="2:12">
      <c r="B371" s="197" t="s">
        <v>1337</v>
      </c>
      <c r="C371" s="189" t="s">
        <v>1271</v>
      </c>
      <c r="D371" s="198" t="s">
        <v>169</v>
      </c>
      <c r="E371" s="199">
        <v>2.2000000000000002</v>
      </c>
      <c r="F371" s="244">
        <v>2.2000000000000002</v>
      </c>
      <c r="G371" s="199">
        <v>1.1000000000000001</v>
      </c>
      <c r="H371" s="199"/>
      <c r="I371" s="199"/>
      <c r="J371" s="219"/>
      <c r="K371" s="217">
        <f t="shared" si="7"/>
        <v>5.3240000000000016</v>
      </c>
      <c r="L371" s="218"/>
    </row>
    <row r="372" spans="2:12">
      <c r="B372" s="197" t="s">
        <v>1338</v>
      </c>
      <c r="C372" s="189" t="s">
        <v>1271</v>
      </c>
      <c r="D372" s="198" t="s">
        <v>169</v>
      </c>
      <c r="E372" s="199">
        <v>2.2000000000000002</v>
      </c>
      <c r="F372" s="244">
        <v>2.2000000000000002</v>
      </c>
      <c r="G372" s="199">
        <v>1.1000000000000001</v>
      </c>
      <c r="H372" s="199"/>
      <c r="I372" s="199"/>
      <c r="J372" s="219"/>
      <c r="K372" s="217">
        <f t="shared" si="7"/>
        <v>5.3240000000000016</v>
      </c>
      <c r="L372" s="218"/>
    </row>
    <row r="373" spans="2:12">
      <c r="B373" s="197" t="s">
        <v>1339</v>
      </c>
      <c r="C373" s="189" t="s">
        <v>1271</v>
      </c>
      <c r="D373" s="198" t="s">
        <v>169</v>
      </c>
      <c r="E373" s="199">
        <v>1</v>
      </c>
      <c r="F373" s="244">
        <v>1</v>
      </c>
      <c r="G373" s="199">
        <v>0.7</v>
      </c>
      <c r="H373" s="199"/>
      <c r="I373" s="199"/>
      <c r="J373" s="219"/>
      <c r="K373" s="217">
        <f t="shared" si="7"/>
        <v>0.7</v>
      </c>
      <c r="L373" s="218"/>
    </row>
    <row r="374" spans="2:12">
      <c r="B374" s="197" t="s">
        <v>1340</v>
      </c>
      <c r="C374" s="189" t="s">
        <v>1271</v>
      </c>
      <c r="D374" s="198" t="s">
        <v>169</v>
      </c>
      <c r="E374" s="199">
        <v>1.9</v>
      </c>
      <c r="F374" s="244">
        <v>0.9</v>
      </c>
      <c r="G374" s="199">
        <v>0.7</v>
      </c>
      <c r="H374" s="199"/>
      <c r="I374" s="199"/>
      <c r="J374" s="219"/>
      <c r="K374" s="217">
        <f t="shared" si="7"/>
        <v>1.1969999999999998</v>
      </c>
      <c r="L374" s="218"/>
    </row>
    <row r="375" spans="2:12">
      <c r="B375" s="197" t="s">
        <v>1296</v>
      </c>
      <c r="C375" s="189" t="s">
        <v>1271</v>
      </c>
      <c r="D375" s="198" t="s">
        <v>169</v>
      </c>
      <c r="E375" s="199">
        <v>1.9</v>
      </c>
      <c r="F375" s="244">
        <v>0.9</v>
      </c>
      <c r="G375" s="199">
        <v>0.7</v>
      </c>
      <c r="H375" s="199"/>
      <c r="I375" s="199"/>
      <c r="J375" s="219"/>
      <c r="K375" s="217">
        <f t="shared" si="7"/>
        <v>1.1969999999999998</v>
      </c>
      <c r="L375" s="218"/>
    </row>
    <row r="376" spans="2:12">
      <c r="B376" s="197" t="s">
        <v>1341</v>
      </c>
      <c r="C376" s="189" t="s">
        <v>1271</v>
      </c>
      <c r="D376" s="198" t="s">
        <v>169</v>
      </c>
      <c r="E376" s="199"/>
      <c r="F376" s="244"/>
      <c r="G376" s="199"/>
      <c r="H376" s="199"/>
      <c r="I376" s="199">
        <v>2.95614</v>
      </c>
      <c r="J376" s="219"/>
      <c r="K376" s="217">
        <f t="shared" si="7"/>
        <v>2.95614</v>
      </c>
      <c r="L376" s="218"/>
    </row>
    <row r="377" spans="2:12">
      <c r="B377" s="197" t="s">
        <v>1342</v>
      </c>
      <c r="C377" s="189" t="s">
        <v>1333</v>
      </c>
      <c r="D377" s="198" t="s">
        <v>169</v>
      </c>
      <c r="E377" s="199">
        <v>3.14</v>
      </c>
      <c r="F377" s="244">
        <v>3.14</v>
      </c>
      <c r="G377" s="199">
        <v>2.1</v>
      </c>
      <c r="H377" s="199"/>
      <c r="I377" s="199"/>
      <c r="J377" s="219"/>
      <c r="K377" s="217">
        <f t="shared" si="7"/>
        <v>20.705160000000003</v>
      </c>
      <c r="L377" s="218"/>
    </row>
    <row r="378" spans="2:12">
      <c r="B378" s="197" t="s">
        <v>1343</v>
      </c>
      <c r="C378" s="189" t="s">
        <v>1333</v>
      </c>
      <c r="D378" s="198" t="s">
        <v>169</v>
      </c>
      <c r="E378" s="199">
        <v>2.2000000000000002</v>
      </c>
      <c r="F378" s="244">
        <v>2.2000000000000002</v>
      </c>
      <c r="G378" s="199">
        <v>1.1000000000000001</v>
      </c>
      <c r="H378" s="199"/>
      <c r="I378" s="199"/>
      <c r="J378" s="219"/>
      <c r="K378" s="217">
        <f t="shared" si="7"/>
        <v>5.3240000000000016</v>
      </c>
      <c r="L378" s="218"/>
    </row>
    <row r="379" spans="2:12">
      <c r="B379" s="197" t="s">
        <v>1297</v>
      </c>
      <c r="C379" s="189" t="s">
        <v>1333</v>
      </c>
      <c r="D379" s="198" t="s">
        <v>169</v>
      </c>
      <c r="E379" s="199">
        <v>3.4</v>
      </c>
      <c r="F379" s="244">
        <v>1</v>
      </c>
      <c r="G379" s="199">
        <v>1.2</v>
      </c>
      <c r="H379" s="199"/>
      <c r="I379" s="199"/>
      <c r="J379" s="219"/>
      <c r="K379" s="217">
        <f t="shared" si="7"/>
        <v>4.08</v>
      </c>
      <c r="L379" s="218"/>
    </row>
    <row r="380" spans="2:12">
      <c r="B380" s="197" t="s">
        <v>1344</v>
      </c>
      <c r="C380" s="189" t="s">
        <v>1333</v>
      </c>
      <c r="D380" s="198" t="s">
        <v>169</v>
      </c>
      <c r="E380" s="199">
        <v>2.2000000000000002</v>
      </c>
      <c r="F380" s="244">
        <v>2.2000000000000002</v>
      </c>
      <c r="G380" s="199">
        <v>1.1000000000000001</v>
      </c>
      <c r="H380" s="199"/>
      <c r="I380" s="199"/>
      <c r="J380" s="219"/>
      <c r="K380" s="217">
        <f t="shared" si="7"/>
        <v>5.3240000000000016</v>
      </c>
      <c r="L380" s="218"/>
    </row>
    <row r="381" spans="2:12">
      <c r="B381" s="197" t="s">
        <v>1345</v>
      </c>
      <c r="C381" s="189" t="s">
        <v>1333</v>
      </c>
      <c r="D381" s="198" t="s">
        <v>169</v>
      </c>
      <c r="E381" s="199">
        <v>2.2000000000000002</v>
      </c>
      <c r="F381" s="244">
        <v>2.2000000000000002</v>
      </c>
      <c r="G381" s="199">
        <v>1.1000000000000001</v>
      </c>
      <c r="H381" s="199"/>
      <c r="I381" s="199"/>
      <c r="J381" s="219"/>
      <c r="K381" s="217">
        <f t="shared" si="7"/>
        <v>5.3240000000000016</v>
      </c>
      <c r="L381" s="218"/>
    </row>
    <row r="382" spans="2:12">
      <c r="B382" s="197" t="s">
        <v>1298</v>
      </c>
      <c r="C382" s="189" t="s">
        <v>1333</v>
      </c>
      <c r="D382" s="198" t="s">
        <v>169</v>
      </c>
      <c r="E382" s="199">
        <v>3.4</v>
      </c>
      <c r="F382" s="244">
        <v>2.2000000000000002</v>
      </c>
      <c r="G382" s="199">
        <v>1.34</v>
      </c>
      <c r="H382" s="199"/>
      <c r="I382" s="199"/>
      <c r="J382" s="219"/>
      <c r="K382" s="217">
        <f t="shared" si="7"/>
        <v>10.023200000000001</v>
      </c>
      <c r="L382" s="218"/>
    </row>
    <row r="383" spans="2:12">
      <c r="B383" s="197" t="s">
        <v>1346</v>
      </c>
      <c r="C383" s="189" t="s">
        <v>1333</v>
      </c>
      <c r="D383" s="198" t="s">
        <v>169</v>
      </c>
      <c r="E383" s="199">
        <v>2.2000000000000002</v>
      </c>
      <c r="F383" s="244">
        <v>2.2000000000000002</v>
      </c>
      <c r="G383" s="199">
        <v>1.1000000000000001</v>
      </c>
      <c r="H383" s="199"/>
      <c r="I383" s="199"/>
      <c r="J383" s="219"/>
      <c r="K383" s="217">
        <f t="shared" si="7"/>
        <v>5.3240000000000016</v>
      </c>
      <c r="L383" s="218"/>
    </row>
    <row r="384" spans="2:12">
      <c r="B384" s="197" t="s">
        <v>1347</v>
      </c>
      <c r="C384" s="189" t="s">
        <v>1333</v>
      </c>
      <c r="D384" s="198" t="s">
        <v>169</v>
      </c>
      <c r="E384" s="199"/>
      <c r="F384" s="244"/>
      <c r="G384" s="199"/>
      <c r="H384" s="199"/>
      <c r="I384" s="199">
        <v>2.95614</v>
      </c>
      <c r="J384" s="219"/>
      <c r="K384" s="217">
        <f t="shared" si="7"/>
        <v>2.95614</v>
      </c>
      <c r="L384" s="218"/>
    </row>
    <row r="385" spans="2:12">
      <c r="B385" s="197" t="s">
        <v>1348</v>
      </c>
      <c r="C385" s="189" t="s">
        <v>1333</v>
      </c>
      <c r="D385" s="198" t="s">
        <v>169</v>
      </c>
      <c r="E385" s="199">
        <v>3.14</v>
      </c>
      <c r="F385" s="244">
        <v>3.14</v>
      </c>
      <c r="G385" s="199">
        <v>2.1</v>
      </c>
      <c r="H385" s="199"/>
      <c r="I385" s="199"/>
      <c r="J385" s="219"/>
      <c r="K385" s="217">
        <f t="shared" si="7"/>
        <v>20.705160000000003</v>
      </c>
      <c r="L385" s="218"/>
    </row>
    <row r="386" spans="2:12">
      <c r="B386" s="197" t="s">
        <v>1349</v>
      </c>
      <c r="C386" s="189" t="s">
        <v>1333</v>
      </c>
      <c r="D386" s="198" t="s">
        <v>169</v>
      </c>
      <c r="E386" s="199">
        <v>3.4</v>
      </c>
      <c r="F386" s="244">
        <v>2.2000000000000002</v>
      </c>
      <c r="G386" s="199">
        <v>1.1000000000000001</v>
      </c>
      <c r="H386" s="199"/>
      <c r="I386" s="199"/>
      <c r="J386" s="219"/>
      <c r="K386" s="217">
        <f t="shared" si="7"/>
        <v>8.2280000000000015</v>
      </c>
      <c r="L386" s="218"/>
    </row>
    <row r="387" spans="2:12">
      <c r="B387" s="197" t="s">
        <v>1350</v>
      </c>
      <c r="C387" s="189" t="s">
        <v>1333</v>
      </c>
      <c r="D387" s="198" t="s">
        <v>169</v>
      </c>
      <c r="E387" s="199">
        <v>3.4</v>
      </c>
      <c r="F387" s="244">
        <v>2.2000000000000002</v>
      </c>
      <c r="G387" s="199">
        <v>1.1000000000000001</v>
      </c>
      <c r="H387" s="199"/>
      <c r="I387" s="199"/>
      <c r="J387" s="219"/>
      <c r="K387" s="217">
        <f t="shared" si="7"/>
        <v>8.2280000000000015</v>
      </c>
      <c r="L387" s="218"/>
    </row>
    <row r="388" spans="2:12">
      <c r="B388" s="197" t="s">
        <v>1351</v>
      </c>
      <c r="C388" s="189" t="s">
        <v>1333</v>
      </c>
      <c r="D388" s="198" t="s">
        <v>169</v>
      </c>
      <c r="E388" s="199">
        <v>2.2000000000000002</v>
      </c>
      <c r="F388" s="244">
        <v>2.2000000000000002</v>
      </c>
      <c r="G388" s="199">
        <v>1.1000000000000001</v>
      </c>
      <c r="H388" s="199"/>
      <c r="I388" s="199"/>
      <c r="J388" s="219"/>
      <c r="K388" s="217">
        <f t="shared" si="7"/>
        <v>5.3240000000000016</v>
      </c>
      <c r="L388" s="218"/>
    </row>
    <row r="389" spans="2:12">
      <c r="B389" s="197" t="s">
        <v>1352</v>
      </c>
      <c r="C389" s="189" t="s">
        <v>1333</v>
      </c>
      <c r="D389" s="198" t="s">
        <v>169</v>
      </c>
      <c r="E389" s="199">
        <v>1</v>
      </c>
      <c r="F389" s="244">
        <v>1</v>
      </c>
      <c r="G389" s="199">
        <v>0.7</v>
      </c>
      <c r="H389" s="199"/>
      <c r="I389" s="199"/>
      <c r="J389" s="219"/>
      <c r="K389" s="217">
        <f t="shared" si="7"/>
        <v>0.7</v>
      </c>
      <c r="L389" s="218"/>
    </row>
    <row r="390" spans="2:12">
      <c r="B390" s="197" t="s">
        <v>1353</v>
      </c>
      <c r="C390" s="189" t="s">
        <v>1333</v>
      </c>
      <c r="D390" s="198" t="s">
        <v>169</v>
      </c>
      <c r="E390" s="199">
        <v>1</v>
      </c>
      <c r="F390" s="244">
        <v>1</v>
      </c>
      <c r="G390" s="199">
        <v>0.7</v>
      </c>
      <c r="H390" s="199"/>
      <c r="I390" s="199"/>
      <c r="J390" s="219"/>
      <c r="K390" s="217">
        <f t="shared" si="7"/>
        <v>0.7</v>
      </c>
      <c r="L390" s="218"/>
    </row>
    <row r="391" spans="2:12">
      <c r="B391" s="197" t="s">
        <v>1354</v>
      </c>
      <c r="C391" s="189" t="s">
        <v>1333</v>
      </c>
      <c r="D391" s="198" t="s">
        <v>169</v>
      </c>
      <c r="E391" s="199">
        <v>1</v>
      </c>
      <c r="F391" s="244">
        <v>1</v>
      </c>
      <c r="G391" s="199">
        <v>0.7</v>
      </c>
      <c r="H391" s="199"/>
      <c r="I391" s="199"/>
      <c r="J391" s="219"/>
      <c r="K391" s="217">
        <f t="shared" si="7"/>
        <v>0.7</v>
      </c>
      <c r="L391" s="218"/>
    </row>
    <row r="392" spans="2:12">
      <c r="B392" s="197" t="s">
        <v>1355</v>
      </c>
      <c r="C392" s="189" t="s">
        <v>1333</v>
      </c>
      <c r="D392" s="198" t="s">
        <v>169</v>
      </c>
      <c r="E392" s="199">
        <v>1</v>
      </c>
      <c r="F392" s="244">
        <v>1</v>
      </c>
      <c r="G392" s="199">
        <v>0.7</v>
      </c>
      <c r="H392" s="199"/>
      <c r="I392" s="199"/>
      <c r="J392" s="219"/>
      <c r="K392" s="217">
        <f t="shared" si="7"/>
        <v>0.7</v>
      </c>
      <c r="L392" s="218"/>
    </row>
    <row r="393" spans="2:12">
      <c r="B393" s="197" t="s">
        <v>1356</v>
      </c>
      <c r="C393" s="189" t="s">
        <v>1333</v>
      </c>
      <c r="D393" s="198" t="s">
        <v>169</v>
      </c>
      <c r="E393" s="199">
        <v>2.2000000000000002</v>
      </c>
      <c r="F393" s="244">
        <v>2.2000000000000002</v>
      </c>
      <c r="G393" s="199">
        <v>1.1000000000000001</v>
      </c>
      <c r="H393" s="199"/>
      <c r="I393" s="199"/>
      <c r="J393" s="219"/>
      <c r="K393" s="217">
        <f t="shared" si="7"/>
        <v>5.3240000000000016</v>
      </c>
      <c r="L393" s="218"/>
    </row>
    <row r="394" spans="2:12">
      <c r="B394" s="197" t="s">
        <v>1357</v>
      </c>
      <c r="C394" s="189" t="s">
        <v>1333</v>
      </c>
      <c r="D394" s="198" t="s">
        <v>169</v>
      </c>
      <c r="E394" s="199">
        <v>2.2000000000000002</v>
      </c>
      <c r="F394" s="244">
        <v>2.2000000000000002</v>
      </c>
      <c r="G394" s="199">
        <v>1.1000000000000001</v>
      </c>
      <c r="H394" s="199"/>
      <c r="I394" s="199"/>
      <c r="J394" s="219"/>
      <c r="K394" s="217">
        <f t="shared" si="7"/>
        <v>5.3240000000000016</v>
      </c>
      <c r="L394" s="218"/>
    </row>
    <row r="395" spans="2:12">
      <c r="B395" s="197" t="s">
        <v>1358</v>
      </c>
      <c r="C395" s="189" t="s">
        <v>1333</v>
      </c>
      <c r="D395" s="198" t="s">
        <v>169</v>
      </c>
      <c r="E395" s="199">
        <v>2.2000000000000002</v>
      </c>
      <c r="F395" s="244">
        <v>2.2000000000000002</v>
      </c>
      <c r="G395" s="199">
        <v>1.1000000000000001</v>
      </c>
      <c r="H395" s="199"/>
      <c r="I395" s="199"/>
      <c r="J395" s="219"/>
      <c r="K395" s="217">
        <f t="shared" si="7"/>
        <v>5.3240000000000016</v>
      </c>
      <c r="L395" s="218"/>
    </row>
    <row r="396" spans="2:12">
      <c r="B396" s="197" t="s">
        <v>1359</v>
      </c>
      <c r="C396" s="189" t="s">
        <v>1333</v>
      </c>
      <c r="D396" s="198" t="s">
        <v>169</v>
      </c>
      <c r="E396" s="199">
        <v>2.2000000000000002</v>
      </c>
      <c r="F396" s="244">
        <v>2.2000000000000002</v>
      </c>
      <c r="G396" s="199">
        <v>1.1000000000000001</v>
      </c>
      <c r="H396" s="199"/>
      <c r="I396" s="199"/>
      <c r="J396" s="219"/>
      <c r="K396" s="217">
        <f t="shared" si="7"/>
        <v>5.3240000000000016</v>
      </c>
      <c r="L396" s="218"/>
    </row>
    <row r="397" spans="2:12">
      <c r="B397" s="197" t="s">
        <v>1360</v>
      </c>
      <c r="C397" s="189" t="s">
        <v>1333</v>
      </c>
      <c r="D397" s="198" t="s">
        <v>169</v>
      </c>
      <c r="E397" s="199">
        <v>1</v>
      </c>
      <c r="F397" s="244">
        <v>1</v>
      </c>
      <c r="G397" s="199">
        <v>0.7</v>
      </c>
      <c r="H397" s="199"/>
      <c r="I397" s="199"/>
      <c r="J397" s="219"/>
      <c r="K397" s="217">
        <f t="shared" si="7"/>
        <v>0.7</v>
      </c>
      <c r="L397" s="218"/>
    </row>
    <row r="398" spans="2:12">
      <c r="B398" s="197" t="s">
        <v>1361</v>
      </c>
      <c r="C398" s="189" t="s">
        <v>1333</v>
      </c>
      <c r="D398" s="198" t="s">
        <v>169</v>
      </c>
      <c r="E398" s="199">
        <v>1</v>
      </c>
      <c r="F398" s="244">
        <v>1</v>
      </c>
      <c r="G398" s="199">
        <v>0.7</v>
      </c>
      <c r="H398" s="199"/>
      <c r="I398" s="199"/>
      <c r="J398" s="219"/>
      <c r="K398" s="217">
        <f t="shared" si="7"/>
        <v>0.7</v>
      </c>
      <c r="L398" s="218"/>
    </row>
    <row r="399" spans="2:12">
      <c r="B399" s="197" t="s">
        <v>1362</v>
      </c>
      <c r="C399" s="189" t="s">
        <v>1333</v>
      </c>
      <c r="D399" s="198" t="s">
        <v>169</v>
      </c>
      <c r="E399" s="199">
        <v>2.2000000000000002</v>
      </c>
      <c r="F399" s="244">
        <v>2.2000000000000002</v>
      </c>
      <c r="G399" s="199">
        <v>1.1000000000000001</v>
      </c>
      <c r="H399" s="199"/>
      <c r="I399" s="199"/>
      <c r="J399" s="219"/>
      <c r="K399" s="217">
        <f t="shared" si="7"/>
        <v>5.3240000000000016</v>
      </c>
      <c r="L399" s="218"/>
    </row>
    <row r="400" spans="2:12">
      <c r="B400" s="197" t="s">
        <v>1363</v>
      </c>
      <c r="C400" s="189" t="s">
        <v>1333</v>
      </c>
      <c r="D400" s="198" t="s">
        <v>169</v>
      </c>
      <c r="E400" s="199">
        <v>2.2000000000000002</v>
      </c>
      <c r="F400" s="244">
        <v>2.2000000000000002</v>
      </c>
      <c r="G400" s="199">
        <v>1.1000000000000001</v>
      </c>
      <c r="H400" s="199"/>
      <c r="I400" s="199"/>
      <c r="J400" s="219"/>
      <c r="K400" s="217">
        <f t="shared" si="7"/>
        <v>5.3240000000000016</v>
      </c>
      <c r="L400" s="218"/>
    </row>
    <row r="401" spans="2:12">
      <c r="B401" s="197" t="s">
        <v>1364</v>
      </c>
      <c r="C401" s="189" t="s">
        <v>1333</v>
      </c>
      <c r="D401" s="198" t="s">
        <v>169</v>
      </c>
      <c r="E401" s="199">
        <v>1.9</v>
      </c>
      <c r="F401" s="244">
        <v>0.9</v>
      </c>
      <c r="G401" s="199">
        <v>1</v>
      </c>
      <c r="H401" s="199"/>
      <c r="I401" s="199"/>
      <c r="J401" s="219"/>
      <c r="K401" s="217">
        <f t="shared" si="7"/>
        <v>1.71</v>
      </c>
      <c r="L401" s="218"/>
    </row>
    <row r="402" spans="2:12">
      <c r="B402" s="197" t="s">
        <v>1442</v>
      </c>
      <c r="C402" s="189" t="s">
        <v>1441</v>
      </c>
      <c r="D402" s="198" t="s">
        <v>169</v>
      </c>
      <c r="E402" s="199">
        <v>3.4</v>
      </c>
      <c r="F402" s="244">
        <v>2</v>
      </c>
      <c r="G402" s="199">
        <v>1.3</v>
      </c>
      <c r="H402" s="199"/>
      <c r="I402" s="199"/>
      <c r="J402" s="219"/>
      <c r="K402" s="217">
        <f t="shared" si="7"/>
        <v>8.84</v>
      </c>
      <c r="L402" s="218"/>
    </row>
    <row r="403" spans="2:12">
      <c r="B403" s="197" t="s">
        <v>1443</v>
      </c>
      <c r="C403" s="189" t="s">
        <v>1441</v>
      </c>
      <c r="D403" s="198" t="s">
        <v>169</v>
      </c>
      <c r="E403" s="199">
        <v>3.4</v>
      </c>
      <c r="F403" s="244">
        <v>2</v>
      </c>
      <c r="G403" s="199">
        <v>1.3</v>
      </c>
      <c r="H403" s="199"/>
      <c r="I403" s="199">
        <f>0.01/'BM 005'!L78</f>
        <v>1.051856435491579E-5</v>
      </c>
      <c r="J403" s="219"/>
      <c r="K403" s="217">
        <f t="shared" si="7"/>
        <v>8.8400105185643554</v>
      </c>
      <c r="L403" s="218"/>
    </row>
    <row r="404" spans="2:12">
      <c r="B404" s="197"/>
      <c r="C404" s="189"/>
      <c r="D404" s="198"/>
      <c r="E404" s="199"/>
      <c r="F404" s="244"/>
      <c r="G404" s="199"/>
      <c r="H404" s="199"/>
      <c r="I404" s="199"/>
      <c r="J404" s="219"/>
      <c r="K404" s="217">
        <f t="shared" si="7"/>
        <v>0</v>
      </c>
      <c r="L404" s="218"/>
    </row>
    <row r="405" spans="2:12">
      <c r="B405" s="202"/>
      <c r="C405" s="203"/>
      <c r="D405" s="203"/>
      <c r="E405" s="203"/>
      <c r="F405" s="203"/>
      <c r="G405" s="203"/>
      <c r="H405" s="204"/>
      <c r="I405" s="556" t="s">
        <v>1221</v>
      </c>
      <c r="J405" s="556"/>
      <c r="K405" s="220">
        <f>SUM(K359:K404)</f>
        <v>216.14109051856443</v>
      </c>
      <c r="L405" s="207"/>
    </row>
    <row r="406" spans="2:12">
      <c r="B406" s="208"/>
      <c r="C406" s="204"/>
      <c r="D406" s="204"/>
      <c r="E406" s="204"/>
      <c r="F406" s="204"/>
      <c r="G406" s="204"/>
      <c r="H406" s="209"/>
      <c r="I406" s="557" t="s">
        <v>1222</v>
      </c>
      <c r="J406" s="557"/>
      <c r="K406" s="221">
        <v>213.07</v>
      </c>
      <c r="L406" s="207"/>
    </row>
    <row r="407" spans="2:12">
      <c r="B407" s="208"/>
      <c r="C407" s="204"/>
      <c r="D407" s="204"/>
      <c r="E407" s="204"/>
      <c r="F407" s="204"/>
      <c r="G407" s="204"/>
      <c r="H407" s="558" t="s">
        <v>1223</v>
      </c>
      <c r="I407" s="558"/>
      <c r="J407" s="558"/>
      <c r="K407" s="222">
        <v>198.46108000000001</v>
      </c>
      <c r="L407" s="207"/>
    </row>
    <row r="408" spans="2:12">
      <c r="B408" s="208"/>
      <c r="C408" s="204"/>
      <c r="D408" s="204"/>
      <c r="E408" s="204"/>
      <c r="F408" s="204"/>
      <c r="G408" s="204"/>
      <c r="H408" s="558" t="s">
        <v>1431</v>
      </c>
      <c r="I408" s="558"/>
      <c r="J408" s="558"/>
      <c r="K408" s="222">
        <f>IF(K405&gt;K406,K406,K405)-K407+0.0000105185643549158</f>
        <v>14.608930518564339</v>
      </c>
      <c r="L408" s="207"/>
    </row>
    <row r="409" spans="2:12">
      <c r="B409" s="213"/>
      <c r="C409" s="214"/>
      <c r="D409" s="214"/>
      <c r="E409" s="214"/>
      <c r="F409" s="214"/>
      <c r="G409" s="214"/>
      <c r="H409" s="559" t="s">
        <v>1224</v>
      </c>
      <c r="I409" s="559"/>
      <c r="J409" s="559"/>
      <c r="K409" s="223">
        <f>IF(K405&gt;K406,K405-K406,0)</f>
        <v>3.0710905185644322</v>
      </c>
      <c r="L409" s="209"/>
    </row>
    <row r="411" spans="2:12" ht="14.25" customHeight="1">
      <c r="B411" s="555" t="s">
        <v>1300</v>
      </c>
      <c r="C411" s="555"/>
      <c r="D411" s="555"/>
      <c r="E411" s="555"/>
      <c r="F411" s="555"/>
      <c r="G411" s="555"/>
      <c r="H411" s="555"/>
      <c r="I411" s="555"/>
      <c r="J411" s="555"/>
      <c r="K411" s="555"/>
      <c r="L411" s="555"/>
    </row>
    <row r="412" spans="2:12">
      <c r="B412" s="187" t="s">
        <v>1209</v>
      </c>
      <c r="C412" s="187"/>
      <c r="D412" s="187" t="s">
        <v>39</v>
      </c>
      <c r="E412" s="187" t="s">
        <v>1210</v>
      </c>
      <c r="F412" s="187" t="s">
        <v>1211</v>
      </c>
      <c r="G412" s="187" t="s">
        <v>1212</v>
      </c>
      <c r="H412" s="187" t="s">
        <v>1213</v>
      </c>
      <c r="I412" s="187" t="s">
        <v>1214</v>
      </c>
      <c r="J412" s="187" t="s">
        <v>1215</v>
      </c>
      <c r="K412" s="187" t="s">
        <v>1216</v>
      </c>
      <c r="L412" s="187" t="s">
        <v>1217</v>
      </c>
    </row>
    <row r="413" spans="2:12">
      <c r="B413" s="188" t="s">
        <v>1301</v>
      </c>
      <c r="C413" s="189" t="s">
        <v>1271</v>
      </c>
      <c r="D413" s="190" t="s">
        <v>1274</v>
      </c>
      <c r="E413" s="191">
        <v>646</v>
      </c>
      <c r="F413" s="243">
        <v>0.16</v>
      </c>
      <c r="G413" s="192"/>
      <c r="H413" s="191">
        <v>1.1000000000000001</v>
      </c>
      <c r="I413" s="191"/>
      <c r="J413" s="216"/>
      <c r="K413" s="217">
        <f>IF(E413*F413*G413&lt;&gt;0,E413*F413*G413,IF(E413*F413&lt;&gt;0,E413*F413,IF(F413*G413&lt;&gt;0,F413*G413,IF(E413*G413&lt;&gt;0,E413*G413,IF(E413&lt;&gt;0,E413,IF(F413&lt;&gt;0,F413,IF(G413&lt;&gt;0,G413,0)))))))*(IF(H413&lt;&gt;0,H413,1))+I413-J413</f>
        <v>113.69600000000001</v>
      </c>
      <c r="L413" s="218"/>
    </row>
    <row r="414" spans="2:12">
      <c r="B414" s="188" t="s">
        <v>1302</v>
      </c>
      <c r="C414" s="189" t="s">
        <v>1271</v>
      </c>
      <c r="D414" s="190" t="s">
        <v>1274</v>
      </c>
      <c r="E414" s="191">
        <v>348</v>
      </c>
      <c r="F414" s="243">
        <v>0.16</v>
      </c>
      <c r="G414" s="192"/>
      <c r="H414" s="191">
        <v>1.1000000000000001</v>
      </c>
      <c r="I414" s="191"/>
      <c r="J414" s="216"/>
      <c r="K414" s="217">
        <f>IF(E414*F414*G414&lt;&gt;0,E414*F414*G414,IF(E414*F414&lt;&gt;0,E414*F414,IF(F414*G414&lt;&gt;0,F414*G414,IF(E414*G414&lt;&gt;0,E414*G414,IF(E414&lt;&gt;0,E414,IF(F414&lt;&gt;0,F414,IF(G414&lt;&gt;0,G414,0)))))))*(IF(H414&lt;&gt;0,H414,1))+I414-J414</f>
        <v>61.248000000000005</v>
      </c>
      <c r="L414" s="218"/>
    </row>
    <row r="415" spans="2:12">
      <c r="B415" s="188" t="s">
        <v>1365</v>
      </c>
      <c r="C415" s="189" t="s">
        <v>1271</v>
      </c>
      <c r="D415" s="190" t="s">
        <v>1274</v>
      </c>
      <c r="E415" s="191">
        <v>43.18</v>
      </c>
      <c r="F415" s="243"/>
      <c r="G415" s="192"/>
      <c r="H415" s="191">
        <v>0.26</v>
      </c>
      <c r="I415" s="191"/>
      <c r="J415" s="216"/>
      <c r="K415" s="217">
        <f>IF(E415*F415*G415&lt;&gt;0,E415*F415*G415,IF(E415*F415&lt;&gt;0,E415*F415,IF(F415*G415&lt;&gt;0,F415*G415,IF(E415*G415&lt;&gt;0,E415*G415,IF(E415&lt;&gt;0,E415,IF(F415&lt;&gt;0,F415,IF(G415&lt;&gt;0,G415,0)))))))*(IF(H415&lt;&gt;0,H415,1))+I415-J415</f>
        <v>11.226800000000001</v>
      </c>
      <c r="L415" s="245" t="s">
        <v>1366</v>
      </c>
    </row>
    <row r="416" spans="2:12">
      <c r="B416" s="197"/>
      <c r="C416" s="189"/>
      <c r="D416" s="198"/>
      <c r="E416" s="199"/>
      <c r="F416" s="244"/>
      <c r="G416" s="199"/>
      <c r="H416" s="199"/>
      <c r="I416" s="199"/>
      <c r="J416" s="219"/>
      <c r="K416" s="217">
        <f>IF(E416*F416*G416&lt;&gt;0,E416*F416*G416,IF(E416*F416&lt;&gt;0,E416*F416,IF(F416*G416&lt;&gt;0,F416*G416,IF(E416*G416&lt;&gt;0,E416*G416,IF(E416&lt;&gt;0,E416,IF(F416&lt;&gt;0,F416,IF(G416&lt;&gt;0,G416,0)))))))*(IF(H416&lt;&gt;0,H416,1))+I416-J416</f>
        <v>0</v>
      </c>
      <c r="L416" s="218"/>
    </row>
    <row r="417" spans="2:12">
      <c r="B417" s="202"/>
      <c r="C417" s="203"/>
      <c r="D417" s="203"/>
      <c r="E417" s="203"/>
      <c r="F417" s="203"/>
      <c r="G417" s="203"/>
      <c r="H417" s="204"/>
      <c r="I417" s="556" t="s">
        <v>1221</v>
      </c>
      <c r="J417" s="556"/>
      <c r="K417" s="220">
        <f>SUM(K413:K416)</f>
        <v>186.17080000000001</v>
      </c>
      <c r="L417" s="207"/>
    </row>
    <row r="418" spans="2:12">
      <c r="B418" s="208"/>
      <c r="C418" s="204"/>
      <c r="D418" s="204"/>
      <c r="E418" s="204"/>
      <c r="F418" s="204"/>
      <c r="G418" s="204"/>
      <c r="H418" s="209"/>
      <c r="I418" s="557" t="s">
        <v>1222</v>
      </c>
      <c r="J418" s="557"/>
      <c r="K418" s="221">
        <v>185.9</v>
      </c>
      <c r="L418" s="207"/>
    </row>
    <row r="419" spans="2:12">
      <c r="B419" s="208"/>
      <c r="C419" s="204"/>
      <c r="D419" s="204"/>
      <c r="E419" s="204"/>
      <c r="F419" s="204"/>
      <c r="G419" s="204"/>
      <c r="H419" s="558" t="s">
        <v>1223</v>
      </c>
      <c r="I419" s="558"/>
      <c r="J419" s="558"/>
      <c r="K419" s="222">
        <v>163.02440000000001</v>
      </c>
      <c r="L419" s="207"/>
    </row>
    <row r="420" spans="2:12">
      <c r="B420" s="208"/>
      <c r="C420" s="204"/>
      <c r="D420" s="204"/>
      <c r="E420" s="204"/>
      <c r="F420" s="204"/>
      <c r="G420" s="204"/>
      <c r="H420" s="558" t="s">
        <v>1250</v>
      </c>
      <c r="I420" s="558"/>
      <c r="J420" s="558"/>
      <c r="K420" s="222">
        <f>IF(K417&gt;K418,K418,K417)-K419</f>
        <v>22.875599999999991</v>
      </c>
      <c r="L420" s="246">
        <f>K418-K417</f>
        <v>-0.27080000000000837</v>
      </c>
    </row>
    <row r="421" spans="2:12">
      <c r="B421" s="213"/>
      <c r="C421" s="214"/>
      <c r="D421" s="214"/>
      <c r="E421" s="214"/>
      <c r="F421" s="214"/>
      <c r="G421" s="214"/>
      <c r="H421" s="559" t="s">
        <v>1224</v>
      </c>
      <c r="I421" s="559"/>
      <c r="J421" s="559"/>
      <c r="K421" s="223">
        <f>IF(K417&gt;K418,K417-K418,0)</f>
        <v>0.27080000000000837</v>
      </c>
      <c r="L421" s="209"/>
    </row>
    <row r="423" spans="2:12" ht="14.25" customHeight="1">
      <c r="B423" s="555" t="s">
        <v>1303</v>
      </c>
      <c r="C423" s="555"/>
      <c r="D423" s="555"/>
      <c r="E423" s="555"/>
      <c r="F423" s="555"/>
      <c r="G423" s="555"/>
      <c r="H423" s="555"/>
      <c r="I423" s="555"/>
      <c r="J423" s="555"/>
      <c r="K423" s="555"/>
      <c r="L423" s="555"/>
    </row>
    <row r="424" spans="2:12">
      <c r="B424" s="187" t="s">
        <v>1209</v>
      </c>
      <c r="C424" s="187"/>
      <c r="D424" s="187" t="s">
        <v>39</v>
      </c>
      <c r="E424" s="187" t="s">
        <v>1210</v>
      </c>
      <c r="F424" s="187" t="s">
        <v>1211</v>
      </c>
      <c r="G424" s="187" t="s">
        <v>1212</v>
      </c>
      <c r="H424" s="187" t="s">
        <v>1213</v>
      </c>
      <c r="I424" s="187" t="s">
        <v>1214</v>
      </c>
      <c r="J424" s="187" t="s">
        <v>1215</v>
      </c>
      <c r="K424" s="187" t="s">
        <v>1216</v>
      </c>
      <c r="L424" s="187" t="s">
        <v>1217</v>
      </c>
    </row>
    <row r="425" spans="2:12">
      <c r="B425" s="188" t="s">
        <v>1301</v>
      </c>
      <c r="C425" s="189" t="s">
        <v>1271</v>
      </c>
      <c r="D425" s="190" t="s">
        <v>1274</v>
      </c>
      <c r="E425" s="191">
        <v>257</v>
      </c>
      <c r="F425" s="243">
        <v>0.245</v>
      </c>
      <c r="G425" s="192"/>
      <c r="H425" s="191">
        <v>1.1000000000000001</v>
      </c>
      <c r="I425" s="191"/>
      <c r="J425" s="216"/>
      <c r="K425" s="217">
        <f>IF(E425*F425*G425&lt;&gt;0,E425*F425*G425,IF(E425*F425&lt;&gt;0,E425*F425,IF(F425*G425&lt;&gt;0,F425*G425,IF(E425*G425&lt;&gt;0,E425*G425,IF(E425&lt;&gt;0,E425,IF(F425&lt;&gt;0,F425,IF(G425&lt;&gt;0,G425,0)))))))*(IF(H425&lt;&gt;0,H425,1))+I425-J425</f>
        <v>69.261499999999998</v>
      </c>
      <c r="L425" s="218"/>
    </row>
    <row r="426" spans="2:12">
      <c r="B426" s="188" t="s">
        <v>1302</v>
      </c>
      <c r="C426" s="189" t="s">
        <v>1271</v>
      </c>
      <c r="D426" s="190" t="s">
        <v>1274</v>
      </c>
      <c r="E426" s="191">
        <v>642</v>
      </c>
      <c r="F426" s="243">
        <v>0.245</v>
      </c>
      <c r="G426" s="192"/>
      <c r="H426" s="191">
        <v>1.1000000000000001</v>
      </c>
      <c r="I426" s="191"/>
      <c r="J426" s="216"/>
      <c r="K426" s="217">
        <f>IF(E426*F426*G426&lt;&gt;0,E426*F426*G426,IF(E426*F426&lt;&gt;0,E426*F426,IF(F426*G426&lt;&gt;0,F426*G426,IF(E426*G426&lt;&gt;0,E426*G426,IF(E426&lt;&gt;0,E426,IF(F426&lt;&gt;0,F426,IF(G426&lt;&gt;0,G426,0)))))))*(IF(H426&lt;&gt;0,H426,1))+I426-J426</f>
        <v>173.01900000000001</v>
      </c>
      <c r="L426" s="218"/>
    </row>
    <row r="427" spans="2:12">
      <c r="B427" s="197"/>
      <c r="C427" s="189"/>
      <c r="D427" s="198"/>
      <c r="E427" s="199"/>
      <c r="F427" s="244"/>
      <c r="G427" s="199"/>
      <c r="H427" s="199"/>
      <c r="I427" s="199"/>
      <c r="J427" s="219"/>
      <c r="K427" s="217">
        <f>IF(E427*F427*G427&lt;&gt;0,E427*F427*G427,IF(E427*F427&lt;&gt;0,E427*F427,IF(F427*G427&lt;&gt;0,F427*G427,IF(E427*G427&lt;&gt;0,E427*G427,IF(E427&lt;&gt;0,E427,IF(F427&lt;&gt;0,F427,IF(G427&lt;&gt;0,G427,0)))))))*(IF(H427&lt;&gt;0,H427,1))+I427-J427</f>
        <v>0</v>
      </c>
      <c r="L427" s="218"/>
    </row>
    <row r="428" spans="2:12">
      <c r="B428" s="202"/>
      <c r="C428" s="203"/>
      <c r="D428" s="203"/>
      <c r="E428" s="203"/>
      <c r="F428" s="203"/>
      <c r="G428" s="203"/>
      <c r="H428" s="204"/>
      <c r="I428" s="556" t="s">
        <v>1221</v>
      </c>
      <c r="J428" s="556"/>
      <c r="K428" s="220">
        <f>SUM(K425:K427)</f>
        <v>242.28050000000002</v>
      </c>
      <c r="L428" s="207"/>
    </row>
    <row r="429" spans="2:12">
      <c r="B429" s="208"/>
      <c r="C429" s="204"/>
      <c r="D429" s="204"/>
      <c r="E429" s="204"/>
      <c r="F429" s="204"/>
      <c r="G429" s="204"/>
      <c r="H429" s="209"/>
      <c r="I429" s="557" t="s">
        <v>1222</v>
      </c>
      <c r="J429" s="557"/>
      <c r="K429" s="221">
        <v>199.1</v>
      </c>
      <c r="L429" s="207"/>
    </row>
    <row r="430" spans="2:12">
      <c r="B430" s="208"/>
      <c r="C430" s="204"/>
      <c r="D430" s="204"/>
      <c r="E430" s="204"/>
      <c r="F430" s="204"/>
      <c r="G430" s="204"/>
      <c r="H430" s="558" t="s">
        <v>1223</v>
      </c>
      <c r="I430" s="558"/>
      <c r="J430" s="558"/>
      <c r="K430" s="222">
        <v>0</v>
      </c>
      <c r="L430" s="207"/>
    </row>
    <row r="431" spans="2:12">
      <c r="B431" s="208"/>
      <c r="C431" s="204"/>
      <c r="D431" s="204"/>
      <c r="E431" s="204"/>
      <c r="F431" s="204"/>
      <c r="G431" s="204"/>
      <c r="H431" s="558" t="s">
        <v>1201</v>
      </c>
      <c r="I431" s="558"/>
      <c r="J431" s="558"/>
      <c r="K431" s="222">
        <f>IF(K428&gt;K429,K429,K428)-K430</f>
        <v>199.1</v>
      </c>
      <c r="L431" s="207"/>
    </row>
    <row r="432" spans="2:12">
      <c r="B432" s="213"/>
      <c r="C432" s="214"/>
      <c r="D432" s="214"/>
      <c r="E432" s="214"/>
      <c r="F432" s="214"/>
      <c r="G432" s="214"/>
      <c r="H432" s="559" t="s">
        <v>1224</v>
      </c>
      <c r="I432" s="559"/>
      <c r="J432" s="559"/>
      <c r="K432" s="223">
        <f>IF(K428&gt;K429,K428-K429,0)</f>
        <v>43.180500000000023</v>
      </c>
      <c r="L432" s="209"/>
    </row>
    <row r="434" spans="2:12" ht="14.25" customHeight="1">
      <c r="B434" s="555" t="s">
        <v>1304</v>
      </c>
      <c r="C434" s="555"/>
      <c r="D434" s="555"/>
      <c r="E434" s="555"/>
      <c r="F434" s="555"/>
      <c r="G434" s="555"/>
      <c r="H434" s="555"/>
      <c r="I434" s="555"/>
      <c r="J434" s="555"/>
      <c r="K434" s="555"/>
      <c r="L434" s="555"/>
    </row>
    <row r="435" spans="2:12">
      <c r="B435" s="187" t="s">
        <v>1209</v>
      </c>
      <c r="C435" s="187"/>
      <c r="D435" s="187" t="s">
        <v>39</v>
      </c>
      <c r="E435" s="187" t="s">
        <v>1210</v>
      </c>
      <c r="F435" s="187" t="s">
        <v>1211</v>
      </c>
      <c r="G435" s="187" t="s">
        <v>1212</v>
      </c>
      <c r="H435" s="187" t="s">
        <v>1213</v>
      </c>
      <c r="I435" s="187" t="s">
        <v>1214</v>
      </c>
      <c r="J435" s="187" t="s">
        <v>1215</v>
      </c>
      <c r="K435" s="187" t="s">
        <v>1216</v>
      </c>
      <c r="L435" s="187" t="s">
        <v>1217</v>
      </c>
    </row>
    <row r="436" spans="2:12">
      <c r="B436" s="188" t="s">
        <v>1301</v>
      </c>
      <c r="C436" s="189" t="s">
        <v>1271</v>
      </c>
      <c r="D436" s="190" t="s">
        <v>1274</v>
      </c>
      <c r="E436" s="191">
        <v>566</v>
      </c>
      <c r="F436" s="243">
        <v>0.39500000000000002</v>
      </c>
      <c r="G436" s="192"/>
      <c r="H436" s="191">
        <v>1.1000000000000001</v>
      </c>
      <c r="I436" s="191"/>
      <c r="J436" s="216"/>
      <c r="K436" s="217">
        <f>IF(E436*F436*G436&lt;&gt;0,E436*F436*G436,IF(E436*F436&lt;&gt;0,E436*F436,IF(F436*G436&lt;&gt;0,F436*G436,IF(E436*G436&lt;&gt;0,E436*G436,IF(E436&lt;&gt;0,E436,IF(F436&lt;&gt;0,F436,IF(G436&lt;&gt;0,G436,0)))))))*(IF(H436&lt;&gt;0,H436,1))+I436-J436</f>
        <v>245.92700000000005</v>
      </c>
      <c r="L436" s="218"/>
    </row>
    <row r="437" spans="2:12">
      <c r="B437" s="188" t="s">
        <v>1302</v>
      </c>
      <c r="C437" s="189" t="s">
        <v>1271</v>
      </c>
      <c r="D437" s="190" t="s">
        <v>1274</v>
      </c>
      <c r="E437" s="191">
        <v>641</v>
      </c>
      <c r="F437" s="243">
        <v>0.39500000000000002</v>
      </c>
      <c r="G437" s="192"/>
      <c r="H437" s="191">
        <v>1.1000000000000001</v>
      </c>
      <c r="I437" s="191"/>
      <c r="J437" s="216"/>
      <c r="K437" s="217">
        <f>IF(E437*F437*G437&lt;&gt;0,E437*F437*G437,IF(E437*F437&lt;&gt;0,E437*F437,IF(F437*G437&lt;&gt;0,F437*G437,IF(E437*G437&lt;&gt;0,E437*G437,IF(E437&lt;&gt;0,E437,IF(F437&lt;&gt;0,F437,IF(G437&lt;&gt;0,G437,0)))))))*(IF(H437&lt;&gt;0,H437,1))+I437-J437</f>
        <v>278.51450000000006</v>
      </c>
      <c r="L437" s="218"/>
    </row>
    <row r="438" spans="2:12">
      <c r="B438" s="197"/>
      <c r="C438" s="189"/>
      <c r="D438" s="198"/>
      <c r="E438" s="199"/>
      <c r="F438" s="244"/>
      <c r="G438" s="199"/>
      <c r="H438" s="199"/>
      <c r="I438" s="199"/>
      <c r="J438" s="219"/>
      <c r="K438" s="217">
        <f>IF(E438*F438*G438&lt;&gt;0,E438*F438*G438,IF(E438*F438&lt;&gt;0,E438*F438,IF(F438*G438&lt;&gt;0,F438*G438,IF(E438*G438&lt;&gt;0,E438*G438,IF(E438&lt;&gt;0,E438,IF(F438&lt;&gt;0,F438,IF(G438&lt;&gt;0,G438,0)))))))*(IF(H438&lt;&gt;0,H438,1))+I438-J438</f>
        <v>0</v>
      </c>
      <c r="L438" s="218"/>
    </row>
    <row r="439" spans="2:12">
      <c r="B439" s="202"/>
      <c r="C439" s="203"/>
      <c r="D439" s="203"/>
      <c r="E439" s="203"/>
      <c r="F439" s="203"/>
      <c r="G439" s="203"/>
      <c r="H439" s="204"/>
      <c r="I439" s="556" t="s">
        <v>1221</v>
      </c>
      <c r="J439" s="556"/>
      <c r="K439" s="220">
        <f>SUM(K436:K438)</f>
        <v>524.44150000000013</v>
      </c>
      <c r="L439" s="207"/>
    </row>
    <row r="440" spans="2:12">
      <c r="B440" s="208"/>
      <c r="C440" s="204"/>
      <c r="D440" s="204"/>
      <c r="E440" s="204"/>
      <c r="F440" s="204"/>
      <c r="G440" s="204"/>
      <c r="H440" s="209"/>
      <c r="I440" s="557" t="s">
        <v>1222</v>
      </c>
      <c r="J440" s="557"/>
      <c r="K440" s="221">
        <v>378.4</v>
      </c>
      <c r="L440" s="207"/>
    </row>
    <row r="441" spans="2:12">
      <c r="B441" s="208"/>
      <c r="C441" s="204"/>
      <c r="D441" s="204"/>
      <c r="E441" s="204"/>
      <c r="F441" s="204"/>
      <c r="G441" s="204"/>
      <c r="H441" s="558" t="s">
        <v>1223</v>
      </c>
      <c r="I441" s="558"/>
      <c r="J441" s="558"/>
      <c r="K441" s="222">
        <v>0</v>
      </c>
      <c r="L441" s="207"/>
    </row>
    <row r="442" spans="2:12">
      <c r="B442" s="208"/>
      <c r="C442" s="204"/>
      <c r="D442" s="204"/>
      <c r="E442" s="204"/>
      <c r="F442" s="204"/>
      <c r="G442" s="204"/>
      <c r="H442" s="558" t="s">
        <v>1201</v>
      </c>
      <c r="I442" s="558"/>
      <c r="J442" s="558"/>
      <c r="K442" s="222">
        <f>IF(K439&gt;K440,K440,K439)-K441</f>
        <v>378.4</v>
      </c>
      <c r="L442" s="207"/>
    </row>
    <row r="443" spans="2:12">
      <c r="B443" s="213"/>
      <c r="C443" s="214"/>
      <c r="D443" s="214"/>
      <c r="E443" s="214"/>
      <c r="F443" s="214"/>
      <c r="G443" s="214"/>
      <c r="H443" s="559" t="s">
        <v>1224</v>
      </c>
      <c r="I443" s="559"/>
      <c r="J443" s="559"/>
      <c r="K443" s="223">
        <f>IF(K439&gt;K440,K439-K440,0)</f>
        <v>146.04150000000016</v>
      </c>
      <c r="L443" s="209"/>
    </row>
    <row r="445" spans="2:12" ht="14.25" customHeight="1">
      <c r="B445" s="555" t="s">
        <v>1305</v>
      </c>
      <c r="C445" s="555"/>
      <c r="D445" s="555"/>
      <c r="E445" s="555"/>
      <c r="F445" s="555"/>
      <c r="G445" s="555"/>
      <c r="H445" s="555"/>
      <c r="I445" s="555"/>
      <c r="J445" s="555"/>
      <c r="K445" s="555"/>
      <c r="L445" s="555"/>
    </row>
    <row r="446" spans="2:12">
      <c r="B446" s="187" t="s">
        <v>1209</v>
      </c>
      <c r="C446" s="187"/>
      <c r="D446" s="187" t="s">
        <v>39</v>
      </c>
      <c r="E446" s="187" t="s">
        <v>1210</v>
      </c>
      <c r="F446" s="187" t="s">
        <v>1211</v>
      </c>
      <c r="G446" s="187" t="s">
        <v>1212</v>
      </c>
      <c r="H446" s="187" t="s">
        <v>1213</v>
      </c>
      <c r="I446" s="187" t="s">
        <v>1214</v>
      </c>
      <c r="J446" s="187" t="s">
        <v>1215</v>
      </c>
      <c r="K446" s="187" t="s">
        <v>1216</v>
      </c>
      <c r="L446" s="187" t="s">
        <v>1217</v>
      </c>
    </row>
    <row r="447" spans="2:12">
      <c r="B447" s="188" t="s">
        <v>1301</v>
      </c>
      <c r="C447" s="189" t="s">
        <v>1271</v>
      </c>
      <c r="D447" s="190" t="s">
        <v>1274</v>
      </c>
      <c r="E447" s="191">
        <v>522</v>
      </c>
      <c r="F447" s="243">
        <v>0.61699999999999999</v>
      </c>
      <c r="G447" s="192"/>
      <c r="H447" s="191">
        <v>1.1000000000000001</v>
      </c>
      <c r="I447" s="191"/>
      <c r="J447" s="216"/>
      <c r="K447" s="217">
        <f>IF(E447*F447*G447&lt;&gt;0,E447*F447*G447,IF(E447*F447&lt;&gt;0,E447*F447,IF(F447*G447&lt;&gt;0,F447*G447,IF(E447*G447&lt;&gt;0,E447*G447,IF(E447&lt;&gt;0,E447,IF(F447&lt;&gt;0,F447,IF(G447&lt;&gt;0,G447,0)))))))*(IF(H447&lt;&gt;0,H447,1))+I447-J447</f>
        <v>354.28140000000002</v>
      </c>
      <c r="L447" s="218"/>
    </row>
    <row r="448" spans="2:12">
      <c r="B448" s="188" t="s">
        <v>1302</v>
      </c>
      <c r="C448" s="189" t="s">
        <v>1271</v>
      </c>
      <c r="D448" s="190" t="s">
        <v>1274</v>
      </c>
      <c r="E448" s="191">
        <v>150</v>
      </c>
      <c r="F448" s="243">
        <v>0.61699999999999999</v>
      </c>
      <c r="G448" s="192"/>
      <c r="H448" s="191">
        <v>1.1000000000000001</v>
      </c>
      <c r="I448" s="191">
        <v>1E-4</v>
      </c>
      <c r="J448" s="216"/>
      <c r="K448" s="217">
        <f>IF(E448*F448*G448&lt;&gt;0,E448*F448*G448,IF(E448*F448&lt;&gt;0,E448*F448,IF(F448*G448&lt;&gt;0,F448*G448,IF(E448*G448&lt;&gt;0,E448*G448,IF(E448&lt;&gt;0,E448,IF(F448&lt;&gt;0,F448,IF(G448&lt;&gt;0,G448,0)))))))*(IF(H448&lt;&gt;0,H448,1))+I448-J448</f>
        <v>101.80510000000001</v>
      </c>
      <c r="L448" s="218"/>
    </row>
    <row r="449" spans="2:12">
      <c r="B449" s="197"/>
      <c r="C449" s="189"/>
      <c r="D449" s="198"/>
      <c r="E449" s="199"/>
      <c r="F449" s="244"/>
      <c r="G449" s="199"/>
      <c r="H449" s="199"/>
      <c r="I449" s="199"/>
      <c r="J449" s="219"/>
      <c r="K449" s="217">
        <f>IF(E449*F449*G449&lt;&gt;0,E449*F449*G449,IF(E449*F449&lt;&gt;0,E449*F449,IF(F449*G449&lt;&gt;0,F449*G449,IF(E449*G449&lt;&gt;0,E449*G449,IF(E449&lt;&gt;0,E449,IF(F449&lt;&gt;0,F449,IF(G449&lt;&gt;0,G449,0)))))))*(IF(H449&lt;&gt;0,H449,1))+I449-J449</f>
        <v>0</v>
      </c>
      <c r="L449" s="218"/>
    </row>
    <row r="450" spans="2:12">
      <c r="B450" s="202"/>
      <c r="C450" s="203"/>
      <c r="D450" s="203"/>
      <c r="E450" s="203"/>
      <c r="F450" s="203"/>
      <c r="G450" s="203"/>
      <c r="H450" s="204"/>
      <c r="I450" s="556" t="s">
        <v>1221</v>
      </c>
      <c r="J450" s="556"/>
      <c r="K450" s="220">
        <f>SUM(K447:K449)</f>
        <v>456.0865</v>
      </c>
      <c r="L450" s="207"/>
    </row>
    <row r="451" spans="2:12">
      <c r="B451" s="208"/>
      <c r="C451" s="204"/>
      <c r="D451" s="204"/>
      <c r="E451" s="204"/>
      <c r="F451" s="204"/>
      <c r="G451" s="204"/>
      <c r="H451" s="209"/>
      <c r="I451" s="557" t="s">
        <v>1222</v>
      </c>
      <c r="J451" s="557"/>
      <c r="K451" s="221">
        <f>445.5+0.0001</f>
        <v>445.50009999999997</v>
      </c>
      <c r="L451" s="207"/>
    </row>
    <row r="452" spans="2:12">
      <c r="B452" s="208"/>
      <c r="C452" s="204"/>
      <c r="D452" s="204"/>
      <c r="E452" s="204"/>
      <c r="F452" s="204"/>
      <c r="G452" s="204"/>
      <c r="H452" s="558" t="s">
        <v>1223</v>
      </c>
      <c r="I452" s="558"/>
      <c r="J452" s="558"/>
      <c r="K452" s="222">
        <v>354.28140000000002</v>
      </c>
      <c r="L452" s="207"/>
    </row>
    <row r="453" spans="2:12">
      <c r="B453" s="208"/>
      <c r="C453" s="204"/>
      <c r="D453" s="204"/>
      <c r="E453" s="204"/>
      <c r="F453" s="204"/>
      <c r="G453" s="204"/>
      <c r="H453" s="558" t="s">
        <v>1201</v>
      </c>
      <c r="I453" s="558"/>
      <c r="J453" s="558"/>
      <c r="K453" s="222">
        <f>IF(K450&gt;K451,K451,K450)-K452</f>
        <v>91.218699999999956</v>
      </c>
      <c r="L453" s="207"/>
    </row>
    <row r="454" spans="2:12">
      <c r="B454" s="213"/>
      <c r="C454" s="214"/>
      <c r="D454" s="214"/>
      <c r="E454" s="214"/>
      <c r="F454" s="214"/>
      <c r="G454" s="214"/>
      <c r="H454" s="559" t="s">
        <v>1224</v>
      </c>
      <c r="I454" s="559"/>
      <c r="J454" s="559"/>
      <c r="K454" s="223">
        <f>IF(K450&gt;K451,K450-K451,0)</f>
        <v>10.586400000000026</v>
      </c>
      <c r="L454" s="209"/>
    </row>
    <row r="456" spans="2:12" ht="14.25" customHeight="1">
      <c r="B456" s="555" t="s">
        <v>1306</v>
      </c>
      <c r="C456" s="555"/>
      <c r="D456" s="555"/>
      <c r="E456" s="555"/>
      <c r="F456" s="555"/>
      <c r="G456" s="555"/>
      <c r="H456" s="555"/>
      <c r="I456" s="555"/>
      <c r="J456" s="555"/>
      <c r="K456" s="555"/>
      <c r="L456" s="555"/>
    </row>
    <row r="457" spans="2:12">
      <c r="B457" s="187" t="s">
        <v>1209</v>
      </c>
      <c r="C457" s="187"/>
      <c r="D457" s="187" t="s">
        <v>39</v>
      </c>
      <c r="E457" s="187" t="s">
        <v>1210</v>
      </c>
      <c r="F457" s="187" t="s">
        <v>1211</v>
      </c>
      <c r="G457" s="187" t="s">
        <v>1212</v>
      </c>
      <c r="H457" s="187" t="s">
        <v>1213</v>
      </c>
      <c r="I457" s="187" t="s">
        <v>1214</v>
      </c>
      <c r="J457" s="187" t="s">
        <v>1215</v>
      </c>
      <c r="K457" s="187" t="s">
        <v>1216</v>
      </c>
      <c r="L457" s="187" t="s">
        <v>1217</v>
      </c>
    </row>
    <row r="458" spans="2:12">
      <c r="B458" s="188" t="s">
        <v>1367</v>
      </c>
      <c r="C458" s="189" t="s">
        <v>1271</v>
      </c>
      <c r="D458" s="190" t="s">
        <v>1274</v>
      </c>
      <c r="E458" s="191"/>
      <c r="F458" s="243"/>
      <c r="G458" s="192"/>
      <c r="H458" s="191"/>
      <c r="I458" s="191"/>
      <c r="J458" s="216"/>
      <c r="K458" s="217">
        <f>IF(E458*F458*G458&lt;&gt;0,E458*F458*G458,IF(E458*F458&lt;&gt;0,E458*F458,IF(F458*G458&lt;&gt;0,F458*G458,IF(E458*G458&lt;&gt;0,E458*G458,IF(E458&lt;&gt;0,E458,IF(F458&lt;&gt;0,F458,IF(G458&lt;&gt;0,G458,0)))))))*(IF(H458&lt;&gt;0,H458,1))+I458-J458</f>
        <v>0</v>
      </c>
      <c r="L458" s="218"/>
    </row>
    <row r="459" spans="2:12">
      <c r="B459" s="188" t="s">
        <v>1302</v>
      </c>
      <c r="C459" s="189" t="s">
        <v>1271</v>
      </c>
      <c r="D459" s="190" t="s">
        <v>1274</v>
      </c>
      <c r="E459" s="191">
        <v>287</v>
      </c>
      <c r="F459" s="243">
        <v>0.96299999999999997</v>
      </c>
      <c r="G459" s="192"/>
      <c r="H459" s="191">
        <v>1.1000000000000001</v>
      </c>
      <c r="I459" s="191"/>
      <c r="J459" s="216"/>
      <c r="K459" s="217">
        <f>IF(E459*F459*G459&lt;&gt;0,E459*F459*G459,IF(E459*F459&lt;&gt;0,E459*F459,IF(F459*G459&lt;&gt;0,F459*G459,IF(E459*G459&lt;&gt;0,E459*G459,IF(E459&lt;&gt;0,E459,IF(F459&lt;&gt;0,F459,IF(G459&lt;&gt;0,G459,0)))))))*(IF(H459&lt;&gt;0,H459,1))+I459-J459</f>
        <v>304.01909999999998</v>
      </c>
      <c r="L459" s="218"/>
    </row>
    <row r="460" spans="2:12">
      <c r="B460" s="197"/>
      <c r="C460" s="189"/>
      <c r="D460" s="198"/>
      <c r="E460" s="199"/>
      <c r="F460" s="244"/>
      <c r="G460" s="199"/>
      <c r="H460" s="199"/>
      <c r="I460" s="199"/>
      <c r="J460" s="219"/>
      <c r="K460" s="217">
        <f>IF(E460*F460*G460&lt;&gt;0,E460*F460*G460,IF(E460*F460&lt;&gt;0,E460*F460,IF(F460*G460&lt;&gt;0,F460*G460,IF(E460*G460&lt;&gt;0,E460*G460,IF(E460&lt;&gt;0,E460,IF(F460&lt;&gt;0,F460,IF(G460&lt;&gt;0,G460,0)))))))*(IF(H460&lt;&gt;0,H460,1))+I460-J460</f>
        <v>0</v>
      </c>
      <c r="L460" s="218"/>
    </row>
    <row r="461" spans="2:12">
      <c r="B461" s="202"/>
      <c r="C461" s="203"/>
      <c r="D461" s="203"/>
      <c r="E461" s="203"/>
      <c r="F461" s="203"/>
      <c r="G461" s="203"/>
      <c r="H461" s="204"/>
      <c r="I461" s="556" t="s">
        <v>1221</v>
      </c>
      <c r="J461" s="556"/>
      <c r="K461" s="220">
        <f>SUM(K458:K460)</f>
        <v>304.01909999999998</v>
      </c>
      <c r="L461" s="207"/>
    </row>
    <row r="462" spans="2:12">
      <c r="B462" s="208"/>
      <c r="C462" s="204"/>
      <c r="D462" s="204"/>
      <c r="E462" s="204"/>
      <c r="F462" s="204"/>
      <c r="G462" s="204"/>
      <c r="H462" s="209"/>
      <c r="I462" s="557" t="s">
        <v>1222</v>
      </c>
      <c r="J462" s="557"/>
      <c r="K462" s="221">
        <v>177.1</v>
      </c>
      <c r="L462" s="207"/>
    </row>
    <row r="463" spans="2:12">
      <c r="B463" s="208"/>
      <c r="C463" s="204"/>
      <c r="D463" s="204"/>
      <c r="E463" s="204"/>
      <c r="F463" s="204"/>
      <c r="G463" s="204"/>
      <c r="H463" s="558" t="s">
        <v>1223</v>
      </c>
      <c r="I463" s="558"/>
      <c r="J463" s="558"/>
      <c r="K463" s="222">
        <v>0</v>
      </c>
      <c r="L463" s="207"/>
    </row>
    <row r="464" spans="2:12">
      <c r="B464" s="208"/>
      <c r="C464" s="204"/>
      <c r="D464" s="204"/>
      <c r="E464" s="204"/>
      <c r="F464" s="204"/>
      <c r="G464" s="204"/>
      <c r="H464" s="558" t="s">
        <v>1201</v>
      </c>
      <c r="I464" s="558"/>
      <c r="J464" s="558"/>
      <c r="K464" s="222">
        <f>IF(K461&gt;K462,K462,K461)-K463</f>
        <v>177.1</v>
      </c>
      <c r="L464" s="207"/>
    </row>
    <row r="465" spans="2:12">
      <c r="B465" s="213"/>
      <c r="C465" s="214"/>
      <c r="D465" s="214"/>
      <c r="E465" s="214"/>
      <c r="F465" s="214"/>
      <c r="G465" s="214"/>
      <c r="H465" s="559" t="s">
        <v>1224</v>
      </c>
      <c r="I465" s="559"/>
      <c r="J465" s="559"/>
      <c r="K465" s="223">
        <f>IF(K461&gt;K462,K461-K462,0)</f>
        <v>126.91909999999999</v>
      </c>
      <c r="L465" s="209"/>
    </row>
    <row r="467" spans="2:12" ht="14.25" customHeight="1">
      <c r="B467" s="332" t="s">
        <v>184</v>
      </c>
      <c r="C467" s="555" t="s">
        <v>1307</v>
      </c>
      <c r="D467" s="555"/>
      <c r="E467" s="555"/>
      <c r="F467" s="555"/>
      <c r="G467" s="555"/>
      <c r="H467" s="555"/>
      <c r="I467" s="555"/>
      <c r="J467" s="555"/>
      <c r="K467" s="555"/>
      <c r="L467" s="555"/>
    </row>
    <row r="468" spans="2:12">
      <c r="B468" s="187" t="s">
        <v>1209</v>
      </c>
      <c r="C468" s="333"/>
      <c r="D468" s="333" t="s">
        <v>39</v>
      </c>
      <c r="E468" s="333" t="s">
        <v>1210</v>
      </c>
      <c r="F468" s="333" t="s">
        <v>1211</v>
      </c>
      <c r="G468" s="333" t="s">
        <v>1212</v>
      </c>
      <c r="H468" s="333" t="s">
        <v>1213</v>
      </c>
      <c r="I468" s="333" t="s">
        <v>1214</v>
      </c>
      <c r="J468" s="333" t="s">
        <v>1215</v>
      </c>
      <c r="K468" s="333" t="s">
        <v>1216</v>
      </c>
      <c r="L468" s="333" t="s">
        <v>1217</v>
      </c>
    </row>
    <row r="469" spans="2:12">
      <c r="B469" s="188" t="s">
        <v>1301</v>
      </c>
      <c r="C469" s="189"/>
      <c r="D469" s="190" t="s">
        <v>152</v>
      </c>
      <c r="E469" s="191"/>
      <c r="F469" s="243"/>
      <c r="G469" s="192"/>
      <c r="H469" s="191"/>
      <c r="I469" s="191"/>
      <c r="J469" s="216"/>
      <c r="K469" s="217">
        <f>IF(E469*F469*G469&lt;&gt;0,E469*F469*G469,IF(E469*F469&lt;&gt;0,E469*F469,IF(F469*G469&lt;&gt;0,F469*G469,IF(E469*G469&lt;&gt;0,E469*G469,IF(E469&lt;&gt;0,E469,IF(F469&lt;&gt;0,F469,IF(G469&lt;&gt;0,G469,0)))))))*(IF(H469&lt;&gt;0,H469,1))+I469-J469</f>
        <v>0</v>
      </c>
      <c r="L469" s="218"/>
    </row>
    <row r="470" spans="2:12">
      <c r="B470" s="188" t="s">
        <v>1302</v>
      </c>
      <c r="C470" s="189"/>
      <c r="D470" s="190" t="s">
        <v>152</v>
      </c>
      <c r="E470" s="191">
        <v>35</v>
      </c>
      <c r="F470" s="243">
        <v>1.5780000000000001</v>
      </c>
      <c r="G470" s="192"/>
      <c r="H470" s="191">
        <v>1.1000000000000001</v>
      </c>
      <c r="I470" s="191"/>
      <c r="J470" s="216"/>
      <c r="K470" s="217">
        <f>IF(E470*F470*G470&lt;&gt;0,E470*F470*G470,IF(E470*F470&lt;&gt;0,E470*F470,IF(F470*G470&lt;&gt;0,F470*G470,IF(E470*G470&lt;&gt;0,E470*G470,IF(E470&lt;&gt;0,E470,IF(F470&lt;&gt;0,F470,IF(G470&lt;&gt;0,G470,0)))))))*(IF(H470&lt;&gt;0,H470,1))+I470-J470</f>
        <v>60.753000000000007</v>
      </c>
      <c r="L470" s="245" t="s">
        <v>1939</v>
      </c>
    </row>
    <row r="471" spans="2:12">
      <c r="B471" s="188" t="s">
        <v>1302</v>
      </c>
      <c r="C471" s="189"/>
      <c r="D471" s="190" t="s">
        <v>152</v>
      </c>
      <c r="E471" s="191">
        <v>157</v>
      </c>
      <c r="F471" s="243">
        <v>2.4660000000000002</v>
      </c>
      <c r="G471" s="192">
        <f>17.746402/18.380202</f>
        <v>0.96551724513147352</v>
      </c>
      <c r="H471" s="191">
        <v>1.1000000000000001</v>
      </c>
      <c r="I471" s="191"/>
      <c r="J471" s="216"/>
      <c r="K471" s="217">
        <f>IF(E471*F471*G471&lt;&gt;0,E471*F471*G471,IF(E471*F471&lt;&gt;0,E471*F471,IF(F471*G471&lt;&gt;0,F471*G471,IF(E471*G471&lt;&gt;0,E471*G471,IF(E471&lt;&gt;0,E471,IF(F471&lt;&gt;0,F471,IF(G471&lt;&gt;0,G471,0)))))))*(IF(H471&lt;&gt;0,H471,1))+I471-J471</f>
        <v>411.19274642555075</v>
      </c>
      <c r="L471" s="245" t="s">
        <v>1940</v>
      </c>
    </row>
    <row r="472" spans="2:12">
      <c r="B472" s="188" t="s">
        <v>1302</v>
      </c>
      <c r="C472" s="189"/>
      <c r="D472" s="190" t="s">
        <v>152</v>
      </c>
      <c r="E472" s="191">
        <v>222</v>
      </c>
      <c r="F472" s="243">
        <v>3.8530000000000002</v>
      </c>
      <c r="G472" s="192">
        <f>17.746402/18.380202</f>
        <v>0.96551724513147352</v>
      </c>
      <c r="H472" s="191">
        <v>1.1000000000000001</v>
      </c>
      <c r="I472" s="191"/>
      <c r="J472" s="216"/>
      <c r="K472" s="217">
        <f>IF(E472*F472*G472&lt;&gt;0,E472*F472*G472,IF(E472*F472&lt;&gt;0,E472*F472,IF(F472*G472&lt;&gt;0,F472*G472,IF(E472*G472&lt;&gt;0,E472*G472,IF(E472&lt;&gt;0,E472,IF(F472&lt;&gt;0,F472,IF(G472&lt;&gt;0,G472,0)))))))*(IF(H472&lt;&gt;0,H472,1))+I472-J472</f>
        <v>908.45768628904091</v>
      </c>
      <c r="L472" s="245" t="s">
        <v>1941</v>
      </c>
    </row>
    <row r="473" spans="2:12">
      <c r="B473" s="197"/>
      <c r="C473" s="189"/>
      <c r="D473" s="198"/>
      <c r="E473" s="199"/>
      <c r="F473" s="244"/>
      <c r="G473" s="199"/>
      <c r="H473" s="199"/>
      <c r="I473" s="191"/>
      <c r="J473" s="216"/>
      <c r="K473" s="217">
        <f>IF(E473*F473*G473&lt;&gt;0,E473*F473*G473,IF(E473*F473&lt;&gt;0,E473*F473,IF(F473*G473&lt;&gt;0,F473*G473,IF(E473*G473&lt;&gt;0,E473*G473,IF(E473&lt;&gt;0,E473,IF(F473&lt;&gt;0,F473,IF(G473&lt;&gt;0,G473,0)))))))*(IF(H473&lt;&gt;0,H473,1))+I473-J473</f>
        <v>0</v>
      </c>
      <c r="L473" s="218"/>
    </row>
    <row r="474" spans="2:12">
      <c r="B474" s="202"/>
      <c r="C474" s="203"/>
      <c r="D474" s="203"/>
      <c r="E474" s="203"/>
      <c r="F474" s="203"/>
      <c r="G474" s="203"/>
      <c r="H474" s="204"/>
      <c r="I474" s="556" t="s">
        <v>1221</v>
      </c>
      <c r="J474" s="556"/>
      <c r="K474" s="220">
        <f>SUM(K469:K473)</f>
        <v>1380.4034327145916</v>
      </c>
      <c r="L474" s="207"/>
    </row>
    <row r="475" spans="2:12">
      <c r="B475" s="208"/>
      <c r="C475" s="204"/>
      <c r="D475" s="204"/>
      <c r="E475" s="204"/>
      <c r="F475" s="204"/>
      <c r="G475" s="204"/>
      <c r="H475" s="209"/>
      <c r="I475" s="557" t="s">
        <v>1222</v>
      </c>
      <c r="J475" s="557"/>
      <c r="K475" s="221">
        <f>VLOOKUP(B467,'BM 011'!$B$27:$R$590,5,0)+0.0001</f>
        <v>1380.4001000000001</v>
      </c>
      <c r="L475" s="207"/>
    </row>
    <row r="476" spans="2:12">
      <c r="B476" s="208"/>
      <c r="C476" s="204"/>
      <c r="D476" s="204"/>
      <c r="E476" s="204"/>
      <c r="F476" s="204"/>
      <c r="G476" s="204"/>
      <c r="H476" s="558" t="s">
        <v>1223</v>
      </c>
      <c r="I476" s="558"/>
      <c r="J476" s="558"/>
      <c r="K476" s="222">
        <v>61.6</v>
      </c>
      <c r="L476" s="207"/>
    </row>
    <row r="477" spans="2:12">
      <c r="B477" s="208"/>
      <c r="C477" s="204"/>
      <c r="D477" s="204"/>
      <c r="E477" s="204"/>
      <c r="F477" s="204"/>
      <c r="G477" s="204"/>
      <c r="H477" s="558" t="s">
        <v>1891</v>
      </c>
      <c r="I477" s="558"/>
      <c r="J477" s="558"/>
      <c r="K477" s="222">
        <f>IF(K474&gt;K475,K475,K474)-K476</f>
        <v>1318.8001000000002</v>
      </c>
      <c r="L477" s="207"/>
    </row>
    <row r="478" spans="2:12">
      <c r="B478" s="213"/>
      <c r="C478" s="214"/>
      <c r="D478" s="214"/>
      <c r="E478" s="214"/>
      <c r="F478" s="214"/>
      <c r="G478" s="214"/>
      <c r="H478" s="559" t="s">
        <v>1224</v>
      </c>
      <c r="I478" s="559"/>
      <c r="J478" s="559"/>
      <c r="K478" s="223">
        <f>IF(K474&gt;K475,K474-K475,0)</f>
        <v>3.3327145915791334E-3</v>
      </c>
      <c r="L478" s="209"/>
    </row>
    <row r="480" spans="2:12" ht="14.25" customHeight="1">
      <c r="B480" s="555" t="s">
        <v>1308</v>
      </c>
      <c r="C480" s="555"/>
      <c r="D480" s="555"/>
      <c r="E480" s="555"/>
      <c r="F480" s="555"/>
      <c r="G480" s="555"/>
      <c r="H480" s="555"/>
      <c r="I480" s="555"/>
      <c r="J480" s="555"/>
      <c r="K480" s="555"/>
      <c r="L480" s="555"/>
    </row>
    <row r="481" spans="2:12">
      <c r="B481" s="187" t="s">
        <v>1209</v>
      </c>
      <c r="C481" s="187"/>
      <c r="D481" s="187" t="s">
        <v>39</v>
      </c>
      <c r="E481" s="187" t="s">
        <v>1210</v>
      </c>
      <c r="F481" s="187" t="s">
        <v>1211</v>
      </c>
      <c r="G481" s="187" t="s">
        <v>1212</v>
      </c>
      <c r="H481" s="187" t="s">
        <v>1213</v>
      </c>
      <c r="I481" s="187" t="s">
        <v>1214</v>
      </c>
      <c r="J481" s="187" t="s">
        <v>1215</v>
      </c>
      <c r="K481" s="187" t="s">
        <v>1216</v>
      </c>
      <c r="L481" s="187" t="s">
        <v>1217</v>
      </c>
    </row>
    <row r="482" spans="2:12">
      <c r="B482" s="197" t="s">
        <v>1309</v>
      </c>
      <c r="C482" s="189"/>
      <c r="D482" s="190" t="s">
        <v>169</v>
      </c>
      <c r="E482" s="199">
        <v>5.18</v>
      </c>
      <c r="F482" s="199">
        <v>0.7</v>
      </c>
      <c r="G482" s="199">
        <v>0.7</v>
      </c>
      <c r="H482" s="199">
        <v>1</v>
      </c>
      <c r="I482" s="199">
        <f t="shared" ref="I482:I508" si="8">E482*F482*G482*H482*0.07</f>
        <v>0.17767399999999997</v>
      </c>
      <c r="J482" s="219"/>
      <c r="K482" s="217">
        <f t="shared" ref="K482:K510" si="9">IF(E482*F482*G482&lt;&gt;0,E482*F482*G482,IF(E482*F482&lt;&gt;0,E482*F482,IF(F482*G482&lt;&gt;0,F482*G482,IF(E482*G482&lt;&gt;0,E482*G482,IF(E482&lt;&gt;0,E482,IF(F482&lt;&gt;0,F482,IF(G482&lt;&gt;0,G482,0)))))))*(IF(H482&lt;&gt;0,H482,1))+I482-J482</f>
        <v>2.7158739999999995</v>
      </c>
      <c r="L482" s="218"/>
    </row>
    <row r="483" spans="2:12">
      <c r="B483" s="197" t="s">
        <v>1310</v>
      </c>
      <c r="C483" s="189"/>
      <c r="D483" s="190" t="s">
        <v>169</v>
      </c>
      <c r="E483" s="199">
        <v>6.94</v>
      </c>
      <c r="F483" s="199">
        <v>0.7</v>
      </c>
      <c r="G483" s="199">
        <v>0.7</v>
      </c>
      <c r="H483" s="199">
        <v>1</v>
      </c>
      <c r="I483" s="199">
        <f t="shared" si="8"/>
        <v>0.23804199999999998</v>
      </c>
      <c r="J483" s="219"/>
      <c r="K483" s="217">
        <f t="shared" si="9"/>
        <v>3.6386419999999995</v>
      </c>
      <c r="L483" s="218"/>
    </row>
    <row r="484" spans="2:12">
      <c r="B484" s="197" t="s">
        <v>1311</v>
      </c>
      <c r="C484" s="189"/>
      <c r="D484" s="190" t="s">
        <v>169</v>
      </c>
      <c r="E484" s="199">
        <v>3.89</v>
      </c>
      <c r="F484" s="199">
        <v>0.2</v>
      </c>
      <c r="G484" s="199">
        <v>0.7</v>
      </c>
      <c r="H484" s="199">
        <v>1</v>
      </c>
      <c r="I484" s="199">
        <f t="shared" si="8"/>
        <v>3.8122000000000003E-2</v>
      </c>
      <c r="J484" s="219"/>
      <c r="K484" s="217">
        <f t="shared" si="9"/>
        <v>0.58272199999999996</v>
      </c>
      <c r="L484" s="218"/>
    </row>
    <row r="485" spans="2:12">
      <c r="B485" s="197" t="s">
        <v>1312</v>
      </c>
      <c r="C485" s="189"/>
      <c r="D485" s="190" t="s">
        <v>169</v>
      </c>
      <c r="E485" s="199">
        <v>2.33</v>
      </c>
      <c r="F485" s="199">
        <v>0.2</v>
      </c>
      <c r="G485" s="199">
        <v>0.7</v>
      </c>
      <c r="H485" s="199">
        <v>1</v>
      </c>
      <c r="I485" s="199">
        <f t="shared" si="8"/>
        <v>2.2834E-2</v>
      </c>
      <c r="J485" s="219"/>
      <c r="K485" s="217">
        <f t="shared" si="9"/>
        <v>0.34903400000000001</v>
      </c>
      <c r="L485" s="218"/>
    </row>
    <row r="486" spans="2:12">
      <c r="B486" s="197" t="s">
        <v>1313</v>
      </c>
      <c r="C486" s="189"/>
      <c r="D486" s="190" t="s">
        <v>169</v>
      </c>
      <c r="E486" s="199">
        <v>2.33</v>
      </c>
      <c r="F486" s="199">
        <v>0.2</v>
      </c>
      <c r="G486" s="199">
        <v>0.7</v>
      </c>
      <c r="H486" s="199">
        <v>1</v>
      </c>
      <c r="I486" s="199">
        <f t="shared" si="8"/>
        <v>2.2834E-2</v>
      </c>
      <c r="J486" s="219"/>
      <c r="K486" s="217">
        <f t="shared" si="9"/>
        <v>0.34903400000000001</v>
      </c>
      <c r="L486" s="218"/>
    </row>
    <row r="487" spans="2:12">
      <c r="B487" s="197" t="s">
        <v>1314</v>
      </c>
      <c r="C487" s="189"/>
      <c r="D487" s="190" t="s">
        <v>169</v>
      </c>
      <c r="E487" s="199">
        <v>4.93</v>
      </c>
      <c r="F487" s="199">
        <v>0.2</v>
      </c>
      <c r="G487" s="199">
        <v>0.7</v>
      </c>
      <c r="H487" s="199">
        <v>1</v>
      </c>
      <c r="I487" s="199">
        <f t="shared" si="8"/>
        <v>4.8314000000000003E-2</v>
      </c>
      <c r="J487" s="219"/>
      <c r="K487" s="217">
        <f t="shared" si="9"/>
        <v>0.73851399999999989</v>
      </c>
      <c r="L487" s="218"/>
    </row>
    <row r="488" spans="2:12">
      <c r="B488" s="197" t="s">
        <v>1315</v>
      </c>
      <c r="C488" s="189"/>
      <c r="D488" s="190" t="s">
        <v>169</v>
      </c>
      <c r="E488" s="199">
        <v>4.33</v>
      </c>
      <c r="F488" s="199">
        <v>0.2</v>
      </c>
      <c r="G488" s="199">
        <v>0.7</v>
      </c>
      <c r="H488" s="199">
        <v>1</v>
      </c>
      <c r="I488" s="199">
        <f t="shared" si="8"/>
        <v>4.2434000000000006E-2</v>
      </c>
      <c r="J488" s="219"/>
      <c r="K488" s="217">
        <f t="shared" si="9"/>
        <v>0.64863400000000004</v>
      </c>
      <c r="L488" s="218"/>
    </row>
    <row r="489" spans="2:12">
      <c r="B489" s="197" t="s">
        <v>1368</v>
      </c>
      <c r="C489" s="189"/>
      <c r="D489" s="190" t="s">
        <v>169</v>
      </c>
      <c r="E489" s="199">
        <v>3.32</v>
      </c>
      <c r="F489" s="199">
        <v>0.2</v>
      </c>
      <c r="G489" s="199">
        <v>0.7</v>
      </c>
      <c r="H489" s="199">
        <v>1</v>
      </c>
      <c r="I489" s="199">
        <f t="shared" si="8"/>
        <v>3.2536000000000002E-2</v>
      </c>
      <c r="J489" s="219"/>
      <c r="K489" s="217">
        <f t="shared" si="9"/>
        <v>0.497336</v>
      </c>
      <c r="L489" s="218"/>
    </row>
    <row r="490" spans="2:12">
      <c r="B490" s="197" t="s">
        <v>1369</v>
      </c>
      <c r="C490" s="189"/>
      <c r="D490" s="190" t="s">
        <v>169</v>
      </c>
      <c r="E490" s="199">
        <v>4.78</v>
      </c>
      <c r="F490" s="199">
        <v>0.2</v>
      </c>
      <c r="G490" s="199">
        <v>0.7</v>
      </c>
      <c r="H490" s="199">
        <v>1</v>
      </c>
      <c r="I490" s="199">
        <f t="shared" si="8"/>
        <v>4.6844000000000004E-2</v>
      </c>
      <c r="J490" s="219"/>
      <c r="K490" s="217">
        <f t="shared" si="9"/>
        <v>0.71604400000000001</v>
      </c>
      <c r="L490" s="218"/>
    </row>
    <row r="491" spans="2:12">
      <c r="B491" s="197" t="s">
        <v>1370</v>
      </c>
      <c r="C491" s="189"/>
      <c r="D491" s="190" t="s">
        <v>169</v>
      </c>
      <c r="E491" s="199">
        <v>2.7</v>
      </c>
      <c r="F491" s="199">
        <v>0.2</v>
      </c>
      <c r="G491" s="199">
        <v>0.7</v>
      </c>
      <c r="H491" s="199">
        <v>1</v>
      </c>
      <c r="I491" s="199">
        <f t="shared" si="8"/>
        <v>2.6460000000000004E-2</v>
      </c>
      <c r="J491" s="219"/>
      <c r="K491" s="217">
        <f t="shared" si="9"/>
        <v>0.40445999999999999</v>
      </c>
      <c r="L491" s="218"/>
    </row>
    <row r="492" spans="2:12">
      <c r="B492" s="197" t="s">
        <v>1371</v>
      </c>
      <c r="C492" s="189"/>
      <c r="D492" s="190" t="s">
        <v>169</v>
      </c>
      <c r="E492" s="199">
        <v>2.7</v>
      </c>
      <c r="F492" s="199">
        <v>0.2</v>
      </c>
      <c r="G492" s="199">
        <v>0.7</v>
      </c>
      <c r="H492" s="199">
        <v>1</v>
      </c>
      <c r="I492" s="199">
        <f t="shared" si="8"/>
        <v>2.6460000000000004E-2</v>
      </c>
      <c r="J492" s="219"/>
      <c r="K492" s="217">
        <f t="shared" si="9"/>
        <v>0.40445999999999999</v>
      </c>
      <c r="L492" s="218"/>
    </row>
    <row r="493" spans="2:12">
      <c r="B493" s="197" t="s">
        <v>1372</v>
      </c>
      <c r="C493" s="189"/>
      <c r="D493" s="190" t="s">
        <v>169</v>
      </c>
      <c r="E493" s="199">
        <v>5.62</v>
      </c>
      <c r="F493" s="199">
        <v>0.2</v>
      </c>
      <c r="G493" s="199">
        <v>0.7</v>
      </c>
      <c r="H493" s="199">
        <v>1</v>
      </c>
      <c r="I493" s="199">
        <f t="shared" si="8"/>
        <v>5.5076000000000007E-2</v>
      </c>
      <c r="J493" s="219"/>
      <c r="K493" s="217">
        <f t="shared" si="9"/>
        <v>0.84187600000000007</v>
      </c>
      <c r="L493" s="218"/>
    </row>
    <row r="494" spans="2:12">
      <c r="B494" s="197" t="s">
        <v>1373</v>
      </c>
      <c r="C494" s="189"/>
      <c r="D494" s="190" t="s">
        <v>169</v>
      </c>
      <c r="E494" s="199">
        <v>5.62</v>
      </c>
      <c r="F494" s="199">
        <v>0.2</v>
      </c>
      <c r="G494" s="199">
        <v>0.7</v>
      </c>
      <c r="H494" s="199">
        <v>1</v>
      </c>
      <c r="I494" s="199">
        <f t="shared" si="8"/>
        <v>5.5076000000000007E-2</v>
      </c>
      <c r="J494" s="219"/>
      <c r="K494" s="217">
        <f t="shared" si="9"/>
        <v>0.84187600000000007</v>
      </c>
      <c r="L494" s="218"/>
    </row>
    <row r="495" spans="2:12">
      <c r="B495" s="197" t="s">
        <v>1374</v>
      </c>
      <c r="C495" s="189"/>
      <c r="D495" s="190" t="s">
        <v>169</v>
      </c>
      <c r="E495" s="199">
        <v>2.38</v>
      </c>
      <c r="F495" s="199">
        <v>0.2</v>
      </c>
      <c r="G495" s="199">
        <v>0.7</v>
      </c>
      <c r="H495" s="199">
        <v>1</v>
      </c>
      <c r="I495" s="199">
        <f t="shared" si="8"/>
        <v>2.3323999999999998E-2</v>
      </c>
      <c r="J495" s="219"/>
      <c r="K495" s="217">
        <f t="shared" si="9"/>
        <v>0.35652399999999995</v>
      </c>
      <c r="L495" s="218"/>
    </row>
    <row r="496" spans="2:12">
      <c r="B496" s="197" t="s">
        <v>1375</v>
      </c>
      <c r="C496" s="189"/>
      <c r="D496" s="190" t="s">
        <v>169</v>
      </c>
      <c r="E496" s="199">
        <v>3.84</v>
      </c>
      <c r="F496" s="199">
        <v>0.2</v>
      </c>
      <c r="G496" s="199">
        <v>0.7</v>
      </c>
      <c r="H496" s="199">
        <v>1</v>
      </c>
      <c r="I496" s="199">
        <f t="shared" si="8"/>
        <v>3.7631999999999999E-2</v>
      </c>
      <c r="J496" s="219"/>
      <c r="K496" s="217">
        <f t="shared" si="9"/>
        <v>0.57523199999999997</v>
      </c>
      <c r="L496" s="218"/>
    </row>
    <row r="497" spans="2:12">
      <c r="B497" s="197" t="s">
        <v>1376</v>
      </c>
      <c r="C497" s="189"/>
      <c r="D497" s="190" t="s">
        <v>169</v>
      </c>
      <c r="E497" s="199">
        <v>4.4400000000000004</v>
      </c>
      <c r="F497" s="199">
        <v>0.3</v>
      </c>
      <c r="G497" s="199">
        <v>0.7</v>
      </c>
      <c r="H497" s="199">
        <v>1</v>
      </c>
      <c r="I497" s="199">
        <f t="shared" si="8"/>
        <v>6.5268000000000007E-2</v>
      </c>
      <c r="J497" s="219"/>
      <c r="K497" s="217">
        <f t="shared" si="9"/>
        <v>0.997668</v>
      </c>
      <c r="L497" s="218"/>
    </row>
    <row r="498" spans="2:12">
      <c r="B498" s="197" t="s">
        <v>1377</v>
      </c>
      <c r="C498" s="189"/>
      <c r="D498" s="190" t="s">
        <v>169</v>
      </c>
      <c r="E498" s="199">
        <v>2.39</v>
      </c>
      <c r="F498" s="199">
        <v>0.7</v>
      </c>
      <c r="G498" s="199">
        <v>0.7</v>
      </c>
      <c r="H498" s="199">
        <v>1</v>
      </c>
      <c r="I498" s="199">
        <f t="shared" si="8"/>
        <v>8.1977000000000008E-2</v>
      </c>
      <c r="J498" s="219"/>
      <c r="K498" s="217">
        <f t="shared" si="9"/>
        <v>1.253077</v>
      </c>
      <c r="L498" s="218"/>
    </row>
    <row r="499" spans="2:12">
      <c r="B499" s="197" t="s">
        <v>1378</v>
      </c>
      <c r="C499" s="189"/>
      <c r="D499" s="190" t="s">
        <v>169</v>
      </c>
      <c r="E499" s="199">
        <v>1.46</v>
      </c>
      <c r="F499" s="199">
        <v>0.2</v>
      </c>
      <c r="G499" s="199">
        <v>0.7</v>
      </c>
      <c r="H499" s="199">
        <v>1</v>
      </c>
      <c r="I499" s="199">
        <f t="shared" si="8"/>
        <v>1.4308E-2</v>
      </c>
      <c r="J499" s="219"/>
      <c r="K499" s="217">
        <f t="shared" si="9"/>
        <v>0.21870799999999996</v>
      </c>
      <c r="L499" s="218"/>
    </row>
    <row r="500" spans="2:12">
      <c r="B500" s="197" t="s">
        <v>1379</v>
      </c>
      <c r="C500" s="189"/>
      <c r="D500" s="190" t="s">
        <v>169</v>
      </c>
      <c r="E500" s="199">
        <v>0.91</v>
      </c>
      <c r="F500" s="199">
        <v>0.2</v>
      </c>
      <c r="G500" s="199">
        <v>0.7</v>
      </c>
      <c r="H500" s="199">
        <v>1</v>
      </c>
      <c r="I500" s="199">
        <f t="shared" si="8"/>
        <v>8.9180000000000023E-3</v>
      </c>
      <c r="J500" s="219"/>
      <c r="K500" s="217">
        <f t="shared" si="9"/>
        <v>0.13631800000000002</v>
      </c>
      <c r="L500" s="218"/>
    </row>
    <row r="501" spans="2:12">
      <c r="B501" s="197" t="s">
        <v>1380</v>
      </c>
      <c r="C501" s="189"/>
      <c r="D501" s="190" t="s">
        <v>169</v>
      </c>
      <c r="E501" s="199">
        <v>0.97</v>
      </c>
      <c r="F501" s="199">
        <v>0.2</v>
      </c>
      <c r="G501" s="199">
        <v>0.7</v>
      </c>
      <c r="H501" s="199">
        <v>1</v>
      </c>
      <c r="I501" s="199">
        <f t="shared" si="8"/>
        <v>9.5060000000000006E-3</v>
      </c>
      <c r="J501" s="219"/>
      <c r="K501" s="217">
        <f t="shared" si="9"/>
        <v>0.14530599999999999</v>
      </c>
      <c r="L501" s="218"/>
    </row>
    <row r="502" spans="2:12">
      <c r="B502" s="197" t="s">
        <v>1381</v>
      </c>
      <c r="C502" s="189"/>
      <c r="D502" s="190" t="s">
        <v>169</v>
      </c>
      <c r="E502" s="199">
        <v>1.37</v>
      </c>
      <c r="F502" s="199">
        <v>0.2</v>
      </c>
      <c r="G502" s="199">
        <v>0.7</v>
      </c>
      <c r="H502" s="199">
        <v>1</v>
      </c>
      <c r="I502" s="199">
        <f t="shared" si="8"/>
        <v>1.3426E-2</v>
      </c>
      <c r="J502" s="219"/>
      <c r="K502" s="217">
        <f t="shared" si="9"/>
        <v>0.20522599999999999</v>
      </c>
      <c r="L502" s="218"/>
    </row>
    <row r="503" spans="2:12">
      <c r="B503" s="197" t="s">
        <v>1449</v>
      </c>
      <c r="C503" s="189"/>
      <c r="D503" s="190" t="s">
        <v>169</v>
      </c>
      <c r="E503" s="199">
        <v>10.96</v>
      </c>
      <c r="F503" s="199">
        <v>0.2</v>
      </c>
      <c r="G503" s="199">
        <v>0.7</v>
      </c>
      <c r="H503" s="199">
        <v>1</v>
      </c>
      <c r="I503" s="199">
        <f t="shared" si="8"/>
        <v>0.107408</v>
      </c>
      <c r="J503" s="219"/>
      <c r="K503" s="217">
        <f t="shared" si="9"/>
        <v>1.6418079999999999</v>
      </c>
      <c r="L503" s="218"/>
    </row>
    <row r="504" spans="2:12">
      <c r="B504" s="197" t="s">
        <v>1450</v>
      </c>
      <c r="C504" s="189"/>
      <c r="D504" s="190" t="s">
        <v>169</v>
      </c>
      <c r="E504" s="199">
        <v>8.35</v>
      </c>
      <c r="F504" s="199">
        <v>0.2</v>
      </c>
      <c r="G504" s="199">
        <v>0.7</v>
      </c>
      <c r="H504" s="199">
        <v>1</v>
      </c>
      <c r="I504" s="199">
        <f t="shared" si="8"/>
        <v>8.183E-2</v>
      </c>
      <c r="J504" s="219"/>
      <c r="K504" s="217">
        <f t="shared" si="9"/>
        <v>1.2508299999999999</v>
      </c>
      <c r="L504" s="218"/>
    </row>
    <row r="505" spans="2:12">
      <c r="B505" s="197" t="s">
        <v>1451</v>
      </c>
      <c r="C505" s="189"/>
      <c r="D505" s="190" t="s">
        <v>169</v>
      </c>
      <c r="E505" s="199">
        <v>6.88</v>
      </c>
      <c r="F505" s="199">
        <v>0.2</v>
      </c>
      <c r="G505" s="199">
        <v>0.7</v>
      </c>
      <c r="H505" s="199">
        <v>1</v>
      </c>
      <c r="I505" s="199">
        <f t="shared" si="8"/>
        <v>6.7424000000000012E-2</v>
      </c>
      <c r="J505" s="219"/>
      <c r="K505" s="217">
        <f t="shared" si="9"/>
        <v>1.030624</v>
      </c>
      <c r="L505" s="218"/>
    </row>
    <row r="506" spans="2:12">
      <c r="B506" s="197" t="s">
        <v>1452</v>
      </c>
      <c r="C506" s="189"/>
      <c r="D506" s="190" t="s">
        <v>169</v>
      </c>
      <c r="E506" s="199">
        <v>6.93</v>
      </c>
      <c r="F506" s="199">
        <v>0.2</v>
      </c>
      <c r="G506" s="199">
        <v>0.7</v>
      </c>
      <c r="H506" s="199">
        <v>1</v>
      </c>
      <c r="I506" s="199">
        <f t="shared" si="8"/>
        <v>6.7914000000000016E-2</v>
      </c>
      <c r="J506" s="219"/>
      <c r="K506" s="217">
        <f t="shared" si="9"/>
        <v>1.038114</v>
      </c>
      <c r="L506" s="218"/>
    </row>
    <row r="507" spans="2:12">
      <c r="B507" s="197" t="s">
        <v>1453</v>
      </c>
      <c r="C507" s="189"/>
      <c r="D507" s="190" t="s">
        <v>169</v>
      </c>
      <c r="E507" s="199">
        <v>8.01</v>
      </c>
      <c r="F507" s="199">
        <v>0.2</v>
      </c>
      <c r="G507" s="199">
        <v>0.7</v>
      </c>
      <c r="H507" s="199">
        <v>1</v>
      </c>
      <c r="I507" s="199">
        <f t="shared" si="8"/>
        <v>7.8497999999999998E-2</v>
      </c>
      <c r="J507" s="219"/>
      <c r="K507" s="217">
        <f t="shared" si="9"/>
        <v>1.1998979999999999</v>
      </c>
      <c r="L507" s="218"/>
    </row>
    <row r="508" spans="2:12">
      <c r="B508" s="197" t="s">
        <v>1454</v>
      </c>
      <c r="C508" s="189"/>
      <c r="D508" s="190" t="s">
        <v>169</v>
      </c>
      <c r="E508" s="199">
        <v>3.6</v>
      </c>
      <c r="F508" s="199">
        <v>1</v>
      </c>
      <c r="G508" s="199">
        <v>0.6</v>
      </c>
      <c r="H508" s="199">
        <v>1</v>
      </c>
      <c r="I508" s="199">
        <f t="shared" si="8"/>
        <v>0.15120000000000003</v>
      </c>
      <c r="J508" s="219"/>
      <c r="K508" s="217">
        <f t="shared" si="9"/>
        <v>2.3112000000000004</v>
      </c>
      <c r="L508" s="218"/>
    </row>
    <row r="509" spans="2:12">
      <c r="B509" s="197"/>
      <c r="C509" s="189"/>
      <c r="D509" s="190"/>
      <c r="E509" s="199"/>
      <c r="F509" s="199"/>
      <c r="G509" s="199"/>
      <c r="H509" s="199"/>
      <c r="I509" s="199"/>
      <c r="J509" s="219"/>
      <c r="K509" s="217">
        <f t="shared" si="9"/>
        <v>0</v>
      </c>
      <c r="L509" s="218"/>
    </row>
    <row r="510" spans="2:12">
      <c r="B510" s="197"/>
      <c r="C510" s="189"/>
      <c r="D510" s="198"/>
      <c r="E510" s="199"/>
      <c r="F510" s="199"/>
      <c r="G510" s="199"/>
      <c r="H510" s="199"/>
      <c r="I510" s="199"/>
      <c r="J510" s="219"/>
      <c r="K510" s="217">
        <f t="shared" si="9"/>
        <v>0</v>
      </c>
      <c r="L510" s="218"/>
    </row>
    <row r="511" spans="2:12">
      <c r="B511" s="202"/>
      <c r="C511" s="203"/>
      <c r="D511" s="203"/>
      <c r="E511" s="203"/>
      <c r="F511" s="203"/>
      <c r="G511" s="203"/>
      <c r="H511" s="204"/>
      <c r="I511" s="556" t="s">
        <v>1221</v>
      </c>
      <c r="J511" s="556"/>
      <c r="K511" s="220">
        <f>SUM(K482:K510)</f>
        <v>25.089039000000003</v>
      </c>
      <c r="L511" s="207"/>
    </row>
    <row r="512" spans="2:12">
      <c r="B512" s="208"/>
      <c r="C512" s="204"/>
      <c r="D512" s="204"/>
      <c r="E512" s="204"/>
      <c r="F512" s="204"/>
      <c r="G512" s="204"/>
      <c r="H512" s="209"/>
      <c r="I512" s="557" t="s">
        <v>1222</v>
      </c>
      <c r="J512" s="557"/>
      <c r="K512" s="221">
        <v>25.08</v>
      </c>
      <c r="L512" s="207"/>
    </row>
    <row r="513" spans="2:12">
      <c r="B513" s="208"/>
      <c r="C513" s="204"/>
      <c r="D513" s="204"/>
      <c r="E513" s="204"/>
      <c r="F513" s="204"/>
      <c r="G513" s="204"/>
      <c r="H513" s="558" t="s">
        <v>1223</v>
      </c>
      <c r="I513" s="558"/>
      <c r="J513" s="558"/>
      <c r="K513" s="222">
        <v>22.9900105185644</v>
      </c>
      <c r="L513" s="207"/>
    </row>
    <row r="514" spans="2:12">
      <c r="B514" s="208"/>
      <c r="C514" s="204"/>
      <c r="D514" s="204"/>
      <c r="E514" s="204"/>
      <c r="F514" s="204"/>
      <c r="G514" s="204"/>
      <c r="H514" s="558" t="s">
        <v>1435</v>
      </c>
      <c r="I514" s="558"/>
      <c r="J514" s="558"/>
      <c r="K514" s="222">
        <f>IF(K511&gt;K512,K512,K511)-K513+0.0000105185643549158</f>
        <v>2.0899999999999532</v>
      </c>
      <c r="L514" s="207"/>
    </row>
    <row r="515" spans="2:12">
      <c r="B515" s="213"/>
      <c r="C515" s="214"/>
      <c r="D515" s="214"/>
      <c r="E515" s="214"/>
      <c r="F515" s="214"/>
      <c r="G515" s="214"/>
      <c r="H515" s="559" t="s">
        <v>1224</v>
      </c>
      <c r="I515" s="559"/>
      <c r="J515" s="559"/>
      <c r="K515" s="223">
        <f>IF(K511&gt;K512,K511-K512,0)</f>
        <v>9.0390000000049042E-3</v>
      </c>
      <c r="L515" s="209"/>
    </row>
    <row r="518" spans="2:12">
      <c r="B518" s="247" t="s">
        <v>197</v>
      </c>
      <c r="C518" s="565" t="str">
        <f>VLOOKUP(B518,'BM 004'!$B$27:$R$590,2,0)</f>
        <v xml:space="preserve">Armação de pilar ou viga de uma estrutura convencional de concreto armado em um edifício de múltiplos pavimentos utilizando aço ca-60 de 5,0 mm - montagem. </v>
      </c>
      <c r="D518" s="565"/>
      <c r="E518" s="565"/>
      <c r="F518" s="565"/>
      <c r="G518" s="565"/>
      <c r="H518" s="565"/>
      <c r="I518" s="565"/>
      <c r="J518" s="565"/>
      <c r="K518" s="565"/>
      <c r="L518" s="565"/>
    </row>
    <row r="519" spans="2:12">
      <c r="B519" s="248" t="s">
        <v>1209</v>
      </c>
      <c r="C519" s="248"/>
      <c r="D519" s="248" t="s">
        <v>39</v>
      </c>
      <c r="E519" s="248" t="s">
        <v>1210</v>
      </c>
      <c r="F519" s="248" t="s">
        <v>1382</v>
      </c>
      <c r="G519" s="248" t="s">
        <v>1383</v>
      </c>
      <c r="H519" s="248" t="s">
        <v>1384</v>
      </c>
      <c r="I519" s="248" t="s">
        <v>1214</v>
      </c>
      <c r="J519" s="248" t="s">
        <v>1385</v>
      </c>
      <c r="K519" s="248" t="s">
        <v>1216</v>
      </c>
      <c r="L519" s="248" t="s">
        <v>1217</v>
      </c>
    </row>
    <row r="520" spans="2:12">
      <c r="B520" s="249" t="s">
        <v>1367</v>
      </c>
      <c r="C520" s="250" t="s">
        <v>1333</v>
      </c>
      <c r="D520" s="205" t="s">
        <v>152</v>
      </c>
      <c r="E520" s="251">
        <v>661</v>
      </c>
      <c r="F520" s="252">
        <v>0.154</v>
      </c>
      <c r="G520" s="251"/>
      <c r="H520" s="251">
        <v>1.1000000000000001</v>
      </c>
      <c r="I520" s="251"/>
      <c r="J520" s="253"/>
      <c r="K520" s="254">
        <f t="shared" ref="K520:K536" si="10">IF(E520*F520*G520&lt;&gt;0,E520*F520*G520,IF(E520*F520&lt;&gt;0,E520*F520,IF(F520*G520&lt;&gt;0,F520*G520,IF(E520*G520&lt;&gt;0,E520*G520,IF(E520&lt;&gt;0,E520,IF(F520&lt;&gt;0,F520,IF(G520&lt;&gt;0,G520,0)))))))*(IF(H520&lt;&gt;0,H520,1))+I520-J520</f>
        <v>111.97340000000001</v>
      </c>
      <c r="L520" s="255"/>
    </row>
    <row r="521" spans="2:12">
      <c r="B521" s="249" t="s">
        <v>1386</v>
      </c>
      <c r="C521" s="250" t="s">
        <v>1333</v>
      </c>
      <c r="D521" s="205" t="s">
        <v>152</v>
      </c>
      <c r="E521" s="251">
        <v>433</v>
      </c>
      <c r="F521" s="252">
        <v>0.154</v>
      </c>
      <c r="G521" s="251"/>
      <c r="H521" s="251">
        <v>1.1000000000000001</v>
      </c>
      <c r="I521" s="251"/>
      <c r="J521" s="253"/>
      <c r="K521" s="254">
        <f t="shared" si="10"/>
        <v>73.350200000000015</v>
      </c>
      <c r="L521" s="255"/>
    </row>
    <row r="522" spans="2:12">
      <c r="B522" s="263" t="s">
        <v>1475</v>
      </c>
      <c r="C522" s="264" t="s">
        <v>1441</v>
      </c>
      <c r="D522" s="205" t="s">
        <v>152</v>
      </c>
      <c r="E522" s="251">
        <v>257</v>
      </c>
      <c r="F522" s="252">
        <v>0.154</v>
      </c>
      <c r="G522" s="251"/>
      <c r="H522" s="251">
        <v>1.1000000000000001</v>
      </c>
      <c r="I522" s="251"/>
      <c r="J522" s="253"/>
      <c r="K522" s="254">
        <f t="shared" si="10"/>
        <v>43.535800000000009</v>
      </c>
      <c r="L522" s="255"/>
    </row>
    <row r="523" spans="2:12">
      <c r="B523" s="263" t="s">
        <v>1476</v>
      </c>
      <c r="C523" s="264" t="s">
        <v>1441</v>
      </c>
      <c r="D523" s="205" t="s">
        <v>152</v>
      </c>
      <c r="E523" s="251">
        <v>402</v>
      </c>
      <c r="F523" s="252">
        <v>0.154</v>
      </c>
      <c r="G523" s="251"/>
      <c r="H523" s="251">
        <v>1.1000000000000001</v>
      </c>
      <c r="I523" s="251"/>
      <c r="J523" s="253"/>
      <c r="K523" s="254">
        <f t="shared" si="10"/>
        <v>68.098800000000011</v>
      </c>
      <c r="L523" s="255"/>
    </row>
    <row r="524" spans="2:12">
      <c r="B524" s="263" t="s">
        <v>1552</v>
      </c>
      <c r="C524" s="264" t="s">
        <v>1521</v>
      </c>
      <c r="D524" s="205" t="s">
        <v>152</v>
      </c>
      <c r="E524" s="251">
        <v>759</v>
      </c>
      <c r="F524" s="252">
        <v>0.154</v>
      </c>
      <c r="G524" s="251"/>
      <c r="H524" s="251">
        <v>1.1000000000000001</v>
      </c>
      <c r="I524" s="251"/>
      <c r="J524" s="253"/>
      <c r="K524" s="254">
        <f t="shared" si="10"/>
        <v>128.5746</v>
      </c>
      <c r="L524" s="266"/>
    </row>
    <row r="525" spans="2:12">
      <c r="B525" s="263" t="s">
        <v>1553</v>
      </c>
      <c r="C525" s="264" t="s">
        <v>1521</v>
      </c>
      <c r="D525" s="205" t="s">
        <v>152</v>
      </c>
      <c r="E525" s="251">
        <v>239</v>
      </c>
      <c r="F525" s="252">
        <v>0.154</v>
      </c>
      <c r="G525" s="251"/>
      <c r="H525" s="251">
        <v>1.1000000000000001</v>
      </c>
      <c r="I525" s="251"/>
      <c r="J525" s="253"/>
      <c r="K525" s="254">
        <f t="shared" si="10"/>
        <v>40.486600000000003</v>
      </c>
      <c r="L525" s="266"/>
    </row>
    <row r="526" spans="2:12">
      <c r="B526" s="263" t="s">
        <v>1642</v>
      </c>
      <c r="C526" s="264" t="s">
        <v>1611</v>
      </c>
      <c r="D526" s="205" t="s">
        <v>152</v>
      </c>
      <c r="E526" s="251">
        <v>433</v>
      </c>
      <c r="F526" s="252">
        <v>0.154</v>
      </c>
      <c r="G526" s="251"/>
      <c r="H526" s="251">
        <v>1.1000000000000001</v>
      </c>
      <c r="I526" s="251"/>
      <c r="J526" s="253"/>
      <c r="K526" s="254">
        <f t="shared" si="10"/>
        <v>73.350200000000015</v>
      </c>
      <c r="L526" s="266"/>
    </row>
    <row r="527" spans="2:12">
      <c r="B527" s="263" t="s">
        <v>1643</v>
      </c>
      <c r="C527" s="264" t="s">
        <v>1611</v>
      </c>
      <c r="D527" s="205" t="s">
        <v>152</v>
      </c>
      <c r="E527" s="251">
        <v>276</v>
      </c>
      <c r="F527" s="252">
        <v>0.154</v>
      </c>
      <c r="G527" s="251"/>
      <c r="H527" s="251">
        <v>1.1000000000000001</v>
      </c>
      <c r="I527" s="251"/>
      <c r="J527" s="253"/>
      <c r="K527" s="254">
        <f t="shared" si="10"/>
        <v>46.754400000000004</v>
      </c>
      <c r="L527" s="266"/>
    </row>
    <row r="528" spans="2:12">
      <c r="B528" s="263" t="s">
        <v>1644</v>
      </c>
      <c r="C528" s="264" t="s">
        <v>1612</v>
      </c>
      <c r="D528" s="205" t="s">
        <v>152</v>
      </c>
      <c r="E528" s="251">
        <v>214</v>
      </c>
      <c r="F528" s="252">
        <v>0.154</v>
      </c>
      <c r="G528" s="251"/>
      <c r="H528" s="251">
        <v>1.1000000000000001</v>
      </c>
      <c r="I528" s="251"/>
      <c r="J528" s="253"/>
      <c r="K528" s="254">
        <f t="shared" si="10"/>
        <v>36.251600000000003</v>
      </c>
      <c r="L528" s="266"/>
    </row>
    <row r="529" spans="2:12">
      <c r="B529" s="263" t="s">
        <v>1645</v>
      </c>
      <c r="C529" s="264" t="s">
        <v>1612</v>
      </c>
      <c r="D529" s="205" t="s">
        <v>152</v>
      </c>
      <c r="E529" s="251">
        <v>580</v>
      </c>
      <c r="F529" s="252">
        <v>0.154</v>
      </c>
      <c r="G529" s="251"/>
      <c r="H529" s="251">
        <v>1.1000000000000001</v>
      </c>
      <c r="I529" s="251"/>
      <c r="J529" s="253"/>
      <c r="K529" s="254">
        <f t="shared" si="10"/>
        <v>98.251999999999995</v>
      </c>
      <c r="L529" s="255"/>
    </row>
    <row r="530" spans="2:12">
      <c r="B530" s="263" t="s">
        <v>1646</v>
      </c>
      <c r="C530" s="264" t="s">
        <v>1612</v>
      </c>
      <c r="D530" s="205" t="s">
        <v>152</v>
      </c>
      <c r="E530" s="251">
        <v>565</v>
      </c>
      <c r="F530" s="252">
        <v>0.154</v>
      </c>
      <c r="G530" s="251"/>
      <c r="H530" s="251">
        <v>1.1000000000000001</v>
      </c>
      <c r="I530" s="251"/>
      <c r="J530" s="253"/>
      <c r="K530" s="254">
        <f t="shared" si="10"/>
        <v>95.711000000000013</v>
      </c>
      <c r="L530" s="255"/>
    </row>
    <row r="531" spans="2:12">
      <c r="B531" s="263" t="s">
        <v>1647</v>
      </c>
      <c r="C531" s="264" t="s">
        <v>1613</v>
      </c>
      <c r="D531" s="205" t="s">
        <v>152</v>
      </c>
      <c r="E531" s="257">
        <v>951</v>
      </c>
      <c r="F531" s="258">
        <v>0.154</v>
      </c>
      <c r="G531" s="257"/>
      <c r="H531" s="257">
        <v>1.1000000000000001</v>
      </c>
      <c r="I531" s="251"/>
      <c r="J531" s="253"/>
      <c r="K531" s="254">
        <f t="shared" si="10"/>
        <v>161.09940000000003</v>
      </c>
      <c r="L531" s="255"/>
    </row>
    <row r="532" spans="2:12">
      <c r="B532" s="263" t="s">
        <v>1896</v>
      </c>
      <c r="C532" s="264" t="s">
        <v>1895</v>
      </c>
      <c r="D532" s="205" t="s">
        <v>152</v>
      </c>
      <c r="E532" s="257">
        <v>1190</v>
      </c>
      <c r="F532" s="258">
        <v>0.154</v>
      </c>
      <c r="G532" s="257"/>
      <c r="H532" s="257">
        <v>1.1000000000000001</v>
      </c>
      <c r="I532" s="251"/>
      <c r="J532" s="253"/>
      <c r="K532" s="254">
        <f t="shared" si="10"/>
        <v>201.58600000000001</v>
      </c>
      <c r="L532" s="255"/>
    </row>
    <row r="533" spans="2:12">
      <c r="B533" s="263" t="s">
        <v>1942</v>
      </c>
      <c r="C533" s="264" t="s">
        <v>1931</v>
      </c>
      <c r="D533" s="205" t="s">
        <v>152</v>
      </c>
      <c r="E533" s="257">
        <v>1696</v>
      </c>
      <c r="F533" s="258">
        <v>0.154</v>
      </c>
      <c r="G533" s="257"/>
      <c r="H533" s="257">
        <v>1.1000000000000001</v>
      </c>
      <c r="I533" s="251"/>
      <c r="J533" s="253"/>
      <c r="K533" s="254">
        <f t="shared" si="10"/>
        <v>287.30239999999998</v>
      </c>
      <c r="L533" s="255"/>
    </row>
    <row r="534" spans="2:12">
      <c r="B534" s="263" t="s">
        <v>1943</v>
      </c>
      <c r="C534" s="264" t="s">
        <v>1931</v>
      </c>
      <c r="D534" s="205" t="s">
        <v>152</v>
      </c>
      <c r="E534" s="257">
        <v>271</v>
      </c>
      <c r="F534" s="258">
        <v>0.154</v>
      </c>
      <c r="G534" s="257"/>
      <c r="H534" s="257">
        <v>1.1000000000000001</v>
      </c>
      <c r="I534" s="251"/>
      <c r="J534" s="253"/>
      <c r="K534" s="254">
        <f t="shared" si="10"/>
        <v>45.907400000000003</v>
      </c>
      <c r="L534" s="255"/>
    </row>
    <row r="535" spans="2:12">
      <c r="B535" s="263"/>
      <c r="C535" s="264"/>
      <c r="D535" s="210"/>
      <c r="E535" s="257"/>
      <c r="F535" s="258"/>
      <c r="G535" s="257"/>
      <c r="H535" s="257"/>
      <c r="I535" s="251"/>
      <c r="J535" s="253"/>
      <c r="K535" s="254">
        <f t="shared" si="10"/>
        <v>0</v>
      </c>
      <c r="L535" s="255"/>
    </row>
    <row r="536" spans="2:12">
      <c r="B536" s="256"/>
      <c r="C536" s="210"/>
      <c r="D536" s="210"/>
      <c r="E536" s="257"/>
      <c r="F536" s="258"/>
      <c r="G536" s="257"/>
      <c r="H536" s="257"/>
      <c r="I536" s="251"/>
      <c r="J536" s="253"/>
      <c r="K536" s="254">
        <f t="shared" si="10"/>
        <v>0</v>
      </c>
      <c r="L536" s="205"/>
    </row>
    <row r="537" spans="2:12">
      <c r="B537" s="202"/>
      <c r="C537" s="203"/>
      <c r="D537" s="203"/>
      <c r="E537" s="203"/>
      <c r="F537" s="203"/>
      <c r="G537" s="203"/>
      <c r="H537" s="204"/>
      <c r="I537" s="557" t="s">
        <v>1221</v>
      </c>
      <c r="J537" s="557"/>
      <c r="K537" s="262">
        <f>SUM(K520:K536)</f>
        <v>1512.2338000000004</v>
      </c>
      <c r="L537" s="207"/>
    </row>
    <row r="538" spans="2:12">
      <c r="B538" s="208"/>
      <c r="C538" s="204"/>
      <c r="D538" s="204"/>
      <c r="E538" s="204"/>
      <c r="F538" s="204"/>
      <c r="G538" s="204"/>
      <c r="H538" s="209"/>
      <c r="I538" s="557" t="s">
        <v>1222</v>
      </c>
      <c r="J538" s="557"/>
      <c r="K538" s="221">
        <f>VLOOKUP(B518,'BM 004'!$B$27:$R$590,4,0)</f>
        <v>2130.6999999999998</v>
      </c>
      <c r="L538" s="207"/>
    </row>
    <row r="539" spans="2:12">
      <c r="B539" s="208"/>
      <c r="C539" s="204"/>
      <c r="D539" s="204"/>
      <c r="E539" s="204"/>
      <c r="F539" s="204"/>
      <c r="G539" s="204"/>
      <c r="H539" s="558" t="s">
        <v>1223</v>
      </c>
      <c r="I539" s="558"/>
      <c r="J539" s="558"/>
      <c r="K539" s="222">
        <v>1179.0239999999999</v>
      </c>
      <c r="L539" s="207"/>
    </row>
    <row r="540" spans="2:12">
      <c r="B540" s="208"/>
      <c r="C540" s="204"/>
      <c r="D540" s="204"/>
      <c r="E540" s="204"/>
      <c r="F540" s="204"/>
      <c r="G540" s="204"/>
      <c r="H540" s="558" t="s">
        <v>1891</v>
      </c>
      <c r="I540" s="558"/>
      <c r="J540" s="558"/>
      <c r="K540" s="222">
        <f>TRUNC(SUMIF(C520:C536,H540,K520:K536),2)</f>
        <v>333.2</v>
      </c>
      <c r="L540" s="207"/>
    </row>
    <row r="541" spans="2:12">
      <c r="B541" s="213"/>
      <c r="C541" s="214"/>
      <c r="D541" s="214"/>
      <c r="E541" s="214"/>
      <c r="F541" s="214"/>
      <c r="G541" s="214"/>
      <c r="H541" s="559" t="s">
        <v>1224</v>
      </c>
      <c r="I541" s="559"/>
      <c r="J541" s="559"/>
      <c r="K541" s="223">
        <f>IF(K537&gt;K538,K537-K538,0)</f>
        <v>0</v>
      </c>
      <c r="L541" s="209"/>
    </row>
    <row r="543" spans="2:12">
      <c r="B543" s="247" t="s">
        <v>199</v>
      </c>
      <c r="C543" s="565" t="str">
        <f>VLOOKUP(B543,'BM 004'!$B$27:$R$590,2,0)</f>
        <v xml:space="preserve">Armação de pilar ou viga de uma estrutura convencional de concreto armado em um edifício de múltiplos pavimentos utilizando aço ca-50 de 6,3 mm - montagem.  </v>
      </c>
      <c r="D543" s="565"/>
      <c r="E543" s="565"/>
      <c r="F543" s="565"/>
      <c r="G543" s="565"/>
      <c r="H543" s="565"/>
      <c r="I543" s="565"/>
      <c r="J543" s="565"/>
      <c r="K543" s="565"/>
      <c r="L543" s="565"/>
    </row>
    <row r="544" spans="2:12">
      <c r="B544" s="248" t="s">
        <v>1209</v>
      </c>
      <c r="C544" s="248"/>
      <c r="D544" s="248" t="s">
        <v>39</v>
      </c>
      <c r="E544" s="248" t="s">
        <v>1210</v>
      </c>
      <c r="F544" s="248" t="s">
        <v>1382</v>
      </c>
      <c r="G544" s="248" t="s">
        <v>1383</v>
      </c>
      <c r="H544" s="248" t="s">
        <v>1384</v>
      </c>
      <c r="I544" s="248" t="s">
        <v>1214</v>
      </c>
      <c r="J544" s="248" t="s">
        <v>1385</v>
      </c>
      <c r="K544" s="248" t="s">
        <v>1216</v>
      </c>
      <c r="L544" s="248" t="s">
        <v>1217</v>
      </c>
    </row>
    <row r="545" spans="2:12">
      <c r="B545" s="249" t="s">
        <v>1367</v>
      </c>
      <c r="C545" s="250" t="s">
        <v>1333</v>
      </c>
      <c r="D545" s="205" t="s">
        <v>152</v>
      </c>
      <c r="E545" s="251">
        <v>510</v>
      </c>
      <c r="F545" s="252">
        <v>0.245</v>
      </c>
      <c r="G545" s="251"/>
      <c r="H545" s="251">
        <v>1.1000000000000001</v>
      </c>
      <c r="I545" s="251"/>
      <c r="J545" s="253"/>
      <c r="K545" s="254">
        <f t="shared" ref="K545:K560" si="11">IF(E545*F545*G545&lt;&gt;0,E545*F545*G545,IF(E545*F545&lt;&gt;0,E545*F545,IF(F545*G545&lt;&gt;0,F545*G545,IF(E545*G545&lt;&gt;0,E545*G545,IF(E545&lt;&gt;0,E545,IF(F545&lt;&gt;0,F545,IF(G545&lt;&gt;0,G545,0)))))))*(IF(H545&lt;&gt;0,H545,1))+I545-J545</f>
        <v>137.44500000000002</v>
      </c>
      <c r="L545" s="255"/>
    </row>
    <row r="546" spans="2:12">
      <c r="B546" s="249" t="s">
        <v>1386</v>
      </c>
      <c r="C546" s="250" t="s">
        <v>1333</v>
      </c>
      <c r="D546" s="205" t="s">
        <v>152</v>
      </c>
      <c r="E546" s="251">
        <v>363</v>
      </c>
      <c r="F546" s="252">
        <v>0.245</v>
      </c>
      <c r="G546" s="251"/>
      <c r="H546" s="251">
        <v>1.1000000000000001</v>
      </c>
      <c r="I546" s="251"/>
      <c r="J546" s="253"/>
      <c r="K546" s="254">
        <f t="shared" si="11"/>
        <v>97.828500000000005</v>
      </c>
      <c r="L546" s="255"/>
    </row>
    <row r="547" spans="2:12">
      <c r="B547" s="263" t="s">
        <v>1475</v>
      </c>
      <c r="C547" s="264" t="s">
        <v>1441</v>
      </c>
      <c r="D547" s="205" t="s">
        <v>152</v>
      </c>
      <c r="E547" s="251">
        <v>425</v>
      </c>
      <c r="F547" s="252">
        <v>0.245</v>
      </c>
      <c r="G547" s="251"/>
      <c r="H547" s="251">
        <v>1.1000000000000001</v>
      </c>
      <c r="I547" s="251"/>
      <c r="J547" s="253"/>
      <c r="K547" s="254">
        <f t="shared" si="11"/>
        <v>114.53750000000001</v>
      </c>
      <c r="L547" s="255"/>
    </row>
    <row r="548" spans="2:12">
      <c r="B548" s="263" t="s">
        <v>1476</v>
      </c>
      <c r="C548" s="264" t="s">
        <v>1441</v>
      </c>
      <c r="D548" s="205" t="s">
        <v>152</v>
      </c>
      <c r="E548" s="251">
        <v>443</v>
      </c>
      <c r="F548" s="252">
        <v>0.245</v>
      </c>
      <c r="G548" s="251"/>
      <c r="H548" s="251">
        <v>1.1000000000000001</v>
      </c>
      <c r="I548" s="251"/>
      <c r="J548" s="253"/>
      <c r="K548" s="254">
        <f t="shared" si="11"/>
        <v>119.38850000000001</v>
      </c>
      <c r="L548" s="255"/>
    </row>
    <row r="549" spans="2:12">
      <c r="B549" s="263" t="s">
        <v>1552</v>
      </c>
      <c r="C549" s="264" t="s">
        <v>1521</v>
      </c>
      <c r="D549" s="205" t="s">
        <v>152</v>
      </c>
      <c r="E549" s="251">
        <v>1139</v>
      </c>
      <c r="F549" s="252">
        <v>0.245</v>
      </c>
      <c r="G549" s="251"/>
      <c r="H549" s="251">
        <v>1.1000000000000001</v>
      </c>
      <c r="I549" s="251"/>
      <c r="J549" s="253"/>
      <c r="K549" s="254">
        <f t="shared" si="11"/>
        <v>306.96050000000002</v>
      </c>
      <c r="L549" s="266"/>
    </row>
    <row r="550" spans="2:12">
      <c r="B550" s="263" t="s">
        <v>1553</v>
      </c>
      <c r="C550" s="264" t="s">
        <v>1521</v>
      </c>
      <c r="D550" s="205" t="s">
        <v>152</v>
      </c>
      <c r="E550" s="251">
        <v>362</v>
      </c>
      <c r="F550" s="252">
        <v>0.245</v>
      </c>
      <c r="G550" s="251"/>
      <c r="H550" s="251">
        <v>1.1000000000000001</v>
      </c>
      <c r="I550" s="251"/>
      <c r="J550" s="253"/>
      <c r="K550" s="254">
        <f t="shared" si="11"/>
        <v>97.559000000000012</v>
      </c>
      <c r="L550" s="266"/>
    </row>
    <row r="551" spans="2:12">
      <c r="B551" s="263" t="s">
        <v>1642</v>
      </c>
      <c r="C551" s="264" t="s">
        <v>1611</v>
      </c>
      <c r="D551" s="205" t="s">
        <v>152</v>
      </c>
      <c r="E551" s="251">
        <v>452</v>
      </c>
      <c r="F551" s="252">
        <v>0.245</v>
      </c>
      <c r="G551" s="251"/>
      <c r="H551" s="251">
        <v>1.1000000000000001</v>
      </c>
      <c r="I551" s="251"/>
      <c r="J551" s="253"/>
      <c r="K551" s="254">
        <f t="shared" si="11"/>
        <v>121.81400000000001</v>
      </c>
      <c r="L551" s="266"/>
    </row>
    <row r="552" spans="2:12">
      <c r="B552" s="263" t="s">
        <v>1643</v>
      </c>
      <c r="C552" s="264" t="s">
        <v>1611</v>
      </c>
      <c r="D552" s="205" t="s">
        <v>152</v>
      </c>
      <c r="E552" s="251">
        <v>421</v>
      </c>
      <c r="F552" s="252">
        <v>0.245</v>
      </c>
      <c r="G552" s="251"/>
      <c r="H552" s="251">
        <v>1.1000000000000001</v>
      </c>
      <c r="I552" s="251"/>
      <c r="J552" s="253"/>
      <c r="K552" s="254">
        <f t="shared" si="11"/>
        <v>113.45950000000001</v>
      </c>
      <c r="L552" s="266"/>
    </row>
    <row r="553" spans="2:12">
      <c r="B553" s="263" t="s">
        <v>1644</v>
      </c>
      <c r="C553" s="264" t="s">
        <v>1612</v>
      </c>
      <c r="D553" s="205" t="s">
        <v>152</v>
      </c>
      <c r="E553" s="251">
        <v>376</v>
      </c>
      <c r="F553" s="252">
        <v>0.245</v>
      </c>
      <c r="G553" s="251"/>
      <c r="H553" s="251">
        <v>1.1000000000000001</v>
      </c>
      <c r="I553" s="251"/>
      <c r="J553" s="253"/>
      <c r="K553" s="254">
        <f t="shared" si="11"/>
        <v>101.33200000000001</v>
      </c>
      <c r="L553" s="266"/>
    </row>
    <row r="554" spans="2:12">
      <c r="B554" s="263" t="s">
        <v>1645</v>
      </c>
      <c r="C554" s="264" t="s">
        <v>1612</v>
      </c>
      <c r="D554" s="205" t="s">
        <v>152</v>
      </c>
      <c r="E554" s="251">
        <v>524</v>
      </c>
      <c r="F554" s="252">
        <v>0.245</v>
      </c>
      <c r="G554" s="251"/>
      <c r="H554" s="251">
        <v>1.1000000000000001</v>
      </c>
      <c r="I554" s="251"/>
      <c r="J554" s="253"/>
      <c r="K554" s="254">
        <f t="shared" si="11"/>
        <v>141.21800000000002</v>
      </c>
      <c r="L554" s="266"/>
    </row>
    <row r="555" spans="2:12">
      <c r="B555" s="263" t="s">
        <v>1646</v>
      </c>
      <c r="C555" s="264" t="s">
        <v>1612</v>
      </c>
      <c r="D555" s="205" t="s">
        <v>152</v>
      </c>
      <c r="E555" s="251">
        <v>933</v>
      </c>
      <c r="F555" s="252">
        <v>0.245</v>
      </c>
      <c r="G555" s="251"/>
      <c r="H555" s="251">
        <v>1.1000000000000001</v>
      </c>
      <c r="I555" s="251"/>
      <c r="J555" s="253"/>
      <c r="K555" s="254">
        <f t="shared" si="11"/>
        <v>251.44350000000003</v>
      </c>
      <c r="L555" s="266"/>
    </row>
    <row r="556" spans="2:12">
      <c r="B556" s="263" t="s">
        <v>1647</v>
      </c>
      <c r="C556" s="264" t="s">
        <v>1613</v>
      </c>
      <c r="D556" s="205" t="s">
        <v>152</v>
      </c>
      <c r="E556" s="257">
        <v>992</v>
      </c>
      <c r="F556" s="258">
        <v>0.245</v>
      </c>
      <c r="G556" s="257"/>
      <c r="H556" s="257">
        <v>1.1000000000000001</v>
      </c>
      <c r="I556" s="251"/>
      <c r="J556" s="253"/>
      <c r="K556" s="254">
        <f t="shared" si="11"/>
        <v>267.34399999999999</v>
      </c>
      <c r="L556" s="255"/>
    </row>
    <row r="557" spans="2:12">
      <c r="B557" s="263" t="s">
        <v>1896</v>
      </c>
      <c r="C557" s="264" t="s">
        <v>1895</v>
      </c>
      <c r="D557" s="205" t="s">
        <v>152</v>
      </c>
      <c r="E557" s="257">
        <v>1009</v>
      </c>
      <c r="F557" s="258">
        <v>0.245</v>
      </c>
      <c r="G557" s="257"/>
      <c r="H557" s="257">
        <v>1.1000000000000001</v>
      </c>
      <c r="I557" s="251"/>
      <c r="J557" s="253"/>
      <c r="K557" s="254">
        <f t="shared" si="11"/>
        <v>271.9255</v>
      </c>
      <c r="L557" s="255"/>
    </row>
    <row r="558" spans="2:12">
      <c r="B558" s="263" t="s">
        <v>1942</v>
      </c>
      <c r="C558" s="264" t="s">
        <v>1931</v>
      </c>
      <c r="D558" s="205" t="s">
        <v>152</v>
      </c>
      <c r="E558" s="257">
        <v>869</v>
      </c>
      <c r="F558" s="258">
        <v>0.245</v>
      </c>
      <c r="G558" s="257"/>
      <c r="H558" s="257">
        <v>1.1000000000000001</v>
      </c>
      <c r="I558" s="251"/>
      <c r="J558" s="253"/>
      <c r="K558" s="254">
        <f t="shared" si="11"/>
        <v>234.19550000000001</v>
      </c>
      <c r="L558" s="255"/>
    </row>
    <row r="559" spans="2:12">
      <c r="B559" s="263" t="s">
        <v>1943</v>
      </c>
      <c r="C559" s="264" t="s">
        <v>1931</v>
      </c>
      <c r="D559" s="205" t="s">
        <v>152</v>
      </c>
      <c r="E559" s="257">
        <v>292</v>
      </c>
      <c r="F559" s="258">
        <v>0.245</v>
      </c>
      <c r="G559" s="257"/>
      <c r="H559" s="257">
        <v>1.1000000000000001</v>
      </c>
      <c r="I559" s="251"/>
      <c r="J559" s="253"/>
      <c r="K559" s="254">
        <f t="shared" si="11"/>
        <v>78.694000000000003</v>
      </c>
      <c r="L559" s="255"/>
    </row>
    <row r="560" spans="2:12">
      <c r="B560" s="256"/>
      <c r="C560" s="210"/>
      <c r="D560" s="210"/>
      <c r="E560" s="257"/>
      <c r="F560" s="258"/>
      <c r="G560" s="257"/>
      <c r="H560" s="257"/>
      <c r="I560" s="257"/>
      <c r="J560" s="259"/>
      <c r="K560" s="254">
        <f t="shared" si="11"/>
        <v>0</v>
      </c>
      <c r="L560" s="210"/>
    </row>
    <row r="561" spans="2:12">
      <c r="B561" s="202"/>
      <c r="C561" s="203"/>
      <c r="D561" s="203"/>
      <c r="E561" s="203"/>
      <c r="F561" s="203"/>
      <c r="G561" s="203"/>
      <c r="H561" s="204"/>
      <c r="I561" s="556" t="s">
        <v>1221</v>
      </c>
      <c r="J561" s="556"/>
      <c r="K561" s="220">
        <f>SUM(K545:K560)</f>
        <v>2455.145</v>
      </c>
      <c r="L561" s="207"/>
    </row>
    <row r="562" spans="2:12">
      <c r="B562" s="208"/>
      <c r="C562" s="204"/>
      <c r="D562" s="204"/>
      <c r="E562" s="204"/>
      <c r="F562" s="204"/>
      <c r="G562" s="204"/>
      <c r="H562" s="209"/>
      <c r="I562" s="557" t="s">
        <v>1222</v>
      </c>
      <c r="J562" s="557"/>
      <c r="K562" s="221">
        <f>VLOOKUP(B543,'BM 004'!$B$27:$R$590,4,0)</f>
        <v>3031.6</v>
      </c>
      <c r="L562" s="207"/>
    </row>
    <row r="563" spans="2:12">
      <c r="B563" s="208"/>
      <c r="C563" s="204"/>
      <c r="D563" s="204"/>
      <c r="E563" s="204"/>
      <c r="F563" s="204"/>
      <c r="G563" s="204"/>
      <c r="H563" s="558" t="s">
        <v>1223</v>
      </c>
      <c r="I563" s="558"/>
      <c r="J563" s="558"/>
      <c r="K563" s="222">
        <v>1870.33</v>
      </c>
      <c r="L563" s="207"/>
    </row>
    <row r="564" spans="2:12">
      <c r="B564" s="208"/>
      <c r="C564" s="204"/>
      <c r="D564" s="204"/>
      <c r="E564" s="204"/>
      <c r="F564" s="204"/>
      <c r="G564" s="204"/>
      <c r="H564" s="558" t="s">
        <v>1891</v>
      </c>
      <c r="I564" s="558"/>
      <c r="J564" s="558"/>
      <c r="K564" s="222">
        <f>TRUNC(SUMIF(C545:C560,H564,K545:K560),2)</f>
        <v>312.88</v>
      </c>
      <c r="L564" s="207"/>
    </row>
    <row r="565" spans="2:12">
      <c r="B565" s="213"/>
      <c r="C565" s="214"/>
      <c r="D565" s="214"/>
      <c r="E565" s="214"/>
      <c r="F565" s="214"/>
      <c r="G565" s="214"/>
      <c r="H565" s="559" t="s">
        <v>1224</v>
      </c>
      <c r="I565" s="559"/>
      <c r="J565" s="559"/>
      <c r="K565" s="223">
        <f>IF(K561&gt;K562,K561-K562,0)</f>
        <v>0</v>
      </c>
      <c r="L565" s="209"/>
    </row>
    <row r="567" spans="2:12">
      <c r="B567" s="247" t="s">
        <v>201</v>
      </c>
      <c r="C567" s="565" t="str">
        <f>VLOOKUP(B567,'BM 004'!$B$27:$R$590,2,0)</f>
        <v xml:space="preserve">Armação de pilar ou viga de uma estrutura convencional de concreto armado em um edifício de múltiplos pavimentos utilizando aço ca-50 de 8,0 mm - montagem. </v>
      </c>
      <c r="D567" s="565"/>
      <c r="E567" s="565"/>
      <c r="F567" s="565"/>
      <c r="G567" s="565"/>
      <c r="H567" s="565"/>
      <c r="I567" s="565"/>
      <c r="J567" s="565"/>
      <c r="K567" s="565"/>
      <c r="L567" s="565"/>
    </row>
    <row r="568" spans="2:12">
      <c r="B568" s="248" t="s">
        <v>1209</v>
      </c>
      <c r="C568" s="248"/>
      <c r="D568" s="248" t="s">
        <v>39</v>
      </c>
      <c r="E568" s="248" t="s">
        <v>1210</v>
      </c>
      <c r="F568" s="248" t="s">
        <v>1382</v>
      </c>
      <c r="G568" s="248" t="s">
        <v>1383</v>
      </c>
      <c r="H568" s="248" t="s">
        <v>1384</v>
      </c>
      <c r="I568" s="248" t="s">
        <v>1214</v>
      </c>
      <c r="J568" s="248" t="s">
        <v>1385</v>
      </c>
      <c r="K568" s="248" t="s">
        <v>1216</v>
      </c>
      <c r="L568" s="248" t="s">
        <v>1217</v>
      </c>
    </row>
    <row r="569" spans="2:12">
      <c r="B569" s="249" t="s">
        <v>1367</v>
      </c>
      <c r="C569" s="250" t="s">
        <v>1333</v>
      </c>
      <c r="D569" s="205" t="s">
        <v>152</v>
      </c>
      <c r="E569" s="251">
        <v>415</v>
      </c>
      <c r="F569" s="252">
        <v>0.39500000000000002</v>
      </c>
      <c r="G569" s="251"/>
      <c r="H569" s="251">
        <v>1.1000000000000001</v>
      </c>
      <c r="I569" s="251"/>
      <c r="J569" s="253"/>
      <c r="K569" s="254">
        <f t="shared" ref="K569:K585" si="12">IF(E569*F569*G569&lt;&gt;0,E569*F569*G569,IF(E569*F569&lt;&gt;0,E569*F569,IF(F569*G569&lt;&gt;0,F569*G569,IF(E569*G569&lt;&gt;0,E569*G569,IF(E569&lt;&gt;0,E569,IF(F569&lt;&gt;0,F569,IF(G569&lt;&gt;0,G569,0)))))))*(IF(H569&lt;&gt;0,H569,1))+I569-J569</f>
        <v>180.31750000000002</v>
      </c>
      <c r="L569" s="255"/>
    </row>
    <row r="570" spans="2:12">
      <c r="B570" s="249" t="s">
        <v>1386</v>
      </c>
      <c r="C570" s="250" t="s">
        <v>1333</v>
      </c>
      <c r="D570" s="205" t="s">
        <v>152</v>
      </c>
      <c r="E570" s="251">
        <v>427</v>
      </c>
      <c r="F570" s="252">
        <v>0.39500000000000002</v>
      </c>
      <c r="G570" s="251"/>
      <c r="H570" s="251">
        <v>1.1000000000000001</v>
      </c>
      <c r="I570" s="251"/>
      <c r="J570" s="253"/>
      <c r="K570" s="254">
        <f t="shared" si="12"/>
        <v>185.53150000000005</v>
      </c>
      <c r="L570" s="255"/>
    </row>
    <row r="571" spans="2:12">
      <c r="B571" s="263" t="s">
        <v>1475</v>
      </c>
      <c r="C571" s="264" t="s">
        <v>1441</v>
      </c>
      <c r="D571" s="205" t="s">
        <v>152</v>
      </c>
      <c r="E571" s="251">
        <v>851</v>
      </c>
      <c r="F571" s="252">
        <v>0.39500000000000002</v>
      </c>
      <c r="G571" s="251"/>
      <c r="H571" s="251">
        <v>1.1000000000000001</v>
      </c>
      <c r="I571" s="251"/>
      <c r="J571" s="253"/>
      <c r="K571" s="254">
        <f t="shared" si="12"/>
        <v>369.75950000000006</v>
      </c>
      <c r="L571" s="255"/>
    </row>
    <row r="572" spans="2:12">
      <c r="B572" s="263" t="s">
        <v>1476</v>
      </c>
      <c r="C572" s="264" t="s">
        <v>1441</v>
      </c>
      <c r="D572" s="205" t="s">
        <v>152</v>
      </c>
      <c r="E572" s="251">
        <v>950</v>
      </c>
      <c r="F572" s="252">
        <v>0.39500000000000002</v>
      </c>
      <c r="G572" s="251"/>
      <c r="H572" s="251">
        <v>1.1000000000000001</v>
      </c>
      <c r="I572" s="251"/>
      <c r="J572" s="253"/>
      <c r="K572" s="254">
        <f t="shared" si="12"/>
        <v>412.77500000000003</v>
      </c>
      <c r="L572" s="255"/>
    </row>
    <row r="573" spans="2:12">
      <c r="B573" s="263" t="s">
        <v>1477</v>
      </c>
      <c r="C573" s="264" t="s">
        <v>1441</v>
      </c>
      <c r="D573" s="205" t="s">
        <v>152</v>
      </c>
      <c r="E573" s="251"/>
      <c r="F573" s="252"/>
      <c r="G573" s="251"/>
      <c r="H573" s="251"/>
      <c r="I573" s="251">
        <v>146.04</v>
      </c>
      <c r="J573" s="253"/>
      <c r="K573" s="254">
        <f t="shared" si="12"/>
        <v>146.04</v>
      </c>
      <c r="L573" s="255"/>
    </row>
    <row r="574" spans="2:12">
      <c r="B574" s="263" t="s">
        <v>1552</v>
      </c>
      <c r="C574" s="264" t="s">
        <v>1521</v>
      </c>
      <c r="D574" s="205" t="s">
        <v>152</v>
      </c>
      <c r="E574" s="251">
        <v>343</v>
      </c>
      <c r="F574" s="252">
        <v>0.39500000000000002</v>
      </c>
      <c r="G574" s="251"/>
      <c r="H574" s="251">
        <v>1.1000000000000001</v>
      </c>
      <c r="I574" s="251"/>
      <c r="J574" s="253"/>
      <c r="K574" s="254">
        <f t="shared" si="12"/>
        <v>149.03350000000003</v>
      </c>
      <c r="L574" s="266"/>
    </row>
    <row r="575" spans="2:12">
      <c r="B575" s="263" t="s">
        <v>1553</v>
      </c>
      <c r="C575" s="264" t="s">
        <v>1521</v>
      </c>
      <c r="D575" s="205" t="s">
        <v>152</v>
      </c>
      <c r="E575" s="251">
        <v>313</v>
      </c>
      <c r="F575" s="252">
        <v>0.39500000000000002</v>
      </c>
      <c r="G575" s="251"/>
      <c r="H575" s="251">
        <v>1.1000000000000001</v>
      </c>
      <c r="I575" s="251"/>
      <c r="J575" s="253"/>
      <c r="K575" s="254">
        <f t="shared" si="12"/>
        <v>135.99850000000001</v>
      </c>
      <c r="L575" s="266"/>
    </row>
    <row r="576" spans="2:12">
      <c r="B576" s="263" t="s">
        <v>1642</v>
      </c>
      <c r="C576" s="264" t="s">
        <v>1611</v>
      </c>
      <c r="D576" s="205" t="s">
        <v>152</v>
      </c>
      <c r="E576" s="251">
        <v>369</v>
      </c>
      <c r="F576" s="252">
        <v>0.39500000000000002</v>
      </c>
      <c r="G576" s="251"/>
      <c r="H576" s="251">
        <v>1.1000000000000001</v>
      </c>
      <c r="I576" s="251"/>
      <c r="J576" s="253"/>
      <c r="K576" s="254">
        <f t="shared" si="12"/>
        <v>160.3305</v>
      </c>
      <c r="L576" s="266"/>
    </row>
    <row r="577" spans="2:12">
      <c r="B577" s="263" t="s">
        <v>1643</v>
      </c>
      <c r="C577" s="264" t="s">
        <v>1611</v>
      </c>
      <c r="D577" s="205" t="s">
        <v>152</v>
      </c>
      <c r="E577" s="251">
        <v>427</v>
      </c>
      <c r="F577" s="252">
        <v>0.39500000000000002</v>
      </c>
      <c r="G577" s="251"/>
      <c r="H577" s="251">
        <v>1.1000000000000001</v>
      </c>
      <c r="I577" s="251"/>
      <c r="J577" s="253"/>
      <c r="K577" s="254">
        <f t="shared" si="12"/>
        <v>185.53150000000005</v>
      </c>
      <c r="L577" s="266"/>
    </row>
    <row r="578" spans="2:12">
      <c r="B578" s="263" t="s">
        <v>1644</v>
      </c>
      <c r="C578" s="264" t="s">
        <v>1612</v>
      </c>
      <c r="D578" s="205" t="s">
        <v>152</v>
      </c>
      <c r="E578" s="251">
        <v>866</v>
      </c>
      <c r="F578" s="252">
        <v>0.39500000000000002</v>
      </c>
      <c r="G578" s="251"/>
      <c r="H578" s="251">
        <v>1.1000000000000001</v>
      </c>
      <c r="I578" s="251"/>
      <c r="J578" s="253"/>
      <c r="K578" s="254">
        <f t="shared" si="12"/>
        <v>376.27700000000004</v>
      </c>
      <c r="L578" s="266"/>
    </row>
    <row r="579" spans="2:12">
      <c r="B579" s="263" t="s">
        <v>1645</v>
      </c>
      <c r="C579" s="264" t="s">
        <v>1612</v>
      </c>
      <c r="D579" s="205" t="s">
        <v>152</v>
      </c>
      <c r="E579" s="251">
        <v>550</v>
      </c>
      <c r="F579" s="252">
        <v>0.39500000000000002</v>
      </c>
      <c r="G579" s="251"/>
      <c r="H579" s="251">
        <v>1.1000000000000001</v>
      </c>
      <c r="I579" s="251"/>
      <c r="J579" s="253"/>
      <c r="K579" s="254">
        <f t="shared" si="12"/>
        <v>238.97500000000002</v>
      </c>
      <c r="L579" s="266"/>
    </row>
    <row r="580" spans="2:12">
      <c r="B580" s="263" t="s">
        <v>1646</v>
      </c>
      <c r="C580" s="264" t="s">
        <v>1612</v>
      </c>
      <c r="D580" s="205" t="s">
        <v>152</v>
      </c>
      <c r="E580" s="251">
        <v>186</v>
      </c>
      <c r="F580" s="252">
        <v>0.39500000000000002</v>
      </c>
      <c r="G580" s="251"/>
      <c r="H580" s="251">
        <v>1.1000000000000001</v>
      </c>
      <c r="I580" s="251"/>
      <c r="J580" s="253"/>
      <c r="K580" s="254">
        <f t="shared" si="12"/>
        <v>80.817000000000007</v>
      </c>
      <c r="L580" s="266"/>
    </row>
    <row r="581" spans="2:12">
      <c r="B581" s="263" t="s">
        <v>1647</v>
      </c>
      <c r="C581" s="264" t="s">
        <v>1613</v>
      </c>
      <c r="D581" s="205" t="s">
        <v>152</v>
      </c>
      <c r="E581" s="257">
        <v>922</v>
      </c>
      <c r="F581" s="258">
        <v>0.39500000000000002</v>
      </c>
      <c r="G581" s="257"/>
      <c r="H581" s="257">
        <v>1.1000000000000001</v>
      </c>
      <c r="I581" s="251"/>
      <c r="J581" s="253"/>
      <c r="K581" s="254">
        <f t="shared" si="12"/>
        <v>400.60900000000004</v>
      </c>
      <c r="L581" s="255"/>
    </row>
    <row r="582" spans="2:12">
      <c r="B582" s="263" t="s">
        <v>1896</v>
      </c>
      <c r="C582" s="264" t="s">
        <v>1895</v>
      </c>
      <c r="D582" s="205" t="s">
        <v>152</v>
      </c>
      <c r="E582" s="257">
        <v>1422</v>
      </c>
      <c r="F582" s="258">
        <v>0.39500000000000002</v>
      </c>
      <c r="G582" s="257"/>
      <c r="H582" s="257">
        <v>1.1000000000000001</v>
      </c>
      <c r="I582" s="251"/>
      <c r="J582" s="253"/>
      <c r="K582" s="254">
        <f t="shared" si="12"/>
        <v>617.85900000000015</v>
      </c>
      <c r="L582" s="255"/>
    </row>
    <row r="583" spans="2:12">
      <c r="B583" s="263" t="s">
        <v>1942</v>
      </c>
      <c r="C583" s="264" t="s">
        <v>1931</v>
      </c>
      <c r="D583" s="205" t="s">
        <v>152</v>
      </c>
      <c r="E583" s="257">
        <v>1199</v>
      </c>
      <c r="F583" s="258">
        <v>0.39500000000000002</v>
      </c>
      <c r="G583" s="257"/>
      <c r="H583" s="257">
        <v>1.1000000000000001</v>
      </c>
      <c r="I583" s="251"/>
      <c r="J583" s="253"/>
      <c r="K583" s="254">
        <f t="shared" si="12"/>
        <v>520.96550000000002</v>
      </c>
      <c r="L583" s="266"/>
    </row>
    <row r="584" spans="2:12">
      <c r="B584" s="263" t="s">
        <v>1943</v>
      </c>
      <c r="C584" s="264" t="s">
        <v>1931</v>
      </c>
      <c r="D584" s="205" t="s">
        <v>152</v>
      </c>
      <c r="E584" s="257">
        <v>174</v>
      </c>
      <c r="F584" s="258">
        <v>0.39500000000000002</v>
      </c>
      <c r="G584" s="257"/>
      <c r="H584" s="257">
        <v>1.1000000000000001</v>
      </c>
      <c r="I584" s="251"/>
      <c r="J584" s="253"/>
      <c r="K584" s="254">
        <f t="shared" si="12"/>
        <v>75.603000000000009</v>
      </c>
      <c r="L584" s="266"/>
    </row>
    <row r="585" spans="2:12">
      <c r="B585" s="256"/>
      <c r="C585" s="210"/>
      <c r="D585" s="210"/>
      <c r="E585" s="257"/>
      <c r="F585" s="258"/>
      <c r="G585" s="257"/>
      <c r="H585" s="257"/>
      <c r="I585" s="257"/>
      <c r="J585" s="259"/>
      <c r="K585" s="254">
        <f t="shared" si="12"/>
        <v>0</v>
      </c>
      <c r="L585" s="210"/>
    </row>
    <row r="586" spans="2:12">
      <c r="B586" s="202"/>
      <c r="C586" s="203"/>
      <c r="D586" s="203"/>
      <c r="E586" s="203"/>
      <c r="F586" s="203"/>
      <c r="G586" s="203"/>
      <c r="H586" s="204"/>
      <c r="I586" s="556" t="s">
        <v>1221</v>
      </c>
      <c r="J586" s="556"/>
      <c r="K586" s="220">
        <f>SUM(K569:K585)</f>
        <v>4236.4230000000007</v>
      </c>
      <c r="L586" s="207"/>
    </row>
    <row r="587" spans="2:12">
      <c r="B587" s="208"/>
      <c r="C587" s="204"/>
      <c r="D587" s="204"/>
      <c r="E587" s="204"/>
      <c r="F587" s="204"/>
      <c r="G587" s="204"/>
      <c r="H587" s="209"/>
      <c r="I587" s="557" t="s">
        <v>1222</v>
      </c>
      <c r="J587" s="557"/>
      <c r="K587" s="221">
        <f>VLOOKUP(B567,'BM 004'!$B$27:$R$590,4,0)</f>
        <v>5608.9</v>
      </c>
      <c r="L587" s="207"/>
    </row>
    <row r="588" spans="2:12">
      <c r="B588" s="208"/>
      <c r="C588" s="204"/>
      <c r="D588" s="204"/>
      <c r="E588" s="204"/>
      <c r="F588" s="204"/>
      <c r="G588" s="204"/>
      <c r="H588" s="558" t="s">
        <v>1223</v>
      </c>
      <c r="I588" s="558"/>
      <c r="J588" s="558"/>
      <c r="K588" s="222">
        <v>3639.8544999999999</v>
      </c>
      <c r="L588" s="207"/>
    </row>
    <row r="589" spans="2:12">
      <c r="B589" s="208"/>
      <c r="C589" s="204"/>
      <c r="D589" s="204"/>
      <c r="E589" s="204"/>
      <c r="F589" s="204"/>
      <c r="G589" s="204"/>
      <c r="H589" s="558" t="s">
        <v>1891</v>
      </c>
      <c r="I589" s="558"/>
      <c r="J589" s="558"/>
      <c r="K589" s="222">
        <f>TRUNC(SUMIF(C569:C585,H589,K569:K585),2)</f>
        <v>596.55999999999995</v>
      </c>
      <c r="L589" s="207"/>
    </row>
    <row r="590" spans="2:12">
      <c r="B590" s="213"/>
      <c r="C590" s="214"/>
      <c r="D590" s="214"/>
      <c r="E590" s="214"/>
      <c r="F590" s="214"/>
      <c r="G590" s="214"/>
      <c r="H590" s="559" t="s">
        <v>1224</v>
      </c>
      <c r="I590" s="559"/>
      <c r="J590" s="559"/>
      <c r="K590" s="223">
        <f>IF(K586&gt;K587,K586-K587,0)</f>
        <v>0</v>
      </c>
      <c r="L590" s="209"/>
    </row>
    <row r="592" spans="2:12">
      <c r="B592" s="247" t="s">
        <v>203</v>
      </c>
      <c r="C592" s="565" t="str">
        <f>VLOOKUP(B592,'BM 004'!$B$27:$R$590,2,0)</f>
        <v xml:space="preserve">Armação de pilar ou viga de uma estrutura convencional de concreto armado em um edifício de múltiplos pavimentos utilizando aço ca-50 de 10,0 mm - montagem. </v>
      </c>
      <c r="D592" s="565"/>
      <c r="E592" s="565"/>
      <c r="F592" s="565"/>
      <c r="G592" s="565"/>
      <c r="H592" s="565"/>
      <c r="I592" s="565"/>
      <c r="J592" s="565"/>
      <c r="K592" s="565"/>
      <c r="L592" s="565"/>
    </row>
    <row r="593" spans="2:12">
      <c r="B593" s="248" t="s">
        <v>1209</v>
      </c>
      <c r="C593" s="248"/>
      <c r="D593" s="248" t="s">
        <v>39</v>
      </c>
      <c r="E593" s="248" t="s">
        <v>1210</v>
      </c>
      <c r="F593" s="248" t="s">
        <v>1382</v>
      </c>
      <c r="G593" s="248" t="s">
        <v>1383</v>
      </c>
      <c r="H593" s="248" t="s">
        <v>1384</v>
      </c>
      <c r="I593" s="248" t="s">
        <v>1214</v>
      </c>
      <c r="J593" s="248" t="s">
        <v>1385</v>
      </c>
      <c r="K593" s="248" t="s">
        <v>1216</v>
      </c>
      <c r="L593" s="248" t="s">
        <v>1217</v>
      </c>
    </row>
    <row r="594" spans="2:12">
      <c r="B594" s="249" t="s">
        <v>1367</v>
      </c>
      <c r="C594" s="250" t="s">
        <v>1333</v>
      </c>
      <c r="D594" s="205" t="s">
        <v>152</v>
      </c>
      <c r="E594" s="251">
        <v>89</v>
      </c>
      <c r="F594" s="252">
        <v>0.61699999999999999</v>
      </c>
      <c r="G594" s="251"/>
      <c r="H594" s="251">
        <v>1.1000000000000001</v>
      </c>
      <c r="I594" s="251"/>
      <c r="J594" s="253"/>
      <c r="K594" s="254">
        <f t="shared" ref="K594:K609" si="13">IF(E594*F594*G594&lt;&gt;0,E594*F594*G594,IF(E594*F594&lt;&gt;0,E594*F594,IF(F594*G594&lt;&gt;0,F594*G594,IF(E594*G594&lt;&gt;0,E594*G594,IF(E594&lt;&gt;0,E594,IF(F594&lt;&gt;0,F594,IF(G594&lt;&gt;0,G594,0)))))))*(IF(H594&lt;&gt;0,H594,1))+I594-J594</f>
        <v>60.404299999999999</v>
      </c>
      <c r="L594" s="255"/>
    </row>
    <row r="595" spans="2:12">
      <c r="B595" s="249" t="s">
        <v>1386</v>
      </c>
      <c r="C595" s="250" t="s">
        <v>1333</v>
      </c>
      <c r="D595" s="205" t="s">
        <v>152</v>
      </c>
      <c r="E595" s="251">
        <v>92</v>
      </c>
      <c r="F595" s="252">
        <v>0.61699999999999999</v>
      </c>
      <c r="G595" s="251"/>
      <c r="H595" s="251">
        <v>1.1000000000000001</v>
      </c>
      <c r="I595" s="251"/>
      <c r="J595" s="253"/>
      <c r="K595" s="254">
        <f t="shared" si="13"/>
        <v>62.440400000000004</v>
      </c>
      <c r="L595" s="255"/>
    </row>
    <row r="596" spans="2:12">
      <c r="B596" s="263" t="s">
        <v>1475</v>
      </c>
      <c r="C596" s="264" t="s">
        <v>1441</v>
      </c>
      <c r="D596" s="205" t="s">
        <v>152</v>
      </c>
      <c r="E596" s="251">
        <v>238</v>
      </c>
      <c r="F596" s="252">
        <v>0.61699999999999999</v>
      </c>
      <c r="G596" s="251"/>
      <c r="H596" s="251">
        <v>1.1000000000000001</v>
      </c>
      <c r="I596" s="251"/>
      <c r="J596" s="253"/>
      <c r="K596" s="254">
        <f t="shared" si="13"/>
        <v>161.53060000000002</v>
      </c>
      <c r="L596" s="255"/>
    </row>
    <row r="597" spans="2:12">
      <c r="B597" s="263" t="s">
        <v>1476</v>
      </c>
      <c r="C597" s="264" t="s">
        <v>1441</v>
      </c>
      <c r="D597" s="205" t="s">
        <v>152</v>
      </c>
      <c r="E597" s="251">
        <v>167</v>
      </c>
      <c r="F597" s="252">
        <v>0.61699999999999999</v>
      </c>
      <c r="G597" s="251"/>
      <c r="H597" s="251">
        <v>1.1000000000000001</v>
      </c>
      <c r="I597" s="251"/>
      <c r="J597" s="253"/>
      <c r="K597" s="254">
        <f t="shared" si="13"/>
        <v>113.34290000000001</v>
      </c>
      <c r="L597" s="255"/>
    </row>
    <row r="598" spans="2:12">
      <c r="B598" s="263" t="s">
        <v>1552</v>
      </c>
      <c r="C598" s="264" t="s">
        <v>1521</v>
      </c>
      <c r="D598" s="205" t="s">
        <v>152</v>
      </c>
      <c r="E598" s="251">
        <v>538</v>
      </c>
      <c r="F598" s="252">
        <v>0.61699999999999999</v>
      </c>
      <c r="G598" s="251"/>
      <c r="H598" s="251">
        <v>1.1000000000000001</v>
      </c>
      <c r="I598" s="251"/>
      <c r="J598" s="253"/>
      <c r="K598" s="254">
        <f t="shared" si="13"/>
        <v>365.14060000000001</v>
      </c>
      <c r="L598" s="266"/>
    </row>
    <row r="599" spans="2:12">
      <c r="B599" s="263" t="s">
        <v>1553</v>
      </c>
      <c r="C599" s="264" t="s">
        <v>1521</v>
      </c>
      <c r="D599" s="205" t="s">
        <v>152</v>
      </c>
      <c r="E599" s="251">
        <v>109</v>
      </c>
      <c r="F599" s="252">
        <v>0.61699999999999999</v>
      </c>
      <c r="G599" s="251"/>
      <c r="H599" s="251">
        <v>1.1000000000000001</v>
      </c>
      <c r="I599" s="251"/>
      <c r="J599" s="253"/>
      <c r="K599" s="254">
        <f t="shared" si="13"/>
        <v>73.978300000000004</v>
      </c>
      <c r="L599" s="266"/>
    </row>
    <row r="600" spans="2:12">
      <c r="B600" s="263" t="s">
        <v>1642</v>
      </c>
      <c r="C600" s="264" t="s">
        <v>1611</v>
      </c>
      <c r="D600" s="205" t="s">
        <v>152</v>
      </c>
      <c r="E600" s="251">
        <v>199</v>
      </c>
      <c r="F600" s="252">
        <v>0.61699999999999999</v>
      </c>
      <c r="G600" s="251"/>
      <c r="H600" s="251">
        <v>1.1000000000000001</v>
      </c>
      <c r="I600" s="251"/>
      <c r="J600" s="253"/>
      <c r="K600" s="254">
        <f t="shared" si="13"/>
        <v>135.06130000000002</v>
      </c>
      <c r="L600" s="266"/>
    </row>
    <row r="601" spans="2:12">
      <c r="B601" s="263" t="s">
        <v>1643</v>
      </c>
      <c r="C601" s="264" t="s">
        <v>1611</v>
      </c>
      <c r="D601" s="205" t="s">
        <v>152</v>
      </c>
      <c r="E601" s="251">
        <v>150</v>
      </c>
      <c r="F601" s="252">
        <v>0.61699999999999999</v>
      </c>
      <c r="G601" s="251"/>
      <c r="H601" s="251">
        <v>1.1000000000000001</v>
      </c>
      <c r="I601" s="251"/>
      <c r="J601" s="253"/>
      <c r="K601" s="254">
        <f t="shared" si="13"/>
        <v>101.80500000000001</v>
      </c>
      <c r="L601" s="266"/>
    </row>
    <row r="602" spans="2:12">
      <c r="B602" s="263" t="s">
        <v>1644</v>
      </c>
      <c r="C602" s="264" t="s">
        <v>1612</v>
      </c>
      <c r="D602" s="205" t="s">
        <v>152</v>
      </c>
      <c r="E602" s="251">
        <v>100</v>
      </c>
      <c r="F602" s="252">
        <v>0.61699999999999999</v>
      </c>
      <c r="G602" s="251"/>
      <c r="H602" s="251">
        <v>1.1000000000000001</v>
      </c>
      <c r="I602" s="251"/>
      <c r="J602" s="253"/>
      <c r="K602" s="254">
        <f t="shared" si="13"/>
        <v>67.87</v>
      </c>
      <c r="L602" s="266"/>
    </row>
    <row r="603" spans="2:12">
      <c r="B603" s="263" t="s">
        <v>1645</v>
      </c>
      <c r="C603" s="264" t="s">
        <v>1612</v>
      </c>
      <c r="D603" s="205" t="s">
        <v>152</v>
      </c>
      <c r="E603" s="251">
        <v>346</v>
      </c>
      <c r="F603" s="252">
        <v>0.61699999999999999</v>
      </c>
      <c r="G603" s="251"/>
      <c r="H603" s="251">
        <v>1.1000000000000001</v>
      </c>
      <c r="I603" s="251"/>
      <c r="J603" s="253"/>
      <c r="K603" s="254">
        <f t="shared" si="13"/>
        <v>234.83020000000002</v>
      </c>
      <c r="L603" s="266"/>
    </row>
    <row r="604" spans="2:12">
      <c r="B604" s="263" t="s">
        <v>1646</v>
      </c>
      <c r="C604" s="264" t="s">
        <v>1612</v>
      </c>
      <c r="D604" s="205" t="s">
        <v>152</v>
      </c>
      <c r="E604" s="251">
        <v>256</v>
      </c>
      <c r="F604" s="252">
        <v>0.61699999999999999</v>
      </c>
      <c r="G604" s="251"/>
      <c r="H604" s="251">
        <v>1.1000000000000001</v>
      </c>
      <c r="I604" s="251"/>
      <c r="J604" s="253"/>
      <c r="K604" s="254">
        <f t="shared" si="13"/>
        <v>173.74720000000002</v>
      </c>
      <c r="L604" s="266"/>
    </row>
    <row r="605" spans="2:12">
      <c r="B605" s="263" t="s">
        <v>1647</v>
      </c>
      <c r="C605" s="264" t="s">
        <v>1613</v>
      </c>
      <c r="D605" s="205" t="s">
        <v>152</v>
      </c>
      <c r="E605" s="257">
        <v>646</v>
      </c>
      <c r="F605" s="258">
        <v>0.61699999999999999</v>
      </c>
      <c r="G605" s="257"/>
      <c r="H605" s="257">
        <v>1.1000000000000001</v>
      </c>
      <c r="I605" s="251"/>
      <c r="J605" s="253"/>
      <c r="K605" s="254">
        <f t="shared" si="13"/>
        <v>438.4402</v>
      </c>
      <c r="L605" s="255"/>
    </row>
    <row r="606" spans="2:12">
      <c r="B606" s="263" t="s">
        <v>1896</v>
      </c>
      <c r="C606" s="264" t="s">
        <v>1895</v>
      </c>
      <c r="D606" s="205" t="s">
        <v>152</v>
      </c>
      <c r="E606" s="257">
        <v>589</v>
      </c>
      <c r="F606" s="258">
        <v>0.61699999999999999</v>
      </c>
      <c r="G606" s="257"/>
      <c r="H606" s="257">
        <v>1.1000000000000001</v>
      </c>
      <c r="I606" s="251"/>
      <c r="J606" s="253"/>
      <c r="K606" s="254">
        <f t="shared" si="13"/>
        <v>399.75430000000006</v>
      </c>
      <c r="L606" s="255"/>
    </row>
    <row r="607" spans="2:12">
      <c r="B607" s="263" t="s">
        <v>1942</v>
      </c>
      <c r="C607" s="264" t="s">
        <v>1931</v>
      </c>
      <c r="D607" s="205" t="s">
        <v>152</v>
      </c>
      <c r="E607" s="257">
        <v>642</v>
      </c>
      <c r="F607" s="258">
        <v>0.61699999999999999</v>
      </c>
      <c r="G607" s="257"/>
      <c r="H607" s="257">
        <v>1.1000000000000001</v>
      </c>
      <c r="I607" s="251"/>
      <c r="J607" s="253"/>
      <c r="K607" s="254">
        <f t="shared" si="13"/>
        <v>435.72540000000004</v>
      </c>
      <c r="L607" s="266"/>
    </row>
    <row r="608" spans="2:12">
      <c r="B608" s="263" t="s">
        <v>1943</v>
      </c>
      <c r="C608" s="264" t="s">
        <v>1931</v>
      </c>
      <c r="D608" s="205" t="s">
        <v>152</v>
      </c>
      <c r="E608" s="257">
        <v>73</v>
      </c>
      <c r="F608" s="258">
        <v>0.61699999999999999</v>
      </c>
      <c r="G608" s="257"/>
      <c r="H608" s="257">
        <v>1.1000000000000001</v>
      </c>
      <c r="I608" s="251"/>
      <c r="J608" s="253"/>
      <c r="K608" s="254">
        <f t="shared" si="13"/>
        <v>49.545099999999998</v>
      </c>
      <c r="L608" s="266"/>
    </row>
    <row r="609" spans="2:12">
      <c r="B609" s="256"/>
      <c r="C609" s="210"/>
      <c r="D609" s="210"/>
      <c r="E609" s="257"/>
      <c r="F609" s="258"/>
      <c r="G609" s="257"/>
      <c r="H609" s="257"/>
      <c r="I609" s="257"/>
      <c r="J609" s="259"/>
      <c r="K609" s="254">
        <f t="shared" si="13"/>
        <v>0</v>
      </c>
      <c r="L609" s="210"/>
    </row>
    <row r="610" spans="2:12">
      <c r="B610" s="202"/>
      <c r="C610" s="203"/>
      <c r="D610" s="203"/>
      <c r="E610" s="203"/>
      <c r="F610" s="203"/>
      <c r="G610" s="203"/>
      <c r="H610" s="204"/>
      <c r="I610" s="556" t="s">
        <v>1221</v>
      </c>
      <c r="J610" s="556"/>
      <c r="K610" s="220">
        <f>SUM(K594:K609)</f>
        <v>2873.6158</v>
      </c>
      <c r="L610" s="207"/>
    </row>
    <row r="611" spans="2:12">
      <c r="B611" s="208"/>
      <c r="C611" s="204"/>
      <c r="D611" s="204"/>
      <c r="E611" s="204"/>
      <c r="F611" s="204"/>
      <c r="G611" s="204"/>
      <c r="H611" s="209"/>
      <c r="I611" s="557" t="s">
        <v>1222</v>
      </c>
      <c r="J611" s="557"/>
      <c r="K611" s="221">
        <f>VLOOKUP(B592,'BM 004'!$B$27:$R$590,4,0)</f>
        <v>4215.2</v>
      </c>
      <c r="L611" s="207"/>
    </row>
    <row r="612" spans="2:12">
      <c r="B612" s="208"/>
      <c r="C612" s="204"/>
      <c r="D612" s="204"/>
      <c r="E612" s="204"/>
      <c r="F612" s="204"/>
      <c r="G612" s="204"/>
      <c r="H612" s="558" t="s">
        <v>1223</v>
      </c>
      <c r="I612" s="558"/>
      <c r="J612" s="558"/>
      <c r="K612" s="222">
        <v>2388.3453</v>
      </c>
      <c r="L612" s="207"/>
    </row>
    <row r="613" spans="2:12">
      <c r="B613" s="208"/>
      <c r="C613" s="204"/>
      <c r="D613" s="204"/>
      <c r="E613" s="204"/>
      <c r="F613" s="204"/>
      <c r="G613" s="204"/>
      <c r="H613" s="558" t="s">
        <v>1891</v>
      </c>
      <c r="I613" s="558"/>
      <c r="J613" s="558"/>
      <c r="K613" s="222">
        <f>TRUNC(SUMIF(C594:C609,H613,K594:K609),2)</f>
        <v>485.27</v>
      </c>
      <c r="L613" s="207"/>
    </row>
    <row r="614" spans="2:12">
      <c r="B614" s="213"/>
      <c r="C614" s="214"/>
      <c r="D614" s="214"/>
      <c r="E614" s="214"/>
      <c r="F614" s="214"/>
      <c r="G614" s="214"/>
      <c r="H614" s="559" t="s">
        <v>1224</v>
      </c>
      <c r="I614" s="559"/>
      <c r="J614" s="559"/>
      <c r="K614" s="223">
        <f>IF(K610&gt;K611,K610-K611,0)</f>
        <v>0</v>
      </c>
      <c r="L614" s="209"/>
    </row>
    <row r="616" spans="2:12">
      <c r="B616" s="247" t="s">
        <v>205</v>
      </c>
      <c r="C616" s="565" t="str">
        <f>VLOOKUP(B616,'BM 004'!$B$27:$R$590,2,0)</f>
        <v xml:space="preserve">Armação de pilar ou viga de uma estrutura convencional de concreto armado em um edifício de múltiplos pavimentos utilizando aço ca-50 de 12,5 mm - montagem. </v>
      </c>
      <c r="D616" s="565"/>
      <c r="E616" s="565"/>
      <c r="F616" s="565"/>
      <c r="G616" s="565"/>
      <c r="H616" s="565"/>
      <c r="I616" s="565"/>
      <c r="J616" s="565"/>
      <c r="K616" s="565"/>
      <c r="L616" s="565"/>
    </row>
    <row r="617" spans="2:12">
      <c r="B617" s="248" t="s">
        <v>1209</v>
      </c>
      <c r="C617" s="248"/>
      <c r="D617" s="248" t="s">
        <v>39</v>
      </c>
      <c r="E617" s="248" t="s">
        <v>1210</v>
      </c>
      <c r="F617" s="248" t="s">
        <v>1382</v>
      </c>
      <c r="G617" s="248" t="s">
        <v>1383</v>
      </c>
      <c r="H617" s="248" t="s">
        <v>1384</v>
      </c>
      <c r="I617" s="248" t="s">
        <v>1214</v>
      </c>
      <c r="J617" s="248" t="s">
        <v>1385</v>
      </c>
      <c r="K617" s="248" t="s">
        <v>1216</v>
      </c>
      <c r="L617" s="248" t="s">
        <v>1217</v>
      </c>
    </row>
    <row r="618" spans="2:12">
      <c r="B618" s="249" t="s">
        <v>1367</v>
      </c>
      <c r="C618" s="250" t="s">
        <v>1333</v>
      </c>
      <c r="D618" s="205" t="s">
        <v>152</v>
      </c>
      <c r="E618" s="251">
        <v>89</v>
      </c>
      <c r="F618" s="252">
        <v>0.96299999999999997</v>
      </c>
      <c r="G618" s="251"/>
      <c r="H618" s="251">
        <v>1.1000000000000001</v>
      </c>
      <c r="I618" s="251"/>
      <c r="J618" s="253"/>
      <c r="K618" s="254">
        <f t="shared" ref="K618:K633" si="14">IF(E618*F618*G618&lt;&gt;0,E618*F618*G618,IF(E618*F618&lt;&gt;0,E618*F618,IF(F618*G618&lt;&gt;0,F618*G618,IF(E618*G618&lt;&gt;0,E618*G618,IF(E618&lt;&gt;0,E618,IF(F618&lt;&gt;0,F618,IF(G618&lt;&gt;0,G618,0)))))))*(IF(H618&lt;&gt;0,H618,1))+I618-J618</f>
        <v>94.277699999999996</v>
      </c>
      <c r="L618" s="255"/>
    </row>
    <row r="619" spans="2:12">
      <c r="B619" s="249" t="s">
        <v>1386</v>
      </c>
      <c r="C619" s="250" t="s">
        <v>1333</v>
      </c>
      <c r="D619" s="205" t="s">
        <v>152</v>
      </c>
      <c r="E619" s="251">
        <v>72</v>
      </c>
      <c r="F619" s="252">
        <v>0.96299999999999997</v>
      </c>
      <c r="G619" s="251"/>
      <c r="H619" s="251">
        <v>1.1000000000000001</v>
      </c>
      <c r="I619" s="251"/>
      <c r="J619" s="253"/>
      <c r="K619" s="254">
        <f t="shared" si="14"/>
        <v>76.269600000000011</v>
      </c>
      <c r="L619" s="255"/>
    </row>
    <row r="620" spans="2:12">
      <c r="B620" s="263" t="s">
        <v>1475</v>
      </c>
      <c r="C620" s="264" t="s">
        <v>1441</v>
      </c>
      <c r="D620" s="205" t="s">
        <v>152</v>
      </c>
      <c r="E620" s="251">
        <v>140</v>
      </c>
      <c r="F620" s="252">
        <v>0.96299999999999997</v>
      </c>
      <c r="G620" s="251"/>
      <c r="H620" s="251">
        <v>1.1000000000000001</v>
      </c>
      <c r="I620" s="251"/>
      <c r="J620" s="253"/>
      <c r="K620" s="254">
        <f t="shared" si="14"/>
        <v>148.30199999999999</v>
      </c>
      <c r="L620" s="255"/>
    </row>
    <row r="621" spans="2:12">
      <c r="B621" s="263" t="s">
        <v>1476</v>
      </c>
      <c r="C621" s="264" t="s">
        <v>1441</v>
      </c>
      <c r="D621" s="205" t="s">
        <v>152</v>
      </c>
      <c r="E621" s="251">
        <v>119</v>
      </c>
      <c r="F621" s="252">
        <v>0.96299999999999997</v>
      </c>
      <c r="G621" s="251"/>
      <c r="H621" s="251">
        <v>1.1000000000000001</v>
      </c>
      <c r="I621" s="251"/>
      <c r="J621" s="253"/>
      <c r="K621" s="254">
        <f t="shared" si="14"/>
        <v>126.05670000000001</v>
      </c>
      <c r="L621" s="255"/>
    </row>
    <row r="622" spans="2:12">
      <c r="B622" s="263" t="s">
        <v>1552</v>
      </c>
      <c r="C622" s="264" t="s">
        <v>1521</v>
      </c>
      <c r="D622" s="205" t="s">
        <v>152</v>
      </c>
      <c r="E622" s="251">
        <v>144</v>
      </c>
      <c r="F622" s="252">
        <v>0.96299999999999997</v>
      </c>
      <c r="G622" s="251"/>
      <c r="H622" s="251">
        <v>1.1000000000000001</v>
      </c>
      <c r="I622" s="251"/>
      <c r="J622" s="253"/>
      <c r="K622" s="254">
        <f t="shared" si="14"/>
        <v>152.53920000000002</v>
      </c>
      <c r="L622" s="266"/>
    </row>
    <row r="623" spans="2:12">
      <c r="B623" s="263" t="s">
        <v>1553</v>
      </c>
      <c r="C623" s="264" t="s">
        <v>1521</v>
      </c>
      <c r="D623" s="205" t="s">
        <v>152</v>
      </c>
      <c r="E623" s="251">
        <v>34</v>
      </c>
      <c r="F623" s="252">
        <v>0.96299999999999997</v>
      </c>
      <c r="G623" s="251"/>
      <c r="H623" s="251">
        <v>1.1000000000000001</v>
      </c>
      <c r="I623" s="251"/>
      <c r="J623" s="253"/>
      <c r="K623" s="254">
        <f t="shared" si="14"/>
        <v>36.016199999999998</v>
      </c>
      <c r="L623" s="266"/>
    </row>
    <row r="624" spans="2:12">
      <c r="B624" s="263" t="s">
        <v>1642</v>
      </c>
      <c r="C624" s="264" t="s">
        <v>1611</v>
      </c>
      <c r="D624" s="205" t="s">
        <v>152</v>
      </c>
      <c r="E624" s="251">
        <v>187</v>
      </c>
      <c r="F624" s="252">
        <v>0.96299999999999997</v>
      </c>
      <c r="G624" s="251"/>
      <c r="H624" s="251">
        <v>1.1000000000000001</v>
      </c>
      <c r="I624" s="251"/>
      <c r="J624" s="253"/>
      <c r="K624" s="254">
        <f t="shared" si="14"/>
        <v>198.0891</v>
      </c>
      <c r="L624" s="266"/>
    </row>
    <row r="625" spans="2:12">
      <c r="B625" s="263" t="s">
        <v>1643</v>
      </c>
      <c r="C625" s="264" t="s">
        <v>1611</v>
      </c>
      <c r="D625" s="205" t="s">
        <v>152</v>
      </c>
      <c r="E625" s="251">
        <v>105</v>
      </c>
      <c r="F625" s="252">
        <v>0.96299999999999997</v>
      </c>
      <c r="G625" s="251"/>
      <c r="H625" s="251">
        <v>1.1000000000000001</v>
      </c>
      <c r="I625" s="251"/>
      <c r="J625" s="253"/>
      <c r="K625" s="254">
        <f t="shared" si="14"/>
        <v>111.2265</v>
      </c>
      <c r="L625" s="266"/>
    </row>
    <row r="626" spans="2:12">
      <c r="B626" s="263" t="s">
        <v>1644</v>
      </c>
      <c r="C626" s="264" t="s">
        <v>1612</v>
      </c>
      <c r="D626" s="205" t="s">
        <v>152</v>
      </c>
      <c r="E626" s="251">
        <v>168</v>
      </c>
      <c r="F626" s="252">
        <v>0.96299999999999997</v>
      </c>
      <c r="G626" s="251"/>
      <c r="H626" s="251">
        <v>1.1000000000000001</v>
      </c>
      <c r="I626" s="251"/>
      <c r="J626" s="253"/>
      <c r="K626" s="254">
        <f t="shared" si="14"/>
        <v>177.9624</v>
      </c>
      <c r="L626" s="266"/>
    </row>
    <row r="627" spans="2:12">
      <c r="B627" s="263" t="s">
        <v>1645</v>
      </c>
      <c r="C627" s="264" t="s">
        <v>1612</v>
      </c>
      <c r="D627" s="205" t="s">
        <v>152</v>
      </c>
      <c r="E627" s="251">
        <v>94</v>
      </c>
      <c r="F627" s="252">
        <v>0.96299999999999997</v>
      </c>
      <c r="G627" s="251"/>
      <c r="H627" s="251">
        <v>1.1000000000000001</v>
      </c>
      <c r="I627" s="251"/>
      <c r="J627" s="253"/>
      <c r="K627" s="254">
        <f t="shared" si="14"/>
        <v>99.574200000000005</v>
      </c>
      <c r="L627" s="266"/>
    </row>
    <row r="628" spans="2:12">
      <c r="B628" s="263" t="s">
        <v>1646</v>
      </c>
      <c r="C628" s="264" t="s">
        <v>1612</v>
      </c>
      <c r="D628" s="205" t="s">
        <v>152</v>
      </c>
      <c r="E628" s="251">
        <v>86</v>
      </c>
      <c r="F628" s="252">
        <v>0.96299999999999997</v>
      </c>
      <c r="G628" s="251"/>
      <c r="H628" s="251">
        <v>1.1000000000000001</v>
      </c>
      <c r="I628" s="251"/>
      <c r="J628" s="253"/>
      <c r="K628" s="254">
        <f t="shared" si="14"/>
        <v>91.099800000000002</v>
      </c>
      <c r="L628" s="266"/>
    </row>
    <row r="629" spans="2:12">
      <c r="B629" s="263" t="s">
        <v>1647</v>
      </c>
      <c r="C629" s="264" t="s">
        <v>1613</v>
      </c>
      <c r="D629" s="205" t="s">
        <v>152</v>
      </c>
      <c r="E629" s="257">
        <v>228</v>
      </c>
      <c r="F629" s="258">
        <v>0.96299999999999997</v>
      </c>
      <c r="G629" s="257"/>
      <c r="H629" s="257">
        <v>1.1000000000000001</v>
      </c>
      <c r="I629" s="251"/>
      <c r="J629" s="253"/>
      <c r="K629" s="254">
        <f t="shared" si="14"/>
        <v>241.52040000000002</v>
      </c>
      <c r="L629" s="255"/>
    </row>
    <row r="630" spans="2:12">
      <c r="B630" s="263" t="s">
        <v>1896</v>
      </c>
      <c r="C630" s="264" t="s">
        <v>1895</v>
      </c>
      <c r="D630" s="205" t="s">
        <v>152</v>
      </c>
      <c r="E630" s="257">
        <v>442</v>
      </c>
      <c r="F630" s="258">
        <v>0.96299999999999997</v>
      </c>
      <c r="G630" s="257"/>
      <c r="H630" s="257">
        <v>1.1000000000000001</v>
      </c>
      <c r="I630" s="251"/>
      <c r="J630" s="253">
        <v>242.57730000000001</v>
      </c>
      <c r="K630" s="254">
        <f t="shared" si="14"/>
        <v>225.63329999999999</v>
      </c>
      <c r="L630" s="255" t="s">
        <v>1897</v>
      </c>
    </row>
    <row r="631" spans="2:12">
      <c r="B631" s="263" t="s">
        <v>1942</v>
      </c>
      <c r="C631" s="264" t="s">
        <v>1944</v>
      </c>
      <c r="D631" s="205" t="s">
        <v>152</v>
      </c>
      <c r="E631" s="257">
        <v>311</v>
      </c>
      <c r="F631" s="258">
        <v>0.96299999999999997</v>
      </c>
      <c r="G631" s="257"/>
      <c r="H631" s="257">
        <v>1.1000000000000001</v>
      </c>
      <c r="I631" s="251"/>
      <c r="J631" s="253"/>
      <c r="K631" s="254">
        <f t="shared" si="14"/>
        <v>329.44230000000005</v>
      </c>
      <c r="L631" s="266"/>
    </row>
    <row r="632" spans="2:12">
      <c r="B632" s="263" t="s">
        <v>1943</v>
      </c>
      <c r="C632" s="264" t="s">
        <v>1944</v>
      </c>
      <c r="D632" s="205" t="s">
        <v>152</v>
      </c>
      <c r="E632" s="257">
        <v>57</v>
      </c>
      <c r="F632" s="258">
        <v>0.96299999999999997</v>
      </c>
      <c r="G632" s="257"/>
      <c r="H632" s="257">
        <v>1.1000000000000001</v>
      </c>
      <c r="I632" s="251"/>
      <c r="J632" s="253"/>
      <c r="K632" s="254">
        <f t="shared" si="14"/>
        <v>60.380100000000006</v>
      </c>
      <c r="L632" s="266"/>
    </row>
    <row r="633" spans="2:12">
      <c r="B633" s="263"/>
      <c r="C633" s="264"/>
      <c r="D633" s="210"/>
      <c r="E633" s="257"/>
      <c r="F633" s="258"/>
      <c r="G633" s="257"/>
      <c r="H633" s="257"/>
      <c r="I633" s="257"/>
      <c r="J633" s="259"/>
      <c r="K633" s="254">
        <f t="shared" si="14"/>
        <v>0</v>
      </c>
      <c r="L633" s="266"/>
    </row>
    <row r="634" spans="2:12">
      <c r="B634" s="202"/>
      <c r="C634" s="203"/>
      <c r="D634" s="203"/>
      <c r="E634" s="203"/>
      <c r="F634" s="203"/>
      <c r="G634" s="203"/>
      <c r="H634" s="204"/>
      <c r="I634" s="556" t="s">
        <v>1221</v>
      </c>
      <c r="J634" s="556"/>
      <c r="K634" s="220">
        <f>SUM(K618:K633)</f>
        <v>2168.3894999999998</v>
      </c>
      <c r="L634" s="207"/>
    </row>
    <row r="635" spans="2:12">
      <c r="B635" s="208"/>
      <c r="C635" s="204"/>
      <c r="D635" s="204"/>
      <c r="E635" s="204"/>
      <c r="F635" s="204"/>
      <c r="G635" s="204"/>
      <c r="H635" s="209"/>
      <c r="I635" s="557" t="s">
        <v>1222</v>
      </c>
      <c r="J635" s="557"/>
      <c r="K635" s="221">
        <f>VLOOKUP(B616,'BM 004'!$B$27:$R$590,4,0)</f>
        <v>3267</v>
      </c>
      <c r="L635" s="207"/>
    </row>
    <row r="636" spans="2:12">
      <c r="B636" s="208"/>
      <c r="C636" s="204"/>
      <c r="D636" s="204"/>
      <c r="E636" s="204"/>
      <c r="F636" s="204"/>
      <c r="G636" s="204"/>
      <c r="H636" s="558" t="s">
        <v>1223</v>
      </c>
      <c r="I636" s="558"/>
      <c r="J636" s="558"/>
      <c r="K636" s="222">
        <v>3267</v>
      </c>
      <c r="L636" s="207"/>
    </row>
    <row r="637" spans="2:12">
      <c r="B637" s="208"/>
      <c r="C637" s="204"/>
      <c r="D637" s="204"/>
      <c r="E637" s="204"/>
      <c r="F637" s="204"/>
      <c r="G637" s="204"/>
      <c r="H637" s="558" t="s">
        <v>1891</v>
      </c>
      <c r="I637" s="558"/>
      <c r="J637" s="558"/>
      <c r="K637" s="222">
        <f>TRUNC(SUMIF(C618:C633,H637,K618:K633),2)</f>
        <v>0</v>
      </c>
      <c r="L637" s="207"/>
    </row>
    <row r="638" spans="2:12">
      <c r="B638" s="213"/>
      <c r="C638" s="214"/>
      <c r="D638" s="214"/>
      <c r="E638" s="214"/>
      <c r="F638" s="214"/>
      <c r="G638" s="214"/>
      <c r="H638" s="559" t="s">
        <v>1224</v>
      </c>
      <c r="I638" s="559"/>
      <c r="J638" s="559"/>
      <c r="K638" s="223">
        <f>IF(K634&gt;K635,K634-K635,0)</f>
        <v>0</v>
      </c>
      <c r="L638" s="209"/>
    </row>
    <row r="640" spans="2:12">
      <c r="B640" s="247" t="s">
        <v>207</v>
      </c>
      <c r="C640" s="565" t="str">
        <f>VLOOKUP(B640,'BM 004'!$B$27:$R$590,2,0)</f>
        <v xml:space="preserve">Armação de pilar ou viga de uma estrutura convencional de concreto armado em um edifício de múltiplos pavimentos utilizando aço ca-50 de 16,0 mm - montagem. </v>
      </c>
      <c r="D640" s="565"/>
      <c r="E640" s="565"/>
      <c r="F640" s="565"/>
      <c r="G640" s="565"/>
      <c r="H640" s="565"/>
      <c r="I640" s="565"/>
      <c r="J640" s="565"/>
      <c r="K640" s="565"/>
      <c r="L640" s="565"/>
    </row>
    <row r="641" spans="2:12">
      <c r="B641" s="248" t="s">
        <v>1209</v>
      </c>
      <c r="C641" s="248"/>
      <c r="D641" s="248" t="s">
        <v>39</v>
      </c>
      <c r="E641" s="248" t="s">
        <v>1210</v>
      </c>
      <c r="F641" s="248" t="s">
        <v>1382</v>
      </c>
      <c r="G641" s="248" t="s">
        <v>1383</v>
      </c>
      <c r="H641" s="248" t="s">
        <v>1384</v>
      </c>
      <c r="I641" s="248" t="s">
        <v>1214</v>
      </c>
      <c r="J641" s="248" t="s">
        <v>1385</v>
      </c>
      <c r="K641" s="248" t="s">
        <v>1216</v>
      </c>
      <c r="L641" s="248" t="s">
        <v>1217</v>
      </c>
    </row>
    <row r="642" spans="2:12">
      <c r="B642" s="249" t="s">
        <v>1367</v>
      </c>
      <c r="C642" s="250" t="s">
        <v>1333</v>
      </c>
      <c r="D642" s="205" t="s">
        <v>152</v>
      </c>
      <c r="E642" s="251">
        <v>221</v>
      </c>
      <c r="F642" s="252">
        <v>1.5780000000000001</v>
      </c>
      <c r="G642" s="251"/>
      <c r="H642" s="251">
        <v>1.1000000000000001</v>
      </c>
      <c r="I642" s="251"/>
      <c r="J642" s="253"/>
      <c r="K642" s="254">
        <f t="shared" ref="K642:K657" si="15">IF(E642*F642*G642&lt;&gt;0,E642*F642*G642,IF(E642*F642&lt;&gt;0,E642*F642,IF(F642*G642&lt;&gt;0,F642*G642,IF(E642*G642&lt;&gt;0,E642*G642,IF(E642&lt;&gt;0,E642,IF(F642&lt;&gt;0,F642,IF(G642&lt;&gt;0,G642,0)))))))*(IF(H642&lt;&gt;0,H642,1))+I642-J642</f>
        <v>383.61180000000002</v>
      </c>
      <c r="L642" s="255"/>
    </row>
    <row r="643" spans="2:12">
      <c r="B643" s="249" t="s">
        <v>1386</v>
      </c>
      <c r="C643" s="250" t="s">
        <v>1333</v>
      </c>
      <c r="D643" s="205" t="s">
        <v>152</v>
      </c>
      <c r="E643" s="251">
        <v>236</v>
      </c>
      <c r="F643" s="252">
        <v>1.5780000000000001</v>
      </c>
      <c r="G643" s="251"/>
      <c r="H643" s="251">
        <v>1.1000000000000001</v>
      </c>
      <c r="I643" s="251"/>
      <c r="J643" s="253"/>
      <c r="K643" s="254">
        <f t="shared" si="15"/>
        <v>409.64880000000005</v>
      </c>
      <c r="L643" s="255"/>
    </row>
    <row r="644" spans="2:12">
      <c r="B644" s="263" t="s">
        <v>1475</v>
      </c>
      <c r="C644" s="264" t="s">
        <v>1441</v>
      </c>
      <c r="D644" s="205" t="s">
        <v>152</v>
      </c>
      <c r="E644" s="251">
        <v>201</v>
      </c>
      <c r="F644" s="252">
        <v>1.5780000000000001</v>
      </c>
      <c r="G644" s="251"/>
      <c r="H644" s="251">
        <v>1.1000000000000001</v>
      </c>
      <c r="I644" s="251"/>
      <c r="J644" s="253"/>
      <c r="K644" s="254">
        <f t="shared" si="15"/>
        <v>348.89580000000001</v>
      </c>
      <c r="L644" s="255"/>
    </row>
    <row r="645" spans="2:12">
      <c r="B645" s="263" t="s">
        <v>1476</v>
      </c>
      <c r="C645" s="264" t="s">
        <v>1441</v>
      </c>
      <c r="D645" s="205" t="s">
        <v>152</v>
      </c>
      <c r="E645" s="251">
        <v>215</v>
      </c>
      <c r="F645" s="252">
        <v>1.5780000000000001</v>
      </c>
      <c r="G645" s="251"/>
      <c r="H645" s="251">
        <v>1.1000000000000001</v>
      </c>
      <c r="I645" s="251"/>
      <c r="J645" s="253"/>
      <c r="K645" s="254">
        <f t="shared" si="15"/>
        <v>373.19700000000006</v>
      </c>
      <c r="L645" s="255"/>
    </row>
    <row r="646" spans="2:12">
      <c r="B646" s="263" t="s">
        <v>1552</v>
      </c>
      <c r="C646" s="264" t="s">
        <v>1521</v>
      </c>
      <c r="D646" s="205" t="s">
        <v>152</v>
      </c>
      <c r="E646" s="251">
        <v>67</v>
      </c>
      <c r="F646" s="252">
        <v>1.5780000000000001</v>
      </c>
      <c r="G646" s="251"/>
      <c r="H646" s="251">
        <v>1.1000000000000001</v>
      </c>
      <c r="I646" s="251"/>
      <c r="J646" s="253"/>
      <c r="K646" s="254">
        <f t="shared" si="15"/>
        <v>116.29860000000001</v>
      </c>
      <c r="L646" s="266"/>
    </row>
    <row r="647" spans="2:12">
      <c r="B647" s="263" t="s">
        <v>1553</v>
      </c>
      <c r="C647" s="264" t="s">
        <v>1521</v>
      </c>
      <c r="D647" s="205" t="s">
        <v>152</v>
      </c>
      <c r="E647" s="251">
        <v>188</v>
      </c>
      <c r="F647" s="252">
        <v>1.5780000000000001</v>
      </c>
      <c r="G647" s="251"/>
      <c r="H647" s="251">
        <v>1.1000000000000001</v>
      </c>
      <c r="I647" s="251"/>
      <c r="J647" s="253"/>
      <c r="K647" s="254">
        <f t="shared" si="15"/>
        <v>326.3304</v>
      </c>
      <c r="L647" s="266"/>
    </row>
    <row r="648" spans="2:12">
      <c r="B648" s="263" t="s">
        <v>1642</v>
      </c>
      <c r="C648" s="264" t="s">
        <v>1611</v>
      </c>
      <c r="D648" s="205" t="s">
        <v>152</v>
      </c>
      <c r="E648" s="251">
        <v>161</v>
      </c>
      <c r="F648" s="252">
        <v>1.5780000000000001</v>
      </c>
      <c r="G648" s="251"/>
      <c r="H648" s="251">
        <v>1.1000000000000001</v>
      </c>
      <c r="I648" s="251"/>
      <c r="J648" s="253"/>
      <c r="K648" s="254">
        <f t="shared" si="15"/>
        <v>279.46380000000005</v>
      </c>
      <c r="L648" s="266"/>
    </row>
    <row r="649" spans="2:12">
      <c r="B649" s="263" t="s">
        <v>1643</v>
      </c>
      <c r="C649" s="264" t="s">
        <v>1611</v>
      </c>
      <c r="D649" s="205" t="s">
        <v>152</v>
      </c>
      <c r="E649" s="251">
        <v>205</v>
      </c>
      <c r="F649" s="252">
        <v>1.5780000000000001</v>
      </c>
      <c r="G649" s="251"/>
      <c r="H649" s="251">
        <v>1.1000000000000001</v>
      </c>
      <c r="I649" s="251"/>
      <c r="J649" s="253"/>
      <c r="K649" s="254">
        <f t="shared" si="15"/>
        <v>355.83900000000006</v>
      </c>
      <c r="L649" s="266"/>
    </row>
    <row r="650" spans="2:12">
      <c r="B650" s="263" t="s">
        <v>1644</v>
      </c>
      <c r="C650" s="264" t="s">
        <v>1612</v>
      </c>
      <c r="D650" s="205" t="s">
        <v>152</v>
      </c>
      <c r="E650" s="251">
        <v>44</v>
      </c>
      <c r="F650" s="252">
        <v>1.5780000000000001</v>
      </c>
      <c r="G650" s="251"/>
      <c r="H650" s="251">
        <v>1.1000000000000001</v>
      </c>
      <c r="I650" s="251"/>
      <c r="J650" s="253"/>
      <c r="K650" s="254">
        <f t="shared" si="15"/>
        <v>76.375200000000007</v>
      </c>
      <c r="L650" s="266"/>
    </row>
    <row r="651" spans="2:12">
      <c r="B651" s="263" t="s">
        <v>1645</v>
      </c>
      <c r="C651" s="264" t="s">
        <v>1612</v>
      </c>
      <c r="D651" s="205" t="s">
        <v>152</v>
      </c>
      <c r="E651" s="251">
        <v>141</v>
      </c>
      <c r="F651" s="252">
        <v>1.5780000000000001</v>
      </c>
      <c r="G651" s="251"/>
      <c r="H651" s="251">
        <v>1.1000000000000001</v>
      </c>
      <c r="I651" s="251"/>
      <c r="J651" s="253"/>
      <c r="K651" s="254">
        <f t="shared" si="15"/>
        <v>244.74780000000004</v>
      </c>
      <c r="L651" s="266"/>
    </row>
    <row r="652" spans="2:12">
      <c r="B652" s="263" t="s">
        <v>1646</v>
      </c>
      <c r="C652" s="264" t="s">
        <v>1612</v>
      </c>
      <c r="D652" s="205" t="s">
        <v>152</v>
      </c>
      <c r="E652" s="251">
        <v>223</v>
      </c>
      <c r="F652" s="252">
        <v>1.5780000000000001</v>
      </c>
      <c r="G652" s="251"/>
      <c r="H652" s="251">
        <v>1.1000000000000001</v>
      </c>
      <c r="I652" s="251"/>
      <c r="J652" s="253"/>
      <c r="K652" s="254">
        <f t="shared" si="15"/>
        <v>387.08340000000004</v>
      </c>
      <c r="L652" s="266"/>
    </row>
    <row r="653" spans="2:12">
      <c r="B653" s="263" t="s">
        <v>1647</v>
      </c>
      <c r="C653" s="264" t="s">
        <v>1613</v>
      </c>
      <c r="D653" s="205" t="s">
        <v>152</v>
      </c>
      <c r="E653" s="257">
        <v>614</v>
      </c>
      <c r="F653" s="258">
        <v>1.5780000000000001</v>
      </c>
      <c r="G653" s="257"/>
      <c r="H653" s="257">
        <v>1.1000000000000001</v>
      </c>
      <c r="I653" s="251"/>
      <c r="J653" s="253"/>
      <c r="K653" s="254">
        <f t="shared" si="15"/>
        <v>1065.7812000000001</v>
      </c>
      <c r="L653" s="255"/>
    </row>
    <row r="654" spans="2:12">
      <c r="B654" s="263" t="s">
        <v>1896</v>
      </c>
      <c r="C654" s="264" t="s">
        <v>1895</v>
      </c>
      <c r="D654" s="205" t="s">
        <v>152</v>
      </c>
      <c r="E654" s="257">
        <v>492</v>
      </c>
      <c r="F654" s="258">
        <v>1.5780000000000001</v>
      </c>
      <c r="G654" s="257"/>
      <c r="H654" s="257">
        <v>1.1000000000000001</v>
      </c>
      <c r="I654" s="251"/>
      <c r="J654" s="253"/>
      <c r="K654" s="254">
        <f t="shared" si="15"/>
        <v>854.01360000000022</v>
      </c>
      <c r="L654" s="255"/>
    </row>
    <row r="655" spans="2:12">
      <c r="B655" s="263" t="s">
        <v>1942</v>
      </c>
      <c r="C655" s="264" t="s">
        <v>1931</v>
      </c>
      <c r="D655" s="205" t="s">
        <v>152</v>
      </c>
      <c r="E655" s="257">
        <v>565</v>
      </c>
      <c r="F655" s="258">
        <v>1.5780000000000001</v>
      </c>
      <c r="G655" s="257"/>
      <c r="H655" s="257">
        <v>1.1000000000000001</v>
      </c>
      <c r="I655" s="251"/>
      <c r="J655" s="253"/>
      <c r="K655" s="254">
        <f t="shared" si="15"/>
        <v>980.72700000000009</v>
      </c>
      <c r="L655" s="266"/>
    </row>
    <row r="656" spans="2:12">
      <c r="B656" s="263" t="s">
        <v>1943</v>
      </c>
      <c r="C656" s="264" t="s">
        <v>1931</v>
      </c>
      <c r="D656" s="205" t="s">
        <v>152</v>
      </c>
      <c r="E656" s="257">
        <v>76</v>
      </c>
      <c r="F656" s="258">
        <v>1.5780000000000001</v>
      </c>
      <c r="G656" s="257"/>
      <c r="H656" s="257">
        <v>1.1000000000000001</v>
      </c>
      <c r="I656" s="251"/>
      <c r="J656" s="253"/>
      <c r="K656" s="254">
        <f t="shared" si="15"/>
        <v>131.92080000000001</v>
      </c>
      <c r="L656" s="266"/>
    </row>
    <row r="657" spans="2:12">
      <c r="B657" s="256"/>
      <c r="C657" s="210"/>
      <c r="D657" s="210"/>
      <c r="E657" s="257"/>
      <c r="F657" s="258"/>
      <c r="G657" s="257"/>
      <c r="H657" s="257"/>
      <c r="I657" s="257"/>
      <c r="J657" s="259"/>
      <c r="K657" s="254">
        <f t="shared" si="15"/>
        <v>0</v>
      </c>
      <c r="L657" s="210"/>
    </row>
    <row r="658" spans="2:12">
      <c r="B658" s="202"/>
      <c r="C658" s="203"/>
      <c r="D658" s="203"/>
      <c r="E658" s="203"/>
      <c r="F658" s="203"/>
      <c r="G658" s="203"/>
      <c r="H658" s="204"/>
      <c r="I658" s="556" t="s">
        <v>1221</v>
      </c>
      <c r="J658" s="556"/>
      <c r="K658" s="220">
        <f>SUM(K642:K657)</f>
        <v>6333.9342000000006</v>
      </c>
      <c r="L658" s="207"/>
    </row>
    <row r="659" spans="2:12">
      <c r="B659" s="208"/>
      <c r="C659" s="204"/>
      <c r="D659" s="204"/>
      <c r="E659" s="204"/>
      <c r="F659" s="204"/>
      <c r="G659" s="204"/>
      <c r="H659" s="209"/>
      <c r="I659" s="557" t="s">
        <v>1222</v>
      </c>
      <c r="J659" s="557"/>
      <c r="K659" s="221">
        <f>VLOOKUP(B640,'BM 004'!$B$27:$R$590,4,0)</f>
        <v>8421.6</v>
      </c>
      <c r="L659" s="207"/>
    </row>
    <row r="660" spans="2:12">
      <c r="B660" s="208"/>
      <c r="C660" s="204"/>
      <c r="D660" s="204"/>
      <c r="E660" s="204"/>
      <c r="F660" s="204"/>
      <c r="G660" s="204"/>
      <c r="H660" s="558" t="s">
        <v>1223</v>
      </c>
      <c r="I660" s="558"/>
      <c r="J660" s="558"/>
      <c r="K660" s="222">
        <v>5221.2864</v>
      </c>
      <c r="L660" s="207"/>
    </row>
    <row r="661" spans="2:12">
      <c r="B661" s="208"/>
      <c r="C661" s="204"/>
      <c r="D661" s="204"/>
      <c r="E661" s="204"/>
      <c r="F661" s="204"/>
      <c r="G661" s="204"/>
      <c r="H661" s="558" t="s">
        <v>1891</v>
      </c>
      <c r="I661" s="558"/>
      <c r="J661" s="558"/>
      <c r="K661" s="222">
        <f>TRUNC(SUMIF(C642:C657,H661,K642:K657),2)</f>
        <v>1112.6400000000001</v>
      </c>
      <c r="L661" s="207"/>
    </row>
    <row r="662" spans="2:12">
      <c r="B662" s="213"/>
      <c r="C662" s="214"/>
      <c r="D662" s="214"/>
      <c r="E662" s="214"/>
      <c r="F662" s="214"/>
      <c r="G662" s="214"/>
      <c r="H662" s="559" t="s">
        <v>1224</v>
      </c>
      <c r="I662" s="559"/>
      <c r="J662" s="559"/>
      <c r="K662" s="223">
        <f>IF(K658&gt;K659,K658-K659,0)</f>
        <v>0</v>
      </c>
      <c r="L662" s="209"/>
    </row>
    <row r="664" spans="2:12">
      <c r="B664" s="247" t="s">
        <v>209</v>
      </c>
      <c r="C664" s="565" t="str">
        <f>VLOOKUP(B664,'BM 004'!$B$27:$R$590,2,0)</f>
        <v xml:space="preserve">Armação de pilar ou viga de uma estrutura convencional de concreto armado em um edifício de múltiplos pavimentos utilizando aço ca-50 de 20,0 mm - montagem. </v>
      </c>
      <c r="D664" s="565"/>
      <c r="E664" s="565"/>
      <c r="F664" s="565"/>
      <c r="G664" s="565"/>
      <c r="H664" s="565"/>
      <c r="I664" s="565"/>
      <c r="J664" s="565"/>
      <c r="K664" s="565"/>
      <c r="L664" s="565"/>
    </row>
    <row r="665" spans="2:12">
      <c r="B665" s="248" t="s">
        <v>1209</v>
      </c>
      <c r="C665" s="248"/>
      <c r="D665" s="248" t="s">
        <v>39</v>
      </c>
      <c r="E665" s="248" t="s">
        <v>1210</v>
      </c>
      <c r="F665" s="248" t="s">
        <v>1382</v>
      </c>
      <c r="G665" s="248" t="s">
        <v>1383</v>
      </c>
      <c r="H665" s="248" t="s">
        <v>1384</v>
      </c>
      <c r="I665" s="248" t="s">
        <v>1214</v>
      </c>
      <c r="J665" s="248" t="s">
        <v>1385</v>
      </c>
      <c r="K665" s="248" t="s">
        <v>1216</v>
      </c>
      <c r="L665" s="248" t="s">
        <v>1217</v>
      </c>
    </row>
    <row r="666" spans="2:12">
      <c r="B666" s="249" t="s">
        <v>1367</v>
      </c>
      <c r="C666" s="250" t="s">
        <v>1333</v>
      </c>
      <c r="D666" s="205" t="s">
        <v>152</v>
      </c>
      <c r="E666" s="251">
        <v>75</v>
      </c>
      <c r="F666" s="252">
        <v>2.4660000000000002</v>
      </c>
      <c r="G666" s="251"/>
      <c r="H666" s="251">
        <v>1.1000000000000001</v>
      </c>
      <c r="I666" s="251"/>
      <c r="J666" s="253"/>
      <c r="K666" s="254">
        <f t="shared" ref="K666:K682" si="16">IF(E666*F666*G666&lt;&gt;0,E666*F666*G666,IF(E666*F666&lt;&gt;0,E666*F666,IF(F666*G666&lt;&gt;0,F666*G666,IF(E666*G666&lt;&gt;0,E666*G666,IF(E666&lt;&gt;0,E666,IF(F666&lt;&gt;0,F666,IF(G666&lt;&gt;0,G666,0)))))))*(IF(H666&lt;&gt;0,H666,1))+I666-J666</f>
        <v>203.44500000000002</v>
      </c>
      <c r="L666" s="255"/>
    </row>
    <row r="667" spans="2:12">
      <c r="B667" s="249" t="s">
        <v>1386</v>
      </c>
      <c r="C667" s="250" t="s">
        <v>1333</v>
      </c>
      <c r="D667" s="205" t="s">
        <v>152</v>
      </c>
      <c r="E667" s="251">
        <v>95</v>
      </c>
      <c r="F667" s="252">
        <v>2.4660000000000002</v>
      </c>
      <c r="G667" s="251"/>
      <c r="H667" s="251">
        <v>1.1000000000000001</v>
      </c>
      <c r="I667" s="251"/>
      <c r="J667" s="253"/>
      <c r="K667" s="254">
        <f t="shared" si="16"/>
        <v>257.69700000000006</v>
      </c>
      <c r="L667" s="255"/>
    </row>
    <row r="668" spans="2:12">
      <c r="B668" s="263" t="s">
        <v>1475</v>
      </c>
      <c r="C668" s="264" t="s">
        <v>1441</v>
      </c>
      <c r="D668" s="205" t="s">
        <v>152</v>
      </c>
      <c r="E668" s="251">
        <v>150</v>
      </c>
      <c r="F668" s="252">
        <v>2.4660000000000002</v>
      </c>
      <c r="G668" s="251"/>
      <c r="H668" s="251">
        <v>1.1000000000000001</v>
      </c>
      <c r="I668" s="251"/>
      <c r="J668" s="253"/>
      <c r="K668" s="254">
        <f t="shared" si="16"/>
        <v>406.89000000000004</v>
      </c>
      <c r="L668" s="255"/>
    </row>
    <row r="669" spans="2:12">
      <c r="B669" s="263" t="s">
        <v>1476</v>
      </c>
      <c r="C669" s="264" t="s">
        <v>1441</v>
      </c>
      <c r="D669" s="205" t="s">
        <v>152</v>
      </c>
      <c r="E669" s="251">
        <v>137</v>
      </c>
      <c r="F669" s="252">
        <v>2.4660000000000002</v>
      </c>
      <c r="G669" s="251"/>
      <c r="H669" s="251">
        <v>1.1000000000000001</v>
      </c>
      <c r="I669" s="251"/>
      <c r="J669" s="253"/>
      <c r="K669" s="254">
        <f t="shared" si="16"/>
        <v>371.6262000000001</v>
      </c>
      <c r="L669" s="255"/>
    </row>
    <row r="670" spans="2:12">
      <c r="B670" s="263" t="s">
        <v>1302</v>
      </c>
      <c r="C670" s="264" t="s">
        <v>1441</v>
      </c>
      <c r="D670" s="205" t="s">
        <v>152</v>
      </c>
      <c r="E670" s="251">
        <v>157</v>
      </c>
      <c r="F670" s="252">
        <v>2.4660000000000002</v>
      </c>
      <c r="G670" s="251"/>
      <c r="H670" s="251">
        <v>1.1000000000000001</v>
      </c>
      <c r="I670" s="251"/>
      <c r="J670" s="253"/>
      <c r="K670" s="254">
        <f t="shared" si="16"/>
        <v>425.87820000000005</v>
      </c>
      <c r="L670" s="255"/>
    </row>
    <row r="671" spans="2:12">
      <c r="B671" s="263" t="s">
        <v>1552</v>
      </c>
      <c r="C671" s="264" t="s">
        <v>1521</v>
      </c>
      <c r="D671" s="205" t="s">
        <v>152</v>
      </c>
      <c r="E671" s="251">
        <v>172</v>
      </c>
      <c r="F671" s="252">
        <v>2.4660000000000002</v>
      </c>
      <c r="G671" s="251"/>
      <c r="H671" s="251">
        <v>1.1000000000000001</v>
      </c>
      <c r="I671" s="251"/>
      <c r="J671" s="253"/>
      <c r="K671" s="254">
        <f t="shared" si="16"/>
        <v>466.56720000000007</v>
      </c>
      <c r="L671" s="266"/>
    </row>
    <row r="672" spans="2:12">
      <c r="B672" s="263" t="s">
        <v>1553</v>
      </c>
      <c r="C672" s="264" t="s">
        <v>1521</v>
      </c>
      <c r="D672" s="205" t="s">
        <v>152</v>
      </c>
      <c r="E672" s="251">
        <v>47</v>
      </c>
      <c r="F672" s="252">
        <v>2.4660000000000002</v>
      </c>
      <c r="G672" s="251"/>
      <c r="H672" s="251">
        <v>1.1000000000000001</v>
      </c>
      <c r="I672" s="251"/>
      <c r="J672" s="253"/>
      <c r="K672" s="254">
        <f t="shared" si="16"/>
        <v>127.49220000000003</v>
      </c>
      <c r="L672" s="266"/>
    </row>
    <row r="673" spans="2:12">
      <c r="B673" s="263" t="s">
        <v>1642</v>
      </c>
      <c r="C673" s="264" t="s">
        <v>1611</v>
      </c>
      <c r="D673" s="205" t="s">
        <v>152</v>
      </c>
      <c r="E673" s="251">
        <v>105</v>
      </c>
      <c r="F673" s="252">
        <v>2.4660000000000002</v>
      </c>
      <c r="G673" s="251"/>
      <c r="H673" s="251">
        <v>1.1000000000000001</v>
      </c>
      <c r="I673" s="251"/>
      <c r="J673" s="253"/>
      <c r="K673" s="254">
        <f t="shared" si="16"/>
        <v>284.82300000000004</v>
      </c>
      <c r="L673" s="266"/>
    </row>
    <row r="674" spans="2:12">
      <c r="B674" s="263" t="s">
        <v>1643</v>
      </c>
      <c r="C674" s="264" t="s">
        <v>1611</v>
      </c>
      <c r="D674" s="205" t="s">
        <v>152</v>
      </c>
      <c r="E674" s="251">
        <v>117</v>
      </c>
      <c r="F674" s="252">
        <v>2.4660000000000002</v>
      </c>
      <c r="G674" s="251"/>
      <c r="H674" s="251">
        <v>1.1000000000000001</v>
      </c>
      <c r="I674" s="251"/>
      <c r="J674" s="253"/>
      <c r="K674" s="254">
        <f t="shared" si="16"/>
        <v>317.37420000000009</v>
      </c>
      <c r="L674" s="266"/>
    </row>
    <row r="675" spans="2:12">
      <c r="B675" s="263" t="s">
        <v>1644</v>
      </c>
      <c r="C675" s="264" t="s">
        <v>1612</v>
      </c>
      <c r="D675" s="205" t="s">
        <v>152</v>
      </c>
      <c r="E675" s="251">
        <v>126</v>
      </c>
      <c r="F675" s="252">
        <v>2.4660000000000002</v>
      </c>
      <c r="G675" s="251"/>
      <c r="H675" s="251">
        <v>1.1000000000000001</v>
      </c>
      <c r="I675" s="251"/>
      <c r="J675" s="253"/>
      <c r="K675" s="254">
        <f t="shared" si="16"/>
        <v>341.78760000000005</v>
      </c>
      <c r="L675" s="266"/>
    </row>
    <row r="676" spans="2:12">
      <c r="B676" s="263" t="s">
        <v>1645</v>
      </c>
      <c r="C676" s="264" t="s">
        <v>1612</v>
      </c>
      <c r="D676" s="205" t="s">
        <v>152</v>
      </c>
      <c r="E676" s="251">
        <v>78</v>
      </c>
      <c r="F676" s="252">
        <v>2.4660000000000002</v>
      </c>
      <c r="G676" s="251"/>
      <c r="H676" s="251">
        <v>1.1000000000000001</v>
      </c>
      <c r="I676" s="251"/>
      <c r="J676" s="253"/>
      <c r="K676" s="254">
        <f t="shared" si="16"/>
        <v>211.58280000000002</v>
      </c>
      <c r="L676" s="266"/>
    </row>
    <row r="677" spans="2:12">
      <c r="B677" s="263" t="s">
        <v>1646</v>
      </c>
      <c r="C677" s="264" t="s">
        <v>1612</v>
      </c>
      <c r="D677" s="205" t="s">
        <v>152</v>
      </c>
      <c r="E677" s="251">
        <v>75</v>
      </c>
      <c r="F677" s="252">
        <v>2.4660000000000002</v>
      </c>
      <c r="G677" s="251"/>
      <c r="H677" s="251">
        <v>1.1000000000000001</v>
      </c>
      <c r="I677" s="251"/>
      <c r="J677" s="253"/>
      <c r="K677" s="254">
        <f t="shared" si="16"/>
        <v>203.44500000000002</v>
      </c>
      <c r="L677" s="266"/>
    </row>
    <row r="678" spans="2:12">
      <c r="B678" s="263" t="s">
        <v>1647</v>
      </c>
      <c r="C678" s="264" t="s">
        <v>1613</v>
      </c>
      <c r="D678" s="205" t="s">
        <v>152</v>
      </c>
      <c r="E678" s="257">
        <v>139</v>
      </c>
      <c r="F678" s="258">
        <v>2.4660000000000002</v>
      </c>
      <c r="G678" s="257"/>
      <c r="H678" s="257">
        <v>1.1000000000000001</v>
      </c>
      <c r="I678" s="251"/>
      <c r="J678" s="253"/>
      <c r="K678" s="254">
        <f t="shared" si="16"/>
        <v>377.05140000000006</v>
      </c>
      <c r="L678" s="255"/>
    </row>
    <row r="679" spans="2:12">
      <c r="B679" s="263" t="s">
        <v>1896</v>
      </c>
      <c r="C679" s="264" t="s">
        <v>1895</v>
      </c>
      <c r="D679" s="205" t="s">
        <v>152</v>
      </c>
      <c r="E679" s="257">
        <v>213</v>
      </c>
      <c r="F679" s="258">
        <v>2.4660000000000002</v>
      </c>
      <c r="G679" s="257"/>
      <c r="H679" s="257">
        <v>1.1000000000000001</v>
      </c>
      <c r="I679" s="251"/>
      <c r="J679" s="253"/>
      <c r="K679" s="254">
        <f t="shared" si="16"/>
        <v>577.78380000000004</v>
      </c>
      <c r="L679" s="255"/>
    </row>
    <row r="680" spans="2:12">
      <c r="B680" s="263" t="s">
        <v>1942</v>
      </c>
      <c r="C680" s="264" t="s">
        <v>1931</v>
      </c>
      <c r="D680" s="205" t="s">
        <v>152</v>
      </c>
      <c r="E680" s="257">
        <v>362</v>
      </c>
      <c r="F680" s="258">
        <v>2.4660000000000002</v>
      </c>
      <c r="G680" s="257"/>
      <c r="H680" s="257">
        <v>1.1000000000000001</v>
      </c>
      <c r="I680" s="251"/>
      <c r="J680" s="253"/>
      <c r="K680" s="254">
        <f t="shared" si="16"/>
        <v>981.96120000000019</v>
      </c>
      <c r="L680" s="266"/>
    </row>
    <row r="681" spans="2:12">
      <c r="B681" s="263" t="s">
        <v>1943</v>
      </c>
      <c r="C681" s="264" t="s">
        <v>1931</v>
      </c>
      <c r="D681" s="205" t="s">
        <v>152</v>
      </c>
      <c r="E681" s="257">
        <v>97</v>
      </c>
      <c r="F681" s="258">
        <v>2.4660000000000002</v>
      </c>
      <c r="G681" s="257"/>
      <c r="H681" s="257">
        <v>1.1000000000000001</v>
      </c>
      <c r="I681" s="251"/>
      <c r="J681" s="253"/>
      <c r="K681" s="254">
        <f t="shared" si="16"/>
        <v>263.12220000000008</v>
      </c>
      <c r="L681" s="266"/>
    </row>
    <row r="682" spans="2:12">
      <c r="B682" s="256"/>
      <c r="C682" s="210"/>
      <c r="D682" s="210"/>
      <c r="E682" s="257"/>
      <c r="F682" s="258"/>
      <c r="G682" s="257"/>
      <c r="H682" s="257"/>
      <c r="I682" s="257"/>
      <c r="J682" s="259"/>
      <c r="K682" s="254">
        <f t="shared" si="16"/>
        <v>0</v>
      </c>
      <c r="L682" s="210"/>
    </row>
    <row r="683" spans="2:12">
      <c r="B683" s="202"/>
      <c r="C683" s="203"/>
      <c r="D683" s="203"/>
      <c r="E683" s="203"/>
      <c r="F683" s="203"/>
      <c r="G683" s="203"/>
      <c r="H683" s="204"/>
      <c r="I683" s="556" t="s">
        <v>1221</v>
      </c>
      <c r="J683" s="556"/>
      <c r="K683" s="220">
        <f>SUM(K666:K682)</f>
        <v>5818.5270000000019</v>
      </c>
      <c r="L683" s="207"/>
    </row>
    <row r="684" spans="2:12">
      <c r="B684" s="208"/>
      <c r="C684" s="204"/>
      <c r="D684" s="204"/>
      <c r="E684" s="204"/>
      <c r="F684" s="204"/>
      <c r="G684" s="204"/>
      <c r="H684" s="209"/>
      <c r="I684" s="557" t="s">
        <v>1222</v>
      </c>
      <c r="J684" s="557"/>
      <c r="K684" s="221">
        <f>VLOOKUP(B664,'BM 004'!$B$27:$R$590,4,0)</f>
        <v>7144.5</v>
      </c>
      <c r="L684" s="207"/>
    </row>
    <row r="685" spans="2:12">
      <c r="B685" s="208"/>
      <c r="C685" s="204"/>
      <c r="D685" s="204"/>
      <c r="E685" s="204"/>
      <c r="F685" s="204"/>
      <c r="G685" s="204"/>
      <c r="H685" s="558" t="s">
        <v>1223</v>
      </c>
      <c r="I685" s="558"/>
      <c r="J685" s="558"/>
      <c r="K685" s="222">
        <v>4573.4435999999996</v>
      </c>
      <c r="L685" s="207"/>
    </row>
    <row r="686" spans="2:12">
      <c r="B686" s="208"/>
      <c r="C686" s="204"/>
      <c r="D686" s="204"/>
      <c r="E686" s="204"/>
      <c r="F686" s="204"/>
      <c r="G686" s="204"/>
      <c r="H686" s="558" t="s">
        <v>1891</v>
      </c>
      <c r="I686" s="558"/>
      <c r="J686" s="558"/>
      <c r="K686" s="222">
        <f>TRUNC(SUMIF(C666:C682,H686,K666:K682),2)</f>
        <v>1245.08</v>
      </c>
      <c r="L686" s="207"/>
    </row>
    <row r="687" spans="2:12">
      <c r="B687" s="213"/>
      <c r="C687" s="214"/>
      <c r="D687" s="214"/>
      <c r="E687" s="214"/>
      <c r="F687" s="214"/>
      <c r="G687" s="214"/>
      <c r="H687" s="559" t="s">
        <v>1224</v>
      </c>
      <c r="I687" s="559"/>
      <c r="J687" s="559"/>
      <c r="K687" s="223">
        <f>IF(K683&gt;K684,K683-K684,0)</f>
        <v>0</v>
      </c>
      <c r="L687" s="209"/>
    </row>
    <row r="689" spans="2:12">
      <c r="B689" s="247" t="s">
        <v>211</v>
      </c>
      <c r="C689" s="565" t="str">
        <f>VLOOKUP(B689,'BM 004'!$B$27:$R$590,2,0)</f>
        <v xml:space="preserve">Armação de pilar ou viga de uma estrutura convencional de concreto armado em um edifício de múltiplos pavimentos utilizando aço ca-50 de 25,0 mm - montagem. </v>
      </c>
      <c r="D689" s="565"/>
      <c r="E689" s="565"/>
      <c r="F689" s="565"/>
      <c r="G689" s="565"/>
      <c r="H689" s="565"/>
      <c r="I689" s="565"/>
      <c r="J689" s="565"/>
      <c r="K689" s="565"/>
      <c r="L689" s="565"/>
    </row>
    <row r="690" spans="2:12">
      <c r="B690" s="248" t="s">
        <v>1209</v>
      </c>
      <c r="C690" s="248"/>
      <c r="D690" s="248" t="s">
        <v>39</v>
      </c>
      <c r="E690" s="248" t="s">
        <v>1210</v>
      </c>
      <c r="F690" s="248" t="s">
        <v>1382</v>
      </c>
      <c r="G690" s="248" t="s">
        <v>1383</v>
      </c>
      <c r="H690" s="248" t="s">
        <v>1384</v>
      </c>
      <c r="I690" s="248" t="s">
        <v>1214</v>
      </c>
      <c r="J690" s="248" t="s">
        <v>1385</v>
      </c>
      <c r="K690" s="248" t="s">
        <v>1216</v>
      </c>
      <c r="L690" s="248" t="s">
        <v>1217</v>
      </c>
    </row>
    <row r="691" spans="2:12">
      <c r="B691" s="249" t="s">
        <v>1367</v>
      </c>
      <c r="C691" s="250" t="s">
        <v>1333</v>
      </c>
      <c r="D691" s="205" t="s">
        <v>152</v>
      </c>
      <c r="E691" s="251">
        <v>16</v>
      </c>
      <c r="F691" s="252">
        <v>3.8530000000000002</v>
      </c>
      <c r="G691" s="251"/>
      <c r="H691" s="251">
        <v>1.1000000000000001</v>
      </c>
      <c r="I691" s="251"/>
      <c r="J691" s="253"/>
      <c r="K691" s="254">
        <f t="shared" ref="K691:K707" si="17">IF(E691*F691*G691&lt;&gt;0,E691*F691*G691,IF(E691*F691&lt;&gt;0,E691*F691,IF(F691*G691&lt;&gt;0,F691*G691,IF(E691*G691&lt;&gt;0,E691*G691,IF(E691&lt;&gt;0,E691,IF(F691&lt;&gt;0,F691,IF(G691&lt;&gt;0,G691,0)))))))*(IF(H691&lt;&gt;0,H691,1))+I691-J691</f>
        <v>67.81280000000001</v>
      </c>
      <c r="L691" s="255"/>
    </row>
    <row r="692" spans="2:12">
      <c r="B692" s="249" t="s">
        <v>1386</v>
      </c>
      <c r="C692" s="250" t="s">
        <v>1333</v>
      </c>
      <c r="D692" s="205" t="s">
        <v>152</v>
      </c>
      <c r="E692" s="251">
        <v>44</v>
      </c>
      <c r="F692" s="252">
        <v>3.8530000000000002</v>
      </c>
      <c r="G692" s="251"/>
      <c r="H692" s="251">
        <v>1.1000000000000001</v>
      </c>
      <c r="I692" s="251"/>
      <c r="J692" s="253"/>
      <c r="K692" s="254">
        <f t="shared" si="17"/>
        <v>186.48520000000002</v>
      </c>
      <c r="L692" s="255"/>
    </row>
    <row r="693" spans="2:12">
      <c r="B693" s="263" t="s">
        <v>1475</v>
      </c>
      <c r="C693" s="264" t="s">
        <v>1441</v>
      </c>
      <c r="D693" s="205" t="s">
        <v>152</v>
      </c>
      <c r="E693" s="251">
        <v>148</v>
      </c>
      <c r="F693" s="252">
        <v>3.8530000000000002</v>
      </c>
      <c r="G693" s="251"/>
      <c r="H693" s="251">
        <v>1.1000000000000001</v>
      </c>
      <c r="I693" s="251"/>
      <c r="J693" s="253"/>
      <c r="K693" s="254">
        <f t="shared" si="17"/>
        <v>627.26840000000004</v>
      </c>
      <c r="L693" s="255"/>
    </row>
    <row r="694" spans="2:12">
      <c r="B694" s="263" t="s">
        <v>1476</v>
      </c>
      <c r="C694" s="264" t="s">
        <v>1441</v>
      </c>
      <c r="D694" s="205" t="s">
        <v>152</v>
      </c>
      <c r="E694" s="251">
        <v>96</v>
      </c>
      <c r="F694" s="252">
        <v>3.8530000000000002</v>
      </c>
      <c r="G694" s="251"/>
      <c r="H694" s="251">
        <v>1.1000000000000001</v>
      </c>
      <c r="I694" s="251"/>
      <c r="J694" s="253"/>
      <c r="K694" s="254">
        <f t="shared" si="17"/>
        <v>406.87680000000006</v>
      </c>
      <c r="L694" s="255"/>
    </row>
    <row r="695" spans="2:12">
      <c r="B695" s="263" t="s">
        <v>1302</v>
      </c>
      <c r="C695" s="264" t="s">
        <v>1441</v>
      </c>
      <c r="D695" s="205" t="s">
        <v>152</v>
      </c>
      <c r="E695" s="251">
        <v>222</v>
      </c>
      <c r="F695" s="252">
        <v>3.8530000000000002</v>
      </c>
      <c r="G695" s="251"/>
      <c r="H695" s="251">
        <v>1.1000000000000001</v>
      </c>
      <c r="I695" s="251"/>
      <c r="J695" s="253"/>
      <c r="K695" s="254">
        <f t="shared" si="17"/>
        <v>940.90260000000023</v>
      </c>
      <c r="L695" s="255"/>
    </row>
    <row r="696" spans="2:12">
      <c r="B696" s="263" t="s">
        <v>1552</v>
      </c>
      <c r="C696" s="264" t="s">
        <v>1521</v>
      </c>
      <c r="D696" s="205" t="s">
        <v>152</v>
      </c>
      <c r="E696" s="251">
        <v>57</v>
      </c>
      <c r="F696" s="252">
        <v>3.8530000000000002</v>
      </c>
      <c r="G696" s="251"/>
      <c r="H696" s="251">
        <v>1.1000000000000001</v>
      </c>
      <c r="I696" s="251"/>
      <c r="J696" s="253"/>
      <c r="K696" s="254">
        <f t="shared" si="17"/>
        <v>241.58310000000003</v>
      </c>
      <c r="L696" s="266"/>
    </row>
    <row r="697" spans="2:12">
      <c r="B697" s="263" t="s">
        <v>1553</v>
      </c>
      <c r="C697" s="264" t="s">
        <v>1521</v>
      </c>
      <c r="D697" s="205" t="s">
        <v>152</v>
      </c>
      <c r="E697" s="251">
        <v>34</v>
      </c>
      <c r="F697" s="252">
        <v>3.8530000000000002</v>
      </c>
      <c r="G697" s="251"/>
      <c r="H697" s="251">
        <v>1.1000000000000001</v>
      </c>
      <c r="I697" s="251"/>
      <c r="J697" s="253"/>
      <c r="K697" s="254">
        <f t="shared" si="17"/>
        <v>144.10220000000001</v>
      </c>
      <c r="L697" s="266"/>
    </row>
    <row r="698" spans="2:12">
      <c r="B698" s="263" t="s">
        <v>1642</v>
      </c>
      <c r="C698" s="264" t="s">
        <v>1611</v>
      </c>
      <c r="D698" s="205" t="s">
        <v>152</v>
      </c>
      <c r="E698" s="251">
        <v>120</v>
      </c>
      <c r="F698" s="252">
        <v>3.8530000000000002</v>
      </c>
      <c r="G698" s="251"/>
      <c r="H698" s="251">
        <v>1.1000000000000001</v>
      </c>
      <c r="I698" s="251"/>
      <c r="J698" s="253"/>
      <c r="K698" s="254">
        <f t="shared" si="17"/>
        <v>508.59600000000006</v>
      </c>
      <c r="L698" s="266"/>
    </row>
    <row r="699" spans="2:12">
      <c r="B699" s="263" t="s">
        <v>1643</v>
      </c>
      <c r="C699" s="264" t="s">
        <v>1611</v>
      </c>
      <c r="D699" s="205" t="s">
        <v>152</v>
      </c>
      <c r="E699" s="251">
        <v>118</v>
      </c>
      <c r="F699" s="252">
        <v>3.8530000000000002</v>
      </c>
      <c r="G699" s="251"/>
      <c r="H699" s="251">
        <v>1.1000000000000001</v>
      </c>
      <c r="I699" s="251"/>
      <c r="J699" s="253"/>
      <c r="K699" s="254">
        <f t="shared" si="17"/>
        <v>500.11940000000004</v>
      </c>
      <c r="L699" s="266"/>
    </row>
    <row r="700" spans="2:12">
      <c r="B700" s="263" t="s">
        <v>1644</v>
      </c>
      <c r="C700" s="264" t="s">
        <v>1612</v>
      </c>
      <c r="D700" s="205" t="s">
        <v>152</v>
      </c>
      <c r="E700" s="251">
        <v>69</v>
      </c>
      <c r="F700" s="252">
        <v>3.8530000000000002</v>
      </c>
      <c r="G700" s="251"/>
      <c r="H700" s="251">
        <v>1.1000000000000001</v>
      </c>
      <c r="I700" s="251"/>
      <c r="J700" s="253"/>
      <c r="K700" s="254">
        <f t="shared" si="17"/>
        <v>292.44270000000006</v>
      </c>
      <c r="L700" s="266"/>
    </row>
    <row r="701" spans="2:12">
      <c r="B701" s="263" t="s">
        <v>1645</v>
      </c>
      <c r="C701" s="264" t="s">
        <v>1612</v>
      </c>
      <c r="D701" s="205" t="s">
        <v>152</v>
      </c>
      <c r="E701" s="251">
        <v>20</v>
      </c>
      <c r="F701" s="252">
        <v>3.8530000000000002</v>
      </c>
      <c r="G701" s="251"/>
      <c r="H701" s="251">
        <v>1.1000000000000001</v>
      </c>
      <c r="I701" s="251"/>
      <c r="J701" s="253"/>
      <c r="K701" s="254">
        <f t="shared" si="17"/>
        <v>84.766000000000005</v>
      </c>
      <c r="L701" s="266"/>
    </row>
    <row r="702" spans="2:12">
      <c r="B702" s="263" t="s">
        <v>1646</v>
      </c>
      <c r="C702" s="264" t="s">
        <v>1612</v>
      </c>
      <c r="D702" s="205" t="s">
        <v>152</v>
      </c>
      <c r="E702" s="251">
        <v>11</v>
      </c>
      <c r="F702" s="252">
        <v>3.8530000000000002</v>
      </c>
      <c r="G702" s="251"/>
      <c r="H702" s="251">
        <v>1.1000000000000001</v>
      </c>
      <c r="I702" s="251"/>
      <c r="J702" s="253"/>
      <c r="K702" s="254">
        <f t="shared" si="17"/>
        <v>46.621300000000005</v>
      </c>
      <c r="L702" s="266"/>
    </row>
    <row r="703" spans="2:12">
      <c r="B703" s="263" t="s">
        <v>1647</v>
      </c>
      <c r="C703" s="264" t="s">
        <v>1613</v>
      </c>
      <c r="D703" s="205" t="s">
        <v>152</v>
      </c>
      <c r="E703" s="257">
        <v>222</v>
      </c>
      <c r="F703" s="258">
        <v>3.8530000000000002</v>
      </c>
      <c r="G703" s="257"/>
      <c r="H703" s="257">
        <v>1.1000000000000001</v>
      </c>
      <c r="I703" s="251"/>
      <c r="J703" s="253"/>
      <c r="K703" s="254">
        <f t="shared" si="17"/>
        <v>940.90260000000023</v>
      </c>
      <c r="L703" s="255"/>
    </row>
    <row r="704" spans="2:12">
      <c r="B704" s="263" t="s">
        <v>1896</v>
      </c>
      <c r="C704" s="264" t="s">
        <v>1895</v>
      </c>
      <c r="D704" s="205" t="s">
        <v>152</v>
      </c>
      <c r="E704" s="257">
        <v>95</v>
      </c>
      <c r="F704" s="258">
        <v>3.8530000000000002</v>
      </c>
      <c r="G704" s="257"/>
      <c r="H704" s="257">
        <v>1.1000000000000001</v>
      </c>
      <c r="I704" s="251"/>
      <c r="J704" s="253"/>
      <c r="K704" s="254">
        <f t="shared" si="17"/>
        <v>402.63850000000008</v>
      </c>
      <c r="L704" s="255"/>
    </row>
    <row r="705" spans="2:12">
      <c r="B705" s="263" t="s">
        <v>1942</v>
      </c>
      <c r="C705" s="264" t="s">
        <v>1931</v>
      </c>
      <c r="D705" s="205" t="s">
        <v>152</v>
      </c>
      <c r="E705" s="257">
        <v>51</v>
      </c>
      <c r="F705" s="258">
        <v>3.8530000000000002</v>
      </c>
      <c r="G705" s="257"/>
      <c r="H705" s="257">
        <v>1.1000000000000001</v>
      </c>
      <c r="I705" s="251"/>
      <c r="J705" s="253"/>
      <c r="K705" s="254">
        <f t="shared" si="17"/>
        <v>216.15330000000003</v>
      </c>
      <c r="L705" s="266"/>
    </row>
    <row r="706" spans="2:12">
      <c r="B706" s="263" t="s">
        <v>1943</v>
      </c>
      <c r="C706" s="264" t="s">
        <v>1931</v>
      </c>
      <c r="D706" s="205" t="s">
        <v>152</v>
      </c>
      <c r="E706" s="257">
        <v>21</v>
      </c>
      <c r="F706" s="258">
        <v>3.8530000000000002</v>
      </c>
      <c r="G706" s="257"/>
      <c r="H706" s="257">
        <v>1.1000000000000001</v>
      </c>
      <c r="I706" s="251"/>
      <c r="J706" s="253"/>
      <c r="K706" s="254">
        <f t="shared" si="17"/>
        <v>89.004300000000015</v>
      </c>
      <c r="L706" s="266"/>
    </row>
    <row r="707" spans="2:12">
      <c r="B707" s="256"/>
      <c r="C707" s="210"/>
      <c r="D707" s="210"/>
      <c r="E707" s="257"/>
      <c r="F707" s="258"/>
      <c r="G707" s="257"/>
      <c r="H707" s="257"/>
      <c r="I707" s="257"/>
      <c r="J707" s="259"/>
      <c r="K707" s="254">
        <f t="shared" si="17"/>
        <v>0</v>
      </c>
      <c r="L707" s="210"/>
    </row>
    <row r="708" spans="2:12">
      <c r="B708" s="202"/>
      <c r="C708" s="203"/>
      <c r="D708" s="203"/>
      <c r="E708" s="203"/>
      <c r="F708" s="203"/>
      <c r="G708" s="203"/>
      <c r="H708" s="204"/>
      <c r="I708" s="556" t="s">
        <v>1221</v>
      </c>
      <c r="J708" s="556"/>
      <c r="K708" s="220">
        <f>SUM(K691:K707)</f>
        <v>5696.2752</v>
      </c>
      <c r="L708" s="207"/>
    </row>
    <row r="709" spans="2:12">
      <c r="B709" s="208"/>
      <c r="C709" s="204"/>
      <c r="D709" s="204"/>
      <c r="E709" s="204"/>
      <c r="F709" s="204"/>
      <c r="G709" s="204"/>
      <c r="H709" s="209"/>
      <c r="I709" s="557" t="s">
        <v>1222</v>
      </c>
      <c r="J709" s="557"/>
      <c r="K709" s="221">
        <f>VLOOKUP(B689,'BM 004'!$B$27:$R$590,4,0)</f>
        <v>6531.8</v>
      </c>
      <c r="L709" s="207"/>
    </row>
    <row r="710" spans="2:12">
      <c r="B710" s="208"/>
      <c r="C710" s="204"/>
      <c r="D710" s="204"/>
      <c r="E710" s="204"/>
      <c r="F710" s="204"/>
      <c r="G710" s="204"/>
      <c r="H710" s="558" t="s">
        <v>1223</v>
      </c>
      <c r="I710" s="558"/>
      <c r="J710" s="558"/>
      <c r="K710" s="222">
        <v>5391.1175999999996</v>
      </c>
      <c r="L710" s="207"/>
    </row>
    <row r="711" spans="2:12">
      <c r="B711" s="208"/>
      <c r="C711" s="204"/>
      <c r="D711" s="204"/>
      <c r="E711" s="204"/>
      <c r="F711" s="204"/>
      <c r="G711" s="204"/>
      <c r="H711" s="558" t="s">
        <v>1891</v>
      </c>
      <c r="I711" s="558"/>
      <c r="J711" s="558"/>
      <c r="K711" s="222">
        <f>TRUNC(SUMIF(C691:C707,H711,K691:K707),2)</f>
        <v>305.14999999999998</v>
      </c>
      <c r="L711" s="207"/>
    </row>
    <row r="712" spans="2:12">
      <c r="B712" s="213"/>
      <c r="C712" s="214"/>
      <c r="D712" s="214"/>
      <c r="E712" s="214"/>
      <c r="F712" s="214"/>
      <c r="G712" s="214"/>
      <c r="H712" s="559" t="s">
        <v>1224</v>
      </c>
      <c r="I712" s="559"/>
      <c r="J712" s="559"/>
      <c r="K712" s="223">
        <f>IF(K708&gt;K709,K708-K709,0)</f>
        <v>0</v>
      </c>
      <c r="L712" s="209"/>
    </row>
    <row r="714" spans="2:12">
      <c r="B714" s="247" t="s">
        <v>214</v>
      </c>
      <c r="C714" s="565" t="str">
        <f>VLOOKUP(B714,'BM 004'!$B$27:$R$590,2,0)</f>
        <v xml:space="preserve">Concreto simples usinado fck=35mpa, bombeado, lançado e adensado em superestrutura </v>
      </c>
      <c r="D714" s="565"/>
      <c r="E714" s="565"/>
      <c r="F714" s="565"/>
      <c r="G714" s="565"/>
      <c r="H714" s="565"/>
      <c r="I714" s="565"/>
      <c r="J714" s="565"/>
      <c r="K714" s="565"/>
      <c r="L714" s="565"/>
    </row>
    <row r="715" spans="2:12">
      <c r="B715" s="248" t="s">
        <v>1209</v>
      </c>
      <c r="C715" s="248"/>
      <c r="D715" s="248" t="s">
        <v>39</v>
      </c>
      <c r="E715" s="248" t="s">
        <v>1210</v>
      </c>
      <c r="F715" s="248" t="s">
        <v>1388</v>
      </c>
      <c r="G715" s="248" t="s">
        <v>1212</v>
      </c>
      <c r="H715" s="248" t="s">
        <v>1455</v>
      </c>
      <c r="I715" s="248" t="s">
        <v>1214</v>
      </c>
      <c r="J715" s="248" t="s">
        <v>1385</v>
      </c>
      <c r="K715" s="248" t="s">
        <v>1216</v>
      </c>
      <c r="L715" s="248" t="s">
        <v>1217</v>
      </c>
    </row>
    <row r="716" spans="2:12">
      <c r="B716" s="249" t="s">
        <v>1456</v>
      </c>
      <c r="C716" s="250" t="s">
        <v>1441</v>
      </c>
      <c r="D716" s="205" t="s">
        <v>169</v>
      </c>
      <c r="E716" s="199">
        <v>0.64</v>
      </c>
      <c r="F716" s="199">
        <v>0.15</v>
      </c>
      <c r="G716" s="199">
        <v>1</v>
      </c>
      <c r="H716" s="199"/>
      <c r="I716" s="199"/>
      <c r="J716" s="219"/>
      <c r="K716" s="220">
        <f t="shared" ref="K716:K747" si="18">IF(E716*F716*G716&lt;&gt;0,E716*F716*G716,IF(E716*F716&lt;&gt;0,E716*F716,IF(F716*G716&lt;&gt;0,F716*G716,IF(E716*G716&lt;&gt;0,E716*G716,IF(E716&lt;&gt;0,E716,IF(F716&lt;&gt;0,F716,IF(G716&lt;&gt;0,G716,0)))))))*(IF(H716&lt;&gt;0,H716,1))+I716-J716</f>
        <v>9.6000000000000002E-2</v>
      </c>
      <c r="L716" s="255"/>
    </row>
    <row r="717" spans="2:12">
      <c r="B717" s="249" t="s">
        <v>1457</v>
      </c>
      <c r="C717" s="250" t="s">
        <v>1441</v>
      </c>
      <c r="D717" s="205" t="s">
        <v>169</v>
      </c>
      <c r="E717" s="199">
        <v>7.2</v>
      </c>
      <c r="F717" s="199">
        <v>0.15</v>
      </c>
      <c r="G717" s="199">
        <v>0.7</v>
      </c>
      <c r="H717" s="199"/>
      <c r="I717" s="199"/>
      <c r="J717" s="219"/>
      <c r="K717" s="220">
        <f t="shared" si="18"/>
        <v>0.75600000000000001</v>
      </c>
      <c r="L717" s="255"/>
    </row>
    <row r="718" spans="2:12">
      <c r="B718" s="249" t="s">
        <v>1458</v>
      </c>
      <c r="C718" s="250" t="s">
        <v>1441</v>
      </c>
      <c r="D718" s="205" t="s">
        <v>169</v>
      </c>
      <c r="E718" s="199">
        <v>13.07</v>
      </c>
      <c r="F718" s="199">
        <v>0.15</v>
      </c>
      <c r="G718" s="199">
        <v>0.7</v>
      </c>
      <c r="H718" s="199"/>
      <c r="I718" s="199"/>
      <c r="J718" s="219"/>
      <c r="K718" s="220">
        <f t="shared" si="18"/>
        <v>1.37235</v>
      </c>
      <c r="L718" s="255"/>
    </row>
    <row r="719" spans="2:12">
      <c r="B719" s="249" t="s">
        <v>1459</v>
      </c>
      <c r="C719" s="250" t="s">
        <v>1441</v>
      </c>
      <c r="D719" s="205" t="s">
        <v>169</v>
      </c>
      <c r="E719" s="199">
        <v>0.94</v>
      </c>
      <c r="F719" s="199">
        <v>0.2</v>
      </c>
      <c r="G719" s="199">
        <v>0.6</v>
      </c>
      <c r="H719" s="199"/>
      <c r="I719" s="199"/>
      <c r="J719" s="219"/>
      <c r="K719" s="220">
        <f t="shared" si="18"/>
        <v>0.1128</v>
      </c>
      <c r="L719" s="255"/>
    </row>
    <row r="720" spans="2:12">
      <c r="B720" s="249" t="s">
        <v>1460</v>
      </c>
      <c r="C720" s="250" t="s">
        <v>1441</v>
      </c>
      <c r="D720" s="205" t="s">
        <v>169</v>
      </c>
      <c r="E720" s="199">
        <v>6.7</v>
      </c>
      <c r="F720" s="199">
        <v>0.2</v>
      </c>
      <c r="G720" s="199">
        <v>0.6</v>
      </c>
      <c r="H720" s="199"/>
      <c r="I720" s="199"/>
      <c r="J720" s="219"/>
      <c r="K720" s="220">
        <f t="shared" si="18"/>
        <v>0.80400000000000005</v>
      </c>
      <c r="L720" s="255"/>
    </row>
    <row r="721" spans="2:12">
      <c r="B721" s="249" t="s">
        <v>1460</v>
      </c>
      <c r="C721" s="250" t="s">
        <v>1441</v>
      </c>
      <c r="D721" s="205" t="s">
        <v>169</v>
      </c>
      <c r="E721" s="199">
        <v>14.04</v>
      </c>
      <c r="F721" s="199">
        <v>0.2</v>
      </c>
      <c r="G721" s="199">
        <v>1.2</v>
      </c>
      <c r="H721" s="199"/>
      <c r="I721" s="199"/>
      <c r="J721" s="219"/>
      <c r="K721" s="220">
        <f t="shared" si="18"/>
        <v>3.3695999999999997</v>
      </c>
      <c r="L721" s="255"/>
    </row>
    <row r="722" spans="2:12">
      <c r="B722" s="249" t="s">
        <v>1461</v>
      </c>
      <c r="C722" s="250" t="s">
        <v>1441</v>
      </c>
      <c r="D722" s="205" t="s">
        <v>169</v>
      </c>
      <c r="E722" s="199">
        <v>7.64</v>
      </c>
      <c r="F722" s="199">
        <v>0.15</v>
      </c>
      <c r="G722" s="199">
        <v>0.8</v>
      </c>
      <c r="H722" s="199"/>
      <c r="I722" s="199"/>
      <c r="J722" s="219"/>
      <c r="K722" s="220">
        <f t="shared" si="18"/>
        <v>0.91679999999999995</v>
      </c>
      <c r="L722" s="255"/>
    </row>
    <row r="723" spans="2:12">
      <c r="B723" s="249" t="s">
        <v>1461</v>
      </c>
      <c r="C723" s="250" t="s">
        <v>1441</v>
      </c>
      <c r="D723" s="205" t="s">
        <v>169</v>
      </c>
      <c r="E723" s="199">
        <v>20.96</v>
      </c>
      <c r="F723" s="199">
        <v>0.15</v>
      </c>
      <c r="G723" s="199">
        <v>1.2</v>
      </c>
      <c r="H723" s="199"/>
      <c r="I723" s="199"/>
      <c r="J723" s="219"/>
      <c r="K723" s="220">
        <f t="shared" si="18"/>
        <v>3.7728000000000002</v>
      </c>
      <c r="L723" s="255"/>
    </row>
    <row r="724" spans="2:12">
      <c r="B724" s="249" t="s">
        <v>1462</v>
      </c>
      <c r="C724" s="250" t="s">
        <v>1441</v>
      </c>
      <c r="D724" s="205" t="s">
        <v>169</v>
      </c>
      <c r="E724" s="199">
        <v>22.34</v>
      </c>
      <c r="F724" s="199">
        <v>0.2</v>
      </c>
      <c r="G724" s="199">
        <v>0.6</v>
      </c>
      <c r="H724" s="199"/>
      <c r="I724" s="199"/>
      <c r="J724" s="219"/>
      <c r="K724" s="220">
        <f t="shared" si="18"/>
        <v>2.6808000000000001</v>
      </c>
      <c r="L724" s="255"/>
    </row>
    <row r="725" spans="2:12">
      <c r="B725" s="249" t="s">
        <v>1463</v>
      </c>
      <c r="C725" s="250" t="s">
        <v>1441</v>
      </c>
      <c r="D725" s="205" t="s">
        <v>169</v>
      </c>
      <c r="E725" s="199">
        <v>5.72</v>
      </c>
      <c r="F725" s="199">
        <v>0.15</v>
      </c>
      <c r="G725" s="199">
        <v>0.6</v>
      </c>
      <c r="H725" s="199"/>
      <c r="I725" s="199"/>
      <c r="J725" s="219"/>
      <c r="K725" s="220">
        <f t="shared" si="18"/>
        <v>0.51479999999999992</v>
      </c>
      <c r="L725" s="255"/>
    </row>
    <row r="726" spans="2:12">
      <c r="B726" s="249" t="s">
        <v>1464</v>
      </c>
      <c r="C726" s="250" t="s">
        <v>1441</v>
      </c>
      <c r="D726" s="205" t="s">
        <v>169</v>
      </c>
      <c r="E726" s="199">
        <v>22.34</v>
      </c>
      <c r="F726" s="199">
        <v>0.2</v>
      </c>
      <c r="G726" s="199">
        <v>0.6</v>
      </c>
      <c r="H726" s="199"/>
      <c r="I726" s="199"/>
      <c r="J726" s="219"/>
      <c r="K726" s="220">
        <f t="shared" si="18"/>
        <v>2.6808000000000001</v>
      </c>
      <c r="L726" s="255"/>
    </row>
    <row r="727" spans="2:12">
      <c r="B727" s="249" t="s">
        <v>1465</v>
      </c>
      <c r="C727" s="250" t="s">
        <v>1441</v>
      </c>
      <c r="D727" s="205" t="s">
        <v>169</v>
      </c>
      <c r="E727" s="199">
        <v>4.42</v>
      </c>
      <c r="F727" s="199">
        <v>0.2</v>
      </c>
      <c r="G727" s="199">
        <v>0.6</v>
      </c>
      <c r="H727" s="199"/>
      <c r="I727" s="199"/>
      <c r="J727" s="219"/>
      <c r="K727" s="220">
        <f t="shared" si="18"/>
        <v>0.53039999999999998</v>
      </c>
      <c r="L727" s="255"/>
    </row>
    <row r="728" spans="2:12">
      <c r="B728" s="249" t="s">
        <v>1466</v>
      </c>
      <c r="C728" s="250" t="s">
        <v>1441</v>
      </c>
      <c r="D728" s="205" t="s">
        <v>169</v>
      </c>
      <c r="E728" s="199">
        <v>28.84</v>
      </c>
      <c r="F728" s="199">
        <v>0.2</v>
      </c>
      <c r="G728" s="199">
        <v>0.6</v>
      </c>
      <c r="H728" s="199"/>
      <c r="I728" s="199"/>
      <c r="J728" s="219"/>
      <c r="K728" s="220">
        <f t="shared" si="18"/>
        <v>3.4608000000000003</v>
      </c>
      <c r="L728" s="255"/>
    </row>
    <row r="729" spans="2:12">
      <c r="B729" s="249" t="s">
        <v>1467</v>
      </c>
      <c r="C729" s="250" t="s">
        <v>1441</v>
      </c>
      <c r="D729" s="205" t="s">
        <v>169</v>
      </c>
      <c r="E729" s="199">
        <v>24.09</v>
      </c>
      <c r="F729" s="199">
        <v>0.15</v>
      </c>
      <c r="G729" s="199">
        <v>1</v>
      </c>
      <c r="H729" s="199"/>
      <c r="I729" s="199"/>
      <c r="J729" s="219"/>
      <c r="K729" s="220">
        <f t="shared" si="18"/>
        <v>3.6134999999999997</v>
      </c>
      <c r="L729" s="255"/>
    </row>
    <row r="730" spans="2:12">
      <c r="B730" s="249" t="s">
        <v>1468</v>
      </c>
      <c r="C730" s="250" t="s">
        <v>1441</v>
      </c>
      <c r="D730" s="205" t="s">
        <v>169</v>
      </c>
      <c r="E730" s="199">
        <v>9.8800000000000008</v>
      </c>
      <c r="F730" s="199">
        <v>0.15</v>
      </c>
      <c r="G730" s="199">
        <v>0.6</v>
      </c>
      <c r="H730" s="199"/>
      <c r="I730" s="199"/>
      <c r="J730" s="219"/>
      <c r="K730" s="220">
        <f t="shared" si="18"/>
        <v>0.88919999999999999</v>
      </c>
      <c r="L730" s="255"/>
    </row>
    <row r="731" spans="2:12">
      <c r="B731" s="249" t="s">
        <v>1469</v>
      </c>
      <c r="C731" s="250" t="s">
        <v>1441</v>
      </c>
      <c r="D731" s="205" t="s">
        <v>169</v>
      </c>
      <c r="E731" s="199">
        <v>12</v>
      </c>
      <c r="F731" s="199">
        <v>0.2</v>
      </c>
      <c r="G731" s="199">
        <v>0.6</v>
      </c>
      <c r="H731" s="199"/>
      <c r="I731" s="199"/>
      <c r="J731" s="219"/>
      <c r="K731" s="220">
        <f t="shared" si="18"/>
        <v>1.4400000000000002</v>
      </c>
      <c r="L731" s="255"/>
    </row>
    <row r="732" spans="2:12">
      <c r="B732" s="249" t="s">
        <v>1470</v>
      </c>
      <c r="C732" s="250" t="s">
        <v>1441</v>
      </c>
      <c r="D732" s="205" t="s">
        <v>169</v>
      </c>
      <c r="E732" s="199">
        <v>1.81</v>
      </c>
      <c r="F732" s="199">
        <v>0.2</v>
      </c>
      <c r="G732" s="199">
        <v>0.8</v>
      </c>
      <c r="H732" s="199"/>
      <c r="I732" s="199"/>
      <c r="J732" s="219"/>
      <c r="K732" s="220">
        <f t="shared" si="18"/>
        <v>0.28960000000000002</v>
      </c>
      <c r="L732" s="255"/>
    </row>
    <row r="733" spans="2:12">
      <c r="B733" s="249" t="s">
        <v>1471</v>
      </c>
      <c r="C733" s="250" t="s">
        <v>1441</v>
      </c>
      <c r="D733" s="205" t="s">
        <v>169</v>
      </c>
      <c r="E733" s="199">
        <v>5.92</v>
      </c>
      <c r="F733" s="199">
        <v>0.15</v>
      </c>
      <c r="G733" s="199">
        <v>1.2</v>
      </c>
      <c r="H733" s="199"/>
      <c r="I733" s="199"/>
      <c r="J733" s="219"/>
      <c r="K733" s="220">
        <f t="shared" si="18"/>
        <v>1.0655999999999999</v>
      </c>
      <c r="L733" s="255"/>
    </row>
    <row r="734" spans="2:12">
      <c r="B734" s="249" t="s">
        <v>1472</v>
      </c>
      <c r="C734" s="250" t="s">
        <v>1441</v>
      </c>
      <c r="D734" s="205" t="s">
        <v>169</v>
      </c>
      <c r="E734" s="199">
        <v>12.49</v>
      </c>
      <c r="F734" s="199">
        <v>0.15</v>
      </c>
      <c r="G734" s="199">
        <v>1</v>
      </c>
      <c r="H734" s="199"/>
      <c r="I734" s="199"/>
      <c r="J734" s="219"/>
      <c r="K734" s="220">
        <f t="shared" si="18"/>
        <v>1.8734999999999999</v>
      </c>
      <c r="L734" s="255"/>
    </row>
    <row r="735" spans="2:12">
      <c r="B735" s="249" t="s">
        <v>1472</v>
      </c>
      <c r="C735" s="250" t="s">
        <v>1441</v>
      </c>
      <c r="D735" s="205" t="s">
        <v>169</v>
      </c>
      <c r="E735" s="199">
        <v>6</v>
      </c>
      <c r="F735" s="199">
        <v>0.15</v>
      </c>
      <c r="G735" s="199">
        <v>1.2</v>
      </c>
      <c r="H735" s="199"/>
      <c r="I735" s="199"/>
      <c r="J735" s="219"/>
      <c r="K735" s="220">
        <f t="shared" si="18"/>
        <v>1.0799999999999998</v>
      </c>
      <c r="L735" s="255"/>
    </row>
    <row r="736" spans="2:12">
      <c r="B736" s="249" t="s">
        <v>1473</v>
      </c>
      <c r="C736" s="250" t="s">
        <v>1441</v>
      </c>
      <c r="D736" s="205" t="s">
        <v>169</v>
      </c>
      <c r="E736" s="199">
        <v>4.83</v>
      </c>
      <c r="F736" s="199">
        <v>0.15</v>
      </c>
      <c r="G736" s="199">
        <v>0.6</v>
      </c>
      <c r="H736" s="199"/>
      <c r="I736" s="199"/>
      <c r="J736" s="219"/>
      <c r="K736" s="220">
        <f t="shared" si="18"/>
        <v>0.43470000000000003</v>
      </c>
      <c r="L736" s="255"/>
    </row>
    <row r="737" spans="2:12">
      <c r="B737" s="249" t="s">
        <v>1474</v>
      </c>
      <c r="C737" s="250" t="s">
        <v>1441</v>
      </c>
      <c r="D737" s="205" t="s">
        <v>169</v>
      </c>
      <c r="E737" s="199">
        <v>13.85</v>
      </c>
      <c r="F737" s="199">
        <v>0.15</v>
      </c>
      <c r="G737" s="199">
        <v>0.7</v>
      </c>
      <c r="H737" s="199"/>
      <c r="I737" s="199"/>
      <c r="J737" s="219"/>
      <c r="K737" s="220">
        <f t="shared" si="18"/>
        <v>1.4542499999999996</v>
      </c>
      <c r="L737" s="255"/>
    </row>
    <row r="738" spans="2:12">
      <c r="B738" s="249" t="s">
        <v>1531</v>
      </c>
      <c r="C738" s="250" t="s">
        <v>1521</v>
      </c>
      <c r="D738" s="205" t="s">
        <v>169</v>
      </c>
      <c r="E738" s="199">
        <v>12.69</v>
      </c>
      <c r="F738" s="199">
        <v>0.15</v>
      </c>
      <c r="G738" s="199">
        <v>0.6</v>
      </c>
      <c r="H738" s="199"/>
      <c r="I738" s="199"/>
      <c r="J738" s="219"/>
      <c r="K738" s="220">
        <f t="shared" si="18"/>
        <v>1.1420999999999999</v>
      </c>
      <c r="L738" s="255"/>
    </row>
    <row r="739" spans="2:12">
      <c r="B739" s="249" t="s">
        <v>1532</v>
      </c>
      <c r="C739" s="250" t="s">
        <v>1521</v>
      </c>
      <c r="D739" s="205" t="s">
        <v>169</v>
      </c>
      <c r="E739" s="199">
        <v>1.83</v>
      </c>
      <c r="F739" s="199">
        <v>0.15</v>
      </c>
      <c r="G739" s="199">
        <v>0.6</v>
      </c>
      <c r="H739" s="199"/>
      <c r="I739" s="199"/>
      <c r="J739" s="219"/>
      <c r="K739" s="220">
        <f t="shared" si="18"/>
        <v>0.16470000000000001</v>
      </c>
      <c r="L739" s="255"/>
    </row>
    <row r="740" spans="2:12">
      <c r="B740" s="249" t="s">
        <v>1533</v>
      </c>
      <c r="C740" s="250" t="s">
        <v>1521</v>
      </c>
      <c r="D740" s="205" t="s">
        <v>169</v>
      </c>
      <c r="E740" s="199">
        <v>8.27</v>
      </c>
      <c r="F740" s="199">
        <v>0.15</v>
      </c>
      <c r="G740" s="199">
        <v>0.6</v>
      </c>
      <c r="H740" s="199"/>
      <c r="I740" s="199"/>
      <c r="J740" s="219"/>
      <c r="K740" s="220">
        <f t="shared" si="18"/>
        <v>0.74429999999999996</v>
      </c>
      <c r="L740" s="255"/>
    </row>
    <row r="741" spans="2:12">
      <c r="B741" s="249" t="s">
        <v>1534</v>
      </c>
      <c r="C741" s="250" t="s">
        <v>1521</v>
      </c>
      <c r="D741" s="205" t="s">
        <v>169</v>
      </c>
      <c r="E741" s="199">
        <v>28.74</v>
      </c>
      <c r="F741" s="199">
        <v>0.15</v>
      </c>
      <c r="G741" s="199">
        <v>1</v>
      </c>
      <c r="H741" s="199"/>
      <c r="I741" s="199"/>
      <c r="J741" s="219"/>
      <c r="K741" s="220">
        <f t="shared" si="18"/>
        <v>4.3109999999999999</v>
      </c>
      <c r="L741" s="255"/>
    </row>
    <row r="742" spans="2:12">
      <c r="B742" s="249" t="s">
        <v>1535</v>
      </c>
      <c r="C742" s="250" t="s">
        <v>1521</v>
      </c>
      <c r="D742" s="205" t="s">
        <v>169</v>
      </c>
      <c r="E742" s="199">
        <v>28.53</v>
      </c>
      <c r="F742" s="199">
        <v>0.2</v>
      </c>
      <c r="G742" s="199">
        <v>0.6</v>
      </c>
      <c r="H742" s="199"/>
      <c r="I742" s="199"/>
      <c r="J742" s="219"/>
      <c r="K742" s="220">
        <f t="shared" si="18"/>
        <v>3.4236</v>
      </c>
      <c r="L742" s="255"/>
    </row>
    <row r="743" spans="2:12">
      <c r="B743" s="249" t="s">
        <v>1536</v>
      </c>
      <c r="C743" s="250" t="s">
        <v>1521</v>
      </c>
      <c r="D743" s="205" t="s">
        <v>169</v>
      </c>
      <c r="E743" s="199">
        <v>6.34</v>
      </c>
      <c r="F743" s="199">
        <v>0.15</v>
      </c>
      <c r="G743" s="199">
        <v>0.6</v>
      </c>
      <c r="H743" s="199"/>
      <c r="I743" s="199"/>
      <c r="J743" s="219"/>
      <c r="K743" s="220">
        <f t="shared" si="18"/>
        <v>0.5706</v>
      </c>
      <c r="L743" s="255"/>
    </row>
    <row r="744" spans="2:12">
      <c r="B744" s="249" t="s">
        <v>1537</v>
      </c>
      <c r="C744" s="250" t="s">
        <v>1521</v>
      </c>
      <c r="D744" s="205" t="s">
        <v>169</v>
      </c>
      <c r="E744" s="199">
        <v>21.99</v>
      </c>
      <c r="F744" s="199">
        <v>0.2</v>
      </c>
      <c r="G744" s="199">
        <v>0.6</v>
      </c>
      <c r="H744" s="199"/>
      <c r="I744" s="199"/>
      <c r="J744" s="219"/>
      <c r="K744" s="220">
        <f t="shared" si="18"/>
        <v>2.6387999999999998</v>
      </c>
      <c r="L744" s="255"/>
    </row>
    <row r="745" spans="2:12">
      <c r="B745" s="249" t="s">
        <v>1538</v>
      </c>
      <c r="C745" s="250" t="s">
        <v>1521</v>
      </c>
      <c r="D745" s="205" t="s">
        <v>169</v>
      </c>
      <c r="E745" s="199">
        <v>21.99</v>
      </c>
      <c r="F745" s="199">
        <v>0.2</v>
      </c>
      <c r="G745" s="199">
        <v>0.6</v>
      </c>
      <c r="H745" s="199"/>
      <c r="I745" s="199"/>
      <c r="J745" s="219"/>
      <c r="K745" s="220">
        <f t="shared" si="18"/>
        <v>2.6387999999999998</v>
      </c>
      <c r="L745" s="255"/>
    </row>
    <row r="746" spans="2:12">
      <c r="B746" s="249" t="s">
        <v>1539</v>
      </c>
      <c r="C746" s="250" t="s">
        <v>1521</v>
      </c>
      <c r="D746" s="205" t="s">
        <v>169</v>
      </c>
      <c r="E746" s="199">
        <v>3.45</v>
      </c>
      <c r="F746" s="199">
        <v>0.2</v>
      </c>
      <c r="G746" s="199">
        <v>0.6</v>
      </c>
      <c r="H746" s="199"/>
      <c r="I746" s="199"/>
      <c r="J746" s="219"/>
      <c r="K746" s="220">
        <f t="shared" si="18"/>
        <v>0.41400000000000003</v>
      </c>
      <c r="L746" s="255"/>
    </row>
    <row r="747" spans="2:12">
      <c r="B747" s="249" t="s">
        <v>1540</v>
      </c>
      <c r="C747" s="250" t="s">
        <v>1521</v>
      </c>
      <c r="D747" s="205" t="s">
        <v>169</v>
      </c>
      <c r="E747" s="199">
        <v>28.53</v>
      </c>
      <c r="F747" s="199">
        <v>0.2</v>
      </c>
      <c r="G747" s="199">
        <v>0.6</v>
      </c>
      <c r="H747" s="199"/>
      <c r="I747" s="199"/>
      <c r="J747" s="219"/>
      <c r="K747" s="220">
        <f t="shared" si="18"/>
        <v>3.4236</v>
      </c>
      <c r="L747" s="255"/>
    </row>
    <row r="748" spans="2:12">
      <c r="B748" s="249" t="s">
        <v>1541</v>
      </c>
      <c r="C748" s="250" t="s">
        <v>1521</v>
      </c>
      <c r="D748" s="205" t="s">
        <v>169</v>
      </c>
      <c r="E748" s="199">
        <v>24.09</v>
      </c>
      <c r="F748" s="199">
        <v>0.15</v>
      </c>
      <c r="G748" s="199">
        <v>1</v>
      </c>
      <c r="H748" s="199"/>
      <c r="I748" s="199"/>
      <c r="J748" s="219"/>
      <c r="K748" s="220">
        <f t="shared" ref="K748:K779" si="19">IF(E748*F748*G748&lt;&gt;0,E748*F748*G748,IF(E748*F748&lt;&gt;0,E748*F748,IF(F748*G748&lt;&gt;0,F748*G748,IF(E748*G748&lt;&gt;0,E748*G748,IF(E748&lt;&gt;0,E748,IF(F748&lt;&gt;0,F748,IF(G748&lt;&gt;0,G748,0)))))))*(IF(H748&lt;&gt;0,H748,1))+I748-J748</f>
        <v>3.6134999999999997</v>
      </c>
      <c r="L748" s="255"/>
    </row>
    <row r="749" spans="2:12">
      <c r="B749" s="249" t="s">
        <v>1541</v>
      </c>
      <c r="C749" s="250" t="s">
        <v>1521</v>
      </c>
      <c r="D749" s="205" t="s">
        <v>169</v>
      </c>
      <c r="E749" s="199">
        <v>0.48</v>
      </c>
      <c r="F749" s="199">
        <v>0.15</v>
      </c>
      <c r="G749" s="199">
        <v>0.6</v>
      </c>
      <c r="H749" s="199"/>
      <c r="I749" s="199"/>
      <c r="J749" s="219"/>
      <c r="K749" s="220">
        <f t="shared" si="19"/>
        <v>4.3199999999999995E-2</v>
      </c>
      <c r="L749" s="255"/>
    </row>
    <row r="750" spans="2:12">
      <c r="B750" s="249" t="s">
        <v>1542</v>
      </c>
      <c r="C750" s="250" t="s">
        <v>1521</v>
      </c>
      <c r="D750" s="205" t="s">
        <v>169</v>
      </c>
      <c r="E750" s="199">
        <v>2.7</v>
      </c>
      <c r="F750" s="199">
        <v>0.15</v>
      </c>
      <c r="G750" s="199">
        <v>0.6</v>
      </c>
      <c r="H750" s="199"/>
      <c r="I750" s="199"/>
      <c r="J750" s="219"/>
      <c r="K750" s="220">
        <f t="shared" si="19"/>
        <v>0.24299999999999999</v>
      </c>
      <c r="L750" s="255"/>
    </row>
    <row r="751" spans="2:12">
      <c r="B751" s="249" t="s">
        <v>1543</v>
      </c>
      <c r="C751" s="250" t="s">
        <v>1521</v>
      </c>
      <c r="D751" s="205" t="s">
        <v>169</v>
      </c>
      <c r="E751" s="199">
        <v>2.7</v>
      </c>
      <c r="F751" s="199">
        <v>0.15</v>
      </c>
      <c r="G751" s="199">
        <v>0.6</v>
      </c>
      <c r="H751" s="199"/>
      <c r="I751" s="199"/>
      <c r="J751" s="219"/>
      <c r="K751" s="220">
        <f t="shared" si="19"/>
        <v>0.24299999999999999</v>
      </c>
      <c r="L751" s="255"/>
    </row>
    <row r="752" spans="2:12">
      <c r="B752" s="249" t="s">
        <v>1544</v>
      </c>
      <c r="C752" s="250" t="s">
        <v>1521</v>
      </c>
      <c r="D752" s="205" t="s">
        <v>169</v>
      </c>
      <c r="E752" s="199">
        <v>9.35</v>
      </c>
      <c r="F752" s="199">
        <v>0.2</v>
      </c>
      <c r="G752" s="199">
        <v>0.7</v>
      </c>
      <c r="H752" s="199"/>
      <c r="I752" s="199"/>
      <c r="J752" s="219"/>
      <c r="K752" s="220">
        <f t="shared" si="19"/>
        <v>1.3089999999999999</v>
      </c>
      <c r="L752" s="255"/>
    </row>
    <row r="753" spans="2:12">
      <c r="B753" s="249" t="s">
        <v>1545</v>
      </c>
      <c r="C753" s="250" t="s">
        <v>1521</v>
      </c>
      <c r="D753" s="205" t="s">
        <v>169</v>
      </c>
      <c r="E753" s="199">
        <v>2.85</v>
      </c>
      <c r="F753" s="199">
        <v>0.15</v>
      </c>
      <c r="G753" s="199">
        <v>1</v>
      </c>
      <c r="H753" s="199"/>
      <c r="I753" s="199"/>
      <c r="J753" s="219"/>
      <c r="K753" s="220">
        <f t="shared" si="19"/>
        <v>0.42749999999999999</v>
      </c>
      <c r="L753" s="255"/>
    </row>
    <row r="754" spans="2:12">
      <c r="B754" s="249" t="s">
        <v>1546</v>
      </c>
      <c r="C754" s="250" t="s">
        <v>1521</v>
      </c>
      <c r="D754" s="205" t="s">
        <v>169</v>
      </c>
      <c r="E754" s="199">
        <v>23.39</v>
      </c>
      <c r="F754" s="199">
        <v>0.15</v>
      </c>
      <c r="G754" s="199">
        <v>1</v>
      </c>
      <c r="H754" s="199"/>
      <c r="I754" s="199"/>
      <c r="J754" s="219"/>
      <c r="K754" s="220">
        <f t="shared" si="19"/>
        <v>3.5085000000000002</v>
      </c>
      <c r="L754" s="255"/>
    </row>
    <row r="755" spans="2:12">
      <c r="B755" s="249" t="s">
        <v>1547</v>
      </c>
      <c r="C755" s="250" t="s">
        <v>1521</v>
      </c>
      <c r="D755" s="205" t="s">
        <v>169</v>
      </c>
      <c r="E755" s="199">
        <v>13.7</v>
      </c>
      <c r="F755" s="199">
        <v>0.15</v>
      </c>
      <c r="G755" s="199">
        <v>0.6</v>
      </c>
      <c r="H755" s="199"/>
      <c r="I755" s="199"/>
      <c r="J755" s="219"/>
      <c r="K755" s="220">
        <f t="shared" si="19"/>
        <v>1.2329999999999999</v>
      </c>
      <c r="L755" s="255"/>
    </row>
    <row r="756" spans="2:12">
      <c r="B756" s="249" t="s">
        <v>1548</v>
      </c>
      <c r="C756" s="250" t="s">
        <v>1521</v>
      </c>
      <c r="D756" s="205" t="s">
        <v>169</v>
      </c>
      <c r="E756" s="199">
        <v>0.48</v>
      </c>
      <c r="F756" s="199">
        <v>0.15</v>
      </c>
      <c r="G756" s="199">
        <v>0.6</v>
      </c>
      <c r="H756" s="199"/>
      <c r="I756" s="199"/>
      <c r="J756" s="219"/>
      <c r="K756" s="220">
        <f t="shared" si="19"/>
        <v>4.3199999999999995E-2</v>
      </c>
      <c r="L756" s="255"/>
    </row>
    <row r="757" spans="2:12">
      <c r="B757" s="249" t="s">
        <v>1549</v>
      </c>
      <c r="C757" s="250" t="s">
        <v>1521</v>
      </c>
      <c r="D757" s="205" t="s">
        <v>169</v>
      </c>
      <c r="E757" s="199">
        <v>12.95</v>
      </c>
      <c r="F757" s="199">
        <v>0.2</v>
      </c>
      <c r="G757" s="199">
        <v>0.6</v>
      </c>
      <c r="H757" s="199"/>
      <c r="I757" s="199"/>
      <c r="J757" s="219"/>
      <c r="K757" s="220">
        <f t="shared" si="19"/>
        <v>1.5539999999999998</v>
      </c>
      <c r="L757" s="255"/>
    </row>
    <row r="758" spans="2:12">
      <c r="B758" s="249" t="s">
        <v>1550</v>
      </c>
      <c r="C758" s="250" t="s">
        <v>1521</v>
      </c>
      <c r="D758" s="205" t="s">
        <v>169</v>
      </c>
      <c r="E758" s="199">
        <v>21.37</v>
      </c>
      <c r="F758" s="199">
        <v>0.15</v>
      </c>
      <c r="G758" s="199">
        <v>1</v>
      </c>
      <c r="H758" s="199"/>
      <c r="I758" s="199"/>
      <c r="J758" s="219"/>
      <c r="K758" s="220">
        <f t="shared" si="19"/>
        <v>3.2055000000000002</v>
      </c>
      <c r="L758" s="255"/>
    </row>
    <row r="759" spans="2:12">
      <c r="B759" s="249" t="s">
        <v>1551</v>
      </c>
      <c r="C759" s="250" t="s">
        <v>1521</v>
      </c>
      <c r="D759" s="205" t="s">
        <v>169</v>
      </c>
      <c r="E759" s="199">
        <v>2.86</v>
      </c>
      <c r="F759" s="199">
        <v>0.15</v>
      </c>
      <c r="G759" s="199">
        <v>1</v>
      </c>
      <c r="H759" s="199"/>
      <c r="I759" s="199"/>
      <c r="J759" s="219"/>
      <c r="K759" s="220">
        <f t="shared" si="19"/>
        <v>0.42899999999999999</v>
      </c>
      <c r="L759" s="255"/>
    </row>
    <row r="760" spans="2:12">
      <c r="B760" s="197" t="s">
        <v>1523</v>
      </c>
      <c r="C760" s="189" t="s">
        <v>1521</v>
      </c>
      <c r="D760" s="190" t="s">
        <v>169</v>
      </c>
      <c r="E760" s="199">
        <v>4.71</v>
      </c>
      <c r="F760" s="199">
        <v>0.25</v>
      </c>
      <c r="G760" s="199">
        <v>1.7</v>
      </c>
      <c r="H760" s="199">
        <v>1</v>
      </c>
      <c r="I760" s="199"/>
      <c r="J760" s="219"/>
      <c r="K760" s="217">
        <f t="shared" si="19"/>
        <v>2.0017499999999999</v>
      </c>
      <c r="L760" s="245" t="s">
        <v>1554</v>
      </c>
    </row>
    <row r="761" spans="2:12">
      <c r="B761" s="197" t="s">
        <v>1525</v>
      </c>
      <c r="C761" s="189" t="s">
        <v>1521</v>
      </c>
      <c r="D761" s="190" t="s">
        <v>169</v>
      </c>
      <c r="E761" s="199">
        <v>4.71</v>
      </c>
      <c r="F761" s="199">
        <v>0.15</v>
      </c>
      <c r="G761" s="199">
        <v>1.7</v>
      </c>
      <c r="H761" s="199">
        <v>1</v>
      </c>
      <c r="I761" s="199"/>
      <c r="J761" s="219"/>
      <c r="K761" s="217">
        <f t="shared" si="19"/>
        <v>1.20105</v>
      </c>
      <c r="L761" s="245" t="s">
        <v>1554</v>
      </c>
    </row>
    <row r="762" spans="2:12">
      <c r="B762" s="197" t="s">
        <v>1526</v>
      </c>
      <c r="C762" s="189" t="s">
        <v>1521</v>
      </c>
      <c r="D762" s="190" t="s">
        <v>169</v>
      </c>
      <c r="E762" s="199">
        <v>2.54</v>
      </c>
      <c r="F762" s="199">
        <v>0.15</v>
      </c>
      <c r="G762" s="199">
        <v>1.7</v>
      </c>
      <c r="H762" s="199">
        <v>1</v>
      </c>
      <c r="I762" s="199"/>
      <c r="J762" s="219"/>
      <c r="K762" s="217">
        <f t="shared" si="19"/>
        <v>0.64769999999999994</v>
      </c>
      <c r="L762" s="245" t="s">
        <v>1554</v>
      </c>
    </row>
    <row r="763" spans="2:12">
      <c r="B763" s="197" t="s">
        <v>1527</v>
      </c>
      <c r="C763" s="189" t="s">
        <v>1521</v>
      </c>
      <c r="D763" s="190" t="s">
        <v>169</v>
      </c>
      <c r="E763" s="199">
        <v>2.2000000000000002</v>
      </c>
      <c r="F763" s="199">
        <v>0.15</v>
      </c>
      <c r="G763" s="199">
        <v>1.7</v>
      </c>
      <c r="H763" s="199">
        <v>1</v>
      </c>
      <c r="I763" s="199"/>
      <c r="J763" s="219"/>
      <c r="K763" s="217">
        <f t="shared" si="19"/>
        <v>0.56100000000000005</v>
      </c>
      <c r="L763" s="245" t="s">
        <v>1554</v>
      </c>
    </row>
    <row r="764" spans="2:12">
      <c r="B764" s="197" t="s">
        <v>1528</v>
      </c>
      <c r="C764" s="189" t="s">
        <v>1521</v>
      </c>
      <c r="D764" s="190" t="s">
        <v>169</v>
      </c>
      <c r="E764" s="199">
        <v>2.2000000000000002</v>
      </c>
      <c r="F764" s="199">
        <v>0.15</v>
      </c>
      <c r="G764" s="199">
        <v>1.7</v>
      </c>
      <c r="H764" s="199">
        <v>1</v>
      </c>
      <c r="I764" s="199"/>
      <c r="J764" s="219"/>
      <c r="K764" s="217">
        <f t="shared" si="19"/>
        <v>0.56100000000000005</v>
      </c>
      <c r="L764" s="245" t="s">
        <v>1554</v>
      </c>
    </row>
    <row r="765" spans="2:12">
      <c r="B765" s="197" t="s">
        <v>1529</v>
      </c>
      <c r="C765" s="189" t="s">
        <v>1521</v>
      </c>
      <c r="D765" s="190" t="s">
        <v>169</v>
      </c>
      <c r="E765" s="199">
        <v>1.24</v>
      </c>
      <c r="F765" s="199">
        <v>0.2</v>
      </c>
      <c r="G765" s="199">
        <v>1.7</v>
      </c>
      <c r="H765" s="199">
        <v>1</v>
      </c>
      <c r="I765" s="199"/>
      <c r="J765" s="219"/>
      <c r="K765" s="217">
        <f t="shared" si="19"/>
        <v>0.42159999999999997</v>
      </c>
      <c r="L765" s="245" t="s">
        <v>1554</v>
      </c>
    </row>
    <row r="766" spans="2:12">
      <c r="B766" s="197" t="s">
        <v>1530</v>
      </c>
      <c r="C766" s="189" t="s">
        <v>1521</v>
      </c>
      <c r="D766" s="190" t="s">
        <v>169</v>
      </c>
      <c r="E766" s="199">
        <v>1.24</v>
      </c>
      <c r="F766" s="199">
        <v>0.2</v>
      </c>
      <c r="G766" s="199">
        <v>1.7</v>
      </c>
      <c r="H766" s="199">
        <v>1</v>
      </c>
      <c r="I766" s="199"/>
      <c r="J766" s="219"/>
      <c r="K766" s="217">
        <f t="shared" si="19"/>
        <v>0.42159999999999997</v>
      </c>
      <c r="L766" s="245" t="s">
        <v>1554</v>
      </c>
    </row>
    <row r="767" spans="2:12">
      <c r="B767" s="197" t="s">
        <v>1614</v>
      </c>
      <c r="C767" s="189" t="s">
        <v>1611</v>
      </c>
      <c r="D767" s="190" t="s">
        <v>169</v>
      </c>
      <c r="E767" s="199">
        <v>3.63</v>
      </c>
      <c r="F767" s="199">
        <v>0.2</v>
      </c>
      <c r="G767" s="199">
        <v>0.7</v>
      </c>
      <c r="H767" s="199"/>
      <c r="I767" s="199"/>
      <c r="J767" s="219"/>
      <c r="K767" s="217">
        <f t="shared" si="19"/>
        <v>0.50819999999999999</v>
      </c>
      <c r="L767" s="218"/>
    </row>
    <row r="768" spans="2:12">
      <c r="B768" s="197" t="s">
        <v>1614</v>
      </c>
      <c r="C768" s="189" t="s">
        <v>1611</v>
      </c>
      <c r="D768" s="190" t="s">
        <v>169</v>
      </c>
      <c r="E768" s="199">
        <v>27.92</v>
      </c>
      <c r="F768" s="199">
        <v>0.2</v>
      </c>
      <c r="G768" s="199">
        <v>0.6</v>
      </c>
      <c r="H768" s="199"/>
      <c r="I768" s="199"/>
      <c r="J768" s="219"/>
      <c r="K768" s="217">
        <f t="shared" si="19"/>
        <v>3.3504</v>
      </c>
      <c r="L768" s="218"/>
    </row>
    <row r="769" spans="2:12">
      <c r="B769" s="197" t="s">
        <v>1615</v>
      </c>
      <c r="C769" s="189" t="s">
        <v>1611</v>
      </c>
      <c r="D769" s="190" t="s">
        <v>169</v>
      </c>
      <c r="E769" s="199">
        <v>2.7</v>
      </c>
      <c r="F769" s="199">
        <v>0.15</v>
      </c>
      <c r="G769" s="199">
        <v>0.6</v>
      </c>
      <c r="H769" s="199"/>
      <c r="I769" s="199"/>
      <c r="J769" s="219"/>
      <c r="K769" s="217">
        <f t="shared" si="19"/>
        <v>0.24299999999999999</v>
      </c>
      <c r="L769" s="218"/>
    </row>
    <row r="770" spans="2:12">
      <c r="B770" s="197" t="s">
        <v>1616</v>
      </c>
      <c r="C770" s="189" t="s">
        <v>1611</v>
      </c>
      <c r="D770" s="190" t="s">
        <v>169</v>
      </c>
      <c r="E770" s="199">
        <v>4.62</v>
      </c>
      <c r="F770" s="199">
        <v>0.15</v>
      </c>
      <c r="G770" s="199">
        <v>0.6</v>
      </c>
      <c r="H770" s="199"/>
      <c r="I770" s="199"/>
      <c r="J770" s="219"/>
      <c r="K770" s="217">
        <f t="shared" si="19"/>
        <v>0.41579999999999995</v>
      </c>
      <c r="L770" s="218"/>
    </row>
    <row r="771" spans="2:12">
      <c r="B771" s="197" t="s">
        <v>1617</v>
      </c>
      <c r="C771" s="189" t="s">
        <v>1611</v>
      </c>
      <c r="D771" s="190" t="s">
        <v>169</v>
      </c>
      <c r="E771" s="199">
        <v>1.92</v>
      </c>
      <c r="F771" s="199">
        <v>0.15</v>
      </c>
      <c r="G771" s="199">
        <v>0.7</v>
      </c>
      <c r="H771" s="199"/>
      <c r="I771" s="199"/>
      <c r="J771" s="219"/>
      <c r="K771" s="217">
        <f t="shared" si="19"/>
        <v>0.20159999999999997</v>
      </c>
      <c r="L771" s="218"/>
    </row>
    <row r="772" spans="2:12">
      <c r="B772" s="197" t="s">
        <v>1618</v>
      </c>
      <c r="C772" s="189" t="s">
        <v>1611</v>
      </c>
      <c r="D772" s="190" t="s">
        <v>169</v>
      </c>
      <c r="E772" s="199">
        <v>0.84</v>
      </c>
      <c r="F772" s="199">
        <v>0.4</v>
      </c>
      <c r="G772" s="199">
        <v>1</v>
      </c>
      <c r="H772" s="199"/>
      <c r="I772" s="199"/>
      <c r="J772" s="219"/>
      <c r="K772" s="217">
        <f t="shared" si="19"/>
        <v>0.33600000000000002</v>
      </c>
      <c r="L772" s="218"/>
    </row>
    <row r="773" spans="2:12">
      <c r="B773" s="197" t="s">
        <v>1618</v>
      </c>
      <c r="C773" s="189" t="s">
        <v>1611</v>
      </c>
      <c r="D773" s="190" t="s">
        <v>169</v>
      </c>
      <c r="E773" s="199">
        <v>25.92</v>
      </c>
      <c r="F773" s="199">
        <v>0.3</v>
      </c>
      <c r="G773" s="199">
        <v>0.8</v>
      </c>
      <c r="H773" s="199"/>
      <c r="I773" s="199"/>
      <c r="J773" s="219"/>
      <c r="K773" s="217">
        <f t="shared" si="19"/>
        <v>6.2208000000000006</v>
      </c>
      <c r="L773" s="218"/>
    </row>
    <row r="774" spans="2:12">
      <c r="B774" s="197" t="s">
        <v>1619</v>
      </c>
      <c r="C774" s="189" t="s">
        <v>1611</v>
      </c>
      <c r="D774" s="190" t="s">
        <v>169</v>
      </c>
      <c r="E774" s="199">
        <v>16.71</v>
      </c>
      <c r="F774" s="199">
        <v>0.2</v>
      </c>
      <c r="G774" s="199">
        <v>0.7</v>
      </c>
      <c r="H774" s="199"/>
      <c r="I774" s="199"/>
      <c r="J774" s="219"/>
      <c r="K774" s="217">
        <f t="shared" si="19"/>
        <v>2.3394000000000004</v>
      </c>
      <c r="L774" s="218"/>
    </row>
    <row r="775" spans="2:12">
      <c r="B775" s="197" t="s">
        <v>1620</v>
      </c>
      <c r="C775" s="189" t="s">
        <v>1611</v>
      </c>
      <c r="D775" s="190" t="s">
        <v>169</v>
      </c>
      <c r="E775" s="199">
        <v>9.59</v>
      </c>
      <c r="F775" s="199">
        <v>0.15</v>
      </c>
      <c r="G775" s="199">
        <v>0.7</v>
      </c>
      <c r="H775" s="199"/>
      <c r="I775" s="199"/>
      <c r="J775" s="219"/>
      <c r="K775" s="217">
        <f t="shared" si="19"/>
        <v>1.0069499999999998</v>
      </c>
      <c r="L775" s="218"/>
    </row>
    <row r="776" spans="2:12">
      <c r="B776" s="197" t="s">
        <v>1621</v>
      </c>
      <c r="C776" s="189" t="s">
        <v>1611</v>
      </c>
      <c r="D776" s="190" t="s">
        <v>169</v>
      </c>
      <c r="E776" s="199">
        <v>1.44</v>
      </c>
      <c r="F776" s="199">
        <v>0.15</v>
      </c>
      <c r="G776" s="199">
        <v>0.7</v>
      </c>
      <c r="H776" s="199"/>
      <c r="I776" s="199"/>
      <c r="J776" s="219"/>
      <c r="K776" s="217">
        <f t="shared" si="19"/>
        <v>0.1512</v>
      </c>
      <c r="L776" s="218"/>
    </row>
    <row r="777" spans="2:12">
      <c r="B777" s="197" t="s">
        <v>1622</v>
      </c>
      <c r="C777" s="189" t="s">
        <v>1611</v>
      </c>
      <c r="D777" s="190" t="s">
        <v>169</v>
      </c>
      <c r="E777" s="199">
        <v>6.83</v>
      </c>
      <c r="F777" s="199">
        <v>0.25</v>
      </c>
      <c r="G777" s="199">
        <v>0.6</v>
      </c>
      <c r="H777" s="199"/>
      <c r="I777" s="199"/>
      <c r="J777" s="219"/>
      <c r="K777" s="217">
        <f t="shared" si="19"/>
        <v>1.0245</v>
      </c>
      <c r="L777" s="218"/>
    </row>
    <row r="778" spans="2:12">
      <c r="B778" s="197" t="s">
        <v>1622</v>
      </c>
      <c r="C778" s="189" t="s">
        <v>1611</v>
      </c>
      <c r="D778" s="190" t="s">
        <v>169</v>
      </c>
      <c r="E778" s="199">
        <v>7.5</v>
      </c>
      <c r="F778" s="199">
        <v>0.25</v>
      </c>
      <c r="G778" s="199">
        <v>1</v>
      </c>
      <c r="H778" s="199"/>
      <c r="I778" s="199"/>
      <c r="J778" s="219"/>
      <c r="K778" s="217">
        <f t="shared" si="19"/>
        <v>1.875</v>
      </c>
      <c r="L778" s="218"/>
    </row>
    <row r="779" spans="2:12">
      <c r="B779" s="197" t="s">
        <v>1622</v>
      </c>
      <c r="C779" s="189" t="s">
        <v>1611</v>
      </c>
      <c r="D779" s="190" t="s">
        <v>169</v>
      </c>
      <c r="E779" s="199">
        <v>6.17</v>
      </c>
      <c r="F779" s="199">
        <v>0.25</v>
      </c>
      <c r="G779" s="199">
        <v>0.6</v>
      </c>
      <c r="H779" s="199"/>
      <c r="I779" s="199"/>
      <c r="J779" s="219"/>
      <c r="K779" s="217">
        <f t="shared" si="19"/>
        <v>0.92549999999999999</v>
      </c>
      <c r="L779" s="218"/>
    </row>
    <row r="780" spans="2:12">
      <c r="B780" s="197" t="s">
        <v>1623</v>
      </c>
      <c r="C780" s="189" t="s">
        <v>1611</v>
      </c>
      <c r="D780" s="190" t="s">
        <v>169</v>
      </c>
      <c r="E780" s="199">
        <v>11.82</v>
      </c>
      <c r="F780" s="199">
        <v>0.2</v>
      </c>
      <c r="G780" s="199">
        <v>0.8</v>
      </c>
      <c r="H780" s="199"/>
      <c r="I780" s="199"/>
      <c r="J780" s="219"/>
      <c r="K780" s="217">
        <f t="shared" ref="K780:K811" si="20">IF(E780*F780*G780&lt;&gt;0,E780*F780*G780,IF(E780*F780&lt;&gt;0,E780*F780,IF(F780*G780&lt;&gt;0,F780*G780,IF(E780*G780&lt;&gt;0,E780*G780,IF(E780&lt;&gt;0,E780,IF(F780&lt;&gt;0,F780,IF(G780&lt;&gt;0,G780,0)))))))*(IF(H780&lt;&gt;0,H780,1))+I780-J780</f>
        <v>1.8912000000000004</v>
      </c>
      <c r="L780" s="218"/>
    </row>
    <row r="781" spans="2:12">
      <c r="B781" s="197" t="s">
        <v>1624</v>
      </c>
      <c r="C781" s="189" t="s">
        <v>1611</v>
      </c>
      <c r="D781" s="190" t="s">
        <v>169</v>
      </c>
      <c r="E781" s="199">
        <v>19.25</v>
      </c>
      <c r="F781" s="199">
        <v>0.25</v>
      </c>
      <c r="G781" s="199">
        <v>0.7</v>
      </c>
      <c r="H781" s="199"/>
      <c r="I781" s="199"/>
      <c r="J781" s="219"/>
      <c r="K781" s="217">
        <f t="shared" si="20"/>
        <v>3.3687499999999999</v>
      </c>
      <c r="L781" s="218"/>
    </row>
    <row r="782" spans="2:12">
      <c r="B782" s="197" t="s">
        <v>1625</v>
      </c>
      <c r="C782" s="189" t="s">
        <v>1611</v>
      </c>
      <c r="D782" s="190" t="s">
        <v>169</v>
      </c>
      <c r="E782" s="199">
        <v>5.14</v>
      </c>
      <c r="F782" s="199">
        <v>0.15</v>
      </c>
      <c r="G782" s="199">
        <v>0.6</v>
      </c>
      <c r="H782" s="199"/>
      <c r="I782" s="199"/>
      <c r="J782" s="219"/>
      <c r="K782" s="217">
        <f t="shared" si="20"/>
        <v>0.4625999999999999</v>
      </c>
      <c r="L782" s="218"/>
    </row>
    <row r="783" spans="2:12">
      <c r="B783" s="197" t="s">
        <v>1626</v>
      </c>
      <c r="C783" s="189" t="s">
        <v>1611</v>
      </c>
      <c r="D783" s="190" t="s">
        <v>169</v>
      </c>
      <c r="E783" s="199">
        <v>6.34</v>
      </c>
      <c r="F783" s="199">
        <v>0.2</v>
      </c>
      <c r="G783" s="199">
        <v>0.6</v>
      </c>
      <c r="H783" s="199"/>
      <c r="I783" s="199"/>
      <c r="J783" s="219"/>
      <c r="K783" s="217">
        <f t="shared" si="20"/>
        <v>0.76080000000000003</v>
      </c>
      <c r="L783" s="218"/>
    </row>
    <row r="784" spans="2:12">
      <c r="B784" s="197" t="s">
        <v>1626</v>
      </c>
      <c r="C784" s="189" t="s">
        <v>1611</v>
      </c>
      <c r="D784" s="190" t="s">
        <v>169</v>
      </c>
      <c r="E784" s="199">
        <v>3.78</v>
      </c>
      <c r="F784" s="199">
        <v>0.2</v>
      </c>
      <c r="G784" s="199">
        <v>0.7</v>
      </c>
      <c r="H784" s="199"/>
      <c r="I784" s="199"/>
      <c r="J784" s="219"/>
      <c r="K784" s="217">
        <f t="shared" si="20"/>
        <v>0.5292</v>
      </c>
      <c r="L784" s="218"/>
    </row>
    <row r="785" spans="2:12">
      <c r="B785" s="197" t="s">
        <v>1627</v>
      </c>
      <c r="C785" s="189" t="s">
        <v>1611</v>
      </c>
      <c r="D785" s="190" t="s">
        <v>169</v>
      </c>
      <c r="E785" s="199">
        <v>35.049999999999997</v>
      </c>
      <c r="F785" s="199">
        <v>0.2</v>
      </c>
      <c r="G785" s="199">
        <v>0.7</v>
      </c>
      <c r="H785" s="199"/>
      <c r="I785" s="199"/>
      <c r="J785" s="219"/>
      <c r="K785" s="217">
        <f t="shared" si="20"/>
        <v>4.9069999999999991</v>
      </c>
      <c r="L785" s="218"/>
    </row>
    <row r="786" spans="2:12">
      <c r="B786" s="197" t="s">
        <v>1627</v>
      </c>
      <c r="C786" s="189" t="s">
        <v>1611</v>
      </c>
      <c r="D786" s="190" t="s">
        <v>169</v>
      </c>
      <c r="E786" s="199">
        <v>5.05</v>
      </c>
      <c r="F786" s="199">
        <v>0.2</v>
      </c>
      <c r="G786" s="199">
        <v>1</v>
      </c>
      <c r="H786" s="199"/>
      <c r="I786" s="199"/>
      <c r="J786" s="219"/>
      <c r="K786" s="217">
        <f t="shared" si="20"/>
        <v>1.01</v>
      </c>
      <c r="L786" s="218"/>
    </row>
    <row r="787" spans="2:12">
      <c r="B787" s="197" t="s">
        <v>1628</v>
      </c>
      <c r="C787" s="189" t="s">
        <v>1611</v>
      </c>
      <c r="D787" s="190" t="s">
        <v>169</v>
      </c>
      <c r="E787" s="199">
        <v>12.91</v>
      </c>
      <c r="F787" s="199">
        <v>0.25</v>
      </c>
      <c r="G787" s="199">
        <v>0.7</v>
      </c>
      <c r="H787" s="199"/>
      <c r="I787" s="199"/>
      <c r="J787" s="219"/>
      <c r="K787" s="217">
        <f t="shared" si="20"/>
        <v>2.2592499999999998</v>
      </c>
      <c r="L787" s="218"/>
    </row>
    <row r="788" spans="2:12">
      <c r="B788" s="197" t="s">
        <v>1629</v>
      </c>
      <c r="C788" s="189" t="s">
        <v>1611</v>
      </c>
      <c r="D788" s="190" t="s">
        <v>169</v>
      </c>
      <c r="E788" s="199">
        <v>9.65</v>
      </c>
      <c r="F788" s="199">
        <v>0.3</v>
      </c>
      <c r="G788" s="199">
        <v>0.7</v>
      </c>
      <c r="H788" s="199"/>
      <c r="I788" s="199"/>
      <c r="J788" s="219"/>
      <c r="K788" s="217">
        <f t="shared" si="20"/>
        <v>2.0265</v>
      </c>
      <c r="L788" s="218"/>
    </row>
    <row r="789" spans="2:12">
      <c r="B789" s="197" t="s">
        <v>1629</v>
      </c>
      <c r="C789" s="189" t="s">
        <v>1611</v>
      </c>
      <c r="D789" s="190" t="s">
        <v>169</v>
      </c>
      <c r="E789" s="199">
        <v>2.91</v>
      </c>
      <c r="F789" s="199">
        <v>0.3</v>
      </c>
      <c r="G789" s="199">
        <v>0.65</v>
      </c>
      <c r="H789" s="199"/>
      <c r="I789" s="199"/>
      <c r="J789" s="219"/>
      <c r="K789" s="217">
        <f t="shared" si="20"/>
        <v>0.56745000000000001</v>
      </c>
      <c r="L789" s="218"/>
    </row>
    <row r="790" spans="2:12">
      <c r="B790" s="197" t="s">
        <v>1630</v>
      </c>
      <c r="C790" s="189" t="s">
        <v>1611</v>
      </c>
      <c r="D790" s="190" t="s">
        <v>169</v>
      </c>
      <c r="E790" s="199">
        <v>12.35</v>
      </c>
      <c r="F790" s="199">
        <v>0.15</v>
      </c>
      <c r="G790" s="199">
        <v>0.7</v>
      </c>
      <c r="H790" s="199"/>
      <c r="I790" s="199"/>
      <c r="J790" s="219"/>
      <c r="K790" s="217">
        <f t="shared" si="20"/>
        <v>1.2967499999999998</v>
      </c>
      <c r="L790" s="218"/>
    </row>
    <row r="791" spans="2:12">
      <c r="B791" s="197" t="s">
        <v>1631</v>
      </c>
      <c r="C791" s="189" t="s">
        <v>1611</v>
      </c>
      <c r="D791" s="190" t="s">
        <v>169</v>
      </c>
      <c r="E791" s="199">
        <v>16.260000000000002</v>
      </c>
      <c r="F791" s="199">
        <v>0.15</v>
      </c>
      <c r="G791" s="199">
        <v>1</v>
      </c>
      <c r="H791" s="199"/>
      <c r="I791" s="199"/>
      <c r="J791" s="219"/>
      <c r="K791" s="217">
        <f t="shared" si="20"/>
        <v>2.4390000000000001</v>
      </c>
      <c r="L791" s="218"/>
    </row>
    <row r="792" spans="2:12">
      <c r="B792" s="197" t="s">
        <v>1632</v>
      </c>
      <c r="C792" s="189" t="s">
        <v>1611</v>
      </c>
      <c r="D792" s="190" t="s">
        <v>169</v>
      </c>
      <c r="E792" s="199">
        <v>9.77</v>
      </c>
      <c r="F792" s="199">
        <v>0.3</v>
      </c>
      <c r="G792" s="199">
        <v>0.6</v>
      </c>
      <c r="H792" s="199"/>
      <c r="I792" s="199"/>
      <c r="J792" s="219"/>
      <c r="K792" s="217">
        <f t="shared" si="20"/>
        <v>1.7585999999999997</v>
      </c>
      <c r="L792" s="218"/>
    </row>
    <row r="793" spans="2:12">
      <c r="B793" s="197" t="s">
        <v>1633</v>
      </c>
      <c r="C793" s="189" t="s">
        <v>1611</v>
      </c>
      <c r="D793" s="190" t="s">
        <v>169</v>
      </c>
      <c r="E793" s="199">
        <v>8.8000000000000007</v>
      </c>
      <c r="F793" s="199">
        <v>0.15</v>
      </c>
      <c r="G793" s="199">
        <v>0.8</v>
      </c>
      <c r="H793" s="199"/>
      <c r="I793" s="199"/>
      <c r="J793" s="219"/>
      <c r="K793" s="217">
        <f t="shared" si="20"/>
        <v>1.056</v>
      </c>
      <c r="L793" s="218"/>
    </row>
    <row r="794" spans="2:12">
      <c r="B794" s="197" t="s">
        <v>1634</v>
      </c>
      <c r="C794" s="189" t="s">
        <v>1611</v>
      </c>
      <c r="D794" s="190" t="s">
        <v>169</v>
      </c>
      <c r="E794" s="199">
        <v>3.82</v>
      </c>
      <c r="F794" s="199">
        <v>0.3</v>
      </c>
      <c r="G794" s="199">
        <v>0.6</v>
      </c>
      <c r="H794" s="199"/>
      <c r="I794" s="199"/>
      <c r="J794" s="219"/>
      <c r="K794" s="217">
        <f t="shared" si="20"/>
        <v>0.68759999999999988</v>
      </c>
      <c r="L794" s="218"/>
    </row>
    <row r="795" spans="2:12">
      <c r="B795" s="197" t="s">
        <v>1635</v>
      </c>
      <c r="C795" s="189" t="s">
        <v>1611</v>
      </c>
      <c r="D795" s="190" t="s">
        <v>169</v>
      </c>
      <c r="E795" s="199">
        <v>2.54</v>
      </c>
      <c r="F795" s="199">
        <v>0.15</v>
      </c>
      <c r="G795" s="199">
        <v>0.6</v>
      </c>
      <c r="H795" s="199"/>
      <c r="I795" s="199"/>
      <c r="J795" s="219"/>
      <c r="K795" s="217">
        <f t="shared" si="20"/>
        <v>0.2286</v>
      </c>
      <c r="L795" s="218"/>
    </row>
    <row r="796" spans="2:12">
      <c r="B796" s="197" t="s">
        <v>1636</v>
      </c>
      <c r="C796" s="189" t="s">
        <v>1611</v>
      </c>
      <c r="D796" s="190" t="s">
        <v>169</v>
      </c>
      <c r="E796" s="199">
        <v>9.4</v>
      </c>
      <c r="F796" s="199">
        <v>0.2</v>
      </c>
      <c r="G796" s="199">
        <v>0.6</v>
      </c>
      <c r="H796" s="199"/>
      <c r="I796" s="199"/>
      <c r="J796" s="219"/>
      <c r="K796" s="217">
        <f t="shared" si="20"/>
        <v>1.1280000000000001</v>
      </c>
      <c r="L796" s="218"/>
    </row>
    <row r="797" spans="2:12">
      <c r="B797" s="197" t="s">
        <v>1637</v>
      </c>
      <c r="C797" s="189" t="s">
        <v>1611</v>
      </c>
      <c r="D797" s="190" t="s">
        <v>169</v>
      </c>
      <c r="E797" s="199">
        <v>3.84</v>
      </c>
      <c r="F797" s="199">
        <v>0.2</v>
      </c>
      <c r="G797" s="199">
        <v>0.7</v>
      </c>
      <c r="H797" s="199"/>
      <c r="I797" s="199"/>
      <c r="J797" s="219"/>
      <c r="K797" s="217">
        <f t="shared" si="20"/>
        <v>0.53759999999999997</v>
      </c>
      <c r="L797" s="218"/>
    </row>
    <row r="798" spans="2:12">
      <c r="B798" s="197" t="s">
        <v>1638</v>
      </c>
      <c r="C798" s="189" t="s">
        <v>1611</v>
      </c>
      <c r="D798" s="190" t="s">
        <v>169</v>
      </c>
      <c r="E798" s="199">
        <v>2.84</v>
      </c>
      <c r="F798" s="199">
        <v>0.2</v>
      </c>
      <c r="G798" s="199">
        <v>0.6</v>
      </c>
      <c r="H798" s="199"/>
      <c r="I798" s="199"/>
      <c r="J798" s="219"/>
      <c r="K798" s="217">
        <f t="shared" si="20"/>
        <v>0.34079999999999994</v>
      </c>
      <c r="L798" s="218"/>
    </row>
    <row r="799" spans="2:12">
      <c r="B799" s="197" t="s">
        <v>1639</v>
      </c>
      <c r="C799" s="189" t="s">
        <v>1611</v>
      </c>
      <c r="D799" s="190" t="s">
        <v>169</v>
      </c>
      <c r="E799" s="199">
        <v>9.4700000000000006</v>
      </c>
      <c r="F799" s="199">
        <v>0.15</v>
      </c>
      <c r="G799" s="199">
        <v>1</v>
      </c>
      <c r="H799" s="199"/>
      <c r="I799" s="199"/>
      <c r="J799" s="219"/>
      <c r="K799" s="217">
        <f t="shared" si="20"/>
        <v>1.4205000000000001</v>
      </c>
      <c r="L799" s="218"/>
    </row>
    <row r="800" spans="2:12">
      <c r="B800" s="197" t="s">
        <v>1640</v>
      </c>
      <c r="C800" s="189" t="s">
        <v>1611</v>
      </c>
      <c r="D800" s="190" t="s">
        <v>169</v>
      </c>
      <c r="E800" s="199">
        <v>21.33</v>
      </c>
      <c r="F800" s="199">
        <v>0.15</v>
      </c>
      <c r="G800" s="199">
        <v>1</v>
      </c>
      <c r="H800" s="199"/>
      <c r="I800" s="199"/>
      <c r="J800" s="219"/>
      <c r="K800" s="217">
        <f t="shared" si="20"/>
        <v>3.1994999999999996</v>
      </c>
      <c r="L800" s="218"/>
    </row>
    <row r="801" spans="2:12">
      <c r="B801" s="197" t="s">
        <v>1641</v>
      </c>
      <c r="C801" s="189" t="s">
        <v>1611</v>
      </c>
      <c r="D801" s="190" t="s">
        <v>169</v>
      </c>
      <c r="E801" s="199">
        <v>4.58</v>
      </c>
      <c r="F801" s="199">
        <v>0.2</v>
      </c>
      <c r="G801" s="199">
        <v>0.6</v>
      </c>
      <c r="H801" s="199"/>
      <c r="I801" s="199"/>
      <c r="J801" s="219"/>
      <c r="K801" s="217">
        <f t="shared" si="20"/>
        <v>0.54959999999999998</v>
      </c>
      <c r="L801" s="218"/>
    </row>
    <row r="802" spans="2:12">
      <c r="B802" s="197" t="s">
        <v>1648</v>
      </c>
      <c r="C802" s="189" t="s">
        <v>1612</v>
      </c>
      <c r="D802" s="190" t="s">
        <v>169</v>
      </c>
      <c r="E802" s="199">
        <v>21.7</v>
      </c>
      <c r="F802" s="199">
        <v>0.15</v>
      </c>
      <c r="G802" s="199">
        <v>1</v>
      </c>
      <c r="H802" s="199"/>
      <c r="I802" s="199"/>
      <c r="J802" s="219"/>
      <c r="K802" s="217">
        <f t="shared" si="20"/>
        <v>3.2549999999999999</v>
      </c>
      <c r="L802" s="218"/>
    </row>
    <row r="803" spans="2:12">
      <c r="B803" s="197" t="s">
        <v>1649</v>
      </c>
      <c r="C803" s="189" t="s">
        <v>1612</v>
      </c>
      <c r="D803" s="190" t="s">
        <v>169</v>
      </c>
      <c r="E803" s="199">
        <v>21.4</v>
      </c>
      <c r="F803" s="199">
        <v>0.2</v>
      </c>
      <c r="G803" s="199">
        <v>0.6</v>
      </c>
      <c r="H803" s="199"/>
      <c r="I803" s="199"/>
      <c r="J803" s="219"/>
      <c r="K803" s="217">
        <f t="shared" si="20"/>
        <v>2.5680000000000001</v>
      </c>
      <c r="L803" s="218"/>
    </row>
    <row r="804" spans="2:12">
      <c r="B804" s="197" t="s">
        <v>1650</v>
      </c>
      <c r="C804" s="189" t="s">
        <v>1612</v>
      </c>
      <c r="D804" s="190" t="s">
        <v>169</v>
      </c>
      <c r="E804" s="199">
        <v>21.4</v>
      </c>
      <c r="F804" s="199">
        <v>0.2</v>
      </c>
      <c r="G804" s="199">
        <v>0.6</v>
      </c>
      <c r="H804" s="199"/>
      <c r="I804" s="199"/>
      <c r="J804" s="219"/>
      <c r="K804" s="217">
        <f t="shared" si="20"/>
        <v>2.5680000000000001</v>
      </c>
      <c r="L804" s="218"/>
    </row>
    <row r="805" spans="2:12">
      <c r="B805" s="197" t="s">
        <v>1651</v>
      </c>
      <c r="C805" s="189" t="s">
        <v>1612</v>
      </c>
      <c r="D805" s="190" t="s">
        <v>169</v>
      </c>
      <c r="E805" s="199">
        <v>21.4</v>
      </c>
      <c r="F805" s="199">
        <v>0.2</v>
      </c>
      <c r="G805" s="199">
        <v>0.6</v>
      </c>
      <c r="H805" s="199"/>
      <c r="I805" s="199"/>
      <c r="J805" s="219"/>
      <c r="K805" s="217">
        <f t="shared" si="20"/>
        <v>2.5680000000000001</v>
      </c>
      <c r="L805" s="218"/>
    </row>
    <row r="806" spans="2:12">
      <c r="B806" s="197" t="s">
        <v>1652</v>
      </c>
      <c r="C806" s="189" t="s">
        <v>1612</v>
      </c>
      <c r="D806" s="190" t="s">
        <v>169</v>
      </c>
      <c r="E806" s="199">
        <v>3.45</v>
      </c>
      <c r="F806" s="199">
        <v>0.2</v>
      </c>
      <c r="G806" s="199">
        <v>0.6</v>
      </c>
      <c r="H806" s="199"/>
      <c r="I806" s="199"/>
      <c r="J806" s="219"/>
      <c r="K806" s="217">
        <f t="shared" si="20"/>
        <v>0.41400000000000003</v>
      </c>
      <c r="L806" s="218"/>
    </row>
    <row r="807" spans="2:12">
      <c r="B807" s="197" t="s">
        <v>1653</v>
      </c>
      <c r="C807" s="189" t="s">
        <v>1612</v>
      </c>
      <c r="D807" s="190" t="s">
        <v>169</v>
      </c>
      <c r="E807" s="199">
        <v>26.12</v>
      </c>
      <c r="F807" s="199">
        <v>0.2</v>
      </c>
      <c r="G807" s="199">
        <v>0.6</v>
      </c>
      <c r="H807" s="199"/>
      <c r="I807" s="199"/>
      <c r="J807" s="219"/>
      <c r="K807" s="217">
        <f t="shared" si="20"/>
        <v>3.1343999999999999</v>
      </c>
      <c r="L807" s="218"/>
    </row>
    <row r="808" spans="2:12">
      <c r="B808" s="197" t="s">
        <v>1654</v>
      </c>
      <c r="C808" s="189" t="s">
        <v>1612</v>
      </c>
      <c r="D808" s="190" t="s">
        <v>169</v>
      </c>
      <c r="E808" s="199">
        <v>24.11</v>
      </c>
      <c r="F808" s="199">
        <v>0.15</v>
      </c>
      <c r="G808" s="199">
        <v>1</v>
      </c>
      <c r="H808" s="199"/>
      <c r="I808" s="199"/>
      <c r="J808" s="219"/>
      <c r="K808" s="217">
        <f t="shared" si="20"/>
        <v>3.6164999999999998</v>
      </c>
      <c r="L808" s="218"/>
    </row>
    <row r="809" spans="2:12">
      <c r="B809" s="197" t="s">
        <v>1655</v>
      </c>
      <c r="C809" s="189" t="s">
        <v>1612</v>
      </c>
      <c r="D809" s="190" t="s">
        <v>169</v>
      </c>
      <c r="E809" s="199">
        <v>24.09</v>
      </c>
      <c r="F809" s="199">
        <v>0.15</v>
      </c>
      <c r="G809" s="199">
        <v>1</v>
      </c>
      <c r="H809" s="199"/>
      <c r="I809" s="199"/>
      <c r="J809" s="219"/>
      <c r="K809" s="217">
        <f t="shared" si="20"/>
        <v>3.6134999999999997</v>
      </c>
      <c r="L809" s="218"/>
    </row>
    <row r="810" spans="2:12">
      <c r="B810" s="197" t="s">
        <v>1656</v>
      </c>
      <c r="C810" s="189" t="s">
        <v>1612</v>
      </c>
      <c r="D810" s="190" t="s">
        <v>169</v>
      </c>
      <c r="E810" s="199">
        <v>7.87</v>
      </c>
      <c r="F810" s="199">
        <v>0.15</v>
      </c>
      <c r="G810" s="199">
        <v>0.6</v>
      </c>
      <c r="H810" s="199"/>
      <c r="I810" s="199"/>
      <c r="J810" s="219"/>
      <c r="K810" s="217">
        <f t="shared" si="20"/>
        <v>0.70829999999999993</v>
      </c>
      <c r="L810" s="218"/>
    </row>
    <row r="811" spans="2:12">
      <c r="B811" s="197" t="s">
        <v>1657</v>
      </c>
      <c r="C811" s="189" t="s">
        <v>1612</v>
      </c>
      <c r="D811" s="190" t="s">
        <v>169</v>
      </c>
      <c r="E811" s="199">
        <v>7.77</v>
      </c>
      <c r="F811" s="199">
        <v>0.2</v>
      </c>
      <c r="G811" s="199">
        <v>0.6</v>
      </c>
      <c r="H811" s="199"/>
      <c r="I811" s="199"/>
      <c r="J811" s="219"/>
      <c r="K811" s="217">
        <f t="shared" si="20"/>
        <v>0.93240000000000001</v>
      </c>
      <c r="L811" s="218"/>
    </row>
    <row r="812" spans="2:12">
      <c r="B812" s="197" t="s">
        <v>1658</v>
      </c>
      <c r="C812" s="189" t="s">
        <v>1612</v>
      </c>
      <c r="D812" s="190" t="s">
        <v>169</v>
      </c>
      <c r="E812" s="199">
        <v>28.53</v>
      </c>
      <c r="F812" s="199">
        <v>0.2</v>
      </c>
      <c r="G812" s="199">
        <v>0.6</v>
      </c>
      <c r="H812" s="199"/>
      <c r="I812" s="199"/>
      <c r="J812" s="219"/>
      <c r="K812" s="217">
        <f t="shared" ref="K812:K843" si="21">IF(E812*F812*G812&lt;&gt;0,E812*F812*G812,IF(E812*F812&lt;&gt;0,E812*F812,IF(F812*G812&lt;&gt;0,F812*G812,IF(E812*G812&lt;&gt;0,E812*G812,IF(E812&lt;&gt;0,E812,IF(F812&lt;&gt;0,F812,IF(G812&lt;&gt;0,G812,0)))))))*(IF(H812&lt;&gt;0,H812,1))+I812-J812</f>
        <v>3.4236</v>
      </c>
      <c r="L812" s="218"/>
    </row>
    <row r="813" spans="2:12">
      <c r="B813" s="197" t="s">
        <v>1659</v>
      </c>
      <c r="C813" s="189" t="s">
        <v>1612</v>
      </c>
      <c r="D813" s="190" t="s">
        <v>169</v>
      </c>
      <c r="E813" s="199">
        <v>2.2000000000000002</v>
      </c>
      <c r="F813" s="199">
        <v>0.15</v>
      </c>
      <c r="G813" s="199">
        <v>0.6</v>
      </c>
      <c r="H813" s="199"/>
      <c r="I813" s="199"/>
      <c r="J813" s="219"/>
      <c r="K813" s="217">
        <f t="shared" si="21"/>
        <v>0.19800000000000001</v>
      </c>
      <c r="L813" s="218"/>
    </row>
    <row r="814" spans="2:12">
      <c r="B814" s="197" t="s">
        <v>1660</v>
      </c>
      <c r="C814" s="189" t="s">
        <v>1612</v>
      </c>
      <c r="D814" s="190" t="s">
        <v>169</v>
      </c>
      <c r="E814" s="199">
        <v>4.2699999999999996</v>
      </c>
      <c r="F814" s="199">
        <v>0.15</v>
      </c>
      <c r="G814" s="199">
        <v>0.6</v>
      </c>
      <c r="H814" s="199"/>
      <c r="I814" s="199"/>
      <c r="J814" s="219"/>
      <c r="K814" s="217">
        <f t="shared" si="21"/>
        <v>0.38429999999999997</v>
      </c>
      <c r="L814" s="218"/>
    </row>
    <row r="815" spans="2:12">
      <c r="B815" s="197" t="s">
        <v>1661</v>
      </c>
      <c r="C815" s="189" t="s">
        <v>1612</v>
      </c>
      <c r="D815" s="190" t="s">
        <v>169</v>
      </c>
      <c r="E815" s="199">
        <v>2.12</v>
      </c>
      <c r="F815" s="199">
        <v>0.15</v>
      </c>
      <c r="G815" s="199">
        <v>1</v>
      </c>
      <c r="H815" s="199"/>
      <c r="I815" s="199"/>
      <c r="J815" s="219"/>
      <c r="K815" s="217">
        <f t="shared" si="21"/>
        <v>0.318</v>
      </c>
      <c r="L815" s="218"/>
    </row>
    <row r="816" spans="2:12">
      <c r="B816" s="197" t="s">
        <v>1662</v>
      </c>
      <c r="C816" s="189" t="s">
        <v>1612</v>
      </c>
      <c r="D816" s="190" t="s">
        <v>169</v>
      </c>
      <c r="E816" s="199">
        <v>0.84</v>
      </c>
      <c r="F816" s="199">
        <v>0.25</v>
      </c>
      <c r="G816" s="199">
        <v>1</v>
      </c>
      <c r="H816" s="199"/>
      <c r="I816" s="199"/>
      <c r="J816" s="219"/>
      <c r="K816" s="217">
        <f t="shared" si="21"/>
        <v>0.21</v>
      </c>
      <c r="L816" s="218"/>
    </row>
    <row r="817" spans="2:12">
      <c r="B817" s="197" t="s">
        <v>1662</v>
      </c>
      <c r="C817" s="189" t="s">
        <v>1612</v>
      </c>
      <c r="D817" s="190" t="s">
        <v>169</v>
      </c>
      <c r="E817" s="199">
        <v>20.5</v>
      </c>
      <c r="F817" s="199">
        <v>0.25</v>
      </c>
      <c r="G817" s="199">
        <v>0.7</v>
      </c>
      <c r="H817" s="199"/>
      <c r="I817" s="199"/>
      <c r="J817" s="219"/>
      <c r="K817" s="217">
        <f t="shared" si="21"/>
        <v>3.5874999999999999</v>
      </c>
      <c r="L817" s="218"/>
    </row>
    <row r="818" spans="2:12">
      <c r="B818" s="197" t="s">
        <v>1662</v>
      </c>
      <c r="C818" s="189" t="s">
        <v>1612</v>
      </c>
      <c r="D818" s="190" t="s">
        <v>169</v>
      </c>
      <c r="E818" s="199">
        <v>4.0199999999999996</v>
      </c>
      <c r="F818" s="199">
        <v>0.25</v>
      </c>
      <c r="G818" s="199">
        <v>1</v>
      </c>
      <c r="H818" s="199"/>
      <c r="I818" s="199"/>
      <c r="J818" s="219"/>
      <c r="K818" s="217">
        <f t="shared" si="21"/>
        <v>1.0049999999999999</v>
      </c>
      <c r="L818" s="218"/>
    </row>
    <row r="819" spans="2:12">
      <c r="B819" s="197" t="s">
        <v>1663</v>
      </c>
      <c r="C819" s="189" t="s">
        <v>1612</v>
      </c>
      <c r="D819" s="190" t="s">
        <v>169</v>
      </c>
      <c r="E819" s="199">
        <v>11.03</v>
      </c>
      <c r="F819" s="199">
        <v>0.15</v>
      </c>
      <c r="G819" s="199">
        <v>1</v>
      </c>
      <c r="H819" s="199"/>
      <c r="I819" s="199"/>
      <c r="J819" s="219"/>
      <c r="K819" s="217">
        <f t="shared" si="21"/>
        <v>1.6544999999999999</v>
      </c>
      <c r="L819" s="218"/>
    </row>
    <row r="820" spans="2:12">
      <c r="B820" s="197" t="s">
        <v>1664</v>
      </c>
      <c r="C820" s="189" t="s">
        <v>1612</v>
      </c>
      <c r="D820" s="190" t="s">
        <v>169</v>
      </c>
      <c r="E820" s="199">
        <v>15.92</v>
      </c>
      <c r="F820" s="199">
        <v>0.25</v>
      </c>
      <c r="G820" s="199">
        <v>0.8</v>
      </c>
      <c r="H820" s="199"/>
      <c r="I820" s="199"/>
      <c r="J820" s="219"/>
      <c r="K820" s="217">
        <f t="shared" si="21"/>
        <v>3.1840000000000002</v>
      </c>
      <c r="L820" s="218"/>
    </row>
    <row r="821" spans="2:12">
      <c r="B821" s="197" t="s">
        <v>1664</v>
      </c>
      <c r="C821" s="189" t="s">
        <v>1612</v>
      </c>
      <c r="D821" s="190" t="s">
        <v>169</v>
      </c>
      <c r="E821" s="199">
        <v>2.1</v>
      </c>
      <c r="F821" s="199">
        <v>0.25</v>
      </c>
      <c r="G821" s="199">
        <v>1</v>
      </c>
      <c r="H821" s="199"/>
      <c r="I821" s="199"/>
      <c r="J821" s="219"/>
      <c r="K821" s="217">
        <f t="shared" si="21"/>
        <v>0.52500000000000002</v>
      </c>
      <c r="L821" s="218"/>
    </row>
    <row r="822" spans="2:12">
      <c r="B822" s="197" t="s">
        <v>1665</v>
      </c>
      <c r="C822" s="189" t="s">
        <v>1612</v>
      </c>
      <c r="D822" s="190" t="s">
        <v>169</v>
      </c>
      <c r="E822" s="199">
        <v>4.74</v>
      </c>
      <c r="F822" s="199">
        <v>0.15</v>
      </c>
      <c r="G822" s="199">
        <v>0.6</v>
      </c>
      <c r="H822" s="199"/>
      <c r="I822" s="199"/>
      <c r="J822" s="219"/>
      <c r="K822" s="217">
        <f t="shared" si="21"/>
        <v>0.42659999999999998</v>
      </c>
      <c r="L822" s="218"/>
    </row>
    <row r="823" spans="2:12">
      <c r="B823" s="197" t="s">
        <v>1666</v>
      </c>
      <c r="C823" s="189" t="s">
        <v>1612</v>
      </c>
      <c r="D823" s="190" t="s">
        <v>169</v>
      </c>
      <c r="E823" s="199">
        <v>6.44</v>
      </c>
      <c r="F823" s="199">
        <v>0.3</v>
      </c>
      <c r="G823" s="199">
        <v>0.6</v>
      </c>
      <c r="H823" s="199"/>
      <c r="I823" s="199"/>
      <c r="J823" s="219"/>
      <c r="K823" s="217">
        <f t="shared" si="21"/>
        <v>1.1592</v>
      </c>
      <c r="L823" s="218"/>
    </row>
    <row r="824" spans="2:12">
      <c r="B824" s="197" t="s">
        <v>1666</v>
      </c>
      <c r="C824" s="189" t="s">
        <v>1612</v>
      </c>
      <c r="D824" s="190" t="s">
        <v>169</v>
      </c>
      <c r="E824" s="199">
        <v>3.53</v>
      </c>
      <c r="F824" s="199">
        <v>0.3</v>
      </c>
      <c r="G824" s="199">
        <v>1</v>
      </c>
      <c r="H824" s="199"/>
      <c r="I824" s="199"/>
      <c r="J824" s="219"/>
      <c r="K824" s="217">
        <f t="shared" si="21"/>
        <v>1.0589999999999999</v>
      </c>
      <c r="L824" s="218"/>
    </row>
    <row r="825" spans="2:12">
      <c r="B825" s="197" t="s">
        <v>1667</v>
      </c>
      <c r="C825" s="189" t="s">
        <v>1612</v>
      </c>
      <c r="D825" s="190" t="s">
        <v>169</v>
      </c>
      <c r="E825" s="199">
        <v>1.06</v>
      </c>
      <c r="F825" s="199">
        <v>0.15</v>
      </c>
      <c r="G825" s="199">
        <v>1</v>
      </c>
      <c r="H825" s="199"/>
      <c r="I825" s="199"/>
      <c r="J825" s="219"/>
      <c r="K825" s="217">
        <f t="shared" si="21"/>
        <v>0.159</v>
      </c>
      <c r="L825" s="218"/>
    </row>
    <row r="826" spans="2:12">
      <c r="B826" s="197" t="s">
        <v>1668</v>
      </c>
      <c r="C826" s="189" t="s">
        <v>1612</v>
      </c>
      <c r="D826" s="190" t="s">
        <v>169</v>
      </c>
      <c r="E826" s="199">
        <v>14.42</v>
      </c>
      <c r="F826" s="199">
        <v>0.15</v>
      </c>
      <c r="G826" s="199">
        <v>1</v>
      </c>
      <c r="H826" s="199"/>
      <c r="I826" s="199"/>
      <c r="J826" s="219"/>
      <c r="K826" s="217">
        <f t="shared" si="21"/>
        <v>2.1629999999999998</v>
      </c>
      <c r="L826" s="218"/>
    </row>
    <row r="827" spans="2:12">
      <c r="B827" s="197" t="s">
        <v>1669</v>
      </c>
      <c r="C827" s="189" t="s">
        <v>1612</v>
      </c>
      <c r="D827" s="190" t="s">
        <v>169</v>
      </c>
      <c r="E827" s="199">
        <v>7.31</v>
      </c>
      <c r="F827" s="199">
        <v>0.15</v>
      </c>
      <c r="G827" s="199">
        <v>1</v>
      </c>
      <c r="H827" s="199"/>
      <c r="I827" s="199"/>
      <c r="J827" s="219"/>
      <c r="K827" s="217">
        <f t="shared" si="21"/>
        <v>1.0964999999999998</v>
      </c>
      <c r="L827" s="218"/>
    </row>
    <row r="828" spans="2:12">
      <c r="B828" s="197" t="s">
        <v>1670</v>
      </c>
      <c r="C828" s="189" t="s">
        <v>1612</v>
      </c>
      <c r="D828" s="190" t="s">
        <v>169</v>
      </c>
      <c r="E828" s="199">
        <v>10.97</v>
      </c>
      <c r="F828" s="199">
        <v>0.4</v>
      </c>
      <c r="G828" s="199">
        <v>0.6</v>
      </c>
      <c r="H828" s="199"/>
      <c r="I828" s="199"/>
      <c r="J828" s="219"/>
      <c r="K828" s="217">
        <f t="shared" si="21"/>
        <v>2.6328000000000005</v>
      </c>
      <c r="L828" s="218"/>
    </row>
    <row r="829" spans="2:12">
      <c r="B829" s="197" t="s">
        <v>1671</v>
      </c>
      <c r="C829" s="189" t="s">
        <v>1612</v>
      </c>
      <c r="D829" s="190" t="s">
        <v>169</v>
      </c>
      <c r="E829" s="199">
        <v>7.65</v>
      </c>
      <c r="F829" s="199">
        <v>0.15</v>
      </c>
      <c r="G829" s="199">
        <v>1</v>
      </c>
      <c r="H829" s="199"/>
      <c r="I829" s="199"/>
      <c r="J829" s="219"/>
      <c r="K829" s="217">
        <f t="shared" si="21"/>
        <v>1.1475</v>
      </c>
      <c r="L829" s="218"/>
    </row>
    <row r="830" spans="2:12">
      <c r="B830" s="197" t="s">
        <v>1672</v>
      </c>
      <c r="C830" s="189" t="s">
        <v>1612</v>
      </c>
      <c r="D830" s="190" t="s">
        <v>169</v>
      </c>
      <c r="E830" s="199">
        <v>2.54</v>
      </c>
      <c r="F830" s="199">
        <v>0.15</v>
      </c>
      <c r="G830" s="199">
        <v>0.6</v>
      </c>
      <c r="H830" s="199"/>
      <c r="I830" s="199"/>
      <c r="J830" s="219"/>
      <c r="K830" s="217">
        <f t="shared" si="21"/>
        <v>0.2286</v>
      </c>
      <c r="L830" s="218"/>
    </row>
    <row r="831" spans="2:12">
      <c r="B831" s="197" t="s">
        <v>1544</v>
      </c>
      <c r="C831" s="189" t="s">
        <v>1612</v>
      </c>
      <c r="D831" s="190" t="s">
        <v>169</v>
      </c>
      <c r="E831" s="199">
        <v>9.35</v>
      </c>
      <c r="F831" s="199">
        <v>0.2</v>
      </c>
      <c r="G831" s="199">
        <v>0.7</v>
      </c>
      <c r="H831" s="199"/>
      <c r="I831" s="199"/>
      <c r="J831" s="219"/>
      <c r="K831" s="217">
        <f t="shared" si="21"/>
        <v>1.3089999999999999</v>
      </c>
      <c r="L831" s="218"/>
    </row>
    <row r="832" spans="2:12">
      <c r="B832" s="197" t="s">
        <v>1673</v>
      </c>
      <c r="C832" s="189" t="s">
        <v>1612</v>
      </c>
      <c r="D832" s="190" t="s">
        <v>169</v>
      </c>
      <c r="E832" s="199">
        <v>1.55</v>
      </c>
      <c r="F832" s="199">
        <v>0.15</v>
      </c>
      <c r="G832" s="199">
        <v>1</v>
      </c>
      <c r="H832" s="199"/>
      <c r="I832" s="199"/>
      <c r="J832" s="219"/>
      <c r="K832" s="217">
        <f t="shared" si="21"/>
        <v>0.23249999999999998</v>
      </c>
      <c r="L832" s="218"/>
    </row>
    <row r="833" spans="2:12">
      <c r="B833" s="197" t="s">
        <v>1674</v>
      </c>
      <c r="C833" s="189" t="s">
        <v>1612</v>
      </c>
      <c r="D833" s="190" t="s">
        <v>169</v>
      </c>
      <c r="E833" s="199">
        <v>1.24</v>
      </c>
      <c r="F833" s="199">
        <v>0.2</v>
      </c>
      <c r="G833" s="199">
        <v>0.6</v>
      </c>
      <c r="H833" s="199"/>
      <c r="I833" s="199"/>
      <c r="J833" s="219"/>
      <c r="K833" s="217">
        <f t="shared" si="21"/>
        <v>0.14879999999999999</v>
      </c>
      <c r="L833" s="218"/>
    </row>
    <row r="834" spans="2:12">
      <c r="B834" s="197" t="s">
        <v>1675</v>
      </c>
      <c r="C834" s="189" t="s">
        <v>1612</v>
      </c>
      <c r="D834" s="190" t="s">
        <v>169</v>
      </c>
      <c r="E834" s="199">
        <v>8.8000000000000007</v>
      </c>
      <c r="F834" s="199">
        <v>0.2</v>
      </c>
      <c r="G834" s="199">
        <v>0.7</v>
      </c>
      <c r="H834" s="199"/>
      <c r="I834" s="199"/>
      <c r="J834" s="219"/>
      <c r="K834" s="217">
        <f t="shared" si="21"/>
        <v>1.232</v>
      </c>
      <c r="L834" s="218"/>
    </row>
    <row r="835" spans="2:12">
      <c r="B835" s="197" t="s">
        <v>1676</v>
      </c>
      <c r="C835" s="189" t="s">
        <v>1612</v>
      </c>
      <c r="D835" s="190" t="s">
        <v>169</v>
      </c>
      <c r="E835" s="199">
        <v>4.7</v>
      </c>
      <c r="F835" s="199">
        <v>0.15</v>
      </c>
      <c r="G835" s="199">
        <v>1</v>
      </c>
      <c r="H835" s="199"/>
      <c r="I835" s="199"/>
      <c r="J835" s="219"/>
      <c r="K835" s="217">
        <f t="shared" si="21"/>
        <v>0.70499999999999996</v>
      </c>
      <c r="L835" s="218"/>
    </row>
    <row r="836" spans="2:12">
      <c r="B836" s="197" t="s">
        <v>1677</v>
      </c>
      <c r="C836" s="189" t="s">
        <v>1612</v>
      </c>
      <c r="D836" s="190" t="s">
        <v>169</v>
      </c>
      <c r="E836" s="199">
        <v>2.98</v>
      </c>
      <c r="F836" s="199">
        <v>0.15</v>
      </c>
      <c r="G836" s="199">
        <v>1</v>
      </c>
      <c r="H836" s="199"/>
      <c r="I836" s="199"/>
      <c r="J836" s="219"/>
      <c r="K836" s="217">
        <f t="shared" si="21"/>
        <v>0.44700000000000001</v>
      </c>
      <c r="L836" s="218"/>
    </row>
    <row r="837" spans="2:12">
      <c r="B837" s="197" t="s">
        <v>1678</v>
      </c>
      <c r="C837" s="189" t="s">
        <v>1612</v>
      </c>
      <c r="D837" s="190" t="s">
        <v>169</v>
      </c>
      <c r="E837" s="199">
        <v>1.24</v>
      </c>
      <c r="F837" s="199">
        <v>0.2</v>
      </c>
      <c r="G837" s="199">
        <v>0.6</v>
      </c>
      <c r="H837" s="199"/>
      <c r="I837" s="199"/>
      <c r="J837" s="219"/>
      <c r="K837" s="217">
        <f t="shared" si="21"/>
        <v>0.14879999999999999</v>
      </c>
      <c r="L837" s="218"/>
    </row>
    <row r="838" spans="2:12">
      <c r="B838" s="197" t="s">
        <v>1679</v>
      </c>
      <c r="C838" s="189" t="s">
        <v>1612</v>
      </c>
      <c r="D838" s="190" t="s">
        <v>169</v>
      </c>
      <c r="E838" s="199">
        <v>1.94</v>
      </c>
      <c r="F838" s="199">
        <v>0.2</v>
      </c>
      <c r="G838" s="199">
        <v>1</v>
      </c>
      <c r="H838" s="199"/>
      <c r="I838" s="199"/>
      <c r="J838" s="219"/>
      <c r="K838" s="217">
        <f t="shared" si="21"/>
        <v>0.38800000000000001</v>
      </c>
      <c r="L838" s="218"/>
    </row>
    <row r="839" spans="2:12">
      <c r="B839" s="197" t="s">
        <v>1680</v>
      </c>
      <c r="C839" s="189" t="s">
        <v>1612</v>
      </c>
      <c r="D839" s="190" t="s">
        <v>169</v>
      </c>
      <c r="E839" s="199">
        <v>6.31</v>
      </c>
      <c r="F839" s="199">
        <v>0.15</v>
      </c>
      <c r="G839" s="199">
        <v>1</v>
      </c>
      <c r="H839" s="199"/>
      <c r="I839" s="199"/>
      <c r="J839" s="219"/>
      <c r="K839" s="217">
        <f t="shared" si="21"/>
        <v>0.9464999999999999</v>
      </c>
      <c r="L839" s="218"/>
    </row>
    <row r="840" spans="2:12">
      <c r="B840" s="197" t="s">
        <v>1648</v>
      </c>
      <c r="C840" s="189" t="s">
        <v>1613</v>
      </c>
      <c r="D840" s="190" t="s">
        <v>169</v>
      </c>
      <c r="E840" s="199">
        <v>21.7</v>
      </c>
      <c r="F840" s="199">
        <v>0.15</v>
      </c>
      <c r="G840" s="199">
        <v>1</v>
      </c>
      <c r="H840" s="199"/>
      <c r="I840" s="199"/>
      <c r="J840" s="219"/>
      <c r="K840" s="217">
        <f t="shared" si="21"/>
        <v>3.2549999999999999</v>
      </c>
      <c r="L840" s="218"/>
    </row>
    <row r="841" spans="2:12">
      <c r="B841" s="197" t="s">
        <v>1649</v>
      </c>
      <c r="C841" s="189" t="s">
        <v>1613</v>
      </c>
      <c r="D841" s="190" t="s">
        <v>169</v>
      </c>
      <c r="E841" s="199">
        <v>21.4</v>
      </c>
      <c r="F841" s="199">
        <v>0.2</v>
      </c>
      <c r="G841" s="199">
        <v>0.6</v>
      </c>
      <c r="H841" s="199"/>
      <c r="I841" s="199"/>
      <c r="J841" s="219"/>
      <c r="K841" s="217">
        <f t="shared" si="21"/>
        <v>2.5680000000000001</v>
      </c>
      <c r="L841" s="218"/>
    </row>
    <row r="842" spans="2:12">
      <c r="B842" s="197" t="s">
        <v>1650</v>
      </c>
      <c r="C842" s="189" t="s">
        <v>1613</v>
      </c>
      <c r="D842" s="190" t="s">
        <v>169</v>
      </c>
      <c r="E842" s="199">
        <v>21.4</v>
      </c>
      <c r="F842" s="199">
        <v>0.2</v>
      </c>
      <c r="G842" s="199">
        <v>0.6</v>
      </c>
      <c r="H842" s="199"/>
      <c r="I842" s="199"/>
      <c r="J842" s="219"/>
      <c r="K842" s="217">
        <f t="shared" si="21"/>
        <v>2.5680000000000001</v>
      </c>
      <c r="L842" s="218"/>
    </row>
    <row r="843" spans="2:12">
      <c r="B843" s="197" t="s">
        <v>1651</v>
      </c>
      <c r="C843" s="189" t="s">
        <v>1613</v>
      </c>
      <c r="D843" s="190" t="s">
        <v>169</v>
      </c>
      <c r="E843" s="199">
        <v>21.4</v>
      </c>
      <c r="F843" s="199">
        <v>0.2</v>
      </c>
      <c r="G843" s="199">
        <v>0.6</v>
      </c>
      <c r="H843" s="199"/>
      <c r="I843" s="199"/>
      <c r="J843" s="219"/>
      <c r="K843" s="217">
        <f t="shared" si="21"/>
        <v>2.5680000000000001</v>
      </c>
      <c r="L843" s="218"/>
    </row>
    <row r="844" spans="2:12">
      <c r="B844" s="197" t="s">
        <v>1652</v>
      </c>
      <c r="C844" s="189" t="s">
        <v>1613</v>
      </c>
      <c r="D844" s="190" t="s">
        <v>169</v>
      </c>
      <c r="E844" s="199">
        <v>3.45</v>
      </c>
      <c r="F844" s="199">
        <v>0.2</v>
      </c>
      <c r="G844" s="199">
        <v>0.6</v>
      </c>
      <c r="H844" s="199"/>
      <c r="I844" s="199"/>
      <c r="J844" s="219"/>
      <c r="K844" s="217">
        <f t="shared" ref="K844:K875" si="22">IF(E844*F844*G844&lt;&gt;0,E844*F844*G844,IF(E844*F844&lt;&gt;0,E844*F844,IF(F844*G844&lt;&gt;0,F844*G844,IF(E844*G844&lt;&gt;0,E844*G844,IF(E844&lt;&gt;0,E844,IF(F844&lt;&gt;0,F844,IF(G844&lt;&gt;0,G844,0)))))))*(IF(H844&lt;&gt;0,H844,1))+I844-J844</f>
        <v>0.41400000000000003</v>
      </c>
      <c r="L844" s="218"/>
    </row>
    <row r="845" spans="2:12">
      <c r="B845" s="197" t="s">
        <v>1653</v>
      </c>
      <c r="C845" s="189" t="s">
        <v>1613</v>
      </c>
      <c r="D845" s="190" t="s">
        <v>169</v>
      </c>
      <c r="E845" s="199">
        <v>26.12</v>
      </c>
      <c r="F845" s="199">
        <v>0.2</v>
      </c>
      <c r="G845" s="199">
        <v>0.6</v>
      </c>
      <c r="H845" s="199"/>
      <c r="I845" s="199"/>
      <c r="J845" s="219"/>
      <c r="K845" s="217">
        <f t="shared" si="22"/>
        <v>3.1343999999999999</v>
      </c>
      <c r="L845" s="218"/>
    </row>
    <row r="846" spans="2:12">
      <c r="B846" s="197" t="s">
        <v>1654</v>
      </c>
      <c r="C846" s="189" t="s">
        <v>1613</v>
      </c>
      <c r="D846" s="190" t="s">
        <v>169</v>
      </c>
      <c r="E846" s="199">
        <v>24.11</v>
      </c>
      <c r="F846" s="199">
        <v>0.15</v>
      </c>
      <c r="G846" s="199">
        <v>1</v>
      </c>
      <c r="H846" s="199"/>
      <c r="I846" s="199"/>
      <c r="J846" s="219"/>
      <c r="K846" s="217">
        <f t="shared" si="22"/>
        <v>3.6164999999999998</v>
      </c>
      <c r="L846" s="218"/>
    </row>
    <row r="847" spans="2:12">
      <c r="B847" s="197" t="s">
        <v>1655</v>
      </c>
      <c r="C847" s="189" t="s">
        <v>1613</v>
      </c>
      <c r="D847" s="190" t="s">
        <v>169</v>
      </c>
      <c r="E847" s="199">
        <v>24.09</v>
      </c>
      <c r="F847" s="199">
        <v>0.15</v>
      </c>
      <c r="G847" s="199">
        <v>1</v>
      </c>
      <c r="H847" s="199"/>
      <c r="I847" s="199"/>
      <c r="J847" s="219"/>
      <c r="K847" s="217">
        <f t="shared" si="22"/>
        <v>3.6134999999999997</v>
      </c>
      <c r="L847" s="218"/>
    </row>
    <row r="848" spans="2:12">
      <c r="B848" s="197" t="s">
        <v>1656</v>
      </c>
      <c r="C848" s="189" t="s">
        <v>1613</v>
      </c>
      <c r="D848" s="190" t="s">
        <v>169</v>
      </c>
      <c r="E848" s="199">
        <v>7.87</v>
      </c>
      <c r="F848" s="199">
        <v>0.15</v>
      </c>
      <c r="G848" s="199">
        <v>0.6</v>
      </c>
      <c r="H848" s="199"/>
      <c r="I848" s="199"/>
      <c r="J848" s="219"/>
      <c r="K848" s="217">
        <f t="shared" si="22"/>
        <v>0.70829999999999993</v>
      </c>
      <c r="L848" s="218"/>
    </row>
    <row r="849" spans="2:12">
      <c r="B849" s="197" t="s">
        <v>1657</v>
      </c>
      <c r="C849" s="189" t="s">
        <v>1613</v>
      </c>
      <c r="D849" s="190" t="s">
        <v>169</v>
      </c>
      <c r="E849" s="199">
        <v>7.77</v>
      </c>
      <c r="F849" s="199">
        <v>0.2</v>
      </c>
      <c r="G849" s="199">
        <v>0.6</v>
      </c>
      <c r="H849" s="199"/>
      <c r="I849" s="199"/>
      <c r="J849" s="219"/>
      <c r="K849" s="217">
        <f t="shared" si="22"/>
        <v>0.93240000000000001</v>
      </c>
      <c r="L849" s="218"/>
    </row>
    <row r="850" spans="2:12">
      <c r="B850" s="197" t="s">
        <v>1898</v>
      </c>
      <c r="C850" s="189" t="s">
        <v>1895</v>
      </c>
      <c r="D850" s="190" t="s">
        <v>169</v>
      </c>
      <c r="E850" s="199">
        <v>25.82</v>
      </c>
      <c r="F850" s="199">
        <v>0.2</v>
      </c>
      <c r="G850" s="199">
        <v>0.6</v>
      </c>
      <c r="H850" s="199">
        <v>1</v>
      </c>
      <c r="I850" s="199"/>
      <c r="J850" s="219"/>
      <c r="K850" s="217">
        <f t="shared" si="22"/>
        <v>3.0984000000000003</v>
      </c>
      <c r="L850" s="218"/>
    </row>
    <row r="851" spans="2:12">
      <c r="B851" s="197" t="s">
        <v>1899</v>
      </c>
      <c r="C851" s="189" t="s">
        <v>1895</v>
      </c>
      <c r="D851" s="190" t="s">
        <v>169</v>
      </c>
      <c r="E851" s="199">
        <v>2.2000000000000002</v>
      </c>
      <c r="F851" s="199">
        <v>0.15</v>
      </c>
      <c r="G851" s="199">
        <v>0.6</v>
      </c>
      <c r="H851" s="199">
        <v>1</v>
      </c>
      <c r="I851" s="199"/>
      <c r="J851" s="219"/>
      <c r="K851" s="217">
        <f t="shared" si="22"/>
        <v>0.19800000000000001</v>
      </c>
      <c r="L851" s="218"/>
    </row>
    <row r="852" spans="2:12">
      <c r="B852" s="197" t="s">
        <v>1900</v>
      </c>
      <c r="C852" s="189" t="s">
        <v>1895</v>
      </c>
      <c r="D852" s="190" t="s">
        <v>169</v>
      </c>
      <c r="E852" s="199">
        <v>2.2000000000000002</v>
      </c>
      <c r="F852" s="199">
        <v>0.15</v>
      </c>
      <c r="G852" s="199">
        <v>1</v>
      </c>
      <c r="H852" s="199">
        <v>1</v>
      </c>
      <c r="I852" s="199"/>
      <c r="J852" s="219"/>
      <c r="K852" s="217">
        <f t="shared" si="22"/>
        <v>0.33</v>
      </c>
      <c r="L852" s="218"/>
    </row>
    <row r="853" spans="2:12">
      <c r="B853" s="197" t="s">
        <v>1901</v>
      </c>
      <c r="C853" s="189" t="s">
        <v>1895</v>
      </c>
      <c r="D853" s="190" t="s">
        <v>169</v>
      </c>
      <c r="E853" s="199">
        <v>20.5</v>
      </c>
      <c r="F853" s="199">
        <v>0.25</v>
      </c>
      <c r="G853" s="199">
        <v>0.7</v>
      </c>
      <c r="H853" s="199">
        <v>1</v>
      </c>
      <c r="I853" s="199"/>
      <c r="J853" s="219"/>
      <c r="K853" s="217">
        <f t="shared" si="22"/>
        <v>3.5874999999999999</v>
      </c>
      <c r="L853" s="218"/>
    </row>
    <row r="854" spans="2:12">
      <c r="B854" s="197" t="s">
        <v>1901</v>
      </c>
      <c r="C854" s="189" t="s">
        <v>1895</v>
      </c>
      <c r="D854" s="190" t="s">
        <v>169</v>
      </c>
      <c r="E854" s="199">
        <v>4.0199999999999996</v>
      </c>
      <c r="F854" s="199">
        <v>0.25</v>
      </c>
      <c r="G854" s="199">
        <v>1</v>
      </c>
      <c r="H854" s="199">
        <v>1</v>
      </c>
      <c r="I854" s="199"/>
      <c r="J854" s="219"/>
      <c r="K854" s="217">
        <f t="shared" si="22"/>
        <v>1.0049999999999999</v>
      </c>
      <c r="L854" s="218"/>
    </row>
    <row r="855" spans="2:12">
      <c r="B855" s="197" t="s">
        <v>1902</v>
      </c>
      <c r="C855" s="189" t="s">
        <v>1895</v>
      </c>
      <c r="D855" s="190" t="s">
        <v>169</v>
      </c>
      <c r="E855" s="199">
        <v>11.03</v>
      </c>
      <c r="F855" s="199">
        <v>0.15</v>
      </c>
      <c r="G855" s="199">
        <v>1</v>
      </c>
      <c r="H855" s="199">
        <v>1</v>
      </c>
      <c r="I855" s="199"/>
      <c r="J855" s="219"/>
      <c r="K855" s="217">
        <f t="shared" si="22"/>
        <v>1.6544999999999999</v>
      </c>
      <c r="L855" s="218"/>
    </row>
    <row r="856" spans="2:12">
      <c r="B856" s="197" t="s">
        <v>1903</v>
      </c>
      <c r="C856" s="189" t="s">
        <v>1895</v>
      </c>
      <c r="D856" s="190" t="s">
        <v>169</v>
      </c>
      <c r="E856" s="199">
        <v>14.73</v>
      </c>
      <c r="F856" s="199">
        <v>0.25</v>
      </c>
      <c r="G856" s="199">
        <v>0.6</v>
      </c>
      <c r="H856" s="199">
        <v>1</v>
      </c>
      <c r="I856" s="199"/>
      <c r="J856" s="219"/>
      <c r="K856" s="217">
        <f t="shared" si="22"/>
        <v>2.2094999999999998</v>
      </c>
      <c r="L856" s="218"/>
    </row>
    <row r="857" spans="2:12">
      <c r="B857" s="197" t="s">
        <v>1904</v>
      </c>
      <c r="C857" s="189" t="s">
        <v>1895</v>
      </c>
      <c r="D857" s="190" t="s">
        <v>169</v>
      </c>
      <c r="E857" s="199">
        <v>4.74</v>
      </c>
      <c r="F857" s="199">
        <v>0.15</v>
      </c>
      <c r="G857" s="199">
        <v>0.6</v>
      </c>
      <c r="H857" s="199">
        <v>1</v>
      </c>
      <c r="I857" s="199"/>
      <c r="J857" s="219"/>
      <c r="K857" s="217">
        <f t="shared" si="22"/>
        <v>0.42659999999999998</v>
      </c>
      <c r="L857" s="218"/>
    </row>
    <row r="858" spans="2:12">
      <c r="B858" s="197" t="s">
        <v>1905</v>
      </c>
      <c r="C858" s="189" t="s">
        <v>1895</v>
      </c>
      <c r="D858" s="190" t="s">
        <v>169</v>
      </c>
      <c r="E858" s="199">
        <v>5.6</v>
      </c>
      <c r="F858" s="199">
        <v>0.3</v>
      </c>
      <c r="G858" s="199">
        <v>0.6</v>
      </c>
      <c r="H858" s="199">
        <v>1</v>
      </c>
      <c r="I858" s="199"/>
      <c r="J858" s="219"/>
      <c r="K858" s="217">
        <f t="shared" si="22"/>
        <v>1.008</v>
      </c>
      <c r="L858" s="218"/>
    </row>
    <row r="859" spans="2:12">
      <c r="B859" s="197" t="s">
        <v>1906</v>
      </c>
      <c r="C859" s="189" t="s">
        <v>1895</v>
      </c>
      <c r="D859" s="190" t="s">
        <v>169</v>
      </c>
      <c r="E859" s="199">
        <v>14.52</v>
      </c>
      <c r="F859" s="199">
        <v>0.15</v>
      </c>
      <c r="G859" s="199">
        <v>1</v>
      </c>
      <c r="H859" s="199">
        <v>1</v>
      </c>
      <c r="I859" s="199"/>
      <c r="J859" s="219"/>
      <c r="K859" s="217">
        <f t="shared" si="22"/>
        <v>2.1779999999999999</v>
      </c>
      <c r="L859" s="218"/>
    </row>
    <row r="860" spans="2:12">
      <c r="B860" s="197" t="s">
        <v>1907</v>
      </c>
      <c r="C860" s="189" t="s">
        <v>1895</v>
      </c>
      <c r="D860" s="190" t="s">
        <v>169</v>
      </c>
      <c r="E860" s="199">
        <v>0.2</v>
      </c>
      <c r="F860" s="199">
        <v>0.25</v>
      </c>
      <c r="G860" s="199">
        <v>1</v>
      </c>
      <c r="H860" s="199">
        <v>1</v>
      </c>
      <c r="I860" s="199"/>
      <c r="J860" s="219"/>
      <c r="K860" s="217">
        <f t="shared" si="22"/>
        <v>0.05</v>
      </c>
      <c r="L860" s="218"/>
    </row>
    <row r="861" spans="2:12">
      <c r="B861" s="197" t="s">
        <v>1907</v>
      </c>
      <c r="C861" s="189" t="s">
        <v>1895</v>
      </c>
      <c r="D861" s="190" t="s">
        <v>169</v>
      </c>
      <c r="E861" s="199">
        <v>7.06</v>
      </c>
      <c r="F861" s="199">
        <v>0.15</v>
      </c>
      <c r="G861" s="199">
        <v>1</v>
      </c>
      <c r="H861" s="199">
        <v>1</v>
      </c>
      <c r="I861" s="199"/>
      <c r="J861" s="219"/>
      <c r="K861" s="217">
        <f t="shared" si="22"/>
        <v>1.0589999999999999</v>
      </c>
      <c r="L861" s="218"/>
    </row>
    <row r="862" spans="2:12">
      <c r="B862" s="197" t="s">
        <v>1908</v>
      </c>
      <c r="C862" s="189" t="s">
        <v>1895</v>
      </c>
      <c r="D862" s="190" t="s">
        <v>169</v>
      </c>
      <c r="E862" s="199">
        <v>10.9</v>
      </c>
      <c r="F862" s="199">
        <v>0.4</v>
      </c>
      <c r="G862" s="199">
        <v>0.6</v>
      </c>
      <c r="H862" s="199">
        <v>1</v>
      </c>
      <c r="I862" s="199"/>
      <c r="J862" s="219"/>
      <c r="K862" s="217">
        <f t="shared" si="22"/>
        <v>2.6160000000000001</v>
      </c>
      <c r="L862" s="218"/>
    </row>
    <row r="863" spans="2:12">
      <c r="B863" s="197" t="s">
        <v>1909</v>
      </c>
      <c r="C863" s="189" t="s">
        <v>1895</v>
      </c>
      <c r="D863" s="190" t="s">
        <v>169</v>
      </c>
      <c r="E863" s="199">
        <v>10.130000000000001</v>
      </c>
      <c r="F863" s="199">
        <v>0.15</v>
      </c>
      <c r="G863" s="199">
        <v>1</v>
      </c>
      <c r="H863" s="199">
        <v>1</v>
      </c>
      <c r="I863" s="199"/>
      <c r="J863" s="219"/>
      <c r="K863" s="217">
        <f t="shared" si="22"/>
        <v>1.5195000000000001</v>
      </c>
      <c r="L863" s="218"/>
    </row>
    <row r="864" spans="2:12">
      <c r="B864" s="197" t="s">
        <v>1909</v>
      </c>
      <c r="C864" s="189" t="s">
        <v>1895</v>
      </c>
      <c r="D864" s="190" t="s">
        <v>169</v>
      </c>
      <c r="E864" s="199">
        <v>0.18</v>
      </c>
      <c r="F864" s="199">
        <v>0.25</v>
      </c>
      <c r="G864" s="199">
        <v>1</v>
      </c>
      <c r="H864" s="199">
        <v>1</v>
      </c>
      <c r="I864" s="199"/>
      <c r="J864" s="219"/>
      <c r="K864" s="217">
        <f t="shared" si="22"/>
        <v>4.4999999999999998E-2</v>
      </c>
      <c r="L864" s="218"/>
    </row>
    <row r="865" spans="2:12">
      <c r="B865" s="197" t="s">
        <v>1910</v>
      </c>
      <c r="C865" s="189" t="s">
        <v>1895</v>
      </c>
      <c r="D865" s="190" t="s">
        <v>169</v>
      </c>
      <c r="E865" s="199">
        <v>2.54</v>
      </c>
      <c r="F865" s="199">
        <v>0.15</v>
      </c>
      <c r="G865" s="199">
        <v>0.6</v>
      </c>
      <c r="H865" s="199">
        <v>1</v>
      </c>
      <c r="I865" s="199"/>
      <c r="J865" s="219"/>
      <c r="K865" s="217">
        <f t="shared" si="22"/>
        <v>0.2286</v>
      </c>
      <c r="L865" s="218"/>
    </row>
    <row r="866" spans="2:12">
      <c r="B866" s="197" t="s">
        <v>1911</v>
      </c>
      <c r="C866" s="189" t="s">
        <v>1895</v>
      </c>
      <c r="D866" s="190" t="s">
        <v>169</v>
      </c>
      <c r="E866" s="199">
        <v>9.35</v>
      </c>
      <c r="F866" s="199">
        <v>0.15</v>
      </c>
      <c r="G866" s="199">
        <v>0.6</v>
      </c>
      <c r="H866" s="199">
        <v>1</v>
      </c>
      <c r="I866" s="199"/>
      <c r="J866" s="219"/>
      <c r="K866" s="217">
        <f t="shared" si="22"/>
        <v>0.84149999999999991</v>
      </c>
      <c r="L866" s="218"/>
    </row>
    <row r="867" spans="2:12">
      <c r="B867" s="197" t="s">
        <v>1912</v>
      </c>
      <c r="C867" s="189" t="s">
        <v>1895</v>
      </c>
      <c r="D867" s="190" t="s">
        <v>169</v>
      </c>
      <c r="E867" s="199">
        <v>4.75</v>
      </c>
      <c r="F867" s="199">
        <v>0.15</v>
      </c>
      <c r="G867" s="199">
        <v>1</v>
      </c>
      <c r="H867" s="199">
        <v>1</v>
      </c>
      <c r="I867" s="199"/>
      <c r="J867" s="219"/>
      <c r="K867" s="217">
        <f t="shared" si="22"/>
        <v>0.71250000000000002</v>
      </c>
      <c r="L867" s="218"/>
    </row>
    <row r="868" spans="2:12">
      <c r="B868" s="197" t="s">
        <v>1912</v>
      </c>
      <c r="C868" s="189" t="s">
        <v>1895</v>
      </c>
      <c r="D868" s="190" t="s">
        <v>169</v>
      </c>
      <c r="E868" s="199">
        <v>0.86</v>
      </c>
      <c r="F868" s="199">
        <v>0.3</v>
      </c>
      <c r="G868" s="199">
        <v>1</v>
      </c>
      <c r="H868" s="199">
        <v>1</v>
      </c>
      <c r="I868" s="199"/>
      <c r="J868" s="219"/>
      <c r="K868" s="217">
        <f t="shared" si="22"/>
        <v>0.25800000000000001</v>
      </c>
      <c r="L868" s="218"/>
    </row>
    <row r="869" spans="2:12">
      <c r="B869" s="197" t="s">
        <v>1913</v>
      </c>
      <c r="C869" s="189" t="s">
        <v>1895</v>
      </c>
      <c r="D869" s="190" t="s">
        <v>169</v>
      </c>
      <c r="E869" s="199">
        <v>4.1500000000000004</v>
      </c>
      <c r="F869" s="199">
        <v>0.15</v>
      </c>
      <c r="G869" s="199">
        <v>1</v>
      </c>
      <c r="H869" s="199">
        <v>1</v>
      </c>
      <c r="I869" s="199"/>
      <c r="J869" s="219"/>
      <c r="K869" s="217">
        <f t="shared" si="22"/>
        <v>0.62250000000000005</v>
      </c>
      <c r="L869" s="218"/>
    </row>
    <row r="870" spans="2:12">
      <c r="B870" s="197" t="s">
        <v>1913</v>
      </c>
      <c r="C870" s="189" t="s">
        <v>1895</v>
      </c>
      <c r="D870" s="190" t="s">
        <v>169</v>
      </c>
      <c r="E870" s="199">
        <v>1.18</v>
      </c>
      <c r="F870" s="199">
        <v>0.25</v>
      </c>
      <c r="G870" s="199">
        <v>1</v>
      </c>
      <c r="H870" s="199">
        <v>1</v>
      </c>
      <c r="I870" s="199"/>
      <c r="J870" s="219"/>
      <c r="K870" s="217">
        <f t="shared" si="22"/>
        <v>0.29499999999999998</v>
      </c>
      <c r="L870" s="218"/>
    </row>
    <row r="871" spans="2:12">
      <c r="B871" s="197" t="s">
        <v>1914</v>
      </c>
      <c r="C871" s="189" t="s">
        <v>1895</v>
      </c>
      <c r="D871" s="190" t="s">
        <v>169</v>
      </c>
      <c r="E871" s="199">
        <v>1.24</v>
      </c>
      <c r="F871" s="199">
        <v>0.2</v>
      </c>
      <c r="G871" s="199">
        <v>0.6</v>
      </c>
      <c r="H871" s="199">
        <v>1</v>
      </c>
      <c r="I871" s="199"/>
      <c r="J871" s="219"/>
      <c r="K871" s="217">
        <f t="shared" si="22"/>
        <v>0.14879999999999999</v>
      </c>
      <c r="L871" s="218"/>
    </row>
    <row r="872" spans="2:12">
      <c r="B872" s="197" t="s">
        <v>1915</v>
      </c>
      <c r="C872" s="189" t="s">
        <v>1895</v>
      </c>
      <c r="D872" s="190" t="s">
        <v>169</v>
      </c>
      <c r="E872" s="199">
        <v>8.8000000000000007</v>
      </c>
      <c r="F872" s="199">
        <v>0.2</v>
      </c>
      <c r="G872" s="199">
        <v>0.7</v>
      </c>
      <c r="H872" s="199">
        <v>1</v>
      </c>
      <c r="I872" s="199"/>
      <c r="J872" s="219"/>
      <c r="K872" s="217">
        <f t="shared" si="22"/>
        <v>1.232</v>
      </c>
      <c r="L872" s="218"/>
    </row>
    <row r="873" spans="2:12">
      <c r="B873" s="197" t="s">
        <v>1916</v>
      </c>
      <c r="C873" s="189" t="s">
        <v>1895</v>
      </c>
      <c r="D873" s="190" t="s">
        <v>169</v>
      </c>
      <c r="E873" s="199">
        <v>2.98</v>
      </c>
      <c r="F873" s="199">
        <v>0.15</v>
      </c>
      <c r="G873" s="199">
        <v>1</v>
      </c>
      <c r="H873" s="199">
        <v>1</v>
      </c>
      <c r="I873" s="199"/>
      <c r="J873" s="219"/>
      <c r="K873" s="217">
        <f t="shared" si="22"/>
        <v>0.44700000000000001</v>
      </c>
      <c r="L873" s="218"/>
    </row>
    <row r="874" spans="2:12">
      <c r="B874" s="197" t="s">
        <v>1917</v>
      </c>
      <c r="C874" s="189" t="s">
        <v>1895</v>
      </c>
      <c r="D874" s="190" t="s">
        <v>169</v>
      </c>
      <c r="E874" s="199">
        <v>1.24</v>
      </c>
      <c r="F874" s="199">
        <v>0.2</v>
      </c>
      <c r="G874" s="199">
        <v>0.6</v>
      </c>
      <c r="H874" s="199">
        <v>1</v>
      </c>
      <c r="I874" s="199"/>
      <c r="J874" s="219"/>
      <c r="K874" s="217">
        <f t="shared" si="22"/>
        <v>0.14879999999999999</v>
      </c>
      <c r="L874" s="218"/>
    </row>
    <row r="875" spans="2:12">
      <c r="B875" s="197" t="s">
        <v>1918</v>
      </c>
      <c r="C875" s="189" t="s">
        <v>1895</v>
      </c>
      <c r="D875" s="190" t="s">
        <v>169</v>
      </c>
      <c r="E875" s="199">
        <v>1.94</v>
      </c>
      <c r="F875" s="199">
        <v>0.2</v>
      </c>
      <c r="G875" s="199">
        <v>1</v>
      </c>
      <c r="H875" s="199">
        <v>1</v>
      </c>
      <c r="I875" s="199"/>
      <c r="J875" s="219"/>
      <c r="K875" s="217">
        <f t="shared" si="22"/>
        <v>0.38800000000000001</v>
      </c>
      <c r="L875" s="218"/>
    </row>
    <row r="876" spans="2:12">
      <c r="B876" s="197" t="s">
        <v>1898</v>
      </c>
      <c r="C876" s="189" t="s">
        <v>1931</v>
      </c>
      <c r="D876" s="190" t="s">
        <v>169</v>
      </c>
      <c r="E876" s="199">
        <v>25.82</v>
      </c>
      <c r="F876" s="199">
        <v>0.2</v>
      </c>
      <c r="G876" s="199">
        <v>0.6</v>
      </c>
      <c r="H876" s="199">
        <v>1</v>
      </c>
      <c r="I876" s="199"/>
      <c r="J876" s="219"/>
      <c r="K876" s="217">
        <f t="shared" ref="K876:K907" si="23">IF(E876*F876*G876&lt;&gt;0,E876*F876*G876,IF(E876*F876&lt;&gt;0,E876*F876,IF(F876*G876&lt;&gt;0,F876*G876,IF(E876*G876&lt;&gt;0,E876*G876,IF(E876&lt;&gt;0,E876,IF(F876&lt;&gt;0,F876,IF(G876&lt;&gt;0,G876,0)))))))*(IF(H876&lt;&gt;0,H876,1))+I876-J876</f>
        <v>3.0984000000000003</v>
      </c>
      <c r="L876" s="245" t="s">
        <v>1945</v>
      </c>
    </row>
    <row r="877" spans="2:12">
      <c r="B877" s="197" t="s">
        <v>1899</v>
      </c>
      <c r="C877" s="189" t="s">
        <v>1931</v>
      </c>
      <c r="D877" s="190" t="s">
        <v>169</v>
      </c>
      <c r="E877" s="199">
        <v>2.2000000000000002</v>
      </c>
      <c r="F877" s="199">
        <v>0.15</v>
      </c>
      <c r="G877" s="199">
        <v>0.6</v>
      </c>
      <c r="H877" s="199">
        <v>1</v>
      </c>
      <c r="I877" s="199"/>
      <c r="J877" s="219"/>
      <c r="K877" s="217">
        <f t="shared" si="23"/>
        <v>0.19800000000000001</v>
      </c>
      <c r="L877" s="245" t="s">
        <v>1945</v>
      </c>
    </row>
    <row r="878" spans="2:12">
      <c r="B878" s="197" t="s">
        <v>1900</v>
      </c>
      <c r="C878" s="189" t="s">
        <v>1931</v>
      </c>
      <c r="D878" s="190" t="s">
        <v>169</v>
      </c>
      <c r="E878" s="199">
        <v>2.2000000000000002</v>
      </c>
      <c r="F878" s="199">
        <v>0.15</v>
      </c>
      <c r="G878" s="199">
        <v>1</v>
      </c>
      <c r="H878" s="199">
        <v>1</v>
      </c>
      <c r="I878" s="199"/>
      <c r="J878" s="219"/>
      <c r="K878" s="217">
        <f t="shared" si="23"/>
        <v>0.33</v>
      </c>
      <c r="L878" s="245" t="s">
        <v>1945</v>
      </c>
    </row>
    <row r="879" spans="2:12">
      <c r="B879" s="197" t="s">
        <v>1901</v>
      </c>
      <c r="C879" s="189" t="s">
        <v>1931</v>
      </c>
      <c r="D879" s="190" t="s">
        <v>169</v>
      </c>
      <c r="E879" s="199">
        <v>20.5</v>
      </c>
      <c r="F879" s="199">
        <v>0.25</v>
      </c>
      <c r="G879" s="199">
        <v>0.7</v>
      </c>
      <c r="H879" s="199">
        <v>1</v>
      </c>
      <c r="I879" s="199"/>
      <c r="J879" s="219"/>
      <c r="K879" s="217">
        <f t="shared" si="23"/>
        <v>3.5874999999999999</v>
      </c>
      <c r="L879" s="245" t="s">
        <v>1945</v>
      </c>
    </row>
    <row r="880" spans="2:12">
      <c r="B880" s="197" t="s">
        <v>1901</v>
      </c>
      <c r="C880" s="189" t="s">
        <v>1931</v>
      </c>
      <c r="D880" s="190" t="s">
        <v>169</v>
      </c>
      <c r="E880" s="199">
        <v>4.0199999999999996</v>
      </c>
      <c r="F880" s="199">
        <v>0.25</v>
      </c>
      <c r="G880" s="199">
        <v>1</v>
      </c>
      <c r="H880" s="199">
        <v>1</v>
      </c>
      <c r="I880" s="199"/>
      <c r="J880" s="219"/>
      <c r="K880" s="217">
        <f t="shared" si="23"/>
        <v>1.0049999999999999</v>
      </c>
      <c r="L880" s="245" t="s">
        <v>1945</v>
      </c>
    </row>
    <row r="881" spans="2:12">
      <c r="B881" s="197" t="s">
        <v>1902</v>
      </c>
      <c r="C881" s="189" t="s">
        <v>1931</v>
      </c>
      <c r="D881" s="190" t="s">
        <v>169</v>
      </c>
      <c r="E881" s="199">
        <v>11.03</v>
      </c>
      <c r="F881" s="199">
        <v>0.15</v>
      </c>
      <c r="G881" s="199">
        <v>1</v>
      </c>
      <c r="H881" s="199">
        <v>1</v>
      </c>
      <c r="I881" s="199"/>
      <c r="J881" s="219"/>
      <c r="K881" s="217">
        <f t="shared" si="23"/>
        <v>1.6544999999999999</v>
      </c>
      <c r="L881" s="245" t="s">
        <v>1945</v>
      </c>
    </row>
    <row r="882" spans="2:12">
      <c r="B882" s="197" t="s">
        <v>1903</v>
      </c>
      <c r="C882" s="189" t="s">
        <v>1931</v>
      </c>
      <c r="D882" s="190" t="s">
        <v>169</v>
      </c>
      <c r="E882" s="199">
        <v>14.73</v>
      </c>
      <c r="F882" s="199">
        <v>0.25</v>
      </c>
      <c r="G882" s="199">
        <v>0.6</v>
      </c>
      <c r="H882" s="199">
        <v>1</v>
      </c>
      <c r="I882" s="199"/>
      <c r="J882" s="219"/>
      <c r="K882" s="217">
        <f t="shared" si="23"/>
        <v>2.2094999999999998</v>
      </c>
      <c r="L882" s="245" t="s">
        <v>1945</v>
      </c>
    </row>
    <row r="883" spans="2:12">
      <c r="B883" s="197" t="s">
        <v>1904</v>
      </c>
      <c r="C883" s="189" t="s">
        <v>1931</v>
      </c>
      <c r="D883" s="190" t="s">
        <v>169</v>
      </c>
      <c r="E883" s="199">
        <v>4.74</v>
      </c>
      <c r="F883" s="199">
        <v>0.15</v>
      </c>
      <c r="G883" s="199">
        <v>0.6</v>
      </c>
      <c r="H883" s="199">
        <v>1</v>
      </c>
      <c r="I883" s="199"/>
      <c r="J883" s="219"/>
      <c r="K883" s="217">
        <f t="shared" si="23"/>
        <v>0.42659999999999998</v>
      </c>
      <c r="L883" s="245" t="s">
        <v>1945</v>
      </c>
    </row>
    <row r="884" spans="2:12">
      <c r="B884" s="197" t="s">
        <v>1905</v>
      </c>
      <c r="C884" s="189" t="s">
        <v>1931</v>
      </c>
      <c r="D884" s="190" t="s">
        <v>169</v>
      </c>
      <c r="E884" s="199">
        <v>5.6</v>
      </c>
      <c r="F884" s="199">
        <v>0.3</v>
      </c>
      <c r="G884" s="199">
        <v>0.6</v>
      </c>
      <c r="H884" s="199">
        <v>1</v>
      </c>
      <c r="I884" s="199"/>
      <c r="J884" s="219"/>
      <c r="K884" s="217">
        <f t="shared" si="23"/>
        <v>1.008</v>
      </c>
      <c r="L884" s="245" t="s">
        <v>1945</v>
      </c>
    </row>
    <row r="885" spans="2:12">
      <c r="B885" s="197" t="s">
        <v>1906</v>
      </c>
      <c r="C885" s="189" t="s">
        <v>1931</v>
      </c>
      <c r="D885" s="190" t="s">
        <v>169</v>
      </c>
      <c r="E885" s="199">
        <v>14.52</v>
      </c>
      <c r="F885" s="199">
        <v>0.15</v>
      </c>
      <c r="G885" s="199">
        <v>1</v>
      </c>
      <c r="H885" s="199">
        <v>1</v>
      </c>
      <c r="I885" s="199"/>
      <c r="J885" s="219"/>
      <c r="K885" s="217">
        <f t="shared" si="23"/>
        <v>2.1779999999999999</v>
      </c>
      <c r="L885" s="245" t="s">
        <v>1945</v>
      </c>
    </row>
    <row r="886" spans="2:12">
      <c r="B886" s="197" t="s">
        <v>1907</v>
      </c>
      <c r="C886" s="189" t="s">
        <v>1931</v>
      </c>
      <c r="D886" s="190" t="s">
        <v>169</v>
      </c>
      <c r="E886" s="199">
        <v>0.2</v>
      </c>
      <c r="F886" s="199">
        <v>0.25</v>
      </c>
      <c r="G886" s="199">
        <v>1</v>
      </c>
      <c r="H886" s="199">
        <v>1</v>
      </c>
      <c r="I886" s="199"/>
      <c r="J886" s="219"/>
      <c r="K886" s="217">
        <f t="shared" si="23"/>
        <v>0.05</v>
      </c>
      <c r="L886" s="245" t="s">
        <v>1945</v>
      </c>
    </row>
    <row r="887" spans="2:12">
      <c r="B887" s="197" t="s">
        <v>1907</v>
      </c>
      <c r="C887" s="189" t="s">
        <v>1931</v>
      </c>
      <c r="D887" s="190" t="s">
        <v>169</v>
      </c>
      <c r="E887" s="199">
        <v>7.06</v>
      </c>
      <c r="F887" s="199">
        <v>0.15</v>
      </c>
      <c r="G887" s="199">
        <v>1</v>
      </c>
      <c r="H887" s="199">
        <v>1</v>
      </c>
      <c r="I887" s="199"/>
      <c r="J887" s="219"/>
      <c r="K887" s="217">
        <f t="shared" si="23"/>
        <v>1.0589999999999999</v>
      </c>
      <c r="L887" s="245" t="s">
        <v>1945</v>
      </c>
    </row>
    <row r="888" spans="2:12">
      <c r="B888" s="197" t="s">
        <v>1908</v>
      </c>
      <c r="C888" s="189" t="s">
        <v>1931</v>
      </c>
      <c r="D888" s="190" t="s">
        <v>169</v>
      </c>
      <c r="E888" s="199">
        <v>10.9</v>
      </c>
      <c r="F888" s="199">
        <v>0.4</v>
      </c>
      <c r="G888" s="199">
        <v>0.6</v>
      </c>
      <c r="H888" s="199">
        <v>1</v>
      </c>
      <c r="I888" s="199"/>
      <c r="J888" s="219"/>
      <c r="K888" s="217">
        <f t="shared" si="23"/>
        <v>2.6160000000000001</v>
      </c>
      <c r="L888" s="245" t="s">
        <v>1945</v>
      </c>
    </row>
    <row r="889" spans="2:12">
      <c r="B889" s="197" t="s">
        <v>1909</v>
      </c>
      <c r="C889" s="189" t="s">
        <v>1931</v>
      </c>
      <c r="D889" s="190" t="s">
        <v>169</v>
      </c>
      <c r="E889" s="199">
        <v>10.130000000000001</v>
      </c>
      <c r="F889" s="199">
        <v>0.15</v>
      </c>
      <c r="G889" s="199">
        <v>1</v>
      </c>
      <c r="H889" s="199">
        <v>1</v>
      </c>
      <c r="I889" s="199"/>
      <c r="J889" s="219"/>
      <c r="K889" s="217">
        <f t="shared" si="23"/>
        <v>1.5195000000000001</v>
      </c>
      <c r="L889" s="245" t="s">
        <v>1945</v>
      </c>
    </row>
    <row r="890" spans="2:12">
      <c r="B890" s="197" t="s">
        <v>1909</v>
      </c>
      <c r="C890" s="189" t="s">
        <v>1931</v>
      </c>
      <c r="D890" s="190" t="s">
        <v>169</v>
      </c>
      <c r="E890" s="199">
        <v>0.18</v>
      </c>
      <c r="F890" s="199">
        <v>0.25</v>
      </c>
      <c r="G890" s="199">
        <v>1</v>
      </c>
      <c r="H890" s="199">
        <v>1</v>
      </c>
      <c r="I890" s="199"/>
      <c r="J890" s="219"/>
      <c r="K890" s="217">
        <f t="shared" si="23"/>
        <v>4.4999999999999998E-2</v>
      </c>
      <c r="L890" s="245" t="s">
        <v>1945</v>
      </c>
    </row>
    <row r="891" spans="2:12">
      <c r="B891" s="197" t="s">
        <v>1910</v>
      </c>
      <c r="C891" s="189" t="s">
        <v>1931</v>
      </c>
      <c r="D891" s="190" t="s">
        <v>169</v>
      </c>
      <c r="E891" s="199">
        <v>2.54</v>
      </c>
      <c r="F891" s="199">
        <v>0.15</v>
      </c>
      <c r="G891" s="199">
        <v>0.6</v>
      </c>
      <c r="H891" s="199">
        <v>1</v>
      </c>
      <c r="I891" s="199"/>
      <c r="J891" s="219"/>
      <c r="K891" s="217">
        <f t="shared" si="23"/>
        <v>0.2286</v>
      </c>
      <c r="L891" s="245" t="s">
        <v>1945</v>
      </c>
    </row>
    <row r="892" spans="2:12">
      <c r="B892" s="197" t="s">
        <v>1911</v>
      </c>
      <c r="C892" s="189" t="s">
        <v>1931</v>
      </c>
      <c r="D892" s="190" t="s">
        <v>169</v>
      </c>
      <c r="E892" s="199">
        <v>9.35</v>
      </c>
      <c r="F892" s="199">
        <v>0.15</v>
      </c>
      <c r="G892" s="199">
        <v>0.6</v>
      </c>
      <c r="H892" s="199">
        <v>1</v>
      </c>
      <c r="I892" s="199"/>
      <c r="J892" s="219"/>
      <c r="K892" s="217">
        <f t="shared" si="23"/>
        <v>0.84149999999999991</v>
      </c>
      <c r="L892" s="245" t="s">
        <v>1945</v>
      </c>
    </row>
    <row r="893" spans="2:12">
      <c r="B893" s="197" t="s">
        <v>1912</v>
      </c>
      <c r="C893" s="189" t="s">
        <v>1931</v>
      </c>
      <c r="D893" s="190" t="s">
        <v>169</v>
      </c>
      <c r="E893" s="199">
        <v>4.75</v>
      </c>
      <c r="F893" s="199">
        <v>0.15</v>
      </c>
      <c r="G893" s="199">
        <v>1</v>
      </c>
      <c r="H893" s="199">
        <v>1</v>
      </c>
      <c r="I893" s="199"/>
      <c r="J893" s="219"/>
      <c r="K893" s="217">
        <f t="shared" si="23"/>
        <v>0.71250000000000002</v>
      </c>
      <c r="L893" s="245" t="s">
        <v>1945</v>
      </c>
    </row>
    <row r="894" spans="2:12">
      <c r="B894" s="197" t="s">
        <v>1912</v>
      </c>
      <c r="C894" s="189" t="s">
        <v>1931</v>
      </c>
      <c r="D894" s="190" t="s">
        <v>169</v>
      </c>
      <c r="E894" s="199">
        <v>0.86</v>
      </c>
      <c r="F894" s="199">
        <v>0.3</v>
      </c>
      <c r="G894" s="199">
        <v>1</v>
      </c>
      <c r="H894" s="199">
        <v>1</v>
      </c>
      <c r="I894" s="199"/>
      <c r="J894" s="219"/>
      <c r="K894" s="217">
        <f t="shared" si="23"/>
        <v>0.25800000000000001</v>
      </c>
      <c r="L894" s="245" t="s">
        <v>1945</v>
      </c>
    </row>
    <row r="895" spans="2:12">
      <c r="B895" s="197" t="s">
        <v>1913</v>
      </c>
      <c r="C895" s="189" t="s">
        <v>1931</v>
      </c>
      <c r="D895" s="190" t="s">
        <v>169</v>
      </c>
      <c r="E895" s="199">
        <v>4.1500000000000004</v>
      </c>
      <c r="F895" s="199">
        <v>0.15</v>
      </c>
      <c r="G895" s="199">
        <v>1</v>
      </c>
      <c r="H895" s="199">
        <v>1</v>
      </c>
      <c r="I895" s="199"/>
      <c r="J895" s="219"/>
      <c r="K895" s="217">
        <f t="shared" si="23"/>
        <v>0.62250000000000005</v>
      </c>
      <c r="L895" s="245" t="s">
        <v>1945</v>
      </c>
    </row>
    <row r="896" spans="2:12">
      <c r="B896" s="197" t="s">
        <v>1913</v>
      </c>
      <c r="C896" s="189" t="s">
        <v>1931</v>
      </c>
      <c r="D896" s="190" t="s">
        <v>169</v>
      </c>
      <c r="E896" s="199">
        <v>1.18</v>
      </c>
      <c r="F896" s="199">
        <v>0.25</v>
      </c>
      <c r="G896" s="199">
        <v>1</v>
      </c>
      <c r="H896" s="199">
        <v>1</v>
      </c>
      <c r="I896" s="199"/>
      <c r="J896" s="219"/>
      <c r="K896" s="217">
        <f t="shared" si="23"/>
        <v>0.29499999999999998</v>
      </c>
      <c r="L896" s="245" t="s">
        <v>1945</v>
      </c>
    </row>
    <row r="897" spans="2:12">
      <c r="B897" s="197" t="s">
        <v>1914</v>
      </c>
      <c r="C897" s="189" t="s">
        <v>1931</v>
      </c>
      <c r="D897" s="190" t="s">
        <v>169</v>
      </c>
      <c r="E897" s="199">
        <v>1.24</v>
      </c>
      <c r="F897" s="199">
        <v>0.2</v>
      </c>
      <c r="G897" s="199">
        <v>0.6</v>
      </c>
      <c r="H897" s="199">
        <v>1</v>
      </c>
      <c r="I897" s="199"/>
      <c r="J897" s="219"/>
      <c r="K897" s="217">
        <f t="shared" si="23"/>
        <v>0.14879999999999999</v>
      </c>
      <c r="L897" s="245" t="s">
        <v>1945</v>
      </c>
    </row>
    <row r="898" spans="2:12">
      <c r="B898" s="197" t="s">
        <v>1915</v>
      </c>
      <c r="C898" s="189" t="s">
        <v>1931</v>
      </c>
      <c r="D898" s="190" t="s">
        <v>169</v>
      </c>
      <c r="E898" s="199">
        <v>8.8000000000000007</v>
      </c>
      <c r="F898" s="199">
        <v>0.2</v>
      </c>
      <c r="G898" s="199">
        <v>0.7</v>
      </c>
      <c r="H898" s="199">
        <v>1</v>
      </c>
      <c r="I898" s="199"/>
      <c r="J898" s="219"/>
      <c r="K898" s="217">
        <f t="shared" si="23"/>
        <v>1.232</v>
      </c>
      <c r="L898" s="245" t="s">
        <v>1945</v>
      </c>
    </row>
    <row r="899" spans="2:12">
      <c r="B899" s="197" t="s">
        <v>1916</v>
      </c>
      <c r="C899" s="189" t="s">
        <v>1931</v>
      </c>
      <c r="D899" s="190" t="s">
        <v>169</v>
      </c>
      <c r="E899" s="199">
        <v>2.98</v>
      </c>
      <c r="F899" s="199">
        <v>0.15</v>
      </c>
      <c r="G899" s="199">
        <v>1</v>
      </c>
      <c r="H899" s="199">
        <v>1</v>
      </c>
      <c r="I899" s="199"/>
      <c r="J899" s="219"/>
      <c r="K899" s="217">
        <f t="shared" si="23"/>
        <v>0.44700000000000001</v>
      </c>
      <c r="L899" s="245" t="s">
        <v>1945</v>
      </c>
    </row>
    <row r="900" spans="2:12">
      <c r="B900" s="197" t="s">
        <v>1917</v>
      </c>
      <c r="C900" s="189" t="s">
        <v>1931</v>
      </c>
      <c r="D900" s="190" t="s">
        <v>169</v>
      </c>
      <c r="E900" s="199">
        <v>1.24</v>
      </c>
      <c r="F900" s="199">
        <v>0.2</v>
      </c>
      <c r="G900" s="199">
        <v>0.6</v>
      </c>
      <c r="H900" s="199">
        <v>1</v>
      </c>
      <c r="I900" s="199"/>
      <c r="J900" s="219"/>
      <c r="K900" s="217">
        <f t="shared" si="23"/>
        <v>0.14879999999999999</v>
      </c>
      <c r="L900" s="245" t="s">
        <v>1945</v>
      </c>
    </row>
    <row r="901" spans="2:12">
      <c r="B901" s="197" t="s">
        <v>1918</v>
      </c>
      <c r="C901" s="189" t="s">
        <v>1931</v>
      </c>
      <c r="D901" s="190" t="s">
        <v>169</v>
      </c>
      <c r="E901" s="199">
        <v>1.94</v>
      </c>
      <c r="F901" s="199">
        <v>0.2</v>
      </c>
      <c r="G901" s="199">
        <v>1</v>
      </c>
      <c r="H901" s="199">
        <v>1</v>
      </c>
      <c r="I901" s="199"/>
      <c r="J901" s="219"/>
      <c r="K901" s="217">
        <f t="shared" si="23"/>
        <v>0.38800000000000001</v>
      </c>
      <c r="L901" s="245" t="s">
        <v>1945</v>
      </c>
    </row>
    <row r="902" spans="2:12">
      <c r="B902" s="197" t="s">
        <v>1946</v>
      </c>
      <c r="C902" s="189" t="s">
        <v>1931</v>
      </c>
      <c r="D902" s="190" t="s">
        <v>169</v>
      </c>
      <c r="E902" s="199">
        <v>20.8</v>
      </c>
      <c r="F902" s="199">
        <v>0.15</v>
      </c>
      <c r="G902" s="199">
        <v>1</v>
      </c>
      <c r="H902" s="199">
        <v>1</v>
      </c>
      <c r="I902" s="199"/>
      <c r="J902" s="219"/>
      <c r="K902" s="217">
        <f t="shared" si="23"/>
        <v>3.12</v>
      </c>
      <c r="L902" s="245" t="s">
        <v>1947</v>
      </c>
    </row>
    <row r="903" spans="2:12">
      <c r="B903" s="197" t="s">
        <v>1948</v>
      </c>
      <c r="C903" s="189" t="s">
        <v>1931</v>
      </c>
      <c r="D903" s="190" t="s">
        <v>169</v>
      </c>
      <c r="E903" s="199">
        <v>21.35</v>
      </c>
      <c r="F903" s="199">
        <v>0.2</v>
      </c>
      <c r="G903" s="199">
        <v>0.6</v>
      </c>
      <c r="H903" s="199">
        <v>1</v>
      </c>
      <c r="I903" s="199"/>
      <c r="J903" s="219"/>
      <c r="K903" s="217">
        <f t="shared" si="23"/>
        <v>2.5620000000000003</v>
      </c>
      <c r="L903" s="245" t="s">
        <v>1947</v>
      </c>
    </row>
    <row r="904" spans="2:12">
      <c r="B904" s="197" t="s">
        <v>1949</v>
      </c>
      <c r="C904" s="189" t="s">
        <v>1931</v>
      </c>
      <c r="D904" s="190" t="s">
        <v>169</v>
      </c>
      <c r="E904" s="199">
        <v>21.35</v>
      </c>
      <c r="F904" s="199">
        <v>0.2</v>
      </c>
      <c r="G904" s="199">
        <v>0.6</v>
      </c>
      <c r="H904" s="199">
        <v>1</v>
      </c>
      <c r="I904" s="199"/>
      <c r="J904" s="219"/>
      <c r="K904" s="217">
        <f t="shared" si="23"/>
        <v>2.5620000000000003</v>
      </c>
      <c r="L904" s="245" t="s">
        <v>1947</v>
      </c>
    </row>
    <row r="905" spans="2:12">
      <c r="B905" s="197" t="s">
        <v>1950</v>
      </c>
      <c r="C905" s="189" t="s">
        <v>1931</v>
      </c>
      <c r="D905" s="190" t="s">
        <v>169</v>
      </c>
      <c r="E905" s="199">
        <v>21.35</v>
      </c>
      <c r="F905" s="199">
        <v>0.2</v>
      </c>
      <c r="G905" s="199">
        <v>0.6</v>
      </c>
      <c r="H905" s="199">
        <v>1</v>
      </c>
      <c r="I905" s="199"/>
      <c r="J905" s="219"/>
      <c r="K905" s="217">
        <f t="shared" si="23"/>
        <v>2.5620000000000003</v>
      </c>
      <c r="L905" s="245" t="s">
        <v>1947</v>
      </c>
    </row>
    <row r="906" spans="2:12">
      <c r="B906" s="197" t="s">
        <v>1951</v>
      </c>
      <c r="C906" s="189" t="s">
        <v>1931</v>
      </c>
      <c r="D906" s="190" t="s">
        <v>169</v>
      </c>
      <c r="E906" s="199">
        <v>3.4</v>
      </c>
      <c r="F906" s="199">
        <v>0.2</v>
      </c>
      <c r="G906" s="199">
        <v>0.6</v>
      </c>
      <c r="H906" s="199">
        <v>1</v>
      </c>
      <c r="I906" s="199"/>
      <c r="J906" s="219"/>
      <c r="K906" s="217">
        <f t="shared" si="23"/>
        <v>0.40800000000000003</v>
      </c>
      <c r="L906" s="245" t="s">
        <v>1947</v>
      </c>
    </row>
    <row r="907" spans="2:12">
      <c r="B907" s="197" t="s">
        <v>1952</v>
      </c>
      <c r="C907" s="189" t="s">
        <v>1931</v>
      </c>
      <c r="D907" s="190" t="s">
        <v>169</v>
      </c>
      <c r="E907" s="199">
        <v>25.92</v>
      </c>
      <c r="F907" s="199">
        <v>0.2</v>
      </c>
      <c r="G907" s="199">
        <v>0.6</v>
      </c>
      <c r="H907" s="199">
        <v>1</v>
      </c>
      <c r="I907" s="199"/>
      <c r="J907" s="219"/>
      <c r="K907" s="217">
        <f t="shared" si="23"/>
        <v>3.1104000000000007</v>
      </c>
      <c r="L907" s="245" t="s">
        <v>1947</v>
      </c>
    </row>
    <row r="908" spans="2:12">
      <c r="B908" s="197" t="s">
        <v>1953</v>
      </c>
      <c r="C908" s="189" t="s">
        <v>1931</v>
      </c>
      <c r="D908" s="190" t="s">
        <v>169</v>
      </c>
      <c r="E908" s="199">
        <v>23.69</v>
      </c>
      <c r="F908" s="199">
        <v>0.15</v>
      </c>
      <c r="G908" s="199">
        <v>1</v>
      </c>
      <c r="H908" s="199">
        <v>1</v>
      </c>
      <c r="I908" s="199"/>
      <c r="J908" s="219"/>
      <c r="K908" s="217">
        <f t="shared" ref="K908:K912" si="24">IF(E908*F908*G908&lt;&gt;0,E908*F908*G908,IF(E908*F908&lt;&gt;0,E908*F908,IF(F908*G908&lt;&gt;0,F908*G908,IF(E908*G908&lt;&gt;0,E908*G908,IF(E908&lt;&gt;0,E908,IF(F908&lt;&gt;0,F908,IF(G908&lt;&gt;0,G908,0)))))))*(IF(H908&lt;&gt;0,H908,1))+I908-J908</f>
        <v>3.5535000000000001</v>
      </c>
      <c r="L908" s="245" t="s">
        <v>1947</v>
      </c>
    </row>
    <row r="909" spans="2:12">
      <c r="B909" s="197" t="s">
        <v>1954</v>
      </c>
      <c r="C909" s="189" t="s">
        <v>1931</v>
      </c>
      <c r="D909" s="190" t="s">
        <v>169</v>
      </c>
      <c r="E909" s="199">
        <v>23.39</v>
      </c>
      <c r="F909" s="199">
        <v>0.15</v>
      </c>
      <c r="G909" s="199">
        <v>1</v>
      </c>
      <c r="H909" s="199">
        <v>1</v>
      </c>
      <c r="I909" s="199"/>
      <c r="J909" s="219"/>
      <c r="K909" s="217">
        <f t="shared" si="24"/>
        <v>3.5085000000000002</v>
      </c>
      <c r="L909" s="245" t="s">
        <v>1947</v>
      </c>
    </row>
    <row r="910" spans="2:12">
      <c r="B910" s="197" t="s">
        <v>1955</v>
      </c>
      <c r="C910" s="189" t="s">
        <v>1931</v>
      </c>
      <c r="D910" s="190" t="s">
        <v>169</v>
      </c>
      <c r="E910" s="199">
        <v>6.77</v>
      </c>
      <c r="F910" s="199">
        <v>0.2</v>
      </c>
      <c r="G910" s="199">
        <v>0.6</v>
      </c>
      <c r="H910" s="199">
        <v>1</v>
      </c>
      <c r="I910" s="199"/>
      <c r="J910" s="219"/>
      <c r="K910" s="217">
        <f t="shared" si="24"/>
        <v>0.81240000000000001</v>
      </c>
      <c r="L910" s="245" t="s">
        <v>1947</v>
      </c>
    </row>
    <row r="911" spans="2:12">
      <c r="B911" s="197" t="s">
        <v>1956</v>
      </c>
      <c r="C911" s="189" t="s">
        <v>1931</v>
      </c>
      <c r="D911" s="190" t="s">
        <v>169</v>
      </c>
      <c r="E911" s="199">
        <v>6.57</v>
      </c>
      <c r="F911" s="199">
        <v>0.2</v>
      </c>
      <c r="G911" s="199">
        <v>0.6</v>
      </c>
      <c r="H911" s="199">
        <v>1</v>
      </c>
      <c r="I911" s="199"/>
      <c r="J911" s="219"/>
      <c r="K911" s="217">
        <f t="shared" si="24"/>
        <v>0.78839999999999999</v>
      </c>
      <c r="L911" s="245" t="s">
        <v>1947</v>
      </c>
    </row>
    <row r="912" spans="2:12">
      <c r="B912" s="197"/>
      <c r="C912" s="189"/>
      <c r="D912" s="190"/>
      <c r="E912" s="199"/>
      <c r="F912" s="199"/>
      <c r="G912" s="199"/>
      <c r="H912" s="199"/>
      <c r="I912" s="199"/>
      <c r="J912" s="219"/>
      <c r="K912" s="217">
        <f t="shared" si="24"/>
        <v>0</v>
      </c>
      <c r="L912" s="218"/>
    </row>
    <row r="913" spans="2:12">
      <c r="B913" s="208"/>
      <c r="C913" s="204"/>
      <c r="D913" s="204"/>
      <c r="E913" s="204"/>
      <c r="F913" s="204"/>
      <c r="G913" s="204"/>
      <c r="H913" s="204"/>
      <c r="I913" s="557" t="s">
        <v>1221</v>
      </c>
      <c r="J913" s="557"/>
      <c r="K913" s="262">
        <f>SUM(K716:K912)</f>
        <v>277.85005000000029</v>
      </c>
      <c r="L913" s="207"/>
    </row>
    <row r="914" spans="2:12">
      <c r="B914" s="208"/>
      <c r="C914" s="204"/>
      <c r="D914" s="204"/>
      <c r="E914" s="204"/>
      <c r="F914" s="204"/>
      <c r="G914" s="204"/>
      <c r="H914" s="209"/>
      <c r="I914" s="557" t="s">
        <v>1222</v>
      </c>
      <c r="J914" s="557"/>
      <c r="K914" s="221">
        <f>VLOOKUP(B714,'BM 004'!$B$27:$R$590,4,0)</f>
        <v>364.43</v>
      </c>
      <c r="L914" s="207"/>
    </row>
    <row r="915" spans="2:12">
      <c r="B915" s="208"/>
      <c r="C915" s="204"/>
      <c r="D915" s="204"/>
      <c r="E915" s="204"/>
      <c r="F915" s="204"/>
      <c r="G915" s="204"/>
      <c r="H915" s="558" t="s">
        <v>1223</v>
      </c>
      <c r="I915" s="558"/>
      <c r="J915" s="558"/>
      <c r="K915" s="222">
        <v>202.24744999999999</v>
      </c>
      <c r="L915" s="207"/>
    </row>
    <row r="916" spans="2:12">
      <c r="B916" s="208"/>
      <c r="C916" s="204"/>
      <c r="D916" s="204"/>
      <c r="E916" s="204"/>
      <c r="F916" s="204"/>
      <c r="G916" s="204"/>
      <c r="H916" s="558" t="s">
        <v>1891</v>
      </c>
      <c r="I916" s="558"/>
      <c r="J916" s="558"/>
      <c r="K916" s="222">
        <f>TRUNC(SUMIF(C716:C912,H916,K716:K912),2)</f>
        <v>49.29</v>
      </c>
      <c r="L916" s="207"/>
    </row>
    <row r="917" spans="2:12">
      <c r="B917" s="213"/>
      <c r="C917" s="214"/>
      <c r="D917" s="214"/>
      <c r="E917" s="214"/>
      <c r="F917" s="214"/>
      <c r="G917" s="214"/>
      <c r="H917" s="559" t="s">
        <v>1224</v>
      </c>
      <c r="I917" s="559"/>
      <c r="J917" s="559"/>
      <c r="K917" s="223">
        <f>IF(K913&gt;K914,K913-K914,0)</f>
        <v>0</v>
      </c>
      <c r="L917" s="209"/>
    </row>
    <row r="919" spans="2:12">
      <c r="B919" s="247" t="s">
        <v>220</v>
      </c>
      <c r="C919" s="565" t="str">
        <f>VLOOKUP(B919,'BM 004'!$B$27:$R$590,2,0)</f>
        <v xml:space="preserve">Armação de pilar ou viga de uma estrutura convencional de concreto armado em um edifício de múltiplos pavimentos utilizando aço ca-60 de 5,0 mm - montagem. </v>
      </c>
      <c r="D919" s="565"/>
      <c r="E919" s="565"/>
      <c r="F919" s="565"/>
      <c r="G919" s="565"/>
      <c r="H919" s="565"/>
      <c r="I919" s="565"/>
      <c r="J919" s="565"/>
      <c r="K919" s="565"/>
      <c r="L919" s="565"/>
    </row>
    <row r="920" spans="2:12">
      <c r="B920" s="248" t="s">
        <v>1209</v>
      </c>
      <c r="C920" s="248"/>
      <c r="D920" s="248" t="s">
        <v>39</v>
      </c>
      <c r="E920" s="248" t="s">
        <v>1210</v>
      </c>
      <c r="F920" s="248" t="s">
        <v>1382</v>
      </c>
      <c r="G920" s="248" t="s">
        <v>1383</v>
      </c>
      <c r="H920" s="248" t="s">
        <v>1384</v>
      </c>
      <c r="I920" s="248" t="s">
        <v>1214</v>
      </c>
      <c r="J920" s="248" t="s">
        <v>1385</v>
      </c>
      <c r="K920" s="248" t="s">
        <v>1216</v>
      </c>
      <c r="L920" s="248" t="s">
        <v>1217</v>
      </c>
    </row>
    <row r="921" spans="2:12">
      <c r="B921" s="249" t="s">
        <v>1387</v>
      </c>
      <c r="C921" s="250" t="s">
        <v>1333</v>
      </c>
      <c r="D921" s="205" t="s">
        <v>152</v>
      </c>
      <c r="E921" s="251">
        <v>208</v>
      </c>
      <c r="F921" s="252">
        <v>0.154</v>
      </c>
      <c r="G921" s="251">
        <v>1.1000000000000001</v>
      </c>
      <c r="H921" s="251">
        <v>0.55000000000000004</v>
      </c>
      <c r="I921" s="251"/>
      <c r="J921" s="253"/>
      <c r="K921" s="254">
        <f t="shared" ref="K921:K930" si="25">IF(E921*F921*G921&lt;&gt;0,E921*F921*G921,IF(E921*F921&lt;&gt;0,E921*F921,IF(F921*G921&lt;&gt;0,F921*G921,IF(E921*G921&lt;&gt;0,E921*G921,IF(E921&lt;&gt;0,E921,IF(F921&lt;&gt;0,F921,IF(G921&lt;&gt;0,G921,0)))))))*(IF(H921&lt;&gt;0,H921,1))+I921-J921</f>
        <v>19.379360000000002</v>
      </c>
      <c r="L921" s="255"/>
    </row>
    <row r="922" spans="2:12">
      <c r="B922" s="249" t="s">
        <v>1480</v>
      </c>
      <c r="C922" s="250" t="s">
        <v>1441</v>
      </c>
      <c r="D922" s="205" t="s">
        <v>152</v>
      </c>
      <c r="E922" s="251">
        <v>1109</v>
      </c>
      <c r="F922" s="252">
        <f>F921</f>
        <v>0.154</v>
      </c>
      <c r="G922" s="251">
        <f>G921</f>
        <v>1.1000000000000001</v>
      </c>
      <c r="H922" s="251">
        <v>0.5</v>
      </c>
      <c r="I922" s="251"/>
      <c r="J922" s="253"/>
      <c r="K922" s="254">
        <f t="shared" si="25"/>
        <v>93.932300000000012</v>
      </c>
      <c r="L922" s="205"/>
    </row>
    <row r="923" spans="2:12">
      <c r="B923" s="249" t="s">
        <v>1555</v>
      </c>
      <c r="C923" s="250" t="s">
        <v>1441</v>
      </c>
      <c r="D923" s="205" t="s">
        <v>152</v>
      </c>
      <c r="E923" s="251"/>
      <c r="F923" s="252"/>
      <c r="G923" s="251"/>
      <c r="H923" s="251">
        <v>0</v>
      </c>
      <c r="I923" s="251"/>
      <c r="J923" s="253"/>
      <c r="K923" s="254">
        <f t="shared" si="25"/>
        <v>0</v>
      </c>
      <c r="L923" s="205"/>
    </row>
    <row r="924" spans="2:12">
      <c r="B924" s="249" t="s">
        <v>1681</v>
      </c>
      <c r="C924" s="250" t="s">
        <v>1611</v>
      </c>
      <c r="D924" s="205" t="s">
        <v>152</v>
      </c>
      <c r="E924" s="251">
        <v>735</v>
      </c>
      <c r="F924" s="252">
        <v>0.154</v>
      </c>
      <c r="G924" s="251">
        <v>1.1000000000000001</v>
      </c>
      <c r="H924" s="251">
        <v>0.3</v>
      </c>
      <c r="I924" s="251"/>
      <c r="J924" s="253"/>
      <c r="K924" s="254">
        <f t="shared" si="25"/>
        <v>37.352700000000006</v>
      </c>
      <c r="L924" s="205"/>
    </row>
    <row r="925" spans="2:12">
      <c r="B925" s="249" t="s">
        <v>1681</v>
      </c>
      <c r="C925" s="250" t="s">
        <v>1612</v>
      </c>
      <c r="D925" s="205" t="s">
        <v>152</v>
      </c>
      <c r="E925" s="251">
        <v>735</v>
      </c>
      <c r="F925" s="252">
        <v>0.154</v>
      </c>
      <c r="G925" s="251">
        <v>1.1000000000000001</v>
      </c>
      <c r="H925" s="251">
        <v>0.3</v>
      </c>
      <c r="I925" s="251"/>
      <c r="J925" s="253"/>
      <c r="K925" s="254">
        <f t="shared" si="25"/>
        <v>37.352700000000006</v>
      </c>
      <c r="L925" s="205"/>
    </row>
    <row r="926" spans="2:12">
      <c r="B926" s="249" t="s">
        <v>1681</v>
      </c>
      <c r="C926" s="250" t="s">
        <v>1613</v>
      </c>
      <c r="D926" s="205" t="s">
        <v>152</v>
      </c>
      <c r="E926" s="251">
        <v>735</v>
      </c>
      <c r="F926" s="252">
        <v>0.154</v>
      </c>
      <c r="G926" s="251">
        <v>1.1000000000000001</v>
      </c>
      <c r="H926" s="251">
        <v>0.2</v>
      </c>
      <c r="I926" s="251"/>
      <c r="J926" s="253"/>
      <c r="K926" s="254">
        <f t="shared" si="25"/>
        <v>24.901800000000005</v>
      </c>
      <c r="L926" s="205"/>
    </row>
    <row r="927" spans="2:12">
      <c r="B927" s="249" t="s">
        <v>1387</v>
      </c>
      <c r="C927" s="250" t="s">
        <v>1895</v>
      </c>
      <c r="D927" s="205" t="s">
        <v>152</v>
      </c>
      <c r="E927" s="251">
        <v>208</v>
      </c>
      <c r="F927" s="252">
        <v>0.154</v>
      </c>
      <c r="G927" s="251">
        <v>1.1000000000000001</v>
      </c>
      <c r="H927" s="251">
        <v>0.15</v>
      </c>
      <c r="I927" s="251"/>
      <c r="J927" s="253"/>
      <c r="K927" s="254">
        <f t="shared" si="25"/>
        <v>5.2852799999999993</v>
      </c>
      <c r="L927" s="255"/>
    </row>
    <row r="928" spans="2:12">
      <c r="B928" s="249" t="s">
        <v>1480</v>
      </c>
      <c r="C928" s="250" t="s">
        <v>1895</v>
      </c>
      <c r="D928" s="205" t="s">
        <v>152</v>
      </c>
      <c r="E928" s="251">
        <v>1109</v>
      </c>
      <c r="F928" s="252">
        <f>F927</f>
        <v>0.154</v>
      </c>
      <c r="G928" s="251">
        <f>G927</f>
        <v>1.1000000000000001</v>
      </c>
      <c r="H928" s="251">
        <v>0.3</v>
      </c>
      <c r="I928" s="251"/>
      <c r="J928" s="253"/>
      <c r="K928" s="254">
        <f t="shared" si="25"/>
        <v>56.359380000000009</v>
      </c>
      <c r="L928" s="205"/>
    </row>
    <row r="929" spans="2:12">
      <c r="B929" s="249" t="s">
        <v>1387</v>
      </c>
      <c r="C929" s="250" t="s">
        <v>1931</v>
      </c>
      <c r="D929" s="205" t="s">
        <v>152</v>
      </c>
      <c r="E929" s="251">
        <v>208</v>
      </c>
      <c r="F929" s="252">
        <v>0.154</v>
      </c>
      <c r="G929" s="251">
        <v>1.1000000000000001</v>
      </c>
      <c r="H929" s="251">
        <v>0.2</v>
      </c>
      <c r="I929" s="251"/>
      <c r="J929" s="253"/>
      <c r="K929" s="254">
        <f t="shared" si="25"/>
        <v>7.04704</v>
      </c>
      <c r="L929" s="255"/>
    </row>
    <row r="930" spans="2:12">
      <c r="B930" s="267"/>
      <c r="C930" s="205"/>
      <c r="D930" s="205"/>
      <c r="E930" s="251"/>
      <c r="F930" s="252"/>
      <c r="G930" s="251"/>
      <c r="H930" s="251"/>
      <c r="I930" s="251"/>
      <c r="J930" s="253"/>
      <c r="K930" s="254">
        <f t="shared" si="25"/>
        <v>0</v>
      </c>
      <c r="L930" s="205"/>
    </row>
    <row r="931" spans="2:12">
      <c r="B931" s="208"/>
      <c r="C931" s="204"/>
      <c r="D931" s="204"/>
      <c r="E931" s="204"/>
      <c r="F931" s="204"/>
      <c r="G931" s="204"/>
      <c r="H931" s="204"/>
      <c r="I931" s="556" t="s">
        <v>1221</v>
      </c>
      <c r="J931" s="556"/>
      <c r="K931" s="262">
        <f>SUM(K921:K930)</f>
        <v>281.61056000000002</v>
      </c>
      <c r="L931" s="207"/>
    </row>
    <row r="932" spans="2:12">
      <c r="B932" s="208"/>
      <c r="C932" s="204"/>
      <c r="D932" s="204"/>
      <c r="E932" s="204"/>
      <c r="F932" s="204"/>
      <c r="G932" s="204"/>
      <c r="H932" s="209"/>
      <c r="I932" s="557" t="s">
        <v>1222</v>
      </c>
      <c r="J932" s="557"/>
      <c r="K932" s="221">
        <f>VLOOKUP(B919,'BM 004'!$B$27:$R$590,4,0)</f>
        <v>347.6</v>
      </c>
      <c r="L932" s="207"/>
    </row>
    <row r="933" spans="2:12">
      <c r="B933" s="208"/>
      <c r="C933" s="204"/>
      <c r="D933" s="204"/>
      <c r="E933" s="204"/>
      <c r="F933" s="204"/>
      <c r="G933" s="204"/>
      <c r="H933" s="558" t="s">
        <v>1223</v>
      </c>
      <c r="I933" s="558"/>
      <c r="J933" s="558"/>
      <c r="K933" s="222">
        <v>274.56351999999998</v>
      </c>
      <c r="L933" s="207"/>
    </row>
    <row r="934" spans="2:12">
      <c r="B934" s="208"/>
      <c r="C934" s="204"/>
      <c r="D934" s="204"/>
      <c r="E934" s="204"/>
      <c r="F934" s="204"/>
      <c r="G934" s="204"/>
      <c r="H934" s="558" t="s">
        <v>1891</v>
      </c>
      <c r="I934" s="558"/>
      <c r="J934" s="558"/>
      <c r="K934" s="222">
        <f>TRUNC(SUMIF(C921:C930,H934,K921:K930),2)</f>
        <v>7.04</v>
      </c>
      <c r="L934" s="207"/>
    </row>
    <row r="935" spans="2:12">
      <c r="B935" s="213"/>
      <c r="C935" s="214"/>
      <c r="D935" s="214"/>
      <c r="E935" s="214"/>
      <c r="F935" s="214"/>
      <c r="G935" s="214"/>
      <c r="H935" s="559" t="s">
        <v>1224</v>
      </c>
      <c r="I935" s="559"/>
      <c r="J935" s="559"/>
      <c r="K935" s="223">
        <f>IF(K931&gt;K932,K931-K932,0)</f>
        <v>0</v>
      </c>
      <c r="L935" s="209"/>
    </row>
    <row r="937" spans="2:12">
      <c r="B937" s="247" t="s">
        <v>221</v>
      </c>
      <c r="C937" s="565" t="str">
        <f>VLOOKUP(B937,'BM 004'!$B$27:$R$590,2,0)</f>
        <v>Armação de pilar ou viga de uma estrutura convencional de concreto armado em um edifício de múltiplos pavimentos utilizando aço ca-50 de 6,3 mm - montagem.</v>
      </c>
      <c r="D937" s="565"/>
      <c r="E937" s="565"/>
      <c r="F937" s="565"/>
      <c r="G937" s="565"/>
      <c r="H937" s="565"/>
      <c r="I937" s="565"/>
      <c r="J937" s="565"/>
      <c r="K937" s="565"/>
      <c r="L937" s="565"/>
    </row>
    <row r="938" spans="2:12">
      <c r="B938" s="248" t="s">
        <v>1209</v>
      </c>
      <c r="C938" s="248"/>
      <c r="D938" s="248" t="s">
        <v>39</v>
      </c>
      <c r="E938" s="248" t="s">
        <v>1210</v>
      </c>
      <c r="F938" s="248" t="s">
        <v>1382</v>
      </c>
      <c r="G938" s="248" t="s">
        <v>1383</v>
      </c>
      <c r="H938" s="248" t="s">
        <v>1384</v>
      </c>
      <c r="I938" s="248" t="s">
        <v>1214</v>
      </c>
      <c r="J938" s="248" t="s">
        <v>1385</v>
      </c>
      <c r="K938" s="248" t="s">
        <v>1216</v>
      </c>
      <c r="L938" s="248" t="s">
        <v>1217</v>
      </c>
    </row>
    <row r="939" spans="2:12">
      <c r="B939" s="249" t="s">
        <v>1387</v>
      </c>
      <c r="C939" s="250" t="s">
        <v>1333</v>
      </c>
      <c r="D939" s="205" t="s">
        <v>152</v>
      </c>
      <c r="E939" s="251">
        <v>4472</v>
      </c>
      <c r="F939" s="252">
        <v>0.245</v>
      </c>
      <c r="G939" s="251">
        <v>1.1000000000000001</v>
      </c>
      <c r="H939" s="251">
        <v>0.55000000000000004</v>
      </c>
      <c r="I939" s="251"/>
      <c r="J939" s="253"/>
      <c r="K939" s="254">
        <f t="shared" ref="K939:K947" si="26">IF(E939*F939*G939&lt;&gt;0,E939*F939*G939,IF(E939*F939&lt;&gt;0,E939*F939,IF(F939*G939&lt;&gt;0,F939*G939,IF(E939*G939&lt;&gt;0,E939*G939,IF(E939&lt;&gt;0,E939,IF(F939&lt;&gt;0,F939,IF(G939&lt;&gt;0,G939,0)))))))*(IF(H939&lt;&gt;0,H939,1))+I939-J939</f>
        <v>662.86220000000003</v>
      </c>
      <c r="L939" s="255"/>
    </row>
    <row r="940" spans="2:12">
      <c r="B940" s="249" t="s">
        <v>1480</v>
      </c>
      <c r="C940" s="250" t="s">
        <v>1441</v>
      </c>
      <c r="D940" s="205" t="s">
        <v>152</v>
      </c>
      <c r="E940" s="251">
        <v>2134</v>
      </c>
      <c r="F940" s="252">
        <f>F939</f>
        <v>0.245</v>
      </c>
      <c r="G940" s="251">
        <f>G939</f>
        <v>1.1000000000000001</v>
      </c>
      <c r="H940" s="251">
        <v>0.5</v>
      </c>
      <c r="I940" s="251"/>
      <c r="J940" s="253"/>
      <c r="K940" s="254">
        <f t="shared" si="26"/>
        <v>287.55650000000003</v>
      </c>
      <c r="L940" s="205"/>
    </row>
    <row r="941" spans="2:12">
      <c r="B941" s="249" t="s">
        <v>1555</v>
      </c>
      <c r="C941" s="250" t="s">
        <v>1521</v>
      </c>
      <c r="D941" s="205" t="s">
        <v>152</v>
      </c>
      <c r="E941" s="251">
        <v>2992</v>
      </c>
      <c r="F941" s="252">
        <f>F940</f>
        <v>0.245</v>
      </c>
      <c r="G941" s="251">
        <f>G940</f>
        <v>1.1000000000000001</v>
      </c>
      <c r="H941" s="251">
        <v>0.3</v>
      </c>
      <c r="I941" s="251"/>
      <c r="J941" s="253"/>
      <c r="K941" s="254">
        <f t="shared" si="26"/>
        <v>241.9032</v>
      </c>
      <c r="L941" s="205"/>
    </row>
    <row r="942" spans="2:12">
      <c r="B942" s="249" t="s">
        <v>1681</v>
      </c>
      <c r="C942" s="250" t="s">
        <v>1611</v>
      </c>
      <c r="D942" s="205" t="s">
        <v>152</v>
      </c>
      <c r="E942" s="251">
        <v>3859</v>
      </c>
      <c r="F942" s="252">
        <v>0.245</v>
      </c>
      <c r="G942" s="251">
        <v>1.1000000000000001</v>
      </c>
      <c r="H942" s="251">
        <v>0.3</v>
      </c>
      <c r="I942" s="251"/>
      <c r="J942" s="253"/>
      <c r="K942" s="254">
        <f t="shared" si="26"/>
        <v>312.00015000000002</v>
      </c>
      <c r="L942" s="205"/>
    </row>
    <row r="943" spans="2:12">
      <c r="B943" s="249" t="s">
        <v>1681</v>
      </c>
      <c r="C943" s="250" t="s">
        <v>1612</v>
      </c>
      <c r="D943" s="205" t="s">
        <v>152</v>
      </c>
      <c r="E943" s="251">
        <v>3859</v>
      </c>
      <c r="F943" s="252">
        <v>0.245</v>
      </c>
      <c r="G943" s="251">
        <v>1.1000000000000001</v>
      </c>
      <c r="H943" s="251">
        <v>0.3</v>
      </c>
      <c r="I943" s="251"/>
      <c r="J943" s="253"/>
      <c r="K943" s="254">
        <f t="shared" si="26"/>
        <v>312.00015000000002</v>
      </c>
      <c r="L943" s="205"/>
    </row>
    <row r="944" spans="2:12">
      <c r="B944" s="249" t="s">
        <v>1681</v>
      </c>
      <c r="C944" s="250" t="s">
        <v>1613</v>
      </c>
      <c r="D944" s="205" t="s">
        <v>152</v>
      </c>
      <c r="E944" s="251">
        <v>3859</v>
      </c>
      <c r="F944" s="252">
        <v>0.245</v>
      </c>
      <c r="G944" s="251">
        <v>1.1000000000000001</v>
      </c>
      <c r="H944" s="251">
        <v>0.2</v>
      </c>
      <c r="I944" s="251"/>
      <c r="J944" s="253"/>
      <c r="K944" s="254">
        <f t="shared" si="26"/>
        <v>208.00010000000003</v>
      </c>
      <c r="L944" s="205"/>
    </row>
    <row r="945" spans="2:12">
      <c r="B945" s="249" t="s">
        <v>1555</v>
      </c>
      <c r="C945" s="250" t="s">
        <v>1895</v>
      </c>
      <c r="D945" s="205" t="s">
        <v>152</v>
      </c>
      <c r="E945" s="251">
        <v>2992</v>
      </c>
      <c r="F945" s="252">
        <f>F944</f>
        <v>0.245</v>
      </c>
      <c r="G945" s="251">
        <f>G944</f>
        <v>1.1000000000000001</v>
      </c>
      <c r="H945" s="251">
        <v>0.2</v>
      </c>
      <c r="I945" s="251"/>
      <c r="J945" s="253"/>
      <c r="K945" s="254">
        <f t="shared" si="26"/>
        <v>161.26880000000003</v>
      </c>
      <c r="L945" s="205"/>
    </row>
    <row r="946" spans="2:12">
      <c r="B946" s="249" t="s">
        <v>1387</v>
      </c>
      <c r="C946" s="250" t="s">
        <v>1931</v>
      </c>
      <c r="D946" s="205" t="s">
        <v>152</v>
      </c>
      <c r="E946" s="251">
        <v>4472</v>
      </c>
      <c r="F946" s="252">
        <v>0.245</v>
      </c>
      <c r="G946" s="251">
        <v>1.1000000000000001</v>
      </c>
      <c r="H946" s="251">
        <v>0.2</v>
      </c>
      <c r="I946" s="251"/>
      <c r="J946" s="253"/>
      <c r="K946" s="254">
        <f t="shared" si="26"/>
        <v>241.04079999999999</v>
      </c>
      <c r="L946" s="255"/>
    </row>
    <row r="947" spans="2:12">
      <c r="B947" s="267"/>
      <c r="C947" s="205"/>
      <c r="D947" s="205"/>
      <c r="E947" s="251"/>
      <c r="F947" s="252"/>
      <c r="G947" s="251"/>
      <c r="H947" s="251"/>
      <c r="I947" s="251"/>
      <c r="J947" s="253"/>
      <c r="K947" s="254">
        <f t="shared" si="26"/>
        <v>0</v>
      </c>
      <c r="L947" s="205"/>
    </row>
    <row r="948" spans="2:12">
      <c r="B948" s="208"/>
      <c r="C948" s="204"/>
      <c r="D948" s="204"/>
      <c r="E948" s="204"/>
      <c r="F948" s="204"/>
      <c r="G948" s="204"/>
      <c r="H948" s="204"/>
      <c r="I948" s="556" t="s">
        <v>1221</v>
      </c>
      <c r="J948" s="556"/>
      <c r="K948" s="262">
        <f>SUM(K939:K947)</f>
        <v>2426.6319000000003</v>
      </c>
      <c r="L948" s="207"/>
    </row>
    <row r="949" spans="2:12">
      <c r="B949" s="208"/>
      <c r="C949" s="204"/>
      <c r="D949" s="204"/>
      <c r="E949" s="204"/>
      <c r="F949" s="204"/>
      <c r="G949" s="204"/>
      <c r="H949" s="209"/>
      <c r="I949" s="557" t="s">
        <v>1222</v>
      </c>
      <c r="J949" s="557"/>
      <c r="K949" s="221">
        <f>VLOOKUP(B937,'BM 004'!$B$27:$R$590,4,0)</f>
        <v>3626.7</v>
      </c>
      <c r="L949" s="207"/>
    </row>
    <row r="950" spans="2:12">
      <c r="B950" s="208"/>
      <c r="C950" s="204"/>
      <c r="D950" s="204"/>
      <c r="E950" s="204"/>
      <c r="F950" s="204"/>
      <c r="G950" s="204"/>
      <c r="H950" s="558" t="s">
        <v>1223</v>
      </c>
      <c r="I950" s="558"/>
      <c r="J950" s="558"/>
      <c r="K950" s="222">
        <v>2185.5911000000001</v>
      </c>
      <c r="L950" s="207"/>
    </row>
    <row r="951" spans="2:12">
      <c r="B951" s="208"/>
      <c r="C951" s="204"/>
      <c r="D951" s="204"/>
      <c r="E951" s="204"/>
      <c r="F951" s="204"/>
      <c r="G951" s="204"/>
      <c r="H951" s="558" t="s">
        <v>1891</v>
      </c>
      <c r="I951" s="558"/>
      <c r="J951" s="558"/>
      <c r="K951" s="222">
        <f>TRUNC(SUMIF(C939:C947,H951,K939:K947),2)</f>
        <v>241.04</v>
      </c>
      <c r="L951" s="207"/>
    </row>
    <row r="952" spans="2:12">
      <c r="B952" s="213"/>
      <c r="C952" s="214"/>
      <c r="D952" s="214"/>
      <c r="E952" s="214"/>
      <c r="F952" s="214"/>
      <c r="G952" s="214"/>
      <c r="H952" s="559" t="s">
        <v>1224</v>
      </c>
      <c r="I952" s="559"/>
      <c r="J952" s="559"/>
      <c r="K952" s="223">
        <f>IF(K948&gt;K949,K948-K949,0)</f>
        <v>0</v>
      </c>
      <c r="L952" s="209"/>
    </row>
    <row r="954" spans="2:12">
      <c r="B954" s="247" t="s">
        <v>223</v>
      </c>
      <c r="C954" s="565" t="str">
        <f>VLOOKUP(B954,'BM 004'!$B$27:$R$590,2,0)</f>
        <v xml:space="preserve">Armação de pilar ou viga de uma estrutura convencional de concreto armado em um edifício de múltiplos pavimentos utilizando aço ca-50 de 8,0 mm - montagem. </v>
      </c>
      <c r="D954" s="565"/>
      <c r="E954" s="565"/>
      <c r="F954" s="565"/>
      <c r="G954" s="565"/>
      <c r="H954" s="565"/>
      <c r="I954" s="565"/>
      <c r="J954" s="565"/>
      <c r="K954" s="565"/>
      <c r="L954" s="565"/>
    </row>
    <row r="955" spans="2:12">
      <c r="B955" s="248" t="s">
        <v>1209</v>
      </c>
      <c r="C955" s="248"/>
      <c r="D955" s="248" t="s">
        <v>39</v>
      </c>
      <c r="E955" s="248" t="s">
        <v>1210</v>
      </c>
      <c r="F955" s="248" t="s">
        <v>1382</v>
      </c>
      <c r="G955" s="248" t="s">
        <v>1383</v>
      </c>
      <c r="H955" s="248" t="s">
        <v>1384</v>
      </c>
      <c r="I955" s="248" t="s">
        <v>1214</v>
      </c>
      <c r="J955" s="248" t="s">
        <v>1385</v>
      </c>
      <c r="K955" s="248" t="s">
        <v>1216</v>
      </c>
      <c r="L955" s="248" t="s">
        <v>1217</v>
      </c>
    </row>
    <row r="956" spans="2:12">
      <c r="B956" s="249" t="s">
        <v>1387</v>
      </c>
      <c r="C956" s="250" t="s">
        <v>1333</v>
      </c>
      <c r="D956" s="205" t="s">
        <v>152</v>
      </c>
      <c r="E956" s="251">
        <v>1288</v>
      </c>
      <c r="F956" s="252">
        <v>0.39500000000000002</v>
      </c>
      <c r="G956" s="251">
        <v>1.1000000000000001</v>
      </c>
      <c r="H956" s="251">
        <v>0.55000000000000004</v>
      </c>
      <c r="I956" s="251"/>
      <c r="J956" s="253"/>
      <c r="K956" s="254">
        <f t="shared" ref="K956:K965" si="27">IF(E956*F956*G956&lt;&gt;0,E956*F956*G956,IF(E956*F956&lt;&gt;0,E956*F956,IF(F956*G956&lt;&gt;0,F956*G956,IF(E956*G956&lt;&gt;0,E956*G956,IF(E956&lt;&gt;0,E956,IF(F956&lt;&gt;0,F956,IF(G956&lt;&gt;0,G956,0)))))))*(IF(H956&lt;&gt;0,H956,1))+I956-J956</f>
        <v>307.79980000000006</v>
      </c>
      <c r="L956" s="255"/>
    </row>
    <row r="957" spans="2:12">
      <c r="B957" s="249" t="s">
        <v>1480</v>
      </c>
      <c r="C957" s="250" t="s">
        <v>1441</v>
      </c>
      <c r="D957" s="205" t="s">
        <v>152</v>
      </c>
      <c r="E957" s="251">
        <v>203</v>
      </c>
      <c r="F957" s="252">
        <f>F956</f>
        <v>0.39500000000000002</v>
      </c>
      <c r="G957" s="251">
        <f>G956</f>
        <v>1.1000000000000001</v>
      </c>
      <c r="H957" s="251">
        <v>0.5</v>
      </c>
      <c r="I957" s="251"/>
      <c r="J957" s="253"/>
      <c r="K957" s="254">
        <f t="shared" si="27"/>
        <v>44.101750000000003</v>
      </c>
      <c r="L957" s="205"/>
    </row>
    <row r="958" spans="2:12">
      <c r="B958" s="249" t="s">
        <v>1480</v>
      </c>
      <c r="C958" s="250" t="s">
        <v>1521</v>
      </c>
      <c r="D958" s="205" t="s">
        <v>152</v>
      </c>
      <c r="E958" s="251">
        <v>1750</v>
      </c>
      <c r="F958" s="252">
        <f>F957</f>
        <v>0.39500000000000002</v>
      </c>
      <c r="G958" s="251">
        <f>G957</f>
        <v>1.1000000000000001</v>
      </c>
      <c r="H958" s="251">
        <v>0.3</v>
      </c>
      <c r="I958" s="251"/>
      <c r="J958" s="253"/>
      <c r="K958" s="254">
        <f t="shared" si="27"/>
        <v>228.11250000000004</v>
      </c>
      <c r="L958" s="205"/>
    </row>
    <row r="959" spans="2:12">
      <c r="B959" s="249" t="s">
        <v>1555</v>
      </c>
      <c r="C959" s="250" t="s">
        <v>1611</v>
      </c>
      <c r="D959" s="205" t="s">
        <v>152</v>
      </c>
      <c r="E959" s="251"/>
      <c r="F959" s="252"/>
      <c r="G959" s="251"/>
      <c r="H959" s="251"/>
      <c r="I959" s="251"/>
      <c r="J959" s="253"/>
      <c r="K959" s="254">
        <f t="shared" si="27"/>
        <v>0</v>
      </c>
      <c r="L959" s="205"/>
    </row>
    <row r="960" spans="2:12">
      <c r="B960" s="249" t="s">
        <v>1681</v>
      </c>
      <c r="C960" s="250" t="s">
        <v>1611</v>
      </c>
      <c r="D960" s="205" t="s">
        <v>152</v>
      </c>
      <c r="E960" s="251">
        <v>815</v>
      </c>
      <c r="F960" s="252">
        <v>0.39500000000000002</v>
      </c>
      <c r="G960" s="251">
        <v>1.1000000000000001</v>
      </c>
      <c r="H960" s="251">
        <v>0.3</v>
      </c>
      <c r="I960" s="251"/>
      <c r="J960" s="253"/>
      <c r="K960" s="254">
        <f t="shared" si="27"/>
        <v>106.23525000000002</v>
      </c>
      <c r="L960" s="205"/>
    </row>
    <row r="961" spans="2:12">
      <c r="B961" s="249" t="s">
        <v>1681</v>
      </c>
      <c r="C961" s="250" t="s">
        <v>1612</v>
      </c>
      <c r="D961" s="205" t="s">
        <v>152</v>
      </c>
      <c r="E961" s="251">
        <v>815</v>
      </c>
      <c r="F961" s="252">
        <v>0.39500000000000002</v>
      </c>
      <c r="G961" s="251">
        <v>1.1000000000000001</v>
      </c>
      <c r="H961" s="251">
        <v>0.3</v>
      </c>
      <c r="I961" s="251"/>
      <c r="J961" s="253"/>
      <c r="K961" s="254">
        <f t="shared" si="27"/>
        <v>106.23525000000002</v>
      </c>
      <c r="L961" s="205"/>
    </row>
    <row r="962" spans="2:12">
      <c r="B962" s="249" t="s">
        <v>1681</v>
      </c>
      <c r="C962" s="250" t="s">
        <v>1613</v>
      </c>
      <c r="D962" s="205" t="s">
        <v>152</v>
      </c>
      <c r="E962" s="251">
        <v>815</v>
      </c>
      <c r="F962" s="252">
        <v>0.39500000000000002</v>
      </c>
      <c r="G962" s="251">
        <v>1.1000000000000001</v>
      </c>
      <c r="H962" s="251">
        <v>0.2</v>
      </c>
      <c r="I962" s="251"/>
      <c r="J962" s="253"/>
      <c r="K962" s="254">
        <f t="shared" si="27"/>
        <v>70.82350000000001</v>
      </c>
      <c r="L962" s="205"/>
    </row>
    <row r="963" spans="2:12">
      <c r="B963" s="249" t="s">
        <v>1387</v>
      </c>
      <c r="C963" s="250" t="s">
        <v>1895</v>
      </c>
      <c r="D963" s="205" t="s">
        <v>152</v>
      </c>
      <c r="E963" s="251">
        <v>1288</v>
      </c>
      <c r="F963" s="252">
        <v>0.39500000000000002</v>
      </c>
      <c r="G963" s="251">
        <v>1.1000000000000001</v>
      </c>
      <c r="H963" s="251">
        <v>0.25</v>
      </c>
      <c r="I963" s="251"/>
      <c r="J963" s="253"/>
      <c r="K963" s="254">
        <f t="shared" si="27"/>
        <v>139.90900000000002</v>
      </c>
      <c r="L963" s="255"/>
    </row>
    <row r="964" spans="2:12">
      <c r="B964" s="249" t="s">
        <v>1387</v>
      </c>
      <c r="C964" s="250" t="s">
        <v>1931</v>
      </c>
      <c r="D964" s="205" t="s">
        <v>152</v>
      </c>
      <c r="E964" s="251">
        <v>1288</v>
      </c>
      <c r="F964" s="252">
        <v>0.39500000000000002</v>
      </c>
      <c r="G964" s="251">
        <v>1.1000000000000001</v>
      </c>
      <c r="H964" s="251">
        <v>0.2</v>
      </c>
      <c r="I964" s="251"/>
      <c r="J964" s="253"/>
      <c r="K964" s="254">
        <f t="shared" si="27"/>
        <v>111.92720000000003</v>
      </c>
      <c r="L964" s="255"/>
    </row>
    <row r="965" spans="2:12">
      <c r="B965" s="267"/>
      <c r="C965" s="205"/>
      <c r="D965" s="205"/>
      <c r="E965" s="251"/>
      <c r="F965" s="252"/>
      <c r="G965" s="251"/>
      <c r="H965" s="251"/>
      <c r="I965" s="251"/>
      <c r="J965" s="253"/>
      <c r="K965" s="254">
        <f t="shared" si="27"/>
        <v>0</v>
      </c>
      <c r="L965" s="205"/>
    </row>
    <row r="966" spans="2:12">
      <c r="B966" s="208"/>
      <c r="C966" s="204"/>
      <c r="D966" s="204"/>
      <c r="E966" s="204"/>
      <c r="F966" s="204"/>
      <c r="G966" s="204"/>
      <c r="H966" s="204"/>
      <c r="I966" s="556" t="s">
        <v>1221</v>
      </c>
      <c r="J966" s="556"/>
      <c r="K966" s="262">
        <f>SUM(K956:K965)</f>
        <v>1115.1442500000003</v>
      </c>
      <c r="L966" s="207"/>
    </row>
    <row r="967" spans="2:12">
      <c r="B967" s="208"/>
      <c r="C967" s="204"/>
      <c r="D967" s="204"/>
      <c r="E967" s="204"/>
      <c r="F967" s="204"/>
      <c r="G967" s="204"/>
      <c r="H967" s="209"/>
      <c r="I967" s="557" t="s">
        <v>1222</v>
      </c>
      <c r="J967" s="557"/>
      <c r="K967" s="221">
        <f>VLOOKUP(B954,'BM 004'!$B$27:$R$590,4,0)</f>
        <v>1762.2</v>
      </c>
      <c r="L967" s="207"/>
    </row>
    <row r="968" spans="2:12">
      <c r="B968" s="208"/>
      <c r="C968" s="204"/>
      <c r="D968" s="204"/>
      <c r="E968" s="204"/>
      <c r="F968" s="204"/>
      <c r="G968" s="204"/>
      <c r="H968" s="558" t="s">
        <v>1223</v>
      </c>
      <c r="I968" s="558"/>
      <c r="J968" s="558"/>
      <c r="K968" s="222">
        <v>1003.21705</v>
      </c>
      <c r="L968" s="207"/>
    </row>
    <row r="969" spans="2:12">
      <c r="B969" s="208"/>
      <c r="C969" s="204"/>
      <c r="D969" s="204"/>
      <c r="E969" s="204"/>
      <c r="F969" s="204"/>
      <c r="G969" s="204"/>
      <c r="H969" s="558" t="s">
        <v>1891</v>
      </c>
      <c r="I969" s="558"/>
      <c r="J969" s="558"/>
      <c r="K969" s="222">
        <f>TRUNC(SUMIF(C956:C965,H969,K956:K965),2)</f>
        <v>111.92</v>
      </c>
      <c r="L969" s="207"/>
    </row>
    <row r="970" spans="2:12">
      <c r="B970" s="213"/>
      <c r="C970" s="214"/>
      <c r="D970" s="214"/>
      <c r="E970" s="214"/>
      <c r="F970" s="214"/>
      <c r="G970" s="214"/>
      <c r="H970" s="559" t="s">
        <v>1224</v>
      </c>
      <c r="I970" s="559"/>
      <c r="J970" s="559"/>
      <c r="K970" s="223">
        <f>IF(K966&gt;K967,K966-K967,0)</f>
        <v>0</v>
      </c>
      <c r="L970" s="209"/>
    </row>
    <row r="972" spans="2:12">
      <c r="B972" s="247" t="s">
        <v>224</v>
      </c>
      <c r="C972" s="565" t="str">
        <f>VLOOKUP(B972,'BM 004'!$B$27:$R$590,2,0)</f>
        <v xml:space="preserve">Armação de pilar ou viga de uma estrutura convencional de concreto armado em um edifício de múltiplos pavimentos utilizando aço ca-50 de 10,0 mm - montagem. </v>
      </c>
      <c r="D972" s="565"/>
      <c r="E972" s="565"/>
      <c r="F972" s="565"/>
      <c r="G972" s="565"/>
      <c r="H972" s="565"/>
      <c r="I972" s="565"/>
      <c r="J972" s="565"/>
      <c r="K972" s="565"/>
      <c r="L972" s="565"/>
    </row>
    <row r="973" spans="2:12">
      <c r="B973" s="248" t="s">
        <v>1209</v>
      </c>
      <c r="C973" s="248"/>
      <c r="D973" s="248" t="s">
        <v>39</v>
      </c>
      <c r="E973" s="248" t="s">
        <v>1210</v>
      </c>
      <c r="F973" s="248" t="s">
        <v>1382</v>
      </c>
      <c r="G973" s="248" t="s">
        <v>1383</v>
      </c>
      <c r="H973" s="248" t="s">
        <v>1384</v>
      </c>
      <c r="I973" s="248" t="s">
        <v>1214</v>
      </c>
      <c r="J973" s="248" t="s">
        <v>1385</v>
      </c>
      <c r="K973" s="248" t="s">
        <v>1216</v>
      </c>
      <c r="L973" s="248" t="s">
        <v>1217</v>
      </c>
    </row>
    <row r="974" spans="2:12">
      <c r="B974" s="249" t="s">
        <v>1387</v>
      </c>
      <c r="C974" s="250" t="s">
        <v>1333</v>
      </c>
      <c r="D974" s="205" t="s">
        <v>152</v>
      </c>
      <c r="E974" s="251">
        <v>82</v>
      </c>
      <c r="F974" s="252">
        <v>0.61699999999999999</v>
      </c>
      <c r="G974" s="251">
        <v>1.1000000000000001</v>
      </c>
      <c r="H974" s="251">
        <v>0.55000000000000004</v>
      </c>
      <c r="I974" s="251"/>
      <c r="J974" s="253"/>
      <c r="K974" s="254">
        <f t="shared" ref="K974:K983" si="28">IF(E974*F974*G974&lt;&gt;0,E974*F974*G974,IF(E974*F974&lt;&gt;0,E974*F974,IF(F974*G974&lt;&gt;0,F974*G974,IF(E974*G974&lt;&gt;0,E974*G974,IF(E974&lt;&gt;0,E974,IF(F974&lt;&gt;0,F974,IF(G974&lt;&gt;0,G974,0)))))))*(IF(H974&lt;&gt;0,H974,1))+I974-J974</f>
        <v>30.609370000000006</v>
      </c>
      <c r="L974" s="255"/>
    </row>
    <row r="975" spans="2:12">
      <c r="B975" s="249" t="s">
        <v>1480</v>
      </c>
      <c r="C975" s="250" t="s">
        <v>1441</v>
      </c>
      <c r="D975" s="205" t="s">
        <v>152</v>
      </c>
      <c r="E975" s="251">
        <v>494</v>
      </c>
      <c r="F975" s="252">
        <f>F974</f>
        <v>0.61699999999999999</v>
      </c>
      <c r="G975" s="251">
        <f>G974</f>
        <v>1.1000000000000001</v>
      </c>
      <c r="H975" s="251">
        <v>0.5</v>
      </c>
      <c r="I975" s="251"/>
      <c r="J975" s="253"/>
      <c r="K975" s="254">
        <f t="shared" si="28"/>
        <v>167.63890000000001</v>
      </c>
      <c r="L975" s="205"/>
    </row>
    <row r="976" spans="2:12">
      <c r="B976" s="249" t="s">
        <v>1555</v>
      </c>
      <c r="C976" s="250" t="s">
        <v>1611</v>
      </c>
      <c r="D976" s="205" t="s">
        <v>152</v>
      </c>
      <c r="E976" s="251"/>
      <c r="F976" s="252"/>
      <c r="G976" s="251"/>
      <c r="H976" s="251"/>
      <c r="I976" s="251"/>
      <c r="J976" s="253"/>
      <c r="K976" s="254">
        <f t="shared" si="28"/>
        <v>0</v>
      </c>
      <c r="L976" s="205"/>
    </row>
    <row r="977" spans="2:12">
      <c r="B977" s="249" t="s">
        <v>1681</v>
      </c>
      <c r="C977" s="250" t="s">
        <v>1611</v>
      </c>
      <c r="D977" s="205" t="s">
        <v>152</v>
      </c>
      <c r="E977" s="251">
        <v>222</v>
      </c>
      <c r="F977" s="252">
        <v>0.61699999999999999</v>
      </c>
      <c r="G977" s="251">
        <v>1.1000000000000001</v>
      </c>
      <c r="H977" s="251">
        <v>0.3</v>
      </c>
      <c r="I977" s="251"/>
      <c r="J977" s="253"/>
      <c r="K977" s="254">
        <f t="shared" si="28"/>
        <v>45.201419999999999</v>
      </c>
      <c r="L977" s="205"/>
    </row>
    <row r="978" spans="2:12">
      <c r="B978" s="249" t="s">
        <v>1681</v>
      </c>
      <c r="C978" s="250" t="s">
        <v>1612</v>
      </c>
      <c r="D978" s="205" t="s">
        <v>152</v>
      </c>
      <c r="E978" s="251">
        <v>222</v>
      </c>
      <c r="F978" s="252">
        <v>0.61699999999999999</v>
      </c>
      <c r="G978" s="251">
        <v>1.1000000000000001</v>
      </c>
      <c r="H978" s="251">
        <v>0.2</v>
      </c>
      <c r="I978" s="251"/>
      <c r="J978" s="253"/>
      <c r="K978" s="254">
        <f t="shared" si="28"/>
        <v>30.134280000000004</v>
      </c>
      <c r="L978" s="205"/>
    </row>
    <row r="979" spans="2:12">
      <c r="B979" s="249" t="s">
        <v>1681</v>
      </c>
      <c r="C979" s="250" t="s">
        <v>1613</v>
      </c>
      <c r="D979" s="205" t="s">
        <v>152</v>
      </c>
      <c r="E979" s="251">
        <v>222</v>
      </c>
      <c r="F979" s="252">
        <v>0.61699999999999999</v>
      </c>
      <c r="G979" s="251">
        <v>1.1000000000000001</v>
      </c>
      <c r="H979" s="251">
        <v>0.3</v>
      </c>
      <c r="I979" s="251"/>
      <c r="J979" s="253"/>
      <c r="K979" s="254">
        <f t="shared" si="28"/>
        <v>45.201419999999999</v>
      </c>
      <c r="L979" s="205"/>
    </row>
    <row r="980" spans="2:12">
      <c r="B980" s="249" t="s">
        <v>1387</v>
      </c>
      <c r="C980" s="250" t="s">
        <v>1895</v>
      </c>
      <c r="D980" s="205" t="s">
        <v>152</v>
      </c>
      <c r="E980" s="251">
        <v>82</v>
      </c>
      <c r="F980" s="252">
        <v>0.61699999999999999</v>
      </c>
      <c r="G980" s="251">
        <v>1.1000000000000001</v>
      </c>
      <c r="H980" s="251">
        <v>0.15</v>
      </c>
      <c r="I980" s="251"/>
      <c r="J980" s="253"/>
      <c r="K980" s="254">
        <f t="shared" si="28"/>
        <v>8.3480100000000004</v>
      </c>
      <c r="L980" s="255"/>
    </row>
    <row r="981" spans="2:12">
      <c r="B981" s="249" t="s">
        <v>1480</v>
      </c>
      <c r="C981" s="250" t="s">
        <v>1895</v>
      </c>
      <c r="D981" s="205" t="s">
        <v>152</v>
      </c>
      <c r="E981" s="251">
        <v>494</v>
      </c>
      <c r="F981" s="252">
        <f>F980</f>
        <v>0.61699999999999999</v>
      </c>
      <c r="G981" s="251">
        <f>G980</f>
        <v>1.1000000000000001</v>
      </c>
      <c r="H981" s="251">
        <v>0.2</v>
      </c>
      <c r="I981" s="251"/>
      <c r="J981" s="253"/>
      <c r="K981" s="254">
        <f t="shared" si="28"/>
        <v>67.05556</v>
      </c>
      <c r="L981" s="205"/>
    </row>
    <row r="982" spans="2:12">
      <c r="B982" s="249" t="s">
        <v>1387</v>
      </c>
      <c r="C982" s="250" t="s">
        <v>1931</v>
      </c>
      <c r="D982" s="205" t="s">
        <v>152</v>
      </c>
      <c r="E982" s="251">
        <v>82</v>
      </c>
      <c r="F982" s="252">
        <v>0.61699999999999999</v>
      </c>
      <c r="G982" s="251">
        <v>1.1000000000000001</v>
      </c>
      <c r="H982" s="251">
        <v>0.2</v>
      </c>
      <c r="I982" s="251"/>
      <c r="J982" s="253"/>
      <c r="K982" s="254">
        <f t="shared" si="28"/>
        <v>11.130680000000002</v>
      </c>
      <c r="L982" s="255"/>
    </row>
    <row r="983" spans="2:12">
      <c r="B983" s="267"/>
      <c r="C983" s="205"/>
      <c r="D983" s="205"/>
      <c r="E983" s="251"/>
      <c r="F983" s="252"/>
      <c r="G983" s="251"/>
      <c r="H983" s="251"/>
      <c r="I983" s="251"/>
      <c r="J983" s="253"/>
      <c r="K983" s="254">
        <f t="shared" si="28"/>
        <v>0</v>
      </c>
      <c r="L983" s="205"/>
    </row>
    <row r="984" spans="2:12">
      <c r="B984" s="208"/>
      <c r="C984" s="204"/>
      <c r="D984" s="204"/>
      <c r="E984" s="204"/>
      <c r="F984" s="204"/>
      <c r="G984" s="204"/>
      <c r="H984" s="204"/>
      <c r="I984" s="556" t="s">
        <v>1221</v>
      </c>
      <c r="J984" s="556"/>
      <c r="K984" s="262">
        <f>SUM(K974:K983)</f>
        <v>405.31963999999999</v>
      </c>
      <c r="L984" s="207"/>
    </row>
    <row r="985" spans="2:12">
      <c r="B985" s="208"/>
      <c r="C985" s="204"/>
      <c r="D985" s="204"/>
      <c r="E985" s="204"/>
      <c r="F985" s="204"/>
      <c r="G985" s="204"/>
      <c r="H985" s="209"/>
      <c r="I985" s="557" t="s">
        <v>1222</v>
      </c>
      <c r="J985" s="557"/>
      <c r="K985" s="221">
        <f>VLOOKUP(B972,'BM 004'!$B$27:$R$590,4,0)</f>
        <v>542.29999999999995</v>
      </c>
      <c r="L985" s="207"/>
    </row>
    <row r="986" spans="2:12">
      <c r="B986" s="208"/>
      <c r="C986" s="204"/>
      <c r="D986" s="204"/>
      <c r="E986" s="204"/>
      <c r="F986" s="204"/>
      <c r="G986" s="204"/>
      <c r="H986" s="558" t="s">
        <v>1223</v>
      </c>
      <c r="I986" s="558"/>
      <c r="J986" s="558"/>
      <c r="K986" s="222">
        <v>394.18896000000001</v>
      </c>
      <c r="L986" s="207"/>
    </row>
    <row r="987" spans="2:12">
      <c r="B987" s="208"/>
      <c r="C987" s="204"/>
      <c r="D987" s="204"/>
      <c r="E987" s="204"/>
      <c r="F987" s="204"/>
      <c r="G987" s="204"/>
      <c r="H987" s="558" t="s">
        <v>1891</v>
      </c>
      <c r="I987" s="558"/>
      <c r="J987" s="558"/>
      <c r="K987" s="222">
        <f>TRUNC(SUMIF(C974:C983,H987,K974:K983),2)</f>
        <v>11.13</v>
      </c>
      <c r="L987" s="207"/>
    </row>
    <row r="988" spans="2:12">
      <c r="B988" s="213"/>
      <c r="C988" s="214"/>
      <c r="D988" s="214"/>
      <c r="E988" s="214"/>
      <c r="F988" s="214"/>
      <c r="G988" s="214"/>
      <c r="H988" s="559" t="s">
        <v>1224</v>
      </c>
      <c r="I988" s="559"/>
      <c r="J988" s="559"/>
      <c r="K988" s="223">
        <f>IF(K984&gt;K985,K984-K985,0)</f>
        <v>0</v>
      </c>
      <c r="L988" s="209"/>
    </row>
    <row r="990" spans="2:12">
      <c r="B990" s="247" t="s">
        <v>225</v>
      </c>
      <c r="C990" s="565" t="str">
        <f>VLOOKUP(B990,'BM 004'!$B$27:$R$590,2,0)</f>
        <v xml:space="preserve">Armação de pilar ou viga de uma estrutura convencional de concreto armado em um edifício de múltiplos pavimentos utilizando aço ca-50 de 12,5 mm - montagem. </v>
      </c>
      <c r="D990" s="565"/>
      <c r="E990" s="565"/>
      <c r="F990" s="565"/>
      <c r="G990" s="565"/>
      <c r="H990" s="565"/>
      <c r="I990" s="565"/>
      <c r="J990" s="565"/>
      <c r="K990" s="565"/>
      <c r="L990" s="565"/>
    </row>
    <row r="991" spans="2:12">
      <c r="B991" s="248" t="s">
        <v>1209</v>
      </c>
      <c r="C991" s="248"/>
      <c r="D991" s="248" t="s">
        <v>39</v>
      </c>
      <c r="E991" s="248" t="s">
        <v>1210</v>
      </c>
      <c r="F991" s="248" t="s">
        <v>1382</v>
      </c>
      <c r="G991" s="248" t="s">
        <v>1383</v>
      </c>
      <c r="H991" s="248" t="s">
        <v>1384</v>
      </c>
      <c r="I991" s="248" t="s">
        <v>1214</v>
      </c>
      <c r="J991" s="248" t="s">
        <v>1385</v>
      </c>
      <c r="K991" s="248" t="s">
        <v>1216</v>
      </c>
      <c r="L991" s="248" t="s">
        <v>1217</v>
      </c>
    </row>
    <row r="992" spans="2:12">
      <c r="B992" s="249" t="s">
        <v>1387</v>
      </c>
      <c r="C992" s="250" t="s">
        <v>1333</v>
      </c>
      <c r="D992" s="205" t="s">
        <v>152</v>
      </c>
      <c r="E992" s="251">
        <v>169</v>
      </c>
      <c r="F992" s="252">
        <v>0.96299999999999997</v>
      </c>
      <c r="G992" s="251">
        <v>1.1000000000000001</v>
      </c>
      <c r="H992" s="251">
        <v>0.55000000000000004</v>
      </c>
      <c r="I992" s="251"/>
      <c r="J992" s="253"/>
      <c r="K992" s="254">
        <f t="shared" ref="K992:K1003" si="29">IF(E992*F992*G992&lt;&gt;0,E992*F992*G992,IF(E992*F992&lt;&gt;0,E992*F992,IF(F992*G992&lt;&gt;0,F992*G992,IF(E992*G992&lt;&gt;0,E992*G992,IF(E992&lt;&gt;0,E992,IF(F992&lt;&gt;0,F992,IF(G992&lt;&gt;0,G992,0)))))))*(IF(H992&lt;&gt;0,H992,1))+I992-J992</f>
        <v>98.461935000000011</v>
      </c>
      <c r="L992" s="255"/>
    </row>
    <row r="993" spans="2:12">
      <c r="B993" s="249" t="s">
        <v>1480</v>
      </c>
      <c r="C993" s="250" t="s">
        <v>1441</v>
      </c>
      <c r="D993" s="205" t="s">
        <v>152</v>
      </c>
      <c r="E993" s="251">
        <v>653</v>
      </c>
      <c r="F993" s="252">
        <f>F992</f>
        <v>0.96299999999999997</v>
      </c>
      <c r="G993" s="251">
        <f>G992</f>
        <v>1.1000000000000001</v>
      </c>
      <c r="H993" s="251">
        <v>0.5</v>
      </c>
      <c r="I993" s="251"/>
      <c r="J993" s="253"/>
      <c r="K993" s="254">
        <f t="shared" si="29"/>
        <v>345.86144999999999</v>
      </c>
      <c r="L993" s="205"/>
    </row>
    <row r="994" spans="2:12">
      <c r="B994" s="249" t="s">
        <v>1555</v>
      </c>
      <c r="C994" s="250" t="s">
        <v>1521</v>
      </c>
      <c r="D994" s="205" t="s">
        <v>152</v>
      </c>
      <c r="E994" s="251">
        <v>1331</v>
      </c>
      <c r="F994" s="252">
        <f>F993</f>
        <v>0.96299999999999997</v>
      </c>
      <c r="G994" s="251">
        <f>G993</f>
        <v>1.1000000000000001</v>
      </c>
      <c r="H994" s="251">
        <v>0.3</v>
      </c>
      <c r="I994" s="251"/>
      <c r="J994" s="253"/>
      <c r="K994" s="254">
        <f t="shared" si="29"/>
        <v>422.97849000000002</v>
      </c>
      <c r="L994" s="205"/>
    </row>
    <row r="995" spans="2:12">
      <c r="B995" s="249" t="s">
        <v>1681</v>
      </c>
      <c r="C995" s="250" t="s">
        <v>1611</v>
      </c>
      <c r="D995" s="205" t="s">
        <v>152</v>
      </c>
      <c r="E995" s="251">
        <v>1181</v>
      </c>
      <c r="F995" s="252">
        <v>0.96299999999999997</v>
      </c>
      <c r="G995" s="251">
        <v>1.1000000000000001</v>
      </c>
      <c r="H995" s="251">
        <v>0.3</v>
      </c>
      <c r="I995" s="251"/>
      <c r="J995" s="253"/>
      <c r="K995" s="254">
        <f t="shared" si="29"/>
        <v>375.30999000000003</v>
      </c>
      <c r="L995" s="205"/>
    </row>
    <row r="996" spans="2:12">
      <c r="B996" s="249" t="s">
        <v>1555</v>
      </c>
      <c r="C996" s="250" t="s">
        <v>1612</v>
      </c>
      <c r="D996" s="205" t="s">
        <v>152</v>
      </c>
      <c r="E996" s="251">
        <v>1331</v>
      </c>
      <c r="F996" s="252">
        <f>F995</f>
        <v>0.96299999999999997</v>
      </c>
      <c r="G996" s="251">
        <f>G995</f>
        <v>1.1000000000000001</v>
      </c>
      <c r="H996" s="251">
        <v>0.2</v>
      </c>
      <c r="I996" s="251"/>
      <c r="J996" s="253"/>
      <c r="K996" s="254">
        <f t="shared" si="29"/>
        <v>281.98566</v>
      </c>
      <c r="L996" s="205"/>
    </row>
    <row r="997" spans="2:12">
      <c r="B997" s="249" t="s">
        <v>1681</v>
      </c>
      <c r="C997" s="250" t="s">
        <v>1613</v>
      </c>
      <c r="D997" s="205" t="s">
        <v>152</v>
      </c>
      <c r="E997" s="251">
        <v>1181</v>
      </c>
      <c r="F997" s="252">
        <v>0.96299999999999997</v>
      </c>
      <c r="G997" s="251">
        <v>1.1000000000000001</v>
      </c>
      <c r="H997" s="251">
        <v>0.2</v>
      </c>
      <c r="I997" s="251"/>
      <c r="J997" s="253"/>
      <c r="K997" s="254">
        <f t="shared" si="29"/>
        <v>250.20666000000003</v>
      </c>
      <c r="L997" s="205"/>
    </row>
    <row r="998" spans="2:12">
      <c r="B998" s="249" t="s">
        <v>1387</v>
      </c>
      <c r="C998" s="250" t="s">
        <v>1895</v>
      </c>
      <c r="D998" s="205" t="s">
        <v>152</v>
      </c>
      <c r="E998" s="251">
        <v>169</v>
      </c>
      <c r="F998" s="252">
        <v>0.96299999999999997</v>
      </c>
      <c r="G998" s="251">
        <v>1.1000000000000001</v>
      </c>
      <c r="H998" s="251">
        <v>0.15</v>
      </c>
      <c r="I998" s="251"/>
      <c r="J998" s="253"/>
      <c r="K998" s="254">
        <f t="shared" si="29"/>
        <v>26.853255000000001</v>
      </c>
      <c r="L998" s="255"/>
    </row>
    <row r="999" spans="2:12">
      <c r="B999" s="249" t="s">
        <v>1480</v>
      </c>
      <c r="C999" s="250" t="s">
        <v>1895</v>
      </c>
      <c r="D999" s="205" t="s">
        <v>152</v>
      </c>
      <c r="E999" s="251">
        <v>653</v>
      </c>
      <c r="F999" s="252">
        <f>F998</f>
        <v>0.96299999999999997</v>
      </c>
      <c r="G999" s="251">
        <f>G998</f>
        <v>1.1000000000000001</v>
      </c>
      <c r="H999" s="251">
        <v>0.3</v>
      </c>
      <c r="I999" s="251"/>
      <c r="J999" s="253"/>
      <c r="K999" s="254">
        <f t="shared" si="29"/>
        <v>207.51686999999998</v>
      </c>
      <c r="L999" s="205"/>
    </row>
    <row r="1000" spans="2:12">
      <c r="B1000" s="249" t="s">
        <v>1555</v>
      </c>
      <c r="C1000" s="250" t="s">
        <v>1895</v>
      </c>
      <c r="D1000" s="205" t="s">
        <v>152</v>
      </c>
      <c r="E1000" s="251">
        <v>1331</v>
      </c>
      <c r="F1000" s="252">
        <f>F999</f>
        <v>0.96299999999999997</v>
      </c>
      <c r="G1000" s="251">
        <f>G999</f>
        <v>1.1000000000000001</v>
      </c>
      <c r="H1000" s="251">
        <v>0.1</v>
      </c>
      <c r="I1000" s="251"/>
      <c r="J1000" s="253"/>
      <c r="K1000" s="254">
        <f t="shared" si="29"/>
        <v>140.99283</v>
      </c>
      <c r="L1000" s="205"/>
    </row>
    <row r="1001" spans="2:12">
      <c r="B1001" s="249" t="s">
        <v>1681</v>
      </c>
      <c r="C1001" s="250" t="s">
        <v>1895</v>
      </c>
      <c r="D1001" s="205" t="s">
        <v>152</v>
      </c>
      <c r="E1001" s="251">
        <v>1181</v>
      </c>
      <c r="F1001" s="252">
        <v>0.96299999999999997</v>
      </c>
      <c r="G1001" s="251">
        <v>1.1000000000000001</v>
      </c>
      <c r="H1001" s="251">
        <v>0.1</v>
      </c>
      <c r="I1001" s="251"/>
      <c r="J1001" s="253"/>
      <c r="K1001" s="254">
        <f t="shared" si="29"/>
        <v>125.10333000000001</v>
      </c>
      <c r="L1001" s="205"/>
    </row>
    <row r="1002" spans="2:12">
      <c r="B1002" s="249" t="s">
        <v>1387</v>
      </c>
      <c r="C1002" s="250" t="s">
        <v>1931</v>
      </c>
      <c r="D1002" s="205" t="s">
        <v>152</v>
      </c>
      <c r="E1002" s="251">
        <v>169</v>
      </c>
      <c r="F1002" s="252">
        <v>0.96299999999999997</v>
      </c>
      <c r="G1002" s="251">
        <v>1.1000000000000001</v>
      </c>
      <c r="H1002" s="251">
        <v>0.2</v>
      </c>
      <c r="I1002" s="251"/>
      <c r="J1002" s="253"/>
      <c r="K1002" s="254">
        <f t="shared" si="29"/>
        <v>35.804340000000003</v>
      </c>
      <c r="L1002" s="255"/>
    </row>
    <row r="1003" spans="2:12">
      <c r="B1003" s="267"/>
      <c r="C1003" s="205"/>
      <c r="D1003" s="205"/>
      <c r="E1003" s="251"/>
      <c r="F1003" s="252"/>
      <c r="G1003" s="251"/>
      <c r="H1003" s="251"/>
      <c r="I1003" s="251"/>
      <c r="J1003" s="253"/>
      <c r="K1003" s="254">
        <f t="shared" si="29"/>
        <v>0</v>
      </c>
      <c r="L1003" s="205"/>
    </row>
    <row r="1004" spans="2:12">
      <c r="B1004" s="208"/>
      <c r="C1004" s="204"/>
      <c r="D1004" s="204"/>
      <c r="E1004" s="204"/>
      <c r="F1004" s="204"/>
      <c r="G1004" s="204"/>
      <c r="H1004" s="204"/>
      <c r="I1004" s="556" t="s">
        <v>1221</v>
      </c>
      <c r="J1004" s="556"/>
      <c r="K1004" s="262">
        <f>SUM(K992:K1003)</f>
        <v>2311.0748100000001</v>
      </c>
      <c r="L1004" s="207"/>
    </row>
    <row r="1005" spans="2:12">
      <c r="B1005" s="208"/>
      <c r="C1005" s="204"/>
      <c r="D1005" s="204"/>
      <c r="E1005" s="204"/>
      <c r="F1005" s="204"/>
      <c r="G1005" s="204"/>
      <c r="H1005" s="209"/>
      <c r="I1005" s="557" t="s">
        <v>1222</v>
      </c>
      <c r="J1005" s="557"/>
      <c r="K1005" s="221">
        <f>VLOOKUP(B990,'BM 004'!$B$27:$R$590,4,0)</f>
        <v>3532.1</v>
      </c>
      <c r="L1005" s="207"/>
    </row>
    <row r="1006" spans="2:12">
      <c r="B1006" s="208"/>
      <c r="C1006" s="204"/>
      <c r="D1006" s="204"/>
      <c r="E1006" s="204"/>
      <c r="F1006" s="204"/>
      <c r="G1006" s="204"/>
      <c r="H1006" s="558" t="s">
        <v>1223</v>
      </c>
      <c r="I1006" s="558"/>
      <c r="J1006" s="558"/>
      <c r="K1006" s="222">
        <v>2275.2704699999999</v>
      </c>
      <c r="L1006" s="207"/>
    </row>
    <row r="1007" spans="2:12">
      <c r="B1007" s="208"/>
      <c r="C1007" s="204"/>
      <c r="D1007" s="204"/>
      <c r="E1007" s="204"/>
      <c r="F1007" s="204"/>
      <c r="G1007" s="204"/>
      <c r="H1007" s="558" t="s">
        <v>1891</v>
      </c>
      <c r="I1007" s="558"/>
      <c r="J1007" s="558"/>
      <c r="K1007" s="222">
        <f>TRUNC(SUMIF(C992:C1003,H1007,K992:K1003),2)</f>
        <v>35.799999999999997</v>
      </c>
      <c r="L1007" s="207"/>
    </row>
    <row r="1008" spans="2:12">
      <c r="B1008" s="213"/>
      <c r="C1008" s="214"/>
      <c r="D1008" s="214"/>
      <c r="E1008" s="214"/>
      <c r="F1008" s="214"/>
      <c r="G1008" s="214"/>
      <c r="H1008" s="559" t="s">
        <v>1224</v>
      </c>
      <c r="I1008" s="559"/>
      <c r="J1008" s="559"/>
      <c r="K1008" s="223">
        <f>IF(K1004&gt;K1005,K1004-K1005,0)</f>
        <v>0</v>
      </c>
      <c r="L1008" s="209"/>
    </row>
    <row r="1010" spans="2:12">
      <c r="B1010" s="247" t="s">
        <v>226</v>
      </c>
      <c r="C1010" s="565" t="str">
        <f>VLOOKUP(B1010,'BM 004'!$B$27:$R$590,2,0)</f>
        <v xml:space="preserve">Armação de pilar ou viga de uma estrutura convencional de concreto armado em um edifício de múltiplos pavimentos utilizando aço ca-50 de 16,0 mm - montagem. </v>
      </c>
      <c r="D1010" s="565"/>
      <c r="E1010" s="565"/>
      <c r="F1010" s="565"/>
      <c r="G1010" s="565"/>
      <c r="H1010" s="565"/>
      <c r="I1010" s="565"/>
      <c r="J1010" s="565"/>
      <c r="K1010" s="565"/>
      <c r="L1010" s="565"/>
    </row>
    <row r="1011" spans="2:12">
      <c r="B1011" s="248" t="s">
        <v>1209</v>
      </c>
      <c r="C1011" s="248"/>
      <c r="D1011" s="248" t="s">
        <v>39</v>
      </c>
      <c r="E1011" s="248" t="s">
        <v>1210</v>
      </c>
      <c r="F1011" s="248" t="s">
        <v>1382</v>
      </c>
      <c r="G1011" s="248" t="s">
        <v>1383</v>
      </c>
      <c r="H1011" s="248" t="s">
        <v>1384</v>
      </c>
      <c r="I1011" s="248" t="s">
        <v>1214</v>
      </c>
      <c r="J1011" s="248" t="s">
        <v>1385</v>
      </c>
      <c r="K1011" s="248" t="s">
        <v>1216</v>
      </c>
      <c r="L1011" s="248" t="s">
        <v>1217</v>
      </c>
    </row>
    <row r="1012" spans="2:12">
      <c r="B1012" s="249" t="s">
        <v>1387</v>
      </c>
      <c r="C1012" s="250" t="s">
        <v>1333</v>
      </c>
      <c r="D1012" s="205" t="s">
        <v>152</v>
      </c>
      <c r="E1012" s="251">
        <v>3239</v>
      </c>
      <c r="F1012" s="252">
        <v>1.5780000000000001</v>
      </c>
      <c r="G1012" s="251">
        <v>1.1000000000000001</v>
      </c>
      <c r="H1012" s="251">
        <v>0.55000000000000004</v>
      </c>
      <c r="I1012" s="251"/>
      <c r="J1012" s="253"/>
      <c r="K1012" s="254">
        <f t="shared" ref="K1012:K1023" si="30">IF(E1012*F1012*G1012&lt;&gt;0,E1012*F1012*G1012,IF(E1012*F1012&lt;&gt;0,E1012*F1012,IF(F1012*G1012&lt;&gt;0,F1012*G1012,IF(E1012*G1012&lt;&gt;0,E1012*G1012,IF(E1012&lt;&gt;0,E1012,IF(F1012&lt;&gt;0,F1012,IF(G1012&lt;&gt;0,G1012,0)))))))*(IF(H1012&lt;&gt;0,H1012,1))+I1012-J1012</f>
        <v>3092.24091</v>
      </c>
      <c r="L1012" s="255"/>
    </row>
    <row r="1013" spans="2:12">
      <c r="B1013" s="249" t="s">
        <v>1480</v>
      </c>
      <c r="C1013" s="250" t="s">
        <v>1441</v>
      </c>
      <c r="D1013" s="205" t="s">
        <v>152</v>
      </c>
      <c r="E1013" s="251">
        <v>153</v>
      </c>
      <c r="F1013" s="252">
        <f>F1012</f>
        <v>1.5780000000000001</v>
      </c>
      <c r="G1013" s="251">
        <f>G1012</f>
        <v>1.1000000000000001</v>
      </c>
      <c r="H1013" s="251">
        <v>0.5</v>
      </c>
      <c r="I1013" s="251"/>
      <c r="J1013" s="253"/>
      <c r="K1013" s="254">
        <f t="shared" si="30"/>
        <v>132.78870000000001</v>
      </c>
      <c r="L1013" s="205"/>
    </row>
    <row r="1014" spans="2:12">
      <c r="B1014" s="249" t="s">
        <v>1555</v>
      </c>
      <c r="C1014" s="250" t="s">
        <v>1611</v>
      </c>
      <c r="D1014" s="205" t="s">
        <v>152</v>
      </c>
      <c r="E1014" s="251"/>
      <c r="F1014" s="252"/>
      <c r="G1014" s="251"/>
      <c r="H1014" s="251"/>
      <c r="I1014" s="251"/>
      <c r="J1014" s="253"/>
      <c r="K1014" s="254">
        <f t="shared" si="30"/>
        <v>0</v>
      </c>
      <c r="L1014" s="205"/>
    </row>
    <row r="1015" spans="2:12">
      <c r="B1015" s="249" t="s">
        <v>1681</v>
      </c>
      <c r="C1015" s="250" t="s">
        <v>1611</v>
      </c>
      <c r="D1015" s="205" t="s">
        <v>152</v>
      </c>
      <c r="E1015" s="251">
        <v>822</v>
      </c>
      <c r="F1015" s="252">
        <v>1.5780000000000001</v>
      </c>
      <c r="G1015" s="251">
        <v>1.1000000000000001</v>
      </c>
      <c r="H1015" s="251">
        <v>0.3</v>
      </c>
      <c r="I1015" s="251"/>
      <c r="J1015" s="253"/>
      <c r="K1015" s="254">
        <f t="shared" si="30"/>
        <v>428.04828000000003</v>
      </c>
      <c r="L1015" s="205"/>
    </row>
    <row r="1016" spans="2:12">
      <c r="B1016" s="249" t="s">
        <v>1681</v>
      </c>
      <c r="C1016" s="250" t="s">
        <v>1612</v>
      </c>
      <c r="D1016" s="205" t="s">
        <v>152</v>
      </c>
      <c r="E1016" s="251">
        <v>822</v>
      </c>
      <c r="F1016" s="252">
        <v>1.5780000000000001</v>
      </c>
      <c r="G1016" s="251">
        <v>1.1000000000000001</v>
      </c>
      <c r="H1016" s="251">
        <v>0.3</v>
      </c>
      <c r="I1016" s="251"/>
      <c r="J1016" s="253"/>
      <c r="K1016" s="254">
        <f t="shared" si="30"/>
        <v>428.04828000000003</v>
      </c>
      <c r="L1016" s="205"/>
    </row>
    <row r="1017" spans="2:12">
      <c r="B1017" s="249" t="s">
        <v>1681</v>
      </c>
      <c r="C1017" s="250" t="s">
        <v>1613</v>
      </c>
      <c r="D1017" s="205" t="s">
        <v>152</v>
      </c>
      <c r="E1017" s="251">
        <v>822</v>
      </c>
      <c r="F1017" s="252">
        <v>1.5780000000000001</v>
      </c>
      <c r="G1017" s="251">
        <v>1.1000000000000001</v>
      </c>
      <c r="H1017" s="251">
        <v>0.2</v>
      </c>
      <c r="I1017" s="251"/>
      <c r="J1017" s="253"/>
      <c r="K1017" s="254">
        <f t="shared" si="30"/>
        <v>285.36552</v>
      </c>
      <c r="L1017" s="205"/>
    </row>
    <row r="1018" spans="2:12">
      <c r="B1018" s="249" t="s">
        <v>1387</v>
      </c>
      <c r="C1018" s="250" t="s">
        <v>1895</v>
      </c>
      <c r="D1018" s="205" t="s">
        <v>152</v>
      </c>
      <c r="E1018" s="251">
        <v>3239</v>
      </c>
      <c r="F1018" s="252">
        <v>1.5780000000000001</v>
      </c>
      <c r="G1018" s="251">
        <v>1.1000000000000001</v>
      </c>
      <c r="H1018" s="251">
        <v>0.15</v>
      </c>
      <c r="I1018" s="251"/>
      <c r="J1018" s="253"/>
      <c r="K1018" s="254">
        <f t="shared" si="30"/>
        <v>843.3384299999999</v>
      </c>
      <c r="L1018" s="255"/>
    </row>
    <row r="1019" spans="2:12">
      <c r="B1019" s="249" t="s">
        <v>1480</v>
      </c>
      <c r="C1019" s="250" t="s">
        <v>1895</v>
      </c>
      <c r="D1019" s="205" t="s">
        <v>152</v>
      </c>
      <c r="E1019" s="251">
        <v>153</v>
      </c>
      <c r="F1019" s="252">
        <f>F1018</f>
        <v>1.5780000000000001</v>
      </c>
      <c r="G1019" s="251">
        <f>G1018</f>
        <v>1.1000000000000001</v>
      </c>
      <c r="H1019" s="251">
        <v>0.3</v>
      </c>
      <c r="I1019" s="251"/>
      <c r="J1019" s="253"/>
      <c r="K1019" s="254">
        <f t="shared" si="30"/>
        <v>79.673220000000001</v>
      </c>
      <c r="L1019" s="205"/>
    </row>
    <row r="1020" spans="2:12">
      <c r="B1020" s="249" t="s">
        <v>1387</v>
      </c>
      <c r="C1020" s="250" t="s">
        <v>1931</v>
      </c>
      <c r="D1020" s="205" t="s">
        <v>152</v>
      </c>
      <c r="E1020" s="251">
        <v>3239</v>
      </c>
      <c r="F1020" s="252">
        <v>1.5780000000000001</v>
      </c>
      <c r="G1020" s="251">
        <v>1.1000000000000001</v>
      </c>
      <c r="H1020" s="251">
        <v>0.2</v>
      </c>
      <c r="I1020" s="251"/>
      <c r="J1020" s="253"/>
      <c r="K1020" s="254">
        <f t="shared" si="30"/>
        <v>1124.4512400000001</v>
      </c>
      <c r="L1020" s="255"/>
    </row>
    <row r="1021" spans="2:12">
      <c r="B1021" s="249"/>
      <c r="C1021" s="250"/>
      <c r="D1021" s="205"/>
      <c r="E1021" s="251"/>
      <c r="F1021" s="252"/>
      <c r="G1021" s="251"/>
      <c r="H1021" s="251"/>
      <c r="I1021" s="251"/>
      <c r="J1021" s="253"/>
      <c r="K1021" s="254">
        <f t="shared" si="30"/>
        <v>0</v>
      </c>
      <c r="L1021" s="205"/>
    </row>
    <row r="1022" spans="2:12">
      <c r="B1022" s="267"/>
      <c r="C1022" s="205"/>
      <c r="D1022" s="205"/>
      <c r="E1022" s="251"/>
      <c r="F1022" s="252"/>
      <c r="G1022" s="251"/>
      <c r="H1022" s="251"/>
      <c r="I1022" s="251"/>
      <c r="J1022" s="253"/>
      <c r="K1022" s="254">
        <f t="shared" si="30"/>
        <v>0</v>
      </c>
      <c r="L1022" s="205"/>
    </row>
    <row r="1023" spans="2:12">
      <c r="B1023" s="267"/>
      <c r="C1023" s="205"/>
      <c r="D1023" s="205"/>
      <c r="E1023" s="251"/>
      <c r="F1023" s="252"/>
      <c r="G1023" s="251"/>
      <c r="H1023" s="251"/>
      <c r="I1023" s="251"/>
      <c r="J1023" s="253"/>
      <c r="K1023" s="254">
        <f t="shared" si="30"/>
        <v>0</v>
      </c>
      <c r="L1023" s="205"/>
    </row>
    <row r="1024" spans="2:12">
      <c r="B1024" s="208"/>
      <c r="C1024" s="204"/>
      <c r="D1024" s="204"/>
      <c r="E1024" s="204"/>
      <c r="F1024" s="204"/>
      <c r="G1024" s="204"/>
      <c r="H1024" s="204"/>
      <c r="I1024" s="556" t="s">
        <v>1221</v>
      </c>
      <c r="J1024" s="556"/>
      <c r="K1024" s="262">
        <f>SUM(K1012:K1023)</f>
        <v>6413.9545799999996</v>
      </c>
      <c r="L1024" s="207"/>
    </row>
    <row r="1025" spans="2:12">
      <c r="B1025" s="208"/>
      <c r="C1025" s="204"/>
      <c r="D1025" s="204"/>
      <c r="E1025" s="204"/>
      <c r="F1025" s="204"/>
      <c r="G1025" s="204"/>
      <c r="H1025" s="209"/>
      <c r="I1025" s="557" t="s">
        <v>1222</v>
      </c>
      <c r="J1025" s="557"/>
      <c r="K1025" s="221">
        <f>VLOOKUP(B1010,'BM 004'!$B$27:$R$590,4,0)</f>
        <v>7313.9</v>
      </c>
      <c r="L1025" s="207"/>
    </row>
    <row r="1026" spans="2:12">
      <c r="B1026" s="208"/>
      <c r="C1026" s="204"/>
      <c r="D1026" s="204"/>
      <c r="E1026" s="204"/>
      <c r="F1026" s="204"/>
      <c r="G1026" s="204"/>
      <c r="H1026" s="558" t="s">
        <v>1223</v>
      </c>
      <c r="I1026" s="558"/>
      <c r="J1026" s="558"/>
      <c r="K1026" s="222">
        <v>5289.5033400000002</v>
      </c>
      <c r="L1026" s="207"/>
    </row>
    <row r="1027" spans="2:12">
      <c r="B1027" s="208"/>
      <c r="C1027" s="204"/>
      <c r="D1027" s="204"/>
      <c r="E1027" s="204"/>
      <c r="F1027" s="204"/>
      <c r="G1027" s="204"/>
      <c r="H1027" s="558" t="s">
        <v>1891</v>
      </c>
      <c r="I1027" s="558"/>
      <c r="J1027" s="558"/>
      <c r="K1027" s="222">
        <f>TRUNC(SUMIF(C1012:C1023,H1027,K1012:K1023),2)</f>
        <v>1124.45</v>
      </c>
      <c r="L1027" s="207"/>
    </row>
    <row r="1028" spans="2:12">
      <c r="B1028" s="213"/>
      <c r="C1028" s="214"/>
      <c r="D1028" s="214"/>
      <c r="E1028" s="214"/>
      <c r="F1028" s="214"/>
      <c r="G1028" s="214"/>
      <c r="H1028" s="559" t="s">
        <v>1224</v>
      </c>
      <c r="I1028" s="559"/>
      <c r="J1028" s="559"/>
      <c r="K1028" s="223">
        <f>IF(K1024&gt;K1025,K1024-K1025,0)</f>
        <v>0</v>
      </c>
      <c r="L1028" s="209"/>
    </row>
    <row r="1030" spans="2:12">
      <c r="B1030" s="247" t="s">
        <v>227</v>
      </c>
      <c r="C1030" s="565" t="str">
        <f>VLOOKUP(B1030,'BM 004'!$B$27:$R$590,2,0)</f>
        <v xml:space="preserve">Armação de pilar ou viga de uma estrutura convencional de concreto armado em um edifício de múltiplos pavimentos utilizando aço ca-50 de 20,0 mm - montagem. </v>
      </c>
      <c r="D1030" s="565"/>
      <c r="E1030" s="565"/>
      <c r="F1030" s="565"/>
      <c r="G1030" s="565"/>
      <c r="H1030" s="565"/>
      <c r="I1030" s="565"/>
      <c r="J1030" s="565"/>
      <c r="K1030" s="565"/>
      <c r="L1030" s="565"/>
    </row>
    <row r="1031" spans="2:12">
      <c r="B1031" s="248" t="s">
        <v>1209</v>
      </c>
      <c r="C1031" s="248"/>
      <c r="D1031" s="248" t="s">
        <v>39</v>
      </c>
      <c r="E1031" s="248" t="s">
        <v>1210</v>
      </c>
      <c r="F1031" s="248" t="s">
        <v>1382</v>
      </c>
      <c r="G1031" s="248" t="s">
        <v>1383</v>
      </c>
      <c r="H1031" s="248" t="s">
        <v>1384</v>
      </c>
      <c r="I1031" s="248" t="s">
        <v>1214</v>
      </c>
      <c r="J1031" s="248" t="s">
        <v>1385</v>
      </c>
      <c r="K1031" s="248" t="s">
        <v>1216</v>
      </c>
      <c r="L1031" s="248" t="s">
        <v>1217</v>
      </c>
    </row>
    <row r="1032" spans="2:12">
      <c r="B1032" s="249" t="s">
        <v>1387</v>
      </c>
      <c r="C1032" s="250" t="s">
        <v>1333</v>
      </c>
      <c r="D1032" s="205" t="s">
        <v>152</v>
      </c>
      <c r="E1032" s="251">
        <v>991</v>
      </c>
      <c r="F1032" s="252">
        <v>2.4660000000000002</v>
      </c>
      <c r="G1032" s="251">
        <v>1.1000000000000001</v>
      </c>
      <c r="H1032" s="251">
        <v>0.55000000000000004</v>
      </c>
      <c r="I1032" s="251"/>
      <c r="J1032" s="253"/>
      <c r="K1032" s="254">
        <f t="shared" ref="K1032:K1042" si="31">IF(E1032*F1032*G1032&lt;&gt;0,E1032*F1032*G1032,IF(E1032*F1032&lt;&gt;0,E1032*F1032,IF(F1032*G1032&lt;&gt;0,F1032*G1032,IF(E1032*G1032&lt;&gt;0,E1032*G1032,IF(E1032&lt;&gt;0,E1032,IF(F1032&lt;&gt;0,F1032,IF(G1032&lt;&gt;0,G1032,0)))))))*(IF(H1032&lt;&gt;0,H1032,1))+I1032-J1032</f>
        <v>1478.5026300000004</v>
      </c>
      <c r="L1032" s="255"/>
    </row>
    <row r="1033" spans="2:12">
      <c r="B1033" s="249" t="s">
        <v>1480</v>
      </c>
      <c r="C1033" s="250" t="s">
        <v>1441</v>
      </c>
      <c r="D1033" s="205" t="s">
        <v>152</v>
      </c>
      <c r="E1033" s="251">
        <v>425</v>
      </c>
      <c r="F1033" s="252">
        <f>F1032</f>
        <v>2.4660000000000002</v>
      </c>
      <c r="G1033" s="251">
        <f>G1032</f>
        <v>1.1000000000000001</v>
      </c>
      <c r="H1033" s="251">
        <v>0.5</v>
      </c>
      <c r="I1033" s="251"/>
      <c r="J1033" s="253"/>
      <c r="K1033" s="254">
        <f t="shared" si="31"/>
        <v>576.42750000000012</v>
      </c>
      <c r="L1033" s="205"/>
    </row>
    <row r="1034" spans="2:12">
      <c r="B1034" s="249" t="s">
        <v>1555</v>
      </c>
      <c r="C1034" s="250" t="s">
        <v>1611</v>
      </c>
      <c r="D1034" s="205" t="s">
        <v>152</v>
      </c>
      <c r="E1034" s="251"/>
      <c r="F1034" s="252"/>
      <c r="G1034" s="251"/>
      <c r="H1034" s="251"/>
      <c r="I1034" s="251"/>
      <c r="J1034" s="253"/>
      <c r="K1034" s="254">
        <f t="shared" si="31"/>
        <v>0</v>
      </c>
      <c r="L1034" s="205"/>
    </row>
    <row r="1035" spans="2:12">
      <c r="B1035" s="249" t="s">
        <v>1681</v>
      </c>
      <c r="C1035" s="250" t="s">
        <v>1611</v>
      </c>
      <c r="D1035" s="205" t="s">
        <v>152</v>
      </c>
      <c r="E1035" s="251">
        <v>247</v>
      </c>
      <c r="F1035" s="252">
        <v>2.4660000000000002</v>
      </c>
      <c r="G1035" s="251">
        <v>1.1000000000000001</v>
      </c>
      <c r="H1035" s="251">
        <v>0.3</v>
      </c>
      <c r="I1035" s="251"/>
      <c r="J1035" s="253"/>
      <c r="K1035" s="254">
        <f t="shared" si="31"/>
        <v>201.00366000000002</v>
      </c>
      <c r="L1035" s="205"/>
    </row>
    <row r="1036" spans="2:12">
      <c r="B1036" s="249" t="s">
        <v>1681</v>
      </c>
      <c r="C1036" s="250" t="s">
        <v>1612</v>
      </c>
      <c r="D1036" s="205" t="s">
        <v>152</v>
      </c>
      <c r="E1036" s="251">
        <v>247</v>
      </c>
      <c r="F1036" s="252">
        <v>2.4660000000000002</v>
      </c>
      <c r="G1036" s="251">
        <v>1.1000000000000001</v>
      </c>
      <c r="H1036" s="251">
        <v>0.25</v>
      </c>
      <c r="I1036" s="251"/>
      <c r="J1036" s="253"/>
      <c r="K1036" s="254">
        <f t="shared" si="31"/>
        <v>167.50305000000003</v>
      </c>
      <c r="L1036" s="205"/>
    </row>
    <row r="1037" spans="2:12">
      <c r="B1037" s="249" t="s">
        <v>1681</v>
      </c>
      <c r="C1037" s="250" t="s">
        <v>1613</v>
      </c>
      <c r="D1037" s="205" t="s">
        <v>152</v>
      </c>
      <c r="E1037" s="251">
        <v>247</v>
      </c>
      <c r="F1037" s="252">
        <v>2.4660000000000002</v>
      </c>
      <c r="G1037" s="251">
        <v>1.1000000000000001</v>
      </c>
      <c r="H1037" s="251">
        <v>0.2</v>
      </c>
      <c r="I1037" s="251"/>
      <c r="J1037" s="253"/>
      <c r="K1037" s="254">
        <f t="shared" si="31"/>
        <v>134.00244000000004</v>
      </c>
      <c r="L1037" s="205"/>
    </row>
    <row r="1038" spans="2:12">
      <c r="B1038" s="249" t="s">
        <v>1387</v>
      </c>
      <c r="C1038" s="250" t="s">
        <v>1895</v>
      </c>
      <c r="D1038" s="205" t="s">
        <v>152</v>
      </c>
      <c r="E1038" s="251">
        <v>991</v>
      </c>
      <c r="F1038" s="252">
        <v>2.4660000000000002</v>
      </c>
      <c r="G1038" s="251">
        <v>1.1000000000000001</v>
      </c>
      <c r="H1038" s="251">
        <v>0.15</v>
      </c>
      <c r="I1038" s="251"/>
      <c r="J1038" s="253"/>
      <c r="K1038" s="254">
        <f t="shared" si="31"/>
        <v>403.22799000000003</v>
      </c>
      <c r="L1038" s="255"/>
    </row>
    <row r="1039" spans="2:12">
      <c r="B1039" s="249" t="s">
        <v>1480</v>
      </c>
      <c r="C1039" s="250" t="s">
        <v>1895</v>
      </c>
      <c r="D1039" s="205" t="s">
        <v>152</v>
      </c>
      <c r="E1039" s="251">
        <v>425</v>
      </c>
      <c r="F1039" s="252">
        <f>F1038</f>
        <v>2.4660000000000002</v>
      </c>
      <c r="G1039" s="251">
        <f>G1038</f>
        <v>1.1000000000000001</v>
      </c>
      <c r="H1039" s="251">
        <v>0.3</v>
      </c>
      <c r="I1039" s="251"/>
      <c r="J1039" s="253"/>
      <c r="K1039" s="254">
        <f t="shared" si="31"/>
        <v>345.85650000000004</v>
      </c>
      <c r="L1039" s="205"/>
    </row>
    <row r="1040" spans="2:12">
      <c r="B1040" s="249" t="s">
        <v>1387</v>
      </c>
      <c r="C1040" s="250" t="s">
        <v>1931</v>
      </c>
      <c r="D1040" s="205" t="s">
        <v>152</v>
      </c>
      <c r="E1040" s="251">
        <v>991</v>
      </c>
      <c r="F1040" s="252">
        <v>2.4660000000000002</v>
      </c>
      <c r="G1040" s="251">
        <v>1.1000000000000001</v>
      </c>
      <c r="H1040" s="251">
        <v>0.2</v>
      </c>
      <c r="I1040" s="251"/>
      <c r="J1040" s="253"/>
      <c r="K1040" s="254">
        <f t="shared" si="31"/>
        <v>537.63732000000016</v>
      </c>
      <c r="L1040" s="255"/>
    </row>
    <row r="1041" spans="2:12">
      <c r="B1041" s="249"/>
      <c r="C1041" s="250"/>
      <c r="D1041" s="205"/>
      <c r="E1041" s="251"/>
      <c r="F1041" s="252"/>
      <c r="G1041" s="251"/>
      <c r="H1041" s="251"/>
      <c r="I1041" s="251"/>
      <c r="J1041" s="253"/>
      <c r="K1041" s="254">
        <f t="shared" si="31"/>
        <v>0</v>
      </c>
      <c r="L1041" s="205"/>
    </row>
    <row r="1042" spans="2:12">
      <c r="B1042" s="267"/>
      <c r="C1042" s="205"/>
      <c r="D1042" s="205"/>
      <c r="E1042" s="251"/>
      <c r="F1042" s="252"/>
      <c r="G1042" s="251"/>
      <c r="H1042" s="251"/>
      <c r="I1042" s="251"/>
      <c r="J1042" s="253"/>
      <c r="K1042" s="254">
        <f t="shared" si="31"/>
        <v>0</v>
      </c>
      <c r="L1042" s="205"/>
    </row>
    <row r="1043" spans="2:12">
      <c r="B1043" s="208"/>
      <c r="C1043" s="204"/>
      <c r="D1043" s="204"/>
      <c r="E1043" s="204"/>
      <c r="F1043" s="204"/>
      <c r="G1043" s="204"/>
      <c r="H1043" s="204"/>
      <c r="I1043" s="556" t="s">
        <v>1221</v>
      </c>
      <c r="J1043" s="556"/>
      <c r="K1043" s="262">
        <f>SUM(K1032:K1042)</f>
        <v>3844.1610900000005</v>
      </c>
      <c r="L1043" s="207"/>
    </row>
    <row r="1044" spans="2:12">
      <c r="B1044" s="208"/>
      <c r="C1044" s="204"/>
      <c r="D1044" s="204"/>
      <c r="E1044" s="204"/>
      <c r="F1044" s="204"/>
      <c r="G1044" s="204"/>
      <c r="H1044" s="209"/>
      <c r="I1044" s="557" t="s">
        <v>1222</v>
      </c>
      <c r="J1044" s="557"/>
      <c r="K1044" s="221">
        <f>VLOOKUP(B1030,'BM 004'!$B$27:$R$590,4,0)</f>
        <v>4513.3</v>
      </c>
      <c r="L1044" s="207"/>
    </row>
    <row r="1045" spans="2:12">
      <c r="B1045" s="208"/>
      <c r="C1045" s="204"/>
      <c r="D1045" s="204"/>
      <c r="E1045" s="204"/>
      <c r="F1045" s="204"/>
      <c r="G1045" s="204"/>
      <c r="H1045" s="558" t="s">
        <v>1223</v>
      </c>
      <c r="I1045" s="558"/>
      <c r="J1045" s="558"/>
      <c r="K1045" s="222">
        <v>3306.5237699999998</v>
      </c>
      <c r="L1045" s="207"/>
    </row>
    <row r="1046" spans="2:12">
      <c r="B1046" s="208"/>
      <c r="C1046" s="204"/>
      <c r="D1046" s="204"/>
      <c r="E1046" s="204"/>
      <c r="F1046" s="204"/>
      <c r="G1046" s="204"/>
      <c r="H1046" s="558" t="s">
        <v>1891</v>
      </c>
      <c r="I1046" s="558"/>
      <c r="J1046" s="558"/>
      <c r="K1046" s="222">
        <f>TRUNC(SUMIF(C1032:C1042,H1046,K1032:K1042),2)</f>
        <v>537.63</v>
      </c>
      <c r="L1046" s="207"/>
    </row>
    <row r="1047" spans="2:12">
      <c r="B1047" s="213"/>
      <c r="C1047" s="214"/>
      <c r="D1047" s="214"/>
      <c r="E1047" s="214"/>
      <c r="F1047" s="214"/>
      <c r="G1047" s="214"/>
      <c r="H1047" s="559" t="s">
        <v>1224</v>
      </c>
      <c r="I1047" s="559"/>
      <c r="J1047" s="559"/>
      <c r="K1047" s="223">
        <f>IF(K1043&gt;K1044,K1043-K1044,0)</f>
        <v>0</v>
      </c>
      <c r="L1047" s="209"/>
    </row>
    <row r="1049" spans="2:12">
      <c r="B1049" s="247" t="s">
        <v>228</v>
      </c>
      <c r="C1049" s="565" t="str">
        <f>VLOOKUP(B1049,'BM 004'!$B$27:$R$590,2,0)</f>
        <v xml:space="preserve">Armação de pilar ou viga de uma estrutura convencional de concreto armado em um edifício de múltiplos pavimentos utilizando aço ca-50 de 25,0 mm - montagem. </v>
      </c>
      <c r="D1049" s="565"/>
      <c r="E1049" s="565"/>
      <c r="F1049" s="565"/>
      <c r="G1049" s="565"/>
      <c r="H1049" s="565"/>
      <c r="I1049" s="565"/>
      <c r="J1049" s="565"/>
      <c r="K1049" s="565"/>
      <c r="L1049" s="565"/>
    </row>
    <row r="1050" spans="2:12">
      <c r="B1050" s="248" t="s">
        <v>1209</v>
      </c>
      <c r="C1050" s="248"/>
      <c r="D1050" s="248" t="s">
        <v>39</v>
      </c>
      <c r="E1050" s="248" t="s">
        <v>1210</v>
      </c>
      <c r="F1050" s="248" t="s">
        <v>1382</v>
      </c>
      <c r="G1050" s="248" t="s">
        <v>1383</v>
      </c>
      <c r="H1050" s="248" t="s">
        <v>1384</v>
      </c>
      <c r="I1050" s="248" t="s">
        <v>1214</v>
      </c>
      <c r="J1050" s="248" t="s">
        <v>1385</v>
      </c>
      <c r="K1050" s="248" t="s">
        <v>1216</v>
      </c>
      <c r="L1050" s="248" t="s">
        <v>1217</v>
      </c>
    </row>
    <row r="1051" spans="2:12">
      <c r="B1051" s="249" t="s">
        <v>1387</v>
      </c>
      <c r="C1051" s="250" t="s">
        <v>1333</v>
      </c>
      <c r="D1051" s="205" t="s">
        <v>152</v>
      </c>
      <c r="E1051" s="251">
        <v>928</v>
      </c>
      <c r="F1051" s="252">
        <v>3.8530000000000002</v>
      </c>
      <c r="G1051" s="251">
        <v>1.1000000000000001</v>
      </c>
      <c r="H1051" s="251">
        <v>0.55000000000000004</v>
      </c>
      <c r="I1051" s="251"/>
      <c r="J1051" s="253"/>
      <c r="K1051" s="254">
        <f t="shared" ref="K1051:K1062" si="32">IF(E1051*F1051*G1051&lt;&gt;0,E1051*F1051*G1051,IF(E1051*F1051&lt;&gt;0,E1051*F1051,IF(F1051*G1051&lt;&gt;0,F1051*G1051,IF(E1051*G1051&lt;&gt;0,E1051*G1051,IF(E1051&lt;&gt;0,E1051,IF(F1051&lt;&gt;0,F1051,IF(G1051&lt;&gt;0,G1051,0)))))))*(IF(H1051&lt;&gt;0,H1051,1))+I1051-J1051</f>
        <v>2163.2283200000006</v>
      </c>
      <c r="L1051" s="255"/>
    </row>
    <row r="1052" spans="2:12">
      <c r="B1052" s="249" t="s">
        <v>1480</v>
      </c>
      <c r="C1052" s="250" t="s">
        <v>1441</v>
      </c>
      <c r="D1052" s="205" t="s">
        <v>152</v>
      </c>
      <c r="E1052" s="251">
        <v>142</v>
      </c>
      <c r="F1052" s="252">
        <f>F1051</f>
        <v>3.8530000000000002</v>
      </c>
      <c r="G1052" s="251">
        <f>G1051</f>
        <v>1.1000000000000001</v>
      </c>
      <c r="H1052" s="251">
        <v>0.5</v>
      </c>
      <c r="I1052" s="251"/>
      <c r="J1052" s="253"/>
      <c r="K1052" s="254">
        <f t="shared" si="32"/>
        <v>300.91930000000002</v>
      </c>
      <c r="L1052" s="205"/>
    </row>
    <row r="1053" spans="2:12">
      <c r="B1053" s="249" t="s">
        <v>1555</v>
      </c>
      <c r="C1053" s="250" t="s">
        <v>1521</v>
      </c>
      <c r="D1053" s="205" t="s">
        <v>152</v>
      </c>
      <c r="E1053" s="251">
        <v>1728</v>
      </c>
      <c r="F1053" s="252">
        <f>F1052</f>
        <v>3.8530000000000002</v>
      </c>
      <c r="G1053" s="251">
        <f>G1052</f>
        <v>1.1000000000000001</v>
      </c>
      <c r="H1053" s="251">
        <v>0.3</v>
      </c>
      <c r="I1053" s="251"/>
      <c r="J1053" s="253"/>
      <c r="K1053" s="254">
        <f t="shared" si="32"/>
        <v>2197.13472</v>
      </c>
      <c r="L1053" s="205"/>
    </row>
    <row r="1054" spans="2:12">
      <c r="B1054" s="249" t="s">
        <v>1681</v>
      </c>
      <c r="C1054" s="250" t="s">
        <v>1611</v>
      </c>
      <c r="D1054" s="205" t="s">
        <v>152</v>
      </c>
      <c r="E1054" s="251">
        <v>653</v>
      </c>
      <c r="F1054" s="252">
        <v>3.8530000000000002</v>
      </c>
      <c r="G1054" s="251">
        <v>1.1000000000000001</v>
      </c>
      <c r="H1054" s="251">
        <v>0.3</v>
      </c>
      <c r="I1054" s="251"/>
      <c r="J1054" s="253"/>
      <c r="K1054" s="254">
        <f t="shared" si="32"/>
        <v>830.28297000000009</v>
      </c>
      <c r="L1054" s="205"/>
    </row>
    <row r="1055" spans="2:12">
      <c r="B1055" s="249" t="s">
        <v>1555</v>
      </c>
      <c r="C1055" s="250" t="s">
        <v>1612</v>
      </c>
      <c r="D1055" s="205" t="s">
        <v>152</v>
      </c>
      <c r="E1055" s="251">
        <v>1728</v>
      </c>
      <c r="F1055" s="252">
        <f>F1054</f>
        <v>3.8530000000000002</v>
      </c>
      <c r="G1055" s="251">
        <f>G1054</f>
        <v>1.1000000000000001</v>
      </c>
      <c r="H1055" s="251">
        <v>0.5</v>
      </c>
      <c r="I1055" s="251"/>
      <c r="J1055" s="253"/>
      <c r="K1055" s="254">
        <f t="shared" si="32"/>
        <v>3661.8912000000005</v>
      </c>
      <c r="L1055" s="205"/>
    </row>
    <row r="1056" spans="2:12">
      <c r="B1056" s="249" t="s">
        <v>1681</v>
      </c>
      <c r="C1056" s="250" t="s">
        <v>1612</v>
      </c>
      <c r="D1056" s="205" t="s">
        <v>152</v>
      </c>
      <c r="E1056" s="251">
        <v>653</v>
      </c>
      <c r="F1056" s="252">
        <v>3.8530000000000002</v>
      </c>
      <c r="G1056" s="251">
        <v>1.1000000000000001</v>
      </c>
      <c r="H1056" s="251">
        <v>0.1</v>
      </c>
      <c r="I1056" s="251"/>
      <c r="J1056" s="253"/>
      <c r="K1056" s="254">
        <f t="shared" si="32"/>
        <v>276.76099000000005</v>
      </c>
      <c r="L1056" s="205"/>
    </row>
    <row r="1057" spans="2:12">
      <c r="B1057" s="249" t="s">
        <v>1681</v>
      </c>
      <c r="C1057" s="250" t="s">
        <v>1613</v>
      </c>
      <c r="D1057" s="205" t="s">
        <v>152</v>
      </c>
      <c r="E1057" s="251">
        <v>653</v>
      </c>
      <c r="F1057" s="252">
        <v>3.8530000000000002</v>
      </c>
      <c r="G1057" s="251">
        <v>1.1000000000000001</v>
      </c>
      <c r="H1057" s="251">
        <v>0.1</v>
      </c>
      <c r="I1057" s="251"/>
      <c r="J1057" s="253"/>
      <c r="K1057" s="254">
        <f t="shared" si="32"/>
        <v>276.76099000000005</v>
      </c>
      <c r="L1057" s="205"/>
    </row>
    <row r="1058" spans="2:12">
      <c r="B1058" s="249" t="s">
        <v>1387</v>
      </c>
      <c r="C1058" s="250" t="s">
        <v>1895</v>
      </c>
      <c r="D1058" s="205" t="s">
        <v>152</v>
      </c>
      <c r="E1058" s="251">
        <v>928</v>
      </c>
      <c r="F1058" s="252">
        <v>3.8530000000000002</v>
      </c>
      <c r="G1058" s="251">
        <v>1.1000000000000001</v>
      </c>
      <c r="H1058" s="251">
        <v>0.15</v>
      </c>
      <c r="I1058" s="251"/>
      <c r="J1058" s="253"/>
      <c r="K1058" s="254">
        <f t="shared" si="32"/>
        <v>589.97136000000012</v>
      </c>
      <c r="L1058" s="255"/>
    </row>
    <row r="1059" spans="2:12">
      <c r="B1059" s="249" t="s">
        <v>1480</v>
      </c>
      <c r="C1059" s="250" t="s">
        <v>1895</v>
      </c>
      <c r="D1059" s="205" t="s">
        <v>152</v>
      </c>
      <c r="E1059" s="251">
        <v>142</v>
      </c>
      <c r="F1059" s="252">
        <f>F1058</f>
        <v>3.8530000000000002</v>
      </c>
      <c r="G1059" s="251">
        <f>G1058</f>
        <v>1.1000000000000001</v>
      </c>
      <c r="H1059" s="251">
        <v>0.3</v>
      </c>
      <c r="I1059" s="251"/>
      <c r="J1059" s="253"/>
      <c r="K1059" s="254">
        <f t="shared" si="32"/>
        <v>180.55158</v>
      </c>
      <c r="L1059" s="205"/>
    </row>
    <row r="1060" spans="2:12">
      <c r="B1060" s="249" t="s">
        <v>1555</v>
      </c>
      <c r="C1060" s="250" t="s">
        <v>1895</v>
      </c>
      <c r="D1060" s="205" t="s">
        <v>152</v>
      </c>
      <c r="E1060" s="251">
        <v>1728</v>
      </c>
      <c r="F1060" s="252">
        <f>F1059</f>
        <v>3.8530000000000002</v>
      </c>
      <c r="G1060" s="251">
        <f>G1059</f>
        <v>1.1000000000000001</v>
      </c>
      <c r="H1060" s="251">
        <v>0.1</v>
      </c>
      <c r="I1060" s="251"/>
      <c r="J1060" s="253"/>
      <c r="K1060" s="254">
        <f t="shared" si="32"/>
        <v>732.37824000000012</v>
      </c>
      <c r="L1060" s="205"/>
    </row>
    <row r="1061" spans="2:12">
      <c r="B1061" s="249" t="s">
        <v>1387</v>
      </c>
      <c r="C1061" s="250" t="s">
        <v>1931</v>
      </c>
      <c r="D1061" s="205" t="s">
        <v>152</v>
      </c>
      <c r="E1061" s="251">
        <v>928</v>
      </c>
      <c r="F1061" s="252">
        <v>3.8530000000000002</v>
      </c>
      <c r="G1061" s="251">
        <v>1.1000000000000001</v>
      </c>
      <c r="H1061" s="251">
        <v>0.2</v>
      </c>
      <c r="I1061" s="251"/>
      <c r="J1061" s="253"/>
      <c r="K1061" s="254">
        <f t="shared" si="32"/>
        <v>786.6284800000002</v>
      </c>
      <c r="L1061" s="255"/>
    </row>
    <row r="1062" spans="2:12">
      <c r="B1062" s="267"/>
      <c r="C1062" s="205"/>
      <c r="D1062" s="205"/>
      <c r="E1062" s="251"/>
      <c r="F1062" s="252"/>
      <c r="G1062" s="251"/>
      <c r="H1062" s="251"/>
      <c r="I1062" s="251"/>
      <c r="J1062" s="253"/>
      <c r="K1062" s="254">
        <f t="shared" si="32"/>
        <v>0</v>
      </c>
      <c r="L1062" s="205"/>
    </row>
    <row r="1063" spans="2:12">
      <c r="B1063" s="208"/>
      <c r="C1063" s="204"/>
      <c r="D1063" s="204"/>
      <c r="E1063" s="204"/>
      <c r="F1063" s="204"/>
      <c r="G1063" s="204"/>
      <c r="H1063" s="204"/>
      <c r="I1063" s="556" t="s">
        <v>1221</v>
      </c>
      <c r="J1063" s="556"/>
      <c r="K1063" s="262">
        <f>SUM(K1051:K1062)</f>
        <v>11996.508150000001</v>
      </c>
      <c r="L1063" s="207"/>
    </row>
    <row r="1064" spans="2:12">
      <c r="B1064" s="208"/>
      <c r="C1064" s="204"/>
      <c r="D1064" s="204"/>
      <c r="E1064" s="204"/>
      <c r="F1064" s="204"/>
      <c r="G1064" s="204"/>
      <c r="H1064" s="209"/>
      <c r="I1064" s="557" t="s">
        <v>1222</v>
      </c>
      <c r="J1064" s="557"/>
      <c r="K1064" s="221">
        <f>VLOOKUP(B1049,'BM 004'!$B$27:$R$590,4,0)</f>
        <v>14626.7</v>
      </c>
      <c r="L1064" s="207"/>
    </row>
    <row r="1065" spans="2:12">
      <c r="B1065" s="208"/>
      <c r="C1065" s="204"/>
      <c r="D1065" s="204"/>
      <c r="E1065" s="204"/>
      <c r="F1065" s="204"/>
      <c r="G1065" s="204"/>
      <c r="H1065" s="558" t="s">
        <v>1223</v>
      </c>
      <c r="I1065" s="558"/>
      <c r="J1065" s="558"/>
      <c r="K1065" s="222">
        <v>11209.87967</v>
      </c>
      <c r="L1065" s="207"/>
    </row>
    <row r="1066" spans="2:12">
      <c r="B1066" s="208"/>
      <c r="C1066" s="204"/>
      <c r="D1066" s="204"/>
      <c r="E1066" s="204"/>
      <c r="F1066" s="204"/>
      <c r="G1066" s="204"/>
      <c r="H1066" s="558" t="s">
        <v>1891</v>
      </c>
      <c r="I1066" s="558"/>
      <c r="J1066" s="558"/>
      <c r="K1066" s="222">
        <f>TRUNC(SUMIF(C1051:C1062,H1066,K1051:K1062),2)</f>
        <v>786.62</v>
      </c>
      <c r="L1066" s="207"/>
    </row>
    <row r="1067" spans="2:12">
      <c r="B1067" s="213"/>
      <c r="C1067" s="214"/>
      <c r="D1067" s="214"/>
      <c r="E1067" s="214"/>
      <c r="F1067" s="214"/>
      <c r="G1067" s="214"/>
      <c r="H1067" s="559" t="s">
        <v>1224</v>
      </c>
      <c r="I1067" s="559"/>
      <c r="J1067" s="559"/>
      <c r="K1067" s="223">
        <f>IF(K1063&gt;K1064,K1063-K1064,0)</f>
        <v>0</v>
      </c>
      <c r="L1067" s="209"/>
    </row>
    <row r="1069" spans="2:12">
      <c r="B1069" s="247" t="s">
        <v>233</v>
      </c>
      <c r="C1069" s="565" t="str">
        <f>VLOOKUP(B1069,'BM 004'!$B$27:$R$590,2,0)</f>
        <v xml:space="preserve">Concreto simples usinado fck=35mpa, bombeado, lançado e adensado em superestrutura </v>
      </c>
      <c r="D1069" s="565"/>
      <c r="E1069" s="565"/>
      <c r="F1069" s="565"/>
      <c r="G1069" s="565"/>
      <c r="H1069" s="565"/>
      <c r="I1069" s="565"/>
      <c r="J1069" s="565"/>
      <c r="K1069" s="565"/>
      <c r="L1069" s="565"/>
    </row>
    <row r="1070" spans="2:12">
      <c r="B1070" s="248" t="s">
        <v>1209</v>
      </c>
      <c r="C1070" s="248"/>
      <c r="D1070" s="248" t="s">
        <v>39</v>
      </c>
      <c r="E1070" s="248" t="s">
        <v>1210</v>
      </c>
      <c r="F1070" s="248" t="s">
        <v>1388</v>
      </c>
      <c r="G1070" s="248" t="s">
        <v>1212</v>
      </c>
      <c r="H1070" s="248" t="s">
        <v>1213</v>
      </c>
      <c r="I1070" s="248" t="s">
        <v>1214</v>
      </c>
      <c r="J1070" s="248" t="s">
        <v>1385</v>
      </c>
      <c r="K1070" s="248" t="s">
        <v>1216</v>
      </c>
      <c r="L1070" s="248" t="s">
        <v>1217</v>
      </c>
    </row>
    <row r="1071" spans="2:12">
      <c r="B1071" s="249" t="s">
        <v>1389</v>
      </c>
      <c r="C1071" s="250" t="s">
        <v>1333</v>
      </c>
      <c r="D1071" s="205" t="s">
        <v>110</v>
      </c>
      <c r="E1071" s="199">
        <v>0.5</v>
      </c>
      <c r="F1071" s="199">
        <v>0.4</v>
      </c>
      <c r="G1071" s="199">
        <v>5.12</v>
      </c>
      <c r="H1071" s="199">
        <v>1</v>
      </c>
      <c r="I1071" s="199"/>
      <c r="J1071" s="253"/>
      <c r="K1071" s="254">
        <f t="shared" ref="K1071:K1134" si="33">IF(E1071*F1071*G1071&lt;&gt;0,E1071*F1071*G1071,IF(E1071*F1071&lt;&gt;0,E1071*F1071,IF(F1071*G1071&lt;&gt;0,F1071*G1071,IF(E1071*G1071&lt;&gt;0,E1071*G1071,IF(E1071&lt;&gt;0,E1071,IF(F1071&lt;&gt;0,F1071,IF(G1071&lt;&gt;0,G1071,0)))))))*(IF(H1071&lt;&gt;0,H1071,1))+I1071-J1071</f>
        <v>1.024</v>
      </c>
      <c r="L1071" s="255" t="s">
        <v>1556</v>
      </c>
    </row>
    <row r="1072" spans="2:12">
      <c r="B1072" s="256" t="s">
        <v>1390</v>
      </c>
      <c r="C1072" s="250" t="s">
        <v>1333</v>
      </c>
      <c r="D1072" s="205" t="s">
        <v>110</v>
      </c>
      <c r="E1072" s="261">
        <v>1</v>
      </c>
      <c r="F1072" s="261">
        <v>0.2</v>
      </c>
      <c r="G1072" s="261">
        <v>5.12</v>
      </c>
      <c r="H1072" s="261">
        <v>1</v>
      </c>
      <c r="I1072" s="261"/>
      <c r="J1072" s="259"/>
      <c r="K1072" s="260">
        <f t="shared" si="33"/>
        <v>1.024</v>
      </c>
      <c r="L1072" s="266" t="s">
        <v>1556</v>
      </c>
    </row>
    <row r="1073" spans="2:12">
      <c r="B1073" s="256" t="s">
        <v>1391</v>
      </c>
      <c r="C1073" s="250" t="s">
        <v>1333</v>
      </c>
      <c r="D1073" s="205" t="s">
        <v>110</v>
      </c>
      <c r="E1073" s="261">
        <v>1</v>
      </c>
      <c r="F1073" s="261">
        <v>0.2</v>
      </c>
      <c r="G1073" s="261">
        <v>5.12</v>
      </c>
      <c r="H1073" s="261">
        <v>1</v>
      </c>
      <c r="I1073" s="261"/>
      <c r="J1073" s="259"/>
      <c r="K1073" s="260">
        <f t="shared" si="33"/>
        <v>1.024</v>
      </c>
      <c r="L1073" s="266" t="s">
        <v>1556</v>
      </c>
    </row>
    <row r="1074" spans="2:12">
      <c r="B1074" s="256" t="s">
        <v>1392</v>
      </c>
      <c r="C1074" s="250" t="s">
        <v>1333</v>
      </c>
      <c r="D1074" s="205" t="s">
        <v>110</v>
      </c>
      <c r="E1074" s="261">
        <v>0.4</v>
      </c>
      <c r="F1074" s="261">
        <v>0.4</v>
      </c>
      <c r="G1074" s="261">
        <v>5.12</v>
      </c>
      <c r="H1074" s="261">
        <v>1</v>
      </c>
      <c r="I1074" s="261"/>
      <c r="J1074" s="259"/>
      <c r="K1074" s="260">
        <f t="shared" si="33"/>
        <v>0.81920000000000015</v>
      </c>
      <c r="L1074" s="266" t="s">
        <v>1556</v>
      </c>
    </row>
    <row r="1075" spans="2:12">
      <c r="B1075" s="256" t="s">
        <v>1393</v>
      </c>
      <c r="C1075" s="250" t="s">
        <v>1333</v>
      </c>
      <c r="D1075" s="205" t="s">
        <v>110</v>
      </c>
      <c r="E1075" s="261">
        <v>0.3</v>
      </c>
      <c r="F1075" s="261">
        <v>0.3</v>
      </c>
      <c r="G1075" s="261">
        <v>5.12</v>
      </c>
      <c r="H1075" s="261">
        <v>1</v>
      </c>
      <c r="I1075" s="261"/>
      <c r="J1075" s="259"/>
      <c r="K1075" s="260">
        <f t="shared" si="33"/>
        <v>0.46079999999999999</v>
      </c>
      <c r="L1075" s="266" t="s">
        <v>1556</v>
      </c>
    </row>
    <row r="1076" spans="2:12">
      <c r="B1076" s="256" t="s">
        <v>1394</v>
      </c>
      <c r="C1076" s="250" t="s">
        <v>1333</v>
      </c>
      <c r="D1076" s="205" t="s">
        <v>110</v>
      </c>
      <c r="E1076" s="261">
        <v>0.4</v>
      </c>
      <c r="F1076" s="261">
        <v>0.4</v>
      </c>
      <c r="G1076" s="261">
        <v>5.12</v>
      </c>
      <c r="H1076" s="261">
        <v>1</v>
      </c>
      <c r="I1076" s="261"/>
      <c r="J1076" s="259"/>
      <c r="K1076" s="260">
        <f t="shared" si="33"/>
        <v>0.81920000000000015</v>
      </c>
      <c r="L1076" s="266" t="s">
        <v>1556</v>
      </c>
    </row>
    <row r="1077" spans="2:12">
      <c r="B1077" s="256" t="s">
        <v>1395</v>
      </c>
      <c r="C1077" s="250" t="s">
        <v>1333</v>
      </c>
      <c r="D1077" s="205" t="s">
        <v>110</v>
      </c>
      <c r="E1077" s="199">
        <v>0.5</v>
      </c>
      <c r="F1077" s="199">
        <v>0.4</v>
      </c>
      <c r="G1077" s="261">
        <v>5.12</v>
      </c>
      <c r="H1077" s="261">
        <v>1</v>
      </c>
      <c r="I1077" s="261"/>
      <c r="J1077" s="259"/>
      <c r="K1077" s="260">
        <f t="shared" si="33"/>
        <v>1.024</v>
      </c>
      <c r="L1077" s="266" t="s">
        <v>1556</v>
      </c>
    </row>
    <row r="1078" spans="2:12">
      <c r="B1078" s="256" t="s">
        <v>1396</v>
      </c>
      <c r="C1078" s="250" t="s">
        <v>1333</v>
      </c>
      <c r="D1078" s="205" t="s">
        <v>110</v>
      </c>
      <c r="E1078" s="199">
        <v>0.5</v>
      </c>
      <c r="F1078" s="199">
        <v>0.4</v>
      </c>
      <c r="G1078" s="261">
        <v>5.12</v>
      </c>
      <c r="H1078" s="261">
        <v>1</v>
      </c>
      <c r="I1078" s="261"/>
      <c r="J1078" s="259"/>
      <c r="K1078" s="260">
        <f t="shared" si="33"/>
        <v>1.024</v>
      </c>
      <c r="L1078" s="266" t="s">
        <v>1556</v>
      </c>
    </row>
    <row r="1079" spans="2:12">
      <c r="B1079" s="256" t="s">
        <v>1397</v>
      </c>
      <c r="C1079" s="250" t="s">
        <v>1333</v>
      </c>
      <c r="D1079" s="205" t="s">
        <v>110</v>
      </c>
      <c r="E1079" s="261">
        <v>1</v>
      </c>
      <c r="F1079" s="261">
        <v>0.2</v>
      </c>
      <c r="G1079" s="261">
        <v>5.12</v>
      </c>
      <c r="H1079" s="261">
        <v>1</v>
      </c>
      <c r="I1079" s="261"/>
      <c r="J1079" s="259"/>
      <c r="K1079" s="260">
        <f t="shared" si="33"/>
        <v>1.024</v>
      </c>
      <c r="L1079" s="266" t="s">
        <v>1556</v>
      </c>
    </row>
    <row r="1080" spans="2:12">
      <c r="B1080" s="256" t="s">
        <v>1398</v>
      </c>
      <c r="C1080" s="250" t="s">
        <v>1333</v>
      </c>
      <c r="D1080" s="205" t="s">
        <v>110</v>
      </c>
      <c r="E1080" s="261">
        <v>0.3</v>
      </c>
      <c r="F1080" s="261">
        <v>0.3</v>
      </c>
      <c r="G1080" s="261">
        <v>5.12</v>
      </c>
      <c r="H1080" s="261">
        <v>1</v>
      </c>
      <c r="I1080" s="261"/>
      <c r="J1080" s="259"/>
      <c r="K1080" s="260">
        <f t="shared" si="33"/>
        <v>0.46079999999999999</v>
      </c>
      <c r="L1080" s="266" t="s">
        <v>1556</v>
      </c>
    </row>
    <row r="1081" spans="2:12">
      <c r="B1081" s="256" t="s">
        <v>1399</v>
      </c>
      <c r="C1081" s="250" t="s">
        <v>1333</v>
      </c>
      <c r="D1081" s="205" t="s">
        <v>110</v>
      </c>
      <c r="E1081" s="261">
        <v>0.4</v>
      </c>
      <c r="F1081" s="261">
        <v>0.4</v>
      </c>
      <c r="G1081" s="261">
        <v>5.12</v>
      </c>
      <c r="H1081" s="261">
        <v>1</v>
      </c>
      <c r="I1081" s="261"/>
      <c r="J1081" s="259"/>
      <c r="K1081" s="260">
        <f t="shared" si="33"/>
        <v>0.81920000000000015</v>
      </c>
      <c r="L1081" s="266" t="s">
        <v>1556</v>
      </c>
    </row>
    <row r="1082" spans="2:12">
      <c r="B1082" s="256" t="s">
        <v>1400</v>
      </c>
      <c r="C1082" s="250" t="s">
        <v>1333</v>
      </c>
      <c r="D1082" s="205" t="s">
        <v>110</v>
      </c>
      <c r="E1082" s="199">
        <v>0.5</v>
      </c>
      <c r="F1082" s="199">
        <v>0.4</v>
      </c>
      <c r="G1082" s="261">
        <v>5.12</v>
      </c>
      <c r="H1082" s="261">
        <v>1</v>
      </c>
      <c r="I1082" s="261"/>
      <c r="J1082" s="259"/>
      <c r="K1082" s="260">
        <f t="shared" si="33"/>
        <v>1.024</v>
      </c>
      <c r="L1082" s="266" t="s">
        <v>1556</v>
      </c>
    </row>
    <row r="1083" spans="2:12">
      <c r="B1083" s="256" t="s">
        <v>1401</v>
      </c>
      <c r="C1083" s="250" t="s">
        <v>1333</v>
      </c>
      <c r="D1083" s="205" t="s">
        <v>110</v>
      </c>
      <c r="E1083" s="199">
        <v>0.5</v>
      </c>
      <c r="F1083" s="199">
        <v>0.4</v>
      </c>
      <c r="G1083" s="261">
        <v>5.12</v>
      </c>
      <c r="H1083" s="261">
        <v>1</v>
      </c>
      <c r="I1083" s="261"/>
      <c r="J1083" s="259"/>
      <c r="K1083" s="260">
        <f t="shared" si="33"/>
        <v>1.024</v>
      </c>
      <c r="L1083" s="266" t="s">
        <v>1556</v>
      </c>
    </row>
    <row r="1084" spans="2:12">
      <c r="B1084" s="256" t="s">
        <v>1402</v>
      </c>
      <c r="C1084" s="250" t="s">
        <v>1333</v>
      </c>
      <c r="D1084" s="205" t="s">
        <v>110</v>
      </c>
      <c r="E1084" s="261">
        <v>1</v>
      </c>
      <c r="F1084" s="261">
        <v>0.2</v>
      </c>
      <c r="G1084" s="261">
        <v>5.12</v>
      </c>
      <c r="H1084" s="261">
        <v>1</v>
      </c>
      <c r="I1084" s="261"/>
      <c r="J1084" s="259"/>
      <c r="K1084" s="260">
        <f t="shared" si="33"/>
        <v>1.024</v>
      </c>
      <c r="L1084" s="266" t="s">
        <v>1556</v>
      </c>
    </row>
    <row r="1085" spans="2:12">
      <c r="B1085" s="256" t="s">
        <v>1403</v>
      </c>
      <c r="C1085" s="250" t="s">
        <v>1333</v>
      </c>
      <c r="D1085" s="205" t="s">
        <v>110</v>
      </c>
      <c r="E1085" s="261">
        <v>0.3</v>
      </c>
      <c r="F1085" s="261">
        <v>0.3</v>
      </c>
      <c r="G1085" s="261">
        <v>5.12</v>
      </c>
      <c r="H1085" s="261">
        <v>1</v>
      </c>
      <c r="I1085" s="261"/>
      <c r="J1085" s="259"/>
      <c r="K1085" s="260">
        <f t="shared" si="33"/>
        <v>0.46079999999999999</v>
      </c>
      <c r="L1085" s="266" t="s">
        <v>1556</v>
      </c>
    </row>
    <row r="1086" spans="2:12">
      <c r="B1086" s="256" t="s">
        <v>1404</v>
      </c>
      <c r="C1086" s="250" t="s">
        <v>1333</v>
      </c>
      <c r="D1086" s="205" t="s">
        <v>110</v>
      </c>
      <c r="E1086" s="261">
        <v>0.6</v>
      </c>
      <c r="F1086" s="261">
        <v>0.2</v>
      </c>
      <c r="G1086" s="261">
        <v>5.12</v>
      </c>
      <c r="H1086" s="261">
        <v>1</v>
      </c>
      <c r="I1086" s="261"/>
      <c r="J1086" s="259"/>
      <c r="K1086" s="260">
        <f t="shared" si="33"/>
        <v>0.61439999999999995</v>
      </c>
      <c r="L1086" s="266" t="s">
        <v>1556</v>
      </c>
    </row>
    <row r="1087" spans="2:12">
      <c r="B1087" s="256" t="s">
        <v>1405</v>
      </c>
      <c r="C1087" s="250" t="s">
        <v>1333</v>
      </c>
      <c r="D1087" s="205" t="s">
        <v>110</v>
      </c>
      <c r="E1087" s="261">
        <v>0.6</v>
      </c>
      <c r="F1087" s="261">
        <v>0.2</v>
      </c>
      <c r="G1087" s="261">
        <v>5.12</v>
      </c>
      <c r="H1087" s="261">
        <v>1</v>
      </c>
      <c r="I1087" s="261"/>
      <c r="J1087" s="259"/>
      <c r="K1087" s="260">
        <f t="shared" si="33"/>
        <v>0.61439999999999995</v>
      </c>
      <c r="L1087" s="266" t="s">
        <v>1556</v>
      </c>
    </row>
    <row r="1088" spans="2:12">
      <c r="B1088" s="256" t="s">
        <v>1406</v>
      </c>
      <c r="C1088" s="250" t="s">
        <v>1333</v>
      </c>
      <c r="D1088" s="205" t="s">
        <v>110</v>
      </c>
      <c r="E1088" s="261">
        <v>0.4</v>
      </c>
      <c r="F1088" s="261">
        <v>0.4</v>
      </c>
      <c r="G1088" s="261">
        <v>5.12</v>
      </c>
      <c r="H1088" s="261">
        <v>1</v>
      </c>
      <c r="I1088" s="261"/>
      <c r="J1088" s="259"/>
      <c r="K1088" s="260">
        <f t="shared" si="33"/>
        <v>0.81920000000000015</v>
      </c>
      <c r="L1088" s="266" t="s">
        <v>1556</v>
      </c>
    </row>
    <row r="1089" spans="2:12">
      <c r="B1089" s="256" t="s">
        <v>1407</v>
      </c>
      <c r="C1089" s="250" t="s">
        <v>1333</v>
      </c>
      <c r="D1089" s="205" t="s">
        <v>110</v>
      </c>
      <c r="E1089" s="199">
        <v>0.5</v>
      </c>
      <c r="F1089" s="199">
        <v>0.4</v>
      </c>
      <c r="G1089" s="261">
        <v>5.12</v>
      </c>
      <c r="H1089" s="261">
        <v>1</v>
      </c>
      <c r="I1089" s="261"/>
      <c r="J1089" s="259"/>
      <c r="K1089" s="260">
        <f t="shared" si="33"/>
        <v>1.024</v>
      </c>
      <c r="L1089" s="266" t="s">
        <v>1556</v>
      </c>
    </row>
    <row r="1090" spans="2:12">
      <c r="B1090" s="256" t="s">
        <v>1408</v>
      </c>
      <c r="C1090" s="250" t="s">
        <v>1333</v>
      </c>
      <c r="D1090" s="205" t="s">
        <v>110</v>
      </c>
      <c r="E1090" s="261">
        <v>0.5</v>
      </c>
      <c r="F1090" s="261">
        <v>0.4</v>
      </c>
      <c r="G1090" s="261">
        <v>5.12</v>
      </c>
      <c r="H1090" s="261">
        <v>1</v>
      </c>
      <c r="I1090" s="261"/>
      <c r="J1090" s="259"/>
      <c r="K1090" s="260">
        <f t="shared" si="33"/>
        <v>1.024</v>
      </c>
      <c r="L1090" s="266" t="s">
        <v>1556</v>
      </c>
    </row>
    <row r="1091" spans="2:12">
      <c r="B1091" s="256" t="s">
        <v>1409</v>
      </c>
      <c r="C1091" s="250" t="s">
        <v>1333</v>
      </c>
      <c r="D1091" s="205" t="s">
        <v>110</v>
      </c>
      <c r="E1091" s="261">
        <v>1</v>
      </c>
      <c r="F1091" s="261">
        <v>0.2</v>
      </c>
      <c r="G1091" s="261">
        <v>5.12</v>
      </c>
      <c r="H1091" s="261">
        <v>1</v>
      </c>
      <c r="I1091" s="261"/>
      <c r="J1091" s="259"/>
      <c r="K1091" s="260">
        <f t="shared" si="33"/>
        <v>1.024</v>
      </c>
      <c r="L1091" s="266" t="s">
        <v>1556</v>
      </c>
    </row>
    <row r="1092" spans="2:12">
      <c r="B1092" s="256" t="s">
        <v>1410</v>
      </c>
      <c r="C1092" s="250" t="s">
        <v>1333</v>
      </c>
      <c r="D1092" s="205" t="s">
        <v>110</v>
      </c>
      <c r="E1092" s="261">
        <v>0.45</v>
      </c>
      <c r="F1092" s="261">
        <v>0.3</v>
      </c>
      <c r="G1092" s="261">
        <v>5.12</v>
      </c>
      <c r="H1092" s="261">
        <v>1</v>
      </c>
      <c r="I1092" s="261"/>
      <c r="J1092" s="259"/>
      <c r="K1092" s="260">
        <f t="shared" si="33"/>
        <v>0.69120000000000004</v>
      </c>
      <c r="L1092" s="266" t="s">
        <v>1556</v>
      </c>
    </row>
    <row r="1093" spans="2:12">
      <c r="B1093" s="256" t="s">
        <v>1411</v>
      </c>
      <c r="C1093" s="250" t="s">
        <v>1333</v>
      </c>
      <c r="D1093" s="205" t="s">
        <v>110</v>
      </c>
      <c r="E1093" s="261">
        <v>0.45</v>
      </c>
      <c r="F1093" s="261">
        <v>0.3</v>
      </c>
      <c r="G1093" s="261">
        <v>5.12</v>
      </c>
      <c r="H1093" s="261">
        <v>1</v>
      </c>
      <c r="I1093" s="261"/>
      <c r="J1093" s="259"/>
      <c r="K1093" s="260">
        <f t="shared" si="33"/>
        <v>0.69120000000000004</v>
      </c>
      <c r="L1093" s="266" t="s">
        <v>1556</v>
      </c>
    </row>
    <row r="1094" spans="2:12">
      <c r="B1094" s="256" t="s">
        <v>1412</v>
      </c>
      <c r="C1094" s="250" t="s">
        <v>1333</v>
      </c>
      <c r="D1094" s="205" t="s">
        <v>110</v>
      </c>
      <c r="E1094" s="261">
        <v>0.55000000000000004</v>
      </c>
      <c r="F1094" s="261">
        <v>0.3</v>
      </c>
      <c r="G1094" s="261">
        <v>5.12</v>
      </c>
      <c r="H1094" s="261">
        <v>1</v>
      </c>
      <c r="I1094" s="261"/>
      <c r="J1094" s="259"/>
      <c r="K1094" s="260">
        <f t="shared" si="33"/>
        <v>0.84480000000000011</v>
      </c>
      <c r="L1094" s="266" t="s">
        <v>1556</v>
      </c>
    </row>
    <row r="1095" spans="2:12">
      <c r="B1095" s="256" t="s">
        <v>1413</v>
      </c>
      <c r="C1095" s="250" t="s">
        <v>1333</v>
      </c>
      <c r="D1095" s="205" t="s">
        <v>110</v>
      </c>
      <c r="E1095" s="261">
        <v>0.55000000000000004</v>
      </c>
      <c r="F1095" s="261">
        <v>0.3</v>
      </c>
      <c r="G1095" s="261">
        <v>5.12</v>
      </c>
      <c r="H1095" s="261">
        <v>1</v>
      </c>
      <c r="I1095" s="261"/>
      <c r="J1095" s="259"/>
      <c r="K1095" s="260">
        <f t="shared" si="33"/>
        <v>0.84480000000000011</v>
      </c>
      <c r="L1095" s="266" t="s">
        <v>1556</v>
      </c>
    </row>
    <row r="1096" spans="2:12">
      <c r="B1096" s="256" t="s">
        <v>1414</v>
      </c>
      <c r="C1096" s="250" t="s">
        <v>1333</v>
      </c>
      <c r="D1096" s="205" t="s">
        <v>110</v>
      </c>
      <c r="E1096" s="261">
        <v>0.55000000000000004</v>
      </c>
      <c r="F1096" s="261">
        <v>0.3</v>
      </c>
      <c r="G1096" s="261">
        <v>5.12</v>
      </c>
      <c r="H1096" s="261">
        <v>1</v>
      </c>
      <c r="I1096" s="261"/>
      <c r="J1096" s="259"/>
      <c r="K1096" s="260">
        <f t="shared" si="33"/>
        <v>0.84480000000000011</v>
      </c>
      <c r="L1096" s="266" t="s">
        <v>1556</v>
      </c>
    </row>
    <row r="1097" spans="2:12">
      <c r="B1097" s="256" t="s">
        <v>1415</v>
      </c>
      <c r="C1097" s="250" t="s">
        <v>1333</v>
      </c>
      <c r="D1097" s="205" t="s">
        <v>110</v>
      </c>
      <c r="E1097" s="261">
        <v>0.55000000000000004</v>
      </c>
      <c r="F1097" s="261">
        <v>0.3</v>
      </c>
      <c r="G1097" s="261">
        <v>5.12</v>
      </c>
      <c r="H1097" s="261">
        <v>1</v>
      </c>
      <c r="I1097" s="261"/>
      <c r="J1097" s="259"/>
      <c r="K1097" s="260">
        <f t="shared" si="33"/>
        <v>0.84480000000000011</v>
      </c>
      <c r="L1097" s="266" t="s">
        <v>1556</v>
      </c>
    </row>
    <row r="1098" spans="2:12">
      <c r="B1098" s="256" t="s">
        <v>1416</v>
      </c>
      <c r="C1098" s="250" t="s">
        <v>1333</v>
      </c>
      <c r="D1098" s="205" t="s">
        <v>110</v>
      </c>
      <c r="E1098" s="261">
        <v>0.45</v>
      </c>
      <c r="F1098" s="261">
        <v>0.3</v>
      </c>
      <c r="G1098" s="261">
        <v>5.12</v>
      </c>
      <c r="H1098" s="261">
        <v>1</v>
      </c>
      <c r="I1098" s="261"/>
      <c r="J1098" s="259"/>
      <c r="K1098" s="260">
        <f t="shared" si="33"/>
        <v>0.69120000000000004</v>
      </c>
      <c r="L1098" s="266" t="s">
        <v>1556</v>
      </c>
    </row>
    <row r="1099" spans="2:12">
      <c r="B1099" s="256" t="s">
        <v>1417</v>
      </c>
      <c r="C1099" s="250" t="s">
        <v>1333</v>
      </c>
      <c r="D1099" s="205" t="s">
        <v>110</v>
      </c>
      <c r="E1099" s="261">
        <v>0.45</v>
      </c>
      <c r="F1099" s="261">
        <v>0.3</v>
      </c>
      <c r="G1099" s="261">
        <v>5.12</v>
      </c>
      <c r="H1099" s="261">
        <v>1</v>
      </c>
      <c r="I1099" s="261"/>
      <c r="J1099" s="259"/>
      <c r="K1099" s="260">
        <f t="shared" si="33"/>
        <v>0.69120000000000004</v>
      </c>
      <c r="L1099" s="266" t="s">
        <v>1556</v>
      </c>
    </row>
    <row r="1100" spans="2:12">
      <c r="B1100" s="256" t="s">
        <v>1418</v>
      </c>
      <c r="C1100" s="250" t="s">
        <v>1333</v>
      </c>
      <c r="D1100" s="205" t="s">
        <v>110</v>
      </c>
      <c r="E1100" s="261">
        <v>0.8</v>
      </c>
      <c r="F1100" s="261">
        <v>0.2</v>
      </c>
      <c r="G1100" s="261">
        <v>5.12</v>
      </c>
      <c r="H1100" s="261">
        <v>1</v>
      </c>
      <c r="I1100" s="261"/>
      <c r="J1100" s="259"/>
      <c r="K1100" s="260">
        <f t="shared" si="33"/>
        <v>0.81920000000000015</v>
      </c>
      <c r="L1100" s="266" t="s">
        <v>1556</v>
      </c>
    </row>
    <row r="1101" spans="2:12">
      <c r="B1101" s="256" t="s">
        <v>1419</v>
      </c>
      <c r="C1101" s="250" t="s">
        <v>1333</v>
      </c>
      <c r="D1101" s="205" t="s">
        <v>110</v>
      </c>
      <c r="E1101" s="261">
        <v>0.8</v>
      </c>
      <c r="F1101" s="261">
        <v>0.2</v>
      </c>
      <c r="G1101" s="261">
        <v>6.62</v>
      </c>
      <c r="H1101" s="261">
        <v>1</v>
      </c>
      <c r="I1101" s="261"/>
      <c r="J1101" s="259"/>
      <c r="K1101" s="260">
        <f t="shared" si="33"/>
        <v>1.0592000000000001</v>
      </c>
      <c r="L1101" s="266" t="s">
        <v>1556</v>
      </c>
    </row>
    <row r="1102" spans="2:12">
      <c r="B1102" s="256" t="s">
        <v>1420</v>
      </c>
      <c r="C1102" s="250" t="s">
        <v>1333</v>
      </c>
      <c r="D1102" s="205" t="s">
        <v>110</v>
      </c>
      <c r="E1102" s="261">
        <v>0.8</v>
      </c>
      <c r="F1102" s="261">
        <v>0.3</v>
      </c>
      <c r="G1102" s="261">
        <v>6.62</v>
      </c>
      <c r="H1102" s="261">
        <v>1</v>
      </c>
      <c r="I1102" s="261"/>
      <c r="J1102" s="259"/>
      <c r="K1102" s="260">
        <f t="shared" si="33"/>
        <v>1.5888</v>
      </c>
      <c r="L1102" s="266" t="s">
        <v>1556</v>
      </c>
    </row>
    <row r="1103" spans="2:12">
      <c r="B1103" s="256" t="s">
        <v>1421</v>
      </c>
      <c r="C1103" s="250" t="s">
        <v>1333</v>
      </c>
      <c r="D1103" s="205" t="s">
        <v>110</v>
      </c>
      <c r="E1103" s="261">
        <v>0.8</v>
      </c>
      <c r="F1103" s="261">
        <v>0.2</v>
      </c>
      <c r="G1103" s="261">
        <v>6.62</v>
      </c>
      <c r="H1103" s="261">
        <v>1</v>
      </c>
      <c r="I1103" s="261"/>
      <c r="J1103" s="259"/>
      <c r="K1103" s="260">
        <f t="shared" si="33"/>
        <v>1.0592000000000001</v>
      </c>
      <c r="L1103" s="266" t="s">
        <v>1556</v>
      </c>
    </row>
    <row r="1104" spans="2:12">
      <c r="B1104" s="256" t="s">
        <v>1422</v>
      </c>
      <c r="C1104" s="250" t="s">
        <v>1333</v>
      </c>
      <c r="D1104" s="205" t="s">
        <v>110</v>
      </c>
      <c r="E1104" s="261">
        <v>0.8</v>
      </c>
      <c r="F1104" s="261">
        <v>0.3</v>
      </c>
      <c r="G1104" s="261">
        <v>6.62</v>
      </c>
      <c r="H1104" s="261">
        <v>1</v>
      </c>
      <c r="I1104" s="261"/>
      <c r="J1104" s="259"/>
      <c r="K1104" s="260">
        <f t="shared" si="33"/>
        <v>1.5888</v>
      </c>
      <c r="L1104" s="266" t="s">
        <v>1556</v>
      </c>
    </row>
    <row r="1105" spans="2:12">
      <c r="B1105" s="256" t="s">
        <v>1423</v>
      </c>
      <c r="C1105" s="250" t="s">
        <v>1333</v>
      </c>
      <c r="D1105" s="205" t="s">
        <v>110</v>
      </c>
      <c r="E1105" s="261">
        <v>0.7</v>
      </c>
      <c r="F1105" s="261">
        <v>0.4</v>
      </c>
      <c r="G1105" s="261">
        <v>5.12</v>
      </c>
      <c r="H1105" s="261">
        <v>1</v>
      </c>
      <c r="I1105" s="261"/>
      <c r="J1105" s="259"/>
      <c r="K1105" s="260">
        <f t="shared" si="33"/>
        <v>1.4336</v>
      </c>
      <c r="L1105" s="266" t="s">
        <v>1556</v>
      </c>
    </row>
    <row r="1106" spans="2:12">
      <c r="B1106" s="256" t="s">
        <v>1424</v>
      </c>
      <c r="C1106" s="250" t="s">
        <v>1333</v>
      </c>
      <c r="D1106" s="205" t="s">
        <v>110</v>
      </c>
      <c r="E1106" s="261">
        <v>0.7</v>
      </c>
      <c r="F1106" s="261">
        <v>0.5</v>
      </c>
      <c r="G1106" s="261">
        <v>5.12</v>
      </c>
      <c r="H1106" s="261">
        <v>1</v>
      </c>
      <c r="I1106" s="261"/>
      <c r="J1106" s="259"/>
      <c r="K1106" s="260">
        <f t="shared" si="33"/>
        <v>1.7919999999999998</v>
      </c>
      <c r="L1106" s="266" t="s">
        <v>1556</v>
      </c>
    </row>
    <row r="1107" spans="2:12">
      <c r="B1107" s="256" t="s">
        <v>1425</v>
      </c>
      <c r="C1107" s="250" t="s">
        <v>1333</v>
      </c>
      <c r="D1107" s="205" t="s">
        <v>110</v>
      </c>
      <c r="E1107" s="261">
        <v>0.7</v>
      </c>
      <c r="F1107" s="261">
        <v>0.5</v>
      </c>
      <c r="G1107" s="261">
        <v>5.12</v>
      </c>
      <c r="H1107" s="261">
        <v>1</v>
      </c>
      <c r="I1107" s="261"/>
      <c r="J1107" s="259"/>
      <c r="K1107" s="260">
        <f t="shared" si="33"/>
        <v>1.7919999999999998</v>
      </c>
      <c r="L1107" s="266" t="s">
        <v>1556</v>
      </c>
    </row>
    <row r="1108" spans="2:12">
      <c r="B1108" s="256" t="s">
        <v>1426</v>
      </c>
      <c r="C1108" s="250" t="s">
        <v>1333</v>
      </c>
      <c r="D1108" s="205" t="s">
        <v>110</v>
      </c>
      <c r="E1108" s="261">
        <v>0.5</v>
      </c>
      <c r="F1108" s="261">
        <v>0.4</v>
      </c>
      <c r="G1108" s="261">
        <v>5.12</v>
      </c>
      <c r="H1108" s="261">
        <v>1</v>
      </c>
      <c r="I1108" s="261"/>
      <c r="J1108" s="259"/>
      <c r="K1108" s="260">
        <f t="shared" si="33"/>
        <v>1.024</v>
      </c>
      <c r="L1108" s="266" t="s">
        <v>1556</v>
      </c>
    </row>
    <row r="1109" spans="2:12">
      <c r="B1109" s="256" t="s">
        <v>1481</v>
      </c>
      <c r="C1109" s="250" t="s">
        <v>1441</v>
      </c>
      <c r="D1109" s="205" t="s">
        <v>110</v>
      </c>
      <c r="E1109" s="261">
        <v>0.25</v>
      </c>
      <c r="F1109" s="261">
        <v>0.4</v>
      </c>
      <c r="G1109" s="261">
        <v>5.12</v>
      </c>
      <c r="H1109" s="261">
        <v>1</v>
      </c>
      <c r="I1109" s="261"/>
      <c r="J1109" s="259"/>
      <c r="K1109" s="260">
        <f t="shared" si="33"/>
        <v>0.51200000000000001</v>
      </c>
      <c r="L1109" s="266" t="s">
        <v>1556</v>
      </c>
    </row>
    <row r="1110" spans="2:12">
      <c r="B1110" s="256" t="s">
        <v>1482</v>
      </c>
      <c r="C1110" s="250" t="s">
        <v>1441</v>
      </c>
      <c r="D1110" s="205" t="s">
        <v>110</v>
      </c>
      <c r="E1110" s="261">
        <v>0.3</v>
      </c>
      <c r="F1110" s="261">
        <v>0.3</v>
      </c>
      <c r="G1110" s="261">
        <v>5.12</v>
      </c>
      <c r="H1110" s="261">
        <v>1</v>
      </c>
      <c r="I1110" s="261"/>
      <c r="J1110" s="259"/>
      <c r="K1110" s="260">
        <f t="shared" si="33"/>
        <v>0.46079999999999999</v>
      </c>
      <c r="L1110" s="266" t="s">
        <v>1556</v>
      </c>
    </row>
    <row r="1111" spans="2:12">
      <c r="B1111" s="256" t="s">
        <v>1483</v>
      </c>
      <c r="C1111" s="250" t="s">
        <v>1441</v>
      </c>
      <c r="D1111" s="205" t="s">
        <v>110</v>
      </c>
      <c r="E1111" s="261">
        <v>0.3</v>
      </c>
      <c r="F1111" s="261">
        <v>0.3</v>
      </c>
      <c r="G1111" s="261">
        <v>5.12</v>
      </c>
      <c r="H1111" s="261">
        <v>1</v>
      </c>
      <c r="I1111" s="261"/>
      <c r="J1111" s="259"/>
      <c r="K1111" s="260">
        <f t="shared" si="33"/>
        <v>0.46079999999999999</v>
      </c>
      <c r="L1111" s="266" t="s">
        <v>1556</v>
      </c>
    </row>
    <row r="1112" spans="2:12">
      <c r="B1112" s="256" t="s">
        <v>1484</v>
      </c>
      <c r="C1112" s="250" t="s">
        <v>1441</v>
      </c>
      <c r="D1112" s="205" t="s">
        <v>110</v>
      </c>
      <c r="E1112" s="261">
        <v>0.4</v>
      </c>
      <c r="F1112" s="261">
        <v>0.4</v>
      </c>
      <c r="G1112" s="261">
        <v>5.12</v>
      </c>
      <c r="H1112" s="261">
        <v>1</v>
      </c>
      <c r="I1112" s="261"/>
      <c r="J1112" s="259"/>
      <c r="K1112" s="260">
        <f t="shared" si="33"/>
        <v>0.81920000000000015</v>
      </c>
      <c r="L1112" s="266" t="s">
        <v>1556</v>
      </c>
    </row>
    <row r="1113" spans="2:12">
      <c r="B1113" s="256" t="s">
        <v>1485</v>
      </c>
      <c r="C1113" s="250" t="s">
        <v>1441</v>
      </c>
      <c r="D1113" s="205" t="s">
        <v>110</v>
      </c>
      <c r="E1113" s="261">
        <v>0.4</v>
      </c>
      <c r="F1113" s="261">
        <v>0.6</v>
      </c>
      <c r="G1113" s="261">
        <v>5.12</v>
      </c>
      <c r="H1113" s="261">
        <v>1</v>
      </c>
      <c r="I1113" s="261"/>
      <c r="J1113" s="259"/>
      <c r="K1113" s="260">
        <f t="shared" si="33"/>
        <v>1.2287999999999999</v>
      </c>
      <c r="L1113" s="266" t="s">
        <v>1556</v>
      </c>
    </row>
    <row r="1114" spans="2:12">
      <c r="B1114" s="256" t="s">
        <v>1486</v>
      </c>
      <c r="C1114" s="250" t="s">
        <v>1441</v>
      </c>
      <c r="D1114" s="205" t="s">
        <v>110</v>
      </c>
      <c r="E1114" s="261">
        <v>0.2</v>
      </c>
      <c r="F1114" s="261">
        <v>2.94</v>
      </c>
      <c r="G1114" s="261">
        <f>5.12+2</f>
        <v>7.12</v>
      </c>
      <c r="H1114" s="261">
        <v>1</v>
      </c>
      <c r="I1114" s="261"/>
      <c r="J1114" s="259"/>
      <c r="K1114" s="260">
        <f t="shared" si="33"/>
        <v>4.1865600000000001</v>
      </c>
      <c r="L1114" s="266" t="s">
        <v>1556</v>
      </c>
    </row>
    <row r="1115" spans="2:12">
      <c r="B1115" s="256" t="s">
        <v>1487</v>
      </c>
      <c r="C1115" s="250" t="s">
        <v>1441</v>
      </c>
      <c r="D1115" s="205" t="s">
        <v>110</v>
      </c>
      <c r="E1115" s="261">
        <v>0.2</v>
      </c>
      <c r="F1115" s="261">
        <v>2.94</v>
      </c>
      <c r="G1115" s="261">
        <f>5.12+2</f>
        <v>7.12</v>
      </c>
      <c r="H1115" s="261">
        <v>1</v>
      </c>
      <c r="I1115" s="261"/>
      <c r="J1115" s="259"/>
      <c r="K1115" s="260">
        <f t="shared" si="33"/>
        <v>4.1865600000000001</v>
      </c>
      <c r="L1115" s="266" t="s">
        <v>1556</v>
      </c>
    </row>
    <row r="1116" spans="2:12">
      <c r="B1116" s="256" t="s">
        <v>1488</v>
      </c>
      <c r="C1116" s="250" t="s">
        <v>1441</v>
      </c>
      <c r="D1116" s="205" t="s">
        <v>110</v>
      </c>
      <c r="E1116" s="261">
        <v>0.6</v>
      </c>
      <c r="F1116" s="261">
        <v>0.5</v>
      </c>
      <c r="G1116" s="261">
        <v>5.12</v>
      </c>
      <c r="H1116" s="261">
        <v>1</v>
      </c>
      <c r="I1116" s="261"/>
      <c r="J1116" s="259"/>
      <c r="K1116" s="260">
        <f t="shared" si="33"/>
        <v>1.536</v>
      </c>
      <c r="L1116" s="266" t="s">
        <v>1556</v>
      </c>
    </row>
    <row r="1117" spans="2:12">
      <c r="B1117" s="256" t="s">
        <v>1489</v>
      </c>
      <c r="C1117" s="250" t="s">
        <v>1441</v>
      </c>
      <c r="D1117" s="205" t="s">
        <v>110</v>
      </c>
      <c r="E1117" s="261">
        <v>0.4</v>
      </c>
      <c r="F1117" s="261">
        <v>0.4</v>
      </c>
      <c r="G1117" s="261">
        <v>5.12</v>
      </c>
      <c r="H1117" s="261">
        <v>1</v>
      </c>
      <c r="I1117" s="261"/>
      <c r="J1117" s="259"/>
      <c r="K1117" s="260">
        <f t="shared" si="33"/>
        <v>0.81920000000000015</v>
      </c>
      <c r="L1117" s="266" t="s">
        <v>1556</v>
      </c>
    </row>
    <row r="1118" spans="2:12">
      <c r="B1118" s="256" t="s">
        <v>1490</v>
      </c>
      <c r="C1118" s="250" t="s">
        <v>1441</v>
      </c>
      <c r="D1118" s="205" t="s">
        <v>110</v>
      </c>
      <c r="E1118" s="261">
        <v>0.2</v>
      </c>
      <c r="F1118" s="261">
        <v>0.8</v>
      </c>
      <c r="G1118" s="261">
        <v>5.12</v>
      </c>
      <c r="H1118" s="261">
        <v>1</v>
      </c>
      <c r="I1118" s="261"/>
      <c r="J1118" s="259"/>
      <c r="K1118" s="260">
        <f t="shared" si="33"/>
        <v>0.81920000000000015</v>
      </c>
      <c r="L1118" s="266" t="s">
        <v>1556</v>
      </c>
    </row>
    <row r="1119" spans="2:12">
      <c r="B1119" s="256" t="s">
        <v>1491</v>
      </c>
      <c r="C1119" s="250" t="s">
        <v>1441</v>
      </c>
      <c r="D1119" s="205" t="s">
        <v>110</v>
      </c>
      <c r="E1119" s="261">
        <v>0.3</v>
      </c>
      <c r="F1119" s="261">
        <v>0.3</v>
      </c>
      <c r="G1119" s="261">
        <v>5.12</v>
      </c>
      <c r="H1119" s="261">
        <v>1</v>
      </c>
      <c r="I1119" s="261"/>
      <c r="J1119" s="259"/>
      <c r="K1119" s="260">
        <f t="shared" si="33"/>
        <v>0.46079999999999999</v>
      </c>
      <c r="L1119" s="266" t="s">
        <v>1556</v>
      </c>
    </row>
    <row r="1120" spans="2:12">
      <c r="B1120" s="256" t="s">
        <v>1492</v>
      </c>
      <c r="C1120" s="250" t="s">
        <v>1441</v>
      </c>
      <c r="D1120" s="205" t="s">
        <v>110</v>
      </c>
      <c r="E1120" s="261">
        <v>0.3</v>
      </c>
      <c r="F1120" s="261">
        <v>0.3</v>
      </c>
      <c r="G1120" s="261">
        <v>5.12</v>
      </c>
      <c r="H1120" s="261">
        <v>1</v>
      </c>
      <c r="I1120" s="261"/>
      <c r="J1120" s="259"/>
      <c r="K1120" s="260">
        <f t="shared" si="33"/>
        <v>0.46079999999999999</v>
      </c>
      <c r="L1120" s="266" t="s">
        <v>1556</v>
      </c>
    </row>
    <row r="1121" spans="2:12">
      <c r="B1121" s="256" t="s">
        <v>1493</v>
      </c>
      <c r="C1121" s="250" t="s">
        <v>1441</v>
      </c>
      <c r="D1121" s="205" t="s">
        <v>110</v>
      </c>
      <c r="E1121" s="261">
        <v>0.4</v>
      </c>
      <c r="F1121" s="261">
        <v>0.4</v>
      </c>
      <c r="G1121" s="261">
        <v>5.12</v>
      </c>
      <c r="H1121" s="261">
        <v>1</v>
      </c>
      <c r="I1121" s="261"/>
      <c r="J1121" s="259"/>
      <c r="K1121" s="260">
        <f t="shared" si="33"/>
        <v>0.81920000000000015</v>
      </c>
      <c r="L1121" s="266" t="s">
        <v>1556</v>
      </c>
    </row>
    <row r="1122" spans="2:12">
      <c r="B1122" s="256" t="s">
        <v>1494</v>
      </c>
      <c r="C1122" s="250" t="s">
        <v>1441</v>
      </c>
      <c r="D1122" s="205" t="s">
        <v>110</v>
      </c>
      <c r="E1122" s="261">
        <v>0.4</v>
      </c>
      <c r="F1122" s="261">
        <v>0.4</v>
      </c>
      <c r="G1122" s="261">
        <v>5.12</v>
      </c>
      <c r="H1122" s="261">
        <v>1</v>
      </c>
      <c r="I1122" s="261"/>
      <c r="J1122" s="259"/>
      <c r="K1122" s="260">
        <f t="shared" si="33"/>
        <v>0.81920000000000015</v>
      </c>
      <c r="L1122" s="266" t="s">
        <v>1556</v>
      </c>
    </row>
    <row r="1123" spans="2:12">
      <c r="B1123" s="256" t="s">
        <v>1495</v>
      </c>
      <c r="C1123" s="250" t="s">
        <v>1441</v>
      </c>
      <c r="D1123" s="205" t="s">
        <v>110</v>
      </c>
      <c r="E1123" s="261">
        <v>0.4</v>
      </c>
      <c r="F1123" s="261">
        <v>0.4</v>
      </c>
      <c r="G1123" s="261">
        <v>5.12</v>
      </c>
      <c r="H1123" s="261">
        <v>1</v>
      </c>
      <c r="I1123" s="261"/>
      <c r="J1123" s="259"/>
      <c r="K1123" s="260">
        <f t="shared" si="33"/>
        <v>0.81920000000000015</v>
      </c>
      <c r="L1123" s="266" t="s">
        <v>1556</v>
      </c>
    </row>
    <row r="1124" spans="2:12">
      <c r="B1124" s="249" t="s">
        <v>1389</v>
      </c>
      <c r="C1124" s="250" t="s">
        <v>1521</v>
      </c>
      <c r="D1124" s="205" t="s">
        <v>110</v>
      </c>
      <c r="E1124" s="199">
        <v>0.5</v>
      </c>
      <c r="F1124" s="199">
        <v>0.4</v>
      </c>
      <c r="G1124" s="199">
        <v>3.6</v>
      </c>
      <c r="H1124" s="199">
        <v>1</v>
      </c>
      <c r="I1124" s="199"/>
      <c r="J1124" s="253"/>
      <c r="K1124" s="254">
        <f t="shared" si="33"/>
        <v>0.72000000000000008</v>
      </c>
      <c r="L1124" s="255" t="s">
        <v>1557</v>
      </c>
    </row>
    <row r="1125" spans="2:12">
      <c r="B1125" s="256" t="s">
        <v>1390</v>
      </c>
      <c r="C1125" s="250" t="s">
        <v>1521</v>
      </c>
      <c r="D1125" s="205" t="s">
        <v>110</v>
      </c>
      <c r="E1125" s="261">
        <v>1</v>
      </c>
      <c r="F1125" s="261">
        <v>0.2</v>
      </c>
      <c r="G1125" s="261">
        <v>3.6</v>
      </c>
      <c r="H1125" s="261">
        <v>1</v>
      </c>
      <c r="I1125" s="261"/>
      <c r="J1125" s="259"/>
      <c r="K1125" s="260">
        <f t="shared" si="33"/>
        <v>0.72000000000000008</v>
      </c>
      <c r="L1125" s="266" t="s">
        <v>1557</v>
      </c>
    </row>
    <row r="1126" spans="2:12">
      <c r="B1126" s="256" t="s">
        <v>1391</v>
      </c>
      <c r="C1126" s="250" t="s">
        <v>1521</v>
      </c>
      <c r="D1126" s="205" t="s">
        <v>110</v>
      </c>
      <c r="E1126" s="261">
        <v>1</v>
      </c>
      <c r="F1126" s="261">
        <v>0.2</v>
      </c>
      <c r="G1126" s="261">
        <v>3.6</v>
      </c>
      <c r="H1126" s="261">
        <v>1</v>
      </c>
      <c r="I1126" s="261"/>
      <c r="J1126" s="259"/>
      <c r="K1126" s="260">
        <f t="shared" si="33"/>
        <v>0.72000000000000008</v>
      </c>
      <c r="L1126" s="266" t="s">
        <v>1557</v>
      </c>
    </row>
    <row r="1127" spans="2:12">
      <c r="B1127" s="256" t="s">
        <v>1392</v>
      </c>
      <c r="C1127" s="250" t="s">
        <v>1521</v>
      </c>
      <c r="D1127" s="205" t="s">
        <v>110</v>
      </c>
      <c r="E1127" s="261">
        <v>0.4</v>
      </c>
      <c r="F1127" s="261">
        <v>0.4</v>
      </c>
      <c r="G1127" s="261">
        <v>3.6</v>
      </c>
      <c r="H1127" s="261">
        <v>1</v>
      </c>
      <c r="I1127" s="261"/>
      <c r="J1127" s="259"/>
      <c r="K1127" s="260">
        <f t="shared" si="33"/>
        <v>0.57600000000000018</v>
      </c>
      <c r="L1127" s="266" t="s">
        <v>1557</v>
      </c>
    </row>
    <row r="1128" spans="2:12">
      <c r="B1128" s="256" t="s">
        <v>1393</v>
      </c>
      <c r="C1128" s="250" t="s">
        <v>1521</v>
      </c>
      <c r="D1128" s="205" t="s">
        <v>110</v>
      </c>
      <c r="E1128" s="261">
        <v>0.3</v>
      </c>
      <c r="F1128" s="261">
        <v>0.3</v>
      </c>
      <c r="G1128" s="261">
        <v>3.6</v>
      </c>
      <c r="H1128" s="261">
        <v>1</v>
      </c>
      <c r="I1128" s="261"/>
      <c r="J1128" s="259"/>
      <c r="K1128" s="260">
        <f t="shared" si="33"/>
        <v>0.32400000000000001</v>
      </c>
      <c r="L1128" s="266" t="s">
        <v>1557</v>
      </c>
    </row>
    <row r="1129" spans="2:12">
      <c r="B1129" s="256" t="s">
        <v>1394</v>
      </c>
      <c r="C1129" s="250" t="s">
        <v>1521</v>
      </c>
      <c r="D1129" s="205" t="s">
        <v>110</v>
      </c>
      <c r="E1129" s="261">
        <v>0.4</v>
      </c>
      <c r="F1129" s="261">
        <v>0.4</v>
      </c>
      <c r="G1129" s="261">
        <v>3.6</v>
      </c>
      <c r="H1129" s="261">
        <v>1</v>
      </c>
      <c r="I1129" s="261"/>
      <c r="J1129" s="259"/>
      <c r="K1129" s="260">
        <f t="shared" si="33"/>
        <v>0.57600000000000018</v>
      </c>
      <c r="L1129" s="266" t="s">
        <v>1557</v>
      </c>
    </row>
    <row r="1130" spans="2:12">
      <c r="B1130" s="256" t="s">
        <v>1395</v>
      </c>
      <c r="C1130" s="250" t="s">
        <v>1521</v>
      </c>
      <c r="D1130" s="205" t="s">
        <v>110</v>
      </c>
      <c r="E1130" s="199">
        <v>0.5</v>
      </c>
      <c r="F1130" s="199">
        <v>0.4</v>
      </c>
      <c r="G1130" s="261">
        <v>3.6</v>
      </c>
      <c r="H1130" s="261">
        <v>1</v>
      </c>
      <c r="I1130" s="261"/>
      <c r="J1130" s="259"/>
      <c r="K1130" s="260">
        <f t="shared" si="33"/>
        <v>0.72000000000000008</v>
      </c>
      <c r="L1130" s="266" t="s">
        <v>1557</v>
      </c>
    </row>
    <row r="1131" spans="2:12">
      <c r="B1131" s="256" t="s">
        <v>1396</v>
      </c>
      <c r="C1131" s="250" t="s">
        <v>1521</v>
      </c>
      <c r="D1131" s="205" t="s">
        <v>110</v>
      </c>
      <c r="E1131" s="199">
        <v>0.5</v>
      </c>
      <c r="F1131" s="199">
        <v>0.4</v>
      </c>
      <c r="G1131" s="261">
        <v>3.6</v>
      </c>
      <c r="H1131" s="261">
        <v>1</v>
      </c>
      <c r="I1131" s="261"/>
      <c r="J1131" s="259"/>
      <c r="K1131" s="260">
        <f t="shared" si="33"/>
        <v>0.72000000000000008</v>
      </c>
      <c r="L1131" s="266" t="s">
        <v>1557</v>
      </c>
    </row>
    <row r="1132" spans="2:12">
      <c r="B1132" s="256" t="s">
        <v>1397</v>
      </c>
      <c r="C1132" s="250" t="s">
        <v>1521</v>
      </c>
      <c r="D1132" s="205" t="s">
        <v>110</v>
      </c>
      <c r="E1132" s="261">
        <v>1</v>
      </c>
      <c r="F1132" s="261">
        <v>0.2</v>
      </c>
      <c r="G1132" s="261">
        <v>3.6</v>
      </c>
      <c r="H1132" s="261">
        <v>1</v>
      </c>
      <c r="I1132" s="261"/>
      <c r="J1132" s="259"/>
      <c r="K1132" s="260">
        <f t="shared" si="33"/>
        <v>0.72000000000000008</v>
      </c>
      <c r="L1132" s="266" t="s">
        <v>1557</v>
      </c>
    </row>
    <row r="1133" spans="2:12">
      <c r="B1133" s="256" t="s">
        <v>1398</v>
      </c>
      <c r="C1133" s="250" t="s">
        <v>1521</v>
      </c>
      <c r="D1133" s="205" t="s">
        <v>110</v>
      </c>
      <c r="E1133" s="261">
        <v>0.3</v>
      </c>
      <c r="F1133" s="261">
        <v>0.3</v>
      </c>
      <c r="G1133" s="261">
        <v>3.6</v>
      </c>
      <c r="H1133" s="261">
        <v>1</v>
      </c>
      <c r="I1133" s="261"/>
      <c r="J1133" s="259"/>
      <c r="K1133" s="260">
        <f t="shared" si="33"/>
        <v>0.32400000000000001</v>
      </c>
      <c r="L1133" s="266" t="s">
        <v>1557</v>
      </c>
    </row>
    <row r="1134" spans="2:12">
      <c r="B1134" s="256" t="s">
        <v>1399</v>
      </c>
      <c r="C1134" s="250" t="s">
        <v>1521</v>
      </c>
      <c r="D1134" s="205" t="s">
        <v>110</v>
      </c>
      <c r="E1134" s="261">
        <v>0.4</v>
      </c>
      <c r="F1134" s="261">
        <v>0.4</v>
      </c>
      <c r="G1134" s="261">
        <v>3.6</v>
      </c>
      <c r="H1134" s="261">
        <v>1</v>
      </c>
      <c r="I1134" s="261"/>
      <c r="J1134" s="259"/>
      <c r="K1134" s="260">
        <f t="shared" si="33"/>
        <v>0.57600000000000018</v>
      </c>
      <c r="L1134" s="266" t="s">
        <v>1557</v>
      </c>
    </row>
    <row r="1135" spans="2:12">
      <c r="B1135" s="256" t="s">
        <v>1400</v>
      </c>
      <c r="C1135" s="250" t="s">
        <v>1521</v>
      </c>
      <c r="D1135" s="205" t="s">
        <v>110</v>
      </c>
      <c r="E1135" s="199">
        <v>0.5</v>
      </c>
      <c r="F1135" s="199">
        <v>0.4</v>
      </c>
      <c r="G1135" s="261">
        <v>3.6</v>
      </c>
      <c r="H1135" s="261">
        <v>1</v>
      </c>
      <c r="I1135" s="261"/>
      <c r="J1135" s="259"/>
      <c r="K1135" s="260">
        <f t="shared" ref="K1135:K1198" si="34">IF(E1135*F1135*G1135&lt;&gt;0,E1135*F1135*G1135,IF(E1135*F1135&lt;&gt;0,E1135*F1135,IF(F1135*G1135&lt;&gt;0,F1135*G1135,IF(E1135*G1135&lt;&gt;0,E1135*G1135,IF(E1135&lt;&gt;0,E1135,IF(F1135&lt;&gt;0,F1135,IF(G1135&lt;&gt;0,G1135,0)))))))*(IF(H1135&lt;&gt;0,H1135,1))+I1135-J1135</f>
        <v>0.72000000000000008</v>
      </c>
      <c r="L1135" s="266" t="s">
        <v>1557</v>
      </c>
    </row>
    <row r="1136" spans="2:12">
      <c r="B1136" s="256" t="s">
        <v>1401</v>
      </c>
      <c r="C1136" s="250" t="s">
        <v>1521</v>
      </c>
      <c r="D1136" s="205" t="s">
        <v>110</v>
      </c>
      <c r="E1136" s="199">
        <v>0.5</v>
      </c>
      <c r="F1136" s="199">
        <v>0.4</v>
      </c>
      <c r="G1136" s="261">
        <v>3.6</v>
      </c>
      <c r="H1136" s="261">
        <v>1</v>
      </c>
      <c r="I1136" s="261"/>
      <c r="J1136" s="259"/>
      <c r="K1136" s="260">
        <f t="shared" si="34"/>
        <v>0.72000000000000008</v>
      </c>
      <c r="L1136" s="266" t="s">
        <v>1557</v>
      </c>
    </row>
    <row r="1137" spans="2:12">
      <c r="B1137" s="256" t="s">
        <v>1402</v>
      </c>
      <c r="C1137" s="250" t="s">
        <v>1521</v>
      </c>
      <c r="D1137" s="205" t="s">
        <v>110</v>
      </c>
      <c r="E1137" s="261">
        <v>1</v>
      </c>
      <c r="F1137" s="261">
        <v>0.2</v>
      </c>
      <c r="G1137" s="261">
        <v>3.6</v>
      </c>
      <c r="H1137" s="261">
        <v>1</v>
      </c>
      <c r="I1137" s="261"/>
      <c r="J1137" s="259"/>
      <c r="K1137" s="260">
        <f t="shared" si="34"/>
        <v>0.72000000000000008</v>
      </c>
      <c r="L1137" s="266" t="s">
        <v>1557</v>
      </c>
    </row>
    <row r="1138" spans="2:12">
      <c r="B1138" s="256" t="s">
        <v>1403</v>
      </c>
      <c r="C1138" s="250" t="s">
        <v>1521</v>
      </c>
      <c r="D1138" s="205" t="s">
        <v>110</v>
      </c>
      <c r="E1138" s="261">
        <v>0.3</v>
      </c>
      <c r="F1138" s="261">
        <v>0.3</v>
      </c>
      <c r="G1138" s="261">
        <v>3.6</v>
      </c>
      <c r="H1138" s="261">
        <v>1</v>
      </c>
      <c r="I1138" s="261"/>
      <c r="J1138" s="259"/>
      <c r="K1138" s="260">
        <f t="shared" si="34"/>
        <v>0.32400000000000001</v>
      </c>
      <c r="L1138" s="266" t="s">
        <v>1557</v>
      </c>
    </row>
    <row r="1139" spans="2:12">
      <c r="B1139" s="256" t="s">
        <v>1404</v>
      </c>
      <c r="C1139" s="250" t="s">
        <v>1521</v>
      </c>
      <c r="D1139" s="205" t="s">
        <v>110</v>
      </c>
      <c r="E1139" s="261">
        <v>0.6</v>
      </c>
      <c r="F1139" s="261">
        <v>0.2</v>
      </c>
      <c r="G1139" s="261">
        <v>3.6</v>
      </c>
      <c r="H1139" s="261">
        <v>1</v>
      </c>
      <c r="I1139" s="261"/>
      <c r="J1139" s="259"/>
      <c r="K1139" s="260">
        <f t="shared" si="34"/>
        <v>0.432</v>
      </c>
      <c r="L1139" s="266" t="s">
        <v>1557</v>
      </c>
    </row>
    <row r="1140" spans="2:12">
      <c r="B1140" s="256" t="s">
        <v>1405</v>
      </c>
      <c r="C1140" s="250" t="s">
        <v>1521</v>
      </c>
      <c r="D1140" s="205" t="s">
        <v>110</v>
      </c>
      <c r="E1140" s="261">
        <v>0.6</v>
      </c>
      <c r="F1140" s="261">
        <v>0.2</v>
      </c>
      <c r="G1140" s="261">
        <v>3.6</v>
      </c>
      <c r="H1140" s="261">
        <v>1</v>
      </c>
      <c r="I1140" s="261"/>
      <c r="J1140" s="259"/>
      <c r="K1140" s="260">
        <f t="shared" si="34"/>
        <v>0.432</v>
      </c>
      <c r="L1140" s="266" t="s">
        <v>1557</v>
      </c>
    </row>
    <row r="1141" spans="2:12">
      <c r="B1141" s="256" t="s">
        <v>1406</v>
      </c>
      <c r="C1141" s="250" t="s">
        <v>1521</v>
      </c>
      <c r="D1141" s="205" t="s">
        <v>110</v>
      </c>
      <c r="E1141" s="261">
        <v>0.4</v>
      </c>
      <c r="F1141" s="261">
        <v>0.4</v>
      </c>
      <c r="G1141" s="261">
        <v>3.6</v>
      </c>
      <c r="H1141" s="261">
        <v>1</v>
      </c>
      <c r="I1141" s="261"/>
      <c r="J1141" s="259"/>
      <c r="K1141" s="260">
        <f t="shared" si="34"/>
        <v>0.57600000000000018</v>
      </c>
      <c r="L1141" s="266" t="s">
        <v>1557</v>
      </c>
    </row>
    <row r="1142" spans="2:12">
      <c r="B1142" s="256" t="s">
        <v>1407</v>
      </c>
      <c r="C1142" s="250" t="s">
        <v>1521</v>
      </c>
      <c r="D1142" s="205" t="s">
        <v>110</v>
      </c>
      <c r="E1142" s="199">
        <v>0.5</v>
      </c>
      <c r="F1142" s="199">
        <v>0.4</v>
      </c>
      <c r="G1142" s="261">
        <v>3.6</v>
      </c>
      <c r="H1142" s="261">
        <v>1</v>
      </c>
      <c r="I1142" s="261"/>
      <c r="J1142" s="259"/>
      <c r="K1142" s="260">
        <f t="shared" si="34"/>
        <v>0.72000000000000008</v>
      </c>
      <c r="L1142" s="266" t="s">
        <v>1557</v>
      </c>
    </row>
    <row r="1143" spans="2:12">
      <c r="B1143" s="256" t="s">
        <v>1408</v>
      </c>
      <c r="C1143" s="250" t="s">
        <v>1521</v>
      </c>
      <c r="D1143" s="205" t="s">
        <v>110</v>
      </c>
      <c r="E1143" s="261">
        <v>0.5</v>
      </c>
      <c r="F1143" s="261">
        <v>0.4</v>
      </c>
      <c r="G1143" s="261">
        <v>3.6</v>
      </c>
      <c r="H1143" s="261">
        <v>1</v>
      </c>
      <c r="I1143" s="261"/>
      <c r="J1143" s="259"/>
      <c r="K1143" s="260">
        <f t="shared" si="34"/>
        <v>0.72000000000000008</v>
      </c>
      <c r="L1143" s="266" t="s">
        <v>1557</v>
      </c>
    </row>
    <row r="1144" spans="2:12">
      <c r="B1144" s="256" t="s">
        <v>1409</v>
      </c>
      <c r="C1144" s="250" t="s">
        <v>1521</v>
      </c>
      <c r="D1144" s="205" t="s">
        <v>110</v>
      </c>
      <c r="E1144" s="261">
        <v>1</v>
      </c>
      <c r="F1144" s="261">
        <v>0.2</v>
      </c>
      <c r="G1144" s="261">
        <v>3.6</v>
      </c>
      <c r="H1144" s="261">
        <v>1</v>
      </c>
      <c r="I1144" s="261"/>
      <c r="J1144" s="259"/>
      <c r="K1144" s="260">
        <f t="shared" si="34"/>
        <v>0.72000000000000008</v>
      </c>
      <c r="L1144" s="266" t="s">
        <v>1557</v>
      </c>
    </row>
    <row r="1145" spans="2:12">
      <c r="B1145" s="256" t="s">
        <v>1410</v>
      </c>
      <c r="C1145" s="250" t="s">
        <v>1521</v>
      </c>
      <c r="D1145" s="205" t="s">
        <v>110</v>
      </c>
      <c r="E1145" s="261">
        <v>0.45</v>
      </c>
      <c r="F1145" s="261">
        <v>0.3</v>
      </c>
      <c r="G1145" s="261">
        <v>3.6</v>
      </c>
      <c r="H1145" s="261">
        <v>1</v>
      </c>
      <c r="I1145" s="261"/>
      <c r="J1145" s="259"/>
      <c r="K1145" s="260">
        <f t="shared" si="34"/>
        <v>0.48600000000000004</v>
      </c>
      <c r="L1145" s="266" t="s">
        <v>1557</v>
      </c>
    </row>
    <row r="1146" spans="2:12">
      <c r="B1146" s="256" t="s">
        <v>1411</v>
      </c>
      <c r="C1146" s="250" t="s">
        <v>1521</v>
      </c>
      <c r="D1146" s="205" t="s">
        <v>110</v>
      </c>
      <c r="E1146" s="261">
        <v>0.45</v>
      </c>
      <c r="F1146" s="261">
        <v>0.3</v>
      </c>
      <c r="G1146" s="261">
        <v>3.6</v>
      </c>
      <c r="H1146" s="261">
        <v>1</v>
      </c>
      <c r="I1146" s="261"/>
      <c r="J1146" s="259"/>
      <c r="K1146" s="260">
        <f t="shared" si="34"/>
        <v>0.48600000000000004</v>
      </c>
      <c r="L1146" s="266" t="s">
        <v>1557</v>
      </c>
    </row>
    <row r="1147" spans="2:12">
      <c r="B1147" s="256" t="s">
        <v>1412</v>
      </c>
      <c r="C1147" s="250" t="s">
        <v>1521</v>
      </c>
      <c r="D1147" s="205" t="s">
        <v>110</v>
      </c>
      <c r="E1147" s="261">
        <v>0.55000000000000004</v>
      </c>
      <c r="F1147" s="261">
        <v>0.3</v>
      </c>
      <c r="G1147" s="261">
        <v>3.6</v>
      </c>
      <c r="H1147" s="261">
        <v>1</v>
      </c>
      <c r="I1147" s="261"/>
      <c r="J1147" s="259"/>
      <c r="K1147" s="260">
        <f t="shared" si="34"/>
        <v>0.59400000000000008</v>
      </c>
      <c r="L1147" s="266" t="s">
        <v>1557</v>
      </c>
    </row>
    <row r="1148" spans="2:12">
      <c r="B1148" s="256" t="s">
        <v>1413</v>
      </c>
      <c r="C1148" s="250" t="s">
        <v>1521</v>
      </c>
      <c r="D1148" s="205" t="s">
        <v>110</v>
      </c>
      <c r="E1148" s="261">
        <v>0.55000000000000004</v>
      </c>
      <c r="F1148" s="261">
        <v>0.3</v>
      </c>
      <c r="G1148" s="261">
        <v>3.6</v>
      </c>
      <c r="H1148" s="261">
        <v>1</v>
      </c>
      <c r="I1148" s="261"/>
      <c r="J1148" s="259"/>
      <c r="K1148" s="260">
        <f t="shared" si="34"/>
        <v>0.59400000000000008</v>
      </c>
      <c r="L1148" s="266" t="s">
        <v>1557</v>
      </c>
    </row>
    <row r="1149" spans="2:12">
      <c r="B1149" s="256" t="s">
        <v>1414</v>
      </c>
      <c r="C1149" s="250" t="s">
        <v>1521</v>
      </c>
      <c r="D1149" s="205" t="s">
        <v>110</v>
      </c>
      <c r="E1149" s="261">
        <v>0.55000000000000004</v>
      </c>
      <c r="F1149" s="261">
        <v>0.3</v>
      </c>
      <c r="G1149" s="261">
        <v>3.6</v>
      </c>
      <c r="H1149" s="261">
        <v>1</v>
      </c>
      <c r="I1149" s="261"/>
      <c r="J1149" s="259"/>
      <c r="K1149" s="260">
        <f t="shared" si="34"/>
        <v>0.59400000000000008</v>
      </c>
      <c r="L1149" s="266" t="s">
        <v>1557</v>
      </c>
    </row>
    <row r="1150" spans="2:12">
      <c r="B1150" s="256" t="s">
        <v>1415</v>
      </c>
      <c r="C1150" s="250" t="s">
        <v>1521</v>
      </c>
      <c r="D1150" s="205" t="s">
        <v>110</v>
      </c>
      <c r="E1150" s="261">
        <v>0.55000000000000004</v>
      </c>
      <c r="F1150" s="261">
        <v>0.3</v>
      </c>
      <c r="G1150" s="261">
        <v>3.6</v>
      </c>
      <c r="H1150" s="261">
        <v>1</v>
      </c>
      <c r="I1150" s="261"/>
      <c r="J1150" s="259"/>
      <c r="K1150" s="260">
        <f t="shared" si="34"/>
        <v>0.59400000000000008</v>
      </c>
      <c r="L1150" s="266" t="s">
        <v>1557</v>
      </c>
    </row>
    <row r="1151" spans="2:12">
      <c r="B1151" s="256" t="s">
        <v>1416</v>
      </c>
      <c r="C1151" s="250" t="s">
        <v>1521</v>
      </c>
      <c r="D1151" s="205" t="s">
        <v>110</v>
      </c>
      <c r="E1151" s="261">
        <v>0.45</v>
      </c>
      <c r="F1151" s="261">
        <v>0.3</v>
      </c>
      <c r="G1151" s="261">
        <v>3.6</v>
      </c>
      <c r="H1151" s="261">
        <v>1</v>
      </c>
      <c r="I1151" s="261"/>
      <c r="J1151" s="259"/>
      <c r="K1151" s="260">
        <f t="shared" si="34"/>
        <v>0.48600000000000004</v>
      </c>
      <c r="L1151" s="266" t="s">
        <v>1557</v>
      </c>
    </row>
    <row r="1152" spans="2:12">
      <c r="B1152" s="256" t="s">
        <v>1417</v>
      </c>
      <c r="C1152" s="250" t="s">
        <v>1521</v>
      </c>
      <c r="D1152" s="205" t="s">
        <v>110</v>
      </c>
      <c r="E1152" s="261">
        <v>0.45</v>
      </c>
      <c r="F1152" s="261">
        <v>0.3</v>
      </c>
      <c r="G1152" s="261">
        <v>3.6</v>
      </c>
      <c r="H1152" s="261">
        <v>1</v>
      </c>
      <c r="I1152" s="261"/>
      <c r="J1152" s="259"/>
      <c r="K1152" s="260">
        <f t="shared" si="34"/>
        <v>0.48600000000000004</v>
      </c>
      <c r="L1152" s="266" t="s">
        <v>1557</v>
      </c>
    </row>
    <row r="1153" spans="2:12">
      <c r="B1153" s="256" t="s">
        <v>1418</v>
      </c>
      <c r="C1153" s="250" t="s">
        <v>1521</v>
      </c>
      <c r="D1153" s="205" t="s">
        <v>110</v>
      </c>
      <c r="E1153" s="261">
        <v>0.8</v>
      </c>
      <c r="F1153" s="261">
        <v>0.2</v>
      </c>
      <c r="G1153" s="261">
        <v>3.6</v>
      </c>
      <c r="H1153" s="261">
        <v>1</v>
      </c>
      <c r="I1153" s="261"/>
      <c r="J1153" s="259"/>
      <c r="K1153" s="260">
        <f t="shared" si="34"/>
        <v>0.57600000000000018</v>
      </c>
      <c r="L1153" s="266" t="s">
        <v>1557</v>
      </c>
    </row>
    <row r="1154" spans="2:12">
      <c r="B1154" s="249" t="s">
        <v>1389</v>
      </c>
      <c r="C1154" s="250" t="s">
        <v>1521</v>
      </c>
      <c r="D1154" s="205" t="s">
        <v>110</v>
      </c>
      <c r="E1154" s="199">
        <v>0.5</v>
      </c>
      <c r="F1154" s="199">
        <v>0.4</v>
      </c>
      <c r="G1154" s="199">
        <v>3.6</v>
      </c>
      <c r="H1154" s="199">
        <v>1</v>
      </c>
      <c r="I1154" s="199"/>
      <c r="J1154" s="253"/>
      <c r="K1154" s="254">
        <f t="shared" si="34"/>
        <v>0.72000000000000008</v>
      </c>
      <c r="L1154" s="266" t="s">
        <v>1714</v>
      </c>
    </row>
    <row r="1155" spans="2:12">
      <c r="B1155" s="256" t="s">
        <v>1390</v>
      </c>
      <c r="C1155" s="250" t="s">
        <v>1521</v>
      </c>
      <c r="D1155" s="205" t="s">
        <v>110</v>
      </c>
      <c r="E1155" s="261">
        <v>1</v>
      </c>
      <c r="F1155" s="261">
        <v>0.2</v>
      </c>
      <c r="G1155" s="261">
        <v>3.6</v>
      </c>
      <c r="H1155" s="261">
        <v>1</v>
      </c>
      <c r="I1155" s="261"/>
      <c r="J1155" s="259"/>
      <c r="K1155" s="260">
        <f t="shared" si="34"/>
        <v>0.72000000000000008</v>
      </c>
      <c r="L1155" s="266" t="s">
        <v>1714</v>
      </c>
    </row>
    <row r="1156" spans="2:12">
      <c r="B1156" s="256" t="s">
        <v>1391</v>
      </c>
      <c r="C1156" s="250" t="s">
        <v>1521</v>
      </c>
      <c r="D1156" s="205" t="s">
        <v>110</v>
      </c>
      <c r="E1156" s="261">
        <v>1</v>
      </c>
      <c r="F1156" s="261">
        <v>0.2</v>
      </c>
      <c r="G1156" s="261">
        <v>3.6</v>
      </c>
      <c r="H1156" s="261">
        <v>1</v>
      </c>
      <c r="I1156" s="261"/>
      <c r="J1156" s="259"/>
      <c r="K1156" s="260">
        <f t="shared" si="34"/>
        <v>0.72000000000000008</v>
      </c>
      <c r="L1156" s="266" t="s">
        <v>1714</v>
      </c>
    </row>
    <row r="1157" spans="2:12">
      <c r="B1157" s="256" t="s">
        <v>1392</v>
      </c>
      <c r="C1157" s="250" t="s">
        <v>1521</v>
      </c>
      <c r="D1157" s="205" t="s">
        <v>110</v>
      </c>
      <c r="E1157" s="261">
        <v>0.4</v>
      </c>
      <c r="F1157" s="261">
        <v>0.4</v>
      </c>
      <c r="G1157" s="261">
        <v>3.6</v>
      </c>
      <c r="H1157" s="261">
        <v>1</v>
      </c>
      <c r="I1157" s="261"/>
      <c r="J1157" s="259"/>
      <c r="K1157" s="260">
        <f t="shared" si="34"/>
        <v>0.57600000000000018</v>
      </c>
      <c r="L1157" s="266" t="s">
        <v>1714</v>
      </c>
    </row>
    <row r="1158" spans="2:12">
      <c r="B1158" s="256" t="s">
        <v>1394</v>
      </c>
      <c r="C1158" s="250" t="s">
        <v>1521</v>
      </c>
      <c r="D1158" s="205" t="s">
        <v>110</v>
      </c>
      <c r="E1158" s="261">
        <v>0.4</v>
      </c>
      <c r="F1158" s="261">
        <v>0.4</v>
      </c>
      <c r="G1158" s="261">
        <v>3.6</v>
      </c>
      <c r="H1158" s="261">
        <v>1</v>
      </c>
      <c r="I1158" s="261"/>
      <c r="J1158" s="259"/>
      <c r="K1158" s="260">
        <f t="shared" si="34"/>
        <v>0.57600000000000018</v>
      </c>
      <c r="L1158" s="266" t="s">
        <v>1714</v>
      </c>
    </row>
    <row r="1159" spans="2:12">
      <c r="B1159" s="256" t="s">
        <v>1395</v>
      </c>
      <c r="C1159" s="250" t="s">
        <v>1521</v>
      </c>
      <c r="D1159" s="205" t="s">
        <v>110</v>
      </c>
      <c r="E1159" s="199">
        <v>0.5</v>
      </c>
      <c r="F1159" s="199">
        <v>0.4</v>
      </c>
      <c r="G1159" s="261">
        <v>3.6</v>
      </c>
      <c r="H1159" s="261">
        <v>1</v>
      </c>
      <c r="I1159" s="261"/>
      <c r="J1159" s="259"/>
      <c r="K1159" s="260">
        <f t="shared" si="34"/>
        <v>0.72000000000000008</v>
      </c>
      <c r="L1159" s="266" t="s">
        <v>1714</v>
      </c>
    </row>
    <row r="1160" spans="2:12">
      <c r="B1160" s="256" t="s">
        <v>1396</v>
      </c>
      <c r="C1160" s="250" t="s">
        <v>1521</v>
      </c>
      <c r="D1160" s="205" t="s">
        <v>110</v>
      </c>
      <c r="E1160" s="199">
        <v>0.5</v>
      </c>
      <c r="F1160" s="199">
        <v>0.4</v>
      </c>
      <c r="G1160" s="261">
        <v>3.6</v>
      </c>
      <c r="H1160" s="261">
        <v>1</v>
      </c>
      <c r="I1160" s="261"/>
      <c r="J1160" s="259"/>
      <c r="K1160" s="260">
        <f t="shared" si="34"/>
        <v>0.72000000000000008</v>
      </c>
      <c r="L1160" s="266" t="s">
        <v>1714</v>
      </c>
    </row>
    <row r="1161" spans="2:12">
      <c r="B1161" s="256" t="s">
        <v>1397</v>
      </c>
      <c r="C1161" s="250" t="s">
        <v>1521</v>
      </c>
      <c r="D1161" s="205" t="s">
        <v>110</v>
      </c>
      <c r="E1161" s="261">
        <v>1</v>
      </c>
      <c r="F1161" s="261">
        <v>0.2</v>
      </c>
      <c r="G1161" s="261">
        <v>3.6</v>
      </c>
      <c r="H1161" s="261">
        <v>1</v>
      </c>
      <c r="I1161" s="261"/>
      <c r="J1161" s="259"/>
      <c r="K1161" s="260">
        <f t="shared" si="34"/>
        <v>0.72000000000000008</v>
      </c>
      <c r="L1161" s="266" t="s">
        <v>1714</v>
      </c>
    </row>
    <row r="1162" spans="2:12">
      <c r="B1162" s="256" t="s">
        <v>1399</v>
      </c>
      <c r="C1162" s="250" t="s">
        <v>1521</v>
      </c>
      <c r="D1162" s="205" t="s">
        <v>110</v>
      </c>
      <c r="E1162" s="261">
        <v>0.4</v>
      </c>
      <c r="F1162" s="261">
        <v>0.4</v>
      </c>
      <c r="G1162" s="261">
        <v>3.6</v>
      </c>
      <c r="H1162" s="261">
        <v>1</v>
      </c>
      <c r="I1162" s="261"/>
      <c r="J1162" s="259"/>
      <c r="K1162" s="260">
        <f t="shared" si="34"/>
        <v>0.57600000000000018</v>
      </c>
      <c r="L1162" s="266" t="s">
        <v>1714</v>
      </c>
    </row>
    <row r="1163" spans="2:12">
      <c r="B1163" s="256" t="s">
        <v>1400</v>
      </c>
      <c r="C1163" s="250" t="s">
        <v>1521</v>
      </c>
      <c r="D1163" s="205" t="s">
        <v>110</v>
      </c>
      <c r="E1163" s="199">
        <v>0.5</v>
      </c>
      <c r="F1163" s="199">
        <v>0.4</v>
      </c>
      <c r="G1163" s="261">
        <v>3.6</v>
      </c>
      <c r="H1163" s="261">
        <v>1</v>
      </c>
      <c r="I1163" s="261"/>
      <c r="J1163" s="259"/>
      <c r="K1163" s="260">
        <f t="shared" si="34"/>
        <v>0.72000000000000008</v>
      </c>
      <c r="L1163" s="266" t="s">
        <v>1714</v>
      </c>
    </row>
    <row r="1164" spans="2:12">
      <c r="B1164" s="256" t="s">
        <v>1401</v>
      </c>
      <c r="C1164" s="250" t="s">
        <v>1521</v>
      </c>
      <c r="D1164" s="205" t="s">
        <v>110</v>
      </c>
      <c r="E1164" s="199">
        <v>0.5</v>
      </c>
      <c r="F1164" s="199">
        <v>0.4</v>
      </c>
      <c r="G1164" s="261">
        <v>3.6</v>
      </c>
      <c r="H1164" s="261">
        <v>1</v>
      </c>
      <c r="I1164" s="261"/>
      <c r="J1164" s="259"/>
      <c r="K1164" s="260">
        <f t="shared" si="34"/>
        <v>0.72000000000000008</v>
      </c>
      <c r="L1164" s="266" t="s">
        <v>1714</v>
      </c>
    </row>
    <row r="1165" spans="2:12">
      <c r="B1165" s="256" t="s">
        <v>1402</v>
      </c>
      <c r="C1165" s="250" t="s">
        <v>1521</v>
      </c>
      <c r="D1165" s="205" t="s">
        <v>110</v>
      </c>
      <c r="E1165" s="261">
        <v>1</v>
      </c>
      <c r="F1165" s="261">
        <v>0.2</v>
      </c>
      <c r="G1165" s="261">
        <v>3.6</v>
      </c>
      <c r="H1165" s="261">
        <v>1</v>
      </c>
      <c r="I1165" s="261"/>
      <c r="J1165" s="259"/>
      <c r="K1165" s="260">
        <f t="shared" si="34"/>
        <v>0.72000000000000008</v>
      </c>
      <c r="L1165" s="266" t="s">
        <v>1714</v>
      </c>
    </row>
    <row r="1166" spans="2:12">
      <c r="B1166" s="256" t="s">
        <v>1404</v>
      </c>
      <c r="C1166" s="250" t="s">
        <v>1611</v>
      </c>
      <c r="D1166" s="205" t="s">
        <v>110</v>
      </c>
      <c r="E1166" s="261">
        <v>0.2</v>
      </c>
      <c r="F1166" s="261">
        <v>0.6</v>
      </c>
      <c r="G1166" s="261">
        <v>3.6</v>
      </c>
      <c r="H1166" s="261">
        <v>1</v>
      </c>
      <c r="I1166" s="261"/>
      <c r="J1166" s="259"/>
      <c r="K1166" s="260">
        <f t="shared" si="34"/>
        <v>0.432</v>
      </c>
      <c r="L1166" s="266" t="s">
        <v>1714</v>
      </c>
    </row>
    <row r="1167" spans="2:12">
      <c r="B1167" s="256" t="s">
        <v>1405</v>
      </c>
      <c r="C1167" s="250" t="s">
        <v>1611</v>
      </c>
      <c r="D1167" s="205" t="s">
        <v>110</v>
      </c>
      <c r="E1167" s="261">
        <v>0.2</v>
      </c>
      <c r="F1167" s="261">
        <v>0.6</v>
      </c>
      <c r="G1167" s="261">
        <v>3.6</v>
      </c>
      <c r="H1167" s="261">
        <v>1</v>
      </c>
      <c r="I1167" s="261"/>
      <c r="J1167" s="259"/>
      <c r="K1167" s="260">
        <f t="shared" si="34"/>
        <v>0.432</v>
      </c>
      <c r="L1167" s="266" t="s">
        <v>1714</v>
      </c>
    </row>
    <row r="1168" spans="2:12">
      <c r="B1168" s="256" t="s">
        <v>1406</v>
      </c>
      <c r="C1168" s="250" t="s">
        <v>1611</v>
      </c>
      <c r="D1168" s="205" t="s">
        <v>110</v>
      </c>
      <c r="E1168" s="261">
        <v>0.4</v>
      </c>
      <c r="F1168" s="261">
        <v>0.4</v>
      </c>
      <c r="G1168" s="261">
        <v>3.6</v>
      </c>
      <c r="H1168" s="261">
        <v>1</v>
      </c>
      <c r="I1168" s="261"/>
      <c r="J1168" s="259"/>
      <c r="K1168" s="260">
        <f t="shared" si="34"/>
        <v>0.57600000000000018</v>
      </c>
      <c r="L1168" s="266" t="s">
        <v>1714</v>
      </c>
    </row>
    <row r="1169" spans="2:12">
      <c r="B1169" s="256" t="s">
        <v>1407</v>
      </c>
      <c r="C1169" s="250" t="s">
        <v>1611</v>
      </c>
      <c r="D1169" s="205" t="s">
        <v>110</v>
      </c>
      <c r="E1169" s="261">
        <v>0.5</v>
      </c>
      <c r="F1169" s="261">
        <v>0.4</v>
      </c>
      <c r="G1169" s="261">
        <v>3.6</v>
      </c>
      <c r="H1169" s="261">
        <v>1</v>
      </c>
      <c r="I1169" s="261"/>
      <c r="J1169" s="259"/>
      <c r="K1169" s="260">
        <f t="shared" si="34"/>
        <v>0.72000000000000008</v>
      </c>
      <c r="L1169" s="266" t="s">
        <v>1714</v>
      </c>
    </row>
    <row r="1170" spans="2:12">
      <c r="B1170" s="256" t="s">
        <v>1408</v>
      </c>
      <c r="C1170" s="250" t="s">
        <v>1611</v>
      </c>
      <c r="D1170" s="205" t="s">
        <v>110</v>
      </c>
      <c r="E1170" s="261">
        <v>0.5</v>
      </c>
      <c r="F1170" s="261">
        <v>0.4</v>
      </c>
      <c r="G1170" s="261">
        <v>3.6</v>
      </c>
      <c r="H1170" s="261">
        <v>1</v>
      </c>
      <c r="I1170" s="261"/>
      <c r="J1170" s="259"/>
      <c r="K1170" s="260">
        <f t="shared" si="34"/>
        <v>0.72000000000000008</v>
      </c>
      <c r="L1170" s="266" t="s">
        <v>1714</v>
      </c>
    </row>
    <row r="1171" spans="2:12">
      <c r="B1171" s="256" t="s">
        <v>1409</v>
      </c>
      <c r="C1171" s="250" t="s">
        <v>1611</v>
      </c>
      <c r="D1171" s="205" t="s">
        <v>110</v>
      </c>
      <c r="E1171" s="261">
        <v>0.2</v>
      </c>
      <c r="F1171" s="261">
        <v>1</v>
      </c>
      <c r="G1171" s="261">
        <v>3.6</v>
      </c>
      <c r="H1171" s="261">
        <v>1</v>
      </c>
      <c r="I1171" s="261"/>
      <c r="J1171" s="259"/>
      <c r="K1171" s="260">
        <f t="shared" si="34"/>
        <v>0.72000000000000008</v>
      </c>
      <c r="L1171" s="266" t="s">
        <v>1714</v>
      </c>
    </row>
    <row r="1172" spans="2:12">
      <c r="B1172" s="256" t="s">
        <v>1410</v>
      </c>
      <c r="C1172" s="250" t="s">
        <v>1611</v>
      </c>
      <c r="D1172" s="205" t="s">
        <v>110</v>
      </c>
      <c r="E1172" s="261">
        <v>0.45</v>
      </c>
      <c r="F1172" s="261">
        <v>0.3</v>
      </c>
      <c r="G1172" s="261">
        <v>3.6</v>
      </c>
      <c r="H1172" s="261">
        <v>1</v>
      </c>
      <c r="I1172" s="261"/>
      <c r="J1172" s="259"/>
      <c r="K1172" s="260">
        <f t="shared" si="34"/>
        <v>0.48600000000000004</v>
      </c>
      <c r="L1172" s="266" t="s">
        <v>1714</v>
      </c>
    </row>
    <row r="1173" spans="2:12">
      <c r="B1173" s="256" t="s">
        <v>1412</v>
      </c>
      <c r="C1173" s="250" t="s">
        <v>1611</v>
      </c>
      <c r="D1173" s="205" t="s">
        <v>110</v>
      </c>
      <c r="E1173" s="261">
        <v>0.55000000000000004</v>
      </c>
      <c r="F1173" s="261">
        <v>0.3</v>
      </c>
      <c r="G1173" s="261">
        <v>3.6</v>
      </c>
      <c r="H1173" s="261">
        <v>1</v>
      </c>
      <c r="I1173" s="261"/>
      <c r="J1173" s="259"/>
      <c r="K1173" s="260">
        <f t="shared" si="34"/>
        <v>0.59400000000000008</v>
      </c>
      <c r="L1173" s="266" t="s">
        <v>1714</v>
      </c>
    </row>
    <row r="1174" spans="2:12">
      <c r="B1174" s="256" t="s">
        <v>1414</v>
      </c>
      <c r="C1174" s="250" t="s">
        <v>1611</v>
      </c>
      <c r="D1174" s="205" t="s">
        <v>110</v>
      </c>
      <c r="E1174" s="261">
        <v>0.55000000000000004</v>
      </c>
      <c r="F1174" s="261">
        <v>0.3</v>
      </c>
      <c r="G1174" s="261">
        <v>3.6</v>
      </c>
      <c r="H1174" s="261">
        <v>1</v>
      </c>
      <c r="I1174" s="261"/>
      <c r="J1174" s="259"/>
      <c r="K1174" s="260">
        <f t="shared" si="34"/>
        <v>0.59400000000000008</v>
      </c>
      <c r="L1174" s="266" t="s">
        <v>1714</v>
      </c>
    </row>
    <row r="1175" spans="2:12">
      <c r="B1175" s="256" t="s">
        <v>1416</v>
      </c>
      <c r="C1175" s="250" t="s">
        <v>1611</v>
      </c>
      <c r="D1175" s="205" t="s">
        <v>110</v>
      </c>
      <c r="E1175" s="261">
        <v>0.45</v>
      </c>
      <c r="F1175" s="261">
        <v>0.3</v>
      </c>
      <c r="G1175" s="261">
        <v>3.6</v>
      </c>
      <c r="H1175" s="261">
        <v>1</v>
      </c>
      <c r="I1175" s="261"/>
      <c r="J1175" s="259"/>
      <c r="K1175" s="260">
        <f t="shared" si="34"/>
        <v>0.48600000000000004</v>
      </c>
      <c r="L1175" s="266" t="s">
        <v>1714</v>
      </c>
    </row>
    <row r="1176" spans="2:12">
      <c r="B1176" s="256" t="s">
        <v>1418</v>
      </c>
      <c r="C1176" s="250" t="s">
        <v>1611</v>
      </c>
      <c r="D1176" s="205" t="s">
        <v>110</v>
      </c>
      <c r="E1176" s="261">
        <v>0.2</v>
      </c>
      <c r="F1176" s="261">
        <v>0.8</v>
      </c>
      <c r="G1176" s="261">
        <v>3.6</v>
      </c>
      <c r="H1176" s="261">
        <v>1</v>
      </c>
      <c r="I1176" s="261"/>
      <c r="J1176" s="259"/>
      <c r="K1176" s="260">
        <f t="shared" si="34"/>
        <v>0.57600000000000018</v>
      </c>
      <c r="L1176" s="266" t="s">
        <v>1714</v>
      </c>
    </row>
    <row r="1177" spans="2:12">
      <c r="B1177" s="256" t="s">
        <v>1411</v>
      </c>
      <c r="C1177" s="250" t="s">
        <v>1611</v>
      </c>
      <c r="D1177" s="205" t="s">
        <v>110</v>
      </c>
      <c r="E1177" s="261">
        <v>0.45</v>
      </c>
      <c r="F1177" s="261">
        <v>0.3</v>
      </c>
      <c r="G1177" s="261">
        <v>3.6</v>
      </c>
      <c r="H1177" s="261">
        <v>1</v>
      </c>
      <c r="I1177" s="261"/>
      <c r="J1177" s="259"/>
      <c r="K1177" s="260">
        <f t="shared" si="34"/>
        <v>0.48600000000000004</v>
      </c>
      <c r="L1177" s="266" t="s">
        <v>1682</v>
      </c>
    </row>
    <row r="1178" spans="2:12">
      <c r="B1178" s="256" t="s">
        <v>1413</v>
      </c>
      <c r="C1178" s="250" t="s">
        <v>1611</v>
      </c>
      <c r="D1178" s="205" t="s">
        <v>110</v>
      </c>
      <c r="E1178" s="261">
        <v>0.55000000000000004</v>
      </c>
      <c r="F1178" s="261">
        <v>0.3</v>
      </c>
      <c r="G1178" s="261">
        <v>3.6</v>
      </c>
      <c r="H1178" s="261">
        <v>1</v>
      </c>
      <c r="I1178" s="261"/>
      <c r="J1178" s="259"/>
      <c r="K1178" s="260">
        <f t="shared" si="34"/>
        <v>0.59400000000000008</v>
      </c>
      <c r="L1178" s="266" t="s">
        <v>1682</v>
      </c>
    </row>
    <row r="1179" spans="2:12">
      <c r="B1179" s="256" t="s">
        <v>1415</v>
      </c>
      <c r="C1179" s="250" t="s">
        <v>1611</v>
      </c>
      <c r="D1179" s="205" t="s">
        <v>110</v>
      </c>
      <c r="E1179" s="261">
        <v>0.55000000000000004</v>
      </c>
      <c r="F1179" s="261">
        <v>0.3</v>
      </c>
      <c r="G1179" s="261">
        <v>3.6</v>
      </c>
      <c r="H1179" s="261">
        <v>1</v>
      </c>
      <c r="I1179" s="261"/>
      <c r="J1179" s="259"/>
      <c r="K1179" s="260">
        <f t="shared" si="34"/>
        <v>0.59400000000000008</v>
      </c>
      <c r="L1179" s="266" t="s">
        <v>1682</v>
      </c>
    </row>
    <row r="1180" spans="2:12">
      <c r="B1180" s="256" t="s">
        <v>1417</v>
      </c>
      <c r="C1180" s="250" t="s">
        <v>1611</v>
      </c>
      <c r="D1180" s="205" t="s">
        <v>110</v>
      </c>
      <c r="E1180" s="261">
        <v>0.45</v>
      </c>
      <c r="F1180" s="261">
        <v>0.3</v>
      </c>
      <c r="G1180" s="261">
        <v>3.6</v>
      </c>
      <c r="H1180" s="261">
        <v>1</v>
      </c>
      <c r="I1180" s="261"/>
      <c r="J1180" s="259"/>
      <c r="K1180" s="260">
        <f t="shared" si="34"/>
        <v>0.48600000000000004</v>
      </c>
      <c r="L1180" s="266" t="s">
        <v>1682</v>
      </c>
    </row>
    <row r="1181" spans="2:12">
      <c r="B1181" s="256" t="s">
        <v>1419</v>
      </c>
      <c r="C1181" s="250" t="s">
        <v>1611</v>
      </c>
      <c r="D1181" s="205" t="s">
        <v>110</v>
      </c>
      <c r="E1181" s="261">
        <v>0.2</v>
      </c>
      <c r="F1181" s="261">
        <v>0.8</v>
      </c>
      <c r="G1181" s="261">
        <v>3.6</v>
      </c>
      <c r="H1181" s="261">
        <v>1</v>
      </c>
      <c r="I1181" s="261"/>
      <c r="J1181" s="259"/>
      <c r="K1181" s="260">
        <f t="shared" si="34"/>
        <v>0.57600000000000018</v>
      </c>
      <c r="L1181" s="266" t="s">
        <v>1682</v>
      </c>
    </row>
    <row r="1182" spans="2:12">
      <c r="B1182" s="256" t="s">
        <v>1420</v>
      </c>
      <c r="C1182" s="250" t="s">
        <v>1611</v>
      </c>
      <c r="D1182" s="205" t="s">
        <v>110</v>
      </c>
      <c r="E1182" s="261">
        <v>0.3</v>
      </c>
      <c r="F1182" s="261">
        <v>0.8</v>
      </c>
      <c r="G1182" s="261">
        <v>3.6</v>
      </c>
      <c r="H1182" s="261">
        <v>1</v>
      </c>
      <c r="I1182" s="261"/>
      <c r="J1182" s="259"/>
      <c r="K1182" s="260">
        <f t="shared" si="34"/>
        <v>0.86399999999999999</v>
      </c>
      <c r="L1182" s="266" t="s">
        <v>1682</v>
      </c>
    </row>
    <row r="1183" spans="2:12">
      <c r="B1183" s="256" t="s">
        <v>1421</v>
      </c>
      <c r="C1183" s="250" t="s">
        <v>1611</v>
      </c>
      <c r="D1183" s="205" t="s">
        <v>110</v>
      </c>
      <c r="E1183" s="261">
        <v>0.2</v>
      </c>
      <c r="F1183" s="261">
        <v>0.8</v>
      </c>
      <c r="G1183" s="261">
        <v>3.6</v>
      </c>
      <c r="H1183" s="261">
        <v>1</v>
      </c>
      <c r="I1183" s="261"/>
      <c r="J1183" s="259"/>
      <c r="K1183" s="260">
        <f t="shared" si="34"/>
        <v>0.57600000000000018</v>
      </c>
      <c r="L1183" s="266" t="s">
        <v>1682</v>
      </c>
    </row>
    <row r="1184" spans="2:12">
      <c r="B1184" s="256" t="s">
        <v>1422</v>
      </c>
      <c r="C1184" s="250" t="s">
        <v>1611</v>
      </c>
      <c r="D1184" s="205" t="s">
        <v>110</v>
      </c>
      <c r="E1184" s="261">
        <v>0.3</v>
      </c>
      <c r="F1184" s="261">
        <v>0.8</v>
      </c>
      <c r="G1184" s="261">
        <v>3.6</v>
      </c>
      <c r="H1184" s="261">
        <v>1</v>
      </c>
      <c r="I1184" s="261"/>
      <c r="J1184" s="259"/>
      <c r="K1184" s="260">
        <f t="shared" si="34"/>
        <v>0.86399999999999999</v>
      </c>
      <c r="L1184" s="266" t="s">
        <v>1682</v>
      </c>
    </row>
    <row r="1185" spans="2:12">
      <c r="B1185" s="256" t="s">
        <v>1423</v>
      </c>
      <c r="C1185" s="250" t="s">
        <v>1611</v>
      </c>
      <c r="D1185" s="205" t="s">
        <v>110</v>
      </c>
      <c r="E1185" s="261">
        <v>0.4</v>
      </c>
      <c r="F1185" s="261">
        <v>0.7</v>
      </c>
      <c r="G1185" s="261">
        <v>3.6</v>
      </c>
      <c r="H1185" s="261">
        <v>1</v>
      </c>
      <c r="I1185" s="261"/>
      <c r="J1185" s="259"/>
      <c r="K1185" s="260">
        <f t="shared" si="34"/>
        <v>1.008</v>
      </c>
      <c r="L1185" s="266" t="s">
        <v>1682</v>
      </c>
    </row>
    <row r="1186" spans="2:12">
      <c r="B1186" s="256" t="s">
        <v>1424</v>
      </c>
      <c r="C1186" s="250" t="s">
        <v>1611</v>
      </c>
      <c r="D1186" s="205" t="s">
        <v>110</v>
      </c>
      <c r="E1186" s="261">
        <v>0.5</v>
      </c>
      <c r="F1186" s="261">
        <v>0.7</v>
      </c>
      <c r="G1186" s="261">
        <v>3.6</v>
      </c>
      <c r="H1186" s="261">
        <v>1</v>
      </c>
      <c r="I1186" s="261"/>
      <c r="J1186" s="259"/>
      <c r="K1186" s="260">
        <f t="shared" si="34"/>
        <v>1.26</v>
      </c>
      <c r="L1186" s="266" t="s">
        <v>1682</v>
      </c>
    </row>
    <row r="1187" spans="2:12">
      <c r="B1187" s="256" t="s">
        <v>1425</v>
      </c>
      <c r="C1187" s="250" t="s">
        <v>1611</v>
      </c>
      <c r="D1187" s="205" t="s">
        <v>110</v>
      </c>
      <c r="E1187" s="261">
        <v>0.5</v>
      </c>
      <c r="F1187" s="261">
        <v>0.7</v>
      </c>
      <c r="G1187" s="261">
        <v>3.6</v>
      </c>
      <c r="H1187" s="261">
        <v>1</v>
      </c>
      <c r="I1187" s="261"/>
      <c r="J1187" s="259"/>
      <c r="K1187" s="260">
        <f t="shared" si="34"/>
        <v>1.26</v>
      </c>
      <c r="L1187" s="266" t="s">
        <v>1682</v>
      </c>
    </row>
    <row r="1188" spans="2:12">
      <c r="B1188" s="256" t="s">
        <v>1426</v>
      </c>
      <c r="C1188" s="250" t="s">
        <v>1611</v>
      </c>
      <c r="D1188" s="205" t="s">
        <v>110</v>
      </c>
      <c r="E1188" s="261">
        <v>0.4</v>
      </c>
      <c r="F1188" s="261">
        <v>0.5</v>
      </c>
      <c r="G1188" s="261">
        <v>3.6</v>
      </c>
      <c r="H1188" s="261">
        <v>1</v>
      </c>
      <c r="I1188" s="261"/>
      <c r="J1188" s="259"/>
      <c r="K1188" s="260">
        <f t="shared" si="34"/>
        <v>0.72000000000000008</v>
      </c>
      <c r="L1188" s="266" t="s">
        <v>1682</v>
      </c>
    </row>
    <row r="1189" spans="2:12">
      <c r="B1189" s="256" t="s">
        <v>1485</v>
      </c>
      <c r="C1189" s="250" t="s">
        <v>1611</v>
      </c>
      <c r="D1189" s="205" t="s">
        <v>110</v>
      </c>
      <c r="E1189" s="261">
        <v>0.6</v>
      </c>
      <c r="F1189" s="261">
        <v>0.4</v>
      </c>
      <c r="G1189" s="261">
        <v>3.6</v>
      </c>
      <c r="H1189" s="261">
        <v>1</v>
      </c>
      <c r="I1189" s="261"/>
      <c r="J1189" s="259"/>
      <c r="K1189" s="260">
        <f t="shared" si="34"/>
        <v>0.86399999999999999</v>
      </c>
      <c r="L1189" s="266" t="s">
        <v>1682</v>
      </c>
    </row>
    <row r="1190" spans="2:12">
      <c r="B1190" s="256" t="s">
        <v>1486</v>
      </c>
      <c r="C1190" s="250" t="s">
        <v>1611</v>
      </c>
      <c r="D1190" s="205" t="s">
        <v>110</v>
      </c>
      <c r="E1190" s="261">
        <v>0.2</v>
      </c>
      <c r="F1190" s="261">
        <v>2.94</v>
      </c>
      <c r="G1190" s="261">
        <v>3.6</v>
      </c>
      <c r="H1190" s="261">
        <v>1</v>
      </c>
      <c r="I1190" s="261"/>
      <c r="J1190" s="259"/>
      <c r="K1190" s="260">
        <f t="shared" si="34"/>
        <v>2.1168</v>
      </c>
      <c r="L1190" s="266" t="s">
        <v>1682</v>
      </c>
    </row>
    <row r="1191" spans="2:12">
      <c r="B1191" s="256" t="s">
        <v>1487</v>
      </c>
      <c r="C1191" s="250" t="s">
        <v>1611</v>
      </c>
      <c r="D1191" s="205" t="s">
        <v>110</v>
      </c>
      <c r="E1191" s="261">
        <v>0.2</v>
      </c>
      <c r="F1191" s="261">
        <v>2.94</v>
      </c>
      <c r="G1191" s="261">
        <v>3.6</v>
      </c>
      <c r="H1191" s="261">
        <v>1</v>
      </c>
      <c r="I1191" s="261"/>
      <c r="J1191" s="259"/>
      <c r="K1191" s="260">
        <f t="shared" si="34"/>
        <v>2.1168</v>
      </c>
      <c r="L1191" s="266" t="s">
        <v>1682</v>
      </c>
    </row>
    <row r="1192" spans="2:12">
      <c r="B1192" s="256" t="s">
        <v>1488</v>
      </c>
      <c r="C1192" s="250" t="s">
        <v>1611</v>
      </c>
      <c r="D1192" s="205" t="s">
        <v>110</v>
      </c>
      <c r="E1192" s="261">
        <v>0.6</v>
      </c>
      <c r="F1192" s="261">
        <v>0.5</v>
      </c>
      <c r="G1192" s="261">
        <v>3.6</v>
      </c>
      <c r="H1192" s="261">
        <v>1</v>
      </c>
      <c r="I1192" s="261"/>
      <c r="J1192" s="259"/>
      <c r="K1192" s="260">
        <f t="shared" si="34"/>
        <v>1.08</v>
      </c>
      <c r="L1192" s="266" t="s">
        <v>1682</v>
      </c>
    </row>
    <row r="1193" spans="2:12">
      <c r="B1193" s="256" t="s">
        <v>1489</v>
      </c>
      <c r="C1193" s="250" t="s">
        <v>1611</v>
      </c>
      <c r="D1193" s="205" t="s">
        <v>110</v>
      </c>
      <c r="E1193" s="261">
        <v>0.4</v>
      </c>
      <c r="F1193" s="261">
        <v>0.4</v>
      </c>
      <c r="G1193" s="261">
        <v>3.6</v>
      </c>
      <c r="H1193" s="261">
        <v>1</v>
      </c>
      <c r="I1193" s="261"/>
      <c r="J1193" s="259"/>
      <c r="K1193" s="260">
        <f t="shared" si="34"/>
        <v>0.57600000000000018</v>
      </c>
      <c r="L1193" s="266" t="s">
        <v>1682</v>
      </c>
    </row>
    <row r="1194" spans="2:12">
      <c r="B1194" s="256" t="s">
        <v>1490</v>
      </c>
      <c r="C1194" s="250" t="s">
        <v>1611</v>
      </c>
      <c r="D1194" s="205" t="s">
        <v>110</v>
      </c>
      <c r="E1194" s="261">
        <v>0.2</v>
      </c>
      <c r="F1194" s="261">
        <v>0.8</v>
      </c>
      <c r="G1194" s="261">
        <v>3.6</v>
      </c>
      <c r="H1194" s="261">
        <v>1</v>
      </c>
      <c r="I1194" s="261"/>
      <c r="J1194" s="259"/>
      <c r="K1194" s="260">
        <f t="shared" si="34"/>
        <v>0.57600000000000018</v>
      </c>
      <c r="L1194" s="266" t="s">
        <v>1682</v>
      </c>
    </row>
    <row r="1195" spans="2:12">
      <c r="B1195" s="256" t="s">
        <v>1493</v>
      </c>
      <c r="C1195" s="250" t="s">
        <v>1611</v>
      </c>
      <c r="D1195" s="205" t="s">
        <v>110</v>
      </c>
      <c r="E1195" s="261">
        <v>0.4</v>
      </c>
      <c r="F1195" s="261">
        <v>0.4</v>
      </c>
      <c r="G1195" s="261">
        <v>3.6</v>
      </c>
      <c r="H1195" s="261">
        <v>1</v>
      </c>
      <c r="I1195" s="261"/>
      <c r="J1195" s="259"/>
      <c r="K1195" s="260">
        <f t="shared" si="34"/>
        <v>0.57600000000000018</v>
      </c>
      <c r="L1195" s="266" t="s">
        <v>1682</v>
      </c>
    </row>
    <row r="1196" spans="2:12">
      <c r="B1196" s="256" t="s">
        <v>1494</v>
      </c>
      <c r="C1196" s="250" t="s">
        <v>1611</v>
      </c>
      <c r="D1196" s="205" t="s">
        <v>110</v>
      </c>
      <c r="E1196" s="261">
        <v>0.4</v>
      </c>
      <c r="F1196" s="261">
        <v>0.4</v>
      </c>
      <c r="G1196" s="261">
        <v>3.6</v>
      </c>
      <c r="H1196" s="261">
        <v>1</v>
      </c>
      <c r="I1196" s="261"/>
      <c r="J1196" s="259"/>
      <c r="K1196" s="260">
        <f t="shared" si="34"/>
        <v>0.57600000000000018</v>
      </c>
      <c r="L1196" s="266" t="s">
        <v>1682</v>
      </c>
    </row>
    <row r="1197" spans="2:12">
      <c r="B1197" s="256" t="s">
        <v>1495</v>
      </c>
      <c r="C1197" s="250" t="s">
        <v>1611</v>
      </c>
      <c r="D1197" s="205" t="s">
        <v>110</v>
      </c>
      <c r="E1197" s="261">
        <v>0.4</v>
      </c>
      <c r="F1197" s="261">
        <v>0.4</v>
      </c>
      <c r="G1197" s="261">
        <v>3.6</v>
      </c>
      <c r="H1197" s="261">
        <v>1</v>
      </c>
      <c r="I1197" s="261"/>
      <c r="J1197" s="259"/>
      <c r="K1197" s="260">
        <f t="shared" si="34"/>
        <v>0.57600000000000018</v>
      </c>
      <c r="L1197" s="266" t="s">
        <v>1682</v>
      </c>
    </row>
    <row r="1198" spans="2:12">
      <c r="B1198" s="256" t="s">
        <v>1389</v>
      </c>
      <c r="C1198" s="264" t="s">
        <v>1612</v>
      </c>
      <c r="D1198" s="210" t="s">
        <v>110</v>
      </c>
      <c r="E1198" s="261">
        <v>0.5</v>
      </c>
      <c r="F1198" s="261">
        <v>0.4</v>
      </c>
      <c r="G1198" s="261">
        <v>3.6</v>
      </c>
      <c r="H1198" s="261">
        <v>1</v>
      </c>
      <c r="I1198" s="261"/>
      <c r="J1198" s="259"/>
      <c r="K1198" s="260">
        <f t="shared" si="34"/>
        <v>0.72000000000000008</v>
      </c>
      <c r="L1198" s="266" t="s">
        <v>1683</v>
      </c>
    </row>
    <row r="1199" spans="2:12">
      <c r="B1199" s="256" t="s">
        <v>1390</v>
      </c>
      <c r="C1199" s="264" t="s">
        <v>1612</v>
      </c>
      <c r="D1199" s="210" t="s">
        <v>110</v>
      </c>
      <c r="E1199" s="261">
        <v>1</v>
      </c>
      <c r="F1199" s="261">
        <v>0.2</v>
      </c>
      <c r="G1199" s="261">
        <v>3.6</v>
      </c>
      <c r="H1199" s="261">
        <v>1</v>
      </c>
      <c r="I1199" s="261"/>
      <c r="J1199" s="259"/>
      <c r="K1199" s="260">
        <f t="shared" ref="K1199:K1262" si="35">IF(E1199*F1199*G1199&lt;&gt;0,E1199*F1199*G1199,IF(E1199*F1199&lt;&gt;0,E1199*F1199,IF(F1199*G1199&lt;&gt;0,F1199*G1199,IF(E1199*G1199&lt;&gt;0,E1199*G1199,IF(E1199&lt;&gt;0,E1199,IF(F1199&lt;&gt;0,F1199,IF(G1199&lt;&gt;0,G1199,0)))))))*(IF(H1199&lt;&gt;0,H1199,1))+I1199-J1199</f>
        <v>0.72000000000000008</v>
      </c>
      <c r="L1199" s="266" t="s">
        <v>1683</v>
      </c>
    </row>
    <row r="1200" spans="2:12">
      <c r="B1200" s="256" t="s">
        <v>1391</v>
      </c>
      <c r="C1200" s="264" t="s">
        <v>1612</v>
      </c>
      <c r="D1200" s="210" t="s">
        <v>110</v>
      </c>
      <c r="E1200" s="261">
        <v>1</v>
      </c>
      <c r="F1200" s="261">
        <v>0.2</v>
      </c>
      <c r="G1200" s="261">
        <v>3.6</v>
      </c>
      <c r="H1200" s="261">
        <v>1</v>
      </c>
      <c r="I1200" s="261"/>
      <c r="J1200" s="259"/>
      <c r="K1200" s="260">
        <f t="shared" si="35"/>
        <v>0.72000000000000008</v>
      </c>
      <c r="L1200" s="266" t="s">
        <v>1683</v>
      </c>
    </row>
    <row r="1201" spans="2:12">
      <c r="B1201" s="256" t="s">
        <v>1392</v>
      </c>
      <c r="C1201" s="264" t="s">
        <v>1612</v>
      </c>
      <c r="D1201" s="210" t="s">
        <v>110</v>
      </c>
      <c r="E1201" s="261">
        <v>0.4</v>
      </c>
      <c r="F1201" s="261">
        <v>0.4</v>
      </c>
      <c r="G1201" s="261">
        <v>3.6</v>
      </c>
      <c r="H1201" s="261">
        <v>1</v>
      </c>
      <c r="I1201" s="261"/>
      <c r="J1201" s="259"/>
      <c r="K1201" s="260">
        <f t="shared" si="35"/>
        <v>0.57600000000000018</v>
      </c>
      <c r="L1201" s="266" t="s">
        <v>1683</v>
      </c>
    </row>
    <row r="1202" spans="2:12">
      <c r="B1202" s="256" t="s">
        <v>1394</v>
      </c>
      <c r="C1202" s="264" t="s">
        <v>1612</v>
      </c>
      <c r="D1202" s="210" t="s">
        <v>110</v>
      </c>
      <c r="E1202" s="261">
        <v>0.4</v>
      </c>
      <c r="F1202" s="261">
        <v>0.4</v>
      </c>
      <c r="G1202" s="261">
        <v>3.6</v>
      </c>
      <c r="H1202" s="261">
        <v>1</v>
      </c>
      <c r="I1202" s="261"/>
      <c r="J1202" s="259"/>
      <c r="K1202" s="260">
        <f t="shared" si="35"/>
        <v>0.57600000000000018</v>
      </c>
      <c r="L1202" s="266" t="s">
        <v>1683</v>
      </c>
    </row>
    <row r="1203" spans="2:12">
      <c r="B1203" s="256" t="s">
        <v>1395</v>
      </c>
      <c r="C1203" s="264" t="s">
        <v>1612</v>
      </c>
      <c r="D1203" s="210" t="s">
        <v>110</v>
      </c>
      <c r="E1203" s="261">
        <v>0.5</v>
      </c>
      <c r="F1203" s="261">
        <v>0.4</v>
      </c>
      <c r="G1203" s="261">
        <v>3.6</v>
      </c>
      <c r="H1203" s="261">
        <v>1</v>
      </c>
      <c r="I1203" s="261"/>
      <c r="J1203" s="259"/>
      <c r="K1203" s="260">
        <f t="shared" si="35"/>
        <v>0.72000000000000008</v>
      </c>
      <c r="L1203" s="266" t="s">
        <v>1683</v>
      </c>
    </row>
    <row r="1204" spans="2:12">
      <c r="B1204" s="256" t="s">
        <v>1396</v>
      </c>
      <c r="C1204" s="264" t="s">
        <v>1612</v>
      </c>
      <c r="D1204" s="210" t="s">
        <v>110</v>
      </c>
      <c r="E1204" s="261">
        <v>0.5</v>
      </c>
      <c r="F1204" s="261">
        <v>0.4</v>
      </c>
      <c r="G1204" s="261">
        <v>3.6</v>
      </c>
      <c r="H1204" s="261">
        <v>1</v>
      </c>
      <c r="I1204" s="261"/>
      <c r="J1204" s="259"/>
      <c r="K1204" s="260">
        <f t="shared" si="35"/>
        <v>0.72000000000000008</v>
      </c>
      <c r="L1204" s="266" t="s">
        <v>1683</v>
      </c>
    </row>
    <row r="1205" spans="2:12">
      <c r="B1205" s="256" t="s">
        <v>1397</v>
      </c>
      <c r="C1205" s="264" t="s">
        <v>1612</v>
      </c>
      <c r="D1205" s="210" t="s">
        <v>110</v>
      </c>
      <c r="E1205" s="261">
        <v>1</v>
      </c>
      <c r="F1205" s="261">
        <v>0.2</v>
      </c>
      <c r="G1205" s="261">
        <v>3.6</v>
      </c>
      <c r="H1205" s="261">
        <v>1</v>
      </c>
      <c r="I1205" s="261"/>
      <c r="J1205" s="259"/>
      <c r="K1205" s="260">
        <f t="shared" si="35"/>
        <v>0.72000000000000008</v>
      </c>
      <c r="L1205" s="266" t="s">
        <v>1683</v>
      </c>
    </row>
    <row r="1206" spans="2:12">
      <c r="B1206" s="256" t="s">
        <v>1399</v>
      </c>
      <c r="C1206" s="264" t="s">
        <v>1612</v>
      </c>
      <c r="D1206" s="210" t="s">
        <v>110</v>
      </c>
      <c r="E1206" s="261">
        <v>0.4</v>
      </c>
      <c r="F1206" s="261">
        <v>0.4</v>
      </c>
      <c r="G1206" s="261">
        <v>3.6</v>
      </c>
      <c r="H1206" s="261">
        <v>1</v>
      </c>
      <c r="I1206" s="261"/>
      <c r="J1206" s="259"/>
      <c r="K1206" s="260">
        <f t="shared" si="35"/>
        <v>0.57600000000000018</v>
      </c>
      <c r="L1206" s="266" t="s">
        <v>1683</v>
      </c>
    </row>
    <row r="1207" spans="2:12">
      <c r="B1207" s="256" t="s">
        <v>1400</v>
      </c>
      <c r="C1207" s="264" t="s">
        <v>1612</v>
      </c>
      <c r="D1207" s="210" t="s">
        <v>110</v>
      </c>
      <c r="E1207" s="261">
        <v>0.5</v>
      </c>
      <c r="F1207" s="261">
        <v>0.4</v>
      </c>
      <c r="G1207" s="261">
        <v>3.6</v>
      </c>
      <c r="H1207" s="261">
        <v>1</v>
      </c>
      <c r="I1207" s="261"/>
      <c r="J1207" s="259"/>
      <c r="K1207" s="260">
        <f t="shared" si="35"/>
        <v>0.72000000000000008</v>
      </c>
      <c r="L1207" s="266" t="s">
        <v>1683</v>
      </c>
    </row>
    <row r="1208" spans="2:12">
      <c r="B1208" s="256" t="s">
        <v>1401</v>
      </c>
      <c r="C1208" s="264" t="s">
        <v>1612</v>
      </c>
      <c r="D1208" s="210" t="s">
        <v>110</v>
      </c>
      <c r="E1208" s="261">
        <v>0.5</v>
      </c>
      <c r="F1208" s="261">
        <v>0.4</v>
      </c>
      <c r="G1208" s="261">
        <v>3.6</v>
      </c>
      <c r="H1208" s="261">
        <v>1</v>
      </c>
      <c r="I1208" s="261"/>
      <c r="J1208" s="259"/>
      <c r="K1208" s="260">
        <f t="shared" si="35"/>
        <v>0.72000000000000008</v>
      </c>
      <c r="L1208" s="266" t="s">
        <v>1683</v>
      </c>
    </row>
    <row r="1209" spans="2:12">
      <c r="B1209" s="256" t="s">
        <v>1402</v>
      </c>
      <c r="C1209" s="264" t="s">
        <v>1612</v>
      </c>
      <c r="D1209" s="210" t="s">
        <v>110</v>
      </c>
      <c r="E1209" s="261">
        <v>1</v>
      </c>
      <c r="F1209" s="261">
        <v>0.2</v>
      </c>
      <c r="G1209" s="261">
        <v>3.6</v>
      </c>
      <c r="H1209" s="261">
        <v>1</v>
      </c>
      <c r="I1209" s="261"/>
      <c r="J1209" s="259"/>
      <c r="K1209" s="260">
        <f t="shared" si="35"/>
        <v>0.72000000000000008</v>
      </c>
      <c r="L1209" s="266" t="s">
        <v>1683</v>
      </c>
    </row>
    <row r="1210" spans="2:12">
      <c r="B1210" s="256" t="s">
        <v>1404</v>
      </c>
      <c r="C1210" s="264" t="s">
        <v>1612</v>
      </c>
      <c r="D1210" s="210" t="s">
        <v>110</v>
      </c>
      <c r="E1210" s="261">
        <v>0.2</v>
      </c>
      <c r="F1210" s="261">
        <v>0.6</v>
      </c>
      <c r="G1210" s="261">
        <v>3.6</v>
      </c>
      <c r="H1210" s="261">
        <v>1</v>
      </c>
      <c r="I1210" s="261"/>
      <c r="J1210" s="259"/>
      <c r="K1210" s="260">
        <f t="shared" si="35"/>
        <v>0.432</v>
      </c>
      <c r="L1210" s="266" t="s">
        <v>1683</v>
      </c>
    </row>
    <row r="1211" spans="2:12">
      <c r="B1211" s="256" t="s">
        <v>1405</v>
      </c>
      <c r="C1211" s="264" t="s">
        <v>1612</v>
      </c>
      <c r="D1211" s="210" t="s">
        <v>110</v>
      </c>
      <c r="E1211" s="261">
        <v>0.2</v>
      </c>
      <c r="F1211" s="261">
        <v>0.6</v>
      </c>
      <c r="G1211" s="261">
        <v>3.6</v>
      </c>
      <c r="H1211" s="261">
        <v>1</v>
      </c>
      <c r="I1211" s="261"/>
      <c r="J1211" s="259"/>
      <c r="K1211" s="260">
        <f t="shared" si="35"/>
        <v>0.432</v>
      </c>
      <c r="L1211" s="266" t="s">
        <v>1683</v>
      </c>
    </row>
    <row r="1212" spans="2:12">
      <c r="B1212" s="256" t="s">
        <v>1406</v>
      </c>
      <c r="C1212" s="264" t="s">
        <v>1612</v>
      </c>
      <c r="D1212" s="210" t="s">
        <v>110</v>
      </c>
      <c r="E1212" s="261">
        <v>0.4</v>
      </c>
      <c r="F1212" s="261">
        <v>0.4</v>
      </c>
      <c r="G1212" s="261">
        <v>3.6</v>
      </c>
      <c r="H1212" s="261">
        <v>1</v>
      </c>
      <c r="I1212" s="261"/>
      <c r="J1212" s="259"/>
      <c r="K1212" s="260">
        <f t="shared" si="35"/>
        <v>0.57600000000000018</v>
      </c>
      <c r="L1212" s="266" t="s">
        <v>1683</v>
      </c>
    </row>
    <row r="1213" spans="2:12">
      <c r="B1213" s="256" t="s">
        <v>1407</v>
      </c>
      <c r="C1213" s="264" t="s">
        <v>1612</v>
      </c>
      <c r="D1213" s="210" t="s">
        <v>110</v>
      </c>
      <c r="E1213" s="261">
        <v>0.5</v>
      </c>
      <c r="F1213" s="261">
        <v>0.4</v>
      </c>
      <c r="G1213" s="261">
        <v>3.6</v>
      </c>
      <c r="H1213" s="261">
        <v>1</v>
      </c>
      <c r="I1213" s="261"/>
      <c r="J1213" s="259"/>
      <c r="K1213" s="260">
        <f t="shared" si="35"/>
        <v>0.72000000000000008</v>
      </c>
      <c r="L1213" s="266" t="s">
        <v>1683</v>
      </c>
    </row>
    <row r="1214" spans="2:12">
      <c r="B1214" s="256" t="s">
        <v>1408</v>
      </c>
      <c r="C1214" s="264" t="s">
        <v>1612</v>
      </c>
      <c r="D1214" s="210" t="s">
        <v>110</v>
      </c>
      <c r="E1214" s="261">
        <v>0.5</v>
      </c>
      <c r="F1214" s="261">
        <v>0.4</v>
      </c>
      <c r="G1214" s="261">
        <v>3.6</v>
      </c>
      <c r="H1214" s="261">
        <v>1</v>
      </c>
      <c r="I1214" s="261"/>
      <c r="J1214" s="259"/>
      <c r="K1214" s="260">
        <f t="shared" si="35"/>
        <v>0.72000000000000008</v>
      </c>
      <c r="L1214" s="266" t="s">
        <v>1683</v>
      </c>
    </row>
    <row r="1215" spans="2:12">
      <c r="B1215" s="256" t="s">
        <v>1409</v>
      </c>
      <c r="C1215" s="264" t="s">
        <v>1612</v>
      </c>
      <c r="D1215" s="210" t="s">
        <v>110</v>
      </c>
      <c r="E1215" s="261">
        <v>0.2</v>
      </c>
      <c r="F1215" s="261">
        <v>1</v>
      </c>
      <c r="G1215" s="261">
        <v>3.6</v>
      </c>
      <c r="H1215" s="261">
        <v>1</v>
      </c>
      <c r="I1215" s="261"/>
      <c r="J1215" s="259"/>
      <c r="K1215" s="260">
        <f t="shared" si="35"/>
        <v>0.72000000000000008</v>
      </c>
      <c r="L1215" s="266" t="s">
        <v>1683</v>
      </c>
    </row>
    <row r="1216" spans="2:12">
      <c r="B1216" s="256" t="s">
        <v>1410</v>
      </c>
      <c r="C1216" s="264" t="s">
        <v>1612</v>
      </c>
      <c r="D1216" s="210" t="s">
        <v>110</v>
      </c>
      <c r="E1216" s="261">
        <v>0.45</v>
      </c>
      <c r="F1216" s="261">
        <v>0.3</v>
      </c>
      <c r="G1216" s="261">
        <v>3.6</v>
      </c>
      <c r="H1216" s="261">
        <v>1</v>
      </c>
      <c r="I1216" s="261"/>
      <c r="J1216" s="259"/>
      <c r="K1216" s="260">
        <f t="shared" si="35"/>
        <v>0.48600000000000004</v>
      </c>
      <c r="L1216" s="266" t="s">
        <v>1683</v>
      </c>
    </row>
    <row r="1217" spans="2:12">
      <c r="B1217" s="256" t="s">
        <v>1412</v>
      </c>
      <c r="C1217" s="264" t="s">
        <v>1612</v>
      </c>
      <c r="D1217" s="210" t="s">
        <v>110</v>
      </c>
      <c r="E1217" s="261">
        <v>0.55000000000000004</v>
      </c>
      <c r="F1217" s="261">
        <v>0.3</v>
      </c>
      <c r="G1217" s="261">
        <v>3.6</v>
      </c>
      <c r="H1217" s="261">
        <v>1</v>
      </c>
      <c r="I1217" s="261"/>
      <c r="J1217" s="259"/>
      <c r="K1217" s="260">
        <f t="shared" si="35"/>
        <v>0.59400000000000008</v>
      </c>
      <c r="L1217" s="266" t="s">
        <v>1683</v>
      </c>
    </row>
    <row r="1218" spans="2:12">
      <c r="B1218" s="256" t="s">
        <v>1414</v>
      </c>
      <c r="C1218" s="264" t="s">
        <v>1612</v>
      </c>
      <c r="D1218" s="210" t="s">
        <v>110</v>
      </c>
      <c r="E1218" s="261">
        <v>0.55000000000000004</v>
      </c>
      <c r="F1218" s="261">
        <v>0.3</v>
      </c>
      <c r="G1218" s="261">
        <v>3.6</v>
      </c>
      <c r="H1218" s="261">
        <v>1</v>
      </c>
      <c r="I1218" s="261"/>
      <c r="J1218" s="259"/>
      <c r="K1218" s="260">
        <f t="shared" si="35"/>
        <v>0.59400000000000008</v>
      </c>
      <c r="L1218" s="266" t="s">
        <v>1683</v>
      </c>
    </row>
    <row r="1219" spans="2:12">
      <c r="B1219" s="256" t="s">
        <v>1416</v>
      </c>
      <c r="C1219" s="264" t="s">
        <v>1612</v>
      </c>
      <c r="D1219" s="210" t="s">
        <v>110</v>
      </c>
      <c r="E1219" s="261">
        <v>0.45</v>
      </c>
      <c r="F1219" s="261">
        <v>0.3</v>
      </c>
      <c r="G1219" s="261">
        <v>3.6</v>
      </c>
      <c r="H1219" s="261">
        <v>1</v>
      </c>
      <c r="I1219" s="261"/>
      <c r="J1219" s="259"/>
      <c r="K1219" s="260">
        <f t="shared" si="35"/>
        <v>0.48600000000000004</v>
      </c>
      <c r="L1219" s="266" t="s">
        <v>1683</v>
      </c>
    </row>
    <row r="1220" spans="2:12">
      <c r="B1220" s="256" t="s">
        <v>1418</v>
      </c>
      <c r="C1220" s="264" t="s">
        <v>1612</v>
      </c>
      <c r="D1220" s="210" t="s">
        <v>110</v>
      </c>
      <c r="E1220" s="261">
        <v>0.2</v>
      </c>
      <c r="F1220" s="261">
        <v>0.8</v>
      </c>
      <c r="G1220" s="261">
        <v>3.6</v>
      </c>
      <c r="H1220" s="261">
        <v>1</v>
      </c>
      <c r="I1220" s="261"/>
      <c r="J1220" s="259"/>
      <c r="K1220" s="260">
        <f t="shared" si="35"/>
        <v>0.57600000000000018</v>
      </c>
      <c r="L1220" s="266" t="s">
        <v>1683</v>
      </c>
    </row>
    <row r="1221" spans="2:12">
      <c r="B1221" s="256" t="s">
        <v>1411</v>
      </c>
      <c r="C1221" s="264" t="s">
        <v>1612</v>
      </c>
      <c r="D1221" s="205" t="s">
        <v>110</v>
      </c>
      <c r="E1221" s="261">
        <v>0.45</v>
      </c>
      <c r="F1221" s="261">
        <v>0.3</v>
      </c>
      <c r="G1221" s="261">
        <v>3.6</v>
      </c>
      <c r="H1221" s="261">
        <v>1</v>
      </c>
      <c r="I1221" s="261"/>
      <c r="J1221" s="259"/>
      <c r="K1221" s="260">
        <f t="shared" si="35"/>
        <v>0.48600000000000004</v>
      </c>
      <c r="L1221" s="266" t="s">
        <v>1682</v>
      </c>
    </row>
    <row r="1222" spans="2:12">
      <c r="B1222" s="256" t="s">
        <v>1413</v>
      </c>
      <c r="C1222" s="264" t="s">
        <v>1612</v>
      </c>
      <c r="D1222" s="205" t="s">
        <v>110</v>
      </c>
      <c r="E1222" s="261">
        <v>0.55000000000000004</v>
      </c>
      <c r="F1222" s="261">
        <v>0.3</v>
      </c>
      <c r="G1222" s="261">
        <v>3.6</v>
      </c>
      <c r="H1222" s="261">
        <v>1</v>
      </c>
      <c r="I1222" s="261"/>
      <c r="J1222" s="259"/>
      <c r="K1222" s="260">
        <f t="shared" si="35"/>
        <v>0.59400000000000008</v>
      </c>
      <c r="L1222" s="266" t="s">
        <v>1682</v>
      </c>
    </row>
    <row r="1223" spans="2:12">
      <c r="B1223" s="256" t="s">
        <v>1415</v>
      </c>
      <c r="C1223" s="264" t="s">
        <v>1612</v>
      </c>
      <c r="D1223" s="205" t="s">
        <v>110</v>
      </c>
      <c r="E1223" s="261">
        <v>0.55000000000000004</v>
      </c>
      <c r="F1223" s="261">
        <v>0.3</v>
      </c>
      <c r="G1223" s="261">
        <v>3.6</v>
      </c>
      <c r="H1223" s="261">
        <v>1</v>
      </c>
      <c r="I1223" s="261"/>
      <c r="J1223" s="259"/>
      <c r="K1223" s="260">
        <f t="shared" si="35"/>
        <v>0.59400000000000008</v>
      </c>
      <c r="L1223" s="266" t="s">
        <v>1682</v>
      </c>
    </row>
    <row r="1224" spans="2:12">
      <c r="B1224" s="256" t="s">
        <v>1417</v>
      </c>
      <c r="C1224" s="264" t="s">
        <v>1612</v>
      </c>
      <c r="D1224" s="205" t="s">
        <v>110</v>
      </c>
      <c r="E1224" s="261">
        <v>0.45</v>
      </c>
      <c r="F1224" s="261">
        <v>0.3</v>
      </c>
      <c r="G1224" s="261">
        <v>3.6</v>
      </c>
      <c r="H1224" s="261">
        <v>1</v>
      </c>
      <c r="I1224" s="261"/>
      <c r="J1224" s="259"/>
      <c r="K1224" s="260">
        <f t="shared" si="35"/>
        <v>0.48600000000000004</v>
      </c>
      <c r="L1224" s="266" t="s">
        <v>1682</v>
      </c>
    </row>
    <row r="1225" spans="2:12">
      <c r="B1225" s="256" t="s">
        <v>1419</v>
      </c>
      <c r="C1225" s="264" t="s">
        <v>1612</v>
      </c>
      <c r="D1225" s="205" t="s">
        <v>110</v>
      </c>
      <c r="E1225" s="261">
        <v>0.2</v>
      </c>
      <c r="F1225" s="261">
        <v>0.8</v>
      </c>
      <c r="G1225" s="261">
        <v>3.6</v>
      </c>
      <c r="H1225" s="261">
        <v>1</v>
      </c>
      <c r="I1225" s="261"/>
      <c r="J1225" s="259"/>
      <c r="K1225" s="260">
        <f t="shared" si="35"/>
        <v>0.57600000000000018</v>
      </c>
      <c r="L1225" s="266" t="s">
        <v>1682</v>
      </c>
    </row>
    <row r="1226" spans="2:12">
      <c r="B1226" s="256" t="s">
        <v>1420</v>
      </c>
      <c r="C1226" s="264" t="s">
        <v>1612</v>
      </c>
      <c r="D1226" s="205" t="s">
        <v>110</v>
      </c>
      <c r="E1226" s="261">
        <v>0.3</v>
      </c>
      <c r="F1226" s="261">
        <v>0.8</v>
      </c>
      <c r="G1226" s="261">
        <v>3.6</v>
      </c>
      <c r="H1226" s="261">
        <v>1</v>
      </c>
      <c r="I1226" s="261"/>
      <c r="J1226" s="259"/>
      <c r="K1226" s="260">
        <f t="shared" si="35"/>
        <v>0.86399999999999999</v>
      </c>
      <c r="L1226" s="266" t="s">
        <v>1682</v>
      </c>
    </row>
    <row r="1227" spans="2:12">
      <c r="B1227" s="256" t="s">
        <v>1421</v>
      </c>
      <c r="C1227" s="264" t="s">
        <v>1612</v>
      </c>
      <c r="D1227" s="205" t="s">
        <v>110</v>
      </c>
      <c r="E1227" s="261">
        <v>0.2</v>
      </c>
      <c r="F1227" s="261">
        <v>0.8</v>
      </c>
      <c r="G1227" s="261">
        <v>3.6</v>
      </c>
      <c r="H1227" s="261">
        <v>1</v>
      </c>
      <c r="I1227" s="261"/>
      <c r="J1227" s="259"/>
      <c r="K1227" s="260">
        <f t="shared" si="35"/>
        <v>0.57600000000000018</v>
      </c>
      <c r="L1227" s="266" t="s">
        <v>1682</v>
      </c>
    </row>
    <row r="1228" spans="2:12">
      <c r="B1228" s="256" t="s">
        <v>1422</v>
      </c>
      <c r="C1228" s="264" t="s">
        <v>1612</v>
      </c>
      <c r="D1228" s="205" t="s">
        <v>110</v>
      </c>
      <c r="E1228" s="261">
        <v>0.3</v>
      </c>
      <c r="F1228" s="261">
        <v>0.8</v>
      </c>
      <c r="G1228" s="261">
        <v>3.6</v>
      </c>
      <c r="H1228" s="261">
        <v>1</v>
      </c>
      <c r="I1228" s="261"/>
      <c r="J1228" s="259"/>
      <c r="K1228" s="260">
        <f t="shared" si="35"/>
        <v>0.86399999999999999</v>
      </c>
      <c r="L1228" s="266" t="s">
        <v>1682</v>
      </c>
    </row>
    <row r="1229" spans="2:12">
      <c r="B1229" s="256" t="s">
        <v>1423</v>
      </c>
      <c r="C1229" s="264" t="s">
        <v>1612</v>
      </c>
      <c r="D1229" s="205" t="s">
        <v>110</v>
      </c>
      <c r="E1229" s="261">
        <v>0.4</v>
      </c>
      <c r="F1229" s="261">
        <v>0.7</v>
      </c>
      <c r="G1229" s="261">
        <v>3.6</v>
      </c>
      <c r="H1229" s="261">
        <v>1</v>
      </c>
      <c r="I1229" s="261"/>
      <c r="J1229" s="259"/>
      <c r="K1229" s="260">
        <f t="shared" si="35"/>
        <v>1.008</v>
      </c>
      <c r="L1229" s="266" t="s">
        <v>1682</v>
      </c>
    </row>
    <row r="1230" spans="2:12">
      <c r="B1230" s="256" t="s">
        <v>1424</v>
      </c>
      <c r="C1230" s="264" t="s">
        <v>1612</v>
      </c>
      <c r="D1230" s="205" t="s">
        <v>110</v>
      </c>
      <c r="E1230" s="261">
        <v>0.5</v>
      </c>
      <c r="F1230" s="261">
        <v>0.7</v>
      </c>
      <c r="G1230" s="261">
        <v>3.6</v>
      </c>
      <c r="H1230" s="261">
        <v>1</v>
      </c>
      <c r="I1230" s="261"/>
      <c r="J1230" s="259"/>
      <c r="K1230" s="260">
        <f t="shared" si="35"/>
        <v>1.26</v>
      </c>
      <c r="L1230" s="266" t="s">
        <v>1682</v>
      </c>
    </row>
    <row r="1231" spans="2:12">
      <c r="B1231" s="256" t="s">
        <v>1425</v>
      </c>
      <c r="C1231" s="264" t="s">
        <v>1612</v>
      </c>
      <c r="D1231" s="205" t="s">
        <v>110</v>
      </c>
      <c r="E1231" s="261">
        <v>0.5</v>
      </c>
      <c r="F1231" s="261">
        <v>0.7</v>
      </c>
      <c r="G1231" s="261">
        <v>3.6</v>
      </c>
      <c r="H1231" s="261">
        <v>1</v>
      </c>
      <c r="I1231" s="261"/>
      <c r="J1231" s="259"/>
      <c r="K1231" s="260">
        <f t="shared" si="35"/>
        <v>1.26</v>
      </c>
      <c r="L1231" s="266" t="s">
        <v>1682</v>
      </c>
    </row>
    <row r="1232" spans="2:12">
      <c r="B1232" s="256" t="s">
        <v>1426</v>
      </c>
      <c r="C1232" s="264" t="s">
        <v>1612</v>
      </c>
      <c r="D1232" s="205" t="s">
        <v>110</v>
      </c>
      <c r="E1232" s="261">
        <v>0.4</v>
      </c>
      <c r="F1232" s="261">
        <v>0.5</v>
      </c>
      <c r="G1232" s="261">
        <v>3.6</v>
      </c>
      <c r="H1232" s="261">
        <v>1</v>
      </c>
      <c r="I1232" s="261"/>
      <c r="J1232" s="259"/>
      <c r="K1232" s="260">
        <f t="shared" si="35"/>
        <v>0.72000000000000008</v>
      </c>
      <c r="L1232" s="266" t="s">
        <v>1682</v>
      </c>
    </row>
    <row r="1233" spans="2:12">
      <c r="B1233" s="256" t="s">
        <v>1485</v>
      </c>
      <c r="C1233" s="264" t="s">
        <v>1613</v>
      </c>
      <c r="D1233" s="205" t="s">
        <v>110</v>
      </c>
      <c r="E1233" s="261">
        <v>0.6</v>
      </c>
      <c r="F1233" s="261">
        <v>0.4</v>
      </c>
      <c r="G1233" s="261">
        <v>3.6</v>
      </c>
      <c r="H1233" s="261">
        <v>1</v>
      </c>
      <c r="I1233" s="261"/>
      <c r="J1233" s="259"/>
      <c r="K1233" s="260">
        <f t="shared" si="35"/>
        <v>0.86399999999999999</v>
      </c>
      <c r="L1233" s="266" t="s">
        <v>1682</v>
      </c>
    </row>
    <row r="1234" spans="2:12">
      <c r="B1234" s="256" t="s">
        <v>1486</v>
      </c>
      <c r="C1234" s="264" t="s">
        <v>1613</v>
      </c>
      <c r="D1234" s="205" t="s">
        <v>110</v>
      </c>
      <c r="E1234" s="261">
        <v>2.94</v>
      </c>
      <c r="F1234" s="261">
        <v>0.2</v>
      </c>
      <c r="G1234" s="261">
        <v>3.6</v>
      </c>
      <c r="H1234" s="261">
        <v>1</v>
      </c>
      <c r="I1234" s="261"/>
      <c r="J1234" s="259"/>
      <c r="K1234" s="260">
        <f t="shared" si="35"/>
        <v>2.1168</v>
      </c>
      <c r="L1234" s="266" t="s">
        <v>1682</v>
      </c>
    </row>
    <row r="1235" spans="2:12">
      <c r="B1235" s="256" t="s">
        <v>1487</v>
      </c>
      <c r="C1235" s="264" t="s">
        <v>1613</v>
      </c>
      <c r="D1235" s="205" t="s">
        <v>110</v>
      </c>
      <c r="E1235" s="261">
        <v>2.94</v>
      </c>
      <c r="F1235" s="261">
        <v>0.2</v>
      </c>
      <c r="G1235" s="261">
        <v>3.6</v>
      </c>
      <c r="H1235" s="261">
        <v>1</v>
      </c>
      <c r="I1235" s="261"/>
      <c r="J1235" s="259"/>
      <c r="K1235" s="260">
        <f t="shared" si="35"/>
        <v>2.1168</v>
      </c>
      <c r="L1235" s="266" t="s">
        <v>1682</v>
      </c>
    </row>
    <row r="1236" spans="2:12">
      <c r="B1236" s="256" t="s">
        <v>1488</v>
      </c>
      <c r="C1236" s="264" t="s">
        <v>1613</v>
      </c>
      <c r="D1236" s="205" t="s">
        <v>110</v>
      </c>
      <c r="E1236" s="261">
        <v>0.6</v>
      </c>
      <c r="F1236" s="261">
        <v>0.5</v>
      </c>
      <c r="G1236" s="261">
        <v>3.6</v>
      </c>
      <c r="H1236" s="261">
        <v>1</v>
      </c>
      <c r="I1236" s="261"/>
      <c r="J1236" s="259"/>
      <c r="K1236" s="260">
        <f t="shared" si="35"/>
        <v>1.08</v>
      </c>
      <c r="L1236" s="266" t="s">
        <v>1682</v>
      </c>
    </row>
    <row r="1237" spans="2:12">
      <c r="B1237" s="256" t="s">
        <v>1489</v>
      </c>
      <c r="C1237" s="264" t="s">
        <v>1613</v>
      </c>
      <c r="D1237" s="205" t="s">
        <v>110</v>
      </c>
      <c r="E1237" s="261">
        <v>0.4</v>
      </c>
      <c r="F1237" s="261">
        <v>0.4</v>
      </c>
      <c r="G1237" s="261">
        <v>3.6</v>
      </c>
      <c r="H1237" s="261">
        <v>1</v>
      </c>
      <c r="I1237" s="261"/>
      <c r="J1237" s="259"/>
      <c r="K1237" s="260">
        <f t="shared" si="35"/>
        <v>0.57600000000000018</v>
      </c>
      <c r="L1237" s="266" t="s">
        <v>1682</v>
      </c>
    </row>
    <row r="1238" spans="2:12">
      <c r="B1238" s="256" t="s">
        <v>1490</v>
      </c>
      <c r="C1238" s="264" t="s">
        <v>1613</v>
      </c>
      <c r="D1238" s="205" t="s">
        <v>110</v>
      </c>
      <c r="E1238" s="261">
        <v>0.2</v>
      </c>
      <c r="F1238" s="261">
        <v>0.8</v>
      </c>
      <c r="G1238" s="261">
        <v>3.6</v>
      </c>
      <c r="H1238" s="261">
        <v>1</v>
      </c>
      <c r="I1238" s="261"/>
      <c r="J1238" s="259"/>
      <c r="K1238" s="260">
        <f t="shared" si="35"/>
        <v>0.57600000000000018</v>
      </c>
      <c r="L1238" s="266" t="s">
        <v>1682</v>
      </c>
    </row>
    <row r="1239" spans="2:12">
      <c r="B1239" s="256" t="s">
        <v>1493</v>
      </c>
      <c r="C1239" s="264" t="s">
        <v>1613</v>
      </c>
      <c r="D1239" s="205" t="s">
        <v>110</v>
      </c>
      <c r="E1239" s="261">
        <v>0.4</v>
      </c>
      <c r="F1239" s="261">
        <v>0.4</v>
      </c>
      <c r="G1239" s="261">
        <v>3.6</v>
      </c>
      <c r="H1239" s="261">
        <v>1</v>
      </c>
      <c r="I1239" s="261"/>
      <c r="J1239" s="259"/>
      <c r="K1239" s="260">
        <f t="shared" si="35"/>
        <v>0.57600000000000018</v>
      </c>
      <c r="L1239" s="266" t="s">
        <v>1682</v>
      </c>
    </row>
    <row r="1240" spans="2:12">
      <c r="B1240" s="256" t="s">
        <v>1494</v>
      </c>
      <c r="C1240" s="264" t="s">
        <v>1613</v>
      </c>
      <c r="D1240" s="205" t="s">
        <v>110</v>
      </c>
      <c r="E1240" s="261">
        <v>0.4</v>
      </c>
      <c r="F1240" s="261">
        <v>0.4</v>
      </c>
      <c r="G1240" s="261">
        <v>3.6</v>
      </c>
      <c r="H1240" s="261">
        <v>1</v>
      </c>
      <c r="I1240" s="261"/>
      <c r="J1240" s="259"/>
      <c r="K1240" s="260">
        <f t="shared" si="35"/>
        <v>0.57600000000000018</v>
      </c>
      <c r="L1240" s="266" t="s">
        <v>1682</v>
      </c>
    </row>
    <row r="1241" spans="2:12">
      <c r="B1241" s="256" t="s">
        <v>1495</v>
      </c>
      <c r="C1241" s="264" t="s">
        <v>1613</v>
      </c>
      <c r="D1241" s="205" t="s">
        <v>110</v>
      </c>
      <c r="E1241" s="261">
        <v>0.4</v>
      </c>
      <c r="F1241" s="261">
        <v>0.4</v>
      </c>
      <c r="G1241" s="261">
        <v>3.6</v>
      </c>
      <c r="H1241" s="261">
        <v>1</v>
      </c>
      <c r="I1241" s="261"/>
      <c r="J1241" s="259"/>
      <c r="K1241" s="260">
        <f t="shared" si="35"/>
        <v>0.57600000000000018</v>
      </c>
      <c r="L1241" s="266" t="s">
        <v>1682</v>
      </c>
    </row>
    <row r="1242" spans="2:12">
      <c r="B1242" s="256" t="s">
        <v>1389</v>
      </c>
      <c r="C1242" s="264" t="s">
        <v>1613</v>
      </c>
      <c r="D1242" s="210" t="s">
        <v>110</v>
      </c>
      <c r="E1242" s="261">
        <v>0.5</v>
      </c>
      <c r="F1242" s="261">
        <v>0.4</v>
      </c>
      <c r="G1242" s="261">
        <v>3.6</v>
      </c>
      <c r="H1242" s="261">
        <v>1</v>
      </c>
      <c r="I1242" s="261"/>
      <c r="J1242" s="259"/>
      <c r="K1242" s="260">
        <f t="shared" si="35"/>
        <v>0.72000000000000008</v>
      </c>
      <c r="L1242" s="266" t="s">
        <v>1684</v>
      </c>
    </row>
    <row r="1243" spans="2:12">
      <c r="B1243" s="256" t="s">
        <v>1390</v>
      </c>
      <c r="C1243" s="264" t="s">
        <v>1613</v>
      </c>
      <c r="D1243" s="210" t="s">
        <v>110</v>
      </c>
      <c r="E1243" s="261">
        <v>1</v>
      </c>
      <c r="F1243" s="261">
        <v>0.2</v>
      </c>
      <c r="G1243" s="261">
        <v>3.6</v>
      </c>
      <c r="H1243" s="261">
        <v>1</v>
      </c>
      <c r="I1243" s="261"/>
      <c r="J1243" s="259"/>
      <c r="K1243" s="260">
        <f t="shared" si="35"/>
        <v>0.72000000000000008</v>
      </c>
      <c r="L1243" s="266" t="s">
        <v>1684</v>
      </c>
    </row>
    <row r="1244" spans="2:12">
      <c r="B1244" s="256" t="s">
        <v>1391</v>
      </c>
      <c r="C1244" s="264" t="s">
        <v>1613</v>
      </c>
      <c r="D1244" s="210" t="s">
        <v>110</v>
      </c>
      <c r="E1244" s="261">
        <v>1</v>
      </c>
      <c r="F1244" s="261">
        <v>0.2</v>
      </c>
      <c r="G1244" s="261">
        <v>3.6</v>
      </c>
      <c r="H1244" s="261">
        <v>1</v>
      </c>
      <c r="I1244" s="261"/>
      <c r="J1244" s="259"/>
      <c r="K1244" s="260">
        <f t="shared" si="35"/>
        <v>0.72000000000000008</v>
      </c>
      <c r="L1244" s="266" t="s">
        <v>1684</v>
      </c>
    </row>
    <row r="1245" spans="2:12">
      <c r="B1245" s="256" t="s">
        <v>1392</v>
      </c>
      <c r="C1245" s="264" t="s">
        <v>1613</v>
      </c>
      <c r="D1245" s="210" t="s">
        <v>110</v>
      </c>
      <c r="E1245" s="261">
        <v>0.4</v>
      </c>
      <c r="F1245" s="261">
        <v>0.4</v>
      </c>
      <c r="G1245" s="261">
        <v>3.6</v>
      </c>
      <c r="H1245" s="261">
        <v>1</v>
      </c>
      <c r="I1245" s="261"/>
      <c r="J1245" s="259"/>
      <c r="K1245" s="260">
        <f t="shared" si="35"/>
        <v>0.57600000000000018</v>
      </c>
      <c r="L1245" s="266" t="s">
        <v>1684</v>
      </c>
    </row>
    <row r="1246" spans="2:12">
      <c r="B1246" s="256" t="s">
        <v>1394</v>
      </c>
      <c r="C1246" s="264" t="s">
        <v>1613</v>
      </c>
      <c r="D1246" s="210" t="s">
        <v>110</v>
      </c>
      <c r="E1246" s="261">
        <v>0.4</v>
      </c>
      <c r="F1246" s="261">
        <v>0.4</v>
      </c>
      <c r="G1246" s="261">
        <v>3.6</v>
      </c>
      <c r="H1246" s="261">
        <v>1</v>
      </c>
      <c r="I1246" s="261"/>
      <c r="J1246" s="259"/>
      <c r="K1246" s="260">
        <f t="shared" si="35"/>
        <v>0.57600000000000018</v>
      </c>
      <c r="L1246" s="266" t="s">
        <v>1684</v>
      </c>
    </row>
    <row r="1247" spans="2:12">
      <c r="B1247" s="256" t="s">
        <v>1395</v>
      </c>
      <c r="C1247" s="264" t="s">
        <v>1613</v>
      </c>
      <c r="D1247" s="210" t="s">
        <v>110</v>
      </c>
      <c r="E1247" s="261">
        <v>0.5</v>
      </c>
      <c r="F1247" s="261">
        <v>0.4</v>
      </c>
      <c r="G1247" s="261">
        <v>3.6</v>
      </c>
      <c r="H1247" s="261">
        <v>1</v>
      </c>
      <c r="I1247" s="261"/>
      <c r="J1247" s="259"/>
      <c r="K1247" s="260">
        <f t="shared" si="35"/>
        <v>0.72000000000000008</v>
      </c>
      <c r="L1247" s="266" t="s">
        <v>1684</v>
      </c>
    </row>
    <row r="1248" spans="2:12">
      <c r="B1248" s="256" t="s">
        <v>1396</v>
      </c>
      <c r="C1248" s="264" t="s">
        <v>1613</v>
      </c>
      <c r="D1248" s="210" t="s">
        <v>110</v>
      </c>
      <c r="E1248" s="261">
        <v>0.5</v>
      </c>
      <c r="F1248" s="261">
        <v>0.4</v>
      </c>
      <c r="G1248" s="261">
        <v>3.6</v>
      </c>
      <c r="H1248" s="261">
        <v>1</v>
      </c>
      <c r="I1248" s="261"/>
      <c r="J1248" s="259"/>
      <c r="K1248" s="260">
        <f t="shared" si="35"/>
        <v>0.72000000000000008</v>
      </c>
      <c r="L1248" s="266" t="s">
        <v>1684</v>
      </c>
    </row>
    <row r="1249" spans="2:12">
      <c r="B1249" s="256" t="s">
        <v>1397</v>
      </c>
      <c r="C1249" s="264" t="s">
        <v>1613</v>
      </c>
      <c r="D1249" s="210" t="s">
        <v>110</v>
      </c>
      <c r="E1249" s="261">
        <v>1</v>
      </c>
      <c r="F1249" s="261">
        <v>0.2</v>
      </c>
      <c r="G1249" s="261">
        <v>3.6</v>
      </c>
      <c r="H1249" s="261">
        <v>1</v>
      </c>
      <c r="I1249" s="261"/>
      <c r="J1249" s="259"/>
      <c r="K1249" s="260">
        <f t="shared" si="35"/>
        <v>0.72000000000000008</v>
      </c>
      <c r="L1249" s="266" t="s">
        <v>1684</v>
      </c>
    </row>
    <row r="1250" spans="2:12">
      <c r="B1250" s="256" t="s">
        <v>1399</v>
      </c>
      <c r="C1250" s="264" t="s">
        <v>1613</v>
      </c>
      <c r="D1250" s="210" t="s">
        <v>110</v>
      </c>
      <c r="E1250" s="261">
        <v>0.4</v>
      </c>
      <c r="F1250" s="261">
        <v>0.4</v>
      </c>
      <c r="G1250" s="261">
        <v>3.6</v>
      </c>
      <c r="H1250" s="261">
        <v>1</v>
      </c>
      <c r="I1250" s="261"/>
      <c r="J1250" s="259"/>
      <c r="K1250" s="260">
        <f t="shared" si="35"/>
        <v>0.57600000000000018</v>
      </c>
      <c r="L1250" s="266" t="s">
        <v>1684</v>
      </c>
    </row>
    <row r="1251" spans="2:12">
      <c r="B1251" s="256" t="s">
        <v>1400</v>
      </c>
      <c r="C1251" s="264" t="s">
        <v>1613</v>
      </c>
      <c r="D1251" s="210" t="s">
        <v>110</v>
      </c>
      <c r="E1251" s="261">
        <v>0.5</v>
      </c>
      <c r="F1251" s="261">
        <v>0.4</v>
      </c>
      <c r="G1251" s="261">
        <v>3.6</v>
      </c>
      <c r="H1251" s="261">
        <v>1</v>
      </c>
      <c r="I1251" s="261"/>
      <c r="J1251" s="259"/>
      <c r="K1251" s="260">
        <f t="shared" si="35"/>
        <v>0.72000000000000008</v>
      </c>
      <c r="L1251" s="266" t="s">
        <v>1684</v>
      </c>
    </row>
    <row r="1252" spans="2:12">
      <c r="B1252" s="256" t="s">
        <v>1401</v>
      </c>
      <c r="C1252" s="264" t="s">
        <v>1613</v>
      </c>
      <c r="D1252" s="210" t="s">
        <v>110</v>
      </c>
      <c r="E1252" s="261">
        <v>0.5</v>
      </c>
      <c r="F1252" s="261">
        <v>0.4</v>
      </c>
      <c r="G1252" s="261">
        <v>3.6</v>
      </c>
      <c r="H1252" s="261">
        <v>1</v>
      </c>
      <c r="I1252" s="261"/>
      <c r="J1252" s="259"/>
      <c r="K1252" s="260">
        <f t="shared" si="35"/>
        <v>0.72000000000000008</v>
      </c>
      <c r="L1252" s="266" t="s">
        <v>1684</v>
      </c>
    </row>
    <row r="1253" spans="2:12">
      <c r="B1253" s="256" t="s">
        <v>1402</v>
      </c>
      <c r="C1253" s="264" t="s">
        <v>1613</v>
      </c>
      <c r="D1253" s="210" t="s">
        <v>110</v>
      </c>
      <c r="E1253" s="261">
        <v>1</v>
      </c>
      <c r="F1253" s="261">
        <v>0.2</v>
      </c>
      <c r="G1253" s="261">
        <v>3.6</v>
      </c>
      <c r="H1253" s="261">
        <v>1</v>
      </c>
      <c r="I1253" s="261"/>
      <c r="J1253" s="259"/>
      <c r="K1253" s="260">
        <f t="shared" si="35"/>
        <v>0.72000000000000008</v>
      </c>
      <c r="L1253" s="266" t="s">
        <v>1684</v>
      </c>
    </row>
    <row r="1254" spans="2:12">
      <c r="B1254" s="256" t="s">
        <v>1404</v>
      </c>
      <c r="C1254" s="264" t="s">
        <v>1613</v>
      </c>
      <c r="D1254" s="210" t="s">
        <v>110</v>
      </c>
      <c r="E1254" s="261">
        <v>0.2</v>
      </c>
      <c r="F1254" s="261">
        <v>0.6</v>
      </c>
      <c r="G1254" s="261">
        <v>3.6</v>
      </c>
      <c r="H1254" s="261">
        <v>1</v>
      </c>
      <c r="I1254" s="261"/>
      <c r="J1254" s="259"/>
      <c r="K1254" s="260">
        <f t="shared" si="35"/>
        <v>0.432</v>
      </c>
      <c r="L1254" s="266" t="s">
        <v>1684</v>
      </c>
    </row>
    <row r="1255" spans="2:12">
      <c r="B1255" s="256" t="s">
        <v>1405</v>
      </c>
      <c r="C1255" s="264" t="s">
        <v>1613</v>
      </c>
      <c r="D1255" s="210" t="s">
        <v>110</v>
      </c>
      <c r="E1255" s="261">
        <v>0.2</v>
      </c>
      <c r="F1255" s="261">
        <v>0.6</v>
      </c>
      <c r="G1255" s="261">
        <v>3.6</v>
      </c>
      <c r="H1255" s="261">
        <v>1</v>
      </c>
      <c r="I1255" s="261"/>
      <c r="J1255" s="259"/>
      <c r="K1255" s="260">
        <f t="shared" si="35"/>
        <v>0.432</v>
      </c>
      <c r="L1255" s="266" t="s">
        <v>1684</v>
      </c>
    </row>
    <row r="1256" spans="2:12">
      <c r="B1256" s="256" t="s">
        <v>1406</v>
      </c>
      <c r="C1256" s="264" t="s">
        <v>1613</v>
      </c>
      <c r="D1256" s="210" t="s">
        <v>110</v>
      </c>
      <c r="E1256" s="261">
        <v>0.4</v>
      </c>
      <c r="F1256" s="261">
        <v>0.4</v>
      </c>
      <c r="G1256" s="261">
        <v>3.6</v>
      </c>
      <c r="H1256" s="261">
        <v>1</v>
      </c>
      <c r="I1256" s="261"/>
      <c r="J1256" s="259"/>
      <c r="K1256" s="260">
        <f t="shared" si="35"/>
        <v>0.57600000000000018</v>
      </c>
      <c r="L1256" s="266" t="s">
        <v>1684</v>
      </c>
    </row>
    <row r="1257" spans="2:12">
      <c r="B1257" s="256" t="s">
        <v>1407</v>
      </c>
      <c r="C1257" s="264" t="s">
        <v>1613</v>
      </c>
      <c r="D1257" s="210" t="s">
        <v>110</v>
      </c>
      <c r="E1257" s="261">
        <v>0.5</v>
      </c>
      <c r="F1257" s="261">
        <v>0.4</v>
      </c>
      <c r="G1257" s="261">
        <v>3.6</v>
      </c>
      <c r="H1257" s="261">
        <v>1</v>
      </c>
      <c r="I1257" s="261"/>
      <c r="J1257" s="259"/>
      <c r="K1257" s="260">
        <f t="shared" si="35"/>
        <v>0.72000000000000008</v>
      </c>
      <c r="L1257" s="266" t="s">
        <v>1684</v>
      </c>
    </row>
    <row r="1258" spans="2:12">
      <c r="B1258" s="256" t="s">
        <v>1408</v>
      </c>
      <c r="C1258" s="264" t="s">
        <v>1613</v>
      </c>
      <c r="D1258" s="210" t="s">
        <v>110</v>
      </c>
      <c r="E1258" s="261">
        <v>0.5</v>
      </c>
      <c r="F1258" s="261">
        <v>0.4</v>
      </c>
      <c r="G1258" s="261">
        <v>3.6</v>
      </c>
      <c r="H1258" s="261">
        <v>1</v>
      </c>
      <c r="I1258" s="261"/>
      <c r="J1258" s="259"/>
      <c r="K1258" s="260">
        <f t="shared" si="35"/>
        <v>0.72000000000000008</v>
      </c>
      <c r="L1258" s="266" t="s">
        <v>1684</v>
      </c>
    </row>
    <row r="1259" spans="2:12">
      <c r="B1259" s="256" t="s">
        <v>1409</v>
      </c>
      <c r="C1259" s="264" t="s">
        <v>1613</v>
      </c>
      <c r="D1259" s="210" t="s">
        <v>110</v>
      </c>
      <c r="E1259" s="261">
        <v>0.2</v>
      </c>
      <c r="F1259" s="261">
        <v>1</v>
      </c>
      <c r="G1259" s="261">
        <v>3.6</v>
      </c>
      <c r="H1259" s="261">
        <v>1</v>
      </c>
      <c r="I1259" s="261"/>
      <c r="J1259" s="259"/>
      <c r="K1259" s="260">
        <f t="shared" si="35"/>
        <v>0.72000000000000008</v>
      </c>
      <c r="L1259" s="266" t="s">
        <v>1684</v>
      </c>
    </row>
    <row r="1260" spans="2:12">
      <c r="B1260" s="256" t="s">
        <v>1410</v>
      </c>
      <c r="C1260" s="264" t="s">
        <v>1613</v>
      </c>
      <c r="D1260" s="210" t="s">
        <v>110</v>
      </c>
      <c r="E1260" s="261">
        <v>0.45</v>
      </c>
      <c r="F1260" s="261">
        <v>0.3</v>
      </c>
      <c r="G1260" s="261">
        <v>3.6</v>
      </c>
      <c r="H1260" s="261">
        <v>1</v>
      </c>
      <c r="I1260" s="261"/>
      <c r="J1260" s="259"/>
      <c r="K1260" s="260">
        <f t="shared" si="35"/>
        <v>0.48600000000000004</v>
      </c>
      <c r="L1260" s="266" t="s">
        <v>1684</v>
      </c>
    </row>
    <row r="1261" spans="2:12">
      <c r="B1261" s="256" t="s">
        <v>1412</v>
      </c>
      <c r="C1261" s="264" t="s">
        <v>1613</v>
      </c>
      <c r="D1261" s="210" t="s">
        <v>110</v>
      </c>
      <c r="E1261" s="261">
        <v>0.55000000000000004</v>
      </c>
      <c r="F1261" s="261">
        <v>0.3</v>
      </c>
      <c r="G1261" s="261">
        <v>3.6</v>
      </c>
      <c r="H1261" s="261">
        <v>1</v>
      </c>
      <c r="I1261" s="261"/>
      <c r="J1261" s="259"/>
      <c r="K1261" s="260">
        <f t="shared" si="35"/>
        <v>0.59400000000000008</v>
      </c>
      <c r="L1261" s="266" t="s">
        <v>1684</v>
      </c>
    </row>
    <row r="1262" spans="2:12">
      <c r="B1262" s="256" t="s">
        <v>1414</v>
      </c>
      <c r="C1262" s="264" t="s">
        <v>1613</v>
      </c>
      <c r="D1262" s="210" t="s">
        <v>110</v>
      </c>
      <c r="E1262" s="261">
        <v>0.55000000000000004</v>
      </c>
      <c r="F1262" s="261">
        <v>0.3</v>
      </c>
      <c r="G1262" s="261">
        <v>3.6</v>
      </c>
      <c r="H1262" s="261">
        <v>1</v>
      </c>
      <c r="I1262" s="261"/>
      <c r="J1262" s="259"/>
      <c r="K1262" s="260">
        <f t="shared" si="35"/>
        <v>0.59400000000000008</v>
      </c>
      <c r="L1262" s="266" t="s">
        <v>1684</v>
      </c>
    </row>
    <row r="1263" spans="2:12">
      <c r="B1263" s="256" t="s">
        <v>1416</v>
      </c>
      <c r="C1263" s="264" t="s">
        <v>1613</v>
      </c>
      <c r="D1263" s="210" t="s">
        <v>110</v>
      </c>
      <c r="E1263" s="261">
        <v>0.45</v>
      </c>
      <c r="F1263" s="261">
        <v>0.3</v>
      </c>
      <c r="G1263" s="261">
        <v>3.6</v>
      </c>
      <c r="H1263" s="261">
        <v>1</v>
      </c>
      <c r="I1263" s="261"/>
      <c r="J1263" s="259"/>
      <c r="K1263" s="260">
        <f t="shared" ref="K1263:K1326" si="36">IF(E1263*F1263*G1263&lt;&gt;0,E1263*F1263*G1263,IF(E1263*F1263&lt;&gt;0,E1263*F1263,IF(F1263*G1263&lt;&gt;0,F1263*G1263,IF(E1263*G1263&lt;&gt;0,E1263*G1263,IF(E1263&lt;&gt;0,E1263,IF(F1263&lt;&gt;0,F1263,IF(G1263&lt;&gt;0,G1263,0)))))))*(IF(H1263&lt;&gt;0,H1263,1))+I1263-J1263</f>
        <v>0.48600000000000004</v>
      </c>
      <c r="L1263" s="266" t="s">
        <v>1684</v>
      </c>
    </row>
    <row r="1264" spans="2:12">
      <c r="B1264" s="256" t="s">
        <v>1418</v>
      </c>
      <c r="C1264" s="264" t="s">
        <v>1613</v>
      </c>
      <c r="D1264" s="210" t="s">
        <v>110</v>
      </c>
      <c r="E1264" s="261">
        <v>0.2</v>
      </c>
      <c r="F1264" s="261">
        <v>0.8</v>
      </c>
      <c r="G1264" s="261">
        <v>3.6</v>
      </c>
      <c r="H1264" s="261">
        <v>1</v>
      </c>
      <c r="I1264" s="261"/>
      <c r="J1264" s="259"/>
      <c r="K1264" s="260">
        <f t="shared" si="36"/>
        <v>0.57600000000000018</v>
      </c>
      <c r="L1264" s="266" t="s">
        <v>1684</v>
      </c>
    </row>
    <row r="1265" spans="2:12">
      <c r="B1265" s="256" t="s">
        <v>1411</v>
      </c>
      <c r="C1265" s="264" t="s">
        <v>1613</v>
      </c>
      <c r="D1265" s="205" t="s">
        <v>110</v>
      </c>
      <c r="E1265" s="261">
        <v>0.45</v>
      </c>
      <c r="F1265" s="261">
        <v>0.3</v>
      </c>
      <c r="G1265" s="261">
        <v>3.6</v>
      </c>
      <c r="H1265" s="261">
        <v>1</v>
      </c>
      <c r="I1265" s="261"/>
      <c r="J1265" s="259"/>
      <c r="K1265" s="260">
        <f t="shared" si="36"/>
        <v>0.48600000000000004</v>
      </c>
      <c r="L1265" s="266" t="s">
        <v>1685</v>
      </c>
    </row>
    <row r="1266" spans="2:12">
      <c r="B1266" s="256" t="s">
        <v>1413</v>
      </c>
      <c r="C1266" s="264" t="s">
        <v>1613</v>
      </c>
      <c r="D1266" s="205" t="s">
        <v>110</v>
      </c>
      <c r="E1266" s="261">
        <v>0.55000000000000004</v>
      </c>
      <c r="F1266" s="261">
        <v>0.3</v>
      </c>
      <c r="G1266" s="261">
        <v>3.6</v>
      </c>
      <c r="H1266" s="261">
        <v>1</v>
      </c>
      <c r="I1266" s="261"/>
      <c r="J1266" s="259"/>
      <c r="K1266" s="260">
        <f t="shared" si="36"/>
        <v>0.59400000000000008</v>
      </c>
      <c r="L1266" s="266" t="s">
        <v>1685</v>
      </c>
    </row>
    <row r="1267" spans="2:12">
      <c r="B1267" s="256" t="s">
        <v>1415</v>
      </c>
      <c r="C1267" s="264" t="s">
        <v>1613</v>
      </c>
      <c r="D1267" s="205" t="s">
        <v>110</v>
      </c>
      <c r="E1267" s="261">
        <v>0.55000000000000004</v>
      </c>
      <c r="F1267" s="261">
        <v>0.3</v>
      </c>
      <c r="G1267" s="261">
        <v>3.6</v>
      </c>
      <c r="H1267" s="261">
        <v>1</v>
      </c>
      <c r="I1267" s="261"/>
      <c r="J1267" s="259"/>
      <c r="K1267" s="260">
        <f t="shared" si="36"/>
        <v>0.59400000000000008</v>
      </c>
      <c r="L1267" s="266" t="s">
        <v>1685</v>
      </c>
    </row>
    <row r="1268" spans="2:12">
      <c r="B1268" s="256" t="s">
        <v>1417</v>
      </c>
      <c r="C1268" s="264" t="s">
        <v>1613</v>
      </c>
      <c r="D1268" s="205" t="s">
        <v>110</v>
      </c>
      <c r="E1268" s="261">
        <v>0.45</v>
      </c>
      <c r="F1268" s="261">
        <v>0.3</v>
      </c>
      <c r="G1268" s="261">
        <v>3.6</v>
      </c>
      <c r="H1268" s="261">
        <v>1</v>
      </c>
      <c r="I1268" s="261"/>
      <c r="J1268" s="259"/>
      <c r="K1268" s="260">
        <f t="shared" si="36"/>
        <v>0.48600000000000004</v>
      </c>
      <c r="L1268" s="266" t="s">
        <v>1685</v>
      </c>
    </row>
    <row r="1269" spans="2:12">
      <c r="B1269" s="256" t="s">
        <v>1419</v>
      </c>
      <c r="C1269" s="264" t="s">
        <v>1613</v>
      </c>
      <c r="D1269" s="205" t="s">
        <v>110</v>
      </c>
      <c r="E1269" s="261">
        <v>0.2</v>
      </c>
      <c r="F1269" s="261">
        <v>0.8</v>
      </c>
      <c r="G1269" s="261">
        <v>3.6</v>
      </c>
      <c r="H1269" s="261">
        <v>1</v>
      </c>
      <c r="I1269" s="261"/>
      <c r="J1269" s="259"/>
      <c r="K1269" s="260">
        <f t="shared" si="36"/>
        <v>0.57600000000000018</v>
      </c>
      <c r="L1269" s="266" t="s">
        <v>1685</v>
      </c>
    </row>
    <row r="1270" spans="2:12">
      <c r="B1270" s="256" t="s">
        <v>1420</v>
      </c>
      <c r="C1270" s="264" t="s">
        <v>1613</v>
      </c>
      <c r="D1270" s="205" t="s">
        <v>110</v>
      </c>
      <c r="E1270" s="261">
        <v>0.3</v>
      </c>
      <c r="F1270" s="261">
        <v>0.8</v>
      </c>
      <c r="G1270" s="261">
        <v>3.6</v>
      </c>
      <c r="H1270" s="261">
        <v>1</v>
      </c>
      <c r="I1270" s="261"/>
      <c r="J1270" s="259"/>
      <c r="K1270" s="260">
        <f t="shared" si="36"/>
        <v>0.86399999999999999</v>
      </c>
      <c r="L1270" s="266" t="s">
        <v>1685</v>
      </c>
    </row>
    <row r="1271" spans="2:12">
      <c r="B1271" s="256" t="s">
        <v>1421</v>
      </c>
      <c r="C1271" s="264" t="s">
        <v>1613</v>
      </c>
      <c r="D1271" s="205" t="s">
        <v>110</v>
      </c>
      <c r="E1271" s="261">
        <v>0.2</v>
      </c>
      <c r="F1271" s="261">
        <v>0.8</v>
      </c>
      <c r="G1271" s="261">
        <v>3.6</v>
      </c>
      <c r="H1271" s="261">
        <v>1</v>
      </c>
      <c r="I1271" s="261"/>
      <c r="J1271" s="259"/>
      <c r="K1271" s="260">
        <f t="shared" si="36"/>
        <v>0.57600000000000018</v>
      </c>
      <c r="L1271" s="266" t="s">
        <v>1685</v>
      </c>
    </row>
    <row r="1272" spans="2:12">
      <c r="B1272" s="256" t="s">
        <v>1422</v>
      </c>
      <c r="C1272" s="264" t="s">
        <v>1613</v>
      </c>
      <c r="D1272" s="205" t="s">
        <v>110</v>
      </c>
      <c r="E1272" s="261">
        <v>0.3</v>
      </c>
      <c r="F1272" s="261">
        <v>0.8</v>
      </c>
      <c r="G1272" s="261">
        <v>3.6</v>
      </c>
      <c r="H1272" s="261">
        <v>1</v>
      </c>
      <c r="I1272" s="261"/>
      <c r="J1272" s="259"/>
      <c r="K1272" s="260">
        <f t="shared" si="36"/>
        <v>0.86399999999999999</v>
      </c>
      <c r="L1272" s="266" t="s">
        <v>1685</v>
      </c>
    </row>
    <row r="1273" spans="2:12">
      <c r="B1273" s="256" t="s">
        <v>1423</v>
      </c>
      <c r="C1273" s="264" t="s">
        <v>1613</v>
      </c>
      <c r="D1273" s="205" t="s">
        <v>110</v>
      </c>
      <c r="E1273" s="261">
        <v>0.4</v>
      </c>
      <c r="F1273" s="261">
        <v>0.7</v>
      </c>
      <c r="G1273" s="261">
        <v>3.6</v>
      </c>
      <c r="H1273" s="261">
        <v>1</v>
      </c>
      <c r="I1273" s="261"/>
      <c r="J1273" s="259"/>
      <c r="K1273" s="260">
        <f t="shared" si="36"/>
        <v>1.008</v>
      </c>
      <c r="L1273" s="266" t="s">
        <v>1685</v>
      </c>
    </row>
    <row r="1274" spans="2:12">
      <c r="B1274" s="256" t="s">
        <v>1424</v>
      </c>
      <c r="C1274" s="264" t="s">
        <v>1613</v>
      </c>
      <c r="D1274" s="205" t="s">
        <v>110</v>
      </c>
      <c r="E1274" s="261">
        <v>0.5</v>
      </c>
      <c r="F1274" s="261">
        <v>0.7</v>
      </c>
      <c r="G1274" s="261">
        <v>3.6</v>
      </c>
      <c r="H1274" s="261">
        <v>1</v>
      </c>
      <c r="I1274" s="261"/>
      <c r="J1274" s="259"/>
      <c r="K1274" s="260">
        <f t="shared" si="36"/>
        <v>1.26</v>
      </c>
      <c r="L1274" s="266" t="s">
        <v>1685</v>
      </c>
    </row>
    <row r="1275" spans="2:12">
      <c r="B1275" s="256" t="s">
        <v>1425</v>
      </c>
      <c r="C1275" s="264" t="s">
        <v>1613</v>
      </c>
      <c r="D1275" s="205" t="s">
        <v>110</v>
      </c>
      <c r="E1275" s="261">
        <v>0.5</v>
      </c>
      <c r="F1275" s="261">
        <v>0.7</v>
      </c>
      <c r="G1275" s="261">
        <v>3.6</v>
      </c>
      <c r="H1275" s="261">
        <v>1</v>
      </c>
      <c r="I1275" s="261"/>
      <c r="J1275" s="259"/>
      <c r="K1275" s="260">
        <f t="shared" si="36"/>
        <v>1.26</v>
      </c>
      <c r="L1275" s="266" t="s">
        <v>1685</v>
      </c>
    </row>
    <row r="1276" spans="2:12">
      <c r="B1276" s="256" t="s">
        <v>1426</v>
      </c>
      <c r="C1276" s="264" t="s">
        <v>1613</v>
      </c>
      <c r="D1276" s="205" t="s">
        <v>110</v>
      </c>
      <c r="E1276" s="261">
        <v>0.4</v>
      </c>
      <c r="F1276" s="261">
        <v>0.5</v>
      </c>
      <c r="G1276" s="261">
        <v>3.6</v>
      </c>
      <c r="H1276" s="261">
        <v>1</v>
      </c>
      <c r="I1276" s="261"/>
      <c r="J1276" s="259"/>
      <c r="K1276" s="260">
        <f t="shared" si="36"/>
        <v>0.72000000000000008</v>
      </c>
      <c r="L1276" s="266" t="s">
        <v>1685</v>
      </c>
    </row>
    <row r="1277" spans="2:12">
      <c r="B1277" s="256" t="s">
        <v>1485</v>
      </c>
      <c r="C1277" s="264" t="s">
        <v>1613</v>
      </c>
      <c r="D1277" s="205" t="s">
        <v>110</v>
      </c>
      <c r="E1277" s="261">
        <v>0.6</v>
      </c>
      <c r="F1277" s="261">
        <v>0.4</v>
      </c>
      <c r="G1277" s="261">
        <v>3.6</v>
      </c>
      <c r="H1277" s="261">
        <v>1</v>
      </c>
      <c r="I1277" s="261"/>
      <c r="J1277" s="259"/>
      <c r="K1277" s="260">
        <f t="shared" si="36"/>
        <v>0.86399999999999999</v>
      </c>
      <c r="L1277" s="266" t="s">
        <v>1685</v>
      </c>
    </row>
    <row r="1278" spans="2:12">
      <c r="B1278" s="256" t="s">
        <v>1486</v>
      </c>
      <c r="C1278" s="264" t="s">
        <v>1613</v>
      </c>
      <c r="D1278" s="205" t="s">
        <v>110</v>
      </c>
      <c r="E1278" s="261">
        <v>2.94</v>
      </c>
      <c r="F1278" s="261">
        <v>0.2</v>
      </c>
      <c r="G1278" s="261">
        <v>3.6</v>
      </c>
      <c r="H1278" s="261">
        <v>1</v>
      </c>
      <c r="I1278" s="261"/>
      <c r="J1278" s="259"/>
      <c r="K1278" s="260">
        <f t="shared" si="36"/>
        <v>2.1168</v>
      </c>
      <c r="L1278" s="266" t="s">
        <v>1685</v>
      </c>
    </row>
    <row r="1279" spans="2:12">
      <c r="B1279" s="256" t="s">
        <v>1487</v>
      </c>
      <c r="C1279" s="264" t="s">
        <v>1613</v>
      </c>
      <c r="D1279" s="205" t="s">
        <v>110</v>
      </c>
      <c r="E1279" s="261">
        <v>2.94</v>
      </c>
      <c r="F1279" s="261">
        <v>0.2</v>
      </c>
      <c r="G1279" s="261">
        <v>3.6</v>
      </c>
      <c r="H1279" s="261">
        <v>1</v>
      </c>
      <c r="I1279" s="261"/>
      <c r="J1279" s="259"/>
      <c r="K1279" s="260">
        <f t="shared" si="36"/>
        <v>2.1168</v>
      </c>
      <c r="L1279" s="266" t="s">
        <v>1685</v>
      </c>
    </row>
    <row r="1280" spans="2:12">
      <c r="B1280" s="256" t="s">
        <v>1488</v>
      </c>
      <c r="C1280" s="264" t="s">
        <v>1613</v>
      </c>
      <c r="D1280" s="205" t="s">
        <v>110</v>
      </c>
      <c r="E1280" s="261">
        <v>0.6</v>
      </c>
      <c r="F1280" s="261">
        <v>0.5</v>
      </c>
      <c r="G1280" s="261">
        <v>3.6</v>
      </c>
      <c r="H1280" s="261">
        <v>1</v>
      </c>
      <c r="I1280" s="261"/>
      <c r="J1280" s="259"/>
      <c r="K1280" s="260">
        <f t="shared" si="36"/>
        <v>1.08</v>
      </c>
      <c r="L1280" s="266" t="s">
        <v>1685</v>
      </c>
    </row>
    <row r="1281" spans="2:12">
      <c r="B1281" s="256" t="s">
        <v>1489</v>
      </c>
      <c r="C1281" s="264" t="s">
        <v>1613</v>
      </c>
      <c r="D1281" s="205" t="s">
        <v>110</v>
      </c>
      <c r="E1281" s="261">
        <v>0.4</v>
      </c>
      <c r="F1281" s="261">
        <v>0.4</v>
      </c>
      <c r="G1281" s="261">
        <v>3.6</v>
      </c>
      <c r="H1281" s="261">
        <v>1</v>
      </c>
      <c r="I1281" s="261"/>
      <c r="J1281" s="259"/>
      <c r="K1281" s="260">
        <f t="shared" si="36"/>
        <v>0.57600000000000018</v>
      </c>
      <c r="L1281" s="266" t="s">
        <v>1685</v>
      </c>
    </row>
    <row r="1282" spans="2:12">
      <c r="B1282" s="256" t="s">
        <v>1490</v>
      </c>
      <c r="C1282" s="264" t="s">
        <v>1613</v>
      </c>
      <c r="D1282" s="205" t="s">
        <v>110</v>
      </c>
      <c r="E1282" s="261">
        <v>0.2</v>
      </c>
      <c r="F1282" s="261">
        <v>0.8</v>
      </c>
      <c r="G1282" s="261">
        <v>3.6</v>
      </c>
      <c r="H1282" s="261">
        <v>1</v>
      </c>
      <c r="I1282" s="261"/>
      <c r="J1282" s="259"/>
      <c r="K1282" s="260">
        <f t="shared" si="36"/>
        <v>0.57600000000000018</v>
      </c>
      <c r="L1282" s="266" t="s">
        <v>1685</v>
      </c>
    </row>
    <row r="1283" spans="2:12">
      <c r="B1283" s="256" t="s">
        <v>1493</v>
      </c>
      <c r="C1283" s="264" t="s">
        <v>1613</v>
      </c>
      <c r="D1283" s="205" t="s">
        <v>110</v>
      </c>
      <c r="E1283" s="261">
        <v>0.4</v>
      </c>
      <c r="F1283" s="261">
        <v>0.4</v>
      </c>
      <c r="G1283" s="261">
        <v>3.6</v>
      </c>
      <c r="H1283" s="261">
        <v>1</v>
      </c>
      <c r="I1283" s="261"/>
      <c r="J1283" s="259"/>
      <c r="K1283" s="260">
        <f t="shared" si="36"/>
        <v>0.57600000000000018</v>
      </c>
      <c r="L1283" s="266" t="s">
        <v>1685</v>
      </c>
    </row>
    <row r="1284" spans="2:12">
      <c r="B1284" s="256" t="s">
        <v>1494</v>
      </c>
      <c r="C1284" s="264" t="s">
        <v>1613</v>
      </c>
      <c r="D1284" s="205" t="s">
        <v>110</v>
      </c>
      <c r="E1284" s="261">
        <v>0.4</v>
      </c>
      <c r="F1284" s="261">
        <v>0.4</v>
      </c>
      <c r="G1284" s="261">
        <v>3.6</v>
      </c>
      <c r="H1284" s="261">
        <v>1</v>
      </c>
      <c r="I1284" s="261"/>
      <c r="J1284" s="259"/>
      <c r="K1284" s="260">
        <f t="shared" si="36"/>
        <v>0.57600000000000018</v>
      </c>
      <c r="L1284" s="266" t="s">
        <v>1685</v>
      </c>
    </row>
    <row r="1285" spans="2:12">
      <c r="B1285" s="256" t="s">
        <v>1495</v>
      </c>
      <c r="C1285" s="264" t="s">
        <v>1613</v>
      </c>
      <c r="D1285" s="205" t="s">
        <v>110</v>
      </c>
      <c r="E1285" s="261">
        <v>0.4</v>
      </c>
      <c r="F1285" s="261">
        <v>0.4</v>
      </c>
      <c r="G1285" s="261">
        <v>3.6</v>
      </c>
      <c r="H1285" s="261">
        <v>1</v>
      </c>
      <c r="I1285" s="261"/>
      <c r="J1285" s="259"/>
      <c r="K1285" s="260">
        <f t="shared" si="36"/>
        <v>0.57600000000000018</v>
      </c>
      <c r="L1285" s="266" t="s">
        <v>1685</v>
      </c>
    </row>
    <row r="1286" spans="2:12">
      <c r="B1286" s="256" t="s">
        <v>1411</v>
      </c>
      <c r="C1286" s="264" t="s">
        <v>1895</v>
      </c>
      <c r="D1286" s="205" t="s">
        <v>110</v>
      </c>
      <c r="E1286" s="261">
        <v>0.45</v>
      </c>
      <c r="F1286" s="261">
        <v>0.3</v>
      </c>
      <c r="G1286" s="261">
        <v>3.6</v>
      </c>
      <c r="H1286" s="261">
        <v>1</v>
      </c>
      <c r="I1286" s="261"/>
      <c r="J1286" s="259"/>
      <c r="K1286" s="260">
        <f t="shared" si="36"/>
        <v>0.48600000000000004</v>
      </c>
      <c r="L1286" s="266" t="s">
        <v>1685</v>
      </c>
    </row>
    <row r="1287" spans="2:12">
      <c r="B1287" s="256" t="s">
        <v>1413</v>
      </c>
      <c r="C1287" s="264" t="s">
        <v>1895</v>
      </c>
      <c r="D1287" s="205" t="s">
        <v>110</v>
      </c>
      <c r="E1287" s="261">
        <v>0.55000000000000004</v>
      </c>
      <c r="F1287" s="261">
        <v>0.3</v>
      </c>
      <c r="G1287" s="261">
        <v>3.6</v>
      </c>
      <c r="H1287" s="261">
        <v>1</v>
      </c>
      <c r="I1287" s="261"/>
      <c r="J1287" s="259"/>
      <c r="K1287" s="260">
        <f t="shared" si="36"/>
        <v>0.59400000000000008</v>
      </c>
      <c r="L1287" s="266" t="s">
        <v>1919</v>
      </c>
    </row>
    <row r="1288" spans="2:12">
      <c r="B1288" s="256" t="s">
        <v>1415</v>
      </c>
      <c r="C1288" s="264" t="s">
        <v>1895</v>
      </c>
      <c r="D1288" s="205" t="s">
        <v>110</v>
      </c>
      <c r="E1288" s="261">
        <v>0.55000000000000004</v>
      </c>
      <c r="F1288" s="261">
        <v>0.3</v>
      </c>
      <c r="G1288" s="261">
        <v>3.6</v>
      </c>
      <c r="H1288" s="261">
        <v>1</v>
      </c>
      <c r="I1288" s="261"/>
      <c r="J1288" s="259"/>
      <c r="K1288" s="260">
        <f t="shared" si="36"/>
        <v>0.59400000000000008</v>
      </c>
      <c r="L1288" s="266" t="s">
        <v>1919</v>
      </c>
    </row>
    <row r="1289" spans="2:12">
      <c r="B1289" s="256" t="s">
        <v>1417</v>
      </c>
      <c r="C1289" s="264" t="s">
        <v>1895</v>
      </c>
      <c r="D1289" s="205" t="s">
        <v>110</v>
      </c>
      <c r="E1289" s="261">
        <v>0.45</v>
      </c>
      <c r="F1289" s="261">
        <v>0.3</v>
      </c>
      <c r="G1289" s="261">
        <v>3.6</v>
      </c>
      <c r="H1289" s="261">
        <v>1</v>
      </c>
      <c r="I1289" s="261"/>
      <c r="J1289" s="259"/>
      <c r="K1289" s="260">
        <f t="shared" si="36"/>
        <v>0.48600000000000004</v>
      </c>
      <c r="L1289" s="266" t="s">
        <v>1919</v>
      </c>
    </row>
    <row r="1290" spans="2:12">
      <c r="B1290" s="256" t="s">
        <v>1419</v>
      </c>
      <c r="C1290" s="264" t="s">
        <v>1895</v>
      </c>
      <c r="D1290" s="205" t="s">
        <v>110</v>
      </c>
      <c r="E1290" s="261">
        <v>0.2</v>
      </c>
      <c r="F1290" s="261">
        <v>0.8</v>
      </c>
      <c r="G1290" s="261">
        <v>3.6</v>
      </c>
      <c r="H1290" s="261">
        <v>1</v>
      </c>
      <c r="I1290" s="261"/>
      <c r="J1290" s="259"/>
      <c r="K1290" s="260">
        <f t="shared" si="36"/>
        <v>0.57600000000000018</v>
      </c>
      <c r="L1290" s="266" t="s">
        <v>1919</v>
      </c>
    </row>
    <row r="1291" spans="2:12">
      <c r="B1291" s="256" t="s">
        <v>1420</v>
      </c>
      <c r="C1291" s="264" t="s">
        <v>1895</v>
      </c>
      <c r="D1291" s="205" t="s">
        <v>110</v>
      </c>
      <c r="E1291" s="261">
        <v>0.3</v>
      </c>
      <c r="F1291" s="261">
        <v>0.8</v>
      </c>
      <c r="G1291" s="261">
        <v>3.6</v>
      </c>
      <c r="H1291" s="261">
        <v>1</v>
      </c>
      <c r="I1291" s="261"/>
      <c r="J1291" s="259"/>
      <c r="K1291" s="260">
        <f t="shared" si="36"/>
        <v>0.86399999999999999</v>
      </c>
      <c r="L1291" s="266" t="s">
        <v>1919</v>
      </c>
    </row>
    <row r="1292" spans="2:12">
      <c r="B1292" s="256" t="s">
        <v>1421</v>
      </c>
      <c r="C1292" s="264" t="s">
        <v>1895</v>
      </c>
      <c r="D1292" s="205" t="s">
        <v>110</v>
      </c>
      <c r="E1292" s="261">
        <v>0.2</v>
      </c>
      <c r="F1292" s="261">
        <v>0.8</v>
      </c>
      <c r="G1292" s="261">
        <v>3.6</v>
      </c>
      <c r="H1292" s="261">
        <v>1</v>
      </c>
      <c r="I1292" s="261"/>
      <c r="J1292" s="259"/>
      <c r="K1292" s="260">
        <f t="shared" si="36"/>
        <v>0.57600000000000018</v>
      </c>
      <c r="L1292" s="266" t="s">
        <v>1919</v>
      </c>
    </row>
    <row r="1293" spans="2:12">
      <c r="B1293" s="256" t="s">
        <v>1422</v>
      </c>
      <c r="C1293" s="264" t="s">
        <v>1895</v>
      </c>
      <c r="D1293" s="205" t="s">
        <v>110</v>
      </c>
      <c r="E1293" s="261">
        <v>0.3</v>
      </c>
      <c r="F1293" s="261">
        <v>0.8</v>
      </c>
      <c r="G1293" s="261">
        <v>3.6</v>
      </c>
      <c r="H1293" s="261">
        <v>1</v>
      </c>
      <c r="I1293" s="261"/>
      <c r="J1293" s="259"/>
      <c r="K1293" s="260">
        <f t="shared" si="36"/>
        <v>0.86399999999999999</v>
      </c>
      <c r="L1293" s="266" t="s">
        <v>1919</v>
      </c>
    </row>
    <row r="1294" spans="2:12">
      <c r="B1294" s="256" t="s">
        <v>1423</v>
      </c>
      <c r="C1294" s="264" t="s">
        <v>1895</v>
      </c>
      <c r="D1294" s="205" t="s">
        <v>110</v>
      </c>
      <c r="E1294" s="261">
        <v>0.4</v>
      </c>
      <c r="F1294" s="261">
        <v>0.7</v>
      </c>
      <c r="G1294" s="261">
        <v>3.6</v>
      </c>
      <c r="H1294" s="261">
        <v>1</v>
      </c>
      <c r="I1294" s="261"/>
      <c r="J1294" s="259"/>
      <c r="K1294" s="260">
        <f t="shared" si="36"/>
        <v>1.008</v>
      </c>
      <c r="L1294" s="266" t="s">
        <v>1919</v>
      </c>
    </row>
    <row r="1295" spans="2:12">
      <c r="B1295" s="256" t="s">
        <v>1424</v>
      </c>
      <c r="C1295" s="264" t="s">
        <v>1895</v>
      </c>
      <c r="D1295" s="205" t="s">
        <v>110</v>
      </c>
      <c r="E1295" s="261">
        <v>0.5</v>
      </c>
      <c r="F1295" s="261">
        <v>0.7</v>
      </c>
      <c r="G1295" s="261">
        <v>3.6</v>
      </c>
      <c r="H1295" s="261">
        <v>1</v>
      </c>
      <c r="I1295" s="261"/>
      <c r="J1295" s="259"/>
      <c r="K1295" s="260">
        <f t="shared" si="36"/>
        <v>1.26</v>
      </c>
      <c r="L1295" s="266" t="s">
        <v>1919</v>
      </c>
    </row>
    <row r="1296" spans="2:12">
      <c r="B1296" s="256" t="s">
        <v>1425</v>
      </c>
      <c r="C1296" s="264" t="s">
        <v>1895</v>
      </c>
      <c r="D1296" s="205" t="s">
        <v>110</v>
      </c>
      <c r="E1296" s="261">
        <v>0.5</v>
      </c>
      <c r="F1296" s="261">
        <v>0.7</v>
      </c>
      <c r="G1296" s="261">
        <v>3.6</v>
      </c>
      <c r="H1296" s="261">
        <v>1</v>
      </c>
      <c r="I1296" s="261"/>
      <c r="J1296" s="259"/>
      <c r="K1296" s="260">
        <f t="shared" si="36"/>
        <v>1.26</v>
      </c>
      <c r="L1296" s="266" t="s">
        <v>1919</v>
      </c>
    </row>
    <row r="1297" spans="2:12">
      <c r="B1297" s="256" t="s">
        <v>1426</v>
      </c>
      <c r="C1297" s="264" t="s">
        <v>1895</v>
      </c>
      <c r="D1297" s="205" t="s">
        <v>110</v>
      </c>
      <c r="E1297" s="261">
        <v>0.4</v>
      </c>
      <c r="F1297" s="261">
        <v>0.5</v>
      </c>
      <c r="G1297" s="261">
        <v>3.6</v>
      </c>
      <c r="H1297" s="261">
        <v>1</v>
      </c>
      <c r="I1297" s="261"/>
      <c r="J1297" s="259"/>
      <c r="K1297" s="260">
        <f t="shared" si="36"/>
        <v>0.72000000000000008</v>
      </c>
      <c r="L1297" s="266" t="s">
        <v>1919</v>
      </c>
    </row>
    <row r="1298" spans="2:12">
      <c r="B1298" s="256" t="s">
        <v>1485</v>
      </c>
      <c r="C1298" s="264" t="s">
        <v>1895</v>
      </c>
      <c r="D1298" s="205" t="s">
        <v>110</v>
      </c>
      <c r="E1298" s="261">
        <v>0.6</v>
      </c>
      <c r="F1298" s="261">
        <v>0.4</v>
      </c>
      <c r="G1298" s="261">
        <v>3.6</v>
      </c>
      <c r="H1298" s="261">
        <v>1</v>
      </c>
      <c r="I1298" s="261"/>
      <c r="J1298" s="259"/>
      <c r="K1298" s="260">
        <f t="shared" si="36"/>
        <v>0.86399999999999999</v>
      </c>
      <c r="L1298" s="266" t="s">
        <v>1919</v>
      </c>
    </row>
    <row r="1299" spans="2:12">
      <c r="B1299" s="256" t="s">
        <v>1486</v>
      </c>
      <c r="C1299" s="264" t="s">
        <v>1895</v>
      </c>
      <c r="D1299" s="205" t="s">
        <v>110</v>
      </c>
      <c r="E1299" s="261">
        <v>2.94</v>
      </c>
      <c r="F1299" s="261">
        <v>0.2</v>
      </c>
      <c r="G1299" s="261">
        <v>3.6</v>
      </c>
      <c r="H1299" s="261">
        <v>1</v>
      </c>
      <c r="I1299" s="261"/>
      <c r="J1299" s="259"/>
      <c r="K1299" s="260">
        <f t="shared" si="36"/>
        <v>2.1168</v>
      </c>
      <c r="L1299" s="266" t="s">
        <v>1919</v>
      </c>
    </row>
    <row r="1300" spans="2:12">
      <c r="B1300" s="256" t="s">
        <v>1487</v>
      </c>
      <c r="C1300" s="264" t="s">
        <v>1895</v>
      </c>
      <c r="D1300" s="205" t="s">
        <v>110</v>
      </c>
      <c r="E1300" s="261">
        <v>2.94</v>
      </c>
      <c r="F1300" s="261">
        <v>0.2</v>
      </c>
      <c r="G1300" s="261">
        <v>3.6</v>
      </c>
      <c r="H1300" s="261">
        <v>1</v>
      </c>
      <c r="I1300" s="261"/>
      <c r="J1300" s="259"/>
      <c r="K1300" s="260">
        <f t="shared" si="36"/>
        <v>2.1168</v>
      </c>
      <c r="L1300" s="266" t="s">
        <v>1919</v>
      </c>
    </row>
    <row r="1301" spans="2:12">
      <c r="B1301" s="256" t="s">
        <v>1488</v>
      </c>
      <c r="C1301" s="264" t="s">
        <v>1895</v>
      </c>
      <c r="D1301" s="205" t="s">
        <v>110</v>
      </c>
      <c r="E1301" s="261">
        <v>0.6</v>
      </c>
      <c r="F1301" s="261">
        <v>0.5</v>
      </c>
      <c r="G1301" s="261">
        <v>3.6</v>
      </c>
      <c r="H1301" s="261">
        <v>1</v>
      </c>
      <c r="I1301" s="261"/>
      <c r="J1301" s="259"/>
      <c r="K1301" s="260">
        <f t="shared" si="36"/>
        <v>1.08</v>
      </c>
      <c r="L1301" s="266" t="s">
        <v>1919</v>
      </c>
    </row>
    <row r="1302" spans="2:12">
      <c r="B1302" s="256" t="s">
        <v>1489</v>
      </c>
      <c r="C1302" s="264" t="s">
        <v>1895</v>
      </c>
      <c r="D1302" s="205" t="s">
        <v>110</v>
      </c>
      <c r="E1302" s="261">
        <v>0.4</v>
      </c>
      <c r="F1302" s="261">
        <v>0.4</v>
      </c>
      <c r="G1302" s="261">
        <v>3.6</v>
      </c>
      <c r="H1302" s="261">
        <v>1</v>
      </c>
      <c r="I1302" s="261"/>
      <c r="J1302" s="259"/>
      <c r="K1302" s="260">
        <f t="shared" si="36"/>
        <v>0.57600000000000018</v>
      </c>
      <c r="L1302" s="266" t="s">
        <v>1919</v>
      </c>
    </row>
    <row r="1303" spans="2:12">
      <c r="B1303" s="256" t="s">
        <v>1490</v>
      </c>
      <c r="C1303" s="264" t="s">
        <v>1895</v>
      </c>
      <c r="D1303" s="205" t="s">
        <v>110</v>
      </c>
      <c r="E1303" s="261">
        <v>0.2</v>
      </c>
      <c r="F1303" s="261">
        <v>0.8</v>
      </c>
      <c r="G1303" s="261">
        <v>3.6</v>
      </c>
      <c r="H1303" s="261">
        <v>1</v>
      </c>
      <c r="I1303" s="261"/>
      <c r="J1303" s="259"/>
      <c r="K1303" s="260">
        <f t="shared" si="36"/>
        <v>0.57600000000000018</v>
      </c>
      <c r="L1303" s="266" t="s">
        <v>1919</v>
      </c>
    </row>
    <row r="1304" spans="2:12">
      <c r="B1304" s="256" t="s">
        <v>1493</v>
      </c>
      <c r="C1304" s="264" t="s">
        <v>1895</v>
      </c>
      <c r="D1304" s="205" t="s">
        <v>110</v>
      </c>
      <c r="E1304" s="261">
        <v>0.4</v>
      </c>
      <c r="F1304" s="261">
        <v>0.4</v>
      </c>
      <c r="G1304" s="261">
        <v>3.6</v>
      </c>
      <c r="H1304" s="261">
        <v>1</v>
      </c>
      <c r="I1304" s="261"/>
      <c r="J1304" s="259"/>
      <c r="K1304" s="260">
        <f t="shared" si="36"/>
        <v>0.57600000000000018</v>
      </c>
      <c r="L1304" s="266" t="s">
        <v>1919</v>
      </c>
    </row>
    <row r="1305" spans="2:12">
      <c r="B1305" s="256" t="s">
        <v>1494</v>
      </c>
      <c r="C1305" s="264" t="s">
        <v>1895</v>
      </c>
      <c r="D1305" s="205" t="s">
        <v>110</v>
      </c>
      <c r="E1305" s="261">
        <v>0.4</v>
      </c>
      <c r="F1305" s="261">
        <v>0.4</v>
      </c>
      <c r="G1305" s="261">
        <v>3.6</v>
      </c>
      <c r="H1305" s="261">
        <v>1</v>
      </c>
      <c r="I1305" s="261"/>
      <c r="J1305" s="259"/>
      <c r="K1305" s="260">
        <f t="shared" si="36"/>
        <v>0.57600000000000018</v>
      </c>
      <c r="L1305" s="266" t="s">
        <v>1919</v>
      </c>
    </row>
    <row r="1306" spans="2:12">
      <c r="B1306" s="256" t="s">
        <v>1495</v>
      </c>
      <c r="C1306" s="264" t="s">
        <v>1895</v>
      </c>
      <c r="D1306" s="205" t="s">
        <v>110</v>
      </c>
      <c r="E1306" s="261">
        <v>0.4</v>
      </c>
      <c r="F1306" s="261">
        <v>0.4</v>
      </c>
      <c r="G1306" s="261">
        <v>3.6</v>
      </c>
      <c r="H1306" s="261">
        <v>1</v>
      </c>
      <c r="I1306" s="261"/>
      <c r="J1306" s="259"/>
      <c r="K1306" s="260">
        <f t="shared" si="36"/>
        <v>0.57600000000000018</v>
      </c>
      <c r="L1306" s="266" t="s">
        <v>1919</v>
      </c>
    </row>
    <row r="1307" spans="2:12">
      <c r="B1307" s="256" t="s">
        <v>1413</v>
      </c>
      <c r="C1307" s="264" t="s">
        <v>1931</v>
      </c>
      <c r="D1307" s="205" t="s">
        <v>110</v>
      </c>
      <c r="E1307" s="261">
        <v>0.55000000000000004</v>
      </c>
      <c r="F1307" s="261">
        <v>0.3</v>
      </c>
      <c r="G1307" s="261">
        <v>3.6</v>
      </c>
      <c r="H1307" s="261">
        <v>1</v>
      </c>
      <c r="I1307" s="261"/>
      <c r="J1307" s="259"/>
      <c r="K1307" s="260">
        <f t="shared" si="36"/>
        <v>0.59400000000000008</v>
      </c>
      <c r="L1307" s="266" t="s">
        <v>1957</v>
      </c>
    </row>
    <row r="1308" spans="2:12">
      <c r="B1308" s="256" t="s">
        <v>1415</v>
      </c>
      <c r="C1308" s="264" t="s">
        <v>1931</v>
      </c>
      <c r="D1308" s="205" t="s">
        <v>110</v>
      </c>
      <c r="E1308" s="261">
        <v>0.55000000000000004</v>
      </c>
      <c r="F1308" s="261">
        <v>0.3</v>
      </c>
      <c r="G1308" s="261">
        <v>3.6</v>
      </c>
      <c r="H1308" s="261">
        <v>1</v>
      </c>
      <c r="I1308" s="261"/>
      <c r="J1308" s="259"/>
      <c r="K1308" s="260">
        <f t="shared" si="36"/>
        <v>0.59400000000000008</v>
      </c>
      <c r="L1308" s="266" t="s">
        <v>1957</v>
      </c>
    </row>
    <row r="1309" spans="2:12">
      <c r="B1309" s="256" t="s">
        <v>1417</v>
      </c>
      <c r="C1309" s="264" t="s">
        <v>1931</v>
      </c>
      <c r="D1309" s="205" t="s">
        <v>110</v>
      </c>
      <c r="E1309" s="261">
        <v>0.45</v>
      </c>
      <c r="F1309" s="261">
        <v>0.3</v>
      </c>
      <c r="G1309" s="261">
        <v>3.6</v>
      </c>
      <c r="H1309" s="261">
        <v>1</v>
      </c>
      <c r="I1309" s="261"/>
      <c r="J1309" s="259"/>
      <c r="K1309" s="260">
        <f t="shared" si="36"/>
        <v>0.48600000000000004</v>
      </c>
      <c r="L1309" s="266" t="s">
        <v>1957</v>
      </c>
    </row>
    <row r="1310" spans="2:12">
      <c r="B1310" s="256" t="s">
        <v>1419</v>
      </c>
      <c r="C1310" s="264" t="s">
        <v>1931</v>
      </c>
      <c r="D1310" s="205" t="s">
        <v>110</v>
      </c>
      <c r="E1310" s="261">
        <v>0.2</v>
      </c>
      <c r="F1310" s="261">
        <v>0.8</v>
      </c>
      <c r="G1310" s="261">
        <v>3.6</v>
      </c>
      <c r="H1310" s="261">
        <v>1</v>
      </c>
      <c r="I1310" s="261"/>
      <c r="J1310" s="259"/>
      <c r="K1310" s="260">
        <f t="shared" si="36"/>
        <v>0.57600000000000018</v>
      </c>
      <c r="L1310" s="266" t="s">
        <v>1957</v>
      </c>
    </row>
    <row r="1311" spans="2:12">
      <c r="B1311" s="256" t="s">
        <v>1420</v>
      </c>
      <c r="C1311" s="264" t="s">
        <v>1931</v>
      </c>
      <c r="D1311" s="205" t="s">
        <v>110</v>
      </c>
      <c r="E1311" s="261">
        <v>0.3</v>
      </c>
      <c r="F1311" s="261">
        <v>0.8</v>
      </c>
      <c r="G1311" s="261">
        <v>3.6</v>
      </c>
      <c r="H1311" s="261">
        <v>1</v>
      </c>
      <c r="I1311" s="261"/>
      <c r="J1311" s="259"/>
      <c r="K1311" s="260">
        <f t="shared" si="36"/>
        <v>0.86399999999999999</v>
      </c>
      <c r="L1311" s="266" t="s">
        <v>1957</v>
      </c>
    </row>
    <row r="1312" spans="2:12">
      <c r="B1312" s="256" t="s">
        <v>1421</v>
      </c>
      <c r="C1312" s="264" t="s">
        <v>1931</v>
      </c>
      <c r="D1312" s="205" t="s">
        <v>110</v>
      </c>
      <c r="E1312" s="261">
        <v>0.2</v>
      </c>
      <c r="F1312" s="261">
        <v>0.8</v>
      </c>
      <c r="G1312" s="261">
        <v>3.6</v>
      </c>
      <c r="H1312" s="261">
        <v>1</v>
      </c>
      <c r="I1312" s="261"/>
      <c r="J1312" s="259"/>
      <c r="K1312" s="260">
        <f t="shared" si="36"/>
        <v>0.57600000000000018</v>
      </c>
      <c r="L1312" s="266" t="s">
        <v>1957</v>
      </c>
    </row>
    <row r="1313" spans="2:12">
      <c r="B1313" s="256" t="s">
        <v>1422</v>
      </c>
      <c r="C1313" s="264" t="s">
        <v>1931</v>
      </c>
      <c r="D1313" s="205" t="s">
        <v>110</v>
      </c>
      <c r="E1313" s="261">
        <v>0.3</v>
      </c>
      <c r="F1313" s="261">
        <v>0.8</v>
      </c>
      <c r="G1313" s="261">
        <v>3.6</v>
      </c>
      <c r="H1313" s="261">
        <v>1</v>
      </c>
      <c r="I1313" s="261"/>
      <c r="J1313" s="259"/>
      <c r="K1313" s="260">
        <f t="shared" si="36"/>
        <v>0.86399999999999999</v>
      </c>
      <c r="L1313" s="266" t="s">
        <v>1957</v>
      </c>
    </row>
    <row r="1314" spans="2:12">
      <c r="B1314" s="256" t="s">
        <v>1423</v>
      </c>
      <c r="C1314" s="264" t="s">
        <v>1931</v>
      </c>
      <c r="D1314" s="205" t="s">
        <v>110</v>
      </c>
      <c r="E1314" s="261">
        <v>0.4</v>
      </c>
      <c r="F1314" s="261">
        <v>0.7</v>
      </c>
      <c r="G1314" s="261">
        <v>3.6</v>
      </c>
      <c r="H1314" s="261">
        <v>1</v>
      </c>
      <c r="I1314" s="261"/>
      <c r="J1314" s="259"/>
      <c r="K1314" s="260">
        <f t="shared" si="36"/>
        <v>1.008</v>
      </c>
      <c r="L1314" s="266" t="s">
        <v>1957</v>
      </c>
    </row>
    <row r="1315" spans="2:12">
      <c r="B1315" s="256" t="s">
        <v>1424</v>
      </c>
      <c r="C1315" s="264" t="s">
        <v>1931</v>
      </c>
      <c r="D1315" s="205" t="s">
        <v>110</v>
      </c>
      <c r="E1315" s="261">
        <v>0.5</v>
      </c>
      <c r="F1315" s="261">
        <v>0.7</v>
      </c>
      <c r="G1315" s="261">
        <v>3.6</v>
      </c>
      <c r="H1315" s="261">
        <v>1</v>
      </c>
      <c r="I1315" s="261"/>
      <c r="J1315" s="259"/>
      <c r="K1315" s="260">
        <f t="shared" si="36"/>
        <v>1.26</v>
      </c>
      <c r="L1315" s="266" t="s">
        <v>1957</v>
      </c>
    </row>
    <row r="1316" spans="2:12">
      <c r="B1316" s="256" t="s">
        <v>1425</v>
      </c>
      <c r="C1316" s="264" t="s">
        <v>1931</v>
      </c>
      <c r="D1316" s="205" t="s">
        <v>110</v>
      </c>
      <c r="E1316" s="261">
        <v>0.5</v>
      </c>
      <c r="F1316" s="261">
        <v>0.7</v>
      </c>
      <c r="G1316" s="261">
        <v>3.6</v>
      </c>
      <c r="H1316" s="261">
        <v>1</v>
      </c>
      <c r="I1316" s="261"/>
      <c r="J1316" s="259"/>
      <c r="K1316" s="260">
        <f t="shared" si="36"/>
        <v>1.26</v>
      </c>
      <c r="L1316" s="266" t="s">
        <v>1957</v>
      </c>
    </row>
    <row r="1317" spans="2:12">
      <c r="B1317" s="256" t="s">
        <v>1426</v>
      </c>
      <c r="C1317" s="264" t="s">
        <v>1931</v>
      </c>
      <c r="D1317" s="205" t="s">
        <v>110</v>
      </c>
      <c r="E1317" s="261">
        <v>0.4</v>
      </c>
      <c r="F1317" s="261">
        <v>0.5</v>
      </c>
      <c r="G1317" s="261">
        <v>3.6</v>
      </c>
      <c r="H1317" s="261">
        <v>1</v>
      </c>
      <c r="I1317" s="261"/>
      <c r="J1317" s="259"/>
      <c r="K1317" s="260">
        <f t="shared" si="36"/>
        <v>0.72000000000000008</v>
      </c>
      <c r="L1317" s="266" t="s">
        <v>1957</v>
      </c>
    </row>
    <row r="1318" spans="2:12">
      <c r="B1318" s="256" t="s">
        <v>1485</v>
      </c>
      <c r="C1318" s="264" t="s">
        <v>1931</v>
      </c>
      <c r="D1318" s="205" t="s">
        <v>110</v>
      </c>
      <c r="E1318" s="261">
        <v>0.6</v>
      </c>
      <c r="F1318" s="261">
        <v>0.4</v>
      </c>
      <c r="G1318" s="261">
        <v>3.6</v>
      </c>
      <c r="H1318" s="261">
        <v>1</v>
      </c>
      <c r="I1318" s="261"/>
      <c r="J1318" s="259"/>
      <c r="K1318" s="260">
        <f t="shared" si="36"/>
        <v>0.86399999999999999</v>
      </c>
      <c r="L1318" s="266" t="s">
        <v>1957</v>
      </c>
    </row>
    <row r="1319" spans="2:12">
      <c r="B1319" s="256" t="s">
        <v>1486</v>
      </c>
      <c r="C1319" s="264" t="s">
        <v>1931</v>
      </c>
      <c r="D1319" s="205" t="s">
        <v>110</v>
      </c>
      <c r="E1319" s="261">
        <v>2.94</v>
      </c>
      <c r="F1319" s="261">
        <v>0.2</v>
      </c>
      <c r="G1319" s="261">
        <v>3.6</v>
      </c>
      <c r="H1319" s="261">
        <v>1</v>
      </c>
      <c r="I1319" s="261"/>
      <c r="J1319" s="259"/>
      <c r="K1319" s="260">
        <f t="shared" si="36"/>
        <v>2.1168</v>
      </c>
      <c r="L1319" s="266" t="s">
        <v>1957</v>
      </c>
    </row>
    <row r="1320" spans="2:12">
      <c r="B1320" s="256" t="s">
        <v>1487</v>
      </c>
      <c r="C1320" s="264" t="s">
        <v>1931</v>
      </c>
      <c r="D1320" s="205" t="s">
        <v>110</v>
      </c>
      <c r="E1320" s="261">
        <v>2.94</v>
      </c>
      <c r="F1320" s="261">
        <v>0.2</v>
      </c>
      <c r="G1320" s="261">
        <v>3.6</v>
      </c>
      <c r="H1320" s="261">
        <v>1</v>
      </c>
      <c r="I1320" s="261"/>
      <c r="J1320" s="259"/>
      <c r="K1320" s="260">
        <f t="shared" si="36"/>
        <v>2.1168</v>
      </c>
      <c r="L1320" s="266" t="s">
        <v>1957</v>
      </c>
    </row>
    <row r="1321" spans="2:12">
      <c r="B1321" s="256" t="s">
        <v>1488</v>
      </c>
      <c r="C1321" s="264" t="s">
        <v>1931</v>
      </c>
      <c r="D1321" s="205" t="s">
        <v>110</v>
      </c>
      <c r="E1321" s="261">
        <v>0.6</v>
      </c>
      <c r="F1321" s="261">
        <v>0.5</v>
      </c>
      <c r="G1321" s="261">
        <v>3.6</v>
      </c>
      <c r="H1321" s="261">
        <v>1</v>
      </c>
      <c r="I1321" s="261"/>
      <c r="J1321" s="259"/>
      <c r="K1321" s="260">
        <f t="shared" si="36"/>
        <v>1.08</v>
      </c>
      <c r="L1321" s="266" t="s">
        <v>1957</v>
      </c>
    </row>
    <row r="1322" spans="2:12">
      <c r="B1322" s="256" t="s">
        <v>1489</v>
      </c>
      <c r="C1322" s="264" t="s">
        <v>1931</v>
      </c>
      <c r="D1322" s="205" t="s">
        <v>110</v>
      </c>
      <c r="E1322" s="261">
        <v>0.4</v>
      </c>
      <c r="F1322" s="261">
        <v>0.4</v>
      </c>
      <c r="G1322" s="261">
        <v>3.6</v>
      </c>
      <c r="H1322" s="261">
        <v>1</v>
      </c>
      <c r="I1322" s="261"/>
      <c r="J1322" s="259"/>
      <c r="K1322" s="260">
        <f t="shared" si="36"/>
        <v>0.57600000000000018</v>
      </c>
      <c r="L1322" s="266" t="s">
        <v>1957</v>
      </c>
    </row>
    <row r="1323" spans="2:12">
      <c r="B1323" s="256" t="s">
        <v>1490</v>
      </c>
      <c r="C1323" s="264" t="s">
        <v>1931</v>
      </c>
      <c r="D1323" s="205" t="s">
        <v>110</v>
      </c>
      <c r="E1323" s="261">
        <v>0.2</v>
      </c>
      <c r="F1323" s="261">
        <v>0.8</v>
      </c>
      <c r="G1323" s="261">
        <v>3.6</v>
      </c>
      <c r="H1323" s="261">
        <v>1</v>
      </c>
      <c r="I1323" s="261"/>
      <c r="J1323" s="259"/>
      <c r="K1323" s="260">
        <f t="shared" si="36"/>
        <v>0.57600000000000018</v>
      </c>
      <c r="L1323" s="266" t="s">
        <v>1957</v>
      </c>
    </row>
    <row r="1324" spans="2:12">
      <c r="B1324" s="256" t="s">
        <v>1493</v>
      </c>
      <c r="C1324" s="264" t="s">
        <v>1931</v>
      </c>
      <c r="D1324" s="205" t="s">
        <v>110</v>
      </c>
      <c r="E1324" s="261">
        <v>0.4</v>
      </c>
      <c r="F1324" s="261">
        <v>0.4</v>
      </c>
      <c r="G1324" s="261">
        <v>3.6</v>
      </c>
      <c r="H1324" s="261">
        <v>1</v>
      </c>
      <c r="I1324" s="261"/>
      <c r="J1324" s="259"/>
      <c r="K1324" s="260">
        <f t="shared" si="36"/>
        <v>0.57600000000000018</v>
      </c>
      <c r="L1324" s="266" t="s">
        <v>1957</v>
      </c>
    </row>
    <row r="1325" spans="2:12">
      <c r="B1325" s="256" t="s">
        <v>1494</v>
      </c>
      <c r="C1325" s="264" t="s">
        <v>1931</v>
      </c>
      <c r="D1325" s="205" t="s">
        <v>110</v>
      </c>
      <c r="E1325" s="261">
        <v>0.4</v>
      </c>
      <c r="F1325" s="261">
        <v>0.4</v>
      </c>
      <c r="G1325" s="261">
        <v>3.6</v>
      </c>
      <c r="H1325" s="261">
        <v>1</v>
      </c>
      <c r="I1325" s="261"/>
      <c r="J1325" s="259"/>
      <c r="K1325" s="260">
        <f t="shared" si="36"/>
        <v>0.57600000000000018</v>
      </c>
      <c r="L1325" s="266" t="s">
        <v>1957</v>
      </c>
    </row>
    <row r="1326" spans="2:12">
      <c r="B1326" s="256" t="s">
        <v>1495</v>
      </c>
      <c r="C1326" s="264" t="s">
        <v>1931</v>
      </c>
      <c r="D1326" s="205" t="s">
        <v>110</v>
      </c>
      <c r="E1326" s="261">
        <v>0.4</v>
      </c>
      <c r="F1326" s="261">
        <v>0.4</v>
      </c>
      <c r="G1326" s="261">
        <v>3.6</v>
      </c>
      <c r="H1326" s="261">
        <v>1</v>
      </c>
      <c r="I1326" s="261"/>
      <c r="J1326" s="259"/>
      <c r="K1326" s="260">
        <f t="shared" si="36"/>
        <v>0.57600000000000018</v>
      </c>
      <c r="L1326" s="266" t="s">
        <v>1957</v>
      </c>
    </row>
    <row r="1327" spans="2:12">
      <c r="B1327" s="256"/>
      <c r="C1327" s="210"/>
      <c r="D1327" s="210"/>
      <c r="E1327" s="261"/>
      <c r="F1327" s="261"/>
      <c r="G1327" s="261"/>
      <c r="H1327" s="261"/>
      <c r="I1327" s="261"/>
      <c r="J1327" s="259"/>
      <c r="K1327" s="260">
        <f t="shared" ref="K1327" si="37">IF(E1327*F1327*G1327&lt;&gt;0,E1327*F1327*G1327,IF(E1327*F1327&lt;&gt;0,E1327*F1327,IF(F1327*G1327&lt;&gt;0,F1327*G1327,IF(E1327*G1327&lt;&gt;0,E1327*G1327,IF(E1327&lt;&gt;0,E1327,IF(F1327&lt;&gt;0,F1327,IF(G1327&lt;&gt;0,G1327,0)))))))*(IF(H1327&lt;&gt;0,H1327,1))+I1327-J1327</f>
        <v>0</v>
      </c>
      <c r="L1327" s="210"/>
    </row>
    <row r="1328" spans="2:12">
      <c r="B1328" s="202"/>
      <c r="C1328" s="203"/>
      <c r="D1328" s="203"/>
      <c r="E1328" s="203"/>
      <c r="F1328" s="203"/>
      <c r="G1328" s="203"/>
      <c r="H1328" s="204"/>
      <c r="I1328" s="556" t="s">
        <v>1221</v>
      </c>
      <c r="J1328" s="556"/>
      <c r="K1328" s="220">
        <f>SUM(K1071:K1327)</f>
        <v>207.43511999999964</v>
      </c>
      <c r="L1328" s="207"/>
    </row>
    <row r="1329" spans="2:12">
      <c r="B1329" s="208"/>
      <c r="C1329" s="204"/>
      <c r="D1329" s="204"/>
      <c r="E1329" s="204"/>
      <c r="F1329" s="204"/>
      <c r="G1329" s="204"/>
      <c r="H1329" s="209"/>
      <c r="I1329" s="556" t="s">
        <v>1222</v>
      </c>
      <c r="J1329" s="556"/>
      <c r="K1329" s="221">
        <f>VLOOKUP(B1069,'BM 004'!$B$27:$R$590,4,0)</f>
        <v>226.93</v>
      </c>
      <c r="L1329" s="207"/>
    </row>
    <row r="1330" spans="2:12">
      <c r="B1330" s="208"/>
      <c r="C1330" s="204"/>
      <c r="D1330" s="204"/>
      <c r="E1330" s="204"/>
      <c r="F1330" s="204"/>
      <c r="G1330" s="204"/>
      <c r="H1330" s="558" t="s">
        <v>1223</v>
      </c>
      <c r="I1330" s="558"/>
      <c r="J1330" s="558"/>
      <c r="K1330" s="222">
        <v>189.58511999999999</v>
      </c>
      <c r="L1330" s="246"/>
    </row>
    <row r="1331" spans="2:12">
      <c r="B1331" s="208"/>
      <c r="C1331" s="204"/>
      <c r="D1331" s="204"/>
      <c r="E1331" s="204"/>
      <c r="F1331" s="204"/>
      <c r="G1331" s="204"/>
      <c r="H1331" s="558" t="s">
        <v>1891</v>
      </c>
      <c r="I1331" s="558"/>
      <c r="J1331" s="558"/>
      <c r="K1331" s="222">
        <f>TRUNC(SUMIF(C1071:C1327,H1331,K1071:K1327),2)</f>
        <v>17.850000000000001</v>
      </c>
      <c r="L1331" s="246"/>
    </row>
    <row r="1332" spans="2:12">
      <c r="B1332" s="213"/>
      <c r="C1332" s="214"/>
      <c r="D1332" s="214"/>
      <c r="E1332" s="214"/>
      <c r="F1332" s="214"/>
      <c r="G1332" s="214"/>
      <c r="H1332" s="566" t="s">
        <v>1224</v>
      </c>
      <c r="I1332" s="566"/>
      <c r="J1332" s="566"/>
      <c r="K1332" s="223">
        <f>IF(K1328&gt;K1329,K1328-K1329,0)</f>
        <v>0</v>
      </c>
      <c r="L1332" s="209"/>
    </row>
    <row r="1334" spans="2:12">
      <c r="B1334" s="247" t="s">
        <v>240</v>
      </c>
      <c r="C1334" s="565" t="str">
        <f>VLOOKUP(B1334,'BM 004'!$B$27:$R$590,2,0)</f>
        <v xml:space="preserve">Armação de laje de uma estrutura convencional de concreto armado em um edifício de múltiplos pavimentos utilizando aço ca-50 de 6,3 mm - montagem. </v>
      </c>
      <c r="D1334" s="565"/>
      <c r="E1334" s="565"/>
      <c r="F1334" s="565"/>
      <c r="G1334" s="565"/>
      <c r="H1334" s="565"/>
      <c r="I1334" s="565"/>
      <c r="J1334" s="565"/>
      <c r="K1334" s="565"/>
      <c r="L1334" s="565"/>
    </row>
    <row r="1335" spans="2:12">
      <c r="B1335" s="248" t="s">
        <v>1209</v>
      </c>
      <c r="C1335" s="248"/>
      <c r="D1335" s="248" t="s">
        <v>39</v>
      </c>
      <c r="E1335" s="248" t="s">
        <v>1210</v>
      </c>
      <c r="F1335" s="248" t="s">
        <v>1388</v>
      </c>
      <c r="G1335" s="248" t="s">
        <v>1212</v>
      </c>
      <c r="H1335" s="248" t="s">
        <v>1213</v>
      </c>
      <c r="I1335" s="248" t="s">
        <v>1214</v>
      </c>
      <c r="J1335" s="248" t="s">
        <v>1385</v>
      </c>
      <c r="K1335" s="248" t="s">
        <v>1216</v>
      </c>
      <c r="L1335" s="248" t="s">
        <v>1217</v>
      </c>
    </row>
    <row r="1336" spans="2:12">
      <c r="B1336" s="205" t="s">
        <v>1958</v>
      </c>
      <c r="C1336" s="250"/>
      <c r="D1336" s="205" t="s">
        <v>152</v>
      </c>
      <c r="E1336" s="251"/>
      <c r="F1336" s="252"/>
      <c r="G1336" s="251"/>
      <c r="H1336" s="251"/>
      <c r="I1336" s="251"/>
      <c r="J1336" s="253"/>
      <c r="K1336" s="254">
        <f>IF(E1336*F1336*G1336&lt;&gt;0,E1336*F1336*G1336,IF(E1336*F1336&lt;&gt;0,E1336*F1336,IF(F1336*G1336&lt;&gt;0,F1336*G1336,IF(E1336*G1336&lt;&gt;0,E1336*G1336,IF(E1336&lt;&gt;0,E1336,IF(F1336&lt;&gt;0,F1336,IF(G1336&lt;&gt;0,G1336,0)))))))*(IF(H1336&lt;&gt;0,H1336,1))+I1336-J1336</f>
        <v>0</v>
      </c>
      <c r="L1336" s="255" t="s">
        <v>1959</v>
      </c>
    </row>
    <row r="1337" spans="2:12">
      <c r="B1337" s="205" t="s">
        <v>1960</v>
      </c>
      <c r="C1337" s="250"/>
      <c r="D1337" s="205" t="s">
        <v>152</v>
      </c>
      <c r="E1337" s="251"/>
      <c r="F1337" s="252"/>
      <c r="G1337" s="251"/>
      <c r="H1337" s="251"/>
      <c r="I1337" s="251"/>
      <c r="J1337" s="253"/>
      <c r="K1337" s="254">
        <f>IF(E1337*F1337*G1337&lt;&gt;0,E1337*F1337*G1337,IF(E1337*F1337&lt;&gt;0,E1337*F1337,IF(F1337*G1337&lt;&gt;0,F1337*G1337,IF(E1337*G1337&lt;&gt;0,E1337*G1337,IF(E1337&lt;&gt;0,E1337,IF(F1337&lt;&gt;0,F1337,IF(G1337&lt;&gt;0,G1337,0)))))))*(IF(H1337&lt;&gt;0,H1337,1))+I1337-J1337</f>
        <v>0</v>
      </c>
      <c r="L1337" s="255" t="s">
        <v>1959</v>
      </c>
    </row>
    <row r="1338" spans="2:12">
      <c r="B1338" s="205" t="s">
        <v>1961</v>
      </c>
      <c r="C1338" s="250"/>
      <c r="D1338" s="205" t="s">
        <v>152</v>
      </c>
      <c r="E1338" s="251"/>
      <c r="F1338" s="252"/>
      <c r="G1338" s="251"/>
      <c r="H1338" s="251"/>
      <c r="I1338" s="251"/>
      <c r="J1338" s="253"/>
      <c r="K1338" s="254">
        <f>IF(E1338*F1338*G1338&lt;&gt;0,E1338*F1338*G1338,IF(E1338*F1338&lt;&gt;0,E1338*F1338,IF(F1338*G1338&lt;&gt;0,F1338*G1338,IF(E1338*G1338&lt;&gt;0,E1338*G1338,IF(E1338&lt;&gt;0,E1338,IF(F1338&lt;&gt;0,F1338,IF(G1338&lt;&gt;0,G1338,0)))))))*(IF(H1338&lt;&gt;0,H1338,1))+I1338-J1338</f>
        <v>0</v>
      </c>
      <c r="L1338" s="255" t="s">
        <v>1959</v>
      </c>
    </row>
    <row r="1339" spans="2:12">
      <c r="B1339" s="205" t="s">
        <v>1962</v>
      </c>
      <c r="C1339" s="250"/>
      <c r="D1339" s="205" t="s">
        <v>152</v>
      </c>
      <c r="E1339" s="251"/>
      <c r="F1339" s="252"/>
      <c r="G1339" s="251">
        <v>0.83499999999999996</v>
      </c>
      <c r="H1339" s="251"/>
      <c r="I1339" s="251"/>
      <c r="J1339" s="253"/>
      <c r="K1339" s="254">
        <f>IF(E1339*F1339*G1339&lt;&gt;0,E1339*F1339*G1339,IF(E1339*F1339&lt;&gt;0,E1339*F1339,IF(F1339*G1339&lt;&gt;0,F1339*G1339,IF(E1339*G1339&lt;&gt;0,E1339*G1339,IF(E1339&lt;&gt;0,E1339,IF(F1339&lt;&gt;0,F1339,IF(G1339&lt;&gt;0,G1339,0)))))))*(IF(H1339&lt;&gt;0,H1339,1))+I1339-J1339</f>
        <v>0.83499999999999996</v>
      </c>
      <c r="L1339" s="255" t="s">
        <v>1959</v>
      </c>
    </row>
    <row r="1340" spans="2:12">
      <c r="B1340" s="205" t="s">
        <v>1963</v>
      </c>
      <c r="C1340" s="250"/>
      <c r="D1340" s="205" t="s">
        <v>152</v>
      </c>
      <c r="E1340" s="251">
        <v>11560</v>
      </c>
      <c r="F1340" s="252">
        <v>0.154</v>
      </c>
      <c r="G1340" s="251">
        <f>1-0.165</f>
        <v>0.83499999999999996</v>
      </c>
      <c r="H1340" s="251">
        <v>1.1000000000000001</v>
      </c>
      <c r="I1340" s="251"/>
      <c r="J1340" s="253"/>
      <c r="K1340" s="254">
        <f>IF(E1340*F1340*G1340&lt;&gt;0,E1340*F1340*G1340,IF(E1340*F1340&lt;&gt;0,E1340*F1340,IF(F1340*G1340&lt;&gt;0,F1340*G1340,IF(E1340*G1340&lt;&gt;0,E1340*G1340,IF(E1340&lt;&gt;0,E1340,IF(F1340&lt;&gt;0,F1340,IF(G1340&lt;&gt;0,G1340,0)))))))*(IF(H1340&lt;&gt;0,H1340,1))+I1340-J1340</f>
        <v>1635.1504400000001</v>
      </c>
      <c r="L1340" s="266" t="s">
        <v>1959</v>
      </c>
    </row>
    <row r="1341" spans="2:12">
      <c r="B1341" s="329" t="s">
        <v>1964</v>
      </c>
      <c r="C1341" s="329"/>
      <c r="D1341" s="329" t="s">
        <v>152</v>
      </c>
      <c r="E1341" s="253"/>
      <c r="F1341" s="334"/>
      <c r="G1341" s="253"/>
      <c r="H1341" s="253"/>
      <c r="I1341" s="253"/>
      <c r="J1341" s="253"/>
      <c r="K1341" s="335"/>
      <c r="L1341" s="331" t="s">
        <v>1959</v>
      </c>
    </row>
    <row r="1342" spans="2:12">
      <c r="B1342" s="329" t="s">
        <v>1965</v>
      </c>
      <c r="C1342" s="329"/>
      <c r="D1342" s="329" t="s">
        <v>152</v>
      </c>
      <c r="E1342" s="253"/>
      <c r="F1342" s="334"/>
      <c r="G1342" s="253"/>
      <c r="H1342" s="253"/>
      <c r="I1342" s="253"/>
      <c r="J1342" s="253"/>
      <c r="K1342" s="335"/>
      <c r="L1342" s="336" t="s">
        <v>1959</v>
      </c>
    </row>
    <row r="1343" spans="2:12">
      <c r="B1343" s="205" t="s">
        <v>1966</v>
      </c>
      <c r="C1343" s="250"/>
      <c r="D1343" s="205" t="s">
        <v>152</v>
      </c>
      <c r="E1343" s="251">
        <v>8265</v>
      </c>
      <c r="F1343" s="252">
        <v>0.154</v>
      </c>
      <c r="G1343" s="251"/>
      <c r="H1343" s="251">
        <v>1.1000000000000001</v>
      </c>
      <c r="I1343" s="251"/>
      <c r="J1343" s="253"/>
      <c r="K1343" s="254">
        <f>IF(E1343*F1343*G1343&lt;&gt;0,E1343*F1343*G1343,IF(E1343*F1343&lt;&gt;0,E1343*F1343,IF(F1343*G1343&lt;&gt;0,F1343*G1343,IF(E1343*G1343&lt;&gt;0,E1343*G1343,IF(E1343&lt;&gt;0,E1343,IF(F1343&lt;&gt;0,F1343,IF(G1343&lt;&gt;0,G1343,0)))))))*(IF(H1343&lt;&gt;0,H1343,1))+I1343-J1343</f>
        <v>1400.0910000000001</v>
      </c>
      <c r="L1343" s="255" t="s">
        <v>1959</v>
      </c>
    </row>
    <row r="1344" spans="2:12">
      <c r="B1344" s="205" t="s">
        <v>1967</v>
      </c>
      <c r="C1344" s="250"/>
      <c r="D1344" s="205" t="s">
        <v>152</v>
      </c>
      <c r="E1344" s="251"/>
      <c r="F1344" s="252"/>
      <c r="G1344" s="251"/>
      <c r="H1344" s="251"/>
      <c r="I1344" s="251"/>
      <c r="J1344" s="253"/>
      <c r="K1344" s="254">
        <f>IF(E1344*F1344*G1344&lt;&gt;0,E1344*F1344*G1344,IF(E1344*F1344&lt;&gt;0,E1344*F1344,IF(F1344*G1344&lt;&gt;0,F1344*G1344,IF(E1344*G1344&lt;&gt;0,E1344*G1344,IF(E1344&lt;&gt;0,E1344,IF(F1344&lt;&gt;0,F1344,IF(G1344&lt;&gt;0,G1344,0)))))))*(IF(H1344&lt;&gt;0,H1344,1))+I1344-J1344</f>
        <v>0</v>
      </c>
      <c r="L1344" s="255" t="s">
        <v>1959</v>
      </c>
    </row>
    <row r="1345" spans="2:12">
      <c r="B1345" s="205" t="s">
        <v>1968</v>
      </c>
      <c r="C1345" s="250"/>
      <c r="D1345" s="205" t="s">
        <v>152</v>
      </c>
      <c r="E1345" s="251">
        <v>673</v>
      </c>
      <c r="F1345" s="252">
        <v>0.154</v>
      </c>
      <c r="G1345" s="251"/>
      <c r="H1345" s="251">
        <v>1.1000000000000001</v>
      </c>
      <c r="I1345" s="251"/>
      <c r="J1345" s="253"/>
      <c r="K1345" s="254">
        <f>IF(E1345*F1345*G1345&lt;&gt;0,E1345*F1345*G1345,IF(E1345*F1345&lt;&gt;0,E1345*F1345,IF(F1345*G1345&lt;&gt;0,F1345*G1345,IF(E1345*G1345&lt;&gt;0,E1345*G1345,IF(E1345&lt;&gt;0,E1345,IF(F1345&lt;&gt;0,F1345,IF(G1345&lt;&gt;0,G1345,0)))))))*(IF(H1345&lt;&gt;0,H1345,1))+I1345-J1345</f>
        <v>114.00620000000001</v>
      </c>
      <c r="L1345" s="255" t="s">
        <v>1959</v>
      </c>
    </row>
    <row r="1346" spans="2:12">
      <c r="B1346" s="210" t="s">
        <v>1969</v>
      </c>
      <c r="C1346" s="264"/>
      <c r="D1346" s="210" t="s">
        <v>152</v>
      </c>
      <c r="E1346" s="257"/>
      <c r="F1346" s="258"/>
      <c r="G1346" s="257"/>
      <c r="H1346" s="257"/>
      <c r="I1346" s="257"/>
      <c r="J1346" s="259"/>
      <c r="K1346" s="254">
        <f>IF(E1346*F1346*G1346&lt;&gt;0,E1346*F1346*G1346,IF(E1346*F1346&lt;&gt;0,E1346*F1346,IF(F1346*G1346&lt;&gt;0,F1346*G1346,IF(E1346*G1346&lt;&gt;0,E1346*G1346,IF(E1346&lt;&gt;0,E1346,IF(F1346&lt;&gt;0,F1346,IF(G1346&lt;&gt;0,G1346,0)))))))*(IF(H1346&lt;&gt;0,H1346,1))+I1346-J1346</f>
        <v>0</v>
      </c>
      <c r="L1346" s="266" t="s">
        <v>1959</v>
      </c>
    </row>
    <row r="1347" spans="2:12">
      <c r="B1347" s="210" t="s">
        <v>1970</v>
      </c>
      <c r="C1347" s="264"/>
      <c r="D1347" s="210" t="s">
        <v>152</v>
      </c>
      <c r="E1347" s="257"/>
      <c r="F1347" s="258"/>
      <c r="G1347" s="257"/>
      <c r="H1347" s="257"/>
      <c r="I1347" s="257"/>
      <c r="J1347" s="259"/>
      <c r="K1347" s="254">
        <f>IF(E1347*F1347*G1347&lt;&gt;0,E1347*F1347*G1347,IF(E1347*F1347&lt;&gt;0,E1347*F1347,IF(F1347*G1347&lt;&gt;0,F1347*G1347,IF(E1347*G1347&lt;&gt;0,E1347*G1347,IF(E1347&lt;&gt;0,E1347,IF(F1347&lt;&gt;0,F1347,IF(G1347&lt;&gt;0,G1347,0)))))))*(IF(H1347&lt;&gt;0,H1347,1))+I1347-J1347</f>
        <v>0</v>
      </c>
      <c r="L1347" s="266" t="s">
        <v>1959</v>
      </c>
    </row>
    <row r="1348" spans="2:12">
      <c r="B1348" s="337" t="s">
        <v>1971</v>
      </c>
      <c r="C1348" s="337"/>
      <c r="D1348" s="337" t="s">
        <v>152</v>
      </c>
      <c r="E1348" s="259">
        <v>581</v>
      </c>
      <c r="F1348" s="338">
        <v>0.154</v>
      </c>
      <c r="G1348" s="259"/>
      <c r="H1348" s="259">
        <v>1.1000000000000001</v>
      </c>
      <c r="I1348" s="259"/>
      <c r="J1348" s="259"/>
      <c r="K1348" s="335"/>
      <c r="L1348" s="331" t="s">
        <v>1959</v>
      </c>
    </row>
    <row r="1349" spans="2:12">
      <c r="B1349" s="337" t="s">
        <v>1972</v>
      </c>
      <c r="C1349" s="337"/>
      <c r="D1349" s="337" t="s">
        <v>152</v>
      </c>
      <c r="E1349" s="259"/>
      <c r="F1349" s="338"/>
      <c r="G1349" s="259"/>
      <c r="H1349" s="259"/>
      <c r="I1349" s="259"/>
      <c r="J1349" s="259"/>
      <c r="K1349" s="335"/>
      <c r="L1349" s="331" t="s">
        <v>1959</v>
      </c>
    </row>
    <row r="1350" spans="2:12">
      <c r="B1350" s="210" t="s">
        <v>1958</v>
      </c>
      <c r="C1350" s="264"/>
      <c r="D1350" s="210" t="s">
        <v>152</v>
      </c>
      <c r="E1350" s="257">
        <v>764.81</v>
      </c>
      <c r="F1350" s="258">
        <v>0.245</v>
      </c>
      <c r="G1350" s="257"/>
      <c r="H1350" s="257">
        <v>1.1000000000000001</v>
      </c>
      <c r="I1350" s="257"/>
      <c r="J1350" s="259"/>
      <c r="K1350" s="254">
        <f>IF(E1350*F1350*G1350&lt;&gt;0,E1350*F1350*G1350,IF(E1350*F1350&lt;&gt;0,E1350*F1350,IF(F1350*G1350&lt;&gt;0,F1350*G1350,IF(E1350*G1350&lt;&gt;0,E1350*G1350,IF(E1350&lt;&gt;0,E1350,IF(F1350&lt;&gt;0,F1350,IF(G1350&lt;&gt;0,G1350,0)))))))*(IF(H1350&lt;&gt;0,H1350,1))+I1350-J1350</f>
        <v>206.11629500000001</v>
      </c>
      <c r="L1350" s="266" t="s">
        <v>1973</v>
      </c>
    </row>
    <row r="1351" spans="2:12">
      <c r="B1351" s="210" t="s">
        <v>1960</v>
      </c>
      <c r="C1351" s="264"/>
      <c r="D1351" s="210" t="s">
        <v>152</v>
      </c>
      <c r="E1351" s="257">
        <v>1237.52</v>
      </c>
      <c r="F1351" s="258">
        <v>0.245</v>
      </c>
      <c r="G1351" s="257"/>
      <c r="H1351" s="257">
        <v>1.1000000000000001</v>
      </c>
      <c r="I1351" s="257"/>
      <c r="J1351" s="259"/>
      <c r="K1351" s="254">
        <f>IF(E1351*F1351*G1351&lt;&gt;0,E1351*F1351*G1351,IF(E1351*F1351&lt;&gt;0,E1351*F1351,IF(F1351*G1351&lt;&gt;0,F1351*G1351,IF(E1351*G1351&lt;&gt;0,E1351*G1351,IF(E1351&lt;&gt;0,E1351,IF(F1351&lt;&gt;0,F1351,IF(G1351&lt;&gt;0,G1351,0)))))))*(IF(H1351&lt;&gt;0,H1351,1))+I1351-J1351</f>
        <v>333.51164</v>
      </c>
      <c r="L1351" s="266" t="s">
        <v>1973</v>
      </c>
    </row>
    <row r="1352" spans="2:12">
      <c r="B1352" s="210" t="s">
        <v>1961</v>
      </c>
      <c r="C1352" s="264"/>
      <c r="D1352" s="210" t="s">
        <v>152</v>
      </c>
      <c r="E1352" s="257">
        <v>281.45999999999998</v>
      </c>
      <c r="F1352" s="258">
        <v>0.245</v>
      </c>
      <c r="G1352" s="257"/>
      <c r="H1352" s="257">
        <v>1.1000000000000001</v>
      </c>
      <c r="I1352" s="257"/>
      <c r="J1352" s="259"/>
      <c r="K1352" s="254">
        <f>IF(E1352*F1352*G1352&lt;&gt;0,E1352*F1352*G1352,IF(E1352*F1352&lt;&gt;0,E1352*F1352,IF(F1352*G1352&lt;&gt;0,F1352*G1352,IF(E1352*G1352&lt;&gt;0,E1352*G1352,IF(E1352&lt;&gt;0,E1352,IF(F1352&lt;&gt;0,F1352,IF(G1352&lt;&gt;0,G1352,0)))))))*(IF(H1352&lt;&gt;0,H1352,1))+I1352-J1352</f>
        <v>75.853469999999987</v>
      </c>
      <c r="L1352" s="266" t="s">
        <v>1973</v>
      </c>
    </row>
    <row r="1353" spans="2:12">
      <c r="B1353" s="210" t="s">
        <v>1962</v>
      </c>
      <c r="C1353" s="264"/>
      <c r="D1353" s="210" t="s">
        <v>152</v>
      </c>
      <c r="E1353" s="257">
        <v>1221</v>
      </c>
      <c r="F1353" s="258">
        <v>0.245</v>
      </c>
      <c r="G1353" s="257">
        <v>0.8</v>
      </c>
      <c r="H1353" s="257">
        <v>1.1000000000000001</v>
      </c>
      <c r="I1353" s="257"/>
      <c r="J1353" s="259"/>
      <c r="K1353" s="254">
        <f>IF(E1353*F1353*G1353&lt;&gt;0,E1353*F1353*G1353,IF(E1353*F1353&lt;&gt;0,E1353*F1353,IF(F1353*G1353&lt;&gt;0,F1353*G1353,IF(E1353*G1353&lt;&gt;0,E1353*G1353,IF(E1353&lt;&gt;0,E1353,IF(F1353&lt;&gt;0,F1353,IF(G1353&lt;&gt;0,G1353,0)))))))*(IF(H1353&lt;&gt;0,H1353,1))+I1353-J1353</f>
        <v>263.24760000000003</v>
      </c>
      <c r="L1353" s="266" t="s">
        <v>1973</v>
      </c>
    </row>
    <row r="1354" spans="2:12">
      <c r="B1354" s="210" t="s">
        <v>1963</v>
      </c>
      <c r="C1354" s="264"/>
      <c r="D1354" s="210" t="s">
        <v>152</v>
      </c>
      <c r="E1354" s="257">
        <v>1550</v>
      </c>
      <c r="F1354" s="258">
        <v>0.245</v>
      </c>
      <c r="G1354" s="257">
        <v>0.8</v>
      </c>
      <c r="H1354" s="257">
        <v>1.1000000000000001</v>
      </c>
      <c r="I1354" s="257"/>
      <c r="J1354" s="259"/>
      <c r="K1354" s="254">
        <f>IF(E1354*F1354*G1354&lt;&gt;0,E1354*F1354*G1354,IF(E1354*F1354&lt;&gt;0,E1354*F1354,IF(F1354*G1354&lt;&gt;0,F1354*G1354,IF(E1354*G1354&lt;&gt;0,E1354*G1354,IF(E1354&lt;&gt;0,E1354,IF(F1354&lt;&gt;0,F1354,IF(G1354&lt;&gt;0,G1354,0)))))))*(IF(H1354&lt;&gt;0,H1354,1))+I1354-J1354</f>
        <v>334.18000000000006</v>
      </c>
      <c r="L1354" s="266" t="s">
        <v>1973</v>
      </c>
    </row>
    <row r="1355" spans="2:12">
      <c r="B1355" s="337" t="s">
        <v>1964</v>
      </c>
      <c r="C1355" s="337"/>
      <c r="D1355" s="337" t="s">
        <v>152</v>
      </c>
      <c r="E1355" s="259">
        <v>977</v>
      </c>
      <c r="F1355" s="338">
        <v>0.245</v>
      </c>
      <c r="G1355" s="259"/>
      <c r="H1355" s="259">
        <v>1.1000000000000001</v>
      </c>
      <c r="I1355" s="259"/>
      <c r="J1355" s="259"/>
      <c r="K1355" s="335"/>
      <c r="L1355" s="331" t="s">
        <v>1973</v>
      </c>
    </row>
    <row r="1356" spans="2:12">
      <c r="B1356" s="337" t="s">
        <v>1965</v>
      </c>
      <c r="C1356" s="337"/>
      <c r="D1356" s="337" t="s">
        <v>152</v>
      </c>
      <c r="E1356" s="259">
        <v>1734</v>
      </c>
      <c r="F1356" s="338">
        <v>0.245</v>
      </c>
      <c r="G1356" s="259"/>
      <c r="H1356" s="259">
        <v>1.1000000000000001</v>
      </c>
      <c r="I1356" s="259"/>
      <c r="J1356" s="259"/>
      <c r="K1356" s="335"/>
      <c r="L1356" s="331" t="s">
        <v>1973</v>
      </c>
    </row>
    <row r="1357" spans="2:12">
      <c r="B1357" s="210" t="s">
        <v>1966</v>
      </c>
      <c r="C1357" s="264"/>
      <c r="D1357" s="210" t="s">
        <v>152</v>
      </c>
      <c r="E1357" s="257">
        <v>803</v>
      </c>
      <c r="F1357" s="258">
        <v>0.245</v>
      </c>
      <c r="G1357" s="257"/>
      <c r="H1357" s="257">
        <v>1.1000000000000001</v>
      </c>
      <c r="I1357" s="257"/>
      <c r="J1357" s="259"/>
      <c r="K1357" s="254">
        <f>IF(E1357*F1357*G1357&lt;&gt;0,E1357*F1357*G1357,IF(E1357*F1357&lt;&gt;0,E1357*F1357,IF(F1357*G1357&lt;&gt;0,F1357*G1357,IF(E1357*G1357&lt;&gt;0,E1357*G1357,IF(E1357&lt;&gt;0,E1357,IF(F1357&lt;&gt;0,F1357,IF(G1357&lt;&gt;0,G1357,0)))))))*(IF(H1357&lt;&gt;0,H1357,1))+I1357-J1357</f>
        <v>216.4085</v>
      </c>
      <c r="L1357" s="266" t="s">
        <v>1973</v>
      </c>
    </row>
    <row r="1358" spans="2:12">
      <c r="B1358" s="210" t="s">
        <v>1967</v>
      </c>
      <c r="C1358" s="264"/>
      <c r="D1358" s="210" t="s">
        <v>152</v>
      </c>
      <c r="E1358" s="257">
        <v>329</v>
      </c>
      <c r="F1358" s="258">
        <v>0.245</v>
      </c>
      <c r="G1358" s="257"/>
      <c r="H1358" s="257">
        <v>1.1000000000000001</v>
      </c>
      <c r="I1358" s="257"/>
      <c r="J1358" s="259"/>
      <c r="K1358" s="254">
        <f>IF(E1358*F1358*G1358&lt;&gt;0,E1358*F1358*G1358,IF(E1358*F1358&lt;&gt;0,E1358*F1358,IF(F1358*G1358&lt;&gt;0,F1358*G1358,IF(E1358*G1358&lt;&gt;0,E1358*G1358,IF(E1358&lt;&gt;0,E1358,IF(F1358&lt;&gt;0,F1358,IF(G1358&lt;&gt;0,G1358,0)))))))*(IF(H1358&lt;&gt;0,H1358,1))+I1358-J1358</f>
        <v>88.665500000000009</v>
      </c>
      <c r="L1358" s="266" t="s">
        <v>1973</v>
      </c>
    </row>
    <row r="1359" spans="2:12">
      <c r="B1359" s="210" t="s">
        <v>1968</v>
      </c>
      <c r="C1359" s="264"/>
      <c r="D1359" s="210" t="s">
        <v>152</v>
      </c>
      <c r="E1359" s="257">
        <v>749</v>
      </c>
      <c r="F1359" s="258">
        <v>0.245</v>
      </c>
      <c r="G1359" s="257"/>
      <c r="H1359" s="257">
        <v>1.1000000000000001</v>
      </c>
      <c r="I1359" s="257"/>
      <c r="J1359" s="259"/>
      <c r="K1359" s="254">
        <f>IF(E1359*F1359*G1359&lt;&gt;0,E1359*F1359*G1359,IF(E1359*F1359&lt;&gt;0,E1359*F1359,IF(F1359*G1359&lt;&gt;0,F1359*G1359,IF(E1359*G1359&lt;&gt;0,E1359*G1359,IF(E1359&lt;&gt;0,E1359,IF(F1359&lt;&gt;0,F1359,IF(G1359&lt;&gt;0,G1359,0)))))))*(IF(H1359&lt;&gt;0,H1359,1))+I1359-J1359</f>
        <v>201.85550000000001</v>
      </c>
      <c r="L1359" s="266" t="s">
        <v>1973</v>
      </c>
    </row>
    <row r="1360" spans="2:12">
      <c r="B1360" s="210" t="s">
        <v>1969</v>
      </c>
      <c r="C1360" s="264"/>
      <c r="D1360" s="210" t="s">
        <v>152</v>
      </c>
      <c r="E1360" s="257">
        <v>5439.48</v>
      </c>
      <c r="F1360" s="258">
        <v>0.245</v>
      </c>
      <c r="G1360" s="257"/>
      <c r="H1360" s="257">
        <v>1.1000000000000001</v>
      </c>
      <c r="I1360" s="257"/>
      <c r="J1360" s="259"/>
      <c r="K1360" s="254">
        <f>IF(E1360*F1360*G1360&lt;&gt;0,E1360*F1360*G1360,IF(E1360*F1360&lt;&gt;0,E1360*F1360,IF(F1360*G1360&lt;&gt;0,F1360*G1360,IF(E1360*G1360&lt;&gt;0,E1360*G1360,IF(E1360&lt;&gt;0,E1360,IF(F1360&lt;&gt;0,F1360,IF(G1360&lt;&gt;0,G1360,0)))))))*(IF(H1360&lt;&gt;0,H1360,1))+I1360-J1360</f>
        <v>1465.93986</v>
      </c>
      <c r="L1360" s="266" t="s">
        <v>1973</v>
      </c>
    </row>
    <row r="1361" spans="2:12">
      <c r="B1361" s="210" t="s">
        <v>1970</v>
      </c>
      <c r="C1361" s="264"/>
      <c r="D1361" s="210" t="s">
        <v>152</v>
      </c>
      <c r="E1361" s="257">
        <v>1694.88</v>
      </c>
      <c r="F1361" s="258">
        <v>0.245</v>
      </c>
      <c r="G1361" s="257"/>
      <c r="H1361" s="257">
        <v>1.1000000000000001</v>
      </c>
      <c r="I1361" s="257"/>
      <c r="J1361" s="259"/>
      <c r="K1361" s="254">
        <f>IF(E1361*F1361*G1361&lt;&gt;0,E1361*F1361*G1361,IF(E1361*F1361&lt;&gt;0,E1361*F1361,IF(F1361*G1361&lt;&gt;0,F1361*G1361,IF(E1361*G1361&lt;&gt;0,E1361*G1361,IF(E1361&lt;&gt;0,E1361,IF(F1361&lt;&gt;0,F1361,IF(G1361&lt;&gt;0,G1361,0)))))))*(IF(H1361&lt;&gt;0,H1361,1))+I1361-J1361</f>
        <v>456.77016000000009</v>
      </c>
      <c r="L1361" s="266" t="s">
        <v>1973</v>
      </c>
    </row>
    <row r="1362" spans="2:12">
      <c r="B1362" s="337" t="s">
        <v>1971</v>
      </c>
      <c r="C1362" s="337"/>
      <c r="D1362" s="337" t="s">
        <v>152</v>
      </c>
      <c r="E1362" s="259">
        <v>1235</v>
      </c>
      <c r="F1362" s="338">
        <v>0.245</v>
      </c>
      <c r="G1362" s="259"/>
      <c r="H1362" s="259">
        <v>1.1000000000000001</v>
      </c>
      <c r="I1362" s="259"/>
      <c r="J1362" s="259"/>
      <c r="K1362" s="335"/>
      <c r="L1362" s="331" t="s">
        <v>1973</v>
      </c>
    </row>
    <row r="1363" spans="2:12">
      <c r="B1363" s="339" t="s">
        <v>1972</v>
      </c>
      <c r="C1363" s="339"/>
      <c r="D1363" s="339" t="s">
        <v>152</v>
      </c>
      <c r="E1363" s="325">
        <v>523</v>
      </c>
      <c r="F1363" s="340">
        <v>0.245</v>
      </c>
      <c r="G1363" s="325">
        <v>0.5</v>
      </c>
      <c r="H1363" s="325">
        <v>1.1000000000000001</v>
      </c>
      <c r="I1363" s="325"/>
      <c r="J1363" s="325"/>
      <c r="K1363" s="341">
        <f>IF(E1363*F1363*G1363&lt;&gt;0,E1363*F1363*G1363,IF(E1363*F1363&lt;&gt;0,E1363*F1363,IF(F1363*G1363&lt;&gt;0,F1363*G1363,IF(E1363*G1363&lt;&gt;0,E1363*G1363,IF(E1363&lt;&gt;0,E1363,IF(F1363&lt;&gt;0,F1363,IF(G1363&lt;&gt;0,G1363,0)))))))*(IF(H1363&lt;&gt;0,H1363,1))+I1363-J1363</f>
        <v>70.474249999999998</v>
      </c>
      <c r="L1363" s="327" t="s">
        <v>1973</v>
      </c>
    </row>
    <row r="1364" spans="2:12">
      <c r="B1364" s="256"/>
      <c r="C1364" s="210"/>
      <c r="D1364" s="210"/>
      <c r="E1364" s="257"/>
      <c r="F1364" s="258"/>
      <c r="G1364" s="257"/>
      <c r="H1364" s="257"/>
      <c r="I1364" s="257"/>
      <c r="J1364" s="259"/>
      <c r="K1364" s="254">
        <f>IF(E1364*F1364*G1364&lt;&gt;0,E1364*F1364*G1364,IF(E1364*F1364&lt;&gt;0,E1364*F1364,IF(F1364*G1364&lt;&gt;0,F1364*G1364,IF(E1364*G1364&lt;&gt;0,E1364*G1364,IF(E1364&lt;&gt;0,E1364,IF(F1364&lt;&gt;0,F1364,IF(G1364&lt;&gt;0,G1364,0)))))))*(IF(H1364&lt;&gt;0,H1364,1))+I1364-J1364</f>
        <v>0</v>
      </c>
      <c r="L1364" s="210"/>
    </row>
    <row r="1365" spans="2:12">
      <c r="B1365" s="202"/>
      <c r="C1365" s="203"/>
      <c r="D1365" s="203"/>
      <c r="E1365" s="203"/>
      <c r="F1365" s="203"/>
      <c r="G1365" s="203"/>
      <c r="H1365" s="204"/>
      <c r="I1365" s="556" t="s">
        <v>1221</v>
      </c>
      <c r="J1365" s="556"/>
      <c r="K1365" s="220">
        <f>SUM(K1336:K1364)</f>
        <v>6863.1054149999991</v>
      </c>
      <c r="L1365" s="207"/>
    </row>
    <row r="1366" spans="2:12">
      <c r="B1366" s="208"/>
      <c r="C1366" s="204"/>
      <c r="D1366" s="204"/>
      <c r="E1366" s="204"/>
      <c r="F1366" s="204"/>
      <c r="G1366" s="204"/>
      <c r="H1366" s="209"/>
      <c r="I1366" s="557" t="s">
        <v>1222</v>
      </c>
      <c r="J1366" s="557"/>
      <c r="K1366" s="221">
        <f>VLOOKUP(B1334,'BM 011'!$B$27:$R$590,5,0)</f>
        <v>8567.08</v>
      </c>
      <c r="L1366" s="207"/>
    </row>
    <row r="1367" spans="2:12">
      <c r="B1367" s="208"/>
      <c r="C1367" s="204"/>
      <c r="D1367" s="204"/>
      <c r="E1367" s="204"/>
      <c r="F1367" s="204"/>
      <c r="G1367" s="204"/>
      <c r="H1367" s="558" t="s">
        <v>1223</v>
      </c>
      <c r="I1367" s="558"/>
      <c r="J1367" s="558"/>
      <c r="K1367" s="222">
        <v>2362.80041520649</v>
      </c>
      <c r="L1367" s="207"/>
    </row>
    <row r="1368" spans="2:12">
      <c r="B1368" s="208"/>
      <c r="C1368" s="204"/>
      <c r="D1368" s="204"/>
      <c r="E1368" s="204"/>
      <c r="F1368" s="204"/>
      <c r="G1368" s="204"/>
      <c r="H1368" s="558" t="s">
        <v>1891</v>
      </c>
      <c r="I1368" s="558"/>
      <c r="J1368" s="558"/>
      <c r="K1368" s="222">
        <f>IF(K1365&gt;K1366,K1366,K1365)-K1367</f>
        <v>4500.3049997935086</v>
      </c>
      <c r="L1368" s="207"/>
    </row>
    <row r="1369" spans="2:12">
      <c r="B1369" s="213"/>
      <c r="C1369" s="214"/>
      <c r="D1369" s="214"/>
      <c r="E1369" s="214"/>
      <c r="F1369" s="214"/>
      <c r="G1369" s="214"/>
      <c r="H1369" s="559" t="s">
        <v>1224</v>
      </c>
      <c r="I1369" s="559"/>
      <c r="J1369" s="559"/>
      <c r="K1369" s="223">
        <f>IF(K1365&gt;K1366,K1365-K1366,0)</f>
        <v>0</v>
      </c>
      <c r="L1369" s="209"/>
    </row>
    <row r="1371" spans="2:12">
      <c r="B1371" s="247" t="s">
        <v>242</v>
      </c>
      <c r="C1371" s="565" t="str">
        <f>VLOOKUP(B1371,'BM 004'!$B$27:$R$590,2,0)</f>
        <v>Armação de laje de uma estrutura convencional de concreto armado em um edifício de múltiplos pavimentos utilizando aço ca-50 de 8,0 mm - montagem.</v>
      </c>
      <c r="D1371" s="565"/>
      <c r="E1371" s="565"/>
      <c r="F1371" s="565"/>
      <c r="G1371" s="565"/>
      <c r="H1371" s="565"/>
      <c r="I1371" s="565"/>
      <c r="J1371" s="565"/>
      <c r="K1371" s="565"/>
      <c r="L1371" s="565"/>
    </row>
    <row r="1372" spans="2:12">
      <c r="B1372" s="248" t="s">
        <v>1209</v>
      </c>
      <c r="C1372" s="248"/>
      <c r="D1372" s="248" t="s">
        <v>39</v>
      </c>
      <c r="E1372" s="248" t="s">
        <v>1210</v>
      </c>
      <c r="F1372" s="248" t="s">
        <v>1388</v>
      </c>
      <c r="G1372" s="248" t="s">
        <v>1212</v>
      </c>
      <c r="H1372" s="248" t="s">
        <v>1213</v>
      </c>
      <c r="I1372" s="248" t="s">
        <v>1214</v>
      </c>
      <c r="J1372" s="248" t="s">
        <v>1385</v>
      </c>
      <c r="K1372" s="248" t="s">
        <v>1216</v>
      </c>
      <c r="L1372" s="248" t="s">
        <v>1217</v>
      </c>
    </row>
    <row r="1373" spans="2:12">
      <c r="B1373" s="205" t="s">
        <v>1958</v>
      </c>
      <c r="C1373" s="250" t="s">
        <v>1933</v>
      </c>
      <c r="D1373" s="205" t="s">
        <v>152</v>
      </c>
      <c r="E1373" s="251">
        <v>322.88</v>
      </c>
      <c r="F1373" s="252">
        <v>0.39500000000000002</v>
      </c>
      <c r="G1373" s="251"/>
      <c r="H1373" s="251">
        <v>1.1000000000000001</v>
      </c>
      <c r="I1373" s="251"/>
      <c r="J1373" s="253"/>
      <c r="K1373" s="254">
        <f>IF(E1373*F1373*G1373&lt;&gt;0,E1373*F1373*G1373,IF(E1373*F1373&lt;&gt;0,E1373*F1373,IF(F1373*G1373&lt;&gt;0,F1373*G1373,IF(E1373*G1373&lt;&gt;0,E1373*G1373,IF(E1373&lt;&gt;0,E1373,IF(F1373&lt;&gt;0,F1373,IF(G1373&lt;&gt;0,G1373,0)))))))*(IF(H1373&lt;&gt;0,H1373,1))+I1373-J1373</f>
        <v>140.29136</v>
      </c>
      <c r="L1373" s="255"/>
    </row>
    <row r="1374" spans="2:12">
      <c r="B1374" s="205" t="s">
        <v>1960</v>
      </c>
      <c r="C1374" s="250" t="s">
        <v>1933</v>
      </c>
      <c r="D1374" s="205" t="s">
        <v>152</v>
      </c>
      <c r="E1374" s="251">
        <v>224.54</v>
      </c>
      <c r="F1374" s="252">
        <v>0.39500000000000002</v>
      </c>
      <c r="G1374" s="251"/>
      <c r="H1374" s="251">
        <v>1.1000000000000001</v>
      </c>
      <c r="I1374" s="251"/>
      <c r="J1374" s="253"/>
      <c r="K1374" s="254">
        <f>IF(E1374*F1374*G1374&lt;&gt;0,E1374*F1374*G1374,IF(E1374*F1374&lt;&gt;0,E1374*F1374,IF(F1374*G1374&lt;&gt;0,F1374*G1374,IF(E1374*G1374&lt;&gt;0,E1374*G1374,IF(E1374&lt;&gt;0,E1374,IF(F1374&lt;&gt;0,F1374,IF(G1374&lt;&gt;0,G1374,0)))))))*(IF(H1374&lt;&gt;0,H1374,1))+I1374-J1374</f>
        <v>97.562630000000013</v>
      </c>
      <c r="L1374" s="255"/>
    </row>
    <row r="1375" spans="2:12">
      <c r="B1375" s="205" t="s">
        <v>1961</v>
      </c>
      <c r="C1375" s="250" t="s">
        <v>1933</v>
      </c>
      <c r="D1375" s="205" t="s">
        <v>152</v>
      </c>
      <c r="E1375" s="251">
        <v>224.36</v>
      </c>
      <c r="F1375" s="252">
        <v>0.39500000000000002</v>
      </c>
      <c r="G1375" s="251"/>
      <c r="H1375" s="251">
        <v>1.1000000000000001</v>
      </c>
      <c r="I1375" s="251"/>
      <c r="J1375" s="253"/>
      <c r="K1375" s="254">
        <f>IF(E1375*F1375*G1375&lt;&gt;0,E1375*F1375*G1375,IF(E1375*F1375&lt;&gt;0,E1375*F1375,IF(F1375*G1375&lt;&gt;0,F1375*G1375,IF(E1375*G1375&lt;&gt;0,E1375*G1375,IF(E1375&lt;&gt;0,E1375,IF(F1375&lt;&gt;0,F1375,IF(G1375&lt;&gt;0,G1375,0)))))))*(IF(H1375&lt;&gt;0,H1375,1))+I1375-J1375</f>
        <v>97.484420000000014</v>
      </c>
      <c r="L1375" s="255"/>
    </row>
    <row r="1376" spans="2:12">
      <c r="B1376" s="205" t="s">
        <v>1962</v>
      </c>
      <c r="C1376" s="250" t="s">
        <v>1933</v>
      </c>
      <c r="D1376" s="205" t="s">
        <v>152</v>
      </c>
      <c r="E1376" s="251">
        <v>125</v>
      </c>
      <c r="F1376" s="252">
        <v>0.39500000000000002</v>
      </c>
      <c r="G1376" s="251">
        <v>0.8</v>
      </c>
      <c r="H1376" s="251">
        <v>1.1000000000000001</v>
      </c>
      <c r="I1376" s="251"/>
      <c r="J1376" s="253"/>
      <c r="K1376" s="254">
        <f>IF(E1376*F1376*G1376&lt;&gt;0,E1376*F1376*G1376,IF(E1376*F1376&lt;&gt;0,E1376*F1376,IF(F1376*G1376&lt;&gt;0,F1376*G1376,IF(E1376*G1376&lt;&gt;0,E1376*G1376,IF(E1376&lt;&gt;0,E1376,IF(F1376&lt;&gt;0,F1376,IF(G1376&lt;&gt;0,G1376,0)))))))*(IF(H1376&lt;&gt;0,H1376,1))+I1376-J1376</f>
        <v>43.45</v>
      </c>
      <c r="L1376" s="255"/>
    </row>
    <row r="1377" spans="2:12">
      <c r="B1377" s="329" t="s">
        <v>1963</v>
      </c>
      <c r="C1377" s="329"/>
      <c r="D1377" s="329" t="s">
        <v>152</v>
      </c>
      <c r="E1377" s="253">
        <v>499</v>
      </c>
      <c r="F1377" s="334">
        <v>0.39500000000000002</v>
      </c>
      <c r="G1377" s="253"/>
      <c r="H1377" s="253">
        <v>1.1000000000000001</v>
      </c>
      <c r="I1377" s="253"/>
      <c r="J1377" s="253"/>
      <c r="K1377" s="335"/>
      <c r="L1377" s="336"/>
    </row>
    <row r="1378" spans="2:12">
      <c r="B1378" s="329" t="s">
        <v>1964</v>
      </c>
      <c r="C1378" s="329"/>
      <c r="D1378" s="329" t="s">
        <v>152</v>
      </c>
      <c r="E1378" s="253">
        <v>36</v>
      </c>
      <c r="F1378" s="334">
        <v>0.39500000000000002</v>
      </c>
      <c r="G1378" s="253"/>
      <c r="H1378" s="253">
        <v>1.1000000000000001</v>
      </c>
      <c r="I1378" s="253"/>
      <c r="J1378" s="253"/>
      <c r="K1378" s="335"/>
      <c r="L1378" s="336"/>
    </row>
    <row r="1379" spans="2:12">
      <c r="B1379" s="210" t="s">
        <v>1965</v>
      </c>
      <c r="C1379" s="264" t="s">
        <v>1931</v>
      </c>
      <c r="D1379" s="210" t="s">
        <v>152</v>
      </c>
      <c r="E1379" s="257">
        <v>591</v>
      </c>
      <c r="F1379" s="258">
        <v>0.39500000000000002</v>
      </c>
      <c r="G1379" s="257"/>
      <c r="H1379" s="257">
        <v>1.1000000000000001</v>
      </c>
      <c r="I1379" s="257"/>
      <c r="J1379" s="259"/>
      <c r="K1379" s="254">
        <f t="shared" ref="K1379:K1387" si="38">IF(E1379*F1379*G1379&lt;&gt;0,E1379*F1379*G1379,IF(E1379*F1379&lt;&gt;0,E1379*F1379,IF(F1379*G1379&lt;&gt;0,F1379*G1379,IF(E1379*G1379&lt;&gt;0,E1379*G1379,IF(E1379&lt;&gt;0,E1379,IF(F1379&lt;&gt;0,F1379,IF(G1379&lt;&gt;0,G1379,0)))))))*(IF(H1379&lt;&gt;0,H1379,1))+I1379-J1379</f>
        <v>256.78950000000003</v>
      </c>
      <c r="L1379" s="266"/>
    </row>
    <row r="1380" spans="2:12">
      <c r="B1380" s="210" t="s">
        <v>1966</v>
      </c>
      <c r="C1380" s="264" t="s">
        <v>1931</v>
      </c>
      <c r="D1380" s="210" t="s">
        <v>152</v>
      </c>
      <c r="E1380" s="257">
        <v>99</v>
      </c>
      <c r="F1380" s="258">
        <v>0.39500000000000002</v>
      </c>
      <c r="G1380" s="257"/>
      <c r="H1380" s="257">
        <v>1.1000000000000001</v>
      </c>
      <c r="I1380" s="257"/>
      <c r="J1380" s="259"/>
      <c r="K1380" s="254">
        <f t="shared" si="38"/>
        <v>43.01550000000001</v>
      </c>
      <c r="L1380" s="266"/>
    </row>
    <row r="1381" spans="2:12">
      <c r="B1381" s="210" t="s">
        <v>1967</v>
      </c>
      <c r="C1381" s="264" t="s">
        <v>1931</v>
      </c>
      <c r="D1381" s="210" t="s">
        <v>152</v>
      </c>
      <c r="E1381" s="257">
        <v>1170</v>
      </c>
      <c r="F1381" s="258">
        <v>0.39500000000000002</v>
      </c>
      <c r="G1381" s="257"/>
      <c r="H1381" s="257">
        <v>1.1000000000000001</v>
      </c>
      <c r="I1381" s="257"/>
      <c r="J1381" s="259"/>
      <c r="K1381" s="254">
        <f t="shared" si="38"/>
        <v>508.36500000000007</v>
      </c>
      <c r="L1381" s="266"/>
    </row>
    <row r="1382" spans="2:12">
      <c r="B1382" s="210" t="s">
        <v>1968</v>
      </c>
      <c r="C1382" s="264" t="s">
        <v>1931</v>
      </c>
      <c r="D1382" s="210" t="s">
        <v>152</v>
      </c>
      <c r="E1382" s="257">
        <v>163</v>
      </c>
      <c r="F1382" s="258">
        <v>0.39500000000000002</v>
      </c>
      <c r="G1382" s="257"/>
      <c r="H1382" s="257">
        <v>1.1000000000000001</v>
      </c>
      <c r="I1382" s="257"/>
      <c r="J1382" s="259"/>
      <c r="K1382" s="254">
        <f t="shared" si="38"/>
        <v>70.82350000000001</v>
      </c>
      <c r="L1382" s="266"/>
    </row>
    <row r="1383" spans="2:12">
      <c r="B1383" s="210" t="s">
        <v>1969</v>
      </c>
      <c r="C1383" s="264" t="s">
        <v>1931</v>
      </c>
      <c r="D1383" s="210" t="s">
        <v>152</v>
      </c>
      <c r="E1383" s="257"/>
      <c r="F1383" s="258"/>
      <c r="G1383" s="257"/>
      <c r="H1383" s="257"/>
      <c r="I1383" s="257"/>
      <c r="J1383" s="259"/>
      <c r="K1383" s="254">
        <f t="shared" si="38"/>
        <v>0</v>
      </c>
      <c r="L1383" s="266"/>
    </row>
    <row r="1384" spans="2:12">
      <c r="B1384" s="210" t="s">
        <v>1970</v>
      </c>
      <c r="C1384" s="264" t="s">
        <v>1931</v>
      </c>
      <c r="D1384" s="210" t="s">
        <v>152</v>
      </c>
      <c r="E1384" s="257"/>
      <c r="F1384" s="258"/>
      <c r="G1384" s="257"/>
      <c r="H1384" s="257"/>
      <c r="I1384" s="257"/>
      <c r="J1384" s="259"/>
      <c r="K1384" s="254">
        <f t="shared" si="38"/>
        <v>0</v>
      </c>
      <c r="L1384" s="266"/>
    </row>
    <row r="1385" spans="2:12">
      <c r="B1385" s="210" t="s">
        <v>1971</v>
      </c>
      <c r="C1385" s="264" t="s">
        <v>1931</v>
      </c>
      <c r="D1385" s="210" t="s">
        <v>152</v>
      </c>
      <c r="E1385" s="257">
        <v>11</v>
      </c>
      <c r="F1385" s="258">
        <v>0.39500000000000002</v>
      </c>
      <c r="G1385" s="257"/>
      <c r="H1385" s="257">
        <v>1.1000000000000001</v>
      </c>
      <c r="I1385" s="257"/>
      <c r="J1385" s="259"/>
      <c r="K1385" s="254">
        <f t="shared" si="38"/>
        <v>4.7795000000000014</v>
      </c>
      <c r="L1385" s="266"/>
    </row>
    <row r="1386" spans="2:12">
      <c r="B1386" s="210" t="s">
        <v>1972</v>
      </c>
      <c r="C1386" s="264" t="s">
        <v>1931</v>
      </c>
      <c r="D1386" s="210" t="s">
        <v>152</v>
      </c>
      <c r="E1386" s="257">
        <v>238</v>
      </c>
      <c r="F1386" s="258">
        <v>0.39500000000000002</v>
      </c>
      <c r="G1386" s="257">
        <v>0.5</v>
      </c>
      <c r="H1386" s="257">
        <v>1.1000000000000001</v>
      </c>
      <c r="I1386" s="257"/>
      <c r="J1386" s="259"/>
      <c r="K1386" s="254">
        <f t="shared" si="38"/>
        <v>51.705500000000008</v>
      </c>
      <c r="L1386" s="266"/>
    </row>
    <row r="1387" spans="2:12">
      <c r="B1387" s="256"/>
      <c r="C1387" s="210"/>
      <c r="D1387" s="210"/>
      <c r="E1387" s="257"/>
      <c r="F1387" s="258"/>
      <c r="G1387" s="257"/>
      <c r="H1387" s="257"/>
      <c r="I1387" s="257"/>
      <c r="J1387" s="259"/>
      <c r="K1387" s="260">
        <f t="shared" si="38"/>
        <v>0</v>
      </c>
      <c r="L1387" s="210"/>
    </row>
    <row r="1388" spans="2:12">
      <c r="B1388" s="202"/>
      <c r="C1388" s="203"/>
      <c r="D1388" s="203"/>
      <c r="E1388" s="203"/>
      <c r="F1388" s="203"/>
      <c r="G1388" s="203"/>
      <c r="H1388" s="204"/>
      <c r="I1388" s="556" t="s">
        <v>1221</v>
      </c>
      <c r="J1388" s="556"/>
      <c r="K1388" s="220">
        <f>SUM(K1373:K1387)</f>
        <v>1314.2669100000001</v>
      </c>
      <c r="L1388" s="207"/>
    </row>
    <row r="1389" spans="2:12">
      <c r="B1389" s="208"/>
      <c r="C1389" s="204"/>
      <c r="D1389" s="204"/>
      <c r="E1389" s="204"/>
      <c r="F1389" s="204"/>
      <c r="G1389" s="204"/>
      <c r="H1389" s="209"/>
      <c r="I1389" s="557" t="s">
        <v>1222</v>
      </c>
      <c r="J1389" s="557"/>
      <c r="K1389" s="221">
        <f>VLOOKUP(B1371,'BM 011'!$B$27:$R$590,5,0)</f>
        <v>1609.29</v>
      </c>
      <c r="L1389" s="207"/>
    </row>
    <row r="1390" spans="2:12">
      <c r="B1390" s="208"/>
      <c r="C1390" s="204"/>
      <c r="D1390" s="204"/>
      <c r="E1390" s="204"/>
      <c r="F1390" s="204"/>
      <c r="G1390" s="204"/>
      <c r="H1390" s="558" t="s">
        <v>1223</v>
      </c>
      <c r="I1390" s="558"/>
      <c r="J1390" s="558"/>
      <c r="K1390" s="222">
        <v>602.79999999999995</v>
      </c>
      <c r="L1390" s="207"/>
    </row>
    <row r="1391" spans="2:12">
      <c r="B1391" s="208"/>
      <c r="C1391" s="204"/>
      <c r="D1391" s="204"/>
      <c r="E1391" s="204"/>
      <c r="F1391" s="204"/>
      <c r="G1391" s="204"/>
      <c r="H1391" s="558" t="s">
        <v>1891</v>
      </c>
      <c r="I1391" s="558"/>
      <c r="J1391" s="558"/>
      <c r="K1391" s="222">
        <f>IF(K1388&gt;K1389,K1389,K1388)-K1390</f>
        <v>711.4669100000001</v>
      </c>
      <c r="L1391" s="207"/>
    </row>
    <row r="1392" spans="2:12">
      <c r="B1392" s="213"/>
      <c r="C1392" s="214"/>
      <c r="D1392" s="214"/>
      <c r="E1392" s="214"/>
      <c r="F1392" s="214"/>
      <c r="G1392" s="214"/>
      <c r="H1392" s="559" t="s">
        <v>1224</v>
      </c>
      <c r="I1392" s="559"/>
      <c r="J1392" s="559"/>
      <c r="K1392" s="223">
        <f>IF(K1388&gt;K1389,K1388-K1389,0)</f>
        <v>0</v>
      </c>
      <c r="L1392" s="209"/>
    </row>
    <row r="1394" spans="2:12">
      <c r="B1394" s="247" t="s">
        <v>244</v>
      </c>
      <c r="C1394" s="565" t="str">
        <f>VLOOKUP(B1394,'BM 004'!$B$27:$R$590,2,0)</f>
        <v xml:space="preserve">Armação de laje de uma estrutura convencional de concreto armado em um edifício de múltiplos pavimentos utilizando aço ca-50 de 10,0 mm - montagem. </v>
      </c>
      <c r="D1394" s="565"/>
      <c r="E1394" s="565"/>
      <c r="F1394" s="565"/>
      <c r="G1394" s="565"/>
      <c r="H1394" s="565"/>
      <c r="I1394" s="565"/>
      <c r="J1394" s="565"/>
      <c r="K1394" s="565"/>
      <c r="L1394" s="565"/>
    </row>
    <row r="1395" spans="2:12">
      <c r="B1395" s="248" t="s">
        <v>1209</v>
      </c>
      <c r="C1395" s="248"/>
      <c r="D1395" s="248" t="s">
        <v>39</v>
      </c>
      <c r="E1395" s="248" t="s">
        <v>1210</v>
      </c>
      <c r="F1395" s="248" t="s">
        <v>1388</v>
      </c>
      <c r="G1395" s="248" t="s">
        <v>1212</v>
      </c>
      <c r="H1395" s="248" t="s">
        <v>1213</v>
      </c>
      <c r="I1395" s="248" t="s">
        <v>1214</v>
      </c>
      <c r="J1395" s="248" t="s">
        <v>1385</v>
      </c>
      <c r="K1395" s="248" t="s">
        <v>1216</v>
      </c>
      <c r="L1395" s="248" t="s">
        <v>1217</v>
      </c>
    </row>
    <row r="1396" spans="2:12">
      <c r="B1396" s="205" t="s">
        <v>1958</v>
      </c>
      <c r="C1396" s="250"/>
      <c r="D1396" s="205" t="s">
        <v>152</v>
      </c>
      <c r="E1396" s="251">
        <v>886.9</v>
      </c>
      <c r="F1396" s="252">
        <v>0.61699999999999999</v>
      </c>
      <c r="G1396" s="251"/>
      <c r="H1396" s="251">
        <v>1.1000000000000001</v>
      </c>
      <c r="I1396" s="251"/>
      <c r="J1396" s="253"/>
      <c r="K1396" s="254">
        <f>IF(E1396*F1396*G1396&lt;&gt;0,E1396*F1396*G1396,IF(E1396*F1396&lt;&gt;0,E1396*F1396,IF(F1396*G1396&lt;&gt;0,F1396*G1396,IF(E1396*G1396&lt;&gt;0,E1396*G1396,IF(E1396&lt;&gt;0,E1396,IF(F1396&lt;&gt;0,F1396,IF(G1396&lt;&gt;0,G1396,0)))))))*(IF(H1396&lt;&gt;0,H1396,1))+I1396-J1396</f>
        <v>601.93903000000012</v>
      </c>
      <c r="L1396" s="255"/>
    </row>
    <row r="1397" spans="2:12">
      <c r="B1397" s="205" t="s">
        <v>1960</v>
      </c>
      <c r="C1397" s="250"/>
      <c r="D1397" s="205" t="s">
        <v>152</v>
      </c>
      <c r="E1397" s="251">
        <v>1476.23</v>
      </c>
      <c r="F1397" s="252">
        <v>0.61699999999999999</v>
      </c>
      <c r="G1397" s="251"/>
      <c r="H1397" s="251">
        <v>1.1000000000000001</v>
      </c>
      <c r="I1397" s="251"/>
      <c r="J1397" s="253"/>
      <c r="K1397" s="254">
        <f>IF(E1397*F1397*G1397&lt;&gt;0,E1397*F1397*G1397,IF(E1397*F1397&lt;&gt;0,E1397*F1397,IF(F1397*G1397&lt;&gt;0,F1397*G1397,IF(E1397*G1397&lt;&gt;0,E1397*G1397,IF(E1397&lt;&gt;0,E1397,IF(F1397&lt;&gt;0,F1397,IF(G1397&lt;&gt;0,G1397,0)))))))*(IF(H1397&lt;&gt;0,H1397,1))+I1397-J1397</f>
        <v>1001.9173010000001</v>
      </c>
      <c r="L1397" s="255"/>
    </row>
    <row r="1398" spans="2:12">
      <c r="B1398" s="205" t="s">
        <v>1961</v>
      </c>
      <c r="C1398" s="250"/>
      <c r="D1398" s="205" t="s">
        <v>152</v>
      </c>
      <c r="E1398" s="251">
        <v>922.65</v>
      </c>
      <c r="F1398" s="252">
        <v>0.61699999999999999</v>
      </c>
      <c r="G1398" s="251"/>
      <c r="H1398" s="251">
        <v>1.1000000000000001</v>
      </c>
      <c r="I1398" s="251"/>
      <c r="J1398" s="253"/>
      <c r="K1398" s="254">
        <f>IF(E1398*F1398*G1398&lt;&gt;0,E1398*F1398*G1398,IF(E1398*F1398&lt;&gt;0,E1398*F1398,IF(F1398*G1398&lt;&gt;0,F1398*G1398,IF(E1398*G1398&lt;&gt;0,E1398*G1398,IF(E1398&lt;&gt;0,E1398,IF(F1398&lt;&gt;0,F1398,IF(G1398&lt;&gt;0,G1398,0)))))))*(IF(H1398&lt;&gt;0,H1398,1))+I1398-J1398</f>
        <v>626.20255499999996</v>
      </c>
      <c r="L1398" s="255"/>
    </row>
    <row r="1399" spans="2:12">
      <c r="B1399" s="205" t="s">
        <v>1962</v>
      </c>
      <c r="C1399" s="250"/>
      <c r="D1399" s="205" t="s">
        <v>152</v>
      </c>
      <c r="E1399" s="251">
        <v>1571</v>
      </c>
      <c r="F1399" s="252">
        <v>0.61699999999999999</v>
      </c>
      <c r="G1399" s="251">
        <v>0.8</v>
      </c>
      <c r="H1399" s="251">
        <v>1.1000000000000001</v>
      </c>
      <c r="I1399" s="251"/>
      <c r="J1399" s="253"/>
      <c r="K1399" s="254">
        <f>IF(E1399*F1399*G1399&lt;&gt;0,E1399*F1399*G1399,IF(E1399*F1399&lt;&gt;0,E1399*F1399,IF(F1399*G1399&lt;&gt;0,F1399*G1399,IF(E1399*G1399&lt;&gt;0,E1399*G1399,IF(E1399&lt;&gt;0,E1399,IF(F1399&lt;&gt;0,F1399,IF(G1399&lt;&gt;0,G1399,0)))))))*(IF(H1399&lt;&gt;0,H1399,1))+I1399-J1399</f>
        <v>852.99016000000006</v>
      </c>
      <c r="L1399" s="255"/>
    </row>
    <row r="1400" spans="2:12">
      <c r="B1400" s="205" t="s">
        <v>1963</v>
      </c>
      <c r="C1400" s="250"/>
      <c r="D1400" s="205" t="s">
        <v>152</v>
      </c>
      <c r="E1400" s="251">
        <v>1635</v>
      </c>
      <c r="F1400" s="252">
        <v>0.61699999999999999</v>
      </c>
      <c r="G1400" s="251">
        <v>0.8</v>
      </c>
      <c r="H1400" s="251">
        <v>1.1000000000000001</v>
      </c>
      <c r="I1400" s="251"/>
      <c r="J1400" s="253"/>
      <c r="K1400" s="254">
        <f>IF(E1400*F1400*G1400&lt;&gt;0,E1400*F1400*G1400,IF(E1400*F1400&lt;&gt;0,E1400*F1400,IF(F1400*G1400&lt;&gt;0,F1400*G1400,IF(E1400*G1400&lt;&gt;0,E1400*G1400,IF(E1400&lt;&gt;0,E1400,IF(F1400&lt;&gt;0,F1400,IF(G1400&lt;&gt;0,G1400,0)))))))*(IF(H1400&lt;&gt;0,H1400,1))+I1400-J1400</f>
        <v>887.73960000000011</v>
      </c>
      <c r="L1400" s="255"/>
    </row>
    <row r="1401" spans="2:12">
      <c r="B1401" s="329" t="s">
        <v>1964</v>
      </c>
      <c r="C1401" s="329"/>
      <c r="D1401" s="329" t="s">
        <v>152</v>
      </c>
      <c r="E1401" s="253">
        <v>82</v>
      </c>
      <c r="F1401" s="334">
        <v>0.61699999999999999</v>
      </c>
      <c r="G1401" s="253"/>
      <c r="H1401" s="253">
        <v>1.1000000000000001</v>
      </c>
      <c r="I1401" s="253"/>
      <c r="J1401" s="253"/>
      <c r="K1401" s="335"/>
      <c r="L1401" s="336"/>
    </row>
    <row r="1402" spans="2:12">
      <c r="B1402" s="329" t="s">
        <v>1965</v>
      </c>
      <c r="C1402" s="329"/>
      <c r="D1402" s="329" t="s">
        <v>152</v>
      </c>
      <c r="E1402" s="253"/>
      <c r="F1402" s="334"/>
      <c r="G1402" s="253"/>
      <c r="H1402" s="253"/>
      <c r="I1402" s="253"/>
      <c r="J1402" s="253"/>
      <c r="K1402" s="335"/>
      <c r="L1402" s="336"/>
    </row>
    <row r="1403" spans="2:12">
      <c r="B1403" s="205" t="s">
        <v>1966</v>
      </c>
      <c r="C1403" s="250"/>
      <c r="D1403" s="205" t="s">
        <v>152</v>
      </c>
      <c r="E1403" s="251">
        <v>459</v>
      </c>
      <c r="F1403" s="252">
        <v>0.61699999999999999</v>
      </c>
      <c r="G1403" s="251"/>
      <c r="H1403" s="251">
        <v>1.1000000000000001</v>
      </c>
      <c r="I1403" s="251"/>
      <c r="J1403" s="253"/>
      <c r="K1403" s="254">
        <f t="shared" ref="K1403:K1410" si="39">IF(E1403*F1403*G1403&lt;&gt;0,E1403*F1403*G1403,IF(E1403*F1403&lt;&gt;0,E1403*F1403,IF(F1403*G1403&lt;&gt;0,F1403*G1403,IF(E1403*G1403&lt;&gt;0,E1403*G1403,IF(E1403&lt;&gt;0,E1403,IF(F1403&lt;&gt;0,F1403,IF(G1403&lt;&gt;0,G1403,0)))))))*(IF(H1403&lt;&gt;0,H1403,1))+I1403-J1403</f>
        <v>311.52330000000001</v>
      </c>
      <c r="L1403" s="255"/>
    </row>
    <row r="1404" spans="2:12">
      <c r="B1404" s="205" t="s">
        <v>1967</v>
      </c>
      <c r="C1404" s="250"/>
      <c r="D1404" s="205" t="s">
        <v>152</v>
      </c>
      <c r="E1404" s="251">
        <v>332</v>
      </c>
      <c r="F1404" s="252">
        <v>0.61699999999999999</v>
      </c>
      <c r="G1404" s="251"/>
      <c r="H1404" s="251">
        <v>1.1000000000000001</v>
      </c>
      <c r="I1404" s="251"/>
      <c r="J1404" s="253"/>
      <c r="K1404" s="254">
        <f t="shared" si="39"/>
        <v>225.32840000000002</v>
      </c>
      <c r="L1404" s="255"/>
    </row>
    <row r="1405" spans="2:12">
      <c r="B1405" s="205" t="s">
        <v>1968</v>
      </c>
      <c r="C1405" s="250"/>
      <c r="D1405" s="205" t="s">
        <v>152</v>
      </c>
      <c r="E1405" s="251">
        <v>1207</v>
      </c>
      <c r="F1405" s="252">
        <v>0.61699999999999999</v>
      </c>
      <c r="G1405" s="251"/>
      <c r="H1405" s="251">
        <v>1.1000000000000001</v>
      </c>
      <c r="I1405" s="251"/>
      <c r="J1405" s="253"/>
      <c r="K1405" s="254">
        <f t="shared" si="39"/>
        <v>819.19089999999994</v>
      </c>
      <c r="L1405" s="255"/>
    </row>
    <row r="1406" spans="2:12">
      <c r="B1406" s="205" t="s">
        <v>1969</v>
      </c>
      <c r="C1406" s="250"/>
      <c r="D1406" s="205" t="s">
        <v>152</v>
      </c>
      <c r="E1406" s="251"/>
      <c r="F1406" s="252"/>
      <c r="G1406" s="251"/>
      <c r="H1406" s="251"/>
      <c r="I1406" s="251"/>
      <c r="J1406" s="253"/>
      <c r="K1406" s="254">
        <f t="shared" si="39"/>
        <v>0</v>
      </c>
      <c r="L1406" s="255"/>
    </row>
    <row r="1407" spans="2:12">
      <c r="B1407" s="205" t="s">
        <v>1970</v>
      </c>
      <c r="C1407" s="250"/>
      <c r="D1407" s="205" t="s">
        <v>152</v>
      </c>
      <c r="E1407" s="251"/>
      <c r="F1407" s="252"/>
      <c r="G1407" s="251"/>
      <c r="H1407" s="251"/>
      <c r="I1407" s="251"/>
      <c r="J1407" s="253"/>
      <c r="K1407" s="254">
        <f t="shared" si="39"/>
        <v>0</v>
      </c>
      <c r="L1407" s="255"/>
    </row>
    <row r="1408" spans="2:12">
      <c r="B1408" s="329" t="s">
        <v>1971</v>
      </c>
      <c r="C1408" s="329"/>
      <c r="D1408" s="329" t="s">
        <v>152</v>
      </c>
      <c r="E1408" s="253">
        <v>413</v>
      </c>
      <c r="F1408" s="334">
        <v>0.61699999999999999</v>
      </c>
      <c r="G1408" s="253"/>
      <c r="H1408" s="253">
        <v>1.1000000000000001</v>
      </c>
      <c r="I1408" s="253"/>
      <c r="J1408" s="253"/>
      <c r="K1408" s="335">
        <f t="shared" si="39"/>
        <v>280.30310000000003</v>
      </c>
      <c r="L1408" s="336"/>
    </row>
    <row r="1409" spans="2:12">
      <c r="B1409" s="210" t="s">
        <v>1972</v>
      </c>
      <c r="C1409" s="264"/>
      <c r="D1409" s="210" t="s">
        <v>152</v>
      </c>
      <c r="E1409" s="257">
        <v>1005</v>
      </c>
      <c r="F1409" s="258">
        <v>0.61699999999999999</v>
      </c>
      <c r="G1409" s="257">
        <v>0.5</v>
      </c>
      <c r="H1409" s="257">
        <v>1.1000000000000001</v>
      </c>
      <c r="I1409" s="257"/>
      <c r="J1409" s="259"/>
      <c r="K1409" s="254">
        <f t="shared" si="39"/>
        <v>341.04675000000003</v>
      </c>
      <c r="L1409" s="266"/>
    </row>
    <row r="1410" spans="2:12">
      <c r="B1410" s="256"/>
      <c r="C1410" s="210"/>
      <c r="D1410" s="210"/>
      <c r="E1410" s="257"/>
      <c r="F1410" s="258"/>
      <c r="G1410" s="257"/>
      <c r="H1410" s="257"/>
      <c r="I1410" s="257"/>
      <c r="J1410" s="259"/>
      <c r="K1410" s="254">
        <f t="shared" si="39"/>
        <v>0</v>
      </c>
      <c r="L1410" s="210"/>
    </row>
    <row r="1411" spans="2:12">
      <c r="B1411" s="202"/>
      <c r="C1411" s="203"/>
      <c r="D1411" s="203"/>
      <c r="E1411" s="203"/>
      <c r="F1411" s="203"/>
      <c r="G1411" s="203"/>
      <c r="H1411" s="204"/>
      <c r="I1411" s="556" t="s">
        <v>1221</v>
      </c>
      <c r="J1411" s="556"/>
      <c r="K1411" s="220">
        <f>SUM(K1396:K1410)</f>
        <v>5948.1810960000003</v>
      </c>
      <c r="L1411" s="207"/>
    </row>
    <row r="1412" spans="2:12">
      <c r="B1412" s="208"/>
      <c r="C1412" s="204"/>
      <c r="D1412" s="204"/>
      <c r="E1412" s="204"/>
      <c r="F1412" s="204"/>
      <c r="G1412" s="204"/>
      <c r="H1412" s="209"/>
      <c r="I1412" s="557" t="s">
        <v>1222</v>
      </c>
      <c r="J1412" s="557"/>
      <c r="K1412" s="221">
        <f>VLOOKUP(B1394,'BM 011'!$B$27:$R$590,5,0)</f>
        <v>6780.06</v>
      </c>
      <c r="L1412" s="207"/>
    </row>
    <row r="1413" spans="2:12">
      <c r="B1413" s="208"/>
      <c r="C1413" s="204"/>
      <c r="D1413" s="204"/>
      <c r="E1413" s="204"/>
      <c r="F1413" s="204"/>
      <c r="G1413" s="204"/>
      <c r="H1413" s="558" t="s">
        <v>1223</v>
      </c>
      <c r="I1413" s="558"/>
      <c r="J1413" s="558"/>
      <c r="K1413" s="222">
        <v>3277.4698457999998</v>
      </c>
      <c r="L1413" s="207"/>
    </row>
    <row r="1414" spans="2:12">
      <c r="B1414" s="208"/>
      <c r="C1414" s="204"/>
      <c r="D1414" s="204"/>
      <c r="E1414" s="204"/>
      <c r="F1414" s="204"/>
      <c r="G1414" s="204"/>
      <c r="H1414" s="558" t="s">
        <v>1891</v>
      </c>
      <c r="I1414" s="558"/>
      <c r="J1414" s="558"/>
      <c r="K1414" s="222">
        <f>IF(K1411&gt;K1412,K1412,K1411)-K1413</f>
        <v>2670.7112502000004</v>
      </c>
      <c r="L1414" s="207"/>
    </row>
    <row r="1415" spans="2:12">
      <c r="B1415" s="213"/>
      <c r="C1415" s="214"/>
      <c r="D1415" s="214"/>
      <c r="E1415" s="214"/>
      <c r="F1415" s="214"/>
      <c r="G1415" s="214"/>
      <c r="H1415" s="559" t="s">
        <v>1224</v>
      </c>
      <c r="I1415" s="559"/>
      <c r="J1415" s="559"/>
      <c r="K1415" s="223">
        <f>IF(K1411&gt;K1412,K1411-K1412,0)</f>
        <v>0</v>
      </c>
      <c r="L1415" s="209"/>
    </row>
    <row r="1417" spans="2:12">
      <c r="B1417" s="247" t="s">
        <v>246</v>
      </c>
      <c r="C1417" s="565" t="str">
        <f>VLOOKUP(B1417,'BM 004'!$B$27:$R$590,2,0)</f>
        <v xml:space="preserve">Armação de laje de uma estrutura convencional de concreto armado em um edifício de múltiplos pavimentos utilizando aço ca-50 de 12,5 mm - montagem. </v>
      </c>
      <c r="D1417" s="565"/>
      <c r="E1417" s="565"/>
      <c r="F1417" s="565"/>
      <c r="G1417" s="565"/>
      <c r="H1417" s="565"/>
      <c r="I1417" s="565"/>
      <c r="J1417" s="565"/>
      <c r="K1417" s="565"/>
      <c r="L1417" s="565"/>
    </row>
    <row r="1418" spans="2:12">
      <c r="B1418" s="248" t="s">
        <v>1209</v>
      </c>
      <c r="C1418" s="248"/>
      <c r="D1418" s="248" t="s">
        <v>39</v>
      </c>
      <c r="E1418" s="248" t="s">
        <v>1210</v>
      </c>
      <c r="F1418" s="248" t="s">
        <v>1388</v>
      </c>
      <c r="G1418" s="248" t="s">
        <v>1212</v>
      </c>
      <c r="H1418" s="248" t="s">
        <v>1213</v>
      </c>
      <c r="I1418" s="248" t="s">
        <v>1214</v>
      </c>
      <c r="J1418" s="248" t="s">
        <v>1385</v>
      </c>
      <c r="K1418" s="248" t="s">
        <v>1216</v>
      </c>
      <c r="L1418" s="248" t="s">
        <v>1217</v>
      </c>
    </row>
    <row r="1419" spans="2:12">
      <c r="B1419" s="256" t="s">
        <v>1958</v>
      </c>
      <c r="C1419" s="210"/>
      <c r="D1419" s="210" t="s">
        <v>152</v>
      </c>
      <c r="E1419" s="257">
        <v>760.48</v>
      </c>
      <c r="F1419" s="258">
        <v>0.96299999999999997</v>
      </c>
      <c r="G1419" s="257"/>
      <c r="H1419" s="257">
        <v>1.1000000000000001</v>
      </c>
      <c r="I1419" s="257"/>
      <c r="J1419" s="259"/>
      <c r="K1419" s="260">
        <f>IF(E1419*F1419*G1419&lt;&gt;0,E1419*F1419*G1419,IF(E1419*F1419&lt;&gt;0,E1419*F1419,IF(F1419*G1419&lt;&gt;0,F1419*G1419,IF(E1419*G1419&lt;&gt;0,E1419*G1419,IF(E1419&lt;&gt;0,E1419,IF(F1419&lt;&gt;0,F1419,IF(G1419&lt;&gt;0,G1419,0)))))))*(IF(H1419&lt;&gt;0,H1419,1))+I1419-J1419</f>
        <v>805.57646399999999</v>
      </c>
      <c r="L1419" s="210"/>
    </row>
    <row r="1420" spans="2:12">
      <c r="B1420" s="256" t="s">
        <v>1960</v>
      </c>
      <c r="C1420" s="210"/>
      <c r="D1420" s="210" t="s">
        <v>152</v>
      </c>
      <c r="E1420" s="257">
        <v>1210.6500000000001</v>
      </c>
      <c r="F1420" s="258">
        <v>0.96299999999999997</v>
      </c>
      <c r="G1420" s="257"/>
      <c r="H1420" s="257">
        <v>1.1000000000000001</v>
      </c>
      <c r="I1420" s="257"/>
      <c r="J1420" s="259"/>
      <c r="K1420" s="260">
        <f>IF(E1420*F1420*G1420&lt;&gt;0,E1420*F1420*G1420,IF(E1420*F1420&lt;&gt;0,E1420*F1420,IF(F1420*G1420&lt;&gt;0,F1420*G1420,IF(E1420*G1420&lt;&gt;0,E1420*G1420,IF(E1420&lt;&gt;0,E1420,IF(F1420&lt;&gt;0,F1420,IF(G1420&lt;&gt;0,G1420,0)))))))*(IF(H1420&lt;&gt;0,H1420,1))+I1420-J1420</f>
        <v>1282.4415450000001</v>
      </c>
      <c r="L1420" s="210"/>
    </row>
    <row r="1421" spans="2:12">
      <c r="B1421" s="256" t="s">
        <v>1961</v>
      </c>
      <c r="C1421" s="210"/>
      <c r="D1421" s="210" t="s">
        <v>152</v>
      </c>
      <c r="E1421" s="257">
        <v>815.54</v>
      </c>
      <c r="F1421" s="258">
        <v>0.96299999999999997</v>
      </c>
      <c r="G1421" s="257"/>
      <c r="H1421" s="257">
        <v>1.1000000000000001</v>
      </c>
      <c r="I1421" s="257"/>
      <c r="J1421" s="259"/>
      <c r="K1421" s="260">
        <f>IF(E1421*F1421*G1421&lt;&gt;0,E1421*F1421*G1421,IF(E1421*F1421&lt;&gt;0,E1421*F1421,IF(F1421*G1421&lt;&gt;0,F1421*G1421,IF(E1421*G1421&lt;&gt;0,E1421*G1421,IF(E1421&lt;&gt;0,E1421,IF(F1421&lt;&gt;0,F1421,IF(G1421&lt;&gt;0,G1421,0)))))))*(IF(H1421&lt;&gt;0,H1421,1))+I1421-J1421</f>
        <v>863.901522</v>
      </c>
      <c r="L1421" s="210"/>
    </row>
    <row r="1422" spans="2:12">
      <c r="B1422" s="256" t="s">
        <v>1962</v>
      </c>
      <c r="C1422" s="210"/>
      <c r="D1422" s="210" t="s">
        <v>152</v>
      </c>
      <c r="E1422" s="257">
        <v>4843</v>
      </c>
      <c r="F1422" s="258">
        <v>0.96299999999999997</v>
      </c>
      <c r="G1422" s="257">
        <v>0.8</v>
      </c>
      <c r="H1422" s="257">
        <v>1.1000000000000001</v>
      </c>
      <c r="I1422" s="257"/>
      <c r="J1422" s="259"/>
      <c r="K1422" s="260">
        <f>IF(E1422*F1422*G1422&lt;&gt;0,E1422*F1422*G1422,IF(E1422*F1422&lt;&gt;0,E1422*F1422,IF(F1422*G1422&lt;&gt;0,F1422*G1422,IF(E1422*G1422&lt;&gt;0,E1422*G1422,IF(E1422&lt;&gt;0,E1422,IF(F1422&lt;&gt;0,F1422,IF(G1422&lt;&gt;0,G1422,0)))))))*(IF(H1422&lt;&gt;0,H1422,1))+I1422-J1422</f>
        <v>4104.1519200000012</v>
      </c>
      <c r="L1422" s="210"/>
    </row>
    <row r="1423" spans="2:12">
      <c r="B1423" s="256" t="s">
        <v>1963</v>
      </c>
      <c r="C1423" s="210"/>
      <c r="D1423" s="210" t="s">
        <v>152</v>
      </c>
      <c r="E1423" s="257">
        <v>4014</v>
      </c>
      <c r="F1423" s="258">
        <v>0.96299999999999997</v>
      </c>
      <c r="G1423" s="257">
        <v>0.8</v>
      </c>
      <c r="H1423" s="257">
        <v>1.1000000000000001</v>
      </c>
      <c r="I1423" s="257"/>
      <c r="J1423" s="259"/>
      <c r="K1423" s="260">
        <f>IF(E1423*F1423*G1423&lt;&gt;0,E1423*F1423*G1423,IF(E1423*F1423&lt;&gt;0,E1423*F1423,IF(F1423*G1423&lt;&gt;0,F1423*G1423,IF(E1423*G1423&lt;&gt;0,E1423*G1423,IF(E1423&lt;&gt;0,E1423,IF(F1423&lt;&gt;0,F1423,IF(G1423&lt;&gt;0,G1423,0)))))))*(IF(H1423&lt;&gt;0,H1423,1))+I1423-J1423</f>
        <v>3401.6241600000003</v>
      </c>
      <c r="L1423" s="210"/>
    </row>
    <row r="1424" spans="2:12">
      <c r="B1424" s="328" t="s">
        <v>1964</v>
      </c>
      <c r="C1424" s="337"/>
      <c r="D1424" s="337" t="s">
        <v>152</v>
      </c>
      <c r="E1424" s="259">
        <v>325</v>
      </c>
      <c r="F1424" s="338">
        <v>0.96299999999999997</v>
      </c>
      <c r="G1424" s="259"/>
      <c r="H1424" s="259">
        <v>1.1000000000000001</v>
      </c>
      <c r="I1424" s="259"/>
      <c r="J1424" s="259"/>
      <c r="K1424" s="330"/>
      <c r="L1424" s="337"/>
    </row>
    <row r="1425" spans="2:12">
      <c r="B1425" s="328" t="s">
        <v>1965</v>
      </c>
      <c r="C1425" s="337"/>
      <c r="D1425" s="337" t="s">
        <v>152</v>
      </c>
      <c r="E1425" s="259"/>
      <c r="F1425" s="338"/>
      <c r="G1425" s="259"/>
      <c r="H1425" s="259"/>
      <c r="I1425" s="259"/>
      <c r="J1425" s="259"/>
      <c r="K1425" s="330"/>
      <c r="L1425" s="337"/>
    </row>
    <row r="1426" spans="2:12">
      <c r="B1426" s="256" t="s">
        <v>1966</v>
      </c>
      <c r="C1426" s="210"/>
      <c r="D1426" s="210" t="s">
        <v>152</v>
      </c>
      <c r="E1426" s="257">
        <v>1053</v>
      </c>
      <c r="F1426" s="258">
        <v>0.96299999999999997</v>
      </c>
      <c r="G1426" s="257"/>
      <c r="H1426" s="257">
        <v>1.1000000000000001</v>
      </c>
      <c r="I1426" s="257"/>
      <c r="J1426" s="259"/>
      <c r="K1426" s="260">
        <f>IF(E1426*F1426*G1426&lt;&gt;0,E1426*F1426*G1426,IF(E1426*F1426&lt;&gt;0,E1426*F1426,IF(F1426*G1426&lt;&gt;0,F1426*G1426,IF(E1426*G1426&lt;&gt;0,E1426*G1426,IF(E1426&lt;&gt;0,E1426,IF(F1426&lt;&gt;0,F1426,IF(G1426&lt;&gt;0,G1426,0)))))))*(IF(H1426&lt;&gt;0,H1426,1))+I1426-J1426</f>
        <v>1115.4429</v>
      </c>
      <c r="L1426" s="210"/>
    </row>
    <row r="1427" spans="2:12">
      <c r="B1427" s="256" t="s">
        <v>1967</v>
      </c>
      <c r="C1427" s="210"/>
      <c r="D1427" s="210" t="s">
        <v>152</v>
      </c>
      <c r="E1427" s="257">
        <v>165</v>
      </c>
      <c r="F1427" s="258">
        <v>0.96299999999999997</v>
      </c>
      <c r="G1427" s="257"/>
      <c r="H1427" s="257">
        <v>1.1000000000000001</v>
      </c>
      <c r="I1427" s="257"/>
      <c r="J1427" s="259"/>
      <c r="K1427" s="260">
        <f>IF(E1427*F1427*G1427&lt;&gt;0,E1427*F1427*G1427,IF(E1427*F1427&lt;&gt;0,E1427*F1427,IF(F1427*G1427&lt;&gt;0,F1427*G1427,IF(E1427*G1427&lt;&gt;0,E1427*G1427,IF(E1427&lt;&gt;0,E1427,IF(F1427&lt;&gt;0,F1427,IF(G1427&lt;&gt;0,G1427,0)))))))*(IF(H1427&lt;&gt;0,H1427,1))+I1427-J1427</f>
        <v>174.78449999999998</v>
      </c>
      <c r="L1427" s="210"/>
    </row>
    <row r="1428" spans="2:12">
      <c r="B1428" s="256" t="s">
        <v>1968</v>
      </c>
      <c r="C1428" s="210"/>
      <c r="D1428" s="210" t="s">
        <v>152</v>
      </c>
      <c r="E1428" s="257">
        <v>733</v>
      </c>
      <c r="F1428" s="258">
        <v>0.96299999999999997</v>
      </c>
      <c r="G1428" s="257"/>
      <c r="H1428" s="257">
        <v>1.1000000000000001</v>
      </c>
      <c r="I1428" s="257"/>
      <c r="J1428" s="259"/>
      <c r="K1428" s="260">
        <f>IF(E1428*F1428*G1428&lt;&gt;0,E1428*F1428*G1428,IF(E1428*F1428&lt;&gt;0,E1428*F1428,IF(F1428*G1428&lt;&gt;0,F1428*G1428,IF(E1428*G1428&lt;&gt;0,E1428*G1428,IF(E1428&lt;&gt;0,E1428,IF(F1428&lt;&gt;0,F1428,IF(G1428&lt;&gt;0,G1428,0)))))))*(IF(H1428&lt;&gt;0,H1428,1))+I1428-J1428</f>
        <v>776.46690000000012</v>
      </c>
      <c r="L1428" s="210"/>
    </row>
    <row r="1429" spans="2:12">
      <c r="B1429" s="256" t="s">
        <v>1969</v>
      </c>
      <c r="C1429" s="210"/>
      <c r="D1429" s="210" t="s">
        <v>152</v>
      </c>
      <c r="E1429" s="257"/>
      <c r="F1429" s="258"/>
      <c r="G1429" s="257"/>
      <c r="H1429" s="257"/>
      <c r="I1429" s="257"/>
      <c r="J1429" s="259"/>
      <c r="K1429" s="260">
        <f>IF(E1429*F1429*G1429&lt;&gt;0,E1429*F1429*G1429,IF(E1429*F1429&lt;&gt;0,E1429*F1429,IF(F1429*G1429&lt;&gt;0,F1429*G1429,IF(E1429*G1429&lt;&gt;0,E1429*G1429,IF(E1429&lt;&gt;0,E1429,IF(F1429&lt;&gt;0,F1429,IF(G1429&lt;&gt;0,G1429,0)))))))*(IF(H1429&lt;&gt;0,H1429,1))+I1429-J1429</f>
        <v>0</v>
      </c>
      <c r="L1429" s="210"/>
    </row>
    <row r="1430" spans="2:12">
      <c r="B1430" s="256" t="s">
        <v>1970</v>
      </c>
      <c r="C1430" s="210"/>
      <c r="D1430" s="210" t="s">
        <v>152</v>
      </c>
      <c r="E1430" s="257"/>
      <c r="F1430" s="258"/>
      <c r="G1430" s="257"/>
      <c r="H1430" s="257"/>
      <c r="I1430" s="257"/>
      <c r="J1430" s="259"/>
      <c r="K1430" s="260">
        <f>IF(E1430*F1430*G1430&lt;&gt;0,E1430*F1430*G1430,IF(E1430*F1430&lt;&gt;0,E1430*F1430,IF(F1430*G1430&lt;&gt;0,F1430*G1430,IF(E1430*G1430&lt;&gt;0,E1430*G1430,IF(E1430&lt;&gt;0,E1430,IF(F1430&lt;&gt;0,F1430,IF(G1430&lt;&gt;0,G1430,0)))))))*(IF(H1430&lt;&gt;0,H1430,1))+I1430-J1430</f>
        <v>0</v>
      </c>
      <c r="L1430" s="210"/>
    </row>
    <row r="1431" spans="2:12">
      <c r="B1431" s="328" t="s">
        <v>1971</v>
      </c>
      <c r="C1431" s="337"/>
      <c r="D1431" s="337" t="s">
        <v>152</v>
      </c>
      <c r="E1431" s="259">
        <v>62</v>
      </c>
      <c r="F1431" s="338">
        <v>0.96299999999999997</v>
      </c>
      <c r="G1431" s="259"/>
      <c r="H1431" s="259">
        <v>1.1000000000000001</v>
      </c>
      <c r="I1431" s="259"/>
      <c r="J1431" s="259"/>
      <c r="K1431" s="330"/>
      <c r="L1431" s="337"/>
    </row>
    <row r="1432" spans="2:12">
      <c r="B1432" s="256" t="s">
        <v>1972</v>
      </c>
      <c r="C1432" s="210"/>
      <c r="D1432" s="210" t="s">
        <v>152</v>
      </c>
      <c r="E1432" s="257">
        <v>203</v>
      </c>
      <c r="F1432" s="258">
        <v>0.96299999999999997</v>
      </c>
      <c r="G1432" s="257">
        <v>0.5</v>
      </c>
      <c r="H1432" s="257">
        <v>1.1000000000000001</v>
      </c>
      <c r="I1432" s="257"/>
      <c r="J1432" s="259"/>
      <c r="K1432" s="260">
        <f>IF(E1432*F1432*G1432&lt;&gt;0,E1432*F1432*G1432,IF(E1432*F1432&lt;&gt;0,E1432*F1432,IF(F1432*G1432&lt;&gt;0,F1432*G1432,IF(E1432*G1432&lt;&gt;0,E1432*G1432,IF(E1432&lt;&gt;0,E1432,IF(F1432&lt;&gt;0,F1432,IF(G1432&lt;&gt;0,G1432,0)))))))*(IF(H1432&lt;&gt;0,H1432,1))+I1432-J1432</f>
        <v>107.51895000000002</v>
      </c>
      <c r="L1432" s="210"/>
    </row>
    <row r="1433" spans="2:12">
      <c r="B1433" s="256"/>
      <c r="C1433" s="210"/>
      <c r="D1433" s="210"/>
      <c r="E1433" s="257"/>
      <c r="F1433" s="258"/>
      <c r="G1433" s="257"/>
      <c r="H1433" s="257"/>
      <c r="I1433" s="257"/>
      <c r="J1433" s="259"/>
      <c r="K1433" s="260">
        <f>IF(E1433*F1433*G1433&lt;&gt;0,E1433*F1433*G1433,IF(E1433*F1433&lt;&gt;0,E1433*F1433,IF(F1433*G1433&lt;&gt;0,F1433*G1433,IF(E1433*G1433&lt;&gt;0,E1433*G1433,IF(E1433&lt;&gt;0,E1433,IF(F1433&lt;&gt;0,F1433,IF(G1433&lt;&gt;0,G1433,0)))))))*(IF(H1433&lt;&gt;0,H1433,1))+I1433-J1433</f>
        <v>0</v>
      </c>
      <c r="L1433" s="210"/>
    </row>
    <row r="1434" spans="2:12">
      <c r="B1434" s="202"/>
      <c r="C1434" s="203"/>
      <c r="D1434" s="203"/>
      <c r="E1434" s="203"/>
      <c r="F1434" s="203"/>
      <c r="G1434" s="203"/>
      <c r="H1434" s="204"/>
      <c r="I1434" s="556" t="s">
        <v>1221</v>
      </c>
      <c r="J1434" s="556"/>
      <c r="K1434" s="220">
        <f>SUM(K1419:K1433)</f>
        <v>12631.908861000002</v>
      </c>
      <c r="L1434" s="207"/>
    </row>
    <row r="1435" spans="2:12">
      <c r="B1435" s="208"/>
      <c r="C1435" s="204"/>
      <c r="D1435" s="204"/>
      <c r="E1435" s="204"/>
      <c r="F1435" s="204"/>
      <c r="G1435" s="204"/>
      <c r="H1435" s="209"/>
      <c r="I1435" s="557" t="s">
        <v>1222</v>
      </c>
      <c r="J1435" s="557"/>
      <c r="K1435" s="221">
        <f>VLOOKUP(B1417,'BM 011'!$B$27:$R$590,5,0)</f>
        <v>15025.82</v>
      </c>
      <c r="L1435" s="207"/>
    </row>
    <row r="1436" spans="2:12">
      <c r="B1436" s="208"/>
      <c r="C1436" s="204"/>
      <c r="D1436" s="204"/>
      <c r="E1436" s="204"/>
      <c r="F1436" s="204"/>
      <c r="G1436" s="204"/>
      <c r="H1436" s="558" t="s">
        <v>1223</v>
      </c>
      <c r="I1436" s="558"/>
      <c r="J1436" s="558"/>
      <c r="K1436" s="222">
        <v>7003.53</v>
      </c>
      <c r="L1436" s="207"/>
    </row>
    <row r="1437" spans="2:12">
      <c r="B1437" s="208"/>
      <c r="C1437" s="204"/>
      <c r="D1437" s="204"/>
      <c r="E1437" s="204"/>
      <c r="F1437" s="204"/>
      <c r="G1437" s="204"/>
      <c r="H1437" s="558" t="s">
        <v>1891</v>
      </c>
      <c r="I1437" s="558"/>
      <c r="J1437" s="558"/>
      <c r="K1437" s="222">
        <f>IF(K1434&gt;K1435,K1435-K1436,K1434-K1436)</f>
        <v>5628.378861000002</v>
      </c>
      <c r="L1437" s="207"/>
    </row>
    <row r="1438" spans="2:12">
      <c r="B1438" s="213"/>
      <c r="C1438" s="214"/>
      <c r="D1438" s="214"/>
      <c r="E1438" s="214"/>
      <c r="F1438" s="214"/>
      <c r="G1438" s="214"/>
      <c r="H1438" s="559" t="s">
        <v>1224</v>
      </c>
      <c r="I1438" s="559"/>
      <c r="J1438" s="559"/>
      <c r="K1438" s="223">
        <f>IF(K1434&gt;K1435,K1434-K1435,0)</f>
        <v>0</v>
      </c>
      <c r="L1438" s="209"/>
    </row>
    <row r="1440" spans="2:12">
      <c r="B1440" s="247" t="s">
        <v>248</v>
      </c>
      <c r="C1440" s="565" t="str">
        <f>VLOOKUP(B1440,'BM 004'!$B$27:$R$590,2,0)</f>
        <v xml:space="preserve">Armação de laje de uma estrutura convencional de concreto armado em um edifício de múltiplos pavimentos utilizando aço ca-50 de 16,0 mm - montagem. </v>
      </c>
      <c r="D1440" s="565"/>
      <c r="E1440" s="565"/>
      <c r="F1440" s="565"/>
      <c r="G1440" s="565"/>
      <c r="H1440" s="565"/>
      <c r="I1440" s="565"/>
      <c r="J1440" s="565"/>
      <c r="K1440" s="565"/>
      <c r="L1440" s="565"/>
    </row>
    <row r="1441" spans="2:12">
      <c r="B1441" s="248" t="s">
        <v>1209</v>
      </c>
      <c r="C1441" s="248"/>
      <c r="D1441" s="248" t="s">
        <v>39</v>
      </c>
      <c r="E1441" s="248" t="s">
        <v>1210</v>
      </c>
      <c r="F1441" s="248" t="s">
        <v>1388</v>
      </c>
      <c r="G1441" s="248" t="s">
        <v>1212</v>
      </c>
      <c r="H1441" s="248" t="s">
        <v>1213</v>
      </c>
      <c r="I1441" s="248" t="s">
        <v>1214</v>
      </c>
      <c r="J1441" s="248" t="s">
        <v>1385</v>
      </c>
      <c r="K1441" s="248" t="s">
        <v>1216</v>
      </c>
      <c r="L1441" s="248" t="s">
        <v>1217</v>
      </c>
    </row>
    <row r="1442" spans="2:12">
      <c r="B1442" s="205" t="s">
        <v>1958</v>
      </c>
      <c r="C1442" s="250" t="s">
        <v>1933</v>
      </c>
      <c r="D1442" s="205" t="s">
        <v>152</v>
      </c>
      <c r="E1442" s="251">
        <v>365.1</v>
      </c>
      <c r="F1442" s="252">
        <v>1.5780000000000001</v>
      </c>
      <c r="G1442" s="251"/>
      <c r="H1442" s="251">
        <v>1.1000000000000001</v>
      </c>
      <c r="I1442" s="251"/>
      <c r="J1442" s="253"/>
      <c r="K1442" s="254">
        <f>IF(E1442*F1442*G1442&lt;&gt;0,E1442*F1442*G1442,IF(E1442*F1442&lt;&gt;0,E1442*F1442,IF(F1442*G1442&lt;&gt;0,F1442*G1442,IF(E1442*G1442&lt;&gt;0,E1442*G1442,IF(E1442&lt;&gt;0,E1442,IF(F1442&lt;&gt;0,F1442,IF(G1442&lt;&gt;0,G1442,0)))))))*(IF(H1442&lt;&gt;0,H1442,1))+I1442-J1442</f>
        <v>633.74058000000014</v>
      </c>
      <c r="L1442" s="255"/>
    </row>
    <row r="1443" spans="2:12">
      <c r="B1443" s="205" t="s">
        <v>1960</v>
      </c>
      <c r="C1443" s="250" t="s">
        <v>1933</v>
      </c>
      <c r="D1443" s="205" t="s">
        <v>152</v>
      </c>
      <c r="E1443" s="251">
        <v>1168.92</v>
      </c>
      <c r="F1443" s="252">
        <v>1.5780000000000001</v>
      </c>
      <c r="G1443" s="251"/>
      <c r="H1443" s="251">
        <v>1.1000000000000001</v>
      </c>
      <c r="I1443" s="251"/>
      <c r="J1443" s="253"/>
      <c r="K1443" s="254">
        <f>IF(E1443*F1443*G1443&lt;&gt;0,E1443*F1443*G1443,IF(E1443*F1443&lt;&gt;0,E1443*F1443,IF(F1443*G1443&lt;&gt;0,F1443*G1443,IF(E1443*G1443&lt;&gt;0,E1443*G1443,IF(E1443&lt;&gt;0,E1443,IF(F1443&lt;&gt;0,F1443,IF(G1443&lt;&gt;0,G1443,0)))))))*(IF(H1443&lt;&gt;0,H1443,1))+I1443-J1443</f>
        <v>2029.0113360000005</v>
      </c>
      <c r="L1443" s="255"/>
    </row>
    <row r="1444" spans="2:12">
      <c r="B1444" s="205" t="s">
        <v>1961</v>
      </c>
      <c r="C1444" s="250" t="s">
        <v>1933</v>
      </c>
      <c r="D1444" s="205" t="s">
        <v>152</v>
      </c>
      <c r="E1444" s="251">
        <v>758.08</v>
      </c>
      <c r="F1444" s="252">
        <v>1.5780000000000001</v>
      </c>
      <c r="G1444" s="251"/>
      <c r="H1444" s="251">
        <v>1.1000000000000001</v>
      </c>
      <c r="I1444" s="251"/>
      <c r="J1444" s="253"/>
      <c r="K1444" s="254">
        <f>IF(E1444*F1444*G1444&lt;&gt;0,E1444*F1444*G1444,IF(E1444*F1444&lt;&gt;0,E1444*F1444,IF(F1444*G1444&lt;&gt;0,F1444*G1444,IF(E1444*G1444&lt;&gt;0,E1444*G1444,IF(E1444&lt;&gt;0,E1444,IF(F1444&lt;&gt;0,F1444,IF(G1444&lt;&gt;0,G1444,0)))))))*(IF(H1444&lt;&gt;0,H1444,1))+I1444-J1444</f>
        <v>1315.8752640000002</v>
      </c>
      <c r="L1444" s="255"/>
    </row>
    <row r="1445" spans="2:12">
      <c r="B1445" s="205" t="s">
        <v>1962</v>
      </c>
      <c r="C1445" s="250" t="s">
        <v>1931</v>
      </c>
      <c r="D1445" s="205" t="s">
        <v>152</v>
      </c>
      <c r="E1445" s="251">
        <v>4827</v>
      </c>
      <c r="F1445" s="252">
        <v>1.5780000000000001</v>
      </c>
      <c r="G1445" s="251">
        <v>0.5</v>
      </c>
      <c r="H1445" s="251">
        <v>1.1000000000000001</v>
      </c>
      <c r="I1445" s="251"/>
      <c r="J1445" s="253"/>
      <c r="K1445" s="254">
        <f>IF(E1445*F1445*G1445&lt;&gt;0,E1445*F1445*G1445,IF(E1445*F1445&lt;&gt;0,E1445*F1445,IF(F1445*G1445&lt;&gt;0,F1445*G1445,IF(E1445*G1445&lt;&gt;0,E1445*G1445,IF(E1445&lt;&gt;0,E1445,IF(F1445&lt;&gt;0,F1445,IF(G1445&lt;&gt;0,G1445,0)))))))*(IF(H1445&lt;&gt;0,H1445,1))+I1445-J1445</f>
        <v>4189.3533000000007</v>
      </c>
      <c r="L1445" s="255"/>
    </row>
    <row r="1446" spans="2:12">
      <c r="B1446" s="324" t="s">
        <v>1963</v>
      </c>
      <c r="C1446" s="324" t="s">
        <v>1931</v>
      </c>
      <c r="D1446" s="324" t="s">
        <v>152</v>
      </c>
      <c r="E1446" s="342">
        <v>2687</v>
      </c>
      <c r="F1446" s="343">
        <v>1.5780000000000001</v>
      </c>
      <c r="G1446" s="342">
        <v>0.5</v>
      </c>
      <c r="H1446" s="342">
        <v>1.1000000000000001</v>
      </c>
      <c r="I1446" s="342"/>
      <c r="J1446" s="342"/>
      <c r="K1446" s="341">
        <f>IF(E1446*F1446*G1446&lt;&gt;0,E1446*F1446*G1446,IF(E1446*F1446&lt;&gt;0,E1446*F1446,IF(F1446*G1446&lt;&gt;0,F1446*G1446,IF(E1446*G1446&lt;&gt;0,E1446*G1446,IF(E1446&lt;&gt;0,E1446,IF(F1446&lt;&gt;0,F1446,IF(G1446&lt;&gt;0,G1446,0)))))))*(IF(H1446&lt;&gt;0,H1446,1))+I1446-J1446</f>
        <v>2332.0473000000002</v>
      </c>
      <c r="L1446" s="344"/>
    </row>
    <row r="1447" spans="2:12">
      <c r="B1447" s="329" t="s">
        <v>1964</v>
      </c>
      <c r="C1447" s="329" t="s">
        <v>1931</v>
      </c>
      <c r="D1447" s="329" t="s">
        <v>152</v>
      </c>
      <c r="E1447" s="253">
        <v>253</v>
      </c>
      <c r="F1447" s="334">
        <v>1.5780000000000001</v>
      </c>
      <c r="G1447" s="253"/>
      <c r="H1447" s="253">
        <v>1.1000000000000001</v>
      </c>
      <c r="I1447" s="253"/>
      <c r="J1447" s="253"/>
      <c r="K1447" s="335"/>
      <c r="L1447" s="336"/>
    </row>
    <row r="1448" spans="2:12">
      <c r="B1448" s="337" t="s">
        <v>1965</v>
      </c>
      <c r="C1448" s="337" t="s">
        <v>1931</v>
      </c>
      <c r="D1448" s="337" t="s">
        <v>152</v>
      </c>
      <c r="E1448" s="259"/>
      <c r="F1448" s="338"/>
      <c r="G1448" s="259"/>
      <c r="H1448" s="259"/>
      <c r="I1448" s="259"/>
      <c r="J1448" s="259"/>
      <c r="K1448" s="335"/>
      <c r="L1448" s="337"/>
    </row>
    <row r="1449" spans="2:12">
      <c r="B1449" s="210" t="s">
        <v>1966</v>
      </c>
      <c r="C1449" s="264" t="s">
        <v>1931</v>
      </c>
      <c r="D1449" s="210" t="s">
        <v>152</v>
      </c>
      <c r="E1449" s="257">
        <v>584</v>
      </c>
      <c r="F1449" s="258">
        <v>1.5780000000000001</v>
      </c>
      <c r="G1449" s="257"/>
      <c r="H1449" s="257">
        <v>1.1000000000000001</v>
      </c>
      <c r="I1449" s="257"/>
      <c r="J1449" s="259"/>
      <c r="K1449" s="254">
        <f>IF(E1449*F1449*G1449&lt;&gt;0,E1449*F1449*G1449,IF(E1449*F1449&lt;&gt;0,E1449*F1449,IF(F1449*G1449&lt;&gt;0,F1449*G1449,IF(E1449*G1449&lt;&gt;0,E1449*G1449,IF(E1449&lt;&gt;0,E1449,IF(F1449&lt;&gt;0,F1449,IF(G1449&lt;&gt;0,G1449,0)))))))*(IF(H1449&lt;&gt;0,H1449,1))+I1449-J1449</f>
        <v>1013.7072000000001</v>
      </c>
      <c r="L1449" s="210"/>
    </row>
    <row r="1450" spans="2:12">
      <c r="B1450" s="210" t="s">
        <v>1967</v>
      </c>
      <c r="C1450" s="264" t="s">
        <v>1931</v>
      </c>
      <c r="D1450" s="210" t="s">
        <v>152</v>
      </c>
      <c r="E1450" s="257">
        <v>722</v>
      </c>
      <c r="F1450" s="258">
        <v>1.5780000000000001</v>
      </c>
      <c r="G1450" s="257"/>
      <c r="H1450" s="257">
        <v>1.1000000000000001</v>
      </c>
      <c r="I1450" s="257"/>
      <c r="J1450" s="259"/>
      <c r="K1450" s="254">
        <f>IF(E1450*F1450*G1450&lt;&gt;0,E1450*F1450*G1450,IF(E1450*F1450&lt;&gt;0,E1450*F1450,IF(F1450*G1450&lt;&gt;0,F1450*G1450,IF(E1450*G1450&lt;&gt;0,E1450*G1450,IF(E1450&lt;&gt;0,E1450,IF(F1450&lt;&gt;0,F1450,IF(G1450&lt;&gt;0,G1450,0)))))))*(IF(H1450&lt;&gt;0,H1450,1))+I1450-J1450</f>
        <v>1253.2476000000001</v>
      </c>
      <c r="L1450" s="210"/>
    </row>
    <row r="1451" spans="2:12">
      <c r="B1451" s="210" t="s">
        <v>1968</v>
      </c>
      <c r="C1451" s="264" t="s">
        <v>1931</v>
      </c>
      <c r="D1451" s="210" t="s">
        <v>152</v>
      </c>
      <c r="E1451" s="257">
        <v>5626</v>
      </c>
      <c r="F1451" s="258">
        <v>1.5780000000000001</v>
      </c>
      <c r="G1451" s="257">
        <v>0.5</v>
      </c>
      <c r="H1451" s="257">
        <v>1.1000000000000001</v>
      </c>
      <c r="I1451" s="257"/>
      <c r="J1451" s="259"/>
      <c r="K1451" s="254">
        <f>IF(E1451*F1451*G1451&lt;&gt;0,E1451*F1451*G1451,IF(E1451*F1451&lt;&gt;0,E1451*F1451,IF(F1451*G1451&lt;&gt;0,F1451*G1451,IF(E1451*G1451&lt;&gt;0,E1451*G1451,IF(E1451&lt;&gt;0,E1451,IF(F1451&lt;&gt;0,F1451,IF(G1451&lt;&gt;0,G1451,0)))))))*(IF(H1451&lt;&gt;0,H1451,1))+I1451-J1451</f>
        <v>4882.8054000000002</v>
      </c>
      <c r="L1451" s="210"/>
    </row>
    <row r="1452" spans="2:12">
      <c r="B1452" s="210" t="s">
        <v>1969</v>
      </c>
      <c r="C1452" s="264" t="s">
        <v>1931</v>
      </c>
      <c r="D1452" s="210" t="s">
        <v>152</v>
      </c>
      <c r="E1452" s="257"/>
      <c r="F1452" s="258"/>
      <c r="G1452" s="257"/>
      <c r="H1452" s="257"/>
      <c r="I1452" s="257"/>
      <c r="J1452" s="259"/>
      <c r="K1452" s="254">
        <f>IF(E1452*F1452*G1452&lt;&gt;0,E1452*F1452*G1452,IF(E1452*F1452&lt;&gt;0,E1452*F1452,IF(F1452*G1452&lt;&gt;0,F1452*G1452,IF(E1452*G1452&lt;&gt;0,E1452*G1452,IF(E1452&lt;&gt;0,E1452,IF(F1452&lt;&gt;0,F1452,IF(G1452&lt;&gt;0,G1452,0)))))))*(IF(H1452&lt;&gt;0,H1452,1))+I1452-J1452</f>
        <v>0</v>
      </c>
      <c r="L1452" s="210"/>
    </row>
    <row r="1453" spans="2:12">
      <c r="B1453" s="210" t="s">
        <v>1970</v>
      </c>
      <c r="C1453" s="264" t="s">
        <v>1931</v>
      </c>
      <c r="D1453" s="210" t="s">
        <v>152</v>
      </c>
      <c r="E1453" s="257"/>
      <c r="F1453" s="258"/>
      <c r="G1453" s="257"/>
      <c r="H1453" s="257"/>
      <c r="I1453" s="257"/>
      <c r="J1453" s="259"/>
      <c r="K1453" s="254">
        <f>IF(E1453*F1453*G1453&lt;&gt;0,E1453*F1453*G1453,IF(E1453*F1453&lt;&gt;0,E1453*F1453,IF(F1453*G1453&lt;&gt;0,F1453*G1453,IF(E1453*G1453&lt;&gt;0,E1453*G1453,IF(E1453&lt;&gt;0,E1453,IF(F1453&lt;&gt;0,F1453,IF(G1453&lt;&gt;0,G1453,0)))))))*(IF(H1453&lt;&gt;0,H1453,1))+I1453-J1453</f>
        <v>0</v>
      </c>
      <c r="L1453" s="210"/>
    </row>
    <row r="1454" spans="2:12">
      <c r="B1454" s="337" t="s">
        <v>1971</v>
      </c>
      <c r="C1454" s="264"/>
      <c r="D1454" s="337" t="s">
        <v>152</v>
      </c>
      <c r="E1454" s="259">
        <v>583</v>
      </c>
      <c r="F1454" s="338">
        <v>1.5780000000000001</v>
      </c>
      <c r="G1454" s="259"/>
      <c r="H1454" s="259">
        <v>1.1000000000000001</v>
      </c>
      <c r="I1454" s="259"/>
      <c r="J1454" s="259"/>
      <c r="K1454" s="335"/>
      <c r="L1454" s="337"/>
    </row>
    <row r="1455" spans="2:12">
      <c r="B1455" s="210" t="s">
        <v>1972</v>
      </c>
      <c r="C1455" s="264" t="s">
        <v>1931</v>
      </c>
      <c r="D1455" s="210" t="s">
        <v>152</v>
      </c>
      <c r="E1455" s="257"/>
      <c r="F1455" s="258"/>
      <c r="G1455" s="257"/>
      <c r="H1455" s="257"/>
      <c r="I1455" s="257"/>
      <c r="J1455" s="259"/>
      <c r="K1455" s="254">
        <f>IF(E1455*F1455*G1455&lt;&gt;0,E1455*F1455*G1455,IF(E1455*F1455&lt;&gt;0,E1455*F1455,IF(F1455*G1455&lt;&gt;0,F1455*G1455,IF(E1455*G1455&lt;&gt;0,E1455*G1455,IF(E1455&lt;&gt;0,E1455,IF(F1455&lt;&gt;0,F1455,IF(G1455&lt;&gt;0,G1455,0)))))))*(IF(H1455&lt;&gt;0,H1455,1))+I1455-J1455</f>
        <v>0</v>
      </c>
      <c r="L1455" s="210"/>
    </row>
    <row r="1456" spans="2:12">
      <c r="B1456" s="210"/>
      <c r="C1456" s="210"/>
      <c r="D1456" s="210"/>
      <c r="E1456" s="257"/>
      <c r="F1456" s="258"/>
      <c r="G1456" s="257"/>
      <c r="H1456" s="257"/>
      <c r="I1456" s="257"/>
      <c r="J1456" s="259"/>
      <c r="K1456" s="260">
        <f>IF(E1456*F1456*G1456&lt;&gt;0,E1456*F1456*G1456,IF(E1456*F1456&lt;&gt;0,E1456*F1456,IF(F1456*G1456&lt;&gt;0,F1456*G1456,IF(E1456*G1456&lt;&gt;0,E1456*G1456,IF(E1456&lt;&gt;0,E1456,IF(F1456&lt;&gt;0,F1456,IF(G1456&lt;&gt;0,G1456,0)))))))*(IF(H1456&lt;&gt;0,H1456,1))+I1456-J1456</f>
        <v>0</v>
      </c>
      <c r="L1456" s="210"/>
    </row>
    <row r="1457" spans="2:12">
      <c r="B1457" s="202"/>
      <c r="C1457" s="203"/>
      <c r="D1457" s="203"/>
      <c r="E1457" s="203"/>
      <c r="F1457" s="203"/>
      <c r="G1457" s="203"/>
      <c r="H1457" s="204"/>
      <c r="I1457" s="556" t="s">
        <v>1221</v>
      </c>
      <c r="J1457" s="556"/>
      <c r="K1457" s="220">
        <f>SUM(K1442:K1456)</f>
        <v>17649.787980000005</v>
      </c>
      <c r="L1457" s="207"/>
    </row>
    <row r="1458" spans="2:12">
      <c r="B1458" s="208"/>
      <c r="C1458" s="204"/>
      <c r="D1458" s="204"/>
      <c r="E1458" s="204"/>
      <c r="F1458" s="204"/>
      <c r="G1458" s="204"/>
      <c r="H1458" s="209"/>
      <c r="I1458" s="557" t="s">
        <v>1222</v>
      </c>
      <c r="J1458" s="557"/>
      <c r="K1458" s="221">
        <f>VLOOKUP(B1440,'BM 011'!$B$27:$R$590,5,0)</f>
        <v>30505.119999999999</v>
      </c>
      <c r="L1458" s="207"/>
    </row>
    <row r="1459" spans="2:12">
      <c r="B1459" s="208"/>
      <c r="C1459" s="204"/>
      <c r="D1459" s="204"/>
      <c r="E1459" s="204"/>
      <c r="F1459" s="204"/>
      <c r="G1459" s="204"/>
      <c r="H1459" s="558" t="s">
        <v>1223</v>
      </c>
      <c r="I1459" s="558"/>
      <c r="J1459" s="558"/>
      <c r="K1459" s="222">
        <v>8114.7</v>
      </c>
      <c r="L1459" s="207"/>
    </row>
    <row r="1460" spans="2:12">
      <c r="B1460" s="208"/>
      <c r="C1460" s="204"/>
      <c r="D1460" s="204"/>
      <c r="E1460" s="204"/>
      <c r="F1460" s="204"/>
      <c r="G1460" s="204"/>
      <c r="H1460" s="558" t="s">
        <v>1891</v>
      </c>
      <c r="I1460" s="558"/>
      <c r="J1460" s="558"/>
      <c r="K1460" s="222">
        <f>IF(K1457&gt;K1458,K1458-K1459,K1457-K1459)</f>
        <v>9535.0879800000039</v>
      </c>
      <c r="L1460" s="207"/>
    </row>
    <row r="1461" spans="2:12">
      <c r="B1461" s="213"/>
      <c r="C1461" s="214"/>
      <c r="D1461" s="214"/>
      <c r="E1461" s="214"/>
      <c r="F1461" s="214"/>
      <c r="G1461" s="214"/>
      <c r="H1461" s="559" t="s">
        <v>1224</v>
      </c>
      <c r="I1461" s="559"/>
      <c r="J1461" s="559"/>
      <c r="K1461" s="223">
        <f>IF(K1457&gt;K1458,K1457-K1458,0)</f>
        <v>0</v>
      </c>
      <c r="L1461" s="209"/>
    </row>
    <row r="1463" spans="2:12">
      <c r="B1463" s="247" t="s">
        <v>250</v>
      </c>
      <c r="C1463" s="565" t="str">
        <f>VLOOKUP(B1463,'BM 004'!$B$27:$R$590,2,0)</f>
        <v xml:space="preserve">Armação de laje de uma estrutura convencional de concreto armado em um edifício de múltiplos pavimentos utilizando aço ca-50 de 20,0 mm - montagem. </v>
      </c>
      <c r="D1463" s="565"/>
      <c r="E1463" s="565"/>
      <c r="F1463" s="565"/>
      <c r="G1463" s="565"/>
      <c r="H1463" s="565"/>
      <c r="I1463" s="565"/>
      <c r="J1463" s="565"/>
      <c r="K1463" s="565"/>
      <c r="L1463" s="565"/>
    </row>
    <row r="1464" spans="2:12">
      <c r="B1464" s="248" t="s">
        <v>1209</v>
      </c>
      <c r="C1464" s="248"/>
      <c r="D1464" s="248" t="s">
        <v>39</v>
      </c>
      <c r="E1464" s="248" t="s">
        <v>1210</v>
      </c>
      <c r="F1464" s="248" t="s">
        <v>1388</v>
      </c>
      <c r="G1464" s="248" t="s">
        <v>1212</v>
      </c>
      <c r="H1464" s="248" t="s">
        <v>1213</v>
      </c>
      <c r="I1464" s="248" t="s">
        <v>1214</v>
      </c>
      <c r="J1464" s="248" t="s">
        <v>1385</v>
      </c>
      <c r="K1464" s="248" t="s">
        <v>1216</v>
      </c>
      <c r="L1464" s="248" t="s">
        <v>1217</v>
      </c>
    </row>
    <row r="1465" spans="2:12">
      <c r="B1465" s="205" t="s">
        <v>1958</v>
      </c>
      <c r="C1465" s="250"/>
      <c r="D1465" s="205" t="s">
        <v>152</v>
      </c>
      <c r="E1465" s="251">
        <v>154.41999999999999</v>
      </c>
      <c r="F1465" s="252">
        <v>2.4660000000000002</v>
      </c>
      <c r="G1465" s="251"/>
      <c r="H1465" s="251">
        <v>1.1000000000000001</v>
      </c>
      <c r="I1465" s="251"/>
      <c r="J1465" s="253"/>
      <c r="K1465" s="254">
        <f>IF(E1465*F1465*G1465&lt;&gt;0,E1465*F1465*G1465,IF(E1465*F1465&lt;&gt;0,E1465*F1465,IF(F1465*G1465&lt;&gt;0,F1465*G1465,IF(E1465*G1465&lt;&gt;0,E1465*G1465,IF(E1465&lt;&gt;0,E1465,IF(F1465&lt;&gt;0,F1465,IF(G1465&lt;&gt;0,G1465,0)))))))*(IF(H1465&lt;&gt;0,H1465,1))+I1465-J1465</f>
        <v>418.87969200000003</v>
      </c>
      <c r="L1465" s="255"/>
    </row>
    <row r="1466" spans="2:12">
      <c r="B1466" s="205" t="s">
        <v>1960</v>
      </c>
      <c r="C1466" s="250"/>
      <c r="D1466" s="205" t="s">
        <v>152</v>
      </c>
      <c r="E1466" s="251">
        <v>1019.89</v>
      </c>
      <c r="F1466" s="252">
        <v>2.4660000000000002</v>
      </c>
      <c r="G1466" s="251"/>
      <c r="H1466" s="251">
        <v>1.1000000000000001</v>
      </c>
      <c r="I1466" s="251"/>
      <c r="J1466" s="253"/>
      <c r="K1466" s="254">
        <f>IF(E1466*F1466*G1466&lt;&gt;0,E1466*F1466*G1466,IF(E1466*F1466&lt;&gt;0,E1466*F1466,IF(F1466*G1466&lt;&gt;0,F1466*G1466,IF(E1466*G1466&lt;&gt;0,E1466*G1466,IF(E1466&lt;&gt;0,E1466,IF(F1466&lt;&gt;0,F1466,IF(G1466&lt;&gt;0,G1466,0)))))))*(IF(H1466&lt;&gt;0,H1466,1))+I1466-J1466</f>
        <v>2766.5536140000004</v>
      </c>
      <c r="L1466" s="255"/>
    </row>
    <row r="1467" spans="2:12">
      <c r="B1467" s="205" t="s">
        <v>1961</v>
      </c>
      <c r="C1467" s="250"/>
      <c r="D1467" s="205" t="s">
        <v>152</v>
      </c>
      <c r="E1467" s="251">
        <v>156.41999999999999</v>
      </c>
      <c r="F1467" s="252">
        <v>2.4660000000000002</v>
      </c>
      <c r="G1467" s="251"/>
      <c r="H1467" s="251">
        <v>1.1000000000000001</v>
      </c>
      <c r="I1467" s="251"/>
      <c r="J1467" s="253"/>
      <c r="K1467" s="254">
        <f>IF(E1467*F1467*G1467&lt;&gt;0,E1467*F1467*G1467,IF(E1467*F1467&lt;&gt;0,E1467*F1467,IF(F1467*G1467&lt;&gt;0,F1467*G1467,IF(E1467*G1467&lt;&gt;0,E1467*G1467,IF(E1467&lt;&gt;0,E1467,IF(F1467&lt;&gt;0,F1467,IF(G1467&lt;&gt;0,G1467,0)))))))*(IF(H1467&lt;&gt;0,H1467,1))+I1467-J1467</f>
        <v>424.30489200000005</v>
      </c>
      <c r="L1467" s="255"/>
    </row>
    <row r="1468" spans="2:12">
      <c r="B1468" s="205" t="s">
        <v>1962</v>
      </c>
      <c r="C1468" s="250"/>
      <c r="D1468" s="205" t="s">
        <v>152</v>
      </c>
      <c r="E1468" s="251">
        <v>1778</v>
      </c>
      <c r="F1468" s="252">
        <v>2.4660000000000002</v>
      </c>
      <c r="G1468" s="251">
        <v>0.84</v>
      </c>
      <c r="H1468" s="251">
        <v>1.1000000000000001</v>
      </c>
      <c r="I1468" s="251"/>
      <c r="J1468" s="253"/>
      <c r="K1468" s="254">
        <f>IF(E1468*F1468*G1468&lt;&gt;0,E1468*F1468*G1468,IF(E1468*F1468&lt;&gt;0,E1468*F1468,IF(F1468*G1468&lt;&gt;0,F1468*G1468,IF(E1468*G1468&lt;&gt;0,E1468*G1468,IF(E1468&lt;&gt;0,E1468,IF(F1468&lt;&gt;0,F1468,IF(G1468&lt;&gt;0,G1468,0)))))))*(IF(H1468&lt;&gt;0,H1468,1))+I1468-J1468</f>
        <v>4051.322352000001</v>
      </c>
      <c r="L1468" s="255"/>
    </row>
    <row r="1469" spans="2:12">
      <c r="B1469" s="205" t="s">
        <v>1963</v>
      </c>
      <c r="C1469" s="250"/>
      <c r="D1469" s="205" t="s">
        <v>152</v>
      </c>
      <c r="E1469" s="251">
        <v>4194</v>
      </c>
      <c r="F1469" s="252">
        <v>2.4660000000000002</v>
      </c>
      <c r="G1469" s="251">
        <v>0.84</v>
      </c>
      <c r="H1469" s="251">
        <v>1.1000000000000001</v>
      </c>
      <c r="I1469" s="251"/>
      <c r="J1469" s="253"/>
      <c r="K1469" s="254">
        <f>IF(E1469*F1469*G1469&lt;&gt;0,E1469*F1469*G1469,IF(E1469*F1469&lt;&gt;0,E1469*F1469,IF(F1469*G1469&lt;&gt;0,F1469*G1469,IF(E1469*G1469&lt;&gt;0,E1469*G1469,IF(E1469&lt;&gt;0,E1469,IF(F1469&lt;&gt;0,F1469,IF(G1469&lt;&gt;0,G1469,0)))))))*(IF(H1469&lt;&gt;0,H1469,1))+I1469-J1469</f>
        <v>9556.3812960000014</v>
      </c>
      <c r="L1469" s="255"/>
    </row>
    <row r="1470" spans="2:12">
      <c r="B1470" s="329" t="s">
        <v>1964</v>
      </c>
      <c r="C1470" s="329"/>
      <c r="D1470" s="329" t="s">
        <v>152</v>
      </c>
      <c r="E1470" s="253">
        <v>655</v>
      </c>
      <c r="F1470" s="334">
        <v>2.4660000000000002</v>
      </c>
      <c r="G1470" s="253"/>
      <c r="H1470" s="253">
        <v>1.1000000000000001</v>
      </c>
      <c r="I1470" s="253"/>
      <c r="J1470" s="253"/>
      <c r="K1470" s="335"/>
      <c r="L1470" s="336"/>
    </row>
    <row r="1471" spans="2:12">
      <c r="B1471" s="329" t="s">
        <v>1965</v>
      </c>
      <c r="C1471" s="329"/>
      <c r="D1471" s="329" t="s">
        <v>152</v>
      </c>
      <c r="E1471" s="253"/>
      <c r="F1471" s="334"/>
      <c r="G1471" s="253"/>
      <c r="H1471" s="253"/>
      <c r="I1471" s="253"/>
      <c r="J1471" s="253"/>
      <c r="K1471" s="335"/>
      <c r="L1471" s="336"/>
    </row>
    <row r="1472" spans="2:12">
      <c r="B1472" s="205" t="s">
        <v>1966</v>
      </c>
      <c r="C1472" s="250"/>
      <c r="D1472" s="205" t="s">
        <v>152</v>
      </c>
      <c r="E1472" s="251">
        <v>51</v>
      </c>
      <c r="F1472" s="252">
        <v>2.4660000000000002</v>
      </c>
      <c r="G1472" s="251"/>
      <c r="H1472" s="251">
        <v>1.1000000000000001</v>
      </c>
      <c r="I1472" s="251"/>
      <c r="J1472" s="253"/>
      <c r="K1472" s="254">
        <f>IF(E1472*F1472*G1472&lt;&gt;0,E1472*F1472*G1472,IF(E1472*F1472&lt;&gt;0,E1472*F1472,IF(F1472*G1472&lt;&gt;0,F1472*G1472,IF(E1472*G1472&lt;&gt;0,E1472*G1472,IF(E1472&lt;&gt;0,E1472,IF(F1472&lt;&gt;0,F1472,IF(G1472&lt;&gt;0,G1472,0)))))))*(IF(H1472&lt;&gt;0,H1472,1))+I1472-J1472</f>
        <v>138.3426</v>
      </c>
      <c r="L1472" s="255"/>
    </row>
    <row r="1473" spans="2:12">
      <c r="B1473" s="205" t="s">
        <v>1967</v>
      </c>
      <c r="C1473" s="264"/>
      <c r="D1473" s="210" t="s">
        <v>152</v>
      </c>
      <c r="E1473" s="257">
        <v>298</v>
      </c>
      <c r="F1473" s="258">
        <v>2.4660000000000002</v>
      </c>
      <c r="G1473" s="257"/>
      <c r="H1473" s="257">
        <v>1.1000000000000001</v>
      </c>
      <c r="I1473" s="257"/>
      <c r="J1473" s="253"/>
      <c r="K1473" s="254">
        <f>IF(E1473*F1473*G1473&lt;&gt;0,E1473*F1473*G1473,IF(E1473*F1473&lt;&gt;0,E1473*F1473,IF(F1473*G1473&lt;&gt;0,F1473*G1473,IF(E1473*G1473&lt;&gt;0,E1473*G1473,IF(E1473&lt;&gt;0,E1473,IF(F1473&lt;&gt;0,F1473,IF(G1473&lt;&gt;0,G1473,0)))))))*(IF(H1473&lt;&gt;0,H1473,1))+I1473-J1473</f>
        <v>808.35480000000007</v>
      </c>
      <c r="L1473" s="255"/>
    </row>
    <row r="1474" spans="2:12">
      <c r="B1474" s="205" t="s">
        <v>1968</v>
      </c>
      <c r="C1474" s="250"/>
      <c r="D1474" s="205" t="s">
        <v>152</v>
      </c>
      <c r="E1474" s="251">
        <v>804</v>
      </c>
      <c r="F1474" s="252">
        <v>2.4660000000000002</v>
      </c>
      <c r="G1474" s="251"/>
      <c r="H1474" s="251">
        <v>1.1000000000000001</v>
      </c>
      <c r="I1474" s="251"/>
      <c r="J1474" s="253"/>
      <c r="K1474" s="254">
        <f>IF(E1474*F1474*G1474&lt;&gt;0,E1474*F1474*G1474,IF(E1474*F1474&lt;&gt;0,E1474*F1474,IF(F1474*G1474&lt;&gt;0,F1474*G1474,IF(E1474*G1474&lt;&gt;0,E1474*G1474,IF(E1474&lt;&gt;0,E1474,IF(F1474&lt;&gt;0,F1474,IF(G1474&lt;&gt;0,G1474,0)))))))*(IF(H1474&lt;&gt;0,H1474,1))+I1474-J1474</f>
        <v>2180.9304000000002</v>
      </c>
      <c r="L1474" s="255"/>
    </row>
    <row r="1475" spans="2:12">
      <c r="B1475" s="205" t="s">
        <v>1969</v>
      </c>
      <c r="C1475" s="250"/>
      <c r="D1475" s="205" t="s">
        <v>152</v>
      </c>
      <c r="E1475" s="251"/>
      <c r="F1475" s="252"/>
      <c r="G1475" s="251"/>
      <c r="H1475" s="251"/>
      <c r="I1475" s="251"/>
      <c r="J1475" s="253"/>
      <c r="K1475" s="254">
        <f>IF(E1475*F1475*G1475&lt;&gt;0,E1475*F1475*G1475,IF(E1475*F1475&lt;&gt;0,E1475*F1475,IF(F1475*G1475&lt;&gt;0,F1475*G1475,IF(E1475*G1475&lt;&gt;0,E1475*G1475,IF(E1475&lt;&gt;0,E1475,IF(F1475&lt;&gt;0,F1475,IF(G1475&lt;&gt;0,G1475,0)))))))*(IF(H1475&lt;&gt;0,H1475,1))+I1475-J1475</f>
        <v>0</v>
      </c>
      <c r="L1475" s="255"/>
    </row>
    <row r="1476" spans="2:12">
      <c r="B1476" s="205" t="s">
        <v>1970</v>
      </c>
      <c r="C1476" s="250"/>
      <c r="D1476" s="205" t="s">
        <v>152</v>
      </c>
      <c r="E1476" s="251"/>
      <c r="F1476" s="252"/>
      <c r="G1476" s="251"/>
      <c r="H1476" s="251"/>
      <c r="I1476" s="257"/>
      <c r="J1476" s="259"/>
      <c r="K1476" s="254">
        <f>IF(E1476*F1476*G1476&lt;&gt;0,E1476*F1476*G1476,IF(E1476*F1476&lt;&gt;0,E1476*F1476,IF(F1476*G1476&lt;&gt;0,F1476*G1476,IF(E1476*G1476&lt;&gt;0,E1476*G1476,IF(E1476&lt;&gt;0,E1476,IF(F1476&lt;&gt;0,F1476,IF(G1476&lt;&gt;0,G1476,0)))))))*(IF(H1476&lt;&gt;0,H1476,1))+I1476-J1476</f>
        <v>0</v>
      </c>
      <c r="L1476" s="210"/>
    </row>
    <row r="1477" spans="2:12">
      <c r="B1477" s="337" t="s">
        <v>1971</v>
      </c>
      <c r="C1477" s="337"/>
      <c r="D1477" s="337" t="s">
        <v>152</v>
      </c>
      <c r="E1477" s="259">
        <v>367</v>
      </c>
      <c r="F1477" s="338">
        <v>2.4660000000000002</v>
      </c>
      <c r="G1477" s="259"/>
      <c r="H1477" s="259">
        <v>1.1000000000000001</v>
      </c>
      <c r="I1477" s="259"/>
      <c r="J1477" s="259"/>
      <c r="K1477" s="335"/>
      <c r="L1477" s="337"/>
    </row>
    <row r="1478" spans="2:12">
      <c r="B1478" s="256"/>
      <c r="C1478" s="210"/>
      <c r="D1478" s="210"/>
      <c r="E1478" s="257"/>
      <c r="F1478" s="258"/>
      <c r="G1478" s="257"/>
      <c r="H1478" s="257"/>
      <c r="I1478" s="257"/>
      <c r="J1478" s="259"/>
      <c r="K1478" s="260">
        <f>IF(E1478*F1478*G1478&lt;&gt;0,E1478*F1478*G1478,IF(E1478*F1478&lt;&gt;0,E1478*F1478,IF(F1478*G1478&lt;&gt;0,F1478*G1478,IF(E1478*G1478&lt;&gt;0,E1478*G1478,IF(E1478&lt;&gt;0,E1478,IF(F1478&lt;&gt;0,F1478,IF(G1478&lt;&gt;0,G1478,0)))))))*(IF(H1478&lt;&gt;0,H1478,1))+I1478-J1478</f>
        <v>0</v>
      </c>
      <c r="L1478" s="210"/>
    </row>
    <row r="1479" spans="2:12">
      <c r="B1479" s="202"/>
      <c r="C1479" s="203"/>
      <c r="D1479" s="203"/>
      <c r="E1479" s="203"/>
      <c r="F1479" s="203"/>
      <c r="G1479" s="203"/>
      <c r="H1479" s="204"/>
      <c r="I1479" s="556" t="s">
        <v>1221</v>
      </c>
      <c r="J1479" s="556"/>
      <c r="K1479" s="220">
        <f>SUM(K1465:K1478)</f>
        <v>20345.069646000004</v>
      </c>
      <c r="L1479" s="207"/>
    </row>
    <row r="1480" spans="2:12">
      <c r="B1480" s="208"/>
      <c r="C1480" s="204"/>
      <c r="D1480" s="204"/>
      <c r="E1480" s="204"/>
      <c r="F1480" s="204"/>
      <c r="G1480" s="204"/>
      <c r="H1480" s="209"/>
      <c r="I1480" s="557" t="s">
        <v>1222</v>
      </c>
      <c r="J1480" s="557"/>
      <c r="K1480" s="221">
        <f>VLOOKUP(B1463,'BM 011'!$B$27:$R$590,5,0)</f>
        <v>25709.29</v>
      </c>
      <c r="L1480" s="207"/>
    </row>
    <row r="1481" spans="2:12">
      <c r="B1481" s="208"/>
      <c r="C1481" s="204"/>
      <c r="D1481" s="204"/>
      <c r="E1481" s="204"/>
      <c r="F1481" s="204"/>
      <c r="G1481" s="204"/>
      <c r="H1481" s="558" t="s">
        <v>1223</v>
      </c>
      <c r="I1481" s="558"/>
      <c r="J1481" s="558"/>
      <c r="K1481" s="222">
        <v>11117.94</v>
      </c>
      <c r="L1481" s="207"/>
    </row>
    <row r="1482" spans="2:12">
      <c r="B1482" s="208"/>
      <c r="C1482" s="204"/>
      <c r="D1482" s="204"/>
      <c r="E1482" s="204"/>
      <c r="F1482" s="204"/>
      <c r="G1482" s="204"/>
      <c r="H1482" s="558" t="s">
        <v>1891</v>
      </c>
      <c r="I1482" s="558"/>
      <c r="J1482" s="558"/>
      <c r="K1482" s="222">
        <f>IF(K1479&gt;K1480,K1480-K1481,K1479-K1481)</f>
        <v>9227.129646000003</v>
      </c>
      <c r="L1482" s="207"/>
    </row>
    <row r="1483" spans="2:12">
      <c r="B1483" s="213"/>
      <c r="C1483" s="214"/>
      <c r="D1483" s="214"/>
      <c r="E1483" s="214"/>
      <c r="F1483" s="214"/>
      <c r="G1483" s="214"/>
      <c r="H1483" s="559" t="s">
        <v>1224</v>
      </c>
      <c r="I1483" s="559"/>
      <c r="J1483" s="559"/>
      <c r="K1483" s="223">
        <f>IF(K1479&gt;K1480,K1479-K1480,0)</f>
        <v>0</v>
      </c>
      <c r="L1483" s="209"/>
    </row>
    <row r="1485" spans="2:12">
      <c r="B1485" s="247" t="s">
        <v>252</v>
      </c>
      <c r="C1485" s="565" t="str">
        <f>VLOOKUP(B1485,'BM 004'!$B$27:$R$590,2,0)</f>
        <v>ARMAÇÃO DE LAJE DE UMA ESTRUTURA CONVENCIONAL DE CONCRETO ARMADO EM UM EDIFÍCIO DE MÚLTIPLOS PAVIMENTOS UTILIZANDO AÇO CA-50 DE 25,0 MM - MONTAGEM.</v>
      </c>
      <c r="D1485" s="565"/>
      <c r="E1485" s="565"/>
      <c r="F1485" s="565"/>
      <c r="G1485" s="565"/>
      <c r="H1485" s="565"/>
      <c r="I1485" s="565"/>
      <c r="J1485" s="565"/>
      <c r="K1485" s="565"/>
      <c r="L1485" s="565"/>
    </row>
    <row r="1486" spans="2:12">
      <c r="B1486" s="248" t="s">
        <v>1209</v>
      </c>
      <c r="C1486" s="248"/>
      <c r="D1486" s="248" t="s">
        <v>39</v>
      </c>
      <c r="E1486" s="248" t="s">
        <v>1210</v>
      </c>
      <c r="F1486" s="248" t="s">
        <v>1388</v>
      </c>
      <c r="G1486" s="248" t="s">
        <v>1212</v>
      </c>
      <c r="H1486" s="248" t="s">
        <v>1213</v>
      </c>
      <c r="I1486" s="248" t="s">
        <v>1214</v>
      </c>
      <c r="J1486" s="248" t="s">
        <v>1385</v>
      </c>
      <c r="K1486" s="248" t="s">
        <v>1216</v>
      </c>
      <c r="L1486" s="248" t="s">
        <v>1217</v>
      </c>
    </row>
    <row r="1487" spans="2:12">
      <c r="B1487" s="205" t="s">
        <v>1510</v>
      </c>
      <c r="C1487" s="250" t="s">
        <v>1441</v>
      </c>
      <c r="D1487" s="205" t="s">
        <v>1274</v>
      </c>
      <c r="E1487" s="251">
        <v>372.94</v>
      </c>
      <c r="F1487" s="252">
        <v>3.8530000000000002</v>
      </c>
      <c r="G1487" s="251">
        <v>0.45</v>
      </c>
      <c r="H1487" s="251">
        <v>1.1000000000000001</v>
      </c>
      <c r="I1487" s="251"/>
      <c r="J1487" s="253"/>
      <c r="K1487" s="254">
        <f t="shared" ref="K1487:K1501" si="40">IF(E1487*F1487*G1487&lt;&gt;0,E1487*F1487*G1487,IF(E1487*F1487&lt;&gt;0,E1487*F1487,IF(F1487*G1487&lt;&gt;0,F1487*G1487,IF(E1487*G1487&lt;&gt;0,E1487*G1487,IF(E1487&lt;&gt;0,E1487,IF(F1487&lt;&gt;0,F1487,IF(G1487&lt;&gt;0,G1487,0)))))))*(IF(H1487&lt;&gt;0,H1487,1))+I1487-J1487</f>
        <v>711.28422090000004</v>
      </c>
      <c r="L1487" s="255"/>
    </row>
    <row r="1488" spans="2:12">
      <c r="B1488" s="205" t="s">
        <v>1512</v>
      </c>
      <c r="C1488" s="250" t="s">
        <v>1441</v>
      </c>
      <c r="D1488" s="205" t="s">
        <v>1274</v>
      </c>
      <c r="E1488" s="251">
        <v>47.06</v>
      </c>
      <c r="F1488" s="252">
        <v>3.8530000000000002</v>
      </c>
      <c r="G1488" s="251">
        <v>0.45</v>
      </c>
      <c r="H1488" s="251">
        <v>1.1000000000000001</v>
      </c>
      <c r="I1488" s="251"/>
      <c r="J1488" s="253"/>
      <c r="K1488" s="254">
        <f t="shared" si="40"/>
        <v>89.754479100000026</v>
      </c>
      <c r="L1488" s="255"/>
    </row>
    <row r="1489" spans="2:12">
      <c r="B1489" s="205" t="s">
        <v>1513</v>
      </c>
      <c r="C1489" s="250" t="s">
        <v>1441</v>
      </c>
      <c r="D1489" s="205" t="s">
        <v>1274</v>
      </c>
      <c r="E1489" s="251">
        <v>6</v>
      </c>
      <c r="F1489" s="252">
        <v>3.8530000000000002</v>
      </c>
      <c r="G1489" s="251"/>
      <c r="H1489" s="251">
        <v>1.1000000000000001</v>
      </c>
      <c r="I1489" s="251"/>
      <c r="J1489" s="253"/>
      <c r="K1489" s="254">
        <f t="shared" si="40"/>
        <v>25.429800000000004</v>
      </c>
      <c r="L1489" s="255"/>
    </row>
    <row r="1490" spans="2:12">
      <c r="B1490" s="205" t="s">
        <v>1514</v>
      </c>
      <c r="C1490" s="250" t="s">
        <v>1441</v>
      </c>
      <c r="D1490" s="205" t="s">
        <v>1274</v>
      </c>
      <c r="E1490" s="251">
        <v>3</v>
      </c>
      <c r="F1490" s="252">
        <v>3.8530000000000002</v>
      </c>
      <c r="G1490" s="251"/>
      <c r="H1490" s="251">
        <v>1.1000000000000001</v>
      </c>
      <c r="I1490" s="251"/>
      <c r="J1490" s="253"/>
      <c r="K1490" s="254">
        <f t="shared" si="40"/>
        <v>12.714900000000002</v>
      </c>
      <c r="L1490" s="255"/>
    </row>
    <row r="1491" spans="2:12">
      <c r="B1491" s="205" t="s">
        <v>1572</v>
      </c>
      <c r="C1491" s="250" t="s">
        <v>1521</v>
      </c>
      <c r="D1491" s="205" t="s">
        <v>1274</v>
      </c>
      <c r="E1491" s="251">
        <v>37.869999999999997</v>
      </c>
      <c r="F1491" s="252">
        <v>3.8530000000000002</v>
      </c>
      <c r="G1491" s="251">
        <v>0.5</v>
      </c>
      <c r="H1491" s="251">
        <v>1.1000000000000001</v>
      </c>
      <c r="I1491" s="251"/>
      <c r="J1491" s="253"/>
      <c r="K1491" s="254">
        <f t="shared" si="40"/>
        <v>80.252210500000004</v>
      </c>
      <c r="L1491" s="255"/>
    </row>
    <row r="1492" spans="2:12">
      <c r="B1492" s="205" t="s">
        <v>1573</v>
      </c>
      <c r="C1492" s="250" t="s">
        <v>1521</v>
      </c>
      <c r="D1492" s="205" t="s">
        <v>1274</v>
      </c>
      <c r="E1492" s="251">
        <v>5</v>
      </c>
      <c r="F1492" s="252">
        <v>3.8530000000000002</v>
      </c>
      <c r="G1492" s="251">
        <v>0.5</v>
      </c>
      <c r="H1492" s="251">
        <v>1.1000000000000001</v>
      </c>
      <c r="I1492" s="251"/>
      <c r="J1492" s="253"/>
      <c r="K1492" s="254">
        <f t="shared" si="40"/>
        <v>10.595750000000001</v>
      </c>
      <c r="L1492" s="255"/>
    </row>
    <row r="1493" spans="2:12">
      <c r="B1493" s="205" t="s">
        <v>1510</v>
      </c>
      <c r="C1493" s="250" t="s">
        <v>1611</v>
      </c>
      <c r="D1493" s="205" t="s">
        <v>1274</v>
      </c>
      <c r="E1493" s="251">
        <v>372.94</v>
      </c>
      <c r="F1493" s="252">
        <v>3.8530000000000002</v>
      </c>
      <c r="G1493" s="251">
        <v>0.55000000000000004</v>
      </c>
      <c r="H1493" s="251">
        <v>1.1000000000000001</v>
      </c>
      <c r="I1493" s="251"/>
      <c r="J1493" s="253"/>
      <c r="K1493" s="254">
        <f t="shared" si="40"/>
        <v>869.34738110000012</v>
      </c>
      <c r="L1493" s="255"/>
    </row>
    <row r="1494" spans="2:12">
      <c r="B1494" s="205" t="s">
        <v>1512</v>
      </c>
      <c r="C1494" s="250" t="s">
        <v>1611</v>
      </c>
      <c r="D1494" s="205" t="s">
        <v>1274</v>
      </c>
      <c r="E1494" s="251">
        <v>47.06</v>
      </c>
      <c r="F1494" s="252">
        <v>3.8530000000000002</v>
      </c>
      <c r="G1494" s="251">
        <v>0.55000000000000004</v>
      </c>
      <c r="H1494" s="251">
        <v>1.1000000000000001</v>
      </c>
      <c r="I1494" s="251"/>
      <c r="J1494" s="253"/>
      <c r="K1494" s="254">
        <f t="shared" si="40"/>
        <v>109.69991890000004</v>
      </c>
      <c r="L1494" s="255"/>
    </row>
    <row r="1495" spans="2:12">
      <c r="B1495" s="205" t="s">
        <v>1572</v>
      </c>
      <c r="C1495" s="250" t="s">
        <v>1612</v>
      </c>
      <c r="D1495" s="205" t="s">
        <v>1274</v>
      </c>
      <c r="E1495" s="251">
        <v>37.869999999999997</v>
      </c>
      <c r="F1495" s="252">
        <v>3.8530000000000002</v>
      </c>
      <c r="G1495" s="251">
        <v>0.5</v>
      </c>
      <c r="H1495" s="251">
        <v>1.1000000000000001</v>
      </c>
      <c r="I1495" s="251"/>
      <c r="J1495" s="253"/>
      <c r="K1495" s="254">
        <f t="shared" si="40"/>
        <v>80.252210500000004</v>
      </c>
      <c r="L1495" s="255"/>
    </row>
    <row r="1496" spans="2:12">
      <c r="B1496" s="205" t="s">
        <v>1573</v>
      </c>
      <c r="C1496" s="250" t="s">
        <v>1612</v>
      </c>
      <c r="D1496" s="205" t="s">
        <v>1274</v>
      </c>
      <c r="E1496" s="251">
        <v>5</v>
      </c>
      <c r="F1496" s="252">
        <v>3.8530000000000002</v>
      </c>
      <c r="G1496" s="251">
        <v>0.5</v>
      </c>
      <c r="H1496" s="251">
        <v>1.1000000000000001</v>
      </c>
      <c r="I1496" s="251"/>
      <c r="J1496" s="253"/>
      <c r="K1496" s="254">
        <f t="shared" si="40"/>
        <v>10.595750000000001</v>
      </c>
      <c r="L1496" s="255"/>
    </row>
    <row r="1497" spans="2:12">
      <c r="B1497" s="205" t="s">
        <v>1686</v>
      </c>
      <c r="C1497" s="250" t="s">
        <v>1612</v>
      </c>
      <c r="D1497" s="205" t="s">
        <v>1274</v>
      </c>
      <c r="E1497" s="251">
        <v>709</v>
      </c>
      <c r="F1497" s="252">
        <v>3.8530000000000002</v>
      </c>
      <c r="G1497" s="251">
        <v>0.4</v>
      </c>
      <c r="H1497" s="251">
        <v>1.1000000000000001</v>
      </c>
      <c r="I1497" s="251"/>
      <c r="J1497" s="253"/>
      <c r="K1497" s="254">
        <f t="shared" si="40"/>
        <v>1201.9818800000003</v>
      </c>
      <c r="L1497" s="255"/>
    </row>
    <row r="1498" spans="2:12">
      <c r="B1498" s="205" t="s">
        <v>1686</v>
      </c>
      <c r="C1498" s="250" t="s">
        <v>1613</v>
      </c>
      <c r="D1498" s="205" t="s">
        <v>1274</v>
      </c>
      <c r="E1498" s="251">
        <v>709</v>
      </c>
      <c r="F1498" s="252">
        <v>3.8530000000000002</v>
      </c>
      <c r="G1498" s="251">
        <v>0.25</v>
      </c>
      <c r="H1498" s="251">
        <v>1.1000000000000001</v>
      </c>
      <c r="I1498" s="251"/>
      <c r="J1498" s="253"/>
      <c r="K1498" s="254">
        <f t="shared" si="40"/>
        <v>751.23867500000006</v>
      </c>
      <c r="L1498" s="255"/>
    </row>
    <row r="1499" spans="2:12">
      <c r="B1499" s="205" t="s">
        <v>1686</v>
      </c>
      <c r="C1499" s="250" t="s">
        <v>1895</v>
      </c>
      <c r="D1499" s="205" t="s">
        <v>1274</v>
      </c>
      <c r="E1499" s="251">
        <v>709</v>
      </c>
      <c r="F1499" s="252">
        <v>3.8530000000000002</v>
      </c>
      <c r="G1499" s="251">
        <v>0.15</v>
      </c>
      <c r="H1499" s="251">
        <v>1.1000000000000001</v>
      </c>
      <c r="I1499" s="251"/>
      <c r="J1499" s="253"/>
      <c r="K1499" s="254">
        <f t="shared" si="40"/>
        <v>450.74320500000005</v>
      </c>
      <c r="L1499" s="255"/>
    </row>
    <row r="1500" spans="2:12">
      <c r="B1500" s="256"/>
      <c r="C1500" s="210"/>
      <c r="D1500" s="210"/>
      <c r="E1500" s="257"/>
      <c r="F1500" s="258"/>
      <c r="G1500" s="257"/>
      <c r="H1500" s="257"/>
      <c r="I1500" s="257"/>
      <c r="J1500" s="259"/>
      <c r="K1500" s="254">
        <f t="shared" si="40"/>
        <v>0</v>
      </c>
      <c r="L1500" s="210"/>
    </row>
    <row r="1501" spans="2:12">
      <c r="B1501" s="256"/>
      <c r="C1501" s="210"/>
      <c r="D1501" s="210"/>
      <c r="E1501" s="257"/>
      <c r="F1501" s="258"/>
      <c r="G1501" s="257"/>
      <c r="H1501" s="257"/>
      <c r="I1501" s="257"/>
      <c r="J1501" s="259"/>
      <c r="K1501" s="260">
        <f t="shared" si="40"/>
        <v>0</v>
      </c>
      <c r="L1501" s="210"/>
    </row>
    <row r="1502" spans="2:12">
      <c r="B1502" s="202"/>
      <c r="C1502" s="203"/>
      <c r="D1502" s="203"/>
      <c r="E1502" s="203"/>
      <c r="F1502" s="203"/>
      <c r="G1502" s="203"/>
      <c r="H1502" s="204"/>
      <c r="I1502" s="556" t="s">
        <v>1221</v>
      </c>
      <c r="J1502" s="556"/>
      <c r="K1502" s="220">
        <f>SUM(K1487:K1501)</f>
        <v>4403.8903810000011</v>
      </c>
      <c r="L1502" s="207"/>
    </row>
    <row r="1503" spans="2:12">
      <c r="B1503" s="208"/>
      <c r="C1503" s="204"/>
      <c r="D1503" s="204"/>
      <c r="E1503" s="204"/>
      <c r="F1503" s="204"/>
      <c r="G1503" s="204"/>
      <c r="H1503" s="209"/>
      <c r="I1503" s="557" t="s">
        <v>1222</v>
      </c>
      <c r="J1503" s="557"/>
      <c r="K1503" s="221">
        <f>VLOOKUP(B1485,'BM 004'!$B$27:$R$590,4,0)</f>
        <v>5166.7</v>
      </c>
      <c r="L1503" s="207"/>
    </row>
    <row r="1504" spans="2:12">
      <c r="B1504" s="208"/>
      <c r="C1504" s="204"/>
      <c r="D1504" s="204"/>
      <c r="E1504" s="204"/>
      <c r="F1504" s="204"/>
      <c r="G1504" s="204"/>
      <c r="H1504" s="558" t="s">
        <v>1223</v>
      </c>
      <c r="I1504" s="558"/>
      <c r="J1504" s="558"/>
      <c r="K1504" s="222">
        <v>3953.1471759999999</v>
      </c>
      <c r="L1504" s="207"/>
    </row>
    <row r="1505" spans="2:12">
      <c r="B1505" s="208"/>
      <c r="C1505" s="204"/>
      <c r="D1505" s="204"/>
      <c r="E1505" s="204"/>
      <c r="F1505" s="204"/>
      <c r="G1505" s="204"/>
      <c r="H1505" s="558" t="s">
        <v>1605</v>
      </c>
      <c r="I1505" s="558"/>
      <c r="J1505" s="558"/>
      <c r="K1505" s="222">
        <f>TRUNC(SUMIF(C1487:C1501,H1505,K1487:K1501),2)</f>
        <v>450.74</v>
      </c>
      <c r="L1505" s="207"/>
    </row>
    <row r="1506" spans="2:12">
      <c r="B1506" s="213"/>
      <c r="C1506" s="214"/>
      <c r="D1506" s="214"/>
      <c r="E1506" s="214"/>
      <c r="F1506" s="214"/>
      <c r="G1506" s="214"/>
      <c r="H1506" s="559" t="s">
        <v>1224</v>
      </c>
      <c r="I1506" s="559"/>
      <c r="J1506" s="559"/>
      <c r="K1506" s="223">
        <f>IF(K1502&gt;K1503,K1502-K1503,0)</f>
        <v>0</v>
      </c>
      <c r="L1506" s="209"/>
    </row>
    <row r="1508" spans="2:12">
      <c r="B1508" s="247" t="s">
        <v>254</v>
      </c>
      <c r="C1508" s="565" t="str">
        <f>VLOOKUP(B1508,'BM 004'!$B$27:$R$590,2,0)</f>
        <v xml:space="preserve">Concreto simples usinado fck=35mpa, bombeado, lançado e adensado em superestrutura </v>
      </c>
      <c r="D1508" s="565"/>
      <c r="E1508" s="565"/>
      <c r="F1508" s="565"/>
      <c r="G1508" s="565"/>
      <c r="H1508" s="565"/>
      <c r="I1508" s="565"/>
      <c r="J1508" s="565"/>
      <c r="K1508" s="565"/>
      <c r="L1508" s="565"/>
    </row>
    <row r="1509" spans="2:12">
      <c r="B1509" s="248" t="s">
        <v>1209</v>
      </c>
      <c r="C1509" s="248"/>
      <c r="D1509" s="248" t="s">
        <v>39</v>
      </c>
      <c r="E1509" s="248" t="s">
        <v>1210</v>
      </c>
      <c r="F1509" s="248" t="s">
        <v>1388</v>
      </c>
      <c r="G1509" s="248" t="s">
        <v>1212</v>
      </c>
      <c r="H1509" s="248" t="s">
        <v>1213</v>
      </c>
      <c r="I1509" s="248" t="s">
        <v>1214</v>
      </c>
      <c r="J1509" s="248" t="s">
        <v>1385</v>
      </c>
      <c r="K1509" s="248" t="s">
        <v>1216</v>
      </c>
      <c r="L1509" s="248" t="s">
        <v>1217</v>
      </c>
    </row>
    <row r="1510" spans="2:12">
      <c r="B1510" s="255" t="s">
        <v>1501</v>
      </c>
      <c r="C1510" s="250" t="s">
        <v>1441</v>
      </c>
      <c r="D1510" s="205" t="s">
        <v>169</v>
      </c>
      <c r="E1510" s="251">
        <v>1</v>
      </c>
      <c r="F1510" s="252">
        <v>7</v>
      </c>
      <c r="G1510" s="251">
        <v>5.91</v>
      </c>
      <c r="H1510" s="251">
        <v>0.3</v>
      </c>
      <c r="I1510" s="251"/>
      <c r="J1510" s="253">
        <v>6.3423999999999996</v>
      </c>
      <c r="K1510" s="254">
        <f t="shared" ref="K1510:K1541" si="41">IF(E1510*F1510*G1510&lt;&gt;0,E1510*F1510*G1510,IF(E1510*F1510&lt;&gt;0,E1510*F1510,IF(F1510*G1510&lt;&gt;0,F1510*G1510,IF(E1510*G1510&lt;&gt;0,E1510*G1510,IF(E1510&lt;&gt;0,E1510,IF(F1510&lt;&gt;0,F1510,IF(G1510&lt;&gt;0,G1510,0)))))))*(IF(H1510&lt;&gt;0,H1510,1))+I1510-J1510</f>
        <v>6.0686000000000018</v>
      </c>
      <c r="L1510" s="255" t="s">
        <v>1518</v>
      </c>
    </row>
    <row r="1511" spans="2:12">
      <c r="B1511" s="255" t="s">
        <v>1502</v>
      </c>
      <c r="C1511" s="250" t="s">
        <v>1441</v>
      </c>
      <c r="D1511" s="205" t="s">
        <v>169</v>
      </c>
      <c r="E1511" s="251">
        <v>1</v>
      </c>
      <c r="F1511" s="252">
        <v>13.72</v>
      </c>
      <c r="G1511" s="251">
        <v>5.91</v>
      </c>
      <c r="H1511" s="251">
        <v>0.3</v>
      </c>
      <c r="I1511" s="251"/>
      <c r="J1511" s="253">
        <v>12.56235</v>
      </c>
      <c r="K1511" s="254">
        <f t="shared" si="41"/>
        <v>11.763209999999999</v>
      </c>
      <c r="L1511" s="255" t="s">
        <v>1518</v>
      </c>
    </row>
    <row r="1512" spans="2:12">
      <c r="B1512" s="255" t="s">
        <v>1503</v>
      </c>
      <c r="C1512" s="250" t="s">
        <v>1441</v>
      </c>
      <c r="D1512" s="205" t="s">
        <v>169</v>
      </c>
      <c r="E1512" s="251">
        <v>1</v>
      </c>
      <c r="F1512" s="252">
        <v>14.35</v>
      </c>
      <c r="G1512" s="251">
        <v>3.73</v>
      </c>
      <c r="H1512" s="251">
        <v>0.25</v>
      </c>
      <c r="I1512" s="251"/>
      <c r="J1512" s="253">
        <v>6.8421599999999998</v>
      </c>
      <c r="K1512" s="254">
        <f t="shared" si="41"/>
        <v>6.5392150000000004</v>
      </c>
      <c r="L1512" s="255" t="s">
        <v>1519</v>
      </c>
    </row>
    <row r="1513" spans="2:12">
      <c r="B1513" s="255" t="s">
        <v>1504</v>
      </c>
      <c r="C1513" s="250" t="s">
        <v>1441</v>
      </c>
      <c r="D1513" s="205" t="s">
        <v>169</v>
      </c>
      <c r="E1513" s="251">
        <v>1</v>
      </c>
      <c r="F1513" s="252">
        <v>6.49</v>
      </c>
      <c r="G1513" s="251">
        <v>3.73</v>
      </c>
      <c r="H1513" s="251">
        <v>0.25</v>
      </c>
      <c r="I1513" s="251"/>
      <c r="J1513" s="253">
        <v>2.8173599999999999</v>
      </c>
      <c r="K1513" s="254">
        <f t="shared" si="41"/>
        <v>3.2345649999999999</v>
      </c>
      <c r="L1513" s="255" t="s">
        <v>1519</v>
      </c>
    </row>
    <row r="1514" spans="2:12">
      <c r="B1514" s="255" t="s">
        <v>1505</v>
      </c>
      <c r="C1514" s="250" t="s">
        <v>1441</v>
      </c>
      <c r="D1514" s="205" t="s">
        <v>169</v>
      </c>
      <c r="E1514" s="251">
        <v>1</v>
      </c>
      <c r="F1514" s="252">
        <v>7.49</v>
      </c>
      <c r="G1514" s="251">
        <v>1.81</v>
      </c>
      <c r="H1514" s="251">
        <v>0.25</v>
      </c>
      <c r="I1514" s="251"/>
      <c r="J1514" s="253">
        <v>1.55844</v>
      </c>
      <c r="K1514" s="254">
        <f t="shared" si="41"/>
        <v>1.8307850000000001</v>
      </c>
      <c r="L1514" s="255" t="s">
        <v>1519</v>
      </c>
    </row>
    <row r="1515" spans="2:12">
      <c r="B1515" s="255" t="s">
        <v>1506</v>
      </c>
      <c r="C1515" s="250" t="s">
        <v>1441</v>
      </c>
      <c r="D1515" s="205" t="s">
        <v>169</v>
      </c>
      <c r="E1515" s="251">
        <v>1</v>
      </c>
      <c r="F1515" s="252">
        <v>7.1</v>
      </c>
      <c r="G1515" s="251">
        <v>1.81</v>
      </c>
      <c r="H1515" s="251">
        <v>0.25</v>
      </c>
      <c r="I1515" s="251"/>
      <c r="J1515" s="253">
        <v>1.3852800000000001</v>
      </c>
      <c r="K1515" s="254">
        <f t="shared" si="41"/>
        <v>1.8274699999999997</v>
      </c>
      <c r="L1515" s="255" t="s">
        <v>1519</v>
      </c>
    </row>
    <row r="1516" spans="2:12">
      <c r="B1516" s="255" t="s">
        <v>1507</v>
      </c>
      <c r="C1516" s="250" t="s">
        <v>1441</v>
      </c>
      <c r="D1516" s="205" t="s">
        <v>169</v>
      </c>
      <c r="E1516" s="251">
        <v>1</v>
      </c>
      <c r="F1516" s="252">
        <v>7.05</v>
      </c>
      <c r="G1516" s="251">
        <v>1.81</v>
      </c>
      <c r="H1516" s="251">
        <v>0.25</v>
      </c>
      <c r="I1516" s="251"/>
      <c r="J1516" s="253">
        <v>1.3852800000000001</v>
      </c>
      <c r="K1516" s="254">
        <f t="shared" si="41"/>
        <v>1.804845</v>
      </c>
      <c r="L1516" s="255" t="s">
        <v>1519</v>
      </c>
    </row>
    <row r="1517" spans="2:12">
      <c r="B1517" s="255" t="s">
        <v>1508</v>
      </c>
      <c r="C1517" s="250" t="s">
        <v>1441</v>
      </c>
      <c r="D1517" s="205" t="s">
        <v>169</v>
      </c>
      <c r="E1517" s="251">
        <v>1</v>
      </c>
      <c r="F1517" s="252">
        <v>22.04</v>
      </c>
      <c r="G1517" s="251">
        <v>5.8</v>
      </c>
      <c r="H1517" s="251">
        <v>0.25</v>
      </c>
      <c r="I1517" s="251"/>
      <c r="J1517" s="253">
        <v>16.595279999999999</v>
      </c>
      <c r="K1517" s="254">
        <f t="shared" si="41"/>
        <v>15.362719999999999</v>
      </c>
      <c r="L1517" s="255" t="s">
        <v>1519</v>
      </c>
    </row>
    <row r="1518" spans="2:12">
      <c r="B1518" s="255" t="s">
        <v>1509</v>
      </c>
      <c r="C1518" s="250" t="s">
        <v>1441</v>
      </c>
      <c r="D1518" s="205" t="s">
        <v>169</v>
      </c>
      <c r="E1518" s="251">
        <v>1</v>
      </c>
      <c r="F1518" s="252">
        <v>22.04</v>
      </c>
      <c r="G1518" s="251">
        <v>5.69</v>
      </c>
      <c r="H1518" s="251">
        <v>0.25</v>
      </c>
      <c r="I1518" s="251"/>
      <c r="J1518" s="253">
        <v>15.54228</v>
      </c>
      <c r="K1518" s="254">
        <f t="shared" si="41"/>
        <v>15.809620000000001</v>
      </c>
      <c r="L1518" s="255" t="s">
        <v>1519</v>
      </c>
    </row>
    <row r="1519" spans="2:12">
      <c r="B1519" s="255" t="s">
        <v>1496</v>
      </c>
      <c r="C1519" s="250" t="s">
        <v>1441</v>
      </c>
      <c r="D1519" s="205" t="s">
        <v>169</v>
      </c>
      <c r="E1519" s="251">
        <v>1</v>
      </c>
      <c r="F1519" s="252">
        <v>5.85</v>
      </c>
      <c r="G1519" s="251">
        <v>0.49</v>
      </c>
      <c r="H1519" s="251">
        <v>0.12</v>
      </c>
      <c r="I1519" s="251"/>
      <c r="J1519" s="253"/>
      <c r="K1519" s="254">
        <f t="shared" si="41"/>
        <v>0.34397999999999995</v>
      </c>
      <c r="L1519" s="255"/>
    </row>
    <row r="1520" spans="2:12">
      <c r="B1520" s="255" t="s">
        <v>1497</v>
      </c>
      <c r="C1520" s="250" t="s">
        <v>1441</v>
      </c>
      <c r="D1520" s="205" t="s">
        <v>169</v>
      </c>
      <c r="E1520" s="251">
        <v>1</v>
      </c>
      <c r="F1520" s="252">
        <v>3.83</v>
      </c>
      <c r="G1520" s="251">
        <v>0.49</v>
      </c>
      <c r="H1520" s="251">
        <v>0.12</v>
      </c>
      <c r="I1520" s="251"/>
      <c r="J1520" s="253"/>
      <c r="K1520" s="254">
        <f t="shared" si="41"/>
        <v>0.22520399999999999</v>
      </c>
      <c r="L1520" s="255"/>
    </row>
    <row r="1521" spans="2:12">
      <c r="B1521" s="255" t="s">
        <v>1498</v>
      </c>
      <c r="C1521" s="250" t="s">
        <v>1441</v>
      </c>
      <c r="D1521" s="205" t="s">
        <v>169</v>
      </c>
      <c r="E1521" s="251">
        <v>1</v>
      </c>
      <c r="F1521" s="252">
        <v>5.93</v>
      </c>
      <c r="G1521" s="251">
        <v>1.92</v>
      </c>
      <c r="H1521" s="251">
        <v>0.15</v>
      </c>
      <c r="I1521" s="251"/>
      <c r="J1521" s="253"/>
      <c r="K1521" s="254">
        <f t="shared" si="41"/>
        <v>1.7078399999999998</v>
      </c>
      <c r="L1521" s="255"/>
    </row>
    <row r="1522" spans="2:12">
      <c r="B1522" s="255" t="s">
        <v>1499</v>
      </c>
      <c r="C1522" s="250" t="s">
        <v>1441</v>
      </c>
      <c r="D1522" s="205" t="s">
        <v>169</v>
      </c>
      <c r="E1522" s="251">
        <v>1</v>
      </c>
      <c r="F1522" s="252">
        <v>7.62</v>
      </c>
      <c r="G1522" s="251">
        <v>1.92</v>
      </c>
      <c r="H1522" s="251">
        <v>0.15</v>
      </c>
      <c r="I1522" s="251"/>
      <c r="J1522" s="253"/>
      <c r="K1522" s="254">
        <f t="shared" si="41"/>
        <v>2.1945600000000001</v>
      </c>
      <c r="L1522" s="255"/>
    </row>
    <row r="1523" spans="2:12">
      <c r="B1523" s="255" t="s">
        <v>1500</v>
      </c>
      <c r="C1523" s="250" t="s">
        <v>1441</v>
      </c>
      <c r="D1523" s="205" t="s">
        <v>169</v>
      </c>
      <c r="E1523" s="251">
        <v>1</v>
      </c>
      <c r="F1523" s="252">
        <v>4.42</v>
      </c>
      <c r="G1523" s="251">
        <v>2.74</v>
      </c>
      <c r="H1523" s="251">
        <v>0.15</v>
      </c>
      <c r="I1523" s="251"/>
      <c r="J1523" s="253"/>
      <c r="K1523" s="254">
        <f t="shared" si="41"/>
        <v>1.8166200000000001</v>
      </c>
      <c r="L1523" s="255"/>
    </row>
    <row r="1524" spans="2:12">
      <c r="B1524" s="256" t="s">
        <v>1565</v>
      </c>
      <c r="C1524" s="250" t="s">
        <v>1521</v>
      </c>
      <c r="D1524" s="205" t="s">
        <v>169</v>
      </c>
      <c r="E1524" s="257">
        <v>1</v>
      </c>
      <c r="F1524" s="258">
        <v>12.39</v>
      </c>
      <c r="G1524" s="257">
        <v>2.5499999999999998</v>
      </c>
      <c r="H1524" s="257">
        <v>0.25</v>
      </c>
      <c r="I1524" s="257"/>
      <c r="J1524" s="259">
        <v>4.048476</v>
      </c>
      <c r="K1524" s="260">
        <f t="shared" si="41"/>
        <v>3.850149</v>
      </c>
      <c r="L1524" s="266" t="s">
        <v>1574</v>
      </c>
    </row>
    <row r="1525" spans="2:12">
      <c r="B1525" s="256" t="s">
        <v>1559</v>
      </c>
      <c r="C1525" s="250" t="s">
        <v>1521</v>
      </c>
      <c r="D1525" s="205" t="s">
        <v>169</v>
      </c>
      <c r="E1525" s="257">
        <v>1</v>
      </c>
      <c r="F1525" s="258">
        <v>1.68</v>
      </c>
      <c r="G1525" s="257">
        <v>0.33</v>
      </c>
      <c r="H1525" s="257">
        <v>0.15</v>
      </c>
      <c r="I1525" s="257"/>
      <c r="J1525" s="259">
        <v>0</v>
      </c>
      <c r="K1525" s="260">
        <f t="shared" si="41"/>
        <v>8.3159999999999998E-2</v>
      </c>
      <c r="L1525" s="266"/>
    </row>
    <row r="1526" spans="2:12">
      <c r="B1526" s="256" t="s">
        <v>1560</v>
      </c>
      <c r="C1526" s="250" t="s">
        <v>1521</v>
      </c>
      <c r="D1526" s="205" t="s">
        <v>169</v>
      </c>
      <c r="E1526" s="257">
        <v>1</v>
      </c>
      <c r="F1526" s="258">
        <v>7.67</v>
      </c>
      <c r="G1526" s="257">
        <v>0.33</v>
      </c>
      <c r="H1526" s="257">
        <v>0.15</v>
      </c>
      <c r="I1526" s="257"/>
      <c r="J1526" s="259">
        <v>0</v>
      </c>
      <c r="K1526" s="260">
        <f t="shared" si="41"/>
        <v>0.37966499999999997</v>
      </c>
      <c r="L1526" s="266"/>
    </row>
    <row r="1527" spans="2:12">
      <c r="B1527" s="256" t="s">
        <v>1561</v>
      </c>
      <c r="C1527" s="250" t="s">
        <v>1521</v>
      </c>
      <c r="D1527" s="205" t="s">
        <v>169</v>
      </c>
      <c r="E1527" s="257">
        <v>1</v>
      </c>
      <c r="F1527" s="258">
        <v>0.31</v>
      </c>
      <c r="G1527" s="257">
        <v>0.33</v>
      </c>
      <c r="H1527" s="257">
        <v>0.15</v>
      </c>
      <c r="I1527" s="257"/>
      <c r="J1527" s="259">
        <v>0</v>
      </c>
      <c r="K1527" s="260">
        <f t="shared" si="41"/>
        <v>1.5344999999999999E-2</v>
      </c>
      <c r="L1527" s="266"/>
    </row>
    <row r="1528" spans="2:12">
      <c r="B1528" s="256" t="s">
        <v>1566</v>
      </c>
      <c r="C1528" s="250" t="s">
        <v>1521</v>
      </c>
      <c r="D1528" s="205" t="s">
        <v>169</v>
      </c>
      <c r="E1528" s="257">
        <v>1</v>
      </c>
      <c r="F1528" s="258">
        <v>22.04</v>
      </c>
      <c r="G1528" s="257">
        <v>5.85</v>
      </c>
      <c r="H1528" s="257">
        <v>0.25</v>
      </c>
      <c r="I1528" s="257"/>
      <c r="J1528" s="259">
        <v>3.4898359999999999</v>
      </c>
      <c r="K1528" s="260">
        <f t="shared" si="41"/>
        <v>28.743663999999999</v>
      </c>
      <c r="L1528" s="266" t="s">
        <v>1574</v>
      </c>
    </row>
    <row r="1529" spans="2:12">
      <c r="B1529" s="256" t="s">
        <v>1567</v>
      </c>
      <c r="C1529" s="250" t="s">
        <v>1521</v>
      </c>
      <c r="D1529" s="205" t="s">
        <v>169</v>
      </c>
      <c r="E1529" s="257">
        <v>1</v>
      </c>
      <c r="F1529" s="258">
        <v>6.24</v>
      </c>
      <c r="G1529" s="257">
        <v>5.85</v>
      </c>
      <c r="H1529" s="257">
        <v>0.25</v>
      </c>
      <c r="I1529" s="257"/>
      <c r="J1529" s="259">
        <v>4.6484759999999996</v>
      </c>
      <c r="K1529" s="260">
        <f t="shared" si="41"/>
        <v>4.4775239999999998</v>
      </c>
      <c r="L1529" s="266" t="s">
        <v>1574</v>
      </c>
    </row>
    <row r="1530" spans="2:12">
      <c r="B1530" s="256" t="s">
        <v>1568</v>
      </c>
      <c r="C1530" s="250" t="s">
        <v>1521</v>
      </c>
      <c r="D1530" s="205" t="s">
        <v>169</v>
      </c>
      <c r="E1530" s="257">
        <v>1</v>
      </c>
      <c r="F1530" s="258">
        <v>6.34</v>
      </c>
      <c r="G1530" s="257">
        <v>3.83</v>
      </c>
      <c r="H1530" s="257">
        <v>0.25</v>
      </c>
      <c r="I1530" s="257"/>
      <c r="J1530" s="259">
        <v>2.6242380000000001</v>
      </c>
      <c r="K1530" s="260">
        <f t="shared" si="41"/>
        <v>3.4463119999999998</v>
      </c>
      <c r="L1530" s="266" t="s">
        <v>1574</v>
      </c>
    </row>
    <row r="1531" spans="2:12">
      <c r="B1531" s="256" t="s">
        <v>1569</v>
      </c>
      <c r="C1531" s="250" t="s">
        <v>1521</v>
      </c>
      <c r="D1531" s="205" t="s">
        <v>169</v>
      </c>
      <c r="E1531" s="257">
        <v>1</v>
      </c>
      <c r="F1531" s="258">
        <v>22.04</v>
      </c>
      <c r="G1531" s="257">
        <v>5.8</v>
      </c>
      <c r="H1531" s="257">
        <v>0.25</v>
      </c>
      <c r="I1531" s="257"/>
      <c r="J1531" s="259">
        <v>16.849836</v>
      </c>
      <c r="K1531" s="260">
        <f t="shared" si="41"/>
        <v>15.108163999999999</v>
      </c>
      <c r="L1531" s="266" t="s">
        <v>1574</v>
      </c>
    </row>
    <row r="1532" spans="2:12">
      <c r="B1532" s="256" t="s">
        <v>1570</v>
      </c>
      <c r="C1532" s="250" t="s">
        <v>1521</v>
      </c>
      <c r="D1532" s="205" t="s">
        <v>169</v>
      </c>
      <c r="E1532" s="257">
        <v>1</v>
      </c>
      <c r="F1532" s="258">
        <v>22.04</v>
      </c>
      <c r="G1532" s="257">
        <v>5.8</v>
      </c>
      <c r="H1532" s="257">
        <v>0.25</v>
      </c>
      <c r="I1532" s="257"/>
      <c r="J1532" s="259">
        <v>16.849836</v>
      </c>
      <c r="K1532" s="260">
        <f t="shared" si="41"/>
        <v>15.108163999999999</v>
      </c>
      <c r="L1532" s="266" t="s">
        <v>1574</v>
      </c>
    </row>
    <row r="1533" spans="2:12">
      <c r="B1533" s="256" t="s">
        <v>1562</v>
      </c>
      <c r="C1533" s="250" t="s">
        <v>1521</v>
      </c>
      <c r="D1533" s="205" t="s">
        <v>169</v>
      </c>
      <c r="E1533" s="257">
        <v>1</v>
      </c>
      <c r="F1533" s="258">
        <v>13.7</v>
      </c>
      <c r="G1533" s="257">
        <v>0.77</v>
      </c>
      <c r="H1533" s="257">
        <v>0.15</v>
      </c>
      <c r="I1533" s="257"/>
      <c r="J1533" s="259">
        <v>0</v>
      </c>
      <c r="K1533" s="260">
        <f t="shared" si="41"/>
        <v>1.5823499999999999</v>
      </c>
      <c r="L1533" s="266"/>
    </row>
    <row r="1534" spans="2:12">
      <c r="B1534" s="256" t="s">
        <v>1563</v>
      </c>
      <c r="C1534" s="250" t="s">
        <v>1521</v>
      </c>
      <c r="D1534" s="205" t="s">
        <v>169</v>
      </c>
      <c r="E1534" s="257">
        <v>1</v>
      </c>
      <c r="F1534" s="258">
        <v>13.7</v>
      </c>
      <c r="G1534" s="257">
        <v>1.77</v>
      </c>
      <c r="H1534" s="257">
        <v>0.15</v>
      </c>
      <c r="I1534" s="257"/>
      <c r="J1534" s="259">
        <v>0</v>
      </c>
      <c r="K1534" s="260">
        <f t="shared" si="41"/>
        <v>3.6373499999999996</v>
      </c>
      <c r="L1534" s="266"/>
    </row>
    <row r="1535" spans="2:12">
      <c r="B1535" s="256" t="s">
        <v>1571</v>
      </c>
      <c r="C1535" s="250" t="s">
        <v>1521</v>
      </c>
      <c r="D1535" s="205" t="s">
        <v>169</v>
      </c>
      <c r="E1535" s="257">
        <v>1</v>
      </c>
      <c r="F1535" s="258">
        <v>22.04</v>
      </c>
      <c r="G1535" s="257">
        <v>5.69</v>
      </c>
      <c r="H1535" s="257">
        <v>0.25</v>
      </c>
      <c r="I1535" s="257"/>
      <c r="J1535" s="259">
        <v>15.769836</v>
      </c>
      <c r="K1535" s="260">
        <f t="shared" si="41"/>
        <v>15.582064000000001</v>
      </c>
      <c r="L1535" s="266" t="s">
        <v>1574</v>
      </c>
    </row>
    <row r="1536" spans="2:12">
      <c r="B1536" s="256" t="s">
        <v>1564</v>
      </c>
      <c r="C1536" s="250" t="s">
        <v>1521</v>
      </c>
      <c r="D1536" s="205" t="s">
        <v>169</v>
      </c>
      <c r="E1536" s="257">
        <v>1</v>
      </c>
      <c r="F1536" s="258">
        <v>3.45</v>
      </c>
      <c r="G1536" s="257">
        <v>2.74</v>
      </c>
      <c r="H1536" s="257">
        <v>0.15</v>
      </c>
      <c r="I1536" s="257"/>
      <c r="J1536" s="259"/>
      <c r="K1536" s="260">
        <f t="shared" si="41"/>
        <v>1.41795</v>
      </c>
      <c r="L1536" s="266"/>
    </row>
    <row r="1537" spans="2:12">
      <c r="B1537" s="256" t="s">
        <v>1688</v>
      </c>
      <c r="C1537" s="250" t="s">
        <v>1611</v>
      </c>
      <c r="D1537" s="205" t="s">
        <v>169</v>
      </c>
      <c r="E1537" s="257">
        <v>4.58</v>
      </c>
      <c r="F1537" s="258">
        <v>1.92</v>
      </c>
      <c r="G1537" s="257">
        <v>0.15</v>
      </c>
      <c r="H1537" s="257">
        <v>1</v>
      </c>
      <c r="I1537" s="257"/>
      <c r="J1537" s="259"/>
      <c r="K1537" s="260">
        <f t="shared" si="41"/>
        <v>1.31904</v>
      </c>
      <c r="L1537" s="266"/>
    </row>
    <row r="1538" spans="2:12">
      <c r="B1538" s="256" t="s">
        <v>1689</v>
      </c>
      <c r="C1538" s="250" t="s">
        <v>1611</v>
      </c>
      <c r="D1538" s="205" t="s">
        <v>169</v>
      </c>
      <c r="E1538" s="257">
        <v>25.45</v>
      </c>
      <c r="F1538" s="258">
        <v>6.84</v>
      </c>
      <c r="G1538" s="257">
        <v>0.3</v>
      </c>
      <c r="H1538" s="257">
        <v>1</v>
      </c>
      <c r="I1538" s="257"/>
      <c r="J1538" s="259">
        <v>27.54</v>
      </c>
      <c r="K1538" s="260">
        <f t="shared" si="41"/>
        <v>24.683399999999999</v>
      </c>
      <c r="L1538" s="266"/>
    </row>
    <row r="1539" spans="2:12">
      <c r="B1539" s="256" t="s">
        <v>1690</v>
      </c>
      <c r="C1539" s="250" t="s">
        <v>1611</v>
      </c>
      <c r="D1539" s="205" t="s">
        <v>169</v>
      </c>
      <c r="E1539" s="257">
        <v>1.92</v>
      </c>
      <c r="F1539" s="258">
        <v>1.38</v>
      </c>
      <c r="G1539" s="257">
        <v>0.15</v>
      </c>
      <c r="H1539" s="257">
        <v>1</v>
      </c>
      <c r="I1539" s="257"/>
      <c r="J1539" s="259">
        <v>0</v>
      </c>
      <c r="K1539" s="260">
        <f t="shared" si="41"/>
        <v>0.3974399999999999</v>
      </c>
      <c r="L1539" s="266"/>
    </row>
    <row r="1540" spans="2:12">
      <c r="B1540" s="256" t="s">
        <v>1691</v>
      </c>
      <c r="C1540" s="250" t="s">
        <v>1611</v>
      </c>
      <c r="D1540" s="205" t="s">
        <v>169</v>
      </c>
      <c r="E1540" s="257">
        <v>0.81</v>
      </c>
      <c r="F1540" s="258">
        <v>1.99</v>
      </c>
      <c r="G1540" s="257">
        <v>0.15</v>
      </c>
      <c r="H1540" s="257">
        <v>1</v>
      </c>
      <c r="I1540" s="257"/>
      <c r="J1540" s="259">
        <v>0</v>
      </c>
      <c r="K1540" s="260">
        <f t="shared" si="41"/>
        <v>0.241785</v>
      </c>
      <c r="L1540" s="266"/>
    </row>
    <row r="1541" spans="2:12">
      <c r="B1541" s="256" t="s">
        <v>1692</v>
      </c>
      <c r="C1541" s="250" t="s">
        <v>1611</v>
      </c>
      <c r="D1541" s="205" t="s">
        <v>169</v>
      </c>
      <c r="E1541" s="257">
        <v>17.421875</v>
      </c>
      <c r="F1541" s="258">
        <v>2.56</v>
      </c>
      <c r="G1541" s="257">
        <v>0.12</v>
      </c>
      <c r="H1541" s="257">
        <v>1</v>
      </c>
      <c r="I1541" s="257"/>
      <c r="J1541" s="259">
        <v>0</v>
      </c>
      <c r="K1541" s="260">
        <f t="shared" si="41"/>
        <v>5.3520000000000003</v>
      </c>
      <c r="L1541" s="266"/>
    </row>
    <row r="1542" spans="2:12">
      <c r="B1542" s="256" t="s">
        <v>1693</v>
      </c>
      <c r="C1542" s="250" t="s">
        <v>1611</v>
      </c>
      <c r="D1542" s="205" t="s">
        <v>169</v>
      </c>
      <c r="E1542" s="257">
        <v>3.94</v>
      </c>
      <c r="F1542" s="258">
        <v>3.82</v>
      </c>
      <c r="G1542" s="257">
        <v>0.25</v>
      </c>
      <c r="H1542" s="257">
        <v>1</v>
      </c>
      <c r="I1542" s="257"/>
      <c r="J1542" s="259">
        <v>1.71</v>
      </c>
      <c r="K1542" s="260">
        <f t="shared" ref="K1542:K1573" si="42">IF(E1542*F1542*G1542&lt;&gt;0,E1542*F1542*G1542,IF(E1542*F1542&lt;&gt;0,E1542*F1542,IF(F1542*G1542&lt;&gt;0,F1542*G1542,IF(E1542*G1542&lt;&gt;0,E1542*G1542,IF(E1542&lt;&gt;0,E1542,IF(F1542&lt;&gt;0,F1542,IF(G1542&lt;&gt;0,G1542,0)))))))*(IF(H1542&lt;&gt;0,H1542,1))+I1542-J1542</f>
        <v>2.0526999999999997</v>
      </c>
      <c r="L1542" s="266"/>
    </row>
    <row r="1543" spans="2:12">
      <c r="B1543" s="256" t="s">
        <v>1694</v>
      </c>
      <c r="C1543" s="250" t="s">
        <v>1611</v>
      </c>
      <c r="D1543" s="205" t="s">
        <v>169</v>
      </c>
      <c r="E1543" s="257">
        <v>6.13</v>
      </c>
      <c r="F1543" s="258">
        <v>3.82</v>
      </c>
      <c r="G1543" s="257">
        <v>0.25</v>
      </c>
      <c r="H1543" s="257">
        <v>1</v>
      </c>
      <c r="I1543" s="257"/>
      <c r="J1543" s="259">
        <v>2.72</v>
      </c>
      <c r="K1543" s="260">
        <f t="shared" si="42"/>
        <v>3.1341499999999995</v>
      </c>
      <c r="L1543" s="266"/>
    </row>
    <row r="1544" spans="2:12">
      <c r="B1544" s="256" t="s">
        <v>1695</v>
      </c>
      <c r="C1544" s="250" t="s">
        <v>1611</v>
      </c>
      <c r="D1544" s="205" t="s">
        <v>169</v>
      </c>
      <c r="E1544" s="257">
        <v>16.71</v>
      </c>
      <c r="F1544" s="258">
        <v>4.9000000000000004</v>
      </c>
      <c r="G1544" s="257">
        <v>0.3</v>
      </c>
      <c r="H1544" s="257">
        <v>1</v>
      </c>
      <c r="I1544" s="257"/>
      <c r="J1544" s="259">
        <v>13.52</v>
      </c>
      <c r="K1544" s="260">
        <f t="shared" si="42"/>
        <v>11.043700000000001</v>
      </c>
      <c r="L1544" s="266"/>
    </row>
    <row r="1545" spans="2:12">
      <c r="B1545" s="256" t="s">
        <v>1696</v>
      </c>
      <c r="C1545" s="250" t="s">
        <v>1611</v>
      </c>
      <c r="D1545" s="205" t="s">
        <v>169</v>
      </c>
      <c r="E1545" s="257">
        <v>9.09</v>
      </c>
      <c r="F1545" s="258">
        <v>2.91</v>
      </c>
      <c r="G1545" s="257">
        <v>0.12</v>
      </c>
      <c r="H1545" s="257">
        <v>1</v>
      </c>
      <c r="I1545" s="257"/>
      <c r="J1545" s="259">
        <v>0</v>
      </c>
      <c r="K1545" s="260">
        <f t="shared" si="42"/>
        <v>3.1742280000000003</v>
      </c>
      <c r="L1545" s="266"/>
    </row>
    <row r="1546" spans="2:12">
      <c r="B1546" s="256" t="s">
        <v>1697</v>
      </c>
      <c r="C1546" s="250" t="s">
        <v>1611</v>
      </c>
      <c r="D1546" s="205" t="s">
        <v>169</v>
      </c>
      <c r="E1546" s="257">
        <v>7.0864197530864201</v>
      </c>
      <c r="F1546" s="258">
        <v>3.24</v>
      </c>
      <c r="G1546" s="257">
        <v>0.15</v>
      </c>
      <c r="H1546" s="257">
        <v>1</v>
      </c>
      <c r="I1546" s="257"/>
      <c r="J1546" s="259">
        <v>0</v>
      </c>
      <c r="K1546" s="260">
        <f t="shared" si="42"/>
        <v>3.4440000000000004</v>
      </c>
      <c r="L1546" s="266"/>
    </row>
    <row r="1547" spans="2:12">
      <c r="B1547" s="256" t="s">
        <v>1698</v>
      </c>
      <c r="C1547" s="250" t="s">
        <v>1611</v>
      </c>
      <c r="D1547" s="205" t="s">
        <v>169</v>
      </c>
      <c r="E1547" s="257">
        <v>10.119999999999999</v>
      </c>
      <c r="F1547" s="258">
        <v>4.1500000000000004</v>
      </c>
      <c r="G1547" s="257">
        <v>0.25</v>
      </c>
      <c r="H1547" s="257">
        <v>1</v>
      </c>
      <c r="I1547" s="257"/>
      <c r="J1547" s="259">
        <v>5.29</v>
      </c>
      <c r="K1547" s="260">
        <f t="shared" si="42"/>
        <v>5.2094999999999994</v>
      </c>
      <c r="L1547" s="266"/>
    </row>
    <row r="1548" spans="2:12">
      <c r="B1548" s="256" t="s">
        <v>1699</v>
      </c>
      <c r="C1548" s="250" t="s">
        <v>1611</v>
      </c>
      <c r="D1548" s="205" t="s">
        <v>169</v>
      </c>
      <c r="E1548" s="257">
        <v>9.09</v>
      </c>
      <c r="F1548" s="258">
        <v>9.4</v>
      </c>
      <c r="G1548" s="257">
        <v>0.35</v>
      </c>
      <c r="H1548" s="257">
        <v>1</v>
      </c>
      <c r="I1548" s="257"/>
      <c r="J1548" s="259">
        <v>15.35</v>
      </c>
      <c r="K1548" s="260">
        <f t="shared" si="42"/>
        <v>14.556099999999999</v>
      </c>
      <c r="L1548" s="266"/>
    </row>
    <row r="1549" spans="2:12">
      <c r="B1549" s="256" t="s">
        <v>1700</v>
      </c>
      <c r="C1549" s="250" t="s">
        <v>1611</v>
      </c>
      <c r="D1549" s="205" t="s">
        <v>169</v>
      </c>
      <c r="E1549" s="257">
        <v>11.23</v>
      </c>
      <c r="F1549" s="258">
        <v>9.4</v>
      </c>
      <c r="G1549" s="257">
        <v>0.35</v>
      </c>
      <c r="H1549" s="257">
        <v>1</v>
      </c>
      <c r="I1549" s="257"/>
      <c r="J1549" s="259">
        <v>18.670000000000002</v>
      </c>
      <c r="K1549" s="260">
        <f t="shared" si="42"/>
        <v>18.276699999999998</v>
      </c>
      <c r="L1549" s="266"/>
    </row>
    <row r="1550" spans="2:12">
      <c r="B1550" s="256" t="s">
        <v>1701</v>
      </c>
      <c r="C1550" s="250" t="s">
        <v>1611</v>
      </c>
      <c r="D1550" s="205" t="s">
        <v>169</v>
      </c>
      <c r="E1550" s="257">
        <v>7.2202127659574504</v>
      </c>
      <c r="F1550" s="258">
        <v>9.4</v>
      </c>
      <c r="G1550" s="257">
        <v>0.18</v>
      </c>
      <c r="H1550" s="257">
        <v>1</v>
      </c>
      <c r="I1550" s="257"/>
      <c r="J1550" s="259">
        <v>0</v>
      </c>
      <c r="K1550" s="260">
        <f t="shared" si="42"/>
        <v>12.216600000000005</v>
      </c>
      <c r="L1550" s="266"/>
    </row>
    <row r="1551" spans="2:12">
      <c r="B1551" s="256" t="s">
        <v>1702</v>
      </c>
      <c r="C1551" s="250" t="s">
        <v>1611</v>
      </c>
      <c r="D1551" s="205" t="s">
        <v>169</v>
      </c>
      <c r="E1551" s="257">
        <v>10.119999999999999</v>
      </c>
      <c r="F1551" s="258">
        <v>5.05</v>
      </c>
      <c r="G1551" s="257">
        <v>0.25</v>
      </c>
      <c r="H1551" s="257">
        <v>1</v>
      </c>
      <c r="I1551" s="257"/>
      <c r="J1551" s="259">
        <v>6.31</v>
      </c>
      <c r="K1551" s="260">
        <f t="shared" si="42"/>
        <v>6.466499999999999</v>
      </c>
      <c r="L1551" s="266"/>
    </row>
    <row r="1552" spans="2:12">
      <c r="B1552" s="256" t="s">
        <v>1703</v>
      </c>
      <c r="C1552" s="250" t="s">
        <v>1612</v>
      </c>
      <c r="D1552" s="205" t="s">
        <v>169</v>
      </c>
      <c r="E1552" s="257">
        <v>4.43</v>
      </c>
      <c r="F1552" s="258">
        <v>1.87</v>
      </c>
      <c r="G1552" s="257">
        <v>0.15</v>
      </c>
      <c r="H1552" s="257">
        <v>1</v>
      </c>
      <c r="I1552" s="257"/>
      <c r="J1552" s="259">
        <v>0</v>
      </c>
      <c r="K1552" s="260">
        <f t="shared" si="42"/>
        <v>1.242615</v>
      </c>
      <c r="L1552" s="266" t="s">
        <v>1682</v>
      </c>
    </row>
    <row r="1553" spans="2:12">
      <c r="B1553" s="256" t="s">
        <v>1704</v>
      </c>
      <c r="C1553" s="250" t="s">
        <v>1612</v>
      </c>
      <c r="D1553" s="205" t="s">
        <v>169</v>
      </c>
      <c r="E1553" s="257">
        <v>26.41</v>
      </c>
      <c r="F1553" s="258">
        <v>6.86</v>
      </c>
      <c r="G1553" s="257">
        <v>0.3</v>
      </c>
      <c r="H1553" s="257">
        <v>1</v>
      </c>
      <c r="I1553" s="257"/>
      <c r="J1553" s="259">
        <v>25.665299999999998</v>
      </c>
      <c r="K1553" s="260">
        <f t="shared" si="42"/>
        <v>28.686480000000007</v>
      </c>
      <c r="L1553" s="266" t="s">
        <v>1682</v>
      </c>
    </row>
    <row r="1554" spans="2:12">
      <c r="B1554" s="256" t="s">
        <v>1705</v>
      </c>
      <c r="C1554" s="250" t="s">
        <v>1612</v>
      </c>
      <c r="D1554" s="205" t="s">
        <v>169</v>
      </c>
      <c r="E1554" s="257">
        <v>1.97</v>
      </c>
      <c r="F1554" s="258">
        <v>1.38</v>
      </c>
      <c r="G1554" s="257">
        <v>0.15</v>
      </c>
      <c r="H1554" s="257">
        <v>1</v>
      </c>
      <c r="I1554" s="257"/>
      <c r="J1554" s="259">
        <v>0</v>
      </c>
      <c r="K1554" s="260">
        <f t="shared" si="42"/>
        <v>0.40778999999999999</v>
      </c>
      <c r="L1554" s="266" t="s">
        <v>1682</v>
      </c>
    </row>
    <row r="1555" spans="2:12">
      <c r="B1555" s="256" t="s">
        <v>1706</v>
      </c>
      <c r="C1555" s="250" t="s">
        <v>1612</v>
      </c>
      <c r="D1555" s="205" t="s">
        <v>169</v>
      </c>
      <c r="E1555" s="257">
        <v>3.95</v>
      </c>
      <c r="F1555" s="258">
        <v>0.15</v>
      </c>
      <c r="G1555" s="257">
        <v>0.15</v>
      </c>
      <c r="H1555" s="257">
        <v>1</v>
      </c>
      <c r="I1555" s="257"/>
      <c r="J1555" s="259">
        <v>0</v>
      </c>
      <c r="K1555" s="260">
        <f t="shared" si="42"/>
        <v>8.8874999999999996E-2</v>
      </c>
      <c r="L1555" s="266" t="s">
        <v>1682</v>
      </c>
    </row>
    <row r="1556" spans="2:12">
      <c r="B1556" s="256" t="s">
        <v>1707</v>
      </c>
      <c r="C1556" s="250" t="s">
        <v>1612</v>
      </c>
      <c r="D1556" s="205" t="s">
        <v>169</v>
      </c>
      <c r="E1556" s="257">
        <v>19.21</v>
      </c>
      <c r="F1556" s="258">
        <v>8.9499999999999993</v>
      </c>
      <c r="G1556" s="257">
        <v>0.35</v>
      </c>
      <c r="H1556" s="257">
        <v>1</v>
      </c>
      <c r="I1556" s="257"/>
      <c r="J1556" s="259">
        <v>28.693059999999999</v>
      </c>
      <c r="K1556" s="260">
        <f t="shared" si="42"/>
        <v>31.482264999999995</v>
      </c>
      <c r="L1556" s="266" t="s">
        <v>1682</v>
      </c>
    </row>
    <row r="1557" spans="2:12">
      <c r="B1557" s="256" t="s">
        <v>1708</v>
      </c>
      <c r="C1557" s="250" t="s">
        <v>1612</v>
      </c>
      <c r="D1557" s="205" t="s">
        <v>169</v>
      </c>
      <c r="E1557" s="257">
        <v>10.61</v>
      </c>
      <c r="F1557" s="258">
        <v>0.83</v>
      </c>
      <c r="G1557" s="257">
        <v>0.15</v>
      </c>
      <c r="H1557" s="257">
        <v>1</v>
      </c>
      <c r="I1557" s="257"/>
      <c r="J1557" s="259">
        <v>0</v>
      </c>
      <c r="K1557" s="260">
        <f t="shared" si="42"/>
        <v>1.3209449999999998</v>
      </c>
      <c r="L1557" s="266" t="s">
        <v>1682</v>
      </c>
    </row>
    <row r="1558" spans="2:12">
      <c r="B1558" s="256" t="s">
        <v>1709</v>
      </c>
      <c r="C1558" s="250" t="s">
        <v>1612</v>
      </c>
      <c r="D1558" s="205" t="s">
        <v>169</v>
      </c>
      <c r="E1558" s="257">
        <v>3</v>
      </c>
      <c r="F1558" s="258">
        <v>0.15</v>
      </c>
      <c r="G1558" s="257">
        <v>0.15</v>
      </c>
      <c r="H1558" s="257">
        <v>1</v>
      </c>
      <c r="I1558" s="257"/>
      <c r="J1558" s="259">
        <v>0</v>
      </c>
      <c r="K1558" s="260">
        <f t="shared" si="42"/>
        <v>6.7499999999999991E-2</v>
      </c>
      <c r="L1558" s="266" t="s">
        <v>1682</v>
      </c>
    </row>
    <row r="1559" spans="2:12">
      <c r="B1559" s="256" t="s">
        <v>1710</v>
      </c>
      <c r="C1559" s="250" t="s">
        <v>1612</v>
      </c>
      <c r="D1559" s="205" t="s">
        <v>169</v>
      </c>
      <c r="E1559" s="257">
        <v>10.02</v>
      </c>
      <c r="F1559" s="258">
        <v>4.1500000000000004</v>
      </c>
      <c r="G1559" s="257">
        <v>0.25</v>
      </c>
      <c r="H1559" s="257">
        <v>1</v>
      </c>
      <c r="I1559" s="257"/>
      <c r="J1559" s="259">
        <v>4.9834800000000001</v>
      </c>
      <c r="K1559" s="260">
        <f t="shared" si="42"/>
        <v>5.4122699999999995</v>
      </c>
      <c r="L1559" s="266" t="s">
        <v>1682</v>
      </c>
    </row>
    <row r="1560" spans="2:12">
      <c r="B1560" s="256" t="s">
        <v>1711</v>
      </c>
      <c r="C1560" s="250" t="s">
        <v>1612</v>
      </c>
      <c r="D1560" s="205" t="s">
        <v>169</v>
      </c>
      <c r="E1560" s="257">
        <v>8.0399999999999991</v>
      </c>
      <c r="F1560" s="258">
        <v>9.35</v>
      </c>
      <c r="G1560" s="257">
        <v>0.18</v>
      </c>
      <c r="H1560" s="257">
        <v>1</v>
      </c>
      <c r="I1560" s="257"/>
      <c r="J1560" s="259">
        <v>0</v>
      </c>
      <c r="K1560" s="260">
        <f t="shared" si="42"/>
        <v>13.531319999999997</v>
      </c>
      <c r="L1560" s="266" t="s">
        <v>1682</v>
      </c>
    </row>
    <row r="1561" spans="2:12">
      <c r="B1561" s="256" t="s">
        <v>1712</v>
      </c>
      <c r="C1561" s="250" t="s">
        <v>1612</v>
      </c>
      <c r="D1561" s="205" t="s">
        <v>169</v>
      </c>
      <c r="E1561" s="257">
        <v>5.57</v>
      </c>
      <c r="F1561" s="258">
        <v>4.95</v>
      </c>
      <c r="G1561" s="257">
        <v>0.25</v>
      </c>
      <c r="H1561" s="257">
        <v>1</v>
      </c>
      <c r="I1561" s="257"/>
      <c r="J1561" s="259">
        <v>3.3962699999999999</v>
      </c>
      <c r="K1561" s="260">
        <f t="shared" si="42"/>
        <v>3.4966050000000011</v>
      </c>
      <c r="L1561" s="266" t="s">
        <v>1682</v>
      </c>
    </row>
    <row r="1562" spans="2:12">
      <c r="B1562" s="256" t="s">
        <v>1713</v>
      </c>
      <c r="C1562" s="250" t="s">
        <v>1612</v>
      </c>
      <c r="D1562" s="205" t="s">
        <v>169</v>
      </c>
      <c r="E1562" s="257">
        <v>17.97</v>
      </c>
      <c r="F1562" s="258">
        <v>0.55000000000000004</v>
      </c>
      <c r="G1562" s="257">
        <v>0.1</v>
      </c>
      <c r="H1562" s="257">
        <v>1</v>
      </c>
      <c r="I1562" s="257"/>
      <c r="J1562" s="259">
        <v>0</v>
      </c>
      <c r="K1562" s="260">
        <f t="shared" si="42"/>
        <v>0.98835000000000006</v>
      </c>
      <c r="L1562" s="266" t="s">
        <v>1714</v>
      </c>
    </row>
    <row r="1563" spans="2:12">
      <c r="B1563" s="256" t="s">
        <v>1715</v>
      </c>
      <c r="C1563" s="250" t="s">
        <v>1612</v>
      </c>
      <c r="D1563" s="205" t="s">
        <v>169</v>
      </c>
      <c r="E1563" s="257">
        <v>21.4</v>
      </c>
      <c r="F1563" s="258">
        <v>5.85</v>
      </c>
      <c r="G1563" s="257">
        <v>0.25</v>
      </c>
      <c r="H1563" s="257">
        <v>1</v>
      </c>
      <c r="I1563" s="257"/>
      <c r="J1563" s="259">
        <v>14.8062</v>
      </c>
      <c r="K1563" s="260">
        <f t="shared" si="42"/>
        <v>16.491299999999995</v>
      </c>
      <c r="L1563" s="266" t="s">
        <v>1714</v>
      </c>
    </row>
    <row r="1564" spans="2:12">
      <c r="B1564" s="256" t="s">
        <v>1716</v>
      </c>
      <c r="C1564" s="250" t="s">
        <v>1612</v>
      </c>
      <c r="D1564" s="205" t="s">
        <v>169</v>
      </c>
      <c r="E1564" s="257">
        <v>21.4</v>
      </c>
      <c r="F1564" s="258">
        <v>5.8</v>
      </c>
      <c r="G1564" s="257">
        <v>0.25</v>
      </c>
      <c r="H1564" s="257">
        <v>1</v>
      </c>
      <c r="I1564" s="257"/>
      <c r="J1564" s="259">
        <v>14.8062</v>
      </c>
      <c r="K1564" s="260">
        <f t="shared" si="42"/>
        <v>16.223799999999997</v>
      </c>
      <c r="L1564" s="266" t="s">
        <v>1714</v>
      </c>
    </row>
    <row r="1565" spans="2:12">
      <c r="B1565" s="256" t="s">
        <v>1717</v>
      </c>
      <c r="C1565" s="250" t="s">
        <v>1612</v>
      </c>
      <c r="D1565" s="205" t="s">
        <v>169</v>
      </c>
      <c r="E1565" s="257">
        <v>24.49</v>
      </c>
      <c r="F1565" s="258">
        <v>0.55000000000000004</v>
      </c>
      <c r="G1565" s="257">
        <v>0.1</v>
      </c>
      <c r="H1565" s="257">
        <v>1</v>
      </c>
      <c r="I1565" s="257"/>
      <c r="J1565" s="259">
        <v>0</v>
      </c>
      <c r="K1565" s="260">
        <f t="shared" si="42"/>
        <v>1.3469500000000001</v>
      </c>
      <c r="L1565" s="266" t="s">
        <v>1714</v>
      </c>
    </row>
    <row r="1566" spans="2:12">
      <c r="B1566" s="256" t="s">
        <v>1718</v>
      </c>
      <c r="C1566" s="250" t="s">
        <v>1612</v>
      </c>
      <c r="D1566" s="205" t="s">
        <v>169</v>
      </c>
      <c r="E1566" s="257">
        <v>21.4</v>
      </c>
      <c r="F1566" s="258">
        <v>5.8</v>
      </c>
      <c r="G1566" s="257">
        <v>0.25</v>
      </c>
      <c r="H1566" s="257">
        <v>1</v>
      </c>
      <c r="I1566" s="257"/>
      <c r="J1566" s="259">
        <v>14.76966</v>
      </c>
      <c r="K1566" s="260">
        <f t="shared" si="42"/>
        <v>16.260339999999999</v>
      </c>
      <c r="L1566" s="266" t="s">
        <v>1714</v>
      </c>
    </row>
    <row r="1567" spans="2:12">
      <c r="B1567" s="256" t="s">
        <v>1719</v>
      </c>
      <c r="C1567" s="250" t="s">
        <v>1612</v>
      </c>
      <c r="D1567" s="205" t="s">
        <v>169</v>
      </c>
      <c r="E1567" s="257">
        <v>7.77</v>
      </c>
      <c r="F1567" s="258">
        <v>0.18</v>
      </c>
      <c r="G1567" s="257">
        <v>0.12</v>
      </c>
      <c r="H1567" s="257">
        <v>1</v>
      </c>
      <c r="I1567" s="257"/>
      <c r="J1567" s="259">
        <v>0</v>
      </c>
      <c r="K1567" s="260">
        <f t="shared" si="42"/>
        <v>0.16783199999999998</v>
      </c>
      <c r="L1567" s="266" t="s">
        <v>1714</v>
      </c>
    </row>
    <row r="1568" spans="2:12">
      <c r="B1568" s="256" t="s">
        <v>1720</v>
      </c>
      <c r="C1568" s="250" t="s">
        <v>1612</v>
      </c>
      <c r="D1568" s="205" t="s">
        <v>169</v>
      </c>
      <c r="E1568" s="257">
        <v>21.4</v>
      </c>
      <c r="F1568" s="258">
        <v>5.69</v>
      </c>
      <c r="G1568" s="257">
        <v>0.25</v>
      </c>
      <c r="H1568" s="257">
        <v>1</v>
      </c>
      <c r="I1568" s="257"/>
      <c r="J1568" s="259">
        <v>13.92924</v>
      </c>
      <c r="K1568" s="260">
        <f t="shared" si="42"/>
        <v>16.512260000000001</v>
      </c>
      <c r="L1568" s="266" t="s">
        <v>1714</v>
      </c>
    </row>
    <row r="1569" spans="2:12">
      <c r="B1569" s="256" t="s">
        <v>1721</v>
      </c>
      <c r="C1569" s="250" t="s">
        <v>1612</v>
      </c>
      <c r="D1569" s="205" t="s">
        <v>169</v>
      </c>
      <c r="E1569" s="257">
        <v>3.45</v>
      </c>
      <c r="F1569" s="258">
        <v>2.74</v>
      </c>
      <c r="G1569" s="257">
        <v>0.15</v>
      </c>
      <c r="H1569" s="257">
        <v>1</v>
      </c>
      <c r="I1569" s="257"/>
      <c r="J1569" s="259">
        <v>0</v>
      </c>
      <c r="K1569" s="260">
        <f t="shared" si="42"/>
        <v>1.41795</v>
      </c>
      <c r="L1569" s="266" t="s">
        <v>1714</v>
      </c>
    </row>
    <row r="1570" spans="2:12">
      <c r="B1570" s="256" t="s">
        <v>1713</v>
      </c>
      <c r="C1570" s="250" t="s">
        <v>1613</v>
      </c>
      <c r="D1570" s="205" t="s">
        <v>169</v>
      </c>
      <c r="E1570" s="257">
        <v>17.97</v>
      </c>
      <c r="F1570" s="258">
        <v>0.55000000000000004</v>
      </c>
      <c r="G1570" s="257">
        <v>0.1</v>
      </c>
      <c r="H1570" s="257">
        <v>1</v>
      </c>
      <c r="I1570" s="257"/>
      <c r="J1570" s="259">
        <v>0</v>
      </c>
      <c r="K1570" s="260">
        <f t="shared" si="42"/>
        <v>0.98835000000000006</v>
      </c>
      <c r="L1570" s="266" t="s">
        <v>1683</v>
      </c>
    </row>
    <row r="1571" spans="2:12">
      <c r="B1571" s="256" t="s">
        <v>1715</v>
      </c>
      <c r="C1571" s="250" t="s">
        <v>1613</v>
      </c>
      <c r="D1571" s="205" t="s">
        <v>169</v>
      </c>
      <c r="E1571" s="257">
        <v>21.4</v>
      </c>
      <c r="F1571" s="258">
        <v>5.85</v>
      </c>
      <c r="G1571" s="257">
        <v>0.25</v>
      </c>
      <c r="H1571" s="257">
        <v>1</v>
      </c>
      <c r="I1571" s="257"/>
      <c r="J1571" s="259">
        <v>14.8062</v>
      </c>
      <c r="K1571" s="260">
        <f t="shared" si="42"/>
        <v>16.491299999999995</v>
      </c>
      <c r="L1571" s="266" t="s">
        <v>1683</v>
      </c>
    </row>
    <row r="1572" spans="2:12">
      <c r="B1572" s="256" t="s">
        <v>1716</v>
      </c>
      <c r="C1572" s="250" t="s">
        <v>1613</v>
      </c>
      <c r="D1572" s="205" t="s">
        <v>169</v>
      </c>
      <c r="E1572" s="257">
        <v>21.4</v>
      </c>
      <c r="F1572" s="258">
        <v>5.8</v>
      </c>
      <c r="G1572" s="257">
        <v>0.25</v>
      </c>
      <c r="H1572" s="257">
        <v>1</v>
      </c>
      <c r="I1572" s="257"/>
      <c r="J1572" s="259">
        <v>14.8062</v>
      </c>
      <c r="K1572" s="260">
        <f t="shared" si="42"/>
        <v>16.223799999999997</v>
      </c>
      <c r="L1572" s="266" t="s">
        <v>1683</v>
      </c>
    </row>
    <row r="1573" spans="2:12">
      <c r="B1573" s="256" t="s">
        <v>1717</v>
      </c>
      <c r="C1573" s="250" t="s">
        <v>1613</v>
      </c>
      <c r="D1573" s="205" t="s">
        <v>169</v>
      </c>
      <c r="E1573" s="257">
        <v>24.49</v>
      </c>
      <c r="F1573" s="258">
        <v>0.55000000000000004</v>
      </c>
      <c r="G1573" s="257">
        <v>0.1</v>
      </c>
      <c r="H1573" s="257">
        <v>1</v>
      </c>
      <c r="I1573" s="257"/>
      <c r="J1573" s="259">
        <v>0</v>
      </c>
      <c r="K1573" s="260">
        <f t="shared" si="42"/>
        <v>1.3469500000000001</v>
      </c>
      <c r="L1573" s="266" t="s">
        <v>1683</v>
      </c>
    </row>
    <row r="1574" spans="2:12">
      <c r="B1574" s="256" t="s">
        <v>1718</v>
      </c>
      <c r="C1574" s="250" t="s">
        <v>1613</v>
      </c>
      <c r="D1574" s="205" t="s">
        <v>169</v>
      </c>
      <c r="E1574" s="257">
        <v>21.4</v>
      </c>
      <c r="F1574" s="258">
        <v>5.8</v>
      </c>
      <c r="G1574" s="257">
        <v>0.25</v>
      </c>
      <c r="H1574" s="257">
        <v>1</v>
      </c>
      <c r="I1574" s="257"/>
      <c r="J1574" s="259">
        <v>14.76966</v>
      </c>
      <c r="K1574" s="260">
        <f t="shared" ref="K1574:K1605" si="43">IF(E1574*F1574*G1574&lt;&gt;0,E1574*F1574*G1574,IF(E1574*F1574&lt;&gt;0,E1574*F1574,IF(F1574*G1574&lt;&gt;0,F1574*G1574,IF(E1574*G1574&lt;&gt;0,E1574*G1574,IF(E1574&lt;&gt;0,E1574,IF(F1574&lt;&gt;0,F1574,IF(G1574&lt;&gt;0,G1574,0)))))))*(IF(H1574&lt;&gt;0,H1574,1))+I1574-J1574</f>
        <v>16.260339999999999</v>
      </c>
      <c r="L1574" s="266" t="s">
        <v>1683</v>
      </c>
    </row>
    <row r="1575" spans="2:12">
      <c r="B1575" s="256" t="s">
        <v>1719</v>
      </c>
      <c r="C1575" s="250" t="s">
        <v>1613</v>
      </c>
      <c r="D1575" s="205" t="s">
        <v>169</v>
      </c>
      <c r="E1575" s="257">
        <v>7.77</v>
      </c>
      <c r="F1575" s="258">
        <v>0.18</v>
      </c>
      <c r="G1575" s="257">
        <v>0.12</v>
      </c>
      <c r="H1575" s="257">
        <v>1</v>
      </c>
      <c r="I1575" s="257"/>
      <c r="J1575" s="259">
        <v>0</v>
      </c>
      <c r="K1575" s="260">
        <f t="shared" si="43"/>
        <v>0.16783199999999998</v>
      </c>
      <c r="L1575" s="266" t="s">
        <v>1683</v>
      </c>
    </row>
    <row r="1576" spans="2:12">
      <c r="B1576" s="256" t="s">
        <v>1720</v>
      </c>
      <c r="C1576" s="250" t="s">
        <v>1613</v>
      </c>
      <c r="D1576" s="205" t="s">
        <v>169</v>
      </c>
      <c r="E1576" s="257">
        <v>21.4</v>
      </c>
      <c r="F1576" s="258">
        <v>5.69</v>
      </c>
      <c r="G1576" s="257">
        <v>0.25</v>
      </c>
      <c r="H1576" s="257">
        <v>1</v>
      </c>
      <c r="I1576" s="257"/>
      <c r="J1576" s="259">
        <v>13.92924</v>
      </c>
      <c r="K1576" s="260">
        <f t="shared" si="43"/>
        <v>16.512260000000001</v>
      </c>
      <c r="L1576" s="266" t="s">
        <v>1683</v>
      </c>
    </row>
    <row r="1577" spans="2:12">
      <c r="B1577" s="256" t="s">
        <v>1721</v>
      </c>
      <c r="C1577" s="250" t="s">
        <v>1613</v>
      </c>
      <c r="D1577" s="205" t="s">
        <v>169</v>
      </c>
      <c r="E1577" s="257">
        <v>3.45</v>
      </c>
      <c r="F1577" s="258">
        <v>2.74</v>
      </c>
      <c r="G1577" s="257">
        <v>0.15</v>
      </c>
      <c r="H1577" s="257">
        <v>1</v>
      </c>
      <c r="I1577" s="257"/>
      <c r="J1577" s="259">
        <v>0</v>
      </c>
      <c r="K1577" s="260">
        <f t="shared" si="43"/>
        <v>1.41795</v>
      </c>
      <c r="L1577" s="266" t="s">
        <v>1683</v>
      </c>
    </row>
    <row r="1578" spans="2:12">
      <c r="B1578" s="256" t="s">
        <v>1920</v>
      </c>
      <c r="C1578" s="250" t="s">
        <v>1895</v>
      </c>
      <c r="D1578" s="205" t="s">
        <v>169</v>
      </c>
      <c r="E1578" s="257">
        <v>25.82</v>
      </c>
      <c r="F1578" s="258">
        <v>6.86</v>
      </c>
      <c r="G1578" s="257">
        <v>0.3</v>
      </c>
      <c r="H1578" s="257">
        <v>1</v>
      </c>
      <c r="I1578" s="257"/>
      <c r="J1578" s="259">
        <v>26.362084374999998</v>
      </c>
      <c r="K1578" s="260">
        <f t="shared" si="43"/>
        <v>26.775475625000002</v>
      </c>
      <c r="L1578" s="266" t="s">
        <v>1685</v>
      </c>
    </row>
    <row r="1579" spans="2:12">
      <c r="B1579" s="256" t="s">
        <v>1921</v>
      </c>
      <c r="C1579" s="250" t="s">
        <v>1895</v>
      </c>
      <c r="D1579" s="205" t="s">
        <v>169</v>
      </c>
      <c r="E1579" s="257">
        <v>7.39</v>
      </c>
      <c r="F1579" s="258">
        <v>0.5</v>
      </c>
      <c r="G1579" s="257">
        <v>0.1</v>
      </c>
      <c r="H1579" s="257">
        <v>1</v>
      </c>
      <c r="I1579" s="257"/>
      <c r="J1579" s="259">
        <v>0</v>
      </c>
      <c r="K1579" s="260">
        <f t="shared" si="43"/>
        <v>0.3695</v>
      </c>
      <c r="L1579" s="266" t="s">
        <v>1685</v>
      </c>
    </row>
    <row r="1580" spans="2:12">
      <c r="B1580" s="256" t="s">
        <v>1922</v>
      </c>
      <c r="C1580" s="250" t="s">
        <v>1895</v>
      </c>
      <c r="D1580" s="205" t="s">
        <v>169</v>
      </c>
      <c r="E1580" s="257">
        <v>3.95</v>
      </c>
      <c r="F1580" s="258">
        <v>0.15</v>
      </c>
      <c r="G1580" s="257">
        <v>0.15</v>
      </c>
      <c r="H1580" s="257">
        <v>1</v>
      </c>
      <c r="I1580" s="257"/>
      <c r="J1580" s="259">
        <v>0</v>
      </c>
      <c r="K1580" s="260">
        <f t="shared" si="43"/>
        <v>8.8874999999999996E-2</v>
      </c>
      <c r="L1580" s="266" t="s">
        <v>1685</v>
      </c>
    </row>
    <row r="1581" spans="2:12">
      <c r="B1581" s="256" t="s">
        <v>1923</v>
      </c>
      <c r="C1581" s="250" t="s">
        <v>1895</v>
      </c>
      <c r="D1581" s="205" t="s">
        <v>169</v>
      </c>
      <c r="E1581" s="257">
        <v>19.7</v>
      </c>
      <c r="F1581" s="258">
        <v>8.9499999999999993</v>
      </c>
      <c r="G1581" s="257">
        <v>0.35</v>
      </c>
      <c r="H1581" s="257">
        <v>1</v>
      </c>
      <c r="I1581" s="257"/>
      <c r="J1581" s="259">
        <v>30.36582881</v>
      </c>
      <c r="K1581" s="260">
        <f t="shared" si="43"/>
        <v>31.344421189999988</v>
      </c>
      <c r="L1581" s="266" t="s">
        <v>1685</v>
      </c>
    </row>
    <row r="1582" spans="2:12">
      <c r="B1582" s="256" t="s">
        <v>1924</v>
      </c>
      <c r="C1582" s="250" t="s">
        <v>1895</v>
      </c>
      <c r="D1582" s="205" t="s">
        <v>169</v>
      </c>
      <c r="E1582" s="257">
        <v>10.61</v>
      </c>
      <c r="F1582" s="258">
        <v>0.83</v>
      </c>
      <c r="G1582" s="257">
        <v>0.15</v>
      </c>
      <c r="H1582" s="257">
        <v>1</v>
      </c>
      <c r="I1582" s="257"/>
      <c r="J1582" s="259">
        <v>0</v>
      </c>
      <c r="K1582" s="260">
        <f t="shared" si="43"/>
        <v>1.3209449999999998</v>
      </c>
      <c r="L1582" s="266" t="s">
        <v>1685</v>
      </c>
    </row>
    <row r="1583" spans="2:12">
      <c r="B1583" s="256" t="s">
        <v>1925</v>
      </c>
      <c r="C1583" s="250" t="s">
        <v>1895</v>
      </c>
      <c r="D1583" s="205" t="s">
        <v>169</v>
      </c>
      <c r="E1583" s="257">
        <v>3.65</v>
      </c>
      <c r="F1583" s="258">
        <v>0.15</v>
      </c>
      <c r="G1583" s="257">
        <v>0.15</v>
      </c>
      <c r="H1583" s="257">
        <v>1</v>
      </c>
      <c r="I1583" s="257"/>
      <c r="J1583" s="259">
        <v>0</v>
      </c>
      <c r="K1583" s="260">
        <f t="shared" si="43"/>
        <v>8.212499999999999E-2</v>
      </c>
      <c r="L1583" s="266" t="s">
        <v>1685</v>
      </c>
    </row>
    <row r="1584" spans="2:12">
      <c r="B1584" s="256" t="s">
        <v>1926</v>
      </c>
      <c r="C1584" s="250" t="s">
        <v>1895</v>
      </c>
      <c r="D1584" s="205" t="s">
        <v>169</v>
      </c>
      <c r="E1584" s="257">
        <v>6.51</v>
      </c>
      <c r="F1584" s="258">
        <v>4.1500000000000004</v>
      </c>
      <c r="G1584" s="257">
        <v>0.25</v>
      </c>
      <c r="H1584" s="257">
        <v>1</v>
      </c>
      <c r="I1584" s="257"/>
      <c r="J1584" s="259">
        <v>3.5522191200000002</v>
      </c>
      <c r="K1584" s="260">
        <f t="shared" si="43"/>
        <v>3.20190588</v>
      </c>
      <c r="L1584" s="266" t="s">
        <v>1685</v>
      </c>
    </row>
    <row r="1585" spans="2:12">
      <c r="B1585" s="256" t="s">
        <v>1927</v>
      </c>
      <c r="C1585" s="250" t="s">
        <v>1895</v>
      </c>
      <c r="D1585" s="205" t="s">
        <v>169</v>
      </c>
      <c r="E1585" s="257">
        <v>8.07</v>
      </c>
      <c r="F1585" s="258">
        <v>9.35</v>
      </c>
      <c r="G1585" s="257">
        <v>0.18</v>
      </c>
      <c r="H1585" s="257">
        <v>1</v>
      </c>
      <c r="I1585" s="257"/>
      <c r="J1585" s="259">
        <v>0</v>
      </c>
      <c r="K1585" s="260">
        <f t="shared" si="43"/>
        <v>13.581809999999999</v>
      </c>
      <c r="L1585" s="266" t="s">
        <v>1685</v>
      </c>
    </row>
    <row r="1586" spans="2:12">
      <c r="B1586" s="256" t="s">
        <v>1928</v>
      </c>
      <c r="C1586" s="250" t="s">
        <v>1895</v>
      </c>
      <c r="D1586" s="205" t="s">
        <v>169</v>
      </c>
      <c r="E1586" s="257">
        <v>5.6</v>
      </c>
      <c r="F1586" s="258">
        <v>5</v>
      </c>
      <c r="G1586" s="257">
        <v>0.25</v>
      </c>
      <c r="H1586" s="257">
        <v>1</v>
      </c>
      <c r="I1586" s="257"/>
      <c r="J1586" s="259">
        <v>3.3947491200000002</v>
      </c>
      <c r="K1586" s="260">
        <f t="shared" si="43"/>
        <v>3.6052508799999998</v>
      </c>
      <c r="L1586" s="266" t="s">
        <v>1685</v>
      </c>
    </row>
    <row r="1587" spans="2:12">
      <c r="B1587" s="256" t="s">
        <v>1713</v>
      </c>
      <c r="C1587" s="250" t="s">
        <v>1931</v>
      </c>
      <c r="D1587" s="205" t="s">
        <v>169</v>
      </c>
      <c r="E1587" s="257">
        <v>17.97</v>
      </c>
      <c r="F1587" s="258">
        <v>0.55000000000000004</v>
      </c>
      <c r="G1587" s="257">
        <v>0.1</v>
      </c>
      <c r="H1587" s="257">
        <v>1</v>
      </c>
      <c r="I1587" s="257"/>
      <c r="J1587" s="259">
        <v>0</v>
      </c>
      <c r="K1587" s="260">
        <f t="shared" si="43"/>
        <v>0.98835000000000006</v>
      </c>
      <c r="L1587" s="266" t="s">
        <v>1685</v>
      </c>
    </row>
    <row r="1588" spans="2:12">
      <c r="B1588" s="256" t="s">
        <v>1974</v>
      </c>
      <c r="C1588" s="250" t="s">
        <v>1931</v>
      </c>
      <c r="D1588" s="205" t="s">
        <v>169</v>
      </c>
      <c r="E1588" s="257">
        <v>17.72</v>
      </c>
      <c r="F1588" s="258">
        <v>0.4</v>
      </c>
      <c r="G1588" s="257">
        <v>0.1</v>
      </c>
      <c r="H1588" s="257">
        <v>1</v>
      </c>
      <c r="I1588" s="257"/>
      <c r="J1588" s="259"/>
      <c r="K1588" s="260">
        <f t="shared" si="43"/>
        <v>0.7088000000000001</v>
      </c>
      <c r="L1588" s="266" t="s">
        <v>1684</v>
      </c>
    </row>
    <row r="1589" spans="2:12">
      <c r="B1589" s="256" t="s">
        <v>1975</v>
      </c>
      <c r="C1589" s="250" t="s">
        <v>1931</v>
      </c>
      <c r="D1589" s="205" t="s">
        <v>169</v>
      </c>
      <c r="E1589" s="257">
        <v>21.4</v>
      </c>
      <c r="F1589" s="258">
        <v>5.85</v>
      </c>
      <c r="G1589" s="257">
        <v>0.25</v>
      </c>
      <c r="H1589" s="257">
        <v>1</v>
      </c>
      <c r="I1589" s="257"/>
      <c r="J1589" s="259">
        <v>14.531504</v>
      </c>
      <c r="K1589" s="260">
        <f t="shared" si="43"/>
        <v>16.765995999999994</v>
      </c>
      <c r="L1589" s="266" t="s">
        <v>1684</v>
      </c>
    </row>
    <row r="1590" spans="2:12">
      <c r="B1590" s="256" t="s">
        <v>1976</v>
      </c>
      <c r="C1590" s="250" t="s">
        <v>1931</v>
      </c>
      <c r="D1590" s="205" t="s">
        <v>169</v>
      </c>
      <c r="E1590" s="257">
        <v>21.4</v>
      </c>
      <c r="F1590" s="258">
        <v>5.8</v>
      </c>
      <c r="G1590" s="257">
        <v>0.25</v>
      </c>
      <c r="H1590" s="257">
        <v>1</v>
      </c>
      <c r="I1590" s="257"/>
      <c r="J1590" s="259">
        <v>14.531504</v>
      </c>
      <c r="K1590" s="260">
        <f t="shared" si="43"/>
        <v>16.498495999999996</v>
      </c>
      <c r="L1590" s="266" t="s">
        <v>1684</v>
      </c>
    </row>
    <row r="1591" spans="2:12">
      <c r="B1591" s="256" t="s">
        <v>1977</v>
      </c>
      <c r="C1591" s="250" t="s">
        <v>1931</v>
      </c>
      <c r="D1591" s="205" t="s">
        <v>169</v>
      </c>
      <c r="E1591" s="257">
        <v>24.29</v>
      </c>
      <c r="F1591" s="258">
        <v>0.5</v>
      </c>
      <c r="G1591" s="257">
        <v>0.1</v>
      </c>
      <c r="H1591" s="257">
        <v>1</v>
      </c>
      <c r="I1591" s="257"/>
      <c r="J1591" s="259">
        <v>0</v>
      </c>
      <c r="K1591" s="260">
        <f t="shared" si="43"/>
        <v>1.2145000000000001</v>
      </c>
      <c r="L1591" s="266" t="s">
        <v>1684</v>
      </c>
    </row>
    <row r="1592" spans="2:12">
      <c r="B1592" s="256" t="s">
        <v>1978</v>
      </c>
      <c r="C1592" s="250" t="s">
        <v>1931</v>
      </c>
      <c r="D1592" s="205" t="s">
        <v>169</v>
      </c>
      <c r="E1592" s="257">
        <v>21.4</v>
      </c>
      <c r="F1592" s="258">
        <v>5.8</v>
      </c>
      <c r="G1592" s="257">
        <v>0.25</v>
      </c>
      <c r="H1592" s="257">
        <v>1</v>
      </c>
      <c r="I1592" s="257"/>
      <c r="J1592" s="259">
        <v>14.531504</v>
      </c>
      <c r="K1592" s="260">
        <f t="shared" si="43"/>
        <v>16.498495999999996</v>
      </c>
      <c r="L1592" s="266" t="s">
        <v>1684</v>
      </c>
    </row>
    <row r="1593" spans="2:12">
      <c r="B1593" s="256" t="s">
        <v>1979</v>
      </c>
      <c r="C1593" s="250" t="s">
        <v>1931</v>
      </c>
      <c r="D1593" s="205" t="s">
        <v>169</v>
      </c>
      <c r="E1593" s="257">
        <v>6.52</v>
      </c>
      <c r="F1593" s="258">
        <v>0.18</v>
      </c>
      <c r="G1593" s="257">
        <v>0.12</v>
      </c>
      <c r="H1593" s="257">
        <v>1</v>
      </c>
      <c r="I1593" s="257"/>
      <c r="J1593" s="259">
        <v>0</v>
      </c>
      <c r="K1593" s="260">
        <f t="shared" si="43"/>
        <v>0.14083199999999998</v>
      </c>
      <c r="L1593" s="266" t="s">
        <v>1684</v>
      </c>
    </row>
    <row r="1594" spans="2:12">
      <c r="B1594" s="256" t="s">
        <v>1980</v>
      </c>
      <c r="C1594" s="250" t="s">
        <v>1931</v>
      </c>
      <c r="D1594" s="205" t="s">
        <v>169</v>
      </c>
      <c r="E1594" s="257">
        <v>21.4</v>
      </c>
      <c r="F1594" s="258">
        <v>5.69</v>
      </c>
      <c r="G1594" s="257">
        <v>0.25</v>
      </c>
      <c r="H1594" s="257">
        <v>1</v>
      </c>
      <c r="I1594" s="257"/>
      <c r="J1594" s="259">
        <v>13.621504</v>
      </c>
      <c r="K1594" s="260">
        <f t="shared" si="43"/>
        <v>16.819996000000003</v>
      </c>
      <c r="L1594" s="266" t="s">
        <v>1684</v>
      </c>
    </row>
    <row r="1595" spans="2:12">
      <c r="B1595" s="256" t="s">
        <v>1981</v>
      </c>
      <c r="C1595" s="250" t="s">
        <v>1931</v>
      </c>
      <c r="D1595" s="205" t="s">
        <v>169</v>
      </c>
      <c r="E1595" s="257">
        <v>3.4</v>
      </c>
      <c r="F1595" s="258">
        <v>2.74</v>
      </c>
      <c r="G1595" s="257">
        <v>0.15</v>
      </c>
      <c r="H1595" s="257">
        <v>1</v>
      </c>
      <c r="I1595" s="257"/>
      <c r="J1595" s="259"/>
      <c r="K1595" s="260">
        <f t="shared" si="43"/>
        <v>1.3974</v>
      </c>
      <c r="L1595" s="266" t="s">
        <v>1684</v>
      </c>
    </row>
    <row r="1596" spans="2:12">
      <c r="B1596" s="256" t="s">
        <v>1982</v>
      </c>
      <c r="C1596" s="250" t="s">
        <v>1931</v>
      </c>
      <c r="D1596" s="205" t="s">
        <v>169</v>
      </c>
      <c r="E1596" s="257">
        <v>7.39</v>
      </c>
      <c r="F1596" s="258">
        <v>0.5</v>
      </c>
      <c r="G1596" s="257">
        <v>0.1</v>
      </c>
      <c r="H1596" s="257">
        <v>1</v>
      </c>
      <c r="I1596" s="257"/>
      <c r="J1596" s="259"/>
      <c r="K1596" s="260">
        <f t="shared" si="43"/>
        <v>0.3695</v>
      </c>
      <c r="L1596" s="266" t="s">
        <v>1684</v>
      </c>
    </row>
    <row r="1597" spans="2:12">
      <c r="B1597" s="256" t="s">
        <v>1920</v>
      </c>
      <c r="C1597" s="250" t="s">
        <v>1931</v>
      </c>
      <c r="D1597" s="205" t="s">
        <v>169</v>
      </c>
      <c r="E1597" s="257">
        <v>25.82</v>
      </c>
      <c r="F1597" s="258">
        <v>6.86</v>
      </c>
      <c r="G1597" s="257">
        <v>0.3</v>
      </c>
      <c r="H1597" s="257">
        <v>1</v>
      </c>
      <c r="I1597" s="257"/>
      <c r="J1597" s="259">
        <v>26.709375000000001</v>
      </c>
      <c r="K1597" s="260">
        <f t="shared" si="43"/>
        <v>26.428184999999999</v>
      </c>
      <c r="L1597" s="266" t="s">
        <v>1919</v>
      </c>
    </row>
    <row r="1598" spans="2:12">
      <c r="B1598" s="256" t="s">
        <v>1921</v>
      </c>
      <c r="C1598" s="250" t="s">
        <v>1931</v>
      </c>
      <c r="D1598" s="205" t="s">
        <v>169</v>
      </c>
      <c r="E1598" s="257">
        <v>7.39</v>
      </c>
      <c r="F1598" s="258">
        <v>0.5</v>
      </c>
      <c r="G1598" s="257">
        <v>0.1</v>
      </c>
      <c r="H1598" s="257">
        <v>1</v>
      </c>
      <c r="I1598" s="257"/>
      <c r="J1598" s="259">
        <v>0</v>
      </c>
      <c r="K1598" s="260">
        <f t="shared" si="43"/>
        <v>0.3695</v>
      </c>
      <c r="L1598" s="266" t="s">
        <v>1919</v>
      </c>
    </row>
    <row r="1599" spans="2:12">
      <c r="B1599" s="256" t="s">
        <v>1922</v>
      </c>
      <c r="C1599" s="250" t="s">
        <v>1931</v>
      </c>
      <c r="D1599" s="205" t="s">
        <v>169</v>
      </c>
      <c r="E1599" s="257">
        <v>3.95</v>
      </c>
      <c r="F1599" s="258">
        <v>0.15</v>
      </c>
      <c r="G1599" s="257">
        <v>0.15</v>
      </c>
      <c r="H1599" s="257">
        <v>1</v>
      </c>
      <c r="I1599" s="257"/>
      <c r="J1599" s="259">
        <v>0</v>
      </c>
      <c r="K1599" s="260">
        <f t="shared" si="43"/>
        <v>8.8874999999999996E-2</v>
      </c>
      <c r="L1599" s="266" t="s">
        <v>1919</v>
      </c>
    </row>
    <row r="1600" spans="2:12">
      <c r="B1600" s="256" t="s">
        <v>1923</v>
      </c>
      <c r="C1600" s="250" t="s">
        <v>1931</v>
      </c>
      <c r="D1600" s="205" t="s">
        <v>169</v>
      </c>
      <c r="E1600" s="257">
        <v>19.7</v>
      </c>
      <c r="F1600" s="258">
        <v>8.9499999999999993</v>
      </c>
      <c r="G1600" s="257">
        <v>0.35</v>
      </c>
      <c r="H1600" s="257">
        <v>1</v>
      </c>
      <c r="I1600" s="257"/>
      <c r="J1600" s="259">
        <v>30.685402</v>
      </c>
      <c r="K1600" s="260">
        <f t="shared" si="43"/>
        <v>31.024847999999988</v>
      </c>
      <c r="L1600" s="266" t="s">
        <v>1919</v>
      </c>
    </row>
    <row r="1601" spans="2:12">
      <c r="B1601" s="256" t="s">
        <v>1924</v>
      </c>
      <c r="C1601" s="250" t="s">
        <v>1931</v>
      </c>
      <c r="D1601" s="205" t="s">
        <v>169</v>
      </c>
      <c r="E1601" s="257">
        <v>10.61</v>
      </c>
      <c r="F1601" s="258">
        <v>0.83</v>
      </c>
      <c r="G1601" s="257">
        <v>0.15</v>
      </c>
      <c r="H1601" s="257">
        <v>1</v>
      </c>
      <c r="I1601" s="257"/>
      <c r="J1601" s="259">
        <v>0</v>
      </c>
      <c r="K1601" s="260">
        <f t="shared" si="43"/>
        <v>1.3209449999999998</v>
      </c>
      <c r="L1601" s="266" t="s">
        <v>1919</v>
      </c>
    </row>
    <row r="1602" spans="2:12">
      <c r="B1602" s="256" t="s">
        <v>1925</v>
      </c>
      <c r="C1602" s="250" t="s">
        <v>1931</v>
      </c>
      <c r="D1602" s="205" t="s">
        <v>169</v>
      </c>
      <c r="E1602" s="257">
        <v>3.65</v>
      </c>
      <c r="F1602" s="258">
        <v>0.15</v>
      </c>
      <c r="G1602" s="257">
        <v>0.15</v>
      </c>
      <c r="H1602" s="257">
        <v>1</v>
      </c>
      <c r="I1602" s="257"/>
      <c r="J1602" s="259">
        <v>0</v>
      </c>
      <c r="K1602" s="260">
        <f t="shared" si="43"/>
        <v>8.212499999999999E-2</v>
      </c>
      <c r="L1602" s="266" t="s">
        <v>1919</v>
      </c>
    </row>
    <row r="1603" spans="2:12">
      <c r="B1603" s="256" t="s">
        <v>1926</v>
      </c>
      <c r="C1603" s="250" t="s">
        <v>1931</v>
      </c>
      <c r="D1603" s="205" t="s">
        <v>169</v>
      </c>
      <c r="E1603" s="257">
        <v>6.51</v>
      </c>
      <c r="F1603" s="258">
        <v>4.1500000000000004</v>
      </c>
      <c r="G1603" s="257">
        <v>0.25</v>
      </c>
      <c r="H1603" s="257">
        <v>1</v>
      </c>
      <c r="I1603" s="257"/>
      <c r="J1603" s="259">
        <v>3.4451040000000002</v>
      </c>
      <c r="K1603" s="260">
        <f t="shared" si="43"/>
        <v>3.309021</v>
      </c>
      <c r="L1603" s="266" t="s">
        <v>1919</v>
      </c>
    </row>
    <row r="1604" spans="2:12">
      <c r="B1604" s="256" t="s">
        <v>1927</v>
      </c>
      <c r="C1604" s="250" t="s">
        <v>1931</v>
      </c>
      <c r="D1604" s="205" t="s">
        <v>169</v>
      </c>
      <c r="E1604" s="257">
        <v>8.07</v>
      </c>
      <c r="F1604" s="258">
        <v>9.35</v>
      </c>
      <c r="G1604" s="257">
        <v>0.18</v>
      </c>
      <c r="H1604" s="257">
        <v>1</v>
      </c>
      <c r="I1604" s="257"/>
      <c r="J1604" s="259">
        <v>0</v>
      </c>
      <c r="K1604" s="260">
        <f t="shared" si="43"/>
        <v>13.581809999999999</v>
      </c>
      <c r="L1604" s="266" t="s">
        <v>1919</v>
      </c>
    </row>
    <row r="1605" spans="2:12">
      <c r="B1605" s="256" t="s">
        <v>1928</v>
      </c>
      <c r="C1605" s="250" t="s">
        <v>1931</v>
      </c>
      <c r="D1605" s="205" t="s">
        <v>169</v>
      </c>
      <c r="E1605" s="257">
        <v>5.6</v>
      </c>
      <c r="F1605" s="258">
        <v>5</v>
      </c>
      <c r="G1605" s="257">
        <v>0.25</v>
      </c>
      <c r="H1605" s="257">
        <v>1</v>
      </c>
      <c r="I1605" s="257"/>
      <c r="J1605" s="259">
        <v>3.2951039999999998</v>
      </c>
      <c r="K1605" s="260">
        <f t="shared" si="43"/>
        <v>3.7048960000000002</v>
      </c>
      <c r="L1605" s="266" t="s">
        <v>1919</v>
      </c>
    </row>
    <row r="1606" spans="2:12">
      <c r="B1606" s="256"/>
      <c r="C1606" s="210"/>
      <c r="D1606" s="210"/>
      <c r="E1606" s="257"/>
      <c r="F1606" s="258"/>
      <c r="G1606" s="257"/>
      <c r="H1606" s="257"/>
      <c r="I1606" s="257"/>
      <c r="J1606" s="259"/>
      <c r="K1606" s="260">
        <f t="shared" ref="K1606" si="44">IF(E1606*F1606*G1606&lt;&gt;0,E1606*F1606*G1606,IF(E1606*F1606&lt;&gt;0,E1606*F1606,IF(F1606*G1606&lt;&gt;0,F1606*G1606,IF(E1606*G1606&lt;&gt;0,E1606*G1606,IF(E1606&lt;&gt;0,E1606,IF(F1606&lt;&gt;0,F1606,IF(G1606&lt;&gt;0,G1606,0)))))))*(IF(H1606&lt;&gt;0,H1606,1))+I1606-J1606</f>
        <v>0</v>
      </c>
      <c r="L1606" s="210"/>
    </row>
    <row r="1607" spans="2:12">
      <c r="B1607" s="202"/>
      <c r="C1607" s="203"/>
      <c r="D1607" s="203"/>
      <c r="E1607" s="203"/>
      <c r="F1607" s="203"/>
      <c r="G1607" s="203"/>
      <c r="H1607" s="204"/>
      <c r="I1607" s="556" t="s">
        <v>1221</v>
      </c>
      <c r="J1607" s="556"/>
      <c r="K1607" s="220">
        <f>SUM(K1510:K1606)</f>
        <v>731.76604657500013</v>
      </c>
      <c r="L1607" s="207"/>
    </row>
    <row r="1608" spans="2:12">
      <c r="B1608" s="208"/>
      <c r="C1608" s="204"/>
      <c r="D1608" s="204"/>
      <c r="E1608" s="204"/>
      <c r="F1608" s="204"/>
      <c r="G1608" s="204"/>
      <c r="H1608" s="209"/>
      <c r="I1608" s="557" t="s">
        <v>1222</v>
      </c>
      <c r="J1608" s="557"/>
      <c r="K1608" s="221">
        <f>VLOOKUP(B1508,'BM 004'!$B$27:$R$590,4,0)</f>
        <v>803.99</v>
      </c>
      <c r="L1608" s="246"/>
    </row>
    <row r="1609" spans="2:12">
      <c r="B1609" s="208"/>
      <c r="C1609" s="204"/>
      <c r="D1609" s="204"/>
      <c r="E1609" s="204"/>
      <c r="F1609" s="204"/>
      <c r="G1609" s="204"/>
      <c r="H1609" s="558" t="s">
        <v>1223</v>
      </c>
      <c r="I1609" s="558"/>
      <c r="J1609" s="558"/>
      <c r="K1609" s="222">
        <v>569.45000000000005</v>
      </c>
      <c r="L1609" s="207"/>
    </row>
    <row r="1610" spans="2:12">
      <c r="B1610" s="208"/>
      <c r="C1610" s="204"/>
      <c r="D1610" s="204"/>
      <c r="E1610" s="204"/>
      <c r="F1610" s="204"/>
      <c r="G1610" s="204"/>
      <c r="H1610" s="558" t="s">
        <v>1891</v>
      </c>
      <c r="I1610" s="558"/>
      <c r="J1610" s="558"/>
      <c r="K1610" s="222">
        <f>TRUNC(SUMIF(C1510:C1606,H1610,K1510:K1606),2)</f>
        <v>151.31</v>
      </c>
      <c r="L1610" s="246"/>
    </row>
    <row r="1611" spans="2:12">
      <c r="B1611" s="213"/>
      <c r="C1611" s="214"/>
      <c r="D1611" s="214"/>
      <c r="E1611" s="214"/>
      <c r="F1611" s="214"/>
      <c r="G1611" s="214"/>
      <c r="H1611" s="559" t="s">
        <v>1224</v>
      </c>
      <c r="I1611" s="559"/>
      <c r="J1611" s="559"/>
      <c r="K1611" s="223">
        <f>IF(K1607&gt;K1608,K1607-K1608,0)</f>
        <v>0</v>
      </c>
      <c r="L1611" s="209"/>
    </row>
    <row r="1613" spans="2:12">
      <c r="B1613" s="247" t="s">
        <v>1745</v>
      </c>
      <c r="C1613" s="565" t="str">
        <f>VLOOKUP(B1613,'BM 011'!$B$28:$R$618,2,0)</f>
        <v>ARMAÇÃO PARA EXECUÇÃO DE RADIER, PISO DE CONCRETO OU LAJE SOBRE SOLO, COM USO DE TELA Q-196. AF_09/2021</v>
      </c>
      <c r="D1613" s="565"/>
      <c r="E1613" s="565"/>
      <c r="F1613" s="565"/>
      <c r="G1613" s="565"/>
      <c r="H1613" s="565"/>
      <c r="I1613" s="565"/>
      <c r="J1613" s="565"/>
      <c r="K1613" s="565"/>
      <c r="L1613" s="565"/>
    </row>
    <row r="1614" spans="2:12">
      <c r="B1614" s="248" t="s">
        <v>1209</v>
      </c>
      <c r="C1614" s="248"/>
      <c r="D1614" s="248" t="s">
        <v>39</v>
      </c>
      <c r="E1614" s="248" t="s">
        <v>1210</v>
      </c>
      <c r="F1614" s="248" t="s">
        <v>1388</v>
      </c>
      <c r="G1614" s="248" t="s">
        <v>1212</v>
      </c>
      <c r="H1614" s="248" t="s">
        <v>1213</v>
      </c>
      <c r="I1614" s="248" t="s">
        <v>1214</v>
      </c>
      <c r="J1614" s="248" t="s">
        <v>1385</v>
      </c>
      <c r="K1614" s="248" t="s">
        <v>1216</v>
      </c>
      <c r="L1614" s="248" t="s">
        <v>1217</v>
      </c>
    </row>
    <row r="1615" spans="2:12">
      <c r="B1615" s="256" t="s">
        <v>1932</v>
      </c>
      <c r="C1615" s="250" t="s">
        <v>1931</v>
      </c>
      <c r="D1615" s="205" t="s">
        <v>79</v>
      </c>
      <c r="E1615" s="261">
        <v>1174</v>
      </c>
      <c r="F1615" s="261">
        <v>3.11</v>
      </c>
      <c r="G1615" s="261"/>
      <c r="H1615" s="261">
        <v>1</v>
      </c>
      <c r="I1615" s="261"/>
      <c r="J1615" s="275"/>
      <c r="K1615" s="260">
        <f t="shared" ref="K1615:K1620" si="45">IF(E1615*F1615*G1615&lt;&gt;0,E1615*F1615*G1615,IF(E1615*F1615&lt;&gt;0,E1615*F1615,IF(F1615*G1615&lt;&gt;0,F1615*G1615,IF(E1615*G1615&lt;&gt;0,E1615*G1615,IF(E1615&lt;&gt;0,E1615,IF(F1615&lt;&gt;0,F1615,IF(G1615&lt;&gt;0,G1615,0)))))))*(IF(H1615&lt;&gt;0,H1615,1))+I1615-J1615</f>
        <v>3651.14</v>
      </c>
      <c r="L1615" s="266"/>
    </row>
    <row r="1616" spans="2:12">
      <c r="B1616" s="256" t="s">
        <v>1557</v>
      </c>
      <c r="C1616" s="250" t="s">
        <v>1931</v>
      </c>
      <c r="D1616" s="205" t="s">
        <v>79</v>
      </c>
      <c r="E1616" s="261">
        <v>1086.1600000000001</v>
      </c>
      <c r="F1616" s="261">
        <v>3.11</v>
      </c>
      <c r="G1616" s="261"/>
      <c r="H1616" s="261">
        <v>1</v>
      </c>
      <c r="I1616" s="261"/>
      <c r="J1616" s="275"/>
      <c r="K1616" s="260">
        <f t="shared" si="45"/>
        <v>3377.9576000000002</v>
      </c>
      <c r="L1616" s="266"/>
    </row>
    <row r="1617" spans="2:12">
      <c r="B1617" s="256" t="s">
        <v>1558</v>
      </c>
      <c r="C1617" s="250" t="s">
        <v>1931</v>
      </c>
      <c r="D1617" s="205" t="s">
        <v>79</v>
      </c>
      <c r="E1617" s="261">
        <v>952.86</v>
      </c>
      <c r="F1617" s="261">
        <v>3.11</v>
      </c>
      <c r="G1617" s="261"/>
      <c r="H1617" s="261">
        <v>1</v>
      </c>
      <c r="I1617" s="261"/>
      <c r="J1617" s="275"/>
      <c r="K1617" s="260">
        <f t="shared" si="45"/>
        <v>2963.3946000000001</v>
      </c>
      <c r="L1617" s="266"/>
    </row>
    <row r="1618" spans="2:12">
      <c r="B1618" s="256" t="s">
        <v>1983</v>
      </c>
      <c r="C1618" s="250" t="s">
        <v>1931</v>
      </c>
      <c r="D1618" s="205" t="s">
        <v>79</v>
      </c>
      <c r="E1618" s="261">
        <v>952.86</v>
      </c>
      <c r="F1618" s="261">
        <v>3.11</v>
      </c>
      <c r="G1618" s="261"/>
      <c r="H1618" s="261">
        <v>1</v>
      </c>
      <c r="I1618" s="261"/>
      <c r="J1618" s="275"/>
      <c r="K1618" s="260">
        <f t="shared" si="45"/>
        <v>2963.3946000000001</v>
      </c>
      <c r="L1618" s="266"/>
    </row>
    <row r="1619" spans="2:12">
      <c r="B1619" s="323" t="s">
        <v>1984</v>
      </c>
      <c r="C1619" s="324" t="s">
        <v>1931</v>
      </c>
      <c r="D1619" s="324" t="s">
        <v>79</v>
      </c>
      <c r="E1619" s="231">
        <v>1034.77</v>
      </c>
      <c r="F1619" s="231">
        <v>3.11</v>
      </c>
      <c r="G1619" s="231">
        <v>0.5</v>
      </c>
      <c r="H1619" s="231">
        <v>1</v>
      </c>
      <c r="I1619" s="275"/>
      <c r="J1619" s="275"/>
      <c r="K1619" s="260">
        <f t="shared" si="45"/>
        <v>1609.0673499999998</v>
      </c>
      <c r="L1619" s="331"/>
    </row>
    <row r="1620" spans="2:12">
      <c r="B1620" s="256"/>
      <c r="C1620" s="210"/>
      <c r="D1620" s="210"/>
      <c r="E1620" s="261"/>
      <c r="F1620" s="261"/>
      <c r="G1620" s="261"/>
      <c r="H1620" s="261"/>
      <c r="I1620" s="261"/>
      <c r="J1620" s="275"/>
      <c r="K1620" s="260">
        <f t="shared" si="45"/>
        <v>0</v>
      </c>
      <c r="L1620" s="210"/>
    </row>
    <row r="1621" spans="2:12">
      <c r="B1621" s="202"/>
      <c r="C1621" s="203"/>
      <c r="D1621" s="203"/>
      <c r="E1621" s="203"/>
      <c r="F1621" s="203"/>
      <c r="G1621" s="203"/>
      <c r="H1621" s="204"/>
      <c r="I1621" s="556" t="s">
        <v>1221</v>
      </c>
      <c r="J1621" s="556"/>
      <c r="K1621" s="220">
        <f>SUM(K1615:K1620)</f>
        <v>14564.95415</v>
      </c>
      <c r="L1621" s="207"/>
    </row>
    <row r="1622" spans="2:12">
      <c r="B1622" s="208"/>
      <c r="C1622" s="204"/>
      <c r="D1622" s="204"/>
      <c r="E1622" s="204"/>
      <c r="F1622" s="204"/>
      <c r="G1622" s="204"/>
      <c r="H1622" s="209"/>
      <c r="I1622" s="556" t="s">
        <v>1222</v>
      </c>
      <c r="J1622" s="556"/>
      <c r="K1622" s="221">
        <f>VLOOKUP(B1613,'BM 011'!$B$28:$R$618,5,0)</f>
        <v>17291.599999999999</v>
      </c>
      <c r="L1622" s="246"/>
    </row>
    <row r="1623" spans="2:12">
      <c r="B1623" s="208"/>
      <c r="C1623" s="204"/>
      <c r="D1623" s="204"/>
      <c r="E1623" s="204"/>
      <c r="F1623" s="204"/>
      <c r="G1623" s="204"/>
      <c r="H1623" s="558" t="s">
        <v>1223</v>
      </c>
      <c r="I1623" s="558"/>
      <c r="J1623" s="558"/>
      <c r="K1623" s="222">
        <v>0</v>
      </c>
      <c r="L1623" s="207"/>
    </row>
    <row r="1624" spans="2:12">
      <c r="B1624" s="208"/>
      <c r="C1624" s="204"/>
      <c r="D1624" s="204"/>
      <c r="E1624" s="204"/>
      <c r="F1624" s="204"/>
      <c r="G1624" s="204"/>
      <c r="H1624" s="558" t="s">
        <v>1891</v>
      </c>
      <c r="I1624" s="558"/>
      <c r="J1624" s="558"/>
      <c r="K1624" s="222">
        <f>TRUNC(SUMIF(C1615:C1620,H1624,K1615:K1620),2)</f>
        <v>14564.95</v>
      </c>
      <c r="L1624" s="207"/>
    </row>
    <row r="1625" spans="2:12">
      <c r="B1625" s="213"/>
      <c r="C1625" s="214"/>
      <c r="D1625" s="214"/>
      <c r="E1625" s="214"/>
      <c r="F1625" s="214"/>
      <c r="G1625" s="214"/>
      <c r="H1625" s="566" t="s">
        <v>1224</v>
      </c>
      <c r="I1625" s="566"/>
      <c r="J1625" s="566"/>
      <c r="K1625" s="223">
        <f>IF(K1621&gt;K1622,K1621-K1622,0)</f>
        <v>0</v>
      </c>
      <c r="L1625" s="209"/>
    </row>
    <row r="1627" spans="2:12">
      <c r="B1627" s="247" t="s">
        <v>259</v>
      </c>
      <c r="C1627" s="573" t="str">
        <f>VLOOKUP(B1627,'BM 004'!$B$27:$R$590,2,0)</f>
        <v xml:space="preserve">FIXAÇÃO (ENCUNHAMENTO) DE ALVENARIA DE VEDAÇÃO COM TIJOLO MACIÇO. 
aplicada com bisnaga. </v>
      </c>
      <c r="D1627" s="573"/>
      <c r="E1627" s="573"/>
      <c r="F1627" s="573"/>
      <c r="G1627" s="573"/>
      <c r="H1627" s="573"/>
      <c r="I1627" s="573"/>
      <c r="J1627" s="573"/>
      <c r="K1627" s="573"/>
      <c r="L1627" s="573"/>
    </row>
    <row r="1628" spans="2:12">
      <c r="B1628" s="248" t="s">
        <v>1209</v>
      </c>
      <c r="C1628" s="248"/>
      <c r="D1628" s="248" t="s">
        <v>39</v>
      </c>
      <c r="E1628" s="248" t="s">
        <v>1210</v>
      </c>
      <c r="F1628" s="248" t="s">
        <v>1388</v>
      </c>
      <c r="G1628" s="248" t="s">
        <v>1212</v>
      </c>
      <c r="H1628" s="248" t="s">
        <v>1213</v>
      </c>
      <c r="I1628" s="248" t="s">
        <v>1214</v>
      </c>
      <c r="J1628" s="248" t="s">
        <v>1385</v>
      </c>
      <c r="K1628" s="248" t="s">
        <v>1216</v>
      </c>
      <c r="L1628" s="248" t="s">
        <v>1217</v>
      </c>
    </row>
    <row r="1629" spans="2:12">
      <c r="B1629" s="256" t="s">
        <v>1985</v>
      </c>
      <c r="C1629" s="250" t="s">
        <v>1931</v>
      </c>
      <c r="D1629" s="205" t="s">
        <v>82</v>
      </c>
      <c r="E1629" s="261">
        <v>85</v>
      </c>
      <c r="F1629" s="261"/>
      <c r="G1629" s="261"/>
      <c r="H1629" s="261"/>
      <c r="I1629" s="261"/>
      <c r="J1629" s="275"/>
      <c r="K1629" s="260">
        <f>IF(E1629*F1629*G1629&lt;&gt;0,E1629*F1629*G1629,IF(E1629*F1629&lt;&gt;0,E1629*F1629,IF(F1629*G1629&lt;&gt;0,F1629*G1629,IF(E1629*G1629&lt;&gt;0,E1629*G1629,IF(E1629&lt;&gt;0,E1629,IF(F1629&lt;&gt;0,F1629,IF(G1629&lt;&gt;0,G1629,0)))))))*(IF(H1629&lt;&gt;0,H1629,1))+I1629-J1629</f>
        <v>85</v>
      </c>
      <c r="L1629" s="266"/>
    </row>
    <row r="1630" spans="2:12">
      <c r="B1630" s="256"/>
      <c r="C1630" s="250"/>
      <c r="D1630" s="205"/>
      <c r="E1630" s="261"/>
      <c r="F1630" s="261"/>
      <c r="G1630" s="261"/>
      <c r="H1630" s="261"/>
      <c r="I1630" s="261"/>
      <c r="J1630" s="275"/>
      <c r="K1630" s="260">
        <f>IF(E1630*F1630*G1630&lt;&gt;0,E1630*F1630*G1630,IF(E1630*F1630&lt;&gt;0,E1630*F1630,IF(F1630*G1630&lt;&gt;0,F1630*G1630,IF(E1630*G1630&lt;&gt;0,E1630*G1630,IF(E1630&lt;&gt;0,E1630,IF(F1630&lt;&gt;0,F1630,IF(G1630&lt;&gt;0,G1630,0)))))))*(IF(H1630&lt;&gt;0,H1630,1))+I1630-J1630</f>
        <v>0</v>
      </c>
      <c r="L1630" s="266"/>
    </row>
    <row r="1631" spans="2:12">
      <c r="B1631" s="256"/>
      <c r="C1631" s="264"/>
      <c r="D1631" s="210"/>
      <c r="E1631" s="261"/>
      <c r="F1631" s="261"/>
      <c r="G1631" s="261"/>
      <c r="H1631" s="261"/>
      <c r="I1631" s="261"/>
      <c r="J1631" s="275"/>
      <c r="K1631" s="260">
        <f>IF(E1631*F1631*G1631&lt;&gt;0,E1631*F1631*G1631,IF(E1631*F1631&lt;&gt;0,E1631*F1631,IF(F1631*G1631&lt;&gt;0,F1631*G1631,IF(E1631*G1631&lt;&gt;0,E1631*G1631,IF(E1631&lt;&gt;0,E1631,IF(F1631&lt;&gt;0,F1631,IF(G1631&lt;&gt;0,G1631,0)))))))*(IF(H1631&lt;&gt;0,H1631,1))+I1631-J1631</f>
        <v>0</v>
      </c>
      <c r="L1631" s="266"/>
    </row>
    <row r="1632" spans="2:12">
      <c r="B1632" s="256"/>
      <c r="C1632" s="264"/>
      <c r="D1632" s="210"/>
      <c r="E1632" s="261"/>
      <c r="F1632" s="261"/>
      <c r="G1632" s="261"/>
      <c r="H1632" s="261"/>
      <c r="I1632" s="261"/>
      <c r="J1632" s="275"/>
      <c r="K1632" s="260">
        <f>IF(E1632*F1632*G1632&lt;&gt;0,E1632*F1632*G1632,IF(E1632*F1632&lt;&gt;0,E1632*F1632,IF(F1632*G1632&lt;&gt;0,F1632*G1632,IF(E1632*G1632&lt;&gt;0,E1632*G1632,IF(E1632&lt;&gt;0,E1632,IF(F1632&lt;&gt;0,F1632,IF(G1632&lt;&gt;0,G1632,0)))))))*(IF(H1632&lt;&gt;0,H1632,1))+I1632-J1632</f>
        <v>0</v>
      </c>
      <c r="L1632" s="266"/>
    </row>
    <row r="1633" spans="2:12">
      <c r="B1633" s="256"/>
      <c r="C1633" s="210"/>
      <c r="D1633" s="210"/>
      <c r="E1633" s="261"/>
      <c r="F1633" s="261"/>
      <c r="G1633" s="261"/>
      <c r="H1633" s="261"/>
      <c r="I1633" s="261"/>
      <c r="J1633" s="275"/>
      <c r="K1633" s="260">
        <f>IF(E1633*F1633*G1633&lt;&gt;0,E1633*F1633*G1633,IF(E1633*F1633&lt;&gt;0,E1633*F1633,IF(F1633*G1633&lt;&gt;0,F1633*G1633,IF(E1633*G1633&lt;&gt;0,E1633*G1633,IF(E1633&lt;&gt;0,E1633,IF(F1633&lt;&gt;0,F1633,IF(G1633&lt;&gt;0,G1633,0)))))))*(IF(H1633&lt;&gt;0,H1633,1))+I1633-J1633</f>
        <v>0</v>
      </c>
      <c r="L1633" s="210"/>
    </row>
    <row r="1634" spans="2:12">
      <c r="B1634" s="202"/>
      <c r="C1634" s="203"/>
      <c r="D1634" s="203"/>
      <c r="E1634" s="203"/>
      <c r="F1634" s="203"/>
      <c r="G1634" s="203"/>
      <c r="H1634" s="204"/>
      <c r="I1634" s="556" t="s">
        <v>1221</v>
      </c>
      <c r="J1634" s="556"/>
      <c r="K1634" s="220">
        <f>SUM(K1629:K1633)</f>
        <v>85</v>
      </c>
      <c r="L1634" s="207"/>
    </row>
    <row r="1635" spans="2:12">
      <c r="B1635" s="208"/>
      <c r="C1635" s="204"/>
      <c r="D1635" s="204"/>
      <c r="E1635" s="204"/>
      <c r="F1635" s="204"/>
      <c r="G1635" s="204"/>
      <c r="H1635" s="209"/>
      <c r="I1635" s="556" t="s">
        <v>1222</v>
      </c>
      <c r="J1635" s="556"/>
      <c r="K1635" s="221">
        <f>VLOOKUP(B1627,'BM 011'!$B$28:$R$681,5,0)</f>
        <v>3852</v>
      </c>
      <c r="L1635" s="246"/>
    </row>
    <row r="1636" spans="2:12">
      <c r="B1636" s="208"/>
      <c r="C1636" s="204"/>
      <c r="D1636" s="204"/>
      <c r="E1636" s="204"/>
      <c r="F1636" s="204"/>
      <c r="G1636" s="204"/>
      <c r="H1636" s="558" t="s">
        <v>1223</v>
      </c>
      <c r="I1636" s="558"/>
      <c r="J1636" s="558"/>
      <c r="K1636" s="222">
        <v>0</v>
      </c>
      <c r="L1636" s="207"/>
    </row>
    <row r="1637" spans="2:12">
      <c r="B1637" s="208"/>
      <c r="C1637" s="204"/>
      <c r="D1637" s="204"/>
      <c r="E1637" s="204"/>
      <c r="F1637" s="204"/>
      <c r="G1637" s="204"/>
      <c r="H1637" s="558" t="s">
        <v>1891</v>
      </c>
      <c r="I1637" s="558"/>
      <c r="J1637" s="558"/>
      <c r="K1637" s="222">
        <f>TRUNC(SUMIF(C1629:C1633,H1637,K1629:K1633),2)</f>
        <v>85</v>
      </c>
      <c r="L1637" s="207"/>
    </row>
    <row r="1638" spans="2:12">
      <c r="B1638" s="213"/>
      <c r="C1638" s="214"/>
      <c r="D1638" s="214"/>
      <c r="E1638" s="214"/>
      <c r="F1638" s="214"/>
      <c r="G1638" s="214"/>
      <c r="H1638" s="566" t="s">
        <v>1224</v>
      </c>
      <c r="I1638" s="566"/>
      <c r="J1638" s="566"/>
      <c r="K1638" s="223">
        <f>IF(K1634&gt;K1635,K1634-K1635,0)</f>
        <v>0</v>
      </c>
      <c r="L1638" s="209"/>
    </row>
    <row r="1640" spans="2:12">
      <c r="B1640" s="247" t="s">
        <v>261</v>
      </c>
      <c r="C1640" s="565" t="str">
        <f>VLOOKUP(B1640,'BM 004'!$B$27:$R$590,2,0)</f>
        <v xml:space="preserve">ALVENARIA DE EMBASAMENTO COM BLOCO ESTRUTURAL DE CONCRETO, DE 14X19X29CM E ARGAMASSA DE ASSENTAMENTO COM PREPARO EM BETONEIRA. </v>
      </c>
      <c r="D1640" s="565"/>
      <c r="E1640" s="565"/>
      <c r="F1640" s="565"/>
      <c r="G1640" s="565"/>
      <c r="H1640" s="565"/>
      <c r="I1640" s="565"/>
      <c r="J1640" s="565"/>
      <c r="K1640" s="565"/>
      <c r="L1640" s="565"/>
    </row>
    <row r="1641" spans="2:12">
      <c r="B1641" s="248" t="s">
        <v>1209</v>
      </c>
      <c r="C1641" s="248"/>
      <c r="D1641" s="248" t="s">
        <v>39</v>
      </c>
      <c r="E1641" s="248" t="s">
        <v>1210</v>
      </c>
      <c r="F1641" s="248" t="s">
        <v>1388</v>
      </c>
      <c r="G1641" s="248" t="s">
        <v>1212</v>
      </c>
      <c r="H1641" s="248" t="s">
        <v>1213</v>
      </c>
      <c r="I1641" s="248" t="s">
        <v>1214</v>
      </c>
      <c r="J1641" s="248" t="s">
        <v>1385</v>
      </c>
      <c r="K1641" s="248" t="s">
        <v>1216</v>
      </c>
      <c r="L1641" s="248" t="s">
        <v>1217</v>
      </c>
    </row>
    <row r="1642" spans="2:12">
      <c r="B1642" s="256" t="s">
        <v>1722</v>
      </c>
      <c r="C1642" s="250" t="s">
        <v>1612</v>
      </c>
      <c r="D1642" s="205" t="s">
        <v>79</v>
      </c>
      <c r="E1642" s="261">
        <v>26.18</v>
      </c>
      <c r="F1642" s="261">
        <v>0.19</v>
      </c>
      <c r="G1642" s="261">
        <v>0.4</v>
      </c>
      <c r="H1642" s="261">
        <v>1</v>
      </c>
      <c r="I1642" s="261"/>
      <c r="J1642" s="275"/>
      <c r="K1642" s="260">
        <f>IF(E1642*F1642*G1642&lt;&gt;0,E1642*F1642*G1642,IF(E1642*F1642&lt;&gt;0,E1642*F1642,IF(F1642*G1642&lt;&gt;0,F1642*G1642,IF(E1642*G1642&lt;&gt;0,E1642*G1642,IF(E1642&lt;&gt;0,E1642,IF(F1642&lt;&gt;0,F1642,IF(G1642&lt;&gt;0,G1642,0)))))))*(IF(H1642&lt;&gt;0,H1642,1))+I1642-J1642</f>
        <v>1.9896799999999999</v>
      </c>
      <c r="L1642" s="266" t="s">
        <v>1723</v>
      </c>
    </row>
    <row r="1643" spans="2:12">
      <c r="B1643" s="256" t="s">
        <v>1724</v>
      </c>
      <c r="C1643" s="250" t="s">
        <v>1612</v>
      </c>
      <c r="D1643" s="205" t="s">
        <v>79</v>
      </c>
      <c r="E1643" s="261">
        <v>8.84</v>
      </c>
      <c r="F1643" s="261">
        <v>0.19</v>
      </c>
      <c r="G1643" s="261">
        <v>0.4</v>
      </c>
      <c r="H1643" s="261">
        <v>1</v>
      </c>
      <c r="I1643" s="261"/>
      <c r="J1643" s="275"/>
      <c r="K1643" s="260">
        <f>IF(E1643*F1643*G1643&lt;&gt;0,E1643*F1643*G1643,IF(E1643*F1643&lt;&gt;0,E1643*F1643,IF(F1643*G1643&lt;&gt;0,F1643*G1643,IF(E1643*G1643&lt;&gt;0,E1643*G1643,IF(E1643&lt;&gt;0,E1643,IF(F1643&lt;&gt;0,F1643,IF(G1643&lt;&gt;0,G1643,0)))))))*(IF(H1643&lt;&gt;0,H1643,1))+I1643-J1643</f>
        <v>0.67183999999999999</v>
      </c>
      <c r="L1643" s="266"/>
    </row>
    <row r="1644" spans="2:12">
      <c r="B1644" s="256" t="s">
        <v>1929</v>
      </c>
      <c r="C1644" s="264" t="s">
        <v>1895</v>
      </c>
      <c r="D1644" s="210" t="s">
        <v>79</v>
      </c>
      <c r="E1644" s="261">
        <f>10*3+5.5*3</f>
        <v>46.5</v>
      </c>
      <c r="F1644" s="261">
        <v>0.19</v>
      </c>
      <c r="G1644" s="261">
        <v>0.4</v>
      </c>
      <c r="H1644" s="261">
        <v>1</v>
      </c>
      <c r="I1644" s="261"/>
      <c r="J1644" s="275"/>
      <c r="K1644" s="260">
        <f>IF(E1644*F1644*G1644&lt;&gt;0,E1644*F1644*G1644,IF(E1644*F1644&lt;&gt;0,E1644*F1644,IF(F1644*G1644&lt;&gt;0,F1644*G1644,IF(E1644*G1644&lt;&gt;0,E1644*G1644,IF(E1644&lt;&gt;0,E1644,IF(F1644&lt;&gt;0,F1644,IF(G1644&lt;&gt;0,G1644,0)))))))*(IF(H1644&lt;&gt;0,H1644,1))+I1644-J1644</f>
        <v>3.5340000000000007</v>
      </c>
      <c r="L1644" s="266"/>
    </row>
    <row r="1645" spans="2:12">
      <c r="B1645" s="256" t="s">
        <v>1929</v>
      </c>
      <c r="C1645" s="264" t="s">
        <v>1931</v>
      </c>
      <c r="D1645" s="210" t="s">
        <v>79</v>
      </c>
      <c r="E1645" s="261">
        <v>89</v>
      </c>
      <c r="F1645" s="261">
        <v>0.19</v>
      </c>
      <c r="G1645" s="261">
        <v>0.4</v>
      </c>
      <c r="H1645" s="261">
        <v>1</v>
      </c>
      <c r="I1645" s="261"/>
      <c r="J1645" s="275"/>
      <c r="K1645" s="260">
        <f>IF(E1645*F1645*G1645&lt;&gt;0,E1645*F1645*G1645,IF(E1645*F1645&lt;&gt;0,E1645*F1645,IF(F1645*G1645&lt;&gt;0,F1645*G1645,IF(E1645*G1645&lt;&gt;0,E1645*G1645,IF(E1645&lt;&gt;0,E1645,IF(F1645&lt;&gt;0,F1645,IF(G1645&lt;&gt;0,G1645,0)))))))*(IF(H1645&lt;&gt;0,H1645,1))+I1645-J1645</f>
        <v>6.7640000000000002</v>
      </c>
      <c r="L1645" s="266"/>
    </row>
    <row r="1646" spans="2:12">
      <c r="B1646" s="256"/>
      <c r="C1646" s="210"/>
      <c r="D1646" s="210"/>
      <c r="E1646" s="261"/>
      <c r="F1646" s="261"/>
      <c r="G1646" s="261"/>
      <c r="H1646" s="261"/>
      <c r="I1646" s="261"/>
      <c r="J1646" s="275"/>
      <c r="K1646" s="260">
        <f>IF(E1646*F1646*G1646&lt;&gt;0,E1646*F1646*G1646,IF(E1646*F1646&lt;&gt;0,E1646*F1646,IF(F1646*G1646&lt;&gt;0,F1646*G1646,IF(E1646*G1646&lt;&gt;0,E1646*G1646,IF(E1646&lt;&gt;0,E1646,IF(F1646&lt;&gt;0,F1646,IF(G1646&lt;&gt;0,G1646,0)))))))*(IF(H1646&lt;&gt;0,H1646,1))+I1646-J1646</f>
        <v>0</v>
      </c>
      <c r="L1646" s="210"/>
    </row>
    <row r="1647" spans="2:12">
      <c r="B1647" s="202"/>
      <c r="C1647" s="203"/>
      <c r="D1647" s="203"/>
      <c r="E1647" s="203"/>
      <c r="F1647" s="203"/>
      <c r="G1647" s="203"/>
      <c r="H1647" s="204"/>
      <c r="I1647" s="556" t="s">
        <v>1221</v>
      </c>
      <c r="J1647" s="556"/>
      <c r="K1647" s="220">
        <f>SUM(K1642:K1646)</f>
        <v>12.959520000000001</v>
      </c>
      <c r="L1647" s="207"/>
    </row>
    <row r="1648" spans="2:12">
      <c r="B1648" s="208"/>
      <c r="C1648" s="204"/>
      <c r="D1648" s="204"/>
      <c r="E1648" s="204"/>
      <c r="F1648" s="204"/>
      <c r="G1648" s="204"/>
      <c r="H1648" s="209"/>
      <c r="I1648" s="556" t="s">
        <v>1222</v>
      </c>
      <c r="J1648" s="556"/>
      <c r="K1648" s="221">
        <f>VLOOKUP(B1640,'BM 004'!$B$27:$R$590,4,0)</f>
        <v>112</v>
      </c>
      <c r="L1648" s="246"/>
    </row>
    <row r="1649" spans="2:12">
      <c r="B1649" s="208"/>
      <c r="C1649" s="204"/>
      <c r="D1649" s="204"/>
      <c r="E1649" s="204"/>
      <c r="F1649" s="204"/>
      <c r="G1649" s="204"/>
      <c r="H1649" s="558" t="s">
        <v>1223</v>
      </c>
      <c r="I1649" s="558"/>
      <c r="J1649" s="558"/>
      <c r="K1649" s="222">
        <v>6.1955200000000001</v>
      </c>
      <c r="L1649" s="207"/>
    </row>
    <row r="1650" spans="2:12">
      <c r="B1650" s="208"/>
      <c r="C1650" s="204"/>
      <c r="D1650" s="204"/>
      <c r="E1650" s="204"/>
      <c r="F1650" s="204"/>
      <c r="G1650" s="204"/>
      <c r="H1650" s="558" t="s">
        <v>1891</v>
      </c>
      <c r="I1650" s="558"/>
      <c r="J1650" s="558"/>
      <c r="K1650" s="222">
        <f>TRUNC(SUMIF(C1642:C1646,H1650,K1642:K1646),2)</f>
        <v>6.76</v>
      </c>
      <c r="L1650" s="207"/>
    </row>
    <row r="1651" spans="2:12">
      <c r="B1651" s="213"/>
      <c r="C1651" s="214"/>
      <c r="D1651" s="214"/>
      <c r="E1651" s="214"/>
      <c r="F1651" s="214"/>
      <c r="G1651" s="214"/>
      <c r="H1651" s="566" t="s">
        <v>1224</v>
      </c>
      <c r="I1651" s="566"/>
      <c r="J1651" s="566"/>
      <c r="K1651" s="223">
        <f>IF(K1647&gt;K1648,K1647-K1648,0)</f>
        <v>0</v>
      </c>
      <c r="L1651" s="209"/>
    </row>
    <row r="1653" spans="2:12">
      <c r="B1653" s="247" t="s">
        <v>263</v>
      </c>
      <c r="C1653" s="565" t="str">
        <f>VLOOKUP(B1653,'BM 004'!$B$27:$R$590,2,0)</f>
        <v xml:space="preserve">ALVENARIA DE VEDAÇÃO DE BLOCOS CERÂMICOS FURADOS NA HORIZONTAL DE 9X19X19CM (ESPESSURA 9CM) DE PAREDES COM ÁREA LÍQUIDA MAIOR OU IGUAL A 6M² COM VÃOS E ARGAMASSA DE ASSENTAMENTO COM PREPARO EM BETONEIRA. </v>
      </c>
      <c r="D1653" s="565"/>
      <c r="E1653" s="565"/>
      <c r="F1653" s="565"/>
      <c r="G1653" s="565"/>
      <c r="H1653" s="565"/>
      <c r="I1653" s="565"/>
      <c r="J1653" s="565"/>
      <c r="K1653" s="565"/>
      <c r="L1653" s="565"/>
    </row>
    <row r="1654" spans="2:12">
      <c r="B1654" s="248" t="s">
        <v>1209</v>
      </c>
      <c r="C1654" s="248"/>
      <c r="D1654" s="248" t="s">
        <v>39</v>
      </c>
      <c r="E1654" s="248" t="s">
        <v>1210</v>
      </c>
      <c r="F1654" s="248" t="s">
        <v>1388</v>
      </c>
      <c r="G1654" s="248" t="s">
        <v>1212</v>
      </c>
      <c r="H1654" s="248" t="s">
        <v>1213</v>
      </c>
      <c r="I1654" s="248" t="s">
        <v>1214</v>
      </c>
      <c r="J1654" s="248" t="s">
        <v>1385</v>
      </c>
      <c r="K1654" s="248" t="s">
        <v>1216</v>
      </c>
      <c r="L1654" s="248" t="s">
        <v>1217</v>
      </c>
    </row>
    <row r="1655" spans="2:12">
      <c r="B1655" s="256" t="s">
        <v>1722</v>
      </c>
      <c r="C1655" s="250" t="s">
        <v>1612</v>
      </c>
      <c r="D1655" s="205" t="s">
        <v>79</v>
      </c>
      <c r="E1655" s="261">
        <v>26.18</v>
      </c>
      <c r="F1655" s="261"/>
      <c r="G1655" s="261">
        <v>1.8</v>
      </c>
      <c r="H1655" s="261">
        <v>1</v>
      </c>
      <c r="I1655" s="261"/>
      <c r="J1655" s="275"/>
      <c r="K1655" s="260">
        <f t="shared" ref="K1655:K1673" si="46">IF(E1655*F1655*G1655&lt;&gt;0,E1655*F1655*G1655,IF(E1655*F1655&lt;&gt;0,E1655*F1655,IF(F1655*G1655&lt;&gt;0,F1655*G1655,IF(E1655*G1655&lt;&gt;0,E1655*G1655,IF(E1655&lt;&gt;0,E1655,IF(F1655&lt;&gt;0,F1655,IF(G1655&lt;&gt;0,G1655,0)))))))*(IF(H1655&lt;&gt;0,H1655,1))+I1655-J1655</f>
        <v>47.124000000000002</v>
      </c>
      <c r="L1655" s="266"/>
    </row>
    <row r="1656" spans="2:12">
      <c r="B1656" s="256" t="s">
        <v>1725</v>
      </c>
      <c r="C1656" s="250" t="s">
        <v>1612</v>
      </c>
      <c r="D1656" s="205" t="s">
        <v>79</v>
      </c>
      <c r="E1656" s="261">
        <v>4.1500000000000004</v>
      </c>
      <c r="F1656" s="261"/>
      <c r="G1656" s="261">
        <v>1.8</v>
      </c>
      <c r="H1656" s="261">
        <v>2</v>
      </c>
      <c r="I1656" s="261"/>
      <c r="J1656" s="275"/>
      <c r="K1656" s="260">
        <f t="shared" si="46"/>
        <v>14.940000000000001</v>
      </c>
      <c r="L1656" s="266"/>
    </row>
    <row r="1657" spans="2:12">
      <c r="B1657" s="256" t="s">
        <v>1725</v>
      </c>
      <c r="C1657" s="250" t="s">
        <v>1612</v>
      </c>
      <c r="D1657" s="205" t="s">
        <v>79</v>
      </c>
      <c r="E1657" s="261">
        <v>3.08</v>
      </c>
      <c r="F1657" s="261"/>
      <c r="G1657" s="261">
        <v>1.8</v>
      </c>
      <c r="H1657" s="261">
        <v>2</v>
      </c>
      <c r="I1657" s="261"/>
      <c r="J1657" s="275"/>
      <c r="K1657" s="260">
        <f t="shared" si="46"/>
        <v>11.088000000000001</v>
      </c>
      <c r="L1657" s="266"/>
    </row>
    <row r="1658" spans="2:12">
      <c r="B1658" s="256" t="s">
        <v>1726</v>
      </c>
      <c r="C1658" s="250" t="s">
        <v>1612</v>
      </c>
      <c r="D1658" s="205" t="s">
        <v>79</v>
      </c>
      <c r="E1658" s="261">
        <v>1.84</v>
      </c>
      <c r="F1658" s="261"/>
      <c r="G1658" s="261">
        <v>1.8</v>
      </c>
      <c r="H1658" s="261">
        <v>2</v>
      </c>
      <c r="I1658" s="261"/>
      <c r="J1658" s="275"/>
      <c r="K1658" s="260">
        <f t="shared" si="46"/>
        <v>6.6240000000000006</v>
      </c>
      <c r="L1658" s="266"/>
    </row>
    <row r="1659" spans="2:12">
      <c r="B1659" s="256" t="s">
        <v>1726</v>
      </c>
      <c r="C1659" s="250" t="s">
        <v>1612</v>
      </c>
      <c r="D1659" s="205" t="s">
        <v>79</v>
      </c>
      <c r="E1659" s="261">
        <v>2.15</v>
      </c>
      <c r="F1659" s="261"/>
      <c r="G1659" s="261">
        <v>1.8</v>
      </c>
      <c r="H1659" s="261">
        <v>2</v>
      </c>
      <c r="I1659" s="261"/>
      <c r="J1659" s="275"/>
      <c r="K1659" s="260">
        <f t="shared" si="46"/>
        <v>7.74</v>
      </c>
      <c r="L1659" s="266"/>
    </row>
    <row r="1660" spans="2:12">
      <c r="B1660" s="256" t="s">
        <v>1727</v>
      </c>
      <c r="C1660" s="250" t="s">
        <v>1612</v>
      </c>
      <c r="D1660" s="205" t="s">
        <v>79</v>
      </c>
      <c r="E1660" s="261">
        <v>4.1500000000000004</v>
      </c>
      <c r="F1660" s="261"/>
      <c r="G1660" s="261">
        <v>1.8</v>
      </c>
      <c r="H1660" s="261">
        <v>1</v>
      </c>
      <c r="I1660" s="261"/>
      <c r="J1660" s="275"/>
      <c r="K1660" s="260">
        <f t="shared" si="46"/>
        <v>7.4700000000000006</v>
      </c>
      <c r="L1660" s="266"/>
    </row>
    <row r="1661" spans="2:12">
      <c r="B1661" s="256" t="s">
        <v>1727</v>
      </c>
      <c r="C1661" s="250" t="s">
        <v>1612</v>
      </c>
      <c r="D1661" s="205" t="s">
        <v>79</v>
      </c>
      <c r="E1661" s="261">
        <v>3.25</v>
      </c>
      <c r="F1661" s="261"/>
      <c r="G1661" s="261">
        <v>1.8</v>
      </c>
      <c r="H1661" s="261">
        <v>1</v>
      </c>
      <c r="I1661" s="261"/>
      <c r="J1661" s="275"/>
      <c r="K1661" s="260">
        <f t="shared" si="46"/>
        <v>5.8500000000000005</v>
      </c>
      <c r="L1661" s="266"/>
    </row>
    <row r="1662" spans="2:12">
      <c r="B1662" s="256" t="s">
        <v>1728</v>
      </c>
      <c r="C1662" s="250" t="s">
        <v>1612</v>
      </c>
      <c r="D1662" s="205" t="s">
        <v>79</v>
      </c>
      <c r="E1662" s="261">
        <v>4.1500000000000004</v>
      </c>
      <c r="F1662" s="261"/>
      <c r="G1662" s="261">
        <v>1.8</v>
      </c>
      <c r="H1662" s="261">
        <v>1</v>
      </c>
      <c r="I1662" s="261"/>
      <c r="J1662" s="275"/>
      <c r="K1662" s="260">
        <f t="shared" si="46"/>
        <v>7.4700000000000006</v>
      </c>
      <c r="L1662" s="266"/>
    </row>
    <row r="1663" spans="2:12">
      <c r="B1663" s="256" t="s">
        <v>1728</v>
      </c>
      <c r="C1663" s="250" t="s">
        <v>1612</v>
      </c>
      <c r="D1663" s="205" t="s">
        <v>79</v>
      </c>
      <c r="E1663" s="261">
        <v>3.25</v>
      </c>
      <c r="F1663" s="261"/>
      <c r="G1663" s="261">
        <v>1.8</v>
      </c>
      <c r="H1663" s="261">
        <v>1</v>
      </c>
      <c r="I1663" s="261"/>
      <c r="J1663" s="275"/>
      <c r="K1663" s="260">
        <f t="shared" si="46"/>
        <v>5.8500000000000005</v>
      </c>
      <c r="L1663" s="266"/>
    </row>
    <row r="1664" spans="2:12">
      <c r="B1664" s="256" t="s">
        <v>1729</v>
      </c>
      <c r="C1664" s="250" t="s">
        <v>1612</v>
      </c>
      <c r="D1664" s="205" t="s">
        <v>79</v>
      </c>
      <c r="E1664" s="261">
        <v>1.79</v>
      </c>
      <c r="F1664" s="261"/>
      <c r="G1664" s="261">
        <v>1.8</v>
      </c>
      <c r="H1664" s="261">
        <v>2</v>
      </c>
      <c r="I1664" s="261"/>
      <c r="J1664" s="275"/>
      <c r="K1664" s="260">
        <f t="shared" si="46"/>
        <v>6.444</v>
      </c>
      <c r="L1664" s="266"/>
    </row>
    <row r="1665" spans="2:12">
      <c r="B1665" s="256" t="s">
        <v>1729</v>
      </c>
      <c r="C1665" s="250" t="s">
        <v>1612</v>
      </c>
      <c r="D1665" s="205" t="s">
        <v>79</v>
      </c>
      <c r="E1665" s="261">
        <v>2.15</v>
      </c>
      <c r="F1665" s="261"/>
      <c r="G1665" s="261">
        <v>1.8</v>
      </c>
      <c r="H1665" s="261">
        <v>2</v>
      </c>
      <c r="I1665" s="261"/>
      <c r="J1665" s="275"/>
      <c r="K1665" s="260">
        <f t="shared" si="46"/>
        <v>7.74</v>
      </c>
      <c r="L1665" s="266"/>
    </row>
    <row r="1666" spans="2:12">
      <c r="B1666" s="256" t="s">
        <v>1730</v>
      </c>
      <c r="C1666" s="250" t="s">
        <v>1612</v>
      </c>
      <c r="D1666" s="205" t="s">
        <v>79</v>
      </c>
      <c r="E1666" s="261">
        <v>4.1500000000000004</v>
      </c>
      <c r="F1666" s="261"/>
      <c r="G1666" s="261">
        <v>1.8</v>
      </c>
      <c r="H1666" s="261">
        <v>2</v>
      </c>
      <c r="I1666" s="261"/>
      <c r="J1666" s="275"/>
      <c r="K1666" s="260">
        <f t="shared" si="46"/>
        <v>14.940000000000001</v>
      </c>
      <c r="L1666" s="266"/>
    </row>
    <row r="1667" spans="2:12">
      <c r="B1667" s="256" t="s">
        <v>1730</v>
      </c>
      <c r="C1667" s="250" t="s">
        <v>1612</v>
      </c>
      <c r="D1667" s="205" t="s">
        <v>79</v>
      </c>
      <c r="E1667" s="261">
        <v>3.43</v>
      </c>
      <c r="F1667" s="261"/>
      <c r="G1667" s="261">
        <v>1.8</v>
      </c>
      <c r="H1667" s="261">
        <v>2</v>
      </c>
      <c r="I1667" s="261"/>
      <c r="J1667" s="275"/>
      <c r="K1667" s="260">
        <f t="shared" si="46"/>
        <v>12.348000000000001</v>
      </c>
      <c r="L1667" s="266"/>
    </row>
    <row r="1668" spans="2:12">
      <c r="B1668" s="256" t="s">
        <v>1731</v>
      </c>
      <c r="C1668" s="250" t="s">
        <v>1612</v>
      </c>
      <c r="D1668" s="205" t="s">
        <v>79</v>
      </c>
      <c r="E1668" s="261">
        <v>8.31</v>
      </c>
      <c r="F1668" s="261"/>
      <c r="G1668" s="261">
        <v>1.8</v>
      </c>
      <c r="H1668" s="261">
        <v>1</v>
      </c>
      <c r="I1668" s="261"/>
      <c r="J1668" s="275"/>
      <c r="K1668" s="260">
        <f t="shared" si="46"/>
        <v>14.958000000000002</v>
      </c>
      <c r="L1668" s="266"/>
    </row>
    <row r="1669" spans="2:12">
      <c r="B1669" s="256" t="s">
        <v>1731</v>
      </c>
      <c r="C1669" s="250" t="s">
        <v>1612</v>
      </c>
      <c r="D1669" s="205" t="s">
        <v>79</v>
      </c>
      <c r="E1669" s="261">
        <v>6.03</v>
      </c>
      <c r="F1669" s="261"/>
      <c r="G1669" s="261">
        <v>1.8</v>
      </c>
      <c r="H1669" s="261">
        <v>1</v>
      </c>
      <c r="I1669" s="261"/>
      <c r="J1669" s="275"/>
      <c r="K1669" s="260">
        <f t="shared" si="46"/>
        <v>10.854000000000001</v>
      </c>
      <c r="L1669" s="266"/>
    </row>
    <row r="1670" spans="2:12">
      <c r="B1670" s="256" t="s">
        <v>1557</v>
      </c>
      <c r="C1670" s="264" t="s">
        <v>1613</v>
      </c>
      <c r="D1670" s="210" t="s">
        <v>79</v>
      </c>
      <c r="E1670" s="261"/>
      <c r="F1670" s="261"/>
      <c r="G1670" s="261"/>
      <c r="H1670" s="261"/>
      <c r="I1670" s="261">
        <v>145</v>
      </c>
      <c r="J1670" s="275"/>
      <c r="K1670" s="260">
        <f t="shared" si="46"/>
        <v>145</v>
      </c>
      <c r="L1670" s="266"/>
    </row>
    <row r="1671" spans="2:12">
      <c r="B1671" s="256" t="s">
        <v>1557</v>
      </c>
      <c r="C1671" s="264" t="s">
        <v>1895</v>
      </c>
      <c r="D1671" s="210" t="s">
        <v>79</v>
      </c>
      <c r="E1671" s="261"/>
      <c r="F1671" s="261"/>
      <c r="G1671" s="261"/>
      <c r="H1671" s="261"/>
      <c r="I1671" s="261">
        <v>550</v>
      </c>
      <c r="J1671" s="275"/>
      <c r="K1671" s="260">
        <f t="shared" si="46"/>
        <v>550</v>
      </c>
      <c r="L1671" s="266"/>
    </row>
    <row r="1672" spans="2:12">
      <c r="B1672" s="256" t="s">
        <v>1986</v>
      </c>
      <c r="C1672" s="264" t="s">
        <v>1931</v>
      </c>
      <c r="D1672" s="210" t="s">
        <v>79</v>
      </c>
      <c r="E1672" s="261"/>
      <c r="F1672" s="261"/>
      <c r="G1672" s="261"/>
      <c r="H1672" s="261"/>
      <c r="I1672" s="261">
        <v>1200</v>
      </c>
      <c r="J1672" s="275"/>
      <c r="K1672" s="260">
        <f t="shared" si="46"/>
        <v>1200</v>
      </c>
      <c r="L1672" s="266"/>
    </row>
    <row r="1673" spans="2:12">
      <c r="B1673" s="256"/>
      <c r="C1673" s="210"/>
      <c r="D1673" s="210"/>
      <c r="E1673" s="261"/>
      <c r="F1673" s="261"/>
      <c r="G1673" s="261"/>
      <c r="H1673" s="261"/>
      <c r="I1673" s="261"/>
      <c r="J1673" s="275"/>
      <c r="K1673" s="260">
        <f t="shared" si="46"/>
        <v>0</v>
      </c>
      <c r="L1673" s="210"/>
    </row>
    <row r="1674" spans="2:12">
      <c r="B1674" s="202"/>
      <c r="C1674" s="203"/>
      <c r="D1674" s="203"/>
      <c r="E1674" s="203"/>
      <c r="F1674" s="203"/>
      <c r="G1674" s="203"/>
      <c r="H1674" s="204"/>
      <c r="I1674" s="556" t="s">
        <v>1221</v>
      </c>
      <c r="J1674" s="556"/>
      <c r="K1674" s="220">
        <f>SUM(K1655:K1673)</f>
        <v>2076.44</v>
      </c>
      <c r="L1674" s="207"/>
    </row>
    <row r="1675" spans="2:12">
      <c r="B1675" s="208"/>
      <c r="C1675" s="204"/>
      <c r="D1675" s="204"/>
      <c r="E1675" s="204"/>
      <c r="F1675" s="204"/>
      <c r="G1675" s="204"/>
      <c r="H1675" s="209"/>
      <c r="I1675" s="557" t="s">
        <v>1222</v>
      </c>
      <c r="J1675" s="557"/>
      <c r="K1675" s="221">
        <f>VLOOKUP(B1653,'BM 004'!$B$27:$R$590,4,0)</f>
        <v>15102.2</v>
      </c>
      <c r="L1675" s="246"/>
    </row>
    <row r="1676" spans="2:12">
      <c r="B1676" s="208"/>
      <c r="C1676" s="204"/>
      <c r="D1676" s="204"/>
      <c r="E1676" s="204"/>
      <c r="F1676" s="204"/>
      <c r="G1676" s="204"/>
      <c r="H1676" s="558" t="s">
        <v>1223</v>
      </c>
      <c r="I1676" s="558"/>
      <c r="J1676" s="558"/>
      <c r="K1676" s="222">
        <v>876.44</v>
      </c>
      <c r="L1676" s="207"/>
    </row>
    <row r="1677" spans="2:12">
      <c r="B1677" s="208"/>
      <c r="C1677" s="204"/>
      <c r="D1677" s="204"/>
      <c r="E1677" s="204"/>
      <c r="F1677" s="204"/>
      <c r="G1677" s="204"/>
      <c r="H1677" s="558" t="s">
        <v>1891</v>
      </c>
      <c r="I1677" s="558"/>
      <c r="J1677" s="558"/>
      <c r="K1677" s="222">
        <f>TRUNC(SUMIF(C1655:C1673,H1677,K1655:K1673),2)</f>
        <v>1200</v>
      </c>
      <c r="L1677" s="207"/>
    </row>
    <row r="1678" spans="2:12">
      <c r="B1678" s="213"/>
      <c r="C1678" s="214"/>
      <c r="D1678" s="214"/>
      <c r="E1678" s="214"/>
      <c r="F1678" s="214"/>
      <c r="G1678" s="214"/>
      <c r="H1678" s="559" t="s">
        <v>1224</v>
      </c>
      <c r="I1678" s="559"/>
      <c r="J1678" s="559"/>
      <c r="K1678" s="223">
        <f>IF(K1674&gt;K1675,K1674-K1675,0)</f>
        <v>0</v>
      </c>
      <c r="L1678" s="209"/>
    </row>
    <row r="1680" spans="2:12">
      <c r="B1680" s="247" t="s">
        <v>269</v>
      </c>
      <c r="C1680" s="565" t="str">
        <f>VLOOKUP(B1680,'BM 004'!$B$27:$R$590,2,0)</f>
        <v xml:space="preserve">VERGA PRÉ-MOLDADA PARA JANELAS COM MAIS DE 1,5 M DE VÃO. </v>
      </c>
      <c r="D1680" s="565"/>
      <c r="E1680" s="565"/>
      <c r="F1680" s="565"/>
      <c r="G1680" s="565"/>
      <c r="H1680" s="565"/>
      <c r="I1680" s="565"/>
      <c r="J1680" s="565"/>
      <c r="K1680" s="565"/>
      <c r="L1680" s="565"/>
    </row>
    <row r="1681" spans="2:12">
      <c r="B1681" s="248" t="s">
        <v>1209</v>
      </c>
      <c r="C1681" s="248"/>
      <c r="D1681" s="248" t="s">
        <v>39</v>
      </c>
      <c r="E1681" s="248" t="s">
        <v>1210</v>
      </c>
      <c r="F1681" s="248" t="s">
        <v>1388</v>
      </c>
      <c r="G1681" s="248" t="s">
        <v>1212</v>
      </c>
      <c r="H1681" s="248" t="s">
        <v>1213</v>
      </c>
      <c r="I1681" s="248" t="s">
        <v>1214</v>
      </c>
      <c r="J1681" s="248" t="s">
        <v>1385</v>
      </c>
      <c r="K1681" s="248" t="s">
        <v>1216</v>
      </c>
      <c r="L1681" s="248" t="s">
        <v>1217</v>
      </c>
    </row>
    <row r="1682" spans="2:12">
      <c r="B1682" s="256" t="s">
        <v>1732</v>
      </c>
      <c r="C1682" s="250" t="s">
        <v>1613</v>
      </c>
      <c r="D1682" s="205" t="s">
        <v>82</v>
      </c>
      <c r="E1682" s="257">
        <v>1.5</v>
      </c>
      <c r="F1682" s="261"/>
      <c r="G1682" s="261"/>
      <c r="H1682" s="261">
        <v>36</v>
      </c>
      <c r="I1682" s="261"/>
      <c r="J1682" s="275"/>
      <c r="K1682" s="260">
        <f>IF(E1682*F1682*G1682&lt;&gt;0,E1682*F1682*G1682,IF(E1682*F1682&lt;&gt;0,E1682*F1682,IF(F1682*G1682&lt;&gt;0,F1682*G1682,IF(E1682*G1682&lt;&gt;0,E1682*G1682,IF(E1682&lt;&gt;0,E1682,IF(F1682&lt;&gt;0,F1682,IF(G1682&lt;&gt;0,G1682,0)))))))*(IF(H1682&lt;&gt;0,H1682,1))+I1682-J1682</f>
        <v>54</v>
      </c>
      <c r="L1682" s="266"/>
    </row>
    <row r="1683" spans="2:12">
      <c r="B1683" s="256" t="s">
        <v>1732</v>
      </c>
      <c r="C1683" s="250" t="s">
        <v>1931</v>
      </c>
      <c r="D1683" s="205" t="s">
        <v>82</v>
      </c>
      <c r="E1683" s="257">
        <v>1.5</v>
      </c>
      <c r="F1683" s="261"/>
      <c r="G1683" s="261"/>
      <c r="H1683" s="261">
        <v>42</v>
      </c>
      <c r="I1683" s="261"/>
      <c r="J1683" s="275"/>
      <c r="K1683" s="260">
        <f>IF(E1683*F1683*G1683&lt;&gt;0,E1683*F1683*G1683,IF(E1683*F1683&lt;&gt;0,E1683*F1683,IF(F1683*G1683&lt;&gt;0,F1683*G1683,IF(E1683*G1683&lt;&gt;0,E1683*G1683,IF(E1683&lt;&gt;0,E1683,IF(F1683&lt;&gt;0,F1683,IF(G1683&lt;&gt;0,G1683,0)))))))*(IF(H1683&lt;&gt;0,H1683,1))+I1683-J1683</f>
        <v>63</v>
      </c>
      <c r="L1683" s="266"/>
    </row>
    <row r="1684" spans="2:12">
      <c r="B1684" s="256"/>
      <c r="C1684" s="250"/>
      <c r="D1684" s="205"/>
      <c r="E1684" s="257"/>
      <c r="F1684" s="261"/>
      <c r="G1684" s="261"/>
      <c r="H1684" s="261"/>
      <c r="I1684" s="261"/>
      <c r="J1684" s="275"/>
      <c r="K1684" s="260">
        <f>IF(E1684*F1684*G1684&lt;&gt;0,E1684*F1684*G1684,IF(E1684*F1684&lt;&gt;0,E1684*F1684,IF(F1684*G1684&lt;&gt;0,F1684*G1684,IF(E1684*G1684&lt;&gt;0,E1684*G1684,IF(E1684&lt;&gt;0,E1684,IF(F1684&lt;&gt;0,F1684,IF(G1684&lt;&gt;0,G1684,0)))))))*(IF(H1684&lt;&gt;0,H1684,1))+I1684-J1684</f>
        <v>0</v>
      </c>
      <c r="L1684" s="266"/>
    </row>
    <row r="1685" spans="2:12">
      <c r="B1685" s="256"/>
      <c r="C1685" s="250"/>
      <c r="D1685" s="205"/>
      <c r="E1685" s="257"/>
      <c r="F1685" s="261"/>
      <c r="G1685" s="261"/>
      <c r="H1685" s="261"/>
      <c r="I1685" s="261"/>
      <c r="J1685" s="275"/>
      <c r="K1685" s="260">
        <f>IF(E1685*F1685*G1685&lt;&gt;0,E1685*F1685*G1685,IF(E1685*F1685&lt;&gt;0,E1685*F1685,IF(F1685*G1685&lt;&gt;0,F1685*G1685,IF(E1685*G1685&lt;&gt;0,E1685*G1685,IF(E1685&lt;&gt;0,E1685,IF(F1685&lt;&gt;0,F1685,IF(G1685&lt;&gt;0,G1685,0)))))))*(IF(H1685&lt;&gt;0,H1685,1))+I1685-J1685</f>
        <v>0</v>
      </c>
      <c r="L1685" s="266"/>
    </row>
    <row r="1686" spans="2:12">
      <c r="B1686" s="256"/>
      <c r="C1686" s="210"/>
      <c r="D1686" s="210"/>
      <c r="E1686" s="257"/>
      <c r="F1686" s="261"/>
      <c r="G1686" s="261"/>
      <c r="H1686" s="261"/>
      <c r="I1686" s="261"/>
      <c r="J1686" s="275"/>
      <c r="K1686" s="260">
        <f>IF(E1686*F1686*G1686&lt;&gt;0,E1686*F1686*G1686,IF(E1686*F1686&lt;&gt;0,E1686*F1686,IF(F1686*G1686&lt;&gt;0,F1686*G1686,IF(E1686*G1686&lt;&gt;0,E1686*G1686,IF(E1686&lt;&gt;0,E1686,IF(F1686&lt;&gt;0,F1686,IF(G1686&lt;&gt;0,G1686,0)))))))*(IF(H1686&lt;&gt;0,H1686,1))+I1686-J1686</f>
        <v>0</v>
      </c>
      <c r="L1686" s="210"/>
    </row>
    <row r="1687" spans="2:12">
      <c r="B1687" s="202"/>
      <c r="C1687" s="203"/>
      <c r="D1687" s="203"/>
      <c r="E1687" s="203"/>
      <c r="F1687" s="203"/>
      <c r="G1687" s="203"/>
      <c r="H1687" s="204"/>
      <c r="I1687" s="556" t="s">
        <v>1221</v>
      </c>
      <c r="J1687" s="556"/>
      <c r="K1687" s="220">
        <f>SUM(K1682:K1686)</f>
        <v>117</v>
      </c>
      <c r="L1687" s="207"/>
    </row>
    <row r="1688" spans="2:12">
      <c r="B1688" s="208"/>
      <c r="C1688" s="204"/>
      <c r="D1688" s="204"/>
      <c r="E1688" s="204"/>
      <c r="F1688" s="204"/>
      <c r="G1688" s="204"/>
      <c r="H1688" s="209"/>
      <c r="I1688" s="557" t="s">
        <v>1222</v>
      </c>
      <c r="J1688" s="557"/>
      <c r="K1688" s="221">
        <f>VLOOKUP(B1680,'BM 004'!$B$27:$R$590,4,0)</f>
        <v>550.94000000000005</v>
      </c>
      <c r="L1688" s="246"/>
    </row>
    <row r="1689" spans="2:12">
      <c r="B1689" s="208"/>
      <c r="C1689" s="204"/>
      <c r="D1689" s="204"/>
      <c r="E1689" s="204"/>
      <c r="F1689" s="204"/>
      <c r="G1689" s="204"/>
      <c r="H1689" s="558" t="s">
        <v>1223</v>
      </c>
      <c r="I1689" s="558"/>
      <c r="J1689" s="558"/>
      <c r="K1689" s="222">
        <v>48</v>
      </c>
      <c r="L1689" s="207"/>
    </row>
    <row r="1690" spans="2:12">
      <c r="B1690" s="208"/>
      <c r="C1690" s="204"/>
      <c r="D1690" s="204"/>
      <c r="E1690" s="204"/>
      <c r="F1690" s="204"/>
      <c r="G1690" s="204"/>
      <c r="H1690" s="558" t="s">
        <v>1891</v>
      </c>
      <c r="I1690" s="558"/>
      <c r="J1690" s="558"/>
      <c r="K1690" s="222">
        <f>TRUNC(SUMIF(C1682:C1686,H1690,K1682:K1686),2)</f>
        <v>63</v>
      </c>
      <c r="L1690" s="207"/>
    </row>
    <row r="1691" spans="2:12">
      <c r="B1691" s="213"/>
      <c r="C1691" s="214"/>
      <c r="D1691" s="214"/>
      <c r="E1691" s="214"/>
      <c r="F1691" s="214"/>
      <c r="G1691" s="214"/>
      <c r="H1691" s="559" t="s">
        <v>1224</v>
      </c>
      <c r="I1691" s="559"/>
      <c r="J1691" s="559"/>
      <c r="K1691" s="223">
        <f>IF(K1687&gt;K1688,K1687-K1688,0)</f>
        <v>0</v>
      </c>
      <c r="L1691" s="209"/>
    </row>
    <row r="1693" spans="2:12">
      <c r="B1693" s="247" t="s">
        <v>346</v>
      </c>
      <c r="C1693" s="565" t="str">
        <f>VLOOKUP(B1693,'BM 004'!$B$27:$R$590,2,0)</f>
        <v xml:space="preserve">IMPERMEABILIZAÇÃO DE SUPERFÍCIE ENTERRADA COM EMULSÃO ASFÁLTICA, 2 DEMÃOS </v>
      </c>
      <c r="D1693" s="565"/>
      <c r="E1693" s="565"/>
      <c r="F1693" s="565"/>
      <c r="G1693" s="565"/>
      <c r="H1693" s="565"/>
      <c r="I1693" s="565"/>
      <c r="J1693" s="565"/>
      <c r="K1693" s="565"/>
      <c r="L1693" s="565"/>
    </row>
    <row r="1694" spans="2:12">
      <c r="B1694" s="248" t="s">
        <v>1209</v>
      </c>
      <c r="C1694" s="248"/>
      <c r="D1694" s="248" t="s">
        <v>39</v>
      </c>
      <c r="E1694" s="248" t="s">
        <v>1210</v>
      </c>
      <c r="F1694" s="248" t="s">
        <v>1388</v>
      </c>
      <c r="G1694" s="248" t="s">
        <v>1212</v>
      </c>
      <c r="H1694" s="248" t="s">
        <v>1213</v>
      </c>
      <c r="I1694" s="248" t="s">
        <v>1214</v>
      </c>
      <c r="J1694" s="248" t="s">
        <v>1385</v>
      </c>
      <c r="K1694" s="248" t="s">
        <v>1216</v>
      </c>
      <c r="L1694" s="248" t="s">
        <v>1217</v>
      </c>
    </row>
    <row r="1695" spans="2:12">
      <c r="B1695" s="256" t="s">
        <v>1732</v>
      </c>
      <c r="C1695" s="250" t="s">
        <v>1613</v>
      </c>
      <c r="D1695" s="205" t="s">
        <v>1335</v>
      </c>
      <c r="E1695" s="257">
        <v>48</v>
      </c>
      <c r="F1695" s="261">
        <f>0.2+0.8+0.2</f>
        <v>1.2</v>
      </c>
      <c r="G1695" s="261"/>
      <c r="H1695" s="261"/>
      <c r="I1695" s="261"/>
      <c r="J1695" s="275"/>
      <c r="K1695" s="260">
        <f>IF(E1695*F1695*G1695&lt;&gt;0,E1695*F1695*G1695,IF(E1695*F1695&lt;&gt;0,E1695*F1695,IF(F1695*G1695&lt;&gt;0,F1695*G1695,IF(E1695*G1695&lt;&gt;0,E1695*G1695,IF(E1695&lt;&gt;0,E1695,IF(F1695&lt;&gt;0,F1695,IF(G1695&lt;&gt;0,G1695,0)))))))*(IF(H1695&lt;&gt;0,H1695,1))+I1695-J1695</f>
        <v>57.599999999999994</v>
      </c>
      <c r="L1695" s="266"/>
    </row>
    <row r="1696" spans="2:12">
      <c r="B1696" s="256" t="s">
        <v>1732</v>
      </c>
      <c r="C1696" s="250" t="s">
        <v>1895</v>
      </c>
      <c r="D1696" s="205" t="s">
        <v>1335</v>
      </c>
      <c r="E1696" s="257">
        <v>150</v>
      </c>
      <c r="F1696" s="261">
        <f>0.2+0.8+0.2</f>
        <v>1.2</v>
      </c>
      <c r="G1696" s="261"/>
      <c r="H1696" s="261"/>
      <c r="I1696" s="261"/>
      <c r="J1696" s="275"/>
      <c r="K1696" s="260">
        <f>IF(E1696*F1696*G1696&lt;&gt;0,E1696*F1696*G1696,IF(E1696*F1696&lt;&gt;0,E1696*F1696,IF(F1696*G1696&lt;&gt;0,F1696*G1696,IF(E1696*G1696&lt;&gt;0,E1696*G1696,IF(E1696&lt;&gt;0,E1696,IF(F1696&lt;&gt;0,F1696,IF(G1696&lt;&gt;0,G1696,0)))))))*(IF(H1696&lt;&gt;0,H1696,1))+I1696-J1696</f>
        <v>180</v>
      </c>
      <c r="L1696" s="266"/>
    </row>
    <row r="1697" spans="2:12">
      <c r="B1697" s="256"/>
      <c r="C1697" s="250"/>
      <c r="D1697" s="205"/>
      <c r="E1697" s="257"/>
      <c r="F1697" s="261"/>
      <c r="G1697" s="261"/>
      <c r="H1697" s="261"/>
      <c r="I1697" s="261"/>
      <c r="J1697" s="275"/>
      <c r="K1697" s="260">
        <f>IF(E1697*F1697*G1697&lt;&gt;0,E1697*F1697*G1697,IF(E1697*F1697&lt;&gt;0,E1697*F1697,IF(F1697*G1697&lt;&gt;0,F1697*G1697,IF(E1697*G1697&lt;&gt;0,E1697*G1697,IF(E1697&lt;&gt;0,E1697,IF(F1697&lt;&gt;0,F1697,IF(G1697&lt;&gt;0,G1697,0)))))))*(IF(H1697&lt;&gt;0,H1697,1))+I1697-J1697</f>
        <v>0</v>
      </c>
      <c r="L1697" s="266"/>
    </row>
    <row r="1698" spans="2:12">
      <c r="B1698" s="256"/>
      <c r="C1698" s="250"/>
      <c r="D1698" s="205"/>
      <c r="E1698" s="257"/>
      <c r="F1698" s="261"/>
      <c r="G1698" s="261"/>
      <c r="H1698" s="261"/>
      <c r="I1698" s="261"/>
      <c r="J1698" s="275"/>
      <c r="K1698" s="260">
        <f>IF(E1698*F1698*G1698&lt;&gt;0,E1698*F1698*G1698,IF(E1698*F1698&lt;&gt;0,E1698*F1698,IF(F1698*G1698&lt;&gt;0,F1698*G1698,IF(E1698*G1698&lt;&gt;0,E1698*G1698,IF(E1698&lt;&gt;0,E1698,IF(F1698&lt;&gt;0,F1698,IF(G1698&lt;&gt;0,G1698,0)))))))*(IF(H1698&lt;&gt;0,H1698,1))+I1698-J1698</f>
        <v>0</v>
      </c>
      <c r="L1698" s="266"/>
    </row>
    <row r="1699" spans="2:12">
      <c r="B1699" s="256"/>
      <c r="C1699" s="210"/>
      <c r="D1699" s="210"/>
      <c r="E1699" s="257"/>
      <c r="F1699" s="261"/>
      <c r="G1699" s="261"/>
      <c r="H1699" s="261"/>
      <c r="I1699" s="261"/>
      <c r="J1699" s="275"/>
      <c r="K1699" s="260">
        <f>IF(E1699*F1699*G1699&lt;&gt;0,E1699*F1699*G1699,IF(E1699*F1699&lt;&gt;0,E1699*F1699,IF(F1699*G1699&lt;&gt;0,F1699*G1699,IF(E1699*G1699&lt;&gt;0,E1699*G1699,IF(E1699&lt;&gt;0,E1699,IF(F1699&lt;&gt;0,F1699,IF(G1699&lt;&gt;0,G1699,0)))))))*(IF(H1699&lt;&gt;0,H1699,1))+I1699-J1699</f>
        <v>0</v>
      </c>
      <c r="L1699" s="210"/>
    </row>
    <row r="1700" spans="2:12">
      <c r="B1700" s="202"/>
      <c r="C1700" s="203"/>
      <c r="D1700" s="203"/>
      <c r="E1700" s="203"/>
      <c r="F1700" s="203"/>
      <c r="G1700" s="203"/>
      <c r="H1700" s="204"/>
      <c r="I1700" s="556" t="s">
        <v>1221</v>
      </c>
      <c r="J1700" s="556"/>
      <c r="K1700" s="220">
        <f>SUM(K1695:K1699)</f>
        <v>237.6</v>
      </c>
      <c r="L1700" s="207"/>
    </row>
    <row r="1701" spans="2:12">
      <c r="B1701" s="208"/>
      <c r="C1701" s="204"/>
      <c r="D1701" s="204"/>
      <c r="E1701" s="204"/>
      <c r="F1701" s="204"/>
      <c r="G1701" s="204"/>
      <c r="H1701" s="209"/>
      <c r="I1701" s="557" t="s">
        <v>1222</v>
      </c>
      <c r="J1701" s="557"/>
      <c r="K1701" s="221">
        <f>VLOOKUP(B1693,'BM 004'!$B$27:$R$590,4,0)</f>
        <v>880</v>
      </c>
      <c r="L1701" s="246"/>
    </row>
    <row r="1702" spans="2:12">
      <c r="B1702" s="208"/>
      <c r="C1702" s="204"/>
      <c r="D1702" s="204"/>
      <c r="E1702" s="204"/>
      <c r="F1702" s="204"/>
      <c r="G1702" s="204"/>
      <c r="H1702" s="558" t="s">
        <v>1223</v>
      </c>
      <c r="I1702" s="558"/>
      <c r="J1702" s="558"/>
      <c r="K1702" s="222">
        <v>57.6</v>
      </c>
      <c r="L1702" s="207"/>
    </row>
    <row r="1703" spans="2:12">
      <c r="B1703" s="208"/>
      <c r="C1703" s="204"/>
      <c r="D1703" s="204"/>
      <c r="E1703" s="204"/>
      <c r="F1703" s="204"/>
      <c r="G1703" s="204"/>
      <c r="H1703" s="558" t="s">
        <v>1605</v>
      </c>
      <c r="I1703" s="558"/>
      <c r="J1703" s="558"/>
      <c r="K1703" s="222">
        <f>TRUNC(SUMIF(C1695:C1699,H1703,K1695:K1699),2)</f>
        <v>180</v>
      </c>
      <c r="L1703" s="207"/>
    </row>
    <row r="1704" spans="2:12">
      <c r="B1704" s="213"/>
      <c r="C1704" s="214"/>
      <c r="D1704" s="214"/>
      <c r="E1704" s="214"/>
      <c r="F1704" s="214"/>
      <c r="G1704" s="214"/>
      <c r="H1704" s="559" t="s">
        <v>1224</v>
      </c>
      <c r="I1704" s="559"/>
      <c r="J1704" s="559"/>
      <c r="K1704" s="223">
        <f>IF(K1700&gt;K1701,K1700-K1701,0)</f>
        <v>0</v>
      </c>
      <c r="L1704" s="209"/>
    </row>
    <row r="1706" spans="2:12">
      <c r="B1706" s="247" t="s">
        <v>491</v>
      </c>
      <c r="C1706" s="565" t="str">
        <f>VLOOKUP(B1706,'BM 004'!$B$27:$R$590,2,0)</f>
        <v>CABO DE COBRE FLEXÍVEL ISOLADO, 50 MM², ANTI-CHAMA 0,6/1,0 KV, PARA DISTRIBUIÇÃO - FORNECIMENTO E INSTALAÇÃO. MARCA COBRECOM, PRYSMIAN, SIL, CORFIO, INDUSCABOS OU NAMBEI</v>
      </c>
      <c r="D1706" s="565"/>
      <c r="E1706" s="565"/>
      <c r="F1706" s="565"/>
      <c r="G1706" s="565"/>
      <c r="H1706" s="565"/>
      <c r="I1706" s="565"/>
      <c r="J1706" s="565"/>
      <c r="K1706" s="565"/>
      <c r="L1706" s="565"/>
    </row>
    <row r="1707" spans="2:12">
      <c r="B1707" s="248" t="s">
        <v>1209</v>
      </c>
      <c r="C1707" s="248"/>
      <c r="D1707" s="248" t="s">
        <v>39</v>
      </c>
      <c r="E1707" s="248" t="s">
        <v>1210</v>
      </c>
      <c r="F1707" s="248" t="s">
        <v>1388</v>
      </c>
      <c r="G1707" s="248" t="s">
        <v>1212</v>
      </c>
      <c r="H1707" s="248" t="s">
        <v>1213</v>
      </c>
      <c r="I1707" s="248" t="s">
        <v>1214</v>
      </c>
      <c r="J1707" s="248" t="s">
        <v>1385</v>
      </c>
      <c r="K1707" s="248" t="s">
        <v>1216</v>
      </c>
      <c r="L1707" s="248" t="s">
        <v>1217</v>
      </c>
    </row>
    <row r="1708" spans="2:12">
      <c r="B1708" s="256" t="s">
        <v>1575</v>
      </c>
      <c r="C1708" s="250" t="s">
        <v>1931</v>
      </c>
      <c r="D1708" s="205" t="s">
        <v>82</v>
      </c>
      <c r="E1708" s="257">
        <f>326.43/3</f>
        <v>108.81</v>
      </c>
      <c r="F1708" s="258"/>
      <c r="G1708" s="257"/>
      <c r="H1708" s="257">
        <v>3</v>
      </c>
      <c r="I1708" s="257"/>
      <c r="J1708" s="259"/>
      <c r="K1708" s="260">
        <f>IF(E1708*F1708*G1708&lt;&gt;0,E1708*F1708*G1708,IF(E1708*F1708&lt;&gt;0,E1708*F1708,IF(F1708*G1708&lt;&gt;0,F1708*G1708,IF(E1708*G1708&lt;&gt;0,E1708*G1708,IF(E1708&lt;&gt;0,E1708,IF(F1708&lt;&gt;0,F1708,IF(G1708&lt;&gt;0,G1708,0)))))))*(IF(H1708&lt;&gt;0,H1708,1))+I1708-J1708</f>
        <v>326.43</v>
      </c>
      <c r="L1708" s="266"/>
    </row>
    <row r="1709" spans="2:12">
      <c r="B1709" s="256"/>
      <c r="C1709" s="210"/>
      <c r="D1709" s="210"/>
      <c r="E1709" s="257"/>
      <c r="F1709" s="258"/>
      <c r="G1709" s="257"/>
      <c r="H1709" s="257"/>
      <c r="I1709" s="257"/>
      <c r="J1709" s="259"/>
      <c r="K1709" s="260">
        <f>IF(E1709*F1709*G1709&lt;&gt;0,E1709*F1709*G1709,IF(E1709*F1709&lt;&gt;0,E1709*F1709,IF(F1709*G1709&lt;&gt;0,F1709*G1709,IF(E1709*G1709&lt;&gt;0,E1709*G1709,IF(E1709&lt;&gt;0,E1709,IF(F1709&lt;&gt;0,F1709,IF(G1709&lt;&gt;0,G1709,0)))))))*(IF(H1709&lt;&gt;0,H1709,1))+I1709-J1709</f>
        <v>0</v>
      </c>
      <c r="L1709" s="210"/>
    </row>
    <row r="1710" spans="2:12">
      <c r="B1710" s="202"/>
      <c r="C1710" s="203"/>
      <c r="D1710" s="203"/>
      <c r="E1710" s="203"/>
      <c r="F1710" s="203"/>
      <c r="G1710" s="203"/>
      <c r="H1710" s="204"/>
      <c r="I1710" s="556" t="s">
        <v>1221</v>
      </c>
      <c r="J1710" s="556"/>
      <c r="K1710" s="220">
        <f>SUM(K1708:K1709)</f>
        <v>326.43</v>
      </c>
      <c r="L1710" s="207"/>
    </row>
    <row r="1711" spans="2:12">
      <c r="B1711" s="208"/>
      <c r="C1711" s="204"/>
      <c r="D1711" s="204"/>
      <c r="E1711" s="204"/>
      <c r="F1711" s="204"/>
      <c r="G1711" s="204"/>
      <c r="H1711" s="209"/>
      <c r="I1711" s="557" t="s">
        <v>1222</v>
      </c>
      <c r="J1711" s="557"/>
      <c r="K1711" s="221">
        <f>VLOOKUP(B1706,'BM 004'!$B$27:$R$590,4,0)</f>
        <v>326.43</v>
      </c>
      <c r="L1711" s="246"/>
    </row>
    <row r="1712" spans="2:12">
      <c r="B1712" s="208"/>
      <c r="C1712" s="204"/>
      <c r="D1712" s="204"/>
      <c r="E1712" s="204"/>
      <c r="F1712" s="204"/>
      <c r="G1712" s="204"/>
      <c r="H1712" s="558" t="s">
        <v>1223</v>
      </c>
      <c r="I1712" s="558"/>
      <c r="J1712" s="558"/>
      <c r="K1712" s="222">
        <v>0</v>
      </c>
      <c r="L1712" s="207"/>
    </row>
    <row r="1713" spans="2:12">
      <c r="B1713" s="208"/>
      <c r="C1713" s="204"/>
      <c r="D1713" s="204"/>
      <c r="E1713" s="204"/>
      <c r="F1713" s="204"/>
      <c r="G1713" s="204"/>
      <c r="H1713" s="558" t="s">
        <v>1891</v>
      </c>
      <c r="I1713" s="558"/>
      <c r="J1713" s="558"/>
      <c r="K1713" s="222">
        <f>TRUNC(SUMIF(C1708:C1709,H1713,K1708:K1709),2)</f>
        <v>326.43</v>
      </c>
      <c r="L1713" s="207"/>
    </row>
    <row r="1714" spans="2:12">
      <c r="B1714" s="213"/>
      <c r="C1714" s="214"/>
      <c r="D1714" s="214"/>
      <c r="E1714" s="214"/>
      <c r="F1714" s="214"/>
      <c r="G1714" s="214"/>
      <c r="H1714" s="559" t="s">
        <v>1224</v>
      </c>
      <c r="I1714" s="559"/>
      <c r="J1714" s="559"/>
      <c r="K1714" s="223">
        <f>IF(K1710&gt;K1711,K1710-K1711,0)</f>
        <v>0</v>
      </c>
      <c r="L1714" s="209"/>
    </row>
    <row r="1716" spans="2:12">
      <c r="B1716" s="247" t="s">
        <v>664</v>
      </c>
      <c r="C1716" s="565" t="str">
        <f>VLOOKUP(B1716,'BM 004'!$B$27:$R$590,2,0)</f>
        <v xml:space="preserve">Tubo pvc rígido soldável marrom p/ água, d = 75 mm (2 1/2")	</v>
      </c>
      <c r="D1716" s="565"/>
      <c r="E1716" s="565"/>
      <c r="F1716" s="565"/>
      <c r="G1716" s="565"/>
      <c r="H1716" s="565"/>
      <c r="I1716" s="565"/>
      <c r="J1716" s="565"/>
      <c r="K1716" s="565"/>
      <c r="L1716" s="565"/>
    </row>
    <row r="1717" spans="2:12">
      <c r="B1717" s="248" t="s">
        <v>1209</v>
      </c>
      <c r="C1717" s="248"/>
      <c r="D1717" s="248" t="s">
        <v>39</v>
      </c>
      <c r="E1717" s="248" t="s">
        <v>1210</v>
      </c>
      <c r="F1717" s="248" t="s">
        <v>1388</v>
      </c>
      <c r="G1717" s="248" t="s">
        <v>1212</v>
      </c>
      <c r="H1717" s="248" t="s">
        <v>1213</v>
      </c>
      <c r="I1717" s="248" t="s">
        <v>1214</v>
      </c>
      <c r="J1717" s="248" t="s">
        <v>1385</v>
      </c>
      <c r="K1717" s="248" t="s">
        <v>1216</v>
      </c>
      <c r="L1717" s="248" t="s">
        <v>1217</v>
      </c>
    </row>
    <row r="1718" spans="2:12">
      <c r="B1718" s="256" t="s">
        <v>1575</v>
      </c>
      <c r="C1718" s="250" t="s">
        <v>1521</v>
      </c>
      <c r="D1718" s="205" t="s">
        <v>82</v>
      </c>
      <c r="E1718" s="257">
        <v>30</v>
      </c>
      <c r="F1718" s="258"/>
      <c r="G1718" s="257"/>
      <c r="H1718" s="257"/>
      <c r="I1718" s="257"/>
      <c r="J1718" s="259"/>
      <c r="K1718" s="260">
        <f>IF(E1718*F1718*G1718&lt;&gt;0,E1718*F1718*G1718,IF(E1718*F1718&lt;&gt;0,E1718*F1718,IF(F1718*G1718&lt;&gt;0,F1718*G1718,IF(E1718*G1718&lt;&gt;0,E1718*G1718,IF(E1718&lt;&gt;0,E1718,IF(F1718&lt;&gt;0,F1718,IF(G1718&lt;&gt;0,G1718,0)))))))*(IF(H1718&lt;&gt;0,H1718,1))+I1718-J1718</f>
        <v>30</v>
      </c>
      <c r="L1718" s="266"/>
    </row>
    <row r="1719" spans="2:12">
      <c r="B1719" s="256"/>
      <c r="C1719" s="210"/>
      <c r="D1719" s="210"/>
      <c r="E1719" s="257"/>
      <c r="F1719" s="258"/>
      <c r="G1719" s="257"/>
      <c r="H1719" s="257"/>
      <c r="I1719" s="257"/>
      <c r="J1719" s="259"/>
      <c r="K1719" s="260">
        <f>IF(E1719*F1719*G1719&lt;&gt;0,E1719*F1719*G1719,IF(E1719*F1719&lt;&gt;0,E1719*F1719,IF(F1719*G1719&lt;&gt;0,F1719*G1719,IF(E1719*G1719&lt;&gt;0,E1719*G1719,IF(E1719&lt;&gt;0,E1719,IF(F1719&lt;&gt;0,F1719,IF(G1719&lt;&gt;0,G1719,0)))))))*(IF(H1719&lt;&gt;0,H1719,1))+I1719-J1719</f>
        <v>0</v>
      </c>
      <c r="L1719" s="210"/>
    </row>
    <row r="1720" spans="2:12">
      <c r="B1720" s="202"/>
      <c r="C1720" s="203"/>
      <c r="D1720" s="203"/>
      <c r="E1720" s="203"/>
      <c r="F1720" s="203"/>
      <c r="G1720" s="203"/>
      <c r="H1720" s="204"/>
      <c r="I1720" s="556" t="s">
        <v>1221</v>
      </c>
      <c r="J1720" s="556"/>
      <c r="K1720" s="220">
        <f>SUM(K1718:K1719)</f>
        <v>30</v>
      </c>
      <c r="L1720" s="207"/>
    </row>
    <row r="1721" spans="2:12">
      <c r="B1721" s="208"/>
      <c r="C1721" s="204"/>
      <c r="D1721" s="204"/>
      <c r="E1721" s="204"/>
      <c r="F1721" s="204"/>
      <c r="G1721" s="204"/>
      <c r="H1721" s="209"/>
      <c r="I1721" s="557" t="s">
        <v>1222</v>
      </c>
      <c r="J1721" s="557"/>
      <c r="K1721" s="221">
        <f>VLOOKUP(B1716,'BM 004'!$B$27:$R$590,4,0)</f>
        <v>162.16999999999999</v>
      </c>
      <c r="L1721" s="246"/>
    </row>
    <row r="1722" spans="2:12">
      <c r="B1722" s="208"/>
      <c r="C1722" s="204"/>
      <c r="D1722" s="204"/>
      <c r="E1722" s="204"/>
      <c r="F1722" s="204"/>
      <c r="G1722" s="204"/>
      <c r="H1722" s="558" t="s">
        <v>1223</v>
      </c>
      <c r="I1722" s="558"/>
      <c r="J1722" s="558"/>
      <c r="K1722" s="222">
        <v>0</v>
      </c>
      <c r="L1722" s="207"/>
    </row>
    <row r="1723" spans="2:12">
      <c r="B1723" s="208"/>
      <c r="C1723" s="204"/>
      <c r="D1723" s="204"/>
      <c r="E1723" s="204"/>
      <c r="F1723" s="204"/>
      <c r="G1723" s="204"/>
      <c r="H1723" s="558" t="s">
        <v>1435</v>
      </c>
      <c r="I1723" s="558"/>
      <c r="J1723" s="558"/>
      <c r="K1723" s="222">
        <f>TRUNC(SUMIF(C1718:C1719,H1723,K1718:K1719),2)</f>
        <v>30</v>
      </c>
      <c r="L1723" s="207"/>
    </row>
    <row r="1724" spans="2:12">
      <c r="B1724" s="213"/>
      <c r="C1724" s="214"/>
      <c r="D1724" s="214"/>
      <c r="E1724" s="214"/>
      <c r="F1724" s="214"/>
      <c r="G1724" s="214"/>
      <c r="H1724" s="559" t="s">
        <v>1224</v>
      </c>
      <c r="I1724" s="559"/>
      <c r="J1724" s="559"/>
      <c r="K1724" s="223">
        <f>IF(K1720&gt;K1721,K1720-K1721,0)</f>
        <v>0</v>
      </c>
      <c r="L1724" s="209"/>
    </row>
    <row r="1726" spans="2:12">
      <c r="B1726" s="247" t="s">
        <v>1747</v>
      </c>
      <c r="C1726" s="565" t="str">
        <f>VLOOKUP(B1726,'BM 011'!$B$28:$R$681,2,0)</f>
        <v>TUBO DE PEAD CORRUGADO DE DUPLA PAREDE PARA REDE COLETORA DE ESGOTO, DN 300 MM, JUNTA ELÁSTICA INTEGRADA - FORNECIMENTO E ASSENTAMENTO. AF_01/2021</v>
      </c>
      <c r="D1726" s="565"/>
      <c r="E1726" s="565"/>
      <c r="F1726" s="565"/>
      <c r="G1726" s="565"/>
      <c r="H1726" s="565"/>
      <c r="I1726" s="565"/>
      <c r="J1726" s="565"/>
      <c r="K1726" s="565"/>
      <c r="L1726" s="565"/>
    </row>
    <row r="1727" spans="2:12">
      <c r="B1727" s="248" t="s">
        <v>1209</v>
      </c>
      <c r="C1727" s="248"/>
      <c r="D1727" s="248" t="s">
        <v>39</v>
      </c>
      <c r="E1727" s="248" t="s">
        <v>1210</v>
      </c>
      <c r="F1727" s="248" t="s">
        <v>1388</v>
      </c>
      <c r="G1727" s="248" t="s">
        <v>1212</v>
      </c>
      <c r="H1727" s="248" t="s">
        <v>1213</v>
      </c>
      <c r="I1727" s="248" t="s">
        <v>1214</v>
      </c>
      <c r="J1727" s="248" t="s">
        <v>1385</v>
      </c>
      <c r="K1727" s="248" t="s">
        <v>1216</v>
      </c>
      <c r="L1727" s="248" t="s">
        <v>1217</v>
      </c>
    </row>
    <row r="1728" spans="2:12">
      <c r="B1728" s="256" t="s">
        <v>1987</v>
      </c>
      <c r="C1728" s="250" t="s">
        <v>1931</v>
      </c>
      <c r="D1728" s="205" t="s">
        <v>82</v>
      </c>
      <c r="E1728" s="257">
        <v>69.73</v>
      </c>
      <c r="F1728" s="258"/>
      <c r="G1728" s="257"/>
      <c r="H1728" s="257"/>
      <c r="I1728" s="257"/>
      <c r="J1728" s="259"/>
      <c r="K1728" s="260">
        <f>IF(E1728*F1728*G1728&lt;&gt;0,E1728*F1728*G1728,IF(E1728*F1728&lt;&gt;0,E1728*F1728,IF(F1728*G1728&lt;&gt;0,F1728*G1728,IF(E1728*G1728&lt;&gt;0,E1728*G1728,IF(E1728&lt;&gt;0,E1728,IF(F1728&lt;&gt;0,F1728,IF(G1728&lt;&gt;0,G1728,0)))))))*(IF(H1728&lt;&gt;0,H1728,1))+I1728-J1728</f>
        <v>69.73</v>
      </c>
      <c r="L1728" s="266"/>
    </row>
    <row r="1729" spans="2:12">
      <c r="B1729" s="256"/>
      <c r="C1729" s="210"/>
      <c r="D1729" s="210"/>
      <c r="E1729" s="257"/>
      <c r="F1729" s="258"/>
      <c r="G1729" s="257"/>
      <c r="H1729" s="257"/>
      <c r="I1729" s="257"/>
      <c r="J1729" s="259"/>
      <c r="K1729" s="260">
        <f>IF(E1729*F1729*G1729&lt;&gt;0,E1729*F1729*G1729,IF(E1729*F1729&lt;&gt;0,E1729*F1729,IF(F1729*G1729&lt;&gt;0,F1729*G1729,IF(E1729*G1729&lt;&gt;0,E1729*G1729,IF(E1729&lt;&gt;0,E1729,IF(F1729&lt;&gt;0,F1729,IF(G1729&lt;&gt;0,G1729,0)))))))*(IF(H1729&lt;&gt;0,H1729,1))+I1729-J1729</f>
        <v>0</v>
      </c>
      <c r="L1729" s="210"/>
    </row>
    <row r="1730" spans="2:12">
      <c r="B1730" s="202"/>
      <c r="C1730" s="203"/>
      <c r="D1730" s="203"/>
      <c r="E1730" s="203"/>
      <c r="F1730" s="203"/>
      <c r="G1730" s="203"/>
      <c r="H1730" s="204"/>
      <c r="I1730" s="556" t="s">
        <v>1221</v>
      </c>
      <c r="J1730" s="556"/>
      <c r="K1730" s="220">
        <f>SUM(K1728:K1729)</f>
        <v>69.73</v>
      </c>
      <c r="L1730" s="207"/>
    </row>
    <row r="1731" spans="2:12">
      <c r="B1731" s="208"/>
      <c r="C1731" s="204"/>
      <c r="D1731" s="204"/>
      <c r="E1731" s="204"/>
      <c r="F1731" s="204"/>
      <c r="G1731" s="204"/>
      <c r="H1731" s="209"/>
      <c r="I1731" s="557" t="s">
        <v>1222</v>
      </c>
      <c r="J1731" s="557"/>
      <c r="K1731" s="221">
        <f>VLOOKUP(B1726,'BM 011'!$B$28:$R$681,5,0)</f>
        <v>69.73</v>
      </c>
      <c r="L1731" s="246"/>
    </row>
    <row r="1732" spans="2:12">
      <c r="B1732" s="208"/>
      <c r="C1732" s="204"/>
      <c r="D1732" s="204"/>
      <c r="E1732" s="204"/>
      <c r="F1732" s="204"/>
      <c r="G1732" s="204"/>
      <c r="H1732" s="558" t="s">
        <v>1223</v>
      </c>
      <c r="I1732" s="558"/>
      <c r="J1732" s="558"/>
      <c r="K1732" s="222">
        <v>0</v>
      </c>
      <c r="L1732" s="207"/>
    </row>
    <row r="1733" spans="2:12">
      <c r="B1733" s="208"/>
      <c r="C1733" s="204"/>
      <c r="D1733" s="204"/>
      <c r="E1733" s="204"/>
      <c r="F1733" s="204"/>
      <c r="G1733" s="204"/>
      <c r="H1733" s="558" t="s">
        <v>1891</v>
      </c>
      <c r="I1733" s="558"/>
      <c r="J1733" s="558"/>
      <c r="K1733" s="222">
        <f>TRUNC(SUMIF(C1728:C1729,H1733,K1728:K1729),2)</f>
        <v>69.73</v>
      </c>
      <c r="L1733" s="207"/>
    </row>
    <row r="1734" spans="2:12">
      <c r="B1734" s="213"/>
      <c r="C1734" s="214"/>
      <c r="D1734" s="214"/>
      <c r="E1734" s="214"/>
      <c r="F1734" s="214"/>
      <c r="G1734" s="214"/>
      <c r="H1734" s="559" t="s">
        <v>1224</v>
      </c>
      <c r="I1734" s="559"/>
      <c r="J1734" s="559"/>
      <c r="K1734" s="223">
        <f>IF(K1730&gt;K1731,K1730-K1731,0)</f>
        <v>0</v>
      </c>
      <c r="L1734" s="209"/>
    </row>
  </sheetData>
  <mergeCells count="412">
    <mergeCell ref="H1724:J1724"/>
    <mergeCell ref="C1726:L1726"/>
    <mergeCell ref="I1730:J1730"/>
    <mergeCell ref="I1731:J1731"/>
    <mergeCell ref="H1732:J1732"/>
    <mergeCell ref="H1733:J1733"/>
    <mergeCell ref="H1734:J1734"/>
    <mergeCell ref="I1711:J1711"/>
    <mergeCell ref="H1712:J1712"/>
    <mergeCell ref="H1713:J1713"/>
    <mergeCell ref="H1714:J1714"/>
    <mergeCell ref="C1716:L1716"/>
    <mergeCell ref="I1720:J1720"/>
    <mergeCell ref="I1721:J1721"/>
    <mergeCell ref="H1722:J1722"/>
    <mergeCell ref="H1723:J1723"/>
    <mergeCell ref="H1691:J1691"/>
    <mergeCell ref="C1693:L1693"/>
    <mergeCell ref="I1700:J1700"/>
    <mergeCell ref="I1701:J1701"/>
    <mergeCell ref="H1702:J1702"/>
    <mergeCell ref="H1703:J1703"/>
    <mergeCell ref="H1704:J1704"/>
    <mergeCell ref="C1706:L1706"/>
    <mergeCell ref="I1710:J1710"/>
    <mergeCell ref="I1675:J1675"/>
    <mergeCell ref="H1676:J1676"/>
    <mergeCell ref="H1677:J1677"/>
    <mergeCell ref="H1678:J1678"/>
    <mergeCell ref="C1680:L1680"/>
    <mergeCell ref="I1687:J1687"/>
    <mergeCell ref="I1688:J1688"/>
    <mergeCell ref="H1689:J1689"/>
    <mergeCell ref="H1690:J1690"/>
    <mergeCell ref="H1638:J1638"/>
    <mergeCell ref="C1640:L1640"/>
    <mergeCell ref="I1647:J1647"/>
    <mergeCell ref="I1648:J1648"/>
    <mergeCell ref="H1649:J1649"/>
    <mergeCell ref="H1650:J1650"/>
    <mergeCell ref="H1651:J1651"/>
    <mergeCell ref="C1653:L1653"/>
    <mergeCell ref="I1674:J1674"/>
    <mergeCell ref="I1622:J1622"/>
    <mergeCell ref="H1623:J1623"/>
    <mergeCell ref="H1624:J1624"/>
    <mergeCell ref="H1625:J1625"/>
    <mergeCell ref="C1627:L1627"/>
    <mergeCell ref="I1634:J1634"/>
    <mergeCell ref="I1635:J1635"/>
    <mergeCell ref="H1636:J1636"/>
    <mergeCell ref="H1637:J1637"/>
    <mergeCell ref="H1506:J1506"/>
    <mergeCell ref="C1508:L1508"/>
    <mergeCell ref="I1607:J1607"/>
    <mergeCell ref="I1608:J1608"/>
    <mergeCell ref="H1609:J1609"/>
    <mergeCell ref="H1610:J1610"/>
    <mergeCell ref="H1611:J1611"/>
    <mergeCell ref="C1613:L1613"/>
    <mergeCell ref="I1621:J1621"/>
    <mergeCell ref="I1480:J1480"/>
    <mergeCell ref="H1481:J1481"/>
    <mergeCell ref="H1482:J1482"/>
    <mergeCell ref="H1483:J1483"/>
    <mergeCell ref="C1485:L1485"/>
    <mergeCell ref="I1502:J1502"/>
    <mergeCell ref="I1503:J1503"/>
    <mergeCell ref="H1504:J1504"/>
    <mergeCell ref="H1505:J1505"/>
    <mergeCell ref="H1438:J1438"/>
    <mergeCell ref="C1440:L1440"/>
    <mergeCell ref="I1457:J1457"/>
    <mergeCell ref="I1458:J1458"/>
    <mergeCell ref="H1459:J1459"/>
    <mergeCell ref="H1460:J1460"/>
    <mergeCell ref="H1461:J1461"/>
    <mergeCell ref="C1463:L1463"/>
    <mergeCell ref="I1479:J1479"/>
    <mergeCell ref="I1412:J1412"/>
    <mergeCell ref="H1413:J1413"/>
    <mergeCell ref="H1414:J1414"/>
    <mergeCell ref="H1415:J1415"/>
    <mergeCell ref="C1417:L1417"/>
    <mergeCell ref="I1434:J1434"/>
    <mergeCell ref="I1435:J1435"/>
    <mergeCell ref="H1436:J1436"/>
    <mergeCell ref="H1437:J1437"/>
    <mergeCell ref="H1369:J1369"/>
    <mergeCell ref="C1371:L1371"/>
    <mergeCell ref="I1388:J1388"/>
    <mergeCell ref="I1389:J1389"/>
    <mergeCell ref="H1390:J1390"/>
    <mergeCell ref="H1391:J1391"/>
    <mergeCell ref="H1392:J1392"/>
    <mergeCell ref="C1394:L1394"/>
    <mergeCell ref="I1411:J1411"/>
    <mergeCell ref="I1329:J1329"/>
    <mergeCell ref="H1330:J1330"/>
    <mergeCell ref="H1331:J1331"/>
    <mergeCell ref="H1332:J1332"/>
    <mergeCell ref="C1334:L1334"/>
    <mergeCell ref="I1365:J1365"/>
    <mergeCell ref="I1366:J1366"/>
    <mergeCell ref="H1367:J1367"/>
    <mergeCell ref="H1368:J1368"/>
    <mergeCell ref="H1047:J1047"/>
    <mergeCell ref="C1049:L1049"/>
    <mergeCell ref="I1063:J1063"/>
    <mergeCell ref="I1064:J1064"/>
    <mergeCell ref="H1065:J1065"/>
    <mergeCell ref="H1066:J1066"/>
    <mergeCell ref="H1067:J1067"/>
    <mergeCell ref="C1069:L1069"/>
    <mergeCell ref="I1328:J1328"/>
    <mergeCell ref="I1025:J1025"/>
    <mergeCell ref="H1026:J1026"/>
    <mergeCell ref="H1027:J1027"/>
    <mergeCell ref="H1028:J1028"/>
    <mergeCell ref="C1030:L1030"/>
    <mergeCell ref="I1043:J1043"/>
    <mergeCell ref="I1044:J1044"/>
    <mergeCell ref="H1045:J1045"/>
    <mergeCell ref="H1046:J1046"/>
    <mergeCell ref="H988:J988"/>
    <mergeCell ref="C990:L990"/>
    <mergeCell ref="I1004:J1004"/>
    <mergeCell ref="I1005:J1005"/>
    <mergeCell ref="H1006:J1006"/>
    <mergeCell ref="H1007:J1007"/>
    <mergeCell ref="H1008:J1008"/>
    <mergeCell ref="C1010:L1010"/>
    <mergeCell ref="I1024:J1024"/>
    <mergeCell ref="I967:J967"/>
    <mergeCell ref="H968:J968"/>
    <mergeCell ref="H969:J969"/>
    <mergeCell ref="H970:J970"/>
    <mergeCell ref="C972:L972"/>
    <mergeCell ref="I984:J984"/>
    <mergeCell ref="I985:J985"/>
    <mergeCell ref="H986:J986"/>
    <mergeCell ref="H987:J987"/>
    <mergeCell ref="H935:J935"/>
    <mergeCell ref="C937:L937"/>
    <mergeCell ref="I948:J948"/>
    <mergeCell ref="I949:J949"/>
    <mergeCell ref="H950:J950"/>
    <mergeCell ref="H951:J951"/>
    <mergeCell ref="H952:J952"/>
    <mergeCell ref="C954:L954"/>
    <mergeCell ref="I966:J966"/>
    <mergeCell ref="I914:J914"/>
    <mergeCell ref="H915:J915"/>
    <mergeCell ref="H916:J916"/>
    <mergeCell ref="H917:J917"/>
    <mergeCell ref="C919:L919"/>
    <mergeCell ref="I931:J931"/>
    <mergeCell ref="I932:J932"/>
    <mergeCell ref="H933:J933"/>
    <mergeCell ref="H934:J934"/>
    <mergeCell ref="H687:J687"/>
    <mergeCell ref="C689:L689"/>
    <mergeCell ref="I708:J708"/>
    <mergeCell ref="I709:J709"/>
    <mergeCell ref="H710:J710"/>
    <mergeCell ref="H711:J711"/>
    <mergeCell ref="H712:J712"/>
    <mergeCell ref="C714:L714"/>
    <mergeCell ref="I913:J913"/>
    <mergeCell ref="I659:J659"/>
    <mergeCell ref="H660:J660"/>
    <mergeCell ref="H661:J661"/>
    <mergeCell ref="H662:J662"/>
    <mergeCell ref="C664:L664"/>
    <mergeCell ref="I683:J683"/>
    <mergeCell ref="I684:J684"/>
    <mergeCell ref="H685:J685"/>
    <mergeCell ref="H686:J686"/>
    <mergeCell ref="H614:J614"/>
    <mergeCell ref="C616:L616"/>
    <mergeCell ref="I634:J634"/>
    <mergeCell ref="I635:J635"/>
    <mergeCell ref="H636:J636"/>
    <mergeCell ref="H637:J637"/>
    <mergeCell ref="H638:J638"/>
    <mergeCell ref="C640:L640"/>
    <mergeCell ref="I658:J658"/>
    <mergeCell ref="I587:J587"/>
    <mergeCell ref="H588:J588"/>
    <mergeCell ref="H589:J589"/>
    <mergeCell ref="H590:J590"/>
    <mergeCell ref="C592:L592"/>
    <mergeCell ref="I610:J610"/>
    <mergeCell ref="I611:J611"/>
    <mergeCell ref="H612:J612"/>
    <mergeCell ref="H613:J613"/>
    <mergeCell ref="H541:J541"/>
    <mergeCell ref="C543:L543"/>
    <mergeCell ref="I561:J561"/>
    <mergeCell ref="I562:J562"/>
    <mergeCell ref="H563:J563"/>
    <mergeCell ref="H564:J564"/>
    <mergeCell ref="H565:J565"/>
    <mergeCell ref="C567:L567"/>
    <mergeCell ref="I586:J586"/>
    <mergeCell ref="I512:J512"/>
    <mergeCell ref="H513:J513"/>
    <mergeCell ref="H514:J514"/>
    <mergeCell ref="H515:J515"/>
    <mergeCell ref="C518:L518"/>
    <mergeCell ref="I537:J537"/>
    <mergeCell ref="I538:J538"/>
    <mergeCell ref="H539:J539"/>
    <mergeCell ref="H540:J540"/>
    <mergeCell ref="H465:J465"/>
    <mergeCell ref="C467:L467"/>
    <mergeCell ref="I474:J474"/>
    <mergeCell ref="I475:J475"/>
    <mergeCell ref="H476:J476"/>
    <mergeCell ref="H477:J477"/>
    <mergeCell ref="H478:J478"/>
    <mergeCell ref="B480:L480"/>
    <mergeCell ref="I511:J511"/>
    <mergeCell ref="I451:J451"/>
    <mergeCell ref="H452:J452"/>
    <mergeCell ref="H453:J453"/>
    <mergeCell ref="H454:J454"/>
    <mergeCell ref="B456:L456"/>
    <mergeCell ref="I461:J461"/>
    <mergeCell ref="I462:J462"/>
    <mergeCell ref="H463:J463"/>
    <mergeCell ref="H464:J464"/>
    <mergeCell ref="H432:J432"/>
    <mergeCell ref="B434:L434"/>
    <mergeCell ref="I439:J439"/>
    <mergeCell ref="I440:J440"/>
    <mergeCell ref="H441:J441"/>
    <mergeCell ref="H442:J442"/>
    <mergeCell ref="H443:J443"/>
    <mergeCell ref="B445:L445"/>
    <mergeCell ref="I450:J450"/>
    <mergeCell ref="I418:J418"/>
    <mergeCell ref="H419:J419"/>
    <mergeCell ref="H420:J420"/>
    <mergeCell ref="H421:J421"/>
    <mergeCell ref="B423:L423"/>
    <mergeCell ref="I428:J428"/>
    <mergeCell ref="I429:J429"/>
    <mergeCell ref="H430:J430"/>
    <mergeCell ref="H431:J431"/>
    <mergeCell ref="H355:J355"/>
    <mergeCell ref="B357:L357"/>
    <mergeCell ref="I405:J405"/>
    <mergeCell ref="I406:J406"/>
    <mergeCell ref="H407:J407"/>
    <mergeCell ref="H408:J408"/>
    <mergeCell ref="H409:J409"/>
    <mergeCell ref="B411:L411"/>
    <mergeCell ref="I417:J417"/>
    <mergeCell ref="I340:J340"/>
    <mergeCell ref="H341:J341"/>
    <mergeCell ref="H342:J342"/>
    <mergeCell ref="H343:J343"/>
    <mergeCell ref="B345:L345"/>
    <mergeCell ref="I351:J351"/>
    <mergeCell ref="I352:J352"/>
    <mergeCell ref="H353:J353"/>
    <mergeCell ref="H354:J354"/>
    <mergeCell ref="H321:J321"/>
    <mergeCell ref="B323:L323"/>
    <mergeCell ref="I328:J328"/>
    <mergeCell ref="I329:J329"/>
    <mergeCell ref="H330:J330"/>
    <mergeCell ref="H331:J331"/>
    <mergeCell ref="H332:J332"/>
    <mergeCell ref="B334:L334"/>
    <mergeCell ref="I339:J339"/>
    <mergeCell ref="I307:J307"/>
    <mergeCell ref="H308:J308"/>
    <mergeCell ref="H309:J309"/>
    <mergeCell ref="H310:J310"/>
    <mergeCell ref="B312:L312"/>
    <mergeCell ref="I317:J317"/>
    <mergeCell ref="I318:J318"/>
    <mergeCell ref="H319:J319"/>
    <mergeCell ref="H320:J320"/>
    <mergeCell ref="H287:J287"/>
    <mergeCell ref="B289:L289"/>
    <mergeCell ref="I294:J294"/>
    <mergeCell ref="I295:J295"/>
    <mergeCell ref="H296:J296"/>
    <mergeCell ref="H297:J297"/>
    <mergeCell ref="H298:J298"/>
    <mergeCell ref="B300:L300"/>
    <mergeCell ref="I306:J306"/>
    <mergeCell ref="I272:J272"/>
    <mergeCell ref="H273:J273"/>
    <mergeCell ref="H274:J274"/>
    <mergeCell ref="H275:J275"/>
    <mergeCell ref="B277:L277"/>
    <mergeCell ref="I283:J283"/>
    <mergeCell ref="I284:J284"/>
    <mergeCell ref="H285:J285"/>
    <mergeCell ref="H286:J286"/>
    <mergeCell ref="H203:J203"/>
    <mergeCell ref="B205:L205"/>
    <mergeCell ref="I210:J210"/>
    <mergeCell ref="I211:J211"/>
    <mergeCell ref="H212:J212"/>
    <mergeCell ref="H213:J213"/>
    <mergeCell ref="H214:J214"/>
    <mergeCell ref="B216:L216"/>
    <mergeCell ref="I271:J271"/>
    <mergeCell ref="I189:J189"/>
    <mergeCell ref="H190:J190"/>
    <mergeCell ref="H191:J191"/>
    <mergeCell ref="H192:J192"/>
    <mergeCell ref="B194:L194"/>
    <mergeCell ref="I199:J199"/>
    <mergeCell ref="I200:J200"/>
    <mergeCell ref="H201:J201"/>
    <mergeCell ref="H202:J202"/>
    <mergeCell ref="H172:J172"/>
    <mergeCell ref="B174:L174"/>
    <mergeCell ref="I178:J178"/>
    <mergeCell ref="I179:J179"/>
    <mergeCell ref="H180:J180"/>
    <mergeCell ref="H181:J181"/>
    <mergeCell ref="H182:J182"/>
    <mergeCell ref="B184:L184"/>
    <mergeCell ref="I188:J188"/>
    <mergeCell ref="I158:J158"/>
    <mergeCell ref="H159:J159"/>
    <mergeCell ref="H160:J160"/>
    <mergeCell ref="H161:J161"/>
    <mergeCell ref="B163:L163"/>
    <mergeCell ref="I168:J168"/>
    <mergeCell ref="I169:J169"/>
    <mergeCell ref="H170:J170"/>
    <mergeCell ref="H171:J171"/>
    <mergeCell ref="H133:J133"/>
    <mergeCell ref="B135:L135"/>
    <mergeCell ref="I143:J143"/>
    <mergeCell ref="I144:J144"/>
    <mergeCell ref="H145:J145"/>
    <mergeCell ref="H146:J146"/>
    <mergeCell ref="H147:J147"/>
    <mergeCell ref="B149:L149"/>
    <mergeCell ref="I157:J157"/>
    <mergeCell ref="I119:J119"/>
    <mergeCell ref="H120:J120"/>
    <mergeCell ref="H121:J121"/>
    <mergeCell ref="H122:J122"/>
    <mergeCell ref="B124:L124"/>
    <mergeCell ref="I129:J129"/>
    <mergeCell ref="I130:J130"/>
    <mergeCell ref="H131:J131"/>
    <mergeCell ref="H132:J132"/>
    <mergeCell ref="H102:J102"/>
    <mergeCell ref="B104:L104"/>
    <mergeCell ref="I108:J108"/>
    <mergeCell ref="I109:J109"/>
    <mergeCell ref="H110:J110"/>
    <mergeCell ref="H111:J111"/>
    <mergeCell ref="H112:J112"/>
    <mergeCell ref="B114:L114"/>
    <mergeCell ref="I118:J118"/>
    <mergeCell ref="I89:J89"/>
    <mergeCell ref="H90:J90"/>
    <mergeCell ref="H91:J91"/>
    <mergeCell ref="H92:J92"/>
    <mergeCell ref="B94:L94"/>
    <mergeCell ref="I98:J98"/>
    <mergeCell ref="I99:J99"/>
    <mergeCell ref="H100:J100"/>
    <mergeCell ref="H101:J101"/>
    <mergeCell ref="H72:J72"/>
    <mergeCell ref="B74:L74"/>
    <mergeCell ref="I78:J78"/>
    <mergeCell ref="I79:J79"/>
    <mergeCell ref="H80:J80"/>
    <mergeCell ref="H81:J81"/>
    <mergeCell ref="H82:J82"/>
    <mergeCell ref="B84:L84"/>
    <mergeCell ref="I88:J88"/>
    <mergeCell ref="I53:J53"/>
    <mergeCell ref="H54:J54"/>
    <mergeCell ref="H55:J55"/>
    <mergeCell ref="H56:J56"/>
    <mergeCell ref="C58:K58"/>
    <mergeCell ref="I68:J68"/>
    <mergeCell ref="I69:J69"/>
    <mergeCell ref="H70:J70"/>
    <mergeCell ref="H71:J71"/>
    <mergeCell ref="H26:J26"/>
    <mergeCell ref="C28:L28"/>
    <mergeCell ref="I42:J42"/>
    <mergeCell ref="I43:J43"/>
    <mergeCell ref="H44:J44"/>
    <mergeCell ref="H45:J45"/>
    <mergeCell ref="H46:J46"/>
    <mergeCell ref="B48:L48"/>
    <mergeCell ref="I52:J52"/>
    <mergeCell ref="B2:L2"/>
    <mergeCell ref="B3:L3"/>
    <mergeCell ref="B4:L4"/>
    <mergeCell ref="B6:L6"/>
    <mergeCell ref="C8:L8"/>
    <mergeCell ref="I22:J22"/>
    <mergeCell ref="I23:J23"/>
    <mergeCell ref="H24:J24"/>
    <mergeCell ref="H25:J25"/>
  </mergeCells>
  <printOptions horizontalCentered="1"/>
  <pageMargins left="0.51180555555555596" right="0.51180555555555596" top="0.78749999999999998" bottom="0.98402777777777795" header="0.511811023622047" footer="0.511811023622047"/>
  <pageSetup paperSize="9" scale="42" fitToHeight="16"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Y766"/>
  <sheetViews>
    <sheetView view="pageBreakPreview" topLeftCell="B130" zoomScale="75" zoomScaleNormal="70" zoomScalePageLayoutView="75" workbookViewId="0">
      <selection activeCell="J136" sqref="J136"/>
    </sheetView>
  </sheetViews>
  <sheetFormatPr defaultColWidth="9.109375" defaultRowHeight="14.4"/>
  <cols>
    <col min="1" max="1" width="3.6640625" style="2" hidden="1" customWidth="1"/>
    <col min="2" max="2" width="11.33203125" style="2" customWidth="1"/>
    <col min="3" max="3" width="40.33203125" style="2" customWidth="1"/>
    <col min="4" max="4" width="5.88671875" style="3" customWidth="1"/>
    <col min="5" max="5" width="15.33203125" style="4" hidden="1" customWidth="1"/>
    <col min="6" max="6" width="15.33203125" style="4" customWidth="1"/>
    <col min="7" max="8" width="14.77734375" style="4" customWidth="1"/>
    <col min="9" max="9" width="4.44140625" style="4" hidden="1" customWidth="1"/>
    <col min="10" max="10" width="15" style="4" customWidth="1"/>
    <col min="11" max="11" width="14.33203125" style="5" customWidth="1"/>
    <col min="12" max="12" width="17" style="5" hidden="1" customWidth="1"/>
    <col min="13" max="13" width="15.88671875" style="5" customWidth="1"/>
    <col min="14" max="14" width="25.33203125" style="5" hidden="1" customWidth="1"/>
    <col min="15" max="16" width="23.5546875" style="5" customWidth="1"/>
    <col min="17" max="18" width="23.5546875" style="6" hidden="1" customWidth="1"/>
    <col min="19" max="19" width="23.5546875" style="6" customWidth="1"/>
    <col min="20" max="20" width="23.5546875" style="5" customWidth="1"/>
    <col min="21" max="21" width="3" style="2" customWidth="1"/>
    <col min="22" max="22" width="23.33203125" style="2" customWidth="1"/>
    <col min="23" max="23" width="22.6640625" style="2" customWidth="1"/>
    <col min="24" max="24" width="21.44140625" style="2" customWidth="1"/>
    <col min="25" max="25" width="17.109375" style="2" customWidth="1"/>
    <col min="26" max="16384" width="9.109375" style="2"/>
  </cols>
  <sheetData>
    <row r="1" spans="2:25" ht="6" customHeight="1"/>
    <row r="2" spans="2:25" ht="29.25" customHeight="1">
      <c r="B2" s="491"/>
      <c r="C2" s="491"/>
      <c r="D2" s="491"/>
      <c r="E2" s="491"/>
      <c r="F2" s="491"/>
      <c r="G2" s="491"/>
      <c r="H2" s="491"/>
      <c r="I2" s="491"/>
      <c r="J2" s="491"/>
      <c r="K2" s="491"/>
      <c r="L2" s="491"/>
      <c r="M2" s="491"/>
      <c r="N2" s="491"/>
      <c r="O2" s="491"/>
      <c r="P2" s="491"/>
      <c r="Q2" s="491"/>
      <c r="R2" s="491"/>
      <c r="S2" s="491"/>
      <c r="T2" s="491"/>
      <c r="U2" s="7"/>
    </row>
    <row r="3" spans="2:25" ht="29.25" customHeight="1">
      <c r="B3" s="492" t="s">
        <v>0</v>
      </c>
      <c r="C3" s="492"/>
      <c r="D3" s="492"/>
      <c r="E3" s="492"/>
      <c r="F3" s="492"/>
      <c r="G3" s="492"/>
      <c r="H3" s="492"/>
      <c r="I3" s="492"/>
      <c r="J3" s="492"/>
      <c r="K3" s="492"/>
      <c r="L3" s="492"/>
      <c r="M3" s="492"/>
      <c r="N3" s="492"/>
      <c r="O3" s="492"/>
      <c r="P3" s="492"/>
      <c r="Q3" s="492"/>
      <c r="R3" s="492"/>
      <c r="S3" s="492"/>
      <c r="T3" s="492"/>
      <c r="U3" s="7"/>
      <c r="Y3" s="8"/>
    </row>
    <row r="4" spans="2:25" ht="29.25" customHeight="1">
      <c r="B4" s="493"/>
      <c r="C4" s="493"/>
      <c r="D4" s="493"/>
      <c r="E4" s="493"/>
      <c r="F4" s="493"/>
      <c r="G4" s="493"/>
      <c r="H4" s="493"/>
      <c r="I4" s="493"/>
      <c r="J4" s="493"/>
      <c r="K4" s="493"/>
      <c r="L4" s="493"/>
      <c r="M4" s="493"/>
      <c r="N4" s="493"/>
      <c r="O4" s="493"/>
      <c r="P4" s="493"/>
      <c r="Q4" s="493"/>
      <c r="R4" s="493"/>
      <c r="S4" s="493"/>
      <c r="T4" s="493"/>
      <c r="U4" s="9"/>
    </row>
    <row r="5" spans="2:25" ht="8.25" customHeight="1">
      <c r="B5" s="494"/>
      <c r="C5" s="494"/>
      <c r="D5" s="494"/>
      <c r="E5" s="494"/>
      <c r="F5" s="494"/>
      <c r="G5" s="494"/>
      <c r="H5" s="494"/>
      <c r="I5" s="494"/>
      <c r="J5" s="494"/>
      <c r="K5" s="494"/>
      <c r="L5" s="494"/>
      <c r="M5" s="494"/>
      <c r="N5" s="494"/>
      <c r="O5" s="494"/>
      <c r="P5" s="494"/>
      <c r="Q5" s="494"/>
      <c r="R5" s="494"/>
      <c r="S5" s="494"/>
      <c r="T5" s="494"/>
      <c r="U5" s="9"/>
    </row>
    <row r="6" spans="2:25" ht="38.25" customHeight="1">
      <c r="B6" s="495" t="s">
        <v>1988</v>
      </c>
      <c r="C6" s="495"/>
      <c r="D6" s="495"/>
      <c r="E6" s="495"/>
      <c r="F6" s="495"/>
      <c r="G6" s="495"/>
      <c r="H6" s="495"/>
      <c r="I6" s="495"/>
      <c r="J6" s="495"/>
      <c r="K6" s="495"/>
      <c r="L6" s="495"/>
      <c r="M6" s="495"/>
      <c r="N6" s="495"/>
      <c r="O6" s="495"/>
      <c r="P6" s="495"/>
      <c r="Q6" s="495"/>
      <c r="R6" s="495"/>
      <c r="S6" s="495"/>
      <c r="T6" s="495"/>
      <c r="U6" s="7"/>
    </row>
    <row r="7" spans="2:25" ht="8.25" customHeight="1">
      <c r="B7" s="496"/>
      <c r="C7" s="496"/>
      <c r="D7" s="496"/>
      <c r="E7" s="496"/>
      <c r="F7" s="496"/>
      <c r="G7" s="496"/>
      <c r="H7" s="496"/>
      <c r="I7" s="496"/>
      <c r="J7" s="496"/>
      <c r="K7" s="496"/>
      <c r="L7" s="496"/>
      <c r="M7" s="496"/>
      <c r="N7" s="496"/>
      <c r="O7" s="496"/>
      <c r="P7" s="496"/>
      <c r="Q7" s="496"/>
      <c r="R7" s="496"/>
      <c r="S7" s="496"/>
      <c r="T7" s="496"/>
      <c r="U7" s="7"/>
    </row>
    <row r="8" spans="2:25" ht="25.5" customHeight="1">
      <c r="B8" s="497" t="s">
        <v>2</v>
      </c>
      <c r="C8" s="497"/>
      <c r="D8" s="497"/>
      <c r="E8" s="497"/>
      <c r="F8" s="497"/>
      <c r="G8" s="497"/>
      <c r="H8" s="497"/>
      <c r="I8" s="497"/>
      <c r="J8" s="497"/>
      <c r="K8" s="497"/>
      <c r="L8" s="497"/>
      <c r="M8" s="497"/>
      <c r="N8" s="497"/>
      <c r="O8" s="497"/>
      <c r="P8" s="497"/>
      <c r="Q8" s="497"/>
      <c r="R8" s="497"/>
      <c r="S8" s="497"/>
      <c r="T8" s="497"/>
      <c r="U8" s="7"/>
    </row>
    <row r="9" spans="2:25" s="10" customFormat="1" ht="31.5" customHeight="1">
      <c r="B9" s="498" t="s">
        <v>3</v>
      </c>
      <c r="C9" s="498"/>
      <c r="D9" s="499" t="s">
        <v>4</v>
      </c>
      <c r="E9" s="499"/>
      <c r="F9" s="499"/>
      <c r="G9" s="499"/>
      <c r="H9" s="499"/>
      <c r="I9" s="499"/>
      <c r="J9" s="499"/>
      <c r="K9" s="499"/>
      <c r="L9" s="499"/>
      <c r="M9" s="499"/>
      <c r="N9" s="499"/>
      <c r="O9" s="499"/>
      <c r="P9" s="499"/>
      <c r="Q9" s="499"/>
      <c r="R9" s="499"/>
      <c r="S9" s="499"/>
      <c r="T9" s="499"/>
      <c r="U9" s="11"/>
    </row>
    <row r="10" spans="2:25" s="10" customFormat="1" ht="31.5" customHeight="1">
      <c r="B10" s="498" t="s">
        <v>5</v>
      </c>
      <c r="C10" s="498"/>
      <c r="D10" s="500" t="s">
        <v>6</v>
      </c>
      <c r="E10" s="500"/>
      <c r="F10" s="500"/>
      <c r="G10" s="500"/>
      <c r="H10" s="500"/>
      <c r="I10" s="500"/>
      <c r="J10" s="500"/>
      <c r="K10" s="500"/>
      <c r="L10" s="12"/>
      <c r="M10" s="501" t="s">
        <v>7</v>
      </c>
      <c r="N10" s="501"/>
      <c r="O10" s="501"/>
      <c r="P10" s="501"/>
      <c r="Q10" s="502">
        <v>45383</v>
      </c>
      <c r="R10" s="502"/>
      <c r="S10" s="502"/>
      <c r="T10" s="502"/>
      <c r="U10" s="11"/>
      <c r="V10" s="31"/>
    </row>
    <row r="11" spans="2:25" s="10" customFormat="1" ht="31.5" customHeight="1">
      <c r="B11" s="498" t="s">
        <v>8</v>
      </c>
      <c r="C11" s="498"/>
      <c r="D11" s="503" t="s">
        <v>9</v>
      </c>
      <c r="E11" s="503"/>
      <c r="F11" s="503"/>
      <c r="G11" s="503"/>
      <c r="H11" s="503"/>
      <c r="I11" s="503"/>
      <c r="J11" s="503"/>
      <c r="K11" s="503"/>
      <c r="L11" s="12"/>
      <c r="M11" s="501" t="s">
        <v>10</v>
      </c>
      <c r="N11" s="501"/>
      <c r="O11" s="501"/>
      <c r="P11" s="501"/>
      <c r="Q11" s="502">
        <f>Q10+600</f>
        <v>45983</v>
      </c>
      <c r="R11" s="502"/>
      <c r="S11" s="502"/>
      <c r="T11" s="502"/>
      <c r="U11" s="11"/>
    </row>
    <row r="12" spans="2:25" s="10" customFormat="1" ht="36.75" customHeight="1">
      <c r="B12" s="504" t="s">
        <v>11</v>
      </c>
      <c r="C12" s="504"/>
      <c r="D12" s="505" t="s">
        <v>12</v>
      </c>
      <c r="E12" s="505"/>
      <c r="F12" s="505"/>
      <c r="G12" s="505"/>
      <c r="H12" s="505"/>
      <c r="I12" s="13"/>
      <c r="J12" s="506"/>
      <c r="K12" s="506"/>
      <c r="L12" s="14"/>
      <c r="M12" s="507"/>
      <c r="N12" s="507"/>
      <c r="O12" s="507"/>
      <c r="P12" s="1" t="s">
        <v>13</v>
      </c>
      <c r="Q12" s="502">
        <v>45383</v>
      </c>
      <c r="R12" s="502"/>
      <c r="S12" s="502"/>
      <c r="T12" s="502"/>
      <c r="U12" s="11"/>
      <c r="V12" s="15"/>
    </row>
    <row r="13" spans="2:25" s="10" customFormat="1" ht="31.5" customHeight="1">
      <c r="B13" s="508" t="s">
        <v>14</v>
      </c>
      <c r="C13" s="508"/>
      <c r="D13" s="509">
        <f>R682</f>
        <v>26279999.999999993</v>
      </c>
      <c r="E13" s="509"/>
      <c r="F13" s="509"/>
      <c r="G13" s="509"/>
      <c r="H13" s="509"/>
      <c r="I13" s="509"/>
      <c r="J13" s="509"/>
      <c r="K13" s="509"/>
      <c r="L13" s="16"/>
      <c r="M13" s="510" t="s">
        <v>15</v>
      </c>
      <c r="N13" s="510"/>
      <c r="O13" s="510"/>
      <c r="P13" s="510"/>
      <c r="Q13" s="511" t="s">
        <v>16</v>
      </c>
      <c r="R13" s="511"/>
      <c r="S13" s="511"/>
      <c r="T13" s="511"/>
      <c r="U13" s="11"/>
    </row>
    <row r="14" spans="2:25" s="10" customFormat="1" ht="31.5" customHeight="1">
      <c r="B14" s="508" t="s">
        <v>1736</v>
      </c>
      <c r="C14" s="508"/>
      <c r="D14" s="567">
        <v>28719537.48</v>
      </c>
      <c r="E14" s="567"/>
      <c r="F14" s="567"/>
      <c r="G14" s="567"/>
      <c r="H14" s="567"/>
      <c r="I14" s="567"/>
      <c r="J14" s="567"/>
      <c r="K14" s="567"/>
      <c r="L14" s="276"/>
      <c r="M14" s="510" t="s">
        <v>1737</v>
      </c>
      <c r="N14" s="510"/>
      <c r="O14" s="510"/>
      <c r="P14" s="510"/>
      <c r="Q14" s="511" t="s">
        <v>1738</v>
      </c>
      <c r="R14" s="511"/>
      <c r="S14" s="511"/>
      <c r="T14" s="511"/>
      <c r="U14" s="11"/>
    </row>
    <row r="15" spans="2:25" s="10" customFormat="1" ht="31.5" customHeight="1">
      <c r="B15" s="512" t="s">
        <v>17</v>
      </c>
      <c r="C15" s="512"/>
      <c r="D15" s="568"/>
      <c r="E15" s="568"/>
      <c r="F15" s="568"/>
      <c r="G15" s="568"/>
      <c r="H15" s="568"/>
      <c r="I15" s="277"/>
      <c r="J15" s="569" t="s">
        <v>18</v>
      </c>
      <c r="K15" s="569"/>
      <c r="L15" s="17"/>
      <c r="M15" s="515"/>
      <c r="N15" s="515"/>
      <c r="O15" s="515"/>
      <c r="P15" s="19" t="s">
        <v>19</v>
      </c>
      <c r="Q15" s="516"/>
      <c r="R15" s="516"/>
      <c r="S15" s="516"/>
      <c r="T15" s="516"/>
      <c r="U15" s="11"/>
      <c r="V15" s="15"/>
    </row>
    <row r="16" spans="2:25" s="10" customFormat="1" ht="31.5" customHeight="1">
      <c r="B16" s="517" t="s">
        <v>20</v>
      </c>
      <c r="C16" s="517"/>
      <c r="D16" s="518" t="s">
        <v>21</v>
      </c>
      <c r="E16" s="518"/>
      <c r="F16" s="518"/>
      <c r="G16" s="518"/>
      <c r="H16" s="518"/>
      <c r="I16" s="20"/>
      <c r="J16" s="518" t="s">
        <v>18</v>
      </c>
      <c r="K16" s="518"/>
      <c r="L16" s="21"/>
      <c r="M16" s="519" t="s">
        <v>22</v>
      </c>
      <c r="N16" s="519"/>
      <c r="O16" s="519"/>
      <c r="P16" s="22" t="s">
        <v>19</v>
      </c>
      <c r="Q16" s="520" t="s">
        <v>23</v>
      </c>
      <c r="R16" s="520"/>
      <c r="S16" s="520"/>
      <c r="T16" s="520"/>
      <c r="U16" s="11"/>
      <c r="V16" s="278">
        <f>D14</f>
        <v>28719537.48</v>
      </c>
      <c r="W16" s="24"/>
    </row>
    <row r="17" spans="1:25" s="10" customFormat="1" ht="6" customHeight="1">
      <c r="B17" s="521"/>
      <c r="C17" s="521"/>
      <c r="D17" s="521"/>
      <c r="E17" s="521"/>
      <c r="F17" s="521"/>
      <c r="G17" s="521"/>
      <c r="H17" s="521"/>
      <c r="I17" s="521"/>
      <c r="J17" s="521"/>
      <c r="K17" s="521"/>
      <c r="L17" s="521"/>
      <c r="M17" s="521"/>
      <c r="N17" s="521"/>
      <c r="O17" s="521"/>
      <c r="P17" s="521"/>
      <c r="Q17" s="521"/>
      <c r="R17" s="521"/>
      <c r="S17" s="521"/>
      <c r="T17" s="521"/>
      <c r="U17" s="11"/>
      <c r="V17" s="278"/>
      <c r="W17" s="25"/>
    </row>
    <row r="18" spans="1:25" s="10" customFormat="1" ht="27.75" customHeight="1">
      <c r="B18" s="497" t="s">
        <v>24</v>
      </c>
      <c r="C18" s="497"/>
      <c r="D18" s="497"/>
      <c r="E18" s="497"/>
      <c r="F18" s="497"/>
      <c r="G18" s="497"/>
      <c r="H18" s="497"/>
      <c r="I18" s="497"/>
      <c r="J18" s="497"/>
      <c r="K18" s="497"/>
      <c r="L18" s="497"/>
      <c r="M18" s="497"/>
      <c r="N18" s="497"/>
      <c r="O18" s="497"/>
      <c r="P18" s="497"/>
      <c r="Q18" s="497"/>
      <c r="R18" s="497"/>
      <c r="S18" s="497"/>
      <c r="T18" s="497"/>
      <c r="U18" s="11"/>
      <c r="V18" s="279"/>
      <c r="W18" s="27"/>
      <c r="X18" s="10">
        <f>V20/V19</f>
        <v>0.3733082921324925</v>
      </c>
      <c r="Y18" s="28"/>
    </row>
    <row r="19" spans="1:25" ht="43.5" customHeight="1">
      <c r="A19" s="10"/>
      <c r="B19" s="522" t="s">
        <v>25</v>
      </c>
      <c r="C19" s="522"/>
      <c r="D19" s="523" t="s">
        <v>4</v>
      </c>
      <c r="E19" s="523"/>
      <c r="F19" s="523"/>
      <c r="G19" s="523"/>
      <c r="H19" s="523"/>
      <c r="I19" s="523"/>
      <c r="J19" s="523"/>
      <c r="K19" s="523"/>
      <c r="L19" s="29"/>
      <c r="M19" s="501" t="s">
        <v>26</v>
      </c>
      <c r="N19" s="501"/>
      <c r="O19" s="501"/>
      <c r="P19" s="501"/>
      <c r="Q19" s="524">
        <f>O682</f>
        <v>1179125.4300000002</v>
      </c>
      <c r="R19" s="524"/>
      <c r="S19" s="524"/>
      <c r="T19" s="524"/>
      <c r="U19" s="30"/>
      <c r="V19" s="278">
        <f>V16-S34-S33</f>
        <v>26191805.690000001</v>
      </c>
      <c r="W19" s="31"/>
      <c r="X19" s="10">
        <f>V21/V20</f>
        <v>1.4250894182178604E-11</v>
      </c>
      <c r="Y19" s="28"/>
    </row>
    <row r="20" spans="1:25" s="34" customFormat="1" ht="31.5" customHeight="1">
      <c r="A20" s="10"/>
      <c r="B20" s="522" t="s">
        <v>27</v>
      </c>
      <c r="C20" s="522"/>
      <c r="D20" s="525" t="s">
        <v>1989</v>
      </c>
      <c r="E20" s="525"/>
      <c r="F20" s="525"/>
      <c r="G20" s="525"/>
      <c r="H20" s="525"/>
      <c r="I20" s="525"/>
      <c r="J20" s="525"/>
      <c r="K20" s="525"/>
      <c r="L20" s="29"/>
      <c r="M20" s="501" t="s">
        <v>29</v>
      </c>
      <c r="N20" s="501"/>
      <c r="O20" s="501"/>
      <c r="P20" s="501"/>
      <c r="Q20" s="524">
        <f>Q19-Q21</f>
        <v>0</v>
      </c>
      <c r="R20" s="524"/>
      <c r="S20" s="524"/>
      <c r="T20" s="524"/>
      <c r="U20" s="30"/>
      <c r="V20" s="278">
        <f>Q22-P34-P33</f>
        <v>9777618.25</v>
      </c>
      <c r="W20" s="280">
        <f>V20/V19</f>
        <v>0.3733082921324925</v>
      </c>
      <c r="X20" s="281"/>
      <c r="Y20" s="10"/>
    </row>
    <row r="21" spans="1:25" s="34" customFormat="1" ht="31.5" customHeight="1">
      <c r="A21" s="10"/>
      <c r="B21" s="526" t="s">
        <v>30</v>
      </c>
      <c r="C21" s="526"/>
      <c r="D21" s="523" t="s">
        <v>1990</v>
      </c>
      <c r="E21" s="523"/>
      <c r="F21" s="523"/>
      <c r="G21" s="523"/>
      <c r="H21" s="523"/>
      <c r="I21" s="523"/>
      <c r="J21" s="523"/>
      <c r="K21" s="523"/>
      <c r="L21" s="29"/>
      <c r="M21" s="501" t="s">
        <v>32</v>
      </c>
      <c r="N21" s="501"/>
      <c r="O21" s="501"/>
      <c r="P21" s="501"/>
      <c r="Q21" s="524">
        <f>O682</f>
        <v>1179125.4300000002</v>
      </c>
      <c r="R21" s="524"/>
      <c r="S21" s="524"/>
      <c r="T21" s="524"/>
      <c r="U21" s="30"/>
      <c r="V21" s="33">
        <f>X21-J33</f>
        <v>1.3933980303448834E-4</v>
      </c>
      <c r="W21" s="24">
        <f>W20*S33</f>
        <v>532623.81018384895</v>
      </c>
      <c r="X21" s="32">
        <f>W21/M33</f>
        <v>8.1588393398030341</v>
      </c>
      <c r="Y21" s="33"/>
    </row>
    <row r="22" spans="1:25" s="34" customFormat="1" ht="31.5" customHeight="1">
      <c r="A22" s="10"/>
      <c r="B22" s="526" t="s">
        <v>33</v>
      </c>
      <c r="C22" s="526"/>
      <c r="D22" s="527">
        <v>45750</v>
      </c>
      <c r="E22" s="527"/>
      <c r="F22" s="527"/>
      <c r="G22" s="527"/>
      <c r="H22" s="527"/>
      <c r="I22" s="527"/>
      <c r="J22" s="527"/>
      <c r="K22" s="527"/>
      <c r="L22" s="35"/>
      <c r="M22" s="501" t="s">
        <v>34</v>
      </c>
      <c r="N22" s="501"/>
      <c r="O22" s="501"/>
      <c r="P22" s="501"/>
      <c r="Q22" s="524">
        <f>Q21+'BM 011'!Q22</f>
        <v>10721117.43</v>
      </c>
      <c r="R22" s="524"/>
      <c r="S22" s="524"/>
      <c r="T22" s="524"/>
      <c r="U22" s="36"/>
      <c r="V22" s="282">
        <f>X22-J34</f>
        <v>1.1397026717019365E-4</v>
      </c>
      <c r="W22" s="24">
        <f>W20*S34</f>
        <v>410999.42731005925</v>
      </c>
      <c r="X22" s="32">
        <f>W22/M34</f>
        <v>0.40791397026717024</v>
      </c>
      <c r="Y22" s="10"/>
    </row>
    <row r="23" spans="1:25" s="34" customFormat="1" ht="31.5" customHeight="1">
      <c r="A23" s="10"/>
      <c r="B23" s="526" t="s">
        <v>35</v>
      </c>
      <c r="C23" s="526"/>
      <c r="D23" s="527">
        <v>45751</v>
      </c>
      <c r="E23" s="527"/>
      <c r="F23" s="527"/>
      <c r="G23" s="527"/>
      <c r="H23" s="527"/>
      <c r="I23" s="527"/>
      <c r="J23" s="527"/>
      <c r="K23" s="527"/>
      <c r="L23" s="35"/>
      <c r="M23" s="501" t="s">
        <v>36</v>
      </c>
      <c r="N23" s="501"/>
      <c r="O23" s="501"/>
      <c r="P23" s="501"/>
      <c r="Q23" s="524">
        <f>T682</f>
        <v>17998420.050000001</v>
      </c>
      <c r="R23" s="524"/>
      <c r="S23" s="524"/>
      <c r="T23" s="524"/>
      <c r="U23" s="36"/>
      <c r="V23" s="31"/>
      <c r="W23" s="37"/>
      <c r="X23" s="10"/>
      <c r="Y23" s="10"/>
    </row>
    <row r="24" spans="1:25" s="34" customFormat="1" ht="5.25" customHeight="1">
      <c r="A24" s="10"/>
      <c r="B24" s="528"/>
      <c r="C24" s="528"/>
      <c r="D24" s="528"/>
      <c r="E24" s="528"/>
      <c r="F24" s="528"/>
      <c r="G24" s="528"/>
      <c r="H24" s="528"/>
      <c r="I24" s="528"/>
      <c r="J24" s="528"/>
      <c r="K24" s="528"/>
      <c r="L24" s="528"/>
      <c r="M24" s="528"/>
      <c r="N24" s="528"/>
      <c r="O24" s="528"/>
      <c r="P24" s="528"/>
      <c r="Q24" s="528"/>
      <c r="R24" s="528"/>
      <c r="S24" s="528"/>
      <c r="T24" s="528"/>
      <c r="U24" s="10"/>
      <c r="V24" s="10"/>
      <c r="W24" s="10"/>
      <c r="X24" s="10"/>
      <c r="Y24" s="10"/>
    </row>
    <row r="25" spans="1:25" s="34" customFormat="1" ht="2.25" customHeight="1">
      <c r="A25" s="2"/>
      <c r="B25" s="38"/>
      <c r="C25" s="39"/>
      <c r="D25" s="40"/>
      <c r="E25" s="41"/>
      <c r="F25" s="283"/>
      <c r="G25" s="42"/>
      <c r="H25" s="43"/>
      <c r="I25" s="43"/>
      <c r="J25" s="43"/>
      <c r="K25" s="39"/>
      <c r="L25" s="39"/>
      <c r="M25" s="39"/>
      <c r="N25" s="39"/>
      <c r="O25" s="39"/>
      <c r="P25" s="39"/>
      <c r="Q25" s="44"/>
      <c r="R25" s="44"/>
      <c r="S25" s="44"/>
      <c r="T25" s="45"/>
      <c r="U25" s="2"/>
      <c r="V25" s="2"/>
      <c r="W25" s="2"/>
      <c r="X25" s="2"/>
      <c r="Y25" s="2"/>
    </row>
    <row r="26" spans="1:25" s="34" customFormat="1" ht="18" customHeight="1">
      <c r="A26" s="2"/>
      <c r="B26" s="529" t="s">
        <v>37</v>
      </c>
      <c r="C26" s="530" t="s">
        <v>38</v>
      </c>
      <c r="D26" s="530" t="s">
        <v>39</v>
      </c>
      <c r="E26" s="531" t="s">
        <v>40</v>
      </c>
      <c r="F26" s="531"/>
      <c r="G26" s="531"/>
      <c r="H26" s="531"/>
      <c r="I26" s="531"/>
      <c r="J26" s="531"/>
      <c r="K26" s="531"/>
      <c r="L26" s="48" t="s">
        <v>41</v>
      </c>
      <c r="M26" s="48" t="s">
        <v>42</v>
      </c>
      <c r="N26" s="48"/>
      <c r="O26" s="532" t="s">
        <v>43</v>
      </c>
      <c r="P26" s="532"/>
      <c r="Q26" s="532"/>
      <c r="R26" s="532"/>
      <c r="S26" s="532"/>
      <c r="T26" s="532"/>
      <c r="U26" s="2"/>
      <c r="V26" s="49" t="s">
        <v>44</v>
      </c>
      <c r="W26" s="50"/>
      <c r="X26" s="51"/>
      <c r="Y26" s="2"/>
    </row>
    <row r="27" spans="1:25" s="34" customFormat="1" ht="43.5" customHeight="1">
      <c r="A27" s="2"/>
      <c r="B27" s="529"/>
      <c r="C27" s="530"/>
      <c r="D27" s="530"/>
      <c r="E27" s="52" t="s">
        <v>45</v>
      </c>
      <c r="F27" s="52" t="s">
        <v>1741</v>
      </c>
      <c r="G27" s="53" t="s">
        <v>46</v>
      </c>
      <c r="H27" s="53" t="s">
        <v>47</v>
      </c>
      <c r="I27" s="54"/>
      <c r="J27" s="55" t="s">
        <v>48</v>
      </c>
      <c r="K27" s="55" t="s">
        <v>49</v>
      </c>
      <c r="L27" s="56" t="s">
        <v>50</v>
      </c>
      <c r="M27" s="47" t="s">
        <v>50</v>
      </c>
      <c r="N27" s="48" t="s">
        <v>51</v>
      </c>
      <c r="O27" s="57" t="s">
        <v>52</v>
      </c>
      <c r="P27" s="57" t="s">
        <v>53</v>
      </c>
      <c r="Q27" s="57" t="s">
        <v>54</v>
      </c>
      <c r="R27" s="57" t="s">
        <v>55</v>
      </c>
      <c r="S27" s="57" t="s">
        <v>1742</v>
      </c>
      <c r="T27" s="58" t="s">
        <v>56</v>
      </c>
      <c r="U27" s="2"/>
      <c r="V27" s="59">
        <v>0.26760011</v>
      </c>
      <c r="W27" s="50"/>
      <c r="X27" s="50"/>
      <c r="Y27" s="2"/>
    </row>
    <row r="28" spans="1:25" s="34" customFormat="1" ht="13.2">
      <c r="B28" s="60" t="s">
        <v>57</v>
      </c>
      <c r="C28" s="61" t="s">
        <v>58</v>
      </c>
      <c r="D28" s="60"/>
      <c r="E28" s="62"/>
      <c r="F28" s="284"/>
      <c r="G28" s="63"/>
      <c r="H28" s="63"/>
      <c r="I28" s="63"/>
      <c r="J28" s="63"/>
      <c r="K28" s="63"/>
      <c r="L28" s="63"/>
      <c r="M28" s="64"/>
      <c r="N28" s="63">
        <f t="shared" ref="N28:T28" si="0">N29+N31+N36+N44</f>
        <v>121270.08</v>
      </c>
      <c r="O28" s="63">
        <f t="shared" si="0"/>
        <v>121270.08</v>
      </c>
      <c r="P28" s="63">
        <f t="shared" si="0"/>
        <v>1560904.1900000002</v>
      </c>
      <c r="Q28" s="63">
        <f t="shared" si="0"/>
        <v>2403883</v>
      </c>
      <c r="R28" s="63">
        <f t="shared" si="0"/>
        <v>3047162.2499999991</v>
      </c>
      <c r="S28" s="63">
        <f t="shared" si="0"/>
        <v>3333160.3699999992</v>
      </c>
      <c r="T28" s="63">
        <f t="shared" si="0"/>
        <v>1772256.18</v>
      </c>
      <c r="W28" s="65"/>
    </row>
    <row r="29" spans="1:25" s="34" customFormat="1" ht="13.2">
      <c r="B29" s="66" t="s">
        <v>59</v>
      </c>
      <c r="C29" s="67" t="s">
        <v>60</v>
      </c>
      <c r="D29" s="68"/>
      <c r="E29" s="69"/>
      <c r="F29" s="69"/>
      <c r="G29" s="70"/>
      <c r="H29" s="70"/>
      <c r="I29" s="70"/>
      <c r="J29" s="70"/>
      <c r="K29" s="70"/>
      <c r="L29" s="71"/>
      <c r="M29" s="72"/>
      <c r="N29" s="73">
        <f t="shared" ref="N29:T29" si="1">SUM(N30)</f>
        <v>0</v>
      </c>
      <c r="O29" s="73">
        <f t="shared" si="1"/>
        <v>0</v>
      </c>
      <c r="P29" s="73">
        <f t="shared" si="1"/>
        <v>41273.050000000003</v>
      </c>
      <c r="Q29" s="73">
        <f t="shared" si="1"/>
        <v>32560</v>
      </c>
      <c r="R29" s="73">
        <f t="shared" si="1"/>
        <v>41273.050000000003</v>
      </c>
      <c r="S29" s="73">
        <f t="shared" si="1"/>
        <v>41273.050000000003</v>
      </c>
      <c r="T29" s="73">
        <f t="shared" si="1"/>
        <v>0</v>
      </c>
      <c r="V29" s="74"/>
    </row>
    <row r="30" spans="1:25" s="34" customFormat="1" ht="13.2">
      <c r="B30" s="75" t="s">
        <v>61</v>
      </c>
      <c r="C30" s="76" t="s">
        <v>62</v>
      </c>
      <c r="D30" s="77" t="s">
        <v>63</v>
      </c>
      <c r="E30" s="78">
        <v>1</v>
      </c>
      <c r="F30" s="78">
        <v>1</v>
      </c>
      <c r="G30" s="79"/>
      <c r="H30" s="79"/>
      <c r="I30" s="79"/>
      <c r="J30" s="79" t="e">
        <f ca="1">SUM(H30:I30)+'BM 011'!J30</f>
        <v>#VALUE!</v>
      </c>
      <c r="K30" s="79" t="e">
        <f t="shared" ref="K30:K93" ca="1" si="2">F30-J30</f>
        <v>#VALUE!</v>
      </c>
      <c r="L30" s="80">
        <v>32560</v>
      </c>
      <c r="M30" s="81">
        <v>41273.059581599999</v>
      </c>
      <c r="N30" s="82">
        <f>TRUNC(G30*M30,2)</f>
        <v>0</v>
      </c>
      <c r="O30" s="82">
        <f>TRUNC(H30*M30,2)</f>
        <v>0</v>
      </c>
      <c r="P30" s="82">
        <f>O30+'BM 011'!P30</f>
        <v>41273.050000000003</v>
      </c>
      <c r="Q30" s="82">
        <f>E30*L30</f>
        <v>32560</v>
      </c>
      <c r="R30" s="82">
        <f>TRUNC(E30*M30,2)</f>
        <v>41273.050000000003</v>
      </c>
      <c r="S30" s="82">
        <f>TRUNC(F30*$M30,2)</f>
        <v>41273.050000000003</v>
      </c>
      <c r="T30" s="82">
        <f>S30-P30</f>
        <v>0</v>
      </c>
      <c r="V30" s="74"/>
    </row>
    <row r="31" spans="1:25" s="34" customFormat="1" ht="13.2">
      <c r="B31" s="66" t="s">
        <v>64</v>
      </c>
      <c r="C31" s="67" t="s">
        <v>65</v>
      </c>
      <c r="D31" s="68"/>
      <c r="E31" s="69"/>
      <c r="F31" s="69"/>
      <c r="G31" s="70"/>
      <c r="H31" s="70"/>
      <c r="I31" s="70"/>
      <c r="J31" s="70">
        <f>SUM(H31:I31)+'BM 011'!J31</f>
        <v>0</v>
      </c>
      <c r="K31" s="70">
        <f t="shared" si="2"/>
        <v>0</v>
      </c>
      <c r="L31" s="71"/>
      <c r="M31" s="71"/>
      <c r="N31" s="73">
        <f t="shared" ref="N31:T31" si="3">SUM(N32:N35)</f>
        <v>103716.22</v>
      </c>
      <c r="O31" s="73">
        <f t="shared" si="3"/>
        <v>103716.22</v>
      </c>
      <c r="P31" s="73">
        <f t="shared" si="3"/>
        <v>943499.18</v>
      </c>
      <c r="Q31" s="73">
        <f t="shared" si="3"/>
        <v>1872865.9</v>
      </c>
      <c r="R31" s="73">
        <f t="shared" si="3"/>
        <v>2374044.9999999995</v>
      </c>
      <c r="S31" s="73">
        <f t="shared" si="3"/>
        <v>2588576.59</v>
      </c>
      <c r="T31" s="73">
        <f t="shared" si="3"/>
        <v>1645077.41</v>
      </c>
      <c r="V31" s="83"/>
    </row>
    <row r="32" spans="1:25" s="34" customFormat="1" ht="23.4">
      <c r="B32" s="75" t="s">
        <v>66</v>
      </c>
      <c r="C32" s="76" t="s">
        <v>67</v>
      </c>
      <c r="D32" s="77" t="s">
        <v>68</v>
      </c>
      <c r="E32" s="78">
        <v>20</v>
      </c>
      <c r="F32" s="78">
        <v>20</v>
      </c>
      <c r="G32" s="79"/>
      <c r="H32" s="79"/>
      <c r="I32" s="79"/>
      <c r="J32" s="79">
        <f>SUM(H32:I32)+'BM 011'!J32</f>
        <v>0</v>
      </c>
      <c r="K32" s="79">
        <f t="shared" si="2"/>
        <v>20</v>
      </c>
      <c r="L32" s="84">
        <v>1200</v>
      </c>
      <c r="M32" s="81">
        <v>1521.120132</v>
      </c>
      <c r="N32" s="82">
        <f>TRUNC(G32*M32,2)</f>
        <v>0</v>
      </c>
      <c r="O32" s="82">
        <f>TRUNC(H32*M32,2)</f>
        <v>0</v>
      </c>
      <c r="P32" s="82">
        <f>O32+'BM 011'!P32</f>
        <v>0</v>
      </c>
      <c r="Q32" s="82">
        <f>E32*L32</f>
        <v>24000</v>
      </c>
      <c r="R32" s="82">
        <f>TRUNC(E32*M32,2)</f>
        <v>30422.400000000001</v>
      </c>
      <c r="S32" s="82">
        <f>TRUNC(F32*$M32,2)</f>
        <v>30422.400000000001</v>
      </c>
      <c r="T32" s="82">
        <f>S32-P32</f>
        <v>30422.400000000001</v>
      </c>
    </row>
    <row r="33" spans="1:23" s="34" customFormat="1" ht="13.2">
      <c r="B33" s="75" t="s">
        <v>69</v>
      </c>
      <c r="C33" s="85" t="s">
        <v>70</v>
      </c>
      <c r="D33" s="77" t="s">
        <v>68</v>
      </c>
      <c r="E33" s="78">
        <v>20</v>
      </c>
      <c r="F33" s="78">
        <v>21.855499999999999</v>
      </c>
      <c r="G33" s="86">
        <f>'M.C. MED. 12'!K26</f>
        <v>0.89729999999999954</v>
      </c>
      <c r="H33" s="86">
        <f>G33</f>
        <v>0.89729999999999954</v>
      </c>
      <c r="I33" s="79"/>
      <c r="J33" s="86">
        <f>SUM(H33:I33)+'BM 011'!J33</f>
        <v>8.1586999999999996</v>
      </c>
      <c r="K33" s="79">
        <f t="shared" si="2"/>
        <v>13.6968</v>
      </c>
      <c r="L33" s="84">
        <v>51500.32</v>
      </c>
      <c r="M33" s="81">
        <v>65281.811297035201</v>
      </c>
      <c r="N33" s="82">
        <f>TRUNC(G33*M33,2)</f>
        <v>58577.36</v>
      </c>
      <c r="O33" s="82">
        <f>TRUNC(H33*M33,2)</f>
        <v>58577.36</v>
      </c>
      <c r="P33" s="82">
        <f>O33+'BM 011'!P33</f>
        <v>532614.64</v>
      </c>
      <c r="Q33" s="82">
        <f>E33*L33</f>
        <v>1030006.4</v>
      </c>
      <c r="R33" s="82">
        <f>TRUNC(E33*M33,2)</f>
        <v>1305636.22</v>
      </c>
      <c r="S33" s="82">
        <f>TRUNC(F33*$M33,2)</f>
        <v>1426766.62</v>
      </c>
      <c r="T33" s="82">
        <f>S33-P33</f>
        <v>894151.9800000001</v>
      </c>
      <c r="V33" s="83"/>
    </row>
    <row r="34" spans="1:23" s="34" customFormat="1" ht="194.4">
      <c r="B34" s="75" t="s">
        <v>71</v>
      </c>
      <c r="C34" s="85" t="s">
        <v>72</v>
      </c>
      <c r="D34" s="77" t="s">
        <v>39</v>
      </c>
      <c r="E34" s="78">
        <v>1</v>
      </c>
      <c r="F34" s="78">
        <v>1.0927</v>
      </c>
      <c r="G34" s="86">
        <f>'M.C. MED. 12'!K47</f>
        <v>4.4800000000000006E-2</v>
      </c>
      <c r="H34" s="86">
        <f>G34</f>
        <v>4.4800000000000006E-2</v>
      </c>
      <c r="I34" s="79"/>
      <c r="J34" s="86">
        <f>SUM(H34:I34)+'BM 011'!J34</f>
        <v>0.40780000000000005</v>
      </c>
      <c r="K34" s="79">
        <f t="shared" si="2"/>
        <v>0.68489999999999995</v>
      </c>
      <c r="L34" s="84">
        <v>794859.5</v>
      </c>
      <c r="M34" s="81">
        <v>1007563.9896345499</v>
      </c>
      <c r="N34" s="82">
        <f>TRUNC(G34*M34,2)</f>
        <v>45138.86</v>
      </c>
      <c r="O34" s="82">
        <f>TRUNC(H34*M34,2)</f>
        <v>45138.86</v>
      </c>
      <c r="P34" s="82">
        <f>O34+'BM 011'!P34</f>
        <v>410884.54000000004</v>
      </c>
      <c r="Q34" s="82">
        <f>E34*L34</f>
        <v>794859.5</v>
      </c>
      <c r="R34" s="82">
        <f>TRUNC(E34*M34,2)</f>
        <v>1007563.98</v>
      </c>
      <c r="S34" s="82">
        <f>TRUNC(F34*$M34,2)</f>
        <v>1100965.17</v>
      </c>
      <c r="T34" s="82">
        <f>S34-P34</f>
        <v>690080.62999999989</v>
      </c>
      <c r="V34" s="83"/>
    </row>
    <row r="35" spans="1:23" s="34" customFormat="1" ht="23.4">
      <c r="B35" s="75" t="s">
        <v>73</v>
      </c>
      <c r="C35" s="76" t="s">
        <v>74</v>
      </c>
      <c r="D35" s="77" t="s">
        <v>68</v>
      </c>
      <c r="E35" s="78">
        <v>20</v>
      </c>
      <c r="F35" s="78">
        <v>20</v>
      </c>
      <c r="G35" s="79"/>
      <c r="H35" s="79"/>
      <c r="I35" s="79"/>
      <c r="J35" s="79">
        <f>SUM(H35:I35)+'BM 011'!J35</f>
        <v>0</v>
      </c>
      <c r="K35" s="79">
        <f t="shared" si="2"/>
        <v>20</v>
      </c>
      <c r="L35" s="84">
        <v>1200</v>
      </c>
      <c r="M35" s="81">
        <v>1521.120132</v>
      </c>
      <c r="N35" s="82">
        <f>TRUNC(G35*M35,2)</f>
        <v>0</v>
      </c>
      <c r="O35" s="82">
        <f>TRUNC(H35*M35,2)</f>
        <v>0</v>
      </c>
      <c r="P35" s="82">
        <f>O35+'BM 011'!P35</f>
        <v>0</v>
      </c>
      <c r="Q35" s="82">
        <f>E35*L35</f>
        <v>24000</v>
      </c>
      <c r="R35" s="82">
        <f>TRUNC(E35*M35,2)</f>
        <v>30422.400000000001</v>
      </c>
      <c r="S35" s="82">
        <f>TRUNC(F35*$M35,2)</f>
        <v>30422.400000000001</v>
      </c>
      <c r="T35" s="82">
        <f>S35-P35</f>
        <v>30422.400000000001</v>
      </c>
    </row>
    <row r="36" spans="1:23" s="34" customFormat="1" ht="13.2">
      <c r="B36" s="66" t="s">
        <v>75</v>
      </c>
      <c r="C36" s="67" t="s">
        <v>76</v>
      </c>
      <c r="D36" s="68"/>
      <c r="E36" s="69"/>
      <c r="F36" s="69"/>
      <c r="G36" s="70"/>
      <c r="H36" s="70"/>
      <c r="I36" s="70"/>
      <c r="J36" s="70">
        <f>SUM(H36:I36)+'BM 011'!J36</f>
        <v>0</v>
      </c>
      <c r="K36" s="70">
        <f t="shared" si="2"/>
        <v>0</v>
      </c>
      <c r="L36" s="71"/>
      <c r="M36" s="71">
        <v>0</v>
      </c>
      <c r="N36" s="73">
        <f t="shared" ref="N36:T36" si="4">SUM(N37:N43)</f>
        <v>15956.69</v>
      </c>
      <c r="O36" s="73">
        <f t="shared" si="4"/>
        <v>15956.69</v>
      </c>
      <c r="P36" s="73">
        <f t="shared" si="4"/>
        <v>424391.72</v>
      </c>
      <c r="Q36" s="73">
        <f t="shared" si="4"/>
        <v>278420</v>
      </c>
      <c r="R36" s="73">
        <f t="shared" si="4"/>
        <v>352925.19</v>
      </c>
      <c r="S36" s="73">
        <f t="shared" si="4"/>
        <v>424391.72</v>
      </c>
      <c r="T36" s="73">
        <f t="shared" si="4"/>
        <v>0</v>
      </c>
    </row>
    <row r="37" spans="1:23" s="34" customFormat="1" ht="13.2">
      <c r="B37" s="87" t="s">
        <v>77</v>
      </c>
      <c r="C37" s="88" t="s">
        <v>78</v>
      </c>
      <c r="D37" s="89" t="s">
        <v>79</v>
      </c>
      <c r="E37" s="90">
        <v>128</v>
      </c>
      <c r="F37" s="90">
        <v>128</v>
      </c>
      <c r="G37" s="91"/>
      <c r="H37" s="91"/>
      <c r="I37" s="91"/>
      <c r="J37" s="79">
        <f>SUM(H37:I37)+'BM 011'!J37</f>
        <v>128</v>
      </c>
      <c r="K37" s="91">
        <f t="shared" si="2"/>
        <v>0</v>
      </c>
      <c r="L37" s="80">
        <v>125</v>
      </c>
      <c r="M37" s="81">
        <v>158.45001375000001</v>
      </c>
      <c r="N37" s="82">
        <f t="shared" ref="N37:N43" si="5">TRUNC(G37*M37,2)</f>
        <v>0</v>
      </c>
      <c r="O37" s="82">
        <f t="shared" ref="O37:O43" si="6">TRUNC(H37*M37,2)</f>
        <v>0</v>
      </c>
      <c r="P37" s="82">
        <f>O37+'BM 011'!P37</f>
        <v>20281.599999999999</v>
      </c>
      <c r="Q37" s="82">
        <f t="shared" ref="Q37:Q43" si="7">E37*L37</f>
        <v>16000</v>
      </c>
      <c r="R37" s="82">
        <f t="shared" ref="R37:R43" si="8">TRUNC(E37*M37,2)</f>
        <v>20281.599999999999</v>
      </c>
      <c r="S37" s="82">
        <f t="shared" ref="S37:S43" si="9">TRUNC(F37*$M37,2)</f>
        <v>20281.599999999999</v>
      </c>
      <c r="T37" s="82">
        <f t="shared" ref="T37:T43" si="10">S37-P37</f>
        <v>0</v>
      </c>
    </row>
    <row r="38" spans="1:23" s="34" customFormat="1" ht="46.2">
      <c r="B38" s="87" t="s">
        <v>80</v>
      </c>
      <c r="C38" s="76" t="s">
        <v>81</v>
      </c>
      <c r="D38" s="77" t="s">
        <v>82</v>
      </c>
      <c r="E38" s="78">
        <v>156</v>
      </c>
      <c r="F38" s="78">
        <v>961.42</v>
      </c>
      <c r="G38" s="91">
        <f>15956.69/88.7320077</f>
        <v>179.83014713190133</v>
      </c>
      <c r="H38" s="91">
        <f>G38</f>
        <v>179.83014713190133</v>
      </c>
      <c r="I38" s="91"/>
      <c r="J38" s="79">
        <f>SUM(H38:I38)+'BM 011'!J38</f>
        <v>961.42014713190133</v>
      </c>
      <c r="K38" s="91">
        <f t="shared" si="2"/>
        <v>-1.4713190137172205E-4</v>
      </c>
      <c r="L38" s="80">
        <v>70</v>
      </c>
      <c r="M38" s="81">
        <v>88.732007699999997</v>
      </c>
      <c r="N38" s="82">
        <f t="shared" si="5"/>
        <v>15956.69</v>
      </c>
      <c r="O38" s="82">
        <f t="shared" si="6"/>
        <v>15956.69</v>
      </c>
      <c r="P38" s="82">
        <f>O38+'BM 011'!P38</f>
        <v>85308.72</v>
      </c>
      <c r="Q38" s="82">
        <f t="shared" si="7"/>
        <v>10920</v>
      </c>
      <c r="R38" s="82">
        <f t="shared" si="8"/>
        <v>13842.19</v>
      </c>
      <c r="S38" s="82">
        <f t="shared" si="9"/>
        <v>85308.72</v>
      </c>
      <c r="T38" s="82">
        <f t="shared" si="10"/>
        <v>0</v>
      </c>
      <c r="V38" s="83"/>
    </row>
    <row r="39" spans="1:23" s="34" customFormat="1" ht="34.799999999999997">
      <c r="B39" s="87" t="s">
        <v>83</v>
      </c>
      <c r="C39" s="88" t="s">
        <v>84</v>
      </c>
      <c r="D39" s="89" t="s">
        <v>79</v>
      </c>
      <c r="E39" s="92">
        <v>40</v>
      </c>
      <c r="F39" s="92">
        <v>40</v>
      </c>
      <c r="G39" s="91"/>
      <c r="H39" s="91"/>
      <c r="I39" s="91"/>
      <c r="J39" s="79">
        <f>SUM(H39:I39)+'BM 011'!J39</f>
        <v>40</v>
      </c>
      <c r="K39" s="91">
        <f t="shared" si="2"/>
        <v>0</v>
      </c>
      <c r="L39" s="80">
        <v>1150</v>
      </c>
      <c r="M39" s="81">
        <v>1457.7401265000001</v>
      </c>
      <c r="N39" s="82">
        <f t="shared" si="5"/>
        <v>0</v>
      </c>
      <c r="O39" s="82">
        <f t="shared" si="6"/>
        <v>0</v>
      </c>
      <c r="P39" s="82">
        <f>O39+'BM 011'!P39</f>
        <v>58309.599999999999</v>
      </c>
      <c r="Q39" s="82">
        <f t="shared" si="7"/>
        <v>46000</v>
      </c>
      <c r="R39" s="82">
        <f t="shared" si="8"/>
        <v>58309.599999999999</v>
      </c>
      <c r="S39" s="82">
        <f t="shared" si="9"/>
        <v>58309.599999999999</v>
      </c>
      <c r="T39" s="82">
        <f t="shared" si="10"/>
        <v>0</v>
      </c>
    </row>
    <row r="40" spans="1:23" s="34" customFormat="1" ht="23.4">
      <c r="B40" s="87" t="s">
        <v>85</v>
      </c>
      <c r="C40" s="88" t="s">
        <v>86</v>
      </c>
      <c r="D40" s="89" t="s">
        <v>79</v>
      </c>
      <c r="E40" s="92">
        <v>68</v>
      </c>
      <c r="F40" s="92">
        <v>68</v>
      </c>
      <c r="G40" s="91"/>
      <c r="H40" s="91"/>
      <c r="I40" s="91"/>
      <c r="J40" s="79">
        <f>SUM(H40:I40)+'BM 011'!J40</f>
        <v>68</v>
      </c>
      <c r="K40" s="91">
        <f t="shared" si="2"/>
        <v>0</v>
      </c>
      <c r="L40" s="80">
        <v>1000</v>
      </c>
      <c r="M40" s="81">
        <v>1267.6001100000001</v>
      </c>
      <c r="N40" s="82">
        <f t="shared" si="5"/>
        <v>0</v>
      </c>
      <c r="O40" s="82">
        <f t="shared" si="6"/>
        <v>0</v>
      </c>
      <c r="P40" s="82">
        <f>O40+'BM 011'!P40</f>
        <v>86196.800000000003</v>
      </c>
      <c r="Q40" s="82">
        <f t="shared" si="7"/>
        <v>68000</v>
      </c>
      <c r="R40" s="82">
        <f t="shared" si="8"/>
        <v>86196.800000000003</v>
      </c>
      <c r="S40" s="82">
        <f t="shared" si="9"/>
        <v>86196.800000000003</v>
      </c>
      <c r="T40" s="82">
        <f t="shared" si="10"/>
        <v>0</v>
      </c>
    </row>
    <row r="41" spans="1:23" s="34" customFormat="1" ht="34.799999999999997">
      <c r="B41" s="87" t="s">
        <v>87</v>
      </c>
      <c r="C41" s="88" t="s">
        <v>88</v>
      </c>
      <c r="D41" s="89" t="s">
        <v>79</v>
      </c>
      <c r="E41" s="92">
        <v>60</v>
      </c>
      <c r="F41" s="92">
        <v>60</v>
      </c>
      <c r="G41" s="91"/>
      <c r="H41" s="91"/>
      <c r="I41" s="91"/>
      <c r="J41" s="79">
        <f>SUM(H41:I41)+'BM 011'!J41</f>
        <v>60</v>
      </c>
      <c r="K41" s="91">
        <f t="shared" si="2"/>
        <v>0</v>
      </c>
      <c r="L41" s="80">
        <v>600</v>
      </c>
      <c r="M41" s="81">
        <v>760.56006600000001</v>
      </c>
      <c r="N41" s="82">
        <f t="shared" si="5"/>
        <v>0</v>
      </c>
      <c r="O41" s="82">
        <f t="shared" si="6"/>
        <v>0</v>
      </c>
      <c r="P41" s="82">
        <f>O41+'BM 011'!P41</f>
        <v>45633.599999999999</v>
      </c>
      <c r="Q41" s="82">
        <f t="shared" si="7"/>
        <v>36000</v>
      </c>
      <c r="R41" s="82">
        <f t="shared" si="8"/>
        <v>45633.599999999999</v>
      </c>
      <c r="S41" s="82">
        <f t="shared" si="9"/>
        <v>45633.599999999999</v>
      </c>
      <c r="T41" s="82">
        <f t="shared" si="10"/>
        <v>0</v>
      </c>
      <c r="V41" s="83"/>
      <c r="W41" s="83"/>
    </row>
    <row r="42" spans="1:23" s="34" customFormat="1" ht="34.799999999999997">
      <c r="B42" s="87" t="s">
        <v>89</v>
      </c>
      <c r="C42" s="76" t="s">
        <v>90</v>
      </c>
      <c r="D42" s="77" t="s">
        <v>79</v>
      </c>
      <c r="E42" s="78">
        <v>60</v>
      </c>
      <c r="F42" s="78">
        <v>60</v>
      </c>
      <c r="G42" s="79"/>
      <c r="H42" s="91"/>
      <c r="I42" s="79"/>
      <c r="J42" s="79">
        <f>SUM(H42:I42)+'BM 011'!J42</f>
        <v>60</v>
      </c>
      <c r="K42" s="79">
        <f t="shared" si="2"/>
        <v>0</v>
      </c>
      <c r="L42" s="80">
        <v>1150</v>
      </c>
      <c r="M42" s="81">
        <v>1457.7401265000001</v>
      </c>
      <c r="N42" s="82">
        <f t="shared" si="5"/>
        <v>0</v>
      </c>
      <c r="O42" s="82">
        <f t="shared" si="6"/>
        <v>0</v>
      </c>
      <c r="P42" s="82">
        <f>O42+'BM 011'!P42</f>
        <v>87464.4</v>
      </c>
      <c r="Q42" s="82">
        <f t="shared" si="7"/>
        <v>69000</v>
      </c>
      <c r="R42" s="82">
        <f t="shared" si="8"/>
        <v>87464.4</v>
      </c>
      <c r="S42" s="82">
        <f t="shared" si="9"/>
        <v>87464.4</v>
      </c>
      <c r="T42" s="82">
        <f t="shared" si="10"/>
        <v>0</v>
      </c>
    </row>
    <row r="43" spans="1:23" s="34" customFormat="1" ht="34.200000000000003">
      <c r="B43" s="87" t="s">
        <v>91</v>
      </c>
      <c r="C43" s="184" t="s">
        <v>1195</v>
      </c>
      <c r="D43" s="77" t="s">
        <v>79</v>
      </c>
      <c r="E43" s="78">
        <v>50</v>
      </c>
      <c r="F43" s="78">
        <v>50</v>
      </c>
      <c r="G43" s="79"/>
      <c r="H43" s="91"/>
      <c r="I43" s="79"/>
      <c r="J43" s="79">
        <f>SUM(H43:I43)+'BM 011'!J43</f>
        <v>50</v>
      </c>
      <c r="K43" s="79">
        <f t="shared" si="2"/>
        <v>0</v>
      </c>
      <c r="L43" s="80">
        <v>650</v>
      </c>
      <c r="M43" s="81">
        <v>823.94007150000004</v>
      </c>
      <c r="N43" s="82">
        <f t="shared" si="5"/>
        <v>0</v>
      </c>
      <c r="O43" s="82">
        <f t="shared" si="6"/>
        <v>0</v>
      </c>
      <c r="P43" s="82">
        <f>O43+'BM 011'!P43</f>
        <v>41197</v>
      </c>
      <c r="Q43" s="82">
        <f t="shared" si="7"/>
        <v>32500</v>
      </c>
      <c r="R43" s="82">
        <f t="shared" si="8"/>
        <v>41197</v>
      </c>
      <c r="S43" s="82">
        <f t="shared" si="9"/>
        <v>41197</v>
      </c>
      <c r="T43" s="82">
        <f t="shared" si="10"/>
        <v>0</v>
      </c>
    </row>
    <row r="44" spans="1:23" s="34" customFormat="1" ht="13.2">
      <c r="B44" s="66" t="s">
        <v>93</v>
      </c>
      <c r="C44" s="67" t="s">
        <v>94</v>
      </c>
      <c r="D44" s="68"/>
      <c r="E44" s="69"/>
      <c r="F44" s="69"/>
      <c r="G44" s="70"/>
      <c r="H44" s="70"/>
      <c r="I44" s="70"/>
      <c r="J44" s="70">
        <f>SUM(H44:I44)+'BM 011'!J44</f>
        <v>0</v>
      </c>
      <c r="K44" s="70">
        <f t="shared" si="2"/>
        <v>0</v>
      </c>
      <c r="L44" s="71"/>
      <c r="M44" s="71">
        <v>0</v>
      </c>
      <c r="N44" s="73">
        <f t="shared" ref="N44:T44" si="11">SUM(N45:N52)</f>
        <v>1597.1699999999998</v>
      </c>
      <c r="O44" s="73">
        <f t="shared" si="11"/>
        <v>1597.1699999999998</v>
      </c>
      <c r="P44" s="73">
        <f t="shared" si="11"/>
        <v>151740.24</v>
      </c>
      <c r="Q44" s="73">
        <f t="shared" si="11"/>
        <v>220037.1</v>
      </c>
      <c r="R44" s="73">
        <f t="shared" si="11"/>
        <v>278919.01</v>
      </c>
      <c r="S44" s="73">
        <f t="shared" si="11"/>
        <v>278919.01</v>
      </c>
      <c r="T44" s="73">
        <f t="shared" si="11"/>
        <v>127178.77</v>
      </c>
    </row>
    <row r="45" spans="1:23" s="34" customFormat="1" ht="34.799999999999997">
      <c r="A45" s="83"/>
      <c r="B45" s="87" t="s">
        <v>95</v>
      </c>
      <c r="C45" s="76" t="s">
        <v>96</v>
      </c>
      <c r="D45" s="77" t="s">
        <v>79</v>
      </c>
      <c r="E45" s="93">
        <v>2573.3000000000002</v>
      </c>
      <c r="F45" s="93">
        <v>2573.3000000000002</v>
      </c>
      <c r="G45" s="79"/>
      <c r="H45" s="79"/>
      <c r="I45" s="79"/>
      <c r="J45" s="79">
        <f>SUM(H45:I45)+'BM 011'!J45</f>
        <v>2573.3000000000002</v>
      </c>
      <c r="K45" s="79">
        <f t="shared" si="2"/>
        <v>0</v>
      </c>
      <c r="L45" s="80">
        <v>2</v>
      </c>
      <c r="M45" s="81">
        <v>2.5352002200000001</v>
      </c>
      <c r="N45" s="82">
        <f t="shared" ref="N45:N52" si="12">TRUNC(G45*M45,2)</f>
        <v>0</v>
      </c>
      <c r="O45" s="82">
        <f t="shared" ref="O45:O52" si="13">TRUNC(H45*M45,2)</f>
        <v>0</v>
      </c>
      <c r="P45" s="82">
        <f>O45+'BM 011'!P45</f>
        <v>6523.83</v>
      </c>
      <c r="Q45" s="82">
        <f t="shared" ref="Q45:Q52" si="14">E45*L45</f>
        <v>5146.6000000000004</v>
      </c>
      <c r="R45" s="82">
        <f t="shared" ref="R45:R52" si="15">TRUNC(E45*M45,2)</f>
        <v>6523.83</v>
      </c>
      <c r="S45" s="82">
        <f t="shared" ref="S45:S52" si="16">TRUNC(F45*$M45,2)</f>
        <v>6523.83</v>
      </c>
      <c r="T45" s="82">
        <f t="shared" ref="T45:T52" si="17">S45-P45</f>
        <v>0</v>
      </c>
    </row>
    <row r="46" spans="1:23" s="34" customFormat="1" ht="23.4">
      <c r="B46" s="87" t="s">
        <v>97</v>
      </c>
      <c r="C46" s="88" t="s">
        <v>98</v>
      </c>
      <c r="D46" s="89" t="s">
        <v>99</v>
      </c>
      <c r="E46" s="90">
        <v>5.9</v>
      </c>
      <c r="F46" s="90">
        <v>5.9</v>
      </c>
      <c r="G46" s="91"/>
      <c r="H46" s="91"/>
      <c r="I46" s="91"/>
      <c r="J46" s="79">
        <f>SUM(H46:I46)+'BM 011'!J46</f>
        <v>5.9</v>
      </c>
      <c r="K46" s="91">
        <f t="shared" si="2"/>
        <v>0</v>
      </c>
      <c r="L46" s="80">
        <v>55</v>
      </c>
      <c r="M46" s="81">
        <v>69.71800605</v>
      </c>
      <c r="N46" s="82">
        <f t="shared" si="12"/>
        <v>0</v>
      </c>
      <c r="O46" s="82">
        <f t="shared" si="13"/>
        <v>0</v>
      </c>
      <c r="P46" s="82">
        <f>O46+'BM 011'!P46</f>
        <v>411.33</v>
      </c>
      <c r="Q46" s="82">
        <f t="shared" si="14"/>
        <v>324.5</v>
      </c>
      <c r="R46" s="82">
        <f t="shared" si="15"/>
        <v>411.33</v>
      </c>
      <c r="S46" s="82">
        <f t="shared" si="16"/>
        <v>411.33</v>
      </c>
      <c r="T46" s="82">
        <f t="shared" si="17"/>
        <v>0</v>
      </c>
    </row>
    <row r="47" spans="1:23" s="34" customFormat="1" ht="13.2">
      <c r="B47" s="87" t="s">
        <v>100</v>
      </c>
      <c r="C47" s="88" t="s">
        <v>101</v>
      </c>
      <c r="D47" s="89" t="s">
        <v>79</v>
      </c>
      <c r="E47" s="90">
        <v>88</v>
      </c>
      <c r="F47" s="90">
        <v>88</v>
      </c>
      <c r="G47" s="91"/>
      <c r="H47" s="91"/>
      <c r="I47" s="91"/>
      <c r="J47" s="79">
        <f>SUM(H47:I47)+'BM 011'!J47</f>
        <v>88</v>
      </c>
      <c r="K47" s="91">
        <f t="shared" si="2"/>
        <v>0</v>
      </c>
      <c r="L47" s="80">
        <v>10</v>
      </c>
      <c r="M47" s="81">
        <v>12.676001100000001</v>
      </c>
      <c r="N47" s="82">
        <f t="shared" si="12"/>
        <v>0</v>
      </c>
      <c r="O47" s="82">
        <f t="shared" si="13"/>
        <v>0</v>
      </c>
      <c r="P47" s="82">
        <f>O47+'BM 011'!P47</f>
        <v>1115.48</v>
      </c>
      <c r="Q47" s="82">
        <f t="shared" si="14"/>
        <v>880</v>
      </c>
      <c r="R47" s="82">
        <f t="shared" si="15"/>
        <v>1115.48</v>
      </c>
      <c r="S47" s="82">
        <f t="shared" si="16"/>
        <v>1115.48</v>
      </c>
      <c r="T47" s="82">
        <f t="shared" si="17"/>
        <v>0</v>
      </c>
    </row>
    <row r="48" spans="1:23" s="34" customFormat="1" ht="34.799999999999997">
      <c r="B48" s="87" t="s">
        <v>102</v>
      </c>
      <c r="C48" s="88" t="s">
        <v>103</v>
      </c>
      <c r="D48" s="89" t="s">
        <v>99</v>
      </c>
      <c r="E48" s="90">
        <v>6.8</v>
      </c>
      <c r="F48" s="90">
        <v>6.8</v>
      </c>
      <c r="G48" s="91"/>
      <c r="H48" s="91"/>
      <c r="I48" s="91"/>
      <c r="J48" s="79">
        <f>SUM(H48:I48)+'BM 011'!J48</f>
        <v>6.8</v>
      </c>
      <c r="K48" s="91">
        <f t="shared" si="2"/>
        <v>0</v>
      </c>
      <c r="L48" s="80">
        <v>220</v>
      </c>
      <c r="M48" s="81">
        <v>278.8720242</v>
      </c>
      <c r="N48" s="82">
        <f t="shared" si="12"/>
        <v>0</v>
      </c>
      <c r="O48" s="82">
        <f t="shared" si="13"/>
        <v>0</v>
      </c>
      <c r="P48" s="82">
        <f>O48+'BM 011'!P48</f>
        <v>1896.32</v>
      </c>
      <c r="Q48" s="82">
        <f t="shared" si="14"/>
        <v>1496</v>
      </c>
      <c r="R48" s="82">
        <f t="shared" si="15"/>
        <v>1896.32</v>
      </c>
      <c r="S48" s="82">
        <f t="shared" si="16"/>
        <v>1896.32</v>
      </c>
      <c r="T48" s="82">
        <f t="shared" si="17"/>
        <v>0</v>
      </c>
    </row>
    <row r="49" spans="2:22" s="34" customFormat="1" ht="23.4">
      <c r="B49" s="87" t="s">
        <v>104</v>
      </c>
      <c r="C49" s="88" t="s">
        <v>105</v>
      </c>
      <c r="D49" s="89" t="s">
        <v>79</v>
      </c>
      <c r="E49" s="90">
        <v>88</v>
      </c>
      <c r="F49" s="90">
        <v>88</v>
      </c>
      <c r="G49" s="91"/>
      <c r="H49" s="91"/>
      <c r="I49" s="91"/>
      <c r="J49" s="79">
        <f>SUM(H49:I49)+'BM 011'!J49</f>
        <v>88</v>
      </c>
      <c r="K49" s="91">
        <f t="shared" si="2"/>
        <v>0</v>
      </c>
      <c r="L49" s="80">
        <v>15</v>
      </c>
      <c r="M49" s="81">
        <v>19.014001650000001</v>
      </c>
      <c r="N49" s="82">
        <f t="shared" si="12"/>
        <v>0</v>
      </c>
      <c r="O49" s="82">
        <f t="shared" si="13"/>
        <v>0</v>
      </c>
      <c r="P49" s="82">
        <f>O49+'BM 011'!P49</f>
        <v>1673.23</v>
      </c>
      <c r="Q49" s="80">
        <f t="shared" si="14"/>
        <v>1320</v>
      </c>
      <c r="R49" s="82">
        <f t="shared" si="15"/>
        <v>1673.23</v>
      </c>
      <c r="S49" s="82">
        <f t="shared" si="16"/>
        <v>1673.23</v>
      </c>
      <c r="T49" s="82">
        <f t="shared" si="17"/>
        <v>0</v>
      </c>
    </row>
    <row r="50" spans="2:22" s="34" customFormat="1" ht="23.4">
      <c r="B50" s="87" t="s">
        <v>106</v>
      </c>
      <c r="C50" s="76" t="s">
        <v>107</v>
      </c>
      <c r="D50" s="89" t="s">
        <v>99</v>
      </c>
      <c r="E50" s="90">
        <v>4350</v>
      </c>
      <c r="F50" s="90">
        <v>4350</v>
      </c>
      <c r="G50" s="91"/>
      <c r="H50" s="91"/>
      <c r="I50" s="91"/>
      <c r="J50" s="79">
        <f>SUM(H50:I50)+'BM 011'!J50</f>
        <v>1616.87</v>
      </c>
      <c r="K50" s="91">
        <f t="shared" si="2"/>
        <v>2733.13</v>
      </c>
      <c r="L50" s="80">
        <v>10</v>
      </c>
      <c r="M50" s="81">
        <v>12.676001100000001</v>
      </c>
      <c r="N50" s="82">
        <f t="shared" si="12"/>
        <v>0</v>
      </c>
      <c r="O50" s="82">
        <f t="shared" si="13"/>
        <v>0</v>
      </c>
      <c r="P50" s="82">
        <f>O50+'BM 011'!P50</f>
        <v>20495.439999999999</v>
      </c>
      <c r="Q50" s="80">
        <f t="shared" si="14"/>
        <v>43500</v>
      </c>
      <c r="R50" s="82">
        <f t="shared" si="15"/>
        <v>55140.6</v>
      </c>
      <c r="S50" s="82">
        <f t="shared" si="16"/>
        <v>55140.6</v>
      </c>
      <c r="T50" s="82">
        <f t="shared" si="17"/>
        <v>34645.160000000003</v>
      </c>
      <c r="V50" s="185"/>
    </row>
    <row r="51" spans="2:22" s="34" customFormat="1" ht="57.6">
      <c r="B51" s="87" t="s">
        <v>108</v>
      </c>
      <c r="C51" s="76" t="s">
        <v>109</v>
      </c>
      <c r="D51" s="89" t="s">
        <v>110</v>
      </c>
      <c r="E51" s="90">
        <v>3985</v>
      </c>
      <c r="F51" s="90">
        <v>3985</v>
      </c>
      <c r="G51" s="91">
        <f>'M.C. MED. 12'!K149</f>
        <v>30</v>
      </c>
      <c r="H51" s="91">
        <f>G51</f>
        <v>30</v>
      </c>
      <c r="I51" s="91"/>
      <c r="J51" s="79">
        <f>SUM(H51:I51)+'BM 011'!J51</f>
        <v>2917.87</v>
      </c>
      <c r="K51" s="91">
        <f t="shared" si="2"/>
        <v>1067.1300000000001</v>
      </c>
      <c r="L51" s="80">
        <v>12</v>
      </c>
      <c r="M51" s="81">
        <v>15.211201320000001</v>
      </c>
      <c r="N51" s="82">
        <f t="shared" si="12"/>
        <v>456.33</v>
      </c>
      <c r="O51" s="82">
        <f t="shared" si="13"/>
        <v>456.33</v>
      </c>
      <c r="P51" s="82">
        <f>O51+'BM 011'!P51</f>
        <v>44384.29</v>
      </c>
      <c r="Q51" s="80">
        <f t="shared" si="14"/>
        <v>47820</v>
      </c>
      <c r="R51" s="82">
        <f t="shared" si="15"/>
        <v>60616.63</v>
      </c>
      <c r="S51" s="82">
        <f t="shared" si="16"/>
        <v>60616.63</v>
      </c>
      <c r="T51" s="82">
        <f t="shared" si="17"/>
        <v>16232.339999999997</v>
      </c>
      <c r="V51" s="83"/>
    </row>
    <row r="52" spans="2:22" s="34" customFormat="1" ht="34.799999999999997">
      <c r="B52" s="87" t="s">
        <v>111</v>
      </c>
      <c r="C52" s="76" t="s">
        <v>112</v>
      </c>
      <c r="D52" s="89" t="s">
        <v>113</v>
      </c>
      <c r="E52" s="90">
        <f>E51*30</f>
        <v>119550</v>
      </c>
      <c r="F52" s="90">
        <v>119550</v>
      </c>
      <c r="G52" s="91">
        <f>'M.C. MED. 12'!K164</f>
        <v>900</v>
      </c>
      <c r="H52" s="91">
        <f>G52</f>
        <v>900</v>
      </c>
      <c r="I52" s="91"/>
      <c r="J52" s="79">
        <f>SUM(H52:I52)+'BM 011'!J52</f>
        <v>59356.525000000001</v>
      </c>
      <c r="K52" s="91">
        <f t="shared" si="2"/>
        <v>60193.474999999999</v>
      </c>
      <c r="L52" s="80">
        <v>1</v>
      </c>
      <c r="M52" s="81">
        <v>1.2676001100000001</v>
      </c>
      <c r="N52" s="82">
        <f t="shared" si="12"/>
        <v>1140.8399999999999</v>
      </c>
      <c r="O52" s="82">
        <f t="shared" si="13"/>
        <v>1140.8399999999999</v>
      </c>
      <c r="P52" s="82">
        <f>O52+'BM 011'!P52</f>
        <v>75240.319999999992</v>
      </c>
      <c r="Q52" s="80">
        <f t="shared" si="14"/>
        <v>119550</v>
      </c>
      <c r="R52" s="82">
        <f t="shared" si="15"/>
        <v>151541.59</v>
      </c>
      <c r="S52" s="82">
        <f t="shared" si="16"/>
        <v>151541.59</v>
      </c>
      <c r="T52" s="82">
        <f t="shared" si="17"/>
        <v>76301.27</v>
      </c>
    </row>
    <row r="53" spans="2:22" s="34" customFormat="1" ht="13.2">
      <c r="B53" s="60" t="s">
        <v>114</v>
      </c>
      <c r="C53" s="61" t="s">
        <v>115</v>
      </c>
      <c r="D53" s="60"/>
      <c r="E53" s="62"/>
      <c r="F53" s="284"/>
      <c r="G53" s="63"/>
      <c r="H53" s="63"/>
      <c r="I53" s="63"/>
      <c r="J53" s="63">
        <f>SUM(H53:I53)+'BM 011'!J53</f>
        <v>0</v>
      </c>
      <c r="K53" s="63">
        <f t="shared" si="2"/>
        <v>0</v>
      </c>
      <c r="L53" s="63"/>
      <c r="M53" s="63"/>
      <c r="N53" s="63">
        <f t="shared" ref="N53:T53" si="18">N54</f>
        <v>0</v>
      </c>
      <c r="O53" s="63">
        <f t="shared" si="18"/>
        <v>0</v>
      </c>
      <c r="P53" s="63">
        <f t="shared" si="18"/>
        <v>1043334.3999999999</v>
      </c>
      <c r="Q53" s="63">
        <f t="shared" si="18"/>
        <v>823958.14</v>
      </c>
      <c r="R53" s="63">
        <f t="shared" si="18"/>
        <v>1044449.3999999999</v>
      </c>
      <c r="S53" s="63">
        <f t="shared" si="18"/>
        <v>1044449.3999999999</v>
      </c>
      <c r="T53" s="63">
        <f t="shared" si="18"/>
        <v>1115</v>
      </c>
    </row>
    <row r="54" spans="2:22" s="34" customFormat="1" ht="13.2">
      <c r="B54" s="66" t="s">
        <v>116</v>
      </c>
      <c r="C54" s="67" t="s">
        <v>117</v>
      </c>
      <c r="D54" s="68"/>
      <c r="E54" s="69"/>
      <c r="F54" s="69"/>
      <c r="G54" s="70"/>
      <c r="H54" s="70"/>
      <c r="I54" s="70"/>
      <c r="J54" s="70">
        <f>SUM(H54:I54)+'BM 011'!J54</f>
        <v>0</v>
      </c>
      <c r="K54" s="70">
        <f t="shared" si="2"/>
        <v>0</v>
      </c>
      <c r="L54" s="71"/>
      <c r="M54" s="71">
        <v>0</v>
      </c>
      <c r="N54" s="73">
        <f t="shared" ref="N54:T54" si="19">SUM(N55:N62)</f>
        <v>0</v>
      </c>
      <c r="O54" s="73">
        <f t="shared" si="19"/>
        <v>0</v>
      </c>
      <c r="P54" s="73">
        <f t="shared" si="19"/>
        <v>1043334.3999999999</v>
      </c>
      <c r="Q54" s="73">
        <f t="shared" si="19"/>
        <v>823958.14</v>
      </c>
      <c r="R54" s="73">
        <f t="shared" si="19"/>
        <v>1044449.3999999999</v>
      </c>
      <c r="S54" s="73">
        <f t="shared" si="19"/>
        <v>1044449.3999999999</v>
      </c>
      <c r="T54" s="73">
        <f t="shared" si="19"/>
        <v>1115</v>
      </c>
    </row>
    <row r="55" spans="2:22" s="34" customFormat="1" ht="34.799999999999997">
      <c r="B55" s="87" t="s">
        <v>118</v>
      </c>
      <c r="C55" s="88" t="s">
        <v>119</v>
      </c>
      <c r="D55" s="89" t="s">
        <v>82</v>
      </c>
      <c r="E55" s="92">
        <v>196.9</v>
      </c>
      <c r="F55" s="92">
        <v>196.9</v>
      </c>
      <c r="G55" s="91"/>
      <c r="H55" s="91"/>
      <c r="I55" s="91"/>
      <c r="J55" s="79">
        <f>SUM(H55:I55)+'BM 011'!J55</f>
        <v>196.9</v>
      </c>
      <c r="K55" s="91">
        <f t="shared" si="2"/>
        <v>0</v>
      </c>
      <c r="L55" s="80">
        <v>75</v>
      </c>
      <c r="M55" s="81">
        <v>95.070008250000001</v>
      </c>
      <c r="N55" s="82">
        <f t="shared" ref="N55:N62" si="20">TRUNC(G55*M55,2)</f>
        <v>0</v>
      </c>
      <c r="O55" s="82">
        <f t="shared" ref="O55:O62" si="21">TRUNC(H55*M55,2)</f>
        <v>0</v>
      </c>
      <c r="P55" s="82">
        <f>O55+'BM 011'!P55</f>
        <v>18719.28</v>
      </c>
      <c r="Q55" s="80">
        <f t="shared" ref="Q55:Q62" si="22">E55*L55</f>
        <v>14767.5</v>
      </c>
      <c r="R55" s="82">
        <f t="shared" ref="R55:R62" si="23">TRUNC(E55*M55,2)</f>
        <v>18719.28</v>
      </c>
      <c r="S55" s="82">
        <f t="shared" ref="S55:S62" si="24">TRUNC(F55*$M55,2)</f>
        <v>18719.28</v>
      </c>
      <c r="T55" s="82">
        <f t="shared" ref="T55:T62" si="25">S55-P55</f>
        <v>0</v>
      </c>
    </row>
    <row r="56" spans="2:22" s="34" customFormat="1" ht="34.799999999999997">
      <c r="B56" s="87" t="s">
        <v>120</v>
      </c>
      <c r="C56" s="88" t="s">
        <v>121</v>
      </c>
      <c r="D56" s="89" t="s">
        <v>63</v>
      </c>
      <c r="E56" s="92">
        <v>1</v>
      </c>
      <c r="F56" s="92">
        <v>1</v>
      </c>
      <c r="G56" s="91"/>
      <c r="H56" s="91"/>
      <c r="I56" s="91"/>
      <c r="J56" s="79">
        <f>SUM(H56:I56)+'BM 011'!J56</f>
        <v>1</v>
      </c>
      <c r="K56" s="91">
        <f t="shared" si="2"/>
        <v>0</v>
      </c>
      <c r="L56" s="80">
        <v>11000</v>
      </c>
      <c r="M56" s="81">
        <v>13943.601210000001</v>
      </c>
      <c r="N56" s="82">
        <f t="shared" si="20"/>
        <v>0</v>
      </c>
      <c r="O56" s="82">
        <f t="shared" si="21"/>
        <v>0</v>
      </c>
      <c r="P56" s="82">
        <f>O56+'BM 011'!P56</f>
        <v>13943.6</v>
      </c>
      <c r="Q56" s="80">
        <f t="shared" si="22"/>
        <v>11000</v>
      </c>
      <c r="R56" s="82">
        <f t="shared" si="23"/>
        <v>13943.6</v>
      </c>
      <c r="S56" s="82">
        <f t="shared" si="24"/>
        <v>13943.6</v>
      </c>
      <c r="T56" s="82">
        <f t="shared" si="25"/>
        <v>0</v>
      </c>
    </row>
    <row r="57" spans="2:22" s="34" customFormat="1" ht="46.2">
      <c r="B57" s="87" t="s">
        <v>122</v>
      </c>
      <c r="C57" s="88" t="s">
        <v>123</v>
      </c>
      <c r="D57" s="89" t="s">
        <v>124</v>
      </c>
      <c r="E57" s="90">
        <v>1837</v>
      </c>
      <c r="F57" s="90">
        <v>1837</v>
      </c>
      <c r="G57" s="91"/>
      <c r="H57" s="91"/>
      <c r="I57" s="91"/>
      <c r="J57" s="79">
        <f>SUM(H57:I57)+'BM 011'!J57</f>
        <v>1837</v>
      </c>
      <c r="K57" s="91">
        <f t="shared" si="2"/>
        <v>0</v>
      </c>
      <c r="L57" s="80">
        <v>405</v>
      </c>
      <c r="M57" s="81">
        <v>513.37804455000003</v>
      </c>
      <c r="N57" s="82">
        <f t="shared" si="20"/>
        <v>0</v>
      </c>
      <c r="O57" s="82">
        <f t="shared" si="21"/>
        <v>0</v>
      </c>
      <c r="P57" s="82">
        <f>O57+'BM 011'!P57</f>
        <v>943075.46</v>
      </c>
      <c r="Q57" s="80">
        <f t="shared" si="22"/>
        <v>743985</v>
      </c>
      <c r="R57" s="82">
        <f t="shared" si="23"/>
        <v>943075.46</v>
      </c>
      <c r="S57" s="82">
        <f t="shared" si="24"/>
        <v>943075.46</v>
      </c>
      <c r="T57" s="82">
        <f t="shared" si="25"/>
        <v>0</v>
      </c>
    </row>
    <row r="58" spans="2:22" s="34" customFormat="1" ht="46.2">
      <c r="B58" s="87" t="s">
        <v>125</v>
      </c>
      <c r="C58" s="88" t="s">
        <v>126</v>
      </c>
      <c r="D58" s="89" t="s">
        <v>110</v>
      </c>
      <c r="E58" s="90">
        <v>293.92</v>
      </c>
      <c r="F58" s="90">
        <v>293.92</v>
      </c>
      <c r="G58" s="91"/>
      <c r="H58" s="91"/>
      <c r="I58" s="91"/>
      <c r="J58" s="79">
        <f>SUM(H58:I58)+'BM 011'!J58</f>
        <v>293.92</v>
      </c>
      <c r="K58" s="91">
        <f t="shared" si="2"/>
        <v>0</v>
      </c>
      <c r="L58" s="80">
        <v>12</v>
      </c>
      <c r="M58" s="81">
        <v>15.211201320000001</v>
      </c>
      <c r="N58" s="82">
        <f t="shared" si="20"/>
        <v>0</v>
      </c>
      <c r="O58" s="82">
        <f t="shared" si="21"/>
        <v>0</v>
      </c>
      <c r="P58" s="82">
        <f>O58+'BM 011'!P58</f>
        <v>4470.87</v>
      </c>
      <c r="Q58" s="80">
        <f t="shared" si="22"/>
        <v>3527.04</v>
      </c>
      <c r="R58" s="82">
        <f t="shared" si="23"/>
        <v>4470.87</v>
      </c>
      <c r="S58" s="82">
        <f t="shared" si="24"/>
        <v>4470.87</v>
      </c>
      <c r="T58" s="82">
        <f t="shared" si="25"/>
        <v>0</v>
      </c>
    </row>
    <row r="59" spans="2:22" s="34" customFormat="1" ht="34.799999999999997">
      <c r="B59" s="87" t="s">
        <v>127</v>
      </c>
      <c r="C59" s="88" t="s">
        <v>128</v>
      </c>
      <c r="D59" s="89" t="s">
        <v>113</v>
      </c>
      <c r="E59" s="90">
        <f>E58*30</f>
        <v>8817.6</v>
      </c>
      <c r="F59" s="90">
        <v>8817.6</v>
      </c>
      <c r="G59" s="91"/>
      <c r="H59" s="91"/>
      <c r="I59" s="91"/>
      <c r="J59" s="79">
        <f>SUM(H59:I59)+'BM 011'!J59</f>
        <v>7938.0000000000009</v>
      </c>
      <c r="K59" s="91">
        <f t="shared" si="2"/>
        <v>879.59999999999945</v>
      </c>
      <c r="L59" s="80">
        <v>1</v>
      </c>
      <c r="M59" s="81">
        <v>1.2676001100000001</v>
      </c>
      <c r="N59" s="82">
        <f t="shared" si="20"/>
        <v>0</v>
      </c>
      <c r="O59" s="82">
        <f t="shared" si="21"/>
        <v>0</v>
      </c>
      <c r="P59" s="82">
        <f>O59+'BM 011'!P59</f>
        <v>10062.200000000001</v>
      </c>
      <c r="Q59" s="80">
        <f t="shared" si="22"/>
        <v>8817.6</v>
      </c>
      <c r="R59" s="82">
        <f t="shared" si="23"/>
        <v>11177.19</v>
      </c>
      <c r="S59" s="82">
        <f t="shared" si="24"/>
        <v>11177.19</v>
      </c>
      <c r="T59" s="82">
        <f t="shared" si="25"/>
        <v>1114.9899999999998</v>
      </c>
    </row>
    <row r="60" spans="2:22" s="34" customFormat="1" ht="23.4">
      <c r="B60" s="87" t="s">
        <v>129</v>
      </c>
      <c r="C60" s="88" t="s">
        <v>130</v>
      </c>
      <c r="D60" s="89" t="s">
        <v>131</v>
      </c>
      <c r="E60" s="92">
        <v>167</v>
      </c>
      <c r="F60" s="92">
        <v>167</v>
      </c>
      <c r="G60" s="91"/>
      <c r="H60" s="91"/>
      <c r="I60" s="91"/>
      <c r="J60" s="79">
        <f>SUM(H60:I60)+'BM 011'!J60</f>
        <v>167</v>
      </c>
      <c r="K60" s="91">
        <f t="shared" si="2"/>
        <v>0</v>
      </c>
      <c r="L60" s="80">
        <v>23</v>
      </c>
      <c r="M60" s="81">
        <v>29.154802530000001</v>
      </c>
      <c r="N60" s="82">
        <f t="shared" si="20"/>
        <v>0</v>
      </c>
      <c r="O60" s="82">
        <f t="shared" si="21"/>
        <v>0</v>
      </c>
      <c r="P60" s="82">
        <f>O60+'BM 011'!P60</f>
        <v>4868.84</v>
      </c>
      <c r="Q60" s="80">
        <f t="shared" si="22"/>
        <v>3841</v>
      </c>
      <c r="R60" s="82">
        <f t="shared" si="23"/>
        <v>4868.8500000000004</v>
      </c>
      <c r="S60" s="82">
        <f t="shared" si="24"/>
        <v>4868.8500000000004</v>
      </c>
      <c r="T60" s="82">
        <f t="shared" si="25"/>
        <v>1.0000000000218279E-2</v>
      </c>
    </row>
    <row r="61" spans="2:22" s="34" customFormat="1" ht="13.2">
      <c r="B61" s="87" t="s">
        <v>132</v>
      </c>
      <c r="C61" s="88" t="s">
        <v>133</v>
      </c>
      <c r="D61" s="89" t="s">
        <v>63</v>
      </c>
      <c r="E61" s="92">
        <v>2</v>
      </c>
      <c r="F61" s="92">
        <v>2</v>
      </c>
      <c r="G61" s="91"/>
      <c r="H61" s="91"/>
      <c r="I61" s="91"/>
      <c r="J61" s="79">
        <f>SUM(H61:I61)+'BM 011'!J61</f>
        <v>2</v>
      </c>
      <c r="K61" s="91">
        <f t="shared" si="2"/>
        <v>0</v>
      </c>
      <c r="L61" s="80">
        <v>14000</v>
      </c>
      <c r="M61" s="81">
        <v>17746.401539999999</v>
      </c>
      <c r="N61" s="82">
        <f t="shared" si="20"/>
        <v>0</v>
      </c>
      <c r="O61" s="82">
        <f t="shared" si="21"/>
        <v>0</v>
      </c>
      <c r="P61" s="82">
        <f>O61+'BM 011'!P61</f>
        <v>35492.800000000003</v>
      </c>
      <c r="Q61" s="80">
        <f t="shared" si="22"/>
        <v>28000</v>
      </c>
      <c r="R61" s="82">
        <f t="shared" si="23"/>
        <v>35492.800000000003</v>
      </c>
      <c r="S61" s="82">
        <f t="shared" si="24"/>
        <v>35492.800000000003</v>
      </c>
      <c r="T61" s="82">
        <f t="shared" si="25"/>
        <v>0</v>
      </c>
    </row>
    <row r="62" spans="2:22" s="34" customFormat="1" ht="13.2">
      <c r="B62" s="87" t="s">
        <v>134</v>
      </c>
      <c r="C62" s="88" t="s">
        <v>135</v>
      </c>
      <c r="D62" s="89" t="s">
        <v>63</v>
      </c>
      <c r="E62" s="92">
        <v>167</v>
      </c>
      <c r="F62" s="92">
        <v>167</v>
      </c>
      <c r="G62" s="91"/>
      <c r="H62" s="91"/>
      <c r="I62" s="91"/>
      <c r="J62" s="79">
        <f>SUM(H62:I62)+'BM 011'!J62</f>
        <v>167</v>
      </c>
      <c r="K62" s="91">
        <f t="shared" si="2"/>
        <v>0</v>
      </c>
      <c r="L62" s="80">
        <v>60</v>
      </c>
      <c r="M62" s="81">
        <v>76.056006600000003</v>
      </c>
      <c r="N62" s="82">
        <f t="shared" si="20"/>
        <v>0</v>
      </c>
      <c r="O62" s="82">
        <f t="shared" si="21"/>
        <v>0</v>
      </c>
      <c r="P62" s="82">
        <f>O62+'BM 011'!P62</f>
        <v>12701.35</v>
      </c>
      <c r="Q62" s="80">
        <f t="shared" si="22"/>
        <v>10020</v>
      </c>
      <c r="R62" s="82">
        <f t="shared" si="23"/>
        <v>12701.35</v>
      </c>
      <c r="S62" s="82">
        <f t="shared" si="24"/>
        <v>12701.35</v>
      </c>
      <c r="T62" s="82">
        <f t="shared" si="25"/>
        <v>0</v>
      </c>
    </row>
    <row r="63" spans="2:22" s="34" customFormat="1" ht="15.75" customHeight="1">
      <c r="B63" s="60" t="s">
        <v>136</v>
      </c>
      <c r="C63" s="61" t="s">
        <v>137</v>
      </c>
      <c r="D63" s="60"/>
      <c r="E63" s="62"/>
      <c r="F63" s="284"/>
      <c r="G63" s="63"/>
      <c r="H63" s="63"/>
      <c r="I63" s="63"/>
      <c r="J63" s="63">
        <f>SUM(H63:I63)+'BM 011'!J63</f>
        <v>0</v>
      </c>
      <c r="K63" s="63">
        <f t="shared" si="2"/>
        <v>0</v>
      </c>
      <c r="L63" s="63"/>
      <c r="M63" s="63">
        <v>0</v>
      </c>
      <c r="N63" s="63">
        <f t="shared" ref="N63:T63" si="26">SUM(N64,N81)</f>
        <v>0</v>
      </c>
      <c r="O63" s="63">
        <f t="shared" si="26"/>
        <v>0</v>
      </c>
      <c r="P63" s="63">
        <f t="shared" si="26"/>
        <v>897193.6</v>
      </c>
      <c r="Q63" s="63">
        <f t="shared" si="26"/>
        <v>621941.5</v>
      </c>
      <c r="R63" s="63">
        <f t="shared" si="26"/>
        <v>788372.97</v>
      </c>
      <c r="S63" s="63">
        <f t="shared" si="26"/>
        <v>897193.62</v>
      </c>
      <c r="T63" s="63">
        <f t="shared" si="26"/>
        <v>1.9999999994979589E-2</v>
      </c>
    </row>
    <row r="64" spans="2:22" s="34" customFormat="1" ht="13.2">
      <c r="B64" s="66" t="s">
        <v>138</v>
      </c>
      <c r="C64" s="67" t="s">
        <v>139</v>
      </c>
      <c r="D64" s="68"/>
      <c r="E64" s="69"/>
      <c r="F64" s="69"/>
      <c r="G64" s="70"/>
      <c r="H64" s="70"/>
      <c r="I64" s="70"/>
      <c r="J64" s="70">
        <f>SUM(H64:I64)+'BM 011'!J64</f>
        <v>0</v>
      </c>
      <c r="K64" s="70">
        <f t="shared" si="2"/>
        <v>0</v>
      </c>
      <c r="L64" s="71"/>
      <c r="M64" s="71">
        <v>0</v>
      </c>
      <c r="N64" s="73">
        <f t="shared" ref="N64:T64" si="27">SUM(N65:N80)</f>
        <v>0</v>
      </c>
      <c r="O64" s="73">
        <f t="shared" si="27"/>
        <v>0</v>
      </c>
      <c r="P64" s="73">
        <f t="shared" si="27"/>
        <v>674012.6</v>
      </c>
      <c r="Q64" s="73">
        <f t="shared" si="27"/>
        <v>471600.95</v>
      </c>
      <c r="R64" s="73">
        <f t="shared" si="27"/>
        <v>597801.35</v>
      </c>
      <c r="S64" s="73">
        <f t="shared" si="27"/>
        <v>674012.61</v>
      </c>
      <c r="T64" s="73">
        <f t="shared" si="27"/>
        <v>9.9999999947613105E-3</v>
      </c>
    </row>
    <row r="65" spans="2:23" s="34" customFormat="1" ht="23.4">
      <c r="B65" s="87" t="s">
        <v>140</v>
      </c>
      <c r="C65" s="88" t="s">
        <v>141</v>
      </c>
      <c r="D65" s="89" t="s">
        <v>110</v>
      </c>
      <c r="E65" s="90">
        <v>259.39</v>
      </c>
      <c r="F65" s="90">
        <v>259.39</v>
      </c>
      <c r="G65" s="91"/>
      <c r="H65" s="91"/>
      <c r="I65" s="91"/>
      <c r="J65" s="79">
        <f>SUM(H65:I65)+'BM 011'!J65</f>
        <v>259.39</v>
      </c>
      <c r="K65" s="91">
        <f t="shared" si="2"/>
        <v>0</v>
      </c>
      <c r="L65" s="80">
        <v>80</v>
      </c>
      <c r="M65" s="81">
        <v>101.4080088</v>
      </c>
      <c r="N65" s="82">
        <f t="shared" ref="N65:N80" si="28">TRUNC(G65*M65,2)</f>
        <v>0</v>
      </c>
      <c r="O65" s="82">
        <f t="shared" ref="O65:O80" si="29">TRUNC(H65*M65,2)</f>
        <v>0</v>
      </c>
      <c r="P65" s="82">
        <f>O65+'BM 011'!P65</f>
        <v>26304.22</v>
      </c>
      <c r="Q65" s="80">
        <f t="shared" ref="Q65:Q80" si="30">E65*L65</f>
        <v>20751.199999999997</v>
      </c>
      <c r="R65" s="82">
        <f t="shared" ref="R65:R80" si="31">TRUNC(E65*M65,2)</f>
        <v>26304.22</v>
      </c>
      <c r="S65" s="82">
        <f t="shared" ref="S65:S80" si="32">TRUNC(F65*$M65,2)</f>
        <v>26304.22</v>
      </c>
      <c r="T65" s="82">
        <f t="shared" ref="T65:T80" si="33">S65-P65</f>
        <v>0</v>
      </c>
      <c r="W65" s="83"/>
    </row>
    <row r="66" spans="2:23" s="34" customFormat="1" ht="23.4">
      <c r="B66" s="87" t="s">
        <v>142</v>
      </c>
      <c r="C66" s="88" t="s">
        <v>143</v>
      </c>
      <c r="D66" s="89" t="s">
        <v>79</v>
      </c>
      <c r="E66" s="92">
        <v>72.260000000000005</v>
      </c>
      <c r="F66" s="92">
        <v>72.260000000000005</v>
      </c>
      <c r="G66" s="91"/>
      <c r="H66" s="91"/>
      <c r="I66" s="91"/>
      <c r="J66" s="79">
        <f>SUM(H66:I66)+'BM 011'!J66</f>
        <v>72.260000000000005</v>
      </c>
      <c r="K66" s="91">
        <f t="shared" si="2"/>
        <v>0</v>
      </c>
      <c r="L66" s="80">
        <v>30</v>
      </c>
      <c r="M66" s="81">
        <v>38.028003300000002</v>
      </c>
      <c r="N66" s="82">
        <f t="shared" si="28"/>
        <v>0</v>
      </c>
      <c r="O66" s="82">
        <f t="shared" si="29"/>
        <v>0</v>
      </c>
      <c r="P66" s="82">
        <f>O66+'BM 011'!P66</f>
        <v>2747.9</v>
      </c>
      <c r="Q66" s="80">
        <f t="shared" si="30"/>
        <v>2167.8000000000002</v>
      </c>
      <c r="R66" s="82">
        <f t="shared" si="31"/>
        <v>2747.9</v>
      </c>
      <c r="S66" s="82">
        <f t="shared" si="32"/>
        <v>2747.9</v>
      </c>
      <c r="T66" s="82">
        <f t="shared" si="33"/>
        <v>0</v>
      </c>
      <c r="W66" s="83"/>
    </row>
    <row r="67" spans="2:23" s="34" customFormat="1" ht="23.4">
      <c r="B67" s="87" t="s">
        <v>144</v>
      </c>
      <c r="C67" s="88" t="s">
        <v>145</v>
      </c>
      <c r="D67" s="89" t="s">
        <v>110</v>
      </c>
      <c r="E67" s="92">
        <v>217.8</v>
      </c>
      <c r="F67" s="92">
        <v>217.8</v>
      </c>
      <c r="G67" s="91"/>
      <c r="H67" s="91"/>
      <c r="I67" s="91"/>
      <c r="J67" s="79">
        <f>SUM(H67:I67)+'BM 011'!J67</f>
        <v>217.8</v>
      </c>
      <c r="K67" s="91">
        <f t="shared" si="2"/>
        <v>0</v>
      </c>
      <c r="L67" s="80">
        <v>25</v>
      </c>
      <c r="M67" s="81">
        <v>31.690002750000001</v>
      </c>
      <c r="N67" s="82">
        <f t="shared" si="28"/>
        <v>0</v>
      </c>
      <c r="O67" s="82">
        <f t="shared" si="29"/>
        <v>0</v>
      </c>
      <c r="P67" s="82">
        <f>O67+'BM 011'!P67</f>
        <v>6902.08</v>
      </c>
      <c r="Q67" s="80">
        <f t="shared" si="30"/>
        <v>5445</v>
      </c>
      <c r="R67" s="82">
        <f t="shared" si="31"/>
        <v>6902.08</v>
      </c>
      <c r="S67" s="82">
        <f t="shared" si="32"/>
        <v>6902.08</v>
      </c>
      <c r="T67" s="82">
        <f t="shared" si="33"/>
        <v>0</v>
      </c>
      <c r="W67" s="83"/>
    </row>
    <row r="68" spans="2:23" s="34" customFormat="1" ht="46.2">
      <c r="B68" s="87" t="s">
        <v>146</v>
      </c>
      <c r="C68" s="88" t="s">
        <v>126</v>
      </c>
      <c r="D68" s="89" t="s">
        <v>110</v>
      </c>
      <c r="E68" s="90">
        <v>140.80000000000001</v>
      </c>
      <c r="F68" s="90">
        <v>140.80000000000001</v>
      </c>
      <c r="G68" s="91"/>
      <c r="H68" s="91"/>
      <c r="I68" s="91"/>
      <c r="J68" s="79">
        <f>SUM(H68:I68)+'BM 011'!J68</f>
        <v>140.80000000000001</v>
      </c>
      <c r="K68" s="91">
        <f t="shared" si="2"/>
        <v>0</v>
      </c>
      <c r="L68" s="80">
        <v>12</v>
      </c>
      <c r="M68" s="81">
        <v>15.211201320000001</v>
      </c>
      <c r="N68" s="82">
        <f t="shared" si="28"/>
        <v>0</v>
      </c>
      <c r="O68" s="82">
        <f t="shared" si="29"/>
        <v>0</v>
      </c>
      <c r="P68" s="82">
        <f>O68+'BM 011'!P68</f>
        <v>2141.73</v>
      </c>
      <c r="Q68" s="80">
        <f t="shared" si="30"/>
        <v>1689.6000000000001</v>
      </c>
      <c r="R68" s="82">
        <f t="shared" si="31"/>
        <v>2141.73</v>
      </c>
      <c r="S68" s="82">
        <f t="shared" si="32"/>
        <v>2141.73</v>
      </c>
      <c r="T68" s="82">
        <f t="shared" si="33"/>
        <v>0</v>
      </c>
      <c r="W68" s="83"/>
    </row>
    <row r="69" spans="2:23" s="34" customFormat="1" ht="34.799999999999997">
      <c r="B69" s="87" t="s">
        <v>147</v>
      </c>
      <c r="C69" s="88" t="s">
        <v>128</v>
      </c>
      <c r="D69" s="89" t="s">
        <v>113</v>
      </c>
      <c r="E69" s="90">
        <f>E65*30</f>
        <v>7781.7</v>
      </c>
      <c r="F69" s="90">
        <v>7781.7</v>
      </c>
      <c r="G69" s="91"/>
      <c r="H69" s="91"/>
      <c r="I69" s="91"/>
      <c r="J69" s="79">
        <f>SUM(H69:I69)+'BM 011'!J69</f>
        <v>7781.7</v>
      </c>
      <c r="K69" s="91">
        <f t="shared" si="2"/>
        <v>0</v>
      </c>
      <c r="L69" s="80">
        <v>1</v>
      </c>
      <c r="M69" s="81">
        <v>1.2676001100000001</v>
      </c>
      <c r="N69" s="82">
        <f t="shared" si="28"/>
        <v>0</v>
      </c>
      <c r="O69" s="82">
        <f t="shared" si="29"/>
        <v>0</v>
      </c>
      <c r="P69" s="82">
        <f>O69+'BM 011'!P69</f>
        <v>9864.08</v>
      </c>
      <c r="Q69" s="80">
        <f t="shared" si="30"/>
        <v>7781.7</v>
      </c>
      <c r="R69" s="82">
        <f t="shared" si="31"/>
        <v>9864.08</v>
      </c>
      <c r="S69" s="82">
        <f t="shared" si="32"/>
        <v>9864.08</v>
      </c>
      <c r="T69" s="82">
        <f t="shared" si="33"/>
        <v>0</v>
      </c>
      <c r="V69" s="83"/>
      <c r="W69" s="83"/>
    </row>
    <row r="70" spans="2:23" s="34" customFormat="1" ht="23.4">
      <c r="B70" s="87" t="s">
        <v>148</v>
      </c>
      <c r="C70" s="88" t="s">
        <v>149</v>
      </c>
      <c r="D70" s="89" t="s">
        <v>79</v>
      </c>
      <c r="E70" s="90">
        <v>233.48</v>
      </c>
      <c r="F70" s="90">
        <v>233.48</v>
      </c>
      <c r="G70" s="91"/>
      <c r="H70" s="91"/>
      <c r="I70" s="91"/>
      <c r="J70" s="79">
        <f>SUM(H70:I70)+'BM 011'!J70</f>
        <v>233.4802253775074</v>
      </c>
      <c r="K70" s="91">
        <f t="shared" si="2"/>
        <v>-2.2537750740525553E-4</v>
      </c>
      <c r="L70" s="80">
        <v>35</v>
      </c>
      <c r="M70" s="81">
        <v>44.366003849999998</v>
      </c>
      <c r="N70" s="82">
        <f t="shared" si="28"/>
        <v>0</v>
      </c>
      <c r="O70" s="82">
        <f t="shared" si="29"/>
        <v>0</v>
      </c>
      <c r="P70" s="82">
        <f>O70+'BM 011'!P70</f>
        <v>10358.57</v>
      </c>
      <c r="Q70" s="80">
        <f t="shared" si="30"/>
        <v>8171.7999999999993</v>
      </c>
      <c r="R70" s="82">
        <f t="shared" si="31"/>
        <v>10358.57</v>
      </c>
      <c r="S70" s="82">
        <f t="shared" si="32"/>
        <v>10358.57</v>
      </c>
      <c r="T70" s="82">
        <f t="shared" si="33"/>
        <v>0</v>
      </c>
      <c r="W70" s="83"/>
    </row>
    <row r="71" spans="2:23" s="34" customFormat="1" ht="23.4">
      <c r="B71" s="87" t="s">
        <v>150</v>
      </c>
      <c r="C71" s="88" t="s">
        <v>151</v>
      </c>
      <c r="D71" s="89" t="s">
        <v>152</v>
      </c>
      <c r="E71" s="90">
        <v>190.3</v>
      </c>
      <c r="F71" s="90">
        <v>171.77</v>
      </c>
      <c r="G71" s="91"/>
      <c r="H71" s="91"/>
      <c r="I71" s="91"/>
      <c r="J71" s="79">
        <f>SUM(H71:I71)+'BM 011'!J71</f>
        <v>171.77</v>
      </c>
      <c r="K71" s="91">
        <f t="shared" si="2"/>
        <v>0</v>
      </c>
      <c r="L71" s="80">
        <v>20</v>
      </c>
      <c r="M71" s="81">
        <v>25.352002200000001</v>
      </c>
      <c r="N71" s="82">
        <f t="shared" si="28"/>
        <v>0</v>
      </c>
      <c r="O71" s="82">
        <f t="shared" si="29"/>
        <v>0</v>
      </c>
      <c r="P71" s="82">
        <f>O71+'BM 011'!P71</f>
        <v>4354.7099999999991</v>
      </c>
      <c r="Q71" s="80">
        <f t="shared" si="30"/>
        <v>3806</v>
      </c>
      <c r="R71" s="82">
        <f t="shared" si="31"/>
        <v>4824.4799999999996</v>
      </c>
      <c r="S71" s="82">
        <f t="shared" si="32"/>
        <v>4354.71</v>
      </c>
      <c r="T71" s="82">
        <f t="shared" si="33"/>
        <v>0</v>
      </c>
      <c r="W71" s="83"/>
    </row>
    <row r="72" spans="2:23" s="34" customFormat="1" ht="34.799999999999997">
      <c r="B72" s="87" t="s">
        <v>153</v>
      </c>
      <c r="C72" s="88" t="s">
        <v>154</v>
      </c>
      <c r="D72" s="89" t="s">
        <v>152</v>
      </c>
      <c r="E72" s="90">
        <v>77</v>
      </c>
      <c r="F72" s="90">
        <v>200.5</v>
      </c>
      <c r="G72" s="91"/>
      <c r="H72" s="91"/>
      <c r="I72" s="91"/>
      <c r="J72" s="79">
        <f>SUM(H72:I72)+'BM 011'!J72</f>
        <v>200.50026331917999</v>
      </c>
      <c r="K72" s="91">
        <f t="shared" si="2"/>
        <v>-2.6331917999300458E-4</v>
      </c>
      <c r="L72" s="80">
        <v>19</v>
      </c>
      <c r="M72" s="81">
        <v>24.084402090000001</v>
      </c>
      <c r="N72" s="82">
        <f t="shared" si="28"/>
        <v>0</v>
      </c>
      <c r="O72" s="82">
        <f t="shared" si="29"/>
        <v>0</v>
      </c>
      <c r="P72" s="82">
        <f>O72+'BM 011'!P72</f>
        <v>4828.92</v>
      </c>
      <c r="Q72" s="80">
        <f t="shared" si="30"/>
        <v>1463</v>
      </c>
      <c r="R72" s="82">
        <f t="shared" si="31"/>
        <v>1854.49</v>
      </c>
      <c r="S72" s="82">
        <f t="shared" si="32"/>
        <v>4828.92</v>
      </c>
      <c r="T72" s="82">
        <f t="shared" si="33"/>
        <v>0</v>
      </c>
      <c r="W72" s="83"/>
    </row>
    <row r="73" spans="2:23" s="34" customFormat="1" ht="23.4">
      <c r="B73" s="87" t="s">
        <v>155</v>
      </c>
      <c r="C73" s="88" t="s">
        <v>156</v>
      </c>
      <c r="D73" s="89" t="s">
        <v>152</v>
      </c>
      <c r="E73" s="90">
        <v>566.5</v>
      </c>
      <c r="F73" s="90">
        <v>493.15</v>
      </c>
      <c r="G73" s="91"/>
      <c r="H73" s="91"/>
      <c r="I73" s="91"/>
      <c r="J73" s="79">
        <f>SUM(H73:I73)+'BM 011'!J73</f>
        <v>493.14983647387646</v>
      </c>
      <c r="K73" s="91">
        <f t="shared" si="2"/>
        <v>1.6352612351511198E-4</v>
      </c>
      <c r="L73" s="80">
        <v>17.5</v>
      </c>
      <c r="M73" s="81">
        <v>22.183001924999999</v>
      </c>
      <c r="N73" s="82">
        <f t="shared" si="28"/>
        <v>0</v>
      </c>
      <c r="O73" s="82">
        <f t="shared" si="29"/>
        <v>0</v>
      </c>
      <c r="P73" s="82">
        <f>O73+'BM 011'!P73</f>
        <v>10939.539999999997</v>
      </c>
      <c r="Q73" s="80">
        <f t="shared" si="30"/>
        <v>9913.75</v>
      </c>
      <c r="R73" s="82">
        <f t="shared" si="31"/>
        <v>12566.67</v>
      </c>
      <c r="S73" s="82">
        <f t="shared" si="32"/>
        <v>10939.54</v>
      </c>
      <c r="T73" s="82">
        <f t="shared" si="33"/>
        <v>0</v>
      </c>
      <c r="W73" s="83"/>
    </row>
    <row r="74" spans="2:23" s="34" customFormat="1" ht="23.4">
      <c r="B74" s="87" t="s">
        <v>157</v>
      </c>
      <c r="C74" s="88" t="s">
        <v>158</v>
      </c>
      <c r="D74" s="89" t="s">
        <v>152</v>
      </c>
      <c r="E74" s="90">
        <v>1663.2</v>
      </c>
      <c r="F74" s="90">
        <v>1746.97</v>
      </c>
      <c r="G74" s="91"/>
      <c r="H74" s="91"/>
      <c r="I74" s="91"/>
      <c r="J74" s="79">
        <f>SUM(H74:I74)+'BM 011'!J74</f>
        <v>1746.9698178174131</v>
      </c>
      <c r="K74" s="91">
        <f t="shared" si="2"/>
        <v>1.82182586968338E-4</v>
      </c>
      <c r="L74" s="80">
        <v>16</v>
      </c>
      <c r="M74" s="81">
        <v>20.281601760000001</v>
      </c>
      <c r="N74" s="82">
        <f t="shared" si="28"/>
        <v>0</v>
      </c>
      <c r="O74" s="82">
        <f t="shared" si="29"/>
        <v>0</v>
      </c>
      <c r="P74" s="82">
        <f>O74+'BM 011'!P74</f>
        <v>35431.340000000004</v>
      </c>
      <c r="Q74" s="80">
        <f t="shared" si="30"/>
        <v>26611.200000000001</v>
      </c>
      <c r="R74" s="82">
        <f t="shared" si="31"/>
        <v>33732.36</v>
      </c>
      <c r="S74" s="82">
        <f t="shared" si="32"/>
        <v>35431.339999999997</v>
      </c>
      <c r="T74" s="82">
        <f t="shared" si="33"/>
        <v>0</v>
      </c>
      <c r="W74" s="83"/>
    </row>
    <row r="75" spans="2:23" s="34" customFormat="1" ht="23.4">
      <c r="B75" s="87" t="s">
        <v>159</v>
      </c>
      <c r="C75" s="88" t="s">
        <v>160</v>
      </c>
      <c r="D75" s="89" t="s">
        <v>152</v>
      </c>
      <c r="E75" s="90">
        <v>4944.5</v>
      </c>
      <c r="F75" s="90">
        <v>6306.01</v>
      </c>
      <c r="G75" s="91"/>
      <c r="H75" s="91"/>
      <c r="I75" s="91"/>
      <c r="J75" s="79">
        <f>SUM(H75:I75)+'BM 011'!J75</f>
        <v>6306.0103939266901</v>
      </c>
      <c r="K75" s="91">
        <f t="shared" si="2"/>
        <v>-3.9392668986693025E-4</v>
      </c>
      <c r="L75" s="80">
        <v>14.5</v>
      </c>
      <c r="M75" s="81">
        <v>18.380201594999999</v>
      </c>
      <c r="N75" s="82">
        <f t="shared" si="28"/>
        <v>0</v>
      </c>
      <c r="O75" s="82">
        <f t="shared" si="29"/>
        <v>0</v>
      </c>
      <c r="P75" s="82">
        <f>O75+'BM 011'!P75</f>
        <v>115905.72</v>
      </c>
      <c r="Q75" s="80">
        <f t="shared" si="30"/>
        <v>71695.25</v>
      </c>
      <c r="R75" s="82">
        <f t="shared" si="31"/>
        <v>90880.9</v>
      </c>
      <c r="S75" s="82">
        <f t="shared" si="32"/>
        <v>115905.73</v>
      </c>
      <c r="T75" s="82">
        <f t="shared" si="33"/>
        <v>9.9999999947613105E-3</v>
      </c>
      <c r="W75" s="83"/>
    </row>
    <row r="76" spans="2:23" s="34" customFormat="1" ht="23.4">
      <c r="B76" s="87" t="s">
        <v>161</v>
      </c>
      <c r="C76" s="88" t="s">
        <v>162</v>
      </c>
      <c r="D76" s="89" t="s">
        <v>152</v>
      </c>
      <c r="E76" s="90">
        <v>115.5</v>
      </c>
      <c r="F76" s="90">
        <v>114.56</v>
      </c>
      <c r="G76" s="91"/>
      <c r="H76" s="91"/>
      <c r="I76" s="91"/>
      <c r="J76" s="79">
        <f>SUM(H76:I76)+'BM 011'!J76</f>
        <v>114.55984766050054</v>
      </c>
      <c r="K76" s="91">
        <f t="shared" si="2"/>
        <v>1.5233949946491521E-4</v>
      </c>
      <c r="L76" s="94">
        <v>14.5</v>
      </c>
      <c r="M76" s="81">
        <v>18.380201594999999</v>
      </c>
      <c r="N76" s="82">
        <f t="shared" si="28"/>
        <v>0</v>
      </c>
      <c r="O76" s="82">
        <f t="shared" si="29"/>
        <v>0</v>
      </c>
      <c r="P76" s="82">
        <f>O76+'BM 011'!P76</f>
        <v>2105.6299999999997</v>
      </c>
      <c r="Q76" s="94">
        <f t="shared" si="30"/>
        <v>1674.75</v>
      </c>
      <c r="R76" s="82">
        <f t="shared" si="31"/>
        <v>2122.91</v>
      </c>
      <c r="S76" s="82">
        <f t="shared" si="32"/>
        <v>2105.63</v>
      </c>
      <c r="T76" s="82">
        <f t="shared" si="33"/>
        <v>0</v>
      </c>
      <c r="W76" s="83"/>
    </row>
    <row r="77" spans="2:23" s="34" customFormat="1" ht="23.4">
      <c r="B77" s="87" t="s">
        <v>163</v>
      </c>
      <c r="C77" s="88" t="s">
        <v>164</v>
      </c>
      <c r="D77" s="89" t="s">
        <v>152</v>
      </c>
      <c r="E77" s="90">
        <v>7195.1</v>
      </c>
      <c r="F77" s="90">
        <v>7769.98</v>
      </c>
      <c r="G77" s="91"/>
      <c r="H77" s="91"/>
      <c r="I77" s="91"/>
      <c r="J77" s="79">
        <f>SUM(H77:I77)+'BM 011'!J77</f>
        <v>7769.9804257700107</v>
      </c>
      <c r="K77" s="91">
        <f t="shared" si="2"/>
        <v>-4.2577001113386359E-4</v>
      </c>
      <c r="L77" s="80">
        <v>14</v>
      </c>
      <c r="M77" s="81">
        <v>17.746401540000001</v>
      </c>
      <c r="N77" s="82">
        <f t="shared" si="28"/>
        <v>0</v>
      </c>
      <c r="O77" s="82">
        <f t="shared" si="29"/>
        <v>0</v>
      </c>
      <c r="P77" s="82">
        <f>O77+'BM 011'!P77</f>
        <v>137889.18</v>
      </c>
      <c r="Q77" s="80">
        <f t="shared" si="30"/>
        <v>100731.40000000001</v>
      </c>
      <c r="R77" s="82">
        <f t="shared" si="31"/>
        <v>127687.13</v>
      </c>
      <c r="S77" s="82">
        <f t="shared" si="32"/>
        <v>137889.18</v>
      </c>
      <c r="T77" s="82">
        <f t="shared" si="33"/>
        <v>0</v>
      </c>
      <c r="W77" s="83"/>
    </row>
    <row r="78" spans="2:23" s="34" customFormat="1" ht="34.799999999999997">
      <c r="B78" s="87" t="s">
        <v>165</v>
      </c>
      <c r="C78" s="88" t="s">
        <v>166</v>
      </c>
      <c r="D78" s="89" t="s">
        <v>79</v>
      </c>
      <c r="E78" s="90">
        <v>415.8</v>
      </c>
      <c r="F78" s="90">
        <v>434.86</v>
      </c>
      <c r="G78" s="91"/>
      <c r="H78" s="91"/>
      <c r="I78" s="91"/>
      <c r="J78" s="79">
        <f>SUM(H78:I78)+'BM 011'!J78</f>
        <v>434.86008400000003</v>
      </c>
      <c r="K78" s="91">
        <f t="shared" si="2"/>
        <v>-8.4000000015294063E-5</v>
      </c>
      <c r="L78" s="80">
        <v>120</v>
      </c>
      <c r="M78" s="81">
        <v>152.11201320000001</v>
      </c>
      <c r="N78" s="82">
        <f t="shared" si="28"/>
        <v>0</v>
      </c>
      <c r="O78" s="82">
        <f t="shared" si="29"/>
        <v>0</v>
      </c>
      <c r="P78" s="82">
        <f>O78+'BM 011'!P78</f>
        <v>66147.429999999993</v>
      </c>
      <c r="Q78" s="80">
        <f t="shared" si="30"/>
        <v>49896</v>
      </c>
      <c r="R78" s="82">
        <f t="shared" si="31"/>
        <v>63248.17</v>
      </c>
      <c r="S78" s="82">
        <f t="shared" si="32"/>
        <v>66147.429999999993</v>
      </c>
      <c r="T78" s="82">
        <f t="shared" si="33"/>
        <v>0</v>
      </c>
      <c r="W78" s="83"/>
    </row>
    <row r="79" spans="2:23" s="34" customFormat="1" ht="34.799999999999997">
      <c r="B79" s="87" t="s">
        <v>167</v>
      </c>
      <c r="C79" s="88" t="s">
        <v>168</v>
      </c>
      <c r="D79" s="89" t="s">
        <v>169</v>
      </c>
      <c r="E79" s="92">
        <v>213.07</v>
      </c>
      <c r="F79" s="92">
        <v>242.26</v>
      </c>
      <c r="G79" s="91"/>
      <c r="H79" s="91"/>
      <c r="I79" s="91"/>
      <c r="J79" s="79">
        <f>SUM(H79:I79)+'BM 011'!J79</f>
        <v>242.26001534850514</v>
      </c>
      <c r="K79" s="91">
        <f t="shared" si="2"/>
        <v>-1.5348505144174851E-5</v>
      </c>
      <c r="L79" s="95">
        <v>750</v>
      </c>
      <c r="M79" s="81">
        <v>950.70008250000001</v>
      </c>
      <c r="N79" s="82">
        <f t="shared" si="28"/>
        <v>0</v>
      </c>
      <c r="O79" s="82">
        <f t="shared" si="29"/>
        <v>0</v>
      </c>
      <c r="P79" s="82">
        <f>O79+'BM 011'!P79</f>
        <v>230316.6</v>
      </c>
      <c r="Q79" s="95">
        <f t="shared" si="30"/>
        <v>159802.5</v>
      </c>
      <c r="R79" s="82">
        <f t="shared" si="31"/>
        <v>202565.66</v>
      </c>
      <c r="S79" s="82">
        <f t="shared" si="32"/>
        <v>230316.6</v>
      </c>
      <c r="T79" s="82">
        <f t="shared" si="33"/>
        <v>0</v>
      </c>
      <c r="W79" s="83"/>
    </row>
    <row r="80" spans="2:23" s="34" customFormat="1" ht="23.4">
      <c r="B80" s="285" t="s">
        <v>1743</v>
      </c>
      <c r="C80" s="286" t="s">
        <v>1744</v>
      </c>
      <c r="D80" s="287" t="s">
        <v>79</v>
      </c>
      <c r="E80" s="288"/>
      <c r="F80" s="288">
        <v>127.5</v>
      </c>
      <c r="G80" s="289"/>
      <c r="H80" s="91"/>
      <c r="I80" s="289"/>
      <c r="J80" s="290">
        <f>SUM(H80:I80)+'BM 011'!J80</f>
        <v>127.5</v>
      </c>
      <c r="K80" s="289">
        <f t="shared" si="2"/>
        <v>0</v>
      </c>
      <c r="L80" s="291"/>
      <c r="M80" s="292">
        <v>60.98</v>
      </c>
      <c r="N80" s="293">
        <f t="shared" si="28"/>
        <v>0</v>
      </c>
      <c r="O80" s="293">
        <f t="shared" si="29"/>
        <v>0</v>
      </c>
      <c r="P80" s="82">
        <f>O80+'BM 011'!P80</f>
        <v>7774.95</v>
      </c>
      <c r="Q80" s="294">
        <f t="shared" si="30"/>
        <v>0</v>
      </c>
      <c r="R80" s="293">
        <f t="shared" si="31"/>
        <v>0</v>
      </c>
      <c r="S80" s="293">
        <f t="shared" si="32"/>
        <v>7774.95</v>
      </c>
      <c r="T80" s="293">
        <f t="shared" si="33"/>
        <v>0</v>
      </c>
      <c r="W80" s="83"/>
    </row>
    <row r="81" spans="2:23" s="34" customFormat="1" ht="13.2">
      <c r="B81" s="66" t="s">
        <v>170</v>
      </c>
      <c r="C81" s="67" t="s">
        <v>171</v>
      </c>
      <c r="D81" s="68"/>
      <c r="E81" s="69"/>
      <c r="F81" s="69"/>
      <c r="G81" s="70"/>
      <c r="H81" s="70"/>
      <c r="I81" s="70"/>
      <c r="J81" s="70">
        <f>SUM(H81:I81)+'BM 011'!J81</f>
        <v>0</v>
      </c>
      <c r="K81" s="70">
        <f t="shared" si="2"/>
        <v>0</v>
      </c>
      <c r="L81" s="71"/>
      <c r="M81" s="71">
        <v>0</v>
      </c>
      <c r="N81" s="73">
        <f t="shared" ref="N81:T81" si="34">SUM(N82:N95)</f>
        <v>0</v>
      </c>
      <c r="O81" s="73">
        <f t="shared" si="34"/>
        <v>0</v>
      </c>
      <c r="P81" s="73">
        <f t="shared" si="34"/>
        <v>223181</v>
      </c>
      <c r="Q81" s="73">
        <f t="shared" si="34"/>
        <v>150340.54999999999</v>
      </c>
      <c r="R81" s="73">
        <f t="shared" si="34"/>
        <v>190571.62</v>
      </c>
      <c r="S81" s="73">
        <f t="shared" si="34"/>
        <v>223181.00999999998</v>
      </c>
      <c r="T81" s="73">
        <f t="shared" si="34"/>
        <v>1.0000000000218279E-2</v>
      </c>
    </row>
    <row r="82" spans="2:23" s="34" customFormat="1" ht="23.4">
      <c r="B82" s="87" t="s">
        <v>172</v>
      </c>
      <c r="C82" s="88" t="s">
        <v>141</v>
      </c>
      <c r="D82" s="89" t="s">
        <v>110</v>
      </c>
      <c r="E82" s="90">
        <v>268.39999999999998</v>
      </c>
      <c r="F82" s="90">
        <v>268.39999999999998</v>
      </c>
      <c r="G82" s="91"/>
      <c r="H82" s="91"/>
      <c r="I82" s="91"/>
      <c r="J82" s="79">
        <f>SUM(H82:I82)+'BM 011'!J82</f>
        <v>268.39999999999998</v>
      </c>
      <c r="K82" s="91">
        <f t="shared" si="2"/>
        <v>0</v>
      </c>
      <c r="L82" s="80">
        <v>80</v>
      </c>
      <c r="M82" s="81">
        <v>101.4080088</v>
      </c>
      <c r="N82" s="82">
        <f t="shared" ref="N82:N95" si="35">TRUNC(G82*M82,2)</f>
        <v>0</v>
      </c>
      <c r="O82" s="82">
        <f t="shared" ref="O82:O95" si="36">TRUNC(H82*M82,2)</f>
        <v>0</v>
      </c>
      <c r="P82" s="82">
        <f>O82+'BM 011'!P82</f>
        <v>27217.9</v>
      </c>
      <c r="Q82" s="80">
        <f t="shared" ref="Q82:Q95" si="37">E82*L82</f>
        <v>21472</v>
      </c>
      <c r="R82" s="82">
        <f t="shared" ref="R82:R95" si="38">TRUNC(E82*M82,2)</f>
        <v>27217.9</v>
      </c>
      <c r="S82" s="82">
        <f t="shared" ref="S82:S95" si="39">TRUNC(F82*$M82,2)</f>
        <v>27217.9</v>
      </c>
      <c r="T82" s="82">
        <f t="shared" ref="T82:T95" si="40">S82-P82</f>
        <v>0</v>
      </c>
    </row>
    <row r="83" spans="2:23" s="34" customFormat="1" ht="23.4">
      <c r="B83" s="87" t="s">
        <v>173</v>
      </c>
      <c r="C83" s="88" t="s">
        <v>145</v>
      </c>
      <c r="D83" s="89" t="s">
        <v>110</v>
      </c>
      <c r="E83" s="92">
        <v>111.1</v>
      </c>
      <c r="F83" s="92">
        <v>111.1</v>
      </c>
      <c r="G83" s="91"/>
      <c r="H83" s="91"/>
      <c r="I83" s="91"/>
      <c r="J83" s="79">
        <f>SUM(H83:I83)+'BM 011'!J83</f>
        <v>111.10031555693061</v>
      </c>
      <c r="K83" s="91">
        <f t="shared" si="2"/>
        <v>-3.1555693061591228E-4</v>
      </c>
      <c r="L83" s="80">
        <v>25</v>
      </c>
      <c r="M83" s="81">
        <v>31.690002750000001</v>
      </c>
      <c r="N83" s="82">
        <f t="shared" si="35"/>
        <v>0</v>
      </c>
      <c r="O83" s="82">
        <f t="shared" si="36"/>
        <v>0</v>
      </c>
      <c r="P83" s="82">
        <f>O83+'BM 011'!P83</f>
        <v>3520.75</v>
      </c>
      <c r="Q83" s="80">
        <f t="shared" si="37"/>
        <v>2777.5</v>
      </c>
      <c r="R83" s="82">
        <f t="shared" si="38"/>
        <v>3520.75</v>
      </c>
      <c r="S83" s="82">
        <f t="shared" si="39"/>
        <v>3520.75</v>
      </c>
      <c r="T83" s="82">
        <f t="shared" si="40"/>
        <v>0</v>
      </c>
      <c r="V83" s="83"/>
    </row>
    <row r="84" spans="2:23" s="34" customFormat="1" ht="46.2">
      <c r="B84" s="87" t="s">
        <v>174</v>
      </c>
      <c r="C84" s="88" t="s">
        <v>126</v>
      </c>
      <c r="D84" s="89" t="s">
        <v>110</v>
      </c>
      <c r="E84" s="92">
        <v>268.39999999999998</v>
      </c>
      <c r="F84" s="92">
        <v>268.39999999999998</v>
      </c>
      <c r="G84" s="91"/>
      <c r="H84" s="91"/>
      <c r="I84" s="91"/>
      <c r="J84" s="79">
        <f>SUM(H84:I84)+'BM 011'!J84</f>
        <v>268.39999999999998</v>
      </c>
      <c r="K84" s="91">
        <f t="shared" si="2"/>
        <v>0</v>
      </c>
      <c r="L84" s="80">
        <v>10</v>
      </c>
      <c r="M84" s="81">
        <v>12.676001100000001</v>
      </c>
      <c r="N84" s="82">
        <f t="shared" si="35"/>
        <v>0</v>
      </c>
      <c r="O84" s="82">
        <f t="shared" si="36"/>
        <v>0</v>
      </c>
      <c r="P84" s="82">
        <f>O84+'BM 011'!P84</f>
        <v>3402.2299999999996</v>
      </c>
      <c r="Q84" s="80">
        <f t="shared" si="37"/>
        <v>2684</v>
      </c>
      <c r="R84" s="82">
        <f t="shared" si="38"/>
        <v>3402.23</v>
      </c>
      <c r="S84" s="82">
        <f t="shared" si="39"/>
        <v>3402.23</v>
      </c>
      <c r="T84" s="82">
        <f t="shared" si="40"/>
        <v>0</v>
      </c>
    </row>
    <row r="85" spans="2:23" s="34" customFormat="1" ht="34.799999999999997">
      <c r="B85" s="87" t="s">
        <v>175</v>
      </c>
      <c r="C85" s="88" t="s">
        <v>128</v>
      </c>
      <c r="D85" s="89" t="s">
        <v>113</v>
      </c>
      <c r="E85" s="90">
        <f>E84*30</f>
        <v>8051.9999999999991</v>
      </c>
      <c r="F85" s="90">
        <v>8052</v>
      </c>
      <c r="G85" s="91"/>
      <c r="H85" s="91"/>
      <c r="I85" s="91"/>
      <c r="J85" s="79">
        <f>SUM(H85:I85)+'BM 011'!J85</f>
        <v>8052.0026296410897</v>
      </c>
      <c r="K85" s="91">
        <f t="shared" si="2"/>
        <v>-2.6296410896975431E-3</v>
      </c>
      <c r="L85" s="80">
        <v>3</v>
      </c>
      <c r="M85" s="81">
        <v>3.8028003300000002</v>
      </c>
      <c r="N85" s="82">
        <f t="shared" si="35"/>
        <v>0</v>
      </c>
      <c r="O85" s="82">
        <f t="shared" si="36"/>
        <v>0</v>
      </c>
      <c r="P85" s="82">
        <f>O85+'BM 011'!P85</f>
        <v>30620.140000000003</v>
      </c>
      <c r="Q85" s="80">
        <f t="shared" si="37"/>
        <v>24155.999999999996</v>
      </c>
      <c r="R85" s="82">
        <f t="shared" si="38"/>
        <v>30620.14</v>
      </c>
      <c r="S85" s="82">
        <f t="shared" si="39"/>
        <v>30620.14</v>
      </c>
      <c r="T85" s="82">
        <f t="shared" si="40"/>
        <v>0</v>
      </c>
      <c r="V85" s="83"/>
    </row>
    <row r="86" spans="2:23" s="34" customFormat="1" ht="34.799999999999997">
      <c r="B86" s="87" t="s">
        <v>176</v>
      </c>
      <c r="C86" s="88" t="s">
        <v>177</v>
      </c>
      <c r="D86" s="89" t="s">
        <v>79</v>
      </c>
      <c r="E86" s="90">
        <v>243.1</v>
      </c>
      <c r="F86" s="90">
        <v>243.1</v>
      </c>
      <c r="G86" s="91"/>
      <c r="H86" s="91"/>
      <c r="I86" s="91"/>
      <c r="J86" s="79">
        <f>SUM(H86:I86)+'BM 011'!J86</f>
        <v>243.10022539780761</v>
      </c>
      <c r="K86" s="91">
        <f t="shared" si="2"/>
        <v>-2.2539780761121619E-4</v>
      </c>
      <c r="L86" s="80">
        <v>35</v>
      </c>
      <c r="M86" s="81">
        <v>44.366003849999998</v>
      </c>
      <c r="N86" s="82">
        <f t="shared" si="35"/>
        <v>0</v>
      </c>
      <c r="O86" s="82">
        <f t="shared" si="36"/>
        <v>0</v>
      </c>
      <c r="P86" s="82">
        <f>O86+'BM 011'!P86</f>
        <v>10785.369999999999</v>
      </c>
      <c r="Q86" s="80">
        <f t="shared" si="37"/>
        <v>8508.5</v>
      </c>
      <c r="R86" s="82">
        <f t="shared" si="38"/>
        <v>10785.37</v>
      </c>
      <c r="S86" s="82">
        <f t="shared" si="39"/>
        <v>10785.37</v>
      </c>
      <c r="T86" s="82">
        <f t="shared" si="40"/>
        <v>0</v>
      </c>
      <c r="V86" s="83"/>
    </row>
    <row r="87" spans="2:23" s="34" customFormat="1" ht="23.4">
      <c r="B87" s="87" t="s">
        <v>178</v>
      </c>
      <c r="C87" s="88" t="s">
        <v>151</v>
      </c>
      <c r="D87" s="89" t="s">
        <v>152</v>
      </c>
      <c r="E87" s="90">
        <v>185.9</v>
      </c>
      <c r="F87" s="90">
        <v>168.38</v>
      </c>
      <c r="G87" s="91"/>
      <c r="H87" s="91"/>
      <c r="I87" s="91"/>
      <c r="J87" s="79">
        <f>SUM(H87:I87)+'BM 011'!J87</f>
        <v>168.38</v>
      </c>
      <c r="K87" s="91">
        <f t="shared" si="2"/>
        <v>0</v>
      </c>
      <c r="L87" s="80">
        <v>20</v>
      </c>
      <c r="M87" s="81">
        <v>25.352002200000001</v>
      </c>
      <c r="N87" s="82">
        <f t="shared" si="35"/>
        <v>0</v>
      </c>
      <c r="O87" s="82">
        <f t="shared" si="36"/>
        <v>0</v>
      </c>
      <c r="P87" s="82">
        <f>O87+'BM 011'!P87</f>
        <v>4268.7700000000004</v>
      </c>
      <c r="Q87" s="80">
        <f t="shared" si="37"/>
        <v>3718</v>
      </c>
      <c r="R87" s="82">
        <f t="shared" si="38"/>
        <v>4712.93</v>
      </c>
      <c r="S87" s="82">
        <f t="shared" si="39"/>
        <v>4268.7700000000004</v>
      </c>
      <c r="T87" s="82">
        <f t="shared" si="40"/>
        <v>0</v>
      </c>
    </row>
    <row r="88" spans="2:23" s="34" customFormat="1" ht="23.4">
      <c r="B88" s="87" t="s">
        <v>179</v>
      </c>
      <c r="C88" s="88" t="s">
        <v>180</v>
      </c>
      <c r="D88" s="89" t="s">
        <v>152</v>
      </c>
      <c r="E88" s="90">
        <v>199.1</v>
      </c>
      <c r="F88" s="90">
        <v>242.28</v>
      </c>
      <c r="G88" s="91"/>
      <c r="H88" s="91"/>
      <c r="I88" s="91"/>
      <c r="J88" s="79">
        <f>SUM(H88:I88)+'BM 011'!J88</f>
        <v>242.28</v>
      </c>
      <c r="K88" s="91">
        <f t="shared" si="2"/>
        <v>0</v>
      </c>
      <c r="L88" s="80">
        <v>19</v>
      </c>
      <c r="M88" s="81">
        <v>24.084402090000001</v>
      </c>
      <c r="N88" s="82">
        <f t="shared" si="35"/>
        <v>0</v>
      </c>
      <c r="O88" s="82">
        <f t="shared" si="36"/>
        <v>0</v>
      </c>
      <c r="P88" s="82">
        <f>O88+'BM 011'!P88</f>
        <v>5835.16</v>
      </c>
      <c r="Q88" s="80">
        <f t="shared" si="37"/>
        <v>3782.9</v>
      </c>
      <c r="R88" s="82">
        <f t="shared" si="38"/>
        <v>4795.2</v>
      </c>
      <c r="S88" s="82">
        <f t="shared" si="39"/>
        <v>5835.16</v>
      </c>
      <c r="T88" s="82">
        <f t="shared" si="40"/>
        <v>0</v>
      </c>
    </row>
    <row r="89" spans="2:23" s="34" customFormat="1" ht="23.4">
      <c r="B89" s="87" t="s">
        <v>181</v>
      </c>
      <c r="C89" s="88" t="s">
        <v>156</v>
      </c>
      <c r="D89" s="89" t="s">
        <v>152</v>
      </c>
      <c r="E89" s="90">
        <v>378.4</v>
      </c>
      <c r="F89" s="90">
        <v>524.44000000000005</v>
      </c>
      <c r="G89" s="91"/>
      <c r="H89" s="91"/>
      <c r="I89" s="91"/>
      <c r="J89" s="79">
        <f>SUM(H89:I89)+'BM 011'!J89</f>
        <v>524.44019829926594</v>
      </c>
      <c r="K89" s="91">
        <f t="shared" si="2"/>
        <v>-1.982992658895455E-4</v>
      </c>
      <c r="L89" s="80">
        <v>17.5</v>
      </c>
      <c r="M89" s="81">
        <v>22.183001924999999</v>
      </c>
      <c r="N89" s="82">
        <f t="shared" si="35"/>
        <v>0</v>
      </c>
      <c r="O89" s="82">
        <f t="shared" si="36"/>
        <v>0</v>
      </c>
      <c r="P89" s="82">
        <f>O89+'BM 011'!P89</f>
        <v>11633.650000000001</v>
      </c>
      <c r="Q89" s="80">
        <f t="shared" si="37"/>
        <v>6622</v>
      </c>
      <c r="R89" s="82">
        <f t="shared" si="38"/>
        <v>8394.0400000000009</v>
      </c>
      <c r="S89" s="82">
        <f t="shared" si="39"/>
        <v>11633.65</v>
      </c>
      <c r="T89" s="82">
        <f t="shared" si="40"/>
        <v>0</v>
      </c>
    </row>
    <row r="90" spans="2:23" s="34" customFormat="1" ht="23.4">
      <c r="B90" s="87" t="s">
        <v>182</v>
      </c>
      <c r="C90" s="88" t="s">
        <v>158</v>
      </c>
      <c r="D90" s="89" t="s">
        <v>152</v>
      </c>
      <c r="E90" s="90">
        <v>445.5</v>
      </c>
      <c r="F90" s="90">
        <v>456.08</v>
      </c>
      <c r="G90" s="91"/>
      <c r="H90" s="91"/>
      <c r="I90" s="91"/>
      <c r="J90" s="79">
        <f>SUM(H90:I90)+'BM 011'!J90</f>
        <v>456.08013221536476</v>
      </c>
      <c r="K90" s="91">
        <f t="shared" si="2"/>
        <v>-1.3221536477203699E-4</v>
      </c>
      <c r="L90" s="80">
        <v>16</v>
      </c>
      <c r="M90" s="81">
        <v>20.281601760000001</v>
      </c>
      <c r="N90" s="82">
        <f t="shared" si="35"/>
        <v>0</v>
      </c>
      <c r="O90" s="82">
        <f t="shared" si="36"/>
        <v>0</v>
      </c>
      <c r="P90" s="82">
        <f>O90+'BM 011'!P90</f>
        <v>9250.02</v>
      </c>
      <c r="Q90" s="80">
        <f t="shared" si="37"/>
        <v>7128</v>
      </c>
      <c r="R90" s="82">
        <f t="shared" si="38"/>
        <v>9035.4500000000007</v>
      </c>
      <c r="S90" s="82">
        <f t="shared" si="39"/>
        <v>9250.0300000000007</v>
      </c>
      <c r="T90" s="82">
        <f t="shared" si="40"/>
        <v>1.0000000000218279E-2</v>
      </c>
    </row>
    <row r="91" spans="2:23" s="34" customFormat="1" ht="23.4">
      <c r="B91" s="87" t="s">
        <v>183</v>
      </c>
      <c r="C91" s="88" t="s">
        <v>160</v>
      </c>
      <c r="D91" s="89" t="s">
        <v>152</v>
      </c>
      <c r="E91" s="90">
        <v>177.1</v>
      </c>
      <c r="F91" s="90">
        <v>304.01</v>
      </c>
      <c r="G91" s="91"/>
      <c r="H91" s="91"/>
      <c r="I91" s="91"/>
      <c r="J91" s="79">
        <f>SUM(H91:I91)+'BM 011'!J91</f>
        <v>304.01</v>
      </c>
      <c r="K91" s="91">
        <f t="shared" si="2"/>
        <v>0</v>
      </c>
      <c r="L91" s="80">
        <v>14.5</v>
      </c>
      <c r="M91" s="81">
        <v>18.380201594999999</v>
      </c>
      <c r="N91" s="82">
        <f t="shared" si="35"/>
        <v>0</v>
      </c>
      <c r="O91" s="82">
        <f t="shared" si="36"/>
        <v>0</v>
      </c>
      <c r="P91" s="82">
        <f>O91+'BM 011'!P91</f>
        <v>5587.76</v>
      </c>
      <c r="Q91" s="80">
        <f t="shared" si="37"/>
        <v>2567.9499999999998</v>
      </c>
      <c r="R91" s="82">
        <f t="shared" si="38"/>
        <v>3255.13</v>
      </c>
      <c r="S91" s="82">
        <f t="shared" si="39"/>
        <v>5587.76</v>
      </c>
      <c r="T91" s="82">
        <f t="shared" si="40"/>
        <v>0</v>
      </c>
    </row>
    <row r="92" spans="2:23" s="34" customFormat="1" ht="23.4">
      <c r="B92" s="87" t="s">
        <v>184</v>
      </c>
      <c r="C92" s="88" t="s">
        <v>162</v>
      </c>
      <c r="D92" s="89" t="s">
        <v>152</v>
      </c>
      <c r="E92" s="90">
        <v>61.6</v>
      </c>
      <c r="F92" s="90">
        <v>1380.4</v>
      </c>
      <c r="G92" s="91"/>
      <c r="H92" s="91"/>
      <c r="I92" s="91"/>
      <c r="J92" s="79">
        <f>SUM(H92:I92)+'BM 011'!J92</f>
        <v>1380.4001000000001</v>
      </c>
      <c r="K92" s="91">
        <f t="shared" si="2"/>
        <v>-9.9999999974897946E-5</v>
      </c>
      <c r="L92" s="94">
        <v>14.5</v>
      </c>
      <c r="M92" s="81">
        <v>18.380201594999999</v>
      </c>
      <c r="N92" s="82">
        <f t="shared" si="35"/>
        <v>0</v>
      </c>
      <c r="O92" s="82">
        <f t="shared" si="36"/>
        <v>0</v>
      </c>
      <c r="P92" s="82">
        <f>O92+'BM 011'!P92</f>
        <v>25372.030000000002</v>
      </c>
      <c r="Q92" s="80">
        <f t="shared" si="37"/>
        <v>893.2</v>
      </c>
      <c r="R92" s="82">
        <f t="shared" si="38"/>
        <v>1132.22</v>
      </c>
      <c r="S92" s="82">
        <f t="shared" si="39"/>
        <v>25372.03</v>
      </c>
      <c r="T92" s="82">
        <f t="shared" si="40"/>
        <v>0</v>
      </c>
    </row>
    <row r="93" spans="2:23" s="34" customFormat="1" ht="34.799999999999997">
      <c r="B93" s="87" t="s">
        <v>185</v>
      </c>
      <c r="C93" s="88" t="s">
        <v>186</v>
      </c>
      <c r="D93" s="89" t="s">
        <v>79</v>
      </c>
      <c r="E93" s="90">
        <v>299.2</v>
      </c>
      <c r="F93" s="90">
        <v>299.2</v>
      </c>
      <c r="G93" s="91"/>
      <c r="H93" s="91"/>
      <c r="I93" s="91"/>
      <c r="J93" s="79">
        <f>SUM(H93:I93)+'BM 011'!J93</f>
        <v>299.20005634945187</v>
      </c>
      <c r="K93" s="91">
        <f t="shared" si="2"/>
        <v>-5.6349451881487767E-5</v>
      </c>
      <c r="L93" s="80">
        <v>140</v>
      </c>
      <c r="M93" s="81">
        <v>177.46401539999999</v>
      </c>
      <c r="N93" s="82">
        <f t="shared" si="35"/>
        <v>0</v>
      </c>
      <c r="O93" s="82">
        <f t="shared" si="36"/>
        <v>0</v>
      </c>
      <c r="P93" s="82">
        <f>O93+'BM 011'!P93</f>
        <v>53097.229999999996</v>
      </c>
      <c r="Q93" s="80">
        <f t="shared" si="37"/>
        <v>41888</v>
      </c>
      <c r="R93" s="82">
        <f t="shared" si="38"/>
        <v>53097.23</v>
      </c>
      <c r="S93" s="82">
        <f t="shared" si="39"/>
        <v>53097.23</v>
      </c>
      <c r="T93" s="82">
        <f t="shared" si="40"/>
        <v>0</v>
      </c>
      <c r="V93" s="83"/>
      <c r="W93" s="83"/>
    </row>
    <row r="94" spans="2:23" s="34" customFormat="1" ht="23.4">
      <c r="B94" s="87" t="s">
        <v>187</v>
      </c>
      <c r="C94" s="88" t="s">
        <v>188</v>
      </c>
      <c r="D94" s="89" t="s">
        <v>169</v>
      </c>
      <c r="E94" s="92">
        <v>22.99</v>
      </c>
      <c r="F94" s="92">
        <v>25.08</v>
      </c>
      <c r="G94" s="91"/>
      <c r="H94" s="91"/>
      <c r="I94" s="91"/>
      <c r="J94" s="79">
        <f>SUM(H94:I94)+'BM 011'!J94</f>
        <v>25.080010518564301</v>
      </c>
      <c r="K94" s="91">
        <f t="shared" ref="K94:K157" si="41">F94-J94</f>
        <v>-1.051856430223097E-5</v>
      </c>
      <c r="L94" s="95">
        <v>750</v>
      </c>
      <c r="M94" s="81">
        <v>950.70008250000001</v>
      </c>
      <c r="N94" s="82">
        <f t="shared" si="35"/>
        <v>0</v>
      </c>
      <c r="O94" s="82">
        <f t="shared" si="36"/>
        <v>0</v>
      </c>
      <c r="P94" s="82">
        <f>O94+'BM 011'!P94</f>
        <v>23843.55</v>
      </c>
      <c r="Q94" s="80">
        <f t="shared" si="37"/>
        <v>17242.5</v>
      </c>
      <c r="R94" s="82">
        <f t="shared" si="38"/>
        <v>21856.59</v>
      </c>
      <c r="S94" s="82">
        <f t="shared" si="39"/>
        <v>23843.55</v>
      </c>
      <c r="T94" s="82">
        <f t="shared" si="40"/>
        <v>0</v>
      </c>
      <c r="V94" s="83"/>
      <c r="W94" s="83"/>
    </row>
    <row r="95" spans="2:23" s="34" customFormat="1" ht="23.4">
      <c r="B95" s="87" t="s">
        <v>189</v>
      </c>
      <c r="C95" s="88" t="s">
        <v>190</v>
      </c>
      <c r="D95" s="89" t="s">
        <v>63</v>
      </c>
      <c r="E95" s="92">
        <v>230</v>
      </c>
      <c r="F95" s="92">
        <v>230</v>
      </c>
      <c r="G95" s="91"/>
      <c r="H95" s="91"/>
      <c r="I95" s="91"/>
      <c r="J95" s="79">
        <f>SUM(H95:I95)+'BM 011'!J95</f>
        <v>230.00026296410891</v>
      </c>
      <c r="K95" s="91">
        <f t="shared" si="41"/>
        <v>-2.6296410891291089E-4</v>
      </c>
      <c r="L95" s="80">
        <v>30</v>
      </c>
      <c r="M95" s="81">
        <v>38.028003300000002</v>
      </c>
      <c r="N95" s="82">
        <f t="shared" si="35"/>
        <v>0</v>
      </c>
      <c r="O95" s="82">
        <f t="shared" si="36"/>
        <v>0</v>
      </c>
      <c r="P95" s="82">
        <f>O95+'BM 011'!P95</f>
        <v>8746.44</v>
      </c>
      <c r="Q95" s="80">
        <f t="shared" si="37"/>
        <v>6900</v>
      </c>
      <c r="R95" s="82">
        <f t="shared" si="38"/>
        <v>8746.44</v>
      </c>
      <c r="S95" s="82">
        <f t="shared" si="39"/>
        <v>8746.44</v>
      </c>
      <c r="T95" s="82">
        <f t="shared" si="40"/>
        <v>0</v>
      </c>
      <c r="V95" s="83"/>
      <c r="W95" s="83"/>
    </row>
    <row r="96" spans="2:23" s="34" customFormat="1" ht="13.2">
      <c r="B96" s="60" t="s">
        <v>191</v>
      </c>
      <c r="C96" s="61" t="s">
        <v>192</v>
      </c>
      <c r="D96" s="60"/>
      <c r="E96" s="62"/>
      <c r="F96" s="284"/>
      <c r="G96" s="63"/>
      <c r="H96" s="63"/>
      <c r="I96" s="63"/>
      <c r="J96" s="63">
        <f>SUM(H96:I96)+'BM 011'!J96</f>
        <v>0</v>
      </c>
      <c r="K96" s="63">
        <f t="shared" si="41"/>
        <v>0</v>
      </c>
      <c r="L96" s="63"/>
      <c r="M96" s="63">
        <v>0</v>
      </c>
      <c r="N96" s="63">
        <f t="shared" ref="N96:T96" si="42">SUM(N97,N109,N122)</f>
        <v>737227.5</v>
      </c>
      <c r="O96" s="63">
        <f t="shared" si="42"/>
        <v>737227.5</v>
      </c>
      <c r="P96" s="63">
        <f t="shared" si="42"/>
        <v>6351400.2700000005</v>
      </c>
      <c r="Q96" s="63">
        <f t="shared" si="42"/>
        <v>4541959.5</v>
      </c>
      <c r="R96" s="63">
        <f t="shared" si="42"/>
        <v>5757388.21</v>
      </c>
      <c r="S96" s="63">
        <f t="shared" si="42"/>
        <v>7210277.2599999998</v>
      </c>
      <c r="T96" s="63">
        <f t="shared" si="42"/>
        <v>858876.98999999987</v>
      </c>
    </row>
    <row r="97" spans="2:22" s="34" customFormat="1" ht="13.2">
      <c r="B97" s="66" t="s">
        <v>193</v>
      </c>
      <c r="C97" s="67" t="s">
        <v>194</v>
      </c>
      <c r="D97" s="68"/>
      <c r="E97" s="69"/>
      <c r="F97" s="69"/>
      <c r="G97" s="70"/>
      <c r="H97" s="70"/>
      <c r="I97" s="70"/>
      <c r="J97" s="70">
        <f>SUM(H97:I97)+'BM 011'!J97</f>
        <v>0</v>
      </c>
      <c r="K97" s="70">
        <f t="shared" si="41"/>
        <v>0</v>
      </c>
      <c r="L97" s="71"/>
      <c r="M97" s="71">
        <v>0</v>
      </c>
      <c r="N97" s="73">
        <f t="shared" ref="N97:T97" si="43">SUM(N98:N108)</f>
        <v>151467.81</v>
      </c>
      <c r="O97" s="73">
        <f t="shared" si="43"/>
        <v>151467.81</v>
      </c>
      <c r="P97" s="73">
        <f t="shared" si="43"/>
        <v>1510247.0999999999</v>
      </c>
      <c r="Q97" s="73">
        <f t="shared" si="43"/>
        <v>1372038.75</v>
      </c>
      <c r="R97" s="73">
        <f t="shared" si="43"/>
        <v>1739196.42</v>
      </c>
      <c r="S97" s="73">
        <f t="shared" si="43"/>
        <v>1739196.42</v>
      </c>
      <c r="T97" s="73">
        <f t="shared" si="43"/>
        <v>228949.32000000012</v>
      </c>
      <c r="V97" s="83"/>
    </row>
    <row r="98" spans="2:22" s="34" customFormat="1" ht="34.799999999999997">
      <c r="B98" s="87" t="s">
        <v>195</v>
      </c>
      <c r="C98" s="88" t="s">
        <v>196</v>
      </c>
      <c r="D98" s="89" t="s">
        <v>79</v>
      </c>
      <c r="E98" s="92">
        <v>3575</v>
      </c>
      <c r="F98" s="92">
        <v>3575</v>
      </c>
      <c r="G98" s="91">
        <f>0.83*F98-2717</f>
        <v>250.25</v>
      </c>
      <c r="H98" s="91">
        <f t="shared" ref="H98:H108" si="44">G98</f>
        <v>250.25</v>
      </c>
      <c r="I98" s="91"/>
      <c r="J98" s="79">
        <f>SUM(H98:I98)+'BM 011'!J98</f>
        <v>2967.25</v>
      </c>
      <c r="K98" s="91">
        <f t="shared" si="41"/>
        <v>607.75</v>
      </c>
      <c r="L98" s="80">
        <v>130</v>
      </c>
      <c r="M98" s="81">
        <v>164.78801429999999</v>
      </c>
      <c r="N98" s="82">
        <f t="shared" ref="N98:N108" si="45">TRUNC(G98*M98,2)</f>
        <v>41238.199999999997</v>
      </c>
      <c r="O98" s="82">
        <f t="shared" ref="O98:O108" si="46">TRUNC(H98*M98,2)</f>
        <v>41238.199999999997</v>
      </c>
      <c r="P98" s="82">
        <f>O98+'BM 011'!P98</f>
        <v>488967.2</v>
      </c>
      <c r="Q98" s="80">
        <f t="shared" ref="Q98:Q108" si="47">E98*L98</f>
        <v>464750</v>
      </c>
      <c r="R98" s="82">
        <f t="shared" ref="R98:R108" si="48">TRUNC(E98*M98,2)</f>
        <v>589117.15</v>
      </c>
      <c r="S98" s="82">
        <f t="shared" ref="S98:S108" si="49">TRUNC(F98*$M98,2)</f>
        <v>589117.15</v>
      </c>
      <c r="T98" s="82">
        <f t="shared" ref="T98:T108" si="50">S98-P98</f>
        <v>100149.95000000001</v>
      </c>
      <c r="V98" s="83"/>
    </row>
    <row r="99" spans="2:22" s="34" customFormat="1" ht="46.2">
      <c r="B99" s="87" t="s">
        <v>197</v>
      </c>
      <c r="C99" s="88" t="s">
        <v>198</v>
      </c>
      <c r="D99" s="89" t="s">
        <v>152</v>
      </c>
      <c r="E99" s="90">
        <v>2130.6999999999998</v>
      </c>
      <c r="F99" s="90">
        <v>2130.6999999999998</v>
      </c>
      <c r="G99" s="91">
        <f>'M.C. MED. 12'!K547</f>
        <v>381.82</v>
      </c>
      <c r="H99" s="91">
        <f t="shared" si="44"/>
        <v>381.82</v>
      </c>
      <c r="I99" s="91"/>
      <c r="J99" s="79">
        <f>SUM(H99:I99)+'BM 011'!J99</f>
        <v>1894.01</v>
      </c>
      <c r="K99" s="91">
        <f t="shared" si="41"/>
        <v>236.68999999999983</v>
      </c>
      <c r="L99" s="80">
        <v>20</v>
      </c>
      <c r="M99" s="81">
        <v>25.352002200000001</v>
      </c>
      <c r="N99" s="82">
        <f t="shared" si="45"/>
        <v>9679.9</v>
      </c>
      <c r="O99" s="82">
        <f t="shared" si="46"/>
        <v>9679.9</v>
      </c>
      <c r="P99" s="82">
        <f>O99+'BM 011'!P99</f>
        <v>48016.9</v>
      </c>
      <c r="Q99" s="80">
        <f t="shared" si="47"/>
        <v>42614</v>
      </c>
      <c r="R99" s="82">
        <f t="shared" si="48"/>
        <v>54017.51</v>
      </c>
      <c r="S99" s="82">
        <f t="shared" si="49"/>
        <v>54017.51</v>
      </c>
      <c r="T99" s="82">
        <f t="shared" si="50"/>
        <v>6000.6100000000006</v>
      </c>
      <c r="V99" s="83"/>
    </row>
    <row r="100" spans="2:22" s="34" customFormat="1" ht="46.2">
      <c r="B100" s="87" t="s">
        <v>199</v>
      </c>
      <c r="C100" s="88" t="s">
        <v>200</v>
      </c>
      <c r="D100" s="89" t="s">
        <v>152</v>
      </c>
      <c r="E100" s="90">
        <v>3031.6</v>
      </c>
      <c r="F100" s="90">
        <v>3031.6</v>
      </c>
      <c r="G100" s="91">
        <f>'M.C. MED. 12'!K576</f>
        <v>419.07</v>
      </c>
      <c r="H100" s="91">
        <f t="shared" si="44"/>
        <v>419.07</v>
      </c>
      <c r="I100" s="91"/>
      <c r="J100" s="79">
        <f>SUM(H100:I100)+'BM 011'!J100</f>
        <v>2874.17</v>
      </c>
      <c r="K100" s="91">
        <f t="shared" si="41"/>
        <v>157.42999999999984</v>
      </c>
      <c r="L100" s="80">
        <v>19</v>
      </c>
      <c r="M100" s="81">
        <v>24.084402090000001</v>
      </c>
      <c r="N100" s="82">
        <f t="shared" si="45"/>
        <v>10093.049999999999</v>
      </c>
      <c r="O100" s="82">
        <f t="shared" si="46"/>
        <v>10093.049999999999</v>
      </c>
      <c r="P100" s="82">
        <f>O100+'BM 011'!P100</f>
        <v>69222.63</v>
      </c>
      <c r="Q100" s="80">
        <f t="shared" si="47"/>
        <v>57600.4</v>
      </c>
      <c r="R100" s="82">
        <f t="shared" si="48"/>
        <v>73014.27</v>
      </c>
      <c r="S100" s="82">
        <f t="shared" si="49"/>
        <v>73014.27</v>
      </c>
      <c r="T100" s="82">
        <f t="shared" si="50"/>
        <v>3791.6399999999994</v>
      </c>
    </row>
    <row r="101" spans="2:22" s="34" customFormat="1" ht="46.2">
      <c r="B101" s="87" t="s">
        <v>201</v>
      </c>
      <c r="C101" s="88" t="s">
        <v>202</v>
      </c>
      <c r="D101" s="89" t="s">
        <v>152</v>
      </c>
      <c r="E101" s="90">
        <v>5608.9</v>
      </c>
      <c r="F101" s="90">
        <v>5608.9</v>
      </c>
      <c r="G101" s="91">
        <f>'M.C. MED. 12'!K606</f>
        <v>749.07</v>
      </c>
      <c r="H101" s="91">
        <f t="shared" si="44"/>
        <v>749.07</v>
      </c>
      <c r="I101" s="91"/>
      <c r="J101" s="79">
        <f>SUM(H101:I101)+'BM 011'!J101</f>
        <v>4985.4399999999996</v>
      </c>
      <c r="K101" s="91">
        <f t="shared" si="41"/>
        <v>623.46</v>
      </c>
      <c r="L101" s="80">
        <v>17.5</v>
      </c>
      <c r="M101" s="81">
        <v>22.183001924999999</v>
      </c>
      <c r="N101" s="82">
        <f t="shared" si="45"/>
        <v>16616.62</v>
      </c>
      <c r="O101" s="82">
        <f t="shared" si="46"/>
        <v>16616.62</v>
      </c>
      <c r="P101" s="82">
        <f>O101+'BM 011'!P101</f>
        <v>110591.99999999999</v>
      </c>
      <c r="Q101" s="80">
        <f t="shared" si="47"/>
        <v>98155.75</v>
      </c>
      <c r="R101" s="82">
        <f t="shared" si="48"/>
        <v>124422.23</v>
      </c>
      <c r="S101" s="82">
        <f t="shared" si="49"/>
        <v>124422.23</v>
      </c>
      <c r="T101" s="82">
        <f t="shared" si="50"/>
        <v>13830.23000000001</v>
      </c>
    </row>
    <row r="102" spans="2:22" s="34" customFormat="1" ht="46.2">
      <c r="B102" s="87" t="s">
        <v>203</v>
      </c>
      <c r="C102" s="88" t="s">
        <v>204</v>
      </c>
      <c r="D102" s="89" t="s">
        <v>152</v>
      </c>
      <c r="E102" s="90">
        <v>4215.2</v>
      </c>
      <c r="F102" s="90">
        <v>4215.2</v>
      </c>
      <c r="G102" s="91">
        <f>'M.C. MED. 12'!K635</f>
        <v>776.43</v>
      </c>
      <c r="H102" s="91">
        <f t="shared" si="44"/>
        <v>776.43</v>
      </c>
      <c r="I102" s="91"/>
      <c r="J102" s="79">
        <f>SUM(H102:I102)+'BM 011'!J102</f>
        <v>3650.01</v>
      </c>
      <c r="K102" s="91">
        <f t="shared" si="41"/>
        <v>565.1899999999996</v>
      </c>
      <c r="L102" s="80">
        <v>16</v>
      </c>
      <c r="M102" s="81">
        <v>20.281601760000001</v>
      </c>
      <c r="N102" s="82">
        <f t="shared" si="45"/>
        <v>15747.24</v>
      </c>
      <c r="O102" s="82">
        <f t="shared" si="46"/>
        <v>15747.24</v>
      </c>
      <c r="P102" s="82">
        <f>O102+'BM 011'!P102</f>
        <v>74028.02</v>
      </c>
      <c r="Q102" s="80">
        <f t="shared" si="47"/>
        <v>67443.199999999997</v>
      </c>
      <c r="R102" s="82">
        <f t="shared" si="48"/>
        <v>85491</v>
      </c>
      <c r="S102" s="82">
        <f t="shared" si="49"/>
        <v>85491</v>
      </c>
      <c r="T102" s="82">
        <f t="shared" si="50"/>
        <v>11462.979999999996</v>
      </c>
    </row>
    <row r="103" spans="2:22" s="34" customFormat="1" ht="46.2">
      <c r="B103" s="87" t="s">
        <v>205</v>
      </c>
      <c r="C103" s="88" t="s">
        <v>206</v>
      </c>
      <c r="D103" s="89" t="s">
        <v>152</v>
      </c>
      <c r="E103" s="90">
        <v>3267</v>
      </c>
      <c r="F103" s="90">
        <v>3267</v>
      </c>
      <c r="G103" s="91">
        <f>'M.C. MED. 12'!K666</f>
        <v>0</v>
      </c>
      <c r="H103" s="91">
        <f t="shared" si="44"/>
        <v>0</v>
      </c>
      <c r="I103" s="91"/>
      <c r="J103" s="79">
        <f>SUM(H103:I103)+'BM 011'!J103</f>
        <v>3266.9700000000003</v>
      </c>
      <c r="K103" s="91">
        <f t="shared" si="41"/>
        <v>2.9999999999745341E-2</v>
      </c>
      <c r="L103" s="80">
        <v>14.5</v>
      </c>
      <c r="M103" s="81">
        <v>18.380201594999999</v>
      </c>
      <c r="N103" s="82">
        <f t="shared" si="45"/>
        <v>0</v>
      </c>
      <c r="O103" s="82">
        <f t="shared" si="46"/>
        <v>0</v>
      </c>
      <c r="P103" s="82">
        <f>O103+'BM 011'!P103</f>
        <v>60047.530000000006</v>
      </c>
      <c r="Q103" s="80">
        <f t="shared" si="47"/>
        <v>47371.5</v>
      </c>
      <c r="R103" s="82">
        <f t="shared" si="48"/>
        <v>60048.11</v>
      </c>
      <c r="S103" s="82">
        <f t="shared" si="49"/>
        <v>60048.11</v>
      </c>
      <c r="T103" s="82">
        <f t="shared" si="50"/>
        <v>0.57999999999447027</v>
      </c>
      <c r="V103" s="96"/>
    </row>
    <row r="104" spans="2:22" s="34" customFormat="1" ht="46.2">
      <c r="B104" s="87" t="s">
        <v>207</v>
      </c>
      <c r="C104" s="88" t="s">
        <v>208</v>
      </c>
      <c r="D104" s="89" t="s">
        <v>152</v>
      </c>
      <c r="E104" s="90">
        <v>8421.6</v>
      </c>
      <c r="F104" s="90">
        <v>8421.6</v>
      </c>
      <c r="G104" s="91">
        <f>'M.C. MED. 12'!K695</f>
        <v>1117.8499999999999</v>
      </c>
      <c r="H104" s="91">
        <f t="shared" si="44"/>
        <v>1117.8499999999999</v>
      </c>
      <c r="I104" s="91"/>
      <c r="J104" s="79">
        <f>SUM(H104:I104)+'BM 011'!J104</f>
        <v>7378.85</v>
      </c>
      <c r="K104" s="91">
        <f t="shared" si="41"/>
        <v>1042.75</v>
      </c>
      <c r="L104" s="94">
        <v>14.5</v>
      </c>
      <c r="M104" s="81">
        <v>18.380201594999999</v>
      </c>
      <c r="N104" s="82">
        <f t="shared" si="45"/>
        <v>20546.3</v>
      </c>
      <c r="O104" s="82">
        <f t="shared" si="46"/>
        <v>20546.3</v>
      </c>
      <c r="P104" s="82">
        <f>O104+'BM 011'!P104</f>
        <v>135624.69999999998</v>
      </c>
      <c r="Q104" s="80">
        <f t="shared" si="47"/>
        <v>122113.20000000001</v>
      </c>
      <c r="R104" s="82">
        <f t="shared" si="48"/>
        <v>154790.70000000001</v>
      </c>
      <c r="S104" s="82">
        <f t="shared" si="49"/>
        <v>154790.70000000001</v>
      </c>
      <c r="T104" s="82">
        <f t="shared" si="50"/>
        <v>19166.000000000029</v>
      </c>
      <c r="V104" s="96"/>
    </row>
    <row r="105" spans="2:22" s="34" customFormat="1" ht="46.2">
      <c r="B105" s="87" t="s">
        <v>209</v>
      </c>
      <c r="C105" s="88" t="s">
        <v>210</v>
      </c>
      <c r="D105" s="89" t="s">
        <v>152</v>
      </c>
      <c r="E105" s="92">
        <v>7144.5</v>
      </c>
      <c r="F105" s="92">
        <v>7144.5</v>
      </c>
      <c r="G105" s="91">
        <f>'M.C. MED. 12'!K726</f>
        <v>0</v>
      </c>
      <c r="H105" s="91">
        <f t="shared" si="44"/>
        <v>0</v>
      </c>
      <c r="I105" s="91"/>
      <c r="J105" s="79">
        <f>SUM(H105:I105)+'BM 011'!J105</f>
        <v>6428.83</v>
      </c>
      <c r="K105" s="91">
        <f t="shared" si="41"/>
        <v>715.67000000000007</v>
      </c>
      <c r="L105" s="80">
        <v>14</v>
      </c>
      <c r="M105" s="81">
        <v>17.746401540000001</v>
      </c>
      <c r="N105" s="82">
        <f t="shared" si="45"/>
        <v>0</v>
      </c>
      <c r="O105" s="82">
        <f t="shared" si="46"/>
        <v>0</v>
      </c>
      <c r="P105" s="82">
        <f>O105+'BM 011'!P105</f>
        <v>114088.54999999999</v>
      </c>
      <c r="Q105" s="80">
        <f t="shared" si="47"/>
        <v>100023</v>
      </c>
      <c r="R105" s="82">
        <f t="shared" si="48"/>
        <v>126789.16</v>
      </c>
      <c r="S105" s="82">
        <f t="shared" si="49"/>
        <v>126789.16</v>
      </c>
      <c r="T105" s="82">
        <f t="shared" si="50"/>
        <v>12700.610000000015</v>
      </c>
      <c r="V105" s="96"/>
    </row>
    <row r="106" spans="2:22" s="34" customFormat="1" ht="46.2">
      <c r="B106" s="87" t="s">
        <v>211</v>
      </c>
      <c r="C106" s="88" t="s">
        <v>212</v>
      </c>
      <c r="D106" s="89" t="s">
        <v>152</v>
      </c>
      <c r="E106" s="92">
        <v>6531.8</v>
      </c>
      <c r="F106" s="92">
        <v>6531.8</v>
      </c>
      <c r="G106" s="91">
        <f>'M.C. MED. 12'!K755</f>
        <v>652.69000000000005</v>
      </c>
      <c r="H106" s="91">
        <f t="shared" si="44"/>
        <v>652.69000000000005</v>
      </c>
      <c r="I106" s="91"/>
      <c r="J106" s="79">
        <f>SUM(H106:I106)+'BM 011'!J106</f>
        <v>6348.92</v>
      </c>
      <c r="K106" s="91">
        <f t="shared" si="41"/>
        <v>182.88000000000011</v>
      </c>
      <c r="L106" s="95">
        <v>14</v>
      </c>
      <c r="M106" s="81">
        <v>17.746401540000001</v>
      </c>
      <c r="N106" s="82">
        <f t="shared" si="45"/>
        <v>11582.89</v>
      </c>
      <c r="O106" s="82">
        <f t="shared" si="46"/>
        <v>11582.89</v>
      </c>
      <c r="P106" s="82">
        <f>O106+'BM 011'!P106</f>
        <v>112670.44</v>
      </c>
      <c r="Q106" s="80">
        <f t="shared" si="47"/>
        <v>91445.2</v>
      </c>
      <c r="R106" s="82">
        <f t="shared" si="48"/>
        <v>115915.94</v>
      </c>
      <c r="S106" s="82">
        <f t="shared" si="49"/>
        <v>115915.94</v>
      </c>
      <c r="T106" s="82">
        <f t="shared" si="50"/>
        <v>3245.5</v>
      </c>
      <c r="V106" s="96"/>
    </row>
    <row r="107" spans="2:22" s="34" customFormat="1" ht="23.4">
      <c r="B107" s="87" t="s">
        <v>213</v>
      </c>
      <c r="C107" s="88" t="s">
        <v>190</v>
      </c>
      <c r="D107" s="89" t="s">
        <v>63</v>
      </c>
      <c r="E107" s="92">
        <v>240</v>
      </c>
      <c r="F107" s="92">
        <v>240</v>
      </c>
      <c r="G107" s="91">
        <f>0.85*F107-182</f>
        <v>22</v>
      </c>
      <c r="H107" s="91">
        <f t="shared" si="44"/>
        <v>22</v>
      </c>
      <c r="I107" s="91"/>
      <c r="J107" s="79">
        <f>SUM(H107:I107)+'BM 011'!J107</f>
        <v>204</v>
      </c>
      <c r="K107" s="91">
        <f t="shared" si="41"/>
        <v>36</v>
      </c>
      <c r="L107" s="80">
        <v>30</v>
      </c>
      <c r="M107" s="81">
        <v>38.028003300000002</v>
      </c>
      <c r="N107" s="82">
        <f t="shared" si="45"/>
        <v>836.61</v>
      </c>
      <c r="O107" s="82">
        <f t="shared" si="46"/>
        <v>836.61</v>
      </c>
      <c r="P107" s="82">
        <f>O107+'BM 011'!P107</f>
        <v>7757.68</v>
      </c>
      <c r="Q107" s="80">
        <f t="shared" si="47"/>
        <v>7200</v>
      </c>
      <c r="R107" s="82">
        <f t="shared" si="48"/>
        <v>9126.7199999999993</v>
      </c>
      <c r="S107" s="82">
        <f t="shared" si="49"/>
        <v>9126.7199999999993</v>
      </c>
      <c r="T107" s="82">
        <f t="shared" si="50"/>
        <v>1369.0399999999991</v>
      </c>
      <c r="V107" s="96"/>
    </row>
    <row r="108" spans="2:22" s="34" customFormat="1" ht="23.4">
      <c r="B108" s="87" t="s">
        <v>214</v>
      </c>
      <c r="C108" s="88" t="s">
        <v>215</v>
      </c>
      <c r="D108" s="89" t="s">
        <v>169</v>
      </c>
      <c r="E108" s="92">
        <v>364.43</v>
      </c>
      <c r="F108" s="92">
        <v>364.43</v>
      </c>
      <c r="G108" s="91">
        <f>'M.C. MED. 12'!K986</f>
        <v>26.43</v>
      </c>
      <c r="H108" s="91">
        <f t="shared" si="44"/>
        <v>26.43</v>
      </c>
      <c r="I108" s="91"/>
      <c r="J108" s="79">
        <f>SUM(H108:I108)+'BM 011'!J108</f>
        <v>304.23000000000008</v>
      </c>
      <c r="K108" s="91">
        <f t="shared" si="41"/>
        <v>60.199999999999932</v>
      </c>
      <c r="L108" s="95">
        <v>750</v>
      </c>
      <c r="M108" s="81">
        <v>950.70008250000001</v>
      </c>
      <c r="N108" s="82">
        <f t="shared" si="45"/>
        <v>25127</v>
      </c>
      <c r="O108" s="82">
        <f t="shared" si="46"/>
        <v>25127</v>
      </c>
      <c r="P108" s="82">
        <f>O108+'BM 011'!P108</f>
        <v>289231.44999999995</v>
      </c>
      <c r="Q108" s="80">
        <f t="shared" si="47"/>
        <v>273322.5</v>
      </c>
      <c r="R108" s="82">
        <f t="shared" si="48"/>
        <v>346463.63</v>
      </c>
      <c r="S108" s="82">
        <f t="shared" si="49"/>
        <v>346463.63</v>
      </c>
      <c r="T108" s="82">
        <f t="shared" si="50"/>
        <v>57232.180000000051</v>
      </c>
      <c r="V108" s="96"/>
    </row>
    <row r="109" spans="2:22" s="34" customFormat="1" ht="13.2">
      <c r="B109" s="66" t="s">
        <v>216</v>
      </c>
      <c r="C109" s="67" t="s">
        <v>217</v>
      </c>
      <c r="D109" s="68"/>
      <c r="E109" s="69"/>
      <c r="F109" s="69"/>
      <c r="G109" s="70"/>
      <c r="H109" s="70"/>
      <c r="I109" s="70"/>
      <c r="J109" s="70">
        <f>SUM(H109:I109)+'BM 011'!J109</f>
        <v>0</v>
      </c>
      <c r="K109" s="70">
        <f t="shared" si="41"/>
        <v>0</v>
      </c>
      <c r="L109" s="71"/>
      <c r="M109" s="71">
        <v>0</v>
      </c>
      <c r="N109" s="73">
        <f t="shared" ref="N109:T109" si="51">SUM(N110:N121)</f>
        <v>112947.3</v>
      </c>
      <c r="O109" s="73">
        <f t="shared" si="51"/>
        <v>112947.3</v>
      </c>
      <c r="P109" s="73">
        <f t="shared" si="51"/>
        <v>1122067.8999999999</v>
      </c>
      <c r="Q109" s="73">
        <f t="shared" si="51"/>
        <v>951249.7</v>
      </c>
      <c r="R109" s="73">
        <f t="shared" si="51"/>
        <v>1205804.17</v>
      </c>
      <c r="S109" s="73">
        <f t="shared" si="51"/>
        <v>1301570.99</v>
      </c>
      <c r="T109" s="73">
        <f t="shared" si="51"/>
        <v>179503.09</v>
      </c>
      <c r="V109" s="96"/>
    </row>
    <row r="110" spans="2:22" s="34" customFormat="1" ht="46.2">
      <c r="B110" s="87" t="s">
        <v>218</v>
      </c>
      <c r="C110" s="88" t="s">
        <v>219</v>
      </c>
      <c r="D110" s="89" t="s">
        <v>79</v>
      </c>
      <c r="E110" s="92">
        <v>2299</v>
      </c>
      <c r="F110" s="92">
        <v>2521.2399999999998</v>
      </c>
      <c r="G110" s="91">
        <f>TRUNC(0.89*F110-2057.06,2)</f>
        <v>186.84</v>
      </c>
      <c r="H110" s="91">
        <f t="shared" ref="H110:H121" si="52">G110</f>
        <v>186.84</v>
      </c>
      <c r="I110" s="91"/>
      <c r="J110" s="79">
        <f>SUM(H110:I110)+'BM 011'!J110</f>
        <v>2243.9</v>
      </c>
      <c r="K110" s="91">
        <f t="shared" si="41"/>
        <v>277.33999999999969</v>
      </c>
      <c r="L110" s="80">
        <v>60</v>
      </c>
      <c r="M110" s="81">
        <v>76.056006600000003</v>
      </c>
      <c r="N110" s="82">
        <f t="shared" ref="N110:N121" si="53">TRUNC(G110*M110,2)</f>
        <v>14210.3</v>
      </c>
      <c r="O110" s="82">
        <f t="shared" ref="O110:O121" si="54">TRUNC(H110*M110,2)</f>
        <v>14210.3</v>
      </c>
      <c r="P110" s="82">
        <f>O110+'BM 011'!P110</f>
        <v>170662.02</v>
      </c>
      <c r="Q110" s="80">
        <f t="shared" ref="Q110:Q121" si="55">E110*L110</f>
        <v>137940</v>
      </c>
      <c r="R110" s="82">
        <f t="shared" ref="R110:R121" si="56">TRUNC(E110*M110,2)</f>
        <v>174852.75</v>
      </c>
      <c r="S110" s="82">
        <f t="shared" ref="S110:S121" si="57">TRUNC(F110*$M110,2)</f>
        <v>191755.44</v>
      </c>
      <c r="T110" s="82">
        <f t="shared" ref="T110:T121" si="58">S110-P110</f>
        <v>21093.420000000013</v>
      </c>
      <c r="V110" s="96"/>
    </row>
    <row r="111" spans="2:22" s="34" customFormat="1" ht="46.2">
      <c r="B111" s="87" t="s">
        <v>220</v>
      </c>
      <c r="C111" s="88" t="s">
        <v>198</v>
      </c>
      <c r="D111" s="89" t="s">
        <v>152</v>
      </c>
      <c r="E111" s="90">
        <v>347.6</v>
      </c>
      <c r="F111" s="90">
        <v>1815.38</v>
      </c>
      <c r="G111" s="91">
        <f>'M.C. MED. 12'!K1007</f>
        <v>41.09</v>
      </c>
      <c r="H111" s="91">
        <f t="shared" si="52"/>
        <v>41.09</v>
      </c>
      <c r="I111" s="91"/>
      <c r="J111" s="79">
        <f>SUM(H111:I111)+'BM 011'!J111</f>
        <v>322.67000000000007</v>
      </c>
      <c r="K111" s="91">
        <f t="shared" si="41"/>
        <v>1492.71</v>
      </c>
      <c r="L111" s="80">
        <v>20</v>
      </c>
      <c r="M111" s="81">
        <v>25.352002200000001</v>
      </c>
      <c r="N111" s="82">
        <f t="shared" si="53"/>
        <v>1041.71</v>
      </c>
      <c r="O111" s="82">
        <f t="shared" si="54"/>
        <v>1041.71</v>
      </c>
      <c r="P111" s="82">
        <f>O111+'BM 011'!P111</f>
        <v>8180.2800000000007</v>
      </c>
      <c r="Q111" s="80">
        <f t="shared" si="55"/>
        <v>6952</v>
      </c>
      <c r="R111" s="82">
        <f t="shared" si="56"/>
        <v>8812.35</v>
      </c>
      <c r="S111" s="82">
        <f t="shared" si="57"/>
        <v>46023.51</v>
      </c>
      <c r="T111" s="82">
        <f t="shared" si="58"/>
        <v>37843.230000000003</v>
      </c>
      <c r="V111" s="96"/>
    </row>
    <row r="112" spans="2:22" s="34" customFormat="1" ht="46.2">
      <c r="B112" s="87" t="s">
        <v>221</v>
      </c>
      <c r="C112" s="88" t="s">
        <v>222</v>
      </c>
      <c r="D112" s="89" t="s">
        <v>152</v>
      </c>
      <c r="E112" s="90">
        <v>3626.7</v>
      </c>
      <c r="F112" s="90">
        <v>3626.7</v>
      </c>
      <c r="G112" s="91">
        <f>'M.C. MED. 12'!K1027</f>
        <v>992.02</v>
      </c>
      <c r="H112" s="91">
        <f t="shared" si="52"/>
        <v>992.02</v>
      </c>
      <c r="I112" s="91"/>
      <c r="J112" s="79">
        <f>SUM(H112:I112)+'BM 011'!J112</f>
        <v>3418.63</v>
      </c>
      <c r="K112" s="91">
        <f t="shared" si="41"/>
        <v>208.06999999999971</v>
      </c>
      <c r="L112" s="80">
        <v>19</v>
      </c>
      <c r="M112" s="81">
        <v>24.084402090000001</v>
      </c>
      <c r="N112" s="82">
        <f t="shared" si="53"/>
        <v>23892.2</v>
      </c>
      <c r="O112" s="82">
        <f t="shared" si="54"/>
        <v>23892.2</v>
      </c>
      <c r="P112" s="82">
        <f>O112+'BM 011'!P112</f>
        <v>82335.610000000015</v>
      </c>
      <c r="Q112" s="80">
        <f t="shared" si="55"/>
        <v>68907.3</v>
      </c>
      <c r="R112" s="82">
        <f t="shared" si="56"/>
        <v>87346.9</v>
      </c>
      <c r="S112" s="82">
        <f t="shared" si="57"/>
        <v>87346.9</v>
      </c>
      <c r="T112" s="82">
        <f t="shared" si="58"/>
        <v>5011.289999999979</v>
      </c>
      <c r="V112" s="96"/>
    </row>
    <row r="113" spans="2:22" s="34" customFormat="1" ht="46.2">
      <c r="B113" s="87" t="s">
        <v>223</v>
      </c>
      <c r="C113" s="88" t="s">
        <v>202</v>
      </c>
      <c r="D113" s="89" t="s">
        <v>152</v>
      </c>
      <c r="E113" s="90">
        <v>1762.2</v>
      </c>
      <c r="F113" s="90">
        <v>2640.04</v>
      </c>
      <c r="G113" s="79">
        <f>'M.C. MED. 12'!K1046</f>
        <v>17.64</v>
      </c>
      <c r="H113" s="91">
        <f t="shared" si="52"/>
        <v>17.64</v>
      </c>
      <c r="I113" s="91"/>
      <c r="J113" s="79">
        <f>SUM(H113:I113)+'BM 011'!J113</f>
        <v>1132.74</v>
      </c>
      <c r="K113" s="91">
        <f t="shared" si="41"/>
        <v>1507.3</v>
      </c>
      <c r="L113" s="80">
        <v>17.5</v>
      </c>
      <c r="M113" s="81">
        <v>22.183001924999999</v>
      </c>
      <c r="N113" s="82">
        <f t="shared" si="53"/>
        <v>391.3</v>
      </c>
      <c r="O113" s="82">
        <f t="shared" si="54"/>
        <v>391.3</v>
      </c>
      <c r="P113" s="82">
        <f>O113+'BM 011'!P113</f>
        <v>25127.55</v>
      </c>
      <c r="Q113" s="80">
        <f t="shared" si="55"/>
        <v>30838.5</v>
      </c>
      <c r="R113" s="82">
        <f t="shared" si="56"/>
        <v>39090.879999999997</v>
      </c>
      <c r="S113" s="82">
        <f t="shared" si="57"/>
        <v>58564.01</v>
      </c>
      <c r="T113" s="82">
        <f t="shared" si="58"/>
        <v>33436.460000000006</v>
      </c>
    </row>
    <row r="114" spans="2:22" s="34" customFormat="1" ht="46.2">
      <c r="B114" s="87" t="s">
        <v>224</v>
      </c>
      <c r="C114" s="88" t="s">
        <v>204</v>
      </c>
      <c r="D114" s="89" t="s">
        <v>152</v>
      </c>
      <c r="E114" s="90">
        <v>542.29999999999995</v>
      </c>
      <c r="F114" s="90">
        <v>542.29999999999995</v>
      </c>
      <c r="G114" s="79">
        <f>'M.C. MED. 12'!K1068</f>
        <v>106.14</v>
      </c>
      <c r="H114" s="91">
        <f t="shared" si="52"/>
        <v>106.14</v>
      </c>
      <c r="I114" s="91"/>
      <c r="J114" s="79">
        <f>SUM(H114:I114)+'BM 011'!J114</f>
        <v>511.42999999999995</v>
      </c>
      <c r="K114" s="91">
        <f t="shared" si="41"/>
        <v>30.870000000000005</v>
      </c>
      <c r="L114" s="80">
        <v>16</v>
      </c>
      <c r="M114" s="81">
        <v>20.281601760000001</v>
      </c>
      <c r="N114" s="82">
        <f t="shared" si="53"/>
        <v>2152.6799999999998</v>
      </c>
      <c r="O114" s="82">
        <f t="shared" si="54"/>
        <v>2152.6799999999998</v>
      </c>
      <c r="P114" s="82">
        <f>O114+'BM 011'!P114</f>
        <v>10372.57</v>
      </c>
      <c r="Q114" s="80">
        <f t="shared" si="55"/>
        <v>8676.7999999999993</v>
      </c>
      <c r="R114" s="82">
        <f t="shared" si="56"/>
        <v>10998.71</v>
      </c>
      <c r="S114" s="82">
        <f t="shared" si="57"/>
        <v>10998.71</v>
      </c>
      <c r="T114" s="82">
        <f t="shared" si="58"/>
        <v>626.13999999999942</v>
      </c>
      <c r="V114" s="83"/>
    </row>
    <row r="115" spans="2:22" s="34" customFormat="1" ht="46.2">
      <c r="B115" s="87" t="s">
        <v>225</v>
      </c>
      <c r="C115" s="88" t="s">
        <v>206</v>
      </c>
      <c r="D115" s="89" t="s">
        <v>152</v>
      </c>
      <c r="E115" s="90">
        <v>3532.1</v>
      </c>
      <c r="F115" s="90">
        <v>3532.1</v>
      </c>
      <c r="G115" s="79">
        <f>'M.C. MED. 12'!K1092</f>
        <v>720.21</v>
      </c>
      <c r="H115" s="91">
        <f t="shared" si="52"/>
        <v>720.21</v>
      </c>
      <c r="I115" s="91"/>
      <c r="J115" s="79">
        <f>SUM(H115:I115)+'BM 011'!J115</f>
        <v>3031.2400000000002</v>
      </c>
      <c r="K115" s="91">
        <f t="shared" si="41"/>
        <v>500.85999999999967</v>
      </c>
      <c r="L115" s="80">
        <v>14.5</v>
      </c>
      <c r="M115" s="81">
        <v>18.380201594999999</v>
      </c>
      <c r="N115" s="82">
        <f t="shared" si="53"/>
        <v>13237.6</v>
      </c>
      <c r="O115" s="82">
        <f t="shared" si="54"/>
        <v>13237.6</v>
      </c>
      <c r="P115" s="82">
        <f>O115+'BM 011'!P115</f>
        <v>55714.75</v>
      </c>
      <c r="Q115" s="80">
        <f t="shared" si="55"/>
        <v>51215.45</v>
      </c>
      <c r="R115" s="82">
        <f t="shared" si="56"/>
        <v>64920.71</v>
      </c>
      <c r="S115" s="82">
        <f t="shared" si="57"/>
        <v>64920.71</v>
      </c>
      <c r="T115" s="82">
        <f t="shared" si="58"/>
        <v>9205.9599999999991</v>
      </c>
      <c r="V115" s="83"/>
    </row>
    <row r="116" spans="2:22" s="34" customFormat="1" ht="46.2">
      <c r="B116" s="87" t="s">
        <v>226</v>
      </c>
      <c r="C116" s="88" t="s">
        <v>208</v>
      </c>
      <c r="D116" s="89" t="s">
        <v>152</v>
      </c>
      <c r="E116" s="90">
        <v>7313.9</v>
      </c>
      <c r="F116" s="90">
        <v>7313.9</v>
      </c>
      <c r="G116" s="79">
        <f>'M.C. MED. 12'!K1112</f>
        <v>562.22</v>
      </c>
      <c r="H116" s="91">
        <f t="shared" si="52"/>
        <v>562.22</v>
      </c>
      <c r="I116" s="91"/>
      <c r="J116" s="79">
        <f>SUM(H116:I116)+'BM 011'!J116</f>
        <v>6976.14</v>
      </c>
      <c r="K116" s="91">
        <f t="shared" si="41"/>
        <v>337.75999999999931</v>
      </c>
      <c r="L116" s="94">
        <v>14.5</v>
      </c>
      <c r="M116" s="81">
        <v>18.380201594999999</v>
      </c>
      <c r="N116" s="82">
        <f t="shared" si="53"/>
        <v>10333.709999999999</v>
      </c>
      <c r="O116" s="82">
        <f t="shared" si="54"/>
        <v>10333.709999999999</v>
      </c>
      <c r="P116" s="82">
        <f>O116+'BM 011'!P116</f>
        <v>128222.82</v>
      </c>
      <c r="Q116" s="80">
        <f t="shared" si="55"/>
        <v>106051.54999999999</v>
      </c>
      <c r="R116" s="82">
        <f t="shared" si="56"/>
        <v>134430.95000000001</v>
      </c>
      <c r="S116" s="82">
        <f t="shared" si="57"/>
        <v>134430.95000000001</v>
      </c>
      <c r="T116" s="82">
        <f t="shared" si="58"/>
        <v>6208.1300000000047</v>
      </c>
      <c r="V116" s="83"/>
    </row>
    <row r="117" spans="2:22" s="34" customFormat="1" ht="46.2">
      <c r="B117" s="87" t="s">
        <v>227</v>
      </c>
      <c r="C117" s="88" t="s">
        <v>210</v>
      </c>
      <c r="D117" s="89" t="s">
        <v>152</v>
      </c>
      <c r="E117" s="92">
        <v>4513.3</v>
      </c>
      <c r="F117" s="92">
        <v>4513.3</v>
      </c>
      <c r="G117" s="79">
        <f>'M.C. MED. 12'!K1133</f>
        <v>499.38</v>
      </c>
      <c r="H117" s="91">
        <f t="shared" si="52"/>
        <v>499.38</v>
      </c>
      <c r="I117" s="91"/>
      <c r="J117" s="79">
        <f>SUM(H117:I117)+'BM 011'!J117</f>
        <v>4343.51</v>
      </c>
      <c r="K117" s="91">
        <f t="shared" si="41"/>
        <v>169.78999999999996</v>
      </c>
      <c r="L117" s="80">
        <v>14</v>
      </c>
      <c r="M117" s="81">
        <v>17.746401540000001</v>
      </c>
      <c r="N117" s="82">
        <f t="shared" si="53"/>
        <v>8862.19</v>
      </c>
      <c r="O117" s="82">
        <f t="shared" si="54"/>
        <v>8862.19</v>
      </c>
      <c r="P117" s="82">
        <f>O117+'BM 011'!P117</f>
        <v>77081.63</v>
      </c>
      <c r="Q117" s="80">
        <f t="shared" si="55"/>
        <v>63186.200000000004</v>
      </c>
      <c r="R117" s="82">
        <f t="shared" si="56"/>
        <v>80094.83</v>
      </c>
      <c r="S117" s="82">
        <f t="shared" si="57"/>
        <v>80094.83</v>
      </c>
      <c r="T117" s="82">
        <f t="shared" si="58"/>
        <v>3013.1999999999971</v>
      </c>
      <c r="V117" s="83"/>
    </row>
    <row r="118" spans="2:22" s="34" customFormat="1" ht="46.2">
      <c r="B118" s="87" t="s">
        <v>228</v>
      </c>
      <c r="C118" s="88" t="s">
        <v>212</v>
      </c>
      <c r="D118" s="89" t="s">
        <v>152</v>
      </c>
      <c r="E118" s="92">
        <v>14626.7</v>
      </c>
      <c r="F118" s="92">
        <v>14626.7</v>
      </c>
      <c r="G118" s="79">
        <f>'M.C. MED. 12'!K1157</f>
        <v>1246.06</v>
      </c>
      <c r="H118" s="91">
        <f t="shared" si="52"/>
        <v>1246.06</v>
      </c>
      <c r="I118" s="91"/>
      <c r="J118" s="79">
        <f>SUM(H118:I118)+'BM 011'!J118</f>
        <v>13242.53</v>
      </c>
      <c r="K118" s="91">
        <f t="shared" si="41"/>
        <v>1384.17</v>
      </c>
      <c r="L118" s="95">
        <v>14</v>
      </c>
      <c r="M118" s="81">
        <v>17.746401540000001</v>
      </c>
      <c r="N118" s="82">
        <f t="shared" si="53"/>
        <v>22113.08</v>
      </c>
      <c r="O118" s="82">
        <f t="shared" si="54"/>
        <v>22113.08</v>
      </c>
      <c r="P118" s="82">
        <f>O118+'BM 011'!P118</f>
        <v>235007.21999999997</v>
      </c>
      <c r="Q118" s="80">
        <f t="shared" si="55"/>
        <v>204773.80000000002</v>
      </c>
      <c r="R118" s="82">
        <f t="shared" si="56"/>
        <v>259571.29</v>
      </c>
      <c r="S118" s="82">
        <f t="shared" si="57"/>
        <v>259571.29</v>
      </c>
      <c r="T118" s="82">
        <f t="shared" si="58"/>
        <v>24564.070000000036</v>
      </c>
      <c r="V118" s="83"/>
    </row>
    <row r="119" spans="2:22" s="34" customFormat="1" ht="22.8">
      <c r="B119" s="87" t="s">
        <v>229</v>
      </c>
      <c r="C119" s="88" t="s">
        <v>230</v>
      </c>
      <c r="D119" s="89" t="s">
        <v>231</v>
      </c>
      <c r="E119" s="92">
        <v>3177.02</v>
      </c>
      <c r="F119" s="92">
        <v>3177.02</v>
      </c>
      <c r="G119" s="91">
        <v>64.23</v>
      </c>
      <c r="H119" s="91">
        <f t="shared" si="52"/>
        <v>64.23</v>
      </c>
      <c r="I119" s="91"/>
      <c r="J119" s="79">
        <f>SUM(H119:I119)+'BM 011'!J119</f>
        <v>2891.08</v>
      </c>
      <c r="K119" s="91">
        <f t="shared" si="41"/>
        <v>285.94000000000005</v>
      </c>
      <c r="L119" s="80">
        <v>30</v>
      </c>
      <c r="M119" s="81">
        <v>38.028003300000002</v>
      </c>
      <c r="N119" s="82">
        <f t="shared" si="53"/>
        <v>2442.5300000000002</v>
      </c>
      <c r="O119" s="82">
        <f t="shared" si="54"/>
        <v>2442.5300000000002</v>
      </c>
      <c r="P119" s="82">
        <f>O119+'BM 011'!P119</f>
        <v>109941.95000000001</v>
      </c>
      <c r="Q119" s="80">
        <f t="shared" si="55"/>
        <v>95310.6</v>
      </c>
      <c r="R119" s="82">
        <f t="shared" si="56"/>
        <v>120815.72</v>
      </c>
      <c r="S119" s="82">
        <f t="shared" si="57"/>
        <v>120815.72</v>
      </c>
      <c r="T119" s="82">
        <f t="shared" si="58"/>
        <v>10873.76999999999</v>
      </c>
      <c r="V119" s="83"/>
    </row>
    <row r="120" spans="2:22" s="34" customFormat="1" ht="23.4">
      <c r="B120" s="87" t="s">
        <v>232</v>
      </c>
      <c r="C120" s="88" t="s">
        <v>190</v>
      </c>
      <c r="D120" s="89" t="s">
        <v>63</v>
      </c>
      <c r="E120" s="92">
        <v>240</v>
      </c>
      <c r="F120" s="92">
        <v>240</v>
      </c>
      <c r="G120" s="91">
        <v>4</v>
      </c>
      <c r="H120" s="91">
        <f t="shared" si="52"/>
        <v>4</v>
      </c>
      <c r="I120" s="91"/>
      <c r="J120" s="79">
        <f>SUM(H120:I120)+'BM 011'!J120</f>
        <v>214</v>
      </c>
      <c r="K120" s="91">
        <f t="shared" si="41"/>
        <v>26</v>
      </c>
      <c r="L120" s="80">
        <v>30</v>
      </c>
      <c r="M120" s="81">
        <v>38.028003300000002</v>
      </c>
      <c r="N120" s="82">
        <f t="shared" si="53"/>
        <v>152.11000000000001</v>
      </c>
      <c r="O120" s="82">
        <f t="shared" si="54"/>
        <v>152.11000000000001</v>
      </c>
      <c r="P120" s="82">
        <f>O120+'BM 011'!P120</f>
        <v>8137.9599999999982</v>
      </c>
      <c r="Q120" s="80">
        <f t="shared" si="55"/>
        <v>7200</v>
      </c>
      <c r="R120" s="82">
        <f t="shared" si="56"/>
        <v>9126.7199999999993</v>
      </c>
      <c r="S120" s="82">
        <f t="shared" si="57"/>
        <v>9126.7199999999993</v>
      </c>
      <c r="T120" s="82">
        <f t="shared" si="58"/>
        <v>988.76000000000113</v>
      </c>
      <c r="V120" s="83"/>
    </row>
    <row r="121" spans="2:22" s="34" customFormat="1" ht="23.4">
      <c r="B121" s="87" t="s">
        <v>233</v>
      </c>
      <c r="C121" s="88" t="s">
        <v>215</v>
      </c>
      <c r="D121" s="89" t="s">
        <v>169</v>
      </c>
      <c r="E121" s="92">
        <v>226.93</v>
      </c>
      <c r="F121" s="92">
        <v>250.26</v>
      </c>
      <c r="G121" s="91">
        <f>'M.C. MED. 12'!K1440</f>
        <v>14.85</v>
      </c>
      <c r="H121" s="91">
        <f t="shared" si="52"/>
        <v>14.85</v>
      </c>
      <c r="I121" s="91"/>
      <c r="J121" s="79">
        <f>SUM(H121:I121)+'BM 011'!J121</f>
        <v>222.23999999999998</v>
      </c>
      <c r="K121" s="91">
        <f t="shared" si="41"/>
        <v>28.02000000000001</v>
      </c>
      <c r="L121" s="95">
        <v>750</v>
      </c>
      <c r="M121" s="81">
        <v>950.70008250000001</v>
      </c>
      <c r="N121" s="82">
        <f t="shared" si="53"/>
        <v>14117.89</v>
      </c>
      <c r="O121" s="82">
        <f t="shared" si="54"/>
        <v>14117.89</v>
      </c>
      <c r="P121" s="82">
        <f>O121+'BM 011'!P121</f>
        <v>211283.54000000004</v>
      </c>
      <c r="Q121" s="80">
        <f t="shared" si="55"/>
        <v>170197.5</v>
      </c>
      <c r="R121" s="82">
        <f t="shared" si="56"/>
        <v>215742.36</v>
      </c>
      <c r="S121" s="82">
        <f t="shared" si="57"/>
        <v>237922.2</v>
      </c>
      <c r="T121" s="82">
        <f t="shared" si="58"/>
        <v>26638.659999999974</v>
      </c>
      <c r="V121" s="83"/>
    </row>
    <row r="122" spans="2:22" s="34" customFormat="1" ht="13.2">
      <c r="B122" s="66" t="s">
        <v>234</v>
      </c>
      <c r="C122" s="67" t="s">
        <v>235</v>
      </c>
      <c r="D122" s="68"/>
      <c r="E122" s="69"/>
      <c r="F122" s="69"/>
      <c r="G122" s="70"/>
      <c r="H122" s="70"/>
      <c r="I122" s="70"/>
      <c r="J122" s="70">
        <f>SUM(H122:I122)+'BM 011'!J122</f>
        <v>0</v>
      </c>
      <c r="K122" s="70">
        <f t="shared" si="41"/>
        <v>0</v>
      </c>
      <c r="L122" s="71"/>
      <c r="M122" s="71">
        <v>0</v>
      </c>
      <c r="N122" s="73">
        <f t="shared" ref="N122:T122" si="59">SUM(N123:N133)</f>
        <v>472812.38999999996</v>
      </c>
      <c r="O122" s="73">
        <f t="shared" si="59"/>
        <v>472812.38999999996</v>
      </c>
      <c r="P122" s="73">
        <f t="shared" si="59"/>
        <v>3719085.2700000005</v>
      </c>
      <c r="Q122" s="73">
        <f t="shared" si="59"/>
        <v>2218671.0499999998</v>
      </c>
      <c r="R122" s="73">
        <f t="shared" si="59"/>
        <v>2812387.62</v>
      </c>
      <c r="S122" s="73">
        <f t="shared" si="59"/>
        <v>4169509.8499999996</v>
      </c>
      <c r="T122" s="73">
        <f t="shared" si="59"/>
        <v>450424.57999999973</v>
      </c>
      <c r="V122" s="83"/>
    </row>
    <row r="123" spans="2:22" s="34" customFormat="1" ht="57.6">
      <c r="B123" s="87" t="s">
        <v>236</v>
      </c>
      <c r="C123" s="88" t="s">
        <v>237</v>
      </c>
      <c r="D123" s="89" t="s">
        <v>79</v>
      </c>
      <c r="E123" s="92">
        <v>770.47</v>
      </c>
      <c r="F123" s="92">
        <v>770.47</v>
      </c>
      <c r="G123" s="91">
        <f>TRUNC(0.88*F123,2)-616.37</f>
        <v>61.639999999999986</v>
      </c>
      <c r="H123" s="91">
        <f t="shared" ref="H123:H133" si="60">G123</f>
        <v>61.639999999999986</v>
      </c>
      <c r="I123" s="91"/>
      <c r="J123" s="79">
        <f>SUM(H123:I123)+'BM 011'!J123</f>
        <v>678.01369999999997</v>
      </c>
      <c r="K123" s="91">
        <f t="shared" si="41"/>
        <v>92.456300000000056</v>
      </c>
      <c r="L123" s="80">
        <v>130</v>
      </c>
      <c r="M123" s="81">
        <v>164.78801429999999</v>
      </c>
      <c r="N123" s="82">
        <f t="shared" ref="N123:N133" si="61">TRUNC(G123*M123,2)</f>
        <v>10157.530000000001</v>
      </c>
      <c r="O123" s="82">
        <f t="shared" ref="O123:O133" si="62">TRUNC(H123*M123,2)</f>
        <v>10157.530000000001</v>
      </c>
      <c r="P123" s="82">
        <f>O123+'BM 011'!P123</f>
        <v>111728.51</v>
      </c>
      <c r="Q123" s="80">
        <f t="shared" ref="Q123:Q133" si="63">E123*L123</f>
        <v>100161.1</v>
      </c>
      <c r="R123" s="82">
        <f t="shared" ref="R123:R133" si="64">TRUNC(E123*M123,2)</f>
        <v>126964.22</v>
      </c>
      <c r="S123" s="82">
        <f t="shared" ref="S123:S133" si="65">TRUNC(F123*$M123,2)</f>
        <v>126964.22</v>
      </c>
      <c r="T123" s="82">
        <f t="shared" ref="T123:T133" si="66">S123-P123</f>
        <v>15235.710000000006</v>
      </c>
      <c r="V123" s="83"/>
    </row>
    <row r="124" spans="2:22" s="34" customFormat="1" ht="69">
      <c r="B124" s="87" t="s">
        <v>238</v>
      </c>
      <c r="C124" s="88" t="s">
        <v>239</v>
      </c>
      <c r="D124" s="89" t="s">
        <v>79</v>
      </c>
      <c r="E124" s="92">
        <v>7163.62</v>
      </c>
      <c r="F124" s="92">
        <v>7163.62</v>
      </c>
      <c r="G124" s="91">
        <f>TRUNC(0.88*F124,2)-5633.2</f>
        <v>670.77999999999975</v>
      </c>
      <c r="H124" s="91">
        <f t="shared" si="60"/>
        <v>670.77999999999975</v>
      </c>
      <c r="I124" s="91"/>
      <c r="J124" s="79">
        <f>SUM(H124:I124)+'BM 011'!J124</f>
        <v>6303.9838999999993</v>
      </c>
      <c r="K124" s="91">
        <f t="shared" si="41"/>
        <v>859.63610000000062</v>
      </c>
      <c r="L124" s="80">
        <v>130</v>
      </c>
      <c r="M124" s="81">
        <v>164.78801429999999</v>
      </c>
      <c r="N124" s="82">
        <f t="shared" si="61"/>
        <v>110536.5</v>
      </c>
      <c r="O124" s="82">
        <f t="shared" si="62"/>
        <v>110536.5</v>
      </c>
      <c r="P124" s="82">
        <f>O124+'BM 011'!P124</f>
        <v>1038820.9500000001</v>
      </c>
      <c r="Q124" s="80">
        <f t="shared" si="63"/>
        <v>931270.6</v>
      </c>
      <c r="R124" s="82">
        <f t="shared" si="64"/>
        <v>1180478.71</v>
      </c>
      <c r="S124" s="82">
        <f t="shared" si="65"/>
        <v>1180478.71</v>
      </c>
      <c r="T124" s="82">
        <f t="shared" si="66"/>
        <v>141657.75999999989</v>
      </c>
      <c r="V124" s="83"/>
    </row>
    <row r="125" spans="2:22" s="34" customFormat="1" ht="46.2">
      <c r="B125" s="87" t="s">
        <v>240</v>
      </c>
      <c r="C125" s="88" t="s">
        <v>241</v>
      </c>
      <c r="D125" s="89" t="s">
        <v>152</v>
      </c>
      <c r="E125" s="92">
        <v>2362.8000000000002</v>
      </c>
      <c r="F125" s="92">
        <v>8567.08</v>
      </c>
      <c r="G125" s="91">
        <f>'M.C. MED. 12'!K1480</f>
        <v>461.84414000000015</v>
      </c>
      <c r="H125" s="91">
        <f t="shared" si="60"/>
        <v>461.84414000000015</v>
      </c>
      <c r="I125" s="91"/>
      <c r="J125" s="79">
        <f>SUM(H125:I125)+'BM 011'!J125</f>
        <v>7324.9495549999965</v>
      </c>
      <c r="K125" s="91">
        <f t="shared" si="41"/>
        <v>1242.1304450000034</v>
      </c>
      <c r="L125" s="80">
        <v>19</v>
      </c>
      <c r="M125" s="81">
        <v>24.084402090000001</v>
      </c>
      <c r="N125" s="82">
        <f t="shared" si="61"/>
        <v>11123.23</v>
      </c>
      <c r="O125" s="82">
        <f t="shared" si="62"/>
        <v>11123.23</v>
      </c>
      <c r="P125" s="82">
        <f>O125+'BM 011'!P125</f>
        <v>176417</v>
      </c>
      <c r="Q125" s="80">
        <f t="shared" si="63"/>
        <v>44893.200000000004</v>
      </c>
      <c r="R125" s="82">
        <f t="shared" si="64"/>
        <v>56906.62</v>
      </c>
      <c r="S125" s="82">
        <f t="shared" si="65"/>
        <v>206332.99</v>
      </c>
      <c r="T125" s="82">
        <f t="shared" si="66"/>
        <v>29915.989999999991</v>
      </c>
      <c r="V125" s="83"/>
    </row>
    <row r="126" spans="2:22" s="34" customFormat="1" ht="46.2">
      <c r="B126" s="87" t="s">
        <v>242</v>
      </c>
      <c r="C126" s="88" t="s">
        <v>243</v>
      </c>
      <c r="D126" s="89" t="s">
        <v>152</v>
      </c>
      <c r="E126" s="90">
        <v>602.79999999999995</v>
      </c>
      <c r="F126" s="90">
        <v>1609.29</v>
      </c>
      <c r="G126" s="91">
        <f>'M.C. MED. 12'!K1504</f>
        <v>227.67800000000011</v>
      </c>
      <c r="H126" s="91">
        <f t="shared" si="60"/>
        <v>227.67800000000011</v>
      </c>
      <c r="I126" s="91"/>
      <c r="J126" s="79">
        <f>SUM(H126:I126)+'BM 011'!J126</f>
        <v>1541.9449100000002</v>
      </c>
      <c r="K126" s="91">
        <f t="shared" si="41"/>
        <v>67.3450899999998</v>
      </c>
      <c r="L126" s="80">
        <v>17.5</v>
      </c>
      <c r="M126" s="81">
        <v>22.183001924999999</v>
      </c>
      <c r="N126" s="82">
        <f t="shared" si="61"/>
        <v>5050.58</v>
      </c>
      <c r="O126" s="82">
        <f t="shared" si="62"/>
        <v>5050.58</v>
      </c>
      <c r="P126" s="82">
        <f>O126+'BM 011'!P126</f>
        <v>34204.959999999999</v>
      </c>
      <c r="Q126" s="80">
        <f t="shared" si="63"/>
        <v>10549</v>
      </c>
      <c r="R126" s="82">
        <f t="shared" si="64"/>
        <v>13371.91</v>
      </c>
      <c r="S126" s="82">
        <f t="shared" si="65"/>
        <v>35698.879999999997</v>
      </c>
      <c r="T126" s="82">
        <f t="shared" si="66"/>
        <v>1493.9199999999983</v>
      </c>
      <c r="V126" s="83"/>
    </row>
    <row r="127" spans="2:22" s="34" customFormat="1" ht="46.2">
      <c r="B127" s="87" t="s">
        <v>244</v>
      </c>
      <c r="C127" s="88" t="s">
        <v>245</v>
      </c>
      <c r="D127" s="89" t="s">
        <v>152</v>
      </c>
      <c r="E127" s="90">
        <v>3562.9</v>
      </c>
      <c r="F127" s="90">
        <v>6780.06</v>
      </c>
      <c r="G127" s="91">
        <f>'M.C. MED. 12'!K1529</f>
        <v>435.1824400000005</v>
      </c>
      <c r="H127" s="91">
        <f t="shared" si="60"/>
        <v>435.1824400000005</v>
      </c>
      <c r="I127" s="91"/>
      <c r="J127" s="79">
        <f>SUM(H127:I127)+'BM 011'!J127</f>
        <v>6528.0036902000011</v>
      </c>
      <c r="K127" s="91">
        <f t="shared" si="41"/>
        <v>252.05630979999933</v>
      </c>
      <c r="L127" s="80">
        <v>16</v>
      </c>
      <c r="M127" s="81">
        <v>20.281601760000001</v>
      </c>
      <c r="N127" s="82">
        <f t="shared" si="61"/>
        <v>8826.19</v>
      </c>
      <c r="O127" s="82">
        <f t="shared" si="62"/>
        <v>8826.19</v>
      </c>
      <c r="P127" s="82">
        <f>O127+'BM 011'!P127</f>
        <v>132398.34</v>
      </c>
      <c r="Q127" s="80">
        <f t="shared" si="63"/>
        <v>57006.400000000001</v>
      </c>
      <c r="R127" s="82">
        <f t="shared" si="64"/>
        <v>72261.31</v>
      </c>
      <c r="S127" s="82">
        <f t="shared" si="65"/>
        <v>137510.47</v>
      </c>
      <c r="T127" s="82">
        <f t="shared" si="66"/>
        <v>5112.1300000000047</v>
      </c>
    </row>
    <row r="128" spans="2:22" s="34" customFormat="1" ht="46.2">
      <c r="B128" s="87" t="s">
        <v>246</v>
      </c>
      <c r="C128" s="88" t="s">
        <v>247</v>
      </c>
      <c r="D128" s="89" t="s">
        <v>152</v>
      </c>
      <c r="E128" s="90">
        <v>8278.6</v>
      </c>
      <c r="F128" s="90">
        <v>15025.82</v>
      </c>
      <c r="G128" s="91">
        <f>'M.C. MED. 12'!K1554</f>
        <v>1876.4440200000008</v>
      </c>
      <c r="H128" s="91">
        <f t="shared" si="60"/>
        <v>1876.4440200000008</v>
      </c>
      <c r="I128" s="91"/>
      <c r="J128" s="79">
        <f>SUM(H128:I128)+'BM 011'!J128</f>
        <v>14508.352881000003</v>
      </c>
      <c r="K128" s="91">
        <f t="shared" si="41"/>
        <v>517.46711899999718</v>
      </c>
      <c r="L128" s="80">
        <v>14.5</v>
      </c>
      <c r="M128" s="81">
        <v>18.380201594999999</v>
      </c>
      <c r="N128" s="82">
        <f t="shared" si="61"/>
        <v>34489.410000000003</v>
      </c>
      <c r="O128" s="82">
        <f t="shared" si="62"/>
        <v>34489.410000000003</v>
      </c>
      <c r="P128" s="82">
        <f>O128+'BM 011'!P128</f>
        <v>266666.41000000003</v>
      </c>
      <c r="Q128" s="80">
        <f t="shared" si="63"/>
        <v>120039.70000000001</v>
      </c>
      <c r="R128" s="82">
        <f t="shared" si="64"/>
        <v>152162.32999999999</v>
      </c>
      <c r="S128" s="82">
        <f t="shared" si="65"/>
        <v>276177.59999999998</v>
      </c>
      <c r="T128" s="82">
        <f t="shared" si="66"/>
        <v>9511.1899999999441</v>
      </c>
    </row>
    <row r="129" spans="2:23" s="34" customFormat="1" ht="46.2">
      <c r="B129" s="87" t="s">
        <v>248</v>
      </c>
      <c r="C129" s="88" t="s">
        <v>249</v>
      </c>
      <c r="D129" s="89" t="s">
        <v>152</v>
      </c>
      <c r="E129" s="90">
        <v>8114.7</v>
      </c>
      <c r="F129" s="90">
        <v>30505.119999999999</v>
      </c>
      <c r="G129" s="91">
        <f>'M.C. MED. 12'!K1579</f>
        <v>8378.7066000000013</v>
      </c>
      <c r="H129" s="91">
        <f t="shared" si="60"/>
        <v>8378.7066000000013</v>
      </c>
      <c r="I129" s="91"/>
      <c r="J129" s="79">
        <f>SUM(H129:I129)+'BM 011'!J129</f>
        <v>26028.494580000006</v>
      </c>
      <c r="K129" s="91">
        <f t="shared" si="41"/>
        <v>4476.625419999993</v>
      </c>
      <c r="L129" s="94">
        <v>14.5</v>
      </c>
      <c r="M129" s="81">
        <v>18.380201594999999</v>
      </c>
      <c r="N129" s="82">
        <f t="shared" si="61"/>
        <v>154002.31</v>
      </c>
      <c r="O129" s="82">
        <f t="shared" si="62"/>
        <v>154002.31</v>
      </c>
      <c r="P129" s="82">
        <f>O129+'BM 011'!P129</f>
        <v>478408.95</v>
      </c>
      <c r="Q129" s="80">
        <f t="shared" si="63"/>
        <v>117663.15</v>
      </c>
      <c r="R129" s="82">
        <f t="shared" si="64"/>
        <v>149149.82</v>
      </c>
      <c r="S129" s="82">
        <f t="shared" si="65"/>
        <v>560690.25</v>
      </c>
      <c r="T129" s="82">
        <f t="shared" si="66"/>
        <v>82281.299999999988</v>
      </c>
    </row>
    <row r="130" spans="2:23" s="34" customFormat="1" ht="46.2">
      <c r="B130" s="87" t="s">
        <v>250</v>
      </c>
      <c r="C130" s="88" t="s">
        <v>251</v>
      </c>
      <c r="D130" s="89" t="s">
        <v>152</v>
      </c>
      <c r="E130" s="90">
        <v>11554.4</v>
      </c>
      <c r="F130" s="90">
        <v>25709.29</v>
      </c>
      <c r="G130" s="91">
        <f>'M.C. MED. 12'!K1603</f>
        <v>2591.9435520000079</v>
      </c>
      <c r="H130" s="91">
        <f t="shared" si="60"/>
        <v>2591.9435520000079</v>
      </c>
      <c r="I130" s="91"/>
      <c r="J130" s="79">
        <f>SUM(H130:I130)+'BM 011'!J130</f>
        <v>22937.013198000011</v>
      </c>
      <c r="K130" s="91">
        <f t="shared" si="41"/>
        <v>2772.2768019999894</v>
      </c>
      <c r="L130" s="80">
        <v>14</v>
      </c>
      <c r="M130" s="81">
        <v>17.746401540000001</v>
      </c>
      <c r="N130" s="82">
        <f t="shared" si="61"/>
        <v>45997.67</v>
      </c>
      <c r="O130" s="82">
        <f t="shared" si="62"/>
        <v>45997.67</v>
      </c>
      <c r="P130" s="82">
        <f>O130+'BM 011'!P130</f>
        <v>407049.41</v>
      </c>
      <c r="Q130" s="80">
        <f t="shared" si="63"/>
        <v>161761.60000000001</v>
      </c>
      <c r="R130" s="82">
        <f t="shared" si="64"/>
        <v>205049.02</v>
      </c>
      <c r="S130" s="82">
        <f t="shared" si="65"/>
        <v>456247.38</v>
      </c>
      <c r="T130" s="82">
        <f t="shared" si="66"/>
        <v>49197.97000000003</v>
      </c>
    </row>
    <row r="131" spans="2:23" s="34" customFormat="1" ht="57.6">
      <c r="B131" s="87" t="s">
        <v>252</v>
      </c>
      <c r="C131" s="88" t="s">
        <v>253</v>
      </c>
      <c r="D131" s="89" t="s">
        <v>152</v>
      </c>
      <c r="E131" s="90">
        <v>5166.7</v>
      </c>
      <c r="F131" s="90">
        <v>4383.38</v>
      </c>
      <c r="G131" s="91"/>
      <c r="H131" s="91">
        <f t="shared" si="60"/>
        <v>0</v>
      </c>
      <c r="I131" s="91"/>
      <c r="J131" s="79">
        <f>SUM(H131:I131)+'BM 011'!J131</f>
        <v>4383.3816250913596</v>
      </c>
      <c r="K131" s="91">
        <f t="shared" si="41"/>
        <v>-1.6250913595285965E-3</v>
      </c>
      <c r="L131" s="80">
        <v>14</v>
      </c>
      <c r="M131" s="81">
        <v>17.746401540000001</v>
      </c>
      <c r="N131" s="82">
        <f t="shared" si="61"/>
        <v>0</v>
      </c>
      <c r="O131" s="82">
        <f t="shared" si="62"/>
        <v>0</v>
      </c>
      <c r="P131" s="82">
        <f>O131+'BM 011'!P131</f>
        <v>77789.219999999987</v>
      </c>
      <c r="Q131" s="80">
        <f t="shared" si="63"/>
        <v>72333.8</v>
      </c>
      <c r="R131" s="82">
        <f t="shared" si="64"/>
        <v>91690.33</v>
      </c>
      <c r="S131" s="82">
        <f t="shared" si="65"/>
        <v>77789.22</v>
      </c>
      <c r="T131" s="82">
        <f t="shared" si="66"/>
        <v>0</v>
      </c>
    </row>
    <row r="132" spans="2:23" s="34" customFormat="1" ht="23.4">
      <c r="B132" s="87" t="s">
        <v>254</v>
      </c>
      <c r="C132" s="88" t="s">
        <v>215</v>
      </c>
      <c r="D132" s="89" t="s">
        <v>169</v>
      </c>
      <c r="E132" s="92">
        <v>803.99</v>
      </c>
      <c r="F132" s="92">
        <v>897.35</v>
      </c>
      <c r="G132" s="91">
        <f>'M.C. MED. 12'!K1739</f>
        <v>77.19</v>
      </c>
      <c r="H132" s="91">
        <f t="shared" si="60"/>
        <v>77.19</v>
      </c>
      <c r="I132" s="91"/>
      <c r="J132" s="79">
        <f>SUM(H132:I132)+'BM 011'!J132</f>
        <v>797.95</v>
      </c>
      <c r="K132" s="91">
        <f t="shared" si="41"/>
        <v>99.399999999999977</v>
      </c>
      <c r="L132" s="95">
        <v>750</v>
      </c>
      <c r="M132" s="81">
        <v>950.70008250000001</v>
      </c>
      <c r="N132" s="82">
        <f t="shared" si="61"/>
        <v>73384.53</v>
      </c>
      <c r="O132" s="82">
        <f t="shared" si="62"/>
        <v>73384.53</v>
      </c>
      <c r="P132" s="82">
        <f>O132+'BM 011'!P132</f>
        <v>758611.08000000007</v>
      </c>
      <c r="Q132" s="80">
        <f t="shared" si="63"/>
        <v>602992.5</v>
      </c>
      <c r="R132" s="82">
        <f t="shared" si="64"/>
        <v>764353.35</v>
      </c>
      <c r="S132" s="82">
        <f t="shared" si="65"/>
        <v>853110.71</v>
      </c>
      <c r="T132" s="82">
        <f t="shared" si="66"/>
        <v>94499.629999999888</v>
      </c>
      <c r="V132" s="83"/>
      <c r="W132" s="83"/>
    </row>
    <row r="133" spans="2:23" s="34" customFormat="1" ht="34.799999999999997">
      <c r="B133" s="285" t="s">
        <v>1745</v>
      </c>
      <c r="C133" s="286" t="s">
        <v>1746</v>
      </c>
      <c r="D133" s="287" t="s">
        <v>152</v>
      </c>
      <c r="E133" s="288"/>
      <c r="F133" s="288">
        <v>17291.599999999999</v>
      </c>
      <c r="G133" s="289">
        <f>'M.C. MED. 12'!K1749</f>
        <v>1287.25388</v>
      </c>
      <c r="H133" s="289">
        <f t="shared" si="60"/>
        <v>1287.25388</v>
      </c>
      <c r="I133" s="289"/>
      <c r="J133" s="290">
        <f>SUM(H133:I133)+'BM 011'!J133</f>
        <v>15852.203880000001</v>
      </c>
      <c r="K133" s="289">
        <f t="shared" si="41"/>
        <v>1439.3961199999976</v>
      </c>
      <c r="L133" s="294"/>
      <c r="M133" s="292">
        <v>14.95</v>
      </c>
      <c r="N133" s="293">
        <f t="shared" si="61"/>
        <v>19244.439999999999</v>
      </c>
      <c r="O133" s="293">
        <f t="shared" si="62"/>
        <v>19244.439999999999</v>
      </c>
      <c r="P133" s="82">
        <f>O133+'BM 011'!P133</f>
        <v>236990.44</v>
      </c>
      <c r="Q133" s="295">
        <f t="shared" si="63"/>
        <v>0</v>
      </c>
      <c r="R133" s="293">
        <f t="shared" si="64"/>
        <v>0</v>
      </c>
      <c r="S133" s="293">
        <f t="shared" si="65"/>
        <v>258509.42</v>
      </c>
      <c r="T133" s="293">
        <f t="shared" si="66"/>
        <v>21518.98000000001</v>
      </c>
    </row>
    <row r="134" spans="2:23" s="34" customFormat="1" ht="17.399999999999999">
      <c r="B134" s="60" t="s">
        <v>255</v>
      </c>
      <c r="C134" s="61" t="s">
        <v>256</v>
      </c>
      <c r="D134" s="60"/>
      <c r="E134" s="62"/>
      <c r="F134" s="284"/>
      <c r="G134" s="63"/>
      <c r="H134" s="63"/>
      <c r="I134" s="63"/>
      <c r="J134" s="63">
        <f>SUM(H134:I134)+'BM 011'!J134</f>
        <v>0</v>
      </c>
      <c r="K134" s="63">
        <f t="shared" si="41"/>
        <v>0</v>
      </c>
      <c r="L134" s="63"/>
      <c r="M134" s="63">
        <v>0</v>
      </c>
      <c r="N134" s="63">
        <f t="shared" ref="N134:T134" si="67">SUM(N135:N141)</f>
        <v>244545.40000000002</v>
      </c>
      <c r="O134" s="63">
        <f t="shared" si="67"/>
        <v>244545.40000000002</v>
      </c>
      <c r="P134" s="63">
        <f t="shared" si="67"/>
        <v>476471.16000000003</v>
      </c>
      <c r="Q134" s="63">
        <f t="shared" si="67"/>
        <v>1701680.9500000002</v>
      </c>
      <c r="R134" s="63">
        <f t="shared" si="67"/>
        <v>2157050.9299999997</v>
      </c>
      <c r="S134" s="63">
        <f t="shared" si="67"/>
        <v>2157050.9299999997</v>
      </c>
      <c r="T134" s="63">
        <f t="shared" si="67"/>
        <v>1680579.77</v>
      </c>
      <c r="V134" s="97"/>
    </row>
    <row r="135" spans="2:23" s="34" customFormat="1" ht="23.4">
      <c r="B135" s="87" t="s">
        <v>257</v>
      </c>
      <c r="C135" s="98" t="s">
        <v>258</v>
      </c>
      <c r="D135" s="99" t="s">
        <v>169</v>
      </c>
      <c r="E135" s="100">
        <v>261.60000000000002</v>
      </c>
      <c r="F135" s="100">
        <v>261.60000000000002</v>
      </c>
      <c r="G135" s="101"/>
      <c r="H135" s="101">
        <f t="shared" ref="H135:H141" si="68">G135</f>
        <v>0</v>
      </c>
      <c r="I135" s="101"/>
      <c r="J135" s="79">
        <f>SUM(H135:I135)+'BM 011'!J135</f>
        <v>0</v>
      </c>
      <c r="K135" s="101">
        <f t="shared" si="41"/>
        <v>261.60000000000002</v>
      </c>
      <c r="L135" s="102">
        <v>620</v>
      </c>
      <c r="M135" s="81">
        <v>785.91206820000002</v>
      </c>
      <c r="N135" s="82">
        <f t="shared" ref="N135:N141" si="69">TRUNC(G135*M135,2)</f>
        <v>0</v>
      </c>
      <c r="O135" s="82">
        <f t="shared" ref="O135:O141" si="70">TRUNC(H135*M135,2)</f>
        <v>0</v>
      </c>
      <c r="P135" s="82">
        <f>O135+'BM 011'!P135</f>
        <v>0</v>
      </c>
      <c r="Q135" s="80">
        <f t="shared" ref="Q135:Q141" si="71">E135*L135</f>
        <v>162192</v>
      </c>
      <c r="R135" s="82">
        <f t="shared" ref="R135:R141" si="72">TRUNC(E135*M135,2)</f>
        <v>205594.59</v>
      </c>
      <c r="S135" s="82">
        <f t="shared" ref="S135:S141" si="73">TRUNC(F135*$M135,2)</f>
        <v>205594.59</v>
      </c>
      <c r="T135" s="82">
        <f t="shared" ref="T135:T141" si="74">S135-P135</f>
        <v>205594.59</v>
      </c>
    </row>
    <row r="136" spans="2:23" s="34" customFormat="1" ht="34.799999999999997">
      <c r="B136" s="87" t="s">
        <v>259</v>
      </c>
      <c r="C136" s="88" t="s">
        <v>260</v>
      </c>
      <c r="D136" s="89" t="s">
        <v>82</v>
      </c>
      <c r="E136" s="90">
        <v>3852</v>
      </c>
      <c r="F136" s="90">
        <v>3852</v>
      </c>
      <c r="G136" s="91"/>
      <c r="H136" s="101">
        <f t="shared" si="68"/>
        <v>0</v>
      </c>
      <c r="I136" s="91"/>
      <c r="J136" s="79">
        <f>SUM(H136:I136)+'BM 011'!J136</f>
        <v>85</v>
      </c>
      <c r="K136" s="91">
        <f t="shared" si="41"/>
        <v>3767</v>
      </c>
      <c r="L136" s="84">
        <v>20</v>
      </c>
      <c r="M136" s="81">
        <v>25.352002200000001</v>
      </c>
      <c r="N136" s="82">
        <f t="shared" si="69"/>
        <v>0</v>
      </c>
      <c r="O136" s="82">
        <f t="shared" si="70"/>
        <v>0</v>
      </c>
      <c r="P136" s="82">
        <f>O136+'BM 011'!P136</f>
        <v>2154.92</v>
      </c>
      <c r="Q136" s="80">
        <f t="shared" si="71"/>
        <v>77040</v>
      </c>
      <c r="R136" s="82">
        <f t="shared" si="72"/>
        <v>97655.91</v>
      </c>
      <c r="S136" s="82">
        <f t="shared" si="73"/>
        <v>97655.91</v>
      </c>
      <c r="T136" s="82">
        <f t="shared" si="74"/>
        <v>95500.99</v>
      </c>
    </row>
    <row r="137" spans="2:23" s="34" customFormat="1" ht="46.2">
      <c r="B137" s="87" t="s">
        <v>261</v>
      </c>
      <c r="C137" s="88" t="s">
        <v>262</v>
      </c>
      <c r="D137" s="89" t="s">
        <v>110</v>
      </c>
      <c r="E137" s="92">
        <v>112</v>
      </c>
      <c r="F137" s="92">
        <v>112</v>
      </c>
      <c r="G137" s="91">
        <f>'M.C. MED. 12'!K1781</f>
        <v>30.3</v>
      </c>
      <c r="H137" s="91">
        <f t="shared" si="68"/>
        <v>30.3</v>
      </c>
      <c r="I137" s="91"/>
      <c r="J137" s="79">
        <f>SUM(H137:I137)+'BM 011'!J137</f>
        <v>43.25</v>
      </c>
      <c r="K137" s="91">
        <f t="shared" si="41"/>
        <v>68.75</v>
      </c>
      <c r="L137" s="84">
        <v>650</v>
      </c>
      <c r="M137" s="81">
        <v>823.94007150000004</v>
      </c>
      <c r="N137" s="82">
        <f t="shared" si="69"/>
        <v>24965.38</v>
      </c>
      <c r="O137" s="82">
        <f t="shared" si="70"/>
        <v>24965.38</v>
      </c>
      <c r="P137" s="82">
        <f>O137+'BM 011'!P137</f>
        <v>35635.39</v>
      </c>
      <c r="Q137" s="80">
        <f t="shared" si="71"/>
        <v>72800</v>
      </c>
      <c r="R137" s="82">
        <f t="shared" si="72"/>
        <v>92281.279999999999</v>
      </c>
      <c r="S137" s="82">
        <f t="shared" si="73"/>
        <v>92281.279999999999</v>
      </c>
      <c r="T137" s="82">
        <f t="shared" si="74"/>
        <v>56645.89</v>
      </c>
      <c r="V137" s="83"/>
      <c r="W137" s="83"/>
    </row>
    <row r="138" spans="2:23" s="34" customFormat="1" ht="69">
      <c r="B138" s="87" t="s">
        <v>263</v>
      </c>
      <c r="C138" s="88" t="s">
        <v>264</v>
      </c>
      <c r="D138" s="89" t="s">
        <v>79</v>
      </c>
      <c r="E138" s="90">
        <v>15102.2</v>
      </c>
      <c r="F138" s="90">
        <v>15102.2</v>
      </c>
      <c r="G138" s="91">
        <f>'M.C. MED. 12'!K1810</f>
        <v>1950</v>
      </c>
      <c r="H138" s="91">
        <f t="shared" si="68"/>
        <v>1950</v>
      </c>
      <c r="I138" s="91"/>
      <c r="J138" s="79">
        <f>SUM(H138:I138)+'BM 011'!J138</f>
        <v>4026.44</v>
      </c>
      <c r="K138" s="91">
        <f t="shared" si="41"/>
        <v>11075.76</v>
      </c>
      <c r="L138" s="84">
        <v>79.5</v>
      </c>
      <c r="M138" s="81">
        <v>100.774208745</v>
      </c>
      <c r="N138" s="82">
        <f t="shared" si="69"/>
        <v>196509.7</v>
      </c>
      <c r="O138" s="82">
        <f t="shared" si="70"/>
        <v>196509.7</v>
      </c>
      <c r="P138" s="82">
        <f>O138+'BM 011'!P138</f>
        <v>405761.29000000004</v>
      </c>
      <c r="Q138" s="80">
        <f t="shared" si="71"/>
        <v>1200624.9000000001</v>
      </c>
      <c r="R138" s="82">
        <f t="shared" si="72"/>
        <v>1521912.25</v>
      </c>
      <c r="S138" s="82">
        <f t="shared" si="73"/>
        <v>1521912.25</v>
      </c>
      <c r="T138" s="82">
        <f t="shared" si="74"/>
        <v>1116150.96</v>
      </c>
    </row>
    <row r="139" spans="2:23" s="34" customFormat="1" ht="57.6">
      <c r="B139" s="87" t="s">
        <v>265</v>
      </c>
      <c r="C139" s="88" t="s">
        <v>266</v>
      </c>
      <c r="D139" s="89" t="s">
        <v>79</v>
      </c>
      <c r="E139" s="90">
        <v>772</v>
      </c>
      <c r="F139" s="90">
        <v>772</v>
      </c>
      <c r="G139" s="91"/>
      <c r="H139" s="91">
        <f t="shared" si="68"/>
        <v>0</v>
      </c>
      <c r="I139" s="91"/>
      <c r="J139" s="79">
        <f>SUM(H139:I139)+'BM 011'!J139</f>
        <v>0</v>
      </c>
      <c r="K139" s="91">
        <f t="shared" si="41"/>
        <v>772</v>
      </c>
      <c r="L139" s="84">
        <v>150</v>
      </c>
      <c r="M139" s="81">
        <v>190.1400165</v>
      </c>
      <c r="N139" s="82">
        <f t="shared" si="69"/>
        <v>0</v>
      </c>
      <c r="O139" s="82">
        <f t="shared" si="70"/>
        <v>0</v>
      </c>
      <c r="P139" s="82">
        <f>O139+'BM 011'!P139</f>
        <v>0</v>
      </c>
      <c r="Q139" s="80">
        <f t="shared" si="71"/>
        <v>115800</v>
      </c>
      <c r="R139" s="82">
        <f t="shared" si="72"/>
        <v>146788.09</v>
      </c>
      <c r="S139" s="82">
        <f t="shared" si="73"/>
        <v>146788.09</v>
      </c>
      <c r="T139" s="82">
        <f t="shared" si="74"/>
        <v>146788.09</v>
      </c>
    </row>
    <row r="140" spans="2:23" s="34" customFormat="1" ht="46.2">
      <c r="B140" s="87" t="s">
        <v>267</v>
      </c>
      <c r="C140" s="88" t="s">
        <v>268</v>
      </c>
      <c r="D140" s="89" t="s">
        <v>79</v>
      </c>
      <c r="E140" s="90">
        <v>210.05</v>
      </c>
      <c r="F140" s="90">
        <v>210.05</v>
      </c>
      <c r="G140" s="91"/>
      <c r="H140" s="91">
        <f t="shared" si="68"/>
        <v>0</v>
      </c>
      <c r="I140" s="91"/>
      <c r="J140" s="79">
        <f>SUM(H140:I140)+'BM 011'!J140</f>
        <v>0</v>
      </c>
      <c r="K140" s="91">
        <f t="shared" si="41"/>
        <v>210.05</v>
      </c>
      <c r="L140" s="84">
        <v>165</v>
      </c>
      <c r="M140" s="81">
        <v>209.15401815000001</v>
      </c>
      <c r="N140" s="82">
        <f t="shared" si="69"/>
        <v>0</v>
      </c>
      <c r="O140" s="82">
        <f t="shared" si="70"/>
        <v>0</v>
      </c>
      <c r="P140" s="82">
        <f>O140+'BM 011'!P140</f>
        <v>0</v>
      </c>
      <c r="Q140" s="80">
        <f t="shared" si="71"/>
        <v>34658.25</v>
      </c>
      <c r="R140" s="82">
        <f t="shared" si="72"/>
        <v>43932.800000000003</v>
      </c>
      <c r="S140" s="82">
        <f t="shared" si="73"/>
        <v>43932.800000000003</v>
      </c>
      <c r="T140" s="82">
        <f t="shared" si="74"/>
        <v>43932.800000000003</v>
      </c>
    </row>
    <row r="141" spans="2:23" s="34" customFormat="1" ht="23.4">
      <c r="B141" s="87" t="s">
        <v>269</v>
      </c>
      <c r="C141" s="88" t="s">
        <v>270</v>
      </c>
      <c r="D141" s="89" t="s">
        <v>124</v>
      </c>
      <c r="E141" s="90">
        <v>550.94000000000005</v>
      </c>
      <c r="F141" s="90">
        <v>550.94000000000005</v>
      </c>
      <c r="G141" s="91">
        <f>'M.C. MED. 12'!K1823</f>
        <v>260</v>
      </c>
      <c r="H141" s="91">
        <f t="shared" si="68"/>
        <v>260</v>
      </c>
      <c r="I141" s="91"/>
      <c r="J141" s="79">
        <f>SUM(H141:I141)+'BM 011'!J141</f>
        <v>371</v>
      </c>
      <c r="K141" s="91">
        <f t="shared" si="41"/>
        <v>179.94000000000005</v>
      </c>
      <c r="L141" s="84">
        <v>70</v>
      </c>
      <c r="M141" s="81">
        <v>88.732007699999997</v>
      </c>
      <c r="N141" s="82">
        <f t="shared" si="69"/>
        <v>23070.32</v>
      </c>
      <c r="O141" s="82">
        <f t="shared" si="70"/>
        <v>23070.32</v>
      </c>
      <c r="P141" s="82">
        <f>O141+'BM 011'!P141</f>
        <v>32919.56</v>
      </c>
      <c r="Q141" s="80">
        <f t="shared" si="71"/>
        <v>38565.800000000003</v>
      </c>
      <c r="R141" s="82">
        <f t="shared" si="72"/>
        <v>48886.01</v>
      </c>
      <c r="S141" s="82">
        <f t="shared" si="73"/>
        <v>48886.01</v>
      </c>
      <c r="T141" s="82">
        <f t="shared" si="74"/>
        <v>15966.450000000004</v>
      </c>
    </row>
    <row r="142" spans="2:23" s="34" customFormat="1" ht="13.2">
      <c r="B142" s="60" t="s">
        <v>271</v>
      </c>
      <c r="C142" s="61" t="s">
        <v>272</v>
      </c>
      <c r="D142" s="60"/>
      <c r="E142" s="62"/>
      <c r="F142" s="284"/>
      <c r="G142" s="63"/>
      <c r="H142" s="63"/>
      <c r="I142" s="63"/>
      <c r="J142" s="63">
        <f>SUM(H142:I142)+'BM 011'!J142</f>
        <v>0</v>
      </c>
      <c r="K142" s="63">
        <f t="shared" si="41"/>
        <v>0</v>
      </c>
      <c r="L142" s="63"/>
      <c r="M142" s="63">
        <v>0</v>
      </c>
      <c r="N142" s="63">
        <f t="shared" ref="N142:T142" si="75">SUM(N143,N151)</f>
        <v>0</v>
      </c>
      <c r="O142" s="63">
        <f t="shared" si="75"/>
        <v>0</v>
      </c>
      <c r="P142" s="63">
        <f t="shared" si="75"/>
        <v>0</v>
      </c>
      <c r="Q142" s="63">
        <f t="shared" si="75"/>
        <v>2433803.8377</v>
      </c>
      <c r="R142" s="63">
        <f t="shared" si="75"/>
        <v>3085089.94</v>
      </c>
      <c r="S142" s="63">
        <f t="shared" si="75"/>
        <v>3085089.94</v>
      </c>
      <c r="T142" s="63">
        <f t="shared" si="75"/>
        <v>3085089.94</v>
      </c>
    </row>
    <row r="143" spans="2:23" s="34" customFormat="1" ht="13.2">
      <c r="B143" s="66" t="s">
        <v>273</v>
      </c>
      <c r="C143" s="67" t="s">
        <v>274</v>
      </c>
      <c r="D143" s="68"/>
      <c r="E143" s="69"/>
      <c r="F143" s="69"/>
      <c r="G143" s="70"/>
      <c r="H143" s="70"/>
      <c r="I143" s="70"/>
      <c r="J143" s="70">
        <f>SUM(H143:I143)+'BM 011'!J143</f>
        <v>0</v>
      </c>
      <c r="K143" s="70">
        <f t="shared" si="41"/>
        <v>0</v>
      </c>
      <c r="L143" s="71"/>
      <c r="M143" s="71">
        <v>0</v>
      </c>
      <c r="N143" s="73">
        <f t="shared" ref="N143:T143" si="76">SUM(N144:N150)</f>
        <v>0</v>
      </c>
      <c r="O143" s="73">
        <f t="shared" si="76"/>
        <v>0</v>
      </c>
      <c r="P143" s="73">
        <f t="shared" si="76"/>
        <v>0</v>
      </c>
      <c r="Q143" s="73">
        <f t="shared" si="76"/>
        <v>1345103.6276999998</v>
      </c>
      <c r="R143" s="73">
        <f t="shared" si="76"/>
        <v>1705053.47</v>
      </c>
      <c r="S143" s="73">
        <f t="shared" si="76"/>
        <v>1705053.47</v>
      </c>
      <c r="T143" s="73">
        <f t="shared" si="76"/>
        <v>1705053.47</v>
      </c>
    </row>
    <row r="144" spans="2:23" s="34" customFormat="1" ht="46.2">
      <c r="B144" s="87" t="s">
        <v>275</v>
      </c>
      <c r="C144" s="88" t="s">
        <v>276</v>
      </c>
      <c r="D144" s="89" t="s">
        <v>79</v>
      </c>
      <c r="E144" s="90">
        <f>E138*2-E152</f>
        <v>26012.79</v>
      </c>
      <c r="F144" s="90">
        <v>26012.79</v>
      </c>
      <c r="G144" s="91"/>
      <c r="H144" s="91">
        <f>G144</f>
        <v>0</v>
      </c>
      <c r="I144" s="91"/>
      <c r="J144" s="79">
        <f>SUM(H144:I144)+'BM 011'!J144</f>
        <v>0</v>
      </c>
      <c r="K144" s="91">
        <f t="shared" si="41"/>
        <v>26012.79</v>
      </c>
      <c r="L144" s="84">
        <v>4.5</v>
      </c>
      <c r="M144" s="81">
        <v>5.7042004950000003</v>
      </c>
      <c r="N144" s="82">
        <f t="shared" ref="N144:N150" si="77">TRUNC(G144*M144,2)</f>
        <v>0</v>
      </c>
      <c r="O144" s="82">
        <f t="shared" ref="O144:O150" si="78">TRUNC(H144*M144,2)</f>
        <v>0</v>
      </c>
      <c r="P144" s="82">
        <f>O144+'BM 011'!P144</f>
        <v>0</v>
      </c>
      <c r="Q144" s="80">
        <f t="shared" ref="Q144:Q150" si="79">E144*L144</f>
        <v>117057.55500000001</v>
      </c>
      <c r="R144" s="82">
        <f t="shared" ref="R144:R150" si="80">TRUNC(E144*M144,2)</f>
        <v>148382.16</v>
      </c>
      <c r="S144" s="82">
        <f t="shared" ref="S144:S150" si="81">TRUNC(F144*$M144,2)</f>
        <v>148382.16</v>
      </c>
      <c r="T144" s="82">
        <f t="shared" ref="T144:T150" si="82">S144-P144</f>
        <v>148382.16</v>
      </c>
    </row>
    <row r="145" spans="2:20" s="34" customFormat="1" ht="69">
      <c r="B145" s="87" t="s">
        <v>277</v>
      </c>
      <c r="C145" s="88" t="s">
        <v>278</v>
      </c>
      <c r="D145" s="89" t="s">
        <v>79</v>
      </c>
      <c r="E145" s="90">
        <f>E148+E149</f>
        <v>462.83</v>
      </c>
      <c r="F145" s="90">
        <v>462.83</v>
      </c>
      <c r="G145" s="91"/>
      <c r="H145" s="91"/>
      <c r="I145" s="91"/>
      <c r="J145" s="79">
        <f>SUM(H145:I145)+'BM 011'!J145</f>
        <v>0</v>
      </c>
      <c r="K145" s="91">
        <f t="shared" si="41"/>
        <v>462.83</v>
      </c>
      <c r="L145" s="84">
        <v>30</v>
      </c>
      <c r="M145" s="81">
        <v>38.028003300000002</v>
      </c>
      <c r="N145" s="82">
        <f t="shared" si="77"/>
        <v>0</v>
      </c>
      <c r="O145" s="82">
        <f t="shared" si="78"/>
        <v>0</v>
      </c>
      <c r="P145" s="82">
        <f>O145+'BM 011'!P145</f>
        <v>0</v>
      </c>
      <c r="Q145" s="80">
        <f t="shared" si="79"/>
        <v>13884.9</v>
      </c>
      <c r="R145" s="82">
        <f t="shared" si="80"/>
        <v>17600.5</v>
      </c>
      <c r="S145" s="82">
        <f t="shared" si="81"/>
        <v>17600.5</v>
      </c>
      <c r="T145" s="82">
        <f t="shared" si="82"/>
        <v>17600.5</v>
      </c>
    </row>
    <row r="146" spans="2:20" s="34" customFormat="1" ht="69">
      <c r="B146" s="87" t="s">
        <v>279</v>
      </c>
      <c r="C146" s="88" t="s">
        <v>280</v>
      </c>
      <c r="D146" s="89" t="s">
        <v>79</v>
      </c>
      <c r="E146" s="90">
        <f>E144-E145-E150</f>
        <v>25418.329999999998</v>
      </c>
      <c r="F146" s="90">
        <v>25418.33</v>
      </c>
      <c r="G146" s="91"/>
      <c r="H146" s="91"/>
      <c r="I146" s="91"/>
      <c r="J146" s="79">
        <f>SUM(H146:I146)+'BM 011'!J146</f>
        <v>0</v>
      </c>
      <c r="K146" s="91">
        <f t="shared" si="41"/>
        <v>25418.33</v>
      </c>
      <c r="L146" s="84">
        <v>33.65</v>
      </c>
      <c r="M146" s="81">
        <v>42.654743701500003</v>
      </c>
      <c r="N146" s="82">
        <f t="shared" si="77"/>
        <v>0</v>
      </c>
      <c r="O146" s="82">
        <f t="shared" si="78"/>
        <v>0</v>
      </c>
      <c r="P146" s="82">
        <f>O146+'BM 011'!P146</f>
        <v>0</v>
      </c>
      <c r="Q146" s="80">
        <f t="shared" si="79"/>
        <v>855326.80449999985</v>
      </c>
      <c r="R146" s="82">
        <f t="shared" si="80"/>
        <v>1084212.3500000001</v>
      </c>
      <c r="S146" s="82">
        <f t="shared" si="81"/>
        <v>1084212.3500000001</v>
      </c>
      <c r="T146" s="82">
        <f t="shared" si="82"/>
        <v>1084212.3500000001</v>
      </c>
    </row>
    <row r="147" spans="2:20" s="34" customFormat="1" ht="23.4">
      <c r="B147" s="87" t="s">
        <v>281</v>
      </c>
      <c r="C147" s="88" t="s">
        <v>282</v>
      </c>
      <c r="D147" s="89" t="s">
        <v>79</v>
      </c>
      <c r="E147" s="90">
        <v>1328.83</v>
      </c>
      <c r="F147" s="90">
        <v>1328.83</v>
      </c>
      <c r="G147" s="91"/>
      <c r="H147" s="91"/>
      <c r="I147" s="91"/>
      <c r="J147" s="79">
        <f>SUM(H147:I147)+'BM 011'!J147</f>
        <v>0</v>
      </c>
      <c r="K147" s="91">
        <f t="shared" si="41"/>
        <v>1328.83</v>
      </c>
      <c r="L147" s="84">
        <v>162.54</v>
      </c>
      <c r="M147" s="81">
        <v>206.0357218794</v>
      </c>
      <c r="N147" s="82">
        <f t="shared" si="77"/>
        <v>0</v>
      </c>
      <c r="O147" s="82">
        <f t="shared" si="78"/>
        <v>0</v>
      </c>
      <c r="P147" s="82">
        <f>O147+'BM 011'!P147</f>
        <v>0</v>
      </c>
      <c r="Q147" s="80">
        <f t="shared" si="79"/>
        <v>215988.02819999997</v>
      </c>
      <c r="R147" s="82">
        <f t="shared" si="80"/>
        <v>273786.44</v>
      </c>
      <c r="S147" s="82">
        <f t="shared" si="81"/>
        <v>273786.44</v>
      </c>
      <c r="T147" s="82">
        <f t="shared" si="82"/>
        <v>273786.44</v>
      </c>
    </row>
    <row r="148" spans="2:20" s="34" customFormat="1" ht="46.2">
      <c r="B148" s="87" t="s">
        <v>283</v>
      </c>
      <c r="C148" s="88" t="s">
        <v>284</v>
      </c>
      <c r="D148" s="89" t="s">
        <v>79</v>
      </c>
      <c r="E148" s="92">
        <v>392.83</v>
      </c>
      <c r="F148" s="92">
        <v>392.83</v>
      </c>
      <c r="G148" s="91"/>
      <c r="H148" s="91"/>
      <c r="I148" s="91"/>
      <c r="J148" s="79">
        <f>SUM(H148:I148)+'BM 011'!J148</f>
        <v>0</v>
      </c>
      <c r="K148" s="91">
        <f t="shared" si="41"/>
        <v>392.83</v>
      </c>
      <c r="L148" s="84">
        <v>148</v>
      </c>
      <c r="M148" s="81">
        <v>187.60481627999999</v>
      </c>
      <c r="N148" s="82">
        <f t="shared" si="77"/>
        <v>0</v>
      </c>
      <c r="O148" s="82">
        <f t="shared" si="78"/>
        <v>0</v>
      </c>
      <c r="P148" s="82">
        <f>O148+'BM 011'!P148</f>
        <v>0</v>
      </c>
      <c r="Q148" s="80">
        <f t="shared" si="79"/>
        <v>58138.84</v>
      </c>
      <c r="R148" s="82">
        <f t="shared" si="80"/>
        <v>73696.789999999994</v>
      </c>
      <c r="S148" s="82">
        <f t="shared" si="81"/>
        <v>73696.789999999994</v>
      </c>
      <c r="T148" s="82">
        <f t="shared" si="82"/>
        <v>73696.789999999994</v>
      </c>
    </row>
    <row r="149" spans="2:20" s="34" customFormat="1" ht="13.2">
      <c r="B149" s="87" t="s">
        <v>285</v>
      </c>
      <c r="C149" s="88" t="s">
        <v>286</v>
      </c>
      <c r="D149" s="89" t="s">
        <v>79</v>
      </c>
      <c r="E149" s="92">
        <v>70</v>
      </c>
      <c r="F149" s="92">
        <v>70</v>
      </c>
      <c r="G149" s="91"/>
      <c r="H149" s="91"/>
      <c r="I149" s="91"/>
      <c r="J149" s="79">
        <f>SUM(H149:I149)+'BM 011'!J149</f>
        <v>0</v>
      </c>
      <c r="K149" s="91">
        <f t="shared" si="41"/>
        <v>70</v>
      </c>
      <c r="L149" s="84">
        <v>740</v>
      </c>
      <c r="M149" s="81">
        <v>938.0240814</v>
      </c>
      <c r="N149" s="82">
        <f t="shared" si="77"/>
        <v>0</v>
      </c>
      <c r="O149" s="82">
        <f t="shared" si="78"/>
        <v>0</v>
      </c>
      <c r="P149" s="82">
        <f>O149+'BM 011'!P149</f>
        <v>0</v>
      </c>
      <c r="Q149" s="80">
        <f t="shared" si="79"/>
        <v>51800</v>
      </c>
      <c r="R149" s="82">
        <f t="shared" si="80"/>
        <v>65661.679999999993</v>
      </c>
      <c r="S149" s="82">
        <f t="shared" si="81"/>
        <v>65661.679999999993</v>
      </c>
      <c r="T149" s="82">
        <f t="shared" si="82"/>
        <v>65661.679999999993</v>
      </c>
    </row>
    <row r="150" spans="2:20" s="34" customFormat="1" ht="13.2">
      <c r="B150" s="87" t="s">
        <v>287</v>
      </c>
      <c r="C150" s="88" t="s">
        <v>288</v>
      </c>
      <c r="D150" s="89" t="s">
        <v>79</v>
      </c>
      <c r="E150" s="90">
        <v>131.63</v>
      </c>
      <c r="F150" s="90">
        <v>131.63</v>
      </c>
      <c r="G150" s="91"/>
      <c r="H150" s="91"/>
      <c r="I150" s="91"/>
      <c r="J150" s="79">
        <f>SUM(H150:I150)+'BM 011'!J150</f>
        <v>0</v>
      </c>
      <c r="K150" s="91">
        <f t="shared" si="41"/>
        <v>131.63</v>
      </c>
      <c r="L150" s="80">
        <v>250</v>
      </c>
      <c r="M150" s="81">
        <v>316.90002750000002</v>
      </c>
      <c r="N150" s="82">
        <f t="shared" si="77"/>
        <v>0</v>
      </c>
      <c r="O150" s="82">
        <f t="shared" si="78"/>
        <v>0</v>
      </c>
      <c r="P150" s="82">
        <f>O150+'BM 011'!P150</f>
        <v>0</v>
      </c>
      <c r="Q150" s="80">
        <f t="shared" si="79"/>
        <v>32907.5</v>
      </c>
      <c r="R150" s="82">
        <f t="shared" si="80"/>
        <v>41713.550000000003</v>
      </c>
      <c r="S150" s="82">
        <f t="shared" si="81"/>
        <v>41713.550000000003</v>
      </c>
      <c r="T150" s="82">
        <f t="shared" si="82"/>
        <v>41713.550000000003</v>
      </c>
    </row>
    <row r="151" spans="2:20" s="34" customFormat="1" ht="13.2">
      <c r="B151" s="66" t="s">
        <v>289</v>
      </c>
      <c r="C151" s="67" t="s">
        <v>290</v>
      </c>
      <c r="D151" s="68"/>
      <c r="E151" s="69"/>
      <c r="F151" s="69"/>
      <c r="G151" s="70"/>
      <c r="H151" s="70"/>
      <c r="I151" s="70"/>
      <c r="J151" s="70">
        <f>SUM(H151:I151)+'BM 011'!J151</f>
        <v>0</v>
      </c>
      <c r="K151" s="70">
        <f t="shared" si="41"/>
        <v>0</v>
      </c>
      <c r="L151" s="71"/>
      <c r="M151" s="71">
        <v>0</v>
      </c>
      <c r="N151" s="73">
        <f t="shared" ref="N151:T151" si="83">SUM(N152:N157)</f>
        <v>0</v>
      </c>
      <c r="O151" s="73">
        <f t="shared" si="83"/>
        <v>0</v>
      </c>
      <c r="P151" s="73">
        <f t="shared" si="83"/>
        <v>0</v>
      </c>
      <c r="Q151" s="73">
        <f t="shared" si="83"/>
        <v>1088700.21</v>
      </c>
      <c r="R151" s="73">
        <f t="shared" si="83"/>
        <v>1380036.47</v>
      </c>
      <c r="S151" s="73">
        <f t="shared" si="83"/>
        <v>1380036.47</v>
      </c>
      <c r="T151" s="73">
        <f t="shared" si="83"/>
        <v>1380036.47</v>
      </c>
    </row>
    <row r="152" spans="2:20" s="34" customFormat="1" ht="57.6">
      <c r="B152" s="87" t="s">
        <v>291</v>
      </c>
      <c r="C152" s="88" t="s">
        <v>292</v>
      </c>
      <c r="D152" s="89" t="s">
        <v>79</v>
      </c>
      <c r="E152" s="90">
        <f>E154+E155+E156+E157</f>
        <v>4191.6100000000006</v>
      </c>
      <c r="F152" s="90">
        <v>4191.6099999999997</v>
      </c>
      <c r="G152" s="91"/>
      <c r="H152" s="91"/>
      <c r="I152" s="91"/>
      <c r="J152" s="79">
        <f>SUM(H152:I152)+'BM 011'!J152</f>
        <v>0</v>
      </c>
      <c r="K152" s="91">
        <f t="shared" si="41"/>
        <v>4191.6099999999997</v>
      </c>
      <c r="L152" s="84">
        <v>12</v>
      </c>
      <c r="M152" s="81">
        <v>15.211201320000001</v>
      </c>
      <c r="N152" s="82">
        <f t="shared" ref="N152:N157" si="84">TRUNC(G152*M152,2)</f>
        <v>0</v>
      </c>
      <c r="O152" s="82">
        <f t="shared" ref="O152:O157" si="85">TRUNC(H152*M152,2)</f>
        <v>0</v>
      </c>
      <c r="P152" s="82">
        <f>O152+'BM 011'!P152</f>
        <v>0</v>
      </c>
      <c r="Q152" s="80">
        <f t="shared" ref="Q152:Q157" si="86">E152*L152</f>
        <v>50299.320000000007</v>
      </c>
      <c r="R152" s="82">
        <f t="shared" ref="R152:R157" si="87">TRUNC(E152*M152,2)</f>
        <v>63759.42</v>
      </c>
      <c r="S152" s="82">
        <f t="shared" ref="S152:S157" si="88">TRUNC(F152*$M152,2)</f>
        <v>63759.42</v>
      </c>
      <c r="T152" s="82">
        <f t="shared" ref="T152:T157" si="89">S152-P152</f>
        <v>63759.42</v>
      </c>
    </row>
    <row r="153" spans="2:20" s="34" customFormat="1" ht="69">
      <c r="B153" s="87" t="s">
        <v>293</v>
      </c>
      <c r="C153" s="88" t="s">
        <v>294</v>
      </c>
      <c r="D153" s="89" t="s">
        <v>79</v>
      </c>
      <c r="E153" s="90">
        <f>E152</f>
        <v>4191.6100000000006</v>
      </c>
      <c r="F153" s="90">
        <v>4191.6099999999997</v>
      </c>
      <c r="G153" s="91"/>
      <c r="H153" s="91"/>
      <c r="I153" s="91"/>
      <c r="J153" s="79">
        <f>SUM(H153:I153)+'BM 011'!J153</f>
        <v>0</v>
      </c>
      <c r="K153" s="91">
        <f t="shared" si="41"/>
        <v>4191.6099999999997</v>
      </c>
      <c r="L153" s="84">
        <v>62</v>
      </c>
      <c r="M153" s="81">
        <v>78.591206819999996</v>
      </c>
      <c r="N153" s="82">
        <f t="shared" si="84"/>
        <v>0</v>
      </c>
      <c r="O153" s="82">
        <f t="shared" si="85"/>
        <v>0</v>
      </c>
      <c r="P153" s="82">
        <f>O153+'BM 011'!P153</f>
        <v>0</v>
      </c>
      <c r="Q153" s="80">
        <f t="shared" si="86"/>
        <v>259879.82000000004</v>
      </c>
      <c r="R153" s="82">
        <f t="shared" si="87"/>
        <v>329423.68</v>
      </c>
      <c r="S153" s="82">
        <f t="shared" si="88"/>
        <v>329423.68</v>
      </c>
      <c r="T153" s="82">
        <f t="shared" si="89"/>
        <v>329423.68</v>
      </c>
    </row>
    <row r="154" spans="2:20" s="34" customFormat="1" ht="23.4">
      <c r="B154" s="87" t="s">
        <v>295</v>
      </c>
      <c r="C154" s="88" t="s">
        <v>296</v>
      </c>
      <c r="D154" s="89" t="s">
        <v>79</v>
      </c>
      <c r="E154" s="90">
        <v>120.2</v>
      </c>
      <c r="F154" s="90">
        <v>120.2</v>
      </c>
      <c r="G154" s="91"/>
      <c r="H154" s="91"/>
      <c r="I154" s="91"/>
      <c r="J154" s="79">
        <f>SUM(H154:I154)+'BM 011'!J154</f>
        <v>0</v>
      </c>
      <c r="K154" s="91">
        <f t="shared" si="41"/>
        <v>120.2</v>
      </c>
      <c r="L154" s="84">
        <v>178</v>
      </c>
      <c r="M154" s="81">
        <v>225.63281957999999</v>
      </c>
      <c r="N154" s="82">
        <f t="shared" si="84"/>
        <v>0</v>
      </c>
      <c r="O154" s="82">
        <f t="shared" si="85"/>
        <v>0</v>
      </c>
      <c r="P154" s="82">
        <f>O154+'BM 011'!P154</f>
        <v>0</v>
      </c>
      <c r="Q154" s="80">
        <f t="shared" si="86"/>
        <v>21395.600000000002</v>
      </c>
      <c r="R154" s="82">
        <f t="shared" si="87"/>
        <v>27121.06</v>
      </c>
      <c r="S154" s="82">
        <f t="shared" si="88"/>
        <v>27121.06</v>
      </c>
      <c r="T154" s="82">
        <f t="shared" si="89"/>
        <v>27121.06</v>
      </c>
    </row>
    <row r="155" spans="2:20" s="34" customFormat="1" ht="23.4">
      <c r="B155" s="87" t="s">
        <v>297</v>
      </c>
      <c r="C155" s="88" t="s">
        <v>298</v>
      </c>
      <c r="D155" s="89" t="s">
        <v>79</v>
      </c>
      <c r="E155" s="90">
        <v>52.6</v>
      </c>
      <c r="F155" s="90">
        <v>52.6</v>
      </c>
      <c r="G155" s="91"/>
      <c r="H155" s="91"/>
      <c r="I155" s="91"/>
      <c r="J155" s="79">
        <f>SUM(H155:I155)+'BM 011'!J155</f>
        <v>0</v>
      </c>
      <c r="K155" s="91">
        <f t="shared" si="41"/>
        <v>52.6</v>
      </c>
      <c r="L155" s="84">
        <v>182</v>
      </c>
      <c r="M155" s="81">
        <v>230.70322002</v>
      </c>
      <c r="N155" s="82">
        <f t="shared" si="84"/>
        <v>0</v>
      </c>
      <c r="O155" s="82">
        <f t="shared" si="85"/>
        <v>0</v>
      </c>
      <c r="P155" s="82">
        <f>O155+'BM 011'!P155</f>
        <v>0</v>
      </c>
      <c r="Q155" s="80">
        <f t="shared" si="86"/>
        <v>9573.2000000000007</v>
      </c>
      <c r="R155" s="82">
        <f t="shared" si="87"/>
        <v>12134.98</v>
      </c>
      <c r="S155" s="82">
        <f t="shared" si="88"/>
        <v>12134.98</v>
      </c>
      <c r="T155" s="82">
        <f t="shared" si="89"/>
        <v>12134.98</v>
      </c>
    </row>
    <row r="156" spans="2:20" s="34" customFormat="1" ht="23.4">
      <c r="B156" s="87" t="s">
        <v>299</v>
      </c>
      <c r="C156" s="88" t="s">
        <v>300</v>
      </c>
      <c r="D156" s="89" t="s">
        <v>79</v>
      </c>
      <c r="E156" s="90">
        <v>2811.38</v>
      </c>
      <c r="F156" s="90">
        <v>2811.38</v>
      </c>
      <c r="G156" s="91"/>
      <c r="H156" s="91"/>
      <c r="I156" s="91"/>
      <c r="J156" s="79">
        <f>SUM(H156:I156)+'BM 011'!J156</f>
        <v>0</v>
      </c>
      <c r="K156" s="91">
        <f t="shared" si="41"/>
        <v>2811.38</v>
      </c>
      <c r="L156" s="84">
        <v>177</v>
      </c>
      <c r="M156" s="81">
        <v>224.36521947</v>
      </c>
      <c r="N156" s="82">
        <f t="shared" si="84"/>
        <v>0</v>
      </c>
      <c r="O156" s="82">
        <f t="shared" si="85"/>
        <v>0</v>
      </c>
      <c r="P156" s="82">
        <f>O156+'BM 011'!P156</f>
        <v>0</v>
      </c>
      <c r="Q156" s="80">
        <f t="shared" si="86"/>
        <v>497614.26</v>
      </c>
      <c r="R156" s="82">
        <f t="shared" si="87"/>
        <v>630775.89</v>
      </c>
      <c r="S156" s="82">
        <f t="shared" si="88"/>
        <v>630775.89</v>
      </c>
      <c r="T156" s="82">
        <f t="shared" si="89"/>
        <v>630775.89</v>
      </c>
    </row>
    <row r="157" spans="2:20" s="34" customFormat="1" ht="23.4">
      <c r="B157" s="87" t="s">
        <v>301</v>
      </c>
      <c r="C157" s="88" t="s">
        <v>302</v>
      </c>
      <c r="D157" s="89" t="s">
        <v>79</v>
      </c>
      <c r="E157" s="90">
        <v>1207.43</v>
      </c>
      <c r="F157" s="90">
        <v>1207.43</v>
      </c>
      <c r="G157" s="91"/>
      <c r="H157" s="91"/>
      <c r="I157" s="91"/>
      <c r="J157" s="79">
        <f>SUM(H157:I157)+'BM 011'!J157</f>
        <v>0</v>
      </c>
      <c r="K157" s="91">
        <f t="shared" si="41"/>
        <v>1207.43</v>
      </c>
      <c r="L157" s="84">
        <v>207</v>
      </c>
      <c r="M157" s="81">
        <v>262.39322277000002</v>
      </c>
      <c r="N157" s="82">
        <f t="shared" si="84"/>
        <v>0</v>
      </c>
      <c r="O157" s="82">
        <f t="shared" si="85"/>
        <v>0</v>
      </c>
      <c r="P157" s="82">
        <f>O157+'BM 011'!P157</f>
        <v>0</v>
      </c>
      <c r="Q157" s="80">
        <f t="shared" si="86"/>
        <v>249938.01</v>
      </c>
      <c r="R157" s="82">
        <f t="shared" si="87"/>
        <v>316821.44</v>
      </c>
      <c r="S157" s="82">
        <f t="shared" si="88"/>
        <v>316821.44</v>
      </c>
      <c r="T157" s="82">
        <f t="shared" si="89"/>
        <v>316821.44</v>
      </c>
    </row>
    <row r="158" spans="2:20" s="34" customFormat="1" ht="13.2">
      <c r="B158" s="60" t="s">
        <v>303</v>
      </c>
      <c r="C158" s="61" t="s">
        <v>304</v>
      </c>
      <c r="D158" s="60"/>
      <c r="E158" s="62"/>
      <c r="F158" s="284"/>
      <c r="G158" s="63"/>
      <c r="H158" s="63"/>
      <c r="I158" s="63"/>
      <c r="J158" s="63">
        <f>SUM(H158:I158)+'BM 011'!J158</f>
        <v>0</v>
      </c>
      <c r="K158" s="63">
        <f t="shared" ref="K158:K221" si="90">F158-J158</f>
        <v>0</v>
      </c>
      <c r="L158" s="63"/>
      <c r="M158" s="63">
        <v>0</v>
      </c>
      <c r="N158" s="63">
        <f t="shared" ref="N158:T158" si="91">SUM(N159,N168)</f>
        <v>0</v>
      </c>
      <c r="O158" s="63">
        <f t="shared" si="91"/>
        <v>0</v>
      </c>
      <c r="P158" s="63">
        <f t="shared" si="91"/>
        <v>0</v>
      </c>
      <c r="Q158" s="63">
        <f t="shared" si="91"/>
        <v>800757.83000000007</v>
      </c>
      <c r="R158" s="63">
        <f t="shared" si="91"/>
        <v>1015040.66</v>
      </c>
      <c r="S158" s="63">
        <f t="shared" si="91"/>
        <v>1015040.66</v>
      </c>
      <c r="T158" s="63">
        <f t="shared" si="91"/>
        <v>1015040.66</v>
      </c>
    </row>
    <row r="159" spans="2:20" s="34" customFormat="1" ht="13.2">
      <c r="B159" s="66" t="s">
        <v>305</v>
      </c>
      <c r="C159" s="67" t="s">
        <v>306</v>
      </c>
      <c r="D159" s="68"/>
      <c r="E159" s="69"/>
      <c r="F159" s="69"/>
      <c r="G159" s="70"/>
      <c r="H159" s="70"/>
      <c r="I159" s="70"/>
      <c r="J159" s="70">
        <f>SUM(H159:I159)+'BM 011'!J159</f>
        <v>0</v>
      </c>
      <c r="K159" s="70">
        <f t="shared" si="90"/>
        <v>0</v>
      </c>
      <c r="L159" s="71"/>
      <c r="M159" s="71">
        <v>0</v>
      </c>
      <c r="N159" s="73">
        <f t="shared" ref="N159:T159" si="92">SUM(N160:N167)</f>
        <v>0</v>
      </c>
      <c r="O159" s="73">
        <f t="shared" si="92"/>
        <v>0</v>
      </c>
      <c r="P159" s="73">
        <f t="shared" si="92"/>
        <v>0</v>
      </c>
      <c r="Q159" s="73">
        <f t="shared" si="92"/>
        <v>737633.33000000007</v>
      </c>
      <c r="R159" s="73">
        <f t="shared" si="92"/>
        <v>935024.05</v>
      </c>
      <c r="S159" s="73">
        <f t="shared" si="92"/>
        <v>935024.05</v>
      </c>
      <c r="T159" s="73">
        <f t="shared" si="92"/>
        <v>935024.05</v>
      </c>
    </row>
    <row r="160" spans="2:20" s="34" customFormat="1" ht="57.6">
      <c r="B160" s="87" t="s">
        <v>307</v>
      </c>
      <c r="C160" s="88" t="s">
        <v>308</v>
      </c>
      <c r="D160" s="89" t="s">
        <v>79</v>
      </c>
      <c r="E160" s="103">
        <v>7166.75</v>
      </c>
      <c r="F160" s="90">
        <v>7166.75</v>
      </c>
      <c r="G160" s="84"/>
      <c r="H160" s="84"/>
      <c r="I160" s="84"/>
      <c r="J160" s="79">
        <f>SUM(H160:I160)+'BM 011'!J160</f>
        <v>0</v>
      </c>
      <c r="K160" s="84">
        <f t="shared" si="90"/>
        <v>7166.75</v>
      </c>
      <c r="L160" s="84">
        <v>42.2</v>
      </c>
      <c r="M160" s="81">
        <v>53.492724641999999</v>
      </c>
      <c r="N160" s="82">
        <f t="shared" ref="N160:N167" si="93">TRUNC(G160*M160,2)</f>
        <v>0</v>
      </c>
      <c r="O160" s="82">
        <f t="shared" ref="O160:O167" si="94">TRUNC(H160*M160,2)</f>
        <v>0</v>
      </c>
      <c r="P160" s="82">
        <f>O160+'BM 011'!P160</f>
        <v>0</v>
      </c>
      <c r="Q160" s="80">
        <f t="shared" ref="Q160:Q167" si="95">E160*L160</f>
        <v>302436.85000000003</v>
      </c>
      <c r="R160" s="82">
        <f t="shared" ref="R160:R167" si="96">TRUNC(E160*M160,2)</f>
        <v>383368.98</v>
      </c>
      <c r="S160" s="82">
        <f t="shared" ref="S160:S167" si="97">TRUNC(F160*$M160,2)</f>
        <v>383368.98</v>
      </c>
      <c r="T160" s="82">
        <f t="shared" ref="T160:T167" si="98">S160-P160</f>
        <v>383368.98</v>
      </c>
    </row>
    <row r="161" spans="2:20" s="34" customFormat="1" ht="46.2">
      <c r="B161" s="87" t="s">
        <v>309</v>
      </c>
      <c r="C161" s="88" t="s">
        <v>310</v>
      </c>
      <c r="D161" s="89" t="s">
        <v>79</v>
      </c>
      <c r="E161" s="104">
        <v>520.1</v>
      </c>
      <c r="F161" s="296">
        <v>520.1</v>
      </c>
      <c r="G161" s="80"/>
      <c r="H161" s="80"/>
      <c r="I161" s="80"/>
      <c r="J161" s="79">
        <f>SUM(H161:I161)+'BM 011'!J161</f>
        <v>0</v>
      </c>
      <c r="K161" s="80">
        <f t="shared" si="90"/>
        <v>520.1</v>
      </c>
      <c r="L161" s="105">
        <v>35.200000000000003</v>
      </c>
      <c r="M161" s="81">
        <v>44.619523872000002</v>
      </c>
      <c r="N161" s="82">
        <f t="shared" si="93"/>
        <v>0</v>
      </c>
      <c r="O161" s="82">
        <f t="shared" si="94"/>
        <v>0</v>
      </c>
      <c r="P161" s="82">
        <f>O161+'BM 011'!P161</f>
        <v>0</v>
      </c>
      <c r="Q161" s="80">
        <f t="shared" si="95"/>
        <v>18307.520000000004</v>
      </c>
      <c r="R161" s="82">
        <f t="shared" si="96"/>
        <v>23206.61</v>
      </c>
      <c r="S161" s="82">
        <f t="shared" si="97"/>
        <v>23206.61</v>
      </c>
      <c r="T161" s="82">
        <f t="shared" si="98"/>
        <v>23206.61</v>
      </c>
    </row>
    <row r="162" spans="2:20" s="34" customFormat="1" ht="34.799999999999997">
      <c r="B162" s="87" t="s">
        <v>311</v>
      </c>
      <c r="C162" s="88" t="s">
        <v>312</v>
      </c>
      <c r="D162" s="89" t="s">
        <v>79</v>
      </c>
      <c r="E162" s="103">
        <v>1225.0999999999999</v>
      </c>
      <c r="F162" s="90">
        <v>1225.0999999999999</v>
      </c>
      <c r="G162" s="84"/>
      <c r="H162" s="84"/>
      <c r="I162" s="84"/>
      <c r="J162" s="79">
        <f>SUM(H162:I162)+'BM 011'!J162</f>
        <v>0</v>
      </c>
      <c r="K162" s="84">
        <f t="shared" si="90"/>
        <v>1225.0999999999999</v>
      </c>
      <c r="L162" s="105">
        <v>60</v>
      </c>
      <c r="M162" s="81">
        <v>76.056006600000003</v>
      </c>
      <c r="N162" s="82">
        <f t="shared" si="93"/>
        <v>0</v>
      </c>
      <c r="O162" s="82">
        <f t="shared" si="94"/>
        <v>0</v>
      </c>
      <c r="P162" s="82">
        <f>O162+'BM 011'!P162</f>
        <v>0</v>
      </c>
      <c r="Q162" s="80">
        <f t="shared" si="95"/>
        <v>73506</v>
      </c>
      <c r="R162" s="82">
        <f t="shared" si="96"/>
        <v>93176.21</v>
      </c>
      <c r="S162" s="82">
        <f t="shared" si="97"/>
        <v>93176.21</v>
      </c>
      <c r="T162" s="82">
        <f t="shared" si="98"/>
        <v>93176.21</v>
      </c>
    </row>
    <row r="163" spans="2:20" s="34" customFormat="1" ht="46.2">
      <c r="B163" s="87" t="s">
        <v>313</v>
      </c>
      <c r="C163" s="88" t="s">
        <v>284</v>
      </c>
      <c r="D163" s="89" t="s">
        <v>79</v>
      </c>
      <c r="E163" s="106">
        <v>937</v>
      </c>
      <c r="F163" s="92">
        <v>937</v>
      </c>
      <c r="G163" s="84"/>
      <c r="H163" s="84"/>
      <c r="I163" s="84"/>
      <c r="J163" s="79">
        <f>SUM(H163:I163)+'BM 011'!J163</f>
        <v>0</v>
      </c>
      <c r="K163" s="84">
        <f t="shared" si="90"/>
        <v>937</v>
      </c>
      <c r="L163" s="105">
        <v>158</v>
      </c>
      <c r="M163" s="81">
        <v>200.28081738</v>
      </c>
      <c r="N163" s="82">
        <f t="shared" si="93"/>
        <v>0</v>
      </c>
      <c r="O163" s="82">
        <f t="shared" si="94"/>
        <v>0</v>
      </c>
      <c r="P163" s="82">
        <f>O163+'BM 011'!P163</f>
        <v>0</v>
      </c>
      <c r="Q163" s="80">
        <f t="shared" si="95"/>
        <v>148046</v>
      </c>
      <c r="R163" s="82">
        <f t="shared" si="96"/>
        <v>187663.12</v>
      </c>
      <c r="S163" s="82">
        <f t="shared" si="97"/>
        <v>187663.12</v>
      </c>
      <c r="T163" s="82">
        <f t="shared" si="98"/>
        <v>187663.12</v>
      </c>
    </row>
    <row r="164" spans="2:20" s="34" customFormat="1" ht="46.2">
      <c r="B164" s="87" t="s">
        <v>314</v>
      </c>
      <c r="C164" s="88" t="s">
        <v>315</v>
      </c>
      <c r="D164" s="89" t="s">
        <v>79</v>
      </c>
      <c r="E164" s="106">
        <v>720.69</v>
      </c>
      <c r="F164" s="92">
        <v>720.69</v>
      </c>
      <c r="G164" s="84"/>
      <c r="H164" s="84"/>
      <c r="I164" s="84"/>
      <c r="J164" s="79">
        <f>SUM(H164:I164)+'BM 011'!J164</f>
        <v>0</v>
      </c>
      <c r="K164" s="84">
        <f t="shared" si="90"/>
        <v>720.69</v>
      </c>
      <c r="L164" s="84">
        <v>185</v>
      </c>
      <c r="M164" s="81">
        <v>234.50602035</v>
      </c>
      <c r="N164" s="82">
        <f t="shared" si="93"/>
        <v>0</v>
      </c>
      <c r="O164" s="82">
        <f t="shared" si="94"/>
        <v>0</v>
      </c>
      <c r="P164" s="82">
        <f>O164+'BM 011'!P164</f>
        <v>0</v>
      </c>
      <c r="Q164" s="80">
        <f t="shared" si="95"/>
        <v>133327.65000000002</v>
      </c>
      <c r="R164" s="82">
        <f t="shared" si="96"/>
        <v>169006.14</v>
      </c>
      <c r="S164" s="82">
        <f t="shared" si="97"/>
        <v>169006.14</v>
      </c>
      <c r="T164" s="82">
        <f t="shared" si="98"/>
        <v>169006.14</v>
      </c>
    </row>
    <row r="165" spans="2:20" s="34" customFormat="1" ht="23.4">
      <c r="B165" s="87" t="s">
        <v>316</v>
      </c>
      <c r="C165" s="88" t="s">
        <v>317</v>
      </c>
      <c r="D165" s="89" t="s">
        <v>79</v>
      </c>
      <c r="E165" s="103">
        <v>50.69</v>
      </c>
      <c r="F165" s="90">
        <v>50.69</v>
      </c>
      <c r="G165" s="84"/>
      <c r="H165" s="84"/>
      <c r="I165" s="84"/>
      <c r="J165" s="79">
        <f>SUM(H165:I165)+'BM 011'!J165</f>
        <v>0</v>
      </c>
      <c r="K165" s="84">
        <f t="shared" si="90"/>
        <v>50.69</v>
      </c>
      <c r="L165" s="84">
        <v>765</v>
      </c>
      <c r="M165" s="81">
        <v>969.71408414999996</v>
      </c>
      <c r="N165" s="82">
        <f t="shared" si="93"/>
        <v>0</v>
      </c>
      <c r="O165" s="82">
        <f t="shared" si="94"/>
        <v>0</v>
      </c>
      <c r="P165" s="82">
        <f>O165+'BM 011'!P165</f>
        <v>0</v>
      </c>
      <c r="Q165" s="80">
        <f t="shared" si="95"/>
        <v>38777.85</v>
      </c>
      <c r="R165" s="82">
        <f t="shared" si="96"/>
        <v>49154.8</v>
      </c>
      <c r="S165" s="82">
        <f t="shared" si="97"/>
        <v>49154.8</v>
      </c>
      <c r="T165" s="82">
        <f t="shared" si="98"/>
        <v>49154.8</v>
      </c>
    </row>
    <row r="166" spans="2:20" s="34" customFormat="1" ht="23.4">
      <c r="B166" s="87" t="s">
        <v>318</v>
      </c>
      <c r="C166" s="88" t="s">
        <v>319</v>
      </c>
      <c r="D166" s="89" t="s">
        <v>124</v>
      </c>
      <c r="E166" s="106">
        <v>36</v>
      </c>
      <c r="F166" s="92">
        <v>36</v>
      </c>
      <c r="G166" s="84"/>
      <c r="H166" s="84"/>
      <c r="I166" s="84"/>
      <c r="J166" s="79">
        <f>SUM(H166:I166)+'BM 011'!J166</f>
        <v>0</v>
      </c>
      <c r="K166" s="84">
        <f t="shared" si="90"/>
        <v>36</v>
      </c>
      <c r="L166" s="84">
        <v>134</v>
      </c>
      <c r="M166" s="81">
        <v>169.85841474</v>
      </c>
      <c r="N166" s="82">
        <f t="shared" si="93"/>
        <v>0</v>
      </c>
      <c r="O166" s="82">
        <f t="shared" si="94"/>
        <v>0</v>
      </c>
      <c r="P166" s="82">
        <f>O166+'BM 011'!P166</f>
        <v>0</v>
      </c>
      <c r="Q166" s="80">
        <f t="shared" si="95"/>
        <v>4824</v>
      </c>
      <c r="R166" s="82">
        <f t="shared" si="96"/>
        <v>6114.9</v>
      </c>
      <c r="S166" s="82">
        <f t="shared" si="97"/>
        <v>6114.9</v>
      </c>
      <c r="T166" s="82">
        <f t="shared" si="98"/>
        <v>6114.9</v>
      </c>
    </row>
    <row r="167" spans="2:20" s="34" customFormat="1" ht="13.2">
      <c r="B167" s="87" t="s">
        <v>320</v>
      </c>
      <c r="C167" s="88" t="s">
        <v>321</v>
      </c>
      <c r="D167" s="89" t="s">
        <v>124</v>
      </c>
      <c r="E167" s="106">
        <v>123.54</v>
      </c>
      <c r="F167" s="92">
        <v>123.54</v>
      </c>
      <c r="G167" s="84"/>
      <c r="H167" s="84"/>
      <c r="I167" s="84"/>
      <c r="J167" s="79">
        <f>SUM(H167:I167)+'BM 011'!J167</f>
        <v>0</v>
      </c>
      <c r="K167" s="84">
        <f t="shared" si="90"/>
        <v>123.54</v>
      </c>
      <c r="L167" s="84">
        <v>149</v>
      </c>
      <c r="M167" s="81">
        <v>188.87241639000001</v>
      </c>
      <c r="N167" s="82">
        <f t="shared" si="93"/>
        <v>0</v>
      </c>
      <c r="O167" s="82">
        <f t="shared" si="94"/>
        <v>0</v>
      </c>
      <c r="P167" s="82">
        <f>O167+'BM 011'!P167</f>
        <v>0</v>
      </c>
      <c r="Q167" s="80">
        <f t="shared" si="95"/>
        <v>18407.46</v>
      </c>
      <c r="R167" s="82">
        <f t="shared" si="96"/>
        <v>23333.29</v>
      </c>
      <c r="S167" s="82">
        <f t="shared" si="97"/>
        <v>23333.29</v>
      </c>
      <c r="T167" s="82">
        <f t="shared" si="98"/>
        <v>23333.29</v>
      </c>
    </row>
    <row r="168" spans="2:20" s="34" customFormat="1" ht="13.2">
      <c r="B168" s="66" t="s">
        <v>322</v>
      </c>
      <c r="C168" s="67" t="s">
        <v>323</v>
      </c>
      <c r="D168" s="68"/>
      <c r="E168" s="69"/>
      <c r="F168" s="69"/>
      <c r="G168" s="70"/>
      <c r="H168" s="70"/>
      <c r="I168" s="70"/>
      <c r="J168" s="70">
        <f>SUM(H168:I168)+'BM 011'!J168</f>
        <v>0</v>
      </c>
      <c r="K168" s="70">
        <f t="shared" si="90"/>
        <v>0</v>
      </c>
      <c r="L168" s="71"/>
      <c r="M168" s="71">
        <v>0</v>
      </c>
      <c r="N168" s="73">
        <f t="shared" ref="N168:T168" si="99">SUM(N169:N172)</f>
        <v>0</v>
      </c>
      <c r="O168" s="73">
        <f t="shared" si="99"/>
        <v>0</v>
      </c>
      <c r="P168" s="73">
        <f t="shared" si="99"/>
        <v>0</v>
      </c>
      <c r="Q168" s="73">
        <f t="shared" si="99"/>
        <v>63124.5</v>
      </c>
      <c r="R168" s="73">
        <f t="shared" si="99"/>
        <v>80016.61</v>
      </c>
      <c r="S168" s="73">
        <f t="shared" si="99"/>
        <v>80016.61</v>
      </c>
      <c r="T168" s="73">
        <f t="shared" si="99"/>
        <v>80016.61</v>
      </c>
    </row>
    <row r="169" spans="2:20" s="34" customFormat="1" ht="34.799999999999997">
      <c r="B169" s="87" t="s">
        <v>324</v>
      </c>
      <c r="C169" s="88" t="s">
        <v>325</v>
      </c>
      <c r="D169" s="89" t="s">
        <v>79</v>
      </c>
      <c r="E169" s="90">
        <v>290.89999999999998</v>
      </c>
      <c r="F169" s="90">
        <v>290.89999999999998</v>
      </c>
      <c r="G169" s="91"/>
      <c r="H169" s="91"/>
      <c r="I169" s="91"/>
      <c r="J169" s="79">
        <f>SUM(H169:I169)+'BM 011'!J169</f>
        <v>0</v>
      </c>
      <c r="K169" s="91">
        <f t="shared" si="90"/>
        <v>290.89999999999998</v>
      </c>
      <c r="L169" s="84">
        <v>105</v>
      </c>
      <c r="M169" s="81">
        <v>133.09801155</v>
      </c>
      <c r="N169" s="82">
        <f>TRUNC(G169*M169,2)</f>
        <v>0</v>
      </c>
      <c r="O169" s="82">
        <f>TRUNC(H169*M169,2)</f>
        <v>0</v>
      </c>
      <c r="P169" s="82">
        <f>O169+'BM 011'!P169</f>
        <v>0</v>
      </c>
      <c r="Q169" s="80">
        <f>E169*L169</f>
        <v>30544.499999999996</v>
      </c>
      <c r="R169" s="82">
        <f>TRUNC(E169*M169,2)</f>
        <v>38718.21</v>
      </c>
      <c r="S169" s="82">
        <f>TRUNC(F169*$M169,2)</f>
        <v>38718.21</v>
      </c>
      <c r="T169" s="82">
        <f>S169-P169</f>
        <v>38718.21</v>
      </c>
    </row>
    <row r="170" spans="2:20" s="34" customFormat="1" ht="34.799999999999997">
      <c r="B170" s="87" t="s">
        <v>326</v>
      </c>
      <c r="C170" s="88" t="s">
        <v>327</v>
      </c>
      <c r="D170" s="89" t="s">
        <v>79</v>
      </c>
      <c r="E170" s="90">
        <v>230</v>
      </c>
      <c r="F170" s="90">
        <v>230</v>
      </c>
      <c r="G170" s="91"/>
      <c r="H170" s="91"/>
      <c r="I170" s="91"/>
      <c r="J170" s="79">
        <f>SUM(H170:I170)+'BM 011'!J170</f>
        <v>0</v>
      </c>
      <c r="K170" s="91">
        <f t="shared" si="90"/>
        <v>230</v>
      </c>
      <c r="L170" s="84">
        <v>90</v>
      </c>
      <c r="M170" s="81">
        <v>114.0840099</v>
      </c>
      <c r="N170" s="82">
        <f>TRUNC(G170*M170,2)</f>
        <v>0</v>
      </c>
      <c r="O170" s="82">
        <f>TRUNC(H170*M170,2)</f>
        <v>0</v>
      </c>
      <c r="P170" s="82">
        <f>O170+'BM 011'!P170</f>
        <v>0</v>
      </c>
      <c r="Q170" s="80">
        <f>E170*L170</f>
        <v>20700</v>
      </c>
      <c r="R170" s="82">
        <f>TRUNC(E170*M170,2)</f>
        <v>26239.32</v>
      </c>
      <c r="S170" s="82">
        <f>TRUNC(F170*$M170,2)</f>
        <v>26239.32</v>
      </c>
      <c r="T170" s="82">
        <f>S170-P170</f>
        <v>26239.32</v>
      </c>
    </row>
    <row r="171" spans="2:20" s="34" customFormat="1" ht="23.4">
      <c r="B171" s="87" t="s">
        <v>328</v>
      </c>
      <c r="C171" s="88" t="s">
        <v>329</v>
      </c>
      <c r="D171" s="89" t="s">
        <v>82</v>
      </c>
      <c r="E171" s="90">
        <v>72</v>
      </c>
      <c r="F171" s="90">
        <v>72</v>
      </c>
      <c r="G171" s="91"/>
      <c r="H171" s="91"/>
      <c r="I171" s="91"/>
      <c r="J171" s="79">
        <f>SUM(H171:I171)+'BM 011'!J171</f>
        <v>0</v>
      </c>
      <c r="K171" s="91">
        <f t="shared" si="90"/>
        <v>72</v>
      </c>
      <c r="L171" s="84">
        <v>120</v>
      </c>
      <c r="M171" s="81">
        <v>152.11201320000001</v>
      </c>
      <c r="N171" s="82">
        <f>TRUNC(G171*M171,2)</f>
        <v>0</v>
      </c>
      <c r="O171" s="82">
        <f>TRUNC(H171*M171,2)</f>
        <v>0</v>
      </c>
      <c r="P171" s="82">
        <f>O171+'BM 011'!P171</f>
        <v>0</v>
      </c>
      <c r="Q171" s="80">
        <f>E171*L171</f>
        <v>8640</v>
      </c>
      <c r="R171" s="82">
        <f>TRUNC(E171*M171,2)</f>
        <v>10952.06</v>
      </c>
      <c r="S171" s="82">
        <f>TRUNC(F171*$M171,2)</f>
        <v>10952.06</v>
      </c>
      <c r="T171" s="82">
        <f>S171-P171</f>
        <v>10952.06</v>
      </c>
    </row>
    <row r="172" spans="2:20" s="34" customFormat="1" ht="34.799999999999997">
      <c r="B172" s="87" t="s">
        <v>330</v>
      </c>
      <c r="C172" s="88" t="s">
        <v>331</v>
      </c>
      <c r="D172" s="89" t="s">
        <v>82</v>
      </c>
      <c r="E172" s="90">
        <v>72</v>
      </c>
      <c r="F172" s="90">
        <v>72</v>
      </c>
      <c r="G172" s="91"/>
      <c r="H172" s="91"/>
      <c r="I172" s="91"/>
      <c r="J172" s="79">
        <f>SUM(H172:I172)+'BM 011'!J172</f>
        <v>0</v>
      </c>
      <c r="K172" s="91">
        <f t="shared" si="90"/>
        <v>72</v>
      </c>
      <c r="L172" s="84">
        <v>45</v>
      </c>
      <c r="M172" s="81">
        <v>57.042004949999999</v>
      </c>
      <c r="N172" s="82">
        <f>TRUNC(G172*M172,2)</f>
        <v>0</v>
      </c>
      <c r="O172" s="82">
        <f>TRUNC(H172*M172,2)</f>
        <v>0</v>
      </c>
      <c r="P172" s="82">
        <f>O172+'BM 011'!P172</f>
        <v>0</v>
      </c>
      <c r="Q172" s="80">
        <f>E172*L172</f>
        <v>3240</v>
      </c>
      <c r="R172" s="82">
        <f>TRUNC(E172*M172,2)</f>
        <v>4107.0200000000004</v>
      </c>
      <c r="S172" s="82">
        <f>TRUNC(F172*$M172,2)</f>
        <v>4107.0200000000004</v>
      </c>
      <c r="T172" s="82">
        <f>S172-P172</f>
        <v>4107.0200000000004</v>
      </c>
    </row>
    <row r="173" spans="2:20" s="34" customFormat="1" ht="13.2">
      <c r="B173" s="60" t="s">
        <v>332</v>
      </c>
      <c r="C173" s="61" t="s">
        <v>333</v>
      </c>
      <c r="D173" s="60"/>
      <c r="E173" s="62"/>
      <c r="F173" s="284"/>
      <c r="G173" s="63"/>
      <c r="H173" s="63"/>
      <c r="I173" s="63"/>
      <c r="J173" s="63">
        <f>SUM(H173:I173)+'BM 011'!J173</f>
        <v>0</v>
      </c>
      <c r="K173" s="63">
        <f t="shared" si="90"/>
        <v>0</v>
      </c>
      <c r="L173" s="63"/>
      <c r="M173" s="63">
        <v>0</v>
      </c>
      <c r="N173" s="63">
        <f t="shared" ref="N173:T173" si="100">SUM(N174:N177)</f>
        <v>0</v>
      </c>
      <c r="O173" s="63">
        <f t="shared" si="100"/>
        <v>0</v>
      </c>
      <c r="P173" s="63">
        <f t="shared" si="100"/>
        <v>0</v>
      </c>
      <c r="Q173" s="63">
        <f t="shared" si="100"/>
        <v>584904.20000000007</v>
      </c>
      <c r="R173" s="63">
        <f t="shared" si="100"/>
        <v>741424.62000000011</v>
      </c>
      <c r="S173" s="63">
        <f t="shared" si="100"/>
        <v>741424.62000000011</v>
      </c>
      <c r="T173" s="63">
        <f t="shared" si="100"/>
        <v>741424.62000000011</v>
      </c>
    </row>
    <row r="174" spans="2:20" s="34" customFormat="1" ht="46.2">
      <c r="B174" s="87" t="s">
        <v>334</v>
      </c>
      <c r="C174" s="88" t="s">
        <v>335</v>
      </c>
      <c r="D174" s="89" t="s">
        <v>79</v>
      </c>
      <c r="E174" s="90">
        <v>3789.02</v>
      </c>
      <c r="F174" s="90">
        <v>3789.02</v>
      </c>
      <c r="G174" s="91"/>
      <c r="H174" s="91"/>
      <c r="I174" s="91"/>
      <c r="J174" s="79">
        <f>SUM(H174:I174)+'BM 011'!J174</f>
        <v>0</v>
      </c>
      <c r="K174" s="91">
        <f t="shared" si="90"/>
        <v>3789.02</v>
      </c>
      <c r="L174" s="84">
        <v>70</v>
      </c>
      <c r="M174" s="81">
        <v>88.732007699999997</v>
      </c>
      <c r="N174" s="82">
        <f>TRUNC(G174*M174,2)</f>
        <v>0</v>
      </c>
      <c r="O174" s="82">
        <f>TRUNC(H174*M174,2)</f>
        <v>0</v>
      </c>
      <c r="P174" s="82">
        <f>O174+'BM 011'!P174</f>
        <v>0</v>
      </c>
      <c r="Q174" s="80">
        <f>E174*L174</f>
        <v>265231.40000000002</v>
      </c>
      <c r="R174" s="82">
        <f>TRUNC(E174*M174,2)</f>
        <v>336207.35</v>
      </c>
      <c r="S174" s="82">
        <f>TRUNC(F174*$M174,2)</f>
        <v>336207.35</v>
      </c>
      <c r="T174" s="82">
        <f>S174-P174</f>
        <v>336207.35</v>
      </c>
    </row>
    <row r="175" spans="2:20" s="34" customFormat="1" ht="23.4">
      <c r="B175" s="87" t="s">
        <v>336</v>
      </c>
      <c r="C175" s="88" t="s">
        <v>337</v>
      </c>
      <c r="D175" s="89" t="s">
        <v>79</v>
      </c>
      <c r="E175" s="90">
        <v>184.68</v>
      </c>
      <c r="F175" s="90">
        <v>184.68</v>
      </c>
      <c r="G175" s="91"/>
      <c r="H175" s="91"/>
      <c r="I175" s="91"/>
      <c r="J175" s="79">
        <f>SUM(H175:I175)+'BM 011'!J175</f>
        <v>0</v>
      </c>
      <c r="K175" s="91">
        <f t="shared" si="90"/>
        <v>184.68</v>
      </c>
      <c r="L175" s="84">
        <v>735</v>
      </c>
      <c r="M175" s="81">
        <v>931.68608085000005</v>
      </c>
      <c r="N175" s="82">
        <f>TRUNC(G175*M175,2)</f>
        <v>0</v>
      </c>
      <c r="O175" s="82">
        <f>TRUNC(H175*M175,2)</f>
        <v>0</v>
      </c>
      <c r="P175" s="82">
        <f>O175+'BM 011'!P175</f>
        <v>0</v>
      </c>
      <c r="Q175" s="80">
        <f>E175*L175</f>
        <v>135739.80000000002</v>
      </c>
      <c r="R175" s="82">
        <f>TRUNC(E175*M175,2)</f>
        <v>172063.78</v>
      </c>
      <c r="S175" s="82">
        <f>TRUNC(F175*$M175,2)</f>
        <v>172063.78</v>
      </c>
      <c r="T175" s="82">
        <f>S175-P175</f>
        <v>172063.78</v>
      </c>
    </row>
    <row r="176" spans="2:20" s="34" customFormat="1" ht="46.2">
      <c r="B176" s="87" t="s">
        <v>338</v>
      </c>
      <c r="C176" s="88" t="s">
        <v>339</v>
      </c>
      <c r="D176" s="89" t="s">
        <v>79</v>
      </c>
      <c r="E176" s="90">
        <v>798.6</v>
      </c>
      <c r="F176" s="90">
        <v>798.6</v>
      </c>
      <c r="G176" s="91"/>
      <c r="H176" s="91"/>
      <c r="I176" s="91"/>
      <c r="J176" s="79">
        <f>SUM(H176:I176)+'BM 011'!J176</f>
        <v>0</v>
      </c>
      <c r="K176" s="91">
        <f t="shared" si="90"/>
        <v>798.6</v>
      </c>
      <c r="L176" s="84">
        <v>125</v>
      </c>
      <c r="M176" s="81">
        <v>158.45001375000001</v>
      </c>
      <c r="N176" s="82">
        <f>TRUNC(G176*M176,2)</f>
        <v>0</v>
      </c>
      <c r="O176" s="82">
        <f>TRUNC(H176*M176,2)</f>
        <v>0</v>
      </c>
      <c r="P176" s="82">
        <f>O176+'BM 011'!P176</f>
        <v>0</v>
      </c>
      <c r="Q176" s="80">
        <f>E176*L176</f>
        <v>99825</v>
      </c>
      <c r="R176" s="82">
        <f>TRUNC(E176*M176,2)</f>
        <v>126538.18</v>
      </c>
      <c r="S176" s="82">
        <f>TRUNC(F176*$M176,2)</f>
        <v>126538.18</v>
      </c>
      <c r="T176" s="82">
        <f>S176-P176</f>
        <v>126538.18</v>
      </c>
    </row>
    <row r="177" spans="2:20" s="34" customFormat="1" ht="57.6">
      <c r="B177" s="87" t="s">
        <v>340</v>
      </c>
      <c r="C177" s="88" t="s">
        <v>341</v>
      </c>
      <c r="D177" s="89" t="s">
        <v>79</v>
      </c>
      <c r="E177" s="90">
        <v>489</v>
      </c>
      <c r="F177" s="90">
        <v>489</v>
      </c>
      <c r="G177" s="91"/>
      <c r="H177" s="91"/>
      <c r="I177" s="91"/>
      <c r="J177" s="79">
        <f>SUM(H177:I177)+'BM 011'!J177</f>
        <v>0</v>
      </c>
      <c r="K177" s="91">
        <f t="shared" si="90"/>
        <v>489</v>
      </c>
      <c r="L177" s="84">
        <v>172</v>
      </c>
      <c r="M177" s="81">
        <v>218.02721892</v>
      </c>
      <c r="N177" s="82">
        <f>TRUNC(G177*M177,2)</f>
        <v>0</v>
      </c>
      <c r="O177" s="82">
        <f>TRUNC(H177*M177,2)</f>
        <v>0</v>
      </c>
      <c r="P177" s="82">
        <f>O177+'BM 011'!P177</f>
        <v>0</v>
      </c>
      <c r="Q177" s="80">
        <f>E177*L177</f>
        <v>84108</v>
      </c>
      <c r="R177" s="82">
        <f>TRUNC(E177*M177,2)</f>
        <v>106615.31</v>
      </c>
      <c r="S177" s="82">
        <f>TRUNC(F177*$M177,2)</f>
        <v>106615.31</v>
      </c>
      <c r="T177" s="82">
        <f>S177-P177</f>
        <v>106615.31</v>
      </c>
    </row>
    <row r="178" spans="2:20" s="34" customFormat="1" ht="13.2">
      <c r="B178" s="60" t="s">
        <v>342</v>
      </c>
      <c r="C178" s="61" t="s">
        <v>343</v>
      </c>
      <c r="D178" s="60"/>
      <c r="E178" s="62"/>
      <c r="F178" s="284"/>
      <c r="G178" s="63"/>
      <c r="H178" s="63"/>
      <c r="I178" s="63"/>
      <c r="J178" s="63">
        <f>SUM(H178:I178)+'BM 011'!J178</f>
        <v>0</v>
      </c>
      <c r="K178" s="63">
        <f t="shared" si="90"/>
        <v>0</v>
      </c>
      <c r="L178" s="63"/>
      <c r="M178" s="63">
        <v>0</v>
      </c>
      <c r="N178" s="63">
        <f t="shared" ref="N178:T178" si="101">SUM(N179:N180)</f>
        <v>24021.52</v>
      </c>
      <c r="O178" s="63">
        <f t="shared" si="101"/>
        <v>24021.52</v>
      </c>
      <c r="P178" s="63">
        <f t="shared" si="101"/>
        <v>36671.14</v>
      </c>
      <c r="Q178" s="63">
        <f t="shared" si="101"/>
        <v>260085</v>
      </c>
      <c r="R178" s="63">
        <f t="shared" si="101"/>
        <v>329683.77</v>
      </c>
      <c r="S178" s="63">
        <f t="shared" si="101"/>
        <v>379568.9</v>
      </c>
      <c r="T178" s="63">
        <f t="shared" si="101"/>
        <v>342897.76</v>
      </c>
    </row>
    <row r="179" spans="2:20" s="34" customFormat="1" ht="34.799999999999997">
      <c r="B179" s="87" t="s">
        <v>344</v>
      </c>
      <c r="C179" s="88" t="s">
        <v>345</v>
      </c>
      <c r="D179" s="89" t="s">
        <v>79</v>
      </c>
      <c r="E179" s="90">
        <v>1785</v>
      </c>
      <c r="F179" s="90">
        <v>1785</v>
      </c>
      <c r="G179" s="91"/>
      <c r="H179" s="91"/>
      <c r="I179" s="91"/>
      <c r="J179" s="79">
        <f>SUM(H179:I179)+'BM 011'!J179</f>
        <v>0</v>
      </c>
      <c r="K179" s="91">
        <f t="shared" si="90"/>
        <v>1785</v>
      </c>
      <c r="L179" s="84">
        <v>125</v>
      </c>
      <c r="M179" s="81">
        <v>158.45001375000001</v>
      </c>
      <c r="N179" s="82">
        <f>TRUNC(G179*M179,2)</f>
        <v>0</v>
      </c>
      <c r="O179" s="82">
        <f>TRUNC(H179*M179,2)</f>
        <v>0</v>
      </c>
      <c r="P179" s="82">
        <f>O179+'BM 011'!P179</f>
        <v>0</v>
      </c>
      <c r="Q179" s="80">
        <f>E179*L179</f>
        <v>223125</v>
      </c>
      <c r="R179" s="82">
        <f>TRUNC(E179*M179,2)</f>
        <v>282833.27</v>
      </c>
      <c r="S179" s="82">
        <f>TRUNC(F179*$M179,2)</f>
        <v>282833.27</v>
      </c>
      <c r="T179" s="82">
        <f>S179-P179</f>
        <v>282833.27</v>
      </c>
    </row>
    <row r="180" spans="2:20" s="34" customFormat="1" ht="34.799999999999997">
      <c r="B180" s="75" t="s">
        <v>346</v>
      </c>
      <c r="C180" s="76" t="s">
        <v>347</v>
      </c>
      <c r="D180" s="77" t="s">
        <v>79</v>
      </c>
      <c r="E180" s="93">
        <v>880</v>
      </c>
      <c r="F180" s="93">
        <v>1817</v>
      </c>
      <c r="G180" s="79">
        <f>'M.C. MED. 12'!K1836</f>
        <v>451.2</v>
      </c>
      <c r="H180" s="79">
        <f>G180</f>
        <v>451.2</v>
      </c>
      <c r="I180" s="79"/>
      <c r="J180" s="79">
        <f>SUM(H180:I180)+'BM 011'!J180</f>
        <v>688.8</v>
      </c>
      <c r="K180" s="79">
        <f t="shared" si="90"/>
        <v>1128.2</v>
      </c>
      <c r="L180" s="84">
        <v>42</v>
      </c>
      <c r="M180" s="81">
        <v>53.239204620000002</v>
      </c>
      <c r="N180" s="82">
        <f>TRUNC(G180*M180,2)</f>
        <v>24021.52</v>
      </c>
      <c r="O180" s="82">
        <f>TRUNC(H180*M180,2)</f>
        <v>24021.52</v>
      </c>
      <c r="P180" s="82">
        <f>O180+'BM 011'!P180</f>
        <v>36671.14</v>
      </c>
      <c r="Q180" s="80">
        <f>E180*L180</f>
        <v>36960</v>
      </c>
      <c r="R180" s="82">
        <f>TRUNC(E180*M180,2)</f>
        <v>46850.5</v>
      </c>
      <c r="S180" s="82">
        <f>TRUNC(F180*$M180,2)</f>
        <v>96735.63</v>
      </c>
      <c r="T180" s="82">
        <f>S180-P180</f>
        <v>60064.490000000005</v>
      </c>
    </row>
    <row r="181" spans="2:20" s="34" customFormat="1" ht="13.2">
      <c r="B181" s="60" t="s">
        <v>348</v>
      </c>
      <c r="C181" s="61" t="s">
        <v>349</v>
      </c>
      <c r="D181" s="60"/>
      <c r="E181" s="62"/>
      <c r="F181" s="284"/>
      <c r="G181" s="63"/>
      <c r="H181" s="63"/>
      <c r="I181" s="63"/>
      <c r="J181" s="63">
        <f>SUM(H181:I181)+'BM 011'!J181</f>
        <v>0</v>
      </c>
      <c r="K181" s="63">
        <f t="shared" si="90"/>
        <v>0</v>
      </c>
      <c r="L181" s="63"/>
      <c r="M181" s="63">
        <v>0</v>
      </c>
      <c r="N181" s="63">
        <f t="shared" ref="N181:T181" si="102">SUM(N182,N208)</f>
        <v>0</v>
      </c>
      <c r="O181" s="63">
        <f t="shared" si="102"/>
        <v>0</v>
      </c>
      <c r="P181" s="63">
        <f t="shared" si="102"/>
        <v>0</v>
      </c>
      <c r="Q181" s="63">
        <f t="shared" si="102"/>
        <v>3144051.95</v>
      </c>
      <c r="R181" s="63">
        <f t="shared" si="102"/>
        <v>3985400.4499999997</v>
      </c>
      <c r="S181" s="63">
        <f t="shared" si="102"/>
        <v>3985400.4499999997</v>
      </c>
      <c r="T181" s="63">
        <f t="shared" si="102"/>
        <v>3985400.4499999997</v>
      </c>
    </row>
    <row r="182" spans="2:20" s="34" customFormat="1" ht="13.2">
      <c r="B182" s="66" t="s">
        <v>350</v>
      </c>
      <c r="C182" s="67" t="s">
        <v>351</v>
      </c>
      <c r="D182" s="68"/>
      <c r="E182" s="69"/>
      <c r="F182" s="69"/>
      <c r="G182" s="70"/>
      <c r="H182" s="70"/>
      <c r="I182" s="70"/>
      <c r="J182" s="70">
        <f>SUM(H182:I182)+'BM 011'!J182</f>
        <v>0</v>
      </c>
      <c r="K182" s="70">
        <f t="shared" si="90"/>
        <v>0</v>
      </c>
      <c r="L182" s="71"/>
      <c r="M182" s="71">
        <v>0</v>
      </c>
      <c r="N182" s="73">
        <f t="shared" ref="N182:T182" si="103">SUM(N183:N207)</f>
        <v>0</v>
      </c>
      <c r="O182" s="73">
        <f t="shared" si="103"/>
        <v>0</v>
      </c>
      <c r="P182" s="73">
        <f t="shared" si="103"/>
        <v>0</v>
      </c>
      <c r="Q182" s="73">
        <f t="shared" si="103"/>
        <v>2156515.4</v>
      </c>
      <c r="R182" s="73">
        <f t="shared" si="103"/>
        <v>2733599.05</v>
      </c>
      <c r="S182" s="73">
        <f t="shared" si="103"/>
        <v>2733599.05</v>
      </c>
      <c r="T182" s="73">
        <f t="shared" si="103"/>
        <v>2733599.05</v>
      </c>
    </row>
    <row r="183" spans="2:20" s="34" customFormat="1" ht="114.6">
      <c r="B183" s="75" t="s">
        <v>352</v>
      </c>
      <c r="C183" s="88" t="s">
        <v>353</v>
      </c>
      <c r="D183" s="89" t="s">
        <v>63</v>
      </c>
      <c r="E183" s="92">
        <v>56</v>
      </c>
      <c r="F183" s="92">
        <v>56</v>
      </c>
      <c r="G183" s="91"/>
      <c r="H183" s="91"/>
      <c r="I183" s="91"/>
      <c r="J183" s="79">
        <f>SUM(H183:I183)+'BM 011'!J183</f>
        <v>0</v>
      </c>
      <c r="K183" s="91">
        <f t="shared" si="90"/>
        <v>56</v>
      </c>
      <c r="L183" s="84">
        <v>3125</v>
      </c>
      <c r="M183" s="81">
        <v>3961.25034375</v>
      </c>
      <c r="N183" s="82">
        <f t="shared" ref="N183:N207" si="104">TRUNC(G183*M183,2)</f>
        <v>0</v>
      </c>
      <c r="O183" s="82">
        <f t="shared" ref="O183:O207" si="105">TRUNC(H183*M183,2)</f>
        <v>0</v>
      </c>
      <c r="P183" s="82">
        <f>O183+'BM 011'!P183</f>
        <v>0</v>
      </c>
      <c r="Q183" s="80">
        <f t="shared" ref="Q183:Q207" si="106">E183*L183</f>
        <v>175000</v>
      </c>
      <c r="R183" s="82">
        <f t="shared" ref="R183:R207" si="107">TRUNC(E183*M183,2)</f>
        <v>221830.01</v>
      </c>
      <c r="S183" s="82">
        <f t="shared" ref="S183:S207" si="108">TRUNC(F183*$M183,2)</f>
        <v>221830.01</v>
      </c>
      <c r="T183" s="82">
        <f t="shared" ref="T183:T207" si="109">S183-P183</f>
        <v>221830.01</v>
      </c>
    </row>
    <row r="184" spans="2:20" s="34" customFormat="1" ht="103.2">
      <c r="B184" s="75" t="s">
        <v>354</v>
      </c>
      <c r="C184" s="88" t="s">
        <v>355</v>
      </c>
      <c r="D184" s="89" t="s">
        <v>63</v>
      </c>
      <c r="E184" s="92">
        <v>51</v>
      </c>
      <c r="F184" s="92">
        <v>51</v>
      </c>
      <c r="G184" s="91"/>
      <c r="H184" s="91"/>
      <c r="I184" s="91"/>
      <c r="J184" s="79">
        <f>SUM(H184:I184)+'BM 011'!J184</f>
        <v>0</v>
      </c>
      <c r="K184" s="91">
        <f t="shared" si="90"/>
        <v>51</v>
      </c>
      <c r="L184" s="84">
        <v>3580</v>
      </c>
      <c r="M184" s="81">
        <v>4538.0083937999998</v>
      </c>
      <c r="N184" s="82">
        <f t="shared" si="104"/>
        <v>0</v>
      </c>
      <c r="O184" s="82">
        <f t="shared" si="105"/>
        <v>0</v>
      </c>
      <c r="P184" s="82">
        <f>O184+'BM 011'!P184</f>
        <v>0</v>
      </c>
      <c r="Q184" s="80">
        <f t="shared" si="106"/>
        <v>182580</v>
      </c>
      <c r="R184" s="82">
        <f t="shared" si="107"/>
        <v>231438.42</v>
      </c>
      <c r="S184" s="82">
        <f t="shared" si="108"/>
        <v>231438.42</v>
      </c>
      <c r="T184" s="82">
        <f t="shared" si="109"/>
        <v>231438.42</v>
      </c>
    </row>
    <row r="185" spans="2:20" s="34" customFormat="1" ht="114.6">
      <c r="B185" s="75" t="s">
        <v>356</v>
      </c>
      <c r="C185" s="88" t="s">
        <v>357</v>
      </c>
      <c r="D185" s="89" t="s">
        <v>63</v>
      </c>
      <c r="E185" s="92">
        <v>11</v>
      </c>
      <c r="F185" s="92">
        <v>11</v>
      </c>
      <c r="G185" s="91"/>
      <c r="H185" s="91"/>
      <c r="I185" s="91"/>
      <c r="J185" s="79">
        <f>SUM(H185:I185)+'BM 011'!J185</f>
        <v>0</v>
      </c>
      <c r="K185" s="91">
        <f t="shared" si="90"/>
        <v>11</v>
      </c>
      <c r="L185" s="84">
        <v>3995</v>
      </c>
      <c r="M185" s="81">
        <v>5064.0624394500001</v>
      </c>
      <c r="N185" s="82">
        <f t="shared" si="104"/>
        <v>0</v>
      </c>
      <c r="O185" s="82">
        <f t="shared" si="105"/>
        <v>0</v>
      </c>
      <c r="P185" s="82">
        <f>O185+'BM 011'!P185</f>
        <v>0</v>
      </c>
      <c r="Q185" s="80">
        <f t="shared" si="106"/>
        <v>43945</v>
      </c>
      <c r="R185" s="82">
        <f t="shared" si="107"/>
        <v>55704.68</v>
      </c>
      <c r="S185" s="82">
        <f t="shared" si="108"/>
        <v>55704.68</v>
      </c>
      <c r="T185" s="82">
        <f t="shared" si="109"/>
        <v>55704.68</v>
      </c>
    </row>
    <row r="186" spans="2:20" s="34" customFormat="1" ht="80.400000000000006">
      <c r="B186" s="75" t="s">
        <v>358</v>
      </c>
      <c r="C186" s="88" t="s">
        <v>359</v>
      </c>
      <c r="D186" s="89" t="s">
        <v>63</v>
      </c>
      <c r="E186" s="92">
        <v>2</v>
      </c>
      <c r="F186" s="92">
        <v>2</v>
      </c>
      <c r="G186" s="91"/>
      <c r="H186" s="91"/>
      <c r="I186" s="91"/>
      <c r="J186" s="79">
        <f>SUM(H186:I186)+'BM 011'!J186</f>
        <v>0</v>
      </c>
      <c r="K186" s="91">
        <f t="shared" si="90"/>
        <v>2</v>
      </c>
      <c r="L186" s="84">
        <v>4100</v>
      </c>
      <c r="M186" s="81">
        <v>5197.1604509999997</v>
      </c>
      <c r="N186" s="82">
        <f t="shared" si="104"/>
        <v>0</v>
      </c>
      <c r="O186" s="82">
        <f t="shared" si="105"/>
        <v>0</v>
      </c>
      <c r="P186" s="82">
        <f>O186+'BM 011'!P186</f>
        <v>0</v>
      </c>
      <c r="Q186" s="80">
        <f t="shared" si="106"/>
        <v>8200</v>
      </c>
      <c r="R186" s="82">
        <f t="shared" si="107"/>
        <v>10394.32</v>
      </c>
      <c r="S186" s="82">
        <f t="shared" si="108"/>
        <v>10394.32</v>
      </c>
      <c r="T186" s="82">
        <f t="shared" si="109"/>
        <v>10394.32</v>
      </c>
    </row>
    <row r="187" spans="2:20" s="34" customFormat="1" ht="126">
      <c r="B187" s="75" t="s">
        <v>360</v>
      </c>
      <c r="C187" s="88" t="s">
        <v>361</v>
      </c>
      <c r="D187" s="89" t="s">
        <v>63</v>
      </c>
      <c r="E187" s="92">
        <v>24</v>
      </c>
      <c r="F187" s="92">
        <v>24</v>
      </c>
      <c r="G187" s="91"/>
      <c r="H187" s="91"/>
      <c r="I187" s="91"/>
      <c r="J187" s="79">
        <f>SUM(H187:I187)+'BM 011'!J187</f>
        <v>0</v>
      </c>
      <c r="K187" s="91">
        <f t="shared" si="90"/>
        <v>24</v>
      </c>
      <c r="L187" s="84">
        <v>4425</v>
      </c>
      <c r="M187" s="81">
        <v>5609.1304867500003</v>
      </c>
      <c r="N187" s="82">
        <f t="shared" si="104"/>
        <v>0</v>
      </c>
      <c r="O187" s="82">
        <f t="shared" si="105"/>
        <v>0</v>
      </c>
      <c r="P187" s="82">
        <f>O187+'BM 011'!P187</f>
        <v>0</v>
      </c>
      <c r="Q187" s="80">
        <f t="shared" si="106"/>
        <v>106200</v>
      </c>
      <c r="R187" s="82">
        <f t="shared" si="107"/>
        <v>134619.13</v>
      </c>
      <c r="S187" s="82">
        <f t="shared" si="108"/>
        <v>134619.13</v>
      </c>
      <c r="T187" s="82">
        <f t="shared" si="109"/>
        <v>134619.13</v>
      </c>
    </row>
    <row r="188" spans="2:20" s="34" customFormat="1" ht="126">
      <c r="B188" s="75" t="s">
        <v>362</v>
      </c>
      <c r="C188" s="88" t="s">
        <v>363</v>
      </c>
      <c r="D188" s="89" t="s">
        <v>63</v>
      </c>
      <c r="E188" s="92">
        <v>8</v>
      </c>
      <c r="F188" s="92">
        <v>8</v>
      </c>
      <c r="G188" s="91"/>
      <c r="H188" s="91"/>
      <c r="I188" s="91"/>
      <c r="J188" s="79">
        <f>SUM(H188:I188)+'BM 011'!J188</f>
        <v>0</v>
      </c>
      <c r="K188" s="91">
        <f t="shared" si="90"/>
        <v>8</v>
      </c>
      <c r="L188" s="84">
        <v>4495</v>
      </c>
      <c r="M188" s="81">
        <v>5697.8624944499998</v>
      </c>
      <c r="N188" s="82">
        <f t="shared" si="104"/>
        <v>0</v>
      </c>
      <c r="O188" s="82">
        <f t="shared" si="105"/>
        <v>0</v>
      </c>
      <c r="P188" s="82">
        <f>O188+'BM 011'!P188</f>
        <v>0</v>
      </c>
      <c r="Q188" s="80">
        <f t="shared" si="106"/>
        <v>35960</v>
      </c>
      <c r="R188" s="82">
        <f t="shared" si="107"/>
        <v>45582.89</v>
      </c>
      <c r="S188" s="82">
        <f t="shared" si="108"/>
        <v>45582.89</v>
      </c>
      <c r="T188" s="82">
        <f t="shared" si="109"/>
        <v>45582.89</v>
      </c>
    </row>
    <row r="189" spans="2:20" s="34" customFormat="1" ht="57.6">
      <c r="B189" s="75" t="s">
        <v>364</v>
      </c>
      <c r="C189" s="88" t="s">
        <v>365</v>
      </c>
      <c r="D189" s="89" t="s">
        <v>63</v>
      </c>
      <c r="E189" s="92">
        <v>3</v>
      </c>
      <c r="F189" s="92">
        <v>3</v>
      </c>
      <c r="G189" s="91"/>
      <c r="H189" s="91"/>
      <c r="I189" s="91"/>
      <c r="J189" s="79">
        <f>SUM(H189:I189)+'BM 011'!J189</f>
        <v>0</v>
      </c>
      <c r="K189" s="91">
        <f t="shared" si="90"/>
        <v>3</v>
      </c>
      <c r="L189" s="84">
        <v>8550</v>
      </c>
      <c r="M189" s="81">
        <v>10837.9809405</v>
      </c>
      <c r="N189" s="82">
        <f t="shared" si="104"/>
        <v>0</v>
      </c>
      <c r="O189" s="82">
        <f t="shared" si="105"/>
        <v>0</v>
      </c>
      <c r="P189" s="82">
        <f>O189+'BM 011'!P189</f>
        <v>0</v>
      </c>
      <c r="Q189" s="80">
        <f t="shared" si="106"/>
        <v>25650</v>
      </c>
      <c r="R189" s="82">
        <f t="shared" si="107"/>
        <v>32513.94</v>
      </c>
      <c r="S189" s="82">
        <f t="shared" si="108"/>
        <v>32513.94</v>
      </c>
      <c r="T189" s="82">
        <f t="shared" si="109"/>
        <v>32513.94</v>
      </c>
    </row>
    <row r="190" spans="2:20" s="34" customFormat="1" ht="137.4">
      <c r="B190" s="75" t="s">
        <v>366</v>
      </c>
      <c r="C190" s="88" t="s">
        <v>367</v>
      </c>
      <c r="D190" s="89" t="s">
        <v>63</v>
      </c>
      <c r="E190" s="92">
        <v>2</v>
      </c>
      <c r="F190" s="92">
        <v>2</v>
      </c>
      <c r="G190" s="91"/>
      <c r="H190" s="91"/>
      <c r="I190" s="91"/>
      <c r="J190" s="79">
        <f>SUM(H190:I190)+'BM 011'!J190</f>
        <v>0</v>
      </c>
      <c r="K190" s="91">
        <f t="shared" si="90"/>
        <v>2</v>
      </c>
      <c r="L190" s="84">
        <v>6750</v>
      </c>
      <c r="M190" s="81">
        <v>8556.3007424999996</v>
      </c>
      <c r="N190" s="82">
        <f t="shared" si="104"/>
        <v>0</v>
      </c>
      <c r="O190" s="82">
        <f t="shared" si="105"/>
        <v>0</v>
      </c>
      <c r="P190" s="82">
        <f>O190+'BM 011'!P190</f>
        <v>0</v>
      </c>
      <c r="Q190" s="80">
        <f t="shared" si="106"/>
        <v>13500</v>
      </c>
      <c r="R190" s="82">
        <f t="shared" si="107"/>
        <v>17112.599999999999</v>
      </c>
      <c r="S190" s="82">
        <f t="shared" si="108"/>
        <v>17112.599999999999</v>
      </c>
      <c r="T190" s="82">
        <f t="shared" si="109"/>
        <v>17112.599999999999</v>
      </c>
    </row>
    <row r="191" spans="2:20" s="34" customFormat="1" ht="46.2">
      <c r="B191" s="75" t="s">
        <v>368</v>
      </c>
      <c r="C191" s="88" t="s">
        <v>369</v>
      </c>
      <c r="D191" s="89" t="s">
        <v>63</v>
      </c>
      <c r="E191" s="92">
        <v>18</v>
      </c>
      <c r="F191" s="92">
        <v>18</v>
      </c>
      <c r="G191" s="91"/>
      <c r="H191" s="91"/>
      <c r="I191" s="91"/>
      <c r="J191" s="79">
        <f>SUM(H191:I191)+'BM 011'!J191</f>
        <v>0</v>
      </c>
      <c r="K191" s="91">
        <f t="shared" si="90"/>
        <v>18</v>
      </c>
      <c r="L191" s="84">
        <v>2490</v>
      </c>
      <c r="M191" s="81">
        <v>3156.3242739000002</v>
      </c>
      <c r="N191" s="82">
        <f t="shared" si="104"/>
        <v>0</v>
      </c>
      <c r="O191" s="82">
        <f t="shared" si="105"/>
        <v>0</v>
      </c>
      <c r="P191" s="82">
        <f>O191+'BM 011'!P191</f>
        <v>0</v>
      </c>
      <c r="Q191" s="80">
        <f t="shared" si="106"/>
        <v>44820</v>
      </c>
      <c r="R191" s="82">
        <f t="shared" si="107"/>
        <v>56813.83</v>
      </c>
      <c r="S191" s="82">
        <f t="shared" si="108"/>
        <v>56813.83</v>
      </c>
      <c r="T191" s="82">
        <f t="shared" si="109"/>
        <v>56813.83</v>
      </c>
    </row>
    <row r="192" spans="2:20" s="34" customFormat="1" ht="57.6">
      <c r="B192" s="75" t="s">
        <v>370</v>
      </c>
      <c r="C192" s="88" t="s">
        <v>371</v>
      </c>
      <c r="D192" s="89" t="s">
        <v>63</v>
      </c>
      <c r="E192" s="92">
        <v>1</v>
      </c>
      <c r="F192" s="92">
        <v>1</v>
      </c>
      <c r="G192" s="91"/>
      <c r="H192" s="91"/>
      <c r="I192" s="91"/>
      <c r="J192" s="79">
        <f>SUM(H192:I192)+'BM 011'!J192</f>
        <v>0</v>
      </c>
      <c r="K192" s="91">
        <f t="shared" si="90"/>
        <v>1</v>
      </c>
      <c r="L192" s="84">
        <v>5950</v>
      </c>
      <c r="M192" s="81">
        <v>7542.2206544999999</v>
      </c>
      <c r="N192" s="82">
        <f t="shared" si="104"/>
        <v>0</v>
      </c>
      <c r="O192" s="82">
        <f t="shared" si="105"/>
        <v>0</v>
      </c>
      <c r="P192" s="82">
        <f>O192+'BM 011'!P192</f>
        <v>0</v>
      </c>
      <c r="Q192" s="80">
        <f t="shared" si="106"/>
        <v>5950</v>
      </c>
      <c r="R192" s="82">
        <f t="shared" si="107"/>
        <v>7542.22</v>
      </c>
      <c r="S192" s="82">
        <f t="shared" si="108"/>
        <v>7542.22</v>
      </c>
      <c r="T192" s="82">
        <f t="shared" si="109"/>
        <v>7542.22</v>
      </c>
    </row>
    <row r="193" spans="2:20" s="34" customFormat="1" ht="57.6">
      <c r="B193" s="75" t="s">
        <v>372</v>
      </c>
      <c r="C193" s="88" t="s">
        <v>373</v>
      </c>
      <c r="D193" s="89" t="s">
        <v>63</v>
      </c>
      <c r="E193" s="92">
        <v>1</v>
      </c>
      <c r="F193" s="92">
        <v>1</v>
      </c>
      <c r="G193" s="91"/>
      <c r="H193" s="91"/>
      <c r="I193" s="91"/>
      <c r="J193" s="79">
        <f>SUM(H193:I193)+'BM 011'!J193</f>
        <v>0</v>
      </c>
      <c r="K193" s="91">
        <f t="shared" si="90"/>
        <v>1</v>
      </c>
      <c r="L193" s="84">
        <v>5950</v>
      </c>
      <c r="M193" s="81">
        <v>7542.2206544999999</v>
      </c>
      <c r="N193" s="82">
        <f t="shared" si="104"/>
        <v>0</v>
      </c>
      <c r="O193" s="82">
        <f t="shared" si="105"/>
        <v>0</v>
      </c>
      <c r="P193" s="82">
        <f>O193+'BM 011'!P193</f>
        <v>0</v>
      </c>
      <c r="Q193" s="80">
        <f t="shared" si="106"/>
        <v>5950</v>
      </c>
      <c r="R193" s="82">
        <f t="shared" si="107"/>
        <v>7542.22</v>
      </c>
      <c r="S193" s="82">
        <f t="shared" si="108"/>
        <v>7542.22</v>
      </c>
      <c r="T193" s="82">
        <f t="shared" si="109"/>
        <v>7542.22</v>
      </c>
    </row>
    <row r="194" spans="2:20" s="34" customFormat="1" ht="57.6">
      <c r="B194" s="75" t="s">
        <v>374</v>
      </c>
      <c r="C194" s="88" t="s">
        <v>375</v>
      </c>
      <c r="D194" s="89" t="s">
        <v>79</v>
      </c>
      <c r="E194" s="92">
        <v>184.04</v>
      </c>
      <c r="F194" s="92">
        <v>184.04</v>
      </c>
      <c r="G194" s="91"/>
      <c r="H194" s="91"/>
      <c r="I194" s="91"/>
      <c r="J194" s="79">
        <f>SUM(H194:I194)+'BM 011'!J194</f>
        <v>0</v>
      </c>
      <c r="K194" s="91">
        <f t="shared" si="90"/>
        <v>184.04</v>
      </c>
      <c r="L194" s="84">
        <v>1265</v>
      </c>
      <c r="M194" s="81">
        <v>1603.5141391499999</v>
      </c>
      <c r="N194" s="82">
        <f t="shared" si="104"/>
        <v>0</v>
      </c>
      <c r="O194" s="82">
        <f t="shared" si="105"/>
        <v>0</v>
      </c>
      <c r="P194" s="82">
        <f>O194+'BM 011'!P194</f>
        <v>0</v>
      </c>
      <c r="Q194" s="80">
        <f t="shared" si="106"/>
        <v>232810.59999999998</v>
      </c>
      <c r="R194" s="82">
        <f t="shared" si="107"/>
        <v>295110.74</v>
      </c>
      <c r="S194" s="82">
        <f t="shared" si="108"/>
        <v>295110.74</v>
      </c>
      <c r="T194" s="82">
        <f t="shared" si="109"/>
        <v>295110.74</v>
      </c>
    </row>
    <row r="195" spans="2:20" s="34" customFormat="1" ht="46.2">
      <c r="B195" s="75" t="s">
        <v>376</v>
      </c>
      <c r="C195" s="88" t="s">
        <v>377</v>
      </c>
      <c r="D195" s="89" t="s">
        <v>79</v>
      </c>
      <c r="E195" s="92">
        <v>53.96</v>
      </c>
      <c r="F195" s="92">
        <v>53.96</v>
      </c>
      <c r="G195" s="91"/>
      <c r="H195" s="91"/>
      <c r="I195" s="91"/>
      <c r="J195" s="79">
        <f>SUM(H195:I195)+'BM 011'!J195</f>
        <v>0</v>
      </c>
      <c r="K195" s="91">
        <f t="shared" si="90"/>
        <v>53.96</v>
      </c>
      <c r="L195" s="84">
        <v>1080</v>
      </c>
      <c r="M195" s="81">
        <v>1369.0081187999999</v>
      </c>
      <c r="N195" s="82">
        <f t="shared" si="104"/>
        <v>0</v>
      </c>
      <c r="O195" s="82">
        <f t="shared" si="105"/>
        <v>0</v>
      </c>
      <c r="P195" s="82">
        <f>O195+'BM 011'!P195</f>
        <v>0</v>
      </c>
      <c r="Q195" s="80">
        <f t="shared" si="106"/>
        <v>58276.800000000003</v>
      </c>
      <c r="R195" s="82">
        <f t="shared" si="107"/>
        <v>73871.67</v>
      </c>
      <c r="S195" s="82">
        <f t="shared" si="108"/>
        <v>73871.67</v>
      </c>
      <c r="T195" s="82">
        <f t="shared" si="109"/>
        <v>73871.67</v>
      </c>
    </row>
    <row r="196" spans="2:20" s="34" customFormat="1" ht="57.6">
      <c r="B196" s="75" t="s">
        <v>378</v>
      </c>
      <c r="C196" s="88" t="s">
        <v>379</v>
      </c>
      <c r="D196" s="89" t="s">
        <v>79</v>
      </c>
      <c r="E196" s="92">
        <v>130.29</v>
      </c>
      <c r="F196" s="92">
        <v>130.29</v>
      </c>
      <c r="G196" s="91"/>
      <c r="H196" s="91"/>
      <c r="I196" s="91"/>
      <c r="J196" s="79">
        <f>SUM(H196:I196)+'BM 011'!J196</f>
        <v>0</v>
      </c>
      <c r="K196" s="91">
        <f t="shared" si="90"/>
        <v>130.29</v>
      </c>
      <c r="L196" s="84">
        <v>1220</v>
      </c>
      <c r="M196" s="81">
        <v>1546.4721342</v>
      </c>
      <c r="N196" s="82">
        <f t="shared" si="104"/>
        <v>0</v>
      </c>
      <c r="O196" s="82">
        <f t="shared" si="105"/>
        <v>0</v>
      </c>
      <c r="P196" s="82">
        <f>O196+'BM 011'!P196</f>
        <v>0</v>
      </c>
      <c r="Q196" s="80">
        <f t="shared" si="106"/>
        <v>158953.79999999999</v>
      </c>
      <c r="R196" s="82">
        <f t="shared" si="107"/>
        <v>201489.85</v>
      </c>
      <c r="S196" s="82">
        <f t="shared" si="108"/>
        <v>201489.85</v>
      </c>
      <c r="T196" s="82">
        <f t="shared" si="109"/>
        <v>201489.85</v>
      </c>
    </row>
    <row r="197" spans="2:20" s="34" customFormat="1" ht="57.6">
      <c r="B197" s="75" t="s">
        <v>380</v>
      </c>
      <c r="C197" s="88" t="s">
        <v>381</v>
      </c>
      <c r="D197" s="89" t="s">
        <v>79</v>
      </c>
      <c r="E197" s="92">
        <v>27.88</v>
      </c>
      <c r="F197" s="92">
        <v>27.88</v>
      </c>
      <c r="G197" s="91"/>
      <c r="H197" s="91"/>
      <c r="I197" s="91"/>
      <c r="J197" s="79">
        <f>SUM(H197:I197)+'BM 011'!J197</f>
        <v>0</v>
      </c>
      <c r="K197" s="91">
        <f t="shared" si="90"/>
        <v>27.88</v>
      </c>
      <c r="L197" s="84">
        <v>2180</v>
      </c>
      <c r="M197" s="81">
        <v>2763.3682398000001</v>
      </c>
      <c r="N197" s="82">
        <f t="shared" si="104"/>
        <v>0</v>
      </c>
      <c r="O197" s="82">
        <f t="shared" si="105"/>
        <v>0</v>
      </c>
      <c r="P197" s="82">
        <f>O197+'BM 011'!P197</f>
        <v>0</v>
      </c>
      <c r="Q197" s="80">
        <f t="shared" si="106"/>
        <v>60778.400000000001</v>
      </c>
      <c r="R197" s="82">
        <f t="shared" si="107"/>
        <v>77042.7</v>
      </c>
      <c r="S197" s="82">
        <f t="shared" si="108"/>
        <v>77042.7</v>
      </c>
      <c r="T197" s="82">
        <f t="shared" si="109"/>
        <v>77042.7</v>
      </c>
    </row>
    <row r="198" spans="2:20" s="34" customFormat="1" ht="46.2">
      <c r="B198" s="75" t="s">
        <v>382</v>
      </c>
      <c r="C198" s="88" t="s">
        <v>383</v>
      </c>
      <c r="D198" s="89" t="s">
        <v>79</v>
      </c>
      <c r="E198" s="92">
        <v>24.23</v>
      </c>
      <c r="F198" s="92">
        <v>24.23</v>
      </c>
      <c r="G198" s="91"/>
      <c r="H198" s="91"/>
      <c r="I198" s="91"/>
      <c r="J198" s="79">
        <f>SUM(H198:I198)+'BM 011'!J198</f>
        <v>0</v>
      </c>
      <c r="K198" s="91">
        <f t="shared" si="90"/>
        <v>24.23</v>
      </c>
      <c r="L198" s="84">
        <v>1170</v>
      </c>
      <c r="M198" s="81">
        <v>1483.0921287000001</v>
      </c>
      <c r="N198" s="82">
        <f t="shared" si="104"/>
        <v>0</v>
      </c>
      <c r="O198" s="82">
        <f t="shared" si="105"/>
        <v>0</v>
      </c>
      <c r="P198" s="82">
        <f>O198+'BM 011'!P198</f>
        <v>0</v>
      </c>
      <c r="Q198" s="80">
        <f t="shared" si="106"/>
        <v>28349.100000000002</v>
      </c>
      <c r="R198" s="82">
        <f t="shared" si="107"/>
        <v>35935.32</v>
      </c>
      <c r="S198" s="82">
        <f t="shared" si="108"/>
        <v>35935.32</v>
      </c>
      <c r="T198" s="82">
        <f t="shared" si="109"/>
        <v>35935.32</v>
      </c>
    </row>
    <row r="199" spans="2:20" s="34" customFormat="1" ht="57.6">
      <c r="B199" s="75" t="s">
        <v>384</v>
      </c>
      <c r="C199" s="88" t="s">
        <v>385</v>
      </c>
      <c r="D199" s="89" t="s">
        <v>79</v>
      </c>
      <c r="E199" s="92">
        <v>93.13</v>
      </c>
      <c r="F199" s="92">
        <v>93.13</v>
      </c>
      <c r="G199" s="91"/>
      <c r="H199" s="91"/>
      <c r="I199" s="91"/>
      <c r="J199" s="79">
        <f>SUM(H199:I199)+'BM 011'!J199</f>
        <v>0</v>
      </c>
      <c r="K199" s="91">
        <f t="shared" si="90"/>
        <v>93.13</v>
      </c>
      <c r="L199" s="84">
        <v>1190</v>
      </c>
      <c r="M199" s="81">
        <v>1508.4441308999999</v>
      </c>
      <c r="N199" s="82">
        <f t="shared" si="104"/>
        <v>0</v>
      </c>
      <c r="O199" s="82">
        <f t="shared" si="105"/>
        <v>0</v>
      </c>
      <c r="P199" s="82">
        <f>O199+'BM 011'!P199</f>
        <v>0</v>
      </c>
      <c r="Q199" s="80">
        <f t="shared" si="106"/>
        <v>110824.7</v>
      </c>
      <c r="R199" s="82">
        <f t="shared" si="107"/>
        <v>140481.4</v>
      </c>
      <c r="S199" s="82">
        <f t="shared" si="108"/>
        <v>140481.4</v>
      </c>
      <c r="T199" s="82">
        <f t="shared" si="109"/>
        <v>140481.4</v>
      </c>
    </row>
    <row r="200" spans="2:20" s="34" customFormat="1" ht="91.8">
      <c r="B200" s="75" t="s">
        <v>386</v>
      </c>
      <c r="C200" s="88" t="s">
        <v>387</v>
      </c>
      <c r="D200" s="89" t="s">
        <v>79</v>
      </c>
      <c r="E200" s="92">
        <v>570.20000000000005</v>
      </c>
      <c r="F200" s="92">
        <v>570.20000000000005</v>
      </c>
      <c r="G200" s="91"/>
      <c r="H200" s="91"/>
      <c r="I200" s="91"/>
      <c r="J200" s="79">
        <f>SUM(H200:I200)+'BM 011'!J200</f>
        <v>0</v>
      </c>
      <c r="K200" s="91">
        <f t="shared" si="90"/>
        <v>570.20000000000005</v>
      </c>
      <c r="L200" s="84">
        <v>1190</v>
      </c>
      <c r="M200" s="81">
        <v>1508.4441308999999</v>
      </c>
      <c r="N200" s="82">
        <f t="shared" si="104"/>
        <v>0</v>
      </c>
      <c r="O200" s="82">
        <f t="shared" si="105"/>
        <v>0</v>
      </c>
      <c r="P200" s="82">
        <f>O200+'BM 011'!P200</f>
        <v>0</v>
      </c>
      <c r="Q200" s="80">
        <f t="shared" si="106"/>
        <v>678538</v>
      </c>
      <c r="R200" s="82">
        <f t="shared" si="107"/>
        <v>860114.84</v>
      </c>
      <c r="S200" s="82">
        <f t="shared" si="108"/>
        <v>860114.84</v>
      </c>
      <c r="T200" s="82">
        <f t="shared" si="109"/>
        <v>860114.84</v>
      </c>
    </row>
    <row r="201" spans="2:20" s="34" customFormat="1" ht="23.4">
      <c r="B201" s="75" t="s">
        <v>388</v>
      </c>
      <c r="C201" s="88" t="s">
        <v>389</v>
      </c>
      <c r="D201" s="89" t="s">
        <v>390</v>
      </c>
      <c r="E201" s="92">
        <v>4</v>
      </c>
      <c r="F201" s="92">
        <v>4</v>
      </c>
      <c r="G201" s="91"/>
      <c r="H201" s="91"/>
      <c r="I201" s="91"/>
      <c r="J201" s="79">
        <f>SUM(H201:I201)+'BM 011'!J201</f>
        <v>0</v>
      </c>
      <c r="K201" s="91">
        <f t="shared" si="90"/>
        <v>4</v>
      </c>
      <c r="L201" s="84">
        <v>1780</v>
      </c>
      <c r="M201" s="81">
        <v>2256.3281957999998</v>
      </c>
      <c r="N201" s="82">
        <f t="shared" si="104"/>
        <v>0</v>
      </c>
      <c r="O201" s="82">
        <f t="shared" si="105"/>
        <v>0</v>
      </c>
      <c r="P201" s="82">
        <f>O201+'BM 011'!P201</f>
        <v>0</v>
      </c>
      <c r="Q201" s="80">
        <f t="shared" si="106"/>
        <v>7120</v>
      </c>
      <c r="R201" s="82">
        <f t="shared" si="107"/>
        <v>9025.31</v>
      </c>
      <c r="S201" s="82">
        <f t="shared" si="108"/>
        <v>9025.31</v>
      </c>
      <c r="T201" s="82">
        <f t="shared" si="109"/>
        <v>9025.31</v>
      </c>
    </row>
    <row r="202" spans="2:20" s="34" customFormat="1" ht="23.4">
      <c r="B202" s="75" t="s">
        <v>391</v>
      </c>
      <c r="C202" s="88" t="s">
        <v>392</v>
      </c>
      <c r="D202" s="89" t="s">
        <v>390</v>
      </c>
      <c r="E202" s="92">
        <v>1</v>
      </c>
      <c r="F202" s="92">
        <v>1</v>
      </c>
      <c r="G202" s="91"/>
      <c r="H202" s="91"/>
      <c r="I202" s="91"/>
      <c r="J202" s="79">
        <f>SUM(H202:I202)+'BM 011'!J202</f>
        <v>0</v>
      </c>
      <c r="K202" s="91">
        <f t="shared" si="90"/>
        <v>1</v>
      </c>
      <c r="L202" s="84">
        <v>840</v>
      </c>
      <c r="M202" s="81">
        <v>1064.7840924</v>
      </c>
      <c r="N202" s="82">
        <f t="shared" si="104"/>
        <v>0</v>
      </c>
      <c r="O202" s="82">
        <f t="shared" si="105"/>
        <v>0</v>
      </c>
      <c r="P202" s="82">
        <f>O202+'BM 011'!P202</f>
        <v>0</v>
      </c>
      <c r="Q202" s="80">
        <f t="shared" si="106"/>
        <v>840</v>
      </c>
      <c r="R202" s="82">
        <f t="shared" si="107"/>
        <v>1064.78</v>
      </c>
      <c r="S202" s="82">
        <f t="shared" si="108"/>
        <v>1064.78</v>
      </c>
      <c r="T202" s="82">
        <f t="shared" si="109"/>
        <v>1064.78</v>
      </c>
    </row>
    <row r="203" spans="2:20" s="34" customFormat="1" ht="23.4">
      <c r="B203" s="75" t="s">
        <v>393</v>
      </c>
      <c r="C203" s="88" t="s">
        <v>394</v>
      </c>
      <c r="D203" s="89" t="s">
        <v>390</v>
      </c>
      <c r="E203" s="92">
        <v>6</v>
      </c>
      <c r="F203" s="92">
        <v>6</v>
      </c>
      <c r="G203" s="91"/>
      <c r="H203" s="91"/>
      <c r="I203" s="91"/>
      <c r="J203" s="79">
        <f>SUM(H203:I203)+'BM 011'!J203</f>
        <v>0</v>
      </c>
      <c r="K203" s="91">
        <f t="shared" si="90"/>
        <v>6</v>
      </c>
      <c r="L203" s="84">
        <v>2190</v>
      </c>
      <c r="M203" s="81">
        <v>2776.0442409000002</v>
      </c>
      <c r="N203" s="82">
        <f t="shared" si="104"/>
        <v>0</v>
      </c>
      <c r="O203" s="82">
        <f t="shared" si="105"/>
        <v>0</v>
      </c>
      <c r="P203" s="82">
        <f>O203+'BM 011'!P203</f>
        <v>0</v>
      </c>
      <c r="Q203" s="80">
        <f t="shared" si="106"/>
        <v>13140</v>
      </c>
      <c r="R203" s="82">
        <f t="shared" si="107"/>
        <v>16656.259999999998</v>
      </c>
      <c r="S203" s="82">
        <f t="shared" si="108"/>
        <v>16656.259999999998</v>
      </c>
      <c r="T203" s="82">
        <f t="shared" si="109"/>
        <v>16656.259999999998</v>
      </c>
    </row>
    <row r="204" spans="2:20" s="34" customFormat="1" ht="46.2">
      <c r="B204" s="75" t="s">
        <v>395</v>
      </c>
      <c r="C204" s="88" t="s">
        <v>396</v>
      </c>
      <c r="D204" s="89" t="s">
        <v>390</v>
      </c>
      <c r="E204" s="92">
        <v>24</v>
      </c>
      <c r="F204" s="92">
        <v>24</v>
      </c>
      <c r="G204" s="91"/>
      <c r="H204" s="91"/>
      <c r="I204" s="91"/>
      <c r="J204" s="79">
        <f>SUM(H204:I204)+'BM 011'!J204</f>
        <v>0</v>
      </c>
      <c r="K204" s="91">
        <f t="shared" si="90"/>
        <v>24</v>
      </c>
      <c r="L204" s="84">
        <v>1950</v>
      </c>
      <c r="M204" s="81">
        <v>2471.8202145</v>
      </c>
      <c r="N204" s="82">
        <f t="shared" si="104"/>
        <v>0</v>
      </c>
      <c r="O204" s="82">
        <f t="shared" si="105"/>
        <v>0</v>
      </c>
      <c r="P204" s="82">
        <f>O204+'BM 011'!P204</f>
        <v>0</v>
      </c>
      <c r="Q204" s="80">
        <f t="shared" si="106"/>
        <v>46800</v>
      </c>
      <c r="R204" s="82">
        <f t="shared" si="107"/>
        <v>59323.68</v>
      </c>
      <c r="S204" s="82">
        <f t="shared" si="108"/>
        <v>59323.68</v>
      </c>
      <c r="T204" s="82">
        <f t="shared" si="109"/>
        <v>59323.68</v>
      </c>
    </row>
    <row r="205" spans="2:20" s="34" customFormat="1" ht="34.799999999999997">
      <c r="B205" s="75" t="s">
        <v>397</v>
      </c>
      <c r="C205" s="88" t="s">
        <v>398</v>
      </c>
      <c r="D205" s="89" t="s">
        <v>79</v>
      </c>
      <c r="E205" s="92">
        <v>17.82</v>
      </c>
      <c r="F205" s="92">
        <v>17.82</v>
      </c>
      <c r="G205" s="91"/>
      <c r="H205" s="91"/>
      <c r="I205" s="91"/>
      <c r="J205" s="79">
        <f>SUM(H205:I205)+'BM 011'!J205</f>
        <v>0</v>
      </c>
      <c r="K205" s="91">
        <f t="shared" si="90"/>
        <v>17.82</v>
      </c>
      <c r="L205" s="84">
        <v>950</v>
      </c>
      <c r="M205" s="81">
        <v>1204.2201044999999</v>
      </c>
      <c r="N205" s="82">
        <f t="shared" si="104"/>
        <v>0</v>
      </c>
      <c r="O205" s="82">
        <f t="shared" si="105"/>
        <v>0</v>
      </c>
      <c r="P205" s="82">
        <f>O205+'BM 011'!P205</f>
        <v>0</v>
      </c>
      <c r="Q205" s="80">
        <f t="shared" si="106"/>
        <v>16929</v>
      </c>
      <c r="R205" s="82">
        <f t="shared" si="107"/>
        <v>21459.200000000001</v>
      </c>
      <c r="S205" s="82">
        <f t="shared" si="108"/>
        <v>21459.200000000001</v>
      </c>
      <c r="T205" s="82">
        <f t="shared" si="109"/>
        <v>21459.200000000001</v>
      </c>
    </row>
    <row r="206" spans="2:20" s="34" customFormat="1" ht="46.2">
      <c r="B206" s="75" t="s">
        <v>399</v>
      </c>
      <c r="C206" s="88" t="s">
        <v>400</v>
      </c>
      <c r="D206" s="89" t="s">
        <v>63</v>
      </c>
      <c r="E206" s="92">
        <v>18</v>
      </c>
      <c r="F206" s="92">
        <v>18</v>
      </c>
      <c r="G206" s="91"/>
      <c r="H206" s="91"/>
      <c r="I206" s="91"/>
      <c r="J206" s="79">
        <f>SUM(H206:I206)+'BM 011'!J206</f>
        <v>0</v>
      </c>
      <c r="K206" s="91">
        <f t="shared" si="90"/>
        <v>18</v>
      </c>
      <c r="L206" s="84">
        <v>2480</v>
      </c>
      <c r="M206" s="81">
        <v>3143.6482728000001</v>
      </c>
      <c r="N206" s="82">
        <f t="shared" si="104"/>
        <v>0</v>
      </c>
      <c r="O206" s="82">
        <f t="shared" si="105"/>
        <v>0</v>
      </c>
      <c r="P206" s="82">
        <f>O206+'BM 011'!P206</f>
        <v>0</v>
      </c>
      <c r="Q206" s="80">
        <f t="shared" si="106"/>
        <v>44640</v>
      </c>
      <c r="R206" s="82">
        <f t="shared" si="107"/>
        <v>56585.66</v>
      </c>
      <c r="S206" s="82">
        <f t="shared" si="108"/>
        <v>56585.66</v>
      </c>
      <c r="T206" s="82">
        <f t="shared" si="109"/>
        <v>56585.66</v>
      </c>
    </row>
    <row r="207" spans="2:20" s="34" customFormat="1" ht="46.2">
      <c r="B207" s="75" t="s">
        <v>401</v>
      </c>
      <c r="C207" s="88" t="s">
        <v>402</v>
      </c>
      <c r="D207" s="89" t="s">
        <v>63</v>
      </c>
      <c r="E207" s="92">
        <v>47</v>
      </c>
      <c r="F207" s="92">
        <v>47</v>
      </c>
      <c r="G207" s="91"/>
      <c r="H207" s="91"/>
      <c r="I207" s="91"/>
      <c r="J207" s="79">
        <f>SUM(H207:I207)+'BM 011'!J207</f>
        <v>0</v>
      </c>
      <c r="K207" s="91">
        <f t="shared" si="90"/>
        <v>47</v>
      </c>
      <c r="L207" s="84">
        <v>1080</v>
      </c>
      <c r="M207" s="81">
        <v>1369.0081187999999</v>
      </c>
      <c r="N207" s="82">
        <f t="shared" si="104"/>
        <v>0</v>
      </c>
      <c r="O207" s="82">
        <f t="shared" si="105"/>
        <v>0</v>
      </c>
      <c r="P207" s="82">
        <f>O207+'BM 011'!P207</f>
        <v>0</v>
      </c>
      <c r="Q207" s="80">
        <f t="shared" si="106"/>
        <v>50760</v>
      </c>
      <c r="R207" s="82">
        <f t="shared" si="107"/>
        <v>64343.38</v>
      </c>
      <c r="S207" s="82">
        <f t="shared" si="108"/>
        <v>64343.38</v>
      </c>
      <c r="T207" s="82">
        <f t="shared" si="109"/>
        <v>64343.38</v>
      </c>
    </row>
    <row r="208" spans="2:20" s="34" customFormat="1" ht="13.2">
      <c r="B208" s="66" t="s">
        <v>403</v>
      </c>
      <c r="C208" s="67" t="s">
        <v>404</v>
      </c>
      <c r="D208" s="68"/>
      <c r="E208" s="69"/>
      <c r="F208" s="69"/>
      <c r="G208" s="70"/>
      <c r="H208" s="70"/>
      <c r="I208" s="70"/>
      <c r="J208" s="70">
        <f>SUM(H208:I208)+'BM 011'!J208</f>
        <v>0</v>
      </c>
      <c r="K208" s="70">
        <f t="shared" si="90"/>
        <v>0</v>
      </c>
      <c r="L208" s="71"/>
      <c r="M208" s="71">
        <v>0</v>
      </c>
      <c r="N208" s="73">
        <f t="shared" ref="N208:T208" si="110">SUM(N209:N217)</f>
        <v>0</v>
      </c>
      <c r="O208" s="73">
        <f t="shared" si="110"/>
        <v>0</v>
      </c>
      <c r="P208" s="73">
        <f t="shared" si="110"/>
        <v>0</v>
      </c>
      <c r="Q208" s="73">
        <f t="shared" si="110"/>
        <v>987536.55</v>
      </c>
      <c r="R208" s="73">
        <f t="shared" si="110"/>
        <v>1251801.3999999999</v>
      </c>
      <c r="S208" s="73">
        <f t="shared" si="110"/>
        <v>1251801.3999999999</v>
      </c>
      <c r="T208" s="73">
        <f t="shared" si="110"/>
        <v>1251801.3999999999</v>
      </c>
    </row>
    <row r="209" spans="1:25" s="34" customFormat="1" ht="46.2">
      <c r="B209" s="87" t="s">
        <v>405</v>
      </c>
      <c r="C209" s="88" t="s">
        <v>406</v>
      </c>
      <c r="D209" s="89" t="s">
        <v>124</v>
      </c>
      <c r="E209" s="92">
        <v>158.59</v>
      </c>
      <c r="F209" s="92">
        <v>158.59</v>
      </c>
      <c r="G209" s="91"/>
      <c r="H209" s="91"/>
      <c r="I209" s="91"/>
      <c r="J209" s="79">
        <f>SUM(H209:I209)+'BM 011'!J209</f>
        <v>0</v>
      </c>
      <c r="K209" s="91">
        <f t="shared" si="90"/>
        <v>158.59</v>
      </c>
      <c r="L209" s="84">
        <v>415</v>
      </c>
      <c r="M209" s="81">
        <v>526.05404565000003</v>
      </c>
      <c r="N209" s="82">
        <f t="shared" ref="N209:N217" si="111">TRUNC(G209*M209,2)</f>
        <v>0</v>
      </c>
      <c r="O209" s="82">
        <f t="shared" ref="O209:O217" si="112">TRUNC(H209*M209,2)</f>
        <v>0</v>
      </c>
      <c r="P209" s="82">
        <f>O209+'BM 011'!P209</f>
        <v>0</v>
      </c>
      <c r="Q209" s="80">
        <f t="shared" ref="Q209:Q217" si="113">E209*L209</f>
        <v>65814.850000000006</v>
      </c>
      <c r="R209" s="82">
        <f t="shared" ref="R209:R217" si="114">TRUNC(E209*M209,2)</f>
        <v>83426.91</v>
      </c>
      <c r="S209" s="82">
        <f t="shared" ref="S209:S217" si="115">TRUNC(F209*$M209,2)</f>
        <v>83426.91</v>
      </c>
      <c r="T209" s="82">
        <f t="shared" ref="T209:T217" si="116">S209-P209</f>
        <v>83426.91</v>
      </c>
    </row>
    <row r="210" spans="1:25" s="34" customFormat="1" ht="13.2">
      <c r="B210" s="87" t="s">
        <v>407</v>
      </c>
      <c r="C210" s="88" t="s">
        <v>408</v>
      </c>
      <c r="D210" s="89" t="s">
        <v>124</v>
      </c>
      <c r="E210" s="92">
        <v>198.52</v>
      </c>
      <c r="F210" s="92">
        <v>198.52</v>
      </c>
      <c r="G210" s="91"/>
      <c r="H210" s="91"/>
      <c r="I210" s="91"/>
      <c r="J210" s="79">
        <f>SUM(H210:I210)+'BM 011'!J210</f>
        <v>0</v>
      </c>
      <c r="K210" s="91">
        <f t="shared" si="90"/>
        <v>198.52</v>
      </c>
      <c r="L210" s="84">
        <v>455</v>
      </c>
      <c r="M210" s="81">
        <v>576.75805004999995</v>
      </c>
      <c r="N210" s="82">
        <f t="shared" si="111"/>
        <v>0</v>
      </c>
      <c r="O210" s="82">
        <f t="shared" si="112"/>
        <v>0</v>
      </c>
      <c r="P210" s="82">
        <f>O210+'BM 011'!P210</f>
        <v>0</v>
      </c>
      <c r="Q210" s="80">
        <f t="shared" si="113"/>
        <v>90326.6</v>
      </c>
      <c r="R210" s="82">
        <f t="shared" si="114"/>
        <v>114498</v>
      </c>
      <c r="S210" s="82">
        <f t="shared" si="115"/>
        <v>114498</v>
      </c>
      <c r="T210" s="82">
        <f t="shared" si="116"/>
        <v>114498</v>
      </c>
    </row>
    <row r="211" spans="1:25" s="34" customFormat="1" ht="23.4">
      <c r="B211" s="87" t="s">
        <v>409</v>
      </c>
      <c r="C211" s="88" t="s">
        <v>410</v>
      </c>
      <c r="D211" s="89" t="s">
        <v>124</v>
      </c>
      <c r="E211" s="92">
        <v>129.65</v>
      </c>
      <c r="F211" s="92">
        <v>129.65</v>
      </c>
      <c r="G211" s="91"/>
      <c r="H211" s="91"/>
      <c r="I211" s="91"/>
      <c r="J211" s="79">
        <f>SUM(H211:I211)+'BM 011'!J211</f>
        <v>0</v>
      </c>
      <c r="K211" s="91">
        <f t="shared" si="90"/>
        <v>129.65</v>
      </c>
      <c r="L211" s="84">
        <v>745</v>
      </c>
      <c r="M211" s="81">
        <v>944.36208194999995</v>
      </c>
      <c r="N211" s="82">
        <f t="shared" si="111"/>
        <v>0</v>
      </c>
      <c r="O211" s="82">
        <f t="shared" si="112"/>
        <v>0</v>
      </c>
      <c r="P211" s="82">
        <f>O211+'BM 011'!P211</f>
        <v>0</v>
      </c>
      <c r="Q211" s="80">
        <f t="shared" si="113"/>
        <v>96589.25</v>
      </c>
      <c r="R211" s="82">
        <f t="shared" si="114"/>
        <v>122436.54</v>
      </c>
      <c r="S211" s="82">
        <f t="shared" si="115"/>
        <v>122436.54</v>
      </c>
      <c r="T211" s="82">
        <f t="shared" si="116"/>
        <v>122436.54</v>
      </c>
    </row>
    <row r="212" spans="1:25" s="34" customFormat="1" ht="23.4">
      <c r="B212" s="87" t="s">
        <v>411</v>
      </c>
      <c r="C212" s="88" t="s">
        <v>412</v>
      </c>
      <c r="D212" s="89" t="s">
        <v>124</v>
      </c>
      <c r="E212" s="92">
        <v>98.74</v>
      </c>
      <c r="F212" s="92">
        <v>98.74</v>
      </c>
      <c r="G212" s="91"/>
      <c r="H212" s="91"/>
      <c r="I212" s="91"/>
      <c r="J212" s="79">
        <f>SUM(H212:I212)+'BM 011'!J212</f>
        <v>0</v>
      </c>
      <c r="K212" s="91">
        <f t="shared" si="90"/>
        <v>98.74</v>
      </c>
      <c r="L212" s="84">
        <v>855</v>
      </c>
      <c r="M212" s="81">
        <v>1083.7980940499999</v>
      </c>
      <c r="N212" s="82">
        <f t="shared" si="111"/>
        <v>0</v>
      </c>
      <c r="O212" s="82">
        <f t="shared" si="112"/>
        <v>0</v>
      </c>
      <c r="P212" s="82">
        <f>O212+'BM 011'!P212</f>
        <v>0</v>
      </c>
      <c r="Q212" s="80">
        <f t="shared" si="113"/>
        <v>84422.7</v>
      </c>
      <c r="R212" s="82">
        <f t="shared" si="114"/>
        <v>107014.22</v>
      </c>
      <c r="S212" s="82">
        <f t="shared" si="115"/>
        <v>107014.22</v>
      </c>
      <c r="T212" s="82">
        <f t="shared" si="116"/>
        <v>107014.22</v>
      </c>
    </row>
    <row r="213" spans="1:25" s="34" customFormat="1" ht="69">
      <c r="B213" s="87" t="s">
        <v>413</v>
      </c>
      <c r="C213" s="88" t="s">
        <v>414</v>
      </c>
      <c r="D213" s="89" t="s">
        <v>82</v>
      </c>
      <c r="E213" s="92">
        <v>12</v>
      </c>
      <c r="F213" s="92">
        <v>12</v>
      </c>
      <c r="G213" s="91"/>
      <c r="H213" s="91"/>
      <c r="I213" s="91"/>
      <c r="J213" s="79">
        <f>SUM(H213:I213)+'BM 011'!J213</f>
        <v>0</v>
      </c>
      <c r="K213" s="91">
        <f t="shared" si="90"/>
        <v>12</v>
      </c>
      <c r="L213" s="84">
        <v>1650</v>
      </c>
      <c r="M213" s="81">
        <v>2091.5401815</v>
      </c>
      <c r="N213" s="82">
        <f t="shared" si="111"/>
        <v>0</v>
      </c>
      <c r="O213" s="82">
        <f t="shared" si="112"/>
        <v>0</v>
      </c>
      <c r="P213" s="82">
        <f>O213+'BM 011'!P213</f>
        <v>0</v>
      </c>
      <c r="Q213" s="80">
        <f t="shared" si="113"/>
        <v>19800</v>
      </c>
      <c r="R213" s="82">
        <f t="shared" si="114"/>
        <v>25098.48</v>
      </c>
      <c r="S213" s="82">
        <f t="shared" si="115"/>
        <v>25098.48</v>
      </c>
      <c r="T213" s="82">
        <f t="shared" si="116"/>
        <v>25098.48</v>
      </c>
    </row>
    <row r="214" spans="1:25" s="34" customFormat="1" ht="13.2">
      <c r="B214" s="87" t="s">
        <v>415</v>
      </c>
      <c r="C214" s="88" t="s">
        <v>416</v>
      </c>
      <c r="D214" s="89" t="s">
        <v>79</v>
      </c>
      <c r="E214" s="92">
        <v>72.650000000000006</v>
      </c>
      <c r="F214" s="92">
        <v>72.650000000000006</v>
      </c>
      <c r="G214" s="91"/>
      <c r="H214" s="91"/>
      <c r="I214" s="91"/>
      <c r="J214" s="79">
        <f>SUM(H214:I214)+'BM 011'!J214</f>
        <v>0</v>
      </c>
      <c r="K214" s="91">
        <f t="shared" si="90"/>
        <v>72.650000000000006</v>
      </c>
      <c r="L214" s="84">
        <v>485</v>
      </c>
      <c r="M214" s="81">
        <v>614.78605334999997</v>
      </c>
      <c r="N214" s="82">
        <f t="shared" si="111"/>
        <v>0</v>
      </c>
      <c r="O214" s="82">
        <f t="shared" si="112"/>
        <v>0</v>
      </c>
      <c r="P214" s="82">
        <f>O214+'BM 011'!P214</f>
        <v>0</v>
      </c>
      <c r="Q214" s="80">
        <f t="shared" si="113"/>
        <v>35235.25</v>
      </c>
      <c r="R214" s="82">
        <f t="shared" si="114"/>
        <v>44664.2</v>
      </c>
      <c r="S214" s="82">
        <f t="shared" si="115"/>
        <v>44664.2</v>
      </c>
      <c r="T214" s="82">
        <f t="shared" si="116"/>
        <v>44664.2</v>
      </c>
    </row>
    <row r="215" spans="1:25" s="34" customFormat="1" ht="23.4">
      <c r="B215" s="87" t="s">
        <v>417</v>
      </c>
      <c r="C215" s="88" t="s">
        <v>418</v>
      </c>
      <c r="D215" s="89" t="s">
        <v>79</v>
      </c>
      <c r="E215" s="92">
        <v>51.22</v>
      </c>
      <c r="F215" s="92">
        <v>51.22</v>
      </c>
      <c r="G215" s="91"/>
      <c r="H215" s="91"/>
      <c r="I215" s="91"/>
      <c r="J215" s="79">
        <f>SUM(H215:I215)+'BM 011'!J215</f>
        <v>0</v>
      </c>
      <c r="K215" s="91">
        <f t="shared" si="90"/>
        <v>51.22</v>
      </c>
      <c r="L215" s="84">
        <v>1350</v>
      </c>
      <c r="M215" s="81">
        <v>1711.2601485</v>
      </c>
      <c r="N215" s="82">
        <f t="shared" si="111"/>
        <v>0</v>
      </c>
      <c r="O215" s="82">
        <f t="shared" si="112"/>
        <v>0</v>
      </c>
      <c r="P215" s="82">
        <f>O215+'BM 011'!P215</f>
        <v>0</v>
      </c>
      <c r="Q215" s="80">
        <f t="shared" si="113"/>
        <v>69147</v>
      </c>
      <c r="R215" s="82">
        <f t="shared" si="114"/>
        <v>87650.74</v>
      </c>
      <c r="S215" s="82">
        <f t="shared" si="115"/>
        <v>87650.74</v>
      </c>
      <c r="T215" s="82">
        <f t="shared" si="116"/>
        <v>87650.74</v>
      </c>
    </row>
    <row r="216" spans="1:25" s="34" customFormat="1" ht="46.2">
      <c r="B216" s="87" t="s">
        <v>419</v>
      </c>
      <c r="C216" s="88" t="s">
        <v>420</v>
      </c>
      <c r="D216" s="89" t="s">
        <v>79</v>
      </c>
      <c r="E216" s="92">
        <v>98</v>
      </c>
      <c r="F216" s="92">
        <v>98</v>
      </c>
      <c r="G216" s="91"/>
      <c r="H216" s="91"/>
      <c r="I216" s="91"/>
      <c r="J216" s="79">
        <f>SUM(H216:I216)+'BM 011'!J216</f>
        <v>0</v>
      </c>
      <c r="K216" s="91">
        <f t="shared" si="90"/>
        <v>98</v>
      </c>
      <c r="L216" s="84">
        <v>498</v>
      </c>
      <c r="M216" s="81">
        <v>631.26485477999995</v>
      </c>
      <c r="N216" s="82">
        <f t="shared" si="111"/>
        <v>0</v>
      </c>
      <c r="O216" s="82">
        <f t="shared" si="112"/>
        <v>0</v>
      </c>
      <c r="P216" s="82">
        <f>O216+'BM 011'!P216</f>
        <v>0</v>
      </c>
      <c r="Q216" s="80">
        <f t="shared" si="113"/>
        <v>48804</v>
      </c>
      <c r="R216" s="82">
        <f t="shared" si="114"/>
        <v>61863.95</v>
      </c>
      <c r="S216" s="82">
        <f t="shared" si="115"/>
        <v>61863.95</v>
      </c>
      <c r="T216" s="82">
        <f t="shared" si="116"/>
        <v>61863.95</v>
      </c>
    </row>
    <row r="217" spans="1:25" s="107" customFormat="1" ht="34.799999999999997">
      <c r="A217" s="34"/>
      <c r="B217" s="87" t="s">
        <v>421</v>
      </c>
      <c r="C217" s="88" t="s">
        <v>422</v>
      </c>
      <c r="D217" s="89" t="s">
        <v>79</v>
      </c>
      <c r="E217" s="92">
        <v>342.22</v>
      </c>
      <c r="F217" s="92">
        <v>342.22</v>
      </c>
      <c r="G217" s="91"/>
      <c r="H217" s="91"/>
      <c r="I217" s="91"/>
      <c r="J217" s="79">
        <f>SUM(H217:I217)+'BM 011'!J217</f>
        <v>0</v>
      </c>
      <c r="K217" s="91">
        <f t="shared" si="90"/>
        <v>342.22</v>
      </c>
      <c r="L217" s="84">
        <v>1395</v>
      </c>
      <c r="M217" s="81">
        <v>1768.3021534500001</v>
      </c>
      <c r="N217" s="82">
        <f t="shared" si="111"/>
        <v>0</v>
      </c>
      <c r="O217" s="82">
        <f t="shared" si="112"/>
        <v>0</v>
      </c>
      <c r="P217" s="82">
        <f>O217+'BM 011'!P217</f>
        <v>0</v>
      </c>
      <c r="Q217" s="80">
        <f t="shared" si="113"/>
        <v>477396.9</v>
      </c>
      <c r="R217" s="82">
        <f t="shared" si="114"/>
        <v>605148.36</v>
      </c>
      <c r="S217" s="82">
        <f t="shared" si="115"/>
        <v>605148.36</v>
      </c>
      <c r="T217" s="82">
        <f t="shared" si="116"/>
        <v>605148.36</v>
      </c>
      <c r="U217" s="34"/>
      <c r="V217" s="34"/>
      <c r="W217" s="34"/>
      <c r="X217" s="34"/>
      <c r="Y217" s="34"/>
    </row>
    <row r="218" spans="1:25" s="34" customFormat="1" ht="13.2">
      <c r="B218" s="60" t="s">
        <v>423</v>
      </c>
      <c r="C218" s="61" t="s">
        <v>424</v>
      </c>
      <c r="D218" s="60"/>
      <c r="E218" s="62"/>
      <c r="F218" s="284"/>
      <c r="G218" s="63"/>
      <c r="H218" s="63"/>
      <c r="I218" s="63"/>
      <c r="J218" s="63">
        <f>SUM(H218:I218)+'BM 011'!J218</f>
        <v>0</v>
      </c>
      <c r="K218" s="63">
        <f t="shared" si="90"/>
        <v>0</v>
      </c>
      <c r="L218" s="63"/>
      <c r="M218" s="63">
        <v>0</v>
      </c>
      <c r="N218" s="63">
        <f t="shared" ref="N218:T218" si="117">SUM(N219:N224)</f>
        <v>0</v>
      </c>
      <c r="O218" s="63">
        <f t="shared" si="117"/>
        <v>0</v>
      </c>
      <c r="P218" s="63">
        <f t="shared" si="117"/>
        <v>0</v>
      </c>
      <c r="Q218" s="63">
        <f t="shared" si="117"/>
        <v>1326910.8099999998</v>
      </c>
      <c r="R218" s="63">
        <f t="shared" si="117"/>
        <v>1681992.2700000003</v>
      </c>
      <c r="S218" s="63">
        <f t="shared" si="117"/>
        <v>1681992.2700000003</v>
      </c>
      <c r="T218" s="63">
        <f t="shared" si="117"/>
        <v>1681992.2700000003</v>
      </c>
    </row>
    <row r="219" spans="1:25" s="34" customFormat="1" ht="23.4">
      <c r="B219" s="87" t="s">
        <v>425</v>
      </c>
      <c r="C219" s="88" t="s">
        <v>426</v>
      </c>
      <c r="D219" s="89" t="s">
        <v>79</v>
      </c>
      <c r="E219" s="90">
        <f>E146+E150</f>
        <v>25549.96</v>
      </c>
      <c r="F219" s="90">
        <v>25549.96</v>
      </c>
      <c r="G219" s="91"/>
      <c r="H219" s="91"/>
      <c r="I219" s="91"/>
      <c r="J219" s="79">
        <f>SUM(H219:I219)+'BM 011'!J219</f>
        <v>0</v>
      </c>
      <c r="K219" s="91">
        <f t="shared" si="90"/>
        <v>25549.96</v>
      </c>
      <c r="L219" s="84">
        <v>16</v>
      </c>
      <c r="M219" s="81">
        <v>20.281601760000001</v>
      </c>
      <c r="N219" s="82">
        <f t="shared" ref="N219:N224" si="118">TRUNC(G219*M219,2)</f>
        <v>0</v>
      </c>
      <c r="O219" s="82">
        <f t="shared" ref="O219:O224" si="119">TRUNC(H219*M219,2)</f>
        <v>0</v>
      </c>
      <c r="P219" s="82">
        <f>O219+'BM 011'!P219</f>
        <v>0</v>
      </c>
      <c r="Q219" s="80">
        <f t="shared" ref="Q219:Q224" si="120">E219*L219</f>
        <v>408799.36</v>
      </c>
      <c r="R219" s="82">
        <f t="shared" ref="R219:R224" si="121">TRUNC(E219*M219,2)</f>
        <v>518194.11</v>
      </c>
      <c r="S219" s="82">
        <f t="shared" ref="S219:S224" si="122">TRUNC(F219*$M219,2)</f>
        <v>518194.11</v>
      </c>
      <c r="T219" s="82">
        <f t="shared" ref="T219:T224" si="123">S219-P219</f>
        <v>518194.11</v>
      </c>
    </row>
    <row r="220" spans="1:25" s="34" customFormat="1" ht="23.4">
      <c r="B220" s="87" t="s">
        <v>427</v>
      </c>
      <c r="C220" s="88" t="s">
        <v>428</v>
      </c>
      <c r="D220" s="89" t="s">
        <v>79</v>
      </c>
      <c r="E220" s="90">
        <f>E174</f>
        <v>3789.02</v>
      </c>
      <c r="F220" s="90">
        <v>3789.02</v>
      </c>
      <c r="G220" s="91"/>
      <c r="H220" s="91"/>
      <c r="I220" s="91"/>
      <c r="J220" s="79">
        <f>SUM(H220:I220)+'BM 011'!J220</f>
        <v>0</v>
      </c>
      <c r="K220" s="91">
        <f t="shared" si="90"/>
        <v>3789.02</v>
      </c>
      <c r="L220" s="84">
        <v>25</v>
      </c>
      <c r="M220" s="81">
        <v>31.690002750000001</v>
      </c>
      <c r="N220" s="82">
        <f t="shared" si="118"/>
        <v>0</v>
      </c>
      <c r="O220" s="82">
        <f t="shared" si="119"/>
        <v>0</v>
      </c>
      <c r="P220" s="82">
        <f>O220+'BM 011'!P220</f>
        <v>0</v>
      </c>
      <c r="Q220" s="80">
        <f t="shared" si="120"/>
        <v>94725.5</v>
      </c>
      <c r="R220" s="82">
        <f t="shared" si="121"/>
        <v>120074.05</v>
      </c>
      <c r="S220" s="82">
        <f t="shared" si="122"/>
        <v>120074.05</v>
      </c>
      <c r="T220" s="82">
        <f t="shared" si="123"/>
        <v>120074.05</v>
      </c>
    </row>
    <row r="221" spans="1:25" s="34" customFormat="1" ht="23.4">
      <c r="B221" s="87" t="s">
        <v>429</v>
      </c>
      <c r="C221" s="88" t="s">
        <v>430</v>
      </c>
      <c r="D221" s="89" t="s">
        <v>79</v>
      </c>
      <c r="E221" s="90">
        <f>E219</f>
        <v>25549.96</v>
      </c>
      <c r="F221" s="90">
        <v>25549.96</v>
      </c>
      <c r="G221" s="91"/>
      <c r="H221" s="91"/>
      <c r="I221" s="91"/>
      <c r="J221" s="79">
        <f>SUM(H221:I221)+'BM 011'!J221</f>
        <v>0</v>
      </c>
      <c r="K221" s="91">
        <f t="shared" si="90"/>
        <v>25549.96</v>
      </c>
      <c r="L221" s="84">
        <v>4.5</v>
      </c>
      <c r="M221" s="81">
        <v>5.7042004950000003</v>
      </c>
      <c r="N221" s="82">
        <f t="shared" si="118"/>
        <v>0</v>
      </c>
      <c r="O221" s="82">
        <f t="shared" si="119"/>
        <v>0</v>
      </c>
      <c r="P221" s="82">
        <f>O221+'BM 011'!P221</f>
        <v>0</v>
      </c>
      <c r="Q221" s="80">
        <f t="shared" si="120"/>
        <v>114974.81999999999</v>
      </c>
      <c r="R221" s="82">
        <f t="shared" si="121"/>
        <v>145742.09</v>
      </c>
      <c r="S221" s="82">
        <f t="shared" si="122"/>
        <v>145742.09</v>
      </c>
      <c r="T221" s="82">
        <f t="shared" si="123"/>
        <v>145742.09</v>
      </c>
    </row>
    <row r="222" spans="1:25" s="34" customFormat="1" ht="23.4">
      <c r="B222" s="87" t="s">
        <v>431</v>
      </c>
      <c r="C222" s="88" t="s">
        <v>432</v>
      </c>
      <c r="D222" s="89" t="s">
        <v>79</v>
      </c>
      <c r="E222" s="90">
        <f>E220</f>
        <v>3789.02</v>
      </c>
      <c r="F222" s="90">
        <v>3789.02</v>
      </c>
      <c r="G222" s="91"/>
      <c r="H222" s="91"/>
      <c r="I222" s="91"/>
      <c r="J222" s="79">
        <f>SUM(H222:I222)+'BM 011'!J222</f>
        <v>0</v>
      </c>
      <c r="K222" s="91">
        <f t="shared" ref="K222:K285" si="124">F222-J222</f>
        <v>3789.02</v>
      </c>
      <c r="L222" s="84">
        <v>5</v>
      </c>
      <c r="M222" s="81">
        <v>6.3380005500000003</v>
      </c>
      <c r="N222" s="82">
        <f t="shared" si="118"/>
        <v>0</v>
      </c>
      <c r="O222" s="82">
        <f t="shared" si="119"/>
        <v>0</v>
      </c>
      <c r="P222" s="82">
        <f>O222+'BM 011'!P222</f>
        <v>0</v>
      </c>
      <c r="Q222" s="80">
        <f t="shared" si="120"/>
        <v>18945.099999999999</v>
      </c>
      <c r="R222" s="82">
        <f t="shared" si="121"/>
        <v>24014.81</v>
      </c>
      <c r="S222" s="82">
        <f t="shared" si="122"/>
        <v>24014.81</v>
      </c>
      <c r="T222" s="82">
        <f t="shared" si="123"/>
        <v>24014.81</v>
      </c>
    </row>
    <row r="223" spans="1:25" s="34" customFormat="1" ht="23.4">
      <c r="B223" s="87" t="s">
        <v>433</v>
      </c>
      <c r="C223" s="88" t="s">
        <v>434</v>
      </c>
      <c r="D223" s="89" t="s">
        <v>79</v>
      </c>
      <c r="E223" s="90">
        <f>E219</f>
        <v>25549.96</v>
      </c>
      <c r="F223" s="90">
        <v>25549.96</v>
      </c>
      <c r="G223" s="91"/>
      <c r="H223" s="91"/>
      <c r="I223" s="91"/>
      <c r="J223" s="79">
        <f>SUM(H223:I223)+'BM 011'!J223</f>
        <v>0</v>
      </c>
      <c r="K223" s="91">
        <f t="shared" si="124"/>
        <v>25549.96</v>
      </c>
      <c r="L223" s="84">
        <v>23.5</v>
      </c>
      <c r="M223" s="81">
        <v>29.788602585</v>
      </c>
      <c r="N223" s="82">
        <f t="shared" si="118"/>
        <v>0</v>
      </c>
      <c r="O223" s="82">
        <f t="shared" si="119"/>
        <v>0</v>
      </c>
      <c r="P223" s="82">
        <f>O223+'BM 011'!P223</f>
        <v>0</v>
      </c>
      <c r="Q223" s="80">
        <f t="shared" si="120"/>
        <v>600424.05999999994</v>
      </c>
      <c r="R223" s="82">
        <f t="shared" si="121"/>
        <v>761097.6</v>
      </c>
      <c r="S223" s="82">
        <f t="shared" si="122"/>
        <v>761097.6</v>
      </c>
      <c r="T223" s="82">
        <f t="shared" si="123"/>
        <v>761097.6</v>
      </c>
    </row>
    <row r="224" spans="1:25" s="34" customFormat="1" ht="23.4">
      <c r="B224" s="87" t="s">
        <v>435</v>
      </c>
      <c r="C224" s="88" t="s">
        <v>436</v>
      </c>
      <c r="D224" s="89" t="s">
        <v>79</v>
      </c>
      <c r="E224" s="90">
        <f>E222</f>
        <v>3789.02</v>
      </c>
      <c r="F224" s="90">
        <v>3789.02</v>
      </c>
      <c r="G224" s="91"/>
      <c r="H224" s="91"/>
      <c r="I224" s="91"/>
      <c r="J224" s="79">
        <f>SUM(H224:I224)+'BM 011'!J224</f>
        <v>0</v>
      </c>
      <c r="K224" s="91">
        <f t="shared" si="124"/>
        <v>3789.02</v>
      </c>
      <c r="L224" s="84">
        <v>23.5</v>
      </c>
      <c r="M224" s="81">
        <v>29.788602585</v>
      </c>
      <c r="N224" s="82">
        <f t="shared" si="118"/>
        <v>0</v>
      </c>
      <c r="O224" s="82">
        <f t="shared" si="119"/>
        <v>0</v>
      </c>
      <c r="P224" s="82">
        <f>O224+'BM 011'!P224</f>
        <v>0</v>
      </c>
      <c r="Q224" s="80">
        <f t="shared" si="120"/>
        <v>89041.97</v>
      </c>
      <c r="R224" s="82">
        <f t="shared" si="121"/>
        <v>112869.61</v>
      </c>
      <c r="S224" s="82">
        <f t="shared" si="122"/>
        <v>112869.61</v>
      </c>
      <c r="T224" s="82">
        <f t="shared" si="123"/>
        <v>112869.61</v>
      </c>
    </row>
    <row r="225" spans="1:25" s="34" customFormat="1" ht="13.2">
      <c r="A225" s="107"/>
      <c r="B225" s="60" t="s">
        <v>437</v>
      </c>
      <c r="C225" s="61" t="s">
        <v>438</v>
      </c>
      <c r="D225" s="60"/>
      <c r="E225" s="62"/>
      <c r="F225" s="284"/>
      <c r="G225" s="63"/>
      <c r="H225" s="63"/>
      <c r="I225" s="63"/>
      <c r="J225" s="63">
        <f>SUM(H225:I225)+'BM 011'!J225</f>
        <v>0</v>
      </c>
      <c r="K225" s="63">
        <f t="shared" si="124"/>
        <v>0</v>
      </c>
      <c r="L225" s="63"/>
      <c r="M225" s="63">
        <v>0</v>
      </c>
      <c r="N225" s="63">
        <f t="shared" ref="N225:T225" si="125">SUM(N226:N227)</f>
        <v>0</v>
      </c>
      <c r="O225" s="63">
        <f t="shared" si="125"/>
        <v>0</v>
      </c>
      <c r="P225" s="63">
        <f t="shared" si="125"/>
        <v>0</v>
      </c>
      <c r="Q225" s="63">
        <f t="shared" si="125"/>
        <v>13739.5</v>
      </c>
      <c r="R225" s="63">
        <f t="shared" si="125"/>
        <v>17416.18</v>
      </c>
      <c r="S225" s="63">
        <f t="shared" si="125"/>
        <v>17416.18</v>
      </c>
      <c r="T225" s="63">
        <f t="shared" si="125"/>
        <v>17416.18</v>
      </c>
      <c r="U225" s="107"/>
      <c r="V225" s="107"/>
      <c r="W225" s="107"/>
      <c r="X225" s="107"/>
      <c r="Y225" s="107"/>
    </row>
    <row r="226" spans="1:25" s="34" customFormat="1" ht="13.2">
      <c r="B226" s="87" t="s">
        <v>439</v>
      </c>
      <c r="C226" s="88" t="s">
        <v>440</v>
      </c>
      <c r="D226" s="89" t="s">
        <v>124</v>
      </c>
      <c r="E226" s="90">
        <v>199.3</v>
      </c>
      <c r="F226" s="90">
        <v>199.3</v>
      </c>
      <c r="G226" s="91"/>
      <c r="H226" s="91"/>
      <c r="I226" s="91"/>
      <c r="J226" s="79">
        <f>SUM(H226:I226)+'BM 011'!J226</f>
        <v>0</v>
      </c>
      <c r="K226" s="91">
        <f t="shared" si="124"/>
        <v>199.3</v>
      </c>
      <c r="L226" s="84">
        <v>25</v>
      </c>
      <c r="M226" s="81">
        <v>31.690002750000001</v>
      </c>
      <c r="N226" s="82">
        <f>TRUNC(G226*M226,2)</f>
        <v>0</v>
      </c>
      <c r="O226" s="82">
        <f>TRUNC(H226*M226,2)</f>
        <v>0</v>
      </c>
      <c r="P226" s="82">
        <f>O226+'BM 011'!P226</f>
        <v>0</v>
      </c>
      <c r="Q226" s="80">
        <f>E226*L226</f>
        <v>4982.5</v>
      </c>
      <c r="R226" s="82">
        <f>TRUNC(E226*M226,2)</f>
        <v>6315.81</v>
      </c>
      <c r="S226" s="82">
        <f>TRUNC(F226*$M226,2)</f>
        <v>6315.81</v>
      </c>
      <c r="T226" s="82">
        <f>S226-P226</f>
        <v>6315.81</v>
      </c>
    </row>
    <row r="227" spans="1:25" s="34" customFormat="1" ht="23.4">
      <c r="B227" s="87" t="s">
        <v>441</v>
      </c>
      <c r="C227" s="88" t="s">
        <v>442</v>
      </c>
      <c r="D227" s="89" t="s">
        <v>124</v>
      </c>
      <c r="E227" s="92">
        <v>250.2</v>
      </c>
      <c r="F227" s="92">
        <v>250.2</v>
      </c>
      <c r="G227" s="91"/>
      <c r="H227" s="91"/>
      <c r="I227" s="91"/>
      <c r="J227" s="79">
        <f>SUM(H227:I227)+'BM 011'!J227</f>
        <v>0</v>
      </c>
      <c r="K227" s="91">
        <f t="shared" si="124"/>
        <v>250.2</v>
      </c>
      <c r="L227" s="84">
        <v>35</v>
      </c>
      <c r="M227" s="81">
        <v>44.366003849999998</v>
      </c>
      <c r="N227" s="82">
        <f>TRUNC(G227*M227,2)</f>
        <v>0</v>
      </c>
      <c r="O227" s="82">
        <f>TRUNC(H227*M227,2)</f>
        <v>0</v>
      </c>
      <c r="P227" s="82">
        <f>O227+'BM 011'!P227</f>
        <v>0</v>
      </c>
      <c r="Q227" s="80">
        <f>E227*L227</f>
        <v>8757</v>
      </c>
      <c r="R227" s="82">
        <f>TRUNC(E227*M227,2)</f>
        <v>11100.37</v>
      </c>
      <c r="S227" s="82">
        <f>TRUNC(F227*$M227,2)</f>
        <v>11100.37</v>
      </c>
      <c r="T227" s="82">
        <f>S227-P227</f>
        <v>11100.37</v>
      </c>
    </row>
    <row r="228" spans="1:25" s="34" customFormat="1" ht="13.2">
      <c r="B228" s="60" t="s">
        <v>443</v>
      </c>
      <c r="C228" s="61" t="s">
        <v>444</v>
      </c>
      <c r="D228" s="60"/>
      <c r="E228" s="62"/>
      <c r="F228" s="284"/>
      <c r="G228" s="63"/>
      <c r="H228" s="63"/>
      <c r="I228" s="63"/>
      <c r="J228" s="63">
        <f>SUM(H228:I228)+'BM 011'!J228</f>
        <v>0</v>
      </c>
      <c r="K228" s="63">
        <f t="shared" si="124"/>
        <v>0</v>
      </c>
      <c r="L228" s="63"/>
      <c r="M228" s="63">
        <v>0</v>
      </c>
      <c r="N228" s="63">
        <f t="shared" ref="N228:T228" si="126">SUM(N229,N243,N258,N294,N299,N310,N318)</f>
        <v>4563.3599999999997</v>
      </c>
      <c r="O228" s="63">
        <f t="shared" si="126"/>
        <v>4563.3599999999997</v>
      </c>
      <c r="P228" s="63">
        <f t="shared" si="126"/>
        <v>24156.899999999998</v>
      </c>
      <c r="Q228" s="63">
        <f t="shared" si="126"/>
        <v>679789.94300000009</v>
      </c>
      <c r="R228" s="63">
        <f t="shared" si="126"/>
        <v>861701.45999999985</v>
      </c>
      <c r="S228" s="63">
        <f t="shared" si="126"/>
        <v>1026527.2799999998</v>
      </c>
      <c r="T228" s="63">
        <f t="shared" si="126"/>
        <v>1002370.3799999999</v>
      </c>
    </row>
    <row r="229" spans="1:25" s="34" customFormat="1" ht="24">
      <c r="B229" s="66" t="s">
        <v>445</v>
      </c>
      <c r="C229" s="67" t="s">
        <v>446</v>
      </c>
      <c r="D229" s="68"/>
      <c r="E229" s="69"/>
      <c r="F229" s="69"/>
      <c r="G229" s="70"/>
      <c r="H229" s="70"/>
      <c r="I229" s="70"/>
      <c r="J229" s="70">
        <f>SUM(H229:I229)+'BM 011'!J229</f>
        <v>0</v>
      </c>
      <c r="K229" s="70">
        <f t="shared" si="124"/>
        <v>0</v>
      </c>
      <c r="L229" s="71"/>
      <c r="M229" s="71">
        <v>0</v>
      </c>
      <c r="N229" s="73">
        <f t="shared" ref="N229:T229" si="127">SUM(N230:N242)</f>
        <v>4563.3599999999997</v>
      </c>
      <c r="O229" s="73">
        <f t="shared" si="127"/>
        <v>4563.3599999999997</v>
      </c>
      <c r="P229" s="73">
        <f t="shared" si="127"/>
        <v>7605.5999999999995</v>
      </c>
      <c r="Q229" s="73">
        <f t="shared" si="127"/>
        <v>135121.34</v>
      </c>
      <c r="R229" s="73">
        <f t="shared" si="127"/>
        <v>171279.75999999998</v>
      </c>
      <c r="S229" s="73">
        <f t="shared" si="127"/>
        <v>182725.93999999997</v>
      </c>
      <c r="T229" s="73">
        <f t="shared" si="127"/>
        <v>175120.34</v>
      </c>
    </row>
    <row r="230" spans="1:25" s="34" customFormat="1" ht="23.4">
      <c r="B230" s="87" t="s">
        <v>447</v>
      </c>
      <c r="C230" s="88" t="s">
        <v>448</v>
      </c>
      <c r="D230" s="89" t="s">
        <v>82</v>
      </c>
      <c r="E230" s="90">
        <v>787.32</v>
      </c>
      <c r="F230" s="90">
        <v>787.32</v>
      </c>
      <c r="G230" s="91"/>
      <c r="H230" s="91"/>
      <c r="I230" s="91"/>
      <c r="J230" s="91">
        <f>SUM(H230:I230)+'BM 011'!J230</f>
        <v>0</v>
      </c>
      <c r="K230" s="91">
        <f t="shared" si="124"/>
        <v>787.32</v>
      </c>
      <c r="L230" s="80">
        <v>70</v>
      </c>
      <c r="M230" s="81">
        <v>88.732007699999997</v>
      </c>
      <c r="N230" s="82">
        <f t="shared" ref="N230:N242" si="128">TRUNC(G230*M230,2)</f>
        <v>0</v>
      </c>
      <c r="O230" s="82">
        <f t="shared" ref="O230:O242" si="129">TRUNC(H230*M230,2)</f>
        <v>0</v>
      </c>
      <c r="P230" s="82">
        <f>O230+'BM 011'!P230</f>
        <v>0</v>
      </c>
      <c r="Q230" s="80">
        <f t="shared" ref="Q230:Q242" si="130">E230*L230</f>
        <v>55112.4</v>
      </c>
      <c r="R230" s="82">
        <f t="shared" ref="R230:R242" si="131">TRUNC(E230*M230,2)</f>
        <v>69860.479999999996</v>
      </c>
      <c r="S230" s="82">
        <f t="shared" ref="S230:S242" si="132">TRUNC(F230*$M230,2)</f>
        <v>69860.479999999996</v>
      </c>
      <c r="T230" s="82">
        <f t="shared" ref="T230:T242" si="133">S230-P230</f>
        <v>69860.479999999996</v>
      </c>
    </row>
    <row r="231" spans="1:25" s="34" customFormat="1" ht="23.4">
      <c r="B231" s="87" t="s">
        <v>449</v>
      </c>
      <c r="C231" s="88" t="s">
        <v>450</v>
      </c>
      <c r="D231" s="89" t="s">
        <v>39</v>
      </c>
      <c r="E231" s="90">
        <v>30</v>
      </c>
      <c r="F231" s="90">
        <v>30</v>
      </c>
      <c r="G231" s="91"/>
      <c r="H231" s="91"/>
      <c r="I231" s="91"/>
      <c r="J231" s="91">
        <f>SUM(H231:I231)+'BM 011'!J231</f>
        <v>0</v>
      </c>
      <c r="K231" s="91">
        <f t="shared" si="124"/>
        <v>30</v>
      </c>
      <c r="L231" s="80">
        <v>49.5</v>
      </c>
      <c r="M231" s="81">
        <v>62.746205445000001</v>
      </c>
      <c r="N231" s="82">
        <f t="shared" si="128"/>
        <v>0</v>
      </c>
      <c r="O231" s="82">
        <f t="shared" si="129"/>
        <v>0</v>
      </c>
      <c r="P231" s="82">
        <f>O231+'BM 011'!P231</f>
        <v>0</v>
      </c>
      <c r="Q231" s="80">
        <f t="shared" si="130"/>
        <v>1485</v>
      </c>
      <c r="R231" s="82">
        <f t="shared" si="131"/>
        <v>1882.38</v>
      </c>
      <c r="S231" s="82">
        <f t="shared" si="132"/>
        <v>1882.38</v>
      </c>
      <c r="T231" s="82">
        <f t="shared" si="133"/>
        <v>1882.38</v>
      </c>
    </row>
    <row r="232" spans="1:25" s="34" customFormat="1" ht="23.4">
      <c r="B232" s="87" t="s">
        <v>451</v>
      </c>
      <c r="C232" s="88" t="s">
        <v>452</v>
      </c>
      <c r="D232" s="89" t="s">
        <v>39</v>
      </c>
      <c r="E232" s="90">
        <v>38</v>
      </c>
      <c r="F232" s="90">
        <v>38</v>
      </c>
      <c r="G232" s="91"/>
      <c r="H232" s="91"/>
      <c r="I232" s="91"/>
      <c r="J232" s="91">
        <f>SUM(H232:I232)+'BM 011'!J232</f>
        <v>0</v>
      </c>
      <c r="K232" s="91">
        <f t="shared" si="124"/>
        <v>38</v>
      </c>
      <c r="L232" s="80">
        <v>43.8</v>
      </c>
      <c r="M232" s="81">
        <v>55.520884817999999</v>
      </c>
      <c r="N232" s="82">
        <f t="shared" si="128"/>
        <v>0</v>
      </c>
      <c r="O232" s="82">
        <f t="shared" si="129"/>
        <v>0</v>
      </c>
      <c r="P232" s="82">
        <f>O232+'BM 011'!P232</f>
        <v>0</v>
      </c>
      <c r="Q232" s="80">
        <f t="shared" si="130"/>
        <v>1664.3999999999999</v>
      </c>
      <c r="R232" s="82">
        <f t="shared" si="131"/>
        <v>2109.79</v>
      </c>
      <c r="S232" s="82">
        <f t="shared" si="132"/>
        <v>2109.79</v>
      </c>
      <c r="T232" s="82">
        <f t="shared" si="133"/>
        <v>2109.79</v>
      </c>
    </row>
    <row r="233" spans="1:25" s="34" customFormat="1" ht="23.4">
      <c r="B233" s="87" t="s">
        <v>453</v>
      </c>
      <c r="C233" s="88" t="s">
        <v>454</v>
      </c>
      <c r="D233" s="89" t="s">
        <v>39</v>
      </c>
      <c r="E233" s="90">
        <v>24</v>
      </c>
      <c r="F233" s="90">
        <v>24</v>
      </c>
      <c r="G233" s="91"/>
      <c r="H233" s="91"/>
      <c r="I233" s="91"/>
      <c r="J233" s="91">
        <f>SUM(H233:I233)+'BM 011'!J233</f>
        <v>0</v>
      </c>
      <c r="K233" s="91">
        <f t="shared" si="124"/>
        <v>24</v>
      </c>
      <c r="L233" s="80">
        <v>40</v>
      </c>
      <c r="M233" s="81">
        <v>50.704004400000002</v>
      </c>
      <c r="N233" s="82">
        <f t="shared" si="128"/>
        <v>0</v>
      </c>
      <c r="O233" s="82">
        <f t="shared" si="129"/>
        <v>0</v>
      </c>
      <c r="P233" s="82">
        <f>O233+'BM 011'!P233</f>
        <v>0</v>
      </c>
      <c r="Q233" s="80">
        <f t="shared" si="130"/>
        <v>960</v>
      </c>
      <c r="R233" s="82">
        <f t="shared" si="131"/>
        <v>1216.8900000000001</v>
      </c>
      <c r="S233" s="82">
        <f t="shared" si="132"/>
        <v>1216.8900000000001</v>
      </c>
      <c r="T233" s="82">
        <f t="shared" si="133"/>
        <v>1216.8900000000001</v>
      </c>
    </row>
    <row r="234" spans="1:25" s="34" customFormat="1" ht="23.4">
      <c r="B234" s="87" t="s">
        <v>455</v>
      </c>
      <c r="C234" s="88" t="s">
        <v>456</v>
      </c>
      <c r="D234" s="89" t="s">
        <v>39</v>
      </c>
      <c r="E234" s="90">
        <v>30</v>
      </c>
      <c r="F234" s="90">
        <v>30</v>
      </c>
      <c r="G234" s="91"/>
      <c r="H234" s="91"/>
      <c r="I234" s="91"/>
      <c r="J234" s="91">
        <f>SUM(H234:I234)+'BM 011'!J234</f>
        <v>0</v>
      </c>
      <c r="K234" s="91">
        <f t="shared" si="124"/>
        <v>30</v>
      </c>
      <c r="L234" s="80">
        <v>50</v>
      </c>
      <c r="M234" s="81">
        <v>63.380005500000003</v>
      </c>
      <c r="N234" s="82">
        <f t="shared" si="128"/>
        <v>0</v>
      </c>
      <c r="O234" s="82">
        <f t="shared" si="129"/>
        <v>0</v>
      </c>
      <c r="P234" s="82">
        <f>O234+'BM 011'!P234</f>
        <v>0</v>
      </c>
      <c r="Q234" s="80">
        <f t="shared" si="130"/>
        <v>1500</v>
      </c>
      <c r="R234" s="82">
        <f t="shared" si="131"/>
        <v>1901.4</v>
      </c>
      <c r="S234" s="82">
        <f t="shared" si="132"/>
        <v>1901.4</v>
      </c>
      <c r="T234" s="82">
        <f t="shared" si="133"/>
        <v>1901.4</v>
      </c>
    </row>
    <row r="235" spans="1:25" s="34" customFormat="1" ht="23.4">
      <c r="B235" s="87" t="s">
        <v>457</v>
      </c>
      <c r="C235" s="88" t="s">
        <v>458</v>
      </c>
      <c r="D235" s="89" t="s">
        <v>39</v>
      </c>
      <c r="E235" s="90">
        <v>400</v>
      </c>
      <c r="F235" s="90">
        <v>400</v>
      </c>
      <c r="G235" s="91"/>
      <c r="H235" s="91"/>
      <c r="I235" s="91"/>
      <c r="J235" s="91">
        <f>SUM(H235:I235)+'BM 011'!J235</f>
        <v>0</v>
      </c>
      <c r="K235" s="91">
        <f t="shared" si="124"/>
        <v>400</v>
      </c>
      <c r="L235" s="80">
        <v>9.7100000000000009</v>
      </c>
      <c r="M235" s="81">
        <v>12.3083970681</v>
      </c>
      <c r="N235" s="82">
        <f t="shared" si="128"/>
        <v>0</v>
      </c>
      <c r="O235" s="82">
        <f t="shared" si="129"/>
        <v>0</v>
      </c>
      <c r="P235" s="82">
        <f>O235+'BM 011'!P235</f>
        <v>0</v>
      </c>
      <c r="Q235" s="80">
        <f t="shared" si="130"/>
        <v>3884.0000000000005</v>
      </c>
      <c r="R235" s="82">
        <f t="shared" si="131"/>
        <v>4923.3500000000004</v>
      </c>
      <c r="S235" s="82">
        <f t="shared" si="132"/>
        <v>4923.3500000000004</v>
      </c>
      <c r="T235" s="82">
        <f t="shared" si="133"/>
        <v>4923.3500000000004</v>
      </c>
    </row>
    <row r="236" spans="1:25" s="34" customFormat="1" ht="34.799999999999997">
      <c r="B236" s="87" t="s">
        <v>459</v>
      </c>
      <c r="C236" s="88" t="s">
        <v>460</v>
      </c>
      <c r="D236" s="89" t="s">
        <v>82</v>
      </c>
      <c r="E236" s="90">
        <v>53.61</v>
      </c>
      <c r="F236" s="90">
        <v>53.61</v>
      </c>
      <c r="G236" s="91"/>
      <c r="H236" s="91"/>
      <c r="I236" s="91"/>
      <c r="J236" s="91">
        <f>SUM(H236:I236)+'BM 011'!J236</f>
        <v>0</v>
      </c>
      <c r="K236" s="91">
        <f t="shared" si="124"/>
        <v>53.61</v>
      </c>
      <c r="L236" s="80">
        <v>95</v>
      </c>
      <c r="M236" s="81">
        <v>120.42201045</v>
      </c>
      <c r="N236" s="82">
        <f t="shared" si="128"/>
        <v>0</v>
      </c>
      <c r="O236" s="82">
        <f t="shared" si="129"/>
        <v>0</v>
      </c>
      <c r="P236" s="82">
        <f>O236+'BM 011'!P236</f>
        <v>0</v>
      </c>
      <c r="Q236" s="80">
        <f t="shared" si="130"/>
        <v>5092.95</v>
      </c>
      <c r="R236" s="82">
        <f t="shared" si="131"/>
        <v>6455.82</v>
      </c>
      <c r="S236" s="82">
        <f t="shared" si="132"/>
        <v>6455.82</v>
      </c>
      <c r="T236" s="82">
        <f t="shared" si="133"/>
        <v>6455.82</v>
      </c>
    </row>
    <row r="237" spans="1:25" s="34" customFormat="1" ht="46.2">
      <c r="B237" s="87" t="s">
        <v>461</v>
      </c>
      <c r="C237" s="88" t="s">
        <v>462</v>
      </c>
      <c r="D237" s="89" t="s">
        <v>82</v>
      </c>
      <c r="E237" s="90">
        <v>91.42</v>
      </c>
      <c r="F237" s="90">
        <v>91.42</v>
      </c>
      <c r="G237" s="91"/>
      <c r="H237" s="91"/>
      <c r="I237" s="91"/>
      <c r="J237" s="91">
        <f>SUM(H237:I237)+'BM 011'!J237</f>
        <v>0</v>
      </c>
      <c r="K237" s="91">
        <f t="shared" si="124"/>
        <v>91.42</v>
      </c>
      <c r="L237" s="80">
        <v>15</v>
      </c>
      <c r="M237" s="81">
        <v>19.014001650000001</v>
      </c>
      <c r="N237" s="82">
        <f t="shared" si="128"/>
        <v>0</v>
      </c>
      <c r="O237" s="82">
        <f t="shared" si="129"/>
        <v>0</v>
      </c>
      <c r="P237" s="82">
        <f>O237+'BM 011'!P237</f>
        <v>0</v>
      </c>
      <c r="Q237" s="80">
        <f t="shared" si="130"/>
        <v>1371.3</v>
      </c>
      <c r="R237" s="82">
        <f t="shared" si="131"/>
        <v>1738.26</v>
      </c>
      <c r="S237" s="82">
        <f t="shared" si="132"/>
        <v>1738.26</v>
      </c>
      <c r="T237" s="82">
        <f t="shared" si="133"/>
        <v>1738.26</v>
      </c>
    </row>
    <row r="238" spans="1:25" s="34" customFormat="1" ht="46.2">
      <c r="B238" s="87" t="s">
        <v>463</v>
      </c>
      <c r="C238" s="88" t="s">
        <v>464</v>
      </c>
      <c r="D238" s="89" t="s">
        <v>82</v>
      </c>
      <c r="E238" s="90">
        <v>8549.7900000000009</v>
      </c>
      <c r="F238" s="90">
        <v>8549.7900000000009</v>
      </c>
      <c r="G238" s="91">
        <f>'M.C. MED. 12'!K1847</f>
        <v>600</v>
      </c>
      <c r="H238" s="91">
        <f>G238</f>
        <v>600</v>
      </c>
      <c r="I238" s="91"/>
      <c r="J238" s="91">
        <f>SUM(H238:I238)+'BM 011'!J238</f>
        <v>1000</v>
      </c>
      <c r="K238" s="91">
        <f t="shared" si="124"/>
        <v>7549.7900000000009</v>
      </c>
      <c r="L238" s="80">
        <v>6</v>
      </c>
      <c r="M238" s="81">
        <v>7.6056006600000003</v>
      </c>
      <c r="N238" s="82">
        <f t="shared" si="128"/>
        <v>4563.3599999999997</v>
      </c>
      <c r="O238" s="82">
        <f t="shared" si="129"/>
        <v>4563.3599999999997</v>
      </c>
      <c r="P238" s="82">
        <f>O238+'BM 011'!P238</f>
        <v>7605.5999999999995</v>
      </c>
      <c r="Q238" s="80">
        <f t="shared" si="130"/>
        <v>51298.740000000005</v>
      </c>
      <c r="R238" s="82">
        <f t="shared" si="131"/>
        <v>65026.28</v>
      </c>
      <c r="S238" s="82">
        <f t="shared" si="132"/>
        <v>65026.28</v>
      </c>
      <c r="T238" s="82">
        <f t="shared" si="133"/>
        <v>57420.68</v>
      </c>
    </row>
    <row r="239" spans="1:25" s="34" customFormat="1" ht="46.2">
      <c r="B239" s="87" t="s">
        <v>465</v>
      </c>
      <c r="C239" s="88" t="s">
        <v>466</v>
      </c>
      <c r="D239" s="89" t="s">
        <v>82</v>
      </c>
      <c r="E239" s="90">
        <v>98.51</v>
      </c>
      <c r="F239" s="90">
        <v>550</v>
      </c>
      <c r="G239" s="91"/>
      <c r="H239" s="91"/>
      <c r="I239" s="91"/>
      <c r="J239" s="91">
        <f>SUM(H239:I239)+'BM 011'!J239</f>
        <v>0</v>
      </c>
      <c r="K239" s="91">
        <f t="shared" si="124"/>
        <v>550</v>
      </c>
      <c r="L239" s="80">
        <v>20</v>
      </c>
      <c r="M239" s="81">
        <v>25.352002200000001</v>
      </c>
      <c r="N239" s="82">
        <f t="shared" si="128"/>
        <v>0</v>
      </c>
      <c r="O239" s="82">
        <f t="shared" si="129"/>
        <v>0</v>
      </c>
      <c r="P239" s="82">
        <f>O239+'BM 011'!P239</f>
        <v>0</v>
      </c>
      <c r="Q239" s="80">
        <f t="shared" si="130"/>
        <v>1970.2</v>
      </c>
      <c r="R239" s="82">
        <f t="shared" si="131"/>
        <v>2497.42</v>
      </c>
      <c r="S239" s="82">
        <f t="shared" si="132"/>
        <v>13943.6</v>
      </c>
      <c r="T239" s="82">
        <f t="shared" si="133"/>
        <v>13943.6</v>
      </c>
      <c r="V239" s="83"/>
    </row>
    <row r="240" spans="1:25" s="34" customFormat="1" ht="23.4">
      <c r="B240" s="87" t="s">
        <v>467</v>
      </c>
      <c r="C240" s="88" t="s">
        <v>468</v>
      </c>
      <c r="D240" s="89" t="s">
        <v>39</v>
      </c>
      <c r="E240" s="90">
        <v>836</v>
      </c>
      <c r="F240" s="90">
        <v>836</v>
      </c>
      <c r="G240" s="91"/>
      <c r="H240" s="91"/>
      <c r="I240" s="91"/>
      <c r="J240" s="91">
        <f>SUM(H240:I240)+'BM 011'!J240</f>
        <v>0</v>
      </c>
      <c r="K240" s="91">
        <f t="shared" si="124"/>
        <v>836</v>
      </c>
      <c r="L240" s="80">
        <v>8</v>
      </c>
      <c r="M240" s="81">
        <v>10.14080088</v>
      </c>
      <c r="N240" s="82">
        <f t="shared" si="128"/>
        <v>0</v>
      </c>
      <c r="O240" s="82">
        <f t="shared" si="129"/>
        <v>0</v>
      </c>
      <c r="P240" s="82">
        <f>O240+'BM 011'!P240</f>
        <v>0</v>
      </c>
      <c r="Q240" s="80">
        <f t="shared" si="130"/>
        <v>6688</v>
      </c>
      <c r="R240" s="82">
        <f t="shared" si="131"/>
        <v>8477.7000000000007</v>
      </c>
      <c r="S240" s="82">
        <f t="shared" si="132"/>
        <v>8477.7000000000007</v>
      </c>
      <c r="T240" s="82">
        <f t="shared" si="133"/>
        <v>8477.7000000000007</v>
      </c>
      <c r="V240" s="83"/>
    </row>
    <row r="241" spans="2:22" s="34" customFormat="1" ht="34.799999999999997">
      <c r="B241" s="87" t="s">
        <v>469</v>
      </c>
      <c r="C241" s="88" t="s">
        <v>470</v>
      </c>
      <c r="D241" s="89" t="s">
        <v>39</v>
      </c>
      <c r="E241" s="90">
        <v>1359</v>
      </c>
      <c r="F241" s="90">
        <v>1359</v>
      </c>
      <c r="G241" s="91"/>
      <c r="H241" s="91"/>
      <c r="I241" s="91"/>
      <c r="J241" s="91">
        <f>SUM(H241:I241)+'BM 011'!J241</f>
        <v>0</v>
      </c>
      <c r="K241" s="91">
        <f t="shared" si="124"/>
        <v>1359</v>
      </c>
      <c r="L241" s="80">
        <v>3</v>
      </c>
      <c r="M241" s="81">
        <v>3.8028003300000002</v>
      </c>
      <c r="N241" s="82">
        <f t="shared" si="128"/>
        <v>0</v>
      </c>
      <c r="O241" s="82">
        <f t="shared" si="129"/>
        <v>0</v>
      </c>
      <c r="P241" s="82">
        <f>O241+'BM 011'!P241</f>
        <v>0</v>
      </c>
      <c r="Q241" s="80">
        <f t="shared" si="130"/>
        <v>4077</v>
      </c>
      <c r="R241" s="82">
        <f t="shared" si="131"/>
        <v>5168</v>
      </c>
      <c r="S241" s="82">
        <f t="shared" si="132"/>
        <v>5168</v>
      </c>
      <c r="T241" s="82">
        <f t="shared" si="133"/>
        <v>5168</v>
      </c>
      <c r="V241" s="83"/>
    </row>
    <row r="242" spans="2:22" s="34" customFormat="1" ht="34.799999999999997">
      <c r="B242" s="87" t="s">
        <v>471</v>
      </c>
      <c r="C242" s="88" t="s">
        <v>472</v>
      </c>
      <c r="D242" s="89" t="s">
        <v>39</v>
      </c>
      <c r="E242" s="90">
        <v>5</v>
      </c>
      <c r="F242" s="90">
        <v>5</v>
      </c>
      <c r="G242" s="91"/>
      <c r="H242" s="91"/>
      <c r="I242" s="91"/>
      <c r="J242" s="91">
        <f>SUM(H242:I242)+'BM 011'!J242</f>
        <v>0</v>
      </c>
      <c r="K242" s="91">
        <f t="shared" si="124"/>
        <v>5</v>
      </c>
      <c r="L242" s="80">
        <v>3.47</v>
      </c>
      <c r="M242" s="81">
        <v>4.3985723817000002</v>
      </c>
      <c r="N242" s="82">
        <f t="shared" si="128"/>
        <v>0</v>
      </c>
      <c r="O242" s="82">
        <f t="shared" si="129"/>
        <v>0</v>
      </c>
      <c r="P242" s="82">
        <f>O242+'BM 011'!P242</f>
        <v>0</v>
      </c>
      <c r="Q242" s="80">
        <f t="shared" si="130"/>
        <v>17.350000000000001</v>
      </c>
      <c r="R242" s="82">
        <f t="shared" si="131"/>
        <v>21.99</v>
      </c>
      <c r="S242" s="82">
        <f t="shared" si="132"/>
        <v>21.99</v>
      </c>
      <c r="T242" s="82">
        <f t="shared" si="133"/>
        <v>21.99</v>
      </c>
      <c r="V242" s="83"/>
    </row>
    <row r="243" spans="2:22" s="34" customFormat="1" ht="13.2">
      <c r="B243" s="66" t="s">
        <v>473</v>
      </c>
      <c r="C243" s="67" t="s">
        <v>474</v>
      </c>
      <c r="D243" s="68"/>
      <c r="E243" s="69"/>
      <c r="F243" s="69"/>
      <c r="G243" s="70"/>
      <c r="H243" s="70"/>
      <c r="I243" s="70"/>
      <c r="J243" s="70">
        <f>SUM(H243:I243)+'BM 011'!J243</f>
        <v>0</v>
      </c>
      <c r="K243" s="70">
        <f t="shared" si="124"/>
        <v>0</v>
      </c>
      <c r="L243" s="71"/>
      <c r="M243" s="71">
        <v>0</v>
      </c>
      <c r="N243" s="73">
        <f t="shared" ref="N243:T243" si="134">SUM(N244:N257)</f>
        <v>0</v>
      </c>
      <c r="O243" s="73">
        <f t="shared" si="134"/>
        <v>0</v>
      </c>
      <c r="P243" s="73">
        <f t="shared" si="134"/>
        <v>16551.3</v>
      </c>
      <c r="Q243" s="73">
        <f t="shared" si="134"/>
        <v>310727.75299999997</v>
      </c>
      <c r="R243" s="73">
        <f t="shared" si="134"/>
        <v>393878.46999999991</v>
      </c>
      <c r="S243" s="73">
        <f t="shared" si="134"/>
        <v>547258.10999999987</v>
      </c>
      <c r="T243" s="73">
        <f t="shared" si="134"/>
        <v>530706.80999999994</v>
      </c>
      <c r="V243" s="83"/>
    </row>
    <row r="244" spans="2:22" s="34" customFormat="1" ht="23.4">
      <c r="B244" s="87" t="s">
        <v>475</v>
      </c>
      <c r="C244" s="88" t="s">
        <v>476</v>
      </c>
      <c r="D244" s="89" t="s">
        <v>82</v>
      </c>
      <c r="E244" s="90">
        <v>1000</v>
      </c>
      <c r="F244" s="90">
        <v>1000</v>
      </c>
      <c r="G244" s="91"/>
      <c r="H244" s="91"/>
      <c r="I244" s="91"/>
      <c r="J244" s="91">
        <f>SUM(H244:I244)+'BM 011'!J244</f>
        <v>0</v>
      </c>
      <c r="K244" s="91">
        <f t="shared" si="124"/>
        <v>1000</v>
      </c>
      <c r="L244" s="80">
        <v>15</v>
      </c>
      <c r="M244" s="81">
        <v>19.014001650000001</v>
      </c>
      <c r="N244" s="82">
        <f t="shared" ref="N244:N257" si="135">TRUNC(G244*M244,2)</f>
        <v>0</v>
      </c>
      <c r="O244" s="82">
        <f t="shared" ref="O244:O257" si="136">TRUNC(H244*M244,2)</f>
        <v>0</v>
      </c>
      <c r="P244" s="82">
        <f>O244+'BM 011'!P244</f>
        <v>0</v>
      </c>
      <c r="Q244" s="80">
        <f t="shared" ref="Q244:Q257" si="137">E244*L244</f>
        <v>15000</v>
      </c>
      <c r="R244" s="82">
        <f t="shared" ref="R244:R257" si="138">TRUNC(E244*M244,2)</f>
        <v>19014</v>
      </c>
      <c r="S244" s="82">
        <f t="shared" ref="S244:S257" si="139">TRUNC(F244*$M244,2)</f>
        <v>19014</v>
      </c>
      <c r="T244" s="82">
        <f t="shared" ref="T244:T257" si="140">S244-P244</f>
        <v>19014</v>
      </c>
      <c r="V244" s="83"/>
    </row>
    <row r="245" spans="2:22" s="34" customFormat="1" ht="46.2">
      <c r="B245" s="87" t="s">
        <v>477</v>
      </c>
      <c r="C245" s="88" t="s">
        <v>478</v>
      </c>
      <c r="D245" s="89" t="s">
        <v>124</v>
      </c>
      <c r="E245" s="90">
        <v>9216.66</v>
      </c>
      <c r="F245" s="90">
        <v>9216.66</v>
      </c>
      <c r="G245" s="91"/>
      <c r="H245" s="91"/>
      <c r="I245" s="91"/>
      <c r="J245" s="91">
        <f>SUM(H245:I245)+'BM 011'!J245</f>
        <v>0</v>
      </c>
      <c r="K245" s="91">
        <f t="shared" si="124"/>
        <v>9216.66</v>
      </c>
      <c r="L245" s="80">
        <v>3.5</v>
      </c>
      <c r="M245" s="81">
        <v>4.4366003850000002</v>
      </c>
      <c r="N245" s="82">
        <f t="shared" si="135"/>
        <v>0</v>
      </c>
      <c r="O245" s="82">
        <f t="shared" si="136"/>
        <v>0</v>
      </c>
      <c r="P245" s="82">
        <f>O245+'BM 011'!P245</f>
        <v>0</v>
      </c>
      <c r="Q245" s="80">
        <f t="shared" si="137"/>
        <v>32258.309999999998</v>
      </c>
      <c r="R245" s="82">
        <f t="shared" si="138"/>
        <v>40890.629999999997</v>
      </c>
      <c r="S245" s="82">
        <f t="shared" si="139"/>
        <v>40890.629999999997</v>
      </c>
      <c r="T245" s="82">
        <f t="shared" si="140"/>
        <v>40890.629999999997</v>
      </c>
    </row>
    <row r="246" spans="2:22" s="34" customFormat="1" ht="57.6">
      <c r="B246" s="87" t="s">
        <v>479</v>
      </c>
      <c r="C246" s="88" t="s">
        <v>480</v>
      </c>
      <c r="D246" s="89" t="s">
        <v>82</v>
      </c>
      <c r="E246" s="90">
        <v>16088.53</v>
      </c>
      <c r="F246" s="90">
        <v>16088.53</v>
      </c>
      <c r="G246" s="91"/>
      <c r="H246" s="91"/>
      <c r="I246" s="91"/>
      <c r="J246" s="91">
        <f>SUM(H246:I246)+'BM 011'!J246</f>
        <v>0</v>
      </c>
      <c r="K246" s="91">
        <f t="shared" si="124"/>
        <v>16088.53</v>
      </c>
      <c r="L246" s="80">
        <v>4.5</v>
      </c>
      <c r="M246" s="81">
        <v>5.7042004950000003</v>
      </c>
      <c r="N246" s="82">
        <f t="shared" si="135"/>
        <v>0</v>
      </c>
      <c r="O246" s="82">
        <f t="shared" si="136"/>
        <v>0</v>
      </c>
      <c r="P246" s="82">
        <f>O246+'BM 011'!P246</f>
        <v>0</v>
      </c>
      <c r="Q246" s="80">
        <f t="shared" si="137"/>
        <v>72398.385000000009</v>
      </c>
      <c r="R246" s="82">
        <f t="shared" si="138"/>
        <v>91772.2</v>
      </c>
      <c r="S246" s="82">
        <f t="shared" si="139"/>
        <v>91772.2</v>
      </c>
      <c r="T246" s="82">
        <f t="shared" si="140"/>
        <v>91772.2</v>
      </c>
    </row>
    <row r="247" spans="2:22" s="34" customFormat="1" ht="34.799999999999997">
      <c r="B247" s="87" t="s">
        <v>481</v>
      </c>
      <c r="C247" s="88" t="s">
        <v>482</v>
      </c>
      <c r="D247" s="89" t="s">
        <v>82</v>
      </c>
      <c r="E247" s="90">
        <v>1366.87</v>
      </c>
      <c r="F247" s="90">
        <v>1366.87</v>
      </c>
      <c r="G247" s="91"/>
      <c r="H247" s="91"/>
      <c r="I247" s="91"/>
      <c r="J247" s="91">
        <f>SUM(H247:I247)+'BM 011'!J247</f>
        <v>0</v>
      </c>
      <c r="K247" s="91">
        <f t="shared" si="124"/>
        <v>1366.87</v>
      </c>
      <c r="L247" s="80">
        <v>7</v>
      </c>
      <c r="M247" s="81">
        <v>8.8732007700000004</v>
      </c>
      <c r="N247" s="82">
        <f t="shared" si="135"/>
        <v>0</v>
      </c>
      <c r="O247" s="82">
        <f t="shared" si="136"/>
        <v>0</v>
      </c>
      <c r="P247" s="82">
        <f>O247+'BM 011'!P247</f>
        <v>0</v>
      </c>
      <c r="Q247" s="80">
        <f t="shared" si="137"/>
        <v>9568.09</v>
      </c>
      <c r="R247" s="82">
        <f t="shared" si="138"/>
        <v>12128.51</v>
      </c>
      <c r="S247" s="82">
        <f t="shared" si="139"/>
        <v>12128.51</v>
      </c>
      <c r="T247" s="82">
        <f t="shared" si="140"/>
        <v>12128.51</v>
      </c>
    </row>
    <row r="248" spans="2:22" s="34" customFormat="1" ht="57.6">
      <c r="B248" s="87" t="s">
        <v>483</v>
      </c>
      <c r="C248" s="88" t="s">
        <v>484</v>
      </c>
      <c r="D248" s="89" t="s">
        <v>82</v>
      </c>
      <c r="E248" s="90">
        <v>337.73</v>
      </c>
      <c r="F248" s="90">
        <v>337.73</v>
      </c>
      <c r="G248" s="91"/>
      <c r="H248" s="91"/>
      <c r="I248" s="91"/>
      <c r="J248" s="91">
        <f>SUM(H248:I248)+'BM 011'!J248</f>
        <v>0</v>
      </c>
      <c r="K248" s="91">
        <f t="shared" si="124"/>
        <v>337.73</v>
      </c>
      <c r="L248" s="80">
        <v>10</v>
      </c>
      <c r="M248" s="81">
        <v>12.676001100000001</v>
      </c>
      <c r="N248" s="82">
        <f t="shared" si="135"/>
        <v>0</v>
      </c>
      <c r="O248" s="82">
        <f t="shared" si="136"/>
        <v>0</v>
      </c>
      <c r="P248" s="82">
        <f>O248+'BM 011'!P248</f>
        <v>0</v>
      </c>
      <c r="Q248" s="80">
        <f t="shared" si="137"/>
        <v>3377.3</v>
      </c>
      <c r="R248" s="82">
        <f t="shared" si="138"/>
        <v>4281.0600000000004</v>
      </c>
      <c r="S248" s="82">
        <f t="shared" si="139"/>
        <v>4281.0600000000004</v>
      </c>
      <c r="T248" s="82">
        <f t="shared" si="140"/>
        <v>4281.0600000000004</v>
      </c>
    </row>
    <row r="249" spans="2:22" s="34" customFormat="1" ht="34.799999999999997">
      <c r="B249" s="87" t="s">
        <v>485</v>
      </c>
      <c r="C249" s="88" t="s">
        <v>486</v>
      </c>
      <c r="D249" s="89" t="s">
        <v>82</v>
      </c>
      <c r="E249" s="90">
        <v>584.41</v>
      </c>
      <c r="F249" s="90">
        <v>584.41</v>
      </c>
      <c r="G249" s="91"/>
      <c r="H249" s="91"/>
      <c r="I249" s="91"/>
      <c r="J249" s="91">
        <f>SUM(H249:I249)+'BM 011'!J249</f>
        <v>0</v>
      </c>
      <c r="K249" s="91">
        <f t="shared" si="124"/>
        <v>584.41</v>
      </c>
      <c r="L249" s="80">
        <v>11</v>
      </c>
      <c r="M249" s="81">
        <v>13.943601210000001</v>
      </c>
      <c r="N249" s="82">
        <f t="shared" si="135"/>
        <v>0</v>
      </c>
      <c r="O249" s="82">
        <f t="shared" si="136"/>
        <v>0</v>
      </c>
      <c r="P249" s="82">
        <f>O249+'BM 011'!P249</f>
        <v>0</v>
      </c>
      <c r="Q249" s="80">
        <f t="shared" si="137"/>
        <v>6428.5099999999993</v>
      </c>
      <c r="R249" s="82">
        <f t="shared" si="138"/>
        <v>8148.77</v>
      </c>
      <c r="S249" s="82">
        <f t="shared" si="139"/>
        <v>8148.77</v>
      </c>
      <c r="T249" s="82">
        <f t="shared" si="140"/>
        <v>8148.77</v>
      </c>
    </row>
    <row r="250" spans="2:22" s="34" customFormat="1" ht="34.799999999999997">
      <c r="B250" s="87" t="s">
        <v>487</v>
      </c>
      <c r="C250" s="88" t="s">
        <v>488</v>
      </c>
      <c r="D250" s="89" t="s">
        <v>82</v>
      </c>
      <c r="E250" s="90">
        <v>746.42</v>
      </c>
      <c r="F250" s="90">
        <v>746.42</v>
      </c>
      <c r="G250" s="91"/>
      <c r="H250" s="91"/>
      <c r="I250" s="91"/>
      <c r="J250" s="91">
        <f>SUM(H250:I250)+'BM 011'!J250</f>
        <v>0</v>
      </c>
      <c r="K250" s="91">
        <f t="shared" si="124"/>
        <v>746.42</v>
      </c>
      <c r="L250" s="80">
        <v>18</v>
      </c>
      <c r="M250" s="81">
        <v>22.816801980000001</v>
      </c>
      <c r="N250" s="82">
        <f t="shared" si="135"/>
        <v>0</v>
      </c>
      <c r="O250" s="82">
        <f t="shared" si="136"/>
        <v>0</v>
      </c>
      <c r="P250" s="82">
        <f>O250+'BM 011'!P250</f>
        <v>0</v>
      </c>
      <c r="Q250" s="80">
        <f t="shared" si="137"/>
        <v>13435.56</v>
      </c>
      <c r="R250" s="82">
        <f t="shared" si="138"/>
        <v>17030.91</v>
      </c>
      <c r="S250" s="82">
        <f t="shared" si="139"/>
        <v>17030.91</v>
      </c>
      <c r="T250" s="82">
        <f t="shared" si="140"/>
        <v>17030.91</v>
      </c>
    </row>
    <row r="251" spans="2:22" s="34" customFormat="1" ht="34.799999999999997">
      <c r="B251" s="87" t="s">
        <v>489</v>
      </c>
      <c r="C251" s="88" t="s">
        <v>490</v>
      </c>
      <c r="D251" s="89" t="s">
        <v>82</v>
      </c>
      <c r="E251" s="90">
        <v>396.45</v>
      </c>
      <c r="F251" s="90">
        <v>396.45</v>
      </c>
      <c r="G251" s="91"/>
      <c r="H251" s="91"/>
      <c r="I251" s="91"/>
      <c r="J251" s="91">
        <f>SUM(H251:I251)+'BM 011'!J251</f>
        <v>0</v>
      </c>
      <c r="K251" s="91">
        <f t="shared" si="124"/>
        <v>396.45</v>
      </c>
      <c r="L251" s="80">
        <v>25</v>
      </c>
      <c r="M251" s="81">
        <v>31.690002750000001</v>
      </c>
      <c r="N251" s="82">
        <f t="shared" si="135"/>
        <v>0</v>
      </c>
      <c r="O251" s="82">
        <f t="shared" si="136"/>
        <v>0</v>
      </c>
      <c r="P251" s="82">
        <f>O251+'BM 011'!P251</f>
        <v>0</v>
      </c>
      <c r="Q251" s="80">
        <f t="shared" si="137"/>
        <v>9911.25</v>
      </c>
      <c r="R251" s="82">
        <f t="shared" si="138"/>
        <v>12563.5</v>
      </c>
      <c r="S251" s="82">
        <f t="shared" si="139"/>
        <v>12563.5</v>
      </c>
      <c r="T251" s="82">
        <f t="shared" si="140"/>
        <v>12563.5</v>
      </c>
    </row>
    <row r="252" spans="2:22" s="34" customFormat="1" ht="57.6">
      <c r="B252" s="87" t="s">
        <v>491</v>
      </c>
      <c r="C252" s="88" t="s">
        <v>492</v>
      </c>
      <c r="D252" s="89" t="s">
        <v>82</v>
      </c>
      <c r="E252" s="90">
        <v>326.43</v>
      </c>
      <c r="F252" s="90">
        <v>326.43</v>
      </c>
      <c r="G252" s="91"/>
      <c r="H252" s="91"/>
      <c r="I252" s="91"/>
      <c r="J252" s="91">
        <f>SUM(H252:I252)+'BM 011'!J252</f>
        <v>326.43</v>
      </c>
      <c r="K252" s="91">
        <f t="shared" si="124"/>
        <v>0</v>
      </c>
      <c r="L252" s="80">
        <v>40</v>
      </c>
      <c r="M252" s="81">
        <v>50.704004400000002</v>
      </c>
      <c r="N252" s="82">
        <f t="shared" si="135"/>
        <v>0</v>
      </c>
      <c r="O252" s="82">
        <f t="shared" si="136"/>
        <v>0</v>
      </c>
      <c r="P252" s="82">
        <f>O252+'BM 011'!P252</f>
        <v>16551.3</v>
      </c>
      <c r="Q252" s="80">
        <f t="shared" si="137"/>
        <v>13057.2</v>
      </c>
      <c r="R252" s="82">
        <f t="shared" si="138"/>
        <v>16551.3</v>
      </c>
      <c r="S252" s="82">
        <f t="shared" si="139"/>
        <v>16551.3</v>
      </c>
      <c r="T252" s="82">
        <f t="shared" si="140"/>
        <v>0</v>
      </c>
    </row>
    <row r="253" spans="2:22" s="34" customFormat="1" ht="46.2">
      <c r="B253" s="87" t="s">
        <v>493</v>
      </c>
      <c r="C253" s="88" t="s">
        <v>494</v>
      </c>
      <c r="D253" s="89" t="s">
        <v>82</v>
      </c>
      <c r="E253" s="90">
        <v>49.87</v>
      </c>
      <c r="F253" s="90">
        <v>49.87</v>
      </c>
      <c r="G253" s="91"/>
      <c r="H253" s="91"/>
      <c r="I253" s="91"/>
      <c r="J253" s="91">
        <f>SUM(H253:I253)+'BM 011'!J253</f>
        <v>0</v>
      </c>
      <c r="K253" s="91">
        <f t="shared" si="124"/>
        <v>49.87</v>
      </c>
      <c r="L253" s="80">
        <v>125</v>
      </c>
      <c r="M253" s="81">
        <v>158.45001375000001</v>
      </c>
      <c r="N253" s="82">
        <f t="shared" si="135"/>
        <v>0</v>
      </c>
      <c r="O253" s="82">
        <f t="shared" si="136"/>
        <v>0</v>
      </c>
      <c r="P253" s="82">
        <f>O253+'BM 011'!P253</f>
        <v>0</v>
      </c>
      <c r="Q253" s="80">
        <f t="shared" si="137"/>
        <v>6233.75</v>
      </c>
      <c r="R253" s="82">
        <f t="shared" si="138"/>
        <v>7901.9</v>
      </c>
      <c r="S253" s="82">
        <f t="shared" si="139"/>
        <v>7901.9</v>
      </c>
      <c r="T253" s="82">
        <f t="shared" si="140"/>
        <v>7901.9</v>
      </c>
    </row>
    <row r="254" spans="2:22" s="34" customFormat="1" ht="46.2">
      <c r="B254" s="87" t="s">
        <v>495</v>
      </c>
      <c r="C254" s="88" t="s">
        <v>496</v>
      </c>
      <c r="D254" s="89" t="s">
        <v>82</v>
      </c>
      <c r="E254" s="90">
        <v>49.87</v>
      </c>
      <c r="F254" s="90">
        <v>49.87</v>
      </c>
      <c r="G254" s="91"/>
      <c r="H254" s="91"/>
      <c r="I254" s="91"/>
      <c r="J254" s="91">
        <f>SUM(H254:I254)+'BM 011'!J254</f>
        <v>0</v>
      </c>
      <c r="K254" s="91">
        <f t="shared" si="124"/>
        <v>49.87</v>
      </c>
      <c r="L254" s="80">
        <v>170</v>
      </c>
      <c r="M254" s="81">
        <v>215.49201869999999</v>
      </c>
      <c r="N254" s="82">
        <f t="shared" si="135"/>
        <v>0</v>
      </c>
      <c r="O254" s="82">
        <f t="shared" si="136"/>
        <v>0</v>
      </c>
      <c r="P254" s="82">
        <f>O254+'BM 011'!P254</f>
        <v>0</v>
      </c>
      <c r="Q254" s="80">
        <f t="shared" si="137"/>
        <v>8477.9</v>
      </c>
      <c r="R254" s="82">
        <f t="shared" si="138"/>
        <v>10746.58</v>
      </c>
      <c r="S254" s="82">
        <f t="shared" si="139"/>
        <v>10746.58</v>
      </c>
      <c r="T254" s="82">
        <f t="shared" si="140"/>
        <v>10746.58</v>
      </c>
    </row>
    <row r="255" spans="2:22" s="34" customFormat="1" ht="46.2">
      <c r="B255" s="87" t="s">
        <v>497</v>
      </c>
      <c r="C255" s="88" t="s">
        <v>498</v>
      </c>
      <c r="D255" s="89" t="s">
        <v>82</v>
      </c>
      <c r="E255" s="90">
        <v>149.6</v>
      </c>
      <c r="F255" s="90">
        <v>149.6</v>
      </c>
      <c r="G255" s="91"/>
      <c r="H255" s="91"/>
      <c r="I255" s="91"/>
      <c r="J255" s="91">
        <f>SUM(H255:I255)+'BM 011'!J255</f>
        <v>0</v>
      </c>
      <c r="K255" s="91">
        <f t="shared" si="124"/>
        <v>149.6</v>
      </c>
      <c r="L255" s="80">
        <v>290</v>
      </c>
      <c r="M255" s="81">
        <v>367.6040319</v>
      </c>
      <c r="N255" s="82">
        <f t="shared" si="135"/>
        <v>0</v>
      </c>
      <c r="O255" s="82">
        <f t="shared" si="136"/>
        <v>0</v>
      </c>
      <c r="P255" s="82">
        <f>O255+'BM 011'!P255</f>
        <v>0</v>
      </c>
      <c r="Q255" s="80">
        <f t="shared" si="137"/>
        <v>43384</v>
      </c>
      <c r="R255" s="82">
        <f t="shared" si="138"/>
        <v>54993.56</v>
      </c>
      <c r="S255" s="82">
        <f t="shared" si="139"/>
        <v>54993.56</v>
      </c>
      <c r="T255" s="82">
        <f t="shared" si="140"/>
        <v>54993.56</v>
      </c>
    </row>
    <row r="256" spans="2:22" s="34" customFormat="1" ht="23.4">
      <c r="B256" s="87" t="s">
        <v>499</v>
      </c>
      <c r="C256" s="88" t="s">
        <v>500</v>
      </c>
      <c r="D256" s="89" t="s">
        <v>82</v>
      </c>
      <c r="E256" s="90">
        <v>4482.08</v>
      </c>
      <c r="F256" s="90">
        <v>4482.08</v>
      </c>
      <c r="G256" s="91"/>
      <c r="H256" s="91"/>
      <c r="I256" s="91"/>
      <c r="J256" s="91">
        <f>SUM(H256:I256)+'BM 011'!J256</f>
        <v>0</v>
      </c>
      <c r="K256" s="91">
        <f t="shared" si="124"/>
        <v>4482.08</v>
      </c>
      <c r="L256" s="80">
        <v>9</v>
      </c>
      <c r="M256" s="81">
        <v>11.408400990000001</v>
      </c>
      <c r="N256" s="82">
        <f t="shared" si="135"/>
        <v>0</v>
      </c>
      <c r="O256" s="82">
        <f t="shared" si="136"/>
        <v>0</v>
      </c>
      <c r="P256" s="82">
        <f>O256+'BM 011'!P256</f>
        <v>0</v>
      </c>
      <c r="Q256" s="80">
        <f t="shared" si="137"/>
        <v>40338.720000000001</v>
      </c>
      <c r="R256" s="82">
        <f t="shared" si="138"/>
        <v>51133.36</v>
      </c>
      <c r="S256" s="82">
        <f t="shared" si="139"/>
        <v>51133.36</v>
      </c>
      <c r="T256" s="82">
        <f t="shared" si="140"/>
        <v>51133.36</v>
      </c>
    </row>
    <row r="257" spans="2:20" s="34" customFormat="1" ht="23.4">
      <c r="B257" s="87" t="s">
        <v>501</v>
      </c>
      <c r="C257" s="88" t="s">
        <v>502</v>
      </c>
      <c r="D257" s="89" t="s">
        <v>82</v>
      </c>
      <c r="E257" s="90">
        <v>3350.7979999999998</v>
      </c>
      <c r="F257" s="90">
        <v>14350.8</v>
      </c>
      <c r="G257" s="91"/>
      <c r="H257" s="91"/>
      <c r="I257" s="91"/>
      <c r="J257" s="91">
        <f>SUM(H257:I257)+'BM 011'!J257</f>
        <v>0</v>
      </c>
      <c r="K257" s="91">
        <f t="shared" si="124"/>
        <v>14350.8</v>
      </c>
      <c r="L257" s="80">
        <v>11</v>
      </c>
      <c r="M257" s="81">
        <v>13.943601210000001</v>
      </c>
      <c r="N257" s="82">
        <f t="shared" si="135"/>
        <v>0</v>
      </c>
      <c r="O257" s="82">
        <f t="shared" si="136"/>
        <v>0</v>
      </c>
      <c r="P257" s="82">
        <f>O257+'BM 011'!P257</f>
        <v>0</v>
      </c>
      <c r="Q257" s="80">
        <f t="shared" si="137"/>
        <v>36858.777999999998</v>
      </c>
      <c r="R257" s="82">
        <f t="shared" si="138"/>
        <v>46722.19</v>
      </c>
      <c r="S257" s="82">
        <f t="shared" si="139"/>
        <v>200101.83</v>
      </c>
      <c r="T257" s="82">
        <f t="shared" si="140"/>
        <v>200101.83</v>
      </c>
    </row>
    <row r="258" spans="2:20" s="34" customFormat="1" ht="13.2">
      <c r="B258" s="66" t="s">
        <v>503</v>
      </c>
      <c r="C258" s="67" t="s">
        <v>504</v>
      </c>
      <c r="D258" s="68"/>
      <c r="E258" s="69"/>
      <c r="F258" s="69"/>
      <c r="G258" s="70"/>
      <c r="H258" s="70"/>
      <c r="I258" s="70"/>
      <c r="J258" s="70">
        <f>SUM(H258:I258)+'BM 011'!J258</f>
        <v>0</v>
      </c>
      <c r="K258" s="70">
        <f t="shared" si="124"/>
        <v>0</v>
      </c>
      <c r="L258" s="71"/>
      <c r="M258" s="71">
        <v>0</v>
      </c>
      <c r="N258" s="73">
        <f t="shared" ref="N258:T258" si="141">SUM(N259:N293)</f>
        <v>0</v>
      </c>
      <c r="O258" s="73">
        <f t="shared" si="141"/>
        <v>0</v>
      </c>
      <c r="P258" s="73">
        <f t="shared" si="141"/>
        <v>0</v>
      </c>
      <c r="Q258" s="73">
        <f t="shared" si="141"/>
        <v>65111</v>
      </c>
      <c r="R258" s="73">
        <f t="shared" si="141"/>
        <v>82534.59</v>
      </c>
      <c r="S258" s="73">
        <f t="shared" si="141"/>
        <v>82534.59</v>
      </c>
      <c r="T258" s="73">
        <f t="shared" si="141"/>
        <v>82534.59</v>
      </c>
    </row>
    <row r="259" spans="2:20" s="34" customFormat="1" ht="46.2">
      <c r="B259" s="87" t="s">
        <v>505</v>
      </c>
      <c r="C259" s="88" t="s">
        <v>506</v>
      </c>
      <c r="D259" s="89" t="s">
        <v>131</v>
      </c>
      <c r="E259" s="90">
        <v>3</v>
      </c>
      <c r="F259" s="90">
        <v>3</v>
      </c>
      <c r="G259" s="91"/>
      <c r="H259" s="91"/>
      <c r="I259" s="91"/>
      <c r="J259" s="91">
        <f>SUM(H259:I259)+'BM 011'!J259</f>
        <v>0</v>
      </c>
      <c r="K259" s="91">
        <f t="shared" si="124"/>
        <v>3</v>
      </c>
      <c r="L259" s="80">
        <v>1080</v>
      </c>
      <c r="M259" s="81">
        <v>1369.0081187999999</v>
      </c>
      <c r="N259" s="82">
        <f t="shared" ref="N259:N293" si="142">TRUNC(G259*M259,2)</f>
        <v>0</v>
      </c>
      <c r="O259" s="82">
        <f t="shared" ref="O259:O293" si="143">TRUNC(H259*M259,2)</f>
        <v>0</v>
      </c>
      <c r="P259" s="82">
        <f>O259+'BM 011'!P259</f>
        <v>0</v>
      </c>
      <c r="Q259" s="80">
        <f t="shared" ref="Q259:Q293" si="144">E259*L259</f>
        <v>3240</v>
      </c>
      <c r="R259" s="82">
        <f t="shared" ref="R259:R293" si="145">TRUNC(E259*M259,2)</f>
        <v>4107.0200000000004</v>
      </c>
      <c r="S259" s="82">
        <f t="shared" ref="S259:S293" si="146">TRUNC(F259*$M259,2)</f>
        <v>4107.0200000000004</v>
      </c>
      <c r="T259" s="82">
        <f t="shared" ref="T259:T293" si="147">S259-P259</f>
        <v>4107.0200000000004</v>
      </c>
    </row>
    <row r="260" spans="2:20" s="34" customFormat="1" ht="46.2">
      <c r="B260" s="87" t="s">
        <v>507</v>
      </c>
      <c r="C260" s="88" t="s">
        <v>508</v>
      </c>
      <c r="D260" s="89" t="s">
        <v>131</v>
      </c>
      <c r="E260" s="90">
        <v>1</v>
      </c>
      <c r="F260" s="90">
        <v>1</v>
      </c>
      <c r="G260" s="91"/>
      <c r="H260" s="91"/>
      <c r="I260" s="91"/>
      <c r="J260" s="91">
        <f>SUM(H260:I260)+'BM 011'!J260</f>
        <v>0</v>
      </c>
      <c r="K260" s="91">
        <f t="shared" si="124"/>
        <v>1</v>
      </c>
      <c r="L260" s="80">
        <v>1200</v>
      </c>
      <c r="M260" s="81">
        <v>1521.120132</v>
      </c>
      <c r="N260" s="82">
        <f t="shared" si="142"/>
        <v>0</v>
      </c>
      <c r="O260" s="82">
        <f t="shared" si="143"/>
        <v>0</v>
      </c>
      <c r="P260" s="82">
        <f>O260+'BM 011'!P260</f>
        <v>0</v>
      </c>
      <c r="Q260" s="80">
        <f t="shared" si="144"/>
        <v>1200</v>
      </c>
      <c r="R260" s="82">
        <f t="shared" si="145"/>
        <v>1521.12</v>
      </c>
      <c r="S260" s="82">
        <f t="shared" si="146"/>
        <v>1521.12</v>
      </c>
      <c r="T260" s="82">
        <f t="shared" si="147"/>
        <v>1521.12</v>
      </c>
    </row>
    <row r="261" spans="2:20" s="34" customFormat="1" ht="46.2">
      <c r="B261" s="87" t="s">
        <v>509</v>
      </c>
      <c r="C261" s="88" t="s">
        <v>510</v>
      </c>
      <c r="D261" s="89" t="s">
        <v>131</v>
      </c>
      <c r="E261" s="90">
        <v>4</v>
      </c>
      <c r="F261" s="90">
        <v>4</v>
      </c>
      <c r="G261" s="91"/>
      <c r="H261" s="91"/>
      <c r="I261" s="91"/>
      <c r="J261" s="91">
        <f>SUM(H261:I261)+'BM 011'!J261</f>
        <v>0</v>
      </c>
      <c r="K261" s="91">
        <f t="shared" si="124"/>
        <v>4</v>
      </c>
      <c r="L261" s="80">
        <v>1890</v>
      </c>
      <c r="M261" s="81">
        <v>2395.7642079000002</v>
      </c>
      <c r="N261" s="82">
        <f t="shared" si="142"/>
        <v>0</v>
      </c>
      <c r="O261" s="82">
        <f t="shared" si="143"/>
        <v>0</v>
      </c>
      <c r="P261" s="82">
        <f>O261+'BM 011'!P261</f>
        <v>0</v>
      </c>
      <c r="Q261" s="80">
        <f t="shared" si="144"/>
        <v>7560</v>
      </c>
      <c r="R261" s="82">
        <f t="shared" si="145"/>
        <v>9583.0499999999993</v>
      </c>
      <c r="S261" s="82">
        <f t="shared" si="146"/>
        <v>9583.0499999999993</v>
      </c>
      <c r="T261" s="82">
        <f t="shared" si="147"/>
        <v>9583.0499999999993</v>
      </c>
    </row>
    <row r="262" spans="2:20" s="34" customFormat="1" ht="34.799999999999997">
      <c r="B262" s="87" t="s">
        <v>511</v>
      </c>
      <c r="C262" s="88" t="s">
        <v>512</v>
      </c>
      <c r="D262" s="89" t="s">
        <v>131</v>
      </c>
      <c r="E262" s="90">
        <v>19</v>
      </c>
      <c r="F262" s="90">
        <v>19</v>
      </c>
      <c r="G262" s="91"/>
      <c r="H262" s="91"/>
      <c r="I262" s="91"/>
      <c r="J262" s="91">
        <f>SUM(H262:I262)+'BM 011'!J262</f>
        <v>0</v>
      </c>
      <c r="K262" s="91">
        <f t="shared" si="124"/>
        <v>19</v>
      </c>
      <c r="L262" s="80">
        <v>1000</v>
      </c>
      <c r="M262" s="81">
        <v>1267.6001100000001</v>
      </c>
      <c r="N262" s="82">
        <f t="shared" si="142"/>
        <v>0</v>
      </c>
      <c r="O262" s="82">
        <f t="shared" si="143"/>
        <v>0</v>
      </c>
      <c r="P262" s="82">
        <f>O262+'BM 011'!P262</f>
        <v>0</v>
      </c>
      <c r="Q262" s="80">
        <f t="shared" si="144"/>
        <v>19000</v>
      </c>
      <c r="R262" s="82">
        <f t="shared" si="145"/>
        <v>24084.400000000001</v>
      </c>
      <c r="S262" s="82">
        <f t="shared" si="146"/>
        <v>24084.400000000001</v>
      </c>
      <c r="T262" s="82">
        <f t="shared" si="147"/>
        <v>24084.400000000001</v>
      </c>
    </row>
    <row r="263" spans="2:20" s="34" customFormat="1" ht="34.799999999999997">
      <c r="B263" s="87" t="s">
        <v>513</v>
      </c>
      <c r="C263" s="88" t="s">
        <v>514</v>
      </c>
      <c r="D263" s="89" t="s">
        <v>131</v>
      </c>
      <c r="E263" s="90">
        <v>2</v>
      </c>
      <c r="F263" s="90">
        <v>2</v>
      </c>
      <c r="G263" s="91"/>
      <c r="H263" s="91"/>
      <c r="I263" s="91"/>
      <c r="J263" s="91">
        <f>SUM(H263:I263)+'BM 011'!J263</f>
        <v>0</v>
      </c>
      <c r="K263" s="91">
        <f t="shared" si="124"/>
        <v>2</v>
      </c>
      <c r="L263" s="80">
        <v>1400</v>
      </c>
      <c r="M263" s="81">
        <v>1774.6401539999999</v>
      </c>
      <c r="N263" s="82">
        <f t="shared" si="142"/>
        <v>0</v>
      </c>
      <c r="O263" s="82">
        <f t="shared" si="143"/>
        <v>0</v>
      </c>
      <c r="P263" s="82">
        <f>O263+'BM 011'!P263</f>
        <v>0</v>
      </c>
      <c r="Q263" s="80">
        <f t="shared" si="144"/>
        <v>2800</v>
      </c>
      <c r="R263" s="82">
        <f t="shared" si="145"/>
        <v>3549.28</v>
      </c>
      <c r="S263" s="82">
        <f t="shared" si="146"/>
        <v>3549.28</v>
      </c>
      <c r="T263" s="82">
        <f t="shared" si="147"/>
        <v>3549.28</v>
      </c>
    </row>
    <row r="264" spans="2:20" s="34" customFormat="1" ht="23.4">
      <c r="B264" s="87" t="s">
        <v>515</v>
      </c>
      <c r="C264" s="88" t="s">
        <v>516</v>
      </c>
      <c r="D264" s="89" t="s">
        <v>131</v>
      </c>
      <c r="E264" s="90">
        <v>2</v>
      </c>
      <c r="F264" s="90">
        <v>2</v>
      </c>
      <c r="G264" s="91"/>
      <c r="H264" s="91"/>
      <c r="I264" s="91"/>
      <c r="J264" s="91">
        <f>SUM(H264:I264)+'BM 011'!J264</f>
        <v>0</v>
      </c>
      <c r="K264" s="91">
        <f t="shared" si="124"/>
        <v>2</v>
      </c>
      <c r="L264" s="80">
        <v>800</v>
      </c>
      <c r="M264" s="81">
        <v>1014.080088</v>
      </c>
      <c r="N264" s="82">
        <f t="shared" si="142"/>
        <v>0</v>
      </c>
      <c r="O264" s="82">
        <f t="shared" si="143"/>
        <v>0</v>
      </c>
      <c r="P264" s="82">
        <f>O264+'BM 011'!P264</f>
        <v>0</v>
      </c>
      <c r="Q264" s="80">
        <f t="shared" si="144"/>
        <v>1600</v>
      </c>
      <c r="R264" s="82">
        <f t="shared" si="145"/>
        <v>2028.16</v>
      </c>
      <c r="S264" s="82">
        <f t="shared" si="146"/>
        <v>2028.16</v>
      </c>
      <c r="T264" s="82">
        <f t="shared" si="147"/>
        <v>2028.16</v>
      </c>
    </row>
    <row r="265" spans="2:20" s="34" customFormat="1" ht="23.4">
      <c r="B265" s="87" t="s">
        <v>517</v>
      </c>
      <c r="C265" s="88" t="s">
        <v>518</v>
      </c>
      <c r="D265" s="89" t="s">
        <v>131</v>
      </c>
      <c r="E265" s="90">
        <v>1</v>
      </c>
      <c r="F265" s="90">
        <v>1</v>
      </c>
      <c r="G265" s="91"/>
      <c r="H265" s="91"/>
      <c r="I265" s="91"/>
      <c r="J265" s="91">
        <f>SUM(H265:I265)+'BM 011'!J265</f>
        <v>0</v>
      </c>
      <c r="K265" s="91">
        <f t="shared" si="124"/>
        <v>1</v>
      </c>
      <c r="L265" s="80">
        <v>1200</v>
      </c>
      <c r="M265" s="81">
        <v>1521.120132</v>
      </c>
      <c r="N265" s="82">
        <f t="shared" si="142"/>
        <v>0</v>
      </c>
      <c r="O265" s="82">
        <f t="shared" si="143"/>
        <v>0</v>
      </c>
      <c r="P265" s="82">
        <f>O265+'BM 011'!P265</f>
        <v>0</v>
      </c>
      <c r="Q265" s="80">
        <f t="shared" si="144"/>
        <v>1200</v>
      </c>
      <c r="R265" s="82">
        <f t="shared" si="145"/>
        <v>1521.12</v>
      </c>
      <c r="S265" s="82">
        <f t="shared" si="146"/>
        <v>1521.12</v>
      </c>
      <c r="T265" s="82">
        <f t="shared" si="147"/>
        <v>1521.12</v>
      </c>
    </row>
    <row r="266" spans="2:20" s="34" customFormat="1" ht="23.4">
      <c r="B266" s="87" t="s">
        <v>519</v>
      </c>
      <c r="C266" s="88" t="s">
        <v>520</v>
      </c>
      <c r="D266" s="89" t="s">
        <v>131</v>
      </c>
      <c r="E266" s="90">
        <v>2</v>
      </c>
      <c r="F266" s="90">
        <v>2</v>
      </c>
      <c r="G266" s="91"/>
      <c r="H266" s="91"/>
      <c r="I266" s="91"/>
      <c r="J266" s="91">
        <f>SUM(H266:I266)+'BM 011'!J266</f>
        <v>0</v>
      </c>
      <c r="K266" s="91">
        <f t="shared" si="124"/>
        <v>2</v>
      </c>
      <c r="L266" s="80">
        <v>2100</v>
      </c>
      <c r="M266" s="81">
        <v>2661.960231</v>
      </c>
      <c r="N266" s="82">
        <f t="shared" si="142"/>
        <v>0</v>
      </c>
      <c r="O266" s="82">
        <f t="shared" si="143"/>
        <v>0</v>
      </c>
      <c r="P266" s="82">
        <f>O266+'BM 011'!P266</f>
        <v>0</v>
      </c>
      <c r="Q266" s="80">
        <f t="shared" si="144"/>
        <v>4200</v>
      </c>
      <c r="R266" s="82">
        <f t="shared" si="145"/>
        <v>5323.92</v>
      </c>
      <c r="S266" s="82">
        <f t="shared" si="146"/>
        <v>5323.92</v>
      </c>
      <c r="T266" s="82">
        <f t="shared" si="147"/>
        <v>5323.92</v>
      </c>
    </row>
    <row r="267" spans="2:20" s="34" customFormat="1" ht="34.799999999999997">
      <c r="B267" s="87" t="s">
        <v>521</v>
      </c>
      <c r="C267" s="88" t="s">
        <v>522</v>
      </c>
      <c r="D267" s="89" t="s">
        <v>131</v>
      </c>
      <c r="E267" s="90">
        <v>16</v>
      </c>
      <c r="F267" s="90">
        <v>16</v>
      </c>
      <c r="G267" s="91"/>
      <c r="H267" s="91"/>
      <c r="I267" s="91"/>
      <c r="J267" s="91">
        <f>SUM(H267:I267)+'BM 011'!J267</f>
        <v>0</v>
      </c>
      <c r="K267" s="91">
        <f t="shared" si="124"/>
        <v>16</v>
      </c>
      <c r="L267" s="80">
        <v>180</v>
      </c>
      <c r="M267" s="81">
        <v>228.1680198</v>
      </c>
      <c r="N267" s="82">
        <f t="shared" si="142"/>
        <v>0</v>
      </c>
      <c r="O267" s="82">
        <f t="shared" si="143"/>
        <v>0</v>
      </c>
      <c r="P267" s="82">
        <f>O267+'BM 011'!P267</f>
        <v>0</v>
      </c>
      <c r="Q267" s="80">
        <f t="shared" si="144"/>
        <v>2880</v>
      </c>
      <c r="R267" s="82">
        <f t="shared" si="145"/>
        <v>3650.68</v>
      </c>
      <c r="S267" s="82">
        <f t="shared" si="146"/>
        <v>3650.68</v>
      </c>
      <c r="T267" s="82">
        <f t="shared" si="147"/>
        <v>3650.68</v>
      </c>
    </row>
    <row r="268" spans="2:20" s="34" customFormat="1" ht="34.799999999999997">
      <c r="B268" s="87" t="s">
        <v>523</v>
      </c>
      <c r="C268" s="88" t="s">
        <v>524</v>
      </c>
      <c r="D268" s="89" t="s">
        <v>131</v>
      </c>
      <c r="E268" s="90">
        <v>8</v>
      </c>
      <c r="F268" s="90">
        <v>8</v>
      </c>
      <c r="G268" s="91"/>
      <c r="H268" s="91"/>
      <c r="I268" s="91"/>
      <c r="J268" s="91">
        <f>SUM(H268:I268)+'BM 011'!J268</f>
        <v>0</v>
      </c>
      <c r="K268" s="91">
        <f t="shared" si="124"/>
        <v>8</v>
      </c>
      <c r="L268" s="80">
        <v>260</v>
      </c>
      <c r="M268" s="81">
        <v>329.57602859999997</v>
      </c>
      <c r="N268" s="82">
        <f t="shared" si="142"/>
        <v>0</v>
      </c>
      <c r="O268" s="82">
        <f t="shared" si="143"/>
        <v>0</v>
      </c>
      <c r="P268" s="82">
        <f>O268+'BM 011'!P268</f>
        <v>0</v>
      </c>
      <c r="Q268" s="80">
        <f t="shared" si="144"/>
        <v>2080</v>
      </c>
      <c r="R268" s="82">
        <f t="shared" si="145"/>
        <v>2636.6</v>
      </c>
      <c r="S268" s="82">
        <f t="shared" si="146"/>
        <v>2636.6</v>
      </c>
      <c r="T268" s="82">
        <f t="shared" si="147"/>
        <v>2636.6</v>
      </c>
    </row>
    <row r="269" spans="2:20" s="34" customFormat="1" ht="23.4">
      <c r="B269" s="87" t="s">
        <v>525</v>
      </c>
      <c r="C269" s="88" t="s">
        <v>526</v>
      </c>
      <c r="D269" s="89" t="s">
        <v>131</v>
      </c>
      <c r="E269" s="90">
        <v>1</v>
      </c>
      <c r="F269" s="90">
        <v>1</v>
      </c>
      <c r="G269" s="91"/>
      <c r="H269" s="91"/>
      <c r="I269" s="91"/>
      <c r="J269" s="91">
        <f>SUM(H269:I269)+'BM 011'!J269</f>
        <v>0</v>
      </c>
      <c r="K269" s="91">
        <f t="shared" si="124"/>
        <v>1</v>
      </c>
      <c r="L269" s="80">
        <v>180</v>
      </c>
      <c r="M269" s="81">
        <v>228.1680198</v>
      </c>
      <c r="N269" s="82">
        <f t="shared" si="142"/>
        <v>0</v>
      </c>
      <c r="O269" s="82">
        <f t="shared" si="143"/>
        <v>0</v>
      </c>
      <c r="P269" s="82">
        <f>O269+'BM 011'!P269</f>
        <v>0</v>
      </c>
      <c r="Q269" s="80">
        <f t="shared" si="144"/>
        <v>180</v>
      </c>
      <c r="R269" s="82">
        <f t="shared" si="145"/>
        <v>228.16</v>
      </c>
      <c r="S269" s="82">
        <f t="shared" si="146"/>
        <v>228.16</v>
      </c>
      <c r="T269" s="82">
        <f t="shared" si="147"/>
        <v>228.16</v>
      </c>
    </row>
    <row r="270" spans="2:20" s="34" customFormat="1" ht="23.4">
      <c r="B270" s="87" t="s">
        <v>527</v>
      </c>
      <c r="C270" s="88" t="s">
        <v>528</v>
      </c>
      <c r="D270" s="89" t="s">
        <v>131</v>
      </c>
      <c r="E270" s="90">
        <v>4</v>
      </c>
      <c r="F270" s="90">
        <v>4</v>
      </c>
      <c r="G270" s="91"/>
      <c r="H270" s="91"/>
      <c r="I270" s="91"/>
      <c r="J270" s="91">
        <f>SUM(H270:I270)+'BM 011'!J270</f>
        <v>0</v>
      </c>
      <c r="K270" s="91">
        <f t="shared" si="124"/>
        <v>4</v>
      </c>
      <c r="L270" s="80">
        <v>180</v>
      </c>
      <c r="M270" s="81">
        <v>228.1680198</v>
      </c>
      <c r="N270" s="82">
        <f t="shared" si="142"/>
        <v>0</v>
      </c>
      <c r="O270" s="82">
        <f t="shared" si="143"/>
        <v>0</v>
      </c>
      <c r="P270" s="82">
        <f>O270+'BM 011'!P270</f>
        <v>0</v>
      </c>
      <c r="Q270" s="80">
        <f t="shared" si="144"/>
        <v>720</v>
      </c>
      <c r="R270" s="82">
        <f t="shared" si="145"/>
        <v>912.67</v>
      </c>
      <c r="S270" s="82">
        <f t="shared" si="146"/>
        <v>912.67</v>
      </c>
      <c r="T270" s="82">
        <f t="shared" si="147"/>
        <v>912.67</v>
      </c>
    </row>
    <row r="271" spans="2:20" s="34" customFormat="1" ht="23.4">
      <c r="B271" s="87" t="s">
        <v>529</v>
      </c>
      <c r="C271" s="88" t="s">
        <v>530</v>
      </c>
      <c r="D271" s="89" t="s">
        <v>131</v>
      </c>
      <c r="E271" s="90">
        <v>11</v>
      </c>
      <c r="F271" s="90">
        <v>11</v>
      </c>
      <c r="G271" s="91"/>
      <c r="H271" s="91"/>
      <c r="I271" s="91"/>
      <c r="J271" s="91">
        <f>SUM(H271:I271)+'BM 011'!J271</f>
        <v>0</v>
      </c>
      <c r="K271" s="91">
        <f t="shared" si="124"/>
        <v>11</v>
      </c>
      <c r="L271" s="80">
        <v>280</v>
      </c>
      <c r="M271" s="81">
        <v>354.92803079999999</v>
      </c>
      <c r="N271" s="82">
        <f t="shared" si="142"/>
        <v>0</v>
      </c>
      <c r="O271" s="82">
        <f t="shared" si="143"/>
        <v>0</v>
      </c>
      <c r="P271" s="82">
        <f>O271+'BM 011'!P271</f>
        <v>0</v>
      </c>
      <c r="Q271" s="80">
        <f t="shared" si="144"/>
        <v>3080</v>
      </c>
      <c r="R271" s="82">
        <f t="shared" si="145"/>
        <v>3904.2</v>
      </c>
      <c r="S271" s="82">
        <f t="shared" si="146"/>
        <v>3904.2</v>
      </c>
      <c r="T271" s="82">
        <f t="shared" si="147"/>
        <v>3904.2</v>
      </c>
    </row>
    <row r="272" spans="2:20" s="34" customFormat="1" ht="23.4">
      <c r="B272" s="87" t="s">
        <v>531</v>
      </c>
      <c r="C272" s="88" t="s">
        <v>532</v>
      </c>
      <c r="D272" s="89" t="s">
        <v>131</v>
      </c>
      <c r="E272" s="90">
        <v>4</v>
      </c>
      <c r="F272" s="90">
        <v>4</v>
      </c>
      <c r="G272" s="91"/>
      <c r="H272" s="91"/>
      <c r="I272" s="91"/>
      <c r="J272" s="91">
        <f>SUM(H272:I272)+'BM 011'!J272</f>
        <v>0</v>
      </c>
      <c r="K272" s="91">
        <f t="shared" si="124"/>
        <v>4</v>
      </c>
      <c r="L272" s="80">
        <v>380</v>
      </c>
      <c r="M272" s="81">
        <v>481.68804180000001</v>
      </c>
      <c r="N272" s="82">
        <f t="shared" si="142"/>
        <v>0</v>
      </c>
      <c r="O272" s="82">
        <f t="shared" si="143"/>
        <v>0</v>
      </c>
      <c r="P272" s="82">
        <f>O272+'BM 011'!P272</f>
        <v>0</v>
      </c>
      <c r="Q272" s="80">
        <f t="shared" si="144"/>
        <v>1520</v>
      </c>
      <c r="R272" s="82">
        <f t="shared" si="145"/>
        <v>1926.75</v>
      </c>
      <c r="S272" s="82">
        <f t="shared" si="146"/>
        <v>1926.75</v>
      </c>
      <c r="T272" s="82">
        <f t="shared" si="147"/>
        <v>1926.75</v>
      </c>
    </row>
    <row r="273" spans="2:20" s="34" customFormat="1" ht="23.4">
      <c r="B273" s="87" t="s">
        <v>533</v>
      </c>
      <c r="C273" s="88" t="s">
        <v>534</v>
      </c>
      <c r="D273" s="89" t="s">
        <v>131</v>
      </c>
      <c r="E273" s="90">
        <v>1</v>
      </c>
      <c r="F273" s="90">
        <v>1</v>
      </c>
      <c r="G273" s="91"/>
      <c r="H273" s="91"/>
      <c r="I273" s="91"/>
      <c r="J273" s="91">
        <f>SUM(H273:I273)+'BM 011'!J273</f>
        <v>0</v>
      </c>
      <c r="K273" s="91">
        <f t="shared" si="124"/>
        <v>1</v>
      </c>
      <c r="L273" s="80">
        <v>600</v>
      </c>
      <c r="M273" s="81">
        <v>760.56006600000001</v>
      </c>
      <c r="N273" s="82">
        <f t="shared" si="142"/>
        <v>0</v>
      </c>
      <c r="O273" s="82">
        <f t="shared" si="143"/>
        <v>0</v>
      </c>
      <c r="P273" s="82">
        <f>O273+'BM 011'!P273</f>
        <v>0</v>
      </c>
      <c r="Q273" s="80">
        <f t="shared" si="144"/>
        <v>600</v>
      </c>
      <c r="R273" s="82">
        <f t="shared" si="145"/>
        <v>760.56</v>
      </c>
      <c r="S273" s="82">
        <f t="shared" si="146"/>
        <v>760.56</v>
      </c>
      <c r="T273" s="82">
        <f t="shared" si="147"/>
        <v>760.56</v>
      </c>
    </row>
    <row r="274" spans="2:20" s="34" customFormat="1" ht="13.2">
      <c r="B274" s="87" t="s">
        <v>535</v>
      </c>
      <c r="C274" s="88" t="s">
        <v>536</v>
      </c>
      <c r="D274" s="89" t="s">
        <v>131</v>
      </c>
      <c r="E274" s="90">
        <v>1</v>
      </c>
      <c r="F274" s="90">
        <v>1</v>
      </c>
      <c r="G274" s="91"/>
      <c r="H274" s="91"/>
      <c r="I274" s="91"/>
      <c r="J274" s="91">
        <f>SUM(H274:I274)+'BM 011'!J274</f>
        <v>0</v>
      </c>
      <c r="K274" s="91">
        <f t="shared" si="124"/>
        <v>1</v>
      </c>
      <c r="L274" s="80">
        <v>350</v>
      </c>
      <c r="M274" s="81">
        <v>443.66003849999998</v>
      </c>
      <c r="N274" s="82">
        <f t="shared" si="142"/>
        <v>0</v>
      </c>
      <c r="O274" s="82">
        <f t="shared" si="143"/>
        <v>0</v>
      </c>
      <c r="P274" s="82">
        <f>O274+'BM 011'!P274</f>
        <v>0</v>
      </c>
      <c r="Q274" s="80">
        <f t="shared" si="144"/>
        <v>350</v>
      </c>
      <c r="R274" s="82">
        <f t="shared" si="145"/>
        <v>443.66</v>
      </c>
      <c r="S274" s="82">
        <f t="shared" si="146"/>
        <v>443.66</v>
      </c>
      <c r="T274" s="82">
        <f t="shared" si="147"/>
        <v>443.66</v>
      </c>
    </row>
    <row r="275" spans="2:20" s="34" customFormat="1" ht="13.2">
      <c r="B275" s="87" t="s">
        <v>537</v>
      </c>
      <c r="C275" s="88" t="s">
        <v>538</v>
      </c>
      <c r="D275" s="89" t="s">
        <v>131</v>
      </c>
      <c r="E275" s="90">
        <v>6</v>
      </c>
      <c r="F275" s="90">
        <v>6</v>
      </c>
      <c r="G275" s="91"/>
      <c r="H275" s="91"/>
      <c r="I275" s="91"/>
      <c r="J275" s="91">
        <f>SUM(H275:I275)+'BM 011'!J275</f>
        <v>0</v>
      </c>
      <c r="K275" s="91">
        <f t="shared" si="124"/>
        <v>6</v>
      </c>
      <c r="L275" s="80">
        <v>450</v>
      </c>
      <c r="M275" s="81">
        <v>570.4200495</v>
      </c>
      <c r="N275" s="82">
        <f t="shared" si="142"/>
        <v>0</v>
      </c>
      <c r="O275" s="82">
        <f t="shared" si="143"/>
        <v>0</v>
      </c>
      <c r="P275" s="82">
        <f>O275+'BM 011'!P275</f>
        <v>0</v>
      </c>
      <c r="Q275" s="80">
        <f t="shared" si="144"/>
        <v>2700</v>
      </c>
      <c r="R275" s="82">
        <f t="shared" si="145"/>
        <v>3422.52</v>
      </c>
      <c r="S275" s="82">
        <f t="shared" si="146"/>
        <v>3422.52</v>
      </c>
      <c r="T275" s="82">
        <f t="shared" si="147"/>
        <v>3422.52</v>
      </c>
    </row>
    <row r="276" spans="2:20" s="34" customFormat="1" ht="23.4">
      <c r="B276" s="87" t="s">
        <v>539</v>
      </c>
      <c r="C276" s="88" t="s">
        <v>540</v>
      </c>
      <c r="D276" s="89" t="s">
        <v>131</v>
      </c>
      <c r="E276" s="90">
        <v>1</v>
      </c>
      <c r="F276" s="90">
        <v>1</v>
      </c>
      <c r="G276" s="91"/>
      <c r="H276" s="91"/>
      <c r="I276" s="91"/>
      <c r="J276" s="91">
        <f>SUM(H276:I276)+'BM 011'!J276</f>
        <v>0</v>
      </c>
      <c r="K276" s="91">
        <f t="shared" si="124"/>
        <v>1</v>
      </c>
      <c r="L276" s="80">
        <v>750</v>
      </c>
      <c r="M276" s="81">
        <v>950.70008250000001</v>
      </c>
      <c r="N276" s="82">
        <f t="shared" si="142"/>
        <v>0</v>
      </c>
      <c r="O276" s="82">
        <f t="shared" si="143"/>
        <v>0</v>
      </c>
      <c r="P276" s="82">
        <f>O276+'BM 011'!P276</f>
        <v>0</v>
      </c>
      <c r="Q276" s="80">
        <f t="shared" si="144"/>
        <v>750</v>
      </c>
      <c r="R276" s="82">
        <f t="shared" si="145"/>
        <v>950.7</v>
      </c>
      <c r="S276" s="82">
        <f t="shared" si="146"/>
        <v>950.7</v>
      </c>
      <c r="T276" s="82">
        <f t="shared" si="147"/>
        <v>950.7</v>
      </c>
    </row>
    <row r="277" spans="2:20" s="34" customFormat="1" ht="34.799999999999997">
      <c r="B277" s="87" t="s">
        <v>541</v>
      </c>
      <c r="C277" s="88" t="s">
        <v>542</v>
      </c>
      <c r="D277" s="89" t="s">
        <v>131</v>
      </c>
      <c r="E277" s="90">
        <v>7</v>
      </c>
      <c r="F277" s="90">
        <v>7</v>
      </c>
      <c r="G277" s="91"/>
      <c r="H277" s="91"/>
      <c r="I277" s="91"/>
      <c r="J277" s="91">
        <f>SUM(H277:I277)+'BM 011'!J277</f>
        <v>0</v>
      </c>
      <c r="K277" s="91">
        <f t="shared" si="124"/>
        <v>7</v>
      </c>
      <c r="L277" s="80">
        <v>20</v>
      </c>
      <c r="M277" s="81">
        <v>25.352002200000001</v>
      </c>
      <c r="N277" s="82">
        <f t="shared" si="142"/>
        <v>0</v>
      </c>
      <c r="O277" s="82">
        <f t="shared" si="143"/>
        <v>0</v>
      </c>
      <c r="P277" s="82">
        <f>O277+'BM 011'!P277</f>
        <v>0</v>
      </c>
      <c r="Q277" s="80">
        <f t="shared" si="144"/>
        <v>140</v>
      </c>
      <c r="R277" s="82">
        <f t="shared" si="145"/>
        <v>177.46</v>
      </c>
      <c r="S277" s="82">
        <f t="shared" si="146"/>
        <v>177.46</v>
      </c>
      <c r="T277" s="82">
        <f t="shared" si="147"/>
        <v>177.46</v>
      </c>
    </row>
    <row r="278" spans="2:20" s="34" customFormat="1" ht="34.799999999999997">
      <c r="B278" s="87" t="s">
        <v>543</v>
      </c>
      <c r="C278" s="88" t="s">
        <v>544</v>
      </c>
      <c r="D278" s="89" t="s">
        <v>131</v>
      </c>
      <c r="E278" s="90">
        <v>17</v>
      </c>
      <c r="F278" s="90">
        <v>17</v>
      </c>
      <c r="G278" s="91"/>
      <c r="H278" s="91"/>
      <c r="I278" s="91"/>
      <c r="J278" s="91">
        <f>SUM(H278:I278)+'BM 011'!J278</f>
        <v>0</v>
      </c>
      <c r="K278" s="91">
        <f t="shared" si="124"/>
        <v>17</v>
      </c>
      <c r="L278" s="80">
        <v>20</v>
      </c>
      <c r="M278" s="81">
        <v>25.352002200000001</v>
      </c>
      <c r="N278" s="82">
        <f t="shared" si="142"/>
        <v>0</v>
      </c>
      <c r="O278" s="82">
        <f t="shared" si="143"/>
        <v>0</v>
      </c>
      <c r="P278" s="82">
        <f>O278+'BM 011'!P278</f>
        <v>0</v>
      </c>
      <c r="Q278" s="80">
        <f t="shared" si="144"/>
        <v>340</v>
      </c>
      <c r="R278" s="82">
        <f t="shared" si="145"/>
        <v>430.98</v>
      </c>
      <c r="S278" s="82">
        <f t="shared" si="146"/>
        <v>430.98</v>
      </c>
      <c r="T278" s="82">
        <f t="shared" si="147"/>
        <v>430.98</v>
      </c>
    </row>
    <row r="279" spans="2:20" s="34" customFormat="1" ht="34.799999999999997">
      <c r="B279" s="87" t="s">
        <v>545</v>
      </c>
      <c r="C279" s="88" t="s">
        <v>546</v>
      </c>
      <c r="D279" s="89" t="s">
        <v>131</v>
      </c>
      <c r="E279" s="90">
        <v>71</v>
      </c>
      <c r="F279" s="90">
        <v>71</v>
      </c>
      <c r="G279" s="91"/>
      <c r="H279" s="91"/>
      <c r="I279" s="91"/>
      <c r="J279" s="91">
        <f>SUM(H279:I279)+'BM 011'!J279</f>
        <v>0</v>
      </c>
      <c r="K279" s="91">
        <f t="shared" si="124"/>
        <v>71</v>
      </c>
      <c r="L279" s="80">
        <v>20</v>
      </c>
      <c r="M279" s="81">
        <v>25.352002200000001</v>
      </c>
      <c r="N279" s="82">
        <f t="shared" si="142"/>
        <v>0</v>
      </c>
      <c r="O279" s="82">
        <f t="shared" si="143"/>
        <v>0</v>
      </c>
      <c r="P279" s="82">
        <f>O279+'BM 011'!P279</f>
        <v>0</v>
      </c>
      <c r="Q279" s="80">
        <f t="shared" si="144"/>
        <v>1420</v>
      </c>
      <c r="R279" s="82">
        <f t="shared" si="145"/>
        <v>1799.99</v>
      </c>
      <c r="S279" s="82">
        <f t="shared" si="146"/>
        <v>1799.99</v>
      </c>
      <c r="T279" s="82">
        <f t="shared" si="147"/>
        <v>1799.99</v>
      </c>
    </row>
    <row r="280" spans="2:20" s="34" customFormat="1" ht="34.799999999999997">
      <c r="B280" s="87" t="s">
        <v>547</v>
      </c>
      <c r="C280" s="88" t="s">
        <v>548</v>
      </c>
      <c r="D280" s="89" t="s">
        <v>131</v>
      </c>
      <c r="E280" s="90">
        <v>179</v>
      </c>
      <c r="F280" s="90">
        <v>179</v>
      </c>
      <c r="G280" s="91"/>
      <c r="H280" s="91"/>
      <c r="I280" s="91"/>
      <c r="J280" s="91">
        <f>SUM(H280:I280)+'BM 011'!J280</f>
        <v>0</v>
      </c>
      <c r="K280" s="91">
        <f t="shared" si="124"/>
        <v>179</v>
      </c>
      <c r="L280" s="80">
        <v>20</v>
      </c>
      <c r="M280" s="81">
        <v>25.352002200000001</v>
      </c>
      <c r="N280" s="82">
        <f t="shared" si="142"/>
        <v>0</v>
      </c>
      <c r="O280" s="82">
        <f t="shared" si="143"/>
        <v>0</v>
      </c>
      <c r="P280" s="82">
        <f>O280+'BM 011'!P280</f>
        <v>0</v>
      </c>
      <c r="Q280" s="80">
        <f t="shared" si="144"/>
        <v>3580</v>
      </c>
      <c r="R280" s="82">
        <f t="shared" si="145"/>
        <v>4538</v>
      </c>
      <c r="S280" s="82">
        <f t="shared" si="146"/>
        <v>4538</v>
      </c>
      <c r="T280" s="82">
        <f t="shared" si="147"/>
        <v>4538</v>
      </c>
    </row>
    <row r="281" spans="2:20" s="34" customFormat="1" ht="34.799999999999997">
      <c r="B281" s="87" t="s">
        <v>549</v>
      </c>
      <c r="C281" s="88" t="s">
        <v>550</v>
      </c>
      <c r="D281" s="89" t="s">
        <v>131</v>
      </c>
      <c r="E281" s="90">
        <v>1</v>
      </c>
      <c r="F281" s="90">
        <v>1</v>
      </c>
      <c r="G281" s="91"/>
      <c r="H281" s="91"/>
      <c r="I281" s="91"/>
      <c r="J281" s="91">
        <f>SUM(H281:I281)+'BM 011'!J281</f>
        <v>0</v>
      </c>
      <c r="K281" s="91">
        <f t="shared" si="124"/>
        <v>1</v>
      </c>
      <c r="L281" s="80">
        <v>25</v>
      </c>
      <c r="M281" s="81">
        <v>31.690002750000001</v>
      </c>
      <c r="N281" s="82">
        <f t="shared" si="142"/>
        <v>0</v>
      </c>
      <c r="O281" s="82">
        <f t="shared" si="143"/>
        <v>0</v>
      </c>
      <c r="P281" s="82">
        <f>O281+'BM 011'!P281</f>
        <v>0</v>
      </c>
      <c r="Q281" s="80">
        <f t="shared" si="144"/>
        <v>25</v>
      </c>
      <c r="R281" s="82">
        <f t="shared" si="145"/>
        <v>31.69</v>
      </c>
      <c r="S281" s="82">
        <f t="shared" si="146"/>
        <v>31.69</v>
      </c>
      <c r="T281" s="82">
        <f t="shared" si="147"/>
        <v>31.69</v>
      </c>
    </row>
    <row r="282" spans="2:20" s="34" customFormat="1" ht="34.799999999999997">
      <c r="B282" s="87" t="s">
        <v>551</v>
      </c>
      <c r="C282" s="88" t="s">
        <v>552</v>
      </c>
      <c r="D282" s="89" t="s">
        <v>131</v>
      </c>
      <c r="E282" s="90">
        <v>8</v>
      </c>
      <c r="F282" s="90">
        <v>8</v>
      </c>
      <c r="G282" s="91"/>
      <c r="H282" s="91"/>
      <c r="I282" s="91"/>
      <c r="J282" s="91">
        <f>SUM(H282:I282)+'BM 011'!J282</f>
        <v>0</v>
      </c>
      <c r="K282" s="91">
        <f t="shared" si="124"/>
        <v>8</v>
      </c>
      <c r="L282" s="80">
        <v>25</v>
      </c>
      <c r="M282" s="81">
        <v>31.690002750000001</v>
      </c>
      <c r="N282" s="82">
        <f t="shared" si="142"/>
        <v>0</v>
      </c>
      <c r="O282" s="82">
        <f t="shared" si="143"/>
        <v>0</v>
      </c>
      <c r="P282" s="82">
        <f>O282+'BM 011'!P282</f>
        <v>0</v>
      </c>
      <c r="Q282" s="80">
        <f t="shared" si="144"/>
        <v>200</v>
      </c>
      <c r="R282" s="82">
        <f t="shared" si="145"/>
        <v>253.52</v>
      </c>
      <c r="S282" s="82">
        <f t="shared" si="146"/>
        <v>253.52</v>
      </c>
      <c r="T282" s="82">
        <f t="shared" si="147"/>
        <v>253.52</v>
      </c>
    </row>
    <row r="283" spans="2:20" s="34" customFormat="1" ht="34.799999999999997">
      <c r="B283" s="87" t="s">
        <v>553</v>
      </c>
      <c r="C283" s="88" t="s">
        <v>554</v>
      </c>
      <c r="D283" s="89" t="s">
        <v>131</v>
      </c>
      <c r="E283" s="90">
        <v>14</v>
      </c>
      <c r="F283" s="90">
        <v>14</v>
      </c>
      <c r="G283" s="91"/>
      <c r="H283" s="91"/>
      <c r="I283" s="91"/>
      <c r="J283" s="91">
        <f>SUM(H283:I283)+'BM 011'!J283</f>
        <v>0</v>
      </c>
      <c r="K283" s="91">
        <f t="shared" si="124"/>
        <v>14</v>
      </c>
      <c r="L283" s="80">
        <v>25</v>
      </c>
      <c r="M283" s="81">
        <v>31.690002750000001</v>
      </c>
      <c r="N283" s="82">
        <f t="shared" si="142"/>
        <v>0</v>
      </c>
      <c r="O283" s="82">
        <f t="shared" si="143"/>
        <v>0</v>
      </c>
      <c r="P283" s="82">
        <f>O283+'BM 011'!P283</f>
        <v>0</v>
      </c>
      <c r="Q283" s="80">
        <f t="shared" si="144"/>
        <v>350</v>
      </c>
      <c r="R283" s="82">
        <f t="shared" si="145"/>
        <v>443.66</v>
      </c>
      <c r="S283" s="82">
        <f t="shared" si="146"/>
        <v>443.66</v>
      </c>
      <c r="T283" s="82">
        <f t="shared" si="147"/>
        <v>443.66</v>
      </c>
    </row>
    <row r="284" spans="2:20" s="34" customFormat="1" ht="34.799999999999997">
      <c r="B284" s="87" t="s">
        <v>555</v>
      </c>
      <c r="C284" s="88" t="s">
        <v>556</v>
      </c>
      <c r="D284" s="89" t="s">
        <v>131</v>
      </c>
      <c r="E284" s="90">
        <v>5</v>
      </c>
      <c r="F284" s="90">
        <v>5</v>
      </c>
      <c r="G284" s="91"/>
      <c r="H284" s="91"/>
      <c r="I284" s="91"/>
      <c r="J284" s="91">
        <f>SUM(H284:I284)+'BM 011'!J284</f>
        <v>0</v>
      </c>
      <c r="K284" s="91">
        <f t="shared" si="124"/>
        <v>5</v>
      </c>
      <c r="L284" s="80">
        <v>30</v>
      </c>
      <c r="M284" s="81">
        <v>38.028003300000002</v>
      </c>
      <c r="N284" s="82">
        <f t="shared" si="142"/>
        <v>0</v>
      </c>
      <c r="O284" s="82">
        <f t="shared" si="143"/>
        <v>0</v>
      </c>
      <c r="P284" s="82">
        <f>O284+'BM 011'!P284</f>
        <v>0</v>
      </c>
      <c r="Q284" s="80">
        <f t="shared" si="144"/>
        <v>150</v>
      </c>
      <c r="R284" s="82">
        <f t="shared" si="145"/>
        <v>190.14</v>
      </c>
      <c r="S284" s="82">
        <f t="shared" si="146"/>
        <v>190.14</v>
      </c>
      <c r="T284" s="82">
        <f t="shared" si="147"/>
        <v>190.14</v>
      </c>
    </row>
    <row r="285" spans="2:20" s="34" customFormat="1" ht="34.799999999999997">
      <c r="B285" s="87" t="s">
        <v>557</v>
      </c>
      <c r="C285" s="88" t="s">
        <v>558</v>
      </c>
      <c r="D285" s="89" t="s">
        <v>131</v>
      </c>
      <c r="E285" s="90">
        <v>4</v>
      </c>
      <c r="F285" s="90">
        <v>4</v>
      </c>
      <c r="G285" s="91"/>
      <c r="H285" s="91"/>
      <c r="I285" s="91"/>
      <c r="J285" s="91">
        <f>SUM(H285:I285)+'BM 011'!J285</f>
        <v>0</v>
      </c>
      <c r="K285" s="91">
        <f t="shared" si="124"/>
        <v>4</v>
      </c>
      <c r="L285" s="80">
        <v>40</v>
      </c>
      <c r="M285" s="81">
        <v>50.704004400000002</v>
      </c>
      <c r="N285" s="82">
        <f t="shared" si="142"/>
        <v>0</v>
      </c>
      <c r="O285" s="82">
        <f t="shared" si="143"/>
        <v>0</v>
      </c>
      <c r="P285" s="82">
        <f>O285+'BM 011'!P285</f>
        <v>0</v>
      </c>
      <c r="Q285" s="80">
        <f t="shared" si="144"/>
        <v>160</v>
      </c>
      <c r="R285" s="82">
        <f t="shared" si="145"/>
        <v>202.81</v>
      </c>
      <c r="S285" s="82">
        <f t="shared" si="146"/>
        <v>202.81</v>
      </c>
      <c r="T285" s="82">
        <f t="shared" si="147"/>
        <v>202.81</v>
      </c>
    </row>
    <row r="286" spans="2:20" s="34" customFormat="1" ht="34.799999999999997">
      <c r="B286" s="87" t="s">
        <v>559</v>
      </c>
      <c r="C286" s="88" t="s">
        <v>560</v>
      </c>
      <c r="D286" s="89" t="s">
        <v>131</v>
      </c>
      <c r="E286" s="90">
        <v>4</v>
      </c>
      <c r="F286" s="90">
        <v>4</v>
      </c>
      <c r="G286" s="91"/>
      <c r="H286" s="91"/>
      <c r="I286" s="91"/>
      <c r="J286" s="91">
        <f>SUM(H286:I286)+'BM 011'!J286</f>
        <v>0</v>
      </c>
      <c r="K286" s="91">
        <f t="shared" ref="K286:K349" si="148">F286-J286</f>
        <v>4</v>
      </c>
      <c r="L286" s="80">
        <v>50</v>
      </c>
      <c r="M286" s="81">
        <v>63.380005500000003</v>
      </c>
      <c r="N286" s="82">
        <f t="shared" si="142"/>
        <v>0</v>
      </c>
      <c r="O286" s="82">
        <f t="shared" si="143"/>
        <v>0</v>
      </c>
      <c r="P286" s="82">
        <f>O286+'BM 011'!P286</f>
        <v>0</v>
      </c>
      <c r="Q286" s="80">
        <f t="shared" si="144"/>
        <v>200</v>
      </c>
      <c r="R286" s="82">
        <f t="shared" si="145"/>
        <v>253.52</v>
      </c>
      <c r="S286" s="82">
        <f t="shared" si="146"/>
        <v>253.52</v>
      </c>
      <c r="T286" s="82">
        <f t="shared" si="147"/>
        <v>253.52</v>
      </c>
    </row>
    <row r="287" spans="2:20" s="34" customFormat="1" ht="34.799999999999997">
      <c r="B287" s="87" t="s">
        <v>561</v>
      </c>
      <c r="C287" s="88" t="s">
        <v>562</v>
      </c>
      <c r="D287" s="89" t="s">
        <v>131</v>
      </c>
      <c r="E287" s="90">
        <v>1</v>
      </c>
      <c r="F287" s="90">
        <v>1</v>
      </c>
      <c r="G287" s="91"/>
      <c r="H287" s="91"/>
      <c r="I287" s="91"/>
      <c r="J287" s="91">
        <f>SUM(H287:I287)+'BM 011'!J287</f>
        <v>0</v>
      </c>
      <c r="K287" s="91">
        <f t="shared" si="148"/>
        <v>1</v>
      </c>
      <c r="L287" s="80">
        <v>80</v>
      </c>
      <c r="M287" s="81">
        <v>101.4080088</v>
      </c>
      <c r="N287" s="82">
        <f t="shared" si="142"/>
        <v>0</v>
      </c>
      <c r="O287" s="82">
        <f t="shared" si="143"/>
        <v>0</v>
      </c>
      <c r="P287" s="82">
        <f>O287+'BM 011'!P287</f>
        <v>0</v>
      </c>
      <c r="Q287" s="80">
        <f t="shared" si="144"/>
        <v>80</v>
      </c>
      <c r="R287" s="82">
        <f t="shared" si="145"/>
        <v>101.4</v>
      </c>
      <c r="S287" s="82">
        <f t="shared" si="146"/>
        <v>101.4</v>
      </c>
      <c r="T287" s="82">
        <f t="shared" si="147"/>
        <v>101.4</v>
      </c>
    </row>
    <row r="288" spans="2:20" s="34" customFormat="1" ht="34.799999999999997">
      <c r="B288" s="87" t="s">
        <v>563</v>
      </c>
      <c r="C288" s="88" t="s">
        <v>564</v>
      </c>
      <c r="D288" s="89" t="s">
        <v>131</v>
      </c>
      <c r="E288" s="90">
        <v>9</v>
      </c>
      <c r="F288" s="90">
        <v>9</v>
      </c>
      <c r="G288" s="91"/>
      <c r="H288" s="91"/>
      <c r="I288" s="91"/>
      <c r="J288" s="91">
        <f>SUM(H288:I288)+'BM 011'!J288</f>
        <v>0</v>
      </c>
      <c r="K288" s="91">
        <f t="shared" si="148"/>
        <v>9</v>
      </c>
      <c r="L288" s="80">
        <v>89</v>
      </c>
      <c r="M288" s="81">
        <v>112.81640978999999</v>
      </c>
      <c r="N288" s="82">
        <f t="shared" si="142"/>
        <v>0</v>
      </c>
      <c r="O288" s="82">
        <f t="shared" si="143"/>
        <v>0</v>
      </c>
      <c r="P288" s="82">
        <f>O288+'BM 011'!P288</f>
        <v>0</v>
      </c>
      <c r="Q288" s="80">
        <f t="shared" si="144"/>
        <v>801</v>
      </c>
      <c r="R288" s="82">
        <f t="shared" si="145"/>
        <v>1015.34</v>
      </c>
      <c r="S288" s="82">
        <f t="shared" si="146"/>
        <v>1015.34</v>
      </c>
      <c r="T288" s="82">
        <f t="shared" si="147"/>
        <v>1015.34</v>
      </c>
    </row>
    <row r="289" spans="2:20" s="34" customFormat="1" ht="34.799999999999997">
      <c r="B289" s="87" t="s">
        <v>565</v>
      </c>
      <c r="C289" s="88" t="s">
        <v>566</v>
      </c>
      <c r="D289" s="89" t="s">
        <v>131</v>
      </c>
      <c r="E289" s="90">
        <v>4</v>
      </c>
      <c r="F289" s="90">
        <v>4</v>
      </c>
      <c r="G289" s="91"/>
      <c r="H289" s="91"/>
      <c r="I289" s="91"/>
      <c r="J289" s="91">
        <f>SUM(H289:I289)+'BM 011'!J289</f>
        <v>0</v>
      </c>
      <c r="K289" s="91">
        <f t="shared" si="148"/>
        <v>4</v>
      </c>
      <c r="L289" s="80">
        <v>89</v>
      </c>
      <c r="M289" s="81">
        <v>112.81640978999999</v>
      </c>
      <c r="N289" s="82">
        <f t="shared" si="142"/>
        <v>0</v>
      </c>
      <c r="O289" s="82">
        <f t="shared" si="143"/>
        <v>0</v>
      </c>
      <c r="P289" s="82">
        <f>O289+'BM 011'!P289</f>
        <v>0</v>
      </c>
      <c r="Q289" s="80">
        <f t="shared" si="144"/>
        <v>356</v>
      </c>
      <c r="R289" s="82">
        <f t="shared" si="145"/>
        <v>451.26</v>
      </c>
      <c r="S289" s="82">
        <f t="shared" si="146"/>
        <v>451.26</v>
      </c>
      <c r="T289" s="82">
        <f t="shared" si="147"/>
        <v>451.26</v>
      </c>
    </row>
    <row r="290" spans="2:20" s="34" customFormat="1" ht="34.799999999999997">
      <c r="B290" s="87" t="s">
        <v>567</v>
      </c>
      <c r="C290" s="88" t="s">
        <v>568</v>
      </c>
      <c r="D290" s="89" t="s">
        <v>131</v>
      </c>
      <c r="E290" s="90">
        <v>12</v>
      </c>
      <c r="F290" s="90">
        <v>12</v>
      </c>
      <c r="G290" s="91"/>
      <c r="H290" s="91"/>
      <c r="I290" s="91"/>
      <c r="J290" s="91">
        <f>SUM(H290:I290)+'BM 011'!J290</f>
        <v>0</v>
      </c>
      <c r="K290" s="91">
        <f t="shared" si="148"/>
        <v>12</v>
      </c>
      <c r="L290" s="80">
        <v>89</v>
      </c>
      <c r="M290" s="81">
        <v>112.81640978999999</v>
      </c>
      <c r="N290" s="82">
        <f t="shared" si="142"/>
        <v>0</v>
      </c>
      <c r="O290" s="82">
        <f t="shared" si="143"/>
        <v>0</v>
      </c>
      <c r="P290" s="82">
        <f>O290+'BM 011'!P290</f>
        <v>0</v>
      </c>
      <c r="Q290" s="80">
        <f t="shared" si="144"/>
        <v>1068</v>
      </c>
      <c r="R290" s="82">
        <f t="shared" si="145"/>
        <v>1353.79</v>
      </c>
      <c r="S290" s="82">
        <f t="shared" si="146"/>
        <v>1353.79</v>
      </c>
      <c r="T290" s="82">
        <f t="shared" si="147"/>
        <v>1353.79</v>
      </c>
    </row>
    <row r="291" spans="2:20" s="34" customFormat="1" ht="34.799999999999997">
      <c r="B291" s="87" t="s">
        <v>569</v>
      </c>
      <c r="C291" s="88" t="s">
        <v>570</v>
      </c>
      <c r="D291" s="89" t="s">
        <v>131</v>
      </c>
      <c r="E291" s="90">
        <v>4</v>
      </c>
      <c r="F291" s="90">
        <v>4</v>
      </c>
      <c r="G291" s="91"/>
      <c r="H291" s="91"/>
      <c r="I291" s="91"/>
      <c r="J291" s="91">
        <f>SUM(H291:I291)+'BM 011'!J291</f>
        <v>0</v>
      </c>
      <c r="K291" s="91">
        <f t="shared" si="148"/>
        <v>4</v>
      </c>
      <c r="L291" s="80">
        <v>89</v>
      </c>
      <c r="M291" s="81">
        <v>112.81640978999999</v>
      </c>
      <c r="N291" s="82">
        <f t="shared" si="142"/>
        <v>0</v>
      </c>
      <c r="O291" s="82">
        <f t="shared" si="143"/>
        <v>0</v>
      </c>
      <c r="P291" s="82">
        <f>O291+'BM 011'!P291</f>
        <v>0</v>
      </c>
      <c r="Q291" s="80">
        <f t="shared" si="144"/>
        <v>356</v>
      </c>
      <c r="R291" s="82">
        <f t="shared" si="145"/>
        <v>451.26</v>
      </c>
      <c r="S291" s="82">
        <f t="shared" si="146"/>
        <v>451.26</v>
      </c>
      <c r="T291" s="82">
        <f t="shared" si="147"/>
        <v>451.26</v>
      </c>
    </row>
    <row r="292" spans="2:20" s="34" customFormat="1" ht="34.799999999999997">
      <c r="B292" s="87" t="s">
        <v>571</v>
      </c>
      <c r="C292" s="88" t="s">
        <v>572</v>
      </c>
      <c r="D292" s="89" t="s">
        <v>131</v>
      </c>
      <c r="E292" s="90">
        <v>1</v>
      </c>
      <c r="F292" s="90">
        <v>1</v>
      </c>
      <c r="G292" s="91"/>
      <c r="H292" s="91"/>
      <c r="I292" s="91"/>
      <c r="J292" s="91">
        <f>SUM(H292:I292)+'BM 011'!J292</f>
        <v>0</v>
      </c>
      <c r="K292" s="91">
        <f t="shared" si="148"/>
        <v>1</v>
      </c>
      <c r="L292" s="80">
        <v>110</v>
      </c>
      <c r="M292" s="81">
        <v>139.4360121</v>
      </c>
      <c r="N292" s="82">
        <f t="shared" si="142"/>
        <v>0</v>
      </c>
      <c r="O292" s="82">
        <f t="shared" si="143"/>
        <v>0</v>
      </c>
      <c r="P292" s="82">
        <f>O292+'BM 011'!P292</f>
        <v>0</v>
      </c>
      <c r="Q292" s="80">
        <f t="shared" si="144"/>
        <v>110</v>
      </c>
      <c r="R292" s="82">
        <f t="shared" si="145"/>
        <v>139.43</v>
      </c>
      <c r="S292" s="82">
        <f t="shared" si="146"/>
        <v>139.43</v>
      </c>
      <c r="T292" s="82">
        <f t="shared" si="147"/>
        <v>139.43</v>
      </c>
    </row>
    <row r="293" spans="2:20" s="34" customFormat="1" ht="34.799999999999997">
      <c r="B293" s="87" t="s">
        <v>573</v>
      </c>
      <c r="C293" s="88" t="s">
        <v>574</v>
      </c>
      <c r="D293" s="89" t="s">
        <v>131</v>
      </c>
      <c r="E293" s="90">
        <v>1</v>
      </c>
      <c r="F293" s="90">
        <v>1</v>
      </c>
      <c r="G293" s="91"/>
      <c r="H293" s="91"/>
      <c r="I293" s="91"/>
      <c r="J293" s="91">
        <f>SUM(H293:I293)+'BM 011'!J293</f>
        <v>0</v>
      </c>
      <c r="K293" s="91">
        <f t="shared" si="148"/>
        <v>1</v>
      </c>
      <c r="L293" s="80">
        <v>115</v>
      </c>
      <c r="M293" s="81">
        <v>145.77401265</v>
      </c>
      <c r="N293" s="82">
        <f t="shared" si="142"/>
        <v>0</v>
      </c>
      <c r="O293" s="82">
        <f t="shared" si="143"/>
        <v>0</v>
      </c>
      <c r="P293" s="82">
        <f>O293+'BM 011'!P293</f>
        <v>0</v>
      </c>
      <c r="Q293" s="80">
        <f t="shared" si="144"/>
        <v>115</v>
      </c>
      <c r="R293" s="82">
        <f t="shared" si="145"/>
        <v>145.77000000000001</v>
      </c>
      <c r="S293" s="82">
        <f t="shared" si="146"/>
        <v>145.77000000000001</v>
      </c>
      <c r="T293" s="82">
        <f t="shared" si="147"/>
        <v>145.77000000000001</v>
      </c>
    </row>
    <row r="294" spans="2:20" s="34" customFormat="1" ht="13.2">
      <c r="B294" s="66" t="s">
        <v>575</v>
      </c>
      <c r="C294" s="67" t="s">
        <v>576</v>
      </c>
      <c r="D294" s="68"/>
      <c r="E294" s="69"/>
      <c r="F294" s="69"/>
      <c r="G294" s="70"/>
      <c r="H294" s="70"/>
      <c r="I294" s="70"/>
      <c r="J294" s="70">
        <f>SUM(H294:I294)+'BM 011'!J294</f>
        <v>0</v>
      </c>
      <c r="K294" s="70">
        <f t="shared" si="148"/>
        <v>0</v>
      </c>
      <c r="L294" s="71"/>
      <c r="M294" s="71">
        <v>0</v>
      </c>
      <c r="N294" s="73">
        <f t="shared" ref="N294:T294" si="149">SUM(N295:N298)</f>
        <v>0</v>
      </c>
      <c r="O294" s="73">
        <f t="shared" si="149"/>
        <v>0</v>
      </c>
      <c r="P294" s="73">
        <f t="shared" si="149"/>
        <v>0</v>
      </c>
      <c r="Q294" s="73">
        <f t="shared" si="149"/>
        <v>100820.55</v>
      </c>
      <c r="R294" s="73">
        <f t="shared" si="149"/>
        <v>127800.12</v>
      </c>
      <c r="S294" s="73">
        <f t="shared" si="149"/>
        <v>127800.12</v>
      </c>
      <c r="T294" s="73">
        <f t="shared" si="149"/>
        <v>127800.12</v>
      </c>
    </row>
    <row r="295" spans="2:20" s="34" customFormat="1" ht="34.799999999999997">
      <c r="B295" s="87" t="s">
        <v>577</v>
      </c>
      <c r="C295" s="88" t="s">
        <v>578</v>
      </c>
      <c r="D295" s="89" t="s">
        <v>131</v>
      </c>
      <c r="E295" s="90">
        <v>55</v>
      </c>
      <c r="F295" s="90">
        <v>55</v>
      </c>
      <c r="G295" s="91"/>
      <c r="H295" s="91"/>
      <c r="I295" s="91"/>
      <c r="J295" s="91">
        <f>SUM(H295:I295)+'BM 011'!J295</f>
        <v>0</v>
      </c>
      <c r="K295" s="91">
        <f t="shared" si="148"/>
        <v>55</v>
      </c>
      <c r="L295" s="80">
        <v>164.81</v>
      </c>
      <c r="M295" s="81">
        <v>208.91317412910001</v>
      </c>
      <c r="N295" s="82">
        <f>TRUNC(G295*M295,2)</f>
        <v>0</v>
      </c>
      <c r="O295" s="82">
        <f>TRUNC(H295*M295,2)</f>
        <v>0</v>
      </c>
      <c r="P295" s="82">
        <f>O295+'BM 011'!P295</f>
        <v>0</v>
      </c>
      <c r="Q295" s="80">
        <f>E295*L295</f>
        <v>9064.5499999999993</v>
      </c>
      <c r="R295" s="82">
        <f>TRUNC(E295*M295,2)</f>
        <v>11490.22</v>
      </c>
      <c r="S295" s="82">
        <f>TRUNC(F295*$M295,2)</f>
        <v>11490.22</v>
      </c>
      <c r="T295" s="82">
        <f>S295-P295</f>
        <v>11490.22</v>
      </c>
    </row>
    <row r="296" spans="2:20" s="34" customFormat="1" ht="23.4">
      <c r="B296" s="87" t="s">
        <v>579</v>
      </c>
      <c r="C296" s="88" t="s">
        <v>580</v>
      </c>
      <c r="D296" s="89" t="s">
        <v>131</v>
      </c>
      <c r="E296" s="90">
        <v>887</v>
      </c>
      <c r="F296" s="90">
        <v>887</v>
      </c>
      <c r="G296" s="91"/>
      <c r="H296" s="91"/>
      <c r="I296" s="91"/>
      <c r="J296" s="91">
        <f>SUM(H296:I296)+'BM 011'!J296</f>
        <v>0</v>
      </c>
      <c r="K296" s="91">
        <f t="shared" si="148"/>
        <v>887</v>
      </c>
      <c r="L296" s="80">
        <v>98</v>
      </c>
      <c r="M296" s="81">
        <v>124.22481078</v>
      </c>
      <c r="N296" s="82">
        <f>TRUNC(G296*M296,2)</f>
        <v>0</v>
      </c>
      <c r="O296" s="82">
        <f>TRUNC(H296*M296,2)</f>
        <v>0</v>
      </c>
      <c r="P296" s="82">
        <f>O296+'BM 011'!P296</f>
        <v>0</v>
      </c>
      <c r="Q296" s="80">
        <f>E296*L296</f>
        <v>86926</v>
      </c>
      <c r="R296" s="82">
        <f>TRUNC(E296*M296,2)</f>
        <v>110187.4</v>
      </c>
      <c r="S296" s="82">
        <f>TRUNC(F296*$M296,2)</f>
        <v>110187.4</v>
      </c>
      <c r="T296" s="82">
        <f>S296-P296</f>
        <v>110187.4</v>
      </c>
    </row>
    <row r="297" spans="2:20" s="34" customFormat="1" ht="23.4">
      <c r="B297" s="87" t="s">
        <v>581</v>
      </c>
      <c r="C297" s="88" t="s">
        <v>582</v>
      </c>
      <c r="D297" s="89" t="s">
        <v>131</v>
      </c>
      <c r="E297" s="90">
        <v>15</v>
      </c>
      <c r="F297" s="90">
        <v>15</v>
      </c>
      <c r="G297" s="91"/>
      <c r="H297" s="91"/>
      <c r="I297" s="91"/>
      <c r="J297" s="91">
        <f>SUM(H297:I297)+'BM 011'!J297</f>
        <v>0</v>
      </c>
      <c r="K297" s="91">
        <f t="shared" si="148"/>
        <v>15</v>
      </c>
      <c r="L297" s="80">
        <v>130</v>
      </c>
      <c r="M297" s="81">
        <v>164.78801429999999</v>
      </c>
      <c r="N297" s="82">
        <f>TRUNC(G297*M297,2)</f>
        <v>0</v>
      </c>
      <c r="O297" s="82">
        <f>TRUNC(H297*M297,2)</f>
        <v>0</v>
      </c>
      <c r="P297" s="82">
        <f>O297+'BM 011'!P297</f>
        <v>0</v>
      </c>
      <c r="Q297" s="80">
        <f>E297*L297</f>
        <v>1950</v>
      </c>
      <c r="R297" s="82">
        <f>TRUNC(E297*M297,2)</f>
        <v>2471.8200000000002</v>
      </c>
      <c r="S297" s="82">
        <f>TRUNC(F297*$M297,2)</f>
        <v>2471.8200000000002</v>
      </c>
      <c r="T297" s="82">
        <f>S297-P297</f>
        <v>2471.8200000000002</v>
      </c>
    </row>
    <row r="298" spans="2:20" s="34" customFormat="1" ht="23.4">
      <c r="B298" s="87" t="s">
        <v>583</v>
      </c>
      <c r="C298" s="88" t="s">
        <v>584</v>
      </c>
      <c r="D298" s="89" t="s">
        <v>131</v>
      </c>
      <c r="E298" s="90">
        <v>32</v>
      </c>
      <c r="F298" s="90">
        <v>32</v>
      </c>
      <c r="G298" s="91"/>
      <c r="H298" s="91"/>
      <c r="I298" s="91"/>
      <c r="J298" s="91">
        <f>SUM(H298:I298)+'BM 011'!J298</f>
        <v>0</v>
      </c>
      <c r="K298" s="91">
        <f t="shared" si="148"/>
        <v>32</v>
      </c>
      <c r="L298" s="80">
        <v>90</v>
      </c>
      <c r="M298" s="81">
        <v>114.0840099</v>
      </c>
      <c r="N298" s="82">
        <f>TRUNC(G298*M298,2)</f>
        <v>0</v>
      </c>
      <c r="O298" s="82">
        <f>TRUNC(H298*M298,2)</f>
        <v>0</v>
      </c>
      <c r="P298" s="82">
        <f>O298+'BM 011'!P298</f>
        <v>0</v>
      </c>
      <c r="Q298" s="80">
        <f>E298*L298</f>
        <v>2880</v>
      </c>
      <c r="R298" s="82">
        <f>TRUNC(E298*M298,2)</f>
        <v>3650.68</v>
      </c>
      <c r="S298" s="82">
        <f>TRUNC(F298*$M298,2)</f>
        <v>3650.68</v>
      </c>
      <c r="T298" s="82">
        <f>S298-P298</f>
        <v>3650.68</v>
      </c>
    </row>
    <row r="299" spans="2:20" s="34" customFormat="1" ht="13.2">
      <c r="B299" s="66" t="s">
        <v>585</v>
      </c>
      <c r="C299" s="67" t="s">
        <v>586</v>
      </c>
      <c r="D299" s="68"/>
      <c r="E299" s="69"/>
      <c r="F299" s="69"/>
      <c r="G299" s="70"/>
      <c r="H299" s="70"/>
      <c r="I299" s="70"/>
      <c r="J299" s="70">
        <f>SUM(H299:I299)+'BM 011'!J299</f>
        <v>0</v>
      </c>
      <c r="K299" s="70">
        <f t="shared" si="148"/>
        <v>0</v>
      </c>
      <c r="L299" s="71"/>
      <c r="M299" s="71">
        <v>0</v>
      </c>
      <c r="N299" s="73">
        <f t="shared" ref="N299:T299" si="150">SUM(N300:N309)</f>
        <v>0</v>
      </c>
      <c r="O299" s="73">
        <f t="shared" si="150"/>
        <v>0</v>
      </c>
      <c r="P299" s="73">
        <f t="shared" si="150"/>
        <v>0</v>
      </c>
      <c r="Q299" s="73">
        <f t="shared" si="150"/>
        <v>16787.3</v>
      </c>
      <c r="R299" s="73">
        <f t="shared" si="150"/>
        <v>21279.56</v>
      </c>
      <c r="S299" s="73">
        <f t="shared" si="150"/>
        <v>21279.56</v>
      </c>
      <c r="T299" s="73">
        <f t="shared" si="150"/>
        <v>21279.56</v>
      </c>
    </row>
    <row r="300" spans="2:20" s="34" customFormat="1" ht="46.2">
      <c r="B300" s="87" t="s">
        <v>587</v>
      </c>
      <c r="C300" s="88" t="s">
        <v>588</v>
      </c>
      <c r="D300" s="89" t="s">
        <v>131</v>
      </c>
      <c r="E300" s="90">
        <v>79</v>
      </c>
      <c r="F300" s="90">
        <v>79</v>
      </c>
      <c r="G300" s="91"/>
      <c r="H300" s="91"/>
      <c r="I300" s="91"/>
      <c r="J300" s="91">
        <f>SUM(H300:I300)+'BM 011'!J300</f>
        <v>0</v>
      </c>
      <c r="K300" s="91">
        <f t="shared" si="148"/>
        <v>79</v>
      </c>
      <c r="L300" s="80">
        <v>32</v>
      </c>
      <c r="M300" s="81">
        <v>40.563203520000002</v>
      </c>
      <c r="N300" s="82">
        <f t="shared" ref="N300:N309" si="151">TRUNC(G300*M300,2)</f>
        <v>0</v>
      </c>
      <c r="O300" s="82">
        <f t="shared" ref="O300:O309" si="152">TRUNC(H300*M300,2)</f>
        <v>0</v>
      </c>
      <c r="P300" s="82">
        <f>O300+'BM 011'!P300</f>
        <v>0</v>
      </c>
      <c r="Q300" s="80">
        <f t="shared" ref="Q300:Q309" si="153">E300*L300</f>
        <v>2528</v>
      </c>
      <c r="R300" s="82">
        <f t="shared" ref="R300:R309" si="154">TRUNC(E300*M300,2)</f>
        <v>3204.49</v>
      </c>
      <c r="S300" s="82">
        <f t="shared" ref="S300:S309" si="155">TRUNC(F300*$M300,2)</f>
        <v>3204.49</v>
      </c>
      <c r="T300" s="82">
        <f t="shared" ref="T300:T309" si="156">S300-P300</f>
        <v>3204.49</v>
      </c>
    </row>
    <row r="301" spans="2:20" s="34" customFormat="1" ht="46.2">
      <c r="B301" s="87" t="s">
        <v>589</v>
      </c>
      <c r="C301" s="88" t="s">
        <v>590</v>
      </c>
      <c r="D301" s="89" t="s">
        <v>131</v>
      </c>
      <c r="E301" s="90">
        <v>73</v>
      </c>
      <c r="F301" s="90">
        <v>73</v>
      </c>
      <c r="G301" s="91"/>
      <c r="H301" s="91"/>
      <c r="I301" s="91"/>
      <c r="J301" s="91">
        <f>SUM(H301:I301)+'BM 011'!J301</f>
        <v>0</v>
      </c>
      <c r="K301" s="91">
        <f t="shared" si="148"/>
        <v>73</v>
      </c>
      <c r="L301" s="80">
        <v>38</v>
      </c>
      <c r="M301" s="81">
        <v>48.168804180000002</v>
      </c>
      <c r="N301" s="82">
        <f t="shared" si="151"/>
        <v>0</v>
      </c>
      <c r="O301" s="82">
        <f t="shared" si="152"/>
        <v>0</v>
      </c>
      <c r="P301" s="82">
        <f>O301+'BM 011'!P301</f>
        <v>0</v>
      </c>
      <c r="Q301" s="80">
        <f t="shared" si="153"/>
        <v>2774</v>
      </c>
      <c r="R301" s="82">
        <f t="shared" si="154"/>
        <v>3516.32</v>
      </c>
      <c r="S301" s="82">
        <f t="shared" si="155"/>
        <v>3516.32</v>
      </c>
      <c r="T301" s="82">
        <f t="shared" si="156"/>
        <v>3516.32</v>
      </c>
    </row>
    <row r="302" spans="2:20" s="34" customFormat="1" ht="46.2">
      <c r="B302" s="87" t="s">
        <v>591</v>
      </c>
      <c r="C302" s="88" t="s">
        <v>592</v>
      </c>
      <c r="D302" s="89" t="s">
        <v>131</v>
      </c>
      <c r="E302" s="90">
        <v>34</v>
      </c>
      <c r="F302" s="90">
        <v>34</v>
      </c>
      <c r="G302" s="91"/>
      <c r="H302" s="91"/>
      <c r="I302" s="91"/>
      <c r="J302" s="91">
        <f>SUM(H302:I302)+'BM 011'!J302</f>
        <v>0</v>
      </c>
      <c r="K302" s="91">
        <f t="shared" si="148"/>
        <v>34</v>
      </c>
      <c r="L302" s="80">
        <v>58.95</v>
      </c>
      <c r="M302" s="81">
        <v>74.725026484500006</v>
      </c>
      <c r="N302" s="82">
        <f t="shared" si="151"/>
        <v>0</v>
      </c>
      <c r="O302" s="82">
        <f t="shared" si="152"/>
        <v>0</v>
      </c>
      <c r="P302" s="82">
        <f>O302+'BM 011'!P302</f>
        <v>0</v>
      </c>
      <c r="Q302" s="80">
        <f t="shared" si="153"/>
        <v>2004.3000000000002</v>
      </c>
      <c r="R302" s="82">
        <f t="shared" si="154"/>
        <v>2540.65</v>
      </c>
      <c r="S302" s="82">
        <f t="shared" si="155"/>
        <v>2540.65</v>
      </c>
      <c r="T302" s="82">
        <f t="shared" si="156"/>
        <v>2540.65</v>
      </c>
    </row>
    <row r="303" spans="2:20" s="34" customFormat="1" ht="46.2">
      <c r="B303" s="87" t="s">
        <v>593</v>
      </c>
      <c r="C303" s="88" t="s">
        <v>594</v>
      </c>
      <c r="D303" s="89" t="s">
        <v>131</v>
      </c>
      <c r="E303" s="90">
        <v>55</v>
      </c>
      <c r="F303" s="90">
        <v>55</v>
      </c>
      <c r="G303" s="91"/>
      <c r="H303" s="91"/>
      <c r="I303" s="91"/>
      <c r="J303" s="91">
        <f>SUM(H303:I303)+'BM 011'!J303</f>
        <v>0</v>
      </c>
      <c r="K303" s="91">
        <f t="shared" si="148"/>
        <v>55</v>
      </c>
      <c r="L303" s="80">
        <v>50</v>
      </c>
      <c r="M303" s="81">
        <v>63.380005500000003</v>
      </c>
      <c r="N303" s="82">
        <f t="shared" si="151"/>
        <v>0</v>
      </c>
      <c r="O303" s="82">
        <f t="shared" si="152"/>
        <v>0</v>
      </c>
      <c r="P303" s="82">
        <f>O303+'BM 011'!P303</f>
        <v>0</v>
      </c>
      <c r="Q303" s="80">
        <f t="shared" si="153"/>
        <v>2750</v>
      </c>
      <c r="R303" s="82">
        <f t="shared" si="154"/>
        <v>3485.9</v>
      </c>
      <c r="S303" s="82">
        <f t="shared" si="155"/>
        <v>3485.9</v>
      </c>
      <c r="T303" s="82">
        <f t="shared" si="156"/>
        <v>3485.9</v>
      </c>
    </row>
    <row r="304" spans="2:20" s="34" customFormat="1" ht="46.2">
      <c r="B304" s="87" t="s">
        <v>595</v>
      </c>
      <c r="C304" s="88" t="s">
        <v>596</v>
      </c>
      <c r="D304" s="89" t="s">
        <v>131</v>
      </c>
      <c r="E304" s="90">
        <v>41</v>
      </c>
      <c r="F304" s="90">
        <v>41</v>
      </c>
      <c r="G304" s="91"/>
      <c r="H304" s="91"/>
      <c r="I304" s="91"/>
      <c r="J304" s="91">
        <f>SUM(H304:I304)+'BM 011'!J304</f>
        <v>0</v>
      </c>
      <c r="K304" s="91">
        <f t="shared" si="148"/>
        <v>41</v>
      </c>
      <c r="L304" s="80">
        <v>52</v>
      </c>
      <c r="M304" s="81">
        <v>65.915205720000003</v>
      </c>
      <c r="N304" s="82">
        <f t="shared" si="151"/>
        <v>0</v>
      </c>
      <c r="O304" s="82">
        <f t="shared" si="152"/>
        <v>0</v>
      </c>
      <c r="P304" s="82">
        <f>O304+'BM 011'!P304</f>
        <v>0</v>
      </c>
      <c r="Q304" s="80">
        <f t="shared" si="153"/>
        <v>2132</v>
      </c>
      <c r="R304" s="82">
        <f t="shared" si="154"/>
        <v>2702.52</v>
      </c>
      <c r="S304" s="82">
        <f t="shared" si="155"/>
        <v>2702.52</v>
      </c>
      <c r="T304" s="82">
        <f t="shared" si="156"/>
        <v>2702.52</v>
      </c>
    </row>
    <row r="305" spans="2:20" s="34" customFormat="1" ht="34.799999999999997">
      <c r="B305" s="87" t="s">
        <v>597</v>
      </c>
      <c r="C305" s="88" t="s">
        <v>598</v>
      </c>
      <c r="D305" s="89" t="s">
        <v>131</v>
      </c>
      <c r="E305" s="90">
        <v>3</v>
      </c>
      <c r="F305" s="90">
        <v>3</v>
      </c>
      <c r="G305" s="91"/>
      <c r="H305" s="91"/>
      <c r="I305" s="91"/>
      <c r="J305" s="91">
        <f>SUM(H305:I305)+'BM 011'!J305</f>
        <v>0</v>
      </c>
      <c r="K305" s="91">
        <f t="shared" si="148"/>
        <v>3</v>
      </c>
      <c r="L305" s="80">
        <v>51</v>
      </c>
      <c r="M305" s="81">
        <v>64.647605609999999</v>
      </c>
      <c r="N305" s="82">
        <f t="shared" si="151"/>
        <v>0</v>
      </c>
      <c r="O305" s="82">
        <f t="shared" si="152"/>
        <v>0</v>
      </c>
      <c r="P305" s="82">
        <f>O305+'BM 011'!P305</f>
        <v>0</v>
      </c>
      <c r="Q305" s="80">
        <f t="shared" si="153"/>
        <v>153</v>
      </c>
      <c r="R305" s="82">
        <f t="shared" si="154"/>
        <v>193.94</v>
      </c>
      <c r="S305" s="82">
        <f t="shared" si="155"/>
        <v>193.94</v>
      </c>
      <c r="T305" s="82">
        <f t="shared" si="156"/>
        <v>193.94</v>
      </c>
    </row>
    <row r="306" spans="2:20" s="34" customFormat="1" ht="34.799999999999997">
      <c r="B306" s="87" t="s">
        <v>599</v>
      </c>
      <c r="C306" s="88" t="s">
        <v>600</v>
      </c>
      <c r="D306" s="89" t="s">
        <v>131</v>
      </c>
      <c r="E306" s="90">
        <v>1</v>
      </c>
      <c r="F306" s="90">
        <v>1</v>
      </c>
      <c r="G306" s="91"/>
      <c r="H306" s="91"/>
      <c r="I306" s="91"/>
      <c r="J306" s="91">
        <f>SUM(H306:I306)+'BM 011'!J306</f>
        <v>0</v>
      </c>
      <c r="K306" s="91">
        <f t="shared" si="148"/>
        <v>1</v>
      </c>
      <c r="L306" s="80">
        <v>60</v>
      </c>
      <c r="M306" s="81">
        <v>76.056006600000003</v>
      </c>
      <c r="N306" s="82">
        <f t="shared" si="151"/>
        <v>0</v>
      </c>
      <c r="O306" s="82">
        <f t="shared" si="152"/>
        <v>0</v>
      </c>
      <c r="P306" s="82">
        <f>O306+'BM 011'!P306</f>
        <v>0</v>
      </c>
      <c r="Q306" s="80">
        <f t="shared" si="153"/>
        <v>60</v>
      </c>
      <c r="R306" s="82">
        <f t="shared" si="154"/>
        <v>76.05</v>
      </c>
      <c r="S306" s="82">
        <f t="shared" si="155"/>
        <v>76.05</v>
      </c>
      <c r="T306" s="82">
        <f t="shared" si="156"/>
        <v>76.05</v>
      </c>
    </row>
    <row r="307" spans="2:20" s="34" customFormat="1" ht="34.799999999999997">
      <c r="B307" s="87" t="s">
        <v>601</v>
      </c>
      <c r="C307" s="88" t="s">
        <v>602</v>
      </c>
      <c r="D307" s="89" t="s">
        <v>131</v>
      </c>
      <c r="E307" s="90">
        <v>15</v>
      </c>
      <c r="F307" s="90">
        <v>15</v>
      </c>
      <c r="G307" s="91"/>
      <c r="H307" s="91"/>
      <c r="I307" s="91"/>
      <c r="J307" s="91">
        <f>SUM(H307:I307)+'BM 011'!J307</f>
        <v>0</v>
      </c>
      <c r="K307" s="91">
        <f t="shared" si="148"/>
        <v>15</v>
      </c>
      <c r="L307" s="80">
        <v>230</v>
      </c>
      <c r="M307" s="81">
        <v>291.54802530000001</v>
      </c>
      <c r="N307" s="82">
        <f t="shared" si="151"/>
        <v>0</v>
      </c>
      <c r="O307" s="82">
        <f t="shared" si="152"/>
        <v>0</v>
      </c>
      <c r="P307" s="82">
        <f>O307+'BM 011'!P307</f>
        <v>0</v>
      </c>
      <c r="Q307" s="80">
        <f t="shared" si="153"/>
        <v>3450</v>
      </c>
      <c r="R307" s="82">
        <f t="shared" si="154"/>
        <v>4373.22</v>
      </c>
      <c r="S307" s="82">
        <f t="shared" si="155"/>
        <v>4373.22</v>
      </c>
      <c r="T307" s="82">
        <f t="shared" si="156"/>
        <v>4373.22</v>
      </c>
    </row>
    <row r="308" spans="2:20" s="34" customFormat="1" ht="34.799999999999997">
      <c r="B308" s="87" t="s">
        <v>603</v>
      </c>
      <c r="C308" s="88" t="s">
        <v>604</v>
      </c>
      <c r="D308" s="89" t="s">
        <v>131</v>
      </c>
      <c r="E308" s="90">
        <v>5</v>
      </c>
      <c r="F308" s="90">
        <v>5</v>
      </c>
      <c r="G308" s="91"/>
      <c r="H308" s="91"/>
      <c r="I308" s="91"/>
      <c r="J308" s="91">
        <f>SUM(H308:I308)+'BM 011'!J308</f>
        <v>0</v>
      </c>
      <c r="K308" s="91">
        <f t="shared" si="148"/>
        <v>5</v>
      </c>
      <c r="L308" s="80">
        <v>140</v>
      </c>
      <c r="M308" s="81">
        <v>177.46401539999999</v>
      </c>
      <c r="N308" s="82">
        <f t="shared" si="151"/>
        <v>0</v>
      </c>
      <c r="O308" s="82">
        <f t="shared" si="152"/>
        <v>0</v>
      </c>
      <c r="P308" s="82">
        <f>O308+'BM 011'!P308</f>
        <v>0</v>
      </c>
      <c r="Q308" s="80">
        <f t="shared" si="153"/>
        <v>700</v>
      </c>
      <c r="R308" s="82">
        <f t="shared" si="154"/>
        <v>887.32</v>
      </c>
      <c r="S308" s="82">
        <f t="shared" si="155"/>
        <v>887.32</v>
      </c>
      <c r="T308" s="82">
        <f t="shared" si="156"/>
        <v>887.32</v>
      </c>
    </row>
    <row r="309" spans="2:20" s="34" customFormat="1" ht="46.2">
      <c r="B309" s="87" t="s">
        <v>605</v>
      </c>
      <c r="C309" s="88" t="s">
        <v>606</v>
      </c>
      <c r="D309" s="89" t="s">
        <v>131</v>
      </c>
      <c r="E309" s="90">
        <v>4</v>
      </c>
      <c r="F309" s="90">
        <v>4</v>
      </c>
      <c r="G309" s="91"/>
      <c r="H309" s="91"/>
      <c r="I309" s="91"/>
      <c r="J309" s="91">
        <f>SUM(H309:I309)+'BM 011'!J309</f>
        <v>0</v>
      </c>
      <c r="K309" s="91">
        <f t="shared" si="148"/>
        <v>4</v>
      </c>
      <c r="L309" s="80">
        <v>59</v>
      </c>
      <c r="M309" s="81">
        <v>74.78840649</v>
      </c>
      <c r="N309" s="82">
        <f t="shared" si="151"/>
        <v>0</v>
      </c>
      <c r="O309" s="82">
        <f t="shared" si="152"/>
        <v>0</v>
      </c>
      <c r="P309" s="82">
        <f>O309+'BM 011'!P309</f>
        <v>0</v>
      </c>
      <c r="Q309" s="80">
        <f t="shared" si="153"/>
        <v>236</v>
      </c>
      <c r="R309" s="82">
        <f t="shared" si="154"/>
        <v>299.14999999999998</v>
      </c>
      <c r="S309" s="82">
        <f t="shared" si="155"/>
        <v>299.14999999999998</v>
      </c>
      <c r="T309" s="82">
        <f t="shared" si="156"/>
        <v>299.14999999999998</v>
      </c>
    </row>
    <row r="310" spans="2:20" s="34" customFormat="1" ht="13.2">
      <c r="B310" s="66" t="s">
        <v>607</v>
      </c>
      <c r="C310" s="67" t="s">
        <v>608</v>
      </c>
      <c r="D310" s="68"/>
      <c r="E310" s="69"/>
      <c r="F310" s="69"/>
      <c r="G310" s="70"/>
      <c r="H310" s="70"/>
      <c r="I310" s="70"/>
      <c r="J310" s="70">
        <f>SUM(H310:I310)+'BM 011'!J310</f>
        <v>0</v>
      </c>
      <c r="K310" s="70">
        <f t="shared" si="148"/>
        <v>0</v>
      </c>
      <c r="L310" s="71"/>
      <c r="M310" s="71">
        <v>0</v>
      </c>
      <c r="N310" s="73">
        <f t="shared" ref="N310:T310" si="157">SUM(N311:N317)</f>
        <v>0</v>
      </c>
      <c r="O310" s="73">
        <f t="shared" si="157"/>
        <v>0</v>
      </c>
      <c r="P310" s="73">
        <f t="shared" si="157"/>
        <v>0</v>
      </c>
      <c r="Q310" s="73">
        <f t="shared" si="157"/>
        <v>50562</v>
      </c>
      <c r="R310" s="73">
        <f t="shared" si="157"/>
        <v>64092.350000000006</v>
      </c>
      <c r="S310" s="73">
        <f t="shared" si="157"/>
        <v>64092.350000000006</v>
      </c>
      <c r="T310" s="73">
        <f t="shared" si="157"/>
        <v>64092.350000000006</v>
      </c>
    </row>
    <row r="311" spans="2:20" s="34" customFormat="1" ht="46.2">
      <c r="B311" s="87" t="s">
        <v>609</v>
      </c>
      <c r="C311" s="88" t="s">
        <v>610</v>
      </c>
      <c r="D311" s="89" t="s">
        <v>131</v>
      </c>
      <c r="E311" s="90">
        <v>202</v>
      </c>
      <c r="F311" s="90">
        <v>202</v>
      </c>
      <c r="G311" s="91"/>
      <c r="H311" s="91"/>
      <c r="I311" s="91"/>
      <c r="J311" s="91">
        <f>SUM(H311:I311)+'BM 011'!J311</f>
        <v>0</v>
      </c>
      <c r="K311" s="91">
        <f t="shared" si="148"/>
        <v>202</v>
      </c>
      <c r="L311" s="80">
        <v>38</v>
      </c>
      <c r="M311" s="81">
        <v>48.168804180000002</v>
      </c>
      <c r="N311" s="82">
        <f t="shared" ref="N311:N317" si="158">TRUNC(G311*M311,2)</f>
        <v>0</v>
      </c>
      <c r="O311" s="82">
        <f t="shared" ref="O311:O317" si="159">TRUNC(H311*M311,2)</f>
        <v>0</v>
      </c>
      <c r="P311" s="82">
        <f>O311+'BM 011'!P311</f>
        <v>0</v>
      </c>
      <c r="Q311" s="80">
        <f t="shared" ref="Q311:Q317" si="160">E311*L311</f>
        <v>7676</v>
      </c>
      <c r="R311" s="82">
        <f t="shared" ref="R311:R317" si="161">TRUNC(E311*M311,2)</f>
        <v>9730.09</v>
      </c>
      <c r="S311" s="82">
        <f t="shared" ref="S311:S317" si="162">TRUNC(F311*$M311,2)</f>
        <v>9730.09</v>
      </c>
      <c r="T311" s="82">
        <f t="shared" ref="T311:T317" si="163">S311-P311</f>
        <v>9730.09</v>
      </c>
    </row>
    <row r="312" spans="2:20" s="34" customFormat="1" ht="46.2">
      <c r="B312" s="87" t="s">
        <v>611</v>
      </c>
      <c r="C312" s="88" t="s">
        <v>612</v>
      </c>
      <c r="D312" s="89" t="s">
        <v>131</v>
      </c>
      <c r="E312" s="90">
        <v>508</v>
      </c>
      <c r="F312" s="90">
        <v>508</v>
      </c>
      <c r="G312" s="91"/>
      <c r="H312" s="91"/>
      <c r="I312" s="91"/>
      <c r="J312" s="91">
        <f>SUM(H312:I312)+'BM 011'!J312</f>
        <v>0</v>
      </c>
      <c r="K312" s="91">
        <f t="shared" si="148"/>
        <v>508</v>
      </c>
      <c r="L312" s="80">
        <v>40</v>
      </c>
      <c r="M312" s="81">
        <v>50.704004400000002</v>
      </c>
      <c r="N312" s="82">
        <f t="shared" si="158"/>
        <v>0</v>
      </c>
      <c r="O312" s="82">
        <f t="shared" si="159"/>
        <v>0</v>
      </c>
      <c r="P312" s="82">
        <f>O312+'BM 011'!P312</f>
        <v>0</v>
      </c>
      <c r="Q312" s="80">
        <f t="shared" si="160"/>
        <v>20320</v>
      </c>
      <c r="R312" s="82">
        <f t="shared" si="161"/>
        <v>25757.63</v>
      </c>
      <c r="S312" s="82">
        <f t="shared" si="162"/>
        <v>25757.63</v>
      </c>
      <c r="T312" s="82">
        <f t="shared" si="163"/>
        <v>25757.63</v>
      </c>
    </row>
    <row r="313" spans="2:20" s="34" customFormat="1" ht="34.799999999999997">
      <c r="B313" s="87" t="s">
        <v>613</v>
      </c>
      <c r="C313" s="88" t="s">
        <v>614</v>
      </c>
      <c r="D313" s="89" t="s">
        <v>131</v>
      </c>
      <c r="E313" s="90">
        <v>52</v>
      </c>
      <c r="F313" s="90">
        <v>52</v>
      </c>
      <c r="G313" s="91"/>
      <c r="H313" s="91"/>
      <c r="I313" s="91"/>
      <c r="J313" s="91">
        <f>SUM(H313:I313)+'BM 011'!J313</f>
        <v>0</v>
      </c>
      <c r="K313" s="91">
        <f t="shared" si="148"/>
        <v>52</v>
      </c>
      <c r="L313" s="80">
        <v>65</v>
      </c>
      <c r="M313" s="81">
        <v>82.394007149999993</v>
      </c>
      <c r="N313" s="82">
        <f t="shared" si="158"/>
        <v>0</v>
      </c>
      <c r="O313" s="82">
        <f t="shared" si="159"/>
        <v>0</v>
      </c>
      <c r="P313" s="82">
        <f>O313+'BM 011'!P313</f>
        <v>0</v>
      </c>
      <c r="Q313" s="80">
        <f t="shared" si="160"/>
        <v>3380</v>
      </c>
      <c r="R313" s="82">
        <f t="shared" si="161"/>
        <v>4284.4799999999996</v>
      </c>
      <c r="S313" s="82">
        <f t="shared" si="162"/>
        <v>4284.4799999999996</v>
      </c>
      <c r="T313" s="82">
        <f t="shared" si="163"/>
        <v>4284.4799999999996</v>
      </c>
    </row>
    <row r="314" spans="2:20" s="34" customFormat="1" ht="46.2">
      <c r="B314" s="87" t="s">
        <v>615</v>
      </c>
      <c r="C314" s="88" t="s">
        <v>610</v>
      </c>
      <c r="D314" s="89" t="s">
        <v>131</v>
      </c>
      <c r="E314" s="90">
        <v>2</v>
      </c>
      <c r="F314" s="90">
        <v>2</v>
      </c>
      <c r="G314" s="91"/>
      <c r="H314" s="91"/>
      <c r="I314" s="91"/>
      <c r="J314" s="91">
        <f>SUM(H314:I314)+'BM 011'!J314</f>
        <v>0</v>
      </c>
      <c r="K314" s="91">
        <f t="shared" si="148"/>
        <v>2</v>
      </c>
      <c r="L314" s="80">
        <v>38</v>
      </c>
      <c r="M314" s="81">
        <v>48.168804180000002</v>
      </c>
      <c r="N314" s="82">
        <f t="shared" si="158"/>
        <v>0</v>
      </c>
      <c r="O314" s="82">
        <f t="shared" si="159"/>
        <v>0</v>
      </c>
      <c r="P314" s="82">
        <f>O314+'BM 011'!P314</f>
        <v>0</v>
      </c>
      <c r="Q314" s="80">
        <f t="shared" si="160"/>
        <v>76</v>
      </c>
      <c r="R314" s="82">
        <f t="shared" si="161"/>
        <v>96.33</v>
      </c>
      <c r="S314" s="82">
        <f t="shared" si="162"/>
        <v>96.33</v>
      </c>
      <c r="T314" s="82">
        <f t="shared" si="163"/>
        <v>96.33</v>
      </c>
    </row>
    <row r="315" spans="2:20" s="34" customFormat="1" ht="23.4">
      <c r="B315" s="87" t="s">
        <v>616</v>
      </c>
      <c r="C315" s="88" t="s">
        <v>617</v>
      </c>
      <c r="D315" s="89" t="s">
        <v>131</v>
      </c>
      <c r="E315" s="90">
        <v>201</v>
      </c>
      <c r="F315" s="90">
        <v>201</v>
      </c>
      <c r="G315" s="91"/>
      <c r="H315" s="91"/>
      <c r="I315" s="91"/>
      <c r="J315" s="91">
        <f>SUM(H315:I315)+'BM 011'!J315</f>
        <v>0</v>
      </c>
      <c r="K315" s="91">
        <f t="shared" si="148"/>
        <v>201</v>
      </c>
      <c r="L315" s="80">
        <v>30</v>
      </c>
      <c r="M315" s="81">
        <v>38.028003300000002</v>
      </c>
      <c r="N315" s="82">
        <f t="shared" si="158"/>
        <v>0</v>
      </c>
      <c r="O315" s="82">
        <f t="shared" si="159"/>
        <v>0</v>
      </c>
      <c r="P315" s="82">
        <f>O315+'BM 011'!P315</f>
        <v>0</v>
      </c>
      <c r="Q315" s="80">
        <f t="shared" si="160"/>
        <v>6030</v>
      </c>
      <c r="R315" s="82">
        <f t="shared" si="161"/>
        <v>7643.62</v>
      </c>
      <c r="S315" s="82">
        <f t="shared" si="162"/>
        <v>7643.62</v>
      </c>
      <c r="T315" s="82">
        <f t="shared" si="163"/>
        <v>7643.62</v>
      </c>
    </row>
    <row r="316" spans="2:20" s="34" customFormat="1" ht="23.4">
      <c r="B316" s="87" t="s">
        <v>618</v>
      </c>
      <c r="C316" s="88" t="s">
        <v>619</v>
      </c>
      <c r="D316" s="89" t="s">
        <v>131</v>
      </c>
      <c r="E316" s="90">
        <v>12</v>
      </c>
      <c r="F316" s="90">
        <v>12</v>
      </c>
      <c r="G316" s="91"/>
      <c r="H316" s="91"/>
      <c r="I316" s="91"/>
      <c r="J316" s="91">
        <f>SUM(H316:I316)+'BM 011'!J316</f>
        <v>0</v>
      </c>
      <c r="K316" s="91">
        <f t="shared" si="148"/>
        <v>12</v>
      </c>
      <c r="L316" s="80">
        <v>40</v>
      </c>
      <c r="M316" s="81">
        <v>50.704004400000002</v>
      </c>
      <c r="N316" s="82">
        <f t="shared" si="158"/>
        <v>0</v>
      </c>
      <c r="O316" s="82">
        <f t="shared" si="159"/>
        <v>0</v>
      </c>
      <c r="P316" s="82">
        <f>O316+'BM 011'!P316</f>
        <v>0</v>
      </c>
      <c r="Q316" s="80">
        <f t="shared" si="160"/>
        <v>480</v>
      </c>
      <c r="R316" s="82">
        <f t="shared" si="161"/>
        <v>608.44000000000005</v>
      </c>
      <c r="S316" s="82">
        <f t="shared" si="162"/>
        <v>608.44000000000005</v>
      </c>
      <c r="T316" s="82">
        <f t="shared" si="163"/>
        <v>608.44000000000005</v>
      </c>
    </row>
    <row r="317" spans="2:20" s="34" customFormat="1" ht="23.4">
      <c r="B317" s="87" t="s">
        <v>620</v>
      </c>
      <c r="C317" s="88" t="s">
        <v>621</v>
      </c>
      <c r="D317" s="89" t="s">
        <v>131</v>
      </c>
      <c r="E317" s="90">
        <v>180</v>
      </c>
      <c r="F317" s="90">
        <v>180</v>
      </c>
      <c r="G317" s="91"/>
      <c r="H317" s="91"/>
      <c r="I317" s="91"/>
      <c r="J317" s="91">
        <f>SUM(H317:I317)+'BM 011'!J317</f>
        <v>0</v>
      </c>
      <c r="K317" s="91">
        <f t="shared" si="148"/>
        <v>180</v>
      </c>
      <c r="L317" s="80">
        <v>70</v>
      </c>
      <c r="M317" s="81">
        <v>88.732007699999997</v>
      </c>
      <c r="N317" s="82">
        <f t="shared" si="158"/>
        <v>0</v>
      </c>
      <c r="O317" s="82">
        <f t="shared" si="159"/>
        <v>0</v>
      </c>
      <c r="P317" s="82">
        <f>O317+'BM 011'!P317</f>
        <v>0</v>
      </c>
      <c r="Q317" s="80">
        <f t="shared" si="160"/>
        <v>12600</v>
      </c>
      <c r="R317" s="82">
        <f t="shared" si="161"/>
        <v>15971.76</v>
      </c>
      <c r="S317" s="82">
        <f t="shared" si="162"/>
        <v>15971.76</v>
      </c>
      <c r="T317" s="82">
        <f t="shared" si="163"/>
        <v>15971.76</v>
      </c>
    </row>
    <row r="318" spans="2:20" s="34" customFormat="1" ht="26.25" customHeight="1">
      <c r="B318" s="66" t="s">
        <v>622</v>
      </c>
      <c r="C318" s="67" t="s">
        <v>623</v>
      </c>
      <c r="D318" s="68"/>
      <c r="E318" s="69"/>
      <c r="F318" s="69"/>
      <c r="G318" s="70"/>
      <c r="H318" s="70"/>
      <c r="I318" s="70"/>
      <c r="J318" s="70">
        <f>SUM(H318:I318)+'BM 011'!J318</f>
        <v>0</v>
      </c>
      <c r="K318" s="70">
        <f t="shared" si="148"/>
        <v>0</v>
      </c>
      <c r="L318" s="71"/>
      <c r="M318" s="71">
        <v>0</v>
      </c>
      <c r="N318" s="73">
        <f t="shared" ref="N318:T318" si="164">SUM(N319)</f>
        <v>0</v>
      </c>
      <c r="O318" s="73">
        <f t="shared" si="164"/>
        <v>0</v>
      </c>
      <c r="P318" s="73">
        <f t="shared" si="164"/>
        <v>0</v>
      </c>
      <c r="Q318" s="73">
        <f t="shared" si="164"/>
        <v>660</v>
      </c>
      <c r="R318" s="73">
        <f t="shared" si="164"/>
        <v>836.61</v>
      </c>
      <c r="S318" s="73">
        <f t="shared" si="164"/>
        <v>836.61</v>
      </c>
      <c r="T318" s="73">
        <f t="shared" si="164"/>
        <v>836.61</v>
      </c>
    </row>
    <row r="319" spans="2:20" s="34" customFormat="1" ht="13.2">
      <c r="B319" s="75" t="s">
        <v>624</v>
      </c>
      <c r="C319" s="76" t="s">
        <v>625</v>
      </c>
      <c r="D319" s="77" t="s">
        <v>131</v>
      </c>
      <c r="E319" s="78">
        <v>3</v>
      </c>
      <c r="F319" s="78">
        <v>3</v>
      </c>
      <c r="G319" s="79"/>
      <c r="H319" s="79"/>
      <c r="I319" s="79"/>
      <c r="J319" s="79">
        <f>SUM(H319:I319)+'BM 011'!J319</f>
        <v>0</v>
      </c>
      <c r="K319" s="79">
        <f t="shared" si="148"/>
        <v>3</v>
      </c>
      <c r="L319" s="84">
        <v>220</v>
      </c>
      <c r="M319" s="81">
        <v>278.8720242</v>
      </c>
      <c r="N319" s="82">
        <f>TRUNC(G319*M319,2)</f>
        <v>0</v>
      </c>
      <c r="O319" s="82">
        <f>TRUNC(H319*M319,2)</f>
        <v>0</v>
      </c>
      <c r="P319" s="82">
        <f>O319+'BM 011'!P319</f>
        <v>0</v>
      </c>
      <c r="Q319" s="80">
        <f>E319*L319</f>
        <v>660</v>
      </c>
      <c r="R319" s="82">
        <f>TRUNC(E319*M319,2)</f>
        <v>836.61</v>
      </c>
      <c r="S319" s="82">
        <f>TRUNC(F319*$M319,2)</f>
        <v>836.61</v>
      </c>
      <c r="T319" s="82">
        <f>S319-P319</f>
        <v>836.61</v>
      </c>
    </row>
    <row r="320" spans="2:20" s="34" customFormat="1" ht="13.2">
      <c r="B320" s="60" t="s">
        <v>626</v>
      </c>
      <c r="C320" s="61" t="s">
        <v>627</v>
      </c>
      <c r="D320" s="60"/>
      <c r="E320" s="62"/>
      <c r="F320" s="284"/>
      <c r="G320" s="63"/>
      <c r="H320" s="63"/>
      <c r="I320" s="63"/>
      <c r="J320" s="63">
        <f>SUM(H320:I320)+'BM 011'!J320</f>
        <v>0</v>
      </c>
      <c r="K320" s="63">
        <f t="shared" si="148"/>
        <v>0</v>
      </c>
      <c r="L320" s="63"/>
      <c r="M320" s="63">
        <v>0</v>
      </c>
      <c r="N320" s="63">
        <f t="shared" ref="N320:T320" si="165">SUM(N321:N330)</f>
        <v>0</v>
      </c>
      <c r="O320" s="63">
        <f t="shared" si="165"/>
        <v>0</v>
      </c>
      <c r="P320" s="63">
        <f t="shared" si="165"/>
        <v>0</v>
      </c>
      <c r="Q320" s="63">
        <f t="shared" si="165"/>
        <v>37271.68</v>
      </c>
      <c r="R320" s="63">
        <f t="shared" si="165"/>
        <v>47245.569999999992</v>
      </c>
      <c r="S320" s="63">
        <f t="shared" si="165"/>
        <v>47245.569999999992</v>
      </c>
      <c r="T320" s="63">
        <f t="shared" si="165"/>
        <v>47245.569999999992</v>
      </c>
    </row>
    <row r="321" spans="2:20" s="34" customFormat="1" ht="23.4">
      <c r="B321" s="75" t="s">
        <v>628</v>
      </c>
      <c r="C321" s="76" t="s">
        <v>629</v>
      </c>
      <c r="D321" s="77" t="s">
        <v>82</v>
      </c>
      <c r="E321" s="93">
        <v>170</v>
      </c>
      <c r="F321" s="93">
        <v>170</v>
      </c>
      <c r="G321" s="79"/>
      <c r="H321" s="79"/>
      <c r="I321" s="79"/>
      <c r="J321" s="79">
        <f>SUM(H321:I321)+'BM 011'!J321</f>
        <v>0</v>
      </c>
      <c r="K321" s="79">
        <f t="shared" si="148"/>
        <v>170</v>
      </c>
      <c r="L321" s="80">
        <v>100</v>
      </c>
      <c r="M321" s="81">
        <v>126.76001100000001</v>
      </c>
      <c r="N321" s="82">
        <f t="shared" ref="N321:N330" si="166">TRUNC(G321*M321,2)</f>
        <v>0</v>
      </c>
      <c r="O321" s="82">
        <f t="shared" ref="O321:O330" si="167">TRUNC(H321*M321,2)</f>
        <v>0</v>
      </c>
      <c r="P321" s="82">
        <f>O321+'BM 011'!P321</f>
        <v>0</v>
      </c>
      <c r="Q321" s="80">
        <f t="shared" ref="Q321:Q330" si="168">E321*L321</f>
        <v>17000</v>
      </c>
      <c r="R321" s="82">
        <f t="shared" ref="R321:R330" si="169">TRUNC(E321*M321,2)</f>
        <v>21549.200000000001</v>
      </c>
      <c r="S321" s="82">
        <f t="shared" ref="S321:S330" si="170">TRUNC(F321*$M321,2)</f>
        <v>21549.200000000001</v>
      </c>
      <c r="T321" s="82">
        <f t="shared" ref="T321:T330" si="171">S321-P321</f>
        <v>21549.200000000001</v>
      </c>
    </row>
    <row r="322" spans="2:20" s="34" customFormat="1" ht="23.4">
      <c r="B322" s="75" t="s">
        <v>630</v>
      </c>
      <c r="C322" s="76" t="s">
        <v>631</v>
      </c>
      <c r="D322" s="77" t="s">
        <v>131</v>
      </c>
      <c r="E322" s="93">
        <v>1</v>
      </c>
      <c r="F322" s="93">
        <v>1</v>
      </c>
      <c r="G322" s="79"/>
      <c r="H322" s="79"/>
      <c r="I322" s="79"/>
      <c r="J322" s="79">
        <f>SUM(H322:I322)+'BM 011'!J322</f>
        <v>0</v>
      </c>
      <c r="K322" s="79">
        <f t="shared" si="148"/>
        <v>1</v>
      </c>
      <c r="L322" s="80">
        <v>1300</v>
      </c>
      <c r="M322" s="81">
        <v>1647.8801430000001</v>
      </c>
      <c r="N322" s="82">
        <f t="shared" si="166"/>
        <v>0</v>
      </c>
      <c r="O322" s="82">
        <f t="shared" si="167"/>
        <v>0</v>
      </c>
      <c r="P322" s="82">
        <f>O322+'BM 011'!P322</f>
        <v>0</v>
      </c>
      <c r="Q322" s="80">
        <f t="shared" si="168"/>
        <v>1300</v>
      </c>
      <c r="R322" s="82">
        <f t="shared" si="169"/>
        <v>1647.88</v>
      </c>
      <c r="S322" s="82">
        <f t="shared" si="170"/>
        <v>1647.88</v>
      </c>
      <c r="T322" s="82">
        <f t="shared" si="171"/>
        <v>1647.88</v>
      </c>
    </row>
    <row r="323" spans="2:20" s="34" customFormat="1" ht="23.4">
      <c r="B323" s="75" t="s">
        <v>632</v>
      </c>
      <c r="C323" s="76" t="s">
        <v>633</v>
      </c>
      <c r="D323" s="77" t="s">
        <v>82</v>
      </c>
      <c r="E323" s="93">
        <v>250</v>
      </c>
      <c r="F323" s="93">
        <v>250</v>
      </c>
      <c r="G323" s="79"/>
      <c r="H323" s="79"/>
      <c r="I323" s="79"/>
      <c r="J323" s="79">
        <f>SUM(H323:I323)+'BM 011'!J323</f>
        <v>0</v>
      </c>
      <c r="K323" s="79">
        <f t="shared" si="148"/>
        <v>250</v>
      </c>
      <c r="L323" s="80">
        <v>38</v>
      </c>
      <c r="M323" s="81">
        <v>48.168804180000002</v>
      </c>
      <c r="N323" s="82">
        <f t="shared" si="166"/>
        <v>0</v>
      </c>
      <c r="O323" s="82">
        <f t="shared" si="167"/>
        <v>0</v>
      </c>
      <c r="P323" s="82">
        <f>O323+'BM 011'!P323</f>
        <v>0</v>
      </c>
      <c r="Q323" s="80">
        <f t="shared" si="168"/>
        <v>9500</v>
      </c>
      <c r="R323" s="82">
        <f t="shared" si="169"/>
        <v>12042.2</v>
      </c>
      <c r="S323" s="82">
        <f t="shared" si="170"/>
        <v>12042.2</v>
      </c>
      <c r="T323" s="82">
        <f t="shared" si="171"/>
        <v>12042.2</v>
      </c>
    </row>
    <row r="324" spans="2:20" s="34" customFormat="1" ht="13.2">
      <c r="B324" s="75" t="s">
        <v>634</v>
      </c>
      <c r="C324" s="76" t="s">
        <v>635</v>
      </c>
      <c r="D324" s="77" t="s">
        <v>39</v>
      </c>
      <c r="E324" s="78">
        <v>20</v>
      </c>
      <c r="F324" s="78">
        <v>20</v>
      </c>
      <c r="G324" s="79"/>
      <c r="H324" s="79"/>
      <c r="I324" s="79"/>
      <c r="J324" s="79">
        <f>SUM(H324:I324)+'BM 011'!J324</f>
        <v>0</v>
      </c>
      <c r="K324" s="79">
        <f t="shared" si="148"/>
        <v>20</v>
      </c>
      <c r="L324" s="84">
        <v>42</v>
      </c>
      <c r="M324" s="81">
        <v>53.239204620000002</v>
      </c>
      <c r="N324" s="82">
        <f t="shared" si="166"/>
        <v>0</v>
      </c>
      <c r="O324" s="82">
        <f t="shared" si="167"/>
        <v>0</v>
      </c>
      <c r="P324" s="82">
        <f>O324+'BM 011'!P324</f>
        <v>0</v>
      </c>
      <c r="Q324" s="80">
        <f t="shared" si="168"/>
        <v>840</v>
      </c>
      <c r="R324" s="82">
        <f t="shared" si="169"/>
        <v>1064.78</v>
      </c>
      <c r="S324" s="82">
        <f t="shared" si="170"/>
        <v>1064.78</v>
      </c>
      <c r="T324" s="82">
        <f t="shared" si="171"/>
        <v>1064.78</v>
      </c>
    </row>
    <row r="325" spans="2:20" s="34" customFormat="1" ht="23.4">
      <c r="B325" s="75" t="s">
        <v>636</v>
      </c>
      <c r="C325" s="76" t="s">
        <v>637</v>
      </c>
      <c r="D325" s="77" t="s">
        <v>39</v>
      </c>
      <c r="E325" s="78">
        <v>30</v>
      </c>
      <c r="F325" s="78">
        <v>30</v>
      </c>
      <c r="G325" s="79"/>
      <c r="H325" s="79"/>
      <c r="I325" s="79"/>
      <c r="J325" s="79">
        <f>SUM(H325:I325)+'BM 011'!J325</f>
        <v>0</v>
      </c>
      <c r="K325" s="79">
        <f t="shared" si="148"/>
        <v>30</v>
      </c>
      <c r="L325" s="84">
        <v>25</v>
      </c>
      <c r="M325" s="81">
        <v>31.690002750000001</v>
      </c>
      <c r="N325" s="82">
        <f t="shared" si="166"/>
        <v>0</v>
      </c>
      <c r="O325" s="82">
        <f t="shared" si="167"/>
        <v>0</v>
      </c>
      <c r="P325" s="82">
        <f>O325+'BM 011'!P325</f>
        <v>0</v>
      </c>
      <c r="Q325" s="80">
        <f t="shared" si="168"/>
        <v>750</v>
      </c>
      <c r="R325" s="82">
        <f t="shared" si="169"/>
        <v>950.7</v>
      </c>
      <c r="S325" s="82">
        <f t="shared" si="170"/>
        <v>950.7</v>
      </c>
      <c r="T325" s="82">
        <f t="shared" si="171"/>
        <v>950.7</v>
      </c>
    </row>
    <row r="326" spans="2:20" s="34" customFormat="1" ht="46.2">
      <c r="B326" s="75" t="s">
        <v>638</v>
      </c>
      <c r="C326" s="76" t="s">
        <v>639</v>
      </c>
      <c r="D326" s="77" t="s">
        <v>39</v>
      </c>
      <c r="E326" s="78">
        <v>2</v>
      </c>
      <c r="F326" s="78">
        <v>2</v>
      </c>
      <c r="G326" s="79"/>
      <c r="H326" s="79"/>
      <c r="I326" s="79"/>
      <c r="J326" s="79">
        <f>SUM(H326:I326)+'BM 011'!J326</f>
        <v>0</v>
      </c>
      <c r="K326" s="79">
        <f t="shared" si="148"/>
        <v>2</v>
      </c>
      <c r="L326" s="84">
        <v>1800</v>
      </c>
      <c r="M326" s="81">
        <v>2281.680198</v>
      </c>
      <c r="N326" s="82">
        <f t="shared" si="166"/>
        <v>0</v>
      </c>
      <c r="O326" s="82">
        <f t="shared" si="167"/>
        <v>0</v>
      </c>
      <c r="P326" s="82">
        <f>O326+'BM 011'!P326</f>
        <v>0</v>
      </c>
      <c r="Q326" s="80">
        <f t="shared" si="168"/>
        <v>3600</v>
      </c>
      <c r="R326" s="82">
        <f t="shared" si="169"/>
        <v>4563.3599999999997</v>
      </c>
      <c r="S326" s="82">
        <f t="shared" si="170"/>
        <v>4563.3599999999997</v>
      </c>
      <c r="T326" s="82">
        <f t="shared" si="171"/>
        <v>4563.3599999999997</v>
      </c>
    </row>
    <row r="327" spans="2:20" s="34" customFormat="1" ht="23.4">
      <c r="B327" s="75" t="s">
        <v>640</v>
      </c>
      <c r="C327" s="76" t="s">
        <v>641</v>
      </c>
      <c r="D327" s="77" t="s">
        <v>39</v>
      </c>
      <c r="E327" s="78">
        <v>17</v>
      </c>
      <c r="F327" s="78">
        <v>17</v>
      </c>
      <c r="G327" s="79"/>
      <c r="H327" s="79"/>
      <c r="I327" s="79"/>
      <c r="J327" s="79">
        <f>SUM(H327:I327)+'BM 011'!J327</f>
        <v>0</v>
      </c>
      <c r="K327" s="79">
        <f t="shared" si="148"/>
        <v>17</v>
      </c>
      <c r="L327" s="84">
        <v>160</v>
      </c>
      <c r="M327" s="81">
        <v>202.81601760000001</v>
      </c>
      <c r="N327" s="82">
        <f t="shared" si="166"/>
        <v>0</v>
      </c>
      <c r="O327" s="82">
        <f t="shared" si="167"/>
        <v>0</v>
      </c>
      <c r="P327" s="82">
        <f>O327+'BM 011'!P327</f>
        <v>0</v>
      </c>
      <c r="Q327" s="80">
        <f t="shared" si="168"/>
        <v>2720</v>
      </c>
      <c r="R327" s="82">
        <f t="shared" si="169"/>
        <v>3447.87</v>
      </c>
      <c r="S327" s="82">
        <f t="shared" si="170"/>
        <v>3447.87</v>
      </c>
      <c r="T327" s="82">
        <f t="shared" si="171"/>
        <v>3447.87</v>
      </c>
    </row>
    <row r="328" spans="2:20" s="34" customFormat="1" ht="13.2">
      <c r="B328" s="75" t="s">
        <v>642</v>
      </c>
      <c r="C328" s="76" t="s">
        <v>643</v>
      </c>
      <c r="D328" s="77" t="s">
        <v>39</v>
      </c>
      <c r="E328" s="78">
        <v>100</v>
      </c>
      <c r="F328" s="78">
        <v>100</v>
      </c>
      <c r="G328" s="79"/>
      <c r="H328" s="79"/>
      <c r="I328" s="79"/>
      <c r="J328" s="79">
        <f>SUM(H328:I328)+'BM 011'!J328</f>
        <v>0</v>
      </c>
      <c r="K328" s="79">
        <f t="shared" si="148"/>
        <v>100</v>
      </c>
      <c r="L328" s="84">
        <v>5.27</v>
      </c>
      <c r="M328" s="81">
        <v>6.6802525797000003</v>
      </c>
      <c r="N328" s="82">
        <f t="shared" si="166"/>
        <v>0</v>
      </c>
      <c r="O328" s="82">
        <f t="shared" si="167"/>
        <v>0</v>
      </c>
      <c r="P328" s="82">
        <f>O328+'BM 011'!P328</f>
        <v>0</v>
      </c>
      <c r="Q328" s="80">
        <f t="shared" si="168"/>
        <v>527</v>
      </c>
      <c r="R328" s="82">
        <f t="shared" si="169"/>
        <v>668.02</v>
      </c>
      <c r="S328" s="82">
        <f t="shared" si="170"/>
        <v>668.02</v>
      </c>
      <c r="T328" s="82">
        <f t="shared" si="171"/>
        <v>668.02</v>
      </c>
    </row>
    <row r="329" spans="2:20" s="34" customFormat="1" ht="23.25" customHeight="1">
      <c r="B329" s="75" t="s">
        <v>644</v>
      </c>
      <c r="C329" s="76" t="s">
        <v>645</v>
      </c>
      <c r="D329" s="77" t="s">
        <v>124</v>
      </c>
      <c r="E329" s="78">
        <v>12</v>
      </c>
      <c r="F329" s="78">
        <v>12</v>
      </c>
      <c r="G329" s="79"/>
      <c r="H329" s="79"/>
      <c r="I329" s="79"/>
      <c r="J329" s="79">
        <f>SUM(H329:I329)+'BM 011'!J329</f>
        <v>0</v>
      </c>
      <c r="K329" s="79">
        <f t="shared" si="148"/>
        <v>12</v>
      </c>
      <c r="L329" s="84">
        <v>15.39</v>
      </c>
      <c r="M329" s="81">
        <v>19.5083656929</v>
      </c>
      <c r="N329" s="82">
        <f t="shared" si="166"/>
        <v>0</v>
      </c>
      <c r="O329" s="82">
        <f t="shared" si="167"/>
        <v>0</v>
      </c>
      <c r="P329" s="82">
        <f>O329+'BM 011'!P329</f>
        <v>0</v>
      </c>
      <c r="Q329" s="80">
        <f t="shared" si="168"/>
        <v>184.68</v>
      </c>
      <c r="R329" s="82">
        <f t="shared" si="169"/>
        <v>234.1</v>
      </c>
      <c r="S329" s="82">
        <f t="shared" si="170"/>
        <v>234.1</v>
      </c>
      <c r="T329" s="82">
        <f t="shared" si="171"/>
        <v>234.1</v>
      </c>
    </row>
    <row r="330" spans="2:20" s="34" customFormat="1" ht="23.4">
      <c r="B330" s="75" t="s">
        <v>646</v>
      </c>
      <c r="C330" s="76" t="s">
        <v>647</v>
      </c>
      <c r="D330" s="77" t="s">
        <v>39</v>
      </c>
      <c r="E330" s="78">
        <v>17</v>
      </c>
      <c r="F330" s="78">
        <v>17</v>
      </c>
      <c r="G330" s="79"/>
      <c r="H330" s="79"/>
      <c r="I330" s="79"/>
      <c r="J330" s="79">
        <f>SUM(H330:I330)+'BM 011'!J330</f>
        <v>0</v>
      </c>
      <c r="K330" s="79">
        <f t="shared" si="148"/>
        <v>17</v>
      </c>
      <c r="L330" s="84">
        <v>50</v>
      </c>
      <c r="M330" s="81">
        <v>63.380005500000003</v>
      </c>
      <c r="N330" s="82">
        <f t="shared" si="166"/>
        <v>0</v>
      </c>
      <c r="O330" s="82">
        <f t="shared" si="167"/>
        <v>0</v>
      </c>
      <c r="P330" s="82">
        <f>O330+'BM 011'!P330</f>
        <v>0</v>
      </c>
      <c r="Q330" s="80">
        <f t="shared" si="168"/>
        <v>850</v>
      </c>
      <c r="R330" s="82">
        <f t="shared" si="169"/>
        <v>1077.46</v>
      </c>
      <c r="S330" s="82">
        <f t="shared" si="170"/>
        <v>1077.46</v>
      </c>
      <c r="T330" s="82">
        <f t="shared" si="171"/>
        <v>1077.46</v>
      </c>
    </row>
    <row r="331" spans="2:20" s="34" customFormat="1" ht="13.2">
      <c r="B331" s="60" t="s">
        <v>648</v>
      </c>
      <c r="C331" s="61" t="s">
        <v>649</v>
      </c>
      <c r="D331" s="60"/>
      <c r="E331" s="62"/>
      <c r="F331" s="284"/>
      <c r="G331" s="63"/>
      <c r="H331" s="63"/>
      <c r="I331" s="63"/>
      <c r="J331" s="63">
        <f>SUM(H331:I331)+'BM 011'!J331</f>
        <v>0</v>
      </c>
      <c r="K331" s="63">
        <f t="shared" si="148"/>
        <v>0</v>
      </c>
      <c r="L331" s="63"/>
      <c r="M331" s="63">
        <v>0</v>
      </c>
      <c r="N331" s="63">
        <f t="shared" ref="N331:T331" si="172">SUM(N332,N340,N398,N410,N481)</f>
        <v>13849.78</v>
      </c>
      <c r="O331" s="63">
        <f t="shared" si="172"/>
        <v>13849.78</v>
      </c>
      <c r="P331" s="63">
        <f t="shared" si="172"/>
        <v>60348.119999999995</v>
      </c>
      <c r="Q331" s="63">
        <f t="shared" si="172"/>
        <v>482517.43010000006</v>
      </c>
      <c r="R331" s="63">
        <f t="shared" si="172"/>
        <v>611638.38000000012</v>
      </c>
      <c r="S331" s="63">
        <f t="shared" si="172"/>
        <v>676197.51000000013</v>
      </c>
      <c r="T331" s="63">
        <f t="shared" si="172"/>
        <v>615849.39000000013</v>
      </c>
    </row>
    <row r="332" spans="2:20" s="34" customFormat="1" ht="13.2">
      <c r="B332" s="66" t="s">
        <v>650</v>
      </c>
      <c r="C332" s="67" t="s">
        <v>651</v>
      </c>
      <c r="D332" s="68"/>
      <c r="E332" s="69"/>
      <c r="F332" s="69"/>
      <c r="G332" s="70"/>
      <c r="H332" s="70"/>
      <c r="I332" s="70"/>
      <c r="J332" s="70">
        <f>SUM(H332:I332)+'BM 011'!J332</f>
        <v>0</v>
      </c>
      <c r="K332" s="70">
        <f t="shared" si="148"/>
        <v>0</v>
      </c>
      <c r="L332" s="71"/>
      <c r="M332" s="71">
        <v>0</v>
      </c>
      <c r="N332" s="73">
        <f t="shared" ref="N332:T332" si="173">SUM(N333:N339)</f>
        <v>0</v>
      </c>
      <c r="O332" s="73">
        <f t="shared" si="173"/>
        <v>0</v>
      </c>
      <c r="P332" s="73">
        <f t="shared" si="173"/>
        <v>2814.07</v>
      </c>
      <c r="Q332" s="73">
        <f t="shared" si="173"/>
        <v>39545.715000000004</v>
      </c>
      <c r="R332" s="73">
        <f t="shared" si="173"/>
        <v>50128.12</v>
      </c>
      <c r="S332" s="73">
        <f t="shared" si="173"/>
        <v>50128.12</v>
      </c>
      <c r="T332" s="73">
        <f t="shared" si="173"/>
        <v>47314.05</v>
      </c>
    </row>
    <row r="333" spans="2:20" s="34" customFormat="1" ht="23.4">
      <c r="B333" s="75" t="s">
        <v>652</v>
      </c>
      <c r="C333" s="76" t="s">
        <v>653</v>
      </c>
      <c r="D333" s="77" t="s">
        <v>82</v>
      </c>
      <c r="E333" s="90">
        <v>9.3800000000000008</v>
      </c>
      <c r="F333" s="90">
        <v>9.3800000000000008</v>
      </c>
      <c r="G333" s="91"/>
      <c r="H333" s="91"/>
      <c r="I333" s="91"/>
      <c r="J333" s="91">
        <f>SUM(H333:I333)+'BM 011'!J333</f>
        <v>0</v>
      </c>
      <c r="K333" s="91">
        <f t="shared" si="148"/>
        <v>9.3800000000000008</v>
      </c>
      <c r="L333" s="80">
        <v>6.5</v>
      </c>
      <c r="M333" s="81">
        <v>8.2394007150000004</v>
      </c>
      <c r="N333" s="82">
        <f t="shared" ref="N333:N339" si="174">TRUNC(G333*M333,2)</f>
        <v>0</v>
      </c>
      <c r="O333" s="82">
        <f t="shared" ref="O333:O339" si="175">TRUNC(H333*M333,2)</f>
        <v>0</v>
      </c>
      <c r="P333" s="82">
        <f>O333+'BM 011'!P333</f>
        <v>0</v>
      </c>
      <c r="Q333" s="80">
        <f t="shared" ref="Q333:Q339" si="176">E333*L333</f>
        <v>60.970000000000006</v>
      </c>
      <c r="R333" s="82">
        <f t="shared" ref="R333:R339" si="177">TRUNC(E333*M333,2)</f>
        <v>77.28</v>
      </c>
      <c r="S333" s="82">
        <f t="shared" ref="S333:S339" si="178">TRUNC(F333*$M333,2)</f>
        <v>77.28</v>
      </c>
      <c r="T333" s="82">
        <f t="shared" ref="T333:T339" si="179">S333-P333</f>
        <v>77.28</v>
      </c>
    </row>
    <row r="334" spans="2:20" s="34" customFormat="1" ht="23.4">
      <c r="B334" s="75" t="s">
        <v>654</v>
      </c>
      <c r="C334" s="76" t="s">
        <v>655</v>
      </c>
      <c r="D334" s="77" t="s">
        <v>82</v>
      </c>
      <c r="E334" s="90">
        <v>1074.94</v>
      </c>
      <c r="F334" s="90">
        <v>1074.94</v>
      </c>
      <c r="G334" s="91"/>
      <c r="H334" s="91"/>
      <c r="I334" s="91"/>
      <c r="J334" s="91">
        <f>SUM(H334:I334)+'BM 011'!J334</f>
        <v>0</v>
      </c>
      <c r="K334" s="91">
        <f t="shared" si="148"/>
        <v>1074.94</v>
      </c>
      <c r="L334" s="80">
        <v>8</v>
      </c>
      <c r="M334" s="81">
        <v>10.14080088</v>
      </c>
      <c r="N334" s="82">
        <f t="shared" si="174"/>
        <v>0</v>
      </c>
      <c r="O334" s="82">
        <f t="shared" si="175"/>
        <v>0</v>
      </c>
      <c r="P334" s="82">
        <f>O334+'BM 011'!P334</f>
        <v>0</v>
      </c>
      <c r="Q334" s="80">
        <f t="shared" si="176"/>
        <v>8599.52</v>
      </c>
      <c r="R334" s="82">
        <f t="shared" si="177"/>
        <v>10900.75</v>
      </c>
      <c r="S334" s="82">
        <f t="shared" si="178"/>
        <v>10900.75</v>
      </c>
      <c r="T334" s="82">
        <f t="shared" si="179"/>
        <v>10900.75</v>
      </c>
    </row>
    <row r="335" spans="2:20" s="34" customFormat="1" ht="23.4">
      <c r="B335" s="75" t="s">
        <v>656</v>
      </c>
      <c r="C335" s="76" t="s">
        <v>657</v>
      </c>
      <c r="D335" s="77" t="s">
        <v>82</v>
      </c>
      <c r="E335" s="93">
        <v>17.41</v>
      </c>
      <c r="F335" s="93">
        <v>17.41</v>
      </c>
      <c r="G335" s="79"/>
      <c r="H335" s="79"/>
      <c r="I335" s="79"/>
      <c r="J335" s="79">
        <f>SUM(H335:I335)+'BM 011'!J335</f>
        <v>0</v>
      </c>
      <c r="K335" s="79">
        <f t="shared" si="148"/>
        <v>17.41</v>
      </c>
      <c r="L335" s="80">
        <v>17.5</v>
      </c>
      <c r="M335" s="81">
        <v>22.183001924999999</v>
      </c>
      <c r="N335" s="82">
        <f t="shared" si="174"/>
        <v>0</v>
      </c>
      <c r="O335" s="82">
        <f t="shared" si="175"/>
        <v>0</v>
      </c>
      <c r="P335" s="82">
        <f>O335+'BM 011'!P335</f>
        <v>0</v>
      </c>
      <c r="Q335" s="80">
        <f t="shared" si="176"/>
        <v>304.67500000000001</v>
      </c>
      <c r="R335" s="82">
        <f t="shared" si="177"/>
        <v>386.2</v>
      </c>
      <c r="S335" s="82">
        <f t="shared" si="178"/>
        <v>386.2</v>
      </c>
      <c r="T335" s="82">
        <f t="shared" si="179"/>
        <v>386.2</v>
      </c>
    </row>
    <row r="336" spans="2:20" s="34" customFormat="1" ht="23.4">
      <c r="B336" s="75" t="s">
        <v>658</v>
      </c>
      <c r="C336" s="76" t="s">
        <v>659</v>
      </c>
      <c r="D336" s="77" t="s">
        <v>82</v>
      </c>
      <c r="E336" s="93">
        <v>471.41</v>
      </c>
      <c r="F336" s="93">
        <v>471.41</v>
      </c>
      <c r="G336" s="79"/>
      <c r="H336" s="79"/>
      <c r="I336" s="79"/>
      <c r="J336" s="79">
        <f>SUM(H336:I336)+'BM 011'!J336</f>
        <v>0</v>
      </c>
      <c r="K336" s="79">
        <f t="shared" si="148"/>
        <v>471.41</v>
      </c>
      <c r="L336" s="80">
        <v>23.5</v>
      </c>
      <c r="M336" s="81">
        <v>29.788602585</v>
      </c>
      <c r="N336" s="82">
        <f t="shared" si="174"/>
        <v>0</v>
      </c>
      <c r="O336" s="82">
        <f t="shared" si="175"/>
        <v>0</v>
      </c>
      <c r="P336" s="82">
        <f>O336+'BM 011'!P336</f>
        <v>0</v>
      </c>
      <c r="Q336" s="80">
        <f t="shared" si="176"/>
        <v>11078.135</v>
      </c>
      <c r="R336" s="82">
        <f t="shared" si="177"/>
        <v>14042.64</v>
      </c>
      <c r="S336" s="82">
        <f t="shared" si="178"/>
        <v>14042.64</v>
      </c>
      <c r="T336" s="82">
        <f t="shared" si="179"/>
        <v>14042.64</v>
      </c>
    </row>
    <row r="337" spans="2:20" s="34" customFormat="1" ht="23.4">
      <c r="B337" s="75" t="s">
        <v>660</v>
      </c>
      <c r="C337" s="76" t="s">
        <v>661</v>
      </c>
      <c r="D337" s="77" t="s">
        <v>82</v>
      </c>
      <c r="E337" s="93">
        <v>25.81</v>
      </c>
      <c r="F337" s="93">
        <v>25.81</v>
      </c>
      <c r="G337" s="79"/>
      <c r="H337" s="79"/>
      <c r="I337" s="79"/>
      <c r="J337" s="79">
        <f>SUM(H337:I337)+'BM 011'!J337</f>
        <v>0</v>
      </c>
      <c r="K337" s="79">
        <f t="shared" si="148"/>
        <v>25.81</v>
      </c>
      <c r="L337" s="80">
        <v>27.5</v>
      </c>
      <c r="M337" s="81">
        <v>34.859003025</v>
      </c>
      <c r="N337" s="82">
        <f t="shared" si="174"/>
        <v>0</v>
      </c>
      <c r="O337" s="82">
        <f t="shared" si="175"/>
        <v>0</v>
      </c>
      <c r="P337" s="82">
        <f>O337+'BM 011'!P337</f>
        <v>0</v>
      </c>
      <c r="Q337" s="80">
        <f t="shared" si="176"/>
        <v>709.77499999999998</v>
      </c>
      <c r="R337" s="82">
        <f t="shared" si="177"/>
        <v>899.71</v>
      </c>
      <c r="S337" s="82">
        <f t="shared" si="178"/>
        <v>899.71</v>
      </c>
      <c r="T337" s="82">
        <f t="shared" si="179"/>
        <v>899.71</v>
      </c>
    </row>
    <row r="338" spans="2:20" s="34" customFormat="1" ht="23.4">
      <c r="B338" s="75" t="s">
        <v>662</v>
      </c>
      <c r="C338" s="76" t="s">
        <v>663</v>
      </c>
      <c r="D338" s="77" t="s">
        <v>124</v>
      </c>
      <c r="E338" s="93">
        <v>165.66</v>
      </c>
      <c r="F338" s="93">
        <v>165.66</v>
      </c>
      <c r="G338" s="79"/>
      <c r="H338" s="79"/>
      <c r="I338" s="79"/>
      <c r="J338" s="79">
        <f>SUM(H338:I338)+'BM 011'!J338</f>
        <v>0</v>
      </c>
      <c r="K338" s="79">
        <f t="shared" si="148"/>
        <v>165.66</v>
      </c>
      <c r="L338" s="80">
        <v>41</v>
      </c>
      <c r="M338" s="81">
        <v>51.971604509999999</v>
      </c>
      <c r="N338" s="82">
        <f t="shared" si="174"/>
        <v>0</v>
      </c>
      <c r="O338" s="82">
        <f t="shared" si="175"/>
        <v>0</v>
      </c>
      <c r="P338" s="82">
        <f>O338+'BM 011'!P338</f>
        <v>0</v>
      </c>
      <c r="Q338" s="80">
        <f t="shared" si="176"/>
        <v>6792.0599999999995</v>
      </c>
      <c r="R338" s="82">
        <f t="shared" si="177"/>
        <v>8609.61</v>
      </c>
      <c r="S338" s="82">
        <f t="shared" si="178"/>
        <v>8609.61</v>
      </c>
      <c r="T338" s="82">
        <f t="shared" si="179"/>
        <v>8609.61</v>
      </c>
    </row>
    <row r="339" spans="2:20" s="34" customFormat="1" ht="23.4">
      <c r="B339" s="75" t="s">
        <v>664</v>
      </c>
      <c r="C339" s="76" t="s">
        <v>665</v>
      </c>
      <c r="D339" s="77" t="s">
        <v>124</v>
      </c>
      <c r="E339" s="93">
        <v>162.16999999999999</v>
      </c>
      <c r="F339" s="93">
        <v>162.16999999999999</v>
      </c>
      <c r="G339" s="79"/>
      <c r="H339" s="79"/>
      <c r="I339" s="79"/>
      <c r="J339" s="79">
        <f>SUM(H339:I339)+'BM 011'!J339</f>
        <v>30</v>
      </c>
      <c r="K339" s="79">
        <f t="shared" si="148"/>
        <v>132.16999999999999</v>
      </c>
      <c r="L339" s="80">
        <v>74</v>
      </c>
      <c r="M339" s="81">
        <v>93.802408139999997</v>
      </c>
      <c r="N339" s="82">
        <f t="shared" si="174"/>
        <v>0</v>
      </c>
      <c r="O339" s="82">
        <f t="shared" si="175"/>
        <v>0</v>
      </c>
      <c r="P339" s="82">
        <f>O339+'BM 011'!P339</f>
        <v>2814.07</v>
      </c>
      <c r="Q339" s="80">
        <f t="shared" si="176"/>
        <v>12000.58</v>
      </c>
      <c r="R339" s="82">
        <f t="shared" si="177"/>
        <v>15211.93</v>
      </c>
      <c r="S339" s="82">
        <f t="shared" si="178"/>
        <v>15211.93</v>
      </c>
      <c r="T339" s="82">
        <f t="shared" si="179"/>
        <v>12397.86</v>
      </c>
    </row>
    <row r="340" spans="2:20" s="34" customFormat="1" ht="24">
      <c r="B340" s="66" t="s">
        <v>666</v>
      </c>
      <c r="C340" s="67" t="s">
        <v>667</v>
      </c>
      <c r="D340" s="68"/>
      <c r="E340" s="69"/>
      <c r="F340" s="69"/>
      <c r="G340" s="70"/>
      <c r="H340" s="70"/>
      <c r="I340" s="70"/>
      <c r="J340" s="70">
        <f>SUM(H340:I340)+'BM 011'!J340</f>
        <v>0</v>
      </c>
      <c r="K340" s="70">
        <f t="shared" si="148"/>
        <v>0</v>
      </c>
      <c r="L340" s="71"/>
      <c r="M340" s="71">
        <v>0</v>
      </c>
      <c r="N340" s="73">
        <f t="shared" ref="N340:T340" si="180">SUM(N341:N397)</f>
        <v>0</v>
      </c>
      <c r="O340" s="73">
        <f t="shared" si="180"/>
        <v>0</v>
      </c>
      <c r="P340" s="73">
        <f t="shared" si="180"/>
        <v>848.67</v>
      </c>
      <c r="Q340" s="73">
        <f t="shared" si="180"/>
        <v>49585.86</v>
      </c>
      <c r="R340" s="73">
        <f t="shared" si="180"/>
        <v>62854.749999999985</v>
      </c>
      <c r="S340" s="73">
        <f t="shared" si="180"/>
        <v>62854.749999999985</v>
      </c>
      <c r="T340" s="73">
        <f t="shared" si="180"/>
        <v>62006.079999999987</v>
      </c>
    </row>
    <row r="341" spans="2:20" s="34" customFormat="1" ht="46.2">
      <c r="B341" s="75" t="s">
        <v>668</v>
      </c>
      <c r="C341" s="76" t="s">
        <v>669</v>
      </c>
      <c r="D341" s="77" t="s">
        <v>131</v>
      </c>
      <c r="E341" s="93">
        <v>2</v>
      </c>
      <c r="F341" s="93">
        <v>2</v>
      </c>
      <c r="G341" s="79"/>
      <c r="H341" s="79"/>
      <c r="I341" s="79"/>
      <c r="J341" s="79">
        <f>SUM(H341:I341)+'BM 011'!J341</f>
        <v>0</v>
      </c>
      <c r="K341" s="79">
        <f t="shared" si="148"/>
        <v>2</v>
      </c>
      <c r="L341" s="80">
        <v>119</v>
      </c>
      <c r="M341" s="81">
        <v>150.84441308999999</v>
      </c>
      <c r="N341" s="82">
        <f t="shared" ref="N341:N372" si="181">TRUNC(G341*M341,2)</f>
        <v>0</v>
      </c>
      <c r="O341" s="82">
        <f t="shared" ref="O341:O372" si="182">TRUNC(H341*M341,2)</f>
        <v>0</v>
      </c>
      <c r="P341" s="82">
        <f>O341+'BM 011'!P341</f>
        <v>0</v>
      </c>
      <c r="Q341" s="80">
        <f t="shared" ref="Q341:Q372" si="183">E341*L341</f>
        <v>238</v>
      </c>
      <c r="R341" s="82">
        <f t="shared" ref="R341:R372" si="184">TRUNC(E341*M341,2)</f>
        <v>301.68</v>
      </c>
      <c r="S341" s="82">
        <f t="shared" ref="S341:S372" si="185">TRUNC(F341*$M341,2)</f>
        <v>301.68</v>
      </c>
      <c r="T341" s="82">
        <f t="shared" ref="T341:T372" si="186">S341-P341</f>
        <v>301.68</v>
      </c>
    </row>
    <row r="342" spans="2:20" s="34" customFormat="1" ht="46.2">
      <c r="B342" s="75" t="s">
        <v>670</v>
      </c>
      <c r="C342" s="76" t="s">
        <v>671</v>
      </c>
      <c r="D342" s="77" t="s">
        <v>131</v>
      </c>
      <c r="E342" s="93">
        <v>12</v>
      </c>
      <c r="F342" s="93">
        <v>12</v>
      </c>
      <c r="G342" s="79"/>
      <c r="H342" s="79"/>
      <c r="I342" s="79"/>
      <c r="J342" s="79">
        <f>SUM(H342:I342)+'BM 011'!J342</f>
        <v>0</v>
      </c>
      <c r="K342" s="79">
        <f t="shared" si="148"/>
        <v>12</v>
      </c>
      <c r="L342" s="80">
        <v>215</v>
      </c>
      <c r="M342" s="81">
        <v>272.53402364999999</v>
      </c>
      <c r="N342" s="82">
        <f t="shared" si="181"/>
        <v>0</v>
      </c>
      <c r="O342" s="82">
        <f t="shared" si="182"/>
        <v>0</v>
      </c>
      <c r="P342" s="82">
        <f>O342+'BM 011'!P342</f>
        <v>0</v>
      </c>
      <c r="Q342" s="80">
        <f t="shared" si="183"/>
        <v>2580</v>
      </c>
      <c r="R342" s="82">
        <f t="shared" si="184"/>
        <v>3270.4</v>
      </c>
      <c r="S342" s="82">
        <f t="shared" si="185"/>
        <v>3270.4</v>
      </c>
      <c r="T342" s="82">
        <f t="shared" si="186"/>
        <v>3270.4</v>
      </c>
    </row>
    <row r="343" spans="2:20" s="34" customFormat="1" ht="23.4">
      <c r="B343" s="75" t="s">
        <v>672</v>
      </c>
      <c r="C343" s="76" t="s">
        <v>673</v>
      </c>
      <c r="D343" s="77" t="s">
        <v>131</v>
      </c>
      <c r="E343" s="93">
        <v>15</v>
      </c>
      <c r="F343" s="93">
        <v>15</v>
      </c>
      <c r="G343" s="79"/>
      <c r="H343" s="79"/>
      <c r="I343" s="79"/>
      <c r="J343" s="79">
        <f>SUM(H343:I343)+'BM 011'!J343</f>
        <v>0</v>
      </c>
      <c r="K343" s="79">
        <f t="shared" si="148"/>
        <v>15</v>
      </c>
      <c r="L343" s="80">
        <v>98</v>
      </c>
      <c r="M343" s="81">
        <v>124.22481078</v>
      </c>
      <c r="N343" s="82">
        <f t="shared" si="181"/>
        <v>0</v>
      </c>
      <c r="O343" s="82">
        <f t="shared" si="182"/>
        <v>0</v>
      </c>
      <c r="P343" s="82">
        <f>O343+'BM 011'!P343</f>
        <v>0</v>
      </c>
      <c r="Q343" s="80">
        <f t="shared" si="183"/>
        <v>1470</v>
      </c>
      <c r="R343" s="82">
        <f t="shared" si="184"/>
        <v>1863.37</v>
      </c>
      <c r="S343" s="82">
        <f t="shared" si="185"/>
        <v>1863.37</v>
      </c>
      <c r="T343" s="82">
        <f t="shared" si="186"/>
        <v>1863.37</v>
      </c>
    </row>
    <row r="344" spans="2:20" s="34" customFormat="1" ht="34.799999999999997">
      <c r="B344" s="75" t="s">
        <v>674</v>
      </c>
      <c r="C344" s="76" t="s">
        <v>675</v>
      </c>
      <c r="D344" s="77" t="s">
        <v>131</v>
      </c>
      <c r="E344" s="93">
        <v>5</v>
      </c>
      <c r="F344" s="93">
        <v>5</v>
      </c>
      <c r="G344" s="79"/>
      <c r="H344" s="79"/>
      <c r="I344" s="79"/>
      <c r="J344" s="79">
        <f>SUM(H344:I344)+'BM 011'!J344</f>
        <v>0</v>
      </c>
      <c r="K344" s="79">
        <f t="shared" si="148"/>
        <v>5</v>
      </c>
      <c r="L344" s="80">
        <v>52</v>
      </c>
      <c r="M344" s="81">
        <v>65.915205720000003</v>
      </c>
      <c r="N344" s="82">
        <f t="shared" si="181"/>
        <v>0</v>
      </c>
      <c r="O344" s="82">
        <f t="shared" si="182"/>
        <v>0</v>
      </c>
      <c r="P344" s="82">
        <f>O344+'BM 011'!P344</f>
        <v>0</v>
      </c>
      <c r="Q344" s="80">
        <f t="shared" si="183"/>
        <v>260</v>
      </c>
      <c r="R344" s="82">
        <f t="shared" si="184"/>
        <v>329.57</v>
      </c>
      <c r="S344" s="82">
        <f t="shared" si="185"/>
        <v>329.57</v>
      </c>
      <c r="T344" s="82">
        <f t="shared" si="186"/>
        <v>329.57</v>
      </c>
    </row>
    <row r="345" spans="2:20" s="34" customFormat="1" ht="34.799999999999997">
      <c r="B345" s="75" t="s">
        <v>676</v>
      </c>
      <c r="C345" s="76" t="s">
        <v>677</v>
      </c>
      <c r="D345" s="77" t="s">
        <v>131</v>
      </c>
      <c r="E345" s="93">
        <v>160</v>
      </c>
      <c r="F345" s="93">
        <v>160</v>
      </c>
      <c r="G345" s="79"/>
      <c r="H345" s="79"/>
      <c r="I345" s="79"/>
      <c r="J345" s="79">
        <f>SUM(H345:I345)+'BM 011'!J345</f>
        <v>0</v>
      </c>
      <c r="K345" s="79">
        <f t="shared" si="148"/>
        <v>160</v>
      </c>
      <c r="L345" s="80">
        <v>105.95</v>
      </c>
      <c r="M345" s="81">
        <v>134.30223165449999</v>
      </c>
      <c r="N345" s="82">
        <f t="shared" si="181"/>
        <v>0</v>
      </c>
      <c r="O345" s="82">
        <f t="shared" si="182"/>
        <v>0</v>
      </c>
      <c r="P345" s="82">
        <f>O345+'BM 011'!P345</f>
        <v>0</v>
      </c>
      <c r="Q345" s="80">
        <f t="shared" si="183"/>
        <v>16952</v>
      </c>
      <c r="R345" s="82">
        <f t="shared" si="184"/>
        <v>21488.35</v>
      </c>
      <c r="S345" s="82">
        <f t="shared" si="185"/>
        <v>21488.35</v>
      </c>
      <c r="T345" s="82">
        <f t="shared" si="186"/>
        <v>21488.35</v>
      </c>
    </row>
    <row r="346" spans="2:20" s="34" customFormat="1" ht="23.4">
      <c r="B346" s="75" t="s">
        <v>678</v>
      </c>
      <c r="C346" s="76" t="s">
        <v>679</v>
      </c>
      <c r="D346" s="77" t="s">
        <v>131</v>
      </c>
      <c r="E346" s="93">
        <v>11</v>
      </c>
      <c r="F346" s="93">
        <v>11</v>
      </c>
      <c r="G346" s="79"/>
      <c r="H346" s="79"/>
      <c r="I346" s="79"/>
      <c r="J346" s="79">
        <f>SUM(H346:I346)+'BM 011'!J346</f>
        <v>0</v>
      </c>
      <c r="K346" s="79">
        <f t="shared" si="148"/>
        <v>11</v>
      </c>
      <c r="L346" s="80">
        <v>485</v>
      </c>
      <c r="M346" s="81">
        <v>614.78605334999997</v>
      </c>
      <c r="N346" s="82">
        <f t="shared" si="181"/>
        <v>0</v>
      </c>
      <c r="O346" s="82">
        <f t="shared" si="182"/>
        <v>0</v>
      </c>
      <c r="P346" s="82">
        <f>O346+'BM 011'!P346</f>
        <v>0</v>
      </c>
      <c r="Q346" s="80">
        <f t="shared" si="183"/>
        <v>5335</v>
      </c>
      <c r="R346" s="82">
        <f t="shared" si="184"/>
        <v>6762.64</v>
      </c>
      <c r="S346" s="82">
        <f t="shared" si="185"/>
        <v>6762.64</v>
      </c>
      <c r="T346" s="82">
        <f t="shared" si="186"/>
        <v>6762.64</v>
      </c>
    </row>
    <row r="347" spans="2:20" s="34" customFormat="1" ht="34.799999999999997">
      <c r="B347" s="75" t="s">
        <v>680</v>
      </c>
      <c r="C347" s="88" t="s">
        <v>681</v>
      </c>
      <c r="D347" s="89" t="s">
        <v>131</v>
      </c>
      <c r="E347" s="90">
        <v>3</v>
      </c>
      <c r="F347" s="90">
        <v>3</v>
      </c>
      <c r="G347" s="91"/>
      <c r="H347" s="91"/>
      <c r="I347" s="91"/>
      <c r="J347" s="91">
        <f>SUM(H347:I347)+'BM 011'!J347</f>
        <v>0</v>
      </c>
      <c r="K347" s="91">
        <f t="shared" si="148"/>
        <v>3</v>
      </c>
      <c r="L347" s="80">
        <v>165</v>
      </c>
      <c r="M347" s="81">
        <v>209.15401815000001</v>
      </c>
      <c r="N347" s="82">
        <f t="shared" si="181"/>
        <v>0</v>
      </c>
      <c r="O347" s="82">
        <f t="shared" si="182"/>
        <v>0</v>
      </c>
      <c r="P347" s="82">
        <f>O347+'BM 011'!P347</f>
        <v>0</v>
      </c>
      <c r="Q347" s="80">
        <f t="shared" si="183"/>
        <v>495</v>
      </c>
      <c r="R347" s="82">
        <f t="shared" si="184"/>
        <v>627.46</v>
      </c>
      <c r="S347" s="82">
        <f t="shared" si="185"/>
        <v>627.46</v>
      </c>
      <c r="T347" s="82">
        <f t="shared" si="186"/>
        <v>627.46</v>
      </c>
    </row>
    <row r="348" spans="2:20" s="34" customFormat="1" ht="23.4">
      <c r="B348" s="75" t="s">
        <v>682</v>
      </c>
      <c r="C348" s="88" t="s">
        <v>683</v>
      </c>
      <c r="D348" s="89" t="s">
        <v>131</v>
      </c>
      <c r="E348" s="90">
        <v>1</v>
      </c>
      <c r="F348" s="90">
        <v>1</v>
      </c>
      <c r="G348" s="91"/>
      <c r="H348" s="91"/>
      <c r="I348" s="91"/>
      <c r="J348" s="91">
        <f>SUM(H348:I348)+'BM 011'!J348</f>
        <v>0</v>
      </c>
      <c r="K348" s="91">
        <f t="shared" si="148"/>
        <v>1</v>
      </c>
      <c r="L348" s="80">
        <v>169</v>
      </c>
      <c r="M348" s="81">
        <v>214.22441859</v>
      </c>
      <c r="N348" s="82">
        <f t="shared" si="181"/>
        <v>0</v>
      </c>
      <c r="O348" s="82">
        <f t="shared" si="182"/>
        <v>0</v>
      </c>
      <c r="P348" s="82">
        <f>O348+'BM 011'!P348</f>
        <v>0</v>
      </c>
      <c r="Q348" s="80">
        <f t="shared" si="183"/>
        <v>169</v>
      </c>
      <c r="R348" s="82">
        <f t="shared" si="184"/>
        <v>214.22</v>
      </c>
      <c r="S348" s="82">
        <f t="shared" si="185"/>
        <v>214.22</v>
      </c>
      <c r="T348" s="82">
        <f t="shared" si="186"/>
        <v>214.22</v>
      </c>
    </row>
    <row r="349" spans="2:20" s="34" customFormat="1" ht="23.4">
      <c r="B349" s="75" t="s">
        <v>684</v>
      </c>
      <c r="C349" s="88" t="s">
        <v>685</v>
      </c>
      <c r="D349" s="89" t="s">
        <v>131</v>
      </c>
      <c r="E349" s="90">
        <v>1</v>
      </c>
      <c r="F349" s="90">
        <v>1</v>
      </c>
      <c r="G349" s="91"/>
      <c r="H349" s="91"/>
      <c r="I349" s="91"/>
      <c r="J349" s="91">
        <f>SUM(H349:I349)+'BM 011'!J349</f>
        <v>0</v>
      </c>
      <c r="K349" s="91">
        <f t="shared" si="148"/>
        <v>1</v>
      </c>
      <c r="L349" s="80">
        <v>99</v>
      </c>
      <c r="M349" s="81">
        <v>125.49241089</v>
      </c>
      <c r="N349" s="82">
        <f t="shared" si="181"/>
        <v>0</v>
      </c>
      <c r="O349" s="82">
        <f t="shared" si="182"/>
        <v>0</v>
      </c>
      <c r="P349" s="82">
        <f>O349+'BM 011'!P349</f>
        <v>0</v>
      </c>
      <c r="Q349" s="80">
        <f t="shared" si="183"/>
        <v>99</v>
      </c>
      <c r="R349" s="82">
        <f t="shared" si="184"/>
        <v>125.49</v>
      </c>
      <c r="S349" s="82">
        <f t="shared" si="185"/>
        <v>125.49</v>
      </c>
      <c r="T349" s="82">
        <f t="shared" si="186"/>
        <v>125.49</v>
      </c>
    </row>
    <row r="350" spans="2:20" s="34" customFormat="1" ht="23.4">
      <c r="B350" s="75" t="s">
        <v>686</v>
      </c>
      <c r="C350" s="88" t="s">
        <v>687</v>
      </c>
      <c r="D350" s="89" t="s">
        <v>131</v>
      </c>
      <c r="E350" s="90">
        <v>1</v>
      </c>
      <c r="F350" s="90">
        <v>1</v>
      </c>
      <c r="G350" s="91"/>
      <c r="H350" s="91"/>
      <c r="I350" s="91"/>
      <c r="J350" s="91">
        <f>SUM(H350:I350)+'BM 011'!J350</f>
        <v>0</v>
      </c>
      <c r="K350" s="91">
        <f t="shared" ref="K350:K413" si="187">F350-J350</f>
        <v>1</v>
      </c>
      <c r="L350" s="80">
        <v>265</v>
      </c>
      <c r="M350" s="81">
        <v>335.91402914999998</v>
      </c>
      <c r="N350" s="82">
        <f t="shared" si="181"/>
        <v>0</v>
      </c>
      <c r="O350" s="82">
        <f t="shared" si="182"/>
        <v>0</v>
      </c>
      <c r="P350" s="82">
        <f>O350+'BM 011'!P350</f>
        <v>0</v>
      </c>
      <c r="Q350" s="80">
        <f t="shared" si="183"/>
        <v>265</v>
      </c>
      <c r="R350" s="82">
        <f t="shared" si="184"/>
        <v>335.91</v>
      </c>
      <c r="S350" s="82">
        <f t="shared" si="185"/>
        <v>335.91</v>
      </c>
      <c r="T350" s="82">
        <f t="shared" si="186"/>
        <v>335.91</v>
      </c>
    </row>
    <row r="351" spans="2:20" s="34" customFormat="1" ht="57.6">
      <c r="B351" s="75" t="s">
        <v>688</v>
      </c>
      <c r="C351" s="88" t="s">
        <v>689</v>
      </c>
      <c r="D351" s="89" t="s">
        <v>131</v>
      </c>
      <c r="E351" s="90">
        <v>16</v>
      </c>
      <c r="F351" s="90">
        <v>16</v>
      </c>
      <c r="G351" s="91"/>
      <c r="H351" s="91"/>
      <c r="I351" s="91"/>
      <c r="J351" s="91">
        <f>SUM(H351:I351)+'BM 011'!J351</f>
        <v>0</v>
      </c>
      <c r="K351" s="91">
        <f t="shared" si="187"/>
        <v>16</v>
      </c>
      <c r="L351" s="80">
        <v>9.8000000000000007</v>
      </c>
      <c r="M351" s="81">
        <v>12.422481078000001</v>
      </c>
      <c r="N351" s="82">
        <f t="shared" si="181"/>
        <v>0</v>
      </c>
      <c r="O351" s="82">
        <f t="shared" si="182"/>
        <v>0</v>
      </c>
      <c r="P351" s="82">
        <f>O351+'BM 011'!P351</f>
        <v>0</v>
      </c>
      <c r="Q351" s="80">
        <f t="shared" si="183"/>
        <v>156.80000000000001</v>
      </c>
      <c r="R351" s="82">
        <f t="shared" si="184"/>
        <v>198.75</v>
      </c>
      <c r="S351" s="82">
        <f t="shared" si="185"/>
        <v>198.75</v>
      </c>
      <c r="T351" s="82">
        <f t="shared" si="186"/>
        <v>198.75</v>
      </c>
    </row>
    <row r="352" spans="2:20" s="34" customFormat="1" ht="57.6">
      <c r="B352" s="75" t="s">
        <v>690</v>
      </c>
      <c r="C352" s="88" t="s">
        <v>691</v>
      </c>
      <c r="D352" s="89" t="s">
        <v>131</v>
      </c>
      <c r="E352" s="90">
        <v>4</v>
      </c>
      <c r="F352" s="90">
        <v>4</v>
      </c>
      <c r="G352" s="91"/>
      <c r="H352" s="91"/>
      <c r="I352" s="91"/>
      <c r="J352" s="91">
        <f>SUM(H352:I352)+'BM 011'!J352</f>
        <v>0</v>
      </c>
      <c r="K352" s="91">
        <f t="shared" si="187"/>
        <v>4</v>
      </c>
      <c r="L352" s="80">
        <v>12.5</v>
      </c>
      <c r="M352" s="81">
        <v>15.845001375000001</v>
      </c>
      <c r="N352" s="82">
        <f t="shared" si="181"/>
        <v>0</v>
      </c>
      <c r="O352" s="82">
        <f t="shared" si="182"/>
        <v>0</v>
      </c>
      <c r="P352" s="82">
        <f>O352+'BM 011'!P352</f>
        <v>0</v>
      </c>
      <c r="Q352" s="80">
        <f t="shared" si="183"/>
        <v>50</v>
      </c>
      <c r="R352" s="82">
        <f t="shared" si="184"/>
        <v>63.38</v>
      </c>
      <c r="S352" s="82">
        <f t="shared" si="185"/>
        <v>63.38</v>
      </c>
      <c r="T352" s="82">
        <f t="shared" si="186"/>
        <v>63.38</v>
      </c>
    </row>
    <row r="353" spans="2:20" s="34" customFormat="1" ht="57.6">
      <c r="B353" s="75" t="s">
        <v>692</v>
      </c>
      <c r="C353" s="88" t="s">
        <v>693</v>
      </c>
      <c r="D353" s="89" t="s">
        <v>131</v>
      </c>
      <c r="E353" s="90">
        <v>2</v>
      </c>
      <c r="F353" s="90">
        <v>2</v>
      </c>
      <c r="G353" s="91"/>
      <c r="H353" s="91"/>
      <c r="I353" s="91"/>
      <c r="J353" s="91">
        <f>SUM(H353:I353)+'BM 011'!J353</f>
        <v>0</v>
      </c>
      <c r="K353" s="91">
        <f t="shared" si="187"/>
        <v>2</v>
      </c>
      <c r="L353" s="80">
        <v>28</v>
      </c>
      <c r="M353" s="81">
        <v>35.492803080000002</v>
      </c>
      <c r="N353" s="82">
        <f t="shared" si="181"/>
        <v>0</v>
      </c>
      <c r="O353" s="82">
        <f t="shared" si="182"/>
        <v>0</v>
      </c>
      <c r="P353" s="82">
        <f>O353+'BM 011'!P353</f>
        <v>0</v>
      </c>
      <c r="Q353" s="80">
        <f t="shared" si="183"/>
        <v>56</v>
      </c>
      <c r="R353" s="82">
        <f t="shared" si="184"/>
        <v>70.98</v>
      </c>
      <c r="S353" s="82">
        <f t="shared" si="185"/>
        <v>70.98</v>
      </c>
      <c r="T353" s="82">
        <f t="shared" si="186"/>
        <v>70.98</v>
      </c>
    </row>
    <row r="354" spans="2:20" s="34" customFormat="1" ht="57.6">
      <c r="B354" s="75" t="s">
        <v>694</v>
      </c>
      <c r="C354" s="88" t="s">
        <v>695</v>
      </c>
      <c r="D354" s="89" t="s">
        <v>131</v>
      </c>
      <c r="E354" s="90">
        <v>30</v>
      </c>
      <c r="F354" s="90">
        <v>30</v>
      </c>
      <c r="G354" s="91"/>
      <c r="H354" s="91"/>
      <c r="I354" s="91"/>
      <c r="J354" s="91">
        <f>SUM(H354:I354)+'BM 011'!J354</f>
        <v>0</v>
      </c>
      <c r="K354" s="91">
        <f t="shared" si="187"/>
        <v>30</v>
      </c>
      <c r="L354" s="80">
        <v>38</v>
      </c>
      <c r="M354" s="81">
        <v>48.168804180000002</v>
      </c>
      <c r="N354" s="82">
        <f t="shared" si="181"/>
        <v>0</v>
      </c>
      <c r="O354" s="82">
        <f t="shared" si="182"/>
        <v>0</v>
      </c>
      <c r="P354" s="82">
        <f>O354+'BM 011'!P354</f>
        <v>0</v>
      </c>
      <c r="Q354" s="80">
        <f t="shared" si="183"/>
        <v>1140</v>
      </c>
      <c r="R354" s="82">
        <f t="shared" si="184"/>
        <v>1445.06</v>
      </c>
      <c r="S354" s="82">
        <f t="shared" si="185"/>
        <v>1445.06</v>
      </c>
      <c r="T354" s="82">
        <f t="shared" si="186"/>
        <v>1445.06</v>
      </c>
    </row>
    <row r="355" spans="2:20" s="34" customFormat="1" ht="46.2">
      <c r="B355" s="75" t="s">
        <v>696</v>
      </c>
      <c r="C355" s="88" t="s">
        <v>697</v>
      </c>
      <c r="D355" s="89" t="s">
        <v>131</v>
      </c>
      <c r="E355" s="90">
        <v>320</v>
      </c>
      <c r="F355" s="90">
        <v>320</v>
      </c>
      <c r="G355" s="91"/>
      <c r="H355" s="91"/>
      <c r="I355" s="91"/>
      <c r="J355" s="91">
        <f>SUM(H355:I355)+'BM 011'!J355</f>
        <v>0</v>
      </c>
      <c r="K355" s="91">
        <f t="shared" si="187"/>
        <v>320</v>
      </c>
      <c r="L355" s="80">
        <v>5.33</v>
      </c>
      <c r="M355" s="81">
        <v>6.7563085863000003</v>
      </c>
      <c r="N355" s="82">
        <f t="shared" si="181"/>
        <v>0</v>
      </c>
      <c r="O355" s="82">
        <f t="shared" si="182"/>
        <v>0</v>
      </c>
      <c r="P355" s="82">
        <f>O355+'BM 011'!P355</f>
        <v>0</v>
      </c>
      <c r="Q355" s="80">
        <f t="shared" si="183"/>
        <v>1705.6</v>
      </c>
      <c r="R355" s="82">
        <f t="shared" si="184"/>
        <v>2162.0100000000002</v>
      </c>
      <c r="S355" s="82">
        <f t="shared" si="185"/>
        <v>2162.0100000000002</v>
      </c>
      <c r="T355" s="82">
        <f t="shared" si="186"/>
        <v>2162.0100000000002</v>
      </c>
    </row>
    <row r="356" spans="2:20" s="34" customFormat="1" ht="23.4">
      <c r="B356" s="75" t="s">
        <v>698</v>
      </c>
      <c r="C356" s="88" t="s">
        <v>699</v>
      </c>
      <c r="D356" s="89" t="s">
        <v>131</v>
      </c>
      <c r="E356" s="90">
        <v>12</v>
      </c>
      <c r="F356" s="90">
        <v>12</v>
      </c>
      <c r="G356" s="91"/>
      <c r="H356" s="91"/>
      <c r="I356" s="91"/>
      <c r="J356" s="91">
        <f>SUM(H356:I356)+'BM 011'!J356</f>
        <v>0</v>
      </c>
      <c r="K356" s="91">
        <f t="shared" si="187"/>
        <v>12</v>
      </c>
      <c r="L356" s="80">
        <v>4.92</v>
      </c>
      <c r="M356" s="81">
        <v>6.2365925412000003</v>
      </c>
      <c r="N356" s="82">
        <f t="shared" si="181"/>
        <v>0</v>
      </c>
      <c r="O356" s="82">
        <f t="shared" si="182"/>
        <v>0</v>
      </c>
      <c r="P356" s="82">
        <f>O356+'BM 011'!P356</f>
        <v>0</v>
      </c>
      <c r="Q356" s="80">
        <f t="shared" si="183"/>
        <v>59.04</v>
      </c>
      <c r="R356" s="82">
        <f t="shared" si="184"/>
        <v>74.83</v>
      </c>
      <c r="S356" s="82">
        <f t="shared" si="185"/>
        <v>74.83</v>
      </c>
      <c r="T356" s="82">
        <f t="shared" si="186"/>
        <v>74.83</v>
      </c>
    </row>
    <row r="357" spans="2:20" s="34" customFormat="1" ht="23.4">
      <c r="B357" s="75" t="s">
        <v>700</v>
      </c>
      <c r="C357" s="88" t="s">
        <v>701</v>
      </c>
      <c r="D357" s="89" t="s">
        <v>131</v>
      </c>
      <c r="E357" s="90">
        <v>1</v>
      </c>
      <c r="F357" s="90">
        <v>1</v>
      </c>
      <c r="G357" s="91"/>
      <c r="H357" s="91"/>
      <c r="I357" s="91"/>
      <c r="J357" s="91">
        <f>SUM(H357:I357)+'BM 011'!J357</f>
        <v>0</v>
      </c>
      <c r="K357" s="91">
        <f t="shared" si="187"/>
        <v>1</v>
      </c>
      <c r="L357" s="80">
        <v>5.49</v>
      </c>
      <c r="M357" s="81">
        <v>6.9591246039000003</v>
      </c>
      <c r="N357" s="82">
        <f t="shared" si="181"/>
        <v>0</v>
      </c>
      <c r="O357" s="82">
        <f t="shared" si="182"/>
        <v>0</v>
      </c>
      <c r="P357" s="82">
        <f>O357+'BM 011'!P357</f>
        <v>0</v>
      </c>
      <c r="Q357" s="80">
        <f t="shared" si="183"/>
        <v>5.49</v>
      </c>
      <c r="R357" s="82">
        <f t="shared" si="184"/>
        <v>6.95</v>
      </c>
      <c r="S357" s="82">
        <f t="shared" si="185"/>
        <v>6.95</v>
      </c>
      <c r="T357" s="82">
        <f t="shared" si="186"/>
        <v>6.95</v>
      </c>
    </row>
    <row r="358" spans="2:20" s="34" customFormat="1" ht="23.4">
      <c r="B358" s="75" t="s">
        <v>702</v>
      </c>
      <c r="C358" s="88" t="s">
        <v>703</v>
      </c>
      <c r="D358" s="89" t="s">
        <v>131</v>
      </c>
      <c r="E358" s="90">
        <v>1</v>
      </c>
      <c r="F358" s="90">
        <v>1</v>
      </c>
      <c r="G358" s="91"/>
      <c r="H358" s="91"/>
      <c r="I358" s="91"/>
      <c r="J358" s="91">
        <f>SUM(H358:I358)+'BM 011'!J358</f>
        <v>0</v>
      </c>
      <c r="K358" s="91">
        <f t="shared" si="187"/>
        <v>1</v>
      </c>
      <c r="L358" s="80">
        <v>8.5</v>
      </c>
      <c r="M358" s="81">
        <v>10.774600935</v>
      </c>
      <c r="N358" s="82">
        <f t="shared" si="181"/>
        <v>0</v>
      </c>
      <c r="O358" s="82">
        <f t="shared" si="182"/>
        <v>0</v>
      </c>
      <c r="P358" s="82">
        <f>O358+'BM 011'!P358</f>
        <v>0</v>
      </c>
      <c r="Q358" s="80">
        <f t="shared" si="183"/>
        <v>8.5</v>
      </c>
      <c r="R358" s="82">
        <f t="shared" si="184"/>
        <v>10.77</v>
      </c>
      <c r="S358" s="82">
        <f t="shared" si="185"/>
        <v>10.77</v>
      </c>
      <c r="T358" s="82">
        <f t="shared" si="186"/>
        <v>10.77</v>
      </c>
    </row>
    <row r="359" spans="2:20" s="34" customFormat="1" ht="23.4">
      <c r="B359" s="75" t="s">
        <v>704</v>
      </c>
      <c r="C359" s="88" t="s">
        <v>705</v>
      </c>
      <c r="D359" s="89" t="s">
        <v>131</v>
      </c>
      <c r="E359" s="90">
        <v>1</v>
      </c>
      <c r="F359" s="90">
        <v>1</v>
      </c>
      <c r="G359" s="91"/>
      <c r="H359" s="91"/>
      <c r="I359" s="91"/>
      <c r="J359" s="91">
        <f>SUM(H359:I359)+'BM 011'!J359</f>
        <v>0</v>
      </c>
      <c r="K359" s="91">
        <f t="shared" si="187"/>
        <v>1</v>
      </c>
      <c r="L359" s="80">
        <v>14.47</v>
      </c>
      <c r="M359" s="81">
        <v>18.3421735917</v>
      </c>
      <c r="N359" s="82">
        <f t="shared" si="181"/>
        <v>0</v>
      </c>
      <c r="O359" s="82">
        <f t="shared" si="182"/>
        <v>0</v>
      </c>
      <c r="P359" s="82">
        <f>O359+'BM 011'!P359</f>
        <v>0</v>
      </c>
      <c r="Q359" s="80">
        <f t="shared" si="183"/>
        <v>14.47</v>
      </c>
      <c r="R359" s="82">
        <f t="shared" si="184"/>
        <v>18.34</v>
      </c>
      <c r="S359" s="82">
        <f t="shared" si="185"/>
        <v>18.34</v>
      </c>
      <c r="T359" s="82">
        <f t="shared" si="186"/>
        <v>18.34</v>
      </c>
    </row>
    <row r="360" spans="2:20" s="34" customFormat="1" ht="23.4">
      <c r="B360" s="75" t="s">
        <v>706</v>
      </c>
      <c r="C360" s="88" t="s">
        <v>707</v>
      </c>
      <c r="D360" s="89" t="s">
        <v>131</v>
      </c>
      <c r="E360" s="90">
        <v>4</v>
      </c>
      <c r="F360" s="90">
        <v>4</v>
      </c>
      <c r="G360" s="91"/>
      <c r="H360" s="91"/>
      <c r="I360" s="91"/>
      <c r="J360" s="91">
        <f>SUM(H360:I360)+'BM 011'!J360</f>
        <v>0</v>
      </c>
      <c r="K360" s="91">
        <f t="shared" si="187"/>
        <v>4</v>
      </c>
      <c r="L360" s="80">
        <v>31.9</v>
      </c>
      <c r="M360" s="81">
        <v>40.436443509</v>
      </c>
      <c r="N360" s="82">
        <f t="shared" si="181"/>
        <v>0</v>
      </c>
      <c r="O360" s="82">
        <f t="shared" si="182"/>
        <v>0</v>
      </c>
      <c r="P360" s="82">
        <f>O360+'BM 011'!P360</f>
        <v>0</v>
      </c>
      <c r="Q360" s="80">
        <f t="shared" si="183"/>
        <v>127.6</v>
      </c>
      <c r="R360" s="82">
        <f t="shared" si="184"/>
        <v>161.74</v>
      </c>
      <c r="S360" s="82">
        <f t="shared" si="185"/>
        <v>161.74</v>
      </c>
      <c r="T360" s="82">
        <f t="shared" si="186"/>
        <v>161.74</v>
      </c>
    </row>
    <row r="361" spans="2:20" s="34" customFormat="1" ht="23.4">
      <c r="B361" s="75" t="s">
        <v>708</v>
      </c>
      <c r="C361" s="88" t="s">
        <v>709</v>
      </c>
      <c r="D361" s="89" t="s">
        <v>131</v>
      </c>
      <c r="E361" s="90">
        <v>1</v>
      </c>
      <c r="F361" s="90">
        <v>1</v>
      </c>
      <c r="G361" s="91"/>
      <c r="H361" s="91"/>
      <c r="I361" s="91"/>
      <c r="J361" s="91">
        <f>SUM(H361:I361)+'BM 011'!J361</f>
        <v>0</v>
      </c>
      <c r="K361" s="91">
        <f t="shared" si="187"/>
        <v>1</v>
      </c>
      <c r="L361" s="80">
        <v>11.22</v>
      </c>
      <c r="M361" s="81">
        <v>14.222473234200001</v>
      </c>
      <c r="N361" s="82">
        <f t="shared" si="181"/>
        <v>0</v>
      </c>
      <c r="O361" s="82">
        <f t="shared" si="182"/>
        <v>0</v>
      </c>
      <c r="P361" s="82">
        <f>O361+'BM 011'!P361</f>
        <v>0</v>
      </c>
      <c r="Q361" s="80">
        <f t="shared" si="183"/>
        <v>11.22</v>
      </c>
      <c r="R361" s="82">
        <f t="shared" si="184"/>
        <v>14.22</v>
      </c>
      <c r="S361" s="82">
        <f t="shared" si="185"/>
        <v>14.22</v>
      </c>
      <c r="T361" s="82">
        <f t="shared" si="186"/>
        <v>14.22</v>
      </c>
    </row>
    <row r="362" spans="2:20" s="34" customFormat="1" ht="23.4">
      <c r="B362" s="75" t="s">
        <v>710</v>
      </c>
      <c r="C362" s="88" t="s">
        <v>711</v>
      </c>
      <c r="D362" s="89" t="s">
        <v>131</v>
      </c>
      <c r="E362" s="90">
        <v>57</v>
      </c>
      <c r="F362" s="90">
        <v>57</v>
      </c>
      <c r="G362" s="91"/>
      <c r="H362" s="91"/>
      <c r="I362" s="91"/>
      <c r="J362" s="91">
        <f>SUM(H362:I362)+'BM 011'!J362</f>
        <v>0</v>
      </c>
      <c r="K362" s="91">
        <f t="shared" si="187"/>
        <v>57</v>
      </c>
      <c r="L362" s="80">
        <v>14.54</v>
      </c>
      <c r="M362" s="81">
        <v>18.430905599399999</v>
      </c>
      <c r="N362" s="82">
        <f t="shared" si="181"/>
        <v>0</v>
      </c>
      <c r="O362" s="82">
        <f t="shared" si="182"/>
        <v>0</v>
      </c>
      <c r="P362" s="82">
        <f>O362+'BM 011'!P362</f>
        <v>0</v>
      </c>
      <c r="Q362" s="80">
        <f t="shared" si="183"/>
        <v>828.78</v>
      </c>
      <c r="R362" s="82">
        <f t="shared" si="184"/>
        <v>1050.56</v>
      </c>
      <c r="S362" s="82">
        <f t="shared" si="185"/>
        <v>1050.56</v>
      </c>
      <c r="T362" s="82">
        <f t="shared" si="186"/>
        <v>1050.56</v>
      </c>
    </row>
    <row r="363" spans="2:20" s="34" customFormat="1" ht="23.4">
      <c r="B363" s="75" t="s">
        <v>712</v>
      </c>
      <c r="C363" s="88" t="s">
        <v>713</v>
      </c>
      <c r="D363" s="89" t="s">
        <v>131</v>
      </c>
      <c r="E363" s="90">
        <v>1</v>
      </c>
      <c r="F363" s="90">
        <v>1</v>
      </c>
      <c r="G363" s="91"/>
      <c r="H363" s="91"/>
      <c r="I363" s="91"/>
      <c r="J363" s="91">
        <f>SUM(H363:I363)+'BM 011'!J363</f>
        <v>0</v>
      </c>
      <c r="K363" s="91">
        <f t="shared" si="187"/>
        <v>1</v>
      </c>
      <c r="L363" s="80">
        <v>16.8</v>
      </c>
      <c r="M363" s="81">
        <v>21.295681848000001</v>
      </c>
      <c r="N363" s="82">
        <f t="shared" si="181"/>
        <v>0</v>
      </c>
      <c r="O363" s="82">
        <f t="shared" si="182"/>
        <v>0</v>
      </c>
      <c r="P363" s="82">
        <f>O363+'BM 011'!P363</f>
        <v>0</v>
      </c>
      <c r="Q363" s="80">
        <f t="shared" si="183"/>
        <v>16.8</v>
      </c>
      <c r="R363" s="82">
        <f t="shared" si="184"/>
        <v>21.29</v>
      </c>
      <c r="S363" s="82">
        <f t="shared" si="185"/>
        <v>21.29</v>
      </c>
      <c r="T363" s="82">
        <f t="shared" si="186"/>
        <v>21.29</v>
      </c>
    </row>
    <row r="364" spans="2:20" s="34" customFormat="1" ht="46.2">
      <c r="B364" s="75" t="s">
        <v>714</v>
      </c>
      <c r="C364" s="88" t="s">
        <v>715</v>
      </c>
      <c r="D364" s="89" t="s">
        <v>131</v>
      </c>
      <c r="E364" s="90">
        <v>1</v>
      </c>
      <c r="F364" s="90">
        <v>1</v>
      </c>
      <c r="G364" s="91"/>
      <c r="H364" s="91"/>
      <c r="I364" s="91"/>
      <c r="J364" s="91">
        <f>SUM(H364:I364)+'BM 011'!J364</f>
        <v>0</v>
      </c>
      <c r="K364" s="91">
        <f t="shared" si="187"/>
        <v>1</v>
      </c>
      <c r="L364" s="80">
        <v>25</v>
      </c>
      <c r="M364" s="81">
        <v>31.690002750000001</v>
      </c>
      <c r="N364" s="82">
        <f t="shared" si="181"/>
        <v>0</v>
      </c>
      <c r="O364" s="82">
        <f t="shared" si="182"/>
        <v>0</v>
      </c>
      <c r="P364" s="82">
        <f>O364+'BM 011'!P364</f>
        <v>0</v>
      </c>
      <c r="Q364" s="80">
        <f t="shared" si="183"/>
        <v>25</v>
      </c>
      <c r="R364" s="82">
        <f t="shared" si="184"/>
        <v>31.69</v>
      </c>
      <c r="S364" s="82">
        <f t="shared" si="185"/>
        <v>31.69</v>
      </c>
      <c r="T364" s="82">
        <f t="shared" si="186"/>
        <v>31.69</v>
      </c>
    </row>
    <row r="365" spans="2:20" s="34" customFormat="1" ht="34.799999999999997">
      <c r="B365" s="75" t="s">
        <v>716</v>
      </c>
      <c r="C365" s="88" t="s">
        <v>717</v>
      </c>
      <c r="D365" s="89" t="s">
        <v>131</v>
      </c>
      <c r="E365" s="90">
        <v>24</v>
      </c>
      <c r="F365" s="90">
        <v>24</v>
      </c>
      <c r="G365" s="91"/>
      <c r="H365" s="91"/>
      <c r="I365" s="91"/>
      <c r="J365" s="91">
        <f>SUM(H365:I365)+'BM 011'!J365</f>
        <v>0</v>
      </c>
      <c r="K365" s="91">
        <f t="shared" si="187"/>
        <v>24</v>
      </c>
      <c r="L365" s="80">
        <v>5.37</v>
      </c>
      <c r="M365" s="81">
        <v>6.8070125907000003</v>
      </c>
      <c r="N365" s="82">
        <f t="shared" si="181"/>
        <v>0</v>
      </c>
      <c r="O365" s="82">
        <f t="shared" si="182"/>
        <v>0</v>
      </c>
      <c r="P365" s="82">
        <f>O365+'BM 011'!P365</f>
        <v>0</v>
      </c>
      <c r="Q365" s="80">
        <f t="shared" si="183"/>
        <v>128.88</v>
      </c>
      <c r="R365" s="82">
        <f t="shared" si="184"/>
        <v>163.36000000000001</v>
      </c>
      <c r="S365" s="82">
        <f t="shared" si="185"/>
        <v>163.36000000000001</v>
      </c>
      <c r="T365" s="82">
        <f t="shared" si="186"/>
        <v>163.36000000000001</v>
      </c>
    </row>
    <row r="366" spans="2:20" s="34" customFormat="1" ht="34.799999999999997">
      <c r="B366" s="75" t="s">
        <v>718</v>
      </c>
      <c r="C366" s="88" t="s">
        <v>719</v>
      </c>
      <c r="D366" s="89" t="s">
        <v>131</v>
      </c>
      <c r="E366" s="90">
        <v>2</v>
      </c>
      <c r="F366" s="90">
        <v>2</v>
      </c>
      <c r="G366" s="91"/>
      <c r="H366" s="91"/>
      <c r="I366" s="91"/>
      <c r="J366" s="91">
        <f>SUM(H366:I366)+'BM 011'!J366</f>
        <v>0</v>
      </c>
      <c r="K366" s="91">
        <f t="shared" si="187"/>
        <v>2</v>
      </c>
      <c r="L366" s="80">
        <v>8.76</v>
      </c>
      <c r="M366" s="81">
        <v>11.104176963600001</v>
      </c>
      <c r="N366" s="82">
        <f t="shared" si="181"/>
        <v>0</v>
      </c>
      <c r="O366" s="82">
        <f t="shared" si="182"/>
        <v>0</v>
      </c>
      <c r="P366" s="82">
        <f>O366+'BM 011'!P366</f>
        <v>0</v>
      </c>
      <c r="Q366" s="80">
        <f t="shared" si="183"/>
        <v>17.52</v>
      </c>
      <c r="R366" s="82">
        <f t="shared" si="184"/>
        <v>22.2</v>
      </c>
      <c r="S366" s="82">
        <f t="shared" si="185"/>
        <v>22.2</v>
      </c>
      <c r="T366" s="82">
        <f t="shared" si="186"/>
        <v>22.2</v>
      </c>
    </row>
    <row r="367" spans="2:20" s="34" customFormat="1" ht="34.799999999999997">
      <c r="B367" s="75" t="s">
        <v>720</v>
      </c>
      <c r="C367" s="88" t="s">
        <v>721</v>
      </c>
      <c r="D367" s="89" t="s">
        <v>131</v>
      </c>
      <c r="E367" s="90">
        <v>4</v>
      </c>
      <c r="F367" s="90">
        <v>4</v>
      </c>
      <c r="G367" s="91"/>
      <c r="H367" s="91"/>
      <c r="I367" s="91"/>
      <c r="J367" s="91">
        <f>SUM(H367:I367)+'BM 011'!J367</f>
        <v>0</v>
      </c>
      <c r="K367" s="91">
        <f t="shared" si="187"/>
        <v>4</v>
      </c>
      <c r="L367" s="80">
        <v>11.55</v>
      </c>
      <c r="M367" s="81">
        <v>14.6407812705</v>
      </c>
      <c r="N367" s="82">
        <f t="shared" si="181"/>
        <v>0</v>
      </c>
      <c r="O367" s="82">
        <f t="shared" si="182"/>
        <v>0</v>
      </c>
      <c r="P367" s="82">
        <f>O367+'BM 011'!P367</f>
        <v>0</v>
      </c>
      <c r="Q367" s="80">
        <f t="shared" si="183"/>
        <v>46.2</v>
      </c>
      <c r="R367" s="82">
        <f t="shared" si="184"/>
        <v>58.56</v>
      </c>
      <c r="S367" s="82">
        <f t="shared" si="185"/>
        <v>58.56</v>
      </c>
      <c r="T367" s="82">
        <f t="shared" si="186"/>
        <v>58.56</v>
      </c>
    </row>
    <row r="368" spans="2:20" s="34" customFormat="1" ht="34.799999999999997">
      <c r="B368" s="75" t="s">
        <v>722</v>
      </c>
      <c r="C368" s="88" t="s">
        <v>723</v>
      </c>
      <c r="D368" s="89" t="s">
        <v>131</v>
      </c>
      <c r="E368" s="90">
        <v>2</v>
      </c>
      <c r="F368" s="90">
        <v>2</v>
      </c>
      <c r="G368" s="91"/>
      <c r="H368" s="91"/>
      <c r="I368" s="91"/>
      <c r="J368" s="91">
        <f>SUM(H368:I368)+'BM 011'!J368</f>
        <v>0</v>
      </c>
      <c r="K368" s="91">
        <f t="shared" si="187"/>
        <v>2</v>
      </c>
      <c r="L368" s="80">
        <v>34.32</v>
      </c>
      <c r="M368" s="81">
        <v>43.504035775200002</v>
      </c>
      <c r="N368" s="82">
        <f t="shared" si="181"/>
        <v>0</v>
      </c>
      <c r="O368" s="82">
        <f t="shared" si="182"/>
        <v>0</v>
      </c>
      <c r="P368" s="82">
        <f>O368+'BM 011'!P368</f>
        <v>0</v>
      </c>
      <c r="Q368" s="80">
        <f t="shared" si="183"/>
        <v>68.64</v>
      </c>
      <c r="R368" s="82">
        <f t="shared" si="184"/>
        <v>87</v>
      </c>
      <c r="S368" s="82">
        <f t="shared" si="185"/>
        <v>87</v>
      </c>
      <c r="T368" s="82">
        <f t="shared" si="186"/>
        <v>87</v>
      </c>
    </row>
    <row r="369" spans="2:20" s="34" customFormat="1" ht="34.799999999999997">
      <c r="B369" s="75" t="s">
        <v>724</v>
      </c>
      <c r="C369" s="88" t="s">
        <v>725</v>
      </c>
      <c r="D369" s="89" t="s">
        <v>131</v>
      </c>
      <c r="E369" s="90">
        <v>3</v>
      </c>
      <c r="F369" s="90">
        <v>3</v>
      </c>
      <c r="G369" s="91"/>
      <c r="H369" s="91"/>
      <c r="I369" s="91"/>
      <c r="J369" s="91">
        <f>SUM(H369:I369)+'BM 011'!J369</f>
        <v>0</v>
      </c>
      <c r="K369" s="91">
        <f t="shared" si="187"/>
        <v>3</v>
      </c>
      <c r="L369" s="80">
        <v>71.75</v>
      </c>
      <c r="M369" s="81">
        <v>90.950307892500007</v>
      </c>
      <c r="N369" s="82">
        <f t="shared" si="181"/>
        <v>0</v>
      </c>
      <c r="O369" s="82">
        <f t="shared" si="182"/>
        <v>0</v>
      </c>
      <c r="P369" s="82">
        <f>O369+'BM 011'!P369</f>
        <v>0</v>
      </c>
      <c r="Q369" s="80">
        <f t="shared" si="183"/>
        <v>215.25</v>
      </c>
      <c r="R369" s="82">
        <f t="shared" si="184"/>
        <v>272.85000000000002</v>
      </c>
      <c r="S369" s="82">
        <f t="shared" si="185"/>
        <v>272.85000000000002</v>
      </c>
      <c r="T369" s="82">
        <f t="shared" si="186"/>
        <v>272.85000000000002</v>
      </c>
    </row>
    <row r="370" spans="2:20" s="34" customFormat="1" ht="46.2">
      <c r="B370" s="75" t="s">
        <v>726</v>
      </c>
      <c r="C370" s="88" t="s">
        <v>727</v>
      </c>
      <c r="D370" s="89" t="s">
        <v>131</v>
      </c>
      <c r="E370" s="90">
        <v>1</v>
      </c>
      <c r="F370" s="90">
        <v>1</v>
      </c>
      <c r="G370" s="91"/>
      <c r="H370" s="91"/>
      <c r="I370" s="91"/>
      <c r="J370" s="91">
        <f>SUM(H370:I370)+'BM 011'!J370</f>
        <v>0</v>
      </c>
      <c r="K370" s="91">
        <f t="shared" si="187"/>
        <v>1</v>
      </c>
      <c r="L370" s="80">
        <v>14.38</v>
      </c>
      <c r="M370" s="81">
        <v>18.228089581799999</v>
      </c>
      <c r="N370" s="82">
        <f t="shared" si="181"/>
        <v>0</v>
      </c>
      <c r="O370" s="82">
        <f t="shared" si="182"/>
        <v>0</v>
      </c>
      <c r="P370" s="82">
        <f>O370+'BM 011'!P370</f>
        <v>0</v>
      </c>
      <c r="Q370" s="80">
        <f t="shared" si="183"/>
        <v>14.38</v>
      </c>
      <c r="R370" s="82">
        <f t="shared" si="184"/>
        <v>18.22</v>
      </c>
      <c r="S370" s="82">
        <f t="shared" si="185"/>
        <v>18.22</v>
      </c>
      <c r="T370" s="82">
        <f t="shared" si="186"/>
        <v>18.22</v>
      </c>
    </row>
    <row r="371" spans="2:20" s="34" customFormat="1" ht="23.4">
      <c r="B371" s="75" t="s">
        <v>728</v>
      </c>
      <c r="C371" s="88" t="s">
        <v>729</v>
      </c>
      <c r="D371" s="89" t="s">
        <v>131</v>
      </c>
      <c r="E371" s="90">
        <v>22</v>
      </c>
      <c r="F371" s="90">
        <v>22</v>
      </c>
      <c r="G371" s="91"/>
      <c r="H371" s="91"/>
      <c r="I371" s="91"/>
      <c r="J371" s="91">
        <f>SUM(H371:I371)+'BM 011'!J371</f>
        <v>0</v>
      </c>
      <c r="K371" s="91">
        <f t="shared" si="187"/>
        <v>22</v>
      </c>
      <c r="L371" s="80">
        <v>14.99</v>
      </c>
      <c r="M371" s="81">
        <v>19.0013256489</v>
      </c>
      <c r="N371" s="82">
        <f t="shared" si="181"/>
        <v>0</v>
      </c>
      <c r="O371" s="82">
        <f t="shared" si="182"/>
        <v>0</v>
      </c>
      <c r="P371" s="82">
        <f>O371+'BM 011'!P371</f>
        <v>0</v>
      </c>
      <c r="Q371" s="80">
        <f t="shared" si="183"/>
        <v>329.78000000000003</v>
      </c>
      <c r="R371" s="82">
        <f t="shared" si="184"/>
        <v>418.02</v>
      </c>
      <c r="S371" s="82">
        <f t="shared" si="185"/>
        <v>418.02</v>
      </c>
      <c r="T371" s="82">
        <f t="shared" si="186"/>
        <v>418.02</v>
      </c>
    </row>
    <row r="372" spans="2:20" s="34" customFormat="1" ht="23.4">
      <c r="B372" s="75" t="s">
        <v>730</v>
      </c>
      <c r="C372" s="88" t="s">
        <v>731</v>
      </c>
      <c r="D372" s="89" t="s">
        <v>131</v>
      </c>
      <c r="E372" s="90">
        <v>289</v>
      </c>
      <c r="F372" s="90">
        <v>289</v>
      </c>
      <c r="G372" s="91"/>
      <c r="H372" s="91"/>
      <c r="I372" s="91"/>
      <c r="J372" s="91">
        <f>SUM(H372:I372)+'BM 011'!J372</f>
        <v>0</v>
      </c>
      <c r="K372" s="91">
        <f t="shared" si="187"/>
        <v>289</v>
      </c>
      <c r="L372" s="80">
        <v>13.04</v>
      </c>
      <c r="M372" s="81">
        <v>16.529505434400001</v>
      </c>
      <c r="N372" s="82">
        <f t="shared" si="181"/>
        <v>0</v>
      </c>
      <c r="O372" s="82">
        <f t="shared" si="182"/>
        <v>0</v>
      </c>
      <c r="P372" s="82">
        <f>O372+'BM 011'!P372</f>
        <v>0</v>
      </c>
      <c r="Q372" s="80">
        <f t="shared" si="183"/>
        <v>3768.56</v>
      </c>
      <c r="R372" s="82">
        <f t="shared" si="184"/>
        <v>4777.0200000000004</v>
      </c>
      <c r="S372" s="82">
        <f t="shared" si="185"/>
        <v>4777.0200000000004</v>
      </c>
      <c r="T372" s="82">
        <f t="shared" si="186"/>
        <v>4777.0200000000004</v>
      </c>
    </row>
    <row r="373" spans="2:20" s="34" customFormat="1" ht="34.799999999999997">
      <c r="B373" s="75" t="s">
        <v>732</v>
      </c>
      <c r="C373" s="88" t="s">
        <v>733</v>
      </c>
      <c r="D373" s="89" t="s">
        <v>131</v>
      </c>
      <c r="E373" s="90">
        <v>7</v>
      </c>
      <c r="F373" s="90">
        <v>7</v>
      </c>
      <c r="G373" s="91"/>
      <c r="H373" s="91"/>
      <c r="I373" s="91"/>
      <c r="J373" s="91">
        <f>SUM(H373:I373)+'BM 011'!J373</f>
        <v>0</v>
      </c>
      <c r="K373" s="91">
        <f t="shared" si="187"/>
        <v>7</v>
      </c>
      <c r="L373" s="80">
        <v>3.95</v>
      </c>
      <c r="M373" s="81">
        <v>5.0070204345000002</v>
      </c>
      <c r="N373" s="82">
        <f t="shared" ref="N373:N397" si="188">TRUNC(G373*M373,2)</f>
        <v>0</v>
      </c>
      <c r="O373" s="82">
        <f t="shared" ref="O373:O397" si="189">TRUNC(H373*M373,2)</f>
        <v>0</v>
      </c>
      <c r="P373" s="82">
        <f>O373+'BM 011'!P373</f>
        <v>0</v>
      </c>
      <c r="Q373" s="80">
        <f t="shared" ref="Q373:Q397" si="190">E373*L373</f>
        <v>27.650000000000002</v>
      </c>
      <c r="R373" s="82">
        <f t="shared" ref="R373:R397" si="191">TRUNC(E373*M373,2)</f>
        <v>35.04</v>
      </c>
      <c r="S373" s="82">
        <f t="shared" ref="S373:S397" si="192">TRUNC(F373*$M373,2)</f>
        <v>35.04</v>
      </c>
      <c r="T373" s="82">
        <f t="shared" ref="T373:T397" si="193">S373-P373</f>
        <v>35.04</v>
      </c>
    </row>
    <row r="374" spans="2:20" s="34" customFormat="1" ht="34.799999999999997">
      <c r="B374" s="75" t="s">
        <v>734</v>
      </c>
      <c r="C374" s="88" t="s">
        <v>735</v>
      </c>
      <c r="D374" s="89" t="s">
        <v>131</v>
      </c>
      <c r="E374" s="90">
        <v>270</v>
      </c>
      <c r="F374" s="90">
        <v>270</v>
      </c>
      <c r="G374" s="91"/>
      <c r="H374" s="91"/>
      <c r="I374" s="91"/>
      <c r="J374" s="91">
        <f>SUM(H374:I374)+'BM 011'!J374</f>
        <v>0</v>
      </c>
      <c r="K374" s="91">
        <f t="shared" si="187"/>
        <v>270</v>
      </c>
      <c r="L374" s="80">
        <v>4.67</v>
      </c>
      <c r="M374" s="81">
        <v>5.9196925137000003</v>
      </c>
      <c r="N374" s="82">
        <f t="shared" si="188"/>
        <v>0</v>
      </c>
      <c r="O374" s="82">
        <f t="shared" si="189"/>
        <v>0</v>
      </c>
      <c r="P374" s="82">
        <f>O374+'BM 011'!P374</f>
        <v>0</v>
      </c>
      <c r="Q374" s="80">
        <f t="shared" si="190"/>
        <v>1260.9000000000001</v>
      </c>
      <c r="R374" s="82">
        <f t="shared" si="191"/>
        <v>1598.31</v>
      </c>
      <c r="S374" s="82">
        <f t="shared" si="192"/>
        <v>1598.31</v>
      </c>
      <c r="T374" s="82">
        <f t="shared" si="193"/>
        <v>1598.31</v>
      </c>
    </row>
    <row r="375" spans="2:20" s="34" customFormat="1" ht="34.799999999999997">
      <c r="B375" s="75" t="s">
        <v>736</v>
      </c>
      <c r="C375" s="88" t="s">
        <v>737</v>
      </c>
      <c r="D375" s="89" t="s">
        <v>131</v>
      </c>
      <c r="E375" s="90">
        <v>3</v>
      </c>
      <c r="F375" s="90">
        <v>3</v>
      </c>
      <c r="G375" s="91"/>
      <c r="H375" s="91"/>
      <c r="I375" s="91"/>
      <c r="J375" s="91">
        <f>SUM(H375:I375)+'BM 011'!J375</f>
        <v>0</v>
      </c>
      <c r="K375" s="91">
        <f t="shared" si="187"/>
        <v>3</v>
      </c>
      <c r="L375" s="80">
        <v>7.2</v>
      </c>
      <c r="M375" s="81">
        <v>9.1267207920000004</v>
      </c>
      <c r="N375" s="82">
        <f t="shared" si="188"/>
        <v>0</v>
      </c>
      <c r="O375" s="82">
        <f t="shared" si="189"/>
        <v>0</v>
      </c>
      <c r="P375" s="82">
        <f>O375+'BM 011'!P375</f>
        <v>0</v>
      </c>
      <c r="Q375" s="80">
        <f t="shared" si="190"/>
        <v>21.6</v>
      </c>
      <c r="R375" s="82">
        <f t="shared" si="191"/>
        <v>27.38</v>
      </c>
      <c r="S375" s="82">
        <f t="shared" si="192"/>
        <v>27.38</v>
      </c>
      <c r="T375" s="82">
        <f t="shared" si="193"/>
        <v>27.38</v>
      </c>
    </row>
    <row r="376" spans="2:20" s="34" customFormat="1" ht="34.799999999999997">
      <c r="B376" s="75" t="s">
        <v>738</v>
      </c>
      <c r="C376" s="76" t="s">
        <v>739</v>
      </c>
      <c r="D376" s="77" t="s">
        <v>131</v>
      </c>
      <c r="E376" s="93">
        <v>128</v>
      </c>
      <c r="F376" s="93">
        <v>128</v>
      </c>
      <c r="G376" s="79"/>
      <c r="H376" s="79"/>
      <c r="I376" s="79"/>
      <c r="J376" s="79">
        <f>SUM(H376:I376)+'BM 011'!J376</f>
        <v>0</v>
      </c>
      <c r="K376" s="79">
        <f t="shared" si="187"/>
        <v>128</v>
      </c>
      <c r="L376" s="80">
        <v>11.5</v>
      </c>
      <c r="M376" s="81">
        <v>14.577401265000001</v>
      </c>
      <c r="N376" s="82">
        <f t="shared" si="188"/>
        <v>0</v>
      </c>
      <c r="O376" s="82">
        <f t="shared" si="189"/>
        <v>0</v>
      </c>
      <c r="P376" s="82">
        <f>O376+'BM 011'!P376</f>
        <v>0</v>
      </c>
      <c r="Q376" s="80">
        <f t="shared" si="190"/>
        <v>1472</v>
      </c>
      <c r="R376" s="82">
        <f t="shared" si="191"/>
        <v>1865.9</v>
      </c>
      <c r="S376" s="82">
        <f t="shared" si="192"/>
        <v>1865.9</v>
      </c>
      <c r="T376" s="82">
        <f t="shared" si="193"/>
        <v>1865.9</v>
      </c>
    </row>
    <row r="377" spans="2:20" s="34" customFormat="1" ht="34.799999999999997">
      <c r="B377" s="75" t="s">
        <v>740</v>
      </c>
      <c r="C377" s="76" t="s">
        <v>741</v>
      </c>
      <c r="D377" s="77" t="s">
        <v>131</v>
      </c>
      <c r="E377" s="93">
        <v>4</v>
      </c>
      <c r="F377" s="93">
        <v>4</v>
      </c>
      <c r="G377" s="79"/>
      <c r="H377" s="79"/>
      <c r="I377" s="79"/>
      <c r="J377" s="79">
        <f>SUM(H377:I377)+'BM 011'!J377</f>
        <v>0</v>
      </c>
      <c r="K377" s="79">
        <f t="shared" si="187"/>
        <v>4</v>
      </c>
      <c r="L377" s="80">
        <v>12.42</v>
      </c>
      <c r="M377" s="81">
        <v>15.743593366200001</v>
      </c>
      <c r="N377" s="82">
        <f t="shared" si="188"/>
        <v>0</v>
      </c>
      <c r="O377" s="82">
        <f t="shared" si="189"/>
        <v>0</v>
      </c>
      <c r="P377" s="82">
        <f>O377+'BM 011'!P377</f>
        <v>0</v>
      </c>
      <c r="Q377" s="80">
        <f t="shared" si="190"/>
        <v>49.68</v>
      </c>
      <c r="R377" s="82">
        <f t="shared" si="191"/>
        <v>62.97</v>
      </c>
      <c r="S377" s="82">
        <f t="shared" si="192"/>
        <v>62.97</v>
      </c>
      <c r="T377" s="82">
        <f t="shared" si="193"/>
        <v>62.97</v>
      </c>
    </row>
    <row r="378" spans="2:20" s="34" customFormat="1" ht="34.799999999999997">
      <c r="B378" s="75" t="s">
        <v>742</v>
      </c>
      <c r="C378" s="76" t="s">
        <v>743</v>
      </c>
      <c r="D378" s="77" t="s">
        <v>131</v>
      </c>
      <c r="E378" s="93">
        <v>31</v>
      </c>
      <c r="F378" s="93">
        <v>31</v>
      </c>
      <c r="G378" s="79"/>
      <c r="H378" s="79"/>
      <c r="I378" s="79"/>
      <c r="J378" s="79">
        <f>SUM(H378:I378)+'BM 011'!J378</f>
        <v>0</v>
      </c>
      <c r="K378" s="79">
        <f t="shared" si="187"/>
        <v>31</v>
      </c>
      <c r="L378" s="80">
        <v>35.909999999999997</v>
      </c>
      <c r="M378" s="81">
        <v>45.519519950099998</v>
      </c>
      <c r="N378" s="82">
        <f t="shared" si="188"/>
        <v>0</v>
      </c>
      <c r="O378" s="82">
        <f t="shared" si="189"/>
        <v>0</v>
      </c>
      <c r="P378" s="82">
        <f>O378+'BM 011'!P378</f>
        <v>0</v>
      </c>
      <c r="Q378" s="80">
        <f t="shared" si="190"/>
        <v>1113.2099999999998</v>
      </c>
      <c r="R378" s="82">
        <f t="shared" si="191"/>
        <v>1411.1</v>
      </c>
      <c r="S378" s="82">
        <f t="shared" si="192"/>
        <v>1411.1</v>
      </c>
      <c r="T378" s="82">
        <f t="shared" si="193"/>
        <v>1411.1</v>
      </c>
    </row>
    <row r="379" spans="2:20" s="34" customFormat="1" ht="46.2">
      <c r="B379" s="75" t="s">
        <v>744</v>
      </c>
      <c r="C379" s="76" t="s">
        <v>745</v>
      </c>
      <c r="D379" s="77" t="s">
        <v>131</v>
      </c>
      <c r="E379" s="93">
        <v>20</v>
      </c>
      <c r="F379" s="93">
        <v>20</v>
      </c>
      <c r="G379" s="79"/>
      <c r="H379" s="79"/>
      <c r="I379" s="79"/>
      <c r="J379" s="79">
        <f>SUM(H379:I379)+'BM 011'!J379</f>
        <v>6</v>
      </c>
      <c r="K379" s="79">
        <f t="shared" si="187"/>
        <v>14</v>
      </c>
      <c r="L379" s="80">
        <v>90</v>
      </c>
      <c r="M379" s="81">
        <v>114.0840099</v>
      </c>
      <c r="N379" s="82">
        <f t="shared" si="188"/>
        <v>0</v>
      </c>
      <c r="O379" s="82">
        <f t="shared" si="189"/>
        <v>0</v>
      </c>
      <c r="P379" s="82">
        <f>O379+'BM 011'!P379</f>
        <v>684.5</v>
      </c>
      <c r="Q379" s="80">
        <f t="shared" si="190"/>
        <v>1800</v>
      </c>
      <c r="R379" s="82">
        <f t="shared" si="191"/>
        <v>2281.6799999999998</v>
      </c>
      <c r="S379" s="82">
        <f t="shared" si="192"/>
        <v>2281.6799999999998</v>
      </c>
      <c r="T379" s="82">
        <f t="shared" si="193"/>
        <v>1597.1799999999998</v>
      </c>
    </row>
    <row r="380" spans="2:20" s="34" customFormat="1" ht="13.2">
      <c r="B380" s="75" t="s">
        <v>746</v>
      </c>
      <c r="C380" s="76" t="s">
        <v>747</v>
      </c>
      <c r="D380" s="77" t="s">
        <v>131</v>
      </c>
      <c r="E380" s="93">
        <v>20</v>
      </c>
      <c r="F380" s="93">
        <v>20</v>
      </c>
      <c r="G380" s="79"/>
      <c r="H380" s="79"/>
      <c r="I380" s="79"/>
      <c r="J380" s="79">
        <f>SUM(H380:I380)+'BM 011'!J380</f>
        <v>0</v>
      </c>
      <c r="K380" s="79">
        <f t="shared" si="187"/>
        <v>20</v>
      </c>
      <c r="L380" s="80">
        <v>5.14</v>
      </c>
      <c r="M380" s="81">
        <v>6.5154645654000003</v>
      </c>
      <c r="N380" s="82">
        <f t="shared" si="188"/>
        <v>0</v>
      </c>
      <c r="O380" s="82">
        <f t="shared" si="189"/>
        <v>0</v>
      </c>
      <c r="P380" s="82">
        <f>O380+'BM 011'!P380</f>
        <v>0</v>
      </c>
      <c r="Q380" s="80">
        <f t="shared" si="190"/>
        <v>102.8</v>
      </c>
      <c r="R380" s="82">
        <f t="shared" si="191"/>
        <v>130.30000000000001</v>
      </c>
      <c r="S380" s="82">
        <f t="shared" si="192"/>
        <v>130.30000000000001</v>
      </c>
      <c r="T380" s="82">
        <f t="shared" si="193"/>
        <v>130.30000000000001</v>
      </c>
    </row>
    <row r="381" spans="2:20" s="34" customFormat="1" ht="13.2">
      <c r="B381" s="75" t="s">
        <v>748</v>
      </c>
      <c r="C381" s="76" t="s">
        <v>749</v>
      </c>
      <c r="D381" s="77" t="s">
        <v>131</v>
      </c>
      <c r="E381" s="93">
        <v>17</v>
      </c>
      <c r="F381" s="93">
        <v>17</v>
      </c>
      <c r="G381" s="79"/>
      <c r="H381" s="79"/>
      <c r="I381" s="79"/>
      <c r="J381" s="79">
        <f>SUM(H381:I381)+'BM 011'!J381</f>
        <v>0</v>
      </c>
      <c r="K381" s="79">
        <f t="shared" si="187"/>
        <v>17</v>
      </c>
      <c r="L381" s="80">
        <v>11.25</v>
      </c>
      <c r="M381" s="81">
        <v>14.2605012375</v>
      </c>
      <c r="N381" s="82">
        <f t="shared" si="188"/>
        <v>0</v>
      </c>
      <c r="O381" s="82">
        <f t="shared" si="189"/>
        <v>0</v>
      </c>
      <c r="P381" s="82">
        <f>O381+'BM 011'!P381</f>
        <v>0</v>
      </c>
      <c r="Q381" s="80">
        <f t="shared" si="190"/>
        <v>191.25</v>
      </c>
      <c r="R381" s="82">
        <f t="shared" si="191"/>
        <v>242.42</v>
      </c>
      <c r="S381" s="82">
        <f t="shared" si="192"/>
        <v>242.42</v>
      </c>
      <c r="T381" s="82">
        <f t="shared" si="193"/>
        <v>242.42</v>
      </c>
    </row>
    <row r="382" spans="2:20" s="34" customFormat="1" ht="13.2">
      <c r="B382" s="75" t="s">
        <v>750</v>
      </c>
      <c r="C382" s="76" t="s">
        <v>751</v>
      </c>
      <c r="D382" s="77" t="s">
        <v>131</v>
      </c>
      <c r="E382" s="93">
        <v>1</v>
      </c>
      <c r="F382" s="93">
        <v>1</v>
      </c>
      <c r="G382" s="79"/>
      <c r="H382" s="79"/>
      <c r="I382" s="79"/>
      <c r="J382" s="79">
        <f>SUM(H382:I382)+'BM 011'!J382</f>
        <v>0</v>
      </c>
      <c r="K382" s="79">
        <f t="shared" si="187"/>
        <v>1</v>
      </c>
      <c r="L382" s="80">
        <v>12.27</v>
      </c>
      <c r="M382" s="81">
        <v>15.5534533497</v>
      </c>
      <c r="N382" s="82">
        <f t="shared" si="188"/>
        <v>0</v>
      </c>
      <c r="O382" s="82">
        <f t="shared" si="189"/>
        <v>0</v>
      </c>
      <c r="P382" s="82">
        <f>O382+'BM 011'!P382</f>
        <v>0</v>
      </c>
      <c r="Q382" s="80">
        <f t="shared" si="190"/>
        <v>12.27</v>
      </c>
      <c r="R382" s="82">
        <f t="shared" si="191"/>
        <v>15.55</v>
      </c>
      <c r="S382" s="82">
        <f t="shared" si="192"/>
        <v>15.55</v>
      </c>
      <c r="T382" s="82">
        <f t="shared" si="193"/>
        <v>15.55</v>
      </c>
    </row>
    <row r="383" spans="2:20" s="34" customFormat="1" ht="13.2">
      <c r="B383" s="75" t="s">
        <v>752</v>
      </c>
      <c r="C383" s="76" t="s">
        <v>753</v>
      </c>
      <c r="D383" s="77" t="s">
        <v>131</v>
      </c>
      <c r="E383" s="93">
        <v>12</v>
      </c>
      <c r="F383" s="93">
        <v>12</v>
      </c>
      <c r="G383" s="79"/>
      <c r="H383" s="79"/>
      <c r="I383" s="79"/>
      <c r="J383" s="79">
        <f>SUM(H383:I383)+'BM 011'!J383</f>
        <v>0</v>
      </c>
      <c r="K383" s="79">
        <f t="shared" si="187"/>
        <v>12</v>
      </c>
      <c r="L383" s="80">
        <v>22.03</v>
      </c>
      <c r="M383" s="81">
        <v>27.9252304233</v>
      </c>
      <c r="N383" s="82">
        <f t="shared" si="188"/>
        <v>0</v>
      </c>
      <c r="O383" s="82">
        <f t="shared" si="189"/>
        <v>0</v>
      </c>
      <c r="P383" s="82">
        <f>O383+'BM 011'!P383</f>
        <v>0</v>
      </c>
      <c r="Q383" s="80">
        <f t="shared" si="190"/>
        <v>264.36</v>
      </c>
      <c r="R383" s="82">
        <f t="shared" si="191"/>
        <v>335.1</v>
      </c>
      <c r="S383" s="82">
        <f t="shared" si="192"/>
        <v>335.1</v>
      </c>
      <c r="T383" s="82">
        <f t="shared" si="193"/>
        <v>335.1</v>
      </c>
    </row>
    <row r="384" spans="2:20" s="34" customFormat="1" ht="13.2">
      <c r="B384" s="75" t="s">
        <v>754</v>
      </c>
      <c r="C384" s="76" t="s">
        <v>755</v>
      </c>
      <c r="D384" s="77" t="s">
        <v>131</v>
      </c>
      <c r="E384" s="93">
        <v>16</v>
      </c>
      <c r="F384" s="93">
        <v>16</v>
      </c>
      <c r="G384" s="79"/>
      <c r="H384" s="79"/>
      <c r="I384" s="79"/>
      <c r="J384" s="79">
        <f>SUM(H384:I384)+'BM 011'!J384</f>
        <v>4</v>
      </c>
      <c r="K384" s="79">
        <f t="shared" si="187"/>
        <v>12</v>
      </c>
      <c r="L384" s="80">
        <v>32.380000000000003</v>
      </c>
      <c r="M384" s="81">
        <v>41.0448915618</v>
      </c>
      <c r="N384" s="82">
        <f t="shared" si="188"/>
        <v>0</v>
      </c>
      <c r="O384" s="82">
        <f t="shared" si="189"/>
        <v>0</v>
      </c>
      <c r="P384" s="82">
        <f>O384+'BM 011'!P384</f>
        <v>164.17</v>
      </c>
      <c r="Q384" s="80">
        <f t="shared" si="190"/>
        <v>518.08000000000004</v>
      </c>
      <c r="R384" s="82">
        <f t="shared" si="191"/>
        <v>656.71</v>
      </c>
      <c r="S384" s="82">
        <f t="shared" si="192"/>
        <v>656.71</v>
      </c>
      <c r="T384" s="82">
        <f t="shared" si="193"/>
        <v>492.54000000000008</v>
      </c>
    </row>
    <row r="385" spans="2:20" s="34" customFormat="1" ht="23.4">
      <c r="B385" s="75" t="s">
        <v>756</v>
      </c>
      <c r="C385" s="76" t="s">
        <v>757</v>
      </c>
      <c r="D385" s="77" t="s">
        <v>131</v>
      </c>
      <c r="E385" s="93">
        <v>16</v>
      </c>
      <c r="F385" s="93">
        <v>16</v>
      </c>
      <c r="G385" s="79"/>
      <c r="H385" s="79"/>
      <c r="I385" s="79"/>
      <c r="J385" s="79">
        <f>SUM(H385:I385)+'BM 011'!J385</f>
        <v>0</v>
      </c>
      <c r="K385" s="79">
        <f t="shared" si="187"/>
        <v>16</v>
      </c>
      <c r="L385" s="80">
        <v>12.35</v>
      </c>
      <c r="M385" s="81">
        <v>15.6548613585</v>
      </c>
      <c r="N385" s="82">
        <f t="shared" si="188"/>
        <v>0</v>
      </c>
      <c r="O385" s="82">
        <f t="shared" si="189"/>
        <v>0</v>
      </c>
      <c r="P385" s="82">
        <f>O385+'BM 011'!P385</f>
        <v>0</v>
      </c>
      <c r="Q385" s="80">
        <f t="shared" si="190"/>
        <v>197.6</v>
      </c>
      <c r="R385" s="82">
        <f t="shared" si="191"/>
        <v>250.47</v>
      </c>
      <c r="S385" s="82">
        <f t="shared" si="192"/>
        <v>250.47</v>
      </c>
      <c r="T385" s="82">
        <f t="shared" si="193"/>
        <v>250.47</v>
      </c>
    </row>
    <row r="386" spans="2:20" s="34" customFormat="1" ht="34.799999999999997">
      <c r="B386" s="75" t="s">
        <v>758</v>
      </c>
      <c r="C386" s="76" t="s">
        <v>759</v>
      </c>
      <c r="D386" s="77" t="s">
        <v>131</v>
      </c>
      <c r="E386" s="93">
        <v>3</v>
      </c>
      <c r="F386" s="93">
        <v>3</v>
      </c>
      <c r="G386" s="79"/>
      <c r="H386" s="79"/>
      <c r="I386" s="79"/>
      <c r="J386" s="79">
        <f>SUM(H386:I386)+'BM 011'!J386</f>
        <v>0</v>
      </c>
      <c r="K386" s="79">
        <f t="shared" si="187"/>
        <v>3</v>
      </c>
      <c r="L386" s="80">
        <v>12.27</v>
      </c>
      <c r="M386" s="81">
        <v>15.5534533497</v>
      </c>
      <c r="N386" s="82">
        <f t="shared" si="188"/>
        <v>0</v>
      </c>
      <c r="O386" s="82">
        <f t="shared" si="189"/>
        <v>0</v>
      </c>
      <c r="P386" s="82">
        <f>O386+'BM 011'!P386</f>
        <v>0</v>
      </c>
      <c r="Q386" s="80">
        <f t="shared" si="190"/>
        <v>36.81</v>
      </c>
      <c r="R386" s="82">
        <f t="shared" si="191"/>
        <v>46.66</v>
      </c>
      <c r="S386" s="82">
        <f t="shared" si="192"/>
        <v>46.66</v>
      </c>
      <c r="T386" s="82">
        <f t="shared" si="193"/>
        <v>46.66</v>
      </c>
    </row>
    <row r="387" spans="2:20" s="34" customFormat="1" ht="23.4">
      <c r="B387" s="75" t="s">
        <v>760</v>
      </c>
      <c r="C387" s="76" t="s">
        <v>761</v>
      </c>
      <c r="D387" s="77" t="s">
        <v>131</v>
      </c>
      <c r="E387" s="93">
        <v>34</v>
      </c>
      <c r="F387" s="93">
        <v>34</v>
      </c>
      <c r="G387" s="79"/>
      <c r="H387" s="79"/>
      <c r="I387" s="79"/>
      <c r="J387" s="79">
        <f>SUM(H387:I387)+'BM 011'!J387</f>
        <v>0</v>
      </c>
      <c r="K387" s="79">
        <f t="shared" si="187"/>
        <v>34</v>
      </c>
      <c r="L387" s="80">
        <v>18.5</v>
      </c>
      <c r="M387" s="81">
        <v>23.450602034999999</v>
      </c>
      <c r="N387" s="82">
        <f t="shared" si="188"/>
        <v>0</v>
      </c>
      <c r="O387" s="82">
        <f t="shared" si="189"/>
        <v>0</v>
      </c>
      <c r="P387" s="82">
        <f>O387+'BM 011'!P387</f>
        <v>0</v>
      </c>
      <c r="Q387" s="80">
        <f t="shared" si="190"/>
        <v>629</v>
      </c>
      <c r="R387" s="82">
        <f t="shared" si="191"/>
        <v>797.32</v>
      </c>
      <c r="S387" s="82">
        <f t="shared" si="192"/>
        <v>797.32</v>
      </c>
      <c r="T387" s="82">
        <f t="shared" si="193"/>
        <v>797.32</v>
      </c>
    </row>
    <row r="388" spans="2:20" s="34" customFormat="1" ht="23.4">
      <c r="B388" s="75" t="s">
        <v>762</v>
      </c>
      <c r="C388" s="76" t="s">
        <v>763</v>
      </c>
      <c r="D388" s="77" t="s">
        <v>131</v>
      </c>
      <c r="E388" s="93">
        <v>2</v>
      </c>
      <c r="F388" s="93">
        <v>2</v>
      </c>
      <c r="G388" s="79"/>
      <c r="H388" s="79"/>
      <c r="I388" s="79"/>
      <c r="J388" s="79">
        <f>SUM(H388:I388)+'BM 011'!J388</f>
        <v>0</v>
      </c>
      <c r="K388" s="79">
        <f t="shared" si="187"/>
        <v>2</v>
      </c>
      <c r="L388" s="80">
        <v>24.61</v>
      </c>
      <c r="M388" s="81">
        <v>31.195638707099999</v>
      </c>
      <c r="N388" s="82">
        <f t="shared" si="188"/>
        <v>0</v>
      </c>
      <c r="O388" s="82">
        <f t="shared" si="189"/>
        <v>0</v>
      </c>
      <c r="P388" s="82">
        <f>O388+'BM 011'!P388</f>
        <v>0</v>
      </c>
      <c r="Q388" s="80">
        <f t="shared" si="190"/>
        <v>49.22</v>
      </c>
      <c r="R388" s="82">
        <f t="shared" si="191"/>
        <v>62.39</v>
      </c>
      <c r="S388" s="82">
        <f t="shared" si="192"/>
        <v>62.39</v>
      </c>
      <c r="T388" s="82">
        <f t="shared" si="193"/>
        <v>62.39</v>
      </c>
    </row>
    <row r="389" spans="2:20" s="34" customFormat="1" ht="34.799999999999997">
      <c r="B389" s="75" t="s">
        <v>764</v>
      </c>
      <c r="C389" s="76" t="s">
        <v>765</v>
      </c>
      <c r="D389" s="77" t="s">
        <v>131</v>
      </c>
      <c r="E389" s="93">
        <v>9</v>
      </c>
      <c r="F389" s="93">
        <v>9</v>
      </c>
      <c r="G389" s="79"/>
      <c r="H389" s="79"/>
      <c r="I389" s="79"/>
      <c r="J389" s="79">
        <f>SUM(H389:I389)+'BM 011'!J389</f>
        <v>0</v>
      </c>
      <c r="K389" s="79">
        <f t="shared" si="187"/>
        <v>9</v>
      </c>
      <c r="L389" s="80">
        <v>26.08</v>
      </c>
      <c r="M389" s="81">
        <v>33.059010868800002</v>
      </c>
      <c r="N389" s="82">
        <f t="shared" si="188"/>
        <v>0</v>
      </c>
      <c r="O389" s="82">
        <f t="shared" si="189"/>
        <v>0</v>
      </c>
      <c r="P389" s="82">
        <f>O389+'BM 011'!P389</f>
        <v>0</v>
      </c>
      <c r="Q389" s="80">
        <f t="shared" si="190"/>
        <v>234.71999999999997</v>
      </c>
      <c r="R389" s="82">
        <f t="shared" si="191"/>
        <v>297.52999999999997</v>
      </c>
      <c r="S389" s="82">
        <f t="shared" si="192"/>
        <v>297.52999999999997</v>
      </c>
      <c r="T389" s="82">
        <f t="shared" si="193"/>
        <v>297.52999999999997</v>
      </c>
    </row>
    <row r="390" spans="2:20" s="34" customFormat="1" ht="23.4">
      <c r="B390" s="75" t="s">
        <v>766</v>
      </c>
      <c r="C390" s="88" t="s">
        <v>767</v>
      </c>
      <c r="D390" s="89" t="s">
        <v>131</v>
      </c>
      <c r="E390" s="90">
        <v>1</v>
      </c>
      <c r="F390" s="90">
        <v>1</v>
      </c>
      <c r="G390" s="91"/>
      <c r="H390" s="91"/>
      <c r="I390" s="91"/>
      <c r="J390" s="91">
        <f>SUM(H390:I390)+'BM 011'!J390</f>
        <v>0</v>
      </c>
      <c r="K390" s="91">
        <f t="shared" si="187"/>
        <v>1</v>
      </c>
      <c r="L390" s="80">
        <v>40</v>
      </c>
      <c r="M390" s="81">
        <v>50.704004400000002</v>
      </c>
      <c r="N390" s="82">
        <f t="shared" si="188"/>
        <v>0</v>
      </c>
      <c r="O390" s="82">
        <f t="shared" si="189"/>
        <v>0</v>
      </c>
      <c r="P390" s="82">
        <f>O390+'BM 011'!P390</f>
        <v>0</v>
      </c>
      <c r="Q390" s="80">
        <f t="shared" si="190"/>
        <v>40</v>
      </c>
      <c r="R390" s="82">
        <f t="shared" si="191"/>
        <v>50.7</v>
      </c>
      <c r="S390" s="82">
        <f t="shared" si="192"/>
        <v>50.7</v>
      </c>
      <c r="T390" s="82">
        <f t="shared" si="193"/>
        <v>50.7</v>
      </c>
    </row>
    <row r="391" spans="2:20" s="34" customFormat="1" ht="46.2">
      <c r="B391" s="75" t="s">
        <v>768</v>
      </c>
      <c r="C391" s="88" t="s">
        <v>769</v>
      </c>
      <c r="D391" s="89" t="s">
        <v>131</v>
      </c>
      <c r="E391" s="90">
        <v>29</v>
      </c>
      <c r="F391" s="90">
        <v>29</v>
      </c>
      <c r="G391" s="91"/>
      <c r="H391" s="91"/>
      <c r="I391" s="91"/>
      <c r="J391" s="91">
        <f>SUM(H391:I391)+'BM 011'!J391</f>
        <v>0</v>
      </c>
      <c r="K391" s="91">
        <f t="shared" si="187"/>
        <v>29</v>
      </c>
      <c r="L391" s="80">
        <v>17.22</v>
      </c>
      <c r="M391" s="81">
        <v>21.828073894199999</v>
      </c>
      <c r="N391" s="82">
        <f t="shared" si="188"/>
        <v>0</v>
      </c>
      <c r="O391" s="82">
        <f t="shared" si="189"/>
        <v>0</v>
      </c>
      <c r="P391" s="82">
        <f>O391+'BM 011'!P391</f>
        <v>0</v>
      </c>
      <c r="Q391" s="80">
        <f t="shared" si="190"/>
        <v>499.38</v>
      </c>
      <c r="R391" s="82">
        <f t="shared" si="191"/>
        <v>633.01</v>
      </c>
      <c r="S391" s="82">
        <f t="shared" si="192"/>
        <v>633.01</v>
      </c>
      <c r="T391" s="82">
        <f t="shared" si="193"/>
        <v>633.01</v>
      </c>
    </row>
    <row r="392" spans="2:20" s="34" customFormat="1" ht="23.4">
      <c r="B392" s="75" t="s">
        <v>770</v>
      </c>
      <c r="C392" s="76" t="s">
        <v>771</v>
      </c>
      <c r="D392" s="77" t="s">
        <v>131</v>
      </c>
      <c r="E392" s="93">
        <v>207</v>
      </c>
      <c r="F392" s="93">
        <v>207</v>
      </c>
      <c r="G392" s="79"/>
      <c r="H392" s="79"/>
      <c r="I392" s="79"/>
      <c r="J392" s="79">
        <f>SUM(H392:I392)+'BM 011'!J392</f>
        <v>0</v>
      </c>
      <c r="K392" s="79">
        <f t="shared" si="187"/>
        <v>207</v>
      </c>
      <c r="L392" s="80">
        <v>6.59</v>
      </c>
      <c r="M392" s="81">
        <v>8.3534847248999995</v>
      </c>
      <c r="N392" s="82">
        <f t="shared" si="188"/>
        <v>0</v>
      </c>
      <c r="O392" s="82">
        <f t="shared" si="189"/>
        <v>0</v>
      </c>
      <c r="P392" s="82">
        <f>O392+'BM 011'!P392</f>
        <v>0</v>
      </c>
      <c r="Q392" s="80">
        <f t="shared" si="190"/>
        <v>1364.1299999999999</v>
      </c>
      <c r="R392" s="82">
        <f t="shared" si="191"/>
        <v>1729.17</v>
      </c>
      <c r="S392" s="82">
        <f t="shared" si="192"/>
        <v>1729.17</v>
      </c>
      <c r="T392" s="82">
        <f t="shared" si="193"/>
        <v>1729.17</v>
      </c>
    </row>
    <row r="393" spans="2:20" s="34" customFormat="1" ht="23.4">
      <c r="B393" s="75" t="s">
        <v>772</v>
      </c>
      <c r="C393" s="76" t="s">
        <v>773</v>
      </c>
      <c r="D393" s="77" t="s">
        <v>131</v>
      </c>
      <c r="E393" s="93">
        <v>50</v>
      </c>
      <c r="F393" s="93">
        <v>50</v>
      </c>
      <c r="G393" s="79"/>
      <c r="H393" s="79"/>
      <c r="I393" s="79"/>
      <c r="J393" s="79">
        <f>SUM(H393:I393)+'BM 011'!J393</f>
        <v>0</v>
      </c>
      <c r="K393" s="79">
        <f t="shared" si="187"/>
        <v>50</v>
      </c>
      <c r="L393" s="80">
        <v>22.07</v>
      </c>
      <c r="M393" s="81">
        <v>27.9759344277</v>
      </c>
      <c r="N393" s="82">
        <f t="shared" si="188"/>
        <v>0</v>
      </c>
      <c r="O393" s="82">
        <f t="shared" si="189"/>
        <v>0</v>
      </c>
      <c r="P393" s="82">
        <f>O393+'BM 011'!P393</f>
        <v>0</v>
      </c>
      <c r="Q393" s="80">
        <f t="shared" si="190"/>
        <v>1103.5</v>
      </c>
      <c r="R393" s="82">
        <f t="shared" si="191"/>
        <v>1398.79</v>
      </c>
      <c r="S393" s="82">
        <f t="shared" si="192"/>
        <v>1398.79</v>
      </c>
      <c r="T393" s="82">
        <f t="shared" si="193"/>
        <v>1398.79</v>
      </c>
    </row>
    <row r="394" spans="2:20" s="34" customFormat="1" ht="23.4">
      <c r="B394" s="75" t="s">
        <v>774</v>
      </c>
      <c r="C394" s="76" t="s">
        <v>775</v>
      </c>
      <c r="D394" s="77" t="s">
        <v>131</v>
      </c>
      <c r="E394" s="93">
        <v>1</v>
      </c>
      <c r="F394" s="93">
        <v>1</v>
      </c>
      <c r="G394" s="79"/>
      <c r="H394" s="79"/>
      <c r="I394" s="79"/>
      <c r="J394" s="79">
        <f>SUM(H394:I394)+'BM 011'!J394</f>
        <v>0</v>
      </c>
      <c r="K394" s="79">
        <f t="shared" si="187"/>
        <v>1</v>
      </c>
      <c r="L394" s="80">
        <v>19.649999999999999</v>
      </c>
      <c r="M394" s="81">
        <v>24.908342161499998</v>
      </c>
      <c r="N394" s="82">
        <f t="shared" si="188"/>
        <v>0</v>
      </c>
      <c r="O394" s="82">
        <f t="shared" si="189"/>
        <v>0</v>
      </c>
      <c r="P394" s="82">
        <f>O394+'BM 011'!P394</f>
        <v>0</v>
      </c>
      <c r="Q394" s="80">
        <f t="shared" si="190"/>
        <v>19.649999999999999</v>
      </c>
      <c r="R394" s="82">
        <f t="shared" si="191"/>
        <v>24.9</v>
      </c>
      <c r="S394" s="82">
        <f t="shared" si="192"/>
        <v>24.9</v>
      </c>
      <c r="T394" s="82">
        <f t="shared" si="193"/>
        <v>24.9</v>
      </c>
    </row>
    <row r="395" spans="2:20" s="34" customFormat="1" ht="23.4">
      <c r="B395" s="75" t="s">
        <v>776</v>
      </c>
      <c r="C395" s="76" t="s">
        <v>777</v>
      </c>
      <c r="D395" s="77" t="s">
        <v>131</v>
      </c>
      <c r="E395" s="93">
        <v>19</v>
      </c>
      <c r="F395" s="93">
        <v>19</v>
      </c>
      <c r="G395" s="79"/>
      <c r="H395" s="79"/>
      <c r="I395" s="79"/>
      <c r="J395" s="79">
        <f>SUM(H395:I395)+'BM 011'!J395</f>
        <v>0</v>
      </c>
      <c r="K395" s="79">
        <f t="shared" si="187"/>
        <v>19</v>
      </c>
      <c r="L395" s="80">
        <v>41.43</v>
      </c>
      <c r="M395" s="81">
        <v>52.516672557299998</v>
      </c>
      <c r="N395" s="82">
        <f t="shared" si="188"/>
        <v>0</v>
      </c>
      <c r="O395" s="82">
        <f t="shared" si="189"/>
        <v>0</v>
      </c>
      <c r="P395" s="82">
        <f>O395+'BM 011'!P395</f>
        <v>0</v>
      </c>
      <c r="Q395" s="80">
        <f t="shared" si="190"/>
        <v>787.17</v>
      </c>
      <c r="R395" s="82">
        <f t="shared" si="191"/>
        <v>997.81</v>
      </c>
      <c r="S395" s="82">
        <f t="shared" si="192"/>
        <v>997.81</v>
      </c>
      <c r="T395" s="82">
        <f t="shared" si="193"/>
        <v>997.81</v>
      </c>
    </row>
    <row r="396" spans="2:20" s="34" customFormat="1" ht="46.2">
      <c r="B396" s="75" t="s">
        <v>778</v>
      </c>
      <c r="C396" s="76" t="s">
        <v>779</v>
      </c>
      <c r="D396" s="77" t="s">
        <v>131</v>
      </c>
      <c r="E396" s="93">
        <v>12</v>
      </c>
      <c r="F396" s="93">
        <v>12</v>
      </c>
      <c r="G396" s="79"/>
      <c r="H396" s="79"/>
      <c r="I396" s="79"/>
      <c r="J396" s="79">
        <f>SUM(H396:I396)+'BM 011'!J396</f>
        <v>0</v>
      </c>
      <c r="K396" s="79">
        <f t="shared" si="187"/>
        <v>12</v>
      </c>
      <c r="L396" s="80">
        <v>76.31</v>
      </c>
      <c r="M396" s="81">
        <v>96.7305643941</v>
      </c>
      <c r="N396" s="82">
        <f t="shared" si="188"/>
        <v>0</v>
      </c>
      <c r="O396" s="82">
        <f t="shared" si="189"/>
        <v>0</v>
      </c>
      <c r="P396" s="82">
        <f>O396+'BM 011'!P396</f>
        <v>0</v>
      </c>
      <c r="Q396" s="80">
        <f t="shared" si="190"/>
        <v>915.72</v>
      </c>
      <c r="R396" s="82">
        <f t="shared" si="191"/>
        <v>1160.76</v>
      </c>
      <c r="S396" s="82">
        <f t="shared" si="192"/>
        <v>1160.76</v>
      </c>
      <c r="T396" s="82">
        <f t="shared" si="193"/>
        <v>1160.76</v>
      </c>
    </row>
    <row r="397" spans="2:20" s="34" customFormat="1" ht="34.799999999999997">
      <c r="B397" s="75" t="s">
        <v>780</v>
      </c>
      <c r="C397" s="76" t="s">
        <v>781</v>
      </c>
      <c r="D397" s="77" t="s">
        <v>131</v>
      </c>
      <c r="E397" s="93">
        <v>3</v>
      </c>
      <c r="F397" s="93">
        <v>3</v>
      </c>
      <c r="G397" s="79"/>
      <c r="H397" s="79"/>
      <c r="I397" s="79"/>
      <c r="J397" s="79">
        <f>SUM(H397:I397)+'BM 011'!J397</f>
        <v>0</v>
      </c>
      <c r="K397" s="79">
        <f t="shared" si="187"/>
        <v>3</v>
      </c>
      <c r="L397" s="80">
        <v>72.55</v>
      </c>
      <c r="M397" s="81">
        <v>91.964387980500007</v>
      </c>
      <c r="N397" s="82">
        <f t="shared" si="188"/>
        <v>0</v>
      </c>
      <c r="O397" s="82">
        <f t="shared" si="189"/>
        <v>0</v>
      </c>
      <c r="P397" s="82">
        <f>O397+'BM 011'!P397</f>
        <v>0</v>
      </c>
      <c r="Q397" s="80">
        <f t="shared" si="190"/>
        <v>217.64999999999998</v>
      </c>
      <c r="R397" s="82">
        <f t="shared" si="191"/>
        <v>275.89</v>
      </c>
      <c r="S397" s="82">
        <f t="shared" si="192"/>
        <v>275.89</v>
      </c>
      <c r="T397" s="82">
        <f t="shared" si="193"/>
        <v>275.89</v>
      </c>
    </row>
    <row r="398" spans="2:20" s="34" customFormat="1" ht="24">
      <c r="B398" s="66" t="s">
        <v>782</v>
      </c>
      <c r="C398" s="67" t="s">
        <v>783</v>
      </c>
      <c r="D398" s="68"/>
      <c r="E398" s="69"/>
      <c r="F398" s="69"/>
      <c r="G398" s="70"/>
      <c r="H398" s="70"/>
      <c r="I398" s="70"/>
      <c r="J398" s="70">
        <f>SUM(H398:I398)+'BM 011'!J398</f>
        <v>0</v>
      </c>
      <c r="K398" s="70">
        <f t="shared" si="187"/>
        <v>0</v>
      </c>
      <c r="L398" s="71"/>
      <c r="M398" s="71">
        <v>0</v>
      </c>
      <c r="N398" s="73">
        <f t="shared" ref="N398:T398" si="194">SUM(N399:N409)</f>
        <v>12906.69</v>
      </c>
      <c r="O398" s="73">
        <f t="shared" si="194"/>
        <v>12906.69</v>
      </c>
      <c r="P398" s="73">
        <f t="shared" si="194"/>
        <v>55742.29</v>
      </c>
      <c r="Q398" s="73">
        <f t="shared" si="194"/>
        <v>131062.87509999999</v>
      </c>
      <c r="R398" s="73">
        <f t="shared" si="194"/>
        <v>166135.25</v>
      </c>
      <c r="S398" s="73">
        <f t="shared" si="194"/>
        <v>206156.78</v>
      </c>
      <c r="T398" s="73">
        <f t="shared" si="194"/>
        <v>150414.49</v>
      </c>
    </row>
    <row r="399" spans="2:20" s="34" customFormat="1" ht="34.799999999999997">
      <c r="B399" s="75" t="s">
        <v>784</v>
      </c>
      <c r="C399" s="76" t="s">
        <v>785</v>
      </c>
      <c r="D399" s="77" t="s">
        <v>82</v>
      </c>
      <c r="E399" s="108">
        <v>867.48</v>
      </c>
      <c r="F399" s="297">
        <v>867.48</v>
      </c>
      <c r="G399" s="109"/>
      <c r="H399" s="109"/>
      <c r="I399" s="109"/>
      <c r="J399" s="109">
        <f>SUM(H399:I399)+'BM 011'!J399</f>
        <v>0</v>
      </c>
      <c r="K399" s="109">
        <f t="shared" si="187"/>
        <v>867.48</v>
      </c>
      <c r="L399" s="80">
        <v>24.65</v>
      </c>
      <c r="M399" s="81">
        <v>31.246342711499999</v>
      </c>
      <c r="N399" s="82">
        <f t="shared" ref="N399:N409" si="195">TRUNC(G399*M399,2)</f>
        <v>0</v>
      </c>
      <c r="O399" s="82">
        <f t="shared" ref="O399:O409" si="196">TRUNC(H399*M399,2)</f>
        <v>0</v>
      </c>
      <c r="P399" s="82">
        <f>O399+'BM 011'!P399</f>
        <v>0</v>
      </c>
      <c r="Q399" s="80">
        <f t="shared" ref="Q399:Q409" si="197">E399*L399</f>
        <v>21383.381999999998</v>
      </c>
      <c r="R399" s="82">
        <f t="shared" ref="R399:R409" si="198">TRUNC(E399*M399,2)</f>
        <v>27105.57</v>
      </c>
      <c r="S399" s="82">
        <f t="shared" ref="S399:S409" si="199">TRUNC(F399*$M399,2)</f>
        <v>27105.57</v>
      </c>
      <c r="T399" s="82">
        <f t="shared" ref="T399:T409" si="200">S399-P399</f>
        <v>27105.57</v>
      </c>
    </row>
    <row r="400" spans="2:20" s="34" customFormat="1" ht="23.4">
      <c r="B400" s="75" t="s">
        <v>786</v>
      </c>
      <c r="C400" s="76" t="s">
        <v>653</v>
      </c>
      <c r="D400" s="77" t="s">
        <v>82</v>
      </c>
      <c r="E400" s="110">
        <v>18.04</v>
      </c>
      <c r="F400" s="90">
        <v>18.04</v>
      </c>
      <c r="G400" s="111"/>
      <c r="H400" s="111"/>
      <c r="I400" s="111"/>
      <c r="J400" s="111">
        <f>SUM(H400:I400)+'BM 011'!J400</f>
        <v>0</v>
      </c>
      <c r="K400" s="111">
        <f t="shared" si="187"/>
        <v>18.04</v>
      </c>
      <c r="L400" s="80">
        <v>6.5</v>
      </c>
      <c r="M400" s="81">
        <v>8.2394007150000004</v>
      </c>
      <c r="N400" s="82">
        <f t="shared" si="195"/>
        <v>0</v>
      </c>
      <c r="O400" s="82">
        <f t="shared" si="196"/>
        <v>0</v>
      </c>
      <c r="P400" s="82">
        <f>O400+'BM 011'!P400</f>
        <v>0</v>
      </c>
      <c r="Q400" s="80">
        <f t="shared" si="197"/>
        <v>117.25999999999999</v>
      </c>
      <c r="R400" s="82">
        <f t="shared" si="198"/>
        <v>148.63</v>
      </c>
      <c r="S400" s="82">
        <f t="shared" si="199"/>
        <v>148.63</v>
      </c>
      <c r="T400" s="82">
        <f t="shared" si="200"/>
        <v>148.63</v>
      </c>
    </row>
    <row r="401" spans="2:20" s="34" customFormat="1" ht="23.4">
      <c r="B401" s="75" t="s">
        <v>787</v>
      </c>
      <c r="C401" s="76" t="s">
        <v>655</v>
      </c>
      <c r="D401" s="77" t="s">
        <v>82</v>
      </c>
      <c r="E401" s="110">
        <v>739.18</v>
      </c>
      <c r="F401" s="90">
        <v>739.18</v>
      </c>
      <c r="G401" s="111"/>
      <c r="H401" s="111"/>
      <c r="I401" s="111"/>
      <c r="J401" s="111">
        <f>SUM(H401:I401)+'BM 011'!J401</f>
        <v>0</v>
      </c>
      <c r="K401" s="111">
        <f t="shared" si="187"/>
        <v>739.18</v>
      </c>
      <c r="L401" s="80">
        <v>8</v>
      </c>
      <c r="M401" s="81">
        <v>10.14080088</v>
      </c>
      <c r="N401" s="82">
        <f t="shared" si="195"/>
        <v>0</v>
      </c>
      <c r="O401" s="82">
        <f t="shared" si="196"/>
        <v>0</v>
      </c>
      <c r="P401" s="82">
        <f>O401+'BM 011'!P401</f>
        <v>0</v>
      </c>
      <c r="Q401" s="80">
        <f t="shared" si="197"/>
        <v>5913.44</v>
      </c>
      <c r="R401" s="82">
        <f t="shared" si="198"/>
        <v>7495.87</v>
      </c>
      <c r="S401" s="82">
        <f t="shared" si="199"/>
        <v>7495.87</v>
      </c>
      <c r="T401" s="82">
        <f t="shared" si="200"/>
        <v>7495.87</v>
      </c>
    </row>
    <row r="402" spans="2:20" s="34" customFormat="1" ht="23.4">
      <c r="B402" s="75" t="s">
        <v>788</v>
      </c>
      <c r="C402" s="76" t="s">
        <v>659</v>
      </c>
      <c r="D402" s="77" t="s">
        <v>82</v>
      </c>
      <c r="E402" s="112">
        <v>19.510000000000002</v>
      </c>
      <c r="F402" s="93">
        <v>19.510000000000002</v>
      </c>
      <c r="G402" s="113"/>
      <c r="H402" s="113"/>
      <c r="I402" s="113"/>
      <c r="J402" s="113">
        <f>SUM(H402:I402)+'BM 011'!J402</f>
        <v>0</v>
      </c>
      <c r="K402" s="113">
        <f t="shared" si="187"/>
        <v>19.510000000000002</v>
      </c>
      <c r="L402" s="80">
        <v>23.5</v>
      </c>
      <c r="M402" s="81">
        <v>29.788602585</v>
      </c>
      <c r="N402" s="82">
        <f t="shared" si="195"/>
        <v>0</v>
      </c>
      <c r="O402" s="82">
        <f t="shared" si="196"/>
        <v>0</v>
      </c>
      <c r="P402" s="82">
        <f>O402+'BM 011'!P402</f>
        <v>0</v>
      </c>
      <c r="Q402" s="80">
        <f t="shared" si="197"/>
        <v>458.48500000000001</v>
      </c>
      <c r="R402" s="82">
        <f t="shared" si="198"/>
        <v>581.16999999999996</v>
      </c>
      <c r="S402" s="82">
        <f t="shared" si="199"/>
        <v>581.16999999999996</v>
      </c>
      <c r="T402" s="82">
        <f t="shared" si="200"/>
        <v>581.16999999999996</v>
      </c>
    </row>
    <row r="403" spans="2:20" s="34" customFormat="1" ht="34.799999999999997">
      <c r="B403" s="75" t="s">
        <v>789</v>
      </c>
      <c r="C403" s="76" t="s">
        <v>790</v>
      </c>
      <c r="D403" s="77" t="s">
        <v>82</v>
      </c>
      <c r="E403" s="108">
        <v>609.66</v>
      </c>
      <c r="F403" s="297">
        <v>609.66</v>
      </c>
      <c r="G403" s="109"/>
      <c r="H403" s="109"/>
      <c r="I403" s="109"/>
      <c r="J403" s="109">
        <f>SUM(H403:I403)+'BM 011'!J403</f>
        <v>0</v>
      </c>
      <c r="K403" s="109">
        <f t="shared" si="187"/>
        <v>609.66</v>
      </c>
      <c r="L403" s="80">
        <v>27.5</v>
      </c>
      <c r="M403" s="81">
        <v>34.859003025</v>
      </c>
      <c r="N403" s="82">
        <f t="shared" si="195"/>
        <v>0</v>
      </c>
      <c r="O403" s="82">
        <f t="shared" si="196"/>
        <v>0</v>
      </c>
      <c r="P403" s="82">
        <f>O403+'BM 011'!P403</f>
        <v>0</v>
      </c>
      <c r="Q403" s="80">
        <f t="shared" si="197"/>
        <v>16765.649999999998</v>
      </c>
      <c r="R403" s="82">
        <f t="shared" si="198"/>
        <v>21252.13</v>
      </c>
      <c r="S403" s="82">
        <f t="shared" si="199"/>
        <v>21252.13</v>
      </c>
      <c r="T403" s="82">
        <f t="shared" si="200"/>
        <v>21252.13</v>
      </c>
    </row>
    <row r="404" spans="2:20" s="34" customFormat="1" ht="34.799999999999997">
      <c r="B404" s="75" t="s">
        <v>791</v>
      </c>
      <c r="C404" s="76" t="s">
        <v>792</v>
      </c>
      <c r="D404" s="77" t="s">
        <v>82</v>
      </c>
      <c r="E404" s="114">
        <v>307.39999999999998</v>
      </c>
      <c r="F404" s="297">
        <v>307.39999999999998</v>
      </c>
      <c r="G404" s="82">
        <f>6*8</f>
        <v>48</v>
      </c>
      <c r="H404" s="82">
        <f>G404</f>
        <v>48</v>
      </c>
      <c r="I404" s="82"/>
      <c r="J404" s="82">
        <f>SUM(H404:I404)+'BM 011'!J404</f>
        <v>78</v>
      </c>
      <c r="K404" s="82">
        <f t="shared" si="187"/>
        <v>229.39999999999998</v>
      </c>
      <c r="L404" s="80">
        <v>74</v>
      </c>
      <c r="M404" s="81">
        <v>93.802408139999997</v>
      </c>
      <c r="N404" s="82">
        <f t="shared" si="195"/>
        <v>4502.51</v>
      </c>
      <c r="O404" s="82">
        <f t="shared" si="196"/>
        <v>4502.51</v>
      </c>
      <c r="P404" s="82">
        <f>O404+'BM 011'!P404</f>
        <v>7316.58</v>
      </c>
      <c r="Q404" s="80">
        <f t="shared" si="197"/>
        <v>22747.599999999999</v>
      </c>
      <c r="R404" s="82">
        <f t="shared" si="198"/>
        <v>28834.86</v>
      </c>
      <c r="S404" s="82">
        <f t="shared" si="199"/>
        <v>28834.86</v>
      </c>
      <c r="T404" s="82">
        <f t="shared" si="200"/>
        <v>21518.28</v>
      </c>
    </row>
    <row r="405" spans="2:20" s="34" customFormat="1" ht="34.799999999999997">
      <c r="B405" s="75" t="s">
        <v>793</v>
      </c>
      <c r="C405" s="76" t="s">
        <v>794</v>
      </c>
      <c r="D405" s="77" t="s">
        <v>82</v>
      </c>
      <c r="E405" s="114">
        <v>340.33</v>
      </c>
      <c r="F405" s="297">
        <v>340.33</v>
      </c>
      <c r="G405" s="82"/>
      <c r="H405" s="82"/>
      <c r="I405" s="82"/>
      <c r="J405" s="82">
        <f>SUM(H405:I405)+'BM 011'!J405</f>
        <v>0</v>
      </c>
      <c r="K405" s="82">
        <f t="shared" si="187"/>
        <v>340.33</v>
      </c>
      <c r="L405" s="80">
        <v>34.57</v>
      </c>
      <c r="M405" s="81">
        <v>43.820935802699999</v>
      </c>
      <c r="N405" s="82">
        <f t="shared" si="195"/>
        <v>0</v>
      </c>
      <c r="O405" s="82">
        <f t="shared" si="196"/>
        <v>0</v>
      </c>
      <c r="P405" s="82">
        <f>O405+'BM 011'!P405</f>
        <v>0</v>
      </c>
      <c r="Q405" s="80">
        <f t="shared" si="197"/>
        <v>11765.2081</v>
      </c>
      <c r="R405" s="82">
        <f t="shared" si="198"/>
        <v>14913.57</v>
      </c>
      <c r="S405" s="82">
        <f t="shared" si="199"/>
        <v>14913.57</v>
      </c>
      <c r="T405" s="82">
        <f t="shared" si="200"/>
        <v>14913.57</v>
      </c>
    </row>
    <row r="406" spans="2:20" s="34" customFormat="1" ht="23.4">
      <c r="B406" s="75" t="s">
        <v>795</v>
      </c>
      <c r="C406" s="76" t="s">
        <v>796</v>
      </c>
      <c r="D406" s="77" t="s">
        <v>82</v>
      </c>
      <c r="E406" s="114">
        <v>52.07</v>
      </c>
      <c r="F406" s="297">
        <v>52.07</v>
      </c>
      <c r="G406" s="82"/>
      <c r="H406" s="82"/>
      <c r="I406" s="82"/>
      <c r="J406" s="82">
        <f>SUM(H406:I406)+'BM 011'!J406</f>
        <v>0</v>
      </c>
      <c r="K406" s="82">
        <f t="shared" si="187"/>
        <v>52.07</v>
      </c>
      <c r="L406" s="80">
        <v>165</v>
      </c>
      <c r="M406" s="81">
        <v>209.15401815000001</v>
      </c>
      <c r="N406" s="82">
        <f t="shared" si="195"/>
        <v>0</v>
      </c>
      <c r="O406" s="82">
        <f t="shared" si="196"/>
        <v>0</v>
      </c>
      <c r="P406" s="82">
        <f>O406+'BM 011'!P406</f>
        <v>0</v>
      </c>
      <c r="Q406" s="80">
        <f t="shared" si="197"/>
        <v>8591.5499999999993</v>
      </c>
      <c r="R406" s="82">
        <f t="shared" si="198"/>
        <v>10890.64</v>
      </c>
      <c r="S406" s="82">
        <f t="shared" si="199"/>
        <v>10890.64</v>
      </c>
      <c r="T406" s="82">
        <f t="shared" si="200"/>
        <v>10890.64</v>
      </c>
    </row>
    <row r="407" spans="2:20" s="34" customFormat="1" ht="23.4">
      <c r="B407" s="75" t="s">
        <v>797</v>
      </c>
      <c r="C407" s="76" t="s">
        <v>796</v>
      </c>
      <c r="D407" s="77" t="s">
        <v>82</v>
      </c>
      <c r="E407" s="114">
        <v>3.02</v>
      </c>
      <c r="F407" s="297">
        <v>3.02</v>
      </c>
      <c r="G407" s="82"/>
      <c r="H407" s="82"/>
      <c r="I407" s="82"/>
      <c r="J407" s="82">
        <f>SUM(H407:I407)+'BM 011'!J407</f>
        <v>0</v>
      </c>
      <c r="K407" s="82">
        <f t="shared" si="187"/>
        <v>3.02</v>
      </c>
      <c r="L407" s="80">
        <v>165</v>
      </c>
      <c r="M407" s="81">
        <v>209.15401815000001</v>
      </c>
      <c r="N407" s="82">
        <f t="shared" si="195"/>
        <v>0</v>
      </c>
      <c r="O407" s="82">
        <f t="shared" si="196"/>
        <v>0</v>
      </c>
      <c r="P407" s="82">
        <f>O407+'BM 011'!P407</f>
        <v>0</v>
      </c>
      <c r="Q407" s="80">
        <f t="shared" si="197"/>
        <v>498.3</v>
      </c>
      <c r="R407" s="82">
        <f t="shared" si="198"/>
        <v>631.64</v>
      </c>
      <c r="S407" s="82">
        <f t="shared" si="199"/>
        <v>631.64</v>
      </c>
      <c r="T407" s="82">
        <f t="shared" si="200"/>
        <v>631.64</v>
      </c>
    </row>
    <row r="408" spans="2:20" s="34" customFormat="1" ht="23.4">
      <c r="B408" s="75" t="s">
        <v>798</v>
      </c>
      <c r="C408" s="76" t="s">
        <v>799</v>
      </c>
      <c r="D408" s="77" t="s">
        <v>82</v>
      </c>
      <c r="E408" s="114">
        <v>658.8</v>
      </c>
      <c r="F408" s="297">
        <v>658.8</v>
      </c>
      <c r="G408" s="82">
        <f>'M.C. MED. 12'!K1887</f>
        <v>102</v>
      </c>
      <c r="H408" s="82">
        <f>G408</f>
        <v>102</v>
      </c>
      <c r="I408" s="82"/>
      <c r="J408" s="82">
        <f>SUM(H408:I408)+'BM 011'!J408</f>
        <v>102</v>
      </c>
      <c r="K408" s="82">
        <f t="shared" si="187"/>
        <v>556.79999999999995</v>
      </c>
      <c r="L408" s="80">
        <v>65</v>
      </c>
      <c r="M408" s="81">
        <v>82.394007149999993</v>
      </c>
      <c r="N408" s="82">
        <f t="shared" si="195"/>
        <v>8404.18</v>
      </c>
      <c r="O408" s="82">
        <f t="shared" si="196"/>
        <v>8404.18</v>
      </c>
      <c r="P408" s="82">
        <f>O408+'BM 011'!P408</f>
        <v>8404.18</v>
      </c>
      <c r="Q408" s="80">
        <f t="shared" si="197"/>
        <v>42822</v>
      </c>
      <c r="R408" s="82">
        <f t="shared" si="198"/>
        <v>54281.17</v>
      </c>
      <c r="S408" s="82">
        <f t="shared" si="199"/>
        <v>54281.17</v>
      </c>
      <c r="T408" s="82">
        <f t="shared" si="200"/>
        <v>45876.99</v>
      </c>
    </row>
    <row r="409" spans="2:20" s="34" customFormat="1" ht="46.2">
      <c r="B409" s="298" t="s">
        <v>1747</v>
      </c>
      <c r="C409" s="299" t="s">
        <v>1748</v>
      </c>
      <c r="D409" s="300" t="s">
        <v>82</v>
      </c>
      <c r="E409" s="301"/>
      <c r="F409" s="302">
        <v>69.73</v>
      </c>
      <c r="G409" s="293"/>
      <c r="H409" s="293"/>
      <c r="I409" s="293"/>
      <c r="J409" s="293">
        <f>SUM(H409:I409)+'BM 011'!J409</f>
        <v>69.73</v>
      </c>
      <c r="K409" s="293">
        <f t="shared" si="187"/>
        <v>0</v>
      </c>
      <c r="L409" s="295"/>
      <c r="M409" s="292">
        <v>573.95000000000005</v>
      </c>
      <c r="N409" s="293">
        <f t="shared" si="195"/>
        <v>0</v>
      </c>
      <c r="O409" s="293">
        <f t="shared" si="196"/>
        <v>0</v>
      </c>
      <c r="P409" s="82">
        <f>O409+'BM 011'!P409</f>
        <v>40021.53</v>
      </c>
      <c r="Q409" s="295">
        <f t="shared" si="197"/>
        <v>0</v>
      </c>
      <c r="R409" s="293">
        <f t="shared" si="198"/>
        <v>0</v>
      </c>
      <c r="S409" s="293">
        <f t="shared" si="199"/>
        <v>40021.53</v>
      </c>
      <c r="T409" s="293">
        <f t="shared" si="200"/>
        <v>0</v>
      </c>
    </row>
    <row r="410" spans="2:20" s="34" customFormat="1" ht="36">
      <c r="B410" s="66" t="s">
        <v>800</v>
      </c>
      <c r="C410" s="115" t="s">
        <v>801</v>
      </c>
      <c r="D410" s="116"/>
      <c r="E410" s="117"/>
      <c r="F410" s="117"/>
      <c r="G410" s="118"/>
      <c r="H410" s="118"/>
      <c r="I410" s="118"/>
      <c r="J410" s="118">
        <f>SUM(H410:I410)+'BM 011'!J410</f>
        <v>0</v>
      </c>
      <c r="K410" s="118">
        <f t="shared" si="187"/>
        <v>0</v>
      </c>
      <c r="L410" s="119"/>
      <c r="M410" s="119">
        <v>0</v>
      </c>
      <c r="N410" s="73">
        <f t="shared" ref="N410:T410" si="201">SUM(N411:N480)</f>
        <v>0</v>
      </c>
      <c r="O410" s="73">
        <f t="shared" si="201"/>
        <v>0</v>
      </c>
      <c r="P410" s="73">
        <f t="shared" si="201"/>
        <v>0</v>
      </c>
      <c r="Q410" s="73">
        <f t="shared" si="201"/>
        <v>84729.980000000025</v>
      </c>
      <c r="R410" s="73">
        <f t="shared" si="201"/>
        <v>107403.37000000007</v>
      </c>
      <c r="S410" s="73">
        <f t="shared" si="201"/>
        <v>131940.97000000006</v>
      </c>
      <c r="T410" s="73">
        <f t="shared" si="201"/>
        <v>131940.97000000006</v>
      </c>
    </row>
    <row r="411" spans="2:20" s="34" customFormat="1" ht="46.2">
      <c r="B411" s="75" t="s">
        <v>802</v>
      </c>
      <c r="C411" s="76" t="s">
        <v>803</v>
      </c>
      <c r="D411" s="77" t="s">
        <v>131</v>
      </c>
      <c r="E411" s="93">
        <v>209</v>
      </c>
      <c r="F411" s="93">
        <v>209</v>
      </c>
      <c r="G411" s="79"/>
      <c r="H411" s="79"/>
      <c r="I411" s="79"/>
      <c r="J411" s="79">
        <f>SUM(H411:I411)+'BM 011'!J411</f>
        <v>0</v>
      </c>
      <c r="K411" s="79">
        <f t="shared" si="187"/>
        <v>209</v>
      </c>
      <c r="L411" s="80">
        <v>15.61</v>
      </c>
      <c r="M411" s="81">
        <v>19.787237717099998</v>
      </c>
      <c r="N411" s="82">
        <f t="shared" ref="N411:N442" si="202">TRUNC(G411*M411,2)</f>
        <v>0</v>
      </c>
      <c r="O411" s="82">
        <f t="shared" ref="O411:O442" si="203">TRUNC(H411*M411,2)</f>
        <v>0</v>
      </c>
      <c r="P411" s="82">
        <f>O411+'BM 011'!P411</f>
        <v>0</v>
      </c>
      <c r="Q411" s="80">
        <f t="shared" ref="Q411:Q442" si="204">E411*L411</f>
        <v>3262.49</v>
      </c>
      <c r="R411" s="82">
        <f t="shared" ref="R411:R442" si="205">TRUNC(E411*M411,2)</f>
        <v>4135.53</v>
      </c>
      <c r="S411" s="82">
        <f t="shared" ref="S411:S442" si="206">TRUNC(F411*$M411,2)</f>
        <v>4135.53</v>
      </c>
      <c r="T411" s="82">
        <f t="shared" ref="T411:T442" si="207">S411-P411</f>
        <v>4135.53</v>
      </c>
    </row>
    <row r="412" spans="2:20" s="34" customFormat="1" ht="46.2">
      <c r="B412" s="75" t="s">
        <v>804</v>
      </c>
      <c r="C412" s="76" t="s">
        <v>805</v>
      </c>
      <c r="D412" s="77" t="s">
        <v>131</v>
      </c>
      <c r="E412" s="93">
        <v>127</v>
      </c>
      <c r="F412" s="93">
        <v>127</v>
      </c>
      <c r="G412" s="79"/>
      <c r="H412" s="79"/>
      <c r="I412" s="79"/>
      <c r="J412" s="79">
        <f>SUM(H412:I412)+'BM 011'!J412</f>
        <v>0</v>
      </c>
      <c r="K412" s="79">
        <f t="shared" si="187"/>
        <v>127</v>
      </c>
      <c r="L412" s="80">
        <v>13.73</v>
      </c>
      <c r="M412" s="81">
        <v>17.404149510300002</v>
      </c>
      <c r="N412" s="82">
        <f t="shared" si="202"/>
        <v>0</v>
      </c>
      <c r="O412" s="82">
        <f t="shared" si="203"/>
        <v>0</v>
      </c>
      <c r="P412" s="82">
        <f>O412+'BM 011'!P412</f>
        <v>0</v>
      </c>
      <c r="Q412" s="80">
        <f t="shared" si="204"/>
        <v>1743.71</v>
      </c>
      <c r="R412" s="82">
        <f t="shared" si="205"/>
        <v>2210.3200000000002</v>
      </c>
      <c r="S412" s="82">
        <f t="shared" si="206"/>
        <v>2210.3200000000002</v>
      </c>
      <c r="T412" s="82">
        <f t="shared" si="207"/>
        <v>2210.3200000000002</v>
      </c>
    </row>
    <row r="413" spans="2:20" s="34" customFormat="1" ht="34.799999999999997">
      <c r="B413" s="75" t="s">
        <v>806</v>
      </c>
      <c r="C413" s="76" t="s">
        <v>807</v>
      </c>
      <c r="D413" s="77" t="s">
        <v>131</v>
      </c>
      <c r="E413" s="93">
        <v>286</v>
      </c>
      <c r="F413" s="93">
        <v>286</v>
      </c>
      <c r="G413" s="79"/>
      <c r="H413" s="79"/>
      <c r="I413" s="79"/>
      <c r="J413" s="79">
        <f>SUM(H413:I413)+'BM 011'!J413</f>
        <v>0</v>
      </c>
      <c r="K413" s="79">
        <f t="shared" si="187"/>
        <v>286</v>
      </c>
      <c r="L413" s="80">
        <v>46.17</v>
      </c>
      <c r="M413" s="81">
        <v>58.5250970787</v>
      </c>
      <c r="N413" s="82">
        <f t="shared" si="202"/>
        <v>0</v>
      </c>
      <c r="O413" s="82">
        <f t="shared" si="203"/>
        <v>0</v>
      </c>
      <c r="P413" s="82">
        <f>O413+'BM 011'!P413</f>
        <v>0</v>
      </c>
      <c r="Q413" s="80">
        <f t="shared" si="204"/>
        <v>13204.62</v>
      </c>
      <c r="R413" s="82">
        <f t="shared" si="205"/>
        <v>16738.169999999998</v>
      </c>
      <c r="S413" s="82">
        <f t="shared" si="206"/>
        <v>16738.169999999998</v>
      </c>
      <c r="T413" s="82">
        <f t="shared" si="207"/>
        <v>16738.169999999998</v>
      </c>
    </row>
    <row r="414" spans="2:20" s="34" customFormat="1" ht="34.799999999999997">
      <c r="B414" s="75" t="s">
        <v>808</v>
      </c>
      <c r="C414" s="76" t="s">
        <v>809</v>
      </c>
      <c r="D414" s="77" t="s">
        <v>131</v>
      </c>
      <c r="E414" s="93">
        <v>2</v>
      </c>
      <c r="F414" s="93">
        <v>2</v>
      </c>
      <c r="G414" s="79"/>
      <c r="H414" s="79"/>
      <c r="I414" s="79"/>
      <c r="J414" s="79">
        <f>SUM(H414:I414)+'BM 011'!J414</f>
        <v>0</v>
      </c>
      <c r="K414" s="79">
        <f t="shared" ref="K414:K477" si="208">F414-J414</f>
        <v>2</v>
      </c>
      <c r="L414" s="80">
        <v>95</v>
      </c>
      <c r="M414" s="81">
        <v>120.42201045</v>
      </c>
      <c r="N414" s="82">
        <f t="shared" si="202"/>
        <v>0</v>
      </c>
      <c r="O414" s="82">
        <f t="shared" si="203"/>
        <v>0</v>
      </c>
      <c r="P414" s="82">
        <f>O414+'BM 011'!P414</f>
        <v>0</v>
      </c>
      <c r="Q414" s="80">
        <f t="shared" si="204"/>
        <v>190</v>
      </c>
      <c r="R414" s="82">
        <f t="shared" si="205"/>
        <v>240.84</v>
      </c>
      <c r="S414" s="82">
        <f t="shared" si="206"/>
        <v>240.84</v>
      </c>
      <c r="T414" s="82">
        <f t="shared" si="207"/>
        <v>240.84</v>
      </c>
    </row>
    <row r="415" spans="2:20" s="34" customFormat="1" ht="34.799999999999997">
      <c r="B415" s="75" t="s">
        <v>810</v>
      </c>
      <c r="C415" s="76" t="s">
        <v>811</v>
      </c>
      <c r="D415" s="77" t="s">
        <v>131</v>
      </c>
      <c r="E415" s="93">
        <v>4</v>
      </c>
      <c r="F415" s="93">
        <v>4</v>
      </c>
      <c r="G415" s="79"/>
      <c r="H415" s="79"/>
      <c r="I415" s="79"/>
      <c r="J415" s="79">
        <f>SUM(H415:I415)+'BM 011'!J415</f>
        <v>0</v>
      </c>
      <c r="K415" s="79">
        <f t="shared" si="208"/>
        <v>4</v>
      </c>
      <c r="L415" s="80">
        <v>240</v>
      </c>
      <c r="M415" s="81">
        <v>304.22402640000001</v>
      </c>
      <c r="N415" s="82">
        <f t="shared" si="202"/>
        <v>0</v>
      </c>
      <c r="O415" s="82">
        <f t="shared" si="203"/>
        <v>0</v>
      </c>
      <c r="P415" s="82">
        <f>O415+'BM 011'!P415</f>
        <v>0</v>
      </c>
      <c r="Q415" s="80">
        <f t="shared" si="204"/>
        <v>960</v>
      </c>
      <c r="R415" s="82">
        <f t="shared" si="205"/>
        <v>1216.8900000000001</v>
      </c>
      <c r="S415" s="82">
        <f t="shared" si="206"/>
        <v>1216.8900000000001</v>
      </c>
      <c r="T415" s="82">
        <f t="shared" si="207"/>
        <v>1216.8900000000001</v>
      </c>
    </row>
    <row r="416" spans="2:20" s="34" customFormat="1" ht="46.2">
      <c r="B416" s="75" t="s">
        <v>812</v>
      </c>
      <c r="C416" s="76" t="s">
        <v>813</v>
      </c>
      <c r="D416" s="77" t="s">
        <v>131</v>
      </c>
      <c r="E416" s="93">
        <v>412</v>
      </c>
      <c r="F416" s="93">
        <v>412</v>
      </c>
      <c r="G416" s="79"/>
      <c r="H416" s="79"/>
      <c r="I416" s="79"/>
      <c r="J416" s="79">
        <f>SUM(H416:I416)+'BM 011'!J416</f>
        <v>0</v>
      </c>
      <c r="K416" s="79">
        <f t="shared" si="208"/>
        <v>412</v>
      </c>
      <c r="L416" s="80">
        <v>8.31</v>
      </c>
      <c r="M416" s="81">
        <v>10.5337569141</v>
      </c>
      <c r="N416" s="82">
        <f t="shared" si="202"/>
        <v>0</v>
      </c>
      <c r="O416" s="82">
        <f t="shared" si="203"/>
        <v>0</v>
      </c>
      <c r="P416" s="82">
        <f>O416+'BM 011'!P416</f>
        <v>0</v>
      </c>
      <c r="Q416" s="80">
        <f t="shared" si="204"/>
        <v>3423.7200000000003</v>
      </c>
      <c r="R416" s="82">
        <f t="shared" si="205"/>
        <v>4339.8999999999996</v>
      </c>
      <c r="S416" s="82">
        <f t="shared" si="206"/>
        <v>4339.8999999999996</v>
      </c>
      <c r="T416" s="82">
        <f t="shared" si="207"/>
        <v>4339.8999999999996</v>
      </c>
    </row>
    <row r="417" spans="2:20" s="34" customFormat="1" ht="34.799999999999997">
      <c r="B417" s="75" t="s">
        <v>814</v>
      </c>
      <c r="C417" s="76" t="s">
        <v>815</v>
      </c>
      <c r="D417" s="77" t="s">
        <v>131</v>
      </c>
      <c r="E417" s="93">
        <v>2</v>
      </c>
      <c r="F417" s="93">
        <v>2</v>
      </c>
      <c r="G417" s="79"/>
      <c r="H417" s="79"/>
      <c r="I417" s="79"/>
      <c r="J417" s="79">
        <f>SUM(H417:I417)+'BM 011'!J417</f>
        <v>0</v>
      </c>
      <c r="K417" s="79">
        <f t="shared" si="208"/>
        <v>2</v>
      </c>
      <c r="L417" s="80">
        <v>29</v>
      </c>
      <c r="M417" s="81">
        <v>36.760403189999998</v>
      </c>
      <c r="N417" s="82">
        <f t="shared" si="202"/>
        <v>0</v>
      </c>
      <c r="O417" s="82">
        <f t="shared" si="203"/>
        <v>0</v>
      </c>
      <c r="P417" s="82">
        <f>O417+'BM 011'!P417</f>
        <v>0</v>
      </c>
      <c r="Q417" s="80">
        <f t="shared" si="204"/>
        <v>58</v>
      </c>
      <c r="R417" s="82">
        <f t="shared" si="205"/>
        <v>73.52</v>
      </c>
      <c r="S417" s="82">
        <f t="shared" si="206"/>
        <v>73.52</v>
      </c>
      <c r="T417" s="82">
        <f t="shared" si="207"/>
        <v>73.52</v>
      </c>
    </row>
    <row r="418" spans="2:20" s="34" customFormat="1" ht="46.2">
      <c r="B418" s="75" t="s">
        <v>816</v>
      </c>
      <c r="C418" s="76" t="s">
        <v>817</v>
      </c>
      <c r="D418" s="77" t="s">
        <v>131</v>
      </c>
      <c r="E418" s="93">
        <v>115</v>
      </c>
      <c r="F418" s="93">
        <v>115</v>
      </c>
      <c r="G418" s="79"/>
      <c r="H418" s="79"/>
      <c r="I418" s="79"/>
      <c r="J418" s="79">
        <f>SUM(H418:I418)+'BM 011'!J418</f>
        <v>0</v>
      </c>
      <c r="K418" s="79">
        <f t="shared" si="208"/>
        <v>115</v>
      </c>
      <c r="L418" s="80">
        <v>9.2899999999999991</v>
      </c>
      <c r="M418" s="81">
        <v>11.7760050219</v>
      </c>
      <c r="N418" s="82">
        <f t="shared" si="202"/>
        <v>0</v>
      </c>
      <c r="O418" s="82">
        <f t="shared" si="203"/>
        <v>0</v>
      </c>
      <c r="P418" s="82">
        <f>O418+'BM 011'!P418</f>
        <v>0</v>
      </c>
      <c r="Q418" s="80">
        <f t="shared" si="204"/>
        <v>1068.3499999999999</v>
      </c>
      <c r="R418" s="82">
        <f t="shared" si="205"/>
        <v>1354.24</v>
      </c>
      <c r="S418" s="82">
        <f t="shared" si="206"/>
        <v>1354.24</v>
      </c>
      <c r="T418" s="82">
        <f t="shared" si="207"/>
        <v>1354.24</v>
      </c>
    </row>
    <row r="419" spans="2:20" s="34" customFormat="1" ht="46.2">
      <c r="B419" s="75" t="s">
        <v>818</v>
      </c>
      <c r="C419" s="76" t="s">
        <v>819</v>
      </c>
      <c r="D419" s="77" t="s">
        <v>131</v>
      </c>
      <c r="E419" s="93">
        <v>158</v>
      </c>
      <c r="F419" s="93">
        <v>158</v>
      </c>
      <c r="G419" s="79"/>
      <c r="H419" s="79"/>
      <c r="I419" s="79"/>
      <c r="J419" s="79">
        <f>SUM(H419:I419)+'BM 011'!J419</f>
        <v>0</v>
      </c>
      <c r="K419" s="79">
        <f t="shared" si="208"/>
        <v>158</v>
      </c>
      <c r="L419" s="80">
        <v>14.75</v>
      </c>
      <c r="M419" s="81">
        <v>18.6971016225</v>
      </c>
      <c r="N419" s="82">
        <f t="shared" si="202"/>
        <v>0</v>
      </c>
      <c r="O419" s="82">
        <f t="shared" si="203"/>
        <v>0</v>
      </c>
      <c r="P419" s="82">
        <f>O419+'BM 011'!P419</f>
        <v>0</v>
      </c>
      <c r="Q419" s="80">
        <f t="shared" si="204"/>
        <v>2330.5</v>
      </c>
      <c r="R419" s="82">
        <f t="shared" si="205"/>
        <v>2954.14</v>
      </c>
      <c r="S419" s="82">
        <f t="shared" si="206"/>
        <v>2954.14</v>
      </c>
      <c r="T419" s="82">
        <f t="shared" si="207"/>
        <v>2954.14</v>
      </c>
    </row>
    <row r="420" spans="2:20" s="34" customFormat="1" ht="46.2">
      <c r="B420" s="75" t="s">
        <v>820</v>
      </c>
      <c r="C420" s="76" t="s">
        <v>821</v>
      </c>
      <c r="D420" s="77" t="s">
        <v>131</v>
      </c>
      <c r="E420" s="93">
        <v>28</v>
      </c>
      <c r="F420" s="93">
        <v>28</v>
      </c>
      <c r="G420" s="79"/>
      <c r="H420" s="79"/>
      <c r="I420" s="79"/>
      <c r="J420" s="79">
        <f>SUM(H420:I420)+'BM 011'!J420</f>
        <v>0</v>
      </c>
      <c r="K420" s="79">
        <f t="shared" si="208"/>
        <v>28</v>
      </c>
      <c r="L420" s="80">
        <v>29.5</v>
      </c>
      <c r="M420" s="81">
        <v>37.394203245</v>
      </c>
      <c r="N420" s="82">
        <f t="shared" si="202"/>
        <v>0</v>
      </c>
      <c r="O420" s="82">
        <f t="shared" si="203"/>
        <v>0</v>
      </c>
      <c r="P420" s="82">
        <f>O420+'BM 011'!P420</f>
        <v>0</v>
      </c>
      <c r="Q420" s="80">
        <f t="shared" si="204"/>
        <v>826</v>
      </c>
      <c r="R420" s="82">
        <f t="shared" si="205"/>
        <v>1047.03</v>
      </c>
      <c r="S420" s="82">
        <f t="shared" si="206"/>
        <v>1047.03</v>
      </c>
      <c r="T420" s="82">
        <f t="shared" si="207"/>
        <v>1047.03</v>
      </c>
    </row>
    <row r="421" spans="2:20" s="34" customFormat="1" ht="22.5" customHeight="1">
      <c r="B421" s="75" t="s">
        <v>822</v>
      </c>
      <c r="C421" s="76" t="s">
        <v>823</v>
      </c>
      <c r="D421" s="77" t="s">
        <v>131</v>
      </c>
      <c r="E421" s="93">
        <v>37</v>
      </c>
      <c r="F421" s="93">
        <v>37</v>
      </c>
      <c r="G421" s="79"/>
      <c r="H421" s="79"/>
      <c r="I421" s="79"/>
      <c r="J421" s="79">
        <f>SUM(H421:I421)+'BM 011'!J421</f>
        <v>0</v>
      </c>
      <c r="K421" s="79">
        <f t="shared" si="208"/>
        <v>37</v>
      </c>
      <c r="L421" s="80">
        <v>34.119999999999997</v>
      </c>
      <c r="M421" s="81">
        <v>43.250515753199998</v>
      </c>
      <c r="N421" s="82">
        <f t="shared" si="202"/>
        <v>0</v>
      </c>
      <c r="O421" s="82">
        <f t="shared" si="203"/>
        <v>0</v>
      </c>
      <c r="P421" s="82">
        <f>O421+'BM 011'!P421</f>
        <v>0</v>
      </c>
      <c r="Q421" s="80">
        <f t="shared" si="204"/>
        <v>1262.4399999999998</v>
      </c>
      <c r="R421" s="82">
        <f t="shared" si="205"/>
        <v>1600.26</v>
      </c>
      <c r="S421" s="82">
        <f t="shared" si="206"/>
        <v>1600.26</v>
      </c>
      <c r="T421" s="82">
        <f t="shared" si="207"/>
        <v>1600.26</v>
      </c>
    </row>
    <row r="422" spans="2:20" s="34" customFormat="1" ht="34.799999999999997">
      <c r="B422" s="75" t="s">
        <v>824</v>
      </c>
      <c r="C422" s="76" t="s">
        <v>825</v>
      </c>
      <c r="D422" s="77" t="s">
        <v>131</v>
      </c>
      <c r="E422" s="93">
        <v>77</v>
      </c>
      <c r="F422" s="93">
        <v>77</v>
      </c>
      <c r="G422" s="79"/>
      <c r="H422" s="79"/>
      <c r="I422" s="79"/>
      <c r="J422" s="79">
        <f>SUM(H422:I422)+'BM 011'!J422</f>
        <v>0</v>
      </c>
      <c r="K422" s="79">
        <f t="shared" si="208"/>
        <v>77</v>
      </c>
      <c r="L422" s="80">
        <v>42</v>
      </c>
      <c r="M422" s="81">
        <v>53.239204620000002</v>
      </c>
      <c r="N422" s="82">
        <f t="shared" si="202"/>
        <v>0</v>
      </c>
      <c r="O422" s="82">
        <f t="shared" si="203"/>
        <v>0</v>
      </c>
      <c r="P422" s="82">
        <f>O422+'BM 011'!P422</f>
        <v>0</v>
      </c>
      <c r="Q422" s="80">
        <f t="shared" si="204"/>
        <v>3234</v>
      </c>
      <c r="R422" s="82">
        <f t="shared" si="205"/>
        <v>4099.41</v>
      </c>
      <c r="S422" s="82">
        <f t="shared" si="206"/>
        <v>4099.41</v>
      </c>
      <c r="T422" s="82">
        <f t="shared" si="207"/>
        <v>4099.41</v>
      </c>
    </row>
    <row r="423" spans="2:20" s="34" customFormat="1" ht="34.799999999999997">
      <c r="B423" s="75" t="s">
        <v>826</v>
      </c>
      <c r="C423" s="76" t="s">
        <v>827</v>
      </c>
      <c r="D423" s="77" t="s">
        <v>131</v>
      </c>
      <c r="E423" s="93">
        <v>1</v>
      </c>
      <c r="F423" s="93">
        <v>1</v>
      </c>
      <c r="G423" s="79"/>
      <c r="H423" s="79"/>
      <c r="I423" s="79"/>
      <c r="J423" s="79">
        <f>SUM(H423:I423)+'BM 011'!J423</f>
        <v>0</v>
      </c>
      <c r="K423" s="79">
        <f t="shared" si="208"/>
        <v>1</v>
      </c>
      <c r="L423" s="80">
        <v>88</v>
      </c>
      <c r="M423" s="81">
        <v>111.54880968000001</v>
      </c>
      <c r="N423" s="82">
        <f t="shared" si="202"/>
        <v>0</v>
      </c>
      <c r="O423" s="82">
        <f t="shared" si="203"/>
        <v>0</v>
      </c>
      <c r="P423" s="82">
        <f>O423+'BM 011'!P423</f>
        <v>0</v>
      </c>
      <c r="Q423" s="80">
        <f t="shared" si="204"/>
        <v>88</v>
      </c>
      <c r="R423" s="82">
        <f t="shared" si="205"/>
        <v>111.54</v>
      </c>
      <c r="S423" s="82">
        <f t="shared" si="206"/>
        <v>111.54</v>
      </c>
      <c r="T423" s="82">
        <f t="shared" si="207"/>
        <v>111.54</v>
      </c>
    </row>
    <row r="424" spans="2:20" s="34" customFormat="1" ht="34.799999999999997">
      <c r="B424" s="75" t="s">
        <v>828</v>
      </c>
      <c r="C424" s="76" t="s">
        <v>829</v>
      </c>
      <c r="D424" s="77" t="s">
        <v>131</v>
      </c>
      <c r="E424" s="93">
        <v>4</v>
      </c>
      <c r="F424" s="93">
        <v>4</v>
      </c>
      <c r="G424" s="79"/>
      <c r="H424" s="79"/>
      <c r="I424" s="79"/>
      <c r="J424" s="79">
        <f>SUM(H424:I424)+'BM 011'!J424</f>
        <v>0</v>
      </c>
      <c r="K424" s="79">
        <f t="shared" si="208"/>
        <v>4</v>
      </c>
      <c r="L424" s="80">
        <v>235</v>
      </c>
      <c r="M424" s="81">
        <v>297.88602585000001</v>
      </c>
      <c r="N424" s="82">
        <f t="shared" si="202"/>
        <v>0</v>
      </c>
      <c r="O424" s="82">
        <f t="shared" si="203"/>
        <v>0</v>
      </c>
      <c r="P424" s="82">
        <f>O424+'BM 011'!P424</f>
        <v>0</v>
      </c>
      <c r="Q424" s="80">
        <f t="shared" si="204"/>
        <v>940</v>
      </c>
      <c r="R424" s="82">
        <f t="shared" si="205"/>
        <v>1191.54</v>
      </c>
      <c r="S424" s="82">
        <f t="shared" si="206"/>
        <v>1191.54</v>
      </c>
      <c r="T424" s="82">
        <f t="shared" si="207"/>
        <v>1191.54</v>
      </c>
    </row>
    <row r="425" spans="2:20" s="34" customFormat="1" ht="57.6">
      <c r="B425" s="75" t="s">
        <v>830</v>
      </c>
      <c r="C425" s="76" t="s">
        <v>831</v>
      </c>
      <c r="D425" s="77" t="s">
        <v>131</v>
      </c>
      <c r="E425" s="93">
        <v>326</v>
      </c>
      <c r="F425" s="93">
        <v>326</v>
      </c>
      <c r="G425" s="79"/>
      <c r="H425" s="79"/>
      <c r="I425" s="79"/>
      <c r="J425" s="79">
        <f>SUM(H425:I425)+'BM 011'!J425</f>
        <v>0</v>
      </c>
      <c r="K425" s="79">
        <f t="shared" si="208"/>
        <v>326</v>
      </c>
      <c r="L425" s="80">
        <v>9.08</v>
      </c>
      <c r="M425" s="81">
        <v>11.509808998800001</v>
      </c>
      <c r="N425" s="82">
        <f t="shared" si="202"/>
        <v>0</v>
      </c>
      <c r="O425" s="82">
        <f t="shared" si="203"/>
        <v>0</v>
      </c>
      <c r="P425" s="82">
        <f>O425+'BM 011'!P425</f>
        <v>0</v>
      </c>
      <c r="Q425" s="80">
        <f t="shared" si="204"/>
        <v>2960.08</v>
      </c>
      <c r="R425" s="82">
        <f t="shared" si="205"/>
        <v>3752.19</v>
      </c>
      <c r="S425" s="82">
        <f t="shared" si="206"/>
        <v>3752.19</v>
      </c>
      <c r="T425" s="82">
        <f t="shared" si="207"/>
        <v>3752.19</v>
      </c>
    </row>
    <row r="426" spans="2:20" s="34" customFormat="1" ht="46.2">
      <c r="B426" s="75" t="s">
        <v>832</v>
      </c>
      <c r="C426" s="76" t="s">
        <v>833</v>
      </c>
      <c r="D426" s="77" t="s">
        <v>131</v>
      </c>
      <c r="E426" s="93">
        <v>166</v>
      </c>
      <c r="F426" s="93">
        <v>166</v>
      </c>
      <c r="G426" s="79"/>
      <c r="H426" s="79"/>
      <c r="I426" s="79"/>
      <c r="J426" s="79">
        <f>SUM(H426:I426)+'BM 011'!J426</f>
        <v>0</v>
      </c>
      <c r="K426" s="79">
        <f t="shared" si="208"/>
        <v>166</v>
      </c>
      <c r="L426" s="80">
        <v>9.4600000000000009</v>
      </c>
      <c r="M426" s="81">
        <v>11.991497040600001</v>
      </c>
      <c r="N426" s="82">
        <f t="shared" si="202"/>
        <v>0</v>
      </c>
      <c r="O426" s="82">
        <f t="shared" si="203"/>
        <v>0</v>
      </c>
      <c r="P426" s="82">
        <f>O426+'BM 011'!P426</f>
        <v>0</v>
      </c>
      <c r="Q426" s="80">
        <f t="shared" si="204"/>
        <v>1570.3600000000001</v>
      </c>
      <c r="R426" s="82">
        <f t="shared" si="205"/>
        <v>1990.58</v>
      </c>
      <c r="S426" s="82">
        <f t="shared" si="206"/>
        <v>1990.58</v>
      </c>
      <c r="T426" s="82">
        <f t="shared" si="207"/>
        <v>1990.58</v>
      </c>
    </row>
    <row r="427" spans="2:20" s="34" customFormat="1" ht="13.2">
      <c r="B427" s="75" t="s">
        <v>834</v>
      </c>
      <c r="C427" s="76" t="s">
        <v>747</v>
      </c>
      <c r="D427" s="77" t="s">
        <v>131</v>
      </c>
      <c r="E427" s="93">
        <v>96</v>
      </c>
      <c r="F427" s="93">
        <v>96</v>
      </c>
      <c r="G427" s="79"/>
      <c r="H427" s="79"/>
      <c r="I427" s="79"/>
      <c r="J427" s="79">
        <f>SUM(H427:I427)+'BM 011'!J427</f>
        <v>0</v>
      </c>
      <c r="K427" s="79">
        <f t="shared" si="208"/>
        <v>96</v>
      </c>
      <c r="L427" s="80">
        <v>5.14</v>
      </c>
      <c r="M427" s="81">
        <v>6.5154645654000003</v>
      </c>
      <c r="N427" s="82">
        <f t="shared" si="202"/>
        <v>0</v>
      </c>
      <c r="O427" s="82">
        <f t="shared" si="203"/>
        <v>0</v>
      </c>
      <c r="P427" s="82">
        <f>O427+'BM 011'!P427</f>
        <v>0</v>
      </c>
      <c r="Q427" s="80">
        <f t="shared" si="204"/>
        <v>493.43999999999994</v>
      </c>
      <c r="R427" s="82">
        <f t="shared" si="205"/>
        <v>625.48</v>
      </c>
      <c r="S427" s="82">
        <f t="shared" si="206"/>
        <v>625.48</v>
      </c>
      <c r="T427" s="82">
        <f t="shared" si="207"/>
        <v>625.48</v>
      </c>
    </row>
    <row r="428" spans="2:20" s="34" customFormat="1" ht="46.2">
      <c r="B428" s="75" t="s">
        <v>835</v>
      </c>
      <c r="C428" s="76" t="s">
        <v>836</v>
      </c>
      <c r="D428" s="77" t="s">
        <v>131</v>
      </c>
      <c r="E428" s="93">
        <v>26</v>
      </c>
      <c r="F428" s="93">
        <v>26</v>
      </c>
      <c r="G428" s="79"/>
      <c r="H428" s="79"/>
      <c r="I428" s="79"/>
      <c r="J428" s="79">
        <f>SUM(H428:I428)+'BM 011'!J428</f>
        <v>0</v>
      </c>
      <c r="K428" s="79">
        <f t="shared" si="208"/>
        <v>26</v>
      </c>
      <c r="L428" s="80">
        <v>21.35</v>
      </c>
      <c r="M428" s="81">
        <v>27.0632623485</v>
      </c>
      <c r="N428" s="82">
        <f t="shared" si="202"/>
        <v>0</v>
      </c>
      <c r="O428" s="82">
        <f t="shared" si="203"/>
        <v>0</v>
      </c>
      <c r="P428" s="82">
        <f>O428+'BM 011'!P428</f>
        <v>0</v>
      </c>
      <c r="Q428" s="80">
        <f t="shared" si="204"/>
        <v>555.1</v>
      </c>
      <c r="R428" s="82">
        <f t="shared" si="205"/>
        <v>703.64</v>
      </c>
      <c r="S428" s="82">
        <f t="shared" si="206"/>
        <v>703.64</v>
      </c>
      <c r="T428" s="82">
        <f t="shared" si="207"/>
        <v>703.64</v>
      </c>
    </row>
    <row r="429" spans="2:20" s="34" customFormat="1" ht="46.2">
      <c r="B429" s="75" t="s">
        <v>837</v>
      </c>
      <c r="C429" s="76" t="s">
        <v>838</v>
      </c>
      <c r="D429" s="77" t="s">
        <v>131</v>
      </c>
      <c r="E429" s="93">
        <v>86</v>
      </c>
      <c r="F429" s="93">
        <v>86</v>
      </c>
      <c r="G429" s="79"/>
      <c r="H429" s="79"/>
      <c r="I429" s="79"/>
      <c r="J429" s="79">
        <f>SUM(H429:I429)+'BM 011'!J429</f>
        <v>0</v>
      </c>
      <c r="K429" s="79">
        <f t="shared" si="208"/>
        <v>86</v>
      </c>
      <c r="L429" s="80">
        <v>25.91</v>
      </c>
      <c r="M429" s="81">
        <v>32.843518850099997</v>
      </c>
      <c r="N429" s="82">
        <f t="shared" si="202"/>
        <v>0</v>
      </c>
      <c r="O429" s="82">
        <f t="shared" si="203"/>
        <v>0</v>
      </c>
      <c r="P429" s="82">
        <f>O429+'BM 011'!P429</f>
        <v>0</v>
      </c>
      <c r="Q429" s="80">
        <f t="shared" si="204"/>
        <v>2228.2600000000002</v>
      </c>
      <c r="R429" s="82">
        <f t="shared" si="205"/>
        <v>2824.54</v>
      </c>
      <c r="S429" s="82">
        <f t="shared" si="206"/>
        <v>2824.54</v>
      </c>
      <c r="T429" s="82">
        <f t="shared" si="207"/>
        <v>2824.54</v>
      </c>
    </row>
    <row r="430" spans="2:20" s="34" customFormat="1" ht="34.799999999999997">
      <c r="B430" s="75" t="s">
        <v>839</v>
      </c>
      <c r="C430" s="76" t="s">
        <v>840</v>
      </c>
      <c r="D430" s="77" t="s">
        <v>131</v>
      </c>
      <c r="E430" s="93">
        <v>19</v>
      </c>
      <c r="F430" s="93">
        <v>19</v>
      </c>
      <c r="G430" s="79"/>
      <c r="H430" s="79"/>
      <c r="I430" s="79"/>
      <c r="J430" s="79">
        <f>SUM(H430:I430)+'BM 011'!J430</f>
        <v>0</v>
      </c>
      <c r="K430" s="79">
        <f t="shared" si="208"/>
        <v>19</v>
      </c>
      <c r="L430" s="80">
        <v>100.92</v>
      </c>
      <c r="M430" s="81">
        <v>127.9262031012</v>
      </c>
      <c r="N430" s="82">
        <f t="shared" si="202"/>
        <v>0</v>
      </c>
      <c r="O430" s="82">
        <f t="shared" si="203"/>
        <v>0</v>
      </c>
      <c r="P430" s="82">
        <f>O430+'BM 011'!P430</f>
        <v>0</v>
      </c>
      <c r="Q430" s="80">
        <f t="shared" si="204"/>
        <v>1917.48</v>
      </c>
      <c r="R430" s="82">
        <f t="shared" si="205"/>
        <v>2430.59</v>
      </c>
      <c r="S430" s="82">
        <f t="shared" si="206"/>
        <v>2430.59</v>
      </c>
      <c r="T430" s="82">
        <f t="shared" si="207"/>
        <v>2430.59</v>
      </c>
    </row>
    <row r="431" spans="2:20" s="34" customFormat="1" ht="34.799999999999997">
      <c r="B431" s="75" t="s">
        <v>841</v>
      </c>
      <c r="C431" s="76" t="s">
        <v>842</v>
      </c>
      <c r="D431" s="77" t="s">
        <v>131</v>
      </c>
      <c r="E431" s="93">
        <v>1</v>
      </c>
      <c r="F431" s="93">
        <v>1</v>
      </c>
      <c r="G431" s="79"/>
      <c r="H431" s="79"/>
      <c r="I431" s="79"/>
      <c r="J431" s="79">
        <f>SUM(H431:I431)+'BM 011'!J431</f>
        <v>0</v>
      </c>
      <c r="K431" s="79">
        <f t="shared" si="208"/>
        <v>1</v>
      </c>
      <c r="L431" s="80">
        <v>135</v>
      </c>
      <c r="M431" s="81">
        <v>171.12601484999999</v>
      </c>
      <c r="N431" s="82">
        <f t="shared" si="202"/>
        <v>0</v>
      </c>
      <c r="O431" s="82">
        <f t="shared" si="203"/>
        <v>0</v>
      </c>
      <c r="P431" s="82">
        <f>O431+'BM 011'!P431</f>
        <v>0</v>
      </c>
      <c r="Q431" s="80">
        <f t="shared" si="204"/>
        <v>135</v>
      </c>
      <c r="R431" s="82">
        <f t="shared" si="205"/>
        <v>171.12</v>
      </c>
      <c r="S431" s="82">
        <f t="shared" si="206"/>
        <v>171.12</v>
      </c>
      <c r="T431" s="82">
        <f t="shared" si="207"/>
        <v>171.12</v>
      </c>
    </row>
    <row r="432" spans="2:20" s="34" customFormat="1" ht="46.2">
      <c r="B432" s="75" t="s">
        <v>843</v>
      </c>
      <c r="C432" s="76" t="s">
        <v>844</v>
      </c>
      <c r="D432" s="77" t="s">
        <v>131</v>
      </c>
      <c r="E432" s="93">
        <v>38</v>
      </c>
      <c r="F432" s="93">
        <v>38</v>
      </c>
      <c r="G432" s="79"/>
      <c r="H432" s="79"/>
      <c r="I432" s="79"/>
      <c r="J432" s="79">
        <f>SUM(H432:I432)+'BM 011'!J432</f>
        <v>0</v>
      </c>
      <c r="K432" s="79">
        <f t="shared" si="208"/>
        <v>38</v>
      </c>
      <c r="L432" s="80">
        <v>9.08</v>
      </c>
      <c r="M432" s="81">
        <v>11.509808998800001</v>
      </c>
      <c r="N432" s="82">
        <f t="shared" si="202"/>
        <v>0</v>
      </c>
      <c r="O432" s="82">
        <f t="shared" si="203"/>
        <v>0</v>
      </c>
      <c r="P432" s="82">
        <f>O432+'BM 011'!P432</f>
        <v>0</v>
      </c>
      <c r="Q432" s="80">
        <f t="shared" si="204"/>
        <v>345.04</v>
      </c>
      <c r="R432" s="82">
        <f t="shared" si="205"/>
        <v>437.37</v>
      </c>
      <c r="S432" s="82">
        <f t="shared" si="206"/>
        <v>437.37</v>
      </c>
      <c r="T432" s="82">
        <f t="shared" si="207"/>
        <v>437.37</v>
      </c>
    </row>
    <row r="433" spans="2:20" s="34" customFormat="1" ht="46.2">
      <c r="B433" s="75" t="s">
        <v>845</v>
      </c>
      <c r="C433" s="76" t="s">
        <v>846</v>
      </c>
      <c r="D433" s="77" t="s">
        <v>131</v>
      </c>
      <c r="E433" s="93">
        <v>38</v>
      </c>
      <c r="F433" s="93">
        <v>38</v>
      </c>
      <c r="G433" s="79"/>
      <c r="H433" s="79"/>
      <c r="I433" s="79"/>
      <c r="J433" s="79">
        <f>SUM(H433:I433)+'BM 011'!J433</f>
        <v>0</v>
      </c>
      <c r="K433" s="79">
        <f t="shared" si="208"/>
        <v>38</v>
      </c>
      <c r="L433" s="80">
        <v>25.03</v>
      </c>
      <c r="M433" s="81">
        <v>31.728030753300001</v>
      </c>
      <c r="N433" s="82">
        <f t="shared" si="202"/>
        <v>0</v>
      </c>
      <c r="O433" s="82">
        <f t="shared" si="203"/>
        <v>0</v>
      </c>
      <c r="P433" s="82">
        <f>O433+'BM 011'!P433</f>
        <v>0</v>
      </c>
      <c r="Q433" s="80">
        <f t="shared" si="204"/>
        <v>951.1400000000001</v>
      </c>
      <c r="R433" s="82">
        <f t="shared" si="205"/>
        <v>1205.6600000000001</v>
      </c>
      <c r="S433" s="82">
        <f t="shared" si="206"/>
        <v>1205.6600000000001</v>
      </c>
      <c r="T433" s="82">
        <f t="shared" si="207"/>
        <v>1205.6600000000001</v>
      </c>
    </row>
    <row r="434" spans="2:20" s="34" customFormat="1" ht="46.2">
      <c r="B434" s="75" t="s">
        <v>847</v>
      </c>
      <c r="C434" s="76" t="s">
        <v>848</v>
      </c>
      <c r="D434" s="77" t="s">
        <v>131</v>
      </c>
      <c r="E434" s="93">
        <v>9</v>
      </c>
      <c r="F434" s="93">
        <v>9</v>
      </c>
      <c r="G434" s="79"/>
      <c r="H434" s="79"/>
      <c r="I434" s="79"/>
      <c r="J434" s="79">
        <f>SUM(H434:I434)+'BM 011'!J434</f>
        <v>0</v>
      </c>
      <c r="K434" s="79">
        <f t="shared" si="208"/>
        <v>9</v>
      </c>
      <c r="L434" s="80">
        <v>38.549999999999997</v>
      </c>
      <c r="M434" s="81">
        <v>48.865984240499998</v>
      </c>
      <c r="N434" s="82">
        <f t="shared" si="202"/>
        <v>0</v>
      </c>
      <c r="O434" s="82">
        <f t="shared" si="203"/>
        <v>0</v>
      </c>
      <c r="P434" s="82">
        <f>O434+'BM 011'!P434</f>
        <v>0</v>
      </c>
      <c r="Q434" s="80">
        <f t="shared" si="204"/>
        <v>346.95</v>
      </c>
      <c r="R434" s="82">
        <f t="shared" si="205"/>
        <v>439.79</v>
      </c>
      <c r="S434" s="82">
        <f t="shared" si="206"/>
        <v>439.79</v>
      </c>
      <c r="T434" s="82">
        <f t="shared" si="207"/>
        <v>439.79</v>
      </c>
    </row>
    <row r="435" spans="2:20" s="34" customFormat="1" ht="57.6">
      <c r="B435" s="75" t="s">
        <v>849</v>
      </c>
      <c r="C435" s="76" t="s">
        <v>850</v>
      </c>
      <c r="D435" s="77" t="s">
        <v>131</v>
      </c>
      <c r="E435" s="93">
        <v>24</v>
      </c>
      <c r="F435" s="93">
        <v>24</v>
      </c>
      <c r="G435" s="79"/>
      <c r="H435" s="79"/>
      <c r="I435" s="79"/>
      <c r="J435" s="79">
        <f>SUM(H435:I435)+'BM 011'!J435</f>
        <v>0</v>
      </c>
      <c r="K435" s="79">
        <f t="shared" si="208"/>
        <v>24</v>
      </c>
      <c r="L435" s="80">
        <v>48.29</v>
      </c>
      <c r="M435" s="81">
        <v>61.212409311899997</v>
      </c>
      <c r="N435" s="82">
        <f t="shared" si="202"/>
        <v>0</v>
      </c>
      <c r="O435" s="82">
        <f t="shared" si="203"/>
        <v>0</v>
      </c>
      <c r="P435" s="82">
        <f>O435+'BM 011'!P435</f>
        <v>0</v>
      </c>
      <c r="Q435" s="80">
        <f t="shared" si="204"/>
        <v>1158.96</v>
      </c>
      <c r="R435" s="82">
        <f t="shared" si="205"/>
        <v>1469.09</v>
      </c>
      <c r="S435" s="82">
        <f t="shared" si="206"/>
        <v>1469.09</v>
      </c>
      <c r="T435" s="82">
        <f t="shared" si="207"/>
        <v>1469.09</v>
      </c>
    </row>
    <row r="436" spans="2:20" s="34" customFormat="1" ht="23.4">
      <c r="B436" s="75" t="s">
        <v>851</v>
      </c>
      <c r="C436" s="76" t="s">
        <v>852</v>
      </c>
      <c r="D436" s="77" t="s">
        <v>131</v>
      </c>
      <c r="E436" s="93">
        <v>64</v>
      </c>
      <c r="F436" s="93">
        <v>64</v>
      </c>
      <c r="G436" s="79"/>
      <c r="H436" s="79"/>
      <c r="I436" s="79"/>
      <c r="J436" s="79">
        <f>SUM(H436:I436)+'BM 011'!J436</f>
        <v>0</v>
      </c>
      <c r="K436" s="79">
        <f t="shared" si="208"/>
        <v>64</v>
      </c>
      <c r="L436" s="80">
        <v>28.98</v>
      </c>
      <c r="M436" s="81">
        <v>36.735051187800003</v>
      </c>
      <c r="N436" s="82">
        <f t="shared" si="202"/>
        <v>0</v>
      </c>
      <c r="O436" s="82">
        <f t="shared" si="203"/>
        <v>0</v>
      </c>
      <c r="P436" s="82">
        <f>O436+'BM 011'!P436</f>
        <v>0</v>
      </c>
      <c r="Q436" s="80">
        <f t="shared" si="204"/>
        <v>1854.72</v>
      </c>
      <c r="R436" s="82">
        <f t="shared" si="205"/>
        <v>2351.04</v>
      </c>
      <c r="S436" s="82">
        <f t="shared" si="206"/>
        <v>2351.04</v>
      </c>
      <c r="T436" s="82">
        <f t="shared" si="207"/>
        <v>2351.04</v>
      </c>
    </row>
    <row r="437" spans="2:20" s="34" customFormat="1" ht="23.4">
      <c r="B437" s="75" t="s">
        <v>853</v>
      </c>
      <c r="C437" s="76" t="s">
        <v>854</v>
      </c>
      <c r="D437" s="77" t="s">
        <v>131</v>
      </c>
      <c r="E437" s="93">
        <v>69</v>
      </c>
      <c r="F437" s="93">
        <v>69</v>
      </c>
      <c r="G437" s="79"/>
      <c r="H437" s="79"/>
      <c r="I437" s="79"/>
      <c r="J437" s="79">
        <f>SUM(H437:I437)+'BM 011'!J437</f>
        <v>0</v>
      </c>
      <c r="K437" s="79">
        <f t="shared" si="208"/>
        <v>69</v>
      </c>
      <c r="L437" s="80">
        <v>44.64</v>
      </c>
      <c r="M437" s="81">
        <v>56.585668910400003</v>
      </c>
      <c r="N437" s="82">
        <f t="shared" si="202"/>
        <v>0</v>
      </c>
      <c r="O437" s="82">
        <f t="shared" si="203"/>
        <v>0</v>
      </c>
      <c r="P437" s="82">
        <f>O437+'BM 011'!P437</f>
        <v>0</v>
      </c>
      <c r="Q437" s="80">
        <f t="shared" si="204"/>
        <v>3080.16</v>
      </c>
      <c r="R437" s="82">
        <f t="shared" si="205"/>
        <v>3904.41</v>
      </c>
      <c r="S437" s="82">
        <f t="shared" si="206"/>
        <v>3904.41</v>
      </c>
      <c r="T437" s="82">
        <f t="shared" si="207"/>
        <v>3904.41</v>
      </c>
    </row>
    <row r="438" spans="2:20" s="34" customFormat="1" ht="23.4">
      <c r="B438" s="75" t="s">
        <v>855</v>
      </c>
      <c r="C438" s="76" t="s">
        <v>856</v>
      </c>
      <c r="D438" s="77" t="s">
        <v>131</v>
      </c>
      <c r="E438" s="93">
        <v>1</v>
      </c>
      <c r="F438" s="93">
        <v>1</v>
      </c>
      <c r="G438" s="79"/>
      <c r="H438" s="79"/>
      <c r="I438" s="79"/>
      <c r="J438" s="79">
        <f>SUM(H438:I438)+'BM 011'!J438</f>
        <v>0</v>
      </c>
      <c r="K438" s="79">
        <f t="shared" si="208"/>
        <v>1</v>
      </c>
      <c r="L438" s="80">
        <v>51.15</v>
      </c>
      <c r="M438" s="81">
        <v>64.837745626499995</v>
      </c>
      <c r="N438" s="82">
        <f t="shared" si="202"/>
        <v>0</v>
      </c>
      <c r="O438" s="82">
        <f t="shared" si="203"/>
        <v>0</v>
      </c>
      <c r="P438" s="82">
        <f>O438+'BM 011'!P438</f>
        <v>0</v>
      </c>
      <c r="Q438" s="80">
        <f t="shared" si="204"/>
        <v>51.15</v>
      </c>
      <c r="R438" s="82">
        <f t="shared" si="205"/>
        <v>64.83</v>
      </c>
      <c r="S438" s="82">
        <f t="shared" si="206"/>
        <v>64.83</v>
      </c>
      <c r="T438" s="82">
        <f t="shared" si="207"/>
        <v>64.83</v>
      </c>
    </row>
    <row r="439" spans="2:20" s="34" customFormat="1" ht="23.4">
      <c r="B439" s="75" t="s">
        <v>857</v>
      </c>
      <c r="C439" s="76" t="s">
        <v>858</v>
      </c>
      <c r="D439" s="77" t="s">
        <v>131</v>
      </c>
      <c r="E439" s="93">
        <v>52</v>
      </c>
      <c r="F439" s="93">
        <v>52</v>
      </c>
      <c r="G439" s="79"/>
      <c r="H439" s="79"/>
      <c r="I439" s="79"/>
      <c r="J439" s="79">
        <f>SUM(H439:I439)+'BM 011'!J439</f>
        <v>0</v>
      </c>
      <c r="K439" s="79">
        <f t="shared" si="208"/>
        <v>52</v>
      </c>
      <c r="L439" s="80">
        <v>140</v>
      </c>
      <c r="M439" s="81">
        <v>177.46401539999999</v>
      </c>
      <c r="N439" s="82">
        <f t="shared" si="202"/>
        <v>0</v>
      </c>
      <c r="O439" s="82">
        <f t="shared" si="203"/>
        <v>0</v>
      </c>
      <c r="P439" s="82">
        <f>O439+'BM 011'!P439</f>
        <v>0</v>
      </c>
      <c r="Q439" s="80">
        <f t="shared" si="204"/>
        <v>7280</v>
      </c>
      <c r="R439" s="82">
        <f t="shared" si="205"/>
        <v>9228.1200000000008</v>
      </c>
      <c r="S439" s="82">
        <f t="shared" si="206"/>
        <v>9228.1200000000008</v>
      </c>
      <c r="T439" s="82">
        <f t="shared" si="207"/>
        <v>9228.1200000000008</v>
      </c>
    </row>
    <row r="440" spans="2:20" s="34" customFormat="1" ht="34.799999999999997">
      <c r="B440" s="75" t="s">
        <v>859</v>
      </c>
      <c r="C440" s="76" t="s">
        <v>860</v>
      </c>
      <c r="D440" s="77" t="s">
        <v>131</v>
      </c>
      <c r="E440" s="93">
        <v>68</v>
      </c>
      <c r="F440" s="93">
        <v>68</v>
      </c>
      <c r="G440" s="79"/>
      <c r="H440" s="79"/>
      <c r="I440" s="79"/>
      <c r="J440" s="79">
        <f>SUM(H440:I440)+'BM 011'!J440</f>
        <v>0</v>
      </c>
      <c r="K440" s="79">
        <f t="shared" si="208"/>
        <v>68</v>
      </c>
      <c r="L440" s="80">
        <v>80</v>
      </c>
      <c r="M440" s="81">
        <v>101.4080088</v>
      </c>
      <c r="N440" s="82">
        <f t="shared" si="202"/>
        <v>0</v>
      </c>
      <c r="O440" s="82">
        <f t="shared" si="203"/>
        <v>0</v>
      </c>
      <c r="P440" s="82">
        <f>O440+'BM 011'!P440</f>
        <v>0</v>
      </c>
      <c r="Q440" s="80">
        <f t="shared" si="204"/>
        <v>5440</v>
      </c>
      <c r="R440" s="82">
        <f t="shared" si="205"/>
        <v>6895.74</v>
      </c>
      <c r="S440" s="82">
        <f t="shared" si="206"/>
        <v>6895.74</v>
      </c>
      <c r="T440" s="82">
        <f t="shared" si="207"/>
        <v>6895.74</v>
      </c>
    </row>
    <row r="441" spans="2:20" s="34" customFormat="1" ht="23.4">
      <c r="B441" s="75" t="s">
        <v>861</v>
      </c>
      <c r="C441" s="76" t="s">
        <v>862</v>
      </c>
      <c r="D441" s="77" t="s">
        <v>131</v>
      </c>
      <c r="E441" s="93">
        <v>10</v>
      </c>
      <c r="F441" s="93">
        <v>10</v>
      </c>
      <c r="G441" s="79"/>
      <c r="H441" s="79"/>
      <c r="I441" s="79"/>
      <c r="J441" s="79">
        <f>SUM(H441:I441)+'BM 011'!J441</f>
        <v>0</v>
      </c>
      <c r="K441" s="79">
        <f t="shared" si="208"/>
        <v>10</v>
      </c>
      <c r="L441" s="80">
        <v>18.14</v>
      </c>
      <c r="M441" s="81">
        <v>22.994265995399999</v>
      </c>
      <c r="N441" s="82">
        <f t="shared" si="202"/>
        <v>0</v>
      </c>
      <c r="O441" s="82">
        <f t="shared" si="203"/>
        <v>0</v>
      </c>
      <c r="P441" s="82">
        <f>O441+'BM 011'!P441</f>
        <v>0</v>
      </c>
      <c r="Q441" s="80">
        <f t="shared" si="204"/>
        <v>181.4</v>
      </c>
      <c r="R441" s="82">
        <f t="shared" si="205"/>
        <v>229.94</v>
      </c>
      <c r="S441" s="82">
        <f t="shared" si="206"/>
        <v>229.94</v>
      </c>
      <c r="T441" s="82">
        <f t="shared" si="207"/>
        <v>229.94</v>
      </c>
    </row>
    <row r="442" spans="2:20" s="34" customFormat="1" ht="23.4">
      <c r="B442" s="75" t="s">
        <v>863</v>
      </c>
      <c r="C442" s="76" t="s">
        <v>864</v>
      </c>
      <c r="D442" s="77" t="s">
        <v>131</v>
      </c>
      <c r="E442" s="93">
        <v>54</v>
      </c>
      <c r="F442" s="93">
        <v>54</v>
      </c>
      <c r="G442" s="79"/>
      <c r="H442" s="79"/>
      <c r="I442" s="79"/>
      <c r="J442" s="79">
        <f>SUM(H442:I442)+'BM 011'!J442</f>
        <v>0</v>
      </c>
      <c r="K442" s="79">
        <f t="shared" si="208"/>
        <v>54</v>
      </c>
      <c r="L442" s="80">
        <v>21.55</v>
      </c>
      <c r="M442" s="81">
        <v>27.3167823705</v>
      </c>
      <c r="N442" s="82">
        <f t="shared" si="202"/>
        <v>0</v>
      </c>
      <c r="O442" s="82">
        <f t="shared" si="203"/>
        <v>0</v>
      </c>
      <c r="P442" s="82">
        <f>O442+'BM 011'!P442</f>
        <v>0</v>
      </c>
      <c r="Q442" s="80">
        <f t="shared" si="204"/>
        <v>1163.7</v>
      </c>
      <c r="R442" s="82">
        <f t="shared" si="205"/>
        <v>1475.1</v>
      </c>
      <c r="S442" s="82">
        <f t="shared" si="206"/>
        <v>1475.1</v>
      </c>
      <c r="T442" s="82">
        <f t="shared" si="207"/>
        <v>1475.1</v>
      </c>
    </row>
    <row r="443" spans="2:20" s="34" customFormat="1" ht="23.4">
      <c r="B443" s="75" t="s">
        <v>865</v>
      </c>
      <c r="C443" s="76" t="s">
        <v>866</v>
      </c>
      <c r="D443" s="77" t="s">
        <v>131</v>
      </c>
      <c r="E443" s="93">
        <v>7</v>
      </c>
      <c r="F443" s="93">
        <v>7</v>
      </c>
      <c r="G443" s="79"/>
      <c r="H443" s="79"/>
      <c r="I443" s="79"/>
      <c r="J443" s="79">
        <f>SUM(H443:I443)+'BM 011'!J443</f>
        <v>0</v>
      </c>
      <c r="K443" s="79">
        <f t="shared" si="208"/>
        <v>7</v>
      </c>
      <c r="L443" s="80">
        <v>22.95</v>
      </c>
      <c r="M443" s="81">
        <v>29.0914225245</v>
      </c>
      <c r="N443" s="82">
        <f t="shared" ref="N443:N474" si="209">TRUNC(G443*M443,2)</f>
        <v>0</v>
      </c>
      <c r="O443" s="82">
        <f t="shared" ref="O443:O474" si="210">TRUNC(H443*M443,2)</f>
        <v>0</v>
      </c>
      <c r="P443" s="82">
        <f>O443+'BM 011'!P443</f>
        <v>0</v>
      </c>
      <c r="Q443" s="80">
        <f t="shared" ref="Q443:Q468" si="211">E443*L443</f>
        <v>160.65</v>
      </c>
      <c r="R443" s="82">
        <f t="shared" ref="R443:R474" si="212">TRUNC(E443*M443,2)</f>
        <v>203.63</v>
      </c>
      <c r="S443" s="82">
        <f t="shared" ref="S443:S474" si="213">TRUNC(F443*$M443,2)</f>
        <v>203.63</v>
      </c>
      <c r="T443" s="82">
        <f t="shared" ref="T443:T474" si="214">S443-P443</f>
        <v>203.63</v>
      </c>
    </row>
    <row r="444" spans="2:20" s="34" customFormat="1" ht="23.4">
      <c r="B444" s="75" t="s">
        <v>867</v>
      </c>
      <c r="C444" s="76" t="s">
        <v>868</v>
      </c>
      <c r="D444" s="77" t="s">
        <v>131</v>
      </c>
      <c r="E444" s="93">
        <v>48</v>
      </c>
      <c r="F444" s="93">
        <v>48</v>
      </c>
      <c r="G444" s="79"/>
      <c r="H444" s="79"/>
      <c r="I444" s="79"/>
      <c r="J444" s="79">
        <f>SUM(H444:I444)+'BM 011'!J444</f>
        <v>0</v>
      </c>
      <c r="K444" s="79">
        <f t="shared" si="208"/>
        <v>48</v>
      </c>
      <c r="L444" s="80">
        <v>49</v>
      </c>
      <c r="M444" s="81">
        <v>62.112405389999999</v>
      </c>
      <c r="N444" s="82">
        <f t="shared" si="209"/>
        <v>0</v>
      </c>
      <c r="O444" s="82">
        <f t="shared" si="210"/>
        <v>0</v>
      </c>
      <c r="P444" s="82">
        <f>O444+'BM 011'!P444</f>
        <v>0</v>
      </c>
      <c r="Q444" s="80">
        <f t="shared" si="211"/>
        <v>2352</v>
      </c>
      <c r="R444" s="82">
        <f t="shared" si="212"/>
        <v>2981.39</v>
      </c>
      <c r="S444" s="82">
        <f t="shared" si="213"/>
        <v>2981.39</v>
      </c>
      <c r="T444" s="82">
        <f t="shared" si="214"/>
        <v>2981.39</v>
      </c>
    </row>
    <row r="445" spans="2:20" s="34" customFormat="1" ht="23.4">
      <c r="B445" s="75" t="s">
        <v>869</v>
      </c>
      <c r="C445" s="76" t="s">
        <v>870</v>
      </c>
      <c r="D445" s="77" t="s">
        <v>131</v>
      </c>
      <c r="E445" s="93">
        <v>1</v>
      </c>
      <c r="F445" s="93">
        <v>1</v>
      </c>
      <c r="G445" s="79"/>
      <c r="H445" s="79"/>
      <c r="I445" s="79"/>
      <c r="J445" s="79">
        <f>SUM(H445:I445)+'BM 011'!J445</f>
        <v>0</v>
      </c>
      <c r="K445" s="79">
        <f t="shared" si="208"/>
        <v>1</v>
      </c>
      <c r="L445" s="80">
        <v>37.4</v>
      </c>
      <c r="M445" s="81">
        <v>47.408244113999999</v>
      </c>
      <c r="N445" s="82">
        <f t="shared" si="209"/>
        <v>0</v>
      </c>
      <c r="O445" s="82">
        <f t="shared" si="210"/>
        <v>0</v>
      </c>
      <c r="P445" s="82">
        <f>O445+'BM 011'!P445</f>
        <v>0</v>
      </c>
      <c r="Q445" s="80">
        <f t="shared" si="211"/>
        <v>37.4</v>
      </c>
      <c r="R445" s="82">
        <f t="shared" si="212"/>
        <v>47.4</v>
      </c>
      <c r="S445" s="82">
        <f t="shared" si="213"/>
        <v>47.4</v>
      </c>
      <c r="T445" s="82">
        <f t="shared" si="214"/>
        <v>47.4</v>
      </c>
    </row>
    <row r="446" spans="2:20" s="34" customFormat="1" ht="23.4">
      <c r="B446" s="75" t="s">
        <v>871</v>
      </c>
      <c r="C446" s="76" t="s">
        <v>872</v>
      </c>
      <c r="D446" s="77" t="s">
        <v>131</v>
      </c>
      <c r="E446" s="93">
        <v>2</v>
      </c>
      <c r="F446" s="93">
        <v>2</v>
      </c>
      <c r="G446" s="79"/>
      <c r="H446" s="79"/>
      <c r="I446" s="79"/>
      <c r="J446" s="79">
        <f>SUM(H446:I446)+'BM 011'!J446</f>
        <v>0</v>
      </c>
      <c r="K446" s="79">
        <f t="shared" si="208"/>
        <v>2</v>
      </c>
      <c r="L446" s="80">
        <v>78.239999999999995</v>
      </c>
      <c r="M446" s="81">
        <v>99.177032606400005</v>
      </c>
      <c r="N446" s="82">
        <f t="shared" si="209"/>
        <v>0</v>
      </c>
      <c r="O446" s="82">
        <f t="shared" si="210"/>
        <v>0</v>
      </c>
      <c r="P446" s="82">
        <f>O446+'BM 011'!P446</f>
        <v>0</v>
      </c>
      <c r="Q446" s="80">
        <f t="shared" si="211"/>
        <v>156.47999999999999</v>
      </c>
      <c r="R446" s="82">
        <f t="shared" si="212"/>
        <v>198.35</v>
      </c>
      <c r="S446" s="82">
        <f t="shared" si="213"/>
        <v>198.35</v>
      </c>
      <c r="T446" s="82">
        <f t="shared" si="214"/>
        <v>198.35</v>
      </c>
    </row>
    <row r="447" spans="2:20" s="34" customFormat="1" ht="23.4">
      <c r="B447" s="75" t="s">
        <v>873</v>
      </c>
      <c r="C447" s="76" t="s">
        <v>874</v>
      </c>
      <c r="D447" s="77" t="s">
        <v>131</v>
      </c>
      <c r="E447" s="93">
        <v>1</v>
      </c>
      <c r="F447" s="93">
        <v>1</v>
      </c>
      <c r="G447" s="79"/>
      <c r="H447" s="79"/>
      <c r="I447" s="79"/>
      <c r="J447" s="79">
        <f>SUM(H447:I447)+'BM 011'!J447</f>
        <v>0</v>
      </c>
      <c r="K447" s="79">
        <f t="shared" si="208"/>
        <v>1</v>
      </c>
      <c r="L447" s="80">
        <v>155</v>
      </c>
      <c r="M447" s="81">
        <v>196.47801705000001</v>
      </c>
      <c r="N447" s="82">
        <f t="shared" si="209"/>
        <v>0</v>
      </c>
      <c r="O447" s="82">
        <f t="shared" si="210"/>
        <v>0</v>
      </c>
      <c r="P447" s="82">
        <f>O447+'BM 011'!P447</f>
        <v>0</v>
      </c>
      <c r="Q447" s="80">
        <f t="shared" si="211"/>
        <v>155</v>
      </c>
      <c r="R447" s="82">
        <f t="shared" si="212"/>
        <v>196.47</v>
      </c>
      <c r="S447" s="82">
        <f t="shared" si="213"/>
        <v>196.47</v>
      </c>
      <c r="T447" s="82">
        <f t="shared" si="214"/>
        <v>196.47</v>
      </c>
    </row>
    <row r="448" spans="2:20" s="34" customFormat="1" ht="23.4">
      <c r="B448" s="75" t="s">
        <v>875</v>
      </c>
      <c r="C448" s="76" t="s">
        <v>876</v>
      </c>
      <c r="D448" s="77" t="s">
        <v>131</v>
      </c>
      <c r="E448" s="93">
        <v>17</v>
      </c>
      <c r="F448" s="93">
        <v>17</v>
      </c>
      <c r="G448" s="79"/>
      <c r="H448" s="79"/>
      <c r="I448" s="79"/>
      <c r="J448" s="79">
        <f>SUM(H448:I448)+'BM 011'!J448</f>
        <v>0</v>
      </c>
      <c r="K448" s="79">
        <f t="shared" si="208"/>
        <v>17</v>
      </c>
      <c r="L448" s="80">
        <v>8.85</v>
      </c>
      <c r="M448" s="81">
        <v>11.2182609735</v>
      </c>
      <c r="N448" s="82">
        <f t="shared" si="209"/>
        <v>0</v>
      </c>
      <c r="O448" s="82">
        <f t="shared" si="210"/>
        <v>0</v>
      </c>
      <c r="P448" s="82">
        <f>O448+'BM 011'!P448</f>
        <v>0</v>
      </c>
      <c r="Q448" s="80">
        <f t="shared" si="211"/>
        <v>150.44999999999999</v>
      </c>
      <c r="R448" s="82">
        <f t="shared" si="212"/>
        <v>190.71</v>
      </c>
      <c r="S448" s="82">
        <f t="shared" si="213"/>
        <v>190.71</v>
      </c>
      <c r="T448" s="82">
        <f t="shared" si="214"/>
        <v>190.71</v>
      </c>
    </row>
    <row r="449" spans="2:20" s="34" customFormat="1" ht="34.799999999999997">
      <c r="B449" s="75" t="s">
        <v>877</v>
      </c>
      <c r="C449" s="76" t="s">
        <v>878</v>
      </c>
      <c r="D449" s="77" t="s">
        <v>131</v>
      </c>
      <c r="E449" s="93">
        <v>3</v>
      </c>
      <c r="F449" s="93">
        <v>3</v>
      </c>
      <c r="G449" s="79"/>
      <c r="H449" s="79"/>
      <c r="I449" s="79"/>
      <c r="J449" s="79">
        <f>SUM(H449:I449)+'BM 011'!J449</f>
        <v>0</v>
      </c>
      <c r="K449" s="79">
        <f t="shared" si="208"/>
        <v>3</v>
      </c>
      <c r="L449" s="80">
        <v>7.63</v>
      </c>
      <c r="M449" s="81">
        <v>9.6717888392999996</v>
      </c>
      <c r="N449" s="82">
        <f t="shared" si="209"/>
        <v>0</v>
      </c>
      <c r="O449" s="82">
        <f t="shared" si="210"/>
        <v>0</v>
      </c>
      <c r="P449" s="82">
        <f>O449+'BM 011'!P449</f>
        <v>0</v>
      </c>
      <c r="Q449" s="80">
        <f t="shared" si="211"/>
        <v>22.89</v>
      </c>
      <c r="R449" s="82">
        <f t="shared" si="212"/>
        <v>29.01</v>
      </c>
      <c r="S449" s="82">
        <f t="shared" si="213"/>
        <v>29.01</v>
      </c>
      <c r="T449" s="82">
        <f t="shared" si="214"/>
        <v>29.01</v>
      </c>
    </row>
    <row r="450" spans="2:20" s="34" customFormat="1" ht="23.4">
      <c r="B450" s="75" t="s">
        <v>879</v>
      </c>
      <c r="C450" s="88" t="s">
        <v>711</v>
      </c>
      <c r="D450" s="89" t="s">
        <v>131</v>
      </c>
      <c r="E450" s="90">
        <v>82</v>
      </c>
      <c r="F450" s="90">
        <v>82</v>
      </c>
      <c r="G450" s="91"/>
      <c r="H450" s="91"/>
      <c r="I450" s="91"/>
      <c r="J450" s="91">
        <f>SUM(H450:I450)+'BM 011'!J450</f>
        <v>0</v>
      </c>
      <c r="K450" s="91">
        <f t="shared" si="208"/>
        <v>82</v>
      </c>
      <c r="L450" s="80">
        <v>14.54</v>
      </c>
      <c r="M450" s="81">
        <v>18.430905599399999</v>
      </c>
      <c r="N450" s="82">
        <f t="shared" si="209"/>
        <v>0</v>
      </c>
      <c r="O450" s="82">
        <f t="shared" si="210"/>
        <v>0</v>
      </c>
      <c r="P450" s="82">
        <f>O450+'BM 011'!P450</f>
        <v>0</v>
      </c>
      <c r="Q450" s="80">
        <f t="shared" si="211"/>
        <v>1192.28</v>
      </c>
      <c r="R450" s="82">
        <f t="shared" si="212"/>
        <v>1511.33</v>
      </c>
      <c r="S450" s="82">
        <f t="shared" si="213"/>
        <v>1511.33</v>
      </c>
      <c r="T450" s="82">
        <f t="shared" si="214"/>
        <v>1511.33</v>
      </c>
    </row>
    <row r="451" spans="2:20" s="34" customFormat="1" ht="23.4">
      <c r="B451" s="75" t="s">
        <v>880</v>
      </c>
      <c r="C451" s="76" t="s">
        <v>881</v>
      </c>
      <c r="D451" s="77" t="s">
        <v>131</v>
      </c>
      <c r="E451" s="93">
        <v>5</v>
      </c>
      <c r="F451" s="93">
        <v>5</v>
      </c>
      <c r="G451" s="79"/>
      <c r="H451" s="79"/>
      <c r="I451" s="79"/>
      <c r="J451" s="79">
        <f>SUM(H451:I451)+'BM 011'!J451</f>
        <v>0</v>
      </c>
      <c r="K451" s="79">
        <f t="shared" si="208"/>
        <v>5</v>
      </c>
      <c r="L451" s="80">
        <v>19.91</v>
      </c>
      <c r="M451" s="81">
        <v>25.2379181901</v>
      </c>
      <c r="N451" s="82">
        <f t="shared" si="209"/>
        <v>0</v>
      </c>
      <c r="O451" s="82">
        <f t="shared" si="210"/>
        <v>0</v>
      </c>
      <c r="P451" s="82">
        <f>O451+'BM 011'!P451</f>
        <v>0</v>
      </c>
      <c r="Q451" s="80">
        <f t="shared" si="211"/>
        <v>99.55</v>
      </c>
      <c r="R451" s="82">
        <f t="shared" si="212"/>
        <v>126.18</v>
      </c>
      <c r="S451" s="82">
        <f t="shared" si="213"/>
        <v>126.18</v>
      </c>
      <c r="T451" s="82">
        <f t="shared" si="214"/>
        <v>126.18</v>
      </c>
    </row>
    <row r="452" spans="2:20" s="34" customFormat="1" ht="23.4">
      <c r="B452" s="75" t="s">
        <v>882</v>
      </c>
      <c r="C452" s="76" t="s">
        <v>883</v>
      </c>
      <c r="D452" s="77" t="s">
        <v>131</v>
      </c>
      <c r="E452" s="93">
        <v>1</v>
      </c>
      <c r="F452" s="93">
        <v>1</v>
      </c>
      <c r="G452" s="79"/>
      <c r="H452" s="79"/>
      <c r="I452" s="79"/>
      <c r="J452" s="79">
        <f>SUM(H452:I452)+'BM 011'!J452</f>
        <v>0</v>
      </c>
      <c r="K452" s="79">
        <f t="shared" si="208"/>
        <v>1</v>
      </c>
      <c r="L452" s="80">
        <v>25.24</v>
      </c>
      <c r="M452" s="81">
        <v>31.994226776400001</v>
      </c>
      <c r="N452" s="82">
        <f t="shared" si="209"/>
        <v>0</v>
      </c>
      <c r="O452" s="82">
        <f t="shared" si="210"/>
        <v>0</v>
      </c>
      <c r="P452" s="82">
        <f>O452+'BM 011'!P452</f>
        <v>0</v>
      </c>
      <c r="Q452" s="80">
        <f t="shared" si="211"/>
        <v>25.24</v>
      </c>
      <c r="R452" s="82">
        <f t="shared" si="212"/>
        <v>31.99</v>
      </c>
      <c r="S452" s="82">
        <f t="shared" si="213"/>
        <v>31.99</v>
      </c>
      <c r="T452" s="82">
        <f t="shared" si="214"/>
        <v>31.99</v>
      </c>
    </row>
    <row r="453" spans="2:20" s="34" customFormat="1" ht="46.2">
      <c r="B453" s="75" t="s">
        <v>884</v>
      </c>
      <c r="C453" s="76" t="s">
        <v>885</v>
      </c>
      <c r="D453" s="77" t="s">
        <v>131</v>
      </c>
      <c r="E453" s="93">
        <v>79</v>
      </c>
      <c r="F453" s="93">
        <v>79</v>
      </c>
      <c r="G453" s="79"/>
      <c r="H453" s="79"/>
      <c r="I453" s="79"/>
      <c r="J453" s="79">
        <f>SUM(H453:I453)+'BM 011'!J453</f>
        <v>0</v>
      </c>
      <c r="K453" s="79">
        <f t="shared" si="208"/>
        <v>79</v>
      </c>
      <c r="L453" s="80">
        <v>13.15</v>
      </c>
      <c r="M453" s="81">
        <v>16.6689414465</v>
      </c>
      <c r="N453" s="82">
        <f t="shared" si="209"/>
        <v>0</v>
      </c>
      <c r="O453" s="82">
        <f t="shared" si="210"/>
        <v>0</v>
      </c>
      <c r="P453" s="82">
        <f>O453+'BM 011'!P453</f>
        <v>0</v>
      </c>
      <c r="Q453" s="80">
        <f t="shared" si="211"/>
        <v>1038.8500000000001</v>
      </c>
      <c r="R453" s="82">
        <f t="shared" si="212"/>
        <v>1316.84</v>
      </c>
      <c r="S453" s="82">
        <f t="shared" si="213"/>
        <v>1316.84</v>
      </c>
      <c r="T453" s="82">
        <f t="shared" si="214"/>
        <v>1316.84</v>
      </c>
    </row>
    <row r="454" spans="2:20" s="34" customFormat="1" ht="23.4">
      <c r="B454" s="75" t="s">
        <v>886</v>
      </c>
      <c r="C454" s="76" t="s">
        <v>757</v>
      </c>
      <c r="D454" s="77" t="s">
        <v>131</v>
      </c>
      <c r="E454" s="93">
        <v>1</v>
      </c>
      <c r="F454" s="93">
        <v>1</v>
      </c>
      <c r="G454" s="79"/>
      <c r="H454" s="79"/>
      <c r="I454" s="79"/>
      <c r="J454" s="79">
        <f>SUM(H454:I454)+'BM 011'!J454</f>
        <v>0</v>
      </c>
      <c r="K454" s="79">
        <f t="shared" si="208"/>
        <v>1</v>
      </c>
      <c r="L454" s="80">
        <v>12.35</v>
      </c>
      <c r="M454" s="81">
        <v>15.6548613585</v>
      </c>
      <c r="N454" s="82">
        <f t="shared" si="209"/>
        <v>0</v>
      </c>
      <c r="O454" s="82">
        <f t="shared" si="210"/>
        <v>0</v>
      </c>
      <c r="P454" s="82">
        <f>O454+'BM 011'!P454</f>
        <v>0</v>
      </c>
      <c r="Q454" s="80">
        <f t="shared" si="211"/>
        <v>12.35</v>
      </c>
      <c r="R454" s="82">
        <f t="shared" si="212"/>
        <v>15.65</v>
      </c>
      <c r="S454" s="82">
        <f t="shared" si="213"/>
        <v>15.65</v>
      </c>
      <c r="T454" s="82">
        <f t="shared" si="214"/>
        <v>15.65</v>
      </c>
    </row>
    <row r="455" spans="2:20" s="34" customFormat="1" ht="23.4">
      <c r="B455" s="75" t="s">
        <v>887</v>
      </c>
      <c r="C455" s="76" t="s">
        <v>761</v>
      </c>
      <c r="D455" s="77" t="s">
        <v>131</v>
      </c>
      <c r="E455" s="93">
        <v>3</v>
      </c>
      <c r="F455" s="93">
        <v>3</v>
      </c>
      <c r="G455" s="79"/>
      <c r="H455" s="79"/>
      <c r="I455" s="79"/>
      <c r="J455" s="79">
        <f>SUM(H455:I455)+'BM 011'!J455</f>
        <v>0</v>
      </c>
      <c r="K455" s="79">
        <f t="shared" si="208"/>
        <v>3</v>
      </c>
      <c r="L455" s="80">
        <v>18.5</v>
      </c>
      <c r="M455" s="81">
        <v>23.450602034999999</v>
      </c>
      <c r="N455" s="82">
        <f t="shared" si="209"/>
        <v>0</v>
      </c>
      <c r="O455" s="82">
        <f t="shared" si="210"/>
        <v>0</v>
      </c>
      <c r="P455" s="82">
        <f>O455+'BM 011'!P455</f>
        <v>0</v>
      </c>
      <c r="Q455" s="80">
        <f t="shared" si="211"/>
        <v>55.5</v>
      </c>
      <c r="R455" s="82">
        <f t="shared" si="212"/>
        <v>70.349999999999994</v>
      </c>
      <c r="S455" s="82">
        <f t="shared" si="213"/>
        <v>70.349999999999994</v>
      </c>
      <c r="T455" s="82">
        <f t="shared" si="214"/>
        <v>70.349999999999994</v>
      </c>
    </row>
    <row r="456" spans="2:20" s="34" customFormat="1" ht="23.4">
      <c r="B456" s="75" t="s">
        <v>888</v>
      </c>
      <c r="C456" s="76" t="s">
        <v>771</v>
      </c>
      <c r="D456" s="77" t="s">
        <v>131</v>
      </c>
      <c r="E456" s="93">
        <v>77</v>
      </c>
      <c r="F456" s="93">
        <v>77</v>
      </c>
      <c r="G456" s="79"/>
      <c r="H456" s="79"/>
      <c r="I456" s="79"/>
      <c r="J456" s="79">
        <f>SUM(H456:I456)+'BM 011'!J456</f>
        <v>0</v>
      </c>
      <c r="K456" s="79">
        <f t="shared" si="208"/>
        <v>77</v>
      </c>
      <c r="L456" s="80">
        <v>6.59</v>
      </c>
      <c r="M456" s="81">
        <v>8.3534847248999995</v>
      </c>
      <c r="N456" s="82">
        <f t="shared" si="209"/>
        <v>0</v>
      </c>
      <c r="O456" s="82">
        <f t="shared" si="210"/>
        <v>0</v>
      </c>
      <c r="P456" s="82">
        <f>O456+'BM 011'!P456</f>
        <v>0</v>
      </c>
      <c r="Q456" s="80">
        <f t="shared" si="211"/>
        <v>507.43</v>
      </c>
      <c r="R456" s="82">
        <f t="shared" si="212"/>
        <v>643.21</v>
      </c>
      <c r="S456" s="82">
        <f t="shared" si="213"/>
        <v>643.21</v>
      </c>
      <c r="T456" s="82">
        <f t="shared" si="214"/>
        <v>643.21</v>
      </c>
    </row>
    <row r="457" spans="2:20" s="34" customFormat="1" ht="23.4">
      <c r="B457" s="75" t="s">
        <v>889</v>
      </c>
      <c r="C457" s="76" t="s">
        <v>773</v>
      </c>
      <c r="D457" s="77" t="s">
        <v>131</v>
      </c>
      <c r="E457" s="93">
        <v>3</v>
      </c>
      <c r="F457" s="93">
        <v>3</v>
      </c>
      <c r="G457" s="79"/>
      <c r="H457" s="79"/>
      <c r="I457" s="79"/>
      <c r="J457" s="79">
        <f>SUM(H457:I457)+'BM 011'!J457</f>
        <v>0</v>
      </c>
      <c r="K457" s="79">
        <f t="shared" si="208"/>
        <v>3</v>
      </c>
      <c r="L457" s="80">
        <v>22.07</v>
      </c>
      <c r="M457" s="81">
        <v>27.9759344277</v>
      </c>
      <c r="N457" s="82">
        <f t="shared" si="209"/>
        <v>0</v>
      </c>
      <c r="O457" s="82">
        <f t="shared" si="210"/>
        <v>0</v>
      </c>
      <c r="P457" s="82">
        <f>O457+'BM 011'!P457</f>
        <v>0</v>
      </c>
      <c r="Q457" s="80">
        <f t="shared" si="211"/>
        <v>66.210000000000008</v>
      </c>
      <c r="R457" s="82">
        <f t="shared" si="212"/>
        <v>83.92</v>
      </c>
      <c r="S457" s="82">
        <f t="shared" si="213"/>
        <v>83.92</v>
      </c>
      <c r="T457" s="82">
        <f t="shared" si="214"/>
        <v>83.92</v>
      </c>
    </row>
    <row r="458" spans="2:20" s="34" customFormat="1" ht="23.4">
      <c r="B458" s="75" t="s">
        <v>890</v>
      </c>
      <c r="C458" s="88" t="s">
        <v>711</v>
      </c>
      <c r="D458" s="89" t="s">
        <v>131</v>
      </c>
      <c r="E458" s="90">
        <v>14</v>
      </c>
      <c r="F458" s="90">
        <v>14</v>
      </c>
      <c r="G458" s="91"/>
      <c r="H458" s="91"/>
      <c r="I458" s="91"/>
      <c r="J458" s="91">
        <f>SUM(H458:I458)+'BM 011'!J458</f>
        <v>0</v>
      </c>
      <c r="K458" s="91">
        <f t="shared" si="208"/>
        <v>14</v>
      </c>
      <c r="L458" s="80">
        <v>14.54</v>
      </c>
      <c r="M458" s="81">
        <v>18.430905599399999</v>
      </c>
      <c r="N458" s="82">
        <f t="shared" si="209"/>
        <v>0</v>
      </c>
      <c r="O458" s="82">
        <f t="shared" si="210"/>
        <v>0</v>
      </c>
      <c r="P458" s="82">
        <f>O458+'BM 011'!P458</f>
        <v>0</v>
      </c>
      <c r="Q458" s="80">
        <f t="shared" si="211"/>
        <v>203.56</v>
      </c>
      <c r="R458" s="82">
        <f t="shared" si="212"/>
        <v>258.02999999999997</v>
      </c>
      <c r="S458" s="82">
        <f t="shared" si="213"/>
        <v>258.02999999999997</v>
      </c>
      <c r="T458" s="82">
        <f t="shared" si="214"/>
        <v>258.02999999999997</v>
      </c>
    </row>
    <row r="459" spans="2:20" s="34" customFormat="1" ht="46.2">
      <c r="B459" s="75" t="s">
        <v>891</v>
      </c>
      <c r="C459" s="76" t="s">
        <v>892</v>
      </c>
      <c r="D459" s="77" t="s">
        <v>131</v>
      </c>
      <c r="E459" s="93">
        <v>91</v>
      </c>
      <c r="F459" s="93">
        <v>91</v>
      </c>
      <c r="G459" s="79"/>
      <c r="H459" s="79"/>
      <c r="I459" s="79"/>
      <c r="J459" s="79">
        <f>SUM(H459:I459)+'BM 011'!J459</f>
        <v>0</v>
      </c>
      <c r="K459" s="79">
        <f t="shared" si="208"/>
        <v>91</v>
      </c>
      <c r="L459" s="80">
        <v>22.83</v>
      </c>
      <c r="M459" s="81">
        <v>28.9393105113</v>
      </c>
      <c r="N459" s="82">
        <f t="shared" si="209"/>
        <v>0</v>
      </c>
      <c r="O459" s="82">
        <f t="shared" si="210"/>
        <v>0</v>
      </c>
      <c r="P459" s="82">
        <f>O459+'BM 011'!P459</f>
        <v>0</v>
      </c>
      <c r="Q459" s="80">
        <f t="shared" si="211"/>
        <v>2077.5299999999997</v>
      </c>
      <c r="R459" s="82">
        <f t="shared" si="212"/>
        <v>2633.47</v>
      </c>
      <c r="S459" s="82">
        <f t="shared" si="213"/>
        <v>2633.47</v>
      </c>
      <c r="T459" s="82">
        <f t="shared" si="214"/>
        <v>2633.47</v>
      </c>
    </row>
    <row r="460" spans="2:20" s="34" customFormat="1" ht="46.2">
      <c r="B460" s="75" t="s">
        <v>893</v>
      </c>
      <c r="C460" s="76" t="s">
        <v>894</v>
      </c>
      <c r="D460" s="77" t="s">
        <v>131</v>
      </c>
      <c r="E460" s="93">
        <v>26</v>
      </c>
      <c r="F460" s="93">
        <v>26</v>
      </c>
      <c r="G460" s="79"/>
      <c r="H460" s="79"/>
      <c r="I460" s="79"/>
      <c r="J460" s="79">
        <f>SUM(H460:I460)+'BM 011'!J460</f>
        <v>0</v>
      </c>
      <c r="K460" s="79">
        <f t="shared" si="208"/>
        <v>26</v>
      </c>
      <c r="L460" s="80">
        <v>42.22</v>
      </c>
      <c r="M460" s="81">
        <v>53.518076644200001</v>
      </c>
      <c r="N460" s="82">
        <f t="shared" si="209"/>
        <v>0</v>
      </c>
      <c r="O460" s="82">
        <f t="shared" si="210"/>
        <v>0</v>
      </c>
      <c r="P460" s="82">
        <f>O460+'BM 011'!P460</f>
        <v>0</v>
      </c>
      <c r="Q460" s="80">
        <f t="shared" si="211"/>
        <v>1097.72</v>
      </c>
      <c r="R460" s="82">
        <f t="shared" si="212"/>
        <v>1391.46</v>
      </c>
      <c r="S460" s="82">
        <f t="shared" si="213"/>
        <v>1391.46</v>
      </c>
      <c r="T460" s="82">
        <f t="shared" si="214"/>
        <v>1391.46</v>
      </c>
    </row>
    <row r="461" spans="2:20" s="34" customFormat="1" ht="23.4">
      <c r="B461" s="75" t="s">
        <v>895</v>
      </c>
      <c r="C461" s="76" t="s">
        <v>896</v>
      </c>
      <c r="D461" s="77" t="s">
        <v>131</v>
      </c>
      <c r="E461" s="93">
        <v>46</v>
      </c>
      <c r="F461" s="93">
        <v>46</v>
      </c>
      <c r="G461" s="79"/>
      <c r="H461" s="79"/>
      <c r="I461" s="79"/>
      <c r="J461" s="79">
        <f>SUM(H461:I461)+'BM 011'!J461</f>
        <v>0</v>
      </c>
      <c r="K461" s="79">
        <f t="shared" si="208"/>
        <v>46</v>
      </c>
      <c r="L461" s="80">
        <v>110</v>
      </c>
      <c r="M461" s="81">
        <v>139.4360121</v>
      </c>
      <c r="N461" s="82">
        <f t="shared" si="209"/>
        <v>0</v>
      </c>
      <c r="O461" s="82">
        <f t="shared" si="210"/>
        <v>0</v>
      </c>
      <c r="P461" s="82">
        <f>O461+'BM 011'!P461</f>
        <v>0</v>
      </c>
      <c r="Q461" s="80">
        <f t="shared" si="211"/>
        <v>5060</v>
      </c>
      <c r="R461" s="82">
        <f t="shared" si="212"/>
        <v>6414.05</v>
      </c>
      <c r="S461" s="82">
        <f t="shared" si="213"/>
        <v>6414.05</v>
      </c>
      <c r="T461" s="82">
        <f t="shared" si="214"/>
        <v>6414.05</v>
      </c>
    </row>
    <row r="462" spans="2:20" s="34" customFormat="1" ht="34.799999999999997">
      <c r="B462" s="75" t="s">
        <v>897</v>
      </c>
      <c r="C462" s="76" t="s">
        <v>898</v>
      </c>
      <c r="D462" s="77" t="s">
        <v>131</v>
      </c>
      <c r="E462" s="93">
        <v>11</v>
      </c>
      <c r="F462" s="93">
        <v>11</v>
      </c>
      <c r="G462" s="79"/>
      <c r="H462" s="79"/>
      <c r="I462" s="79"/>
      <c r="J462" s="79">
        <f>SUM(H462:I462)+'BM 011'!J462</f>
        <v>0</v>
      </c>
      <c r="K462" s="79">
        <f t="shared" si="208"/>
        <v>11</v>
      </c>
      <c r="L462" s="80">
        <v>35.5</v>
      </c>
      <c r="M462" s="81">
        <v>44.999803905</v>
      </c>
      <c r="N462" s="82">
        <f t="shared" si="209"/>
        <v>0</v>
      </c>
      <c r="O462" s="82">
        <f t="shared" si="210"/>
        <v>0</v>
      </c>
      <c r="P462" s="82">
        <f>O462+'BM 011'!P462</f>
        <v>0</v>
      </c>
      <c r="Q462" s="80">
        <f t="shared" si="211"/>
        <v>390.5</v>
      </c>
      <c r="R462" s="82">
        <f t="shared" si="212"/>
        <v>494.99</v>
      </c>
      <c r="S462" s="82">
        <f t="shared" si="213"/>
        <v>494.99</v>
      </c>
      <c r="T462" s="82">
        <f t="shared" si="214"/>
        <v>494.99</v>
      </c>
    </row>
    <row r="463" spans="2:20" s="34" customFormat="1" ht="46.2">
      <c r="B463" s="75" t="s">
        <v>899</v>
      </c>
      <c r="C463" s="76" t="s">
        <v>900</v>
      </c>
      <c r="D463" s="77" t="s">
        <v>131</v>
      </c>
      <c r="E463" s="93">
        <v>12</v>
      </c>
      <c r="F463" s="93">
        <v>12</v>
      </c>
      <c r="G463" s="79"/>
      <c r="H463" s="79"/>
      <c r="I463" s="79"/>
      <c r="J463" s="79">
        <f>SUM(H463:I463)+'BM 011'!J463</f>
        <v>0</v>
      </c>
      <c r="K463" s="79">
        <f t="shared" si="208"/>
        <v>12</v>
      </c>
      <c r="L463" s="80">
        <v>37.299999999999997</v>
      </c>
      <c r="M463" s="81">
        <v>47.281484102999997</v>
      </c>
      <c r="N463" s="82">
        <f t="shared" si="209"/>
        <v>0</v>
      </c>
      <c r="O463" s="82">
        <f t="shared" si="210"/>
        <v>0</v>
      </c>
      <c r="P463" s="82">
        <f>O463+'BM 011'!P463</f>
        <v>0</v>
      </c>
      <c r="Q463" s="80">
        <f t="shared" si="211"/>
        <v>447.59999999999997</v>
      </c>
      <c r="R463" s="82">
        <f t="shared" si="212"/>
        <v>567.37</v>
      </c>
      <c r="S463" s="82">
        <f t="shared" si="213"/>
        <v>567.37</v>
      </c>
      <c r="T463" s="82">
        <f t="shared" si="214"/>
        <v>567.37</v>
      </c>
    </row>
    <row r="464" spans="2:20" s="34" customFormat="1" ht="46.2">
      <c r="B464" s="75" t="s">
        <v>901</v>
      </c>
      <c r="C464" s="76" t="s">
        <v>902</v>
      </c>
      <c r="D464" s="77" t="s">
        <v>131</v>
      </c>
      <c r="E464" s="93">
        <v>2</v>
      </c>
      <c r="F464" s="93">
        <v>2</v>
      </c>
      <c r="G464" s="79"/>
      <c r="H464" s="79"/>
      <c r="I464" s="79"/>
      <c r="J464" s="79">
        <f>SUM(H464:I464)+'BM 011'!J464</f>
        <v>0</v>
      </c>
      <c r="K464" s="79">
        <f t="shared" si="208"/>
        <v>2</v>
      </c>
      <c r="L464" s="80">
        <v>42.5</v>
      </c>
      <c r="M464" s="81">
        <v>53.873004674999997</v>
      </c>
      <c r="N464" s="82">
        <f t="shared" si="209"/>
        <v>0</v>
      </c>
      <c r="O464" s="82">
        <f t="shared" si="210"/>
        <v>0</v>
      </c>
      <c r="P464" s="82">
        <f>O464+'BM 011'!P464</f>
        <v>0</v>
      </c>
      <c r="Q464" s="80">
        <f t="shared" si="211"/>
        <v>85</v>
      </c>
      <c r="R464" s="82">
        <f t="shared" si="212"/>
        <v>107.74</v>
      </c>
      <c r="S464" s="82">
        <f t="shared" si="213"/>
        <v>107.74</v>
      </c>
      <c r="T464" s="82">
        <f t="shared" si="214"/>
        <v>107.74</v>
      </c>
    </row>
    <row r="465" spans="2:20" s="34" customFormat="1" ht="23.4">
      <c r="B465" s="75" t="s">
        <v>903</v>
      </c>
      <c r="C465" s="76" t="s">
        <v>904</v>
      </c>
      <c r="D465" s="77" t="s">
        <v>131</v>
      </c>
      <c r="E465" s="93">
        <v>6</v>
      </c>
      <c r="F465" s="93">
        <v>6</v>
      </c>
      <c r="G465" s="79"/>
      <c r="H465" s="79"/>
      <c r="I465" s="79"/>
      <c r="J465" s="79">
        <f>SUM(H465:I465)+'BM 011'!J465</f>
        <v>0</v>
      </c>
      <c r="K465" s="79">
        <f t="shared" si="208"/>
        <v>6</v>
      </c>
      <c r="L465" s="80">
        <v>68</v>
      </c>
      <c r="M465" s="81">
        <v>86.196807480000004</v>
      </c>
      <c r="N465" s="82">
        <f t="shared" si="209"/>
        <v>0</v>
      </c>
      <c r="O465" s="82">
        <f t="shared" si="210"/>
        <v>0</v>
      </c>
      <c r="P465" s="82">
        <f>O465+'BM 011'!P465</f>
        <v>0</v>
      </c>
      <c r="Q465" s="80">
        <f t="shared" si="211"/>
        <v>408</v>
      </c>
      <c r="R465" s="82">
        <f t="shared" si="212"/>
        <v>517.17999999999995</v>
      </c>
      <c r="S465" s="82">
        <f t="shared" si="213"/>
        <v>517.17999999999995</v>
      </c>
      <c r="T465" s="82">
        <f t="shared" si="214"/>
        <v>517.17999999999995</v>
      </c>
    </row>
    <row r="466" spans="2:20" s="34" customFormat="1" ht="46.2">
      <c r="B466" s="75" t="s">
        <v>905</v>
      </c>
      <c r="C466" s="76" t="s">
        <v>906</v>
      </c>
      <c r="D466" s="77" t="s">
        <v>131</v>
      </c>
      <c r="E466" s="93">
        <v>3</v>
      </c>
      <c r="F466" s="93">
        <v>3</v>
      </c>
      <c r="G466" s="79"/>
      <c r="H466" s="79"/>
      <c r="I466" s="79"/>
      <c r="J466" s="79">
        <f>SUM(H466:I466)+'BM 011'!J466</f>
        <v>0</v>
      </c>
      <c r="K466" s="79">
        <f t="shared" si="208"/>
        <v>3</v>
      </c>
      <c r="L466" s="80">
        <v>36.61</v>
      </c>
      <c r="M466" s="81">
        <v>46.406840027100003</v>
      </c>
      <c r="N466" s="82">
        <f t="shared" si="209"/>
        <v>0</v>
      </c>
      <c r="O466" s="82">
        <f t="shared" si="210"/>
        <v>0</v>
      </c>
      <c r="P466" s="82">
        <f>O466+'BM 011'!P466</f>
        <v>0</v>
      </c>
      <c r="Q466" s="80">
        <f t="shared" si="211"/>
        <v>109.83</v>
      </c>
      <c r="R466" s="82">
        <f t="shared" si="212"/>
        <v>139.22</v>
      </c>
      <c r="S466" s="82">
        <f t="shared" si="213"/>
        <v>139.22</v>
      </c>
      <c r="T466" s="82">
        <f t="shared" si="214"/>
        <v>139.22</v>
      </c>
    </row>
    <row r="467" spans="2:20" s="34" customFormat="1" ht="46.2">
      <c r="B467" s="75" t="s">
        <v>907</v>
      </c>
      <c r="C467" s="76" t="s">
        <v>908</v>
      </c>
      <c r="D467" s="77" t="s">
        <v>131</v>
      </c>
      <c r="E467" s="93">
        <v>3</v>
      </c>
      <c r="F467" s="93">
        <v>3</v>
      </c>
      <c r="G467" s="79"/>
      <c r="H467" s="79"/>
      <c r="I467" s="79"/>
      <c r="J467" s="79">
        <f>SUM(H467:I467)+'BM 011'!J467</f>
        <v>0</v>
      </c>
      <c r="K467" s="79">
        <f t="shared" si="208"/>
        <v>3</v>
      </c>
      <c r="L467" s="82">
        <v>11.81</v>
      </c>
      <c r="M467" s="81">
        <v>14.9703572991</v>
      </c>
      <c r="N467" s="82">
        <f t="shared" si="209"/>
        <v>0</v>
      </c>
      <c r="O467" s="82">
        <f t="shared" si="210"/>
        <v>0</v>
      </c>
      <c r="P467" s="82">
        <f>O467+'BM 011'!P467</f>
        <v>0</v>
      </c>
      <c r="Q467" s="82">
        <f t="shared" si="211"/>
        <v>35.43</v>
      </c>
      <c r="R467" s="82">
        <f t="shared" si="212"/>
        <v>44.91</v>
      </c>
      <c r="S467" s="82">
        <f t="shared" si="213"/>
        <v>44.91</v>
      </c>
      <c r="T467" s="82">
        <f t="shared" si="214"/>
        <v>44.91</v>
      </c>
    </row>
    <row r="468" spans="2:20" s="34" customFormat="1" ht="34.799999999999997">
      <c r="B468" s="75" t="s">
        <v>909</v>
      </c>
      <c r="C468" s="76" t="s">
        <v>910</v>
      </c>
      <c r="D468" s="77" t="s">
        <v>131</v>
      </c>
      <c r="E468" s="93">
        <v>72</v>
      </c>
      <c r="F468" s="93">
        <v>72</v>
      </c>
      <c r="G468" s="79"/>
      <c r="H468" s="79"/>
      <c r="I468" s="79"/>
      <c r="J468" s="79">
        <f>SUM(H468:I468)+'BM 011'!J468</f>
        <v>0</v>
      </c>
      <c r="K468" s="79">
        <f t="shared" si="208"/>
        <v>72</v>
      </c>
      <c r="L468" s="82">
        <v>13</v>
      </c>
      <c r="M468" s="81">
        <v>16.478801430000001</v>
      </c>
      <c r="N468" s="82">
        <f t="shared" si="209"/>
        <v>0</v>
      </c>
      <c r="O468" s="82">
        <f t="shared" si="210"/>
        <v>0</v>
      </c>
      <c r="P468" s="82">
        <f>O468+'BM 011'!P468</f>
        <v>0</v>
      </c>
      <c r="Q468" s="82">
        <f t="shared" si="211"/>
        <v>936</v>
      </c>
      <c r="R468" s="82">
        <f t="shared" si="212"/>
        <v>1186.47</v>
      </c>
      <c r="S468" s="82">
        <f t="shared" si="213"/>
        <v>1186.47</v>
      </c>
      <c r="T468" s="82">
        <f t="shared" si="214"/>
        <v>1186.47</v>
      </c>
    </row>
    <row r="469" spans="2:20" s="34" customFormat="1" ht="13.2">
      <c r="B469" s="75" t="s">
        <v>911</v>
      </c>
      <c r="C469" s="76"/>
      <c r="D469" s="77"/>
      <c r="E469" s="93"/>
      <c r="F469" s="93">
        <v>0</v>
      </c>
      <c r="G469" s="79"/>
      <c r="H469" s="79"/>
      <c r="I469" s="79"/>
      <c r="J469" s="79">
        <f>SUM(H469:I469)+'BM 011'!J469</f>
        <v>0</v>
      </c>
      <c r="K469" s="79">
        <f t="shared" si="208"/>
        <v>0</v>
      </c>
      <c r="L469" s="82"/>
      <c r="M469" s="81">
        <v>0</v>
      </c>
      <c r="N469" s="82">
        <f t="shared" si="209"/>
        <v>0</v>
      </c>
      <c r="O469" s="82">
        <f t="shared" si="210"/>
        <v>0</v>
      </c>
      <c r="P469" s="82">
        <f>O469+'BM 011'!P469</f>
        <v>0</v>
      </c>
      <c r="Q469" s="82"/>
      <c r="R469" s="82">
        <f t="shared" si="212"/>
        <v>0</v>
      </c>
      <c r="S469" s="82">
        <f t="shared" si="213"/>
        <v>0</v>
      </c>
      <c r="T469" s="82">
        <f t="shared" si="214"/>
        <v>0</v>
      </c>
    </row>
    <row r="470" spans="2:20" s="34" customFormat="1" ht="34.799999999999997">
      <c r="B470" s="75" t="s">
        <v>912</v>
      </c>
      <c r="C470" s="76" t="s">
        <v>733</v>
      </c>
      <c r="D470" s="77" t="s">
        <v>131</v>
      </c>
      <c r="E470" s="93">
        <v>8</v>
      </c>
      <c r="F470" s="93">
        <v>8</v>
      </c>
      <c r="G470" s="79"/>
      <c r="H470" s="79"/>
      <c r="I470" s="79"/>
      <c r="J470" s="79">
        <f>SUM(H470:I470)+'BM 011'!J470</f>
        <v>0</v>
      </c>
      <c r="K470" s="79">
        <f t="shared" si="208"/>
        <v>8</v>
      </c>
      <c r="L470" s="82">
        <v>3.95</v>
      </c>
      <c r="M470" s="81">
        <v>5.0070204345000002</v>
      </c>
      <c r="N470" s="82">
        <f t="shared" si="209"/>
        <v>0</v>
      </c>
      <c r="O470" s="82">
        <f t="shared" si="210"/>
        <v>0</v>
      </c>
      <c r="P470" s="82">
        <f>O470+'BM 011'!P470</f>
        <v>0</v>
      </c>
      <c r="Q470" s="82">
        <f t="shared" ref="Q470:Q480" si="215">E470*L470</f>
        <v>31.6</v>
      </c>
      <c r="R470" s="82">
        <f t="shared" si="212"/>
        <v>40.049999999999997</v>
      </c>
      <c r="S470" s="82">
        <f t="shared" si="213"/>
        <v>40.049999999999997</v>
      </c>
      <c r="T470" s="82">
        <f t="shared" si="214"/>
        <v>40.049999999999997</v>
      </c>
    </row>
    <row r="471" spans="2:20" s="34" customFormat="1" ht="34.799999999999997">
      <c r="B471" s="75" t="s">
        <v>913</v>
      </c>
      <c r="C471" s="88" t="s">
        <v>735</v>
      </c>
      <c r="D471" s="89" t="s">
        <v>131</v>
      </c>
      <c r="E471" s="90">
        <v>238</v>
      </c>
      <c r="F471" s="90">
        <v>238</v>
      </c>
      <c r="G471" s="91"/>
      <c r="H471" s="91"/>
      <c r="I471" s="91"/>
      <c r="J471" s="91">
        <f>SUM(H471:I471)+'BM 011'!J471</f>
        <v>0</v>
      </c>
      <c r="K471" s="91">
        <f t="shared" si="208"/>
        <v>238</v>
      </c>
      <c r="L471" s="80">
        <v>4.67</v>
      </c>
      <c r="M471" s="81">
        <v>5.9196925137000003</v>
      </c>
      <c r="N471" s="82">
        <f t="shared" si="209"/>
        <v>0</v>
      </c>
      <c r="O471" s="82">
        <f t="shared" si="210"/>
        <v>0</v>
      </c>
      <c r="P471" s="82">
        <f>O471+'BM 011'!P471</f>
        <v>0</v>
      </c>
      <c r="Q471" s="80">
        <f t="shared" si="215"/>
        <v>1111.46</v>
      </c>
      <c r="R471" s="82">
        <f t="shared" si="212"/>
        <v>1408.88</v>
      </c>
      <c r="S471" s="82">
        <f t="shared" si="213"/>
        <v>1408.88</v>
      </c>
      <c r="T471" s="82">
        <f t="shared" si="214"/>
        <v>1408.88</v>
      </c>
    </row>
    <row r="472" spans="2:20" s="34" customFormat="1" ht="34.799999999999997">
      <c r="B472" s="75" t="s">
        <v>914</v>
      </c>
      <c r="C472" s="76" t="s">
        <v>739</v>
      </c>
      <c r="D472" s="77" t="s">
        <v>131</v>
      </c>
      <c r="E472" s="93">
        <v>30</v>
      </c>
      <c r="F472" s="93">
        <v>30</v>
      </c>
      <c r="G472" s="79"/>
      <c r="H472" s="79"/>
      <c r="I472" s="79"/>
      <c r="J472" s="79">
        <f>SUM(H472:I472)+'BM 011'!J472</f>
        <v>0</v>
      </c>
      <c r="K472" s="79">
        <f t="shared" si="208"/>
        <v>30</v>
      </c>
      <c r="L472" s="80">
        <v>11.5</v>
      </c>
      <c r="M472" s="81">
        <v>14.577401265000001</v>
      </c>
      <c r="N472" s="82">
        <f t="shared" si="209"/>
        <v>0</v>
      </c>
      <c r="O472" s="82">
        <f t="shared" si="210"/>
        <v>0</v>
      </c>
      <c r="P472" s="82">
        <f>O472+'BM 011'!P472</f>
        <v>0</v>
      </c>
      <c r="Q472" s="80">
        <f t="shared" si="215"/>
        <v>345</v>
      </c>
      <c r="R472" s="82">
        <f t="shared" si="212"/>
        <v>437.32</v>
      </c>
      <c r="S472" s="82">
        <f t="shared" si="213"/>
        <v>437.32</v>
      </c>
      <c r="T472" s="82">
        <f t="shared" si="214"/>
        <v>437.32</v>
      </c>
    </row>
    <row r="473" spans="2:20" s="34" customFormat="1" ht="34.799999999999997">
      <c r="B473" s="75" t="s">
        <v>915</v>
      </c>
      <c r="C473" s="76" t="s">
        <v>916</v>
      </c>
      <c r="D473" s="77" t="s">
        <v>131</v>
      </c>
      <c r="E473" s="93">
        <v>1</v>
      </c>
      <c r="F473" s="93">
        <v>1</v>
      </c>
      <c r="G473" s="79"/>
      <c r="H473" s="79"/>
      <c r="I473" s="79"/>
      <c r="J473" s="79">
        <f>SUM(H473:I473)+'BM 011'!J473</f>
        <v>0</v>
      </c>
      <c r="K473" s="79">
        <f t="shared" si="208"/>
        <v>1</v>
      </c>
      <c r="L473" s="80">
        <v>10.5</v>
      </c>
      <c r="M473" s="81">
        <v>13.309801155000001</v>
      </c>
      <c r="N473" s="82">
        <f t="shared" si="209"/>
        <v>0</v>
      </c>
      <c r="O473" s="82">
        <f t="shared" si="210"/>
        <v>0</v>
      </c>
      <c r="P473" s="82">
        <f>O473+'BM 011'!P473</f>
        <v>0</v>
      </c>
      <c r="Q473" s="80">
        <f t="shared" si="215"/>
        <v>10.5</v>
      </c>
      <c r="R473" s="82">
        <f t="shared" si="212"/>
        <v>13.3</v>
      </c>
      <c r="S473" s="82">
        <f t="shared" si="213"/>
        <v>13.3</v>
      </c>
      <c r="T473" s="82">
        <f t="shared" si="214"/>
        <v>13.3</v>
      </c>
    </row>
    <row r="474" spans="2:20" s="34" customFormat="1" ht="34.799999999999997">
      <c r="B474" s="75" t="s">
        <v>917</v>
      </c>
      <c r="C474" s="76" t="s">
        <v>918</v>
      </c>
      <c r="D474" s="77" t="s">
        <v>131</v>
      </c>
      <c r="E474" s="93">
        <v>1</v>
      </c>
      <c r="F474" s="93">
        <v>1</v>
      </c>
      <c r="G474" s="79"/>
      <c r="H474" s="79"/>
      <c r="I474" s="79"/>
      <c r="J474" s="79">
        <f>SUM(H474:I474)+'BM 011'!J474</f>
        <v>0</v>
      </c>
      <c r="K474" s="79">
        <f t="shared" si="208"/>
        <v>1</v>
      </c>
      <c r="L474" s="80">
        <v>10.14</v>
      </c>
      <c r="M474" s="81">
        <v>12.853465115400001</v>
      </c>
      <c r="N474" s="82">
        <f t="shared" si="209"/>
        <v>0</v>
      </c>
      <c r="O474" s="82">
        <f t="shared" si="210"/>
        <v>0</v>
      </c>
      <c r="P474" s="82">
        <f>O474+'BM 011'!P474</f>
        <v>0</v>
      </c>
      <c r="Q474" s="80">
        <f t="shared" si="215"/>
        <v>10.14</v>
      </c>
      <c r="R474" s="82">
        <f t="shared" si="212"/>
        <v>12.85</v>
      </c>
      <c r="S474" s="82">
        <f t="shared" si="213"/>
        <v>12.85</v>
      </c>
      <c r="T474" s="82">
        <f t="shared" si="214"/>
        <v>12.85</v>
      </c>
    </row>
    <row r="475" spans="2:20" s="34" customFormat="1" ht="34.799999999999997">
      <c r="B475" s="75" t="s">
        <v>919</v>
      </c>
      <c r="C475" s="88" t="s">
        <v>717</v>
      </c>
      <c r="D475" s="89" t="s">
        <v>131</v>
      </c>
      <c r="E475" s="90">
        <v>238</v>
      </c>
      <c r="F475" s="90">
        <v>238</v>
      </c>
      <c r="G475" s="91"/>
      <c r="H475" s="91"/>
      <c r="I475" s="91"/>
      <c r="J475" s="91">
        <f>SUM(H475:I475)+'BM 011'!J475</f>
        <v>0</v>
      </c>
      <c r="K475" s="91">
        <f t="shared" si="208"/>
        <v>238</v>
      </c>
      <c r="L475" s="80">
        <v>8</v>
      </c>
      <c r="M475" s="81">
        <v>10.14080088</v>
      </c>
      <c r="N475" s="82">
        <f t="shared" ref="N475:N480" si="216">TRUNC(G475*M475,2)</f>
        <v>0</v>
      </c>
      <c r="O475" s="82">
        <f t="shared" ref="O475:O480" si="217">TRUNC(H475*M475,2)</f>
        <v>0</v>
      </c>
      <c r="P475" s="82">
        <f>O475+'BM 011'!P475</f>
        <v>0</v>
      </c>
      <c r="Q475" s="80">
        <f t="shared" si="215"/>
        <v>1904</v>
      </c>
      <c r="R475" s="82">
        <f t="shared" ref="R475:R480" si="218">TRUNC(E475*M475,2)</f>
        <v>2413.5100000000002</v>
      </c>
      <c r="S475" s="82">
        <f t="shared" ref="S475:S480" si="219">TRUNC(F475*$M475,2)</f>
        <v>2413.5100000000002</v>
      </c>
      <c r="T475" s="82">
        <f t="shared" ref="T475:T480" si="220">S475-P475</f>
        <v>2413.5100000000002</v>
      </c>
    </row>
    <row r="476" spans="2:20" s="34" customFormat="1" ht="34.799999999999997">
      <c r="B476" s="75" t="s">
        <v>920</v>
      </c>
      <c r="C476" s="88" t="s">
        <v>921</v>
      </c>
      <c r="D476" s="89" t="s">
        <v>131</v>
      </c>
      <c r="E476" s="90">
        <v>6</v>
      </c>
      <c r="F476" s="90">
        <v>6</v>
      </c>
      <c r="G476" s="91"/>
      <c r="H476" s="91"/>
      <c r="I476" s="91"/>
      <c r="J476" s="91">
        <f>SUM(H476:I476)+'BM 011'!J476</f>
        <v>0</v>
      </c>
      <c r="K476" s="91">
        <f t="shared" si="208"/>
        <v>6</v>
      </c>
      <c r="L476" s="80">
        <v>7.51</v>
      </c>
      <c r="M476" s="81">
        <v>9.5196768260999995</v>
      </c>
      <c r="N476" s="82">
        <f t="shared" si="216"/>
        <v>0</v>
      </c>
      <c r="O476" s="82">
        <f t="shared" si="217"/>
        <v>0</v>
      </c>
      <c r="P476" s="82">
        <f>O476+'BM 011'!P476</f>
        <v>0</v>
      </c>
      <c r="Q476" s="80">
        <f t="shared" si="215"/>
        <v>45.06</v>
      </c>
      <c r="R476" s="82">
        <f t="shared" si="218"/>
        <v>57.11</v>
      </c>
      <c r="S476" s="82">
        <f t="shared" si="219"/>
        <v>57.11</v>
      </c>
      <c r="T476" s="82">
        <f t="shared" si="220"/>
        <v>57.11</v>
      </c>
    </row>
    <row r="477" spans="2:20" s="34" customFormat="1" ht="34.799999999999997">
      <c r="B477" s="87" t="s">
        <v>922</v>
      </c>
      <c r="C477" s="88" t="s">
        <v>721</v>
      </c>
      <c r="D477" s="89" t="s">
        <v>131</v>
      </c>
      <c r="E477" s="90">
        <v>8</v>
      </c>
      <c r="F477" s="90">
        <v>8</v>
      </c>
      <c r="G477" s="91"/>
      <c r="H477" s="91"/>
      <c r="I477" s="91"/>
      <c r="J477" s="91">
        <f>SUM(H477:I477)+'BM 011'!J477</f>
        <v>0</v>
      </c>
      <c r="K477" s="91">
        <f t="shared" si="208"/>
        <v>8</v>
      </c>
      <c r="L477" s="80">
        <v>10.5</v>
      </c>
      <c r="M477" s="81">
        <v>13.309801155000001</v>
      </c>
      <c r="N477" s="82">
        <f t="shared" si="216"/>
        <v>0</v>
      </c>
      <c r="O477" s="82">
        <f t="shared" si="217"/>
        <v>0</v>
      </c>
      <c r="P477" s="82">
        <f>O477+'BM 011'!P477</f>
        <v>0</v>
      </c>
      <c r="Q477" s="80">
        <f t="shared" si="215"/>
        <v>84</v>
      </c>
      <c r="R477" s="82">
        <f t="shared" si="218"/>
        <v>106.47</v>
      </c>
      <c r="S477" s="82">
        <f t="shared" si="219"/>
        <v>106.47</v>
      </c>
      <c r="T477" s="82">
        <f t="shared" si="220"/>
        <v>106.47</v>
      </c>
    </row>
    <row r="478" spans="2:20" s="34" customFormat="1" ht="23.4">
      <c r="B478" s="75" t="s">
        <v>1749</v>
      </c>
      <c r="C478" s="88" t="s">
        <v>1750</v>
      </c>
      <c r="D478" s="89" t="s">
        <v>82</v>
      </c>
      <c r="E478" s="90"/>
      <c r="F478" s="90">
        <v>400</v>
      </c>
      <c r="G478" s="91"/>
      <c r="H478" s="91"/>
      <c r="I478" s="91"/>
      <c r="J478" s="91">
        <f>SUM(H478:I478)+'BM 011'!J478</f>
        <v>0</v>
      </c>
      <c r="K478" s="91">
        <f t="shared" ref="K478:K541" si="221">F478-J478</f>
        <v>400</v>
      </c>
      <c r="L478" s="80"/>
      <c r="M478" s="81">
        <v>14.75</v>
      </c>
      <c r="N478" s="82">
        <f t="shared" si="216"/>
        <v>0</v>
      </c>
      <c r="O478" s="82">
        <f t="shared" si="217"/>
        <v>0</v>
      </c>
      <c r="P478" s="82">
        <f>O478+'BM 011'!P478</f>
        <v>0</v>
      </c>
      <c r="Q478" s="80">
        <f t="shared" si="215"/>
        <v>0</v>
      </c>
      <c r="R478" s="82">
        <f t="shared" si="218"/>
        <v>0</v>
      </c>
      <c r="S478" s="82">
        <f t="shared" si="219"/>
        <v>5900</v>
      </c>
      <c r="T478" s="82">
        <f t="shared" si="220"/>
        <v>5900</v>
      </c>
    </row>
    <row r="479" spans="2:20" s="34" customFormat="1" ht="23.4">
      <c r="B479" s="75" t="s">
        <v>1751</v>
      </c>
      <c r="C479" s="88" t="s">
        <v>1752</v>
      </c>
      <c r="D479" s="89" t="s">
        <v>82</v>
      </c>
      <c r="E479" s="90"/>
      <c r="F479" s="90">
        <v>400</v>
      </c>
      <c r="G479" s="91"/>
      <c r="H479" s="91"/>
      <c r="I479" s="91"/>
      <c r="J479" s="91">
        <f>SUM(H479:I479)+'BM 011'!J479</f>
        <v>0</v>
      </c>
      <c r="K479" s="91">
        <f t="shared" si="221"/>
        <v>400</v>
      </c>
      <c r="L479" s="80"/>
      <c r="M479" s="81">
        <v>14.04</v>
      </c>
      <c r="N479" s="82">
        <f t="shared" si="216"/>
        <v>0</v>
      </c>
      <c r="O479" s="82">
        <f t="shared" si="217"/>
        <v>0</v>
      </c>
      <c r="P479" s="82">
        <f>O479+'BM 011'!P479</f>
        <v>0</v>
      </c>
      <c r="Q479" s="80">
        <f t="shared" si="215"/>
        <v>0</v>
      </c>
      <c r="R479" s="82">
        <f t="shared" si="218"/>
        <v>0</v>
      </c>
      <c r="S479" s="82">
        <f t="shared" si="219"/>
        <v>5616</v>
      </c>
      <c r="T479" s="82">
        <f t="shared" si="220"/>
        <v>5616</v>
      </c>
    </row>
    <row r="480" spans="2:20" s="34" customFormat="1" ht="34.799999999999997">
      <c r="B480" s="75" t="s">
        <v>1753</v>
      </c>
      <c r="C480" s="88" t="s">
        <v>1754</v>
      </c>
      <c r="D480" s="89" t="s">
        <v>39</v>
      </c>
      <c r="E480" s="90"/>
      <c r="F480" s="90">
        <v>40</v>
      </c>
      <c r="G480" s="91"/>
      <c r="H480" s="91"/>
      <c r="I480" s="91"/>
      <c r="J480" s="91">
        <f>SUM(H480:I480)+'BM 011'!J480</f>
        <v>0</v>
      </c>
      <c r="K480" s="91">
        <f t="shared" si="221"/>
        <v>40</v>
      </c>
      <c r="L480" s="80"/>
      <c r="M480" s="81">
        <v>325.54000000000002</v>
      </c>
      <c r="N480" s="82">
        <f t="shared" si="216"/>
        <v>0</v>
      </c>
      <c r="O480" s="82">
        <f t="shared" si="217"/>
        <v>0</v>
      </c>
      <c r="P480" s="82">
        <f>O480+'BM 011'!P480</f>
        <v>0</v>
      </c>
      <c r="Q480" s="80">
        <f t="shared" si="215"/>
        <v>0</v>
      </c>
      <c r="R480" s="82">
        <f t="shared" si="218"/>
        <v>0</v>
      </c>
      <c r="S480" s="82">
        <f t="shared" si="219"/>
        <v>13021.6</v>
      </c>
      <c r="T480" s="82">
        <f t="shared" si="220"/>
        <v>13021.6</v>
      </c>
    </row>
    <row r="481" spans="2:20" s="34" customFormat="1" ht="24">
      <c r="B481" s="66" t="s">
        <v>923</v>
      </c>
      <c r="C481" s="67" t="s">
        <v>924</v>
      </c>
      <c r="D481" s="68"/>
      <c r="E481" s="69"/>
      <c r="F481" s="69"/>
      <c r="G481" s="70"/>
      <c r="H481" s="70"/>
      <c r="I481" s="70"/>
      <c r="J481" s="70">
        <f>SUM(H481:I481)+'BM 011'!J481</f>
        <v>0</v>
      </c>
      <c r="K481" s="70">
        <f t="shared" si="221"/>
        <v>0</v>
      </c>
      <c r="L481" s="71"/>
      <c r="M481" s="71">
        <v>0</v>
      </c>
      <c r="N481" s="73">
        <f t="shared" ref="N481:T481" si="222">SUM(N482:N487)</f>
        <v>943.09</v>
      </c>
      <c r="O481" s="73">
        <f t="shared" si="222"/>
        <v>943.09</v>
      </c>
      <c r="P481" s="73">
        <f t="shared" si="222"/>
        <v>943.09</v>
      </c>
      <c r="Q481" s="73">
        <f t="shared" si="222"/>
        <v>177593</v>
      </c>
      <c r="R481" s="73">
        <f t="shared" si="222"/>
        <v>225116.89</v>
      </c>
      <c r="S481" s="73">
        <f t="shared" si="222"/>
        <v>225116.89</v>
      </c>
      <c r="T481" s="73">
        <f t="shared" si="222"/>
        <v>224173.8</v>
      </c>
    </row>
    <row r="482" spans="2:20" s="34" customFormat="1" ht="23.4">
      <c r="B482" s="87" t="s">
        <v>925</v>
      </c>
      <c r="C482" s="88" t="s">
        <v>926</v>
      </c>
      <c r="D482" s="89" t="s">
        <v>131</v>
      </c>
      <c r="E482" s="90">
        <v>1</v>
      </c>
      <c r="F482" s="90">
        <v>1</v>
      </c>
      <c r="G482" s="91"/>
      <c r="H482" s="91"/>
      <c r="I482" s="91"/>
      <c r="J482" s="91">
        <f>SUM(H482:I482)+'BM 011'!J482</f>
        <v>0</v>
      </c>
      <c r="K482" s="91">
        <f t="shared" si="221"/>
        <v>1</v>
      </c>
      <c r="L482" s="80">
        <v>40</v>
      </c>
      <c r="M482" s="81">
        <v>50.704004400000002</v>
      </c>
      <c r="N482" s="82">
        <f t="shared" ref="N482:N487" si="223">TRUNC(G482*M482,2)</f>
        <v>0</v>
      </c>
      <c r="O482" s="82">
        <f t="shared" ref="O482:O487" si="224">TRUNC(H482*M482,2)</f>
        <v>0</v>
      </c>
      <c r="P482" s="82">
        <f>O482+'BM 011'!P482</f>
        <v>0</v>
      </c>
      <c r="Q482" s="80">
        <f t="shared" ref="Q482:Q487" si="225">E482*L482</f>
        <v>40</v>
      </c>
      <c r="R482" s="82">
        <f t="shared" ref="R482:R487" si="226">TRUNC(E482*M482,2)</f>
        <v>50.7</v>
      </c>
      <c r="S482" s="82">
        <f t="shared" ref="S482:S487" si="227">TRUNC(F482*$M482,2)</f>
        <v>50.7</v>
      </c>
      <c r="T482" s="82">
        <f t="shared" ref="T482:T487" si="228">S482-P482</f>
        <v>50.7</v>
      </c>
    </row>
    <row r="483" spans="2:20" s="34" customFormat="1" ht="23.4">
      <c r="B483" s="87" t="s">
        <v>927</v>
      </c>
      <c r="C483" s="88" t="s">
        <v>928</v>
      </c>
      <c r="D483" s="89" t="s">
        <v>131</v>
      </c>
      <c r="E483" s="90">
        <v>69</v>
      </c>
      <c r="F483" s="90">
        <v>69</v>
      </c>
      <c r="G483" s="91">
        <f>'M.C. MED. 12'!K1907</f>
        <v>12</v>
      </c>
      <c r="H483" s="91">
        <f>G483</f>
        <v>12</v>
      </c>
      <c r="I483" s="91"/>
      <c r="J483" s="91">
        <f>SUM(H483:I483)+'BM 011'!J483</f>
        <v>12</v>
      </c>
      <c r="K483" s="91">
        <f t="shared" si="221"/>
        <v>57</v>
      </c>
      <c r="L483" s="80">
        <v>62</v>
      </c>
      <c r="M483" s="81">
        <v>78.591206819999996</v>
      </c>
      <c r="N483" s="82">
        <f t="shared" si="223"/>
        <v>943.09</v>
      </c>
      <c r="O483" s="82">
        <f t="shared" si="224"/>
        <v>943.09</v>
      </c>
      <c r="P483" s="82">
        <f>O483+'BM 011'!P483</f>
        <v>943.09</v>
      </c>
      <c r="Q483" s="80">
        <f t="shared" si="225"/>
        <v>4278</v>
      </c>
      <c r="R483" s="82">
        <f t="shared" si="226"/>
        <v>5422.79</v>
      </c>
      <c r="S483" s="82">
        <f t="shared" si="227"/>
        <v>5422.79</v>
      </c>
      <c r="T483" s="82">
        <f t="shared" si="228"/>
        <v>4479.7</v>
      </c>
    </row>
    <row r="484" spans="2:20" s="34" customFormat="1" ht="34.799999999999997">
      <c r="B484" s="87" t="s">
        <v>929</v>
      </c>
      <c r="C484" s="88" t="s">
        <v>930</v>
      </c>
      <c r="D484" s="89" t="s">
        <v>131</v>
      </c>
      <c r="E484" s="90">
        <v>3</v>
      </c>
      <c r="F484" s="90">
        <v>3</v>
      </c>
      <c r="G484" s="91"/>
      <c r="H484" s="91"/>
      <c r="I484" s="91"/>
      <c r="J484" s="91">
        <f>SUM(H484:I484)+'BM 011'!J484</f>
        <v>0</v>
      </c>
      <c r="K484" s="91">
        <f t="shared" si="221"/>
        <v>3</v>
      </c>
      <c r="L484" s="80">
        <v>25</v>
      </c>
      <c r="M484" s="81">
        <v>31.690002750000001</v>
      </c>
      <c r="N484" s="82">
        <f t="shared" si="223"/>
        <v>0</v>
      </c>
      <c r="O484" s="82">
        <f t="shared" si="224"/>
        <v>0</v>
      </c>
      <c r="P484" s="82">
        <f>O484+'BM 011'!P484</f>
        <v>0</v>
      </c>
      <c r="Q484" s="80">
        <f t="shared" si="225"/>
        <v>75</v>
      </c>
      <c r="R484" s="82">
        <f t="shared" si="226"/>
        <v>95.07</v>
      </c>
      <c r="S484" s="82">
        <f t="shared" si="227"/>
        <v>95.07</v>
      </c>
      <c r="T484" s="82">
        <f t="shared" si="228"/>
        <v>95.07</v>
      </c>
    </row>
    <row r="485" spans="2:20" s="34" customFormat="1" ht="34.799999999999997">
      <c r="B485" s="87" t="s">
        <v>931</v>
      </c>
      <c r="C485" s="88" t="s">
        <v>932</v>
      </c>
      <c r="D485" s="89" t="s">
        <v>131</v>
      </c>
      <c r="E485" s="90">
        <v>2</v>
      </c>
      <c r="F485" s="90">
        <v>2</v>
      </c>
      <c r="G485" s="91"/>
      <c r="H485" s="91"/>
      <c r="I485" s="91"/>
      <c r="J485" s="91">
        <f>SUM(H485:I485)+'BM 011'!J485</f>
        <v>0</v>
      </c>
      <c r="K485" s="91">
        <f t="shared" si="221"/>
        <v>2</v>
      </c>
      <c r="L485" s="80">
        <v>2100</v>
      </c>
      <c r="M485" s="81">
        <v>2661.960231</v>
      </c>
      <c r="N485" s="82">
        <f t="shared" si="223"/>
        <v>0</v>
      </c>
      <c r="O485" s="82">
        <f t="shared" si="224"/>
        <v>0</v>
      </c>
      <c r="P485" s="82">
        <f>O485+'BM 011'!P485</f>
        <v>0</v>
      </c>
      <c r="Q485" s="80">
        <f t="shared" si="225"/>
        <v>4200</v>
      </c>
      <c r="R485" s="82">
        <f t="shared" si="226"/>
        <v>5323.92</v>
      </c>
      <c r="S485" s="82">
        <f t="shared" si="227"/>
        <v>5323.92</v>
      </c>
      <c r="T485" s="82">
        <f t="shared" si="228"/>
        <v>5323.92</v>
      </c>
    </row>
    <row r="486" spans="2:20" s="34" customFormat="1" ht="34.799999999999997">
      <c r="B486" s="87" t="s">
        <v>933</v>
      </c>
      <c r="C486" s="88" t="s">
        <v>934</v>
      </c>
      <c r="D486" s="89" t="s">
        <v>131</v>
      </c>
      <c r="E486" s="90">
        <v>6</v>
      </c>
      <c r="F486" s="90">
        <v>6</v>
      </c>
      <c r="G486" s="91"/>
      <c r="H486" s="91"/>
      <c r="I486" s="91"/>
      <c r="J486" s="91">
        <f>SUM(H486:I486)+'BM 011'!J486</f>
        <v>0</v>
      </c>
      <c r="K486" s="91">
        <f t="shared" si="221"/>
        <v>6</v>
      </c>
      <c r="L486" s="80">
        <v>9000</v>
      </c>
      <c r="M486" s="81">
        <v>11408.40099</v>
      </c>
      <c r="N486" s="82">
        <f t="shared" si="223"/>
        <v>0</v>
      </c>
      <c r="O486" s="82">
        <f t="shared" si="224"/>
        <v>0</v>
      </c>
      <c r="P486" s="82">
        <f>O486+'BM 011'!P486</f>
        <v>0</v>
      </c>
      <c r="Q486" s="80">
        <f t="shared" si="225"/>
        <v>54000</v>
      </c>
      <c r="R486" s="82">
        <f t="shared" si="226"/>
        <v>68450.399999999994</v>
      </c>
      <c r="S486" s="82">
        <f t="shared" si="227"/>
        <v>68450.399999999994</v>
      </c>
      <c r="T486" s="82">
        <f t="shared" si="228"/>
        <v>68450.399999999994</v>
      </c>
    </row>
    <row r="487" spans="2:20" s="34" customFormat="1" ht="23.4">
      <c r="B487" s="87" t="s">
        <v>935</v>
      </c>
      <c r="C487" s="88" t="s">
        <v>936</v>
      </c>
      <c r="D487" s="89" t="s">
        <v>131</v>
      </c>
      <c r="E487" s="90">
        <v>1</v>
      </c>
      <c r="F487" s="90">
        <v>1</v>
      </c>
      <c r="G487" s="91"/>
      <c r="H487" s="91"/>
      <c r="I487" s="91"/>
      <c r="J487" s="91">
        <f>SUM(H487:I487)+'BM 011'!J487</f>
        <v>0</v>
      </c>
      <c r="K487" s="91">
        <f t="shared" si="221"/>
        <v>1</v>
      </c>
      <c r="L487" s="80">
        <v>115000</v>
      </c>
      <c r="M487" s="81">
        <v>145774.01264999999</v>
      </c>
      <c r="N487" s="82">
        <f t="shared" si="223"/>
        <v>0</v>
      </c>
      <c r="O487" s="82">
        <f t="shared" si="224"/>
        <v>0</v>
      </c>
      <c r="P487" s="82">
        <f>O487+'BM 011'!P487</f>
        <v>0</v>
      </c>
      <c r="Q487" s="80">
        <f t="shared" si="225"/>
        <v>115000</v>
      </c>
      <c r="R487" s="82">
        <f t="shared" si="226"/>
        <v>145774.01</v>
      </c>
      <c r="S487" s="82">
        <f t="shared" si="227"/>
        <v>145774.01</v>
      </c>
      <c r="T487" s="82">
        <f t="shared" si="228"/>
        <v>145774.01</v>
      </c>
    </row>
    <row r="488" spans="2:20" s="34" customFormat="1" ht="13.2">
      <c r="B488" s="60" t="s">
        <v>937</v>
      </c>
      <c r="C488" s="61" t="s">
        <v>938</v>
      </c>
      <c r="D488" s="60"/>
      <c r="E488" s="62"/>
      <c r="F488" s="284"/>
      <c r="G488" s="63"/>
      <c r="H488" s="63"/>
      <c r="I488" s="63"/>
      <c r="J488" s="63">
        <f>SUM(H488:I488)+'BM 011'!J488</f>
        <v>0</v>
      </c>
      <c r="K488" s="63">
        <f t="shared" si="221"/>
        <v>0</v>
      </c>
      <c r="L488" s="63"/>
      <c r="M488" s="63">
        <v>0</v>
      </c>
      <c r="N488" s="63">
        <f t="shared" ref="N488:T488" si="229">SUM(N489,N494)</f>
        <v>0</v>
      </c>
      <c r="O488" s="63">
        <f t="shared" si="229"/>
        <v>0</v>
      </c>
      <c r="P488" s="63">
        <f t="shared" si="229"/>
        <v>0</v>
      </c>
      <c r="Q488" s="63">
        <f t="shared" si="229"/>
        <v>198555.35149999999</v>
      </c>
      <c r="R488" s="63">
        <f t="shared" si="229"/>
        <v>251688.67</v>
      </c>
      <c r="S488" s="63">
        <f t="shared" si="229"/>
        <v>251688.67</v>
      </c>
      <c r="T488" s="63">
        <f t="shared" si="229"/>
        <v>251688.67</v>
      </c>
    </row>
    <row r="489" spans="2:20" s="34" customFormat="1" ht="13.2">
      <c r="B489" s="66" t="s">
        <v>939</v>
      </c>
      <c r="C489" s="67" t="s">
        <v>940</v>
      </c>
      <c r="D489" s="68"/>
      <c r="E489" s="69"/>
      <c r="F489" s="69"/>
      <c r="G489" s="70"/>
      <c r="H489" s="70"/>
      <c r="I489" s="70"/>
      <c r="J489" s="70">
        <f>SUM(H489:I489)+'BM 011'!J489</f>
        <v>0</v>
      </c>
      <c r="K489" s="70">
        <f t="shared" si="221"/>
        <v>0</v>
      </c>
      <c r="L489" s="71"/>
      <c r="M489" s="71">
        <v>0</v>
      </c>
      <c r="N489" s="73">
        <f t="shared" ref="N489:T489" si="230">SUM(N490:N493)</f>
        <v>0</v>
      </c>
      <c r="O489" s="73">
        <f t="shared" si="230"/>
        <v>0</v>
      </c>
      <c r="P489" s="73">
        <f t="shared" si="230"/>
        <v>0</v>
      </c>
      <c r="Q489" s="73">
        <f t="shared" si="230"/>
        <v>157288.71</v>
      </c>
      <c r="R489" s="73">
        <f t="shared" si="230"/>
        <v>199379.17</v>
      </c>
      <c r="S489" s="73">
        <f t="shared" si="230"/>
        <v>199379.17</v>
      </c>
      <c r="T489" s="73">
        <f t="shared" si="230"/>
        <v>199379.17</v>
      </c>
    </row>
    <row r="490" spans="2:20" s="34" customFormat="1" ht="46.2">
      <c r="B490" s="75" t="s">
        <v>941</v>
      </c>
      <c r="C490" s="76" t="s">
        <v>942</v>
      </c>
      <c r="D490" s="77" t="s">
        <v>82</v>
      </c>
      <c r="E490" s="93">
        <v>546.20000000000005</v>
      </c>
      <c r="F490" s="93">
        <v>546.20000000000005</v>
      </c>
      <c r="G490" s="79"/>
      <c r="H490" s="79"/>
      <c r="I490" s="79"/>
      <c r="J490" s="79">
        <f>SUM(H490:I490)+'BM 011'!J490</f>
        <v>0</v>
      </c>
      <c r="K490" s="79">
        <f t="shared" si="221"/>
        <v>546.20000000000005</v>
      </c>
      <c r="L490" s="84">
        <v>71.55</v>
      </c>
      <c r="M490" s="81">
        <v>90.696787870500003</v>
      </c>
      <c r="N490" s="82">
        <f>TRUNC(G490*M490,2)</f>
        <v>0</v>
      </c>
      <c r="O490" s="82">
        <f>TRUNC(H490*M490,2)</f>
        <v>0</v>
      </c>
      <c r="P490" s="82">
        <f>O490+'BM 011'!P490</f>
        <v>0</v>
      </c>
      <c r="Q490" s="80">
        <f>E490*L490</f>
        <v>39080.61</v>
      </c>
      <c r="R490" s="82">
        <f>TRUNC(E490*M490,2)</f>
        <v>49538.58</v>
      </c>
      <c r="S490" s="82">
        <f>TRUNC(F490*$M490,2)</f>
        <v>49538.58</v>
      </c>
      <c r="T490" s="82">
        <f>S490-P490</f>
        <v>49538.58</v>
      </c>
    </row>
    <row r="491" spans="2:20" s="34" customFormat="1" ht="46.2">
      <c r="B491" s="75" t="s">
        <v>943</v>
      </c>
      <c r="C491" s="76" t="s">
        <v>944</v>
      </c>
      <c r="D491" s="77" t="s">
        <v>124</v>
      </c>
      <c r="E491" s="93">
        <v>314</v>
      </c>
      <c r="F491" s="93">
        <v>314</v>
      </c>
      <c r="G491" s="79"/>
      <c r="H491" s="79"/>
      <c r="I491" s="79"/>
      <c r="J491" s="79">
        <f>SUM(H491:I491)+'BM 011'!J491</f>
        <v>0</v>
      </c>
      <c r="K491" s="79">
        <f t="shared" si="221"/>
        <v>314</v>
      </c>
      <c r="L491" s="84">
        <v>120.15</v>
      </c>
      <c r="M491" s="81">
        <v>152.30215321649999</v>
      </c>
      <c r="N491" s="82">
        <f>TRUNC(G491*M491,2)</f>
        <v>0</v>
      </c>
      <c r="O491" s="82">
        <f>TRUNC(H491*M491,2)</f>
        <v>0</v>
      </c>
      <c r="P491" s="82">
        <f>O491+'BM 011'!P491</f>
        <v>0</v>
      </c>
      <c r="Q491" s="80">
        <f>E491*L491</f>
        <v>37727.1</v>
      </c>
      <c r="R491" s="82">
        <f>TRUNC(E491*M491,2)</f>
        <v>47822.87</v>
      </c>
      <c r="S491" s="82">
        <f>TRUNC(F491*$M491,2)</f>
        <v>47822.87</v>
      </c>
      <c r="T491" s="82">
        <f>S491-P491</f>
        <v>47822.87</v>
      </c>
    </row>
    <row r="492" spans="2:20" s="34" customFormat="1" ht="46.2">
      <c r="B492" s="75" t="s">
        <v>945</v>
      </c>
      <c r="C492" s="76" t="s">
        <v>946</v>
      </c>
      <c r="D492" s="77" t="s">
        <v>82</v>
      </c>
      <c r="E492" s="78">
        <v>36.700000000000003</v>
      </c>
      <c r="F492" s="78">
        <v>36.700000000000003</v>
      </c>
      <c r="G492" s="79"/>
      <c r="H492" s="79"/>
      <c r="I492" s="79"/>
      <c r="J492" s="79">
        <f>SUM(H492:I492)+'BM 011'!J492</f>
        <v>0</v>
      </c>
      <c r="K492" s="79">
        <f t="shared" si="221"/>
        <v>36.700000000000003</v>
      </c>
      <c r="L492" s="84">
        <v>149.85</v>
      </c>
      <c r="M492" s="81">
        <v>189.94987648349999</v>
      </c>
      <c r="N492" s="82">
        <f>TRUNC(G492*M492,2)</f>
        <v>0</v>
      </c>
      <c r="O492" s="82">
        <f>TRUNC(H492*M492,2)</f>
        <v>0</v>
      </c>
      <c r="P492" s="82">
        <f>O492+'BM 011'!P492</f>
        <v>0</v>
      </c>
      <c r="Q492" s="80">
        <f>E492*L492</f>
        <v>5499.4949999999999</v>
      </c>
      <c r="R492" s="82">
        <f>TRUNC(E492*M492,2)</f>
        <v>6971.16</v>
      </c>
      <c r="S492" s="82">
        <f>TRUNC(F492*$M492,2)</f>
        <v>6971.16</v>
      </c>
      <c r="T492" s="82">
        <f>S492-P492</f>
        <v>6971.16</v>
      </c>
    </row>
    <row r="493" spans="2:20" s="34" customFormat="1" ht="46.2">
      <c r="B493" s="75" t="s">
        <v>947</v>
      </c>
      <c r="C493" s="76" t="s">
        <v>948</v>
      </c>
      <c r="D493" s="77" t="s">
        <v>82</v>
      </c>
      <c r="E493" s="93">
        <v>180.5</v>
      </c>
      <c r="F493" s="93">
        <v>180.5</v>
      </c>
      <c r="G493" s="79"/>
      <c r="H493" s="79"/>
      <c r="I493" s="79"/>
      <c r="J493" s="79">
        <f>SUM(H493:I493)+'BM 011'!J493</f>
        <v>0</v>
      </c>
      <c r="K493" s="79">
        <f t="shared" si="221"/>
        <v>180.5</v>
      </c>
      <c r="L493" s="84">
        <v>415.41</v>
      </c>
      <c r="M493" s="81">
        <v>526.57376169509996</v>
      </c>
      <c r="N493" s="82">
        <f>TRUNC(G493*M493,2)</f>
        <v>0</v>
      </c>
      <c r="O493" s="82">
        <f>TRUNC(H493*M493,2)</f>
        <v>0</v>
      </c>
      <c r="P493" s="82">
        <f>O493+'BM 011'!P493</f>
        <v>0</v>
      </c>
      <c r="Q493" s="80">
        <f>E493*L493</f>
        <v>74981.505000000005</v>
      </c>
      <c r="R493" s="82">
        <f>TRUNC(E493*M493,2)</f>
        <v>95046.56</v>
      </c>
      <c r="S493" s="82">
        <f>TRUNC(F493*$M493,2)</f>
        <v>95046.56</v>
      </c>
      <c r="T493" s="82">
        <f>S493-P493</f>
        <v>95046.56</v>
      </c>
    </row>
    <row r="494" spans="2:20" s="34" customFormat="1" ht="13.2">
      <c r="B494" s="66" t="s">
        <v>949</v>
      </c>
      <c r="C494" s="67" t="s">
        <v>950</v>
      </c>
      <c r="D494" s="68"/>
      <c r="E494" s="69"/>
      <c r="F494" s="69"/>
      <c r="G494" s="70"/>
      <c r="H494" s="70"/>
      <c r="I494" s="70"/>
      <c r="J494" s="70">
        <f>SUM(H494:I494)+'BM 011'!J494</f>
        <v>0</v>
      </c>
      <c r="K494" s="70">
        <f t="shared" si="221"/>
        <v>0</v>
      </c>
      <c r="L494" s="71"/>
      <c r="M494" s="71">
        <v>0</v>
      </c>
      <c r="N494" s="73">
        <f t="shared" ref="N494:T494" si="231">SUM(N495:N513)</f>
        <v>0</v>
      </c>
      <c r="O494" s="73">
        <f t="shared" si="231"/>
        <v>0</v>
      </c>
      <c r="P494" s="73">
        <f t="shared" si="231"/>
        <v>0</v>
      </c>
      <c r="Q494" s="73">
        <f t="shared" si="231"/>
        <v>41266.641499999998</v>
      </c>
      <c r="R494" s="73">
        <f t="shared" si="231"/>
        <v>52309.5</v>
      </c>
      <c r="S494" s="73">
        <f t="shared" si="231"/>
        <v>52309.5</v>
      </c>
      <c r="T494" s="73">
        <f t="shared" si="231"/>
        <v>52309.5</v>
      </c>
    </row>
    <row r="495" spans="2:20" s="34" customFormat="1" ht="34.799999999999997">
      <c r="B495" s="75" t="s">
        <v>951</v>
      </c>
      <c r="C495" s="76" t="s">
        <v>952</v>
      </c>
      <c r="D495" s="77" t="s">
        <v>131</v>
      </c>
      <c r="E495" s="78">
        <v>362</v>
      </c>
      <c r="F495" s="78">
        <v>362</v>
      </c>
      <c r="G495" s="79"/>
      <c r="H495" s="79"/>
      <c r="I495" s="79"/>
      <c r="J495" s="79">
        <f>SUM(H495:I495)+'BM 011'!J495</f>
        <v>0</v>
      </c>
      <c r="K495" s="79">
        <f t="shared" si="221"/>
        <v>362</v>
      </c>
      <c r="L495" s="84">
        <v>5.6295000000000002</v>
      </c>
      <c r="M495" s="81">
        <v>7.1359548192449997</v>
      </c>
      <c r="N495" s="82">
        <f t="shared" ref="N495:N513" si="232">TRUNC(G495*M495,2)</f>
        <v>0</v>
      </c>
      <c r="O495" s="82">
        <f t="shared" ref="O495:O513" si="233">TRUNC(H495*M495,2)</f>
        <v>0</v>
      </c>
      <c r="P495" s="82">
        <f>O495+'BM 011'!P495</f>
        <v>0</v>
      </c>
      <c r="Q495" s="80">
        <f t="shared" ref="Q495:Q513" si="234">E495*L495</f>
        <v>2037.8790000000001</v>
      </c>
      <c r="R495" s="82">
        <f t="shared" ref="R495:R513" si="235">TRUNC(E495*M495,2)</f>
        <v>2583.21</v>
      </c>
      <c r="S495" s="82">
        <f t="shared" ref="S495:S513" si="236">TRUNC(F495*$M495,2)</f>
        <v>2583.21</v>
      </c>
      <c r="T495" s="82">
        <f t="shared" ref="T495:T513" si="237">S495-P495</f>
        <v>2583.21</v>
      </c>
    </row>
    <row r="496" spans="2:20" s="34" customFormat="1" ht="34.799999999999997">
      <c r="B496" s="75" t="s">
        <v>953</v>
      </c>
      <c r="C496" s="76" t="s">
        <v>954</v>
      </c>
      <c r="D496" s="77" t="s">
        <v>131</v>
      </c>
      <c r="E496" s="78">
        <v>41</v>
      </c>
      <c r="F496" s="78">
        <v>41</v>
      </c>
      <c r="G496" s="79"/>
      <c r="H496" s="79"/>
      <c r="I496" s="79"/>
      <c r="J496" s="79">
        <f>SUM(H496:I496)+'BM 011'!J496</f>
        <v>0</v>
      </c>
      <c r="K496" s="79">
        <f t="shared" si="221"/>
        <v>41</v>
      </c>
      <c r="L496" s="84">
        <v>12.771000000000001</v>
      </c>
      <c r="M496" s="81">
        <v>16.188521004809999</v>
      </c>
      <c r="N496" s="82">
        <f t="shared" si="232"/>
        <v>0</v>
      </c>
      <c r="O496" s="82">
        <f t="shared" si="233"/>
        <v>0</v>
      </c>
      <c r="P496" s="82">
        <f>O496+'BM 011'!P496</f>
        <v>0</v>
      </c>
      <c r="Q496" s="80">
        <f t="shared" si="234"/>
        <v>523.61099999999999</v>
      </c>
      <c r="R496" s="82">
        <f t="shared" si="235"/>
        <v>663.72</v>
      </c>
      <c r="S496" s="82">
        <f t="shared" si="236"/>
        <v>663.72</v>
      </c>
      <c r="T496" s="82">
        <f t="shared" si="237"/>
        <v>663.72</v>
      </c>
    </row>
    <row r="497" spans="2:20" s="34" customFormat="1" ht="34.799999999999997">
      <c r="B497" s="75" t="s">
        <v>955</v>
      </c>
      <c r="C497" s="76" t="s">
        <v>956</v>
      </c>
      <c r="D497" s="77" t="s">
        <v>131</v>
      </c>
      <c r="E497" s="78">
        <v>4</v>
      </c>
      <c r="F497" s="78">
        <v>4</v>
      </c>
      <c r="G497" s="79"/>
      <c r="H497" s="79"/>
      <c r="I497" s="79"/>
      <c r="J497" s="79">
        <f>SUM(H497:I497)+'BM 011'!J497</f>
        <v>0</v>
      </c>
      <c r="K497" s="79">
        <f t="shared" si="221"/>
        <v>4</v>
      </c>
      <c r="L497" s="84">
        <v>20.358000000000001</v>
      </c>
      <c r="M497" s="81">
        <v>25.805803039379999</v>
      </c>
      <c r="N497" s="82">
        <f t="shared" si="232"/>
        <v>0</v>
      </c>
      <c r="O497" s="82">
        <f t="shared" si="233"/>
        <v>0</v>
      </c>
      <c r="P497" s="82">
        <f>O497+'BM 011'!P497</f>
        <v>0</v>
      </c>
      <c r="Q497" s="80">
        <f t="shared" si="234"/>
        <v>81.432000000000002</v>
      </c>
      <c r="R497" s="82">
        <f t="shared" si="235"/>
        <v>103.22</v>
      </c>
      <c r="S497" s="82">
        <f t="shared" si="236"/>
        <v>103.22</v>
      </c>
      <c r="T497" s="82">
        <f t="shared" si="237"/>
        <v>103.22</v>
      </c>
    </row>
    <row r="498" spans="2:20" s="34" customFormat="1" ht="34.799999999999997">
      <c r="B498" s="75" t="s">
        <v>957</v>
      </c>
      <c r="C498" s="76" t="s">
        <v>958</v>
      </c>
      <c r="D498" s="77" t="s">
        <v>131</v>
      </c>
      <c r="E498" s="78">
        <v>12</v>
      </c>
      <c r="F498" s="78">
        <v>12</v>
      </c>
      <c r="G498" s="79"/>
      <c r="H498" s="79"/>
      <c r="I498" s="79"/>
      <c r="J498" s="79">
        <f>SUM(H498:I498)+'BM 011'!J498</f>
        <v>0</v>
      </c>
      <c r="K498" s="79">
        <f t="shared" si="221"/>
        <v>12</v>
      </c>
      <c r="L498" s="84">
        <v>68.418000000000006</v>
      </c>
      <c r="M498" s="81">
        <v>86.726664325979996</v>
      </c>
      <c r="N498" s="82">
        <f t="shared" si="232"/>
        <v>0</v>
      </c>
      <c r="O498" s="82">
        <f t="shared" si="233"/>
        <v>0</v>
      </c>
      <c r="P498" s="82">
        <f>O498+'BM 011'!P498</f>
        <v>0</v>
      </c>
      <c r="Q498" s="80">
        <f t="shared" si="234"/>
        <v>821.01600000000008</v>
      </c>
      <c r="R498" s="82">
        <f t="shared" si="235"/>
        <v>1040.71</v>
      </c>
      <c r="S498" s="82">
        <f t="shared" si="236"/>
        <v>1040.71</v>
      </c>
      <c r="T498" s="82">
        <f t="shared" si="237"/>
        <v>1040.71</v>
      </c>
    </row>
    <row r="499" spans="2:20" s="34" customFormat="1" ht="46.2">
      <c r="B499" s="75" t="s">
        <v>959</v>
      </c>
      <c r="C499" s="76" t="s">
        <v>960</v>
      </c>
      <c r="D499" s="77" t="s">
        <v>131</v>
      </c>
      <c r="E499" s="78">
        <v>106</v>
      </c>
      <c r="F499" s="78">
        <v>106</v>
      </c>
      <c r="G499" s="79"/>
      <c r="H499" s="79"/>
      <c r="I499" s="79"/>
      <c r="J499" s="79">
        <f>SUM(H499:I499)+'BM 011'!J499</f>
        <v>0</v>
      </c>
      <c r="K499" s="79">
        <f t="shared" si="221"/>
        <v>106</v>
      </c>
      <c r="L499" s="84">
        <v>20.52</v>
      </c>
      <c r="M499" s="81">
        <v>26.011154257200001</v>
      </c>
      <c r="N499" s="82">
        <f t="shared" si="232"/>
        <v>0</v>
      </c>
      <c r="O499" s="82">
        <f t="shared" si="233"/>
        <v>0</v>
      </c>
      <c r="P499" s="82">
        <f>O499+'BM 011'!P499</f>
        <v>0</v>
      </c>
      <c r="Q499" s="80">
        <f t="shared" si="234"/>
        <v>2175.12</v>
      </c>
      <c r="R499" s="82">
        <f t="shared" si="235"/>
        <v>2757.18</v>
      </c>
      <c r="S499" s="82">
        <f t="shared" si="236"/>
        <v>2757.18</v>
      </c>
      <c r="T499" s="82">
        <f t="shared" si="237"/>
        <v>2757.18</v>
      </c>
    </row>
    <row r="500" spans="2:20" s="34" customFormat="1" ht="46.2">
      <c r="B500" s="75" t="s">
        <v>961</v>
      </c>
      <c r="C500" s="76" t="s">
        <v>962</v>
      </c>
      <c r="D500" s="77" t="s">
        <v>131</v>
      </c>
      <c r="E500" s="78">
        <v>14</v>
      </c>
      <c r="F500" s="78">
        <v>14</v>
      </c>
      <c r="G500" s="79"/>
      <c r="H500" s="79"/>
      <c r="I500" s="79"/>
      <c r="J500" s="79">
        <f>SUM(H500:I500)+'BM 011'!J500</f>
        <v>0</v>
      </c>
      <c r="K500" s="79">
        <f t="shared" si="221"/>
        <v>14</v>
      </c>
      <c r="L500" s="84">
        <v>11.4885</v>
      </c>
      <c r="M500" s="81">
        <v>14.562823863735</v>
      </c>
      <c r="N500" s="82">
        <f t="shared" si="232"/>
        <v>0</v>
      </c>
      <c r="O500" s="82">
        <f t="shared" si="233"/>
        <v>0</v>
      </c>
      <c r="P500" s="82">
        <f>O500+'BM 011'!P500</f>
        <v>0</v>
      </c>
      <c r="Q500" s="80">
        <f t="shared" si="234"/>
        <v>160.839</v>
      </c>
      <c r="R500" s="82">
        <f t="shared" si="235"/>
        <v>203.87</v>
      </c>
      <c r="S500" s="82">
        <f t="shared" si="236"/>
        <v>203.87</v>
      </c>
      <c r="T500" s="82">
        <f t="shared" si="237"/>
        <v>203.87</v>
      </c>
    </row>
    <row r="501" spans="2:20" s="34" customFormat="1" ht="46.2">
      <c r="B501" s="75" t="s">
        <v>963</v>
      </c>
      <c r="C501" s="76" t="s">
        <v>964</v>
      </c>
      <c r="D501" s="77" t="s">
        <v>131</v>
      </c>
      <c r="E501" s="78">
        <v>6</v>
      </c>
      <c r="F501" s="78">
        <v>6</v>
      </c>
      <c r="G501" s="79"/>
      <c r="H501" s="79"/>
      <c r="I501" s="79"/>
      <c r="J501" s="79">
        <f>SUM(H501:I501)+'BM 011'!J501</f>
        <v>0</v>
      </c>
      <c r="K501" s="79">
        <f t="shared" si="221"/>
        <v>6</v>
      </c>
      <c r="L501" s="84">
        <v>13.432499999999999</v>
      </c>
      <c r="M501" s="81">
        <v>17.027038477575001</v>
      </c>
      <c r="N501" s="82">
        <f t="shared" si="232"/>
        <v>0</v>
      </c>
      <c r="O501" s="82">
        <f t="shared" si="233"/>
        <v>0</v>
      </c>
      <c r="P501" s="82">
        <f>O501+'BM 011'!P501</f>
        <v>0</v>
      </c>
      <c r="Q501" s="80">
        <f t="shared" si="234"/>
        <v>80.594999999999999</v>
      </c>
      <c r="R501" s="82">
        <f t="shared" si="235"/>
        <v>102.16</v>
      </c>
      <c r="S501" s="82">
        <f t="shared" si="236"/>
        <v>102.16</v>
      </c>
      <c r="T501" s="82">
        <f t="shared" si="237"/>
        <v>102.16</v>
      </c>
    </row>
    <row r="502" spans="2:20" s="34" customFormat="1" ht="23.4">
      <c r="B502" s="75" t="s">
        <v>965</v>
      </c>
      <c r="C502" s="76" t="s">
        <v>966</v>
      </c>
      <c r="D502" s="77" t="s">
        <v>131</v>
      </c>
      <c r="E502" s="78">
        <v>3</v>
      </c>
      <c r="F502" s="78">
        <v>3</v>
      </c>
      <c r="G502" s="79"/>
      <c r="H502" s="79"/>
      <c r="I502" s="79"/>
      <c r="J502" s="79">
        <f>SUM(H502:I502)+'BM 011'!J502</f>
        <v>0</v>
      </c>
      <c r="K502" s="79">
        <f t="shared" si="221"/>
        <v>3</v>
      </c>
      <c r="L502" s="84">
        <v>42.214500000000001</v>
      </c>
      <c r="M502" s="81">
        <v>53.511104843595</v>
      </c>
      <c r="N502" s="82">
        <f t="shared" si="232"/>
        <v>0</v>
      </c>
      <c r="O502" s="82">
        <f t="shared" si="233"/>
        <v>0</v>
      </c>
      <c r="P502" s="82">
        <f>O502+'BM 011'!P502</f>
        <v>0</v>
      </c>
      <c r="Q502" s="80">
        <f t="shared" si="234"/>
        <v>126.6435</v>
      </c>
      <c r="R502" s="82">
        <f t="shared" si="235"/>
        <v>160.53</v>
      </c>
      <c r="S502" s="82">
        <f t="shared" si="236"/>
        <v>160.53</v>
      </c>
      <c r="T502" s="82">
        <f t="shared" si="237"/>
        <v>160.53</v>
      </c>
    </row>
    <row r="503" spans="2:20" s="34" customFormat="1" ht="34.799999999999997">
      <c r="B503" s="75" t="s">
        <v>967</v>
      </c>
      <c r="C503" s="76" t="s">
        <v>968</v>
      </c>
      <c r="D503" s="77" t="s">
        <v>131</v>
      </c>
      <c r="E503" s="78">
        <v>51</v>
      </c>
      <c r="F503" s="78">
        <v>51</v>
      </c>
      <c r="G503" s="79"/>
      <c r="H503" s="79"/>
      <c r="I503" s="79"/>
      <c r="J503" s="79">
        <f>SUM(H503:I503)+'BM 011'!J503</f>
        <v>0</v>
      </c>
      <c r="K503" s="79">
        <f t="shared" si="221"/>
        <v>51</v>
      </c>
      <c r="L503" s="84">
        <v>15.1335</v>
      </c>
      <c r="M503" s="81">
        <v>19.183226264685</v>
      </c>
      <c r="N503" s="82">
        <f t="shared" si="232"/>
        <v>0</v>
      </c>
      <c r="O503" s="82">
        <f t="shared" si="233"/>
        <v>0</v>
      </c>
      <c r="P503" s="82">
        <f>O503+'BM 011'!P503</f>
        <v>0</v>
      </c>
      <c r="Q503" s="80">
        <f t="shared" si="234"/>
        <v>771.80849999999998</v>
      </c>
      <c r="R503" s="82">
        <f t="shared" si="235"/>
        <v>978.34</v>
      </c>
      <c r="S503" s="82">
        <f t="shared" si="236"/>
        <v>978.34</v>
      </c>
      <c r="T503" s="82">
        <f t="shared" si="237"/>
        <v>978.34</v>
      </c>
    </row>
    <row r="504" spans="2:20" s="34" customFormat="1" ht="34.799999999999997">
      <c r="B504" s="75" t="s">
        <v>969</v>
      </c>
      <c r="C504" s="76" t="s">
        <v>970</v>
      </c>
      <c r="D504" s="77" t="s">
        <v>131</v>
      </c>
      <c r="E504" s="78">
        <v>8</v>
      </c>
      <c r="F504" s="78">
        <v>8</v>
      </c>
      <c r="G504" s="79"/>
      <c r="H504" s="79"/>
      <c r="I504" s="79"/>
      <c r="J504" s="79">
        <f>SUM(H504:I504)+'BM 011'!J504</f>
        <v>0</v>
      </c>
      <c r="K504" s="79">
        <f t="shared" si="221"/>
        <v>8</v>
      </c>
      <c r="L504" s="84">
        <v>23.638500000000001</v>
      </c>
      <c r="M504" s="81">
        <v>29.964165200235001</v>
      </c>
      <c r="N504" s="82">
        <f t="shared" si="232"/>
        <v>0</v>
      </c>
      <c r="O504" s="82">
        <f t="shared" si="233"/>
        <v>0</v>
      </c>
      <c r="P504" s="82">
        <f>O504+'BM 011'!P504</f>
        <v>0</v>
      </c>
      <c r="Q504" s="80">
        <f t="shared" si="234"/>
        <v>189.108</v>
      </c>
      <c r="R504" s="82">
        <f t="shared" si="235"/>
        <v>239.71</v>
      </c>
      <c r="S504" s="82">
        <f t="shared" si="236"/>
        <v>239.71</v>
      </c>
      <c r="T504" s="82">
        <f t="shared" si="237"/>
        <v>239.71</v>
      </c>
    </row>
    <row r="505" spans="2:20" s="34" customFormat="1" ht="34.799999999999997">
      <c r="B505" s="75" t="s">
        <v>971</v>
      </c>
      <c r="C505" s="76" t="s">
        <v>972</v>
      </c>
      <c r="D505" s="77" t="s">
        <v>131</v>
      </c>
      <c r="E505" s="78">
        <v>3</v>
      </c>
      <c r="F505" s="78">
        <v>3</v>
      </c>
      <c r="G505" s="79"/>
      <c r="H505" s="79"/>
      <c r="I505" s="79"/>
      <c r="J505" s="79">
        <f>SUM(H505:I505)+'BM 011'!J505</f>
        <v>0</v>
      </c>
      <c r="K505" s="79">
        <f t="shared" si="221"/>
        <v>3</v>
      </c>
      <c r="L505" s="84">
        <v>32.656500000000001</v>
      </c>
      <c r="M505" s="81">
        <v>41.395382992214998</v>
      </c>
      <c r="N505" s="82">
        <f t="shared" si="232"/>
        <v>0</v>
      </c>
      <c r="O505" s="82">
        <f t="shared" si="233"/>
        <v>0</v>
      </c>
      <c r="P505" s="82">
        <f>O505+'BM 011'!P505</f>
        <v>0</v>
      </c>
      <c r="Q505" s="80">
        <f t="shared" si="234"/>
        <v>97.969500000000011</v>
      </c>
      <c r="R505" s="82">
        <f t="shared" si="235"/>
        <v>124.18</v>
      </c>
      <c r="S505" s="82">
        <f t="shared" si="236"/>
        <v>124.18</v>
      </c>
      <c r="T505" s="82">
        <f t="shared" si="237"/>
        <v>124.18</v>
      </c>
    </row>
    <row r="506" spans="2:20" s="34" customFormat="1" ht="23.4">
      <c r="B506" s="75" t="s">
        <v>973</v>
      </c>
      <c r="C506" s="76" t="s">
        <v>974</v>
      </c>
      <c r="D506" s="77" t="s">
        <v>131</v>
      </c>
      <c r="E506" s="78">
        <v>14</v>
      </c>
      <c r="F506" s="78">
        <v>14</v>
      </c>
      <c r="G506" s="79"/>
      <c r="H506" s="79"/>
      <c r="I506" s="79"/>
      <c r="J506" s="79">
        <f>SUM(H506:I506)+'BM 011'!J506</f>
        <v>0</v>
      </c>
      <c r="K506" s="79">
        <f t="shared" si="221"/>
        <v>14</v>
      </c>
      <c r="L506" s="84">
        <v>24.003</v>
      </c>
      <c r="M506" s="81">
        <v>30.426205440330001</v>
      </c>
      <c r="N506" s="82">
        <f t="shared" si="232"/>
        <v>0</v>
      </c>
      <c r="O506" s="82">
        <f t="shared" si="233"/>
        <v>0</v>
      </c>
      <c r="P506" s="82">
        <f>O506+'BM 011'!P506</f>
        <v>0</v>
      </c>
      <c r="Q506" s="80">
        <f t="shared" si="234"/>
        <v>336.04200000000003</v>
      </c>
      <c r="R506" s="82">
        <f t="shared" si="235"/>
        <v>425.96</v>
      </c>
      <c r="S506" s="82">
        <f t="shared" si="236"/>
        <v>425.96</v>
      </c>
      <c r="T506" s="82">
        <f t="shared" si="237"/>
        <v>425.96</v>
      </c>
    </row>
    <row r="507" spans="2:20" s="34" customFormat="1" ht="23.4">
      <c r="B507" s="75" t="s">
        <v>975</v>
      </c>
      <c r="C507" s="76" t="s">
        <v>976</v>
      </c>
      <c r="D507" s="77" t="s">
        <v>131</v>
      </c>
      <c r="E507" s="78">
        <v>47</v>
      </c>
      <c r="F507" s="78">
        <v>47</v>
      </c>
      <c r="G507" s="79"/>
      <c r="H507" s="79"/>
      <c r="I507" s="79"/>
      <c r="J507" s="79">
        <f>SUM(H507:I507)+'BM 011'!J507</f>
        <v>0</v>
      </c>
      <c r="K507" s="79">
        <f t="shared" si="221"/>
        <v>47</v>
      </c>
      <c r="L507" s="84">
        <v>54.7425</v>
      </c>
      <c r="M507" s="81">
        <v>69.391599021675006</v>
      </c>
      <c r="N507" s="82">
        <f t="shared" si="232"/>
        <v>0</v>
      </c>
      <c r="O507" s="82">
        <f t="shared" si="233"/>
        <v>0</v>
      </c>
      <c r="P507" s="82">
        <f>O507+'BM 011'!P507</f>
        <v>0</v>
      </c>
      <c r="Q507" s="80">
        <f t="shared" si="234"/>
        <v>2572.8975</v>
      </c>
      <c r="R507" s="82">
        <f t="shared" si="235"/>
        <v>3261.4</v>
      </c>
      <c r="S507" s="82">
        <f t="shared" si="236"/>
        <v>3261.4</v>
      </c>
      <c r="T507" s="82">
        <f t="shared" si="237"/>
        <v>3261.4</v>
      </c>
    </row>
    <row r="508" spans="2:20" s="34" customFormat="1" ht="23.4">
      <c r="B508" s="75" t="s">
        <v>977</v>
      </c>
      <c r="C508" s="76" t="s">
        <v>978</v>
      </c>
      <c r="D508" s="77" t="s">
        <v>131</v>
      </c>
      <c r="E508" s="78">
        <v>3</v>
      </c>
      <c r="F508" s="78">
        <v>3</v>
      </c>
      <c r="G508" s="79"/>
      <c r="H508" s="79"/>
      <c r="I508" s="79"/>
      <c r="J508" s="79">
        <f>SUM(H508:I508)+'BM 011'!J508</f>
        <v>0</v>
      </c>
      <c r="K508" s="79">
        <f t="shared" si="221"/>
        <v>3</v>
      </c>
      <c r="L508" s="84">
        <v>79.393500000000003</v>
      </c>
      <c r="M508" s="81">
        <v>100.639209333285</v>
      </c>
      <c r="N508" s="82">
        <f t="shared" si="232"/>
        <v>0</v>
      </c>
      <c r="O508" s="82">
        <f t="shared" si="233"/>
        <v>0</v>
      </c>
      <c r="P508" s="82">
        <f>O508+'BM 011'!P508</f>
        <v>0</v>
      </c>
      <c r="Q508" s="80">
        <f t="shared" si="234"/>
        <v>238.18049999999999</v>
      </c>
      <c r="R508" s="82">
        <f t="shared" si="235"/>
        <v>301.91000000000003</v>
      </c>
      <c r="S508" s="82">
        <f t="shared" si="236"/>
        <v>301.91000000000003</v>
      </c>
      <c r="T508" s="82">
        <f t="shared" si="237"/>
        <v>301.91000000000003</v>
      </c>
    </row>
    <row r="509" spans="2:20" s="34" customFormat="1" ht="34.799999999999997">
      <c r="B509" s="75" t="s">
        <v>979</v>
      </c>
      <c r="C509" s="76" t="s">
        <v>980</v>
      </c>
      <c r="D509" s="77" t="s">
        <v>131</v>
      </c>
      <c r="E509" s="78">
        <v>3</v>
      </c>
      <c r="F509" s="78">
        <v>3</v>
      </c>
      <c r="G509" s="79"/>
      <c r="H509" s="79"/>
      <c r="I509" s="79"/>
      <c r="J509" s="79">
        <f>SUM(H509:I509)+'BM 011'!J509</f>
        <v>0</v>
      </c>
      <c r="K509" s="79">
        <f t="shared" si="221"/>
        <v>3</v>
      </c>
      <c r="L509" s="84">
        <v>634.5</v>
      </c>
      <c r="M509" s="81">
        <v>804.29226979500004</v>
      </c>
      <c r="N509" s="82">
        <f t="shared" si="232"/>
        <v>0</v>
      </c>
      <c r="O509" s="82">
        <f t="shared" si="233"/>
        <v>0</v>
      </c>
      <c r="P509" s="82">
        <f>O509+'BM 011'!P509</f>
        <v>0</v>
      </c>
      <c r="Q509" s="80">
        <f t="shared" si="234"/>
        <v>1903.5</v>
      </c>
      <c r="R509" s="82">
        <f t="shared" si="235"/>
        <v>2412.87</v>
      </c>
      <c r="S509" s="82">
        <f t="shared" si="236"/>
        <v>2412.87</v>
      </c>
      <c r="T509" s="82">
        <f t="shared" si="237"/>
        <v>2412.87</v>
      </c>
    </row>
    <row r="510" spans="2:20" s="34" customFormat="1" ht="23.4">
      <c r="B510" s="75" t="s">
        <v>981</v>
      </c>
      <c r="C510" s="76" t="s">
        <v>982</v>
      </c>
      <c r="D510" s="77" t="s">
        <v>131</v>
      </c>
      <c r="E510" s="78">
        <v>6</v>
      </c>
      <c r="F510" s="78">
        <v>6</v>
      </c>
      <c r="G510" s="79"/>
      <c r="H510" s="79"/>
      <c r="I510" s="79"/>
      <c r="J510" s="79">
        <f>SUM(H510:I510)+'BM 011'!J510</f>
        <v>0</v>
      </c>
      <c r="K510" s="79">
        <f t="shared" si="221"/>
        <v>6</v>
      </c>
      <c r="L510" s="84">
        <v>985</v>
      </c>
      <c r="M510" s="81">
        <v>1248.5861083499999</v>
      </c>
      <c r="N510" s="82">
        <f t="shared" si="232"/>
        <v>0</v>
      </c>
      <c r="O510" s="82">
        <f t="shared" si="233"/>
        <v>0</v>
      </c>
      <c r="P510" s="82">
        <f>O510+'BM 011'!P510</f>
        <v>0</v>
      </c>
      <c r="Q510" s="80">
        <f t="shared" si="234"/>
        <v>5910</v>
      </c>
      <c r="R510" s="82">
        <f t="shared" si="235"/>
        <v>7491.51</v>
      </c>
      <c r="S510" s="82">
        <f t="shared" si="236"/>
        <v>7491.51</v>
      </c>
      <c r="T510" s="82">
        <f t="shared" si="237"/>
        <v>7491.51</v>
      </c>
    </row>
    <row r="511" spans="2:20" s="34" customFormat="1" ht="23.4">
      <c r="B511" s="75" t="s">
        <v>983</v>
      </c>
      <c r="C511" s="76" t="s">
        <v>984</v>
      </c>
      <c r="D511" s="77" t="s">
        <v>131</v>
      </c>
      <c r="E511" s="78">
        <v>6</v>
      </c>
      <c r="F511" s="78">
        <v>6</v>
      </c>
      <c r="G511" s="79"/>
      <c r="H511" s="79"/>
      <c r="I511" s="79"/>
      <c r="J511" s="79">
        <f>SUM(H511:I511)+'BM 011'!J511</f>
        <v>0</v>
      </c>
      <c r="K511" s="79">
        <f t="shared" si="221"/>
        <v>6</v>
      </c>
      <c r="L511" s="84">
        <v>895</v>
      </c>
      <c r="M511" s="81">
        <v>1134.5020984499999</v>
      </c>
      <c r="N511" s="82">
        <f t="shared" si="232"/>
        <v>0</v>
      </c>
      <c r="O511" s="82">
        <f t="shared" si="233"/>
        <v>0</v>
      </c>
      <c r="P511" s="82">
        <f>O511+'BM 011'!P511</f>
        <v>0</v>
      </c>
      <c r="Q511" s="80">
        <f t="shared" si="234"/>
        <v>5370</v>
      </c>
      <c r="R511" s="82">
        <f t="shared" si="235"/>
        <v>6807.01</v>
      </c>
      <c r="S511" s="82">
        <f t="shared" si="236"/>
        <v>6807.01</v>
      </c>
      <c r="T511" s="82">
        <f t="shared" si="237"/>
        <v>6807.01</v>
      </c>
    </row>
    <row r="512" spans="2:20" s="34" customFormat="1" ht="23.4">
      <c r="B512" s="75" t="s">
        <v>985</v>
      </c>
      <c r="C512" s="76" t="s">
        <v>986</v>
      </c>
      <c r="D512" s="77" t="s">
        <v>131</v>
      </c>
      <c r="E512" s="78">
        <v>6</v>
      </c>
      <c r="F512" s="78">
        <v>6</v>
      </c>
      <c r="G512" s="79"/>
      <c r="H512" s="79"/>
      <c r="I512" s="79"/>
      <c r="J512" s="79">
        <f>SUM(H512:I512)+'BM 011'!J512</f>
        <v>0</v>
      </c>
      <c r="K512" s="79">
        <f t="shared" si="221"/>
        <v>6</v>
      </c>
      <c r="L512" s="84">
        <v>895</v>
      </c>
      <c r="M512" s="81">
        <v>1134.5020984499999</v>
      </c>
      <c r="N512" s="82">
        <f t="shared" si="232"/>
        <v>0</v>
      </c>
      <c r="O512" s="82">
        <f t="shared" si="233"/>
        <v>0</v>
      </c>
      <c r="P512" s="82">
        <f>O512+'BM 011'!P512</f>
        <v>0</v>
      </c>
      <c r="Q512" s="80">
        <f t="shared" si="234"/>
        <v>5370</v>
      </c>
      <c r="R512" s="82">
        <f t="shared" si="235"/>
        <v>6807.01</v>
      </c>
      <c r="S512" s="82">
        <f t="shared" si="236"/>
        <v>6807.01</v>
      </c>
      <c r="T512" s="82">
        <f t="shared" si="237"/>
        <v>6807.01</v>
      </c>
    </row>
    <row r="513" spans="2:20" s="34" customFormat="1" ht="34.799999999999997">
      <c r="B513" s="75" t="s">
        <v>987</v>
      </c>
      <c r="C513" s="76" t="s">
        <v>988</v>
      </c>
      <c r="D513" s="77" t="s">
        <v>131</v>
      </c>
      <c r="E513" s="78">
        <v>20</v>
      </c>
      <c r="F513" s="78">
        <v>20</v>
      </c>
      <c r="G513" s="79"/>
      <c r="H513" s="79"/>
      <c r="I513" s="79"/>
      <c r="J513" s="79">
        <f>SUM(H513:I513)+'BM 011'!J513</f>
        <v>0</v>
      </c>
      <c r="K513" s="79">
        <f t="shared" si="221"/>
        <v>20</v>
      </c>
      <c r="L513" s="84">
        <v>625</v>
      </c>
      <c r="M513" s="81">
        <v>792.25006874999997</v>
      </c>
      <c r="N513" s="82">
        <f t="shared" si="232"/>
        <v>0</v>
      </c>
      <c r="O513" s="82">
        <f t="shared" si="233"/>
        <v>0</v>
      </c>
      <c r="P513" s="82">
        <f>O513+'BM 011'!P513</f>
        <v>0</v>
      </c>
      <c r="Q513" s="80">
        <f t="shared" si="234"/>
        <v>12500</v>
      </c>
      <c r="R513" s="82">
        <f t="shared" si="235"/>
        <v>15845</v>
      </c>
      <c r="S513" s="82">
        <f t="shared" si="236"/>
        <v>15845</v>
      </c>
      <c r="T513" s="82">
        <f t="shared" si="237"/>
        <v>15845</v>
      </c>
    </row>
    <row r="514" spans="2:20" s="34" customFormat="1" ht="13.2">
      <c r="B514" s="60" t="s">
        <v>989</v>
      </c>
      <c r="C514" s="61" t="s">
        <v>990</v>
      </c>
      <c r="D514" s="60"/>
      <c r="E514" s="62"/>
      <c r="F514" s="284"/>
      <c r="G514" s="63"/>
      <c r="H514" s="63"/>
      <c r="I514" s="63"/>
      <c r="J514" s="63">
        <f>SUM(H514:I514)+'BM 011'!J514</f>
        <v>0</v>
      </c>
      <c r="K514" s="63">
        <f t="shared" si="221"/>
        <v>0</v>
      </c>
      <c r="L514" s="63"/>
      <c r="M514" s="63">
        <v>0</v>
      </c>
      <c r="N514" s="63">
        <f t="shared" ref="N514:T514" si="238">SUM(N515,N527,N559,N561)</f>
        <v>0</v>
      </c>
      <c r="O514" s="63">
        <f t="shared" si="238"/>
        <v>0</v>
      </c>
      <c r="P514" s="63">
        <f t="shared" si="238"/>
        <v>1262.51</v>
      </c>
      <c r="Q514" s="63">
        <f t="shared" si="238"/>
        <v>248226.55</v>
      </c>
      <c r="R514" s="63">
        <f t="shared" si="238"/>
        <v>314651.83</v>
      </c>
      <c r="S514" s="63">
        <f t="shared" si="238"/>
        <v>314651.83</v>
      </c>
      <c r="T514" s="63">
        <f t="shared" si="238"/>
        <v>313389.32</v>
      </c>
    </row>
    <row r="515" spans="2:20" s="34" customFormat="1" ht="13.2">
      <c r="B515" s="66" t="s">
        <v>991</v>
      </c>
      <c r="C515" s="67" t="s">
        <v>992</v>
      </c>
      <c r="D515" s="68"/>
      <c r="E515" s="69"/>
      <c r="F515" s="69"/>
      <c r="G515" s="70"/>
      <c r="H515" s="70"/>
      <c r="I515" s="70"/>
      <c r="J515" s="70">
        <f>SUM(H515:I515)+'BM 011'!J515</f>
        <v>0</v>
      </c>
      <c r="K515" s="70">
        <f t="shared" si="221"/>
        <v>0</v>
      </c>
      <c r="L515" s="71"/>
      <c r="M515" s="71">
        <v>0</v>
      </c>
      <c r="N515" s="73">
        <f t="shared" ref="N515:T515" si="239">SUM(N516:N526)</f>
        <v>0</v>
      </c>
      <c r="O515" s="73">
        <f t="shared" si="239"/>
        <v>0</v>
      </c>
      <c r="P515" s="73">
        <f t="shared" si="239"/>
        <v>836.61</v>
      </c>
      <c r="Q515" s="73">
        <f t="shared" si="239"/>
        <v>96780</v>
      </c>
      <c r="R515" s="73">
        <f t="shared" si="239"/>
        <v>122678.3</v>
      </c>
      <c r="S515" s="73">
        <f t="shared" si="239"/>
        <v>122678.3</v>
      </c>
      <c r="T515" s="73">
        <f t="shared" si="239"/>
        <v>121841.69</v>
      </c>
    </row>
    <row r="516" spans="2:20" s="34" customFormat="1" ht="23.4">
      <c r="B516" s="75" t="s">
        <v>993</v>
      </c>
      <c r="C516" s="76" t="s">
        <v>994</v>
      </c>
      <c r="D516" s="77" t="s">
        <v>124</v>
      </c>
      <c r="E516" s="93">
        <v>300</v>
      </c>
      <c r="F516" s="93">
        <v>300</v>
      </c>
      <c r="G516" s="79"/>
      <c r="H516" s="79"/>
      <c r="I516" s="79"/>
      <c r="J516" s="79">
        <f>SUM(H516:I516)+'BM 011'!J516</f>
        <v>0</v>
      </c>
      <c r="K516" s="79">
        <f t="shared" si="221"/>
        <v>300</v>
      </c>
      <c r="L516" s="84">
        <v>18</v>
      </c>
      <c r="M516" s="81">
        <v>22.816801980000001</v>
      </c>
      <c r="N516" s="82">
        <f t="shared" ref="N516:N526" si="240">TRUNC(G516*M516,2)</f>
        <v>0</v>
      </c>
      <c r="O516" s="82">
        <f t="shared" ref="O516:O526" si="241">TRUNC(H516*M516,2)</f>
        <v>0</v>
      </c>
      <c r="P516" s="82">
        <f>O516+'BM 011'!P516</f>
        <v>0</v>
      </c>
      <c r="Q516" s="80">
        <f t="shared" ref="Q516:Q526" si="242">E516*L516</f>
        <v>5400</v>
      </c>
      <c r="R516" s="82">
        <f t="shared" ref="R516:R526" si="243">TRUNC(E516*M516,2)</f>
        <v>6845.04</v>
      </c>
      <c r="S516" s="82">
        <f t="shared" ref="S516:S526" si="244">TRUNC(F516*$M516,2)</f>
        <v>6845.04</v>
      </c>
      <c r="T516" s="82">
        <f t="shared" ref="T516:T526" si="245">S516-P516</f>
        <v>6845.04</v>
      </c>
    </row>
    <row r="517" spans="2:20" s="34" customFormat="1" ht="34.799999999999997">
      <c r="B517" s="75" t="s">
        <v>995</v>
      </c>
      <c r="C517" s="76" t="s">
        <v>996</v>
      </c>
      <c r="D517" s="77" t="s">
        <v>390</v>
      </c>
      <c r="E517" s="93">
        <v>60</v>
      </c>
      <c r="F517" s="93">
        <v>60</v>
      </c>
      <c r="G517" s="79"/>
      <c r="H517" s="79"/>
      <c r="I517" s="79"/>
      <c r="J517" s="79">
        <f>SUM(H517:I517)+'BM 011'!J517</f>
        <v>0</v>
      </c>
      <c r="K517" s="79">
        <f t="shared" si="221"/>
        <v>60</v>
      </c>
      <c r="L517" s="84">
        <v>39</v>
      </c>
      <c r="M517" s="81">
        <v>49.436404289999999</v>
      </c>
      <c r="N517" s="82">
        <f t="shared" si="240"/>
        <v>0</v>
      </c>
      <c r="O517" s="82">
        <f t="shared" si="241"/>
        <v>0</v>
      </c>
      <c r="P517" s="82">
        <f>O517+'BM 011'!P517</f>
        <v>0</v>
      </c>
      <c r="Q517" s="80">
        <f t="shared" si="242"/>
        <v>2340</v>
      </c>
      <c r="R517" s="82">
        <f t="shared" si="243"/>
        <v>2966.18</v>
      </c>
      <c r="S517" s="82">
        <f t="shared" si="244"/>
        <v>2966.18</v>
      </c>
      <c r="T517" s="82">
        <f t="shared" si="245"/>
        <v>2966.18</v>
      </c>
    </row>
    <row r="518" spans="2:20" s="34" customFormat="1" ht="13.2">
      <c r="B518" s="75" t="s">
        <v>997</v>
      </c>
      <c r="C518" s="76" t="s">
        <v>998</v>
      </c>
      <c r="D518" s="77" t="s">
        <v>390</v>
      </c>
      <c r="E518" s="93">
        <v>60</v>
      </c>
      <c r="F518" s="93">
        <v>60</v>
      </c>
      <c r="G518" s="79"/>
      <c r="H518" s="79"/>
      <c r="I518" s="79"/>
      <c r="J518" s="79">
        <f>SUM(H518:I518)+'BM 011'!J518</f>
        <v>0</v>
      </c>
      <c r="K518" s="79">
        <f t="shared" si="221"/>
        <v>60</v>
      </c>
      <c r="L518" s="84">
        <v>18</v>
      </c>
      <c r="M518" s="81">
        <v>22.816801980000001</v>
      </c>
      <c r="N518" s="82">
        <f t="shared" si="240"/>
        <v>0</v>
      </c>
      <c r="O518" s="82">
        <f t="shared" si="241"/>
        <v>0</v>
      </c>
      <c r="P518" s="82">
        <f>O518+'BM 011'!P518</f>
        <v>0</v>
      </c>
      <c r="Q518" s="80">
        <f t="shared" si="242"/>
        <v>1080</v>
      </c>
      <c r="R518" s="82">
        <f t="shared" si="243"/>
        <v>1369</v>
      </c>
      <c r="S518" s="82">
        <f t="shared" si="244"/>
        <v>1369</v>
      </c>
      <c r="T518" s="82">
        <f t="shared" si="245"/>
        <v>1369</v>
      </c>
    </row>
    <row r="519" spans="2:20" s="34" customFormat="1" ht="46.2">
      <c r="B519" s="75" t="s">
        <v>999</v>
      </c>
      <c r="C519" s="76" t="s">
        <v>1000</v>
      </c>
      <c r="D519" s="77" t="s">
        <v>124</v>
      </c>
      <c r="E519" s="93">
        <v>210</v>
      </c>
      <c r="F519" s="93">
        <v>210</v>
      </c>
      <c r="G519" s="79"/>
      <c r="H519" s="79"/>
      <c r="I519" s="79"/>
      <c r="J519" s="79">
        <f>SUM(H519:I519)+'BM 011'!J519</f>
        <v>0</v>
      </c>
      <c r="K519" s="79">
        <f t="shared" si="221"/>
        <v>210</v>
      </c>
      <c r="L519" s="84">
        <v>40</v>
      </c>
      <c r="M519" s="81">
        <v>50.704004400000002</v>
      </c>
      <c r="N519" s="82">
        <f t="shared" si="240"/>
        <v>0</v>
      </c>
      <c r="O519" s="82">
        <f t="shared" si="241"/>
        <v>0</v>
      </c>
      <c r="P519" s="82">
        <f>O519+'BM 011'!P519</f>
        <v>0</v>
      </c>
      <c r="Q519" s="80">
        <f t="shared" si="242"/>
        <v>8400</v>
      </c>
      <c r="R519" s="82">
        <f t="shared" si="243"/>
        <v>10647.84</v>
      </c>
      <c r="S519" s="82">
        <f t="shared" si="244"/>
        <v>10647.84</v>
      </c>
      <c r="T519" s="82">
        <f t="shared" si="245"/>
        <v>10647.84</v>
      </c>
    </row>
    <row r="520" spans="2:20" s="34" customFormat="1" ht="46.2">
      <c r="B520" s="75" t="s">
        <v>1001</v>
      </c>
      <c r="C520" s="76" t="s">
        <v>1002</v>
      </c>
      <c r="D520" s="77" t="s">
        <v>124</v>
      </c>
      <c r="E520" s="93">
        <v>120</v>
      </c>
      <c r="F520" s="93">
        <v>120</v>
      </c>
      <c r="G520" s="79"/>
      <c r="H520" s="79"/>
      <c r="I520" s="79"/>
      <c r="J520" s="79">
        <f>SUM(H520:I520)+'BM 011'!J520</f>
        <v>0</v>
      </c>
      <c r="K520" s="79">
        <f t="shared" si="221"/>
        <v>120</v>
      </c>
      <c r="L520" s="84">
        <v>75</v>
      </c>
      <c r="M520" s="81">
        <v>95.070008250000001</v>
      </c>
      <c r="N520" s="82">
        <f t="shared" si="240"/>
        <v>0</v>
      </c>
      <c r="O520" s="82">
        <f t="shared" si="241"/>
        <v>0</v>
      </c>
      <c r="P520" s="82">
        <f>O520+'BM 011'!P520</f>
        <v>0</v>
      </c>
      <c r="Q520" s="80">
        <f t="shared" si="242"/>
        <v>9000</v>
      </c>
      <c r="R520" s="82">
        <f t="shared" si="243"/>
        <v>11408.4</v>
      </c>
      <c r="S520" s="82">
        <f t="shared" si="244"/>
        <v>11408.4</v>
      </c>
      <c r="T520" s="82">
        <f t="shared" si="245"/>
        <v>11408.4</v>
      </c>
    </row>
    <row r="521" spans="2:20" s="34" customFormat="1" ht="46.2">
      <c r="B521" s="75" t="s">
        <v>1003</v>
      </c>
      <c r="C521" s="76" t="s">
        <v>1004</v>
      </c>
      <c r="D521" s="77" t="s">
        <v>124</v>
      </c>
      <c r="E521" s="93">
        <v>36</v>
      </c>
      <c r="F521" s="93">
        <v>36</v>
      </c>
      <c r="G521" s="79"/>
      <c r="H521" s="79"/>
      <c r="I521" s="79"/>
      <c r="J521" s="79">
        <f>SUM(H521:I521)+'BM 011'!J521</f>
        <v>0</v>
      </c>
      <c r="K521" s="79">
        <f t="shared" si="221"/>
        <v>36</v>
      </c>
      <c r="L521" s="84">
        <v>130</v>
      </c>
      <c r="M521" s="81">
        <v>164.78801429999999</v>
      </c>
      <c r="N521" s="82">
        <f t="shared" si="240"/>
        <v>0</v>
      </c>
      <c r="O521" s="82">
        <f t="shared" si="241"/>
        <v>0</v>
      </c>
      <c r="P521" s="82">
        <f>O521+'BM 011'!P521</f>
        <v>0</v>
      </c>
      <c r="Q521" s="80">
        <f t="shared" si="242"/>
        <v>4680</v>
      </c>
      <c r="R521" s="82">
        <f t="shared" si="243"/>
        <v>5932.36</v>
      </c>
      <c r="S521" s="82">
        <f t="shared" si="244"/>
        <v>5932.36</v>
      </c>
      <c r="T521" s="82">
        <f t="shared" si="245"/>
        <v>5932.36</v>
      </c>
    </row>
    <row r="522" spans="2:20" s="34" customFormat="1" ht="46.2">
      <c r="B522" s="75" t="s">
        <v>1005</v>
      </c>
      <c r="C522" s="76" t="s">
        <v>1006</v>
      </c>
      <c r="D522" s="77" t="s">
        <v>124</v>
      </c>
      <c r="E522" s="93">
        <v>36</v>
      </c>
      <c r="F522" s="93">
        <v>36</v>
      </c>
      <c r="G522" s="79"/>
      <c r="H522" s="79"/>
      <c r="I522" s="79"/>
      <c r="J522" s="79">
        <f>SUM(H522:I522)+'BM 011'!J522</f>
        <v>0</v>
      </c>
      <c r="K522" s="79">
        <f t="shared" si="221"/>
        <v>36</v>
      </c>
      <c r="L522" s="84">
        <v>180</v>
      </c>
      <c r="M522" s="81">
        <v>228.1680198</v>
      </c>
      <c r="N522" s="82">
        <f t="shared" si="240"/>
        <v>0</v>
      </c>
      <c r="O522" s="82">
        <f t="shared" si="241"/>
        <v>0</v>
      </c>
      <c r="P522" s="82">
        <f>O522+'BM 011'!P522</f>
        <v>0</v>
      </c>
      <c r="Q522" s="80">
        <f t="shared" si="242"/>
        <v>6480</v>
      </c>
      <c r="R522" s="82">
        <f t="shared" si="243"/>
        <v>8214.0400000000009</v>
      </c>
      <c r="S522" s="82">
        <f t="shared" si="244"/>
        <v>8214.0400000000009</v>
      </c>
      <c r="T522" s="82">
        <f t="shared" si="245"/>
        <v>8214.0400000000009</v>
      </c>
    </row>
    <row r="523" spans="2:20" s="34" customFormat="1" ht="46.2">
      <c r="B523" s="75" t="s">
        <v>1007</v>
      </c>
      <c r="C523" s="76" t="s">
        <v>1008</v>
      </c>
      <c r="D523" s="77" t="s">
        <v>124</v>
      </c>
      <c r="E523" s="93">
        <v>120</v>
      </c>
      <c r="F523" s="93">
        <v>120</v>
      </c>
      <c r="G523" s="79"/>
      <c r="H523" s="79"/>
      <c r="I523" s="79"/>
      <c r="J523" s="79">
        <f>SUM(H523:I523)+'BM 011'!J523</f>
        <v>6</v>
      </c>
      <c r="K523" s="79">
        <f t="shared" si="221"/>
        <v>114</v>
      </c>
      <c r="L523" s="84">
        <v>110</v>
      </c>
      <c r="M523" s="81">
        <v>139.4360121</v>
      </c>
      <c r="N523" s="82">
        <f t="shared" si="240"/>
        <v>0</v>
      </c>
      <c r="O523" s="82">
        <f t="shared" si="241"/>
        <v>0</v>
      </c>
      <c r="P523" s="82">
        <f>O523+'BM 011'!P523</f>
        <v>836.61</v>
      </c>
      <c r="Q523" s="80">
        <f t="shared" si="242"/>
        <v>13200</v>
      </c>
      <c r="R523" s="82">
        <f t="shared" si="243"/>
        <v>16732.32</v>
      </c>
      <c r="S523" s="82">
        <f t="shared" si="244"/>
        <v>16732.32</v>
      </c>
      <c r="T523" s="82">
        <f t="shared" si="245"/>
        <v>15895.71</v>
      </c>
    </row>
    <row r="524" spans="2:20" s="34" customFormat="1" ht="46.2">
      <c r="B524" s="75" t="s">
        <v>1009</v>
      </c>
      <c r="C524" s="76" t="s">
        <v>1010</v>
      </c>
      <c r="D524" s="77" t="s">
        <v>124</v>
      </c>
      <c r="E524" s="93">
        <v>120</v>
      </c>
      <c r="F524" s="93">
        <v>120</v>
      </c>
      <c r="G524" s="79"/>
      <c r="H524" s="79"/>
      <c r="I524" s="79"/>
      <c r="J524" s="79">
        <f>SUM(H524:I524)+'BM 011'!J524</f>
        <v>0</v>
      </c>
      <c r="K524" s="79">
        <f t="shared" si="221"/>
        <v>120</v>
      </c>
      <c r="L524" s="84">
        <v>50</v>
      </c>
      <c r="M524" s="81">
        <v>63.380005500000003</v>
      </c>
      <c r="N524" s="82">
        <f t="shared" si="240"/>
        <v>0</v>
      </c>
      <c r="O524" s="82">
        <f t="shared" si="241"/>
        <v>0</v>
      </c>
      <c r="P524" s="82">
        <f>O524+'BM 011'!P524</f>
        <v>0</v>
      </c>
      <c r="Q524" s="80">
        <f t="shared" si="242"/>
        <v>6000</v>
      </c>
      <c r="R524" s="82">
        <f t="shared" si="243"/>
        <v>7605.6</v>
      </c>
      <c r="S524" s="82">
        <f t="shared" si="244"/>
        <v>7605.6</v>
      </c>
      <c r="T524" s="82">
        <f t="shared" si="245"/>
        <v>7605.6</v>
      </c>
    </row>
    <row r="525" spans="2:20" s="34" customFormat="1" ht="46.2">
      <c r="B525" s="75" t="s">
        <v>1011</v>
      </c>
      <c r="C525" s="76" t="s">
        <v>1012</v>
      </c>
      <c r="D525" s="77" t="s">
        <v>124</v>
      </c>
      <c r="E525" s="93">
        <v>120</v>
      </c>
      <c r="F525" s="93">
        <v>120</v>
      </c>
      <c r="G525" s="79"/>
      <c r="H525" s="79"/>
      <c r="I525" s="79"/>
      <c r="J525" s="79">
        <f>SUM(H525:I525)+'BM 011'!J525</f>
        <v>0</v>
      </c>
      <c r="K525" s="79">
        <f t="shared" si="221"/>
        <v>120</v>
      </c>
      <c r="L525" s="84">
        <v>60</v>
      </c>
      <c r="M525" s="81">
        <v>76.056006600000003</v>
      </c>
      <c r="N525" s="82">
        <f t="shared" si="240"/>
        <v>0</v>
      </c>
      <c r="O525" s="82">
        <f t="shared" si="241"/>
        <v>0</v>
      </c>
      <c r="P525" s="82">
        <f>O525+'BM 011'!P525</f>
        <v>0</v>
      </c>
      <c r="Q525" s="80">
        <f t="shared" si="242"/>
        <v>7200</v>
      </c>
      <c r="R525" s="82">
        <f t="shared" si="243"/>
        <v>9126.7199999999993</v>
      </c>
      <c r="S525" s="82">
        <f t="shared" si="244"/>
        <v>9126.7199999999993</v>
      </c>
      <c r="T525" s="82">
        <f t="shared" si="245"/>
        <v>9126.7199999999993</v>
      </c>
    </row>
    <row r="526" spans="2:20" s="34" customFormat="1" ht="57.6">
      <c r="B526" s="75" t="s">
        <v>1013</v>
      </c>
      <c r="C526" s="76" t="s">
        <v>1014</v>
      </c>
      <c r="D526" s="77" t="s">
        <v>124</v>
      </c>
      <c r="E526" s="78">
        <v>300</v>
      </c>
      <c r="F526" s="78">
        <v>300</v>
      </c>
      <c r="G526" s="79"/>
      <c r="H526" s="79"/>
      <c r="I526" s="79"/>
      <c r="J526" s="79">
        <f>SUM(H526:I526)+'BM 011'!J526</f>
        <v>0</v>
      </c>
      <c r="K526" s="79">
        <f t="shared" si="221"/>
        <v>300</v>
      </c>
      <c r="L526" s="84">
        <v>110</v>
      </c>
      <c r="M526" s="81">
        <v>139.4360121</v>
      </c>
      <c r="N526" s="82">
        <f t="shared" si="240"/>
        <v>0</v>
      </c>
      <c r="O526" s="82">
        <f t="shared" si="241"/>
        <v>0</v>
      </c>
      <c r="P526" s="82">
        <f>O526+'BM 011'!P526</f>
        <v>0</v>
      </c>
      <c r="Q526" s="80">
        <f t="shared" si="242"/>
        <v>33000</v>
      </c>
      <c r="R526" s="82">
        <f t="shared" si="243"/>
        <v>41830.800000000003</v>
      </c>
      <c r="S526" s="82">
        <f t="shared" si="244"/>
        <v>41830.800000000003</v>
      </c>
      <c r="T526" s="82">
        <f t="shared" si="245"/>
        <v>41830.800000000003</v>
      </c>
    </row>
    <row r="527" spans="2:20" s="34" customFormat="1" ht="24">
      <c r="B527" s="66" t="s">
        <v>1015</v>
      </c>
      <c r="C527" s="67" t="s">
        <v>1016</v>
      </c>
      <c r="D527" s="68"/>
      <c r="E527" s="69"/>
      <c r="F527" s="69"/>
      <c r="G527" s="70"/>
      <c r="H527" s="70"/>
      <c r="I527" s="70"/>
      <c r="J527" s="70">
        <f>SUM(H527:I527)+'BM 011'!J527</f>
        <v>0</v>
      </c>
      <c r="K527" s="70">
        <f t="shared" si="221"/>
        <v>0</v>
      </c>
      <c r="L527" s="71"/>
      <c r="M527" s="71">
        <v>0</v>
      </c>
      <c r="N527" s="73">
        <f t="shared" ref="N527:T527" si="246">SUM(N528:N558)</f>
        <v>0</v>
      </c>
      <c r="O527" s="73">
        <f t="shared" si="246"/>
        <v>0</v>
      </c>
      <c r="P527" s="73">
        <f t="shared" si="246"/>
        <v>425.9</v>
      </c>
      <c r="Q527" s="73">
        <f t="shared" si="246"/>
        <v>88676.55</v>
      </c>
      <c r="R527" s="73">
        <f t="shared" si="246"/>
        <v>112406.29000000001</v>
      </c>
      <c r="S527" s="73">
        <f t="shared" si="246"/>
        <v>112406.29000000001</v>
      </c>
      <c r="T527" s="73">
        <f t="shared" si="246"/>
        <v>111980.38999999998</v>
      </c>
    </row>
    <row r="528" spans="2:20" s="34" customFormat="1" ht="46.2">
      <c r="B528" s="75" t="s">
        <v>1017</v>
      </c>
      <c r="C528" s="76" t="s">
        <v>1018</v>
      </c>
      <c r="D528" s="77" t="s">
        <v>39</v>
      </c>
      <c r="E528" s="78">
        <v>10</v>
      </c>
      <c r="F528" s="78">
        <v>10</v>
      </c>
      <c r="G528" s="79"/>
      <c r="H528" s="79"/>
      <c r="I528" s="79"/>
      <c r="J528" s="79">
        <f>SUM(H528:I528)+'BM 011'!J528</f>
        <v>1</v>
      </c>
      <c r="K528" s="79">
        <f t="shared" si="221"/>
        <v>9</v>
      </c>
      <c r="L528" s="84">
        <v>198</v>
      </c>
      <c r="M528" s="81">
        <v>250.98482178</v>
      </c>
      <c r="N528" s="82">
        <f t="shared" ref="N528:N558" si="247">TRUNC(G528*M528,2)</f>
        <v>0</v>
      </c>
      <c r="O528" s="82">
        <f t="shared" ref="O528:O558" si="248">TRUNC(H528*M528,2)</f>
        <v>0</v>
      </c>
      <c r="P528" s="82">
        <f>O528+'BM 011'!P528</f>
        <v>250.98</v>
      </c>
      <c r="Q528" s="80">
        <f t="shared" ref="Q528:Q558" si="249">E528*L528</f>
        <v>1980</v>
      </c>
      <c r="R528" s="82">
        <f t="shared" ref="R528:R558" si="250">TRUNC(E528*M528,2)</f>
        <v>2509.84</v>
      </c>
      <c r="S528" s="82">
        <f t="shared" ref="S528:S558" si="251">TRUNC(F528*$M528,2)</f>
        <v>2509.84</v>
      </c>
      <c r="T528" s="82">
        <f t="shared" ref="T528:T558" si="252">S528-P528</f>
        <v>2258.86</v>
      </c>
    </row>
    <row r="529" spans="2:20" s="34" customFormat="1" ht="46.2">
      <c r="B529" s="75" t="s">
        <v>1019</v>
      </c>
      <c r="C529" s="76" t="s">
        <v>1020</v>
      </c>
      <c r="D529" s="77" t="s">
        <v>39</v>
      </c>
      <c r="E529" s="78">
        <v>173</v>
      </c>
      <c r="F529" s="78">
        <v>173</v>
      </c>
      <c r="G529" s="79"/>
      <c r="H529" s="79"/>
      <c r="I529" s="79"/>
      <c r="J529" s="79">
        <f>SUM(H529:I529)+'BM 011'!J529</f>
        <v>0</v>
      </c>
      <c r="K529" s="79">
        <f t="shared" si="221"/>
        <v>173</v>
      </c>
      <c r="L529" s="84">
        <v>18</v>
      </c>
      <c r="M529" s="81">
        <v>22.816801980000001</v>
      </c>
      <c r="N529" s="82">
        <f t="shared" si="247"/>
        <v>0</v>
      </c>
      <c r="O529" s="82">
        <f t="shared" si="248"/>
        <v>0</v>
      </c>
      <c r="P529" s="82">
        <f>O529+'BM 011'!P529</f>
        <v>0</v>
      </c>
      <c r="Q529" s="80">
        <f t="shared" si="249"/>
        <v>3114</v>
      </c>
      <c r="R529" s="82">
        <f t="shared" si="250"/>
        <v>3947.3</v>
      </c>
      <c r="S529" s="82">
        <f t="shared" si="251"/>
        <v>3947.3</v>
      </c>
      <c r="T529" s="82">
        <f t="shared" si="252"/>
        <v>3947.3</v>
      </c>
    </row>
    <row r="530" spans="2:20" s="34" customFormat="1" ht="46.2">
      <c r="B530" s="75" t="s">
        <v>1021</v>
      </c>
      <c r="C530" s="76" t="s">
        <v>1022</v>
      </c>
      <c r="D530" s="77" t="s">
        <v>39</v>
      </c>
      <c r="E530" s="78">
        <v>7</v>
      </c>
      <c r="F530" s="78">
        <v>7</v>
      </c>
      <c r="G530" s="79"/>
      <c r="H530" s="79"/>
      <c r="I530" s="79"/>
      <c r="J530" s="79">
        <f>SUM(H530:I530)+'BM 011'!J530</f>
        <v>0</v>
      </c>
      <c r="K530" s="79">
        <f t="shared" si="221"/>
        <v>7</v>
      </c>
      <c r="L530" s="84">
        <v>69</v>
      </c>
      <c r="M530" s="81">
        <v>87.464407589999993</v>
      </c>
      <c r="N530" s="82">
        <f t="shared" si="247"/>
        <v>0</v>
      </c>
      <c r="O530" s="82">
        <f t="shared" si="248"/>
        <v>0</v>
      </c>
      <c r="P530" s="82">
        <f>O530+'BM 011'!P530</f>
        <v>0</v>
      </c>
      <c r="Q530" s="80">
        <f t="shared" si="249"/>
        <v>483</v>
      </c>
      <c r="R530" s="82">
        <f t="shared" si="250"/>
        <v>612.25</v>
      </c>
      <c r="S530" s="82">
        <f t="shared" si="251"/>
        <v>612.25</v>
      </c>
      <c r="T530" s="82">
        <f t="shared" si="252"/>
        <v>612.25</v>
      </c>
    </row>
    <row r="531" spans="2:20" s="34" customFormat="1" ht="46.2">
      <c r="B531" s="75" t="s">
        <v>1023</v>
      </c>
      <c r="C531" s="76" t="s">
        <v>1024</v>
      </c>
      <c r="D531" s="77" t="s">
        <v>39</v>
      </c>
      <c r="E531" s="78">
        <v>30</v>
      </c>
      <c r="F531" s="78">
        <v>30</v>
      </c>
      <c r="G531" s="79"/>
      <c r="H531" s="79"/>
      <c r="I531" s="79"/>
      <c r="J531" s="79">
        <f>SUM(H531:I531)+'BM 011'!J531</f>
        <v>0</v>
      </c>
      <c r="K531" s="79">
        <f t="shared" si="221"/>
        <v>30</v>
      </c>
      <c r="L531" s="84">
        <v>94.65</v>
      </c>
      <c r="M531" s="81">
        <v>119.9783504115</v>
      </c>
      <c r="N531" s="82">
        <f t="shared" si="247"/>
        <v>0</v>
      </c>
      <c r="O531" s="82">
        <f t="shared" si="248"/>
        <v>0</v>
      </c>
      <c r="P531" s="82">
        <f>O531+'BM 011'!P531</f>
        <v>0</v>
      </c>
      <c r="Q531" s="80">
        <f t="shared" si="249"/>
        <v>2839.5</v>
      </c>
      <c r="R531" s="82">
        <f t="shared" si="250"/>
        <v>3599.35</v>
      </c>
      <c r="S531" s="82">
        <f t="shared" si="251"/>
        <v>3599.35</v>
      </c>
      <c r="T531" s="82">
        <f t="shared" si="252"/>
        <v>3599.35</v>
      </c>
    </row>
    <row r="532" spans="2:20" s="34" customFormat="1" ht="46.2">
      <c r="B532" s="75" t="s">
        <v>1025</v>
      </c>
      <c r="C532" s="76" t="s">
        <v>1026</v>
      </c>
      <c r="D532" s="77" t="s">
        <v>39</v>
      </c>
      <c r="E532" s="78">
        <v>40</v>
      </c>
      <c r="F532" s="78">
        <v>40</v>
      </c>
      <c r="G532" s="79"/>
      <c r="H532" s="79"/>
      <c r="I532" s="79"/>
      <c r="J532" s="79">
        <f>SUM(H532:I532)+'BM 011'!J532</f>
        <v>0</v>
      </c>
      <c r="K532" s="79">
        <f t="shared" si="221"/>
        <v>40</v>
      </c>
      <c r="L532" s="84">
        <v>60.11</v>
      </c>
      <c r="M532" s="81">
        <v>76.195442612099995</v>
      </c>
      <c r="N532" s="82">
        <f t="shared" si="247"/>
        <v>0</v>
      </c>
      <c r="O532" s="82">
        <f t="shared" si="248"/>
        <v>0</v>
      </c>
      <c r="P532" s="82">
        <f>O532+'BM 011'!P532</f>
        <v>0</v>
      </c>
      <c r="Q532" s="80">
        <f t="shared" si="249"/>
        <v>2404.4</v>
      </c>
      <c r="R532" s="82">
        <f t="shared" si="250"/>
        <v>3047.81</v>
      </c>
      <c r="S532" s="82">
        <f t="shared" si="251"/>
        <v>3047.81</v>
      </c>
      <c r="T532" s="82">
        <f t="shared" si="252"/>
        <v>3047.81</v>
      </c>
    </row>
    <row r="533" spans="2:20" s="34" customFormat="1" ht="46.2">
      <c r="B533" s="75" t="s">
        <v>1027</v>
      </c>
      <c r="C533" s="76" t="s">
        <v>1028</v>
      </c>
      <c r="D533" s="77" t="s">
        <v>39</v>
      </c>
      <c r="E533" s="78">
        <v>50</v>
      </c>
      <c r="F533" s="78">
        <v>50</v>
      </c>
      <c r="G533" s="79"/>
      <c r="H533" s="79"/>
      <c r="I533" s="79"/>
      <c r="J533" s="79">
        <f>SUM(H533:I533)+'BM 011'!J533</f>
        <v>0</v>
      </c>
      <c r="K533" s="79">
        <f t="shared" si="221"/>
        <v>50</v>
      </c>
      <c r="L533" s="84">
        <v>36.9</v>
      </c>
      <c r="M533" s="81">
        <v>46.774444058999997</v>
      </c>
      <c r="N533" s="82">
        <f t="shared" si="247"/>
        <v>0</v>
      </c>
      <c r="O533" s="82">
        <f t="shared" si="248"/>
        <v>0</v>
      </c>
      <c r="P533" s="82">
        <f>O533+'BM 011'!P533</f>
        <v>0</v>
      </c>
      <c r="Q533" s="80">
        <f t="shared" si="249"/>
        <v>1845</v>
      </c>
      <c r="R533" s="82">
        <f t="shared" si="250"/>
        <v>2338.7199999999998</v>
      </c>
      <c r="S533" s="82">
        <f t="shared" si="251"/>
        <v>2338.7199999999998</v>
      </c>
      <c r="T533" s="82">
        <f t="shared" si="252"/>
        <v>2338.7199999999998</v>
      </c>
    </row>
    <row r="534" spans="2:20" s="34" customFormat="1" ht="46.2">
      <c r="B534" s="75" t="s">
        <v>1029</v>
      </c>
      <c r="C534" s="76" t="s">
        <v>1030</v>
      </c>
      <c r="D534" s="77" t="s">
        <v>39</v>
      </c>
      <c r="E534" s="78">
        <v>50</v>
      </c>
      <c r="F534" s="78">
        <v>50</v>
      </c>
      <c r="G534" s="79"/>
      <c r="H534" s="79"/>
      <c r="I534" s="79"/>
      <c r="J534" s="79">
        <f>SUM(H534:I534)+'BM 011'!J534</f>
        <v>0</v>
      </c>
      <c r="K534" s="79">
        <f t="shared" si="221"/>
        <v>50</v>
      </c>
      <c r="L534" s="84">
        <v>42.56</v>
      </c>
      <c r="M534" s="81">
        <v>53.949060681600002</v>
      </c>
      <c r="N534" s="82">
        <f t="shared" si="247"/>
        <v>0</v>
      </c>
      <c r="O534" s="82">
        <f t="shared" si="248"/>
        <v>0</v>
      </c>
      <c r="P534" s="82">
        <f>O534+'BM 011'!P534</f>
        <v>0</v>
      </c>
      <c r="Q534" s="80">
        <f t="shared" si="249"/>
        <v>2128</v>
      </c>
      <c r="R534" s="82">
        <f t="shared" si="250"/>
        <v>2697.45</v>
      </c>
      <c r="S534" s="82">
        <f t="shared" si="251"/>
        <v>2697.45</v>
      </c>
      <c r="T534" s="82">
        <f t="shared" si="252"/>
        <v>2697.45</v>
      </c>
    </row>
    <row r="535" spans="2:20" s="34" customFormat="1" ht="34.799999999999997">
      <c r="B535" s="75" t="s">
        <v>1031</v>
      </c>
      <c r="C535" s="76" t="s">
        <v>1032</v>
      </c>
      <c r="D535" s="77" t="s">
        <v>39</v>
      </c>
      <c r="E535" s="78">
        <v>20</v>
      </c>
      <c r="F535" s="78">
        <v>20</v>
      </c>
      <c r="G535" s="79"/>
      <c r="H535" s="79"/>
      <c r="I535" s="79"/>
      <c r="J535" s="79">
        <f>SUM(H535:I535)+'BM 011'!J535</f>
        <v>0</v>
      </c>
      <c r="K535" s="79">
        <f t="shared" si="221"/>
        <v>20</v>
      </c>
      <c r="L535" s="84">
        <v>78.33</v>
      </c>
      <c r="M535" s="81">
        <v>99.291116616300002</v>
      </c>
      <c r="N535" s="82">
        <f t="shared" si="247"/>
        <v>0</v>
      </c>
      <c r="O535" s="82">
        <f t="shared" si="248"/>
        <v>0</v>
      </c>
      <c r="P535" s="82">
        <f>O535+'BM 011'!P535</f>
        <v>0</v>
      </c>
      <c r="Q535" s="80">
        <f t="shared" si="249"/>
        <v>1566.6</v>
      </c>
      <c r="R535" s="82">
        <f t="shared" si="250"/>
        <v>1985.82</v>
      </c>
      <c r="S535" s="82">
        <f t="shared" si="251"/>
        <v>1985.82</v>
      </c>
      <c r="T535" s="82">
        <f t="shared" si="252"/>
        <v>1985.82</v>
      </c>
    </row>
    <row r="536" spans="2:20" s="34" customFormat="1" ht="34.799999999999997">
      <c r="B536" s="75" t="s">
        <v>1033</v>
      </c>
      <c r="C536" s="76" t="s">
        <v>1034</v>
      </c>
      <c r="D536" s="77" t="s">
        <v>39</v>
      </c>
      <c r="E536" s="78">
        <v>10</v>
      </c>
      <c r="F536" s="78">
        <v>10</v>
      </c>
      <c r="G536" s="79"/>
      <c r="H536" s="79"/>
      <c r="I536" s="79"/>
      <c r="J536" s="79">
        <f>SUM(H536:I536)+'BM 011'!J536</f>
        <v>0</v>
      </c>
      <c r="K536" s="79">
        <f t="shared" si="221"/>
        <v>10</v>
      </c>
      <c r="L536" s="84">
        <v>95</v>
      </c>
      <c r="M536" s="81">
        <v>120.42201045</v>
      </c>
      <c r="N536" s="82">
        <f t="shared" si="247"/>
        <v>0</v>
      </c>
      <c r="O536" s="82">
        <f t="shared" si="248"/>
        <v>0</v>
      </c>
      <c r="P536" s="82">
        <f>O536+'BM 011'!P536</f>
        <v>0</v>
      </c>
      <c r="Q536" s="80">
        <f t="shared" si="249"/>
        <v>950</v>
      </c>
      <c r="R536" s="82">
        <f t="shared" si="250"/>
        <v>1204.22</v>
      </c>
      <c r="S536" s="82">
        <f t="shared" si="251"/>
        <v>1204.22</v>
      </c>
      <c r="T536" s="82">
        <f t="shared" si="252"/>
        <v>1204.22</v>
      </c>
    </row>
    <row r="537" spans="2:20" s="34" customFormat="1" ht="34.799999999999997">
      <c r="B537" s="75" t="s">
        <v>1035</v>
      </c>
      <c r="C537" s="76" t="s">
        <v>1036</v>
      </c>
      <c r="D537" s="77" t="s">
        <v>39</v>
      </c>
      <c r="E537" s="78">
        <v>10</v>
      </c>
      <c r="F537" s="78">
        <v>10</v>
      </c>
      <c r="G537" s="79"/>
      <c r="H537" s="79"/>
      <c r="I537" s="79"/>
      <c r="J537" s="79">
        <f>SUM(H537:I537)+'BM 011'!J537</f>
        <v>0</v>
      </c>
      <c r="K537" s="79">
        <f t="shared" si="221"/>
        <v>10</v>
      </c>
      <c r="L537" s="84">
        <v>128</v>
      </c>
      <c r="M537" s="81">
        <v>162.25281408000001</v>
      </c>
      <c r="N537" s="82">
        <f t="shared" si="247"/>
        <v>0</v>
      </c>
      <c r="O537" s="82">
        <f t="shared" si="248"/>
        <v>0</v>
      </c>
      <c r="P537" s="82">
        <f>O537+'BM 011'!P537</f>
        <v>0</v>
      </c>
      <c r="Q537" s="80">
        <f t="shared" si="249"/>
        <v>1280</v>
      </c>
      <c r="R537" s="82">
        <f t="shared" si="250"/>
        <v>1622.52</v>
      </c>
      <c r="S537" s="82">
        <f t="shared" si="251"/>
        <v>1622.52</v>
      </c>
      <c r="T537" s="82">
        <f t="shared" si="252"/>
        <v>1622.52</v>
      </c>
    </row>
    <row r="538" spans="2:20" s="34" customFormat="1" ht="23.4">
      <c r="B538" s="75" t="s">
        <v>1037</v>
      </c>
      <c r="C538" s="76" t="s">
        <v>1038</v>
      </c>
      <c r="D538" s="77" t="s">
        <v>39</v>
      </c>
      <c r="E538" s="78">
        <v>173</v>
      </c>
      <c r="F538" s="78">
        <v>173</v>
      </c>
      <c r="G538" s="79"/>
      <c r="H538" s="79"/>
      <c r="I538" s="79"/>
      <c r="J538" s="79">
        <f>SUM(H538:I538)+'BM 011'!J538</f>
        <v>0</v>
      </c>
      <c r="K538" s="79">
        <f t="shared" si="221"/>
        <v>173</v>
      </c>
      <c r="L538" s="84">
        <v>60</v>
      </c>
      <c r="M538" s="81">
        <v>76.056006600000003</v>
      </c>
      <c r="N538" s="82">
        <f t="shared" si="247"/>
        <v>0</v>
      </c>
      <c r="O538" s="82">
        <f t="shared" si="248"/>
        <v>0</v>
      </c>
      <c r="P538" s="82">
        <f>O538+'BM 011'!P538</f>
        <v>0</v>
      </c>
      <c r="Q538" s="80">
        <f t="shared" si="249"/>
        <v>10380</v>
      </c>
      <c r="R538" s="82">
        <f t="shared" si="250"/>
        <v>13157.68</v>
      </c>
      <c r="S538" s="82">
        <f t="shared" si="251"/>
        <v>13157.68</v>
      </c>
      <c r="T538" s="82">
        <f t="shared" si="252"/>
        <v>13157.68</v>
      </c>
    </row>
    <row r="539" spans="2:20" s="34" customFormat="1" ht="46.2">
      <c r="B539" s="75" t="s">
        <v>1039</v>
      </c>
      <c r="C539" s="76" t="s">
        <v>1040</v>
      </c>
      <c r="D539" s="77" t="s">
        <v>39</v>
      </c>
      <c r="E539" s="78">
        <v>20</v>
      </c>
      <c r="F539" s="78">
        <v>20</v>
      </c>
      <c r="G539" s="79"/>
      <c r="H539" s="79"/>
      <c r="I539" s="79"/>
      <c r="J539" s="79">
        <f>SUM(H539:I539)+'BM 011'!J539</f>
        <v>0</v>
      </c>
      <c r="K539" s="79">
        <f t="shared" si="221"/>
        <v>20</v>
      </c>
      <c r="L539" s="84">
        <v>85</v>
      </c>
      <c r="M539" s="81">
        <v>107.74600934999999</v>
      </c>
      <c r="N539" s="82">
        <f t="shared" si="247"/>
        <v>0</v>
      </c>
      <c r="O539" s="82">
        <f t="shared" si="248"/>
        <v>0</v>
      </c>
      <c r="P539" s="82">
        <f>O539+'BM 011'!P539</f>
        <v>0</v>
      </c>
      <c r="Q539" s="80">
        <f t="shared" si="249"/>
        <v>1700</v>
      </c>
      <c r="R539" s="82">
        <f t="shared" si="250"/>
        <v>2154.92</v>
      </c>
      <c r="S539" s="82">
        <f t="shared" si="251"/>
        <v>2154.92</v>
      </c>
      <c r="T539" s="82">
        <f t="shared" si="252"/>
        <v>2154.92</v>
      </c>
    </row>
    <row r="540" spans="2:20" s="34" customFormat="1" ht="46.2">
      <c r="B540" s="75" t="s">
        <v>1041</v>
      </c>
      <c r="C540" s="76" t="s">
        <v>1042</v>
      </c>
      <c r="D540" s="77" t="s">
        <v>39</v>
      </c>
      <c r="E540" s="78">
        <v>6</v>
      </c>
      <c r="F540" s="78">
        <v>6</v>
      </c>
      <c r="G540" s="79"/>
      <c r="H540" s="79"/>
      <c r="I540" s="79"/>
      <c r="J540" s="79">
        <f>SUM(H540:I540)+'BM 011'!J540</f>
        <v>0</v>
      </c>
      <c r="K540" s="79">
        <f t="shared" si="221"/>
        <v>6</v>
      </c>
      <c r="L540" s="84">
        <v>285</v>
      </c>
      <c r="M540" s="81">
        <v>361.26603134999999</v>
      </c>
      <c r="N540" s="82">
        <f t="shared" si="247"/>
        <v>0</v>
      </c>
      <c r="O540" s="82">
        <f t="shared" si="248"/>
        <v>0</v>
      </c>
      <c r="P540" s="82">
        <f>O540+'BM 011'!P540</f>
        <v>0</v>
      </c>
      <c r="Q540" s="80">
        <f t="shared" si="249"/>
        <v>1710</v>
      </c>
      <c r="R540" s="82">
        <f t="shared" si="250"/>
        <v>2167.59</v>
      </c>
      <c r="S540" s="82">
        <f t="shared" si="251"/>
        <v>2167.59</v>
      </c>
      <c r="T540" s="82">
        <f t="shared" si="252"/>
        <v>2167.59</v>
      </c>
    </row>
    <row r="541" spans="2:20" s="34" customFormat="1" ht="34.799999999999997">
      <c r="B541" s="75" t="s">
        <v>1043</v>
      </c>
      <c r="C541" s="76" t="s">
        <v>1044</v>
      </c>
      <c r="D541" s="77" t="s">
        <v>39</v>
      </c>
      <c r="E541" s="78">
        <v>20</v>
      </c>
      <c r="F541" s="78">
        <v>20</v>
      </c>
      <c r="G541" s="79"/>
      <c r="H541" s="79"/>
      <c r="I541" s="79"/>
      <c r="J541" s="79">
        <f>SUM(H541:I541)+'BM 011'!J541</f>
        <v>0</v>
      </c>
      <c r="K541" s="79">
        <f t="shared" si="221"/>
        <v>20</v>
      </c>
      <c r="L541" s="84">
        <v>38</v>
      </c>
      <c r="M541" s="81">
        <v>48.168804180000002</v>
      </c>
      <c r="N541" s="82">
        <f t="shared" si="247"/>
        <v>0</v>
      </c>
      <c r="O541" s="82">
        <f t="shared" si="248"/>
        <v>0</v>
      </c>
      <c r="P541" s="82">
        <f>O541+'BM 011'!P541</f>
        <v>0</v>
      </c>
      <c r="Q541" s="80">
        <f t="shared" si="249"/>
        <v>760</v>
      </c>
      <c r="R541" s="82">
        <f t="shared" si="250"/>
        <v>963.37</v>
      </c>
      <c r="S541" s="82">
        <f t="shared" si="251"/>
        <v>963.37</v>
      </c>
      <c r="T541" s="82">
        <f t="shared" si="252"/>
        <v>963.37</v>
      </c>
    </row>
    <row r="542" spans="2:20" s="34" customFormat="1" ht="34.799999999999997">
      <c r="B542" s="75" t="s">
        <v>1045</v>
      </c>
      <c r="C542" s="76" t="s">
        <v>1046</v>
      </c>
      <c r="D542" s="77" t="s">
        <v>39</v>
      </c>
      <c r="E542" s="78">
        <v>10</v>
      </c>
      <c r="F542" s="78">
        <v>10</v>
      </c>
      <c r="G542" s="79"/>
      <c r="H542" s="79"/>
      <c r="I542" s="79"/>
      <c r="J542" s="79">
        <f>SUM(H542:I542)+'BM 011'!J542</f>
        <v>0</v>
      </c>
      <c r="K542" s="79">
        <f t="shared" ref="K542:K598" si="253">F542-J542</f>
        <v>10</v>
      </c>
      <c r="L542" s="84">
        <v>118</v>
      </c>
      <c r="M542" s="81">
        <v>149.57681298</v>
      </c>
      <c r="N542" s="82">
        <f t="shared" si="247"/>
        <v>0</v>
      </c>
      <c r="O542" s="82">
        <f t="shared" si="248"/>
        <v>0</v>
      </c>
      <c r="P542" s="82">
        <f>O542+'BM 011'!P542</f>
        <v>0</v>
      </c>
      <c r="Q542" s="80">
        <f t="shared" si="249"/>
        <v>1180</v>
      </c>
      <c r="R542" s="82">
        <f t="shared" si="250"/>
        <v>1495.76</v>
      </c>
      <c r="S542" s="82">
        <f t="shared" si="251"/>
        <v>1495.76</v>
      </c>
      <c r="T542" s="82">
        <f t="shared" si="252"/>
        <v>1495.76</v>
      </c>
    </row>
    <row r="543" spans="2:20" s="34" customFormat="1" ht="23.4">
      <c r="B543" s="75" t="s">
        <v>1047</v>
      </c>
      <c r="C543" s="76" t="s">
        <v>1048</v>
      </c>
      <c r="D543" s="77" t="s">
        <v>39</v>
      </c>
      <c r="E543" s="78">
        <v>10</v>
      </c>
      <c r="F543" s="78">
        <v>10</v>
      </c>
      <c r="G543" s="79"/>
      <c r="H543" s="79"/>
      <c r="I543" s="79"/>
      <c r="J543" s="79">
        <f>SUM(H543:I543)+'BM 011'!J543</f>
        <v>0</v>
      </c>
      <c r="K543" s="79">
        <f t="shared" si="253"/>
        <v>10</v>
      </c>
      <c r="L543" s="84">
        <v>88.39</v>
      </c>
      <c r="M543" s="81">
        <v>112.04317372289999</v>
      </c>
      <c r="N543" s="82">
        <f t="shared" si="247"/>
        <v>0</v>
      </c>
      <c r="O543" s="82">
        <f t="shared" si="248"/>
        <v>0</v>
      </c>
      <c r="P543" s="82">
        <f>O543+'BM 011'!P543</f>
        <v>0</v>
      </c>
      <c r="Q543" s="80">
        <f t="shared" si="249"/>
        <v>883.9</v>
      </c>
      <c r="R543" s="82">
        <f t="shared" si="250"/>
        <v>1120.43</v>
      </c>
      <c r="S543" s="82">
        <f t="shared" si="251"/>
        <v>1120.43</v>
      </c>
      <c r="T543" s="82">
        <f t="shared" si="252"/>
        <v>1120.43</v>
      </c>
    </row>
    <row r="544" spans="2:20" s="34" customFormat="1" ht="23.4">
      <c r="B544" s="75" t="s">
        <v>1049</v>
      </c>
      <c r="C544" s="76" t="s">
        <v>1050</v>
      </c>
      <c r="D544" s="77" t="s">
        <v>39</v>
      </c>
      <c r="E544" s="78">
        <v>20</v>
      </c>
      <c r="F544" s="78">
        <v>20</v>
      </c>
      <c r="G544" s="79"/>
      <c r="H544" s="79"/>
      <c r="I544" s="79"/>
      <c r="J544" s="79">
        <f>SUM(H544:I544)+'BM 011'!J544</f>
        <v>0</v>
      </c>
      <c r="K544" s="79">
        <f t="shared" si="253"/>
        <v>20</v>
      </c>
      <c r="L544" s="84">
        <v>45.21</v>
      </c>
      <c r="M544" s="81">
        <v>57.3082009731</v>
      </c>
      <c r="N544" s="82">
        <f t="shared" si="247"/>
        <v>0</v>
      </c>
      <c r="O544" s="82">
        <f t="shared" si="248"/>
        <v>0</v>
      </c>
      <c r="P544" s="82">
        <f>O544+'BM 011'!P544</f>
        <v>0</v>
      </c>
      <c r="Q544" s="80">
        <f t="shared" si="249"/>
        <v>904.2</v>
      </c>
      <c r="R544" s="82">
        <f t="shared" si="250"/>
        <v>1146.1600000000001</v>
      </c>
      <c r="S544" s="82">
        <f t="shared" si="251"/>
        <v>1146.1600000000001</v>
      </c>
      <c r="T544" s="82">
        <f t="shared" si="252"/>
        <v>1146.1600000000001</v>
      </c>
    </row>
    <row r="545" spans="2:20" s="34" customFormat="1" ht="23.4">
      <c r="B545" s="75" t="s">
        <v>1051</v>
      </c>
      <c r="C545" s="76" t="s">
        <v>1052</v>
      </c>
      <c r="D545" s="77" t="s">
        <v>39</v>
      </c>
      <c r="E545" s="78">
        <v>10</v>
      </c>
      <c r="F545" s="78">
        <v>10</v>
      </c>
      <c r="G545" s="79"/>
      <c r="H545" s="79"/>
      <c r="I545" s="79"/>
      <c r="J545" s="79">
        <f>SUM(H545:I545)+'BM 011'!J545</f>
        <v>0</v>
      </c>
      <c r="K545" s="79">
        <f t="shared" si="253"/>
        <v>10</v>
      </c>
      <c r="L545" s="84">
        <v>65.290000000000006</v>
      </c>
      <c r="M545" s="81">
        <v>82.761611181899994</v>
      </c>
      <c r="N545" s="82">
        <f t="shared" si="247"/>
        <v>0</v>
      </c>
      <c r="O545" s="82">
        <f t="shared" si="248"/>
        <v>0</v>
      </c>
      <c r="P545" s="82">
        <f>O545+'BM 011'!P545</f>
        <v>0</v>
      </c>
      <c r="Q545" s="80">
        <f t="shared" si="249"/>
        <v>652.90000000000009</v>
      </c>
      <c r="R545" s="82">
        <f t="shared" si="250"/>
        <v>827.61</v>
      </c>
      <c r="S545" s="82">
        <f t="shared" si="251"/>
        <v>827.61</v>
      </c>
      <c r="T545" s="82">
        <f t="shared" si="252"/>
        <v>827.61</v>
      </c>
    </row>
    <row r="546" spans="2:20" s="34" customFormat="1" ht="46.2">
      <c r="B546" s="75" t="s">
        <v>1053</v>
      </c>
      <c r="C546" s="76" t="s">
        <v>1054</v>
      </c>
      <c r="D546" s="77" t="s">
        <v>39</v>
      </c>
      <c r="E546" s="78">
        <v>30</v>
      </c>
      <c r="F546" s="78">
        <v>30</v>
      </c>
      <c r="G546" s="79"/>
      <c r="H546" s="79"/>
      <c r="I546" s="79"/>
      <c r="J546" s="79">
        <f>SUM(H546:I546)+'BM 011'!J546</f>
        <v>0</v>
      </c>
      <c r="K546" s="79">
        <f t="shared" si="253"/>
        <v>30</v>
      </c>
      <c r="L546" s="84">
        <v>80</v>
      </c>
      <c r="M546" s="81">
        <v>101.4080088</v>
      </c>
      <c r="N546" s="82">
        <f t="shared" si="247"/>
        <v>0</v>
      </c>
      <c r="O546" s="82">
        <f t="shared" si="248"/>
        <v>0</v>
      </c>
      <c r="P546" s="82">
        <f>O546+'BM 011'!P546</f>
        <v>0</v>
      </c>
      <c r="Q546" s="80">
        <f t="shared" si="249"/>
        <v>2400</v>
      </c>
      <c r="R546" s="82">
        <f t="shared" si="250"/>
        <v>3042.24</v>
      </c>
      <c r="S546" s="82">
        <f t="shared" si="251"/>
        <v>3042.24</v>
      </c>
      <c r="T546" s="82">
        <f t="shared" si="252"/>
        <v>3042.24</v>
      </c>
    </row>
    <row r="547" spans="2:20" s="34" customFormat="1" ht="34.799999999999997">
      <c r="B547" s="75" t="s">
        <v>1055</v>
      </c>
      <c r="C547" s="76" t="s">
        <v>1056</v>
      </c>
      <c r="D547" s="77" t="s">
        <v>39</v>
      </c>
      <c r="E547" s="78">
        <v>50</v>
      </c>
      <c r="F547" s="78">
        <v>50</v>
      </c>
      <c r="G547" s="79"/>
      <c r="H547" s="79"/>
      <c r="I547" s="79"/>
      <c r="J547" s="79">
        <f>SUM(H547:I547)+'BM 011'!J547</f>
        <v>0</v>
      </c>
      <c r="K547" s="79">
        <f t="shared" si="253"/>
        <v>50</v>
      </c>
      <c r="L547" s="84">
        <v>120</v>
      </c>
      <c r="M547" s="81">
        <v>152.11201320000001</v>
      </c>
      <c r="N547" s="82">
        <f t="shared" si="247"/>
        <v>0</v>
      </c>
      <c r="O547" s="82">
        <f t="shared" si="248"/>
        <v>0</v>
      </c>
      <c r="P547" s="82">
        <f>O547+'BM 011'!P547</f>
        <v>0</v>
      </c>
      <c r="Q547" s="80">
        <f t="shared" si="249"/>
        <v>6000</v>
      </c>
      <c r="R547" s="82">
        <f t="shared" si="250"/>
        <v>7605.6</v>
      </c>
      <c r="S547" s="82">
        <f t="shared" si="251"/>
        <v>7605.6</v>
      </c>
      <c r="T547" s="82">
        <f t="shared" si="252"/>
        <v>7605.6</v>
      </c>
    </row>
    <row r="548" spans="2:20" s="34" customFormat="1" ht="34.799999999999997">
      <c r="B548" s="75" t="s">
        <v>1057</v>
      </c>
      <c r="C548" s="76" t="s">
        <v>1058</v>
      </c>
      <c r="D548" s="77" t="s">
        <v>39</v>
      </c>
      <c r="E548" s="78">
        <v>10</v>
      </c>
      <c r="F548" s="78">
        <v>10</v>
      </c>
      <c r="G548" s="79"/>
      <c r="H548" s="79"/>
      <c r="I548" s="79"/>
      <c r="J548" s="79">
        <f>SUM(H548:I548)+'BM 011'!J548</f>
        <v>0</v>
      </c>
      <c r="K548" s="79">
        <f t="shared" si="253"/>
        <v>10</v>
      </c>
      <c r="L548" s="84">
        <v>137.9</v>
      </c>
      <c r="M548" s="81">
        <v>174.802055169</v>
      </c>
      <c r="N548" s="82">
        <f t="shared" si="247"/>
        <v>0</v>
      </c>
      <c r="O548" s="82">
        <f t="shared" si="248"/>
        <v>0</v>
      </c>
      <c r="P548" s="82">
        <f>O548+'BM 011'!P548</f>
        <v>0</v>
      </c>
      <c r="Q548" s="80">
        <f t="shared" si="249"/>
        <v>1379</v>
      </c>
      <c r="R548" s="82">
        <f t="shared" si="250"/>
        <v>1748.02</v>
      </c>
      <c r="S548" s="82">
        <f t="shared" si="251"/>
        <v>1748.02</v>
      </c>
      <c r="T548" s="82">
        <f t="shared" si="252"/>
        <v>1748.02</v>
      </c>
    </row>
    <row r="549" spans="2:20" s="34" customFormat="1" ht="23.4">
      <c r="B549" s="75" t="s">
        <v>1059</v>
      </c>
      <c r="C549" s="76" t="s">
        <v>1060</v>
      </c>
      <c r="D549" s="77" t="s">
        <v>39</v>
      </c>
      <c r="E549" s="78">
        <v>20</v>
      </c>
      <c r="F549" s="78">
        <v>20</v>
      </c>
      <c r="G549" s="79"/>
      <c r="H549" s="79"/>
      <c r="I549" s="79"/>
      <c r="J549" s="79">
        <f>SUM(H549:I549)+'BM 011'!J549</f>
        <v>2</v>
      </c>
      <c r="K549" s="79">
        <f t="shared" si="253"/>
        <v>18</v>
      </c>
      <c r="L549" s="84">
        <v>69</v>
      </c>
      <c r="M549" s="81">
        <v>87.464407589999993</v>
      </c>
      <c r="N549" s="82">
        <f t="shared" si="247"/>
        <v>0</v>
      </c>
      <c r="O549" s="82">
        <f t="shared" si="248"/>
        <v>0</v>
      </c>
      <c r="P549" s="82">
        <f>O549+'BM 011'!P549</f>
        <v>174.92</v>
      </c>
      <c r="Q549" s="80">
        <f t="shared" si="249"/>
        <v>1380</v>
      </c>
      <c r="R549" s="82">
        <f t="shared" si="250"/>
        <v>1749.28</v>
      </c>
      <c r="S549" s="82">
        <f t="shared" si="251"/>
        <v>1749.28</v>
      </c>
      <c r="T549" s="82">
        <f t="shared" si="252"/>
        <v>1574.36</v>
      </c>
    </row>
    <row r="550" spans="2:20" s="34" customFormat="1" ht="46.2">
      <c r="B550" s="75" t="s">
        <v>1061</v>
      </c>
      <c r="C550" s="76" t="s">
        <v>1062</v>
      </c>
      <c r="D550" s="77" t="s">
        <v>39</v>
      </c>
      <c r="E550" s="78">
        <v>10</v>
      </c>
      <c r="F550" s="78">
        <v>10</v>
      </c>
      <c r="G550" s="79"/>
      <c r="H550" s="79"/>
      <c r="I550" s="79"/>
      <c r="J550" s="79">
        <f>SUM(H550:I550)+'BM 011'!J550</f>
        <v>0</v>
      </c>
      <c r="K550" s="79">
        <f t="shared" si="253"/>
        <v>10</v>
      </c>
      <c r="L550" s="84">
        <v>180</v>
      </c>
      <c r="M550" s="81">
        <v>228.1680198</v>
      </c>
      <c r="N550" s="82">
        <f t="shared" si="247"/>
        <v>0</v>
      </c>
      <c r="O550" s="82">
        <f t="shared" si="248"/>
        <v>0</v>
      </c>
      <c r="P550" s="82">
        <f>O550+'BM 011'!P550</f>
        <v>0</v>
      </c>
      <c r="Q550" s="80">
        <f t="shared" si="249"/>
        <v>1800</v>
      </c>
      <c r="R550" s="82">
        <f t="shared" si="250"/>
        <v>2281.6799999999998</v>
      </c>
      <c r="S550" s="82">
        <f t="shared" si="251"/>
        <v>2281.6799999999998</v>
      </c>
      <c r="T550" s="82">
        <f t="shared" si="252"/>
        <v>2281.6799999999998</v>
      </c>
    </row>
    <row r="551" spans="2:20" s="34" customFormat="1" ht="69">
      <c r="B551" s="75" t="s">
        <v>1063</v>
      </c>
      <c r="C551" s="76" t="s">
        <v>1064</v>
      </c>
      <c r="D551" s="77" t="s">
        <v>39</v>
      </c>
      <c r="E551" s="78">
        <v>1</v>
      </c>
      <c r="F551" s="78">
        <v>1</v>
      </c>
      <c r="G551" s="79"/>
      <c r="H551" s="79"/>
      <c r="I551" s="79"/>
      <c r="J551" s="79">
        <f>SUM(H551:I551)+'BM 011'!J551</f>
        <v>0</v>
      </c>
      <c r="K551" s="79">
        <f t="shared" si="253"/>
        <v>1</v>
      </c>
      <c r="L551" s="84">
        <v>320</v>
      </c>
      <c r="M551" s="81">
        <v>405.63203520000002</v>
      </c>
      <c r="N551" s="82">
        <f t="shared" si="247"/>
        <v>0</v>
      </c>
      <c r="O551" s="82">
        <f t="shared" si="248"/>
        <v>0</v>
      </c>
      <c r="P551" s="82">
        <f>O551+'BM 011'!P551</f>
        <v>0</v>
      </c>
      <c r="Q551" s="80">
        <f t="shared" si="249"/>
        <v>320</v>
      </c>
      <c r="R551" s="82">
        <f t="shared" si="250"/>
        <v>405.63</v>
      </c>
      <c r="S551" s="82">
        <f t="shared" si="251"/>
        <v>405.63</v>
      </c>
      <c r="T551" s="82">
        <f t="shared" si="252"/>
        <v>405.63</v>
      </c>
    </row>
    <row r="552" spans="2:20" s="34" customFormat="1" ht="57.6">
      <c r="B552" s="75" t="s">
        <v>1065</v>
      </c>
      <c r="C552" s="76" t="s">
        <v>1066</v>
      </c>
      <c r="D552" s="77" t="s">
        <v>39</v>
      </c>
      <c r="E552" s="78">
        <v>1</v>
      </c>
      <c r="F552" s="78">
        <v>1</v>
      </c>
      <c r="G552" s="79"/>
      <c r="H552" s="79"/>
      <c r="I552" s="79"/>
      <c r="J552" s="79">
        <f>SUM(H552:I552)+'BM 011'!J552</f>
        <v>0</v>
      </c>
      <c r="K552" s="79">
        <f t="shared" si="253"/>
        <v>1</v>
      </c>
      <c r="L552" s="84">
        <v>800</v>
      </c>
      <c r="M552" s="81">
        <v>1014.080088</v>
      </c>
      <c r="N552" s="82">
        <f t="shared" si="247"/>
        <v>0</v>
      </c>
      <c r="O552" s="82">
        <f t="shared" si="248"/>
        <v>0</v>
      </c>
      <c r="P552" s="82">
        <f>O552+'BM 011'!P552</f>
        <v>0</v>
      </c>
      <c r="Q552" s="80">
        <f t="shared" si="249"/>
        <v>800</v>
      </c>
      <c r="R552" s="82">
        <f t="shared" si="250"/>
        <v>1014.08</v>
      </c>
      <c r="S552" s="82">
        <f t="shared" si="251"/>
        <v>1014.08</v>
      </c>
      <c r="T552" s="82">
        <f t="shared" si="252"/>
        <v>1014.08</v>
      </c>
    </row>
    <row r="553" spans="2:20" s="34" customFormat="1" ht="23.4">
      <c r="B553" s="75" t="s">
        <v>1067</v>
      </c>
      <c r="C553" s="76" t="s">
        <v>1068</v>
      </c>
      <c r="D553" s="77" t="s">
        <v>39</v>
      </c>
      <c r="E553" s="78">
        <v>2</v>
      </c>
      <c r="F553" s="78">
        <v>2</v>
      </c>
      <c r="G553" s="79"/>
      <c r="H553" s="79"/>
      <c r="I553" s="79"/>
      <c r="J553" s="79">
        <f>SUM(H553:I553)+'BM 011'!J553</f>
        <v>0</v>
      </c>
      <c r="K553" s="79">
        <f t="shared" si="253"/>
        <v>2</v>
      </c>
      <c r="L553" s="84">
        <v>605.34</v>
      </c>
      <c r="M553" s="81">
        <v>767.32905058740005</v>
      </c>
      <c r="N553" s="82">
        <f t="shared" si="247"/>
        <v>0</v>
      </c>
      <c r="O553" s="82">
        <f t="shared" si="248"/>
        <v>0</v>
      </c>
      <c r="P553" s="82">
        <f>O553+'BM 011'!P553</f>
        <v>0</v>
      </c>
      <c r="Q553" s="80">
        <f t="shared" si="249"/>
        <v>1210.68</v>
      </c>
      <c r="R553" s="82">
        <f t="shared" si="250"/>
        <v>1534.65</v>
      </c>
      <c r="S553" s="82">
        <f t="shared" si="251"/>
        <v>1534.65</v>
      </c>
      <c r="T553" s="82">
        <f t="shared" si="252"/>
        <v>1534.65</v>
      </c>
    </row>
    <row r="554" spans="2:20" s="34" customFormat="1" ht="23.4">
      <c r="B554" s="75" t="s">
        <v>1069</v>
      </c>
      <c r="C554" s="76" t="s">
        <v>1070</v>
      </c>
      <c r="D554" s="77" t="s">
        <v>39</v>
      </c>
      <c r="E554" s="78">
        <v>3</v>
      </c>
      <c r="F554" s="78">
        <v>3</v>
      </c>
      <c r="G554" s="79"/>
      <c r="H554" s="79"/>
      <c r="I554" s="79"/>
      <c r="J554" s="79">
        <f>SUM(H554:I554)+'BM 011'!J554</f>
        <v>0</v>
      </c>
      <c r="K554" s="79">
        <f t="shared" si="253"/>
        <v>3</v>
      </c>
      <c r="L554" s="84">
        <v>311.79000000000002</v>
      </c>
      <c r="M554" s="81">
        <v>395.22503829689998</v>
      </c>
      <c r="N554" s="82">
        <f t="shared" si="247"/>
        <v>0</v>
      </c>
      <c r="O554" s="82">
        <f t="shared" si="248"/>
        <v>0</v>
      </c>
      <c r="P554" s="82">
        <f>O554+'BM 011'!P554</f>
        <v>0</v>
      </c>
      <c r="Q554" s="80">
        <f t="shared" si="249"/>
        <v>935.37000000000012</v>
      </c>
      <c r="R554" s="82">
        <f t="shared" si="250"/>
        <v>1185.67</v>
      </c>
      <c r="S554" s="82">
        <f t="shared" si="251"/>
        <v>1185.67</v>
      </c>
      <c r="T554" s="82">
        <f t="shared" si="252"/>
        <v>1185.67</v>
      </c>
    </row>
    <row r="555" spans="2:20" s="34" customFormat="1" ht="23.4">
      <c r="B555" s="75" t="s">
        <v>1071</v>
      </c>
      <c r="C555" s="76" t="s">
        <v>1072</v>
      </c>
      <c r="D555" s="77" t="s">
        <v>39</v>
      </c>
      <c r="E555" s="78">
        <v>2</v>
      </c>
      <c r="F555" s="78">
        <v>2</v>
      </c>
      <c r="G555" s="79"/>
      <c r="H555" s="79"/>
      <c r="I555" s="79"/>
      <c r="J555" s="79">
        <f>SUM(H555:I555)+'BM 011'!J555</f>
        <v>0</v>
      </c>
      <c r="K555" s="79">
        <f t="shared" si="253"/>
        <v>2</v>
      </c>
      <c r="L555" s="84">
        <v>195</v>
      </c>
      <c r="M555" s="81">
        <v>247.18202145000001</v>
      </c>
      <c r="N555" s="82">
        <f t="shared" si="247"/>
        <v>0</v>
      </c>
      <c r="O555" s="82">
        <f t="shared" si="248"/>
        <v>0</v>
      </c>
      <c r="P555" s="82">
        <f>O555+'BM 011'!P555</f>
        <v>0</v>
      </c>
      <c r="Q555" s="80">
        <f t="shared" si="249"/>
        <v>390</v>
      </c>
      <c r="R555" s="82">
        <f t="shared" si="250"/>
        <v>494.36</v>
      </c>
      <c r="S555" s="82">
        <f t="shared" si="251"/>
        <v>494.36</v>
      </c>
      <c r="T555" s="82">
        <f t="shared" si="252"/>
        <v>494.36</v>
      </c>
    </row>
    <row r="556" spans="2:20" s="34" customFormat="1" ht="46.2">
      <c r="B556" s="75" t="s">
        <v>1073</v>
      </c>
      <c r="C556" s="76" t="s">
        <v>1074</v>
      </c>
      <c r="D556" s="77" t="s">
        <v>39</v>
      </c>
      <c r="E556" s="78">
        <v>1</v>
      </c>
      <c r="F556" s="78">
        <v>1</v>
      </c>
      <c r="G556" s="79"/>
      <c r="H556" s="79"/>
      <c r="I556" s="79"/>
      <c r="J556" s="79">
        <f>SUM(H556:I556)+'BM 011'!J556</f>
        <v>0</v>
      </c>
      <c r="K556" s="79">
        <f t="shared" si="253"/>
        <v>1</v>
      </c>
      <c r="L556" s="84">
        <v>1400</v>
      </c>
      <c r="M556" s="81">
        <v>1774.6401539999999</v>
      </c>
      <c r="N556" s="82">
        <f t="shared" si="247"/>
        <v>0</v>
      </c>
      <c r="O556" s="82">
        <f t="shared" si="248"/>
        <v>0</v>
      </c>
      <c r="P556" s="82">
        <f>O556+'BM 011'!P556</f>
        <v>0</v>
      </c>
      <c r="Q556" s="80">
        <f t="shared" si="249"/>
        <v>1400</v>
      </c>
      <c r="R556" s="82">
        <f t="shared" si="250"/>
        <v>1774.64</v>
      </c>
      <c r="S556" s="82">
        <f t="shared" si="251"/>
        <v>1774.64</v>
      </c>
      <c r="T556" s="82">
        <f t="shared" si="252"/>
        <v>1774.64</v>
      </c>
    </row>
    <row r="557" spans="2:20" s="34" customFormat="1" ht="46.2">
      <c r="B557" s="75" t="s">
        <v>1075</v>
      </c>
      <c r="C557" s="76" t="s">
        <v>1076</v>
      </c>
      <c r="D557" s="77" t="s">
        <v>39</v>
      </c>
      <c r="E557" s="78">
        <v>16</v>
      </c>
      <c r="F557" s="78">
        <v>16</v>
      </c>
      <c r="G557" s="79"/>
      <c r="H557" s="79"/>
      <c r="I557" s="79"/>
      <c r="J557" s="79">
        <f>SUM(H557:I557)+'BM 011'!J557</f>
        <v>0</v>
      </c>
      <c r="K557" s="79">
        <f t="shared" si="253"/>
        <v>16</v>
      </c>
      <c r="L557" s="84">
        <v>1900</v>
      </c>
      <c r="M557" s="81">
        <v>2408.4402089999999</v>
      </c>
      <c r="N557" s="82">
        <f t="shared" si="247"/>
        <v>0</v>
      </c>
      <c r="O557" s="82">
        <f t="shared" si="248"/>
        <v>0</v>
      </c>
      <c r="P557" s="82">
        <f>O557+'BM 011'!P557</f>
        <v>0</v>
      </c>
      <c r="Q557" s="80">
        <f t="shared" si="249"/>
        <v>30400</v>
      </c>
      <c r="R557" s="82">
        <f t="shared" si="250"/>
        <v>38535.040000000001</v>
      </c>
      <c r="S557" s="82">
        <f t="shared" si="251"/>
        <v>38535.040000000001</v>
      </c>
      <c r="T557" s="82">
        <f t="shared" si="252"/>
        <v>38535.040000000001</v>
      </c>
    </row>
    <row r="558" spans="2:20" s="34" customFormat="1" ht="34.799999999999997">
      <c r="B558" s="75" t="s">
        <v>1077</v>
      </c>
      <c r="C558" s="76" t="s">
        <v>1078</v>
      </c>
      <c r="D558" s="77" t="s">
        <v>39</v>
      </c>
      <c r="E558" s="78">
        <v>140</v>
      </c>
      <c r="F558" s="78">
        <v>140</v>
      </c>
      <c r="G558" s="79"/>
      <c r="H558" s="79"/>
      <c r="I558" s="79"/>
      <c r="J558" s="79">
        <f>SUM(H558:I558)+'BM 011'!J558</f>
        <v>0</v>
      </c>
      <c r="K558" s="79">
        <f t="shared" si="253"/>
        <v>140</v>
      </c>
      <c r="L558" s="84">
        <v>25</v>
      </c>
      <c r="M558" s="81">
        <v>31.690002750000001</v>
      </c>
      <c r="N558" s="82">
        <f t="shared" si="247"/>
        <v>0</v>
      </c>
      <c r="O558" s="82">
        <f t="shared" si="248"/>
        <v>0</v>
      </c>
      <c r="P558" s="82">
        <f>O558+'BM 011'!P558</f>
        <v>0</v>
      </c>
      <c r="Q558" s="80">
        <f t="shared" si="249"/>
        <v>3500</v>
      </c>
      <c r="R558" s="82">
        <f t="shared" si="250"/>
        <v>4436.6000000000004</v>
      </c>
      <c r="S558" s="82">
        <f t="shared" si="251"/>
        <v>4436.6000000000004</v>
      </c>
      <c r="T558" s="82">
        <f t="shared" si="252"/>
        <v>4436.6000000000004</v>
      </c>
    </row>
    <row r="559" spans="2:20" s="34" customFormat="1" ht="13.2">
      <c r="B559" s="66" t="s">
        <v>1079</v>
      </c>
      <c r="C559" s="67" t="s">
        <v>1080</v>
      </c>
      <c r="D559" s="68"/>
      <c r="E559" s="69"/>
      <c r="F559" s="69"/>
      <c r="G559" s="70"/>
      <c r="H559" s="70"/>
      <c r="I559" s="70"/>
      <c r="J559" s="70">
        <f>SUM(H559:I559)+'BM 011'!J559</f>
        <v>0</v>
      </c>
      <c r="K559" s="70">
        <f t="shared" si="253"/>
        <v>0</v>
      </c>
      <c r="L559" s="71"/>
      <c r="M559" s="71">
        <v>0</v>
      </c>
      <c r="N559" s="73">
        <f t="shared" ref="N559:T559" si="254">SUM(N560:N560)</f>
        <v>0</v>
      </c>
      <c r="O559" s="73">
        <f t="shared" si="254"/>
        <v>0</v>
      </c>
      <c r="P559" s="73">
        <f t="shared" si="254"/>
        <v>0</v>
      </c>
      <c r="Q559" s="73">
        <f t="shared" si="254"/>
        <v>7310</v>
      </c>
      <c r="R559" s="73">
        <f t="shared" si="254"/>
        <v>9266.15</v>
      </c>
      <c r="S559" s="73">
        <f t="shared" si="254"/>
        <v>9266.15</v>
      </c>
      <c r="T559" s="73">
        <f t="shared" si="254"/>
        <v>9266.15</v>
      </c>
    </row>
    <row r="560" spans="2:20" s="34" customFormat="1" ht="34.799999999999997">
      <c r="B560" s="75" t="s">
        <v>1081</v>
      </c>
      <c r="C560" s="76" t="s">
        <v>1082</v>
      </c>
      <c r="D560" s="77" t="s">
        <v>63</v>
      </c>
      <c r="E560" s="78">
        <v>43</v>
      </c>
      <c r="F560" s="78">
        <v>43</v>
      </c>
      <c r="G560" s="79"/>
      <c r="H560" s="79"/>
      <c r="I560" s="79"/>
      <c r="J560" s="79">
        <f>SUM(H560:I560)+'BM 011'!J560</f>
        <v>0</v>
      </c>
      <c r="K560" s="79">
        <f t="shared" si="253"/>
        <v>43</v>
      </c>
      <c r="L560" s="84">
        <v>170</v>
      </c>
      <c r="M560" s="81">
        <v>215.49201869999999</v>
      </c>
      <c r="N560" s="82">
        <f>TRUNC(G560*M560,2)</f>
        <v>0</v>
      </c>
      <c r="O560" s="82">
        <f>TRUNC(H560*M560,2)</f>
        <v>0</v>
      </c>
      <c r="P560" s="82">
        <f>O560+'BM 011'!P560</f>
        <v>0</v>
      </c>
      <c r="Q560" s="80">
        <f>E560*L560</f>
        <v>7310</v>
      </c>
      <c r="R560" s="82">
        <f>TRUNC(E560*M560,2)</f>
        <v>9266.15</v>
      </c>
      <c r="S560" s="82">
        <f>TRUNC(F560*$M560,2)</f>
        <v>9266.15</v>
      </c>
      <c r="T560" s="82">
        <f>S560-P560</f>
        <v>9266.15</v>
      </c>
    </row>
    <row r="561" spans="2:20" s="34" customFormat="1" ht="13.2">
      <c r="B561" s="66" t="s">
        <v>1083</v>
      </c>
      <c r="C561" s="67" t="s">
        <v>1084</v>
      </c>
      <c r="D561" s="68"/>
      <c r="E561" s="69"/>
      <c r="F561" s="69"/>
      <c r="G561" s="70"/>
      <c r="H561" s="70"/>
      <c r="I561" s="70"/>
      <c r="J561" s="70">
        <f>SUM(H561:I561)+'BM 011'!J561</f>
        <v>0</v>
      </c>
      <c r="K561" s="70">
        <f t="shared" si="253"/>
        <v>0</v>
      </c>
      <c r="L561" s="71"/>
      <c r="M561" s="120">
        <v>0</v>
      </c>
      <c r="N561" s="73">
        <f t="shared" ref="N561:T561" si="255">SUM(N562:N572)</f>
        <v>0</v>
      </c>
      <c r="O561" s="73">
        <f t="shared" si="255"/>
        <v>0</v>
      </c>
      <c r="P561" s="73">
        <f t="shared" si="255"/>
        <v>0</v>
      </c>
      <c r="Q561" s="73">
        <f t="shared" si="255"/>
        <v>55460</v>
      </c>
      <c r="R561" s="73">
        <f t="shared" si="255"/>
        <v>70301.090000000011</v>
      </c>
      <c r="S561" s="73">
        <f t="shared" si="255"/>
        <v>70301.090000000011</v>
      </c>
      <c r="T561" s="73">
        <f t="shared" si="255"/>
        <v>70301.090000000011</v>
      </c>
    </row>
    <row r="562" spans="2:20" s="34" customFormat="1" ht="23.4">
      <c r="B562" s="75" t="s">
        <v>1085</v>
      </c>
      <c r="C562" s="76" t="s">
        <v>1086</v>
      </c>
      <c r="D562" s="77" t="s">
        <v>131</v>
      </c>
      <c r="E562" s="78">
        <v>1</v>
      </c>
      <c r="F562" s="78">
        <v>1</v>
      </c>
      <c r="G562" s="79"/>
      <c r="H562" s="79"/>
      <c r="I562" s="79"/>
      <c r="J562" s="79">
        <f>SUM(H562:I562)+'BM 011'!J562</f>
        <v>0</v>
      </c>
      <c r="K562" s="79">
        <f t="shared" si="253"/>
        <v>1</v>
      </c>
      <c r="L562" s="84">
        <v>5800</v>
      </c>
      <c r="M562" s="81">
        <v>7352.0806380000004</v>
      </c>
      <c r="N562" s="82">
        <f t="shared" ref="N562:N572" si="256">TRUNC(G562*M562,2)</f>
        <v>0</v>
      </c>
      <c r="O562" s="82">
        <f t="shared" ref="O562:O572" si="257">TRUNC(H562*M562,2)</f>
        <v>0</v>
      </c>
      <c r="P562" s="82">
        <f>O562+'BM 011'!P562</f>
        <v>0</v>
      </c>
      <c r="Q562" s="80">
        <f t="shared" ref="Q562:Q572" si="258">E562*L562</f>
        <v>5800</v>
      </c>
      <c r="R562" s="82">
        <f t="shared" ref="R562:R572" si="259">TRUNC(E562*M562,2)</f>
        <v>7352.08</v>
      </c>
      <c r="S562" s="82">
        <f t="shared" ref="S562:S572" si="260">TRUNC(F562*$M562,2)</f>
        <v>7352.08</v>
      </c>
      <c r="T562" s="82">
        <f t="shared" ref="T562:T572" si="261">S562-P562</f>
        <v>7352.08</v>
      </c>
    </row>
    <row r="563" spans="2:20" s="34" customFormat="1" ht="57.6">
      <c r="B563" s="75" t="s">
        <v>1087</v>
      </c>
      <c r="C563" s="76" t="s">
        <v>1088</v>
      </c>
      <c r="D563" s="77" t="s">
        <v>131</v>
      </c>
      <c r="E563" s="78">
        <v>1</v>
      </c>
      <c r="F563" s="78">
        <v>1</v>
      </c>
      <c r="G563" s="79"/>
      <c r="H563" s="79"/>
      <c r="I563" s="79"/>
      <c r="J563" s="79">
        <f>SUM(H563:I563)+'BM 011'!J563</f>
        <v>0</v>
      </c>
      <c r="K563" s="79">
        <f t="shared" si="253"/>
        <v>1</v>
      </c>
      <c r="L563" s="84">
        <v>2950</v>
      </c>
      <c r="M563" s="81">
        <v>3739.4203244999999</v>
      </c>
      <c r="N563" s="82">
        <f t="shared" si="256"/>
        <v>0</v>
      </c>
      <c r="O563" s="82">
        <f t="shared" si="257"/>
        <v>0</v>
      </c>
      <c r="P563" s="82">
        <f>O563+'BM 011'!P563</f>
        <v>0</v>
      </c>
      <c r="Q563" s="80">
        <f t="shared" si="258"/>
        <v>2950</v>
      </c>
      <c r="R563" s="82">
        <f t="shared" si="259"/>
        <v>3739.42</v>
      </c>
      <c r="S563" s="82">
        <f t="shared" si="260"/>
        <v>3739.42</v>
      </c>
      <c r="T563" s="82">
        <f t="shared" si="261"/>
        <v>3739.42</v>
      </c>
    </row>
    <row r="564" spans="2:20" s="34" customFormat="1" ht="34.799999999999997">
      <c r="B564" s="75" t="s">
        <v>1089</v>
      </c>
      <c r="C564" s="76" t="s">
        <v>1090</v>
      </c>
      <c r="D564" s="77" t="s">
        <v>131</v>
      </c>
      <c r="E564" s="78">
        <v>1</v>
      </c>
      <c r="F564" s="78">
        <v>1</v>
      </c>
      <c r="G564" s="79"/>
      <c r="H564" s="79"/>
      <c r="I564" s="79"/>
      <c r="J564" s="79">
        <f>SUM(H564:I564)+'BM 011'!J564</f>
        <v>0</v>
      </c>
      <c r="K564" s="79">
        <f t="shared" si="253"/>
        <v>1</v>
      </c>
      <c r="L564" s="84">
        <v>5100</v>
      </c>
      <c r="M564" s="81">
        <v>6464.7605610000001</v>
      </c>
      <c r="N564" s="82">
        <f t="shared" si="256"/>
        <v>0</v>
      </c>
      <c r="O564" s="82">
        <f t="shared" si="257"/>
        <v>0</v>
      </c>
      <c r="P564" s="82">
        <f>O564+'BM 011'!P564</f>
        <v>0</v>
      </c>
      <c r="Q564" s="80">
        <f t="shared" si="258"/>
        <v>5100</v>
      </c>
      <c r="R564" s="82">
        <f t="shared" si="259"/>
        <v>6464.76</v>
      </c>
      <c r="S564" s="82">
        <f t="shared" si="260"/>
        <v>6464.76</v>
      </c>
      <c r="T564" s="82">
        <f t="shared" si="261"/>
        <v>6464.76</v>
      </c>
    </row>
    <row r="565" spans="2:20" s="34" customFormat="1" ht="34.799999999999997">
      <c r="B565" s="75" t="s">
        <v>1091</v>
      </c>
      <c r="C565" s="76" t="s">
        <v>1092</v>
      </c>
      <c r="D565" s="77" t="s">
        <v>131</v>
      </c>
      <c r="E565" s="78">
        <v>1</v>
      </c>
      <c r="F565" s="78">
        <v>1</v>
      </c>
      <c r="G565" s="79"/>
      <c r="H565" s="79"/>
      <c r="I565" s="79"/>
      <c r="J565" s="79">
        <f>SUM(H565:I565)+'BM 011'!J565</f>
        <v>0</v>
      </c>
      <c r="K565" s="79">
        <f t="shared" si="253"/>
        <v>1</v>
      </c>
      <c r="L565" s="84">
        <v>6200</v>
      </c>
      <c r="M565" s="81">
        <v>7859.1206819999998</v>
      </c>
      <c r="N565" s="82">
        <f t="shared" si="256"/>
        <v>0</v>
      </c>
      <c r="O565" s="82">
        <f t="shared" si="257"/>
        <v>0</v>
      </c>
      <c r="P565" s="82">
        <f>O565+'BM 011'!P565</f>
        <v>0</v>
      </c>
      <c r="Q565" s="80">
        <f t="shared" si="258"/>
        <v>6200</v>
      </c>
      <c r="R565" s="82">
        <f t="shared" si="259"/>
        <v>7859.12</v>
      </c>
      <c r="S565" s="82">
        <f t="shared" si="260"/>
        <v>7859.12</v>
      </c>
      <c r="T565" s="82">
        <f t="shared" si="261"/>
        <v>7859.12</v>
      </c>
    </row>
    <row r="566" spans="2:20" s="34" customFormat="1" ht="23.4">
      <c r="B566" s="75" t="s">
        <v>1093</v>
      </c>
      <c r="C566" s="76" t="s">
        <v>1094</v>
      </c>
      <c r="D566" s="77" t="s">
        <v>131</v>
      </c>
      <c r="E566" s="78">
        <v>15</v>
      </c>
      <c r="F566" s="78">
        <v>15</v>
      </c>
      <c r="G566" s="79"/>
      <c r="H566" s="79"/>
      <c r="I566" s="79"/>
      <c r="J566" s="79">
        <f>SUM(H566:I566)+'BM 011'!J566</f>
        <v>0</v>
      </c>
      <c r="K566" s="79">
        <f t="shared" si="253"/>
        <v>15</v>
      </c>
      <c r="L566" s="84">
        <v>250</v>
      </c>
      <c r="M566" s="81">
        <v>316.90002750000002</v>
      </c>
      <c r="N566" s="82">
        <f t="shared" si="256"/>
        <v>0</v>
      </c>
      <c r="O566" s="82">
        <f t="shared" si="257"/>
        <v>0</v>
      </c>
      <c r="P566" s="82">
        <f>O566+'BM 011'!P566</f>
        <v>0</v>
      </c>
      <c r="Q566" s="80">
        <f t="shared" si="258"/>
        <v>3750</v>
      </c>
      <c r="R566" s="82">
        <f t="shared" si="259"/>
        <v>4753.5</v>
      </c>
      <c r="S566" s="82">
        <f t="shared" si="260"/>
        <v>4753.5</v>
      </c>
      <c r="T566" s="82">
        <f t="shared" si="261"/>
        <v>4753.5</v>
      </c>
    </row>
    <row r="567" spans="2:20" s="34" customFormat="1" ht="23.4">
      <c r="B567" s="75" t="s">
        <v>1095</v>
      </c>
      <c r="C567" s="76" t="s">
        <v>1096</v>
      </c>
      <c r="D567" s="77" t="s">
        <v>131</v>
      </c>
      <c r="E567" s="78">
        <v>1</v>
      </c>
      <c r="F567" s="78">
        <v>1</v>
      </c>
      <c r="G567" s="79"/>
      <c r="H567" s="79"/>
      <c r="I567" s="79"/>
      <c r="J567" s="79">
        <f>SUM(H567:I567)+'BM 011'!J567</f>
        <v>0</v>
      </c>
      <c r="K567" s="79">
        <f t="shared" si="253"/>
        <v>1</v>
      </c>
      <c r="L567" s="84">
        <v>350</v>
      </c>
      <c r="M567" s="81">
        <v>443.66003849999998</v>
      </c>
      <c r="N567" s="82">
        <f t="shared" si="256"/>
        <v>0</v>
      </c>
      <c r="O567" s="82">
        <f t="shared" si="257"/>
        <v>0</v>
      </c>
      <c r="P567" s="82">
        <f>O567+'BM 011'!P567</f>
        <v>0</v>
      </c>
      <c r="Q567" s="80">
        <f t="shared" si="258"/>
        <v>350</v>
      </c>
      <c r="R567" s="82">
        <f t="shared" si="259"/>
        <v>443.66</v>
      </c>
      <c r="S567" s="82">
        <f t="shared" si="260"/>
        <v>443.66</v>
      </c>
      <c r="T567" s="82">
        <f t="shared" si="261"/>
        <v>443.66</v>
      </c>
    </row>
    <row r="568" spans="2:20" s="34" customFormat="1" ht="23.4">
      <c r="B568" s="75" t="s">
        <v>1097</v>
      </c>
      <c r="C568" s="76" t="s">
        <v>1098</v>
      </c>
      <c r="D568" s="77" t="s">
        <v>131</v>
      </c>
      <c r="E568" s="78">
        <v>15</v>
      </c>
      <c r="F568" s="78">
        <v>15</v>
      </c>
      <c r="G568" s="79"/>
      <c r="H568" s="79"/>
      <c r="I568" s="79"/>
      <c r="J568" s="79">
        <f>SUM(H568:I568)+'BM 011'!J568</f>
        <v>0</v>
      </c>
      <c r="K568" s="79">
        <f t="shared" si="253"/>
        <v>15</v>
      </c>
      <c r="L568" s="84">
        <v>260</v>
      </c>
      <c r="M568" s="81">
        <v>329.57602859999997</v>
      </c>
      <c r="N568" s="82">
        <f t="shared" si="256"/>
        <v>0</v>
      </c>
      <c r="O568" s="82">
        <f t="shared" si="257"/>
        <v>0</v>
      </c>
      <c r="P568" s="82">
        <f>O568+'BM 011'!P568</f>
        <v>0</v>
      </c>
      <c r="Q568" s="80">
        <f t="shared" si="258"/>
        <v>3900</v>
      </c>
      <c r="R568" s="82">
        <f t="shared" si="259"/>
        <v>4943.6400000000003</v>
      </c>
      <c r="S568" s="82">
        <f t="shared" si="260"/>
        <v>4943.6400000000003</v>
      </c>
      <c r="T568" s="82">
        <f t="shared" si="261"/>
        <v>4943.6400000000003</v>
      </c>
    </row>
    <row r="569" spans="2:20" s="34" customFormat="1" ht="23.4">
      <c r="B569" s="75" t="s">
        <v>1099</v>
      </c>
      <c r="C569" s="76" t="s">
        <v>1100</v>
      </c>
      <c r="D569" s="77" t="s">
        <v>131</v>
      </c>
      <c r="E569" s="78">
        <v>1</v>
      </c>
      <c r="F569" s="78">
        <v>1</v>
      </c>
      <c r="G569" s="79"/>
      <c r="H569" s="79"/>
      <c r="I569" s="79"/>
      <c r="J569" s="79">
        <f>SUM(H569:I569)+'BM 011'!J569</f>
        <v>0</v>
      </c>
      <c r="K569" s="79">
        <f t="shared" si="253"/>
        <v>1</v>
      </c>
      <c r="L569" s="84">
        <v>360</v>
      </c>
      <c r="M569" s="81">
        <v>456.33603959999999</v>
      </c>
      <c r="N569" s="82">
        <f t="shared" si="256"/>
        <v>0</v>
      </c>
      <c r="O569" s="82">
        <f t="shared" si="257"/>
        <v>0</v>
      </c>
      <c r="P569" s="82">
        <f>O569+'BM 011'!P569</f>
        <v>0</v>
      </c>
      <c r="Q569" s="80">
        <f t="shared" si="258"/>
        <v>360</v>
      </c>
      <c r="R569" s="82">
        <f t="shared" si="259"/>
        <v>456.33</v>
      </c>
      <c r="S569" s="82">
        <f t="shared" si="260"/>
        <v>456.33</v>
      </c>
      <c r="T569" s="82">
        <f t="shared" si="261"/>
        <v>456.33</v>
      </c>
    </row>
    <row r="570" spans="2:20" s="34" customFormat="1" ht="13.2">
      <c r="B570" s="75" t="s">
        <v>1101</v>
      </c>
      <c r="C570" s="76" t="s">
        <v>1102</v>
      </c>
      <c r="D570" s="77" t="s">
        <v>131</v>
      </c>
      <c r="E570" s="78">
        <v>2</v>
      </c>
      <c r="F570" s="78">
        <v>2</v>
      </c>
      <c r="G570" s="79"/>
      <c r="H570" s="79"/>
      <c r="I570" s="79"/>
      <c r="J570" s="79">
        <f>SUM(H570:I570)+'BM 011'!J570</f>
        <v>0</v>
      </c>
      <c r="K570" s="79">
        <f t="shared" si="253"/>
        <v>2</v>
      </c>
      <c r="L570" s="84">
        <v>3650</v>
      </c>
      <c r="M570" s="81">
        <v>4626.7404015000002</v>
      </c>
      <c r="N570" s="82">
        <f t="shared" si="256"/>
        <v>0</v>
      </c>
      <c r="O570" s="82">
        <f t="shared" si="257"/>
        <v>0</v>
      </c>
      <c r="P570" s="82">
        <f>O570+'BM 011'!P570</f>
        <v>0</v>
      </c>
      <c r="Q570" s="80">
        <f t="shared" si="258"/>
        <v>7300</v>
      </c>
      <c r="R570" s="82">
        <f t="shared" si="259"/>
        <v>9253.48</v>
      </c>
      <c r="S570" s="82">
        <f t="shared" si="260"/>
        <v>9253.48</v>
      </c>
      <c r="T570" s="82">
        <f t="shared" si="261"/>
        <v>9253.48</v>
      </c>
    </row>
    <row r="571" spans="2:20" s="34" customFormat="1" ht="23.4">
      <c r="B571" s="75" t="s">
        <v>1103</v>
      </c>
      <c r="C571" s="76" t="s">
        <v>1104</v>
      </c>
      <c r="D571" s="77" t="s">
        <v>131</v>
      </c>
      <c r="E571" s="78">
        <v>60</v>
      </c>
      <c r="F571" s="78">
        <v>60</v>
      </c>
      <c r="G571" s="79"/>
      <c r="H571" s="79"/>
      <c r="I571" s="79"/>
      <c r="J571" s="79">
        <f>SUM(H571:I571)+'BM 011'!J571</f>
        <v>0</v>
      </c>
      <c r="K571" s="79">
        <f t="shared" si="253"/>
        <v>60</v>
      </c>
      <c r="L571" s="84">
        <v>280</v>
      </c>
      <c r="M571" s="81">
        <v>354.92803079999999</v>
      </c>
      <c r="N571" s="82">
        <f t="shared" si="256"/>
        <v>0</v>
      </c>
      <c r="O571" s="82">
        <f t="shared" si="257"/>
        <v>0</v>
      </c>
      <c r="P571" s="82">
        <f>O571+'BM 011'!P571</f>
        <v>0</v>
      </c>
      <c r="Q571" s="80">
        <f t="shared" si="258"/>
        <v>16800</v>
      </c>
      <c r="R571" s="82">
        <f t="shared" si="259"/>
        <v>21295.68</v>
      </c>
      <c r="S571" s="82">
        <f t="shared" si="260"/>
        <v>21295.68</v>
      </c>
      <c r="T571" s="82">
        <f t="shared" si="261"/>
        <v>21295.68</v>
      </c>
    </row>
    <row r="572" spans="2:20" s="34" customFormat="1" ht="34.799999999999997">
      <c r="B572" s="75" t="s">
        <v>1105</v>
      </c>
      <c r="C572" s="76" t="s">
        <v>1106</v>
      </c>
      <c r="D572" s="77" t="s">
        <v>131</v>
      </c>
      <c r="E572" s="78">
        <v>10</v>
      </c>
      <c r="F572" s="78">
        <v>10</v>
      </c>
      <c r="G572" s="79"/>
      <c r="H572" s="79"/>
      <c r="I572" s="79"/>
      <c r="J572" s="79">
        <f>SUM(H572:I572)+'BM 011'!J572</f>
        <v>0</v>
      </c>
      <c r="K572" s="79">
        <f t="shared" si="253"/>
        <v>10</v>
      </c>
      <c r="L572" s="84">
        <v>295</v>
      </c>
      <c r="M572" s="81">
        <v>373.94203245</v>
      </c>
      <c r="N572" s="82">
        <f t="shared" si="256"/>
        <v>0</v>
      </c>
      <c r="O572" s="82">
        <f t="shared" si="257"/>
        <v>0</v>
      </c>
      <c r="P572" s="82">
        <f>O572+'BM 011'!P572</f>
        <v>0</v>
      </c>
      <c r="Q572" s="80">
        <f t="shared" si="258"/>
        <v>2950</v>
      </c>
      <c r="R572" s="82">
        <f t="shared" si="259"/>
        <v>3739.42</v>
      </c>
      <c r="S572" s="82">
        <f t="shared" si="260"/>
        <v>3739.42</v>
      </c>
      <c r="T572" s="82">
        <f t="shared" si="261"/>
        <v>3739.42</v>
      </c>
    </row>
    <row r="573" spans="2:20" s="34" customFormat="1" ht="13.2">
      <c r="B573" s="60" t="s">
        <v>1107</v>
      </c>
      <c r="C573" s="61" t="s">
        <v>1108</v>
      </c>
      <c r="D573" s="60"/>
      <c r="E573" s="62"/>
      <c r="F573" s="284"/>
      <c r="G573" s="63"/>
      <c r="H573" s="63"/>
      <c r="I573" s="63"/>
      <c r="J573" s="63">
        <f>SUM(H573:I573)+'BM 011'!J573</f>
        <v>0</v>
      </c>
      <c r="K573" s="63">
        <f t="shared" si="253"/>
        <v>0</v>
      </c>
      <c r="L573" s="63"/>
      <c r="M573" s="63">
        <v>0</v>
      </c>
      <c r="N573" s="63">
        <f t="shared" ref="N573:T573" si="262">SUM(N574:N594)</f>
        <v>0</v>
      </c>
      <c r="O573" s="63">
        <f t="shared" si="262"/>
        <v>0</v>
      </c>
      <c r="P573" s="63">
        <f t="shared" si="262"/>
        <v>0</v>
      </c>
      <c r="Q573" s="63">
        <f t="shared" si="262"/>
        <v>397499.3</v>
      </c>
      <c r="R573" s="63">
        <f t="shared" si="262"/>
        <v>503870.0799999999</v>
      </c>
      <c r="S573" s="63">
        <f t="shared" si="262"/>
        <v>538095.27999999991</v>
      </c>
      <c r="T573" s="63">
        <f t="shared" si="262"/>
        <v>538095.27999999991</v>
      </c>
    </row>
    <row r="574" spans="2:20" s="34" customFormat="1" ht="57.6">
      <c r="B574" s="87" t="s">
        <v>1109</v>
      </c>
      <c r="C574" s="88" t="s">
        <v>1110</v>
      </c>
      <c r="D574" s="89" t="s">
        <v>63</v>
      </c>
      <c r="E574" s="92">
        <v>33</v>
      </c>
      <c r="F574" s="92">
        <v>33</v>
      </c>
      <c r="G574" s="91"/>
      <c r="H574" s="91"/>
      <c r="I574" s="91"/>
      <c r="J574" s="91">
        <f>SUM(H574:I574)+'BM 011'!J574</f>
        <v>0</v>
      </c>
      <c r="K574" s="91">
        <f t="shared" si="253"/>
        <v>33</v>
      </c>
      <c r="L574" s="84">
        <v>540</v>
      </c>
      <c r="M574" s="81">
        <v>684.50405939999996</v>
      </c>
      <c r="N574" s="82">
        <f t="shared" ref="N574:N594" si="263">TRUNC(G574*M574,2)</f>
        <v>0</v>
      </c>
      <c r="O574" s="82">
        <f t="shared" ref="O574:O594" si="264">TRUNC(H574*M574,2)</f>
        <v>0</v>
      </c>
      <c r="P574" s="82">
        <f>O574+'BM 011'!P574</f>
        <v>0</v>
      </c>
      <c r="Q574" s="80">
        <f t="shared" ref="Q574:Q594" si="265">E574*L574</f>
        <v>17820</v>
      </c>
      <c r="R574" s="82">
        <f t="shared" ref="R574:R594" si="266">TRUNC(E574*M574,2)</f>
        <v>22588.63</v>
      </c>
      <c r="S574" s="82">
        <f t="shared" ref="S574:S594" si="267">TRUNC(F574*$M574,2)</f>
        <v>22588.63</v>
      </c>
      <c r="T574" s="82">
        <f t="shared" ref="T574:T594" si="268">S574-P574</f>
        <v>22588.63</v>
      </c>
    </row>
    <row r="575" spans="2:20" s="34" customFormat="1" ht="57.6">
      <c r="B575" s="87" t="s">
        <v>1111</v>
      </c>
      <c r="C575" s="88" t="s">
        <v>1112</v>
      </c>
      <c r="D575" s="89" t="s">
        <v>63</v>
      </c>
      <c r="E575" s="90">
        <f>56-E574</f>
        <v>23</v>
      </c>
      <c r="F575" s="90">
        <v>23</v>
      </c>
      <c r="G575" s="91"/>
      <c r="H575" s="91"/>
      <c r="I575" s="91"/>
      <c r="J575" s="91">
        <f>SUM(H575:I575)+'BM 011'!J575</f>
        <v>0</v>
      </c>
      <c r="K575" s="91">
        <f t="shared" si="253"/>
        <v>23</v>
      </c>
      <c r="L575" s="80">
        <v>685</v>
      </c>
      <c r="M575" s="81">
        <v>868.30607535000001</v>
      </c>
      <c r="N575" s="82">
        <f t="shared" si="263"/>
        <v>0</v>
      </c>
      <c r="O575" s="82">
        <f t="shared" si="264"/>
        <v>0</v>
      </c>
      <c r="P575" s="82">
        <f>O575+'BM 011'!P575</f>
        <v>0</v>
      </c>
      <c r="Q575" s="80">
        <f t="shared" si="265"/>
        <v>15755</v>
      </c>
      <c r="R575" s="82">
        <f t="shared" si="266"/>
        <v>19971.03</v>
      </c>
      <c r="S575" s="82">
        <f t="shared" si="267"/>
        <v>19971.03</v>
      </c>
      <c r="T575" s="82">
        <f t="shared" si="268"/>
        <v>19971.03</v>
      </c>
    </row>
    <row r="576" spans="2:20" s="34" customFormat="1" ht="34.799999999999997">
      <c r="B576" s="87" t="s">
        <v>1113</v>
      </c>
      <c r="C576" s="88" t="s">
        <v>1114</v>
      </c>
      <c r="D576" s="89" t="s">
        <v>131</v>
      </c>
      <c r="E576" s="92">
        <v>17</v>
      </c>
      <c r="F576" s="92">
        <v>17</v>
      </c>
      <c r="G576" s="91"/>
      <c r="H576" s="91"/>
      <c r="I576" s="91"/>
      <c r="J576" s="91">
        <f>SUM(H576:I576)+'BM 011'!J576</f>
        <v>0</v>
      </c>
      <c r="K576" s="91">
        <f t="shared" si="253"/>
        <v>17</v>
      </c>
      <c r="L576" s="84">
        <v>725</v>
      </c>
      <c r="M576" s="81">
        <v>919.01007975000005</v>
      </c>
      <c r="N576" s="82">
        <f t="shared" si="263"/>
        <v>0</v>
      </c>
      <c r="O576" s="82">
        <f t="shared" si="264"/>
        <v>0</v>
      </c>
      <c r="P576" s="82">
        <f>O576+'BM 011'!P576</f>
        <v>0</v>
      </c>
      <c r="Q576" s="80">
        <f t="shared" si="265"/>
        <v>12325</v>
      </c>
      <c r="R576" s="82">
        <f t="shared" si="266"/>
        <v>15623.17</v>
      </c>
      <c r="S576" s="82">
        <f t="shared" si="267"/>
        <v>15623.17</v>
      </c>
      <c r="T576" s="82">
        <f t="shared" si="268"/>
        <v>15623.17</v>
      </c>
    </row>
    <row r="577" spans="2:20" s="34" customFormat="1" ht="23.4">
      <c r="B577" s="87" t="s">
        <v>1115</v>
      </c>
      <c r="C577" s="88" t="s">
        <v>1116</v>
      </c>
      <c r="D577" s="89" t="s">
        <v>63</v>
      </c>
      <c r="E577" s="92">
        <v>56</v>
      </c>
      <c r="F577" s="92">
        <v>56</v>
      </c>
      <c r="G577" s="91"/>
      <c r="H577" s="91"/>
      <c r="I577" s="91"/>
      <c r="J577" s="91">
        <f>SUM(H577:I577)+'BM 011'!J577</f>
        <v>0</v>
      </c>
      <c r="K577" s="91">
        <f t="shared" si="253"/>
        <v>56</v>
      </c>
      <c r="L577" s="84">
        <v>175</v>
      </c>
      <c r="M577" s="81">
        <v>221.83001924999999</v>
      </c>
      <c r="N577" s="82">
        <f t="shared" si="263"/>
        <v>0</v>
      </c>
      <c r="O577" s="82">
        <f t="shared" si="264"/>
        <v>0</v>
      </c>
      <c r="P577" s="82">
        <f>O577+'BM 011'!P577</f>
        <v>0</v>
      </c>
      <c r="Q577" s="80">
        <f t="shared" si="265"/>
        <v>9800</v>
      </c>
      <c r="R577" s="82">
        <f t="shared" si="266"/>
        <v>12422.48</v>
      </c>
      <c r="S577" s="82">
        <f t="shared" si="267"/>
        <v>12422.48</v>
      </c>
      <c r="T577" s="82">
        <f t="shared" si="268"/>
        <v>12422.48</v>
      </c>
    </row>
    <row r="578" spans="2:20" s="34" customFormat="1" ht="23.4">
      <c r="B578" s="87" t="s">
        <v>1117</v>
      </c>
      <c r="C578" s="88" t="s">
        <v>1118</v>
      </c>
      <c r="D578" s="89" t="s">
        <v>63</v>
      </c>
      <c r="E578" s="92">
        <v>11</v>
      </c>
      <c r="F578" s="92">
        <v>11</v>
      </c>
      <c r="G578" s="91"/>
      <c r="H578" s="91"/>
      <c r="I578" s="91"/>
      <c r="J578" s="91">
        <f>SUM(H578:I578)+'BM 011'!J578</f>
        <v>0</v>
      </c>
      <c r="K578" s="91">
        <f t="shared" si="253"/>
        <v>11</v>
      </c>
      <c r="L578" s="84">
        <v>120</v>
      </c>
      <c r="M578" s="81">
        <v>152.11201320000001</v>
      </c>
      <c r="N578" s="82">
        <f t="shared" si="263"/>
        <v>0</v>
      </c>
      <c r="O578" s="82">
        <f t="shared" si="264"/>
        <v>0</v>
      </c>
      <c r="P578" s="82">
        <f>O578+'BM 011'!P578</f>
        <v>0</v>
      </c>
      <c r="Q578" s="80">
        <f t="shared" si="265"/>
        <v>1320</v>
      </c>
      <c r="R578" s="82">
        <f t="shared" si="266"/>
        <v>1673.23</v>
      </c>
      <c r="S578" s="82">
        <f t="shared" si="267"/>
        <v>1673.23</v>
      </c>
      <c r="T578" s="82">
        <f t="shared" si="268"/>
        <v>1673.23</v>
      </c>
    </row>
    <row r="579" spans="2:20" s="34" customFormat="1" ht="46.2">
      <c r="B579" s="87" t="s">
        <v>1119</v>
      </c>
      <c r="C579" s="88" t="s">
        <v>1120</v>
      </c>
      <c r="D579" s="89" t="s">
        <v>63</v>
      </c>
      <c r="E579" s="92">
        <v>20</v>
      </c>
      <c r="F579" s="92">
        <v>20</v>
      </c>
      <c r="G579" s="91"/>
      <c r="H579" s="91"/>
      <c r="I579" s="91"/>
      <c r="J579" s="91">
        <f>SUM(H579:I579)+'BM 011'!J579</f>
        <v>0</v>
      </c>
      <c r="K579" s="91">
        <f t="shared" si="253"/>
        <v>20</v>
      </c>
      <c r="L579" s="84">
        <v>205</v>
      </c>
      <c r="M579" s="81">
        <v>259.85802254999999</v>
      </c>
      <c r="N579" s="82">
        <f t="shared" si="263"/>
        <v>0</v>
      </c>
      <c r="O579" s="82">
        <f t="shared" si="264"/>
        <v>0</v>
      </c>
      <c r="P579" s="82">
        <f>O579+'BM 011'!P579</f>
        <v>0</v>
      </c>
      <c r="Q579" s="80">
        <f t="shared" si="265"/>
        <v>4100</v>
      </c>
      <c r="R579" s="82">
        <f t="shared" si="266"/>
        <v>5197.16</v>
      </c>
      <c r="S579" s="82">
        <f t="shared" si="267"/>
        <v>5197.16</v>
      </c>
      <c r="T579" s="82">
        <f t="shared" si="268"/>
        <v>5197.16</v>
      </c>
    </row>
    <row r="580" spans="2:20" s="34" customFormat="1" ht="23.4">
      <c r="B580" s="87" t="s">
        <v>1121</v>
      </c>
      <c r="C580" s="88" t="s">
        <v>1122</v>
      </c>
      <c r="D580" s="89" t="s">
        <v>63</v>
      </c>
      <c r="E580" s="92">
        <v>39</v>
      </c>
      <c r="F580" s="92">
        <v>39</v>
      </c>
      <c r="G580" s="91"/>
      <c r="H580" s="91"/>
      <c r="I580" s="91"/>
      <c r="J580" s="91">
        <f>SUM(H580:I580)+'BM 011'!J580</f>
        <v>0</v>
      </c>
      <c r="K580" s="91">
        <f t="shared" si="253"/>
        <v>39</v>
      </c>
      <c r="L580" s="84">
        <v>730</v>
      </c>
      <c r="M580" s="81">
        <v>925.34808029999999</v>
      </c>
      <c r="N580" s="82">
        <f t="shared" si="263"/>
        <v>0</v>
      </c>
      <c r="O580" s="82">
        <f t="shared" si="264"/>
        <v>0</v>
      </c>
      <c r="P580" s="82">
        <f>O580+'BM 011'!P580</f>
        <v>0</v>
      </c>
      <c r="Q580" s="80">
        <f t="shared" si="265"/>
        <v>28470</v>
      </c>
      <c r="R580" s="82">
        <f t="shared" si="266"/>
        <v>36088.57</v>
      </c>
      <c r="S580" s="82">
        <f t="shared" si="267"/>
        <v>36088.57</v>
      </c>
      <c r="T580" s="82">
        <f t="shared" si="268"/>
        <v>36088.57</v>
      </c>
    </row>
    <row r="581" spans="2:20" s="34" customFormat="1" ht="23.4">
      <c r="B581" s="87" t="s">
        <v>1123</v>
      </c>
      <c r="C581" s="88" t="s">
        <v>1124</v>
      </c>
      <c r="D581" s="89" t="s">
        <v>63</v>
      </c>
      <c r="E581" s="92">
        <v>6</v>
      </c>
      <c r="F581" s="92">
        <v>12</v>
      </c>
      <c r="G581" s="91"/>
      <c r="H581" s="91"/>
      <c r="I581" s="91"/>
      <c r="J581" s="91">
        <f>SUM(H581:I581)+'BM 011'!J581</f>
        <v>0</v>
      </c>
      <c r="K581" s="91">
        <f t="shared" si="253"/>
        <v>12</v>
      </c>
      <c r="L581" s="84">
        <v>4500</v>
      </c>
      <c r="M581" s="81">
        <v>5704.200495</v>
      </c>
      <c r="N581" s="82">
        <f t="shared" si="263"/>
        <v>0</v>
      </c>
      <c r="O581" s="82">
        <f t="shared" si="264"/>
        <v>0</v>
      </c>
      <c r="P581" s="82">
        <f>O581+'BM 011'!P581</f>
        <v>0</v>
      </c>
      <c r="Q581" s="80">
        <f t="shared" si="265"/>
        <v>27000</v>
      </c>
      <c r="R581" s="82">
        <f t="shared" si="266"/>
        <v>34225.199999999997</v>
      </c>
      <c r="S581" s="82">
        <f t="shared" si="267"/>
        <v>68450.399999999994</v>
      </c>
      <c r="T581" s="82">
        <f t="shared" si="268"/>
        <v>68450.399999999994</v>
      </c>
    </row>
    <row r="582" spans="2:20" s="34" customFormat="1" ht="46.2">
      <c r="B582" s="87" t="s">
        <v>1125</v>
      </c>
      <c r="C582" s="88" t="s">
        <v>1126</v>
      </c>
      <c r="D582" s="89" t="s">
        <v>63</v>
      </c>
      <c r="E582" s="92">
        <v>59</v>
      </c>
      <c r="F582" s="92">
        <v>59</v>
      </c>
      <c r="G582" s="91"/>
      <c r="H582" s="91"/>
      <c r="I582" s="91"/>
      <c r="J582" s="91">
        <f>SUM(H582:I582)+'BM 011'!J582</f>
        <v>0</v>
      </c>
      <c r="K582" s="91">
        <f t="shared" si="253"/>
        <v>59</v>
      </c>
      <c r="L582" s="84">
        <v>745</v>
      </c>
      <c r="M582" s="81">
        <v>944.36208194999995</v>
      </c>
      <c r="N582" s="82">
        <f t="shared" si="263"/>
        <v>0</v>
      </c>
      <c r="O582" s="82">
        <f t="shared" si="264"/>
        <v>0</v>
      </c>
      <c r="P582" s="82">
        <f>O582+'BM 011'!P582</f>
        <v>0</v>
      </c>
      <c r="Q582" s="80">
        <f t="shared" si="265"/>
        <v>43955</v>
      </c>
      <c r="R582" s="82">
        <f t="shared" si="266"/>
        <v>55717.36</v>
      </c>
      <c r="S582" s="82">
        <f t="shared" si="267"/>
        <v>55717.36</v>
      </c>
      <c r="T582" s="82">
        <f t="shared" si="268"/>
        <v>55717.36</v>
      </c>
    </row>
    <row r="583" spans="2:20" s="34" customFormat="1" ht="23.4">
      <c r="B583" s="87" t="s">
        <v>1127</v>
      </c>
      <c r="C583" s="88" t="s">
        <v>1128</v>
      </c>
      <c r="D583" s="89" t="s">
        <v>63</v>
      </c>
      <c r="E583" s="92">
        <v>74</v>
      </c>
      <c r="F583" s="92">
        <v>74</v>
      </c>
      <c r="G583" s="91"/>
      <c r="H583" s="91"/>
      <c r="I583" s="91"/>
      <c r="J583" s="91">
        <f>SUM(H583:I583)+'BM 011'!J583</f>
        <v>0</v>
      </c>
      <c r="K583" s="91">
        <f t="shared" si="253"/>
        <v>74</v>
      </c>
      <c r="L583" s="84">
        <v>250</v>
      </c>
      <c r="M583" s="81">
        <v>316.90002750000002</v>
      </c>
      <c r="N583" s="82">
        <f t="shared" si="263"/>
        <v>0</v>
      </c>
      <c r="O583" s="82">
        <f t="shared" si="264"/>
        <v>0</v>
      </c>
      <c r="P583" s="82">
        <f>O583+'BM 011'!P583</f>
        <v>0</v>
      </c>
      <c r="Q583" s="80">
        <f t="shared" si="265"/>
        <v>18500</v>
      </c>
      <c r="R583" s="82">
        <f t="shared" si="266"/>
        <v>23450.6</v>
      </c>
      <c r="S583" s="82">
        <f t="shared" si="267"/>
        <v>23450.6</v>
      </c>
      <c r="T583" s="82">
        <f t="shared" si="268"/>
        <v>23450.6</v>
      </c>
    </row>
    <row r="584" spans="2:20" s="34" customFormat="1" ht="23.4">
      <c r="B584" s="87" t="s">
        <v>1129</v>
      </c>
      <c r="C584" s="88" t="s">
        <v>1130</v>
      </c>
      <c r="D584" s="89" t="s">
        <v>63</v>
      </c>
      <c r="E584" s="92">
        <v>49</v>
      </c>
      <c r="F584" s="92">
        <v>49</v>
      </c>
      <c r="G584" s="91"/>
      <c r="H584" s="91"/>
      <c r="I584" s="91"/>
      <c r="J584" s="91">
        <f>SUM(H584:I584)+'BM 011'!J584</f>
        <v>0</v>
      </c>
      <c r="K584" s="91">
        <f t="shared" si="253"/>
        <v>49</v>
      </c>
      <c r="L584" s="84">
        <v>250</v>
      </c>
      <c r="M584" s="81">
        <v>316.90002750000002</v>
      </c>
      <c r="N584" s="82">
        <f t="shared" si="263"/>
        <v>0</v>
      </c>
      <c r="O584" s="82">
        <f t="shared" si="264"/>
        <v>0</v>
      </c>
      <c r="P584" s="82">
        <f>O584+'BM 011'!P584</f>
        <v>0</v>
      </c>
      <c r="Q584" s="80">
        <f t="shared" si="265"/>
        <v>12250</v>
      </c>
      <c r="R584" s="82">
        <f t="shared" si="266"/>
        <v>15528.1</v>
      </c>
      <c r="S584" s="82">
        <f t="shared" si="267"/>
        <v>15528.1</v>
      </c>
      <c r="T584" s="82">
        <f t="shared" si="268"/>
        <v>15528.1</v>
      </c>
    </row>
    <row r="585" spans="2:20" s="34" customFormat="1" ht="23.4">
      <c r="B585" s="87" t="s">
        <v>1131</v>
      </c>
      <c r="C585" s="88" t="s">
        <v>1132</v>
      </c>
      <c r="D585" s="89" t="s">
        <v>63</v>
      </c>
      <c r="E585" s="92">
        <v>102</v>
      </c>
      <c r="F585" s="92">
        <v>102</v>
      </c>
      <c r="G585" s="91"/>
      <c r="H585" s="91"/>
      <c r="I585" s="91"/>
      <c r="J585" s="91">
        <f>SUM(H585:I585)+'BM 011'!J585</f>
        <v>0</v>
      </c>
      <c r="K585" s="91">
        <f t="shared" si="253"/>
        <v>102</v>
      </c>
      <c r="L585" s="84">
        <v>200</v>
      </c>
      <c r="M585" s="81">
        <v>253.52002200000001</v>
      </c>
      <c r="N585" s="82">
        <f t="shared" si="263"/>
        <v>0</v>
      </c>
      <c r="O585" s="82">
        <f t="shared" si="264"/>
        <v>0</v>
      </c>
      <c r="P585" s="82">
        <f>O585+'BM 011'!P585</f>
        <v>0</v>
      </c>
      <c r="Q585" s="80">
        <f t="shared" si="265"/>
        <v>20400</v>
      </c>
      <c r="R585" s="82">
        <f t="shared" si="266"/>
        <v>25859.040000000001</v>
      </c>
      <c r="S585" s="82">
        <f t="shared" si="267"/>
        <v>25859.040000000001</v>
      </c>
      <c r="T585" s="82">
        <f t="shared" si="268"/>
        <v>25859.040000000001</v>
      </c>
    </row>
    <row r="586" spans="2:20" s="34" customFormat="1" ht="13.2">
      <c r="B586" s="87" t="s">
        <v>1133</v>
      </c>
      <c r="C586" s="88" t="s">
        <v>1134</v>
      </c>
      <c r="D586" s="89" t="s">
        <v>63</v>
      </c>
      <c r="E586" s="92">
        <v>135</v>
      </c>
      <c r="F586" s="92">
        <v>135</v>
      </c>
      <c r="G586" s="91"/>
      <c r="H586" s="91"/>
      <c r="I586" s="91"/>
      <c r="J586" s="91">
        <f>SUM(H586:I586)+'BM 011'!J586</f>
        <v>0</v>
      </c>
      <c r="K586" s="91">
        <f t="shared" si="253"/>
        <v>135</v>
      </c>
      <c r="L586" s="84">
        <v>85</v>
      </c>
      <c r="M586" s="81">
        <v>107.74600934999999</v>
      </c>
      <c r="N586" s="82">
        <f t="shared" si="263"/>
        <v>0</v>
      </c>
      <c r="O586" s="82">
        <f t="shared" si="264"/>
        <v>0</v>
      </c>
      <c r="P586" s="82">
        <f>O586+'BM 011'!P586</f>
        <v>0</v>
      </c>
      <c r="Q586" s="80">
        <f t="shared" si="265"/>
        <v>11475</v>
      </c>
      <c r="R586" s="82">
        <f t="shared" si="266"/>
        <v>14545.71</v>
      </c>
      <c r="S586" s="82">
        <f t="shared" si="267"/>
        <v>14545.71</v>
      </c>
      <c r="T586" s="82">
        <f t="shared" si="268"/>
        <v>14545.71</v>
      </c>
    </row>
    <row r="587" spans="2:20" s="34" customFormat="1" ht="34.799999999999997">
      <c r="B587" s="87" t="s">
        <v>1135</v>
      </c>
      <c r="C587" s="88" t="s">
        <v>1136</v>
      </c>
      <c r="D587" s="89" t="s">
        <v>79</v>
      </c>
      <c r="E587" s="92">
        <v>43.42</v>
      </c>
      <c r="F587" s="92">
        <v>43.42</v>
      </c>
      <c r="G587" s="91"/>
      <c r="H587" s="91"/>
      <c r="I587" s="91"/>
      <c r="J587" s="91">
        <f>SUM(H587:I587)+'BM 011'!J587</f>
        <v>0</v>
      </c>
      <c r="K587" s="91">
        <f t="shared" si="253"/>
        <v>43.42</v>
      </c>
      <c r="L587" s="84">
        <v>2590</v>
      </c>
      <c r="M587" s="81">
        <v>3283.0842849000001</v>
      </c>
      <c r="N587" s="82">
        <f t="shared" si="263"/>
        <v>0</v>
      </c>
      <c r="O587" s="82">
        <f t="shared" si="264"/>
        <v>0</v>
      </c>
      <c r="P587" s="82">
        <f>O587+'BM 011'!P587</f>
        <v>0</v>
      </c>
      <c r="Q587" s="80">
        <f t="shared" si="265"/>
        <v>112457.8</v>
      </c>
      <c r="R587" s="82">
        <f t="shared" si="266"/>
        <v>142551.51</v>
      </c>
      <c r="S587" s="82">
        <f t="shared" si="267"/>
        <v>142551.51</v>
      </c>
      <c r="T587" s="82">
        <f t="shared" si="268"/>
        <v>142551.51</v>
      </c>
    </row>
    <row r="588" spans="2:20" s="34" customFormat="1" ht="34.799999999999997">
      <c r="B588" s="87" t="s">
        <v>1137</v>
      </c>
      <c r="C588" s="88" t="s">
        <v>1138</v>
      </c>
      <c r="D588" s="89" t="s">
        <v>79</v>
      </c>
      <c r="E588" s="92">
        <v>8.93</v>
      </c>
      <c r="F588" s="92">
        <v>8.93</v>
      </c>
      <c r="G588" s="91"/>
      <c r="H588" s="91"/>
      <c r="I588" s="91"/>
      <c r="J588" s="91">
        <f>SUM(H588:I588)+'BM 011'!J588</f>
        <v>0</v>
      </c>
      <c r="K588" s="91">
        <f t="shared" si="253"/>
        <v>8.93</v>
      </c>
      <c r="L588" s="84">
        <v>950</v>
      </c>
      <c r="M588" s="81">
        <v>1204.2201044999999</v>
      </c>
      <c r="N588" s="82">
        <f t="shared" si="263"/>
        <v>0</v>
      </c>
      <c r="O588" s="82">
        <f t="shared" si="264"/>
        <v>0</v>
      </c>
      <c r="P588" s="82">
        <f>O588+'BM 011'!P588</f>
        <v>0</v>
      </c>
      <c r="Q588" s="80">
        <f t="shared" si="265"/>
        <v>8483.5</v>
      </c>
      <c r="R588" s="82">
        <f t="shared" si="266"/>
        <v>10753.68</v>
      </c>
      <c r="S588" s="82">
        <f t="shared" si="267"/>
        <v>10753.68</v>
      </c>
      <c r="T588" s="82">
        <f t="shared" si="268"/>
        <v>10753.68</v>
      </c>
    </row>
    <row r="589" spans="2:20" s="34" customFormat="1" ht="23.4">
      <c r="B589" s="87" t="s">
        <v>1139</v>
      </c>
      <c r="C589" s="88" t="s">
        <v>1140</v>
      </c>
      <c r="D589" s="89" t="s">
        <v>63</v>
      </c>
      <c r="E589" s="92">
        <v>1</v>
      </c>
      <c r="F589" s="92">
        <v>1</v>
      </c>
      <c r="G589" s="91"/>
      <c r="H589" s="91"/>
      <c r="I589" s="91"/>
      <c r="J589" s="91">
        <f>SUM(H589:I589)+'BM 011'!J589</f>
        <v>0</v>
      </c>
      <c r="K589" s="91">
        <f t="shared" si="253"/>
        <v>1</v>
      </c>
      <c r="L589" s="84">
        <v>210</v>
      </c>
      <c r="M589" s="81">
        <v>266.19602309999999</v>
      </c>
      <c r="N589" s="82">
        <f t="shared" si="263"/>
        <v>0</v>
      </c>
      <c r="O589" s="82">
        <f t="shared" si="264"/>
        <v>0</v>
      </c>
      <c r="P589" s="82">
        <f>O589+'BM 011'!P589</f>
        <v>0</v>
      </c>
      <c r="Q589" s="80">
        <f t="shared" si="265"/>
        <v>210</v>
      </c>
      <c r="R589" s="82">
        <f t="shared" si="266"/>
        <v>266.19</v>
      </c>
      <c r="S589" s="82">
        <f t="shared" si="267"/>
        <v>266.19</v>
      </c>
      <c r="T589" s="82">
        <f t="shared" si="268"/>
        <v>266.19</v>
      </c>
    </row>
    <row r="590" spans="2:20" s="34" customFormat="1" ht="34.799999999999997">
      <c r="B590" s="87" t="s">
        <v>1141</v>
      </c>
      <c r="C590" s="88" t="s">
        <v>1142</v>
      </c>
      <c r="D590" s="89" t="s">
        <v>63</v>
      </c>
      <c r="E590" s="92">
        <v>22</v>
      </c>
      <c r="F590" s="92">
        <v>22</v>
      </c>
      <c r="G590" s="91"/>
      <c r="H590" s="91"/>
      <c r="I590" s="91"/>
      <c r="J590" s="91">
        <f>SUM(H590:I590)+'BM 011'!J590</f>
        <v>0</v>
      </c>
      <c r="K590" s="91">
        <f t="shared" si="253"/>
        <v>22</v>
      </c>
      <c r="L590" s="84">
        <v>490</v>
      </c>
      <c r="M590" s="81">
        <v>621.12405390000004</v>
      </c>
      <c r="N590" s="82">
        <f t="shared" si="263"/>
        <v>0</v>
      </c>
      <c r="O590" s="82">
        <f t="shared" si="264"/>
        <v>0</v>
      </c>
      <c r="P590" s="82">
        <f>O590+'BM 011'!P590</f>
        <v>0</v>
      </c>
      <c r="Q590" s="80">
        <f t="shared" si="265"/>
        <v>10780</v>
      </c>
      <c r="R590" s="82">
        <f t="shared" si="266"/>
        <v>13664.72</v>
      </c>
      <c r="S590" s="82">
        <f t="shared" si="267"/>
        <v>13664.72</v>
      </c>
      <c r="T590" s="82">
        <f t="shared" si="268"/>
        <v>13664.72</v>
      </c>
    </row>
    <row r="591" spans="2:20" s="34" customFormat="1" ht="57.6">
      <c r="B591" s="87" t="s">
        <v>1143</v>
      </c>
      <c r="C591" s="88" t="s">
        <v>1144</v>
      </c>
      <c r="D591" s="89" t="s">
        <v>63</v>
      </c>
      <c r="E591" s="92">
        <v>3</v>
      </c>
      <c r="F591" s="92">
        <v>3</v>
      </c>
      <c r="G591" s="91"/>
      <c r="H591" s="91"/>
      <c r="I591" s="91"/>
      <c r="J591" s="91">
        <f>SUM(H591:I591)+'BM 011'!J591</f>
        <v>0</v>
      </c>
      <c r="K591" s="91">
        <f t="shared" si="253"/>
        <v>3</v>
      </c>
      <c r="L591" s="84">
        <v>2480</v>
      </c>
      <c r="M591" s="81">
        <v>3143.6482728000001</v>
      </c>
      <c r="N591" s="82">
        <f t="shared" si="263"/>
        <v>0</v>
      </c>
      <c r="O591" s="82">
        <f t="shared" si="264"/>
        <v>0</v>
      </c>
      <c r="P591" s="82">
        <f>O591+'BM 011'!P591</f>
        <v>0</v>
      </c>
      <c r="Q591" s="80">
        <f t="shared" si="265"/>
        <v>7440</v>
      </c>
      <c r="R591" s="82">
        <f t="shared" si="266"/>
        <v>9430.94</v>
      </c>
      <c r="S591" s="82">
        <f t="shared" si="267"/>
        <v>9430.94</v>
      </c>
      <c r="T591" s="82">
        <f t="shared" si="268"/>
        <v>9430.94</v>
      </c>
    </row>
    <row r="592" spans="2:20" s="34" customFormat="1" ht="23.4">
      <c r="B592" s="87" t="s">
        <v>1145</v>
      </c>
      <c r="C592" s="88" t="s">
        <v>1146</v>
      </c>
      <c r="D592" s="89" t="s">
        <v>63</v>
      </c>
      <c r="E592" s="92">
        <v>7</v>
      </c>
      <c r="F592" s="92">
        <v>7</v>
      </c>
      <c r="G592" s="91"/>
      <c r="H592" s="91"/>
      <c r="I592" s="91"/>
      <c r="J592" s="91">
        <f>SUM(H592:I592)+'BM 011'!J592</f>
        <v>0</v>
      </c>
      <c r="K592" s="91">
        <f t="shared" si="253"/>
        <v>7</v>
      </c>
      <c r="L592" s="84">
        <v>950</v>
      </c>
      <c r="M592" s="81">
        <v>1204.2201044999999</v>
      </c>
      <c r="N592" s="82">
        <f t="shared" si="263"/>
        <v>0</v>
      </c>
      <c r="O592" s="82">
        <f t="shared" si="264"/>
        <v>0</v>
      </c>
      <c r="P592" s="82">
        <f>O592+'BM 011'!P592</f>
        <v>0</v>
      </c>
      <c r="Q592" s="80">
        <f t="shared" si="265"/>
        <v>6650</v>
      </c>
      <c r="R592" s="82">
        <f t="shared" si="266"/>
        <v>8429.5400000000009</v>
      </c>
      <c r="S592" s="82">
        <f t="shared" si="267"/>
        <v>8429.5400000000009</v>
      </c>
      <c r="T592" s="82">
        <f t="shared" si="268"/>
        <v>8429.5400000000009</v>
      </c>
    </row>
    <row r="593" spans="2:22" s="34" customFormat="1" ht="34.799999999999997">
      <c r="B593" s="87" t="s">
        <v>1147</v>
      </c>
      <c r="C593" s="88" t="s">
        <v>1148</v>
      </c>
      <c r="D593" s="89" t="s">
        <v>63</v>
      </c>
      <c r="E593" s="92">
        <v>43</v>
      </c>
      <c r="F593" s="92">
        <v>43</v>
      </c>
      <c r="G593" s="91"/>
      <c r="H593" s="91"/>
      <c r="I593" s="91"/>
      <c r="J593" s="91">
        <f>SUM(H593:I593)+'BM 011'!J593</f>
        <v>0</v>
      </c>
      <c r="K593" s="91">
        <f t="shared" si="253"/>
        <v>43</v>
      </c>
      <c r="L593" s="84">
        <v>300</v>
      </c>
      <c r="M593" s="81">
        <v>380.280033</v>
      </c>
      <c r="N593" s="82">
        <f t="shared" si="263"/>
        <v>0</v>
      </c>
      <c r="O593" s="82">
        <f t="shared" si="264"/>
        <v>0</v>
      </c>
      <c r="P593" s="82">
        <f>O593+'BM 011'!P593</f>
        <v>0</v>
      </c>
      <c r="Q593" s="80">
        <f t="shared" si="265"/>
        <v>12900</v>
      </c>
      <c r="R593" s="82">
        <f t="shared" si="266"/>
        <v>16352.04</v>
      </c>
      <c r="S593" s="82">
        <f t="shared" si="267"/>
        <v>16352.04</v>
      </c>
      <c r="T593" s="82">
        <f t="shared" si="268"/>
        <v>16352.04</v>
      </c>
    </row>
    <row r="594" spans="2:22" s="34" customFormat="1" ht="34.799999999999997">
      <c r="B594" s="87" t="s">
        <v>1149</v>
      </c>
      <c r="C594" s="88" t="s">
        <v>1150</v>
      </c>
      <c r="D594" s="89" t="s">
        <v>63</v>
      </c>
      <c r="E594" s="92">
        <v>4</v>
      </c>
      <c r="F594" s="92">
        <v>4</v>
      </c>
      <c r="G594" s="91"/>
      <c r="H594" s="91"/>
      <c r="I594" s="91"/>
      <c r="J594" s="91">
        <f>SUM(H594:I594)+'BM 011'!J594</f>
        <v>0</v>
      </c>
      <c r="K594" s="91">
        <f t="shared" si="253"/>
        <v>4</v>
      </c>
      <c r="L594" s="84">
        <v>3852</v>
      </c>
      <c r="M594" s="81">
        <v>4882.7956237199996</v>
      </c>
      <c r="N594" s="82">
        <f t="shared" si="263"/>
        <v>0</v>
      </c>
      <c r="O594" s="82">
        <f t="shared" si="264"/>
        <v>0</v>
      </c>
      <c r="P594" s="82">
        <f>O594+'BM 011'!P594</f>
        <v>0</v>
      </c>
      <c r="Q594" s="80">
        <f t="shared" si="265"/>
        <v>15408</v>
      </c>
      <c r="R594" s="82">
        <f t="shared" si="266"/>
        <v>19531.18</v>
      </c>
      <c r="S594" s="82">
        <f t="shared" si="267"/>
        <v>19531.18</v>
      </c>
      <c r="T594" s="82">
        <f t="shared" si="268"/>
        <v>19531.18</v>
      </c>
    </row>
    <row r="595" spans="2:22" s="34" customFormat="1" ht="13.2">
      <c r="B595" s="60" t="s">
        <v>1151</v>
      </c>
      <c r="C595" s="61" t="s">
        <v>1152</v>
      </c>
      <c r="D595" s="60"/>
      <c r="E595" s="62"/>
      <c r="F595" s="284"/>
      <c r="G595" s="63"/>
      <c r="H595" s="63"/>
      <c r="I595" s="63"/>
      <c r="J595" s="63">
        <f>SUM(H595:I595)+'BM 011'!J595</f>
        <v>0</v>
      </c>
      <c r="K595" s="63">
        <f t="shared" si="253"/>
        <v>0</v>
      </c>
      <c r="L595" s="63"/>
      <c r="M595" s="63"/>
      <c r="N595" s="63">
        <f t="shared" ref="N595:T595" si="269">SUM(N596:N597)</f>
        <v>0</v>
      </c>
      <c r="O595" s="63">
        <f t="shared" si="269"/>
        <v>0</v>
      </c>
      <c r="P595" s="63">
        <f t="shared" si="269"/>
        <v>0</v>
      </c>
      <c r="Q595" s="63">
        <f t="shared" si="269"/>
        <v>30555.67</v>
      </c>
      <c r="R595" s="63">
        <f t="shared" si="269"/>
        <v>38732.36</v>
      </c>
      <c r="S595" s="63">
        <f t="shared" si="269"/>
        <v>38732.36</v>
      </c>
      <c r="T595" s="63">
        <f t="shared" si="269"/>
        <v>38732.36</v>
      </c>
    </row>
    <row r="596" spans="2:22" s="34" customFormat="1" ht="23.4">
      <c r="B596" s="75" t="s">
        <v>1153</v>
      </c>
      <c r="C596" s="76" t="s">
        <v>1154</v>
      </c>
      <c r="D596" s="121" t="s">
        <v>63</v>
      </c>
      <c r="E596" s="78">
        <v>1</v>
      </c>
      <c r="F596" s="78">
        <v>1</v>
      </c>
      <c r="G596" s="79"/>
      <c r="H596" s="79"/>
      <c r="I596" s="79"/>
      <c r="J596" s="79">
        <f>SUM(H596:I596)+'BM 011'!J596</f>
        <v>0</v>
      </c>
      <c r="K596" s="79">
        <f t="shared" si="253"/>
        <v>1</v>
      </c>
      <c r="L596" s="84">
        <v>5076.55</v>
      </c>
      <c r="M596" s="81">
        <v>6435.0353384205</v>
      </c>
      <c r="N596" s="82">
        <f>TRUNC(G596*M596,2)</f>
        <v>0</v>
      </c>
      <c r="O596" s="82">
        <f>TRUNC(H596*M596,2)</f>
        <v>0</v>
      </c>
      <c r="P596" s="82">
        <f>O596+'BM 011'!P596</f>
        <v>0</v>
      </c>
      <c r="Q596" s="80">
        <f>E596*L596</f>
        <v>5076.55</v>
      </c>
      <c r="R596" s="82">
        <f>TRUNC(E596*M596,2)</f>
        <v>6435.03</v>
      </c>
      <c r="S596" s="82">
        <f>TRUNC(F596*$M596,2)</f>
        <v>6435.03</v>
      </c>
      <c r="T596" s="82">
        <f>S596-P596</f>
        <v>6435.03</v>
      </c>
    </row>
    <row r="597" spans="2:22" s="34" customFormat="1" ht="13.2">
      <c r="B597" s="75" t="s">
        <v>1155</v>
      </c>
      <c r="C597" s="76" t="s">
        <v>1156</v>
      </c>
      <c r="D597" s="77" t="s">
        <v>79</v>
      </c>
      <c r="E597" s="303">
        <v>6369.78</v>
      </c>
      <c r="F597" s="303">
        <v>6369.78</v>
      </c>
      <c r="G597" s="304"/>
      <c r="H597" s="304"/>
      <c r="I597" s="304"/>
      <c r="J597" s="304">
        <f>SUM(H597:I597)+'BM 011'!J597</f>
        <v>0</v>
      </c>
      <c r="K597" s="304">
        <f t="shared" si="253"/>
        <v>6369.78</v>
      </c>
      <c r="L597" s="305">
        <v>4</v>
      </c>
      <c r="M597" s="306">
        <v>5.0704004400000002</v>
      </c>
      <c r="N597" s="307">
        <f>TRUNC(G597*M597,2)</f>
        <v>0</v>
      </c>
      <c r="O597" s="307">
        <f>TRUNC(H597*M597,2)</f>
        <v>0</v>
      </c>
      <c r="P597" s="82">
        <f>O597+'BM 011'!P597</f>
        <v>0</v>
      </c>
      <c r="Q597" s="94">
        <f>E597*L597</f>
        <v>25479.119999999999</v>
      </c>
      <c r="R597" s="307">
        <f>TRUNC(E597*M597,2)</f>
        <v>32297.33</v>
      </c>
      <c r="S597" s="307">
        <f>TRUNC(F597*$M597,2)</f>
        <v>32297.33</v>
      </c>
      <c r="T597" s="82">
        <f>S597-P597</f>
        <v>32297.33</v>
      </c>
      <c r="V597" s="83"/>
    </row>
    <row r="598" spans="2:22" s="34" customFormat="1" ht="13.2">
      <c r="B598" s="60" t="s">
        <v>1755</v>
      </c>
      <c r="C598" s="61" t="s">
        <v>1756</v>
      </c>
      <c r="D598" s="60"/>
      <c r="E598" s="62"/>
      <c r="F598" s="284"/>
      <c r="G598" s="63"/>
      <c r="H598" s="63"/>
      <c r="I598" s="63"/>
      <c r="J598" s="63">
        <f>SUM(H598:I598)+'BM 011'!J598</f>
        <v>0</v>
      </c>
      <c r="K598" s="63">
        <f t="shared" si="253"/>
        <v>0</v>
      </c>
      <c r="L598" s="63"/>
      <c r="M598" s="63"/>
      <c r="N598" s="63">
        <f t="shared" ref="N598:T598" si="270">SUM(N599,N605,N609,N621,N625,N632,N654,N668,N670,N673,N680)</f>
        <v>33647.79</v>
      </c>
      <c r="O598" s="63">
        <f t="shared" si="270"/>
        <v>33647.79</v>
      </c>
      <c r="P598" s="63">
        <f t="shared" si="270"/>
        <v>269375.14</v>
      </c>
      <c r="Q598" s="63">
        <f t="shared" si="270"/>
        <v>633.54</v>
      </c>
      <c r="R598" s="63">
        <f t="shared" si="270"/>
        <v>0</v>
      </c>
      <c r="S598" s="63">
        <f t="shared" si="270"/>
        <v>278334.38</v>
      </c>
      <c r="T598" s="63">
        <f t="shared" si="270"/>
        <v>8959.24</v>
      </c>
    </row>
    <row r="599" spans="2:22" s="34" customFormat="1" ht="13.2">
      <c r="B599" s="66" t="s">
        <v>1757</v>
      </c>
      <c r="C599" s="67" t="s">
        <v>1758</v>
      </c>
      <c r="D599" s="68"/>
      <c r="E599" s="69"/>
      <c r="F599" s="69"/>
      <c r="G599" s="70"/>
      <c r="H599" s="70"/>
      <c r="I599" s="70"/>
      <c r="J599" s="70">
        <f>SUM(H599:I599)+'BM 011'!J599</f>
        <v>0</v>
      </c>
      <c r="K599" s="70"/>
      <c r="L599" s="308"/>
      <c r="M599" s="72"/>
      <c r="N599" s="73">
        <f t="shared" ref="N599:T599" si="271">SUM(N600:N604)</f>
        <v>0</v>
      </c>
      <c r="O599" s="73">
        <f t="shared" si="271"/>
        <v>0</v>
      </c>
      <c r="P599" s="73">
        <f t="shared" si="271"/>
        <v>13860.8</v>
      </c>
      <c r="Q599" s="73">
        <f t="shared" si="271"/>
        <v>0</v>
      </c>
      <c r="R599" s="73">
        <f t="shared" si="271"/>
        <v>0</v>
      </c>
      <c r="S599" s="73">
        <f t="shared" si="271"/>
        <v>13860.8</v>
      </c>
      <c r="T599" s="73">
        <f t="shared" si="271"/>
        <v>0</v>
      </c>
    </row>
    <row r="600" spans="2:22" s="34" customFormat="1" ht="23.4">
      <c r="B600" s="298" t="s">
        <v>1759</v>
      </c>
      <c r="C600" s="299" t="s">
        <v>1760</v>
      </c>
      <c r="D600" s="309" t="s">
        <v>79</v>
      </c>
      <c r="E600" s="93"/>
      <c r="F600" s="93">
        <v>89.94</v>
      </c>
      <c r="G600" s="79"/>
      <c r="H600" s="79"/>
      <c r="I600" s="79"/>
      <c r="J600" s="79">
        <f>SUM(H600:I600)+'BM 011'!J600</f>
        <v>89.94</v>
      </c>
      <c r="K600" s="79">
        <f t="shared" ref="K600:K631" si="272">F600-J600</f>
        <v>0</v>
      </c>
      <c r="L600" s="84"/>
      <c r="M600" s="81">
        <v>3.42</v>
      </c>
      <c r="N600" s="82">
        <f>TRUNC(G600*M600,2)</f>
        <v>0</v>
      </c>
      <c r="O600" s="82">
        <f>TRUNC(H600*M600,2)</f>
        <v>0</v>
      </c>
      <c r="P600" s="82">
        <f>O600+'BM 011'!P600</f>
        <v>307.58999999999997</v>
      </c>
      <c r="Q600" s="82">
        <f>TRUNC(K600*P600,2)</f>
        <v>0</v>
      </c>
      <c r="R600" s="82">
        <f>TRUNC(E600*M600,2)</f>
        <v>0</v>
      </c>
      <c r="S600" s="82">
        <f>TRUNC(F600*$M600,2)</f>
        <v>307.58999999999997</v>
      </c>
      <c r="T600" s="82">
        <f>S600-P600</f>
        <v>0</v>
      </c>
    </row>
    <row r="601" spans="2:22" s="34" customFormat="1" ht="34.799999999999997">
      <c r="B601" s="298" t="s">
        <v>1761</v>
      </c>
      <c r="C601" s="299" t="s">
        <v>1762</v>
      </c>
      <c r="D601" s="309" t="s">
        <v>169</v>
      </c>
      <c r="E601" s="93"/>
      <c r="F601" s="93">
        <v>2.42</v>
      </c>
      <c r="G601" s="79"/>
      <c r="H601" s="79"/>
      <c r="I601" s="79"/>
      <c r="J601" s="79">
        <f>SUM(H601:I601)+'BM 011'!J601</f>
        <v>2.42</v>
      </c>
      <c r="K601" s="79">
        <f t="shared" si="272"/>
        <v>0</v>
      </c>
      <c r="L601" s="84"/>
      <c r="M601" s="81">
        <v>62.27</v>
      </c>
      <c r="N601" s="82">
        <f>TRUNC(G601*M601,2)</f>
        <v>0</v>
      </c>
      <c r="O601" s="82">
        <f>TRUNC(H601*M601,2)</f>
        <v>0</v>
      </c>
      <c r="P601" s="82">
        <f>O601+'BM 011'!P601</f>
        <v>150.69</v>
      </c>
      <c r="Q601" s="82">
        <f>TRUNC(K601*P601,2)</f>
        <v>0</v>
      </c>
      <c r="R601" s="82">
        <f>TRUNC(E601*M601,2)</f>
        <v>0</v>
      </c>
      <c r="S601" s="82">
        <f>TRUNC(F601*$M601,2)</f>
        <v>150.69</v>
      </c>
      <c r="T601" s="82">
        <f>S601-P601</f>
        <v>0</v>
      </c>
    </row>
    <row r="602" spans="2:22" s="34" customFormat="1" ht="13.2">
      <c r="B602" s="298" t="s">
        <v>1763</v>
      </c>
      <c r="C602" s="299" t="s">
        <v>1764</v>
      </c>
      <c r="D602" s="309" t="s">
        <v>169</v>
      </c>
      <c r="E602" s="93"/>
      <c r="F602" s="93">
        <v>0.24</v>
      </c>
      <c r="G602" s="79"/>
      <c r="H602" s="79"/>
      <c r="I602" s="79"/>
      <c r="J602" s="79">
        <f>SUM(H602:I602)+'BM 011'!J602</f>
        <v>0.24</v>
      </c>
      <c r="K602" s="79">
        <f t="shared" si="272"/>
        <v>0</v>
      </c>
      <c r="L602" s="84"/>
      <c r="M602" s="81">
        <v>544.85</v>
      </c>
      <c r="N602" s="82">
        <f>TRUNC(G602*M602,2)</f>
        <v>0</v>
      </c>
      <c r="O602" s="82">
        <f>TRUNC(H602*M602,2)</f>
        <v>0</v>
      </c>
      <c r="P602" s="82">
        <f>O602+'BM 011'!P602</f>
        <v>130.76</v>
      </c>
      <c r="Q602" s="82">
        <f>TRUNC(K602*P602,2)</f>
        <v>0</v>
      </c>
      <c r="R602" s="82">
        <f>TRUNC(E602*M602,2)</f>
        <v>0</v>
      </c>
      <c r="S602" s="82">
        <f>TRUNC(F602*$M602,2)</f>
        <v>130.76</v>
      </c>
      <c r="T602" s="82">
        <f>S602-P602</f>
        <v>0</v>
      </c>
    </row>
    <row r="603" spans="2:22" s="34" customFormat="1" ht="13.2">
      <c r="B603" s="298" t="s">
        <v>1765</v>
      </c>
      <c r="C603" s="299" t="s">
        <v>78</v>
      </c>
      <c r="D603" s="300" t="s">
        <v>79</v>
      </c>
      <c r="E603" s="93"/>
      <c r="F603" s="93">
        <v>55.86</v>
      </c>
      <c r="G603" s="79"/>
      <c r="H603" s="79"/>
      <c r="I603" s="79"/>
      <c r="J603" s="79">
        <f>SUM(H603:I603)+'BM 011'!J603</f>
        <v>55.86</v>
      </c>
      <c r="K603" s="79">
        <f t="shared" si="272"/>
        <v>0</v>
      </c>
      <c r="L603" s="84"/>
      <c r="M603" s="81">
        <v>158.45001375000001</v>
      </c>
      <c r="N603" s="82">
        <f>TRUNC(G603*M603,2)</f>
        <v>0</v>
      </c>
      <c r="O603" s="82">
        <f>TRUNC(H603*M603,2)</f>
        <v>0</v>
      </c>
      <c r="P603" s="82">
        <f>O603+'BM 011'!P603</f>
        <v>8851.01</v>
      </c>
      <c r="Q603" s="82">
        <f>TRUNC(K603*P603,2)</f>
        <v>0</v>
      </c>
      <c r="R603" s="82">
        <f>TRUNC(E603*M603,2)</f>
        <v>0</v>
      </c>
      <c r="S603" s="82">
        <f>TRUNC(F603*$M603,2)</f>
        <v>8851.01</v>
      </c>
      <c r="T603" s="82">
        <f>S603-P603</f>
        <v>0</v>
      </c>
    </row>
    <row r="604" spans="2:22" s="34" customFormat="1" ht="34.799999999999997">
      <c r="B604" s="298" t="s">
        <v>1766</v>
      </c>
      <c r="C604" s="299" t="s">
        <v>119</v>
      </c>
      <c r="D604" s="300" t="s">
        <v>82</v>
      </c>
      <c r="E604" s="93"/>
      <c r="F604" s="93">
        <v>46.5</v>
      </c>
      <c r="G604" s="79"/>
      <c r="H604" s="79"/>
      <c r="I604" s="79"/>
      <c r="J604" s="79">
        <f>SUM(H604:I604)+'BM 011'!J604</f>
        <v>46.5</v>
      </c>
      <c r="K604" s="79">
        <f t="shared" si="272"/>
        <v>0</v>
      </c>
      <c r="L604" s="84"/>
      <c r="M604" s="81">
        <v>95.070008250000001</v>
      </c>
      <c r="N604" s="82">
        <f>TRUNC(G604*M604,2)</f>
        <v>0</v>
      </c>
      <c r="O604" s="82">
        <f>TRUNC(H604*M604,2)</f>
        <v>0</v>
      </c>
      <c r="P604" s="82">
        <f>O604+'BM 011'!P604</f>
        <v>4420.75</v>
      </c>
      <c r="Q604" s="82">
        <f>TRUNC(K604*P604,2)</f>
        <v>0</v>
      </c>
      <c r="R604" s="82">
        <f>TRUNC(E604*M604,2)</f>
        <v>0</v>
      </c>
      <c r="S604" s="82">
        <f>TRUNC(F604*$M604,2)</f>
        <v>4420.75</v>
      </c>
      <c r="T604" s="82">
        <f>S604-P604</f>
        <v>0</v>
      </c>
    </row>
    <row r="605" spans="2:22" s="34" customFormat="1" ht="13.2">
      <c r="B605" s="66" t="s">
        <v>1767</v>
      </c>
      <c r="C605" s="67" t="s">
        <v>1768</v>
      </c>
      <c r="D605" s="68"/>
      <c r="E605" s="69"/>
      <c r="F605" s="69"/>
      <c r="G605" s="70"/>
      <c r="H605" s="70"/>
      <c r="I605" s="70"/>
      <c r="J605" s="70">
        <f>SUM(H605:I605)+'BM 011'!J605</f>
        <v>0</v>
      </c>
      <c r="K605" s="70">
        <f t="shared" si="272"/>
        <v>0</v>
      </c>
      <c r="L605" s="308"/>
      <c r="M605" s="72">
        <v>0</v>
      </c>
      <c r="N605" s="73">
        <f t="shared" ref="N605:T605" si="273">SUM(N606:N608)</f>
        <v>0</v>
      </c>
      <c r="O605" s="73">
        <f t="shared" si="273"/>
        <v>0</v>
      </c>
      <c r="P605" s="73">
        <f t="shared" si="273"/>
        <v>842.25</v>
      </c>
      <c r="Q605" s="73">
        <f t="shared" si="273"/>
        <v>0</v>
      </c>
      <c r="R605" s="73">
        <f t="shared" si="273"/>
        <v>0</v>
      </c>
      <c r="S605" s="73">
        <f t="shared" si="273"/>
        <v>842.25</v>
      </c>
      <c r="T605" s="73">
        <f t="shared" si="273"/>
        <v>0</v>
      </c>
    </row>
    <row r="606" spans="2:22" s="34" customFormat="1" ht="46.2">
      <c r="B606" s="298" t="s">
        <v>1769</v>
      </c>
      <c r="C606" s="299" t="s">
        <v>1770</v>
      </c>
      <c r="D606" s="300" t="s">
        <v>169</v>
      </c>
      <c r="E606" s="93"/>
      <c r="F606" s="93">
        <v>7.61</v>
      </c>
      <c r="G606" s="79"/>
      <c r="H606" s="79"/>
      <c r="I606" s="79"/>
      <c r="J606" s="79">
        <f>SUM(H606:I606)+'BM 011'!J606</f>
        <v>7.61</v>
      </c>
      <c r="K606" s="79">
        <f t="shared" si="272"/>
        <v>0</v>
      </c>
      <c r="L606" s="84"/>
      <c r="M606" s="81">
        <v>101.4080088</v>
      </c>
      <c r="N606" s="82">
        <f>TRUNC(G606*M606,2)</f>
        <v>0</v>
      </c>
      <c r="O606" s="82">
        <f>TRUNC(H606*M606,2)</f>
        <v>0</v>
      </c>
      <c r="P606" s="82">
        <f>O606+'BM 011'!P606</f>
        <v>771.71</v>
      </c>
      <c r="Q606" s="82">
        <f>TRUNC(K606*P606,2)</f>
        <v>0</v>
      </c>
      <c r="R606" s="82">
        <f>TRUNC(E606*M606,2)</f>
        <v>0</v>
      </c>
      <c r="S606" s="82">
        <f>TRUNC(F606*$M606,2)</f>
        <v>771.71</v>
      </c>
      <c r="T606" s="82">
        <f>S606-P606</f>
        <v>0</v>
      </c>
    </row>
    <row r="607" spans="2:22" s="34" customFormat="1" ht="57.6">
      <c r="B607" s="298" t="s">
        <v>1771</v>
      </c>
      <c r="C607" s="299" t="s">
        <v>1772</v>
      </c>
      <c r="D607" s="300" t="s">
        <v>169</v>
      </c>
      <c r="E607" s="93"/>
      <c r="F607" s="93">
        <v>0</v>
      </c>
      <c r="G607" s="79"/>
      <c r="H607" s="79"/>
      <c r="I607" s="79"/>
      <c r="J607" s="79">
        <f>SUM(H607:I607)+'BM 011'!J607</f>
        <v>0</v>
      </c>
      <c r="K607" s="79">
        <f t="shared" si="272"/>
        <v>0</v>
      </c>
      <c r="L607" s="84"/>
      <c r="M607" s="81">
        <v>19.280197673100002</v>
      </c>
      <c r="N607" s="82">
        <f>TRUNC(G607*M607,2)</f>
        <v>0</v>
      </c>
      <c r="O607" s="82">
        <f>TRUNC(H607*M607,2)</f>
        <v>0</v>
      </c>
      <c r="P607" s="82">
        <f>O607+'BM 011'!P607</f>
        <v>0</v>
      </c>
      <c r="Q607" s="82">
        <f>TRUNC(K607*P607,2)</f>
        <v>0</v>
      </c>
      <c r="R607" s="82">
        <f>TRUNC(E607*M607,2)</f>
        <v>0</v>
      </c>
      <c r="S607" s="82">
        <f>TRUNC(F607*$M607,2)</f>
        <v>0</v>
      </c>
      <c r="T607" s="82">
        <f>S607-P607</f>
        <v>0</v>
      </c>
    </row>
    <row r="608" spans="2:22" s="34" customFormat="1" ht="46.2">
      <c r="B608" s="298" t="s">
        <v>1773</v>
      </c>
      <c r="C608" s="299" t="s">
        <v>1774</v>
      </c>
      <c r="D608" s="309" t="s">
        <v>79</v>
      </c>
      <c r="E608" s="93"/>
      <c r="F608" s="93">
        <v>92.75</v>
      </c>
      <c r="G608" s="79"/>
      <c r="H608" s="79"/>
      <c r="I608" s="79"/>
      <c r="J608" s="79">
        <f>SUM(H608:I608)+'BM 011'!J608</f>
        <v>92.75</v>
      </c>
      <c r="K608" s="79">
        <f t="shared" si="272"/>
        <v>0</v>
      </c>
      <c r="L608" s="84"/>
      <c r="M608" s="81">
        <v>0.76056006600000003</v>
      </c>
      <c r="N608" s="82">
        <f>TRUNC(G608*M608,2)</f>
        <v>0</v>
      </c>
      <c r="O608" s="82">
        <f>TRUNC(H608*M608,2)</f>
        <v>0</v>
      </c>
      <c r="P608" s="82">
        <f>O608+'BM 011'!P608</f>
        <v>70.540000000000006</v>
      </c>
      <c r="Q608" s="82">
        <f>TRUNC(K608*P608,2)</f>
        <v>0</v>
      </c>
      <c r="R608" s="82">
        <f>TRUNC(E608*M608,2)</f>
        <v>0</v>
      </c>
      <c r="S608" s="82">
        <f>TRUNC(F608*$M608,2)</f>
        <v>70.540000000000006</v>
      </c>
      <c r="T608" s="82">
        <f>S608-P608</f>
        <v>0</v>
      </c>
    </row>
    <row r="609" spans="2:20" s="34" customFormat="1" ht="13.2">
      <c r="B609" s="66" t="s">
        <v>1775</v>
      </c>
      <c r="C609" s="67" t="s">
        <v>1776</v>
      </c>
      <c r="D609" s="68"/>
      <c r="E609" s="69"/>
      <c r="F609" s="69"/>
      <c r="G609" s="70"/>
      <c r="H609" s="70"/>
      <c r="I609" s="70"/>
      <c r="J609" s="70">
        <f>SUM(H609:I609)+'BM 011'!J609</f>
        <v>0</v>
      </c>
      <c r="K609" s="70">
        <f t="shared" si="272"/>
        <v>0</v>
      </c>
      <c r="L609" s="308"/>
      <c r="M609" s="72">
        <v>0</v>
      </c>
      <c r="N609" s="73">
        <f t="shared" ref="N609:T609" si="274">SUM(N610:N620)</f>
        <v>0</v>
      </c>
      <c r="O609" s="73">
        <f t="shared" si="274"/>
        <v>0</v>
      </c>
      <c r="P609" s="73">
        <f t="shared" si="274"/>
        <v>77985.34</v>
      </c>
      <c r="Q609" s="73">
        <f t="shared" si="274"/>
        <v>0</v>
      </c>
      <c r="R609" s="73">
        <f t="shared" si="274"/>
        <v>0</v>
      </c>
      <c r="S609" s="73">
        <f t="shared" si="274"/>
        <v>77985.34</v>
      </c>
      <c r="T609" s="73">
        <f t="shared" si="274"/>
        <v>0</v>
      </c>
    </row>
    <row r="610" spans="2:20" s="34" customFormat="1" ht="46.2">
      <c r="B610" s="298" t="s">
        <v>1777</v>
      </c>
      <c r="C610" s="299" t="s">
        <v>1778</v>
      </c>
      <c r="D610" s="300" t="s">
        <v>169</v>
      </c>
      <c r="E610" s="93"/>
      <c r="F610" s="93">
        <v>5.0298749999999997</v>
      </c>
      <c r="G610" s="79"/>
      <c r="H610" s="79"/>
      <c r="I610" s="79"/>
      <c r="J610" s="79">
        <f>SUM(H610:I610)+'BM 011'!J610</f>
        <v>5.0298749999999997</v>
      </c>
      <c r="K610" s="79">
        <f t="shared" si="272"/>
        <v>0</v>
      </c>
      <c r="L610" s="84"/>
      <c r="M610" s="81">
        <v>56.243416880700003</v>
      </c>
      <c r="N610" s="82">
        <f t="shared" ref="N610:N620" si="275">TRUNC(G610*M610,2)</f>
        <v>0</v>
      </c>
      <c r="O610" s="82">
        <f t="shared" ref="O610:O620" si="276">TRUNC(H610*M610,2)</f>
        <v>0</v>
      </c>
      <c r="P610" s="82">
        <f>O610+'BM 011'!P610</f>
        <v>282.89</v>
      </c>
      <c r="Q610" s="82">
        <f t="shared" ref="Q610:Q620" si="277">TRUNC(K610*P610,2)</f>
        <v>0</v>
      </c>
      <c r="R610" s="82">
        <f t="shared" ref="R610:R620" si="278">TRUNC(E610*M610,2)</f>
        <v>0</v>
      </c>
      <c r="S610" s="82">
        <f t="shared" ref="S610:S620" si="279">TRUNC(F610*$M610,2)</f>
        <v>282.89</v>
      </c>
      <c r="T610" s="82">
        <f t="shared" ref="T610:T620" si="280">S610-P610</f>
        <v>0</v>
      </c>
    </row>
    <row r="611" spans="2:20" s="34" customFormat="1" ht="46.2">
      <c r="B611" s="298" t="s">
        <v>1779</v>
      </c>
      <c r="C611" s="299" t="s">
        <v>1780</v>
      </c>
      <c r="D611" s="300" t="s">
        <v>169</v>
      </c>
      <c r="E611" s="93"/>
      <c r="F611" s="93">
        <v>12.16935</v>
      </c>
      <c r="G611" s="79"/>
      <c r="H611" s="79"/>
      <c r="I611" s="79"/>
      <c r="J611" s="79">
        <f>SUM(H611:I611)+'BM 011'!J611</f>
        <v>12.16935</v>
      </c>
      <c r="K611" s="79">
        <f t="shared" si="272"/>
        <v>0</v>
      </c>
      <c r="L611" s="84"/>
      <c r="M611" s="81">
        <v>1205.1074245770001</v>
      </c>
      <c r="N611" s="82">
        <f t="shared" si="275"/>
        <v>0</v>
      </c>
      <c r="O611" s="82">
        <f t="shared" si="276"/>
        <v>0</v>
      </c>
      <c r="P611" s="82">
        <f>O611+'BM 011'!P611</f>
        <v>14665.37</v>
      </c>
      <c r="Q611" s="82">
        <f t="shared" si="277"/>
        <v>0</v>
      </c>
      <c r="R611" s="82">
        <f t="shared" si="278"/>
        <v>0</v>
      </c>
      <c r="S611" s="82">
        <f t="shared" si="279"/>
        <v>14665.37</v>
      </c>
      <c r="T611" s="82">
        <f t="shared" si="280"/>
        <v>0</v>
      </c>
    </row>
    <row r="612" spans="2:20" s="34" customFormat="1" ht="46.2">
      <c r="B612" s="298" t="s">
        <v>1781</v>
      </c>
      <c r="C612" s="299" t="s">
        <v>1782</v>
      </c>
      <c r="D612" s="300" t="s">
        <v>152</v>
      </c>
      <c r="E612" s="93"/>
      <c r="F612" s="93">
        <v>0</v>
      </c>
      <c r="G612" s="79"/>
      <c r="H612" s="79"/>
      <c r="I612" s="79"/>
      <c r="J612" s="79">
        <f>SUM(H612:I612)+'BM 011'!J612</f>
        <v>0</v>
      </c>
      <c r="K612" s="79">
        <f t="shared" si="272"/>
        <v>0</v>
      </c>
      <c r="L612" s="84"/>
      <c r="M612" s="81">
        <v>0</v>
      </c>
      <c r="N612" s="82">
        <f t="shared" si="275"/>
        <v>0</v>
      </c>
      <c r="O612" s="82">
        <f t="shared" si="276"/>
        <v>0</v>
      </c>
      <c r="P612" s="82">
        <f>O612+'BM 011'!P612</f>
        <v>0</v>
      </c>
      <c r="Q612" s="82">
        <f t="shared" si="277"/>
        <v>0</v>
      </c>
      <c r="R612" s="82">
        <f t="shared" si="278"/>
        <v>0</v>
      </c>
      <c r="S612" s="82">
        <f t="shared" si="279"/>
        <v>0</v>
      </c>
      <c r="T612" s="82">
        <f t="shared" si="280"/>
        <v>0</v>
      </c>
    </row>
    <row r="613" spans="2:20" s="34" customFormat="1" ht="46.2">
      <c r="B613" s="298" t="s">
        <v>1783</v>
      </c>
      <c r="C613" s="299" t="s">
        <v>1784</v>
      </c>
      <c r="D613" s="300" t="s">
        <v>152</v>
      </c>
      <c r="E613" s="93"/>
      <c r="F613" s="93">
        <v>158.22</v>
      </c>
      <c r="G613" s="79"/>
      <c r="H613" s="79"/>
      <c r="I613" s="79"/>
      <c r="J613" s="79">
        <f>SUM(H613:I613)+'BM 011'!J613</f>
        <v>158.22</v>
      </c>
      <c r="K613" s="79">
        <f t="shared" si="272"/>
        <v>0</v>
      </c>
      <c r="L613" s="84"/>
      <c r="M613" s="81">
        <v>30.523810648800001</v>
      </c>
      <c r="N613" s="82">
        <f t="shared" si="275"/>
        <v>0</v>
      </c>
      <c r="O613" s="82">
        <f t="shared" si="276"/>
        <v>0</v>
      </c>
      <c r="P613" s="82">
        <f>O613+'BM 011'!P613</f>
        <v>4829.47</v>
      </c>
      <c r="Q613" s="82">
        <f t="shared" si="277"/>
        <v>0</v>
      </c>
      <c r="R613" s="82">
        <f t="shared" si="278"/>
        <v>0</v>
      </c>
      <c r="S613" s="82">
        <f t="shared" si="279"/>
        <v>4829.47</v>
      </c>
      <c r="T613" s="82">
        <f t="shared" si="280"/>
        <v>0</v>
      </c>
    </row>
    <row r="614" spans="2:20" s="34" customFormat="1" ht="46.2">
      <c r="B614" s="298" t="s">
        <v>1785</v>
      </c>
      <c r="C614" s="299" t="s">
        <v>1786</v>
      </c>
      <c r="D614" s="300" t="s">
        <v>152</v>
      </c>
      <c r="E614" s="93"/>
      <c r="F614" s="93">
        <v>65.63</v>
      </c>
      <c r="G614" s="79"/>
      <c r="H614" s="79"/>
      <c r="I614" s="79"/>
      <c r="J614" s="79">
        <f>SUM(H614:I614)+'BM 011'!J614</f>
        <v>65.63</v>
      </c>
      <c r="K614" s="79">
        <f t="shared" si="272"/>
        <v>0</v>
      </c>
      <c r="L614" s="84"/>
      <c r="M614" s="81">
        <v>28.1153704398</v>
      </c>
      <c r="N614" s="82">
        <f t="shared" si="275"/>
        <v>0</v>
      </c>
      <c r="O614" s="82">
        <f t="shared" si="276"/>
        <v>0</v>
      </c>
      <c r="P614" s="82">
        <f>O614+'BM 011'!P614</f>
        <v>1845.21</v>
      </c>
      <c r="Q614" s="82">
        <f t="shared" si="277"/>
        <v>0</v>
      </c>
      <c r="R614" s="82">
        <f t="shared" si="278"/>
        <v>0</v>
      </c>
      <c r="S614" s="82">
        <f t="shared" si="279"/>
        <v>1845.21</v>
      </c>
      <c r="T614" s="82">
        <f t="shared" si="280"/>
        <v>0</v>
      </c>
    </row>
    <row r="615" spans="2:20" s="34" customFormat="1" ht="46.2">
      <c r="B615" s="298" t="s">
        <v>1787</v>
      </c>
      <c r="C615" s="299" t="s">
        <v>1788</v>
      </c>
      <c r="D615" s="300" t="s">
        <v>152</v>
      </c>
      <c r="E615" s="93"/>
      <c r="F615" s="93">
        <v>115.01</v>
      </c>
      <c r="G615" s="79"/>
      <c r="H615" s="79"/>
      <c r="I615" s="79"/>
      <c r="J615" s="79">
        <f>SUM(H615:I615)+'BM 011'!J615</f>
        <v>115.01</v>
      </c>
      <c r="K615" s="79">
        <f t="shared" si="272"/>
        <v>0</v>
      </c>
      <c r="L615" s="84"/>
      <c r="M615" s="81">
        <v>25.706930230800001</v>
      </c>
      <c r="N615" s="82">
        <f t="shared" si="275"/>
        <v>0</v>
      </c>
      <c r="O615" s="82">
        <f t="shared" si="276"/>
        <v>0</v>
      </c>
      <c r="P615" s="82">
        <f>O615+'BM 011'!P615</f>
        <v>2956.55</v>
      </c>
      <c r="Q615" s="82">
        <f t="shared" si="277"/>
        <v>0</v>
      </c>
      <c r="R615" s="82">
        <f t="shared" si="278"/>
        <v>0</v>
      </c>
      <c r="S615" s="82">
        <f t="shared" si="279"/>
        <v>2956.55</v>
      </c>
      <c r="T615" s="82">
        <f t="shared" si="280"/>
        <v>0</v>
      </c>
    </row>
    <row r="616" spans="2:20" s="34" customFormat="1" ht="46.2">
      <c r="B616" s="298" t="s">
        <v>1789</v>
      </c>
      <c r="C616" s="299" t="s">
        <v>1790</v>
      </c>
      <c r="D616" s="300" t="s">
        <v>152</v>
      </c>
      <c r="E616" s="93"/>
      <c r="F616" s="93">
        <v>234.29</v>
      </c>
      <c r="G616" s="79"/>
      <c r="H616" s="79"/>
      <c r="I616" s="79"/>
      <c r="J616" s="79">
        <f>SUM(H616:I616)+'BM 011'!J616</f>
        <v>234.29</v>
      </c>
      <c r="K616" s="79">
        <f t="shared" si="272"/>
        <v>0</v>
      </c>
      <c r="L616" s="84"/>
      <c r="M616" s="81">
        <v>23.298490021799999</v>
      </c>
      <c r="N616" s="82">
        <f t="shared" si="275"/>
        <v>0</v>
      </c>
      <c r="O616" s="82">
        <f t="shared" si="276"/>
        <v>0</v>
      </c>
      <c r="P616" s="82">
        <f>O616+'BM 011'!P616</f>
        <v>5458.6</v>
      </c>
      <c r="Q616" s="82">
        <f t="shared" si="277"/>
        <v>0</v>
      </c>
      <c r="R616" s="82">
        <f t="shared" si="278"/>
        <v>0</v>
      </c>
      <c r="S616" s="82">
        <f t="shared" si="279"/>
        <v>5458.6</v>
      </c>
      <c r="T616" s="82">
        <f t="shared" si="280"/>
        <v>0</v>
      </c>
    </row>
    <row r="617" spans="2:20" s="34" customFormat="1" ht="34.799999999999997">
      <c r="B617" s="298" t="s">
        <v>1791</v>
      </c>
      <c r="C617" s="299" t="s">
        <v>1792</v>
      </c>
      <c r="D617" s="309" t="s">
        <v>79</v>
      </c>
      <c r="E617" s="93"/>
      <c r="F617" s="93">
        <v>76</v>
      </c>
      <c r="G617" s="79"/>
      <c r="H617" s="79"/>
      <c r="I617" s="79"/>
      <c r="J617" s="79">
        <f>SUM(H617:I617)+'BM 011'!J617</f>
        <v>76</v>
      </c>
      <c r="K617" s="79">
        <f t="shared" si="272"/>
        <v>0</v>
      </c>
      <c r="L617" s="84"/>
      <c r="M617" s="81">
        <v>133.97</v>
      </c>
      <c r="N617" s="82">
        <f t="shared" si="275"/>
        <v>0</v>
      </c>
      <c r="O617" s="82">
        <f t="shared" si="276"/>
        <v>0</v>
      </c>
      <c r="P617" s="82">
        <f>O617+'BM 011'!P617</f>
        <v>10181.719999999999</v>
      </c>
      <c r="Q617" s="82">
        <f t="shared" si="277"/>
        <v>0</v>
      </c>
      <c r="R617" s="82">
        <f t="shared" si="278"/>
        <v>0</v>
      </c>
      <c r="S617" s="82">
        <f t="shared" si="279"/>
        <v>10181.719999999999</v>
      </c>
      <c r="T617" s="82">
        <f t="shared" si="280"/>
        <v>0</v>
      </c>
    </row>
    <row r="618" spans="2:20" s="34" customFormat="1" ht="46.2">
      <c r="B618" s="298" t="s">
        <v>1793</v>
      </c>
      <c r="C618" s="299" t="s">
        <v>219</v>
      </c>
      <c r="D618" s="300" t="s">
        <v>79</v>
      </c>
      <c r="E618" s="93"/>
      <c r="F618" s="93">
        <v>81.87</v>
      </c>
      <c r="G618" s="79"/>
      <c r="H618" s="79"/>
      <c r="I618" s="79"/>
      <c r="J618" s="79">
        <f>SUM(H618:I618)+'BM 011'!J618</f>
        <v>81.87</v>
      </c>
      <c r="K618" s="79">
        <f t="shared" si="272"/>
        <v>0</v>
      </c>
      <c r="L618" s="84"/>
      <c r="M618" s="81">
        <v>76.056006600000003</v>
      </c>
      <c r="N618" s="82">
        <f t="shared" si="275"/>
        <v>0</v>
      </c>
      <c r="O618" s="82">
        <f t="shared" si="276"/>
        <v>0</v>
      </c>
      <c r="P618" s="82">
        <f>O618+'BM 011'!P618</f>
        <v>6226.7</v>
      </c>
      <c r="Q618" s="82">
        <f t="shared" si="277"/>
        <v>0</v>
      </c>
      <c r="R618" s="82">
        <f t="shared" si="278"/>
        <v>0</v>
      </c>
      <c r="S618" s="82">
        <f t="shared" si="279"/>
        <v>6226.7</v>
      </c>
      <c r="T618" s="82">
        <f t="shared" si="280"/>
        <v>0</v>
      </c>
    </row>
    <row r="619" spans="2:20" s="34" customFormat="1" ht="34.799999999999997">
      <c r="B619" s="298" t="s">
        <v>1794</v>
      </c>
      <c r="C619" s="299" t="s">
        <v>196</v>
      </c>
      <c r="D619" s="300" t="s">
        <v>79</v>
      </c>
      <c r="E619" s="93"/>
      <c r="F619" s="93">
        <v>78.67</v>
      </c>
      <c r="G619" s="79"/>
      <c r="H619" s="79"/>
      <c r="I619" s="79"/>
      <c r="J619" s="79">
        <f>SUM(H619:I619)+'BM 011'!J619</f>
        <v>78.67</v>
      </c>
      <c r="K619" s="79">
        <f t="shared" si="272"/>
        <v>0</v>
      </c>
      <c r="L619" s="84"/>
      <c r="M619" s="81">
        <v>164.79</v>
      </c>
      <c r="N619" s="82">
        <f t="shared" si="275"/>
        <v>0</v>
      </c>
      <c r="O619" s="82">
        <f t="shared" si="276"/>
        <v>0</v>
      </c>
      <c r="P619" s="82">
        <f>O619+'BM 011'!P619</f>
        <v>12964.02</v>
      </c>
      <c r="Q619" s="82">
        <f t="shared" si="277"/>
        <v>0</v>
      </c>
      <c r="R619" s="82">
        <f t="shared" si="278"/>
        <v>0</v>
      </c>
      <c r="S619" s="82">
        <f t="shared" si="279"/>
        <v>12964.02</v>
      </c>
      <c r="T619" s="82">
        <f t="shared" si="280"/>
        <v>0</v>
      </c>
    </row>
    <row r="620" spans="2:20" s="34" customFormat="1" ht="46.2">
      <c r="B620" s="298" t="s">
        <v>1795</v>
      </c>
      <c r="C620" s="299" t="s">
        <v>1796</v>
      </c>
      <c r="D620" s="309" t="s">
        <v>79</v>
      </c>
      <c r="E620" s="93"/>
      <c r="F620" s="93">
        <v>91.38</v>
      </c>
      <c r="G620" s="79"/>
      <c r="H620" s="79"/>
      <c r="I620" s="79"/>
      <c r="J620" s="79">
        <f>SUM(H620:I620)+'BM 011'!J620</f>
        <v>91.38</v>
      </c>
      <c r="K620" s="79">
        <f t="shared" si="272"/>
        <v>0</v>
      </c>
      <c r="L620" s="84"/>
      <c r="M620" s="81">
        <v>203.27</v>
      </c>
      <c r="N620" s="82">
        <f t="shared" si="275"/>
        <v>0</v>
      </c>
      <c r="O620" s="82">
        <f t="shared" si="276"/>
        <v>0</v>
      </c>
      <c r="P620" s="82">
        <f>O620+'BM 011'!P620</f>
        <v>18574.810000000001</v>
      </c>
      <c r="Q620" s="82">
        <f t="shared" si="277"/>
        <v>0</v>
      </c>
      <c r="R620" s="82">
        <f t="shared" si="278"/>
        <v>0</v>
      </c>
      <c r="S620" s="82">
        <f t="shared" si="279"/>
        <v>18574.810000000001</v>
      </c>
      <c r="T620" s="82">
        <f t="shared" si="280"/>
        <v>0</v>
      </c>
    </row>
    <row r="621" spans="2:20" s="34" customFormat="1" ht="13.2">
      <c r="B621" s="66" t="s">
        <v>1797</v>
      </c>
      <c r="C621" s="67" t="s">
        <v>1798</v>
      </c>
      <c r="D621" s="68"/>
      <c r="E621" s="69"/>
      <c r="F621" s="69">
        <v>0</v>
      </c>
      <c r="G621" s="70"/>
      <c r="H621" s="70"/>
      <c r="I621" s="70"/>
      <c r="J621" s="70">
        <f>SUM(H621:I621)+'BM 011'!J621</f>
        <v>0</v>
      </c>
      <c r="K621" s="70">
        <f t="shared" si="272"/>
        <v>0</v>
      </c>
      <c r="L621" s="308"/>
      <c r="M621" s="72">
        <v>0</v>
      </c>
      <c r="N621" s="73">
        <f t="shared" ref="N621:T621" si="281">SUM(N622:N624)</f>
        <v>0</v>
      </c>
      <c r="O621" s="73">
        <f t="shared" si="281"/>
        <v>0</v>
      </c>
      <c r="P621" s="73">
        <f t="shared" si="281"/>
        <v>29544.13</v>
      </c>
      <c r="Q621" s="73">
        <f t="shared" si="281"/>
        <v>0</v>
      </c>
      <c r="R621" s="73">
        <f t="shared" si="281"/>
        <v>0</v>
      </c>
      <c r="S621" s="73">
        <f t="shared" si="281"/>
        <v>29544.13</v>
      </c>
      <c r="T621" s="73">
        <f t="shared" si="281"/>
        <v>0</v>
      </c>
    </row>
    <row r="622" spans="2:20" s="34" customFormat="1" ht="57.6">
      <c r="B622" s="298" t="s">
        <v>1799</v>
      </c>
      <c r="C622" s="299" t="s">
        <v>1800</v>
      </c>
      <c r="D622" s="300" t="s">
        <v>79</v>
      </c>
      <c r="E622" s="93"/>
      <c r="F622" s="93">
        <v>205.53</v>
      </c>
      <c r="G622" s="79"/>
      <c r="H622" s="79"/>
      <c r="I622" s="79"/>
      <c r="J622" s="79">
        <f>SUM(H622:I622)+'BM 011'!J622</f>
        <v>205.53</v>
      </c>
      <c r="K622" s="79">
        <f t="shared" si="272"/>
        <v>0</v>
      </c>
      <c r="L622" s="84"/>
      <c r="M622" s="81">
        <v>127.73606308470001</v>
      </c>
      <c r="N622" s="82">
        <f>TRUNC(G622*M622,2)</f>
        <v>0</v>
      </c>
      <c r="O622" s="82">
        <f>TRUNC(H622*M622,2)</f>
        <v>0</v>
      </c>
      <c r="P622" s="82">
        <f>O622+'BM 011'!P622</f>
        <v>26253.59</v>
      </c>
      <c r="Q622" s="82">
        <f>TRUNC(K622*P622,2)</f>
        <v>0</v>
      </c>
      <c r="R622" s="82">
        <f>TRUNC(E622*M622,2)</f>
        <v>0</v>
      </c>
      <c r="S622" s="82">
        <f>TRUNC(F622*$M622,2)</f>
        <v>26253.59</v>
      </c>
      <c r="T622" s="82">
        <f>S622-P622</f>
        <v>0</v>
      </c>
    </row>
    <row r="623" spans="2:20" s="34" customFormat="1" ht="46.2">
      <c r="B623" s="298" t="s">
        <v>1801</v>
      </c>
      <c r="C623" s="299" t="s">
        <v>1802</v>
      </c>
      <c r="D623" s="309" t="s">
        <v>79</v>
      </c>
      <c r="E623" s="93"/>
      <c r="F623" s="93">
        <v>8.64</v>
      </c>
      <c r="G623" s="79"/>
      <c r="H623" s="79"/>
      <c r="I623" s="79"/>
      <c r="J623" s="79">
        <f>SUM(H623:I623)+'BM 011'!J623</f>
        <v>8.64</v>
      </c>
      <c r="K623" s="79">
        <f t="shared" si="272"/>
        <v>0</v>
      </c>
      <c r="L623" s="84"/>
      <c r="M623" s="81">
        <v>282.26</v>
      </c>
      <c r="N623" s="82">
        <f>TRUNC(G623*M623,2)</f>
        <v>0</v>
      </c>
      <c r="O623" s="82">
        <f>TRUNC(H623*M623,2)</f>
        <v>0</v>
      </c>
      <c r="P623" s="82">
        <f>O623+'BM 011'!P623</f>
        <v>2438.7199999999998</v>
      </c>
      <c r="Q623" s="82">
        <f>TRUNC(K623*P623,2)</f>
        <v>0</v>
      </c>
      <c r="R623" s="82">
        <f>TRUNC(E623*M623,2)</f>
        <v>0</v>
      </c>
      <c r="S623" s="82">
        <f>TRUNC(F623*$M623,2)</f>
        <v>2438.7199999999998</v>
      </c>
      <c r="T623" s="82">
        <f>S623-P623</f>
        <v>0</v>
      </c>
    </row>
    <row r="624" spans="2:20" s="34" customFormat="1" ht="23.4">
      <c r="B624" s="298" t="s">
        <v>1803</v>
      </c>
      <c r="C624" s="299" t="s">
        <v>270</v>
      </c>
      <c r="D624" s="300" t="s">
        <v>124</v>
      </c>
      <c r="E624" s="93"/>
      <c r="F624" s="93">
        <v>9.6</v>
      </c>
      <c r="G624" s="79"/>
      <c r="H624" s="79"/>
      <c r="I624" s="79"/>
      <c r="J624" s="79">
        <f>SUM(H624:I624)+'BM 011'!J624</f>
        <v>9.6</v>
      </c>
      <c r="K624" s="79">
        <f t="shared" si="272"/>
        <v>0</v>
      </c>
      <c r="L624" s="84"/>
      <c r="M624" s="81">
        <v>88.732007699999997</v>
      </c>
      <c r="N624" s="82">
        <f>TRUNC(G624*M624,2)</f>
        <v>0</v>
      </c>
      <c r="O624" s="82">
        <f>TRUNC(H624*M624,2)</f>
        <v>0</v>
      </c>
      <c r="P624" s="82">
        <f>O624+'BM 011'!P624</f>
        <v>851.82</v>
      </c>
      <c r="Q624" s="82">
        <f>TRUNC(K624*P624,2)</f>
        <v>0</v>
      </c>
      <c r="R624" s="82">
        <f>TRUNC(E624*M624,2)</f>
        <v>0</v>
      </c>
      <c r="S624" s="82">
        <f>TRUNC(F624*$M624,2)</f>
        <v>851.82</v>
      </c>
      <c r="T624" s="82">
        <f>S624-P624</f>
        <v>0</v>
      </c>
    </row>
    <row r="625" spans="2:20" s="34" customFormat="1" ht="13.2">
      <c r="B625" s="66" t="s">
        <v>1804</v>
      </c>
      <c r="C625" s="67" t="s">
        <v>1805</v>
      </c>
      <c r="D625" s="68"/>
      <c r="E625" s="69"/>
      <c r="F625" s="69"/>
      <c r="G625" s="70"/>
      <c r="H625" s="70"/>
      <c r="I625" s="70"/>
      <c r="J625" s="70">
        <f>SUM(H625:I625)+'BM 011'!J625</f>
        <v>0</v>
      </c>
      <c r="K625" s="70">
        <f t="shared" si="272"/>
        <v>0</v>
      </c>
      <c r="L625" s="308"/>
      <c r="M625" s="72">
        <v>0</v>
      </c>
      <c r="N625" s="73">
        <f t="shared" ref="N625:T625" si="282">SUM(N626:N631)</f>
        <v>0</v>
      </c>
      <c r="O625" s="73">
        <f t="shared" si="282"/>
        <v>0</v>
      </c>
      <c r="P625" s="73">
        <f t="shared" si="282"/>
        <v>1953.23</v>
      </c>
      <c r="Q625" s="73">
        <f t="shared" si="282"/>
        <v>0</v>
      </c>
      <c r="R625" s="73">
        <f t="shared" si="282"/>
        <v>0</v>
      </c>
      <c r="S625" s="73">
        <f t="shared" si="282"/>
        <v>3747.3199999999997</v>
      </c>
      <c r="T625" s="73">
        <f t="shared" si="282"/>
        <v>1794.0900000000001</v>
      </c>
    </row>
    <row r="626" spans="2:20" s="34" customFormat="1" ht="34.799999999999997">
      <c r="B626" s="298" t="s">
        <v>1806</v>
      </c>
      <c r="C626" s="299" t="s">
        <v>1807</v>
      </c>
      <c r="D626" s="309" t="s">
        <v>63</v>
      </c>
      <c r="E626" s="93"/>
      <c r="F626" s="93">
        <v>1</v>
      </c>
      <c r="G626" s="79"/>
      <c r="H626" s="79"/>
      <c r="I626" s="79"/>
      <c r="J626" s="79">
        <f>SUM(H626:I626)+'BM 011'!J626</f>
        <v>1</v>
      </c>
      <c r="K626" s="79">
        <f t="shared" si="272"/>
        <v>0</v>
      </c>
      <c r="L626" s="84"/>
      <c r="M626" s="81">
        <v>90.86</v>
      </c>
      <c r="N626" s="82">
        <f t="shared" ref="N626:N631" si="283">TRUNC(G626*M626,2)</f>
        <v>0</v>
      </c>
      <c r="O626" s="82">
        <f t="shared" ref="O626:O631" si="284">TRUNC(H626*M626,2)</f>
        <v>0</v>
      </c>
      <c r="P626" s="82">
        <f>O626+'BM 011'!P626</f>
        <v>90.86</v>
      </c>
      <c r="Q626" s="82">
        <f t="shared" ref="Q626:Q631" si="285">TRUNC(K626*P626,2)</f>
        <v>0</v>
      </c>
      <c r="R626" s="82">
        <f t="shared" ref="R626:R631" si="286">TRUNC(E626*M626,2)</f>
        <v>0</v>
      </c>
      <c r="S626" s="82">
        <f t="shared" ref="S626:S631" si="287">TRUNC(F626*$M626,2)</f>
        <v>90.86</v>
      </c>
      <c r="T626" s="82">
        <f t="shared" ref="T626:T631" si="288">S626-P626</f>
        <v>0</v>
      </c>
    </row>
    <row r="627" spans="2:20" s="34" customFormat="1" ht="23.4">
      <c r="B627" s="298" t="s">
        <v>1808</v>
      </c>
      <c r="C627" s="299" t="s">
        <v>1809</v>
      </c>
      <c r="D627" s="309" t="s">
        <v>63</v>
      </c>
      <c r="E627" s="93"/>
      <c r="F627" s="93">
        <v>5</v>
      </c>
      <c r="G627" s="79"/>
      <c r="H627" s="79"/>
      <c r="I627" s="79"/>
      <c r="J627" s="79">
        <f>SUM(H627:I627)+'BM 011'!J627</f>
        <v>5</v>
      </c>
      <c r="K627" s="79">
        <f t="shared" si="272"/>
        <v>0</v>
      </c>
      <c r="L627" s="84"/>
      <c r="M627" s="81">
        <v>141.1</v>
      </c>
      <c r="N627" s="82">
        <f t="shared" si="283"/>
        <v>0</v>
      </c>
      <c r="O627" s="82">
        <f t="shared" si="284"/>
        <v>0</v>
      </c>
      <c r="P627" s="82">
        <f>O627+'BM 011'!P627</f>
        <v>705.5</v>
      </c>
      <c r="Q627" s="82">
        <f t="shared" si="285"/>
        <v>0</v>
      </c>
      <c r="R627" s="82">
        <f t="shared" si="286"/>
        <v>0</v>
      </c>
      <c r="S627" s="82">
        <f t="shared" si="287"/>
        <v>705.5</v>
      </c>
      <c r="T627" s="82">
        <f t="shared" si="288"/>
        <v>0</v>
      </c>
    </row>
    <row r="628" spans="2:20" s="34" customFormat="1" ht="46.2">
      <c r="B628" s="298" t="s">
        <v>1810</v>
      </c>
      <c r="C628" s="299" t="s">
        <v>1811</v>
      </c>
      <c r="D628" s="300" t="s">
        <v>131</v>
      </c>
      <c r="E628" s="93"/>
      <c r="F628" s="93">
        <v>3</v>
      </c>
      <c r="G628" s="79"/>
      <c r="H628" s="79"/>
      <c r="I628" s="79"/>
      <c r="J628" s="79">
        <f>SUM(H628:I628)+'BM 011'!J628</f>
        <v>3</v>
      </c>
      <c r="K628" s="79">
        <f t="shared" si="272"/>
        <v>0</v>
      </c>
      <c r="L628" s="84"/>
      <c r="M628" s="81">
        <v>64.267325576999994</v>
      </c>
      <c r="N628" s="82">
        <f t="shared" si="283"/>
        <v>0</v>
      </c>
      <c r="O628" s="82">
        <f t="shared" si="284"/>
        <v>0</v>
      </c>
      <c r="P628" s="82">
        <f>O628+'BM 011'!P628</f>
        <v>192.8</v>
      </c>
      <c r="Q628" s="82">
        <f t="shared" si="285"/>
        <v>0</v>
      </c>
      <c r="R628" s="82">
        <f t="shared" si="286"/>
        <v>0</v>
      </c>
      <c r="S628" s="82">
        <f t="shared" si="287"/>
        <v>192.8</v>
      </c>
      <c r="T628" s="82">
        <f t="shared" si="288"/>
        <v>0</v>
      </c>
    </row>
    <row r="629" spans="2:20" s="34" customFormat="1" ht="23.4">
      <c r="B629" s="298" t="s">
        <v>1812</v>
      </c>
      <c r="C629" s="299" t="s">
        <v>1813</v>
      </c>
      <c r="D629" s="300" t="s">
        <v>63</v>
      </c>
      <c r="E629" s="93"/>
      <c r="F629" s="93">
        <v>5</v>
      </c>
      <c r="G629" s="79"/>
      <c r="H629" s="79"/>
      <c r="I629" s="79"/>
      <c r="J629" s="79">
        <f>SUM(H629:I629)+'BM 011'!J629</f>
        <v>5</v>
      </c>
      <c r="K629" s="79">
        <f t="shared" si="272"/>
        <v>0</v>
      </c>
      <c r="L629" s="84"/>
      <c r="M629" s="81">
        <v>192.8146527321</v>
      </c>
      <c r="N629" s="82">
        <f t="shared" si="283"/>
        <v>0</v>
      </c>
      <c r="O629" s="82">
        <f t="shared" si="284"/>
        <v>0</v>
      </c>
      <c r="P629" s="82">
        <f>O629+'BM 011'!P629</f>
        <v>964.07</v>
      </c>
      <c r="Q629" s="82">
        <f t="shared" si="285"/>
        <v>0</v>
      </c>
      <c r="R629" s="82">
        <f t="shared" si="286"/>
        <v>0</v>
      </c>
      <c r="S629" s="82">
        <f t="shared" si="287"/>
        <v>964.07</v>
      </c>
      <c r="T629" s="82">
        <f t="shared" si="288"/>
        <v>0</v>
      </c>
    </row>
    <row r="630" spans="2:20" s="34" customFormat="1" ht="34.799999999999997">
      <c r="B630" s="298" t="s">
        <v>1814</v>
      </c>
      <c r="C630" s="299" t="s">
        <v>1815</v>
      </c>
      <c r="D630" s="300" t="s">
        <v>131</v>
      </c>
      <c r="E630" s="93"/>
      <c r="F630" s="93">
        <v>1</v>
      </c>
      <c r="G630" s="79"/>
      <c r="H630" s="79"/>
      <c r="I630" s="79"/>
      <c r="J630" s="79">
        <f>SUM(H630:I630)+'BM 011'!J630</f>
        <v>0</v>
      </c>
      <c r="K630" s="79">
        <f t="shared" si="272"/>
        <v>1</v>
      </c>
      <c r="L630" s="84"/>
      <c r="M630" s="81">
        <v>1172.9737617885</v>
      </c>
      <c r="N630" s="82">
        <f t="shared" si="283"/>
        <v>0</v>
      </c>
      <c r="O630" s="82">
        <f t="shared" si="284"/>
        <v>0</v>
      </c>
      <c r="P630" s="82">
        <f>O630+'BM 011'!P630</f>
        <v>0</v>
      </c>
      <c r="Q630" s="82">
        <f t="shared" si="285"/>
        <v>0</v>
      </c>
      <c r="R630" s="82">
        <f t="shared" si="286"/>
        <v>0</v>
      </c>
      <c r="S630" s="82">
        <f t="shared" si="287"/>
        <v>1172.97</v>
      </c>
      <c r="T630" s="82">
        <f t="shared" si="288"/>
        <v>1172.97</v>
      </c>
    </row>
    <row r="631" spans="2:20" s="34" customFormat="1" ht="34.799999999999997">
      <c r="B631" s="298" t="s">
        <v>1816</v>
      </c>
      <c r="C631" s="299" t="s">
        <v>1142</v>
      </c>
      <c r="D631" s="300" t="s">
        <v>63</v>
      </c>
      <c r="E631" s="93"/>
      <c r="F631" s="93">
        <v>1</v>
      </c>
      <c r="G631" s="79"/>
      <c r="H631" s="79"/>
      <c r="I631" s="79"/>
      <c r="J631" s="79">
        <f>SUM(H631:I631)+'BM 011'!J631</f>
        <v>0</v>
      </c>
      <c r="K631" s="79">
        <f t="shared" si="272"/>
        <v>1</v>
      </c>
      <c r="L631" s="84"/>
      <c r="M631" s="81">
        <v>621.12405390000004</v>
      </c>
      <c r="N631" s="82">
        <f t="shared" si="283"/>
        <v>0</v>
      </c>
      <c r="O631" s="82">
        <f t="shared" si="284"/>
        <v>0</v>
      </c>
      <c r="P631" s="82">
        <f>O631+'BM 011'!P631</f>
        <v>0</v>
      </c>
      <c r="Q631" s="82">
        <f t="shared" si="285"/>
        <v>0</v>
      </c>
      <c r="R631" s="82">
        <f t="shared" si="286"/>
        <v>0</v>
      </c>
      <c r="S631" s="82">
        <f t="shared" si="287"/>
        <v>621.12</v>
      </c>
      <c r="T631" s="82">
        <f t="shared" si="288"/>
        <v>621.12</v>
      </c>
    </row>
    <row r="632" spans="2:20" s="34" customFormat="1" ht="13.2">
      <c r="B632" s="66" t="s">
        <v>1817</v>
      </c>
      <c r="C632" s="67" t="s">
        <v>1818</v>
      </c>
      <c r="D632" s="68"/>
      <c r="E632" s="69"/>
      <c r="F632" s="69"/>
      <c r="G632" s="70"/>
      <c r="H632" s="70"/>
      <c r="I632" s="70"/>
      <c r="J632" s="70">
        <f>SUM(H632:I632)+'BM 011'!J632</f>
        <v>0</v>
      </c>
      <c r="K632" s="70">
        <f t="shared" ref="K632:K663" si="289">F632-J632</f>
        <v>0</v>
      </c>
      <c r="L632" s="308"/>
      <c r="M632" s="72">
        <v>0</v>
      </c>
      <c r="N632" s="73">
        <f t="shared" ref="N632:T632" si="290">SUM(N633:N653)</f>
        <v>2428.9899999999998</v>
      </c>
      <c r="O632" s="73">
        <f t="shared" si="290"/>
        <v>2428.9899999999998</v>
      </c>
      <c r="P632" s="73">
        <f t="shared" si="290"/>
        <v>19547.209999999995</v>
      </c>
      <c r="Q632" s="73">
        <f t="shared" si="290"/>
        <v>0</v>
      </c>
      <c r="R632" s="73">
        <f t="shared" si="290"/>
        <v>0</v>
      </c>
      <c r="S632" s="73">
        <f t="shared" si="290"/>
        <v>20287.709999999995</v>
      </c>
      <c r="T632" s="73">
        <f t="shared" si="290"/>
        <v>740.5</v>
      </c>
    </row>
    <row r="633" spans="2:20" s="34" customFormat="1" ht="46.2">
      <c r="B633" s="298" t="s">
        <v>1819</v>
      </c>
      <c r="C633" s="299" t="s">
        <v>612</v>
      </c>
      <c r="D633" s="300" t="s">
        <v>131</v>
      </c>
      <c r="E633" s="93"/>
      <c r="F633" s="93">
        <v>4</v>
      </c>
      <c r="G633" s="79">
        <v>4</v>
      </c>
      <c r="H633" s="79">
        <f>G633</f>
        <v>4</v>
      </c>
      <c r="I633" s="79"/>
      <c r="J633" s="79">
        <f>SUM(H633:I633)+'BM 011'!J633</f>
        <v>4</v>
      </c>
      <c r="K633" s="79">
        <f t="shared" si="289"/>
        <v>0</v>
      </c>
      <c r="L633" s="84"/>
      <c r="M633" s="81">
        <v>64.272401554880503</v>
      </c>
      <c r="N633" s="82">
        <f t="shared" ref="N633:N653" si="291">TRUNC(G633*M633,2)</f>
        <v>257.08</v>
      </c>
      <c r="O633" s="82">
        <f t="shared" ref="O633:O653" si="292">TRUNC(H633*M633,2)</f>
        <v>257.08</v>
      </c>
      <c r="P633" s="82">
        <f>O633+'BM 011'!P633</f>
        <v>257.08</v>
      </c>
      <c r="Q633" s="82">
        <f t="shared" ref="Q633:Q653" si="293">TRUNC(K633*P633,2)</f>
        <v>0</v>
      </c>
      <c r="R633" s="82">
        <f t="shared" ref="R633:R653" si="294">TRUNC(E633*M633,2)</f>
        <v>0</v>
      </c>
      <c r="S633" s="82">
        <f t="shared" ref="S633:S653" si="295">TRUNC(F633*$M633,2)</f>
        <v>257.08</v>
      </c>
      <c r="T633" s="82">
        <f t="shared" ref="T633:T653" si="296">S633-P633</f>
        <v>0</v>
      </c>
    </row>
    <row r="634" spans="2:20" s="34" customFormat="1" ht="46.2">
      <c r="B634" s="298" t="s">
        <v>1820</v>
      </c>
      <c r="C634" s="299" t="s">
        <v>588</v>
      </c>
      <c r="D634" s="300" t="s">
        <v>131</v>
      </c>
      <c r="E634" s="93"/>
      <c r="F634" s="93">
        <v>4</v>
      </c>
      <c r="G634" s="79">
        <v>4</v>
      </c>
      <c r="H634" s="79">
        <f>G634</f>
        <v>4</v>
      </c>
      <c r="I634" s="79"/>
      <c r="J634" s="79">
        <f>SUM(H634:I634)+'BM 011'!J634</f>
        <v>4</v>
      </c>
      <c r="K634" s="79">
        <f t="shared" si="289"/>
        <v>0</v>
      </c>
      <c r="L634" s="84"/>
      <c r="M634" s="81">
        <v>51.417921243904402</v>
      </c>
      <c r="N634" s="82">
        <f t="shared" si="291"/>
        <v>205.67</v>
      </c>
      <c r="O634" s="82">
        <f t="shared" si="292"/>
        <v>205.67</v>
      </c>
      <c r="P634" s="82">
        <f>O634+'BM 011'!P634</f>
        <v>205.67</v>
      </c>
      <c r="Q634" s="82">
        <f t="shared" si="293"/>
        <v>0</v>
      </c>
      <c r="R634" s="82">
        <f t="shared" si="294"/>
        <v>0</v>
      </c>
      <c r="S634" s="82">
        <f t="shared" si="295"/>
        <v>205.67</v>
      </c>
      <c r="T634" s="82">
        <f t="shared" si="296"/>
        <v>0</v>
      </c>
    </row>
    <row r="635" spans="2:20" s="34" customFormat="1" ht="34.799999999999997">
      <c r="B635" s="298" t="s">
        <v>1821</v>
      </c>
      <c r="C635" s="299" t="s">
        <v>1822</v>
      </c>
      <c r="D635" s="300" t="s">
        <v>82</v>
      </c>
      <c r="E635" s="93"/>
      <c r="F635" s="93">
        <v>716</v>
      </c>
      <c r="G635" s="79"/>
      <c r="H635" s="79"/>
      <c r="I635" s="79"/>
      <c r="J635" s="79">
        <f>SUM(H635:I635)+'BM 011'!J635</f>
        <v>716</v>
      </c>
      <c r="K635" s="79">
        <f t="shared" si="289"/>
        <v>0</v>
      </c>
      <c r="L635" s="84"/>
      <c r="M635" s="81">
        <v>14.461290349848101</v>
      </c>
      <c r="N635" s="82">
        <f t="shared" si="291"/>
        <v>0</v>
      </c>
      <c r="O635" s="82">
        <f t="shared" si="292"/>
        <v>0</v>
      </c>
      <c r="P635" s="82">
        <f>O635+'BM 011'!P635</f>
        <v>10354.280000000001</v>
      </c>
      <c r="Q635" s="82">
        <f t="shared" si="293"/>
        <v>0</v>
      </c>
      <c r="R635" s="82">
        <f t="shared" si="294"/>
        <v>0</v>
      </c>
      <c r="S635" s="82">
        <f t="shared" si="295"/>
        <v>10354.280000000001</v>
      </c>
      <c r="T635" s="82">
        <f t="shared" si="296"/>
        <v>0</v>
      </c>
    </row>
    <row r="636" spans="2:20" s="34" customFormat="1" ht="23.4">
      <c r="B636" s="298" t="s">
        <v>1823</v>
      </c>
      <c r="C636" s="299" t="s">
        <v>502</v>
      </c>
      <c r="D636" s="300" t="s">
        <v>82</v>
      </c>
      <c r="E636" s="93"/>
      <c r="F636" s="93">
        <v>80</v>
      </c>
      <c r="G636" s="79"/>
      <c r="H636" s="79"/>
      <c r="I636" s="79"/>
      <c r="J636" s="79">
        <f>SUM(H636:I636)+'BM 011'!J636</f>
        <v>80</v>
      </c>
      <c r="K636" s="79">
        <f t="shared" si="289"/>
        <v>0</v>
      </c>
      <c r="L636" s="84"/>
      <c r="M636" s="81">
        <v>17.670345533399999</v>
      </c>
      <c r="N636" s="82">
        <f t="shared" si="291"/>
        <v>0</v>
      </c>
      <c r="O636" s="82">
        <f t="shared" si="292"/>
        <v>0</v>
      </c>
      <c r="P636" s="82">
        <f>O636+'BM 011'!P636</f>
        <v>1413.62</v>
      </c>
      <c r="Q636" s="82">
        <f t="shared" si="293"/>
        <v>0</v>
      </c>
      <c r="R636" s="82">
        <f t="shared" si="294"/>
        <v>0</v>
      </c>
      <c r="S636" s="82">
        <f t="shared" si="295"/>
        <v>1413.62</v>
      </c>
      <c r="T636" s="82">
        <f t="shared" si="296"/>
        <v>0</v>
      </c>
    </row>
    <row r="637" spans="2:20" s="34" customFormat="1" ht="23.4">
      <c r="B637" s="298" t="s">
        <v>1824</v>
      </c>
      <c r="C637" s="299" t="s">
        <v>1825</v>
      </c>
      <c r="D637" s="309" t="s">
        <v>63</v>
      </c>
      <c r="E637" s="93"/>
      <c r="F637" s="93">
        <v>5</v>
      </c>
      <c r="G637" s="79"/>
      <c r="H637" s="79"/>
      <c r="I637" s="79"/>
      <c r="J637" s="79">
        <f>SUM(H637:I637)+'BM 011'!J637</f>
        <v>0</v>
      </c>
      <c r="K637" s="79">
        <f t="shared" si="289"/>
        <v>5</v>
      </c>
      <c r="L637" s="84"/>
      <c r="M637" s="81">
        <v>148.1</v>
      </c>
      <c r="N637" s="82">
        <f t="shared" si="291"/>
        <v>0</v>
      </c>
      <c r="O637" s="82">
        <f t="shared" si="292"/>
        <v>0</v>
      </c>
      <c r="P637" s="82">
        <f>O637+'BM 011'!P637</f>
        <v>0</v>
      </c>
      <c r="Q637" s="82">
        <f t="shared" si="293"/>
        <v>0</v>
      </c>
      <c r="R637" s="82">
        <f t="shared" si="294"/>
        <v>0</v>
      </c>
      <c r="S637" s="82">
        <f t="shared" si="295"/>
        <v>740.5</v>
      </c>
      <c r="T637" s="82">
        <f t="shared" si="296"/>
        <v>740.5</v>
      </c>
    </row>
    <row r="638" spans="2:20" s="34" customFormat="1" ht="34.799999999999997">
      <c r="B638" s="298" t="s">
        <v>1826</v>
      </c>
      <c r="C638" s="299" t="s">
        <v>1827</v>
      </c>
      <c r="D638" s="299" t="s">
        <v>39</v>
      </c>
      <c r="E638" s="93"/>
      <c r="F638" s="93">
        <v>1</v>
      </c>
      <c r="G638" s="79"/>
      <c r="H638" s="79"/>
      <c r="I638" s="79"/>
      <c r="J638" s="79">
        <f>SUM(H638:I638)+'BM 011'!J638</f>
        <v>1</v>
      </c>
      <c r="K638" s="79">
        <f t="shared" si="289"/>
        <v>0</v>
      </c>
      <c r="L638" s="84"/>
      <c r="M638" s="81">
        <v>271.89368194625803</v>
      </c>
      <c r="N638" s="82">
        <f t="shared" si="291"/>
        <v>0</v>
      </c>
      <c r="O638" s="82">
        <f t="shared" si="292"/>
        <v>0</v>
      </c>
      <c r="P638" s="82">
        <f>O638+'BM 011'!P638</f>
        <v>271.89</v>
      </c>
      <c r="Q638" s="82">
        <f t="shared" si="293"/>
        <v>0</v>
      </c>
      <c r="R638" s="82">
        <f t="shared" si="294"/>
        <v>0</v>
      </c>
      <c r="S638" s="82">
        <f t="shared" si="295"/>
        <v>271.89</v>
      </c>
      <c r="T638" s="82">
        <f t="shared" si="296"/>
        <v>0</v>
      </c>
    </row>
    <row r="639" spans="2:20" s="34" customFormat="1" ht="13.2">
      <c r="B639" s="298" t="s">
        <v>1828</v>
      </c>
      <c r="C639" s="299" t="s">
        <v>1829</v>
      </c>
      <c r="D639" s="309" t="s">
        <v>63</v>
      </c>
      <c r="E639" s="93"/>
      <c r="F639" s="93">
        <v>2</v>
      </c>
      <c r="G639" s="79"/>
      <c r="H639" s="79"/>
      <c r="I639" s="79"/>
      <c r="J639" s="79">
        <f>SUM(H639:I639)+'BM 011'!J639</f>
        <v>2</v>
      </c>
      <c r="K639" s="79">
        <f t="shared" si="289"/>
        <v>0</v>
      </c>
      <c r="L639" s="84"/>
      <c r="M639" s="81">
        <v>687.16</v>
      </c>
      <c r="N639" s="82">
        <f t="shared" si="291"/>
        <v>0</v>
      </c>
      <c r="O639" s="82">
        <f t="shared" si="292"/>
        <v>0</v>
      </c>
      <c r="P639" s="82">
        <f>O639+'BM 011'!P639</f>
        <v>1374.32</v>
      </c>
      <c r="Q639" s="82">
        <f t="shared" si="293"/>
        <v>0</v>
      </c>
      <c r="R639" s="82">
        <f t="shared" si="294"/>
        <v>0</v>
      </c>
      <c r="S639" s="82">
        <f t="shared" si="295"/>
        <v>1374.32</v>
      </c>
      <c r="T639" s="82">
        <f t="shared" si="296"/>
        <v>0</v>
      </c>
    </row>
    <row r="640" spans="2:20" s="34" customFormat="1" ht="46.2">
      <c r="B640" s="298" t="s">
        <v>1830</v>
      </c>
      <c r="C640" s="299" t="s">
        <v>1831</v>
      </c>
      <c r="D640" s="300" t="s">
        <v>82</v>
      </c>
      <c r="E640" s="93"/>
      <c r="F640" s="93">
        <v>70</v>
      </c>
      <c r="G640" s="79"/>
      <c r="H640" s="79"/>
      <c r="I640" s="79"/>
      <c r="J640" s="79">
        <f>SUM(H640:I640)+'BM 011'!J640</f>
        <v>70</v>
      </c>
      <c r="K640" s="79">
        <f t="shared" si="289"/>
        <v>0</v>
      </c>
      <c r="L640" s="84"/>
      <c r="M640" s="81">
        <v>16.068100388720101</v>
      </c>
      <c r="N640" s="82">
        <f t="shared" si="291"/>
        <v>0</v>
      </c>
      <c r="O640" s="82">
        <f t="shared" si="292"/>
        <v>0</v>
      </c>
      <c r="P640" s="82">
        <f>O640+'BM 011'!P640</f>
        <v>1124.76</v>
      </c>
      <c r="Q640" s="82">
        <f t="shared" si="293"/>
        <v>0</v>
      </c>
      <c r="R640" s="82">
        <f t="shared" si="294"/>
        <v>0</v>
      </c>
      <c r="S640" s="82">
        <f t="shared" si="295"/>
        <v>1124.76</v>
      </c>
      <c r="T640" s="82">
        <f t="shared" si="296"/>
        <v>0</v>
      </c>
    </row>
    <row r="641" spans="2:20" s="34" customFormat="1" ht="46.2">
      <c r="B641" s="298" t="s">
        <v>1832</v>
      </c>
      <c r="C641" s="299" t="s">
        <v>1833</v>
      </c>
      <c r="D641" s="309" t="s">
        <v>131</v>
      </c>
      <c r="E641" s="93"/>
      <c r="F641" s="93">
        <v>1</v>
      </c>
      <c r="G641" s="79">
        <v>1</v>
      </c>
      <c r="H641" s="79">
        <f t="shared" ref="H641:H648" si="297">G641</f>
        <v>1</v>
      </c>
      <c r="I641" s="79"/>
      <c r="J641" s="79">
        <f>SUM(H641:I641)+'BM 011'!J641</f>
        <v>1</v>
      </c>
      <c r="K641" s="79">
        <f t="shared" si="289"/>
        <v>0</v>
      </c>
      <c r="L641" s="84"/>
      <c r="M641" s="81">
        <v>144.54</v>
      </c>
      <c r="N641" s="82">
        <f t="shared" si="291"/>
        <v>144.54</v>
      </c>
      <c r="O641" s="82">
        <f t="shared" si="292"/>
        <v>144.54</v>
      </c>
      <c r="P641" s="82">
        <f>O641+'BM 011'!P641</f>
        <v>144.54</v>
      </c>
      <c r="Q641" s="82">
        <f t="shared" si="293"/>
        <v>0</v>
      </c>
      <c r="R641" s="82">
        <f t="shared" si="294"/>
        <v>0</v>
      </c>
      <c r="S641" s="82">
        <f t="shared" si="295"/>
        <v>144.54</v>
      </c>
      <c r="T641" s="82">
        <f t="shared" si="296"/>
        <v>0</v>
      </c>
    </row>
    <row r="642" spans="2:20" s="34" customFormat="1" ht="23.4">
      <c r="B642" s="298" t="s">
        <v>1834</v>
      </c>
      <c r="C642" s="299" t="s">
        <v>580</v>
      </c>
      <c r="D642" s="300" t="s">
        <v>131</v>
      </c>
      <c r="E642" s="93"/>
      <c r="F642" s="93">
        <v>10</v>
      </c>
      <c r="G642" s="79">
        <v>10</v>
      </c>
      <c r="H642" s="79">
        <f t="shared" si="297"/>
        <v>10</v>
      </c>
      <c r="I642" s="79"/>
      <c r="J642" s="79">
        <f>SUM(H642:I642)+'BM 011'!J642</f>
        <v>10</v>
      </c>
      <c r="K642" s="79">
        <f t="shared" si="289"/>
        <v>0</v>
      </c>
      <c r="L642" s="84"/>
      <c r="M642" s="81">
        <v>157.467383809457</v>
      </c>
      <c r="N642" s="82">
        <f t="shared" si="291"/>
        <v>1574.67</v>
      </c>
      <c r="O642" s="82">
        <f t="shared" si="292"/>
        <v>1574.67</v>
      </c>
      <c r="P642" s="82">
        <f>O642+'BM 011'!P642</f>
        <v>1574.67</v>
      </c>
      <c r="Q642" s="82">
        <f t="shared" si="293"/>
        <v>0</v>
      </c>
      <c r="R642" s="82">
        <f t="shared" si="294"/>
        <v>0</v>
      </c>
      <c r="S642" s="82">
        <f t="shared" si="295"/>
        <v>1574.67</v>
      </c>
      <c r="T642" s="82">
        <f t="shared" si="296"/>
        <v>0</v>
      </c>
    </row>
    <row r="643" spans="2:20" s="34" customFormat="1" ht="34.799999999999997">
      <c r="B643" s="298" t="s">
        <v>1835</v>
      </c>
      <c r="C643" s="299" t="s">
        <v>1836</v>
      </c>
      <c r="D643" s="309" t="s">
        <v>131</v>
      </c>
      <c r="E643" s="93"/>
      <c r="F643" s="93">
        <v>2</v>
      </c>
      <c r="G643" s="79">
        <v>2</v>
      </c>
      <c r="H643" s="79">
        <f t="shared" si="297"/>
        <v>2</v>
      </c>
      <c r="I643" s="79"/>
      <c r="J643" s="79">
        <f>SUM(H643:I643)+'BM 011'!J643</f>
        <v>2</v>
      </c>
      <c r="K643" s="79">
        <f t="shared" si="289"/>
        <v>0</v>
      </c>
      <c r="L643" s="84"/>
      <c r="M643" s="81">
        <v>51.46</v>
      </c>
      <c r="N643" s="82">
        <f t="shared" si="291"/>
        <v>102.92</v>
      </c>
      <c r="O643" s="82">
        <f t="shared" si="292"/>
        <v>102.92</v>
      </c>
      <c r="P643" s="82">
        <f>O643+'BM 011'!P643</f>
        <v>102.92</v>
      </c>
      <c r="Q643" s="82">
        <f t="shared" si="293"/>
        <v>0</v>
      </c>
      <c r="R643" s="82">
        <f t="shared" si="294"/>
        <v>0</v>
      </c>
      <c r="S643" s="82">
        <f t="shared" si="295"/>
        <v>102.92</v>
      </c>
      <c r="T643" s="82">
        <f t="shared" si="296"/>
        <v>0</v>
      </c>
    </row>
    <row r="644" spans="2:20" s="34" customFormat="1" ht="34.799999999999997">
      <c r="B644" s="298" t="s">
        <v>1837</v>
      </c>
      <c r="C644" s="299" t="s">
        <v>542</v>
      </c>
      <c r="D644" s="309" t="s">
        <v>131</v>
      </c>
      <c r="E644" s="93"/>
      <c r="F644" s="93">
        <v>1</v>
      </c>
      <c r="G644" s="79">
        <v>1</v>
      </c>
      <c r="H644" s="79">
        <f t="shared" si="297"/>
        <v>1</v>
      </c>
      <c r="I644" s="79"/>
      <c r="J644" s="79">
        <f>SUM(H644:I644)+'BM 011'!J644</f>
        <v>1</v>
      </c>
      <c r="K644" s="79">
        <f t="shared" si="289"/>
        <v>0</v>
      </c>
      <c r="L644" s="84"/>
      <c r="M644" s="81">
        <v>25.352002200000001</v>
      </c>
      <c r="N644" s="82">
        <f t="shared" si="291"/>
        <v>25.35</v>
      </c>
      <c r="O644" s="82">
        <f t="shared" si="292"/>
        <v>25.35</v>
      </c>
      <c r="P644" s="82">
        <f>O644+'BM 011'!P644</f>
        <v>25.35</v>
      </c>
      <c r="Q644" s="82">
        <f t="shared" si="293"/>
        <v>0</v>
      </c>
      <c r="R644" s="82">
        <f t="shared" si="294"/>
        <v>0</v>
      </c>
      <c r="S644" s="82">
        <f t="shared" si="295"/>
        <v>25.35</v>
      </c>
      <c r="T644" s="82">
        <f t="shared" si="296"/>
        <v>0</v>
      </c>
    </row>
    <row r="645" spans="2:20" s="34" customFormat="1" ht="34.799999999999997">
      <c r="B645" s="298" t="s">
        <v>1838</v>
      </c>
      <c r="C645" s="299" t="s">
        <v>544</v>
      </c>
      <c r="D645" s="309" t="s">
        <v>131</v>
      </c>
      <c r="E645" s="93"/>
      <c r="F645" s="93">
        <v>1</v>
      </c>
      <c r="G645" s="79">
        <v>1</v>
      </c>
      <c r="H645" s="79">
        <f t="shared" si="297"/>
        <v>1</v>
      </c>
      <c r="I645" s="79"/>
      <c r="J645" s="79">
        <f>SUM(H645:I645)+'BM 011'!J645</f>
        <v>1</v>
      </c>
      <c r="K645" s="79">
        <f t="shared" si="289"/>
        <v>0</v>
      </c>
      <c r="L645" s="84"/>
      <c r="M645" s="81">
        <v>25.352002200000001</v>
      </c>
      <c r="N645" s="82">
        <f t="shared" si="291"/>
        <v>25.35</v>
      </c>
      <c r="O645" s="82">
        <f t="shared" si="292"/>
        <v>25.35</v>
      </c>
      <c r="P645" s="82">
        <f>O645+'BM 011'!P645</f>
        <v>25.35</v>
      </c>
      <c r="Q645" s="82">
        <f t="shared" si="293"/>
        <v>0</v>
      </c>
      <c r="R645" s="82">
        <f t="shared" si="294"/>
        <v>0</v>
      </c>
      <c r="S645" s="82">
        <f t="shared" si="295"/>
        <v>25.35</v>
      </c>
      <c r="T645" s="82">
        <f t="shared" si="296"/>
        <v>0</v>
      </c>
    </row>
    <row r="646" spans="2:20" s="34" customFormat="1" ht="34.799999999999997">
      <c r="B646" s="298" t="s">
        <v>1839</v>
      </c>
      <c r="C646" s="299" t="s">
        <v>546</v>
      </c>
      <c r="D646" s="309" t="s">
        <v>131</v>
      </c>
      <c r="E646" s="93"/>
      <c r="F646" s="93">
        <v>1</v>
      </c>
      <c r="G646" s="79">
        <v>1</v>
      </c>
      <c r="H646" s="79">
        <f t="shared" si="297"/>
        <v>1</v>
      </c>
      <c r="I646" s="79"/>
      <c r="J646" s="79">
        <f>SUM(H646:I646)+'BM 011'!J646</f>
        <v>1</v>
      </c>
      <c r="K646" s="79">
        <f t="shared" si="289"/>
        <v>0</v>
      </c>
      <c r="L646" s="84"/>
      <c r="M646" s="81">
        <v>25.352002200000001</v>
      </c>
      <c r="N646" s="82">
        <f t="shared" si="291"/>
        <v>25.35</v>
      </c>
      <c r="O646" s="82">
        <f t="shared" si="292"/>
        <v>25.35</v>
      </c>
      <c r="P646" s="82">
        <f>O646+'BM 011'!P646</f>
        <v>25.35</v>
      </c>
      <c r="Q646" s="82">
        <f t="shared" si="293"/>
        <v>0</v>
      </c>
      <c r="R646" s="82">
        <f t="shared" si="294"/>
        <v>0</v>
      </c>
      <c r="S646" s="82">
        <f t="shared" si="295"/>
        <v>25.35</v>
      </c>
      <c r="T646" s="82">
        <f t="shared" si="296"/>
        <v>0</v>
      </c>
    </row>
    <row r="647" spans="2:20" s="34" customFormat="1" ht="34.799999999999997">
      <c r="B647" s="298" t="s">
        <v>1840</v>
      </c>
      <c r="C647" s="299" t="s">
        <v>550</v>
      </c>
      <c r="D647" s="309" t="s">
        <v>131</v>
      </c>
      <c r="E647" s="93"/>
      <c r="F647" s="93">
        <v>1</v>
      </c>
      <c r="G647" s="79">
        <v>1</v>
      </c>
      <c r="H647" s="79">
        <f t="shared" si="297"/>
        <v>1</v>
      </c>
      <c r="I647" s="79"/>
      <c r="J647" s="79">
        <f>SUM(H647:I647)+'BM 011'!J647</f>
        <v>1</v>
      </c>
      <c r="K647" s="79">
        <f t="shared" si="289"/>
        <v>0</v>
      </c>
      <c r="L647" s="84"/>
      <c r="M647" s="81">
        <v>31.690002750000001</v>
      </c>
      <c r="N647" s="82">
        <f t="shared" si="291"/>
        <v>31.69</v>
      </c>
      <c r="O647" s="82">
        <f t="shared" si="292"/>
        <v>31.69</v>
      </c>
      <c r="P647" s="82">
        <f>O647+'BM 011'!P647</f>
        <v>31.69</v>
      </c>
      <c r="Q647" s="82">
        <f t="shared" si="293"/>
        <v>0</v>
      </c>
      <c r="R647" s="82">
        <f t="shared" si="294"/>
        <v>0</v>
      </c>
      <c r="S647" s="82">
        <f t="shared" si="295"/>
        <v>31.69</v>
      </c>
      <c r="T647" s="82">
        <f t="shared" si="296"/>
        <v>0</v>
      </c>
    </row>
    <row r="648" spans="2:20" s="34" customFormat="1" ht="34.200000000000003">
      <c r="B648" s="298" t="s">
        <v>1841</v>
      </c>
      <c r="C648" s="310" t="s">
        <v>1842</v>
      </c>
      <c r="D648" s="300" t="s">
        <v>131</v>
      </c>
      <c r="E648" s="93"/>
      <c r="F648" s="93">
        <v>1</v>
      </c>
      <c r="G648" s="79">
        <v>1</v>
      </c>
      <c r="H648" s="79">
        <f t="shared" si="297"/>
        <v>1</v>
      </c>
      <c r="I648" s="79"/>
      <c r="J648" s="79">
        <f>SUM(H648:I648)+'BM 011'!J648</f>
        <v>1</v>
      </c>
      <c r="K648" s="79">
        <f t="shared" si="289"/>
        <v>0</v>
      </c>
      <c r="L648" s="84"/>
      <c r="M648" s="81">
        <v>36.373220000000003</v>
      </c>
      <c r="N648" s="82">
        <f t="shared" si="291"/>
        <v>36.369999999999997</v>
      </c>
      <c r="O648" s="82">
        <f t="shared" si="292"/>
        <v>36.369999999999997</v>
      </c>
      <c r="P648" s="82">
        <f>O648+'BM 011'!P648</f>
        <v>36.369999999999997</v>
      </c>
      <c r="Q648" s="82">
        <f t="shared" si="293"/>
        <v>0</v>
      </c>
      <c r="R648" s="82">
        <f t="shared" si="294"/>
        <v>0</v>
      </c>
      <c r="S648" s="82">
        <f t="shared" si="295"/>
        <v>36.369999999999997</v>
      </c>
      <c r="T648" s="82">
        <f t="shared" si="296"/>
        <v>0</v>
      </c>
    </row>
    <row r="649" spans="2:20" s="34" customFormat="1" ht="46.2">
      <c r="B649" s="298" t="s">
        <v>1843</v>
      </c>
      <c r="C649" s="299" t="s">
        <v>464</v>
      </c>
      <c r="D649" s="309" t="s">
        <v>82</v>
      </c>
      <c r="E649" s="93"/>
      <c r="F649" s="93">
        <v>49.3</v>
      </c>
      <c r="G649" s="79"/>
      <c r="H649" s="79"/>
      <c r="I649" s="79"/>
      <c r="J649" s="79">
        <f>SUM(H649:I649)+'BM 011'!J649</f>
        <v>49.3</v>
      </c>
      <c r="K649" s="79">
        <f t="shared" si="289"/>
        <v>0</v>
      </c>
      <c r="L649" s="84"/>
      <c r="M649" s="81">
        <v>7.6056006600000003</v>
      </c>
      <c r="N649" s="82">
        <f t="shared" si="291"/>
        <v>0</v>
      </c>
      <c r="O649" s="82">
        <f t="shared" si="292"/>
        <v>0</v>
      </c>
      <c r="P649" s="82">
        <f>O649+'BM 011'!P649</f>
        <v>374.95</v>
      </c>
      <c r="Q649" s="82">
        <f t="shared" si="293"/>
        <v>0</v>
      </c>
      <c r="R649" s="82">
        <f t="shared" si="294"/>
        <v>0</v>
      </c>
      <c r="S649" s="82">
        <f t="shared" si="295"/>
        <v>374.95</v>
      </c>
      <c r="T649" s="82">
        <f t="shared" si="296"/>
        <v>0</v>
      </c>
    </row>
    <row r="650" spans="2:20" s="34" customFormat="1" ht="34.799999999999997">
      <c r="B650" s="298" t="s">
        <v>1844</v>
      </c>
      <c r="C650" s="299" t="s">
        <v>470</v>
      </c>
      <c r="D650" s="309" t="s">
        <v>39</v>
      </c>
      <c r="E650" s="93"/>
      <c r="F650" s="93">
        <v>14</v>
      </c>
      <c r="G650" s="79"/>
      <c r="H650" s="79"/>
      <c r="I650" s="79"/>
      <c r="J650" s="79">
        <f>SUM(H650:I650)+'BM 011'!J650</f>
        <v>14</v>
      </c>
      <c r="K650" s="79">
        <f t="shared" si="289"/>
        <v>0</v>
      </c>
      <c r="L650" s="84"/>
      <c r="M650" s="81">
        <v>3.8028003300000002</v>
      </c>
      <c r="N650" s="82">
        <f t="shared" si="291"/>
        <v>0</v>
      </c>
      <c r="O650" s="82">
        <f t="shared" si="292"/>
        <v>0</v>
      </c>
      <c r="P650" s="82">
        <f>O650+'BM 011'!P650</f>
        <v>53.23</v>
      </c>
      <c r="Q650" s="82">
        <f t="shared" si="293"/>
        <v>0</v>
      </c>
      <c r="R650" s="82">
        <f t="shared" si="294"/>
        <v>0</v>
      </c>
      <c r="S650" s="82">
        <f t="shared" si="295"/>
        <v>53.23</v>
      </c>
      <c r="T650" s="82">
        <f t="shared" si="296"/>
        <v>0</v>
      </c>
    </row>
    <row r="651" spans="2:20" s="34" customFormat="1" ht="34.799999999999997">
      <c r="B651" s="298" t="s">
        <v>1845</v>
      </c>
      <c r="C651" s="299" t="s">
        <v>472</v>
      </c>
      <c r="D651" s="309" t="s">
        <v>39</v>
      </c>
      <c r="E651" s="93"/>
      <c r="F651" s="93">
        <v>15</v>
      </c>
      <c r="G651" s="79"/>
      <c r="H651" s="79"/>
      <c r="I651" s="79"/>
      <c r="J651" s="79">
        <f>SUM(H651:I651)+'BM 011'!J651</f>
        <v>15</v>
      </c>
      <c r="K651" s="79">
        <f t="shared" si="289"/>
        <v>0</v>
      </c>
      <c r="L651" s="84"/>
      <c r="M651" s="81">
        <v>4.3985723817000002</v>
      </c>
      <c r="N651" s="82">
        <f t="shared" si="291"/>
        <v>0</v>
      </c>
      <c r="O651" s="82">
        <f t="shared" si="292"/>
        <v>0</v>
      </c>
      <c r="P651" s="82">
        <f>O651+'BM 011'!P651</f>
        <v>65.97</v>
      </c>
      <c r="Q651" s="82">
        <f t="shared" si="293"/>
        <v>0</v>
      </c>
      <c r="R651" s="82">
        <f t="shared" si="294"/>
        <v>0</v>
      </c>
      <c r="S651" s="82">
        <f t="shared" si="295"/>
        <v>65.97</v>
      </c>
      <c r="T651" s="82">
        <f t="shared" si="296"/>
        <v>0</v>
      </c>
    </row>
    <row r="652" spans="2:20" s="34" customFormat="1" ht="46.2">
      <c r="B652" s="298" t="s">
        <v>1846</v>
      </c>
      <c r="C652" s="299" t="s">
        <v>478</v>
      </c>
      <c r="D652" s="309" t="s">
        <v>124</v>
      </c>
      <c r="E652" s="93"/>
      <c r="F652" s="93">
        <v>200</v>
      </c>
      <c r="G652" s="79"/>
      <c r="H652" s="79"/>
      <c r="I652" s="79"/>
      <c r="J652" s="79">
        <f>SUM(H652:I652)+'BM 011'!J652</f>
        <v>200</v>
      </c>
      <c r="K652" s="79">
        <f t="shared" si="289"/>
        <v>0</v>
      </c>
      <c r="L652" s="84"/>
      <c r="M652" s="81">
        <v>4.4366003850000002</v>
      </c>
      <c r="N652" s="82">
        <f t="shared" si="291"/>
        <v>0</v>
      </c>
      <c r="O652" s="82">
        <f t="shared" si="292"/>
        <v>0</v>
      </c>
      <c r="P652" s="82">
        <f>O652+'BM 011'!P652</f>
        <v>887.32</v>
      </c>
      <c r="Q652" s="82">
        <f t="shared" si="293"/>
        <v>0</v>
      </c>
      <c r="R652" s="82">
        <f t="shared" si="294"/>
        <v>0</v>
      </c>
      <c r="S652" s="82">
        <f t="shared" si="295"/>
        <v>887.32</v>
      </c>
      <c r="T652" s="82">
        <f t="shared" si="296"/>
        <v>0</v>
      </c>
    </row>
    <row r="653" spans="2:20" s="34" customFormat="1" ht="57.6">
      <c r="B653" s="298" t="s">
        <v>1847</v>
      </c>
      <c r="C653" s="299" t="s">
        <v>480</v>
      </c>
      <c r="D653" s="309" t="s">
        <v>82</v>
      </c>
      <c r="E653" s="93"/>
      <c r="F653" s="93">
        <v>210</v>
      </c>
      <c r="G653" s="79"/>
      <c r="H653" s="79"/>
      <c r="I653" s="79"/>
      <c r="J653" s="79">
        <f>SUM(H653:I653)+'BM 011'!J653</f>
        <v>210</v>
      </c>
      <c r="K653" s="79">
        <f t="shared" si="289"/>
        <v>0</v>
      </c>
      <c r="L653" s="84"/>
      <c r="M653" s="81">
        <v>5.7042004950000003</v>
      </c>
      <c r="N653" s="82">
        <f t="shared" si="291"/>
        <v>0</v>
      </c>
      <c r="O653" s="82">
        <f t="shared" si="292"/>
        <v>0</v>
      </c>
      <c r="P653" s="82">
        <f>O653+'BM 011'!P653</f>
        <v>1197.8800000000001</v>
      </c>
      <c r="Q653" s="82">
        <f t="shared" si="293"/>
        <v>0</v>
      </c>
      <c r="R653" s="82">
        <f t="shared" si="294"/>
        <v>0</v>
      </c>
      <c r="S653" s="82">
        <f t="shared" si="295"/>
        <v>1197.8800000000001</v>
      </c>
      <c r="T653" s="82">
        <f t="shared" si="296"/>
        <v>0</v>
      </c>
    </row>
    <row r="654" spans="2:20" s="34" customFormat="1" ht="13.2">
      <c r="B654" s="66" t="s">
        <v>1848</v>
      </c>
      <c r="C654" s="67" t="s">
        <v>272</v>
      </c>
      <c r="D654" s="68"/>
      <c r="E654" s="69"/>
      <c r="F654" s="69"/>
      <c r="G654" s="70"/>
      <c r="H654" s="70"/>
      <c r="I654" s="70"/>
      <c r="J654" s="70">
        <f>SUM(H654:I654)+'BM 011'!J654</f>
        <v>0</v>
      </c>
      <c r="K654" s="70">
        <f t="shared" si="289"/>
        <v>0</v>
      </c>
      <c r="L654" s="308"/>
      <c r="M654" s="72">
        <v>0</v>
      </c>
      <c r="N654" s="73">
        <f t="shared" ref="N654:T654" si="298">SUM(N655:N667)</f>
        <v>8886.43</v>
      </c>
      <c r="O654" s="73">
        <f t="shared" si="298"/>
        <v>8886.43</v>
      </c>
      <c r="P654" s="73">
        <f t="shared" si="298"/>
        <v>83521.420000000013</v>
      </c>
      <c r="Q654" s="73">
        <f t="shared" si="298"/>
        <v>0</v>
      </c>
      <c r="R654" s="73">
        <f t="shared" si="298"/>
        <v>0</v>
      </c>
      <c r="S654" s="73">
        <f t="shared" si="298"/>
        <v>89117.430000000008</v>
      </c>
      <c r="T654" s="73">
        <f t="shared" si="298"/>
        <v>5596.01</v>
      </c>
    </row>
    <row r="655" spans="2:20" s="34" customFormat="1" ht="57.6">
      <c r="B655" s="298" t="s">
        <v>1849</v>
      </c>
      <c r="C655" s="299" t="s">
        <v>1850</v>
      </c>
      <c r="D655" s="300" t="s">
        <v>79</v>
      </c>
      <c r="E655" s="93"/>
      <c r="F655" s="93">
        <v>218.31</v>
      </c>
      <c r="G655" s="79"/>
      <c r="H655" s="79"/>
      <c r="I655" s="79"/>
      <c r="J655" s="79">
        <f>SUM(H655:I655)+'BM 011'!J655</f>
        <v>218.31</v>
      </c>
      <c r="K655" s="79">
        <f t="shared" si="289"/>
        <v>0</v>
      </c>
      <c r="L655" s="84"/>
      <c r="M655" s="81">
        <v>7.2306451749240601</v>
      </c>
      <c r="N655" s="82">
        <f t="shared" ref="N655:N667" si="299">TRUNC(G655*M655,2)</f>
        <v>0</v>
      </c>
      <c r="O655" s="82">
        <f t="shared" ref="O655:O667" si="300">TRUNC(H655*M655,2)</f>
        <v>0</v>
      </c>
      <c r="P655" s="82">
        <f>O655+'BM 011'!P655</f>
        <v>1578.52</v>
      </c>
      <c r="Q655" s="82">
        <f t="shared" ref="Q655:Q667" si="301">TRUNC(K655*P655,2)</f>
        <v>0</v>
      </c>
      <c r="R655" s="82">
        <f t="shared" ref="R655:R667" si="302">TRUNC(E655*M655,2)</f>
        <v>0</v>
      </c>
      <c r="S655" s="82">
        <f t="shared" ref="S655:S667" si="303">TRUNC(F655*$M655,2)</f>
        <v>1578.52</v>
      </c>
      <c r="T655" s="82">
        <f t="shared" ref="T655:T667" si="304">S655-P655</f>
        <v>0</v>
      </c>
    </row>
    <row r="656" spans="2:20" s="34" customFormat="1" ht="57.6">
      <c r="B656" s="298" t="s">
        <v>1851</v>
      </c>
      <c r="C656" s="299" t="s">
        <v>292</v>
      </c>
      <c r="D656" s="300" t="s">
        <v>79</v>
      </c>
      <c r="E656" s="93"/>
      <c r="F656" s="93">
        <v>153.85</v>
      </c>
      <c r="G656" s="79"/>
      <c r="H656" s="79"/>
      <c r="I656" s="79"/>
      <c r="J656" s="79">
        <f>SUM(H656:I656)+'BM 011'!J656</f>
        <v>153.85</v>
      </c>
      <c r="K656" s="79">
        <f t="shared" si="289"/>
        <v>0</v>
      </c>
      <c r="L656" s="84"/>
      <c r="M656" s="81">
        <v>19.280197673100002</v>
      </c>
      <c r="N656" s="82">
        <f t="shared" si="299"/>
        <v>0</v>
      </c>
      <c r="O656" s="82">
        <f t="shared" si="300"/>
        <v>0</v>
      </c>
      <c r="P656" s="82">
        <f>O656+'BM 011'!P656</f>
        <v>2966.25</v>
      </c>
      <c r="Q656" s="82">
        <f t="shared" si="301"/>
        <v>0</v>
      </c>
      <c r="R656" s="82">
        <f t="shared" si="302"/>
        <v>0</v>
      </c>
      <c r="S656" s="82">
        <f t="shared" si="303"/>
        <v>2966.25</v>
      </c>
      <c r="T656" s="82">
        <f t="shared" si="304"/>
        <v>0</v>
      </c>
    </row>
    <row r="657" spans="2:20" s="34" customFormat="1" ht="69">
      <c r="B657" s="298" t="s">
        <v>1852</v>
      </c>
      <c r="C657" s="299" t="s">
        <v>294</v>
      </c>
      <c r="D657" s="300" t="s">
        <v>79</v>
      </c>
      <c r="E657" s="93"/>
      <c r="F657" s="93">
        <v>153.85</v>
      </c>
      <c r="G657" s="79"/>
      <c r="H657" s="79"/>
      <c r="I657" s="79"/>
      <c r="J657" s="79">
        <f>SUM(H657:I657)+'BM 011'!J657</f>
        <v>153.85</v>
      </c>
      <c r="K657" s="79">
        <f t="shared" si="289"/>
        <v>0</v>
      </c>
      <c r="L657" s="84"/>
      <c r="M657" s="81">
        <v>99.620692644900004</v>
      </c>
      <c r="N657" s="82">
        <f t="shared" si="299"/>
        <v>0</v>
      </c>
      <c r="O657" s="82">
        <f t="shared" si="300"/>
        <v>0</v>
      </c>
      <c r="P657" s="82">
        <f>O657+'BM 011'!P657</f>
        <v>15326.64</v>
      </c>
      <c r="Q657" s="82">
        <f t="shared" si="301"/>
        <v>0</v>
      </c>
      <c r="R657" s="82">
        <f t="shared" si="302"/>
        <v>0</v>
      </c>
      <c r="S657" s="82">
        <f t="shared" si="303"/>
        <v>15326.64</v>
      </c>
      <c r="T657" s="82">
        <f t="shared" si="304"/>
        <v>0</v>
      </c>
    </row>
    <row r="658" spans="2:20" s="34" customFormat="1" ht="69">
      <c r="B658" s="298" t="s">
        <v>1853</v>
      </c>
      <c r="C658" s="299" t="s">
        <v>1854</v>
      </c>
      <c r="D658" s="300" t="s">
        <v>79</v>
      </c>
      <c r="E658" s="93"/>
      <c r="F658" s="93">
        <v>218.31</v>
      </c>
      <c r="G658" s="79"/>
      <c r="H658" s="79"/>
      <c r="I658" s="79"/>
      <c r="J658" s="79">
        <f>SUM(H658:I658)+'BM 011'!J658</f>
        <v>218.31</v>
      </c>
      <c r="K658" s="79">
        <f t="shared" si="289"/>
        <v>0</v>
      </c>
      <c r="L658" s="84"/>
      <c r="M658" s="81">
        <v>48.206832183300001</v>
      </c>
      <c r="N658" s="82">
        <f t="shared" si="299"/>
        <v>0</v>
      </c>
      <c r="O658" s="82">
        <f t="shared" si="300"/>
        <v>0</v>
      </c>
      <c r="P658" s="82">
        <f>O658+'BM 011'!P658</f>
        <v>10524.03</v>
      </c>
      <c r="Q658" s="82">
        <f t="shared" si="301"/>
        <v>0</v>
      </c>
      <c r="R658" s="82">
        <f t="shared" si="302"/>
        <v>0</v>
      </c>
      <c r="S658" s="82">
        <f t="shared" si="303"/>
        <v>10524.03</v>
      </c>
      <c r="T658" s="82">
        <f t="shared" si="304"/>
        <v>0</v>
      </c>
    </row>
    <row r="659" spans="2:20" s="34" customFormat="1" ht="46.2">
      <c r="B659" s="298" t="s">
        <v>1855</v>
      </c>
      <c r="C659" s="299" t="s">
        <v>1856</v>
      </c>
      <c r="D659" s="309" t="s">
        <v>79</v>
      </c>
      <c r="E659" s="93"/>
      <c r="F659" s="93">
        <v>218.31</v>
      </c>
      <c r="G659" s="79"/>
      <c r="H659" s="79"/>
      <c r="I659" s="79"/>
      <c r="J659" s="79">
        <f>SUM(H659:I659)+'BM 011'!J659</f>
        <v>218.31</v>
      </c>
      <c r="K659" s="79">
        <f t="shared" si="289"/>
        <v>0</v>
      </c>
      <c r="L659" s="84"/>
      <c r="M659" s="81">
        <v>112</v>
      </c>
      <c r="N659" s="82">
        <f t="shared" si="299"/>
        <v>0</v>
      </c>
      <c r="O659" s="82">
        <f t="shared" si="300"/>
        <v>0</v>
      </c>
      <c r="P659" s="82">
        <f>O659+'BM 011'!P659</f>
        <v>24450.720000000001</v>
      </c>
      <c r="Q659" s="82">
        <f t="shared" si="301"/>
        <v>0</v>
      </c>
      <c r="R659" s="82">
        <f t="shared" si="302"/>
        <v>0</v>
      </c>
      <c r="S659" s="82">
        <f t="shared" si="303"/>
        <v>24450.720000000001</v>
      </c>
      <c r="T659" s="82">
        <f t="shared" si="304"/>
        <v>0</v>
      </c>
    </row>
    <row r="660" spans="2:20" s="34" customFormat="1" ht="46.2">
      <c r="B660" s="298" t="s">
        <v>1857</v>
      </c>
      <c r="C660" s="299" t="s">
        <v>310</v>
      </c>
      <c r="D660" s="300" t="s">
        <v>79</v>
      </c>
      <c r="E660" s="93"/>
      <c r="F660" s="93">
        <v>90.44</v>
      </c>
      <c r="G660" s="79"/>
      <c r="H660" s="79"/>
      <c r="I660" s="79"/>
      <c r="J660" s="79">
        <f>SUM(H660:I660)+'BM 011'!J660</f>
        <v>90.44</v>
      </c>
      <c r="K660" s="79">
        <f t="shared" si="289"/>
        <v>0</v>
      </c>
      <c r="L660" s="84"/>
      <c r="M660" s="81">
        <v>56.560316908200001</v>
      </c>
      <c r="N660" s="82">
        <f t="shared" si="299"/>
        <v>0</v>
      </c>
      <c r="O660" s="82">
        <f t="shared" si="300"/>
        <v>0</v>
      </c>
      <c r="P660" s="82">
        <f>O660+'BM 011'!P660</f>
        <v>5115.3100000000004</v>
      </c>
      <c r="Q660" s="82">
        <f t="shared" si="301"/>
        <v>0</v>
      </c>
      <c r="R660" s="82">
        <f t="shared" si="302"/>
        <v>0</v>
      </c>
      <c r="S660" s="82">
        <f t="shared" si="303"/>
        <v>5115.3100000000004</v>
      </c>
      <c r="T660" s="82">
        <f t="shared" si="304"/>
        <v>0</v>
      </c>
    </row>
    <row r="661" spans="2:20" s="34" customFormat="1" ht="23.4">
      <c r="B661" s="298" t="s">
        <v>1858</v>
      </c>
      <c r="C661" s="299" t="s">
        <v>149</v>
      </c>
      <c r="D661" s="300" t="s">
        <v>79</v>
      </c>
      <c r="E661" s="93"/>
      <c r="F661" s="93">
        <v>90.44</v>
      </c>
      <c r="G661" s="79"/>
      <c r="H661" s="79"/>
      <c r="I661" s="79"/>
      <c r="J661" s="79">
        <f>SUM(H661:I661)+'BM 011'!J661</f>
        <v>90.44</v>
      </c>
      <c r="K661" s="79">
        <f t="shared" si="289"/>
        <v>0</v>
      </c>
      <c r="L661" s="84"/>
      <c r="M661" s="81">
        <v>44.366003849999998</v>
      </c>
      <c r="N661" s="82">
        <f t="shared" si="299"/>
        <v>0</v>
      </c>
      <c r="O661" s="82">
        <f t="shared" si="300"/>
        <v>0</v>
      </c>
      <c r="P661" s="82">
        <f>O661+'BM 011'!P661</f>
        <v>4012.46</v>
      </c>
      <c r="Q661" s="82">
        <f t="shared" si="301"/>
        <v>0</v>
      </c>
      <c r="R661" s="82">
        <f t="shared" si="302"/>
        <v>0</v>
      </c>
      <c r="S661" s="82">
        <f t="shared" si="303"/>
        <v>4012.46</v>
      </c>
      <c r="T661" s="82">
        <f t="shared" si="304"/>
        <v>0</v>
      </c>
    </row>
    <row r="662" spans="2:20" s="34" customFormat="1" ht="46.2">
      <c r="B662" s="298" t="s">
        <v>1859</v>
      </c>
      <c r="C662" s="299" t="s">
        <v>1860</v>
      </c>
      <c r="D662" s="309" t="s">
        <v>79</v>
      </c>
      <c r="E662" s="93"/>
      <c r="F662" s="93">
        <v>90.44</v>
      </c>
      <c r="G662" s="79"/>
      <c r="H662" s="79"/>
      <c r="I662" s="79"/>
      <c r="J662" s="79">
        <f>SUM(H662:I662)+'BM 011'!J662</f>
        <v>90.44</v>
      </c>
      <c r="K662" s="79">
        <f t="shared" si="289"/>
        <v>0</v>
      </c>
      <c r="L662" s="84"/>
      <c r="M662" s="81">
        <v>117.88</v>
      </c>
      <c r="N662" s="82">
        <f t="shared" si="299"/>
        <v>0</v>
      </c>
      <c r="O662" s="82">
        <f t="shared" si="300"/>
        <v>0</v>
      </c>
      <c r="P662" s="82">
        <f>O662+'BM 011'!P662</f>
        <v>10661.06</v>
      </c>
      <c r="Q662" s="82">
        <f t="shared" si="301"/>
        <v>0</v>
      </c>
      <c r="R662" s="82">
        <f t="shared" si="302"/>
        <v>0</v>
      </c>
      <c r="S662" s="82">
        <f t="shared" si="303"/>
        <v>10661.06</v>
      </c>
      <c r="T662" s="82">
        <f t="shared" si="304"/>
        <v>0</v>
      </c>
    </row>
    <row r="663" spans="2:20" s="34" customFormat="1" ht="23.4">
      <c r="B663" s="298" t="s">
        <v>1861</v>
      </c>
      <c r="C663" s="299" t="s">
        <v>430</v>
      </c>
      <c r="D663" s="300" t="s">
        <v>79</v>
      </c>
      <c r="E663" s="93"/>
      <c r="F663" s="93">
        <v>153.85</v>
      </c>
      <c r="G663" s="79">
        <v>153.85</v>
      </c>
      <c r="H663" s="79">
        <f>G663</f>
        <v>153.85</v>
      </c>
      <c r="I663" s="79"/>
      <c r="J663" s="79">
        <f>SUM(H663:I663)+'BM 011'!J663</f>
        <v>153.85</v>
      </c>
      <c r="K663" s="79">
        <f t="shared" si="289"/>
        <v>0</v>
      </c>
      <c r="L663" s="84"/>
      <c r="M663" s="81">
        <v>7.2253206270000003</v>
      </c>
      <c r="N663" s="82">
        <f t="shared" si="299"/>
        <v>1111.6099999999999</v>
      </c>
      <c r="O663" s="82">
        <f t="shared" si="300"/>
        <v>1111.6099999999999</v>
      </c>
      <c r="P663" s="82">
        <f>O663+'BM 011'!P663</f>
        <v>1111.6099999999999</v>
      </c>
      <c r="Q663" s="82">
        <f t="shared" si="301"/>
        <v>0</v>
      </c>
      <c r="R663" s="82">
        <f t="shared" si="302"/>
        <v>0</v>
      </c>
      <c r="S663" s="82">
        <f t="shared" si="303"/>
        <v>1111.6099999999999</v>
      </c>
      <c r="T663" s="82">
        <f t="shared" si="304"/>
        <v>0</v>
      </c>
    </row>
    <row r="664" spans="2:20" s="34" customFormat="1" ht="23.4">
      <c r="B664" s="298" t="s">
        <v>1862</v>
      </c>
      <c r="C664" s="299" t="s">
        <v>432</v>
      </c>
      <c r="D664" s="300" t="s">
        <v>79</v>
      </c>
      <c r="E664" s="93"/>
      <c r="F664" s="93">
        <v>90.44</v>
      </c>
      <c r="G664" s="79">
        <v>90.44</v>
      </c>
      <c r="H664" s="79">
        <f>G664</f>
        <v>90.44</v>
      </c>
      <c r="I664" s="79"/>
      <c r="J664" s="79">
        <f>SUM(H664:I664)+'BM 011'!J664</f>
        <v>90.44</v>
      </c>
      <c r="K664" s="79">
        <f t="shared" ref="K664:K681" si="305">F664-J664</f>
        <v>0</v>
      </c>
      <c r="L664" s="84"/>
      <c r="M664" s="81">
        <v>8.0365846974000004</v>
      </c>
      <c r="N664" s="82">
        <f t="shared" si="299"/>
        <v>726.82</v>
      </c>
      <c r="O664" s="82">
        <f t="shared" si="300"/>
        <v>726.82</v>
      </c>
      <c r="P664" s="82">
        <f>O664+'BM 011'!P664</f>
        <v>726.82</v>
      </c>
      <c r="Q664" s="82">
        <f t="shared" si="301"/>
        <v>0</v>
      </c>
      <c r="R664" s="82">
        <f t="shared" si="302"/>
        <v>0</v>
      </c>
      <c r="S664" s="82">
        <f t="shared" si="303"/>
        <v>726.82</v>
      </c>
      <c r="T664" s="82">
        <f t="shared" si="304"/>
        <v>0</v>
      </c>
    </row>
    <row r="665" spans="2:20" s="34" customFormat="1" ht="23.4">
      <c r="B665" s="298" t="s">
        <v>1863</v>
      </c>
      <c r="C665" s="299" t="s">
        <v>428</v>
      </c>
      <c r="D665" s="300" t="s">
        <v>79</v>
      </c>
      <c r="E665" s="93"/>
      <c r="F665" s="93">
        <v>90.44</v>
      </c>
      <c r="G665" s="79">
        <v>90.44</v>
      </c>
      <c r="H665" s="79">
        <f>G665</f>
        <v>90.44</v>
      </c>
      <c r="I665" s="79"/>
      <c r="J665" s="79">
        <f>SUM(H665:I665)+'BM 011'!J665</f>
        <v>90.44</v>
      </c>
      <c r="K665" s="79">
        <f t="shared" si="305"/>
        <v>0</v>
      </c>
      <c r="L665" s="84"/>
      <c r="M665" s="81">
        <v>40.1702509718003</v>
      </c>
      <c r="N665" s="82">
        <f t="shared" si="299"/>
        <v>3632.99</v>
      </c>
      <c r="O665" s="82">
        <f t="shared" si="300"/>
        <v>3632.99</v>
      </c>
      <c r="P665" s="82">
        <f>O665+'BM 011'!P665</f>
        <v>3632.99</v>
      </c>
      <c r="Q665" s="82">
        <f t="shared" si="301"/>
        <v>0</v>
      </c>
      <c r="R665" s="82">
        <f t="shared" si="302"/>
        <v>0</v>
      </c>
      <c r="S665" s="82">
        <f t="shared" si="303"/>
        <v>3632.99</v>
      </c>
      <c r="T665" s="82">
        <f t="shared" si="304"/>
        <v>0</v>
      </c>
    </row>
    <row r="666" spans="2:20" s="34" customFormat="1" ht="23.4">
      <c r="B666" s="298" t="s">
        <v>1864</v>
      </c>
      <c r="C666" s="299" t="s">
        <v>436</v>
      </c>
      <c r="D666" s="300" t="s">
        <v>79</v>
      </c>
      <c r="E666" s="93"/>
      <c r="F666" s="93">
        <v>90.44</v>
      </c>
      <c r="G666" s="79">
        <v>90.44</v>
      </c>
      <c r="H666" s="79">
        <f>G666</f>
        <v>90.44</v>
      </c>
      <c r="I666" s="79"/>
      <c r="J666" s="79">
        <f>SUM(H666:I666)+'BM 011'!J666</f>
        <v>90.44</v>
      </c>
      <c r="K666" s="79">
        <f t="shared" si="305"/>
        <v>0</v>
      </c>
      <c r="L666" s="84"/>
      <c r="M666" s="81">
        <v>37.760035913492302</v>
      </c>
      <c r="N666" s="82">
        <f t="shared" si="299"/>
        <v>3415.01</v>
      </c>
      <c r="O666" s="82">
        <f t="shared" si="300"/>
        <v>3415.01</v>
      </c>
      <c r="P666" s="82">
        <f>O666+'BM 011'!P666</f>
        <v>3415.01</v>
      </c>
      <c r="Q666" s="82">
        <f t="shared" si="301"/>
        <v>0</v>
      </c>
      <c r="R666" s="82">
        <f t="shared" si="302"/>
        <v>0</v>
      </c>
      <c r="S666" s="82">
        <f t="shared" si="303"/>
        <v>3415.01</v>
      </c>
      <c r="T666" s="82">
        <f t="shared" si="304"/>
        <v>0</v>
      </c>
    </row>
    <row r="667" spans="2:20" s="34" customFormat="1" ht="34.799999999999997">
      <c r="B667" s="298" t="s">
        <v>1865</v>
      </c>
      <c r="C667" s="299" t="s">
        <v>1866</v>
      </c>
      <c r="D667" s="309" t="s">
        <v>79</v>
      </c>
      <c r="E667" s="93"/>
      <c r="F667" s="93">
        <v>153.85</v>
      </c>
      <c r="G667" s="79"/>
      <c r="H667" s="79"/>
      <c r="I667" s="79"/>
      <c r="J667" s="79">
        <f>SUM(H667:I667)+'BM 011'!J667</f>
        <v>0</v>
      </c>
      <c r="K667" s="79">
        <f t="shared" si="305"/>
        <v>153.85</v>
      </c>
      <c r="L667" s="84"/>
      <c r="M667" s="81">
        <v>36.373220000000003</v>
      </c>
      <c r="N667" s="82">
        <f t="shared" si="299"/>
        <v>0</v>
      </c>
      <c r="O667" s="82">
        <f t="shared" si="300"/>
        <v>0</v>
      </c>
      <c r="P667" s="82">
        <f>O667+'BM 011'!P667</f>
        <v>0</v>
      </c>
      <c r="Q667" s="82">
        <f t="shared" si="301"/>
        <v>0</v>
      </c>
      <c r="R667" s="82">
        <f t="shared" si="302"/>
        <v>0</v>
      </c>
      <c r="S667" s="82">
        <f t="shared" si="303"/>
        <v>5596.01</v>
      </c>
      <c r="T667" s="82">
        <f t="shared" si="304"/>
        <v>5596.01</v>
      </c>
    </row>
    <row r="668" spans="2:20" s="34" customFormat="1" ht="13.2">
      <c r="B668" s="66" t="s">
        <v>1867</v>
      </c>
      <c r="C668" s="67" t="s">
        <v>1868</v>
      </c>
      <c r="D668" s="68"/>
      <c r="E668" s="69"/>
      <c r="F668" s="69"/>
      <c r="G668" s="70"/>
      <c r="H668" s="70"/>
      <c r="I668" s="70"/>
      <c r="J668" s="70">
        <f>SUM(H668:I668)+'BM 011'!J668</f>
        <v>0</v>
      </c>
      <c r="K668" s="70">
        <f t="shared" si="305"/>
        <v>0</v>
      </c>
      <c r="L668" s="308"/>
      <c r="M668" s="72">
        <v>0</v>
      </c>
      <c r="N668" s="73">
        <f t="shared" ref="N668:T668" si="306">SUM(N669)</f>
        <v>14665.05</v>
      </c>
      <c r="O668" s="73">
        <f t="shared" si="306"/>
        <v>14665.05</v>
      </c>
      <c r="P668" s="73">
        <f t="shared" si="306"/>
        <v>14665.05</v>
      </c>
      <c r="Q668" s="73">
        <f t="shared" si="306"/>
        <v>0</v>
      </c>
      <c r="R668" s="73">
        <f t="shared" si="306"/>
        <v>0</v>
      </c>
      <c r="S668" s="73">
        <f t="shared" si="306"/>
        <v>14665.05</v>
      </c>
      <c r="T668" s="73">
        <f t="shared" si="306"/>
        <v>0</v>
      </c>
    </row>
    <row r="669" spans="2:20" s="34" customFormat="1" ht="34.799999999999997">
      <c r="B669" s="298" t="s">
        <v>1869</v>
      </c>
      <c r="C669" s="299" t="s">
        <v>1870</v>
      </c>
      <c r="D669" s="309" t="s">
        <v>39</v>
      </c>
      <c r="E669" s="93"/>
      <c r="F669" s="93">
        <v>5</v>
      </c>
      <c r="G669" s="79">
        <v>5</v>
      </c>
      <c r="H669" s="79">
        <f>G669</f>
        <v>5</v>
      </c>
      <c r="I669" s="79"/>
      <c r="J669" s="79">
        <f>SUM(H669:I669)+'BM 011'!J669</f>
        <v>5</v>
      </c>
      <c r="K669" s="79">
        <f t="shared" si="305"/>
        <v>0</v>
      </c>
      <c r="L669" s="84"/>
      <c r="M669" s="81">
        <v>2933.0110552480501</v>
      </c>
      <c r="N669" s="82">
        <f>TRUNC(G669*M669,2)</f>
        <v>14665.05</v>
      </c>
      <c r="O669" s="82">
        <f>TRUNC(H669*M669,2)</f>
        <v>14665.05</v>
      </c>
      <c r="P669" s="82">
        <f>O669+'BM 011'!P669</f>
        <v>14665.05</v>
      </c>
      <c r="Q669" s="82">
        <f>TRUNC(K669*P669,2)</f>
        <v>0</v>
      </c>
      <c r="R669" s="82">
        <f>TRUNC(E669*M669,2)</f>
        <v>0</v>
      </c>
      <c r="S669" s="82">
        <f>TRUNC(F669*$M669,2)</f>
        <v>14665.05</v>
      </c>
      <c r="T669" s="82">
        <f>S669-P669</f>
        <v>0</v>
      </c>
    </row>
    <row r="670" spans="2:20" s="34" customFormat="1" ht="13.2">
      <c r="B670" s="66" t="s">
        <v>1871</v>
      </c>
      <c r="C670" s="67" t="s">
        <v>1872</v>
      </c>
      <c r="D670" s="68"/>
      <c r="E670" s="69"/>
      <c r="F670" s="69"/>
      <c r="G670" s="70"/>
      <c r="H670" s="70"/>
      <c r="I670" s="70"/>
      <c r="J670" s="70">
        <f>SUM(H670:I670)+'BM 011'!J670</f>
        <v>0</v>
      </c>
      <c r="K670" s="70">
        <f t="shared" si="305"/>
        <v>0</v>
      </c>
      <c r="L670" s="308"/>
      <c r="M670" s="72">
        <v>0</v>
      </c>
      <c r="N670" s="73">
        <f t="shared" ref="N670:T670" si="307">SUM(N671:N672)</f>
        <v>7667.32</v>
      </c>
      <c r="O670" s="73">
        <f t="shared" si="307"/>
        <v>7667.32</v>
      </c>
      <c r="P670" s="73">
        <f t="shared" si="307"/>
        <v>7667.32</v>
      </c>
      <c r="Q670" s="73">
        <f t="shared" si="307"/>
        <v>633.54</v>
      </c>
      <c r="R670" s="73">
        <f t="shared" si="307"/>
        <v>0</v>
      </c>
      <c r="S670" s="73">
        <f t="shared" si="307"/>
        <v>7825.7</v>
      </c>
      <c r="T670" s="73">
        <f t="shared" si="307"/>
        <v>158.38</v>
      </c>
    </row>
    <row r="671" spans="2:20" s="34" customFormat="1" ht="46.2">
      <c r="B671" s="298" t="s">
        <v>1873</v>
      </c>
      <c r="C671" s="299" t="s">
        <v>335</v>
      </c>
      <c r="D671" s="300" t="s">
        <v>79</v>
      </c>
      <c r="E671" s="93"/>
      <c r="F671" s="93">
        <v>82.84</v>
      </c>
      <c r="G671" s="79">
        <v>82.84</v>
      </c>
      <c r="H671" s="79">
        <f>G671</f>
        <v>82.84</v>
      </c>
      <c r="I671" s="79"/>
      <c r="J671" s="79">
        <f>SUM(H671:I671)+'BM 011'!J671</f>
        <v>82.84</v>
      </c>
      <c r="K671" s="79">
        <f t="shared" si="305"/>
        <v>0</v>
      </c>
      <c r="L671" s="84"/>
      <c r="M671" s="81">
        <v>88.732007699999997</v>
      </c>
      <c r="N671" s="82">
        <f>TRUNC(G671*M671,2)</f>
        <v>7350.55</v>
      </c>
      <c r="O671" s="82">
        <f>TRUNC(H671*M671,2)</f>
        <v>7350.55</v>
      </c>
      <c r="P671" s="82">
        <f>O671+'BM 011'!P671</f>
        <v>7350.55</v>
      </c>
      <c r="Q671" s="82">
        <f>TRUNC(K671*P671,2)</f>
        <v>0</v>
      </c>
      <c r="R671" s="82">
        <f>TRUNC(E671*M671,2)</f>
        <v>0</v>
      </c>
      <c r="S671" s="82">
        <f>TRUNC(F671*$M671,2)</f>
        <v>7350.55</v>
      </c>
      <c r="T671" s="82">
        <f>S671-P671</f>
        <v>0</v>
      </c>
    </row>
    <row r="672" spans="2:20" s="34" customFormat="1" ht="23.4">
      <c r="B672" s="298" t="s">
        <v>1874</v>
      </c>
      <c r="C672" s="299" t="s">
        <v>1875</v>
      </c>
      <c r="D672" s="309" t="s">
        <v>39</v>
      </c>
      <c r="E672" s="93"/>
      <c r="F672" s="93">
        <v>6</v>
      </c>
      <c r="G672" s="79">
        <v>4</v>
      </c>
      <c r="H672" s="79">
        <f>G672</f>
        <v>4</v>
      </c>
      <c r="I672" s="79"/>
      <c r="J672" s="79">
        <f>SUM(H672:I672)+'BM 011'!J672</f>
        <v>4</v>
      </c>
      <c r="K672" s="79">
        <f t="shared" si="305"/>
        <v>2</v>
      </c>
      <c r="L672" s="84"/>
      <c r="M672" s="81">
        <v>79.193244000000007</v>
      </c>
      <c r="N672" s="82">
        <f>TRUNC(G672*M672,2)</f>
        <v>316.77</v>
      </c>
      <c r="O672" s="82">
        <f>TRUNC(H672*M672,2)</f>
        <v>316.77</v>
      </c>
      <c r="P672" s="82">
        <f>O672+'BM 011'!P672</f>
        <v>316.77</v>
      </c>
      <c r="Q672" s="82">
        <f>TRUNC(K672*P672,2)</f>
        <v>633.54</v>
      </c>
      <c r="R672" s="82">
        <f>TRUNC(E672*M672,2)</f>
        <v>0</v>
      </c>
      <c r="S672" s="82">
        <f>TRUNC(F672*$M672,2)</f>
        <v>475.15</v>
      </c>
      <c r="T672" s="82">
        <f>S672-P672</f>
        <v>158.38</v>
      </c>
    </row>
    <row r="673" spans="1:25" s="34" customFormat="1" ht="13.2">
      <c r="B673" s="66" t="s">
        <v>1876</v>
      </c>
      <c r="C673" s="67" t="s">
        <v>438</v>
      </c>
      <c r="D673" s="68"/>
      <c r="E673" s="69"/>
      <c r="F673" s="69"/>
      <c r="G673" s="70"/>
      <c r="H673" s="70"/>
      <c r="I673" s="70"/>
      <c r="J673" s="70">
        <f>SUM(H673:I673)+'BM 011'!J673</f>
        <v>0</v>
      </c>
      <c r="K673" s="70">
        <f t="shared" si="305"/>
        <v>0</v>
      </c>
      <c r="L673" s="308"/>
      <c r="M673" s="72">
        <v>0</v>
      </c>
      <c r="N673" s="73">
        <f t="shared" ref="N673:T673" si="308">SUM(N674:N679)</f>
        <v>0</v>
      </c>
      <c r="O673" s="73">
        <f t="shared" si="308"/>
        <v>0</v>
      </c>
      <c r="P673" s="73">
        <f t="shared" si="308"/>
        <v>19788.390000000003</v>
      </c>
      <c r="Q673" s="73">
        <f t="shared" si="308"/>
        <v>0</v>
      </c>
      <c r="R673" s="73">
        <f t="shared" si="308"/>
        <v>0</v>
      </c>
      <c r="S673" s="73">
        <f t="shared" si="308"/>
        <v>19788.390000000003</v>
      </c>
      <c r="T673" s="73">
        <f t="shared" si="308"/>
        <v>0</v>
      </c>
    </row>
    <row r="674" spans="1:25" ht="69.599999999999994">
      <c r="A674" s="34"/>
      <c r="B674" s="298" t="s">
        <v>1877</v>
      </c>
      <c r="C674" s="299" t="s">
        <v>1878</v>
      </c>
      <c r="D674" s="309" t="s">
        <v>79</v>
      </c>
      <c r="E674" s="93"/>
      <c r="F674" s="93">
        <v>86.185000000000002</v>
      </c>
      <c r="G674" s="79"/>
      <c r="H674" s="79"/>
      <c r="I674" s="79"/>
      <c r="J674" s="79">
        <f>SUM(H674:I674)+'BM 011'!J674</f>
        <v>86.185000000000002</v>
      </c>
      <c r="K674" s="79">
        <f t="shared" si="305"/>
        <v>0</v>
      </c>
      <c r="L674" s="84"/>
      <c r="M674" s="81">
        <v>31.664877897452001</v>
      </c>
      <c r="N674" s="82">
        <f t="shared" ref="N674:N679" si="309">TRUNC(G674*M674,2)</f>
        <v>0</v>
      </c>
      <c r="O674" s="82">
        <f t="shared" ref="O674:O679" si="310">TRUNC(H674*M674,2)</f>
        <v>0</v>
      </c>
      <c r="P674" s="82">
        <f>O674+'BM 011'!P674</f>
        <v>2729.03</v>
      </c>
      <c r="Q674" s="82">
        <f t="shared" ref="Q674:Q679" si="311">TRUNC(K674*P674,2)</f>
        <v>0</v>
      </c>
      <c r="R674" s="82">
        <f t="shared" ref="R674:R679" si="312">TRUNC(E674*M674,2)</f>
        <v>0</v>
      </c>
      <c r="S674" s="82">
        <f t="shared" ref="S674:S679" si="313">TRUNC(F674*$M674,2)</f>
        <v>2729.03</v>
      </c>
      <c r="T674" s="82">
        <f t="shared" ref="T674:T679" si="314">S674-P674</f>
        <v>0</v>
      </c>
      <c r="U674" s="34"/>
      <c r="V674" s="34"/>
      <c r="W674" s="34"/>
      <c r="X674" s="34"/>
      <c r="Y674" s="34"/>
    </row>
    <row r="675" spans="1:25" ht="58.2">
      <c r="A675" s="34"/>
      <c r="B675" s="298" t="s">
        <v>1879</v>
      </c>
      <c r="C675" s="299" t="s">
        <v>1880</v>
      </c>
      <c r="D675" s="309" t="s">
        <v>79</v>
      </c>
      <c r="E675" s="93"/>
      <c r="F675" s="93">
        <v>86.185000000000002</v>
      </c>
      <c r="G675" s="79"/>
      <c r="H675" s="79"/>
      <c r="I675" s="79"/>
      <c r="J675" s="79">
        <f>SUM(H675:I675)+'BM 011'!J675</f>
        <v>86.185000000000002</v>
      </c>
      <c r="K675" s="79">
        <f t="shared" si="305"/>
        <v>0</v>
      </c>
      <c r="L675" s="84"/>
      <c r="M675" s="81">
        <v>81.489999999999995</v>
      </c>
      <c r="N675" s="82">
        <f t="shared" si="309"/>
        <v>0</v>
      </c>
      <c r="O675" s="82">
        <f t="shared" si="310"/>
        <v>0</v>
      </c>
      <c r="P675" s="82">
        <f>O675+'BM 011'!P675</f>
        <v>7023.21</v>
      </c>
      <c r="Q675" s="82">
        <f t="shared" si="311"/>
        <v>0</v>
      </c>
      <c r="R675" s="82">
        <f t="shared" si="312"/>
        <v>0</v>
      </c>
      <c r="S675" s="82">
        <f t="shared" si="313"/>
        <v>7023.21</v>
      </c>
      <c r="T675" s="82">
        <f t="shared" si="314"/>
        <v>0</v>
      </c>
      <c r="U675" s="34"/>
      <c r="V675" s="34"/>
      <c r="W675" s="34"/>
      <c r="X675" s="34"/>
      <c r="Y675" s="34"/>
    </row>
    <row r="676" spans="1:25" ht="35.4">
      <c r="A676" s="34"/>
      <c r="B676" s="298" t="s">
        <v>1881</v>
      </c>
      <c r="C676" s="299" t="s">
        <v>1882</v>
      </c>
      <c r="D676" s="309" t="s">
        <v>124</v>
      </c>
      <c r="E676" s="93"/>
      <c r="F676" s="93">
        <v>9</v>
      </c>
      <c r="G676" s="79"/>
      <c r="H676" s="79"/>
      <c r="I676" s="79"/>
      <c r="J676" s="79">
        <f>SUM(H676:I676)+'BM 011'!J676</f>
        <v>9</v>
      </c>
      <c r="K676" s="79">
        <f t="shared" si="305"/>
        <v>0</v>
      </c>
      <c r="L676" s="84"/>
      <c r="M676" s="81">
        <v>77.609994846695997</v>
      </c>
      <c r="N676" s="82">
        <f t="shared" si="309"/>
        <v>0</v>
      </c>
      <c r="O676" s="82">
        <f t="shared" si="310"/>
        <v>0</v>
      </c>
      <c r="P676" s="82">
        <f>O676+'BM 011'!P676</f>
        <v>698.48</v>
      </c>
      <c r="Q676" s="82">
        <f t="shared" si="311"/>
        <v>0</v>
      </c>
      <c r="R676" s="82">
        <f t="shared" si="312"/>
        <v>0</v>
      </c>
      <c r="S676" s="82">
        <f t="shared" si="313"/>
        <v>698.48</v>
      </c>
      <c r="T676" s="82">
        <f t="shared" si="314"/>
        <v>0</v>
      </c>
      <c r="U676" s="34"/>
      <c r="V676" s="34"/>
      <c r="W676" s="34"/>
      <c r="X676" s="34"/>
      <c r="Y676" s="34"/>
    </row>
    <row r="677" spans="1:25" ht="24">
      <c r="A677" s="34"/>
      <c r="B677" s="298" t="s">
        <v>1883</v>
      </c>
      <c r="C677" s="299" t="s">
        <v>1884</v>
      </c>
      <c r="D677" s="309" t="s">
        <v>124</v>
      </c>
      <c r="E677" s="93"/>
      <c r="F677" s="93">
        <v>17.5</v>
      </c>
      <c r="G677" s="79"/>
      <c r="H677" s="79"/>
      <c r="I677" s="79"/>
      <c r="J677" s="79">
        <f>SUM(H677:I677)+'BM 011'!J677</f>
        <v>17.5</v>
      </c>
      <c r="K677" s="79">
        <f t="shared" si="305"/>
        <v>0</v>
      </c>
      <c r="L677" s="84"/>
      <c r="M677" s="81">
        <v>388.05</v>
      </c>
      <c r="N677" s="82">
        <f t="shared" si="309"/>
        <v>0</v>
      </c>
      <c r="O677" s="82">
        <f t="shared" si="310"/>
        <v>0</v>
      </c>
      <c r="P677" s="82">
        <f>O677+'BM 011'!P677</f>
        <v>6790.87</v>
      </c>
      <c r="Q677" s="82">
        <f t="shared" si="311"/>
        <v>0</v>
      </c>
      <c r="R677" s="82">
        <f t="shared" si="312"/>
        <v>0</v>
      </c>
      <c r="S677" s="82">
        <f t="shared" si="313"/>
        <v>6790.87</v>
      </c>
      <c r="T677" s="82">
        <f t="shared" si="314"/>
        <v>0</v>
      </c>
      <c r="U677" s="34"/>
      <c r="V677" s="34"/>
      <c r="W677" s="34"/>
      <c r="X677" s="34"/>
      <c r="Y677" s="34"/>
    </row>
    <row r="678" spans="1:25" ht="24">
      <c r="A678" s="34"/>
      <c r="B678" s="298" t="s">
        <v>1885</v>
      </c>
      <c r="C678" s="299" t="s">
        <v>1886</v>
      </c>
      <c r="D678" s="309" t="s">
        <v>124</v>
      </c>
      <c r="E678" s="93"/>
      <c r="F678" s="93">
        <v>24.05</v>
      </c>
      <c r="G678" s="79"/>
      <c r="H678" s="79"/>
      <c r="I678" s="79"/>
      <c r="J678" s="79">
        <f>SUM(H678:I678)+'BM 011'!J678</f>
        <v>24.05</v>
      </c>
      <c r="K678" s="79">
        <f t="shared" si="305"/>
        <v>0</v>
      </c>
      <c r="L678" s="84"/>
      <c r="M678" s="81">
        <v>51.015636612561501</v>
      </c>
      <c r="N678" s="82">
        <f t="shared" si="309"/>
        <v>0</v>
      </c>
      <c r="O678" s="82">
        <f t="shared" si="310"/>
        <v>0</v>
      </c>
      <c r="P678" s="82">
        <f>O678+'BM 011'!P678</f>
        <v>1226.92</v>
      </c>
      <c r="Q678" s="82">
        <f t="shared" si="311"/>
        <v>0</v>
      </c>
      <c r="R678" s="82">
        <f t="shared" si="312"/>
        <v>0</v>
      </c>
      <c r="S678" s="82">
        <f t="shared" si="313"/>
        <v>1226.92</v>
      </c>
      <c r="T678" s="82">
        <f t="shared" si="314"/>
        <v>0</v>
      </c>
      <c r="U678" s="34"/>
      <c r="V678" s="34"/>
      <c r="W678" s="34"/>
      <c r="X678" s="34"/>
      <c r="Y678" s="34"/>
    </row>
    <row r="679" spans="1:25">
      <c r="A679" s="34"/>
      <c r="B679" s="298" t="s">
        <v>1887</v>
      </c>
      <c r="C679" s="299" t="s">
        <v>440</v>
      </c>
      <c r="D679" s="300" t="s">
        <v>124</v>
      </c>
      <c r="E679" s="93"/>
      <c r="F679" s="93">
        <v>41.65</v>
      </c>
      <c r="G679" s="79"/>
      <c r="H679" s="79"/>
      <c r="I679" s="79"/>
      <c r="J679" s="79">
        <f>SUM(H679:I679)+'BM 011'!J679</f>
        <v>41.65</v>
      </c>
      <c r="K679" s="79">
        <f t="shared" si="305"/>
        <v>0</v>
      </c>
      <c r="L679" s="84"/>
      <c r="M679" s="81">
        <v>31.69</v>
      </c>
      <c r="N679" s="82">
        <f t="shared" si="309"/>
        <v>0</v>
      </c>
      <c r="O679" s="82">
        <f t="shared" si="310"/>
        <v>0</v>
      </c>
      <c r="P679" s="82">
        <f>O679+'BM 011'!P679</f>
        <v>1319.88</v>
      </c>
      <c r="Q679" s="82">
        <f t="shared" si="311"/>
        <v>0</v>
      </c>
      <c r="R679" s="82">
        <f t="shared" si="312"/>
        <v>0</v>
      </c>
      <c r="S679" s="82">
        <f t="shared" si="313"/>
        <v>1319.88</v>
      </c>
      <c r="T679" s="82">
        <f t="shared" si="314"/>
        <v>0</v>
      </c>
      <c r="U679" s="34"/>
      <c r="V679" s="34"/>
      <c r="W679" s="34"/>
      <c r="X679" s="34"/>
      <c r="Y679" s="34"/>
    </row>
    <row r="680" spans="1:25">
      <c r="A680" s="34"/>
      <c r="B680" s="66" t="s">
        <v>1888</v>
      </c>
      <c r="C680" s="67" t="s">
        <v>1889</v>
      </c>
      <c r="D680" s="68"/>
      <c r="E680" s="69"/>
      <c r="F680" s="69"/>
      <c r="G680" s="70"/>
      <c r="H680" s="70"/>
      <c r="I680" s="70"/>
      <c r="J680" s="70">
        <f>SUM(H680:I680)+'BM 011'!J680</f>
        <v>0</v>
      </c>
      <c r="K680" s="70">
        <f t="shared" si="305"/>
        <v>0</v>
      </c>
      <c r="L680" s="308"/>
      <c r="M680" s="72">
        <v>0</v>
      </c>
      <c r="N680" s="73">
        <f t="shared" ref="N680:T680" si="315">SUM(N681)</f>
        <v>0</v>
      </c>
      <c r="O680" s="73">
        <f t="shared" si="315"/>
        <v>0</v>
      </c>
      <c r="P680" s="73">
        <f t="shared" si="315"/>
        <v>0</v>
      </c>
      <c r="Q680" s="73">
        <f t="shared" si="315"/>
        <v>0</v>
      </c>
      <c r="R680" s="73">
        <f t="shared" si="315"/>
        <v>0</v>
      </c>
      <c r="S680" s="73">
        <f t="shared" si="315"/>
        <v>670.26</v>
      </c>
      <c r="T680" s="73">
        <f t="shared" si="315"/>
        <v>670.26</v>
      </c>
      <c r="U680" s="34"/>
      <c r="V680" s="34"/>
      <c r="W680" s="34"/>
      <c r="X680" s="34"/>
      <c r="Y680" s="34"/>
    </row>
    <row r="681" spans="1:25" s="122" customFormat="1" ht="13.8">
      <c r="A681" s="34"/>
      <c r="B681" s="298" t="s">
        <v>1890</v>
      </c>
      <c r="C681" s="299" t="s">
        <v>1156</v>
      </c>
      <c r="D681" s="300" t="s">
        <v>79</v>
      </c>
      <c r="E681" s="93"/>
      <c r="F681" s="93">
        <v>132.1925</v>
      </c>
      <c r="G681" s="79"/>
      <c r="H681" s="79"/>
      <c r="I681" s="79"/>
      <c r="J681" s="79">
        <f>SUM(H681:I681)+'BM 011'!J681</f>
        <v>0</v>
      </c>
      <c r="K681" s="79">
        <f t="shared" si="305"/>
        <v>132.1925</v>
      </c>
      <c r="L681" s="84"/>
      <c r="M681" s="81">
        <v>5.0704004400000002</v>
      </c>
      <c r="N681" s="82">
        <f>TRUNC(G681*M681,2)</f>
        <v>0</v>
      </c>
      <c r="O681" s="82">
        <f>TRUNC(H681*M681,2)</f>
        <v>0</v>
      </c>
      <c r="P681" s="82">
        <f>O681+'BM 011'!P681</f>
        <v>0</v>
      </c>
      <c r="Q681" s="82">
        <f>TRUNC(K681*P681,2)</f>
        <v>0</v>
      </c>
      <c r="R681" s="82">
        <f>TRUNC(E681*M681,2)</f>
        <v>0</v>
      </c>
      <c r="S681" s="82">
        <f>TRUNC(F681*$M681,2)</f>
        <v>670.26</v>
      </c>
      <c r="T681" s="82">
        <f>S681-P681</f>
        <v>670.26</v>
      </c>
      <c r="U681" s="34"/>
      <c r="V681" s="34"/>
      <c r="W681" s="34"/>
      <c r="X681" s="34"/>
      <c r="Y681" s="34"/>
    </row>
    <row r="682" spans="1:25" s="122" customFormat="1" ht="31.5" customHeight="1">
      <c r="A682" s="2"/>
      <c r="B682" s="533" t="s">
        <v>1157</v>
      </c>
      <c r="C682" s="533"/>
      <c r="D682" s="533"/>
      <c r="E682" s="533"/>
      <c r="F682" s="533"/>
      <c r="G682" s="533"/>
      <c r="H682" s="533"/>
      <c r="I682" s="533"/>
      <c r="J682" s="533"/>
      <c r="K682" s="533"/>
      <c r="L682" s="533"/>
      <c r="M682" s="533"/>
      <c r="N682" s="311">
        <f>N28+N47+N59+N90+N128+N137+N151+N165+N170+N174+N219+N228+N237+N322+N436+N451+N467+N498</f>
        <v>185288.22999999998</v>
      </c>
      <c r="O682" s="312">
        <f t="shared" ref="O682:T682" si="316">SUM(O28,O53,O63,O96,O134,O142,O158,O173,O178,O181,O218,O225,O228,O320,O331,O488,O514,O573,O595,O598)</f>
        <v>1179125.4300000002</v>
      </c>
      <c r="P682" s="312">
        <f t="shared" si="316"/>
        <v>10721117.430000002</v>
      </c>
      <c r="Q682" s="312">
        <f t="shared" si="316"/>
        <v>20732725.682300001</v>
      </c>
      <c r="R682" s="312">
        <f t="shared" si="316"/>
        <v>26279999.999999993</v>
      </c>
      <c r="S682" s="312">
        <f t="shared" si="316"/>
        <v>28719537.48</v>
      </c>
      <c r="T682" s="312">
        <f t="shared" si="316"/>
        <v>17998420.050000001</v>
      </c>
      <c r="U682" s="2"/>
      <c r="V682" s="2"/>
      <c r="W682" s="2"/>
      <c r="X682" s="2"/>
      <c r="Y682" s="2"/>
    </row>
    <row r="683" spans="1:25" s="122" customFormat="1" ht="31.5" customHeight="1">
      <c r="A683" s="2"/>
      <c r="B683" s="533" t="s">
        <v>1196</v>
      </c>
      <c r="C683" s="533"/>
      <c r="D683" s="533"/>
      <c r="E683" s="533"/>
      <c r="F683" s="533"/>
      <c r="G683" s="533"/>
      <c r="H683" s="533"/>
      <c r="I683" s="533"/>
      <c r="J683" s="533"/>
      <c r="K683" s="533"/>
      <c r="L683" s="533"/>
      <c r="M683" s="533"/>
      <c r="N683" s="133"/>
      <c r="O683" s="133"/>
      <c r="P683" s="131"/>
      <c r="Q683" s="132"/>
      <c r="R683" s="132"/>
      <c r="S683" s="313"/>
      <c r="T683" s="134"/>
      <c r="U683" s="2"/>
      <c r="V683" s="2"/>
      <c r="W683" s="2"/>
      <c r="X683" s="2"/>
      <c r="Y683" s="2"/>
    </row>
    <row r="684" spans="1:25" s="122" customFormat="1" ht="31.5" customHeight="1">
      <c r="A684" s="2"/>
      <c r="B684" s="533" t="s">
        <v>1430</v>
      </c>
      <c r="C684" s="533"/>
      <c r="D684" s="533"/>
      <c r="E684" s="533"/>
      <c r="F684" s="533"/>
      <c r="G684" s="533"/>
      <c r="H684" s="533"/>
      <c r="I684" s="533"/>
      <c r="J684" s="533"/>
      <c r="K684" s="533"/>
      <c r="L684" s="533"/>
      <c r="M684" s="533"/>
      <c r="N684" s="133"/>
      <c r="O684" s="133">
        <v>51821.360000000102</v>
      </c>
      <c r="P684" s="131"/>
      <c r="Q684" s="132"/>
      <c r="R684" s="132"/>
      <c r="S684" s="313"/>
      <c r="T684" s="134"/>
      <c r="U684" s="2"/>
      <c r="V684" s="2"/>
      <c r="W684" s="2"/>
      <c r="X684" s="2"/>
      <c r="Y684" s="2"/>
    </row>
    <row r="685" spans="1:25" s="122" customFormat="1" ht="31.5" customHeight="1">
      <c r="A685" s="2"/>
      <c r="B685" s="533" t="s">
        <v>1320</v>
      </c>
      <c r="C685" s="533"/>
      <c r="D685" s="533"/>
      <c r="E685" s="533"/>
      <c r="F685" s="533"/>
      <c r="G685" s="533"/>
      <c r="H685" s="533"/>
      <c r="I685" s="533"/>
      <c r="J685" s="533"/>
      <c r="K685" s="533"/>
      <c r="L685" s="533"/>
      <c r="M685" s="533"/>
      <c r="N685" s="133"/>
      <c r="O685" s="133">
        <v>198660</v>
      </c>
      <c r="P685" s="131"/>
      <c r="Q685" s="132"/>
      <c r="R685" s="132"/>
      <c r="S685" s="313"/>
      <c r="T685" s="134"/>
      <c r="U685" s="2"/>
      <c r="V685" s="2"/>
      <c r="W685" s="2"/>
      <c r="X685" s="2"/>
      <c r="Y685" s="2"/>
    </row>
    <row r="686" spans="1:25" s="122" customFormat="1" ht="31.5" customHeight="1">
      <c r="A686" s="2"/>
      <c r="B686" s="533" t="s">
        <v>1591</v>
      </c>
      <c r="C686" s="533"/>
      <c r="D686" s="533"/>
      <c r="E686" s="533"/>
      <c r="F686" s="533"/>
      <c r="G686" s="533"/>
      <c r="H686" s="533"/>
      <c r="I686" s="533"/>
      <c r="J686" s="533"/>
      <c r="K686" s="533"/>
      <c r="L686" s="533"/>
      <c r="M686" s="533"/>
      <c r="N686" s="133"/>
      <c r="O686" s="133">
        <v>47699.5</v>
      </c>
      <c r="P686" s="131"/>
      <c r="Q686" s="132"/>
      <c r="R686" s="132"/>
      <c r="S686" s="313"/>
      <c r="T686" s="134"/>
      <c r="U686" s="2"/>
      <c r="V686" s="2"/>
      <c r="W686" s="2"/>
      <c r="X686" s="2"/>
      <c r="Y686" s="2"/>
    </row>
    <row r="687" spans="1:25" s="122" customFormat="1" ht="31.5" hidden="1" customHeight="1">
      <c r="A687" s="2"/>
      <c r="B687" s="272"/>
      <c r="C687" s="273"/>
      <c r="D687" s="273"/>
      <c r="E687" s="273"/>
      <c r="F687" s="273"/>
      <c r="G687" s="273"/>
      <c r="H687" s="273"/>
      <c r="I687" s="273"/>
      <c r="J687" s="273"/>
      <c r="K687" s="273"/>
      <c r="L687" s="273"/>
      <c r="M687" s="274"/>
      <c r="N687" s="131"/>
      <c r="O687" s="133"/>
      <c r="P687" s="131"/>
      <c r="Q687" s="132"/>
      <c r="R687" s="132"/>
      <c r="S687" s="313"/>
      <c r="T687" s="134"/>
      <c r="U687" s="2"/>
      <c r="V687" s="2"/>
      <c r="W687" s="2"/>
      <c r="X687" s="2"/>
      <c r="Y687" s="2"/>
    </row>
    <row r="688" spans="1:25" s="122" customFormat="1" ht="31.5" customHeight="1">
      <c r="A688" s="2"/>
      <c r="B688" s="533" t="s">
        <v>1161</v>
      </c>
      <c r="C688" s="533"/>
      <c r="D688" s="533"/>
      <c r="E688" s="533"/>
      <c r="F688" s="533"/>
      <c r="G688" s="533"/>
      <c r="H688" s="533"/>
      <c r="I688" s="533"/>
      <c r="J688" s="533"/>
      <c r="K688" s="533"/>
      <c r="L688" s="533"/>
      <c r="M688" s="533"/>
      <c r="N688" s="131">
        <f>N29+N48+N60+N91+N129+N138+N152+N166+N171+N175+N220+N229+N238+N323+N437+N452+N468+N499</f>
        <v>359638.73</v>
      </c>
      <c r="O688" s="131">
        <f>O682-SUM(O683:O687)</f>
        <v>880944.57000000007</v>
      </c>
      <c r="P688" s="131" t="s">
        <v>1162</v>
      </c>
      <c r="Q688" s="132">
        <f>Q29+Q48+Q60+Q91+Q129+Q138+Q152+Q166+Q171+Q175+Q220+Q229+Q238+Q323+Q437+Q452+Q468+Q499</f>
        <v>1855118.2200000002</v>
      </c>
      <c r="R688" s="132" t="s">
        <v>1162</v>
      </c>
      <c r="S688" s="313"/>
      <c r="T688" s="134" t="s">
        <v>1162</v>
      </c>
      <c r="U688" s="2"/>
      <c r="V688" s="2"/>
      <c r="W688" s="2"/>
      <c r="X688" s="2"/>
      <c r="Y688" s="2"/>
    </row>
    <row r="689" spans="1:25" s="122" customFormat="1" ht="8.25" customHeight="1">
      <c r="D689" s="135"/>
      <c r="E689" s="136"/>
      <c r="F689" s="136"/>
      <c r="G689" s="136"/>
      <c r="H689" s="136"/>
      <c r="I689" s="136"/>
      <c r="J689" s="136"/>
      <c r="K689" s="137"/>
      <c r="L689" s="137"/>
      <c r="M689" s="137"/>
      <c r="N689" s="137"/>
      <c r="O689" s="137"/>
      <c r="P689" s="138"/>
      <c r="Q689" s="139"/>
      <c r="R689" s="139"/>
      <c r="S689" s="139"/>
      <c r="T689" s="137"/>
    </row>
    <row r="690" spans="1:25" s="122" customFormat="1" ht="15.75" customHeight="1">
      <c r="B690" s="140" t="s">
        <v>1163</v>
      </c>
      <c r="C690" s="141" t="s">
        <v>1164</v>
      </c>
      <c r="D690" s="534" t="s">
        <v>1165</v>
      </c>
      <c r="E690" s="534"/>
      <c r="F690" s="534"/>
      <c r="G690" s="142" t="s">
        <v>1163</v>
      </c>
      <c r="H690" s="143" t="s">
        <v>1164</v>
      </c>
      <c r="I690" s="144"/>
      <c r="J690" s="534" t="s">
        <v>1165</v>
      </c>
      <c r="K690" s="534"/>
      <c r="L690" s="145"/>
      <c r="M690" s="142" t="s">
        <v>1166</v>
      </c>
      <c r="N690" s="142"/>
      <c r="O690" s="146"/>
      <c r="P690" s="535" t="s">
        <v>1167</v>
      </c>
      <c r="Q690" s="535"/>
      <c r="R690" s="535"/>
      <c r="S690" s="314"/>
      <c r="T690" s="137"/>
    </row>
    <row r="691" spans="1:25" s="122" customFormat="1" ht="19.5" customHeight="1">
      <c r="B691" s="147" t="s">
        <v>1168</v>
      </c>
      <c r="C691" s="148" t="s">
        <v>1169</v>
      </c>
      <c r="D691" s="570">
        <f>TRUNC(35%*11%*O688,2)</f>
        <v>33916.36</v>
      </c>
      <c r="E691" s="570"/>
      <c r="F691" s="570"/>
      <c r="G691" s="149" t="s">
        <v>1170</v>
      </c>
      <c r="H691" s="150"/>
      <c r="I691" s="151"/>
      <c r="J691" s="537"/>
      <c r="K691" s="537"/>
      <c r="L691" s="152"/>
      <c r="M691" s="149" t="s">
        <v>1171</v>
      </c>
      <c r="N691" s="150" t="e">
        <f>#REF!</f>
        <v>#REF!</v>
      </c>
      <c r="O691" s="150"/>
      <c r="P691" s="535"/>
      <c r="Q691" s="535"/>
      <c r="R691" s="535"/>
      <c r="S691" s="314"/>
      <c r="T691" s="137"/>
    </row>
    <row r="692" spans="1:25" s="122" customFormat="1" ht="19.5" customHeight="1">
      <c r="B692" s="147" t="s">
        <v>1172</v>
      </c>
      <c r="C692" s="148" t="s">
        <v>1198</v>
      </c>
      <c r="D692" s="570">
        <f>F700</f>
        <v>30833.05</v>
      </c>
      <c r="E692" s="570"/>
      <c r="F692" s="570"/>
      <c r="G692" s="149" t="s">
        <v>1174</v>
      </c>
      <c r="H692" s="150"/>
      <c r="I692" s="151"/>
      <c r="J692" s="537"/>
      <c r="K692" s="537"/>
      <c r="L692" s="152"/>
      <c r="M692" s="149" t="s">
        <v>1175</v>
      </c>
      <c r="N692" s="150" t="e">
        <f>#REF!</f>
        <v>#REF!</v>
      </c>
      <c r="O692" s="150"/>
      <c r="P692" s="538">
        <f>O688-D691-D692-D693-J691-J692-J693-O691-O692-O693</f>
        <v>816195.16</v>
      </c>
      <c r="Q692" s="538"/>
      <c r="R692" s="538"/>
      <c r="S692" s="315"/>
      <c r="T692" s="137"/>
    </row>
    <row r="693" spans="1:25" ht="19.5" customHeight="1">
      <c r="A693" s="122"/>
      <c r="B693" s="153" t="s">
        <v>1176</v>
      </c>
      <c r="C693" s="154">
        <v>0</v>
      </c>
      <c r="D693" s="571"/>
      <c r="E693" s="571"/>
      <c r="F693" s="571"/>
      <c r="G693" s="155" t="s">
        <v>1177</v>
      </c>
      <c r="H693" s="156"/>
      <c r="I693" s="157"/>
      <c r="J693" s="540"/>
      <c r="K693" s="540"/>
      <c r="L693" s="159"/>
      <c r="M693" s="155" t="s">
        <v>1178</v>
      </c>
      <c r="N693" s="158"/>
      <c r="O693" s="158"/>
      <c r="P693" s="538"/>
      <c r="Q693" s="538"/>
      <c r="R693" s="538"/>
      <c r="S693" s="315"/>
      <c r="T693" s="137"/>
      <c r="U693" s="122"/>
      <c r="V693" s="122"/>
      <c r="W693" s="122"/>
      <c r="X693" s="122"/>
      <c r="Y693" s="122"/>
    </row>
    <row r="694" spans="1:25">
      <c r="A694" s="122"/>
      <c r="B694" s="122"/>
      <c r="C694" s="122"/>
      <c r="D694" s="135"/>
      <c r="E694" s="136"/>
      <c r="F694" s="136"/>
      <c r="G694" s="136"/>
      <c r="H694" s="136"/>
      <c r="I694" s="136"/>
      <c r="J694" s="136"/>
      <c r="K694" s="137"/>
      <c r="L694" s="137"/>
      <c r="M694" s="137"/>
      <c r="N694" s="137"/>
      <c r="O694" s="137"/>
      <c r="P694" s="137"/>
      <c r="Q694" s="139"/>
      <c r="R694" s="139"/>
      <c r="S694" s="139"/>
      <c r="T694" s="137"/>
      <c r="U694" s="122"/>
      <c r="V694" s="122"/>
      <c r="W694" s="122"/>
      <c r="X694" s="122"/>
      <c r="Y694" s="122"/>
    </row>
    <row r="695" spans="1:25">
      <c r="A695" s="122"/>
      <c r="B695" s="122"/>
      <c r="C695" s="122"/>
      <c r="D695" s="135"/>
      <c r="E695" s="136"/>
      <c r="F695" s="136"/>
      <c r="G695" s="136"/>
      <c r="H695" s="136"/>
      <c r="I695" s="136"/>
      <c r="J695" s="136"/>
      <c r="K695" s="137"/>
      <c r="L695" s="137"/>
      <c r="M695" s="137"/>
      <c r="N695" s="137"/>
      <c r="O695" s="137"/>
      <c r="P695" s="137"/>
      <c r="Q695" s="139"/>
      <c r="R695" s="139"/>
      <c r="S695" s="139"/>
      <c r="T695" s="137"/>
      <c r="U695" s="122"/>
      <c r="V695" s="122"/>
      <c r="W695" s="122"/>
      <c r="X695" s="122"/>
      <c r="Y695" s="122"/>
    </row>
    <row r="696" spans="1:25" ht="27.75" customHeight="1">
      <c r="A696" s="122"/>
      <c r="B696" s="122"/>
      <c r="C696" s="541" t="s">
        <v>1179</v>
      </c>
      <c r="D696" s="541"/>
      <c r="E696" s="541"/>
      <c r="F696" s="541"/>
      <c r="G696" s="136"/>
      <c r="H696" s="136"/>
      <c r="I696" s="136"/>
      <c r="J696" s="136"/>
      <c r="K696" s="137"/>
      <c r="L696" s="137"/>
      <c r="M696" s="137"/>
      <c r="N696" s="137"/>
      <c r="O696" s="137"/>
      <c r="P696" s="137"/>
      <c r="Q696" s="139"/>
      <c r="R696" s="139"/>
      <c r="S696" s="139"/>
      <c r="T696" s="137"/>
      <c r="U696" s="122"/>
      <c r="V696" s="122"/>
      <c r="W696" s="122"/>
      <c r="X696" s="122"/>
      <c r="Y696" s="122"/>
    </row>
    <row r="697" spans="1:25" ht="24.75" customHeight="1">
      <c r="A697" s="122"/>
      <c r="B697" s="122"/>
      <c r="C697" s="542" t="s">
        <v>1180</v>
      </c>
      <c r="D697" s="542"/>
      <c r="E697" s="122"/>
      <c r="F697" s="160">
        <f>O688</f>
        <v>880944.57000000007</v>
      </c>
      <c r="G697" s="136"/>
      <c r="H697" s="136"/>
      <c r="I697" s="136"/>
      <c r="J697" s="136"/>
      <c r="K697" s="137"/>
      <c r="L697" s="137"/>
      <c r="M697" s="137"/>
      <c r="N697" s="137"/>
      <c r="O697" s="137"/>
      <c r="P697" s="137"/>
      <c r="Q697" s="139"/>
      <c r="R697" s="139"/>
      <c r="S697" s="139"/>
      <c r="T697" s="137"/>
      <c r="U697" s="122"/>
      <c r="V697" s="122"/>
      <c r="W697" s="122"/>
      <c r="X697" s="122"/>
      <c r="Y697" s="122"/>
    </row>
    <row r="698" spans="1:25" ht="24.75" customHeight="1">
      <c r="A698" s="122"/>
      <c r="B698" s="122"/>
      <c r="C698" s="543" t="s">
        <v>1183</v>
      </c>
      <c r="D698" s="543"/>
      <c r="E698" s="122"/>
      <c r="F698" s="162">
        <f>0.7*F697</f>
        <v>616661.19900000002</v>
      </c>
      <c r="G698" s="136"/>
      <c r="H698" s="136"/>
      <c r="I698" s="136"/>
      <c r="J698" s="136"/>
      <c r="K698" s="137"/>
      <c r="L698" s="137"/>
      <c r="M698" s="137"/>
      <c r="N698" s="137"/>
      <c r="O698" s="137"/>
      <c r="P698" s="137"/>
      <c r="Q698" s="139"/>
      <c r="R698" s="139"/>
      <c r="S698" s="139"/>
      <c r="T698" s="137"/>
      <c r="U698" s="122"/>
      <c r="V698" s="122"/>
      <c r="W698" s="122"/>
      <c r="X698" s="122"/>
      <c r="Y698" s="122"/>
    </row>
    <row r="699" spans="1:25" ht="24.75" customHeight="1">
      <c r="A699" s="122"/>
      <c r="B699" s="122"/>
      <c r="C699" s="543" t="s">
        <v>1184</v>
      </c>
      <c r="D699" s="543"/>
      <c r="E699" s="122"/>
      <c r="F699" s="163">
        <f>F698/F697</f>
        <v>0.7</v>
      </c>
      <c r="G699" s="136"/>
      <c r="H699" s="136"/>
      <c r="I699" s="136"/>
      <c r="J699" s="136"/>
      <c r="K699" s="137"/>
      <c r="L699" s="137"/>
      <c r="M699" s="137"/>
      <c r="N699" s="137"/>
      <c r="O699" s="137"/>
      <c r="P699" s="137"/>
      <c r="Q699" s="139"/>
      <c r="R699" s="139"/>
      <c r="S699" s="139"/>
      <c r="T699" s="137"/>
      <c r="U699" s="122"/>
      <c r="V699" s="122"/>
      <c r="W699" s="122"/>
      <c r="X699" s="122"/>
      <c r="Y699" s="122"/>
    </row>
    <row r="700" spans="1:25" ht="24.75" customHeight="1">
      <c r="A700" s="122"/>
      <c r="B700" s="122"/>
      <c r="C700" s="545" t="s">
        <v>1185</v>
      </c>
      <c r="D700" s="545"/>
      <c r="E700" s="316"/>
      <c r="F700" s="164">
        <f>TRUNC(F698*5%,2)</f>
        <v>30833.05</v>
      </c>
      <c r="G700" s="136"/>
      <c r="H700" s="136"/>
      <c r="I700" s="136"/>
      <c r="J700" s="136"/>
      <c r="K700" s="137"/>
      <c r="L700" s="137"/>
      <c r="M700" s="137"/>
      <c r="N700" s="137"/>
      <c r="O700" s="137"/>
      <c r="P700" s="137"/>
      <c r="Q700" s="139"/>
      <c r="R700" s="139"/>
      <c r="S700" s="139"/>
      <c r="T700" s="137"/>
      <c r="U700" s="122"/>
      <c r="V700" s="122"/>
      <c r="W700" s="122"/>
      <c r="X700" s="122"/>
      <c r="Y700" s="122"/>
    </row>
    <row r="702" spans="1:25" ht="19.5" customHeight="1">
      <c r="C702" s="546" t="s">
        <v>1186</v>
      </c>
      <c r="D702" s="546"/>
      <c r="E702" s="546"/>
      <c r="F702" s="546"/>
      <c r="G702" s="546"/>
      <c r="H702" s="546"/>
      <c r="K702" s="4"/>
      <c r="O702" s="546" t="s">
        <v>1187</v>
      </c>
      <c r="P702" s="546"/>
      <c r="Q702" s="546"/>
      <c r="R702" s="546"/>
      <c r="S702" s="546"/>
      <c r="T702" s="546"/>
      <c r="U702" s="5"/>
    </row>
    <row r="703" spans="1:25" ht="19.5" customHeight="1">
      <c r="C703" s="548" t="s">
        <v>1188</v>
      </c>
      <c r="D703" s="548"/>
      <c r="E703" s="168">
        <v>45390</v>
      </c>
      <c r="F703" s="168">
        <v>45390</v>
      </c>
      <c r="G703" s="166" t="s">
        <v>1189</v>
      </c>
      <c r="H703" s="167">
        <v>157132.10999999999</v>
      </c>
      <c r="K703" s="4"/>
      <c r="L703" s="4"/>
      <c r="O703" s="548" t="s">
        <v>1190</v>
      </c>
      <c r="P703" s="548"/>
      <c r="Q703" s="168">
        <v>44973</v>
      </c>
      <c r="R703" s="169" t="s">
        <v>1162</v>
      </c>
      <c r="S703" s="317"/>
      <c r="T703" s="225"/>
      <c r="U703" s="6"/>
      <c r="V703" s="5"/>
    </row>
    <row r="704" spans="1:25" ht="19.5" customHeight="1">
      <c r="C704" s="549" t="s">
        <v>1191</v>
      </c>
      <c r="D704" s="549"/>
      <c r="E704" s="173">
        <v>45390</v>
      </c>
      <c r="F704" s="173">
        <v>45390</v>
      </c>
      <c r="G704" s="171" t="s">
        <v>1189</v>
      </c>
      <c r="H704" s="172">
        <v>12663.81</v>
      </c>
      <c r="K704" s="4"/>
      <c r="L704" s="4"/>
      <c r="O704" s="549" t="s">
        <v>1199</v>
      </c>
      <c r="P704" s="549"/>
      <c r="Q704" s="173">
        <v>44973</v>
      </c>
      <c r="R704" s="171" t="s">
        <v>1162</v>
      </c>
      <c r="S704" s="318"/>
      <c r="T704" s="172">
        <v>354202.96</v>
      </c>
      <c r="U704" s="6"/>
      <c r="V704" s="5"/>
    </row>
    <row r="705" spans="3:22" ht="19.5" customHeight="1">
      <c r="C705" s="549" t="s">
        <v>1200</v>
      </c>
      <c r="D705" s="549"/>
      <c r="E705" s="173">
        <v>45421</v>
      </c>
      <c r="F705" s="173">
        <v>45421</v>
      </c>
      <c r="G705" s="171" t="s">
        <v>1189</v>
      </c>
      <c r="H705" s="172">
        <v>60499.5</v>
      </c>
      <c r="K705" s="4"/>
      <c r="L705" s="4"/>
      <c r="O705" s="549" t="s">
        <v>1201</v>
      </c>
      <c r="P705" s="549"/>
      <c r="Q705" s="173"/>
      <c r="R705" s="171"/>
      <c r="S705" s="318"/>
      <c r="T705" s="172">
        <v>119528.5</v>
      </c>
      <c r="U705" s="6"/>
      <c r="V705" s="5"/>
    </row>
    <row r="706" spans="3:22" ht="19.5" customHeight="1">
      <c r="C706" s="549" t="s">
        <v>1202</v>
      </c>
      <c r="D706" s="549"/>
      <c r="E706" s="173">
        <v>45446</v>
      </c>
      <c r="F706" s="173">
        <v>45446</v>
      </c>
      <c r="G706" s="171" t="s">
        <v>1203</v>
      </c>
      <c r="H706" s="172">
        <v>60640</v>
      </c>
      <c r="K706" s="4"/>
      <c r="L706" s="4"/>
      <c r="O706" s="549" t="s">
        <v>1250</v>
      </c>
      <c r="P706" s="549"/>
      <c r="Q706" s="173"/>
      <c r="R706" s="171"/>
      <c r="S706" s="318"/>
      <c r="T706" s="172">
        <v>155349.44</v>
      </c>
      <c r="U706" s="6"/>
      <c r="V706" s="5"/>
    </row>
    <row r="707" spans="3:22" ht="19.5" customHeight="1">
      <c r="C707" s="549" t="s">
        <v>1204</v>
      </c>
      <c r="D707" s="549"/>
      <c r="E707" s="173">
        <v>45446</v>
      </c>
      <c r="F707" s="173">
        <v>45446</v>
      </c>
      <c r="G707" s="171" t="s">
        <v>1203</v>
      </c>
      <c r="H707" s="172">
        <v>15160</v>
      </c>
      <c r="K707" s="4"/>
      <c r="L707" s="4"/>
      <c r="O707" s="549" t="s">
        <v>1431</v>
      </c>
      <c r="P707" s="549"/>
      <c r="Q707" s="173"/>
      <c r="R707" s="171"/>
      <c r="S707" s="318"/>
      <c r="T707" s="172">
        <v>118394.27</v>
      </c>
      <c r="U707" s="6"/>
      <c r="V707" s="5"/>
    </row>
    <row r="708" spans="3:22" ht="19.5" customHeight="1">
      <c r="C708" s="549" t="s">
        <v>1205</v>
      </c>
      <c r="D708" s="549"/>
      <c r="E708" s="173">
        <v>45447</v>
      </c>
      <c r="F708" s="173">
        <v>45447</v>
      </c>
      <c r="G708" s="171" t="s">
        <v>1203</v>
      </c>
      <c r="H708" s="172">
        <v>193505</v>
      </c>
      <c r="K708" s="4"/>
      <c r="L708" s="4"/>
      <c r="O708" s="549" t="s">
        <v>1435</v>
      </c>
      <c r="P708" s="549"/>
      <c r="Q708" s="173"/>
      <c r="R708" s="171"/>
      <c r="S708" s="318"/>
      <c r="T708" s="172">
        <v>146586.07999999999</v>
      </c>
      <c r="U708" s="6"/>
      <c r="V708" s="5"/>
    </row>
    <row r="709" spans="3:22" ht="19.5" customHeight="1">
      <c r="C709" s="549" t="s">
        <v>1206</v>
      </c>
      <c r="D709" s="549"/>
      <c r="E709" s="173">
        <v>45457</v>
      </c>
      <c r="F709" s="173">
        <v>45457</v>
      </c>
      <c r="G709" s="171" t="s">
        <v>1189</v>
      </c>
      <c r="H709" s="172">
        <v>101107.04</v>
      </c>
      <c r="K709" s="4"/>
      <c r="L709" s="4"/>
      <c r="O709" s="549" t="s">
        <v>1579</v>
      </c>
      <c r="P709" s="549"/>
      <c r="Q709" s="173"/>
      <c r="R709" s="171"/>
      <c r="S709" s="318"/>
      <c r="T709" s="172">
        <v>136462.16</v>
      </c>
      <c r="U709" s="6"/>
      <c r="V709" s="5"/>
    </row>
    <row r="710" spans="3:22" ht="19.5" customHeight="1">
      <c r="C710" s="549" t="s">
        <v>1251</v>
      </c>
      <c r="D710" s="549"/>
      <c r="E710" s="173">
        <v>45462</v>
      </c>
      <c r="F710" s="173">
        <v>45462</v>
      </c>
      <c r="G710" s="171" t="s">
        <v>1203</v>
      </c>
      <c r="H710" s="172">
        <v>37190</v>
      </c>
      <c r="K710" s="4"/>
      <c r="L710" s="4"/>
      <c r="O710" s="549" t="s">
        <v>1592</v>
      </c>
      <c r="P710" s="549"/>
      <c r="Q710" s="173"/>
      <c r="R710" s="171"/>
      <c r="S710" s="318"/>
      <c r="T710" s="172">
        <v>263138.58</v>
      </c>
      <c r="U710" s="6"/>
      <c r="V710" s="5"/>
    </row>
    <row r="711" spans="3:22" ht="19.5" customHeight="1">
      <c r="C711" s="549" t="s">
        <v>1252</v>
      </c>
      <c r="D711" s="549"/>
      <c r="E711" s="173">
        <v>45463</v>
      </c>
      <c r="F711" s="173">
        <v>45463</v>
      </c>
      <c r="G711" s="171" t="s">
        <v>1189</v>
      </c>
      <c r="H711" s="172">
        <v>21981.17</v>
      </c>
      <c r="K711" s="4"/>
      <c r="L711" s="4"/>
      <c r="O711" s="549" t="s">
        <v>1596</v>
      </c>
      <c r="P711" s="549"/>
      <c r="Q711" s="173"/>
      <c r="R711" s="171"/>
      <c r="S711" s="318"/>
      <c r="T711" s="172">
        <v>117604.61</v>
      </c>
      <c r="U711" s="6"/>
      <c r="V711" s="5"/>
    </row>
    <row r="712" spans="3:22" ht="19.5" customHeight="1">
      <c r="C712" s="549" t="s">
        <v>1253</v>
      </c>
      <c r="D712" s="549"/>
      <c r="E712" s="173">
        <v>45463</v>
      </c>
      <c r="F712" s="173">
        <v>45463</v>
      </c>
      <c r="G712" s="171" t="s">
        <v>1203</v>
      </c>
      <c r="H712" s="172">
        <v>65870.5</v>
      </c>
      <c r="K712" s="4"/>
      <c r="L712" s="4"/>
      <c r="O712" s="549" t="s">
        <v>1605</v>
      </c>
      <c r="P712" s="549"/>
      <c r="Q712" s="271"/>
      <c r="R712" s="269"/>
      <c r="S712" s="319"/>
      <c r="T712" s="270">
        <v>167946.61</v>
      </c>
      <c r="U712" s="6"/>
      <c r="V712" s="5"/>
    </row>
    <row r="713" spans="3:22" ht="19.5" customHeight="1">
      <c r="C713" s="549" t="s">
        <v>1254</v>
      </c>
      <c r="D713" s="549"/>
      <c r="E713" s="173">
        <v>45463</v>
      </c>
      <c r="F713" s="173">
        <v>45463</v>
      </c>
      <c r="G713" s="171" t="s">
        <v>1203</v>
      </c>
      <c r="H713" s="172">
        <v>16468</v>
      </c>
      <c r="K713" s="4"/>
      <c r="L713" s="4"/>
      <c r="O713" s="549" t="s">
        <v>1891</v>
      </c>
      <c r="P713" s="549"/>
      <c r="Q713" s="271"/>
      <c r="R713" s="269"/>
      <c r="S713" s="319"/>
      <c r="T713" s="270">
        <v>479496.55</v>
      </c>
      <c r="U713" s="6"/>
      <c r="V713" s="5"/>
    </row>
    <row r="714" spans="3:22" ht="19.5" customHeight="1">
      <c r="C714" s="549" t="s">
        <v>1321</v>
      </c>
      <c r="D714" s="549"/>
      <c r="E714" s="173">
        <v>45502</v>
      </c>
      <c r="F714" s="173">
        <v>45502</v>
      </c>
      <c r="G714" s="171" t="s">
        <v>1189</v>
      </c>
      <c r="H714" s="172">
        <v>75035.899999999994</v>
      </c>
      <c r="K714" s="4"/>
      <c r="L714" s="4"/>
      <c r="O714" s="549" t="s">
        <v>1892</v>
      </c>
      <c r="P714" s="549"/>
      <c r="Q714" s="271"/>
      <c r="R714" s="269"/>
      <c r="S714" s="319"/>
      <c r="T714" s="270">
        <f>SUM(O683:O686)</f>
        <v>298180.8600000001</v>
      </c>
      <c r="U714" s="6"/>
      <c r="V714" s="5"/>
    </row>
    <row r="715" spans="3:22" ht="19.5" customHeight="1">
      <c r="C715" s="549" t="s">
        <v>1322</v>
      </c>
      <c r="D715" s="549"/>
      <c r="E715" s="173">
        <v>45503</v>
      </c>
      <c r="F715" s="173">
        <v>45503</v>
      </c>
      <c r="G715" s="171" t="s">
        <v>1189</v>
      </c>
      <c r="H715" s="172">
        <v>3201.96</v>
      </c>
      <c r="K715" s="4"/>
      <c r="L715" s="4"/>
      <c r="O715" s="549"/>
      <c r="P715" s="549"/>
      <c r="Q715" s="271"/>
      <c r="R715" s="269"/>
      <c r="S715" s="319"/>
      <c r="T715" s="270"/>
      <c r="U715" s="6"/>
      <c r="V715" s="5"/>
    </row>
    <row r="716" spans="3:22" ht="19.5" customHeight="1">
      <c r="C716" s="549" t="s">
        <v>1323</v>
      </c>
      <c r="D716" s="549"/>
      <c r="E716" s="173">
        <v>45506</v>
      </c>
      <c r="F716" s="173">
        <v>45506</v>
      </c>
      <c r="G716" s="171" t="s">
        <v>1324</v>
      </c>
      <c r="H716" s="172">
        <v>43780</v>
      </c>
      <c r="K716" s="4"/>
      <c r="L716" s="4"/>
      <c r="O716" s="549"/>
      <c r="P716" s="549"/>
      <c r="Q716" s="271"/>
      <c r="R716" s="269"/>
      <c r="S716" s="319"/>
      <c r="T716" s="270"/>
      <c r="U716" s="6"/>
      <c r="V716" s="5"/>
    </row>
    <row r="717" spans="3:22" ht="19.5" customHeight="1">
      <c r="C717" s="549" t="s">
        <v>1325</v>
      </c>
      <c r="D717" s="549"/>
      <c r="E717" s="173">
        <v>45510</v>
      </c>
      <c r="F717" s="173">
        <v>45510</v>
      </c>
      <c r="G717" s="171" t="s">
        <v>1189</v>
      </c>
      <c r="H717" s="172">
        <v>13904.88</v>
      </c>
      <c r="K717" s="4"/>
      <c r="L717" s="4"/>
      <c r="O717" s="549"/>
      <c r="P717" s="549"/>
      <c r="Q717" s="271"/>
      <c r="R717" s="269"/>
      <c r="S717" s="319"/>
      <c r="T717" s="270"/>
      <c r="U717" s="6"/>
      <c r="V717" s="5"/>
    </row>
    <row r="718" spans="3:22" ht="19.5" customHeight="1">
      <c r="C718" s="549" t="s">
        <v>1326</v>
      </c>
      <c r="D718" s="549"/>
      <c r="E718" s="173">
        <v>45516</v>
      </c>
      <c r="F718" s="173">
        <v>45516</v>
      </c>
      <c r="G718" s="171" t="s">
        <v>1189</v>
      </c>
      <c r="H718" s="172">
        <v>171.67</v>
      </c>
      <c r="K718" s="4"/>
      <c r="L718" s="4"/>
      <c r="O718" s="550"/>
      <c r="P718" s="550"/>
      <c r="Q718" s="175"/>
      <c r="R718" s="176"/>
      <c r="S718" s="320"/>
      <c r="T718" s="177"/>
      <c r="U718" s="6"/>
      <c r="V718" s="5"/>
    </row>
    <row r="719" spans="3:22" ht="19.5" customHeight="1">
      <c r="C719" s="549" t="s">
        <v>1327</v>
      </c>
      <c r="D719" s="549"/>
      <c r="E719" s="173">
        <v>45516</v>
      </c>
      <c r="F719" s="173">
        <v>45516</v>
      </c>
      <c r="G719" s="171" t="s">
        <v>1189</v>
      </c>
      <c r="H719" s="172">
        <v>29223.439999999999</v>
      </c>
      <c r="K719" s="4"/>
      <c r="L719" s="4"/>
      <c r="O719" s="179"/>
      <c r="P719" s="180"/>
      <c r="Q719" s="180"/>
      <c r="R719" s="180"/>
      <c r="S719" s="180"/>
      <c r="T719" s="181">
        <f>SUM(T703:T718)</f>
        <v>2356890.62</v>
      </c>
      <c r="U719" s="6"/>
      <c r="V719" s="5"/>
    </row>
    <row r="720" spans="3:22" ht="19.5" customHeight="1">
      <c r="C720" s="549" t="s">
        <v>1328</v>
      </c>
      <c r="D720" s="549"/>
      <c r="E720" s="173">
        <v>45518</v>
      </c>
      <c r="F720" s="173">
        <v>45518</v>
      </c>
      <c r="G720" s="171" t="s">
        <v>1189</v>
      </c>
      <c r="H720" s="172">
        <v>7038.13</v>
      </c>
      <c r="K720" s="4"/>
      <c r="L720" s="4"/>
      <c r="U720" s="6"/>
      <c r="V720" s="5"/>
    </row>
    <row r="721" spans="3:22" ht="19.5" customHeight="1">
      <c r="C721" s="549" t="s">
        <v>1436</v>
      </c>
      <c r="D721" s="549"/>
      <c r="E721" s="173">
        <v>45545</v>
      </c>
      <c r="F721" s="173">
        <v>45545</v>
      </c>
      <c r="G721" s="171" t="s">
        <v>1189</v>
      </c>
      <c r="H721" s="172">
        <v>38536.79</v>
      </c>
      <c r="K721" s="4"/>
      <c r="L721" s="4"/>
      <c r="T721" s="183"/>
      <c r="U721" s="6"/>
      <c r="V721" s="5"/>
    </row>
    <row r="722" spans="3:22" ht="19.5" customHeight="1">
      <c r="C722" s="549" t="s">
        <v>1437</v>
      </c>
      <c r="D722" s="549"/>
      <c r="E722" s="173">
        <v>45541</v>
      </c>
      <c r="F722" s="173">
        <v>45541</v>
      </c>
      <c r="G722" s="171" t="s">
        <v>1324</v>
      </c>
      <c r="H722" s="172">
        <v>68671.320000000007</v>
      </c>
      <c r="K722" s="4"/>
      <c r="L722" s="4"/>
      <c r="U722" s="6"/>
      <c r="V722" s="5"/>
    </row>
    <row r="723" spans="3:22" ht="19.5" customHeight="1">
      <c r="C723" s="549" t="s">
        <v>1438</v>
      </c>
      <c r="D723" s="549"/>
      <c r="E723" s="173">
        <v>45566</v>
      </c>
      <c r="F723" s="173">
        <v>45566</v>
      </c>
      <c r="G723" s="171" t="s">
        <v>1324</v>
      </c>
      <c r="H723" s="172">
        <v>17795</v>
      </c>
      <c r="K723" s="4"/>
      <c r="L723" s="4"/>
      <c r="U723" s="6"/>
      <c r="V723" s="5"/>
    </row>
    <row r="724" spans="3:22" ht="19.5" customHeight="1">
      <c r="C724" s="549" t="s">
        <v>1439</v>
      </c>
      <c r="D724" s="549"/>
      <c r="E724" s="173">
        <v>45581</v>
      </c>
      <c r="F724" s="173">
        <v>45581</v>
      </c>
      <c r="G724" s="171" t="s">
        <v>1189</v>
      </c>
      <c r="H724" s="172">
        <v>86512.68</v>
      </c>
      <c r="K724" s="4"/>
      <c r="L724" s="4"/>
      <c r="U724" s="6"/>
      <c r="V724" s="5"/>
    </row>
    <row r="725" spans="3:22" ht="19.5" customHeight="1">
      <c r="C725" s="549" t="s">
        <v>1580</v>
      </c>
      <c r="D725" s="549"/>
      <c r="E725" s="173">
        <v>45572</v>
      </c>
      <c r="F725" s="173">
        <v>45572</v>
      </c>
      <c r="G725" s="171" t="s">
        <v>1324</v>
      </c>
      <c r="H725" s="172">
        <v>55880</v>
      </c>
      <c r="K725" s="4"/>
      <c r="L725" s="4"/>
      <c r="U725" s="6"/>
      <c r="V725" s="5"/>
    </row>
    <row r="726" spans="3:22" ht="19.5" customHeight="1">
      <c r="C726" s="549" t="s">
        <v>1581</v>
      </c>
      <c r="D726" s="549"/>
      <c r="E726" s="173">
        <v>45602</v>
      </c>
      <c r="F726" s="173">
        <v>45602</v>
      </c>
      <c r="G726" s="171" t="s">
        <v>1189</v>
      </c>
      <c r="H726" s="172">
        <v>38402.1</v>
      </c>
      <c r="K726" s="4"/>
      <c r="L726" s="4"/>
      <c r="U726" s="6"/>
      <c r="V726" s="5"/>
    </row>
    <row r="727" spans="3:22" ht="19.5" customHeight="1">
      <c r="C727" s="549" t="s">
        <v>1582</v>
      </c>
      <c r="D727" s="549"/>
      <c r="E727" s="173">
        <v>45609</v>
      </c>
      <c r="F727" s="173">
        <v>45609</v>
      </c>
      <c r="G727" s="171" t="s">
        <v>1189</v>
      </c>
      <c r="H727" s="172">
        <v>82512.91</v>
      </c>
      <c r="K727" s="4"/>
      <c r="L727" s="4"/>
      <c r="U727" s="6"/>
      <c r="V727" s="5"/>
    </row>
    <row r="728" spans="3:22" ht="19.5" customHeight="1">
      <c r="C728" s="549" t="s">
        <v>1583</v>
      </c>
      <c r="D728" s="549"/>
      <c r="E728" s="173">
        <v>45567</v>
      </c>
      <c r="F728" s="173">
        <v>45567</v>
      </c>
      <c r="G728" s="171" t="s">
        <v>1584</v>
      </c>
      <c r="H728" s="172">
        <v>17981.580000000002</v>
      </c>
      <c r="K728" s="4"/>
      <c r="L728" s="4"/>
      <c r="U728" s="6"/>
      <c r="V728" s="5"/>
    </row>
    <row r="729" spans="3:22" ht="19.5" customHeight="1">
      <c r="C729" s="549" t="s">
        <v>1585</v>
      </c>
      <c r="D729" s="549"/>
      <c r="E729" s="173">
        <v>45610</v>
      </c>
      <c r="F729" s="271">
        <v>45610</v>
      </c>
      <c r="G729" s="269" t="s">
        <v>1584</v>
      </c>
      <c r="H729" s="270">
        <v>27039.39</v>
      </c>
      <c r="K729" s="4"/>
      <c r="L729" s="4"/>
      <c r="U729" s="6"/>
      <c r="V729" s="5"/>
    </row>
    <row r="730" spans="3:22" ht="19.5" customHeight="1">
      <c r="C730" s="549" t="s">
        <v>1583</v>
      </c>
      <c r="D730" s="549"/>
      <c r="E730" s="173">
        <v>45610</v>
      </c>
      <c r="F730" s="271">
        <v>45610</v>
      </c>
      <c r="G730" s="269" t="s">
        <v>1584</v>
      </c>
      <c r="H730" s="270">
        <v>42442.61</v>
      </c>
      <c r="K730" s="4"/>
      <c r="L730" s="4"/>
      <c r="U730" s="6"/>
      <c r="V730" s="5"/>
    </row>
    <row r="731" spans="3:22" ht="19.5" customHeight="1">
      <c r="C731" s="549" t="s">
        <v>1586</v>
      </c>
      <c r="D731" s="549"/>
      <c r="E731" s="271">
        <v>45624</v>
      </c>
      <c r="F731" s="271">
        <v>45624</v>
      </c>
      <c r="G731" s="269" t="s">
        <v>1189</v>
      </c>
      <c r="H731" s="270">
        <v>128994.73</v>
      </c>
      <c r="K731" s="4"/>
      <c r="L731" s="4"/>
      <c r="U731" s="6"/>
      <c r="V731" s="5"/>
    </row>
    <row r="732" spans="3:22" ht="19.5" customHeight="1">
      <c r="C732" s="549" t="s">
        <v>1597</v>
      </c>
      <c r="D732" s="549"/>
      <c r="E732" s="173">
        <v>45656</v>
      </c>
      <c r="F732" s="271">
        <v>45656</v>
      </c>
      <c r="G732" s="269" t="s">
        <v>1584</v>
      </c>
      <c r="H732" s="270">
        <v>52604.61</v>
      </c>
      <c r="K732" s="4"/>
      <c r="L732" s="4"/>
      <c r="U732" s="6"/>
      <c r="V732" s="5"/>
    </row>
    <row r="733" spans="3:22" ht="19.5" customHeight="1">
      <c r="C733" s="549" t="s">
        <v>1598</v>
      </c>
      <c r="D733" s="549"/>
      <c r="E733" s="271">
        <v>45656</v>
      </c>
      <c r="F733" s="271">
        <v>45656</v>
      </c>
      <c r="G733" s="269" t="s">
        <v>1189</v>
      </c>
      <c r="H733" s="270">
        <v>3247.6</v>
      </c>
      <c r="K733" s="4"/>
      <c r="L733" s="4"/>
      <c r="U733" s="6"/>
      <c r="V733" s="5"/>
    </row>
    <row r="734" spans="3:22" ht="19.5" customHeight="1">
      <c r="C734" s="549" t="s">
        <v>1599</v>
      </c>
      <c r="D734" s="549"/>
      <c r="E734" s="271">
        <v>45656</v>
      </c>
      <c r="F734" s="271">
        <v>45656</v>
      </c>
      <c r="G734" s="269" t="s">
        <v>1189</v>
      </c>
      <c r="H734" s="270">
        <v>20177.939999999999</v>
      </c>
      <c r="K734" s="4"/>
      <c r="L734" s="4"/>
      <c r="U734" s="6"/>
      <c r="V734" s="5"/>
    </row>
    <row r="735" spans="3:22" ht="19.5" customHeight="1">
      <c r="C735" s="549" t="s">
        <v>1600</v>
      </c>
      <c r="D735" s="549"/>
      <c r="E735" s="271">
        <v>45656</v>
      </c>
      <c r="F735" s="271">
        <v>45656</v>
      </c>
      <c r="G735" s="269" t="s">
        <v>1189</v>
      </c>
      <c r="H735" s="270">
        <v>97982.98</v>
      </c>
      <c r="K735" s="4"/>
      <c r="L735" s="4"/>
      <c r="U735" s="6"/>
      <c r="V735" s="5"/>
    </row>
    <row r="736" spans="3:22" ht="19.5" customHeight="1">
      <c r="C736" s="549" t="s">
        <v>1601</v>
      </c>
      <c r="D736" s="549"/>
      <c r="E736" s="271">
        <v>45656</v>
      </c>
      <c r="F736" s="271">
        <v>45656</v>
      </c>
      <c r="G736" s="269" t="s">
        <v>1189</v>
      </c>
      <c r="H736" s="270">
        <v>10778.64</v>
      </c>
      <c r="K736" s="4"/>
      <c r="L736" s="4"/>
      <c r="U736" s="6"/>
      <c r="V736" s="5"/>
    </row>
    <row r="737" spans="3:22" ht="19.5" customHeight="1">
      <c r="C737" s="549" t="s">
        <v>1606</v>
      </c>
      <c r="D737" s="549"/>
      <c r="E737" s="271">
        <v>45687</v>
      </c>
      <c r="F737" s="271">
        <v>45687</v>
      </c>
      <c r="G737" s="269" t="s">
        <v>1189</v>
      </c>
      <c r="H737" s="270">
        <v>33875.29</v>
      </c>
      <c r="K737" s="4"/>
      <c r="L737" s="4"/>
      <c r="U737" s="6"/>
      <c r="V737" s="5"/>
    </row>
    <row r="738" spans="3:22" ht="19.5" customHeight="1">
      <c r="C738" s="549" t="s">
        <v>1607</v>
      </c>
      <c r="D738" s="549"/>
      <c r="E738" s="271">
        <v>45667</v>
      </c>
      <c r="F738" s="271">
        <v>45667</v>
      </c>
      <c r="G738" s="269" t="s">
        <v>1324</v>
      </c>
      <c r="H738" s="270">
        <v>226542.1</v>
      </c>
      <c r="K738" s="4"/>
      <c r="L738" s="4"/>
      <c r="U738" s="6"/>
      <c r="V738" s="5"/>
    </row>
    <row r="739" spans="3:22" ht="19.5" customHeight="1">
      <c r="C739" s="549" t="s">
        <v>1608</v>
      </c>
      <c r="D739" s="549"/>
      <c r="E739" s="271">
        <v>45705</v>
      </c>
      <c r="F739" s="271">
        <v>45705</v>
      </c>
      <c r="G739" s="269" t="s">
        <v>1189</v>
      </c>
      <c r="H739" s="270">
        <v>18826.669999999998</v>
      </c>
      <c r="K739" s="4"/>
      <c r="L739" s="4"/>
      <c r="U739" s="6"/>
      <c r="V739" s="5"/>
    </row>
    <row r="740" spans="3:22" ht="19.5" customHeight="1">
      <c r="C740" s="549" t="s">
        <v>1609</v>
      </c>
      <c r="D740" s="549"/>
      <c r="E740" s="271">
        <v>45702</v>
      </c>
      <c r="F740" s="271">
        <v>45702</v>
      </c>
      <c r="G740" s="269" t="s">
        <v>1189</v>
      </c>
      <c r="H740" s="270">
        <v>22727.1</v>
      </c>
      <c r="K740" s="4"/>
      <c r="L740" s="4"/>
      <c r="U740" s="6"/>
      <c r="V740" s="5"/>
    </row>
    <row r="741" spans="3:22" ht="19.5" customHeight="1">
      <c r="C741" s="549" t="s">
        <v>1991</v>
      </c>
      <c r="D741" s="549"/>
      <c r="E741" s="271">
        <v>45667</v>
      </c>
      <c r="F741" s="271">
        <v>45692</v>
      </c>
      <c r="G741" s="269" t="s">
        <v>1324</v>
      </c>
      <c r="H741" s="270">
        <v>69015</v>
      </c>
      <c r="K741" s="4"/>
      <c r="L741" s="4"/>
      <c r="U741" s="6"/>
      <c r="V741" s="5"/>
    </row>
    <row r="742" spans="3:22" ht="19.5" customHeight="1">
      <c r="C742" s="549" t="s">
        <v>1992</v>
      </c>
      <c r="D742" s="549"/>
      <c r="E742" s="271">
        <v>45702</v>
      </c>
      <c r="F742" s="271">
        <v>45723</v>
      </c>
      <c r="G742" s="269" t="s">
        <v>1189</v>
      </c>
      <c r="H742" s="270">
        <v>23586.58</v>
      </c>
      <c r="K742" s="4"/>
      <c r="L742" s="4"/>
      <c r="U742" s="6"/>
      <c r="V742" s="5"/>
    </row>
    <row r="743" spans="3:22" ht="19.5" customHeight="1">
      <c r="C743" s="549" t="s">
        <v>1993</v>
      </c>
      <c r="D743" s="549"/>
      <c r="E743" s="271">
        <v>45702</v>
      </c>
      <c r="F743" s="271">
        <v>45726</v>
      </c>
      <c r="G743" s="269" t="s">
        <v>1189</v>
      </c>
      <c r="H743" s="270">
        <v>8507.5</v>
      </c>
      <c r="K743" s="4"/>
      <c r="L743" s="4"/>
      <c r="U743" s="6"/>
      <c r="V743" s="5"/>
    </row>
    <row r="744" spans="3:22" ht="19.5" customHeight="1">
      <c r="C744" s="549" t="s">
        <v>1991</v>
      </c>
      <c r="D744" s="549"/>
      <c r="E744" s="271">
        <v>45667</v>
      </c>
      <c r="F744" s="271">
        <v>45726</v>
      </c>
      <c r="G744" s="269" t="s">
        <v>1324</v>
      </c>
      <c r="H744" s="270">
        <v>129645</v>
      </c>
      <c r="K744" s="4"/>
      <c r="L744" s="4"/>
      <c r="U744" s="6"/>
      <c r="V744" s="5"/>
    </row>
    <row r="745" spans="3:22" ht="19.5" customHeight="1">
      <c r="C745" s="549" t="s">
        <v>1992</v>
      </c>
      <c r="D745" s="549"/>
      <c r="E745" s="271"/>
      <c r="F745" s="271">
        <v>45728</v>
      </c>
      <c r="G745" s="269" t="s">
        <v>1189</v>
      </c>
      <c r="H745" s="270">
        <v>19727.28</v>
      </c>
      <c r="K745" s="4"/>
      <c r="L745" s="4"/>
      <c r="U745" s="6"/>
      <c r="V745" s="5"/>
    </row>
    <row r="746" spans="3:22" ht="19.5" customHeight="1">
      <c r="C746" s="549" t="s">
        <v>1994</v>
      </c>
      <c r="D746" s="549"/>
      <c r="E746" s="173">
        <v>45656</v>
      </c>
      <c r="F746" s="271">
        <v>45730</v>
      </c>
      <c r="G746" s="269" t="s">
        <v>1584</v>
      </c>
      <c r="H746" s="270">
        <v>51939.86</v>
      </c>
      <c r="K746" s="4"/>
      <c r="L746" s="4"/>
      <c r="U746" s="6"/>
      <c r="V746" s="5"/>
    </row>
    <row r="747" spans="3:22" ht="19.5" customHeight="1">
      <c r="C747" s="549" t="s">
        <v>1995</v>
      </c>
      <c r="D747" s="549"/>
      <c r="E747" s="173">
        <v>45656</v>
      </c>
      <c r="F747" s="271" t="s">
        <v>1996</v>
      </c>
      <c r="G747" s="269" t="s">
        <v>1584</v>
      </c>
      <c r="H747" s="270">
        <v>48364.25</v>
      </c>
      <c r="K747" s="4"/>
      <c r="L747" s="4"/>
      <c r="U747" s="6"/>
      <c r="V747" s="5"/>
    </row>
    <row r="748" spans="3:22" ht="19.5" customHeight="1">
      <c r="C748" s="345"/>
      <c r="D748" s="346"/>
      <c r="E748" s="271"/>
      <c r="F748" s="271"/>
      <c r="G748" s="269"/>
      <c r="H748" s="270"/>
      <c r="K748" s="4"/>
      <c r="L748" s="4"/>
      <c r="U748" s="6"/>
      <c r="V748" s="5"/>
    </row>
    <row r="749" spans="3:22" ht="19.5" customHeight="1">
      <c r="C749" s="345"/>
      <c r="D749" s="346"/>
      <c r="E749" s="271"/>
      <c r="F749" s="271"/>
      <c r="G749" s="269"/>
      <c r="H749" s="270"/>
      <c r="K749" s="4"/>
      <c r="L749" s="4"/>
      <c r="U749" s="6"/>
      <c r="V749" s="5"/>
    </row>
    <row r="750" spans="3:22" ht="19.5" customHeight="1">
      <c r="C750" s="550"/>
      <c r="D750" s="550"/>
      <c r="E750" s="175"/>
      <c r="F750" s="175"/>
      <c r="G750" s="176"/>
      <c r="H750" s="177"/>
      <c r="K750" s="4"/>
      <c r="L750" s="4"/>
      <c r="U750" s="6"/>
      <c r="V750" s="5"/>
    </row>
    <row r="751" spans="3:22" ht="19.5" customHeight="1">
      <c r="C751" s="179"/>
      <c r="D751" s="180"/>
      <c r="E751" s="180"/>
      <c r="F751" s="180"/>
      <c r="G751" s="180"/>
      <c r="H751" s="181">
        <f>SUM(H703:H750)</f>
        <v>2356890.6199999996</v>
      </c>
      <c r="K751" s="4"/>
      <c r="L751" s="4"/>
      <c r="U751" s="6"/>
      <c r="V751" s="5"/>
    </row>
    <row r="752" spans="3:22">
      <c r="U752" s="6"/>
      <c r="V752" s="5"/>
    </row>
    <row r="753" spans="1:25">
      <c r="U753" s="6"/>
      <c r="V753" s="5"/>
    </row>
    <row r="754" spans="1:25" ht="28.8">
      <c r="C754" s="226" t="s">
        <v>1255</v>
      </c>
      <c r="D754" s="560" t="s">
        <v>1256</v>
      </c>
      <c r="E754" s="560"/>
      <c r="F754" s="560"/>
      <c r="G754" s="560"/>
      <c r="H754" s="227" t="s">
        <v>1257</v>
      </c>
      <c r="I754" s="5"/>
      <c r="J754" s="228" t="s">
        <v>1258</v>
      </c>
      <c r="K754" s="229" t="s">
        <v>1259</v>
      </c>
      <c r="U754" s="6"/>
      <c r="V754" s="5"/>
    </row>
    <row r="755" spans="1:25">
      <c r="C755" s="230" t="s">
        <v>1260</v>
      </c>
      <c r="D755" s="574">
        <f>'BM 011'!D747+'BM 012'!O683</f>
        <v>388833.5</v>
      </c>
      <c r="E755" s="574"/>
      <c r="F755" s="574"/>
      <c r="G755" s="574"/>
      <c r="H755" s="232" t="s">
        <v>1261</v>
      </c>
      <c r="I755" s="2"/>
      <c r="J755" s="233">
        <f>SUMIF($G$703:$G$750,H755,$H$703:$H$750)</f>
        <v>388833.5</v>
      </c>
      <c r="K755" s="233">
        <f t="shared" ref="K755:K765" si="317">J755-D755</f>
        <v>0</v>
      </c>
      <c r="U755" s="6"/>
      <c r="V755" s="5"/>
    </row>
    <row r="756" spans="1:25">
      <c r="C756" s="234" t="s">
        <v>1329</v>
      </c>
      <c r="D756" s="564">
        <f>'BM 011'!D748+'BM 012'!O684</f>
        <v>1116356.4000000001</v>
      </c>
      <c r="E756" s="564"/>
      <c r="F756" s="564"/>
      <c r="G756" s="564"/>
      <c r="H756" s="235" t="s">
        <v>1263</v>
      </c>
      <c r="I756" s="2"/>
      <c r="J756" s="236">
        <f>SUMIF($G$703:$G$750,H756,$H$703:$H$750)</f>
        <v>1116356.3999999999</v>
      </c>
      <c r="K756" s="236">
        <f t="shared" si="317"/>
        <v>0</v>
      </c>
    </row>
    <row r="757" spans="1:25">
      <c r="C757" s="234" t="s">
        <v>1330</v>
      </c>
      <c r="D757" s="564">
        <f>'BM 011'!D749+'BM 012'!O685</f>
        <v>611328.42000000004</v>
      </c>
      <c r="E757" s="564"/>
      <c r="F757" s="564"/>
      <c r="G757" s="564"/>
      <c r="H757" s="235" t="s">
        <v>1331</v>
      </c>
      <c r="I757" s="2"/>
      <c r="J757" s="236">
        <f>SUMIF($G$703:$G$750,H757,$H$703:$H$750)</f>
        <v>611328.42000000004</v>
      </c>
      <c r="K757" s="236">
        <f t="shared" si="317"/>
        <v>0</v>
      </c>
    </row>
    <row r="758" spans="1:25" s="5" customFormat="1">
      <c r="A758" s="2"/>
      <c r="B758" s="2"/>
      <c r="C758" s="234" t="s">
        <v>1587</v>
      </c>
      <c r="D758" s="564">
        <f>'BM 011'!D750+'BM 012'!O686</f>
        <v>240372.3</v>
      </c>
      <c r="E758" s="564"/>
      <c r="F758" s="564"/>
      <c r="G758" s="564"/>
      <c r="H758" s="235" t="s">
        <v>1584</v>
      </c>
      <c r="I758" s="2"/>
      <c r="J758" s="236">
        <f>SUMIF($G$703:$G$750,H758,$H$703:$H$750)</f>
        <v>240372.3</v>
      </c>
      <c r="K758" s="236">
        <f t="shared" si="317"/>
        <v>0</v>
      </c>
      <c r="Q758" s="6"/>
      <c r="R758" s="6"/>
      <c r="S758" s="6"/>
      <c r="U758" s="2"/>
      <c r="V758" s="2"/>
      <c r="W758" s="2"/>
      <c r="X758" s="2"/>
      <c r="Y758" s="2"/>
    </row>
    <row r="759" spans="1:25">
      <c r="C759" s="234"/>
      <c r="D759" s="561"/>
      <c r="E759" s="561"/>
      <c r="F759" s="561"/>
      <c r="G759" s="561"/>
      <c r="H759" s="235" t="s">
        <v>1265</v>
      </c>
      <c r="I759" s="2"/>
      <c r="J759" s="238">
        <f t="shared" ref="J759:J765" si="318">SUMIF($H$780:$H$818,H759,$I$780:$J$818)</f>
        <v>0</v>
      </c>
      <c r="K759" s="236">
        <f t="shared" si="317"/>
        <v>0</v>
      </c>
    </row>
    <row r="760" spans="1:25">
      <c r="C760" s="234"/>
      <c r="D760" s="561"/>
      <c r="E760" s="561"/>
      <c r="F760" s="561"/>
      <c r="G760" s="561"/>
      <c r="H760" s="237" t="s">
        <v>1266</v>
      </c>
      <c r="I760" s="2"/>
      <c r="J760" s="238">
        <f t="shared" si="318"/>
        <v>0</v>
      </c>
      <c r="K760" s="236">
        <f t="shared" si="317"/>
        <v>0</v>
      </c>
    </row>
    <row r="761" spans="1:25">
      <c r="C761" s="234"/>
      <c r="D761" s="561"/>
      <c r="E761" s="561"/>
      <c r="F761" s="561"/>
      <c r="G761" s="561"/>
      <c r="H761" s="237" t="s">
        <v>1267</v>
      </c>
      <c r="I761" s="2"/>
      <c r="J761" s="238">
        <f t="shared" si="318"/>
        <v>0</v>
      </c>
      <c r="K761" s="236">
        <f t="shared" si="317"/>
        <v>0</v>
      </c>
    </row>
    <row r="762" spans="1:25">
      <c r="C762" s="234"/>
      <c r="D762" s="561"/>
      <c r="E762" s="561"/>
      <c r="F762" s="561"/>
      <c r="G762" s="561"/>
      <c r="H762" s="237" t="s">
        <v>1268</v>
      </c>
      <c r="I762" s="2"/>
      <c r="J762" s="238">
        <f t="shared" si="318"/>
        <v>0</v>
      </c>
      <c r="K762" s="236">
        <f t="shared" si="317"/>
        <v>0</v>
      </c>
    </row>
    <row r="763" spans="1:25">
      <c r="C763" s="234"/>
      <c r="D763" s="561"/>
      <c r="E763" s="561"/>
      <c r="F763" s="561"/>
      <c r="G763" s="561"/>
      <c r="H763" s="237" t="s">
        <v>1269</v>
      </c>
      <c r="I763" s="2"/>
      <c r="J763" s="238">
        <f t="shared" si="318"/>
        <v>0</v>
      </c>
      <c r="K763" s="236">
        <f t="shared" si="317"/>
        <v>0</v>
      </c>
    </row>
    <row r="764" spans="1:25">
      <c r="C764" s="234"/>
      <c r="D764" s="561"/>
      <c r="E764" s="561"/>
      <c r="F764" s="561"/>
      <c r="G764" s="561"/>
      <c r="H764" s="237"/>
      <c r="I764" s="2"/>
      <c r="J764" s="238">
        <f t="shared" si="318"/>
        <v>0</v>
      </c>
      <c r="K764" s="236">
        <f t="shared" si="317"/>
        <v>0</v>
      </c>
    </row>
    <row r="765" spans="1:25">
      <c r="C765" s="239"/>
      <c r="D765" s="562"/>
      <c r="E765" s="562"/>
      <c r="F765" s="562"/>
      <c r="G765" s="562"/>
      <c r="H765" s="240"/>
      <c r="I765" s="2"/>
      <c r="J765" s="241">
        <f t="shared" si="318"/>
        <v>0</v>
      </c>
      <c r="K765" s="241">
        <f t="shared" si="317"/>
        <v>0</v>
      </c>
    </row>
    <row r="766" spans="1:25">
      <c r="D766" s="563">
        <f>SUM(D755:G765)</f>
        <v>2356890.62</v>
      </c>
      <c r="E766" s="563"/>
      <c r="F766" s="563"/>
      <c r="G766" s="563"/>
      <c r="I766" s="2"/>
      <c r="J766" s="242">
        <f>SUM(J755:J765)</f>
        <v>2356890.6199999996</v>
      </c>
      <c r="K766" s="242">
        <f>SUM(K755:K765)</f>
        <v>0</v>
      </c>
    </row>
  </sheetData>
  <mergeCells count="166">
    <mergeCell ref="D763:G763"/>
    <mergeCell ref="D764:G764"/>
    <mergeCell ref="D765:G765"/>
    <mergeCell ref="D766:G766"/>
    <mergeCell ref="D754:G754"/>
    <mergeCell ref="D755:G755"/>
    <mergeCell ref="D756:G756"/>
    <mergeCell ref="D757:G757"/>
    <mergeCell ref="D758:G758"/>
    <mergeCell ref="D759:G759"/>
    <mergeCell ref="D760:G760"/>
    <mergeCell ref="D761:G761"/>
    <mergeCell ref="D762:G762"/>
    <mergeCell ref="C740:D740"/>
    <mergeCell ref="C741:D741"/>
    <mergeCell ref="C742:D742"/>
    <mergeCell ref="C743:D743"/>
    <mergeCell ref="C744:D744"/>
    <mergeCell ref="C745:D745"/>
    <mergeCell ref="C746:D746"/>
    <mergeCell ref="C747:D747"/>
    <mergeCell ref="C750:D750"/>
    <mergeCell ref="C731:D731"/>
    <mergeCell ref="C732:D732"/>
    <mergeCell ref="C733:D733"/>
    <mergeCell ref="C734:D734"/>
    <mergeCell ref="C735:D735"/>
    <mergeCell ref="C736:D736"/>
    <mergeCell ref="C737:D737"/>
    <mergeCell ref="C738:D738"/>
    <mergeCell ref="C739:D739"/>
    <mergeCell ref="C722:D722"/>
    <mergeCell ref="C723:D723"/>
    <mergeCell ref="C724:D724"/>
    <mergeCell ref="C725:D725"/>
    <mergeCell ref="C726:D726"/>
    <mergeCell ref="C727:D727"/>
    <mergeCell ref="C728:D728"/>
    <mergeCell ref="C729:D729"/>
    <mergeCell ref="C730:D730"/>
    <mergeCell ref="C716:D716"/>
    <mergeCell ref="O716:P716"/>
    <mergeCell ref="C717:D717"/>
    <mergeCell ref="O717:P717"/>
    <mergeCell ref="C718:D718"/>
    <mergeCell ref="O718:P718"/>
    <mergeCell ref="C719:D719"/>
    <mergeCell ref="C720:D720"/>
    <mergeCell ref="C721:D721"/>
    <mergeCell ref="C711:D711"/>
    <mergeCell ref="O711:P711"/>
    <mergeCell ref="C712:D712"/>
    <mergeCell ref="O712:P712"/>
    <mergeCell ref="C713:D713"/>
    <mergeCell ref="O713:P713"/>
    <mergeCell ref="C714:D714"/>
    <mergeCell ref="O714:P714"/>
    <mergeCell ref="C715:D715"/>
    <mergeCell ref="O715:P715"/>
    <mergeCell ref="C706:D706"/>
    <mergeCell ref="O706:P706"/>
    <mergeCell ref="C707:D707"/>
    <mergeCell ref="O707:P707"/>
    <mergeCell ref="C708:D708"/>
    <mergeCell ref="O708:P708"/>
    <mergeCell ref="C709:D709"/>
    <mergeCell ref="O709:P709"/>
    <mergeCell ref="C710:D710"/>
    <mergeCell ref="O710:P710"/>
    <mergeCell ref="C700:D700"/>
    <mergeCell ref="C702:H702"/>
    <mergeCell ref="O702:T702"/>
    <mergeCell ref="C703:D703"/>
    <mergeCell ref="O703:P703"/>
    <mergeCell ref="C704:D704"/>
    <mergeCell ref="O704:P704"/>
    <mergeCell ref="C705:D705"/>
    <mergeCell ref="O705:P705"/>
    <mergeCell ref="D692:F692"/>
    <mergeCell ref="J692:K692"/>
    <mergeCell ref="P692:R693"/>
    <mergeCell ref="D693:F693"/>
    <mergeCell ref="J693:K693"/>
    <mergeCell ref="C696:F696"/>
    <mergeCell ref="C697:D697"/>
    <mergeCell ref="C698:D698"/>
    <mergeCell ref="C699:D699"/>
    <mergeCell ref="B682:M682"/>
    <mergeCell ref="B683:M683"/>
    <mergeCell ref="B684:M684"/>
    <mergeCell ref="B685:M685"/>
    <mergeCell ref="B686:M686"/>
    <mergeCell ref="B688:M688"/>
    <mergeCell ref="D690:F690"/>
    <mergeCell ref="J690:K690"/>
    <mergeCell ref="P690:R691"/>
    <mergeCell ref="D691:F691"/>
    <mergeCell ref="J691:K691"/>
    <mergeCell ref="B23:C23"/>
    <mergeCell ref="D23:K23"/>
    <mergeCell ref="M23:P23"/>
    <mergeCell ref="Q23:T23"/>
    <mergeCell ref="B24:T24"/>
    <mergeCell ref="B26:B27"/>
    <mergeCell ref="C26:C27"/>
    <mergeCell ref="D26:D27"/>
    <mergeCell ref="E26:K26"/>
    <mergeCell ref="O26:T26"/>
    <mergeCell ref="B20:C20"/>
    <mergeCell ref="D20:K20"/>
    <mergeCell ref="M20:P20"/>
    <mergeCell ref="Q20:T20"/>
    <mergeCell ref="B21:C21"/>
    <mergeCell ref="D21:K21"/>
    <mergeCell ref="M21:P21"/>
    <mergeCell ref="Q21:T21"/>
    <mergeCell ref="B22:C22"/>
    <mergeCell ref="D22:K22"/>
    <mergeCell ref="M22:P22"/>
    <mergeCell ref="Q22:T22"/>
    <mergeCell ref="B16:C16"/>
    <mergeCell ref="D16:H16"/>
    <mergeCell ref="J16:K16"/>
    <mergeCell ref="M16:O16"/>
    <mergeCell ref="Q16:T16"/>
    <mergeCell ref="B17:T17"/>
    <mergeCell ref="B18:T18"/>
    <mergeCell ref="B19:C19"/>
    <mergeCell ref="D19:K19"/>
    <mergeCell ref="M19:P19"/>
    <mergeCell ref="Q19:T19"/>
    <mergeCell ref="B13:C13"/>
    <mergeCell ref="D13:K13"/>
    <mergeCell ref="M13:P13"/>
    <mergeCell ref="Q13:T13"/>
    <mergeCell ref="B14:C14"/>
    <mergeCell ref="D14:K14"/>
    <mergeCell ref="M14:P14"/>
    <mergeCell ref="Q14:T14"/>
    <mergeCell ref="B15:C15"/>
    <mergeCell ref="D15:H15"/>
    <mergeCell ref="J15:K15"/>
    <mergeCell ref="M15:O15"/>
    <mergeCell ref="Q15:T15"/>
    <mergeCell ref="B10:C10"/>
    <mergeCell ref="D10:K10"/>
    <mergeCell ref="M10:P10"/>
    <mergeCell ref="Q10:T10"/>
    <mergeCell ref="B11:C11"/>
    <mergeCell ref="D11:K11"/>
    <mergeCell ref="M11:P11"/>
    <mergeCell ref="Q11:T11"/>
    <mergeCell ref="B12:C12"/>
    <mergeCell ref="D12:H12"/>
    <mergeCell ref="J12:K12"/>
    <mergeCell ref="M12:O12"/>
    <mergeCell ref="Q12:T12"/>
    <mergeCell ref="B2:T2"/>
    <mergeCell ref="B3:T3"/>
    <mergeCell ref="B4:T4"/>
    <mergeCell ref="B5:T5"/>
    <mergeCell ref="B6:T6"/>
    <mergeCell ref="B7:T7"/>
    <mergeCell ref="B8:T8"/>
    <mergeCell ref="B9:C9"/>
    <mergeCell ref="D9:T9"/>
  </mergeCells>
  <conditionalFormatting sqref="T28:T597 T600:T604 T606:T608 T610:T620 T622:T624 T626:T631 T633:T653 T655:T667 T669 T671:T672 T674:T679 T681">
    <cfRule type="cellIs" dxfId="2" priority="2" operator="lessThan">
      <formula>0</formula>
    </cfRule>
  </conditionalFormatting>
  <printOptions horizontalCentered="1"/>
  <pageMargins left="0.51180555555555596" right="0.51180555555555596" top="0.78749999999999998" bottom="1.1812499999999999" header="0.511811023622047" footer="0.511811023622047"/>
  <pageSetup paperSize="9" scale="38" fitToHeight="26" orientation="portrait" horizontalDpi="300" verticalDpi="300" r:id="rId1"/>
  <colBreaks count="1" manualBreakCount="1">
    <brk id="20"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O1908"/>
  <sheetViews>
    <sheetView view="pageBreakPreview" topLeftCell="A13" zoomScale="75" zoomScaleNormal="80" zoomScalePageLayoutView="75" workbookViewId="0">
      <selection activeCell="I22" sqref="I22"/>
    </sheetView>
  </sheetViews>
  <sheetFormatPr defaultColWidth="8.88671875" defaultRowHeight="14.4"/>
  <cols>
    <col min="1" max="1" width="2.44140625" customWidth="1"/>
    <col min="2" max="2" width="32.88671875" customWidth="1"/>
    <col min="3" max="3" width="13.5546875" customWidth="1"/>
    <col min="4" max="4" width="9.44140625" customWidth="1"/>
    <col min="5" max="5" width="10.109375" customWidth="1"/>
    <col min="6" max="6" width="10.6640625" customWidth="1"/>
    <col min="7" max="8" width="9.44140625" customWidth="1"/>
    <col min="9" max="9" width="14.5546875" customWidth="1"/>
    <col min="10" max="10" width="10.88671875" customWidth="1"/>
    <col min="11" max="11" width="16.88671875" customWidth="1"/>
    <col min="12" max="12" width="25" customWidth="1"/>
    <col min="13" max="13" width="2.5546875" customWidth="1"/>
    <col min="15" max="15" width="12.21875" customWidth="1"/>
  </cols>
  <sheetData>
    <row r="1" spans="2:12" ht="6" customHeight="1"/>
    <row r="2" spans="2:12" ht="29.25" customHeight="1">
      <c r="B2" s="551"/>
      <c r="C2" s="551"/>
      <c r="D2" s="551"/>
      <c r="E2" s="551"/>
      <c r="F2" s="551"/>
      <c r="G2" s="551"/>
      <c r="H2" s="551"/>
      <c r="I2" s="551"/>
      <c r="J2" s="551"/>
      <c r="K2" s="551"/>
      <c r="L2" s="551"/>
    </row>
    <row r="3" spans="2:12" ht="29.25" customHeight="1">
      <c r="B3" s="552" t="s">
        <v>4</v>
      </c>
      <c r="C3" s="552"/>
      <c r="D3" s="552"/>
      <c r="E3" s="552"/>
      <c r="F3" s="552"/>
      <c r="G3" s="552"/>
      <c r="H3" s="552"/>
      <c r="I3" s="552"/>
      <c r="J3" s="552"/>
      <c r="K3" s="552"/>
      <c r="L3" s="552"/>
    </row>
    <row r="4" spans="2:12" ht="29.25" customHeight="1">
      <c r="B4" s="553"/>
      <c r="C4" s="553"/>
      <c r="D4" s="553"/>
      <c r="E4" s="553"/>
      <c r="F4" s="553"/>
      <c r="G4" s="553"/>
      <c r="H4" s="553"/>
      <c r="I4" s="553"/>
      <c r="J4" s="553"/>
      <c r="K4" s="553"/>
      <c r="L4" s="553"/>
    </row>
    <row r="5" spans="2:12" ht="6" customHeight="1">
      <c r="B5" s="186"/>
      <c r="C5" s="186"/>
      <c r="D5" s="186"/>
      <c r="E5" s="186"/>
      <c r="F5" s="186"/>
      <c r="G5" s="186"/>
      <c r="H5" s="186"/>
      <c r="I5" s="186"/>
      <c r="J5" s="186"/>
      <c r="K5" s="186"/>
      <c r="L5" s="186"/>
    </row>
    <row r="6" spans="2:12" ht="22.8">
      <c r="B6" s="554" t="s">
        <v>1997</v>
      </c>
      <c r="C6" s="554"/>
      <c r="D6" s="554"/>
      <c r="E6" s="554"/>
      <c r="F6" s="554"/>
      <c r="G6" s="554"/>
      <c r="H6" s="554"/>
      <c r="I6" s="554"/>
      <c r="J6" s="554"/>
      <c r="K6" s="554"/>
      <c r="L6" s="554"/>
    </row>
    <row r="8" spans="2:12" ht="14.25" customHeight="1">
      <c r="B8" s="247" t="s">
        <v>69</v>
      </c>
      <c r="C8" s="565" t="str">
        <f>VLOOKUP(B8,'BM 011'!$B$28:$R$681,2,0)</f>
        <v>ADMINISTRAÇÃO LOCAL DE OBRA</v>
      </c>
      <c r="D8" s="565"/>
      <c r="E8" s="565"/>
      <c r="F8" s="565"/>
      <c r="G8" s="565"/>
      <c r="H8" s="565"/>
      <c r="I8" s="565"/>
      <c r="J8" s="565"/>
      <c r="K8" s="565"/>
      <c r="L8" s="565"/>
    </row>
    <row r="9" spans="2:12">
      <c r="B9" s="187" t="s">
        <v>1209</v>
      </c>
      <c r="C9" s="187"/>
      <c r="D9" s="187" t="s">
        <v>39</v>
      </c>
      <c r="E9" s="187" t="s">
        <v>1210</v>
      </c>
      <c r="F9" s="187" t="s">
        <v>1211</v>
      </c>
      <c r="G9" s="187" t="s">
        <v>1212</v>
      </c>
      <c r="H9" s="187" t="s">
        <v>1213</v>
      </c>
      <c r="I9" s="187" t="s">
        <v>1214</v>
      </c>
      <c r="J9" s="187" t="s">
        <v>1215</v>
      </c>
      <c r="K9" s="187" t="s">
        <v>1216</v>
      </c>
      <c r="L9" s="187" t="s">
        <v>1217</v>
      </c>
    </row>
    <row r="10" spans="2:12">
      <c r="B10" s="188" t="s">
        <v>1218</v>
      </c>
      <c r="C10" s="189" t="s">
        <v>1219</v>
      </c>
      <c r="D10" s="190" t="s">
        <v>1220</v>
      </c>
      <c r="E10" s="191"/>
      <c r="F10" s="192"/>
      <c r="G10" s="192"/>
      <c r="H10" s="191"/>
      <c r="I10" s="193">
        <v>0.41199999999999998</v>
      </c>
      <c r="J10" s="194"/>
      <c r="K10" s="195">
        <f t="shared" ref="K10:K22" si="0">IF(E10*F10*G10&lt;&gt;0,E10*F10*G10,IF(E10*F10&lt;&gt;0,E10*F10,IF(F10*G10&lt;&gt;0,F10*G10,IF(E10*G10&lt;&gt;0,E10*G10,IF(E10&lt;&gt;0,E10,IF(F10&lt;&gt;0,F10,IF(G10&lt;&gt;0,G10,0)))))))*(IF(H10&lt;&gt;0,H10,1))+I10-J10</f>
        <v>0.41199999999999998</v>
      </c>
      <c r="L10" s="196"/>
    </row>
    <row r="11" spans="2:12">
      <c r="B11" s="197" t="s">
        <v>1218</v>
      </c>
      <c r="C11" s="189" t="s">
        <v>1240</v>
      </c>
      <c r="D11" s="190" t="s">
        <v>1226</v>
      </c>
      <c r="E11" s="199"/>
      <c r="F11" s="199"/>
      <c r="G11" s="199"/>
      <c r="H11" s="199"/>
      <c r="I11" s="193">
        <v>0.71599999999999997</v>
      </c>
      <c r="J11" s="201"/>
      <c r="K11" s="195">
        <f t="shared" si="0"/>
        <v>0.71599999999999997</v>
      </c>
      <c r="L11" s="196"/>
    </row>
    <row r="12" spans="2:12">
      <c r="B12" s="197" t="s">
        <v>1218</v>
      </c>
      <c r="C12" s="189" t="s">
        <v>1271</v>
      </c>
      <c r="D12" s="190" t="s">
        <v>1226</v>
      </c>
      <c r="E12" s="199"/>
      <c r="F12" s="199"/>
      <c r="G12" s="199"/>
      <c r="H12" s="199"/>
      <c r="I12" s="193">
        <v>0.432</v>
      </c>
      <c r="J12" s="201"/>
      <c r="K12" s="195">
        <f t="shared" si="0"/>
        <v>0.432</v>
      </c>
      <c r="L12" s="196"/>
    </row>
    <row r="13" spans="2:12">
      <c r="B13" s="197" t="s">
        <v>1218</v>
      </c>
      <c r="C13" s="189" t="s">
        <v>1333</v>
      </c>
      <c r="D13" s="190" t="s">
        <v>1226</v>
      </c>
      <c r="E13" s="199"/>
      <c r="F13" s="199"/>
      <c r="G13" s="199"/>
      <c r="H13" s="199"/>
      <c r="I13" s="193">
        <v>0.53600000000000003</v>
      </c>
      <c r="J13" s="201"/>
      <c r="K13" s="195">
        <f t="shared" si="0"/>
        <v>0.53600000000000003</v>
      </c>
      <c r="L13" s="196"/>
    </row>
    <row r="14" spans="2:12">
      <c r="B14" s="197" t="s">
        <v>1218</v>
      </c>
      <c r="C14" s="189" t="s">
        <v>1441</v>
      </c>
      <c r="D14" s="190" t="s">
        <v>1226</v>
      </c>
      <c r="E14" s="199"/>
      <c r="F14" s="199"/>
      <c r="G14" s="199"/>
      <c r="H14" s="199"/>
      <c r="I14" s="193">
        <v>0.66600000000000004</v>
      </c>
      <c r="J14" s="201"/>
      <c r="K14" s="195">
        <f t="shared" si="0"/>
        <v>0.66600000000000004</v>
      </c>
      <c r="L14" s="196"/>
    </row>
    <row r="15" spans="2:12">
      <c r="B15" s="197" t="s">
        <v>1218</v>
      </c>
      <c r="C15" s="189" t="s">
        <v>1521</v>
      </c>
      <c r="D15" s="190" t="s">
        <v>1226</v>
      </c>
      <c r="E15" s="199"/>
      <c r="F15" s="199"/>
      <c r="G15" s="199"/>
      <c r="H15" s="199"/>
      <c r="I15" s="193">
        <v>0.59399999999999997</v>
      </c>
      <c r="J15" s="201"/>
      <c r="K15" s="195">
        <f t="shared" si="0"/>
        <v>0.59399999999999997</v>
      </c>
      <c r="L15" s="196"/>
    </row>
    <row r="16" spans="2:12">
      <c r="B16" s="197" t="s">
        <v>1218</v>
      </c>
      <c r="C16" s="189" t="s">
        <v>1611</v>
      </c>
      <c r="D16" s="190" t="s">
        <v>1226</v>
      </c>
      <c r="E16" s="199"/>
      <c r="F16" s="199"/>
      <c r="G16" s="199"/>
      <c r="H16" s="199"/>
      <c r="I16" s="193">
        <v>0.59799999999999998</v>
      </c>
      <c r="J16" s="201"/>
      <c r="K16" s="195">
        <f t="shared" si="0"/>
        <v>0.59799999999999998</v>
      </c>
      <c r="L16" s="196"/>
    </row>
    <row r="17" spans="2:12">
      <c r="B17" s="197" t="s">
        <v>1218</v>
      </c>
      <c r="C17" s="189" t="s">
        <v>1612</v>
      </c>
      <c r="D17" s="190" t="s">
        <v>1226</v>
      </c>
      <c r="E17" s="199"/>
      <c r="F17" s="199"/>
      <c r="G17" s="199"/>
      <c r="H17" s="199"/>
      <c r="I17" s="193">
        <v>0.77800000000000002</v>
      </c>
      <c r="J17" s="201"/>
      <c r="K17" s="195">
        <f t="shared" si="0"/>
        <v>0.77800000000000002</v>
      </c>
      <c r="L17" s="196"/>
    </row>
    <row r="18" spans="2:12">
      <c r="B18" s="197" t="s">
        <v>1218</v>
      </c>
      <c r="C18" s="189" t="s">
        <v>1613</v>
      </c>
      <c r="D18" s="190" t="s">
        <v>1226</v>
      </c>
      <c r="E18" s="199"/>
      <c r="F18" s="199"/>
      <c r="G18" s="199"/>
      <c r="H18" s="199"/>
      <c r="I18" s="193">
        <v>0.42399999999999999</v>
      </c>
      <c r="J18" s="201"/>
      <c r="K18" s="195">
        <f t="shared" si="0"/>
        <v>0.42399999999999999</v>
      </c>
      <c r="L18" s="196"/>
    </row>
    <row r="19" spans="2:12">
      <c r="B19" s="197" t="s">
        <v>1218</v>
      </c>
      <c r="C19" s="189" t="s">
        <v>1895</v>
      </c>
      <c r="D19" s="190" t="s">
        <v>1226</v>
      </c>
      <c r="E19" s="199"/>
      <c r="F19" s="199"/>
      <c r="G19" s="199"/>
      <c r="H19" s="199"/>
      <c r="I19" s="193">
        <v>0.45800000000000002</v>
      </c>
      <c r="J19" s="201"/>
      <c r="K19" s="195">
        <f t="shared" si="0"/>
        <v>0.45800000000000002</v>
      </c>
      <c r="L19" s="196"/>
    </row>
    <row r="20" spans="2:12">
      <c r="B20" s="197" t="s">
        <v>1218</v>
      </c>
      <c r="C20" s="189" t="s">
        <v>1931</v>
      </c>
      <c r="D20" s="190" t="s">
        <v>1226</v>
      </c>
      <c r="E20" s="199"/>
      <c r="F20" s="199"/>
      <c r="G20" s="199"/>
      <c r="H20" s="199"/>
      <c r="I20" s="193">
        <v>1.6474</v>
      </c>
      <c r="J20" s="201"/>
      <c r="K20" s="195">
        <f t="shared" si="0"/>
        <v>1.6474</v>
      </c>
      <c r="L20" s="196"/>
    </row>
    <row r="21" spans="2:12">
      <c r="B21" s="197" t="s">
        <v>1218</v>
      </c>
      <c r="C21" s="189" t="s">
        <v>1998</v>
      </c>
      <c r="D21" s="190" t="s">
        <v>1226</v>
      </c>
      <c r="E21" s="199"/>
      <c r="F21" s="199"/>
      <c r="G21" s="199"/>
      <c r="H21" s="199"/>
      <c r="I21" s="193">
        <v>0.89729999999999999</v>
      </c>
      <c r="J21" s="201"/>
      <c r="K21" s="195">
        <f t="shared" si="0"/>
        <v>0.89729999999999999</v>
      </c>
      <c r="L21" s="196"/>
    </row>
    <row r="22" spans="2:12">
      <c r="B22" s="197"/>
      <c r="C22" s="189"/>
      <c r="D22" s="190"/>
      <c r="E22" s="199"/>
      <c r="F22" s="199"/>
      <c r="G22" s="199"/>
      <c r="H22" s="199"/>
      <c r="I22" s="193"/>
      <c r="J22" s="201"/>
      <c r="K22" s="195">
        <f t="shared" si="0"/>
        <v>0</v>
      </c>
      <c r="L22" s="196"/>
    </row>
    <row r="23" spans="2:12">
      <c r="B23" s="202"/>
      <c r="C23" s="203"/>
      <c r="D23" s="203"/>
      <c r="E23" s="203"/>
      <c r="F23" s="203"/>
      <c r="G23" s="203"/>
      <c r="H23" s="204"/>
      <c r="I23" s="556" t="s">
        <v>1221</v>
      </c>
      <c r="J23" s="556"/>
      <c r="K23" s="206">
        <f>SUM(K10:K22)</f>
        <v>8.1586999999999996</v>
      </c>
      <c r="L23" s="207"/>
    </row>
    <row r="24" spans="2:12">
      <c r="B24" s="208"/>
      <c r="C24" s="204"/>
      <c r="D24" s="204"/>
      <c r="E24" s="204"/>
      <c r="F24" s="204"/>
      <c r="G24" s="204"/>
      <c r="H24" s="209"/>
      <c r="I24" s="557" t="s">
        <v>1222</v>
      </c>
      <c r="J24" s="557"/>
      <c r="K24" s="211">
        <v>20</v>
      </c>
      <c r="L24" s="207"/>
    </row>
    <row r="25" spans="2:12">
      <c r="B25" s="208"/>
      <c r="C25" s="204"/>
      <c r="D25" s="204"/>
      <c r="E25" s="204"/>
      <c r="F25" s="204"/>
      <c r="G25" s="204"/>
      <c r="H25" s="558" t="s">
        <v>1223</v>
      </c>
      <c r="I25" s="558"/>
      <c r="J25" s="558"/>
      <c r="K25" s="212">
        <v>7.2614000000000001</v>
      </c>
      <c r="L25" s="207"/>
    </row>
    <row r="26" spans="2:12">
      <c r="B26" s="208"/>
      <c r="C26" s="204"/>
      <c r="D26" s="204"/>
      <c r="E26" s="204"/>
      <c r="F26" s="204"/>
      <c r="G26" s="204"/>
      <c r="H26" s="558" t="s">
        <v>1892</v>
      </c>
      <c r="I26" s="558"/>
      <c r="J26" s="558"/>
      <c r="K26" s="212">
        <f>IF(K23&gt;K24,K24,K23)-K25</f>
        <v>0.89729999999999954</v>
      </c>
      <c r="L26" s="207"/>
    </row>
    <row r="27" spans="2:12">
      <c r="B27" s="213"/>
      <c r="C27" s="214"/>
      <c r="D27" s="214"/>
      <c r="E27" s="214"/>
      <c r="F27" s="214"/>
      <c r="G27" s="214"/>
      <c r="H27" s="559" t="s">
        <v>1224</v>
      </c>
      <c r="I27" s="559"/>
      <c r="J27" s="559"/>
      <c r="K27" s="215">
        <f>IF(K23&gt;K24,K23-K24,0)</f>
        <v>0</v>
      </c>
      <c r="L27" s="209"/>
    </row>
    <row r="29" spans="2:12" ht="14.25" customHeight="1">
      <c r="B29" s="247" t="s">
        <v>71</v>
      </c>
      <c r="C29" s="565" t="str">
        <f>VLOOKUP(B29,'BM 011'!$B$28:$R$681,2,0)</f>
        <v>Atendimento as normas da legislação de segurança e medicina do trabalho, incluindo encargos intersindicais (alimentação e vale transportes, exames médicos, epi, epc), projeto e execução das instalações provisórias de energia (exceto consumo), inclusive laudos técnicos, fretes e transportes internos, (incluindo vertical), ferramentas e equipamentos necessários, iluminação e sinalização provisórias, seguro de vida de engenharia, materiais de consumo e limpeza do canteiro, segurança, combustíveis, equipamentos de proteção coletiva (projeto de linha de vida, projeto de execução de estruturas necessárias de trabalho em fachadas, bandejas de proteção e telas, laudos de inspeção de segurança), duto coletor de entulho, controle tecnológico dos materiais e ensaios, implantação e atendimento ao PGRCC.</v>
      </c>
      <c r="D29" s="565"/>
      <c r="E29" s="565"/>
      <c r="F29" s="565"/>
      <c r="G29" s="565"/>
      <c r="H29" s="565"/>
      <c r="I29" s="565"/>
      <c r="J29" s="565"/>
      <c r="K29" s="565"/>
      <c r="L29" s="565"/>
    </row>
    <row r="30" spans="2:12">
      <c r="B30" s="187" t="s">
        <v>1209</v>
      </c>
      <c r="C30" s="187"/>
      <c r="D30" s="187" t="s">
        <v>39</v>
      </c>
      <c r="E30" s="187" t="s">
        <v>1210</v>
      </c>
      <c r="F30" s="187" t="s">
        <v>1211</v>
      </c>
      <c r="G30" s="187" t="s">
        <v>1212</v>
      </c>
      <c r="H30" s="187" t="s">
        <v>1213</v>
      </c>
      <c r="I30" s="187" t="s">
        <v>1214</v>
      </c>
      <c r="J30" s="187" t="s">
        <v>1215</v>
      </c>
      <c r="K30" s="187" t="s">
        <v>1216</v>
      </c>
      <c r="L30" s="187" t="s">
        <v>1217</v>
      </c>
    </row>
    <row r="31" spans="2:12">
      <c r="B31" s="188" t="s">
        <v>1218</v>
      </c>
      <c r="C31" s="189" t="s">
        <v>1219</v>
      </c>
      <c r="D31" s="190" t="s">
        <v>1226</v>
      </c>
      <c r="E31" s="191"/>
      <c r="F31" s="192"/>
      <c r="G31" s="192"/>
      <c r="H31" s="191"/>
      <c r="I31" s="193">
        <v>2.06E-2</v>
      </c>
      <c r="J31" s="194"/>
      <c r="K31" s="195">
        <f t="shared" ref="K31:K43" si="1">IF(E31*F31*G31&lt;&gt;0,E31*F31*G31,IF(E31*F31&lt;&gt;0,E31*F31,IF(F31*G31&lt;&gt;0,F31*G31,IF(E31*G31&lt;&gt;0,E31*G31,IF(E31&lt;&gt;0,E31,IF(F31&lt;&gt;0,F31,IF(G31&lt;&gt;0,G31,0)))))))*(IF(H31&lt;&gt;0,H31,1))+I31-J31</f>
        <v>2.06E-2</v>
      </c>
      <c r="L31" s="196"/>
    </row>
    <row r="32" spans="2:12">
      <c r="B32" s="197" t="s">
        <v>1218</v>
      </c>
      <c r="C32" s="189" t="s">
        <v>1240</v>
      </c>
      <c r="D32" s="190" t="s">
        <v>1226</v>
      </c>
      <c r="E32" s="199"/>
      <c r="F32" s="199"/>
      <c r="G32" s="199"/>
      <c r="H32" s="199"/>
      <c r="I32" s="193">
        <v>3.5799999999999998E-2</v>
      </c>
      <c r="J32" s="201"/>
      <c r="K32" s="195">
        <f t="shared" si="1"/>
        <v>3.5799999999999998E-2</v>
      </c>
      <c r="L32" s="196"/>
    </row>
    <row r="33" spans="2:12">
      <c r="B33" s="197" t="s">
        <v>1218</v>
      </c>
      <c r="C33" s="189" t="s">
        <v>1271</v>
      </c>
      <c r="D33" s="190" t="s">
        <v>1226</v>
      </c>
      <c r="E33" s="199"/>
      <c r="F33" s="199"/>
      <c r="G33" s="199"/>
      <c r="H33" s="199"/>
      <c r="I33" s="193">
        <v>2.1600000000000001E-2</v>
      </c>
      <c r="J33" s="201"/>
      <c r="K33" s="195">
        <f t="shared" si="1"/>
        <v>2.1600000000000001E-2</v>
      </c>
      <c r="L33" s="196"/>
    </row>
    <row r="34" spans="2:12">
      <c r="B34" s="197" t="s">
        <v>1218</v>
      </c>
      <c r="C34" s="189" t="s">
        <v>1333</v>
      </c>
      <c r="D34" s="190" t="s">
        <v>1226</v>
      </c>
      <c r="E34" s="199"/>
      <c r="F34" s="199"/>
      <c r="G34" s="199"/>
      <c r="H34" s="199"/>
      <c r="I34" s="193">
        <v>2.6800000000000001E-2</v>
      </c>
      <c r="J34" s="201"/>
      <c r="K34" s="195">
        <f t="shared" si="1"/>
        <v>2.6800000000000001E-2</v>
      </c>
      <c r="L34" s="196"/>
    </row>
    <row r="35" spans="2:12">
      <c r="B35" s="197" t="s">
        <v>1218</v>
      </c>
      <c r="C35" s="189" t="s">
        <v>1441</v>
      </c>
      <c r="D35" s="190" t="s">
        <v>1226</v>
      </c>
      <c r="E35" s="199"/>
      <c r="F35" s="199"/>
      <c r="G35" s="199"/>
      <c r="H35" s="199"/>
      <c r="I35" s="193">
        <v>3.3300000000000003E-2</v>
      </c>
      <c r="J35" s="201"/>
      <c r="K35" s="195">
        <f t="shared" si="1"/>
        <v>3.3300000000000003E-2</v>
      </c>
      <c r="L35" s="196"/>
    </row>
    <row r="36" spans="2:12">
      <c r="B36" s="197" t="s">
        <v>1218</v>
      </c>
      <c r="C36" s="189" t="s">
        <v>1521</v>
      </c>
      <c r="D36" s="190" t="s">
        <v>1226</v>
      </c>
      <c r="E36" s="199"/>
      <c r="F36" s="199"/>
      <c r="G36" s="199"/>
      <c r="H36" s="199"/>
      <c r="I36" s="193">
        <v>2.9700000000000001E-2</v>
      </c>
      <c r="J36" s="201"/>
      <c r="K36" s="195">
        <f t="shared" si="1"/>
        <v>2.9700000000000001E-2</v>
      </c>
      <c r="L36" s="196"/>
    </row>
    <row r="37" spans="2:12">
      <c r="B37" s="197" t="s">
        <v>1218</v>
      </c>
      <c r="C37" s="189" t="s">
        <v>1611</v>
      </c>
      <c r="D37" s="190" t="s">
        <v>1226</v>
      </c>
      <c r="E37" s="199"/>
      <c r="F37" s="199"/>
      <c r="G37" s="199"/>
      <c r="H37" s="199"/>
      <c r="I37" s="193">
        <v>2.9899999999999999E-2</v>
      </c>
      <c r="J37" s="201"/>
      <c r="K37" s="195">
        <f t="shared" si="1"/>
        <v>2.9899999999999999E-2</v>
      </c>
      <c r="L37" s="196"/>
    </row>
    <row r="38" spans="2:12">
      <c r="B38" s="197" t="s">
        <v>1218</v>
      </c>
      <c r="C38" s="189" t="s">
        <v>1612</v>
      </c>
      <c r="D38" s="190" t="s">
        <v>1226</v>
      </c>
      <c r="E38" s="199"/>
      <c r="F38" s="199"/>
      <c r="G38" s="199"/>
      <c r="H38" s="199"/>
      <c r="I38" s="193">
        <v>3.8899999999999997E-2</v>
      </c>
      <c r="J38" s="201"/>
      <c r="K38" s="195">
        <f t="shared" si="1"/>
        <v>3.8899999999999997E-2</v>
      </c>
      <c r="L38" s="196"/>
    </row>
    <row r="39" spans="2:12">
      <c r="B39" s="197" t="s">
        <v>1218</v>
      </c>
      <c r="C39" s="189" t="s">
        <v>1613</v>
      </c>
      <c r="D39" s="190" t="s">
        <v>1226</v>
      </c>
      <c r="E39" s="199"/>
      <c r="F39" s="199"/>
      <c r="G39" s="199"/>
      <c r="H39" s="199"/>
      <c r="I39" s="193">
        <v>2.12E-2</v>
      </c>
      <c r="J39" s="201"/>
      <c r="K39" s="195">
        <f t="shared" si="1"/>
        <v>2.12E-2</v>
      </c>
      <c r="L39" s="196"/>
    </row>
    <row r="40" spans="2:12">
      <c r="B40" s="197" t="s">
        <v>1218</v>
      </c>
      <c r="C40" s="189" t="s">
        <v>1895</v>
      </c>
      <c r="D40" s="190" t="s">
        <v>1226</v>
      </c>
      <c r="E40" s="199"/>
      <c r="F40" s="199"/>
      <c r="G40" s="199"/>
      <c r="H40" s="199"/>
      <c r="I40" s="193">
        <v>2.29E-2</v>
      </c>
      <c r="J40" s="201"/>
      <c r="K40" s="195">
        <f t="shared" si="1"/>
        <v>2.29E-2</v>
      </c>
      <c r="L40" s="196"/>
    </row>
    <row r="41" spans="2:12">
      <c r="B41" s="197" t="s">
        <v>1218</v>
      </c>
      <c r="C41" s="189" t="s">
        <v>1931</v>
      </c>
      <c r="D41" s="190" t="s">
        <v>1226</v>
      </c>
      <c r="E41" s="199"/>
      <c r="F41" s="199"/>
      <c r="G41" s="199"/>
      <c r="H41" s="199"/>
      <c r="I41" s="193">
        <v>8.2299999999999998E-2</v>
      </c>
      <c r="J41" s="201"/>
      <c r="K41" s="195">
        <f t="shared" si="1"/>
        <v>8.2299999999999998E-2</v>
      </c>
      <c r="L41" s="196"/>
    </row>
    <row r="42" spans="2:12">
      <c r="B42" s="197" t="s">
        <v>1218</v>
      </c>
      <c r="C42" s="189" t="s">
        <v>1998</v>
      </c>
      <c r="D42" s="190" t="s">
        <v>1226</v>
      </c>
      <c r="E42" s="199"/>
      <c r="F42" s="199"/>
      <c r="G42" s="199"/>
      <c r="H42" s="199"/>
      <c r="I42" s="193">
        <v>4.48E-2</v>
      </c>
      <c r="J42" s="201"/>
      <c r="K42" s="195">
        <f t="shared" si="1"/>
        <v>4.48E-2</v>
      </c>
      <c r="L42" s="196"/>
    </row>
    <row r="43" spans="2:12">
      <c r="B43" s="197"/>
      <c r="C43" s="189"/>
      <c r="D43" s="190"/>
      <c r="E43" s="199"/>
      <c r="F43" s="199"/>
      <c r="G43" s="199"/>
      <c r="H43" s="199"/>
      <c r="I43" s="193"/>
      <c r="J43" s="201"/>
      <c r="K43" s="195">
        <f t="shared" si="1"/>
        <v>0</v>
      </c>
      <c r="L43" s="196"/>
    </row>
    <row r="44" spans="2:12">
      <c r="B44" s="202"/>
      <c r="C44" s="203"/>
      <c r="D44" s="203"/>
      <c r="E44" s="203"/>
      <c r="F44" s="203"/>
      <c r="G44" s="203"/>
      <c r="H44" s="204"/>
      <c r="I44" s="556" t="s">
        <v>1221</v>
      </c>
      <c r="J44" s="556"/>
      <c r="K44" s="206">
        <f>SUM(K31:K43)</f>
        <v>0.4078</v>
      </c>
      <c r="L44" s="207"/>
    </row>
    <row r="45" spans="2:12">
      <c r="B45" s="208"/>
      <c r="C45" s="204"/>
      <c r="D45" s="204"/>
      <c r="E45" s="204"/>
      <c r="F45" s="204"/>
      <c r="G45" s="204"/>
      <c r="H45" s="209"/>
      <c r="I45" s="557" t="s">
        <v>1222</v>
      </c>
      <c r="J45" s="557"/>
      <c r="K45" s="211">
        <v>1</v>
      </c>
      <c r="L45" s="207"/>
    </row>
    <row r="46" spans="2:12">
      <c r="B46" s="208"/>
      <c r="C46" s="204"/>
      <c r="D46" s="204"/>
      <c r="E46" s="204"/>
      <c r="F46" s="204"/>
      <c r="G46" s="204"/>
      <c r="H46" s="558" t="s">
        <v>1223</v>
      </c>
      <c r="I46" s="558"/>
      <c r="J46" s="558"/>
      <c r="K46" s="212">
        <v>0.36299999999999999</v>
      </c>
      <c r="L46" s="207"/>
    </row>
    <row r="47" spans="2:12">
      <c r="B47" s="208"/>
      <c r="C47" s="204"/>
      <c r="D47" s="204"/>
      <c r="E47" s="204"/>
      <c r="F47" s="204"/>
      <c r="G47" s="204"/>
      <c r="H47" s="558" t="s">
        <v>1892</v>
      </c>
      <c r="I47" s="558"/>
      <c r="J47" s="558"/>
      <c r="K47" s="212">
        <f>IF(K44&gt;K45,K45,K44)-K46</f>
        <v>4.4800000000000006E-2</v>
      </c>
      <c r="L47" s="207"/>
    </row>
    <row r="48" spans="2:12">
      <c r="B48" s="213"/>
      <c r="C48" s="214"/>
      <c r="D48" s="214"/>
      <c r="E48" s="214"/>
      <c r="F48" s="214"/>
      <c r="G48" s="214"/>
      <c r="H48" s="559" t="s">
        <v>1224</v>
      </c>
      <c r="I48" s="559"/>
      <c r="J48" s="559"/>
      <c r="K48" s="215">
        <f>IF(K44&gt;K45,K44-K45,0)</f>
        <v>0</v>
      </c>
      <c r="L48" s="209"/>
    </row>
    <row r="50" spans="2:12" ht="14.25" customHeight="1">
      <c r="B50" s="555" t="s">
        <v>1227</v>
      </c>
      <c r="C50" s="555"/>
      <c r="D50" s="555"/>
      <c r="E50" s="555"/>
      <c r="F50" s="555"/>
      <c r="G50" s="555"/>
      <c r="H50" s="555"/>
      <c r="I50" s="555"/>
      <c r="J50" s="555"/>
      <c r="K50" s="555"/>
      <c r="L50" s="555"/>
    </row>
    <row r="51" spans="2:12">
      <c r="B51" s="187" t="s">
        <v>1209</v>
      </c>
      <c r="C51" s="187"/>
      <c r="D51" s="187" t="s">
        <v>39</v>
      </c>
      <c r="E51" s="187" t="s">
        <v>1210</v>
      </c>
      <c r="F51" s="187" t="s">
        <v>1211</v>
      </c>
      <c r="G51" s="187" t="s">
        <v>1212</v>
      </c>
      <c r="H51" s="187" t="s">
        <v>1213</v>
      </c>
      <c r="I51" s="187" t="s">
        <v>1214</v>
      </c>
      <c r="J51" s="187" t="s">
        <v>1215</v>
      </c>
      <c r="K51" s="187" t="s">
        <v>1216</v>
      </c>
      <c r="L51" s="187" t="s">
        <v>1217</v>
      </c>
    </row>
    <row r="52" spans="2:12">
      <c r="B52" s="188" t="s">
        <v>1228</v>
      </c>
      <c r="C52" s="189" t="s">
        <v>1219</v>
      </c>
      <c r="D52" s="190" t="s">
        <v>39</v>
      </c>
      <c r="E52" s="191">
        <v>64</v>
      </c>
      <c r="F52" s="192"/>
      <c r="G52" s="192">
        <v>2</v>
      </c>
      <c r="H52" s="191"/>
      <c r="I52" s="191"/>
      <c r="J52" s="216"/>
      <c r="K52" s="217">
        <f>IF(E52*F52*G52&lt;&gt;0,E52*F52*G52,IF(E52*F52&lt;&gt;0,E52*F52,IF(F52*G52&lt;&gt;0,F52*G52,IF(E52*G52&lt;&gt;0,E52*G52,IF(E52&lt;&gt;0,E52,IF(F52&lt;&gt;0,F52,IF(G52&lt;&gt;0,G52,0)))))))*(IF(H52&lt;&gt;0,H52,1))+I52-J52</f>
        <v>128</v>
      </c>
      <c r="L52" s="218"/>
    </row>
    <row r="53" spans="2:12">
      <c r="B53" s="197"/>
      <c r="C53" s="189"/>
      <c r="D53" s="198"/>
      <c r="E53" s="199"/>
      <c r="F53" s="199"/>
      <c r="G53" s="199"/>
      <c r="H53" s="199"/>
      <c r="I53" s="199"/>
      <c r="J53" s="219"/>
      <c r="K53" s="217">
        <f>IF(E53*F53*G53&lt;&gt;0,E53*F53*G53,IF(E53*F53&lt;&gt;0,E53*F53,IF(F53*G53&lt;&gt;0,F53*G53,IF(E53*G53&lt;&gt;0,E53*G53,IF(E53&lt;&gt;0,E53,IF(F53&lt;&gt;0,F53,IF(G53&lt;&gt;0,G53,0)))))))*(IF(H53&lt;&gt;0,H53,1))+I53-J53</f>
        <v>0</v>
      </c>
      <c r="L53" s="218"/>
    </row>
    <row r="54" spans="2:12">
      <c r="B54" s="202"/>
      <c r="C54" s="203"/>
      <c r="D54" s="203"/>
      <c r="E54" s="203"/>
      <c r="F54" s="203"/>
      <c r="G54" s="203"/>
      <c r="H54" s="204"/>
      <c r="I54" s="556" t="s">
        <v>1221</v>
      </c>
      <c r="J54" s="556"/>
      <c r="K54" s="220">
        <f>SUM(K52:K53)</f>
        <v>128</v>
      </c>
      <c r="L54" s="207"/>
    </row>
    <row r="55" spans="2:12">
      <c r="B55" s="208"/>
      <c r="C55" s="204"/>
      <c r="D55" s="204"/>
      <c r="E55" s="204"/>
      <c r="F55" s="204"/>
      <c r="G55" s="204"/>
      <c r="H55" s="209"/>
      <c r="I55" s="557" t="s">
        <v>1222</v>
      </c>
      <c r="J55" s="557"/>
      <c r="K55" s="221">
        <v>128</v>
      </c>
      <c r="L55" s="207"/>
    </row>
    <row r="56" spans="2:12">
      <c r="B56" s="208"/>
      <c r="C56" s="204"/>
      <c r="D56" s="204"/>
      <c r="E56" s="204"/>
      <c r="F56" s="204"/>
      <c r="G56" s="204"/>
      <c r="H56" s="558" t="s">
        <v>1223</v>
      </c>
      <c r="I56" s="558"/>
      <c r="J56" s="558"/>
      <c r="K56" s="222"/>
      <c r="L56" s="207"/>
    </row>
    <row r="57" spans="2:12">
      <c r="B57" s="208"/>
      <c r="C57" s="204"/>
      <c r="D57" s="204"/>
      <c r="E57" s="204"/>
      <c r="F57" s="204"/>
      <c r="G57" s="204"/>
      <c r="H57" s="558" t="s">
        <v>1190</v>
      </c>
      <c r="I57" s="558"/>
      <c r="J57" s="558"/>
      <c r="K57" s="222">
        <f>IF(K54&gt;K55,K55,K54)-K56</f>
        <v>128</v>
      </c>
      <c r="L57" s="207"/>
    </row>
    <row r="58" spans="2:12">
      <c r="B58" s="213"/>
      <c r="C58" s="214"/>
      <c r="D58" s="214"/>
      <c r="E58" s="214"/>
      <c r="F58" s="214"/>
      <c r="G58" s="214"/>
      <c r="H58" s="559" t="s">
        <v>1224</v>
      </c>
      <c r="I58" s="559"/>
      <c r="J58" s="559"/>
      <c r="K58" s="223">
        <f>IF(K54&gt;K55,K54-K55,0)</f>
        <v>0</v>
      </c>
      <c r="L58" s="209"/>
    </row>
    <row r="60" spans="2:12">
      <c r="B60" s="247" t="s">
        <v>80</v>
      </c>
      <c r="C60" s="572" t="str">
        <f>VLOOKUP(B60,'BM 004'!$B$27:$R$590,2,0)</f>
        <v xml:space="preserve">Guarda-corpo fixado em fôrma de madeira com travessões em madeira pregada e fechamento em tela de polipropileno para edificações com até 6 pavimentos. </v>
      </c>
      <c r="D60" s="572"/>
      <c r="E60" s="572"/>
      <c r="F60" s="572"/>
      <c r="G60" s="572"/>
      <c r="H60" s="572"/>
      <c r="I60" s="572"/>
      <c r="J60" s="572"/>
      <c r="K60" s="572"/>
      <c r="L60" s="322">
        <f>K73</f>
        <v>625.58990000000006</v>
      </c>
    </row>
    <row r="61" spans="2:12">
      <c r="B61" s="248" t="s">
        <v>1209</v>
      </c>
      <c r="C61" s="248"/>
      <c r="D61" s="248" t="s">
        <v>39</v>
      </c>
      <c r="E61" s="248" t="s">
        <v>1210</v>
      </c>
      <c r="F61" s="248" t="s">
        <v>1388</v>
      </c>
      <c r="G61" s="248" t="s">
        <v>1212</v>
      </c>
      <c r="H61" s="248" t="s">
        <v>1213</v>
      </c>
      <c r="I61" s="248" t="s">
        <v>1214</v>
      </c>
      <c r="J61" s="248" t="s">
        <v>1385</v>
      </c>
      <c r="K61" s="248" t="s">
        <v>1216</v>
      </c>
      <c r="L61" s="248" t="s">
        <v>1217</v>
      </c>
    </row>
    <row r="62" spans="2:12">
      <c r="B62" s="256" t="s">
        <v>1932</v>
      </c>
      <c r="C62" s="250" t="s">
        <v>1933</v>
      </c>
      <c r="D62" s="205" t="s">
        <v>82</v>
      </c>
      <c r="E62" s="257">
        <v>156.0001</v>
      </c>
      <c r="F62" s="261"/>
      <c r="G62" s="261"/>
      <c r="H62" s="261"/>
      <c r="I62" s="261"/>
      <c r="J62" s="275"/>
      <c r="K62" s="260">
        <f t="shared" ref="K62:K67" si="2">IF(E62*F62*G62&lt;&gt;0,E62*F62*G62,IF(E62*F62&lt;&gt;0,E62*F62,IF(F62*G62&lt;&gt;0,F62*G62,IF(E62*G62&lt;&gt;0,E62*G62,IF(E62&lt;&gt;0,E62,IF(F62&lt;&gt;0,F62,IF(G62&lt;&gt;0,G62,0)))))))*(IF(H62&lt;&gt;0,H62,1))+I62-J62</f>
        <v>156.0001</v>
      </c>
      <c r="L62" s="266"/>
    </row>
    <row r="63" spans="2:12">
      <c r="B63" s="256" t="s">
        <v>1932</v>
      </c>
      <c r="C63" s="250" t="s">
        <v>1931</v>
      </c>
      <c r="D63" s="205" t="s">
        <v>82</v>
      </c>
      <c r="E63" s="257">
        <v>47.859900000000003</v>
      </c>
      <c r="F63" s="261"/>
      <c r="G63" s="261"/>
      <c r="H63" s="261"/>
      <c r="I63" s="261"/>
      <c r="J63" s="275"/>
      <c r="K63" s="260">
        <f t="shared" si="2"/>
        <v>47.859900000000003</v>
      </c>
      <c r="L63" s="266"/>
    </row>
    <row r="64" spans="2:12">
      <c r="B64" s="256" t="s">
        <v>1934</v>
      </c>
      <c r="C64" s="250" t="s">
        <v>1931</v>
      </c>
      <c r="D64" s="205" t="s">
        <v>82</v>
      </c>
      <c r="E64" s="257">
        <v>164.63</v>
      </c>
      <c r="F64" s="261"/>
      <c r="G64" s="261"/>
      <c r="H64" s="261"/>
      <c r="I64" s="261"/>
      <c r="J64" s="275"/>
      <c r="K64" s="260">
        <f t="shared" si="2"/>
        <v>164.63</v>
      </c>
      <c r="L64" s="266"/>
    </row>
    <row r="65" spans="2:12">
      <c r="B65" s="256" t="s">
        <v>1935</v>
      </c>
      <c r="C65" s="250" t="s">
        <v>1931</v>
      </c>
      <c r="D65" s="205" t="s">
        <v>82</v>
      </c>
      <c r="E65" s="257">
        <v>165.24</v>
      </c>
      <c r="F65" s="261"/>
      <c r="G65" s="261"/>
      <c r="H65" s="261"/>
      <c r="I65" s="261"/>
      <c r="J65" s="275"/>
      <c r="K65" s="260">
        <f t="shared" si="2"/>
        <v>165.24</v>
      </c>
      <c r="L65" s="266"/>
    </row>
    <row r="66" spans="2:12">
      <c r="B66" s="256" t="s">
        <v>1936</v>
      </c>
      <c r="C66" s="250" t="s">
        <v>1931</v>
      </c>
      <c r="D66" s="205" t="s">
        <v>82</v>
      </c>
      <c r="E66" s="257">
        <v>165.24</v>
      </c>
      <c r="F66" s="261"/>
      <c r="G66" s="261"/>
      <c r="H66" s="261"/>
      <c r="I66" s="261"/>
      <c r="J66" s="275"/>
      <c r="K66" s="260">
        <f t="shared" si="2"/>
        <v>165.24</v>
      </c>
      <c r="L66" s="266"/>
    </row>
    <row r="67" spans="2:12">
      <c r="B67" s="323" t="s">
        <v>1937</v>
      </c>
      <c r="C67" s="324" t="s">
        <v>1931</v>
      </c>
      <c r="D67" s="324" t="s">
        <v>82</v>
      </c>
      <c r="E67" s="325">
        <v>165.24</v>
      </c>
      <c r="F67" s="231"/>
      <c r="G67" s="231"/>
      <c r="H67" s="231">
        <v>0.5</v>
      </c>
      <c r="I67" s="231"/>
      <c r="J67" s="231"/>
      <c r="K67" s="326">
        <f t="shared" si="2"/>
        <v>82.62</v>
      </c>
      <c r="L67" s="327"/>
    </row>
    <row r="68" spans="2:12">
      <c r="B68" s="328" t="s">
        <v>1938</v>
      </c>
      <c r="C68" s="329" t="s">
        <v>1931</v>
      </c>
      <c r="D68" s="329" t="s">
        <v>82</v>
      </c>
      <c r="E68" s="259">
        <v>97.21</v>
      </c>
      <c r="F68" s="275"/>
      <c r="G68" s="275"/>
      <c r="H68" s="275"/>
      <c r="I68" s="275">
        <v>1.12698903802669E-4</v>
      </c>
      <c r="J68" s="275"/>
      <c r="K68" s="330"/>
      <c r="L68" s="331"/>
    </row>
    <row r="69" spans="2:12">
      <c r="B69" s="256"/>
      <c r="C69" s="210"/>
      <c r="D69" s="210"/>
      <c r="E69" s="257"/>
      <c r="F69" s="261"/>
      <c r="G69" s="261"/>
      <c r="H69" s="261"/>
      <c r="I69" s="261"/>
      <c r="J69" s="275"/>
      <c r="K69" s="260">
        <f>IF(E69*F69*G69&lt;&gt;0,E69*F69*G69,IF(E69*F69&lt;&gt;0,E69*F69,IF(F69*G69&lt;&gt;0,F69*G69,IF(E69*G69&lt;&gt;0,E69*G69,IF(E69&lt;&gt;0,E69,IF(F69&lt;&gt;0,F69,IF(G69&lt;&gt;0,G69,0)))))))*(IF(H69&lt;&gt;0,H69,1))+I69-J69</f>
        <v>0</v>
      </c>
      <c r="L69" s="210"/>
    </row>
    <row r="70" spans="2:12">
      <c r="B70" s="202"/>
      <c r="C70" s="203"/>
      <c r="D70" s="203"/>
      <c r="E70" s="203"/>
      <c r="F70" s="203"/>
      <c r="G70" s="203"/>
      <c r="H70" s="204"/>
      <c r="I70" s="556" t="s">
        <v>1221</v>
      </c>
      <c r="J70" s="556"/>
      <c r="K70" s="220">
        <f>SUM(K62:K69)</f>
        <v>781.59</v>
      </c>
      <c r="L70" s="207"/>
    </row>
    <row r="71" spans="2:12">
      <c r="B71" s="208"/>
      <c r="C71" s="204"/>
      <c r="D71" s="204"/>
      <c r="E71" s="204"/>
      <c r="F71" s="204"/>
      <c r="G71" s="204"/>
      <c r="H71" s="209"/>
      <c r="I71" s="557" t="s">
        <v>1222</v>
      </c>
      <c r="J71" s="557"/>
      <c r="K71" s="221">
        <f>VLOOKUP(B60,'BM 011'!$B$28:$R$681,5,0)+0.000112698903802669</f>
        <v>961.42011269890372</v>
      </c>
      <c r="L71" s="246"/>
    </row>
    <row r="72" spans="2:12">
      <c r="B72" s="208"/>
      <c r="C72" s="204"/>
      <c r="D72" s="204"/>
      <c r="E72" s="204"/>
      <c r="F72" s="204"/>
      <c r="G72" s="204"/>
      <c r="H72" s="558" t="s">
        <v>1223</v>
      </c>
      <c r="I72" s="558"/>
      <c r="J72" s="558"/>
      <c r="K72" s="222">
        <v>156.0001</v>
      </c>
      <c r="L72" s="207"/>
    </row>
    <row r="73" spans="2:12">
      <c r="B73" s="208"/>
      <c r="C73" s="204"/>
      <c r="D73" s="204"/>
      <c r="E73" s="204"/>
      <c r="F73" s="204"/>
      <c r="G73" s="204"/>
      <c r="H73" s="558" t="s">
        <v>1891</v>
      </c>
      <c r="I73" s="558"/>
      <c r="J73" s="558"/>
      <c r="K73" s="222">
        <f>SUMIF(C62:C69,H73,K62:K69)</f>
        <v>625.58990000000006</v>
      </c>
      <c r="L73" s="207"/>
    </row>
    <row r="74" spans="2:12">
      <c r="B74" s="213"/>
      <c r="C74" s="214"/>
      <c r="D74" s="214"/>
      <c r="E74" s="214"/>
      <c r="F74" s="214"/>
      <c r="G74" s="214"/>
      <c r="H74" s="559" t="s">
        <v>1224</v>
      </c>
      <c r="I74" s="559"/>
      <c r="J74" s="559"/>
      <c r="K74" s="223">
        <f>IF(K70&gt;K71,K70-K71,0)</f>
        <v>0</v>
      </c>
      <c r="L74" s="209"/>
    </row>
    <row r="76" spans="2:12" ht="14.25" customHeight="1">
      <c r="B76" s="555" t="s">
        <v>1229</v>
      </c>
      <c r="C76" s="555"/>
      <c r="D76" s="555"/>
      <c r="E76" s="555"/>
      <c r="F76" s="555"/>
      <c r="G76" s="555"/>
      <c r="H76" s="555"/>
      <c r="I76" s="555"/>
      <c r="J76" s="555"/>
      <c r="K76" s="555"/>
      <c r="L76" s="555"/>
    </row>
    <row r="77" spans="2:12">
      <c r="B77" s="187" t="s">
        <v>1209</v>
      </c>
      <c r="C77" s="187"/>
      <c r="D77" s="187" t="s">
        <v>39</v>
      </c>
      <c r="E77" s="187" t="s">
        <v>1210</v>
      </c>
      <c r="F77" s="187" t="s">
        <v>1211</v>
      </c>
      <c r="G77" s="187" t="s">
        <v>1212</v>
      </c>
      <c r="H77" s="187" t="s">
        <v>1213</v>
      </c>
      <c r="I77" s="187" t="s">
        <v>1214</v>
      </c>
      <c r="J77" s="187" t="s">
        <v>1215</v>
      </c>
      <c r="K77" s="187" t="s">
        <v>1216</v>
      </c>
      <c r="L77" s="187" t="s">
        <v>1217</v>
      </c>
    </row>
    <row r="78" spans="2:12">
      <c r="B78" s="188" t="s">
        <v>1228</v>
      </c>
      <c r="C78" s="189" t="s">
        <v>1219</v>
      </c>
      <c r="D78" s="190" t="s">
        <v>79</v>
      </c>
      <c r="E78" s="191">
        <f>30/4</f>
        <v>7.5</v>
      </c>
      <c r="F78" s="192">
        <v>4</v>
      </c>
      <c r="G78" s="192"/>
      <c r="H78" s="191"/>
      <c r="I78" s="191"/>
      <c r="J78" s="216"/>
      <c r="K78" s="217">
        <f>IF(E78*F78*G78&lt;&gt;0,E78*F78*G78,IF(E78*F78&lt;&gt;0,E78*F78,IF(F78*G78&lt;&gt;0,F78*G78,IF(E78*G78&lt;&gt;0,E78*G78,IF(E78&lt;&gt;0,E78,IF(F78&lt;&gt;0,F78,IF(G78&lt;&gt;0,G78,0)))))))*(IF(H78&lt;&gt;0,H78,1))+I78-J78</f>
        <v>30</v>
      </c>
      <c r="L78" s="218"/>
    </row>
    <row r="79" spans="2:12">
      <c r="B79" s="188" t="s">
        <v>1228</v>
      </c>
      <c r="C79" s="189" t="s">
        <v>1240</v>
      </c>
      <c r="D79" s="190" t="s">
        <v>79</v>
      </c>
      <c r="E79" s="191">
        <v>2.5</v>
      </c>
      <c r="F79" s="192">
        <v>4</v>
      </c>
      <c r="G79" s="192"/>
      <c r="H79" s="191"/>
      <c r="I79" s="191"/>
      <c r="J79" s="216"/>
      <c r="K79" s="217">
        <f>IF(E79*F79*G79&lt;&gt;0,E79*F79*G79,IF(E79*F79&lt;&gt;0,E79*F79,IF(F79*G79&lt;&gt;0,F79*G79,IF(E79*G79&lt;&gt;0,E79*G79,IF(E79&lt;&gt;0,E79,IF(F79&lt;&gt;0,F79,IF(G79&lt;&gt;0,G79,0)))))))*(IF(H79&lt;&gt;0,H79,1))+I79-J79</f>
        <v>10</v>
      </c>
      <c r="L79" s="218"/>
    </row>
    <row r="80" spans="2:12">
      <c r="B80" s="202"/>
      <c r="C80" s="203"/>
      <c r="D80" s="203"/>
      <c r="E80" s="203"/>
      <c r="F80" s="203"/>
      <c r="G80" s="203"/>
      <c r="H80" s="204"/>
      <c r="I80" s="556" t="s">
        <v>1221</v>
      </c>
      <c r="J80" s="556"/>
      <c r="K80" s="220">
        <f>SUM(K78:K79)</f>
        <v>40</v>
      </c>
      <c r="L80" s="207"/>
    </row>
    <row r="81" spans="2:12">
      <c r="B81" s="208"/>
      <c r="C81" s="204"/>
      <c r="D81" s="204"/>
      <c r="E81" s="204"/>
      <c r="F81" s="204"/>
      <c r="G81" s="204"/>
      <c r="H81" s="209"/>
      <c r="I81" s="557" t="s">
        <v>1222</v>
      </c>
      <c r="J81" s="557"/>
      <c r="K81" s="221">
        <v>40</v>
      </c>
      <c r="L81" s="207"/>
    </row>
    <row r="82" spans="2:12">
      <c r="B82" s="208"/>
      <c r="C82" s="204"/>
      <c r="D82" s="204"/>
      <c r="E82" s="204"/>
      <c r="F82" s="204"/>
      <c r="G82" s="204"/>
      <c r="H82" s="558" t="s">
        <v>1223</v>
      </c>
      <c r="I82" s="558"/>
      <c r="J82" s="558"/>
      <c r="K82" s="222">
        <v>30</v>
      </c>
      <c r="L82" s="207"/>
    </row>
    <row r="83" spans="2:12">
      <c r="B83" s="208"/>
      <c r="C83" s="204"/>
      <c r="D83" s="204"/>
      <c r="E83" s="204"/>
      <c r="F83" s="204"/>
      <c r="G83" s="204"/>
      <c r="H83" s="558" t="s">
        <v>1199</v>
      </c>
      <c r="I83" s="558"/>
      <c r="J83" s="558"/>
      <c r="K83" s="222">
        <f>IF(K80&gt;K81,K81,K80)-K82</f>
        <v>10</v>
      </c>
      <c r="L83" s="207"/>
    </row>
    <row r="84" spans="2:12">
      <c r="B84" s="213"/>
      <c r="C84" s="214"/>
      <c r="D84" s="214"/>
      <c r="E84" s="214"/>
      <c r="F84" s="214"/>
      <c r="G84" s="214"/>
      <c r="H84" s="559" t="s">
        <v>1224</v>
      </c>
      <c r="I84" s="559"/>
      <c r="J84" s="559"/>
      <c r="K84" s="223">
        <f>IF(K80&gt;K81,K80-K81,0)</f>
        <v>0</v>
      </c>
      <c r="L84" s="209"/>
    </row>
    <row r="86" spans="2:12" ht="14.25" customHeight="1">
      <c r="B86" s="555" t="s">
        <v>1230</v>
      </c>
      <c r="C86" s="555"/>
      <c r="D86" s="555"/>
      <c r="E86" s="555"/>
      <c r="F86" s="555"/>
      <c r="G86" s="555"/>
      <c r="H86" s="555"/>
      <c r="I86" s="555"/>
      <c r="J86" s="555"/>
      <c r="K86" s="555"/>
      <c r="L86" s="555"/>
    </row>
    <row r="87" spans="2:12">
      <c r="B87" s="187" t="s">
        <v>1209</v>
      </c>
      <c r="C87" s="187"/>
      <c r="D87" s="187" t="s">
        <v>39</v>
      </c>
      <c r="E87" s="187" t="s">
        <v>1210</v>
      </c>
      <c r="F87" s="187" t="s">
        <v>1211</v>
      </c>
      <c r="G87" s="187" t="s">
        <v>1212</v>
      </c>
      <c r="H87" s="187" t="s">
        <v>1213</v>
      </c>
      <c r="I87" s="187" t="s">
        <v>1214</v>
      </c>
      <c r="J87" s="187" t="s">
        <v>1215</v>
      </c>
      <c r="K87" s="187" t="s">
        <v>1216</v>
      </c>
      <c r="L87" s="187" t="s">
        <v>1217</v>
      </c>
    </row>
    <row r="88" spans="2:12">
      <c r="B88" s="188" t="s">
        <v>1228</v>
      </c>
      <c r="C88" s="189" t="s">
        <v>1219</v>
      </c>
      <c r="D88" s="190" t="s">
        <v>39</v>
      </c>
      <c r="E88" s="191">
        <f>48/4</f>
        <v>12</v>
      </c>
      <c r="F88" s="192">
        <v>4</v>
      </c>
      <c r="G88" s="192"/>
      <c r="H88" s="191"/>
      <c r="I88" s="191"/>
      <c r="J88" s="216"/>
      <c r="K88" s="217">
        <f>IF(E88*F88*G88&lt;&gt;0,E88*F88*G88,IF(E88*F88&lt;&gt;0,E88*F88,IF(F88*G88&lt;&gt;0,F88*G88,IF(E88*G88&lt;&gt;0,E88*G88,IF(E88&lt;&gt;0,E88,IF(F88&lt;&gt;0,F88,IF(G88&lt;&gt;0,G88,0)))))))*(IF(H88&lt;&gt;0,H88,1))+I88-J88</f>
        <v>48</v>
      </c>
      <c r="L88" s="218"/>
    </row>
    <row r="89" spans="2:12">
      <c r="B89" s="188" t="s">
        <v>1228</v>
      </c>
      <c r="C89" s="189" t="s">
        <v>1240</v>
      </c>
      <c r="D89" s="190" t="s">
        <v>39</v>
      </c>
      <c r="E89" s="191">
        <v>5</v>
      </c>
      <c r="F89" s="192">
        <v>4</v>
      </c>
      <c r="G89" s="192"/>
      <c r="H89" s="191"/>
      <c r="I89" s="191"/>
      <c r="J89" s="219"/>
      <c r="K89" s="217">
        <f>IF(E89*F89*G89&lt;&gt;0,E89*F89*G89,IF(E89*F89&lt;&gt;0,E89*F89,IF(F89*G89&lt;&gt;0,F89*G89,IF(E89*G89&lt;&gt;0,E89*G89,IF(E89&lt;&gt;0,E89,IF(F89&lt;&gt;0,F89,IF(G89&lt;&gt;0,G89,0)))))))*(IF(H89&lt;&gt;0,H89,1))+I89-J89</f>
        <v>20</v>
      </c>
      <c r="L89" s="218"/>
    </row>
    <row r="90" spans="2:12">
      <c r="B90" s="202"/>
      <c r="C90" s="203"/>
      <c r="D90" s="203"/>
      <c r="E90" s="203"/>
      <c r="F90" s="203"/>
      <c r="G90" s="203"/>
      <c r="H90" s="204"/>
      <c r="I90" s="556" t="s">
        <v>1221</v>
      </c>
      <c r="J90" s="556"/>
      <c r="K90" s="220">
        <f>SUM(K88:K89)</f>
        <v>68</v>
      </c>
      <c r="L90" s="207"/>
    </row>
    <row r="91" spans="2:12">
      <c r="B91" s="208"/>
      <c r="C91" s="204"/>
      <c r="D91" s="204"/>
      <c r="E91" s="204"/>
      <c r="F91" s="204"/>
      <c r="G91" s="204"/>
      <c r="H91" s="209"/>
      <c r="I91" s="557" t="s">
        <v>1222</v>
      </c>
      <c r="J91" s="557"/>
      <c r="K91" s="221">
        <v>68</v>
      </c>
      <c r="L91" s="207"/>
    </row>
    <row r="92" spans="2:12">
      <c r="B92" s="208"/>
      <c r="C92" s="204"/>
      <c r="D92" s="204"/>
      <c r="E92" s="204"/>
      <c r="F92" s="204"/>
      <c r="G92" s="204"/>
      <c r="H92" s="558" t="s">
        <v>1223</v>
      </c>
      <c r="I92" s="558"/>
      <c r="J92" s="558"/>
      <c r="K92" s="222">
        <v>48</v>
      </c>
      <c r="L92" s="207"/>
    </row>
    <row r="93" spans="2:12">
      <c r="B93" s="208"/>
      <c r="C93" s="204"/>
      <c r="D93" s="204"/>
      <c r="E93" s="204"/>
      <c r="F93" s="204"/>
      <c r="G93" s="204"/>
      <c r="H93" s="558" t="s">
        <v>1199</v>
      </c>
      <c r="I93" s="558"/>
      <c r="J93" s="558"/>
      <c r="K93" s="222">
        <f>IF(K90&gt;K91,K91,K90)-K92</f>
        <v>20</v>
      </c>
      <c r="L93" s="207"/>
    </row>
    <row r="94" spans="2:12">
      <c r="B94" s="213"/>
      <c r="C94" s="214"/>
      <c r="D94" s="214"/>
      <c r="E94" s="214"/>
      <c r="F94" s="214"/>
      <c r="G94" s="214"/>
      <c r="H94" s="559" t="s">
        <v>1224</v>
      </c>
      <c r="I94" s="559"/>
      <c r="J94" s="559"/>
      <c r="K94" s="223">
        <f>IF(K90&gt;K91,K90-K91,0)</f>
        <v>0</v>
      </c>
      <c r="L94" s="209"/>
    </row>
    <row r="96" spans="2:12" ht="14.25" customHeight="1">
      <c r="B96" s="555" t="s">
        <v>1231</v>
      </c>
      <c r="C96" s="555"/>
      <c r="D96" s="555"/>
      <c r="E96" s="555"/>
      <c r="F96" s="555"/>
      <c r="G96" s="555"/>
      <c r="H96" s="555"/>
      <c r="I96" s="555"/>
      <c r="J96" s="555"/>
      <c r="K96" s="555"/>
      <c r="L96" s="555"/>
    </row>
    <row r="97" spans="2:12">
      <c r="B97" s="187" t="s">
        <v>1209</v>
      </c>
      <c r="C97" s="187"/>
      <c r="D97" s="187" t="s">
        <v>39</v>
      </c>
      <c r="E97" s="187" t="s">
        <v>1210</v>
      </c>
      <c r="F97" s="187" t="s">
        <v>1211</v>
      </c>
      <c r="G97" s="187" t="s">
        <v>1212</v>
      </c>
      <c r="H97" s="187" t="s">
        <v>1213</v>
      </c>
      <c r="I97" s="187" t="s">
        <v>1214</v>
      </c>
      <c r="J97" s="187" t="s">
        <v>1215</v>
      </c>
      <c r="K97" s="187" t="s">
        <v>1216</v>
      </c>
      <c r="L97" s="187" t="s">
        <v>1217</v>
      </c>
    </row>
    <row r="98" spans="2:12">
      <c r="B98" s="188" t="s">
        <v>1228</v>
      </c>
      <c r="C98" s="189" t="s">
        <v>1219</v>
      </c>
      <c r="D98" s="190" t="s">
        <v>39</v>
      </c>
      <c r="E98" s="191">
        <v>15</v>
      </c>
      <c r="F98" s="192">
        <v>4</v>
      </c>
      <c r="G98" s="192"/>
      <c r="H98" s="191"/>
      <c r="I98" s="191"/>
      <c r="J98" s="216"/>
      <c r="K98" s="217">
        <f>IF(E98*F98*G98&lt;&gt;0,E98*F98*G98,IF(E98*F98&lt;&gt;0,E98*F98,IF(F98*G98&lt;&gt;0,F98*G98,IF(E98*G98&lt;&gt;0,E98*G98,IF(E98&lt;&gt;0,E98,IF(F98&lt;&gt;0,F98,IF(G98&lt;&gt;0,G98,0)))))))*(IF(H98&lt;&gt;0,H98,1))+I98-J98</f>
        <v>60</v>
      </c>
      <c r="L98" s="218"/>
    </row>
    <row r="99" spans="2:12">
      <c r="B99" s="197"/>
      <c r="C99" s="189"/>
      <c r="D99" s="198"/>
      <c r="E99" s="199"/>
      <c r="F99" s="199"/>
      <c r="G99" s="199"/>
      <c r="H99" s="199"/>
      <c r="I99" s="199"/>
      <c r="J99" s="219"/>
      <c r="K99" s="217">
        <f>IF(E99*F99*G99&lt;&gt;0,E99*F99*G99,IF(E99*F99&lt;&gt;0,E99*F99,IF(F99*G99&lt;&gt;0,F99*G99,IF(E99*G99&lt;&gt;0,E99*G99,IF(E99&lt;&gt;0,E99,IF(F99&lt;&gt;0,F99,IF(G99&lt;&gt;0,G99,0)))))))*(IF(H99&lt;&gt;0,H99,1))+I99-J99</f>
        <v>0</v>
      </c>
      <c r="L99" s="218"/>
    </row>
    <row r="100" spans="2:12">
      <c r="B100" s="202"/>
      <c r="C100" s="203"/>
      <c r="D100" s="203"/>
      <c r="E100" s="203"/>
      <c r="F100" s="203"/>
      <c r="G100" s="203"/>
      <c r="H100" s="204"/>
      <c r="I100" s="556" t="s">
        <v>1221</v>
      </c>
      <c r="J100" s="556"/>
      <c r="K100" s="220">
        <f>SUM(K98:K99)</f>
        <v>60</v>
      </c>
      <c r="L100" s="207"/>
    </row>
    <row r="101" spans="2:12">
      <c r="B101" s="208"/>
      <c r="C101" s="204"/>
      <c r="D101" s="204"/>
      <c r="E101" s="204"/>
      <c r="F101" s="204"/>
      <c r="G101" s="204"/>
      <c r="H101" s="209"/>
      <c r="I101" s="557" t="s">
        <v>1222</v>
      </c>
      <c r="J101" s="557"/>
      <c r="K101" s="221">
        <v>60</v>
      </c>
      <c r="L101" s="207"/>
    </row>
    <row r="102" spans="2:12">
      <c r="B102" s="208"/>
      <c r="C102" s="204"/>
      <c r="D102" s="204"/>
      <c r="E102" s="204"/>
      <c r="F102" s="204"/>
      <c r="G102" s="204"/>
      <c r="H102" s="558" t="s">
        <v>1223</v>
      </c>
      <c r="I102" s="558"/>
      <c r="J102" s="558"/>
      <c r="K102" s="222"/>
      <c r="L102" s="207"/>
    </row>
    <row r="103" spans="2:12">
      <c r="B103" s="208"/>
      <c r="C103" s="204"/>
      <c r="D103" s="204"/>
      <c r="E103" s="204"/>
      <c r="F103" s="204"/>
      <c r="G103" s="204"/>
      <c r="H103" s="558" t="s">
        <v>1190</v>
      </c>
      <c r="I103" s="558"/>
      <c r="J103" s="558"/>
      <c r="K103" s="222">
        <f>IF(K100&gt;K101,K101,K100)-K102</f>
        <v>60</v>
      </c>
      <c r="L103" s="207"/>
    </row>
    <row r="104" spans="2:12">
      <c r="B104" s="213"/>
      <c r="C104" s="214"/>
      <c r="D104" s="214"/>
      <c r="E104" s="214"/>
      <c r="F104" s="214"/>
      <c r="G104" s="214"/>
      <c r="H104" s="559" t="s">
        <v>1224</v>
      </c>
      <c r="I104" s="559"/>
      <c r="J104" s="559"/>
      <c r="K104" s="223">
        <f>IF(K100&gt;K101,K100-K101,0)</f>
        <v>0</v>
      </c>
      <c r="L104" s="209"/>
    </row>
    <row r="106" spans="2:12" ht="14.25" customHeight="1">
      <c r="B106" s="555" t="s">
        <v>1232</v>
      </c>
      <c r="C106" s="555"/>
      <c r="D106" s="555"/>
      <c r="E106" s="555"/>
      <c r="F106" s="555"/>
      <c r="G106" s="555"/>
      <c r="H106" s="555"/>
      <c r="I106" s="555"/>
      <c r="J106" s="555"/>
      <c r="K106" s="555"/>
      <c r="L106" s="555"/>
    </row>
    <row r="107" spans="2:12">
      <c r="B107" s="187" t="s">
        <v>1209</v>
      </c>
      <c r="C107" s="187"/>
      <c r="D107" s="187" t="s">
        <v>39</v>
      </c>
      <c r="E107" s="187" t="s">
        <v>1210</v>
      </c>
      <c r="F107" s="187" t="s">
        <v>1211</v>
      </c>
      <c r="G107" s="187" t="s">
        <v>1212</v>
      </c>
      <c r="H107" s="187" t="s">
        <v>1213</v>
      </c>
      <c r="I107" s="187" t="s">
        <v>1214</v>
      </c>
      <c r="J107" s="187" t="s">
        <v>1215</v>
      </c>
      <c r="K107" s="187" t="s">
        <v>1216</v>
      </c>
      <c r="L107" s="187" t="s">
        <v>1217</v>
      </c>
    </row>
    <row r="108" spans="2:12">
      <c r="B108" s="188" t="s">
        <v>1228</v>
      </c>
      <c r="C108" s="189" t="s">
        <v>1219</v>
      </c>
      <c r="D108" s="190" t="s">
        <v>39</v>
      </c>
      <c r="E108" s="191">
        <v>5</v>
      </c>
      <c r="F108" s="192">
        <v>4</v>
      </c>
      <c r="G108" s="192"/>
      <c r="H108" s="191"/>
      <c r="I108" s="191"/>
      <c r="J108" s="216"/>
      <c r="K108" s="217">
        <f>IF(E108*F108*G108&lt;&gt;0,E108*F108*G108,IF(E108*F108&lt;&gt;0,E108*F108,IF(F108*G108&lt;&gt;0,F108*G108,IF(E108*G108&lt;&gt;0,E108*G108,IF(E108&lt;&gt;0,E108,IF(F108&lt;&gt;0,F108,IF(G108&lt;&gt;0,G108,0)))))))*(IF(H108&lt;&gt;0,H108,1))+I108-J108</f>
        <v>20</v>
      </c>
      <c r="L108" s="218"/>
    </row>
    <row r="109" spans="2:12">
      <c r="B109" s="188" t="s">
        <v>1228</v>
      </c>
      <c r="C109" s="189" t="s">
        <v>1240</v>
      </c>
      <c r="D109" s="190" t="s">
        <v>39</v>
      </c>
      <c r="E109" s="191">
        <v>10</v>
      </c>
      <c r="F109" s="192">
        <v>4</v>
      </c>
      <c r="G109" s="192"/>
      <c r="H109" s="191"/>
      <c r="I109" s="191"/>
      <c r="J109" s="219"/>
      <c r="K109" s="217">
        <f>IF(E109*F109*G109&lt;&gt;0,E109*F109*G109,IF(E109*F109&lt;&gt;0,E109*F109,IF(F109*G109&lt;&gt;0,F109*G109,IF(E109*G109&lt;&gt;0,E109*G109,IF(E109&lt;&gt;0,E109,IF(F109&lt;&gt;0,F109,IF(G109&lt;&gt;0,G109,0)))))))*(IF(H109&lt;&gt;0,H109,1))+I109-J109</f>
        <v>40</v>
      </c>
      <c r="L109" s="218"/>
    </row>
    <row r="110" spans="2:12">
      <c r="B110" s="202"/>
      <c r="C110" s="203"/>
      <c r="D110" s="203"/>
      <c r="E110" s="203"/>
      <c r="F110" s="203"/>
      <c r="G110" s="203"/>
      <c r="H110" s="204"/>
      <c r="I110" s="556" t="s">
        <v>1221</v>
      </c>
      <c r="J110" s="556"/>
      <c r="K110" s="220">
        <f>SUM(K108:K109)</f>
        <v>60</v>
      </c>
      <c r="L110" s="207"/>
    </row>
    <row r="111" spans="2:12">
      <c r="B111" s="208"/>
      <c r="C111" s="204"/>
      <c r="D111" s="204"/>
      <c r="E111" s="204"/>
      <c r="F111" s="204"/>
      <c r="G111" s="204"/>
      <c r="H111" s="209"/>
      <c r="I111" s="557" t="s">
        <v>1222</v>
      </c>
      <c r="J111" s="557"/>
      <c r="K111" s="221">
        <v>60</v>
      </c>
      <c r="L111" s="207"/>
    </row>
    <row r="112" spans="2:12">
      <c r="B112" s="208"/>
      <c r="C112" s="204"/>
      <c r="D112" s="204"/>
      <c r="E112" s="204"/>
      <c r="F112" s="204"/>
      <c r="G112" s="204"/>
      <c r="H112" s="558" t="s">
        <v>1223</v>
      </c>
      <c r="I112" s="558"/>
      <c r="J112" s="558"/>
      <c r="K112" s="222">
        <v>20</v>
      </c>
      <c r="L112" s="207"/>
    </row>
    <row r="113" spans="2:12">
      <c r="B113" s="208"/>
      <c r="C113" s="204"/>
      <c r="D113" s="204"/>
      <c r="E113" s="204"/>
      <c r="F113" s="204"/>
      <c r="G113" s="204"/>
      <c r="H113" s="558" t="s">
        <v>1199</v>
      </c>
      <c r="I113" s="558"/>
      <c r="J113" s="558"/>
      <c r="K113" s="222">
        <f>IF(K110&gt;K111,K111,K110)-K112</f>
        <v>40</v>
      </c>
      <c r="L113" s="207"/>
    </row>
    <row r="114" spans="2:12">
      <c r="B114" s="213"/>
      <c r="C114" s="214"/>
      <c r="D114" s="214"/>
      <c r="E114" s="214"/>
      <c r="F114" s="214"/>
      <c r="G114" s="214"/>
      <c r="H114" s="559" t="s">
        <v>1224</v>
      </c>
      <c r="I114" s="559"/>
      <c r="J114" s="559"/>
      <c r="K114" s="223">
        <f>IF(K110&gt;K111,K110-K111,0)</f>
        <v>0</v>
      </c>
      <c r="L114" s="209"/>
    </row>
    <row r="116" spans="2:12" ht="14.25" customHeight="1">
      <c r="B116" s="555" t="s">
        <v>1233</v>
      </c>
      <c r="C116" s="555"/>
      <c r="D116" s="555"/>
      <c r="E116" s="555"/>
      <c r="F116" s="555"/>
      <c r="G116" s="555"/>
      <c r="H116" s="555"/>
      <c r="I116" s="555"/>
      <c r="J116" s="555"/>
      <c r="K116" s="555"/>
      <c r="L116" s="555"/>
    </row>
    <row r="117" spans="2:12">
      <c r="B117" s="187" t="s">
        <v>1209</v>
      </c>
      <c r="C117" s="187"/>
      <c r="D117" s="187" t="s">
        <v>39</v>
      </c>
      <c r="E117" s="187" t="s">
        <v>1210</v>
      </c>
      <c r="F117" s="187" t="s">
        <v>1211</v>
      </c>
      <c r="G117" s="187" t="s">
        <v>1212</v>
      </c>
      <c r="H117" s="187" t="s">
        <v>1213</v>
      </c>
      <c r="I117" s="187" t="s">
        <v>1214</v>
      </c>
      <c r="J117" s="187" t="s">
        <v>1215</v>
      </c>
      <c r="K117" s="187" t="s">
        <v>1216</v>
      </c>
      <c r="L117" s="187" t="s">
        <v>1217</v>
      </c>
    </row>
    <row r="118" spans="2:12">
      <c r="B118" s="188" t="s">
        <v>1228</v>
      </c>
      <c r="C118" s="189" t="s">
        <v>1219</v>
      </c>
      <c r="D118" s="190" t="s">
        <v>39</v>
      </c>
      <c r="E118" s="191">
        <v>5</v>
      </c>
      <c r="F118" s="192">
        <v>4</v>
      </c>
      <c r="G118" s="192"/>
      <c r="H118" s="191"/>
      <c r="I118" s="191"/>
      <c r="J118" s="216"/>
      <c r="K118" s="217">
        <f>IF(E118*F118*G118&lt;&gt;0,E118*F118*G118,IF(E118*F118&lt;&gt;0,E118*F118,IF(F118*G118&lt;&gt;0,F118*G118,IF(E118*G118&lt;&gt;0,E118*G118,IF(E118&lt;&gt;0,E118,IF(F118&lt;&gt;0,F118,IF(G118&lt;&gt;0,G118,0)))))))*(IF(H118&lt;&gt;0,H118,1))+I118-J118</f>
        <v>20</v>
      </c>
      <c r="L118" s="218"/>
    </row>
    <row r="119" spans="2:12">
      <c r="B119" s="188" t="s">
        <v>1228</v>
      </c>
      <c r="C119" s="189" t="s">
        <v>1219</v>
      </c>
      <c r="D119" s="190" t="s">
        <v>39</v>
      </c>
      <c r="E119" s="191">
        <v>7.5</v>
      </c>
      <c r="F119" s="192">
        <v>4</v>
      </c>
      <c r="G119" s="192"/>
      <c r="H119" s="191"/>
      <c r="I119" s="191"/>
      <c r="J119" s="216"/>
      <c r="K119" s="217">
        <f>IF(E119*F119*G119&lt;&gt;0,E119*F119*G119,IF(E119*F119&lt;&gt;0,E119*F119,IF(F119*G119&lt;&gt;0,F119*G119,IF(E119*G119&lt;&gt;0,E119*G119,IF(E119&lt;&gt;0,E119,IF(F119&lt;&gt;0,F119,IF(G119&lt;&gt;0,G119,0)))))))*(IF(H119&lt;&gt;0,H119,1))+I119-J119</f>
        <v>30</v>
      </c>
      <c r="L119" s="218"/>
    </row>
    <row r="120" spans="2:12">
      <c r="B120" s="202"/>
      <c r="C120" s="203"/>
      <c r="D120" s="203"/>
      <c r="E120" s="203"/>
      <c r="F120" s="203"/>
      <c r="G120" s="203"/>
      <c r="H120" s="204"/>
      <c r="I120" s="556" t="s">
        <v>1221</v>
      </c>
      <c r="J120" s="556"/>
      <c r="K120" s="220">
        <f>SUM(K118:K119)</f>
        <v>50</v>
      </c>
      <c r="L120" s="207"/>
    </row>
    <row r="121" spans="2:12">
      <c r="B121" s="208"/>
      <c r="C121" s="204"/>
      <c r="D121" s="204"/>
      <c r="E121" s="204"/>
      <c r="F121" s="204"/>
      <c r="G121" s="204"/>
      <c r="H121" s="209"/>
      <c r="I121" s="557" t="s">
        <v>1222</v>
      </c>
      <c r="J121" s="557"/>
      <c r="K121" s="221">
        <v>50</v>
      </c>
      <c r="L121" s="207"/>
    </row>
    <row r="122" spans="2:12">
      <c r="B122" s="208"/>
      <c r="C122" s="204"/>
      <c r="D122" s="204"/>
      <c r="E122" s="204"/>
      <c r="F122" s="204"/>
      <c r="G122" s="204"/>
      <c r="H122" s="558" t="s">
        <v>1223</v>
      </c>
      <c r="I122" s="558"/>
      <c r="J122" s="558"/>
      <c r="K122" s="222">
        <v>20</v>
      </c>
      <c r="L122" s="207"/>
    </row>
    <row r="123" spans="2:12">
      <c r="B123" s="208"/>
      <c r="C123" s="204"/>
      <c r="D123" s="204"/>
      <c r="E123" s="204"/>
      <c r="F123" s="204"/>
      <c r="G123" s="204"/>
      <c r="H123" s="558" t="s">
        <v>1199</v>
      </c>
      <c r="I123" s="558"/>
      <c r="J123" s="558"/>
      <c r="K123" s="222">
        <f>IF(K120&gt;K121,K121,K120)-K122</f>
        <v>30</v>
      </c>
      <c r="L123" s="207"/>
    </row>
    <row r="124" spans="2:12">
      <c r="B124" s="213"/>
      <c r="C124" s="214"/>
      <c r="D124" s="214"/>
      <c r="E124" s="214"/>
      <c r="F124" s="214"/>
      <c r="G124" s="214"/>
      <c r="H124" s="559" t="s">
        <v>1224</v>
      </c>
      <c r="I124" s="559"/>
      <c r="J124" s="559"/>
      <c r="K124" s="223">
        <f>IF(K120&gt;K121,K120-K121,0)</f>
        <v>0</v>
      </c>
      <c r="L124" s="209"/>
    </row>
    <row r="126" spans="2:12" ht="15" customHeight="1">
      <c r="B126" s="555" t="s">
        <v>1234</v>
      </c>
      <c r="C126" s="555"/>
      <c r="D126" s="555"/>
      <c r="E126" s="555"/>
      <c r="F126" s="555"/>
      <c r="G126" s="555"/>
      <c r="H126" s="555"/>
      <c r="I126" s="555"/>
      <c r="J126" s="555"/>
      <c r="K126" s="555"/>
      <c r="L126" s="555"/>
    </row>
    <row r="127" spans="2:12">
      <c r="B127" s="187" t="s">
        <v>1209</v>
      </c>
      <c r="C127" s="187"/>
      <c r="D127" s="187" t="s">
        <v>39</v>
      </c>
      <c r="E127" s="187" t="s">
        <v>1210</v>
      </c>
      <c r="F127" s="187" t="s">
        <v>1211</v>
      </c>
      <c r="G127" s="187" t="s">
        <v>1212</v>
      </c>
      <c r="H127" s="187" t="s">
        <v>1213</v>
      </c>
      <c r="I127" s="187" t="s">
        <v>1214</v>
      </c>
      <c r="J127" s="187" t="s">
        <v>1215</v>
      </c>
      <c r="K127" s="187" t="s">
        <v>1216</v>
      </c>
      <c r="L127" s="187" t="s">
        <v>1217</v>
      </c>
    </row>
    <row r="128" spans="2:12">
      <c r="B128" s="188" t="s">
        <v>1235</v>
      </c>
      <c r="C128" s="189" t="s">
        <v>1219</v>
      </c>
      <c r="D128" s="190" t="s">
        <v>169</v>
      </c>
      <c r="E128" s="191">
        <v>1616.87</v>
      </c>
      <c r="F128" s="192"/>
      <c r="G128" s="192">
        <v>0.75</v>
      </c>
      <c r="H128" s="191"/>
      <c r="I128" s="191"/>
      <c r="J128" s="216"/>
      <c r="K128" s="217">
        <f>IF(E128*F128*G128&lt;&gt;0,E128*F128*G128,IF(E128*F128&lt;&gt;0,E128*F128,IF(F128*G128&lt;&gt;0,F128*G128,IF(E128*G128&lt;&gt;0,E128*G128,IF(E128&lt;&gt;0,E128,IF(F128&lt;&gt;0,F128,IF(G128&lt;&gt;0,G128,0)))))))*(IF(H128&lt;&gt;0,H128,1))+I128-J128</f>
        <v>1212.6524999999999</v>
      </c>
      <c r="L128" s="218"/>
    </row>
    <row r="129" spans="2:12">
      <c r="B129" s="188" t="s">
        <v>1235</v>
      </c>
      <c r="C129" s="189" t="s">
        <v>1271</v>
      </c>
      <c r="D129" s="190" t="s">
        <v>169</v>
      </c>
      <c r="E129" s="199">
        <v>1616.87</v>
      </c>
      <c r="F129" s="199"/>
      <c r="G129" s="199">
        <v>0.25</v>
      </c>
      <c r="H129" s="199"/>
      <c r="I129" s="199"/>
      <c r="J129" s="219"/>
      <c r="K129" s="217">
        <f>IF(E129*F129*G129&lt;&gt;0,E129*F129*G129,IF(E129*F129&lt;&gt;0,E129*F129,IF(F129*G129&lt;&gt;0,F129*G129,IF(E129*G129&lt;&gt;0,E129*G129,IF(E129&lt;&gt;0,E129,IF(F129&lt;&gt;0,F129,IF(G129&lt;&gt;0,G129,0)))))))*(IF(H129&lt;&gt;0,H129,1))+I129-J129</f>
        <v>404.21749999999997</v>
      </c>
      <c r="L129" s="218"/>
    </row>
    <row r="130" spans="2:12">
      <c r="B130" s="197"/>
      <c r="C130" s="189"/>
      <c r="D130" s="198"/>
      <c r="E130" s="199"/>
      <c r="F130" s="199"/>
      <c r="G130" s="199"/>
      <c r="H130" s="199"/>
      <c r="I130" s="199"/>
      <c r="J130" s="219"/>
      <c r="K130" s="217">
        <f>IF(E130*F130*G130&lt;&gt;0,E130*F130*G130,IF(E130*F130&lt;&gt;0,E130*F130,IF(F130*G130&lt;&gt;0,F130*G130,IF(E130*G130&lt;&gt;0,E130*G130,IF(E130&lt;&gt;0,E130,IF(F130&lt;&gt;0,F130,IF(G130&lt;&gt;0,G130,0)))))))*(IF(H130&lt;&gt;0,H130,1))+I130-J130</f>
        <v>0</v>
      </c>
      <c r="L130" s="218"/>
    </row>
    <row r="131" spans="2:12">
      <c r="B131" s="202"/>
      <c r="C131" s="203"/>
      <c r="D131" s="203"/>
      <c r="E131" s="203"/>
      <c r="F131" s="203"/>
      <c r="G131" s="203"/>
      <c r="H131" s="204"/>
      <c r="I131" s="556" t="s">
        <v>1221</v>
      </c>
      <c r="J131" s="556"/>
      <c r="K131" s="220">
        <f>SUM(K128:K130)</f>
        <v>1616.87</v>
      </c>
      <c r="L131" s="207"/>
    </row>
    <row r="132" spans="2:12">
      <c r="B132" s="208"/>
      <c r="C132" s="204"/>
      <c r="D132" s="204"/>
      <c r="E132" s="204"/>
      <c r="F132" s="204"/>
      <c r="G132" s="204"/>
      <c r="H132" s="209"/>
      <c r="I132" s="557" t="s">
        <v>1222</v>
      </c>
      <c r="J132" s="557"/>
      <c r="K132" s="221">
        <v>4350</v>
      </c>
      <c r="L132" s="207"/>
    </row>
    <row r="133" spans="2:12">
      <c r="B133" s="208"/>
      <c r="C133" s="204"/>
      <c r="D133" s="204"/>
      <c r="E133" s="204"/>
      <c r="F133" s="204"/>
      <c r="G133" s="204"/>
      <c r="H133" s="558" t="s">
        <v>1223</v>
      </c>
      <c r="I133" s="558"/>
      <c r="J133" s="558"/>
      <c r="K133" s="222">
        <v>1616.87</v>
      </c>
      <c r="L133" s="207"/>
    </row>
    <row r="134" spans="2:12">
      <c r="B134" s="208"/>
      <c r="C134" s="204"/>
      <c r="D134" s="204"/>
      <c r="E134" s="204"/>
      <c r="F134" s="204"/>
      <c r="G134" s="204"/>
      <c r="H134" s="558" t="s">
        <v>1431</v>
      </c>
      <c r="I134" s="558"/>
      <c r="J134" s="558"/>
      <c r="K134" s="222">
        <f>IF(K131&gt;K132,K132,K131)-K133</f>
        <v>0</v>
      </c>
      <c r="L134" s="207"/>
    </row>
    <row r="135" spans="2:12">
      <c r="B135" s="213"/>
      <c r="C135" s="214"/>
      <c r="D135" s="214"/>
      <c r="E135" s="214"/>
      <c r="F135" s="214"/>
      <c r="G135" s="214"/>
      <c r="H135" s="559" t="s">
        <v>1224</v>
      </c>
      <c r="I135" s="559"/>
      <c r="J135" s="559"/>
      <c r="K135" s="223">
        <f>IF(K131&gt;K132,K131-K132,0)</f>
        <v>0</v>
      </c>
      <c r="L135" s="209"/>
    </row>
    <row r="136" spans="2:12" ht="15" customHeight="1"/>
    <row r="137" spans="2:12" ht="24" customHeight="1">
      <c r="B137" s="555" t="s">
        <v>1236</v>
      </c>
      <c r="C137" s="555"/>
      <c r="D137" s="555"/>
      <c r="E137" s="555"/>
      <c r="F137" s="555"/>
      <c r="G137" s="555"/>
      <c r="H137" s="555"/>
      <c r="I137" s="555"/>
      <c r="J137" s="555"/>
      <c r="K137" s="555"/>
      <c r="L137" s="555"/>
    </row>
    <row r="138" spans="2:12">
      <c r="B138" s="187" t="s">
        <v>1209</v>
      </c>
      <c r="C138" s="187"/>
      <c r="D138" s="187" t="s">
        <v>39</v>
      </c>
      <c r="E138" s="187" t="s">
        <v>1210</v>
      </c>
      <c r="F138" s="187" t="s">
        <v>1211</v>
      </c>
      <c r="G138" s="187" t="s">
        <v>1212</v>
      </c>
      <c r="H138" s="187" t="s">
        <v>1213</v>
      </c>
      <c r="I138" s="187" t="s">
        <v>1214</v>
      </c>
      <c r="J138" s="187" t="s">
        <v>1215</v>
      </c>
      <c r="K138" s="187" t="s">
        <v>1216</v>
      </c>
      <c r="L138" s="187" t="s">
        <v>1217</v>
      </c>
    </row>
    <row r="139" spans="2:12">
      <c r="B139" s="188" t="s">
        <v>1235</v>
      </c>
      <c r="C139" s="189" t="s">
        <v>1219</v>
      </c>
      <c r="D139" s="190" t="s">
        <v>169</v>
      </c>
      <c r="E139" s="191">
        <v>1616.87</v>
      </c>
      <c r="F139" s="192"/>
      <c r="G139" s="192">
        <v>0.75</v>
      </c>
      <c r="H139" s="191"/>
      <c r="I139" s="191"/>
      <c r="J139" s="216"/>
      <c r="K139" s="217">
        <f t="shared" ref="K139:K145" si="3">IF(E139*F139*G139&lt;&gt;0,E139*F139*G139,IF(E139*F139&lt;&gt;0,E139*F139,IF(F139*G139&lt;&gt;0,F139*G139,IF(E139*G139&lt;&gt;0,E139*G139,IF(E139&lt;&gt;0,E139,IF(F139&lt;&gt;0,F139,IF(G139&lt;&gt;0,G139,0)))))))*(IF(H139&lt;&gt;0,H139,1))+I139-J139</f>
        <v>1212.6524999999999</v>
      </c>
      <c r="L139" s="218"/>
    </row>
    <row r="140" spans="2:12">
      <c r="B140" s="188" t="s">
        <v>1235</v>
      </c>
      <c r="C140" s="189" t="s">
        <v>1271</v>
      </c>
      <c r="D140" s="190" t="s">
        <v>169</v>
      </c>
      <c r="E140" s="199">
        <v>1616.87</v>
      </c>
      <c r="F140" s="199"/>
      <c r="G140" s="199">
        <v>0.25</v>
      </c>
      <c r="H140" s="199"/>
      <c r="I140" s="199"/>
      <c r="J140" s="219"/>
      <c r="K140" s="217">
        <f t="shared" si="3"/>
        <v>404.21749999999997</v>
      </c>
      <c r="L140" s="218"/>
    </row>
    <row r="141" spans="2:12">
      <c r="B141" s="188" t="s">
        <v>1235</v>
      </c>
      <c r="C141" s="189" t="s">
        <v>1271</v>
      </c>
      <c r="D141" s="190" t="s">
        <v>169</v>
      </c>
      <c r="E141" s="199">
        <v>922</v>
      </c>
      <c r="F141" s="199"/>
      <c r="G141" s="199">
        <v>0.5</v>
      </c>
      <c r="H141" s="199"/>
      <c r="I141" s="199"/>
      <c r="J141" s="219"/>
      <c r="K141" s="217">
        <f t="shared" si="3"/>
        <v>461</v>
      </c>
      <c r="L141" s="218"/>
    </row>
    <row r="142" spans="2:12">
      <c r="B142" s="188" t="s">
        <v>1522</v>
      </c>
      <c r="C142" s="189" t="s">
        <v>1521</v>
      </c>
      <c r="D142" s="190" t="s">
        <v>169</v>
      </c>
      <c r="E142" s="199">
        <v>15</v>
      </c>
      <c r="F142" s="199"/>
      <c r="G142" s="199">
        <v>25</v>
      </c>
      <c r="H142" s="199"/>
      <c r="I142" s="199"/>
      <c r="J142" s="219"/>
      <c r="K142" s="217">
        <f t="shared" si="3"/>
        <v>375</v>
      </c>
      <c r="L142" s="218"/>
    </row>
    <row r="143" spans="2:12">
      <c r="B143" s="188" t="s">
        <v>1522</v>
      </c>
      <c r="C143" s="189" t="s">
        <v>1521</v>
      </c>
      <c r="D143" s="190" t="s">
        <v>169</v>
      </c>
      <c r="E143" s="199">
        <v>15</v>
      </c>
      <c r="F143" s="199"/>
      <c r="G143" s="199">
        <v>25</v>
      </c>
      <c r="H143" s="199"/>
      <c r="I143" s="199"/>
      <c r="J143" s="219"/>
      <c r="K143" s="217">
        <f t="shared" si="3"/>
        <v>375</v>
      </c>
      <c r="L143" s="218"/>
    </row>
    <row r="144" spans="2:12">
      <c r="B144" s="188" t="s">
        <v>1522</v>
      </c>
      <c r="C144" s="189" t="s">
        <v>1998</v>
      </c>
      <c r="D144" s="190" t="s">
        <v>169</v>
      </c>
      <c r="E144" s="199">
        <v>15</v>
      </c>
      <c r="F144" s="199"/>
      <c r="G144" s="199">
        <v>2</v>
      </c>
      <c r="H144" s="199"/>
      <c r="I144" s="199"/>
      <c r="J144" s="219"/>
      <c r="K144" s="217">
        <f t="shared" si="3"/>
        <v>30</v>
      </c>
      <c r="L144" s="218"/>
    </row>
    <row r="145" spans="2:12">
      <c r="B145" s="197"/>
      <c r="C145" s="189"/>
      <c r="D145" s="198"/>
      <c r="E145" s="199"/>
      <c r="F145" s="199"/>
      <c r="G145" s="199"/>
      <c r="H145" s="199"/>
      <c r="I145" s="199"/>
      <c r="J145" s="219"/>
      <c r="K145" s="217">
        <f t="shared" si="3"/>
        <v>0</v>
      </c>
      <c r="L145" s="218"/>
    </row>
    <row r="146" spans="2:12">
      <c r="B146" s="202"/>
      <c r="C146" s="203"/>
      <c r="D146" s="203"/>
      <c r="E146" s="203"/>
      <c r="F146" s="203"/>
      <c r="G146" s="203"/>
      <c r="H146" s="204"/>
      <c r="I146" s="556" t="s">
        <v>1221</v>
      </c>
      <c r="J146" s="556"/>
      <c r="K146" s="220">
        <f>SUM(K139:K145)</f>
        <v>2857.87</v>
      </c>
      <c r="L146" s="207"/>
    </row>
    <row r="147" spans="2:12">
      <c r="B147" s="208"/>
      <c r="C147" s="204"/>
      <c r="D147" s="204"/>
      <c r="E147" s="204"/>
      <c r="F147" s="204"/>
      <c r="G147" s="204"/>
      <c r="H147" s="209"/>
      <c r="I147" s="557" t="s">
        <v>1222</v>
      </c>
      <c r="J147" s="557"/>
      <c r="K147" s="221">
        <v>3985</v>
      </c>
      <c r="L147" s="207"/>
    </row>
    <row r="148" spans="2:12">
      <c r="B148" s="208"/>
      <c r="C148" s="204"/>
      <c r="D148" s="204"/>
      <c r="E148" s="204"/>
      <c r="F148" s="204"/>
      <c r="G148" s="204"/>
      <c r="H148" s="558" t="s">
        <v>1223</v>
      </c>
      <c r="I148" s="558"/>
      <c r="J148" s="558"/>
      <c r="K148" s="222">
        <v>2827.87</v>
      </c>
      <c r="L148" s="207"/>
    </row>
    <row r="149" spans="2:12">
      <c r="B149" s="208"/>
      <c r="C149" s="204"/>
      <c r="D149" s="204"/>
      <c r="E149" s="204"/>
      <c r="F149" s="204"/>
      <c r="G149" s="204"/>
      <c r="H149" s="558" t="s">
        <v>1892</v>
      </c>
      <c r="I149" s="558"/>
      <c r="J149" s="558"/>
      <c r="K149" s="222">
        <f>IF(K146&gt;K147,K147,K146)-K148</f>
        <v>30</v>
      </c>
      <c r="L149" s="207"/>
    </row>
    <row r="150" spans="2:12" ht="15" customHeight="1">
      <c r="B150" s="213"/>
      <c r="C150" s="214"/>
      <c r="D150" s="214"/>
      <c r="E150" s="214"/>
      <c r="F150" s="214"/>
      <c r="G150" s="214"/>
      <c r="H150" s="559" t="s">
        <v>1224</v>
      </c>
      <c r="I150" s="559"/>
      <c r="J150" s="559"/>
      <c r="K150" s="223">
        <f>IF(K146&gt;K147,K146-K147,0)</f>
        <v>0</v>
      </c>
      <c r="L150" s="209"/>
    </row>
    <row r="152" spans="2:12" ht="14.25" customHeight="1">
      <c r="B152" s="555" t="s">
        <v>1237</v>
      </c>
      <c r="C152" s="555"/>
      <c r="D152" s="555"/>
      <c r="E152" s="555"/>
      <c r="F152" s="555"/>
      <c r="G152" s="555"/>
      <c r="H152" s="555"/>
      <c r="I152" s="555"/>
      <c r="J152" s="555"/>
      <c r="K152" s="555"/>
      <c r="L152" s="555"/>
    </row>
    <row r="153" spans="2:12">
      <c r="B153" s="187" t="s">
        <v>1209</v>
      </c>
      <c r="C153" s="187"/>
      <c r="D153" s="187" t="s">
        <v>39</v>
      </c>
      <c r="E153" s="187" t="s">
        <v>1210</v>
      </c>
      <c r="F153" s="187" t="s">
        <v>1211</v>
      </c>
      <c r="G153" s="187" t="s">
        <v>1212</v>
      </c>
      <c r="H153" s="187" t="s">
        <v>1213</v>
      </c>
      <c r="I153" s="187" t="s">
        <v>1214</v>
      </c>
      <c r="J153" s="187" t="s">
        <v>1215</v>
      </c>
      <c r="K153" s="187" t="s">
        <v>1216</v>
      </c>
      <c r="L153" s="187" t="s">
        <v>1217</v>
      </c>
    </row>
    <row r="154" spans="2:12">
      <c r="B154" s="188" t="s">
        <v>1238</v>
      </c>
      <c r="C154" s="189" t="s">
        <v>1219</v>
      </c>
      <c r="D154" s="190" t="s">
        <v>113</v>
      </c>
      <c r="E154" s="191"/>
      <c r="F154" s="192"/>
      <c r="G154" s="192"/>
      <c r="H154" s="191"/>
      <c r="I154" s="191">
        <v>8200</v>
      </c>
      <c r="J154" s="216"/>
      <c r="K154" s="217">
        <f t="shared" ref="K154:K160" si="4">IF(E154*F154*G154&lt;&gt;0,E154*F154*G154,IF(E154*F154&lt;&gt;0,E154*F154,IF(F154*G154&lt;&gt;0,F154*G154,IF(E154*G154&lt;&gt;0,E154*G154,IF(E154&lt;&gt;0,E154,IF(F154&lt;&gt;0,F154,IF(G154&lt;&gt;0,G154,0)))))))*(IF(H154&lt;&gt;0,H154,1))+I154-J154</f>
        <v>8200</v>
      </c>
      <c r="L154" s="218"/>
    </row>
    <row r="155" spans="2:12">
      <c r="B155" s="188" t="s">
        <v>1235</v>
      </c>
      <c r="C155" s="189" t="s">
        <v>1271</v>
      </c>
      <c r="D155" s="190" t="s">
        <v>169</v>
      </c>
      <c r="E155" s="199">
        <v>1616.87</v>
      </c>
      <c r="F155" s="199"/>
      <c r="G155" s="199">
        <v>0.25</v>
      </c>
      <c r="H155" s="199">
        <v>30</v>
      </c>
      <c r="I155" s="199"/>
      <c r="J155" s="219"/>
      <c r="K155" s="217">
        <f t="shared" si="4"/>
        <v>12126.525</v>
      </c>
      <c r="L155" s="218"/>
    </row>
    <row r="156" spans="2:12">
      <c r="B156" s="188" t="s">
        <v>1235</v>
      </c>
      <c r="C156" s="189" t="s">
        <v>1271</v>
      </c>
      <c r="D156" s="190" t="s">
        <v>169</v>
      </c>
      <c r="E156" s="199">
        <v>922</v>
      </c>
      <c r="F156" s="199"/>
      <c r="G156" s="199">
        <v>0.5</v>
      </c>
      <c r="H156" s="199">
        <v>30</v>
      </c>
      <c r="I156" s="199"/>
      <c r="J156" s="219"/>
      <c r="K156" s="217">
        <f t="shared" si="4"/>
        <v>13830</v>
      </c>
      <c r="L156" s="218"/>
    </row>
    <row r="157" spans="2:12">
      <c r="B157" s="188" t="s">
        <v>1522</v>
      </c>
      <c r="C157" s="189" t="s">
        <v>1521</v>
      </c>
      <c r="D157" s="190" t="s">
        <v>169</v>
      </c>
      <c r="E157" s="199">
        <v>15</v>
      </c>
      <c r="F157" s="199"/>
      <c r="G157" s="199">
        <v>25</v>
      </c>
      <c r="H157" s="199">
        <v>30</v>
      </c>
      <c r="I157" s="199"/>
      <c r="J157" s="219"/>
      <c r="K157" s="217">
        <f t="shared" si="4"/>
        <v>11250</v>
      </c>
      <c r="L157" s="218"/>
    </row>
    <row r="158" spans="2:12">
      <c r="B158" s="188" t="s">
        <v>1522</v>
      </c>
      <c r="C158" s="189" t="s">
        <v>1521</v>
      </c>
      <c r="D158" s="190" t="s">
        <v>169</v>
      </c>
      <c r="E158" s="199">
        <v>15</v>
      </c>
      <c r="F158" s="199"/>
      <c r="G158" s="199">
        <v>25</v>
      </c>
      <c r="H158" s="199">
        <v>30</v>
      </c>
      <c r="I158" s="199"/>
      <c r="J158" s="219"/>
      <c r="K158" s="217">
        <f t="shared" si="4"/>
        <v>11250</v>
      </c>
      <c r="L158" s="218"/>
    </row>
    <row r="159" spans="2:12">
      <c r="B159" s="188" t="s">
        <v>1522</v>
      </c>
      <c r="C159" s="189" t="s">
        <v>1998</v>
      </c>
      <c r="D159" s="190" t="s">
        <v>169</v>
      </c>
      <c r="E159" s="199">
        <v>15</v>
      </c>
      <c r="F159" s="199"/>
      <c r="G159" s="199">
        <v>2</v>
      </c>
      <c r="H159" s="199">
        <v>30</v>
      </c>
      <c r="I159" s="199"/>
      <c r="J159" s="219"/>
      <c r="K159" s="217">
        <f t="shared" si="4"/>
        <v>900</v>
      </c>
      <c r="L159" s="218"/>
    </row>
    <row r="160" spans="2:12">
      <c r="B160" s="197"/>
      <c r="C160" s="189"/>
      <c r="D160" s="198"/>
      <c r="E160" s="199"/>
      <c r="F160" s="199"/>
      <c r="G160" s="199"/>
      <c r="H160" s="199"/>
      <c r="I160" s="199"/>
      <c r="J160" s="219"/>
      <c r="K160" s="217">
        <f t="shared" si="4"/>
        <v>0</v>
      </c>
      <c r="L160" s="218"/>
    </row>
    <row r="161" spans="2:12">
      <c r="B161" s="202"/>
      <c r="C161" s="203"/>
      <c r="D161" s="203"/>
      <c r="E161" s="203"/>
      <c r="F161" s="203"/>
      <c r="G161" s="203"/>
      <c r="H161" s="204"/>
      <c r="I161" s="556" t="s">
        <v>1221</v>
      </c>
      <c r="J161" s="556"/>
      <c r="K161" s="220">
        <f>SUM(K154:K160)</f>
        <v>57556.525000000001</v>
      </c>
      <c r="L161" s="207"/>
    </row>
    <row r="162" spans="2:12">
      <c r="B162" s="208"/>
      <c r="C162" s="204"/>
      <c r="D162" s="204"/>
      <c r="E162" s="204"/>
      <c r="F162" s="204"/>
      <c r="G162" s="204"/>
      <c r="H162" s="209"/>
      <c r="I162" s="557" t="s">
        <v>1222</v>
      </c>
      <c r="J162" s="557"/>
      <c r="K162" s="221">
        <v>119550</v>
      </c>
      <c r="L162" s="207"/>
    </row>
    <row r="163" spans="2:12">
      <c r="B163" s="208"/>
      <c r="C163" s="204"/>
      <c r="D163" s="204"/>
      <c r="E163" s="204"/>
      <c r="F163" s="204"/>
      <c r="G163" s="204"/>
      <c r="H163" s="558" t="s">
        <v>1223</v>
      </c>
      <c r="I163" s="558"/>
      <c r="J163" s="558"/>
      <c r="K163" s="222">
        <v>56656.525000000001</v>
      </c>
      <c r="L163" s="207"/>
    </row>
    <row r="164" spans="2:12">
      <c r="B164" s="208"/>
      <c r="C164" s="204"/>
      <c r="D164" s="204"/>
      <c r="E164" s="204"/>
      <c r="F164" s="204"/>
      <c r="G164" s="204"/>
      <c r="H164" s="558" t="s">
        <v>1892</v>
      </c>
      <c r="I164" s="558"/>
      <c r="J164" s="558"/>
      <c r="K164" s="222">
        <f>IF(K161&gt;K162,K162,K161)-K163</f>
        <v>900</v>
      </c>
      <c r="L164" s="207"/>
    </row>
    <row r="165" spans="2:12">
      <c r="B165" s="213"/>
      <c r="C165" s="214"/>
      <c r="D165" s="214"/>
      <c r="E165" s="214"/>
      <c r="F165" s="214"/>
      <c r="G165" s="214"/>
      <c r="H165" s="559" t="s">
        <v>1224</v>
      </c>
      <c r="I165" s="559"/>
      <c r="J165" s="559"/>
      <c r="K165" s="223">
        <f>IF(K161&gt;K162,K161-K162,0)</f>
        <v>0</v>
      </c>
      <c r="L165" s="209"/>
    </row>
    <row r="167" spans="2:12" ht="14.25" customHeight="1">
      <c r="B167" s="555" t="s">
        <v>1241</v>
      </c>
      <c r="C167" s="555"/>
      <c r="D167" s="555"/>
      <c r="E167" s="555"/>
      <c r="F167" s="555"/>
      <c r="G167" s="555"/>
      <c r="H167" s="555"/>
      <c r="I167" s="555"/>
      <c r="J167" s="555"/>
      <c r="K167" s="555"/>
      <c r="L167" s="555"/>
    </row>
    <row r="168" spans="2:12">
      <c r="B168" s="187" t="s">
        <v>1209</v>
      </c>
      <c r="C168" s="187"/>
      <c r="D168" s="187" t="s">
        <v>39</v>
      </c>
      <c r="E168" s="187" t="s">
        <v>1210</v>
      </c>
      <c r="F168" s="187" t="s">
        <v>1211</v>
      </c>
      <c r="G168" s="187" t="s">
        <v>1212</v>
      </c>
      <c r="H168" s="187" t="s">
        <v>1213</v>
      </c>
      <c r="I168" s="187" t="s">
        <v>1214</v>
      </c>
      <c r="J168" s="187" t="s">
        <v>1215</v>
      </c>
      <c r="K168" s="187" t="s">
        <v>1216</v>
      </c>
      <c r="L168" s="187" t="s">
        <v>1217</v>
      </c>
    </row>
    <row r="169" spans="2:12">
      <c r="B169" s="188" t="s">
        <v>117</v>
      </c>
      <c r="C169" s="189" t="s">
        <v>1240</v>
      </c>
      <c r="D169" s="190" t="s">
        <v>82</v>
      </c>
      <c r="E169" s="191">
        <v>10</v>
      </c>
      <c r="F169" s="192">
        <f>45/40</f>
        <v>1.125</v>
      </c>
      <c r="G169" s="192"/>
      <c r="H169" s="191">
        <v>147</v>
      </c>
      <c r="I169" s="191"/>
      <c r="J169" s="216"/>
      <c r="K169" s="217">
        <f>IF(E169*F169*G169&lt;&gt;0,E169*F169*G169,IF(E169*F169&lt;&gt;0,E169*F169,IF(F169*G169&lt;&gt;0,F169*G169,IF(E169*G169&lt;&gt;0,E169*G169,IF(E169&lt;&gt;0,E169,IF(F169&lt;&gt;0,F169,IF(G169&lt;&gt;0,G169,0)))))))*(IF(H169&lt;&gt;0,H169,1))+I169-J169</f>
        <v>1653.75</v>
      </c>
      <c r="L169" s="218"/>
    </row>
    <row r="170" spans="2:12">
      <c r="B170" s="188" t="s">
        <v>117</v>
      </c>
      <c r="C170" s="189" t="s">
        <v>1271</v>
      </c>
      <c r="D170" s="190" t="s">
        <v>82</v>
      </c>
      <c r="E170" s="191">
        <v>10</v>
      </c>
      <c r="F170" s="192">
        <f>45/40</f>
        <v>1.125</v>
      </c>
      <c r="G170" s="192"/>
      <c r="H170" s="191">
        <f>173-147</f>
        <v>26</v>
      </c>
      <c r="I170" s="191"/>
      <c r="J170" s="216"/>
      <c r="K170" s="217">
        <f>IF(E170*F170*G170&lt;&gt;0,E170*F170*G170,IF(E170*F170&lt;&gt;0,E170*F170,IF(F170*G170&lt;&gt;0,F170*G170,IF(E170*G170&lt;&gt;0,E170*G170,IF(E170&lt;&gt;0,E170,IF(F170&lt;&gt;0,F170,IF(G170&lt;&gt;0,G170,0)))))))*(IF(H170&lt;&gt;0,H170,1))+I170-J170</f>
        <v>292.5</v>
      </c>
      <c r="L170" s="218"/>
    </row>
    <row r="171" spans="2:12">
      <c r="B171" s="197"/>
      <c r="C171" s="189"/>
      <c r="D171" s="198"/>
      <c r="E171" s="199"/>
      <c r="F171" s="199"/>
      <c r="G171" s="199"/>
      <c r="H171" s="199"/>
      <c r="I171" s="199"/>
      <c r="J171" s="219"/>
      <c r="K171" s="217">
        <f>IF(E171*F171*G171&lt;&gt;0,E171*F171*G171,IF(E171*F171&lt;&gt;0,E171*F171,IF(F171*G171&lt;&gt;0,F171*G171,IF(E171*G171&lt;&gt;0,E171*G171,IF(E171&lt;&gt;0,E171,IF(F171&lt;&gt;0,F171,IF(G171&lt;&gt;0,G171,0)))))))*(IF(H171&lt;&gt;0,H171,1))+I171-J171</f>
        <v>0</v>
      </c>
      <c r="L171" s="218"/>
    </row>
    <row r="172" spans="2:12">
      <c r="B172" s="202"/>
      <c r="C172" s="203"/>
      <c r="D172" s="203"/>
      <c r="E172" s="203"/>
      <c r="F172" s="203"/>
      <c r="G172" s="203"/>
      <c r="H172" s="204"/>
      <c r="I172" s="556" t="s">
        <v>1221</v>
      </c>
      <c r="J172" s="556"/>
      <c r="K172" s="220">
        <f>SUM(K169:K171)</f>
        <v>1946.25</v>
      </c>
      <c r="L172" s="207"/>
    </row>
    <row r="173" spans="2:12">
      <c r="B173" s="208"/>
      <c r="C173" s="204"/>
      <c r="D173" s="204"/>
      <c r="E173" s="204"/>
      <c r="F173" s="204"/>
      <c r="G173" s="204"/>
      <c r="H173" s="209"/>
      <c r="I173" s="557" t="s">
        <v>1222</v>
      </c>
      <c r="J173" s="557"/>
      <c r="K173" s="221">
        <v>1837</v>
      </c>
      <c r="L173" s="207"/>
    </row>
    <row r="174" spans="2:12">
      <c r="B174" s="208"/>
      <c r="C174" s="204"/>
      <c r="D174" s="204"/>
      <c r="E174" s="204"/>
      <c r="F174" s="204"/>
      <c r="G174" s="204"/>
      <c r="H174" s="558" t="s">
        <v>1223</v>
      </c>
      <c r="I174" s="558"/>
      <c r="J174" s="558"/>
      <c r="K174" s="222">
        <v>1653.75</v>
      </c>
      <c r="L174" s="207"/>
    </row>
    <row r="175" spans="2:12">
      <c r="B175" s="208"/>
      <c r="C175" s="204"/>
      <c r="D175" s="204"/>
      <c r="E175" s="204"/>
      <c r="F175" s="204"/>
      <c r="G175" s="204"/>
      <c r="H175" s="558" t="s">
        <v>1199</v>
      </c>
      <c r="I175" s="558"/>
      <c r="J175" s="558"/>
      <c r="K175" s="222">
        <f>IF(K172&gt;K173,K173,K172)-K174</f>
        <v>183.25</v>
      </c>
      <c r="L175" s="207"/>
    </row>
    <row r="176" spans="2:12">
      <c r="B176" s="213"/>
      <c r="C176" s="214"/>
      <c r="D176" s="214"/>
      <c r="E176" s="214"/>
      <c r="F176" s="214"/>
      <c r="G176" s="214"/>
      <c r="H176" s="559" t="s">
        <v>1224</v>
      </c>
      <c r="I176" s="559"/>
      <c r="J176" s="559"/>
      <c r="K176" s="223">
        <f>IF(K172&gt;K173,K172-K173,0)</f>
        <v>109.25</v>
      </c>
      <c r="L176" s="209"/>
    </row>
    <row r="178" spans="2:12" ht="14.25" customHeight="1">
      <c r="B178" s="555" t="s">
        <v>1242</v>
      </c>
      <c r="C178" s="555"/>
      <c r="D178" s="555"/>
      <c r="E178" s="555"/>
      <c r="F178" s="555"/>
      <c r="G178" s="555"/>
      <c r="H178" s="555"/>
      <c r="I178" s="555"/>
      <c r="J178" s="555"/>
      <c r="K178" s="555"/>
      <c r="L178" s="555"/>
    </row>
    <row r="179" spans="2:12">
      <c r="B179" s="187" t="s">
        <v>1209</v>
      </c>
      <c r="C179" s="187"/>
      <c r="D179" s="187" t="s">
        <v>39</v>
      </c>
      <c r="E179" s="187" t="s">
        <v>1210</v>
      </c>
      <c r="F179" s="187" t="s">
        <v>1211</v>
      </c>
      <c r="G179" s="187" t="s">
        <v>1212</v>
      </c>
      <c r="H179" s="187" t="s">
        <v>1213</v>
      </c>
      <c r="I179" s="187" t="s">
        <v>1214</v>
      </c>
      <c r="J179" s="187" t="s">
        <v>1215</v>
      </c>
      <c r="K179" s="187" t="s">
        <v>1216</v>
      </c>
      <c r="L179" s="187" t="s">
        <v>1217</v>
      </c>
    </row>
    <row r="180" spans="2:12">
      <c r="B180" s="188" t="s">
        <v>117</v>
      </c>
      <c r="C180" s="189" t="s">
        <v>1240</v>
      </c>
      <c r="D180" s="190" t="s">
        <v>110</v>
      </c>
      <c r="E180" s="191">
        <f>K175</f>
        <v>183.25</v>
      </c>
      <c r="F180" s="192">
        <v>0.16</v>
      </c>
      <c r="G180" s="192"/>
      <c r="H180" s="191"/>
      <c r="I180" s="191"/>
      <c r="J180" s="216"/>
      <c r="K180" s="217">
        <f>IF(E180*F180*G180&lt;&gt;0,E180*F180*G180,IF(E180*F180&lt;&gt;0,E180*F180,IF(F180*G180&lt;&gt;0,F180*G180,IF(E180*G180&lt;&gt;0,E180*G180,IF(E180&lt;&gt;0,E180,IF(F180&lt;&gt;0,F180,IF(G180&lt;&gt;0,G180,0)))))))*(IF(H180&lt;&gt;0,H180,1))+I180-J180</f>
        <v>29.32</v>
      </c>
      <c r="L180" s="218"/>
    </row>
    <row r="181" spans="2:12">
      <c r="B181" s="197"/>
      <c r="C181" s="189"/>
      <c r="D181" s="198"/>
      <c r="E181" s="199"/>
      <c r="F181" s="199"/>
      <c r="G181" s="199"/>
      <c r="H181" s="199"/>
      <c r="I181" s="199"/>
      <c r="J181" s="219"/>
      <c r="K181" s="217">
        <f>IF(E181*F181*G181&lt;&gt;0,E181*F181*G181,IF(E181*F181&lt;&gt;0,E181*F181,IF(F181*G181&lt;&gt;0,F181*G181,IF(E181*G181&lt;&gt;0,E181*G181,IF(E181&lt;&gt;0,E181,IF(F181&lt;&gt;0,F181,IF(G181&lt;&gt;0,G181,0)))))))*(IF(H181&lt;&gt;0,H181,1))+I181-J181</f>
        <v>0</v>
      </c>
      <c r="L181" s="218"/>
    </row>
    <row r="182" spans="2:12">
      <c r="B182" s="202"/>
      <c r="C182" s="203"/>
      <c r="D182" s="203"/>
      <c r="E182" s="203"/>
      <c r="F182" s="203"/>
      <c r="G182" s="203"/>
      <c r="H182" s="204"/>
      <c r="I182" s="556" t="s">
        <v>1221</v>
      </c>
      <c r="J182" s="556"/>
      <c r="K182" s="220">
        <f>SUM(K180:K181)</f>
        <v>29.32</v>
      </c>
      <c r="L182" s="207"/>
    </row>
    <row r="183" spans="2:12">
      <c r="B183" s="208"/>
      <c r="C183" s="204"/>
      <c r="D183" s="204"/>
      <c r="E183" s="204"/>
      <c r="F183" s="204"/>
      <c r="G183" s="204"/>
      <c r="H183" s="209"/>
      <c r="I183" s="557" t="s">
        <v>1222</v>
      </c>
      <c r="J183" s="557"/>
      <c r="K183" s="221">
        <v>293.92</v>
      </c>
      <c r="L183" s="207"/>
    </row>
    <row r="184" spans="2:12">
      <c r="B184" s="208"/>
      <c r="C184" s="204"/>
      <c r="D184" s="204"/>
      <c r="E184" s="204"/>
      <c r="F184" s="204"/>
      <c r="G184" s="204"/>
      <c r="H184" s="558" t="s">
        <v>1223</v>
      </c>
      <c r="I184" s="558"/>
      <c r="J184" s="558"/>
      <c r="K184" s="222"/>
      <c r="L184" s="207"/>
    </row>
    <row r="185" spans="2:12">
      <c r="B185" s="208"/>
      <c r="C185" s="204"/>
      <c r="D185" s="204"/>
      <c r="E185" s="204"/>
      <c r="F185" s="204"/>
      <c r="G185" s="204"/>
      <c r="H185" s="558" t="s">
        <v>1199</v>
      </c>
      <c r="I185" s="558"/>
      <c r="J185" s="558"/>
      <c r="K185" s="222">
        <f>IF(K182&gt;K183,K183,K182)-K184</f>
        <v>29.32</v>
      </c>
      <c r="L185" s="207"/>
    </row>
    <row r="186" spans="2:12">
      <c r="B186" s="213"/>
      <c r="C186" s="214"/>
      <c r="D186" s="214"/>
      <c r="E186" s="214"/>
      <c r="F186" s="214"/>
      <c r="G186" s="214"/>
      <c r="H186" s="559" t="s">
        <v>1224</v>
      </c>
      <c r="I186" s="559"/>
      <c r="J186" s="559"/>
      <c r="K186" s="223">
        <f>IF(K182&gt;K183,K182-K183,0)</f>
        <v>0</v>
      </c>
      <c r="L186" s="209"/>
    </row>
    <row r="188" spans="2:12" ht="14.25" customHeight="1">
      <c r="B188" s="555" t="s">
        <v>1243</v>
      </c>
      <c r="C188" s="555"/>
      <c r="D188" s="555"/>
      <c r="E188" s="555"/>
      <c r="F188" s="555"/>
      <c r="G188" s="555"/>
      <c r="H188" s="555"/>
      <c r="I188" s="555"/>
      <c r="J188" s="555"/>
      <c r="K188" s="555"/>
      <c r="L188" s="555"/>
    </row>
    <row r="189" spans="2:12">
      <c r="B189" s="187" t="s">
        <v>1209</v>
      </c>
      <c r="C189" s="187"/>
      <c r="D189" s="187" t="s">
        <v>39</v>
      </c>
      <c r="E189" s="187" t="s">
        <v>1210</v>
      </c>
      <c r="F189" s="187" t="s">
        <v>1211</v>
      </c>
      <c r="G189" s="187" t="s">
        <v>1212</v>
      </c>
      <c r="H189" s="187" t="s">
        <v>1213</v>
      </c>
      <c r="I189" s="187" t="s">
        <v>1214</v>
      </c>
      <c r="J189" s="187" t="s">
        <v>1215</v>
      </c>
      <c r="K189" s="187" t="s">
        <v>1216</v>
      </c>
      <c r="L189" s="187" t="s">
        <v>1217</v>
      </c>
    </row>
    <row r="190" spans="2:12">
      <c r="B190" s="188" t="s">
        <v>117</v>
      </c>
      <c r="C190" s="189" t="s">
        <v>1240</v>
      </c>
      <c r="D190" s="190" t="s">
        <v>113</v>
      </c>
      <c r="E190" s="191">
        <f>K175</f>
        <v>183.25</v>
      </c>
      <c r="F190" s="192">
        <v>0.16</v>
      </c>
      <c r="G190" s="192"/>
      <c r="H190" s="191">
        <v>30</v>
      </c>
      <c r="I190" s="191"/>
      <c r="J190" s="216"/>
      <c r="K190" s="217">
        <f>IF(E190*F190*G190&lt;&gt;0,E190*F190*G190,IF(E190*F190&lt;&gt;0,E190*F190,IF(F190*G190&lt;&gt;0,F190*G190,IF(E190*G190&lt;&gt;0,E190*G190,IF(E190&lt;&gt;0,E190,IF(F190&lt;&gt;0,F190,IF(G190&lt;&gt;0,G190,0)))))))*(IF(H190&lt;&gt;0,H190,1))+I190-J190</f>
        <v>879.6</v>
      </c>
      <c r="L190" s="218"/>
    </row>
    <row r="191" spans="2:12">
      <c r="B191" s="197"/>
      <c r="C191" s="189"/>
      <c r="D191" s="198"/>
      <c r="E191" s="199"/>
      <c r="F191" s="199"/>
      <c r="G191" s="199"/>
      <c r="H191" s="199"/>
      <c r="I191" s="199"/>
      <c r="J191" s="219"/>
      <c r="K191" s="217">
        <f>IF(E191*F191*G191&lt;&gt;0,E191*F191*G191,IF(E191*F191&lt;&gt;0,E191*F191,IF(F191*G191&lt;&gt;0,F191*G191,IF(E191*G191&lt;&gt;0,E191*G191,IF(E191&lt;&gt;0,E191,IF(F191&lt;&gt;0,F191,IF(G191&lt;&gt;0,G191,0)))))))*(IF(H191&lt;&gt;0,H191,1))+I191-J191</f>
        <v>0</v>
      </c>
      <c r="L191" s="218"/>
    </row>
    <row r="192" spans="2:12">
      <c r="B192" s="202"/>
      <c r="C192" s="203"/>
      <c r="D192" s="203"/>
      <c r="E192" s="203"/>
      <c r="F192" s="203"/>
      <c r="G192" s="203"/>
      <c r="H192" s="204"/>
      <c r="I192" s="556" t="s">
        <v>1221</v>
      </c>
      <c r="J192" s="556"/>
      <c r="K192" s="220">
        <f>SUM(K190:K191)</f>
        <v>879.6</v>
      </c>
      <c r="L192" s="207"/>
    </row>
    <row r="193" spans="2:12">
      <c r="B193" s="208"/>
      <c r="C193" s="204"/>
      <c r="D193" s="204"/>
      <c r="E193" s="204"/>
      <c r="F193" s="204"/>
      <c r="G193" s="204"/>
      <c r="H193" s="209"/>
      <c r="I193" s="557" t="s">
        <v>1222</v>
      </c>
      <c r="J193" s="557"/>
      <c r="K193" s="221">
        <v>8817.6</v>
      </c>
      <c r="L193" s="207"/>
    </row>
    <row r="194" spans="2:12">
      <c r="B194" s="208"/>
      <c r="C194" s="204"/>
      <c r="D194" s="204"/>
      <c r="E194" s="204"/>
      <c r="F194" s="204"/>
      <c r="G194" s="204"/>
      <c r="H194" s="558" t="s">
        <v>1223</v>
      </c>
      <c r="I194" s="558"/>
      <c r="J194" s="558"/>
      <c r="K194" s="222"/>
      <c r="L194" s="207"/>
    </row>
    <row r="195" spans="2:12">
      <c r="B195" s="208"/>
      <c r="C195" s="204"/>
      <c r="D195" s="204"/>
      <c r="E195" s="204"/>
      <c r="F195" s="204"/>
      <c r="G195" s="204"/>
      <c r="H195" s="558" t="s">
        <v>1199</v>
      </c>
      <c r="I195" s="558"/>
      <c r="J195" s="558"/>
      <c r="K195" s="222">
        <f>IF(K192&gt;K193,K193,K192)-K194</f>
        <v>879.6</v>
      </c>
      <c r="L195" s="207"/>
    </row>
    <row r="196" spans="2:12">
      <c r="B196" s="213"/>
      <c r="C196" s="214"/>
      <c r="D196" s="214"/>
      <c r="E196" s="214"/>
      <c r="F196" s="214"/>
      <c r="G196" s="214"/>
      <c r="H196" s="559" t="s">
        <v>1224</v>
      </c>
      <c r="I196" s="559"/>
      <c r="J196" s="559"/>
      <c r="K196" s="223">
        <f>IF(K192&gt;K193,K192-K193,0)</f>
        <v>0</v>
      </c>
      <c r="L196" s="209"/>
    </row>
    <row r="198" spans="2:12" ht="14.25" customHeight="1">
      <c r="B198" s="555" t="s">
        <v>1244</v>
      </c>
      <c r="C198" s="555"/>
      <c r="D198" s="555"/>
      <c r="E198" s="555"/>
      <c r="F198" s="555"/>
      <c r="G198" s="555"/>
      <c r="H198" s="555"/>
      <c r="I198" s="555"/>
      <c r="J198" s="555"/>
      <c r="K198" s="555"/>
      <c r="L198" s="555"/>
    </row>
    <row r="199" spans="2:12">
      <c r="B199" s="187" t="s">
        <v>1209</v>
      </c>
      <c r="C199" s="187"/>
      <c r="D199" s="187" t="s">
        <v>39</v>
      </c>
      <c r="E199" s="187" t="s">
        <v>1210</v>
      </c>
      <c r="F199" s="187" t="s">
        <v>1211</v>
      </c>
      <c r="G199" s="187" t="s">
        <v>1212</v>
      </c>
      <c r="H199" s="187" t="s">
        <v>1213</v>
      </c>
      <c r="I199" s="187" t="s">
        <v>1214</v>
      </c>
      <c r="J199" s="187" t="s">
        <v>1215</v>
      </c>
      <c r="K199" s="187" t="s">
        <v>1216</v>
      </c>
      <c r="L199" s="187" t="s">
        <v>1217</v>
      </c>
    </row>
    <row r="200" spans="2:12">
      <c r="B200" s="188" t="s">
        <v>117</v>
      </c>
      <c r="C200" s="189" t="s">
        <v>1240</v>
      </c>
      <c r="D200" s="190" t="s">
        <v>39</v>
      </c>
      <c r="E200" s="191"/>
      <c r="F200" s="192"/>
      <c r="G200" s="192"/>
      <c r="H200" s="191"/>
      <c r="I200" s="191">
        <v>40</v>
      </c>
      <c r="J200" s="216"/>
      <c r="K200" s="217">
        <f>IF(E200*F200*G200&lt;&gt;0,E200*F200*G200,IF(E200*F200&lt;&gt;0,E200*F200,IF(F200*G200&lt;&gt;0,F200*G200,IF(E200*G200&lt;&gt;0,E200*G200,IF(E200&lt;&gt;0,E200,IF(F200&lt;&gt;0,F200,IF(G200&lt;&gt;0,G200,0)))))))*(IF(H200&lt;&gt;0,H200,1))+I200-J200</f>
        <v>40</v>
      </c>
      <c r="L200" s="218"/>
    </row>
    <row r="201" spans="2:12">
      <c r="B201" s="188" t="s">
        <v>117</v>
      </c>
      <c r="C201" s="189" t="s">
        <v>1271</v>
      </c>
      <c r="D201" s="190" t="s">
        <v>39</v>
      </c>
      <c r="E201" s="191"/>
      <c r="F201" s="192"/>
      <c r="G201" s="192"/>
      <c r="H201" s="191"/>
      <c r="I201" s="191">
        <f>133</f>
        <v>133</v>
      </c>
      <c r="J201" s="216"/>
      <c r="K201" s="217">
        <f>IF(E201*F201*G201&lt;&gt;0,E201*F201*G201,IF(E201*F201&lt;&gt;0,E201*F201,IF(F201*G201&lt;&gt;0,F201*G201,IF(E201*G201&lt;&gt;0,E201*G201,IF(E201&lt;&gt;0,E201,IF(F201&lt;&gt;0,F201,IF(G201&lt;&gt;0,G201,0)))))))*(IF(H201&lt;&gt;0,H201,1))+I201-J201</f>
        <v>133</v>
      </c>
      <c r="L201" s="218"/>
    </row>
    <row r="202" spans="2:12">
      <c r="B202" s="197"/>
      <c r="C202" s="189"/>
      <c r="D202" s="198"/>
      <c r="E202" s="199"/>
      <c r="F202" s="199"/>
      <c r="G202" s="199"/>
      <c r="H202" s="199"/>
      <c r="I202" s="199"/>
      <c r="J202" s="219"/>
      <c r="K202" s="217">
        <f>IF(E202*F202*G202&lt;&gt;0,E202*F202*G202,IF(E202*F202&lt;&gt;0,E202*F202,IF(F202*G202&lt;&gt;0,F202*G202,IF(E202*G202&lt;&gt;0,E202*G202,IF(E202&lt;&gt;0,E202,IF(F202&lt;&gt;0,F202,IF(G202&lt;&gt;0,G202,0)))))))*(IF(H202&lt;&gt;0,H202,1))+I202-J202</f>
        <v>0</v>
      </c>
      <c r="L202" s="218"/>
    </row>
    <row r="203" spans="2:12">
      <c r="B203" s="202"/>
      <c r="C203" s="203"/>
      <c r="D203" s="203"/>
      <c r="E203" s="203"/>
      <c r="F203" s="203"/>
      <c r="G203" s="203"/>
      <c r="H203" s="204"/>
      <c r="I203" s="556" t="s">
        <v>1221</v>
      </c>
      <c r="J203" s="556"/>
      <c r="K203" s="220">
        <f>SUM(K200:K202)</f>
        <v>173</v>
      </c>
      <c r="L203" s="207"/>
    </row>
    <row r="204" spans="2:12">
      <c r="B204" s="208"/>
      <c r="C204" s="204"/>
      <c r="D204" s="204"/>
      <c r="E204" s="204"/>
      <c r="F204" s="204"/>
      <c r="G204" s="204"/>
      <c r="H204" s="209"/>
      <c r="I204" s="557" t="s">
        <v>1222</v>
      </c>
      <c r="J204" s="557"/>
      <c r="K204" s="221">
        <v>167</v>
      </c>
      <c r="L204" s="207"/>
    </row>
    <row r="205" spans="2:12">
      <c r="B205" s="208"/>
      <c r="C205" s="204"/>
      <c r="D205" s="204"/>
      <c r="E205" s="204"/>
      <c r="F205" s="204"/>
      <c r="G205" s="204"/>
      <c r="H205" s="558" t="s">
        <v>1223</v>
      </c>
      <c r="I205" s="558"/>
      <c r="J205" s="558"/>
      <c r="K205" s="222">
        <v>40</v>
      </c>
      <c r="L205" s="207"/>
    </row>
    <row r="206" spans="2:12">
      <c r="B206" s="208"/>
      <c r="C206" s="204"/>
      <c r="D206" s="204"/>
      <c r="E206" s="204"/>
      <c r="F206" s="204"/>
      <c r="G206" s="204"/>
      <c r="H206" s="558" t="s">
        <v>1199</v>
      </c>
      <c r="I206" s="558"/>
      <c r="J206" s="558"/>
      <c r="K206" s="222">
        <f>IF(K203&gt;K204,K204,K203)-K205</f>
        <v>127</v>
      </c>
      <c r="L206" s="207"/>
    </row>
    <row r="207" spans="2:12">
      <c r="B207" s="213"/>
      <c r="C207" s="214"/>
      <c r="D207" s="214"/>
      <c r="E207" s="214"/>
      <c r="F207" s="214"/>
      <c r="G207" s="214"/>
      <c r="H207" s="559" t="s">
        <v>1224</v>
      </c>
      <c r="I207" s="559"/>
      <c r="J207" s="559"/>
      <c r="K207" s="223">
        <f>IF(K203&gt;K204,K203-K204,0)</f>
        <v>6</v>
      </c>
      <c r="L207" s="209"/>
    </row>
    <row r="209" spans="2:12" ht="14.25" customHeight="1">
      <c r="B209" s="555" t="s">
        <v>1245</v>
      </c>
      <c r="C209" s="555"/>
      <c r="D209" s="555"/>
      <c r="E209" s="555"/>
      <c r="F209" s="555"/>
      <c r="G209" s="555"/>
      <c r="H209" s="555"/>
      <c r="I209" s="555"/>
      <c r="J209" s="555"/>
      <c r="K209" s="555"/>
      <c r="L209" s="555"/>
    </row>
    <row r="210" spans="2:12">
      <c r="B210" s="187" t="s">
        <v>1209</v>
      </c>
      <c r="C210" s="187"/>
      <c r="D210" s="187" t="s">
        <v>39</v>
      </c>
      <c r="E210" s="187" t="s">
        <v>1210</v>
      </c>
      <c r="F210" s="187" t="s">
        <v>1211</v>
      </c>
      <c r="G210" s="187" t="s">
        <v>1212</v>
      </c>
      <c r="H210" s="187" t="s">
        <v>1213</v>
      </c>
      <c r="I210" s="187" t="s">
        <v>1214</v>
      </c>
      <c r="J210" s="187" t="s">
        <v>1215</v>
      </c>
      <c r="K210" s="187" t="s">
        <v>1216</v>
      </c>
      <c r="L210" s="187" t="s">
        <v>1217</v>
      </c>
    </row>
    <row r="211" spans="2:12">
      <c r="B211" s="188" t="s">
        <v>1246</v>
      </c>
      <c r="C211" s="189" t="s">
        <v>1240</v>
      </c>
      <c r="D211" s="190" t="s">
        <v>39</v>
      </c>
      <c r="E211" s="191"/>
      <c r="F211" s="192"/>
      <c r="G211" s="192"/>
      <c r="H211" s="191"/>
      <c r="I211" s="191">
        <v>1</v>
      </c>
      <c r="J211" s="216"/>
      <c r="K211" s="217">
        <f>IF(E211*F211*G211&lt;&gt;0,E211*F211*G211,IF(E211*F211&lt;&gt;0,E211*F211,IF(F211*G211&lt;&gt;0,F211*G211,IF(E211*G211&lt;&gt;0,E211*G211,IF(E211&lt;&gt;0,E211,IF(F211&lt;&gt;0,F211,IF(G211&lt;&gt;0,G211,0)))))))*(IF(H211&lt;&gt;0,H211,1))+I211-J211</f>
        <v>1</v>
      </c>
      <c r="L211" s="218"/>
    </row>
    <row r="212" spans="2:12">
      <c r="B212" s="188" t="s">
        <v>1246</v>
      </c>
      <c r="C212" s="189" t="s">
        <v>1271</v>
      </c>
      <c r="D212" s="190" t="s">
        <v>39</v>
      </c>
      <c r="E212" s="191"/>
      <c r="F212" s="192"/>
      <c r="G212" s="192"/>
      <c r="H212" s="191"/>
      <c r="I212" s="191">
        <v>1</v>
      </c>
      <c r="J212" s="216"/>
      <c r="K212" s="217">
        <f>IF(E212*F212*G212&lt;&gt;0,E212*F212*G212,IF(E212*F212&lt;&gt;0,E212*F212,IF(F212*G212&lt;&gt;0,F212*G212,IF(E212*G212&lt;&gt;0,E212*G212,IF(E212&lt;&gt;0,E212,IF(F212&lt;&gt;0,F212,IF(G212&lt;&gt;0,G212,0)))))))*(IF(H212&lt;&gt;0,H212,1))+I212-J212</f>
        <v>1</v>
      </c>
      <c r="L212" s="218"/>
    </row>
    <row r="213" spans="2:12">
      <c r="B213" s="197"/>
      <c r="C213" s="189"/>
      <c r="D213" s="198"/>
      <c r="E213" s="199"/>
      <c r="F213" s="199"/>
      <c r="G213" s="199"/>
      <c r="H213" s="199"/>
      <c r="I213" s="199"/>
      <c r="J213" s="219"/>
      <c r="K213" s="217">
        <f>IF(E213*F213*G213&lt;&gt;0,E213*F213*G213,IF(E213*F213&lt;&gt;0,E213*F213,IF(F213*G213&lt;&gt;0,F213*G213,IF(E213*G213&lt;&gt;0,E213*G213,IF(E213&lt;&gt;0,E213,IF(F213&lt;&gt;0,F213,IF(G213&lt;&gt;0,G213,0)))))))*(IF(H213&lt;&gt;0,H213,1))+I213-J213</f>
        <v>0</v>
      </c>
      <c r="L213" s="218"/>
    </row>
    <row r="214" spans="2:12">
      <c r="B214" s="202"/>
      <c r="C214" s="203"/>
      <c r="D214" s="203"/>
      <c r="E214" s="203"/>
      <c r="F214" s="203"/>
      <c r="G214" s="203"/>
      <c r="H214" s="204"/>
      <c r="I214" s="556" t="s">
        <v>1221</v>
      </c>
      <c r="J214" s="556"/>
      <c r="K214" s="220">
        <f>SUM(K211:K213)</f>
        <v>2</v>
      </c>
      <c r="L214" s="207"/>
    </row>
    <row r="215" spans="2:12">
      <c r="B215" s="208"/>
      <c r="C215" s="204"/>
      <c r="D215" s="204"/>
      <c r="E215" s="204"/>
      <c r="F215" s="204"/>
      <c r="G215" s="204"/>
      <c r="H215" s="209"/>
      <c r="I215" s="557" t="s">
        <v>1222</v>
      </c>
      <c r="J215" s="557"/>
      <c r="K215" s="221">
        <v>2</v>
      </c>
      <c r="L215" s="207"/>
    </row>
    <row r="216" spans="2:12">
      <c r="B216" s="208"/>
      <c r="C216" s="204"/>
      <c r="D216" s="204"/>
      <c r="E216" s="204"/>
      <c r="F216" s="204"/>
      <c r="G216" s="204"/>
      <c r="H216" s="558" t="s">
        <v>1223</v>
      </c>
      <c r="I216" s="558"/>
      <c r="J216" s="558"/>
      <c r="K216" s="222">
        <v>1</v>
      </c>
      <c r="L216" s="207"/>
    </row>
    <row r="217" spans="2:12">
      <c r="B217" s="208"/>
      <c r="C217" s="204"/>
      <c r="D217" s="204"/>
      <c r="E217" s="204"/>
      <c r="F217" s="204"/>
      <c r="G217" s="204"/>
      <c r="H217" s="558" t="s">
        <v>1199</v>
      </c>
      <c r="I217" s="558"/>
      <c r="J217" s="558"/>
      <c r="K217" s="222">
        <f>IF(K214&gt;K215,K215,K214)-K216</f>
        <v>1</v>
      </c>
      <c r="L217" s="207"/>
    </row>
    <row r="218" spans="2:12">
      <c r="B218" s="213"/>
      <c r="C218" s="214"/>
      <c r="D218" s="214"/>
      <c r="E218" s="214"/>
      <c r="F218" s="214"/>
      <c r="G218" s="214"/>
      <c r="H218" s="559" t="s">
        <v>1224</v>
      </c>
      <c r="I218" s="559"/>
      <c r="J218" s="559"/>
      <c r="K218" s="223">
        <f>IF(K214&gt;K215,K214-K215,0)</f>
        <v>0</v>
      </c>
      <c r="L218" s="209"/>
    </row>
    <row r="220" spans="2:12" ht="14.25" customHeight="1">
      <c r="B220" s="555" t="s">
        <v>1334</v>
      </c>
      <c r="C220" s="555"/>
      <c r="D220" s="555"/>
      <c r="E220" s="555"/>
      <c r="F220" s="555"/>
      <c r="G220" s="555"/>
      <c r="H220" s="555"/>
      <c r="I220" s="555"/>
      <c r="J220" s="555"/>
      <c r="K220" s="555"/>
      <c r="L220" s="555"/>
    </row>
    <row r="221" spans="2:12">
      <c r="B221" s="187" t="s">
        <v>1209</v>
      </c>
      <c r="C221" s="187"/>
      <c r="D221" s="187" t="s">
        <v>39</v>
      </c>
      <c r="E221" s="187" t="s">
        <v>1210</v>
      </c>
      <c r="F221" s="187" t="s">
        <v>1211</v>
      </c>
      <c r="G221" s="187" t="s">
        <v>1212</v>
      </c>
      <c r="H221" s="187" t="s">
        <v>1213</v>
      </c>
      <c r="I221" s="187" t="s">
        <v>1214</v>
      </c>
      <c r="J221" s="187" t="s">
        <v>1215</v>
      </c>
      <c r="K221" s="187" t="s">
        <v>1216</v>
      </c>
      <c r="L221" s="187" t="s">
        <v>1217</v>
      </c>
    </row>
    <row r="222" spans="2:12">
      <c r="B222" s="197" t="s">
        <v>1285</v>
      </c>
      <c r="C222" s="189" t="s">
        <v>1271</v>
      </c>
      <c r="D222" s="198" t="s">
        <v>1335</v>
      </c>
      <c r="E222" s="199">
        <v>2.2999999999999998</v>
      </c>
      <c r="F222" s="199">
        <v>1.3</v>
      </c>
      <c r="G222" s="199"/>
      <c r="H222" s="199"/>
      <c r="I222" s="199"/>
      <c r="J222" s="219"/>
      <c r="K222" s="217">
        <f t="shared" ref="K222:K253" si="5">IF(E222*F222*G222&lt;&gt;0,E222*F222*G222,IF(E222*F222&lt;&gt;0,E222*F222,IF(F222*G222&lt;&gt;0,F222*G222,IF(E222*G222&lt;&gt;0,E222*G222,IF(E222&lt;&gt;0,E222,IF(F222&lt;&gt;0,F222,IF(G222&lt;&gt;0,G222,0)))))))*(IF(H222&lt;&gt;0,H222,1))+I222-J222</f>
        <v>2.9899999999999998</v>
      </c>
      <c r="L222" s="218"/>
    </row>
    <row r="223" spans="2:12">
      <c r="B223" s="197" t="s">
        <v>1286</v>
      </c>
      <c r="C223" s="189" t="s">
        <v>1271</v>
      </c>
      <c r="D223" s="198" t="s">
        <v>1335</v>
      </c>
      <c r="E223" s="199">
        <v>2.6</v>
      </c>
      <c r="F223" s="199">
        <v>2.6</v>
      </c>
      <c r="G223" s="199"/>
      <c r="H223" s="199"/>
      <c r="I223" s="199"/>
      <c r="J223" s="219"/>
      <c r="K223" s="217">
        <f t="shared" si="5"/>
        <v>6.7600000000000007</v>
      </c>
      <c r="L223" s="218"/>
    </row>
    <row r="224" spans="2:12">
      <c r="B224" s="197" t="s">
        <v>1287</v>
      </c>
      <c r="C224" s="189" t="s">
        <v>1271</v>
      </c>
      <c r="D224" s="198" t="s">
        <v>1335</v>
      </c>
      <c r="E224" s="199">
        <v>2.6</v>
      </c>
      <c r="F224" s="199">
        <v>2.6</v>
      </c>
      <c r="G224" s="199"/>
      <c r="H224" s="199"/>
      <c r="I224" s="199"/>
      <c r="J224" s="219"/>
      <c r="K224" s="217">
        <f t="shared" si="5"/>
        <v>6.7600000000000007</v>
      </c>
      <c r="L224" s="218"/>
    </row>
    <row r="225" spans="2:12">
      <c r="B225" s="197" t="s">
        <v>1288</v>
      </c>
      <c r="C225" s="189" t="s">
        <v>1271</v>
      </c>
      <c r="D225" s="198" t="s">
        <v>1335</v>
      </c>
      <c r="E225" s="199">
        <v>2.2999999999999998</v>
      </c>
      <c r="F225" s="199">
        <v>1.3</v>
      </c>
      <c r="G225" s="199"/>
      <c r="H225" s="199"/>
      <c r="I225" s="199"/>
      <c r="J225" s="219"/>
      <c r="K225" s="217">
        <f t="shared" si="5"/>
        <v>2.9899999999999998</v>
      </c>
      <c r="L225" s="218"/>
    </row>
    <row r="226" spans="2:12">
      <c r="B226" s="197" t="s">
        <v>1289</v>
      </c>
      <c r="C226" s="189" t="s">
        <v>1271</v>
      </c>
      <c r="D226" s="198" t="s">
        <v>1335</v>
      </c>
      <c r="E226" s="199">
        <v>1.4</v>
      </c>
      <c r="F226" s="199">
        <v>1.4</v>
      </c>
      <c r="G226" s="199"/>
      <c r="H226" s="199"/>
      <c r="I226" s="199"/>
      <c r="J226" s="219"/>
      <c r="K226" s="217">
        <f t="shared" si="5"/>
        <v>1.9599999999999997</v>
      </c>
      <c r="L226" s="218"/>
    </row>
    <row r="227" spans="2:12">
      <c r="B227" s="197" t="s">
        <v>1290</v>
      </c>
      <c r="C227" s="189" t="s">
        <v>1271</v>
      </c>
      <c r="D227" s="198" t="s">
        <v>1335</v>
      </c>
      <c r="E227" s="199"/>
      <c r="F227" s="199"/>
      <c r="G227" s="199"/>
      <c r="H227" s="199"/>
      <c r="I227" s="199">
        <v>3.29</v>
      </c>
      <c r="J227" s="219"/>
      <c r="K227" s="217">
        <f t="shared" si="5"/>
        <v>3.29</v>
      </c>
      <c r="L227" s="218"/>
    </row>
    <row r="228" spans="2:12">
      <c r="B228" s="197" t="s">
        <v>1291</v>
      </c>
      <c r="C228" s="189" t="s">
        <v>1271</v>
      </c>
      <c r="D228" s="198" t="s">
        <v>1335</v>
      </c>
      <c r="E228" s="199">
        <v>2.6</v>
      </c>
      <c r="F228" s="199">
        <v>2.6</v>
      </c>
      <c r="G228" s="199"/>
      <c r="H228" s="199"/>
      <c r="I228" s="199"/>
      <c r="J228" s="219"/>
      <c r="K228" s="217">
        <f t="shared" si="5"/>
        <v>6.7600000000000007</v>
      </c>
      <c r="L228" s="218"/>
    </row>
    <row r="229" spans="2:12">
      <c r="B229" s="197" t="s">
        <v>1292</v>
      </c>
      <c r="C229" s="189" t="s">
        <v>1271</v>
      </c>
      <c r="D229" s="198" t="s">
        <v>1335</v>
      </c>
      <c r="E229" s="199">
        <v>2.6</v>
      </c>
      <c r="F229" s="199">
        <v>2.6</v>
      </c>
      <c r="G229" s="199"/>
      <c r="H229" s="199"/>
      <c r="I229" s="199"/>
      <c r="J229" s="219"/>
      <c r="K229" s="217">
        <f t="shared" si="5"/>
        <v>6.7600000000000007</v>
      </c>
      <c r="L229" s="218"/>
    </row>
    <row r="230" spans="2:12">
      <c r="B230" s="197" t="s">
        <v>1293</v>
      </c>
      <c r="C230" s="189" t="s">
        <v>1271</v>
      </c>
      <c r="D230" s="198" t="s">
        <v>1335</v>
      </c>
      <c r="E230" s="199">
        <v>2.6</v>
      </c>
      <c r="F230" s="199">
        <v>2.6</v>
      </c>
      <c r="G230" s="199"/>
      <c r="H230" s="199"/>
      <c r="I230" s="199"/>
      <c r="J230" s="219"/>
      <c r="K230" s="217">
        <f t="shared" si="5"/>
        <v>6.7600000000000007</v>
      </c>
      <c r="L230" s="218"/>
    </row>
    <row r="231" spans="2:12">
      <c r="B231" s="197" t="s">
        <v>1294</v>
      </c>
      <c r="C231" s="189" t="s">
        <v>1271</v>
      </c>
      <c r="D231" s="198" t="s">
        <v>1335</v>
      </c>
      <c r="E231" s="199">
        <v>1.4</v>
      </c>
      <c r="F231" s="199">
        <v>1.4</v>
      </c>
      <c r="G231" s="199"/>
      <c r="H231" s="199"/>
      <c r="I231" s="199"/>
      <c r="J231" s="219"/>
      <c r="K231" s="217">
        <f t="shared" si="5"/>
        <v>1.9599999999999997</v>
      </c>
      <c r="L231" s="218"/>
    </row>
    <row r="232" spans="2:12">
      <c r="B232" s="197" t="s">
        <v>1295</v>
      </c>
      <c r="C232" s="189" t="s">
        <v>1271</v>
      </c>
      <c r="D232" s="198" t="s">
        <v>1335</v>
      </c>
      <c r="E232" s="199"/>
      <c r="F232" s="199"/>
      <c r="G232" s="199"/>
      <c r="H232" s="199"/>
      <c r="I232" s="199">
        <v>3.29</v>
      </c>
      <c r="J232" s="219"/>
      <c r="K232" s="217">
        <f t="shared" si="5"/>
        <v>3.29</v>
      </c>
      <c r="L232" s="218"/>
    </row>
    <row r="233" spans="2:12">
      <c r="B233" s="197" t="s">
        <v>1336</v>
      </c>
      <c r="C233" s="189" t="s">
        <v>1271</v>
      </c>
      <c r="D233" s="198" t="s">
        <v>1335</v>
      </c>
      <c r="E233" s="199">
        <v>2.6</v>
      </c>
      <c r="F233" s="199">
        <v>2.6</v>
      </c>
      <c r="G233" s="199"/>
      <c r="H233" s="199"/>
      <c r="I233" s="199"/>
      <c r="J233" s="219"/>
      <c r="K233" s="217">
        <f t="shared" si="5"/>
        <v>6.7600000000000007</v>
      </c>
      <c r="L233" s="218"/>
    </row>
    <row r="234" spans="2:12">
      <c r="B234" s="197" t="s">
        <v>1337</v>
      </c>
      <c r="C234" s="189" t="s">
        <v>1271</v>
      </c>
      <c r="D234" s="198" t="s">
        <v>1335</v>
      </c>
      <c r="E234" s="199">
        <v>2.6</v>
      </c>
      <c r="F234" s="199">
        <v>2.6</v>
      </c>
      <c r="G234" s="199"/>
      <c r="H234" s="199"/>
      <c r="I234" s="199"/>
      <c r="J234" s="219"/>
      <c r="K234" s="217">
        <f t="shared" si="5"/>
        <v>6.7600000000000007</v>
      </c>
      <c r="L234" s="218"/>
    </row>
    <row r="235" spans="2:12">
      <c r="B235" s="197" t="s">
        <v>1338</v>
      </c>
      <c r="C235" s="189" t="s">
        <v>1271</v>
      </c>
      <c r="D235" s="198" t="s">
        <v>1335</v>
      </c>
      <c r="E235" s="199">
        <v>2.6</v>
      </c>
      <c r="F235" s="199">
        <v>2.6</v>
      </c>
      <c r="G235" s="199"/>
      <c r="H235" s="199"/>
      <c r="I235" s="199"/>
      <c r="J235" s="219"/>
      <c r="K235" s="217">
        <f t="shared" si="5"/>
        <v>6.7600000000000007</v>
      </c>
      <c r="L235" s="218"/>
    </row>
    <row r="236" spans="2:12">
      <c r="B236" s="197" t="s">
        <v>1339</v>
      </c>
      <c r="C236" s="189" t="s">
        <v>1271</v>
      </c>
      <c r="D236" s="198" t="s">
        <v>1335</v>
      </c>
      <c r="E236" s="199">
        <v>1.4</v>
      </c>
      <c r="F236" s="199">
        <v>1.4</v>
      </c>
      <c r="G236" s="199"/>
      <c r="H236" s="199"/>
      <c r="I236" s="199"/>
      <c r="J236" s="219"/>
      <c r="K236" s="217">
        <f t="shared" si="5"/>
        <v>1.9599999999999997</v>
      </c>
      <c r="L236" s="218"/>
    </row>
    <row r="237" spans="2:12">
      <c r="B237" s="197" t="s">
        <v>1340</v>
      </c>
      <c r="C237" s="189" t="s">
        <v>1271</v>
      </c>
      <c r="D237" s="198" t="s">
        <v>1335</v>
      </c>
      <c r="E237" s="199">
        <v>2.2999999999999998</v>
      </c>
      <c r="F237" s="199">
        <v>1.3</v>
      </c>
      <c r="G237" s="199"/>
      <c r="H237" s="199"/>
      <c r="I237" s="199"/>
      <c r="J237" s="219"/>
      <c r="K237" s="217">
        <f t="shared" si="5"/>
        <v>2.9899999999999998</v>
      </c>
      <c r="L237" s="218"/>
    </row>
    <row r="238" spans="2:12">
      <c r="B238" s="197" t="s">
        <v>1296</v>
      </c>
      <c r="C238" s="189" t="s">
        <v>1271</v>
      </c>
      <c r="D238" s="198" t="s">
        <v>1335</v>
      </c>
      <c r="E238" s="199">
        <v>2.2999999999999998</v>
      </c>
      <c r="F238" s="199">
        <v>1.3</v>
      </c>
      <c r="G238" s="199"/>
      <c r="H238" s="199"/>
      <c r="I238" s="199"/>
      <c r="J238" s="219"/>
      <c r="K238" s="217">
        <f t="shared" si="5"/>
        <v>2.9899999999999998</v>
      </c>
      <c r="L238" s="218"/>
    </row>
    <row r="239" spans="2:12">
      <c r="B239" s="197" t="s">
        <v>1341</v>
      </c>
      <c r="C239" s="189" t="s">
        <v>1271</v>
      </c>
      <c r="D239" s="198" t="s">
        <v>1335</v>
      </c>
      <c r="E239" s="199"/>
      <c r="F239" s="199"/>
      <c r="G239" s="199"/>
      <c r="H239" s="199"/>
      <c r="I239" s="199">
        <v>3.29</v>
      </c>
      <c r="J239" s="219"/>
      <c r="K239" s="217">
        <f t="shared" si="5"/>
        <v>3.29</v>
      </c>
      <c r="L239" s="218"/>
    </row>
    <row r="240" spans="2:12">
      <c r="B240" s="197" t="s">
        <v>1342</v>
      </c>
      <c r="C240" s="189" t="s">
        <v>1333</v>
      </c>
      <c r="D240" s="198" t="s">
        <v>1335</v>
      </c>
      <c r="E240" s="199">
        <v>3.54</v>
      </c>
      <c r="F240" s="199">
        <v>3.54</v>
      </c>
      <c r="G240" s="199"/>
      <c r="H240" s="199"/>
      <c r="I240" s="199"/>
      <c r="J240" s="219"/>
      <c r="K240" s="217">
        <f t="shared" si="5"/>
        <v>12.531600000000001</v>
      </c>
      <c r="L240" s="218"/>
    </row>
    <row r="241" spans="2:12">
      <c r="B241" s="197" t="s">
        <v>1343</v>
      </c>
      <c r="C241" s="189" t="s">
        <v>1333</v>
      </c>
      <c r="D241" s="198" t="s">
        <v>1335</v>
      </c>
      <c r="E241" s="199">
        <v>2.6</v>
      </c>
      <c r="F241" s="199">
        <v>2.6</v>
      </c>
      <c r="G241" s="199"/>
      <c r="H241" s="199"/>
      <c r="I241" s="199"/>
      <c r="J241" s="219"/>
      <c r="K241" s="217">
        <f t="shared" si="5"/>
        <v>6.7600000000000007</v>
      </c>
      <c r="L241" s="218"/>
    </row>
    <row r="242" spans="2:12">
      <c r="B242" s="197" t="s">
        <v>1297</v>
      </c>
      <c r="C242" s="189" t="s">
        <v>1333</v>
      </c>
      <c r="D242" s="198" t="s">
        <v>1335</v>
      </c>
      <c r="E242" s="199">
        <v>3.8</v>
      </c>
      <c r="F242" s="199">
        <v>1.4</v>
      </c>
      <c r="G242" s="199"/>
      <c r="H242" s="199"/>
      <c r="I242" s="199"/>
      <c r="J242" s="219"/>
      <c r="K242" s="217">
        <f t="shared" si="5"/>
        <v>5.3199999999999994</v>
      </c>
      <c r="L242" s="218"/>
    </row>
    <row r="243" spans="2:12">
      <c r="B243" s="197" t="s">
        <v>1344</v>
      </c>
      <c r="C243" s="189" t="s">
        <v>1333</v>
      </c>
      <c r="D243" s="198" t="s">
        <v>1335</v>
      </c>
      <c r="E243" s="199">
        <v>2.6</v>
      </c>
      <c r="F243" s="199">
        <v>2.6</v>
      </c>
      <c r="G243" s="199"/>
      <c r="H243" s="199"/>
      <c r="I243" s="199"/>
      <c r="J243" s="219"/>
      <c r="K243" s="217">
        <f t="shared" si="5"/>
        <v>6.7600000000000007</v>
      </c>
      <c r="L243" s="218"/>
    </row>
    <row r="244" spans="2:12">
      <c r="B244" s="197" t="s">
        <v>1345</v>
      </c>
      <c r="C244" s="189" t="s">
        <v>1333</v>
      </c>
      <c r="D244" s="198" t="s">
        <v>1335</v>
      </c>
      <c r="E244" s="199">
        <v>2.6</v>
      </c>
      <c r="F244" s="199">
        <v>2.6</v>
      </c>
      <c r="G244" s="199"/>
      <c r="H244" s="199"/>
      <c r="I244" s="199"/>
      <c r="J244" s="219"/>
      <c r="K244" s="217">
        <f t="shared" si="5"/>
        <v>6.7600000000000007</v>
      </c>
      <c r="L244" s="218"/>
    </row>
    <row r="245" spans="2:12">
      <c r="B245" s="197" t="s">
        <v>1298</v>
      </c>
      <c r="C245" s="189" t="s">
        <v>1333</v>
      </c>
      <c r="D245" s="198" t="s">
        <v>1335</v>
      </c>
      <c r="E245" s="199">
        <v>3.8</v>
      </c>
      <c r="F245" s="199">
        <v>2.6</v>
      </c>
      <c r="G245" s="199"/>
      <c r="H245" s="199"/>
      <c r="I245" s="199"/>
      <c r="J245" s="219"/>
      <c r="K245" s="217">
        <f t="shared" si="5"/>
        <v>9.879999999999999</v>
      </c>
      <c r="L245" s="218"/>
    </row>
    <row r="246" spans="2:12">
      <c r="B246" s="197" t="s">
        <v>1346</v>
      </c>
      <c r="C246" s="189" t="s">
        <v>1333</v>
      </c>
      <c r="D246" s="198" t="s">
        <v>1335</v>
      </c>
      <c r="E246" s="199">
        <v>2.6</v>
      </c>
      <c r="F246" s="199">
        <v>2.6</v>
      </c>
      <c r="G246" s="199"/>
      <c r="H246" s="199"/>
      <c r="I246" s="199"/>
      <c r="J246" s="219"/>
      <c r="K246" s="217">
        <f t="shared" si="5"/>
        <v>6.7600000000000007</v>
      </c>
      <c r="L246" s="218"/>
    </row>
    <row r="247" spans="2:12">
      <c r="B247" s="197" t="s">
        <v>1347</v>
      </c>
      <c r="C247" s="189" t="s">
        <v>1333</v>
      </c>
      <c r="D247" s="198" t="s">
        <v>1335</v>
      </c>
      <c r="E247" s="199"/>
      <c r="F247" s="199"/>
      <c r="G247" s="199"/>
      <c r="H247" s="199"/>
      <c r="I247" s="199">
        <v>3.29</v>
      </c>
      <c r="J247" s="219"/>
      <c r="K247" s="217">
        <f t="shared" si="5"/>
        <v>3.29</v>
      </c>
      <c r="L247" s="218"/>
    </row>
    <row r="248" spans="2:12">
      <c r="B248" s="197" t="s">
        <v>1348</v>
      </c>
      <c r="C248" s="189" t="s">
        <v>1333</v>
      </c>
      <c r="D248" s="198" t="s">
        <v>1335</v>
      </c>
      <c r="E248" s="199">
        <v>3.54</v>
      </c>
      <c r="F248" s="199">
        <v>3.54</v>
      </c>
      <c r="G248" s="199"/>
      <c r="H248" s="199"/>
      <c r="I248" s="199"/>
      <c r="J248" s="219"/>
      <c r="K248" s="217">
        <f t="shared" si="5"/>
        <v>12.531600000000001</v>
      </c>
      <c r="L248" s="218"/>
    </row>
    <row r="249" spans="2:12">
      <c r="B249" s="197" t="s">
        <v>1349</v>
      </c>
      <c r="C249" s="189" t="s">
        <v>1333</v>
      </c>
      <c r="D249" s="198" t="s">
        <v>1335</v>
      </c>
      <c r="E249" s="199">
        <v>3.8</v>
      </c>
      <c r="F249" s="199">
        <v>2.6</v>
      </c>
      <c r="G249" s="199"/>
      <c r="H249" s="199"/>
      <c r="I249" s="199"/>
      <c r="J249" s="219"/>
      <c r="K249" s="217">
        <f t="shared" si="5"/>
        <v>9.879999999999999</v>
      </c>
      <c r="L249" s="218"/>
    </row>
    <row r="250" spans="2:12">
      <c r="B250" s="197" t="s">
        <v>1350</v>
      </c>
      <c r="C250" s="189" t="s">
        <v>1333</v>
      </c>
      <c r="D250" s="198" t="s">
        <v>1335</v>
      </c>
      <c r="E250" s="199">
        <v>3.8</v>
      </c>
      <c r="F250" s="199">
        <v>2.6</v>
      </c>
      <c r="G250" s="199"/>
      <c r="H250" s="199"/>
      <c r="I250" s="199"/>
      <c r="J250" s="219"/>
      <c r="K250" s="217">
        <f t="shared" si="5"/>
        <v>9.879999999999999</v>
      </c>
      <c r="L250" s="218"/>
    </row>
    <row r="251" spans="2:12">
      <c r="B251" s="197" t="s">
        <v>1351</v>
      </c>
      <c r="C251" s="189" t="s">
        <v>1333</v>
      </c>
      <c r="D251" s="198" t="s">
        <v>1335</v>
      </c>
      <c r="E251" s="199">
        <v>2.6</v>
      </c>
      <c r="F251" s="199">
        <v>2.6</v>
      </c>
      <c r="G251" s="199"/>
      <c r="H251" s="199"/>
      <c r="I251" s="199"/>
      <c r="J251" s="219"/>
      <c r="K251" s="217">
        <f t="shared" si="5"/>
        <v>6.7600000000000007</v>
      </c>
      <c r="L251" s="218"/>
    </row>
    <row r="252" spans="2:12">
      <c r="B252" s="197" t="s">
        <v>1352</v>
      </c>
      <c r="C252" s="189" t="s">
        <v>1333</v>
      </c>
      <c r="D252" s="198" t="s">
        <v>1335</v>
      </c>
      <c r="E252" s="199">
        <v>1.4</v>
      </c>
      <c r="F252" s="199">
        <v>1.4</v>
      </c>
      <c r="G252" s="199"/>
      <c r="H252" s="199"/>
      <c r="I252" s="199"/>
      <c r="J252" s="219"/>
      <c r="K252" s="217">
        <f t="shared" si="5"/>
        <v>1.9599999999999997</v>
      </c>
      <c r="L252" s="218"/>
    </row>
    <row r="253" spans="2:12">
      <c r="B253" s="197" t="s">
        <v>1353</v>
      </c>
      <c r="C253" s="189" t="s">
        <v>1333</v>
      </c>
      <c r="D253" s="198" t="s">
        <v>1335</v>
      </c>
      <c r="E253" s="199">
        <v>1.4</v>
      </c>
      <c r="F253" s="199">
        <v>1.4</v>
      </c>
      <c r="G253" s="199"/>
      <c r="H253" s="199"/>
      <c r="I253" s="199"/>
      <c r="J253" s="219"/>
      <c r="K253" s="217">
        <f t="shared" si="5"/>
        <v>1.9599999999999997</v>
      </c>
      <c r="L253" s="218"/>
    </row>
    <row r="254" spans="2:12">
      <c r="B254" s="197" t="s">
        <v>1354</v>
      </c>
      <c r="C254" s="189" t="s">
        <v>1333</v>
      </c>
      <c r="D254" s="198" t="s">
        <v>1335</v>
      </c>
      <c r="E254" s="199">
        <v>1.4</v>
      </c>
      <c r="F254" s="199">
        <v>1.4</v>
      </c>
      <c r="G254" s="199"/>
      <c r="H254" s="199"/>
      <c r="I254" s="199"/>
      <c r="J254" s="219"/>
      <c r="K254" s="217">
        <f t="shared" ref="K254:K274" si="6">IF(E254*F254*G254&lt;&gt;0,E254*F254*G254,IF(E254*F254&lt;&gt;0,E254*F254,IF(F254*G254&lt;&gt;0,F254*G254,IF(E254*G254&lt;&gt;0,E254*G254,IF(E254&lt;&gt;0,E254,IF(F254&lt;&gt;0,F254,IF(G254&lt;&gt;0,G254,0)))))))*(IF(H254&lt;&gt;0,H254,1))+I254-J254</f>
        <v>1.9599999999999997</v>
      </c>
      <c r="L254" s="218"/>
    </row>
    <row r="255" spans="2:12">
      <c r="B255" s="197" t="s">
        <v>1355</v>
      </c>
      <c r="C255" s="189" t="s">
        <v>1333</v>
      </c>
      <c r="D255" s="198" t="s">
        <v>1335</v>
      </c>
      <c r="E255" s="199">
        <v>1.4</v>
      </c>
      <c r="F255" s="199">
        <v>1.4</v>
      </c>
      <c r="G255" s="199"/>
      <c r="H255" s="199"/>
      <c r="I255" s="199"/>
      <c r="J255" s="219"/>
      <c r="K255" s="217">
        <f t="shared" si="6"/>
        <v>1.9599999999999997</v>
      </c>
      <c r="L255" s="218"/>
    </row>
    <row r="256" spans="2:12">
      <c r="B256" s="197" t="s">
        <v>1356</v>
      </c>
      <c r="C256" s="189" t="s">
        <v>1333</v>
      </c>
      <c r="D256" s="198" t="s">
        <v>1335</v>
      </c>
      <c r="E256" s="199">
        <v>2.6</v>
      </c>
      <c r="F256" s="199">
        <v>2.6</v>
      </c>
      <c r="G256" s="199"/>
      <c r="H256" s="199"/>
      <c r="I256" s="199"/>
      <c r="J256" s="219"/>
      <c r="K256" s="217">
        <f t="shared" si="6"/>
        <v>6.7600000000000007</v>
      </c>
      <c r="L256" s="218"/>
    </row>
    <row r="257" spans="2:12">
      <c r="B257" s="197" t="s">
        <v>1357</v>
      </c>
      <c r="C257" s="189" t="s">
        <v>1333</v>
      </c>
      <c r="D257" s="198" t="s">
        <v>1335</v>
      </c>
      <c r="E257" s="199">
        <v>2.6</v>
      </c>
      <c r="F257" s="199">
        <v>2.6</v>
      </c>
      <c r="G257" s="199"/>
      <c r="H257" s="199"/>
      <c r="I257" s="199"/>
      <c r="J257" s="219"/>
      <c r="K257" s="217">
        <f t="shared" si="6"/>
        <v>6.7600000000000007</v>
      </c>
      <c r="L257" s="218"/>
    </row>
    <row r="258" spans="2:12">
      <c r="B258" s="197" t="s">
        <v>1358</v>
      </c>
      <c r="C258" s="189" t="s">
        <v>1333</v>
      </c>
      <c r="D258" s="198" t="s">
        <v>1335</v>
      </c>
      <c r="E258" s="199">
        <v>2.6</v>
      </c>
      <c r="F258" s="199">
        <v>2.6</v>
      </c>
      <c r="G258" s="199"/>
      <c r="H258" s="199"/>
      <c r="I258" s="199"/>
      <c r="J258" s="219"/>
      <c r="K258" s="217">
        <f t="shared" si="6"/>
        <v>6.7600000000000007</v>
      </c>
      <c r="L258" s="218"/>
    </row>
    <row r="259" spans="2:12">
      <c r="B259" s="197" t="s">
        <v>1359</v>
      </c>
      <c r="C259" s="189" t="s">
        <v>1333</v>
      </c>
      <c r="D259" s="198" t="s">
        <v>1335</v>
      </c>
      <c r="E259" s="199">
        <v>2.6</v>
      </c>
      <c r="F259" s="199">
        <v>2.6</v>
      </c>
      <c r="G259" s="199"/>
      <c r="H259" s="199"/>
      <c r="I259" s="199"/>
      <c r="J259" s="219"/>
      <c r="K259" s="217">
        <f t="shared" si="6"/>
        <v>6.7600000000000007</v>
      </c>
      <c r="L259" s="218"/>
    </row>
    <row r="260" spans="2:12">
      <c r="B260" s="197" t="s">
        <v>1360</v>
      </c>
      <c r="C260" s="189" t="s">
        <v>1333</v>
      </c>
      <c r="D260" s="198" t="s">
        <v>1335</v>
      </c>
      <c r="E260" s="199">
        <v>1.4</v>
      </c>
      <c r="F260" s="199">
        <v>1.4</v>
      </c>
      <c r="G260" s="199"/>
      <c r="H260" s="199"/>
      <c r="I260" s="199"/>
      <c r="J260" s="219"/>
      <c r="K260" s="217">
        <f t="shared" si="6"/>
        <v>1.9599999999999997</v>
      </c>
      <c r="L260" s="218"/>
    </row>
    <row r="261" spans="2:12">
      <c r="B261" s="197" t="s">
        <v>1361</v>
      </c>
      <c r="C261" s="189" t="s">
        <v>1333</v>
      </c>
      <c r="D261" s="198" t="s">
        <v>1335</v>
      </c>
      <c r="E261" s="199">
        <v>1.4</v>
      </c>
      <c r="F261" s="199">
        <v>1.4</v>
      </c>
      <c r="G261" s="199"/>
      <c r="H261" s="199"/>
      <c r="I261" s="199"/>
      <c r="J261" s="219"/>
      <c r="K261" s="217">
        <f t="shared" si="6"/>
        <v>1.9599999999999997</v>
      </c>
      <c r="L261" s="218"/>
    </row>
    <row r="262" spans="2:12">
      <c r="B262" s="197" t="s">
        <v>1362</v>
      </c>
      <c r="C262" s="189" t="s">
        <v>1333</v>
      </c>
      <c r="D262" s="198" t="s">
        <v>1335</v>
      </c>
      <c r="E262" s="199">
        <v>2.6</v>
      </c>
      <c r="F262" s="199">
        <v>2.6</v>
      </c>
      <c r="G262" s="199"/>
      <c r="H262" s="199"/>
      <c r="I262" s="199"/>
      <c r="J262" s="219"/>
      <c r="K262" s="217">
        <f t="shared" si="6"/>
        <v>6.7600000000000007</v>
      </c>
      <c r="L262" s="218"/>
    </row>
    <row r="263" spans="2:12">
      <c r="B263" s="197" t="s">
        <v>1363</v>
      </c>
      <c r="C263" s="189" t="s">
        <v>1333</v>
      </c>
      <c r="D263" s="198" t="s">
        <v>1335</v>
      </c>
      <c r="E263" s="199">
        <v>2.6</v>
      </c>
      <c r="F263" s="199">
        <v>2.6</v>
      </c>
      <c r="G263" s="199"/>
      <c r="H263" s="199"/>
      <c r="I263" s="199"/>
      <c r="J263" s="219"/>
      <c r="K263" s="217">
        <f t="shared" si="6"/>
        <v>6.7600000000000007</v>
      </c>
      <c r="L263" s="218"/>
    </row>
    <row r="264" spans="2:12">
      <c r="B264" s="197" t="s">
        <v>1364</v>
      </c>
      <c r="C264" s="189" t="s">
        <v>1333</v>
      </c>
      <c r="D264" s="198" t="s">
        <v>1335</v>
      </c>
      <c r="E264" s="199">
        <v>2.2999999999999998</v>
      </c>
      <c r="F264" s="199">
        <v>1.3</v>
      </c>
      <c r="G264" s="199"/>
      <c r="H264" s="199"/>
      <c r="I264" s="199"/>
      <c r="J264" s="219"/>
      <c r="K264" s="217">
        <f t="shared" si="6"/>
        <v>2.9899999999999998</v>
      </c>
      <c r="L264" s="218"/>
    </row>
    <row r="265" spans="2:12">
      <c r="B265" s="197" t="s">
        <v>1442</v>
      </c>
      <c r="C265" s="189" t="s">
        <v>1441</v>
      </c>
      <c r="D265" s="198" t="s">
        <v>1335</v>
      </c>
      <c r="E265" s="199">
        <v>3.8</v>
      </c>
      <c r="F265" s="199">
        <v>2.4</v>
      </c>
      <c r="G265" s="199"/>
      <c r="H265" s="199"/>
      <c r="I265" s="199"/>
      <c r="J265" s="219"/>
      <c r="K265" s="217">
        <f t="shared" si="6"/>
        <v>9.1199999999999992</v>
      </c>
      <c r="L265" s="218"/>
    </row>
    <row r="266" spans="2:12">
      <c r="B266" s="197" t="s">
        <v>1443</v>
      </c>
      <c r="C266" s="189" t="s">
        <v>1441</v>
      </c>
      <c r="D266" s="198" t="s">
        <v>1335</v>
      </c>
      <c r="E266" s="199">
        <v>3.8</v>
      </c>
      <c r="F266" s="199">
        <v>2.4</v>
      </c>
      <c r="G266" s="199"/>
      <c r="H266" s="199"/>
      <c r="I266" s="199"/>
      <c r="J266" s="219"/>
      <c r="K266" s="217">
        <f t="shared" si="6"/>
        <v>9.1199999999999992</v>
      </c>
      <c r="L266" s="218"/>
    </row>
    <row r="267" spans="2:12">
      <c r="B267" s="197" t="s">
        <v>1444</v>
      </c>
      <c r="C267" s="189" t="s">
        <v>1441</v>
      </c>
      <c r="D267" s="198" t="s">
        <v>1335</v>
      </c>
      <c r="E267" s="199">
        <v>2.2999999999999998</v>
      </c>
      <c r="F267" s="199">
        <v>1.3</v>
      </c>
      <c r="G267" s="199"/>
      <c r="H267" s="199"/>
      <c r="I267" s="199"/>
      <c r="J267" s="219"/>
      <c r="K267" s="217">
        <f t="shared" si="6"/>
        <v>2.9899999999999998</v>
      </c>
      <c r="L267" s="218"/>
    </row>
    <row r="268" spans="2:12">
      <c r="B268" s="197" t="s">
        <v>1445</v>
      </c>
      <c r="C268" s="189" t="s">
        <v>1441</v>
      </c>
      <c r="D268" s="198" t="s">
        <v>1335</v>
      </c>
      <c r="E268" s="199">
        <v>2.2999999999999998</v>
      </c>
      <c r="F268" s="199">
        <v>1.3</v>
      </c>
      <c r="G268" s="199"/>
      <c r="H268" s="199"/>
      <c r="I268" s="199"/>
      <c r="J268" s="219"/>
      <c r="K268" s="217">
        <f t="shared" si="6"/>
        <v>2.9899999999999998</v>
      </c>
      <c r="L268" s="218"/>
    </row>
    <row r="269" spans="2:12">
      <c r="B269" s="197" t="s">
        <v>1446</v>
      </c>
      <c r="C269" s="189" t="s">
        <v>1441</v>
      </c>
      <c r="D269" s="198" t="s">
        <v>1335</v>
      </c>
      <c r="E269" s="199"/>
      <c r="F269" s="199"/>
      <c r="G269" s="199"/>
      <c r="H269" s="199"/>
      <c r="I269" s="199">
        <v>4.8499999999999996</v>
      </c>
      <c r="J269" s="219"/>
      <c r="K269" s="217">
        <f t="shared" si="6"/>
        <v>4.8499999999999996</v>
      </c>
      <c r="L269" s="218"/>
    </row>
    <row r="270" spans="2:12">
      <c r="B270" s="197" t="s">
        <v>1447</v>
      </c>
      <c r="C270" s="189" t="s">
        <v>1441</v>
      </c>
      <c r="D270" s="198" t="s">
        <v>1335</v>
      </c>
      <c r="E270" s="199"/>
      <c r="F270" s="199"/>
      <c r="G270" s="199"/>
      <c r="H270" s="199"/>
      <c r="I270" s="199">
        <v>4.8499999999999996</v>
      </c>
      <c r="J270" s="219"/>
      <c r="K270" s="217">
        <f t="shared" si="6"/>
        <v>4.8499999999999996</v>
      </c>
      <c r="L270" s="218"/>
    </row>
    <row r="271" spans="2:12">
      <c r="B271" s="197"/>
      <c r="C271" s="189" t="s">
        <v>1441</v>
      </c>
      <c r="D271" s="198" t="s">
        <v>1335</v>
      </c>
      <c r="E271" s="199"/>
      <c r="F271" s="199"/>
      <c r="G271" s="199"/>
      <c r="H271" s="199"/>
      <c r="I271" s="199">
        <v>2.2537750732476899E-4</v>
      </c>
      <c r="J271" s="219"/>
      <c r="K271" s="217">
        <f t="shared" si="6"/>
        <v>2.2537750732476899E-4</v>
      </c>
      <c r="L271" s="218"/>
    </row>
    <row r="272" spans="2:12">
      <c r="B272" s="197"/>
      <c r="C272" s="189" t="s">
        <v>1441</v>
      </c>
      <c r="D272" s="198" t="s">
        <v>1335</v>
      </c>
      <c r="E272" s="199"/>
      <c r="F272" s="199"/>
      <c r="G272" s="199"/>
      <c r="H272" s="199"/>
      <c r="I272" s="199"/>
      <c r="J272" s="219"/>
      <c r="K272" s="217">
        <f t="shared" si="6"/>
        <v>0</v>
      </c>
      <c r="L272" s="218"/>
    </row>
    <row r="273" spans="2:12">
      <c r="B273" s="197"/>
      <c r="C273" s="189" t="s">
        <v>1441</v>
      </c>
      <c r="D273" s="198" t="s">
        <v>1335</v>
      </c>
      <c r="E273" s="199"/>
      <c r="F273" s="199"/>
      <c r="G273" s="199"/>
      <c r="H273" s="199"/>
      <c r="I273" s="199"/>
      <c r="J273" s="219"/>
      <c r="K273" s="217">
        <f t="shared" si="6"/>
        <v>0</v>
      </c>
      <c r="L273" s="218"/>
    </row>
    <row r="274" spans="2:12">
      <c r="B274" s="197"/>
      <c r="C274" s="189"/>
      <c r="D274" s="198"/>
      <c r="E274" s="199"/>
      <c r="F274" s="199"/>
      <c r="G274" s="199"/>
      <c r="H274" s="199"/>
      <c r="I274" s="199"/>
      <c r="J274" s="219"/>
      <c r="K274" s="217">
        <f t="shared" si="6"/>
        <v>0</v>
      </c>
      <c r="L274" s="218"/>
    </row>
    <row r="275" spans="2:12">
      <c r="B275" s="202"/>
      <c r="C275" s="203"/>
      <c r="D275" s="203"/>
      <c r="E275" s="203"/>
      <c r="F275" s="203"/>
      <c r="G275" s="203"/>
      <c r="H275" s="204"/>
      <c r="I275" s="556" t="s">
        <v>1221</v>
      </c>
      <c r="J275" s="556"/>
      <c r="K275" s="220">
        <f>SUM(K222:K274)</f>
        <v>268.13342537750736</v>
      </c>
      <c r="L275" s="207"/>
    </row>
    <row r="276" spans="2:12">
      <c r="B276" s="208"/>
      <c r="C276" s="204"/>
      <c r="D276" s="204"/>
      <c r="E276" s="204"/>
      <c r="F276" s="204"/>
      <c r="G276" s="204"/>
      <c r="H276" s="209"/>
      <c r="I276" s="557" t="s">
        <v>1222</v>
      </c>
      <c r="J276" s="557"/>
      <c r="K276" s="221">
        <v>233.48</v>
      </c>
      <c r="L276" s="207"/>
    </row>
    <row r="277" spans="2:12">
      <c r="B277" s="208"/>
      <c r="C277" s="204"/>
      <c r="D277" s="204"/>
      <c r="E277" s="204"/>
      <c r="F277" s="204"/>
      <c r="G277" s="204"/>
      <c r="H277" s="558" t="s">
        <v>1223</v>
      </c>
      <c r="I277" s="558"/>
      <c r="J277" s="558"/>
      <c r="K277" s="222">
        <v>168.22919999999999</v>
      </c>
      <c r="L277" s="207"/>
    </row>
    <row r="278" spans="2:12">
      <c r="B278" s="208"/>
      <c r="C278" s="204"/>
      <c r="D278" s="204"/>
      <c r="E278" s="204"/>
      <c r="F278" s="204"/>
      <c r="G278" s="204"/>
      <c r="H278" s="558" t="s">
        <v>1431</v>
      </c>
      <c r="I278" s="558"/>
      <c r="J278" s="558"/>
      <c r="K278" s="222">
        <f>IF(K275&gt;K276,K276,K275)-K277+0.000225377507324769</f>
        <v>65.251025377507318</v>
      </c>
      <c r="L278" s="207"/>
    </row>
    <row r="279" spans="2:12">
      <c r="B279" s="213"/>
      <c r="C279" s="214"/>
      <c r="D279" s="214"/>
      <c r="E279" s="214"/>
      <c r="F279" s="214"/>
      <c r="G279" s="214"/>
      <c r="H279" s="559" t="s">
        <v>1224</v>
      </c>
      <c r="I279" s="559"/>
      <c r="J279" s="559"/>
      <c r="K279" s="223">
        <f>IF(K275&gt;K276,K275-K276,0)</f>
        <v>34.653425377507375</v>
      </c>
      <c r="L279" s="209"/>
    </row>
    <row r="281" spans="2:12" ht="14.25" customHeight="1">
      <c r="B281" s="555" t="s">
        <v>1272</v>
      </c>
      <c r="C281" s="555"/>
      <c r="D281" s="555"/>
      <c r="E281" s="555"/>
      <c r="F281" s="555"/>
      <c r="G281" s="555"/>
      <c r="H281" s="555"/>
      <c r="I281" s="555"/>
      <c r="J281" s="555"/>
      <c r="K281" s="555"/>
      <c r="L281" s="555"/>
    </row>
    <row r="282" spans="2:12">
      <c r="B282" s="187" t="s">
        <v>1209</v>
      </c>
      <c r="C282" s="187"/>
      <c r="D282" s="187" t="s">
        <v>39</v>
      </c>
      <c r="E282" s="187" t="s">
        <v>1210</v>
      </c>
      <c r="F282" s="187" t="s">
        <v>1211</v>
      </c>
      <c r="G282" s="187" t="s">
        <v>1212</v>
      </c>
      <c r="H282" s="187" t="s">
        <v>1213</v>
      </c>
      <c r="I282" s="187" t="s">
        <v>1214</v>
      </c>
      <c r="J282" s="187" t="s">
        <v>1215</v>
      </c>
      <c r="K282" s="187" t="s">
        <v>1216</v>
      </c>
      <c r="L282" s="187" t="s">
        <v>1217</v>
      </c>
    </row>
    <row r="283" spans="2:12">
      <c r="B283" s="188" t="s">
        <v>1273</v>
      </c>
      <c r="C283" s="189" t="s">
        <v>1271</v>
      </c>
      <c r="D283" s="190" t="s">
        <v>1274</v>
      </c>
      <c r="E283" s="191">
        <v>1014</v>
      </c>
      <c r="F283" s="243">
        <v>0.154</v>
      </c>
      <c r="G283" s="192">
        <v>1.1000000000000001</v>
      </c>
      <c r="H283" s="191"/>
      <c r="I283" s="191"/>
      <c r="J283" s="216"/>
      <c r="K283" s="217">
        <f>IF(E283*F283*G283&lt;&gt;0,E283*F283*G283,IF(E283*F283&lt;&gt;0,E283*F283,IF(F283*G283&lt;&gt;0,F283*G283,IF(E283*G283&lt;&gt;0,E283*G283,IF(E283&lt;&gt;0,E283,IF(F283&lt;&gt;0,F283,IF(G283&lt;&gt;0,G283,0)))))))*(IF(H283&lt;&gt;0,H283,1))+I283-J283</f>
        <v>171.77160000000001</v>
      </c>
      <c r="L283" s="218"/>
    </row>
    <row r="284" spans="2:12">
      <c r="B284" s="188" t="s">
        <v>1275</v>
      </c>
      <c r="C284" s="189" t="s">
        <v>1333</v>
      </c>
      <c r="D284" s="190" t="s">
        <v>1274</v>
      </c>
      <c r="E284" s="191"/>
      <c r="F284" s="243"/>
      <c r="G284" s="192"/>
      <c r="H284" s="191"/>
      <c r="I284" s="191"/>
      <c r="J284" s="216"/>
      <c r="K284" s="217">
        <f>IF(E284*F284*G284&lt;&gt;0,E284*F284*G284,IF(E284*F284&lt;&gt;0,E284*F284,IF(F284*G284&lt;&gt;0,F284*G284,IF(E284*G284&lt;&gt;0,E284*G284,IF(E284&lt;&gt;0,E284,IF(F284&lt;&gt;0,F284,IF(G284&lt;&gt;0,G284,0)))))))*(IF(H284&lt;&gt;0,H284,1))+I284-J284</f>
        <v>0</v>
      </c>
      <c r="L284" s="218"/>
    </row>
    <row r="285" spans="2:12">
      <c r="B285" s="188" t="s">
        <v>1448</v>
      </c>
      <c r="C285" s="189" t="s">
        <v>1441</v>
      </c>
      <c r="D285" s="190" t="s">
        <v>1274</v>
      </c>
      <c r="E285" s="191">
        <v>123.508</v>
      </c>
      <c r="F285" s="243"/>
      <c r="G285" s="192"/>
      <c r="H285" s="191">
        <v>0.25</v>
      </c>
      <c r="I285" s="191"/>
      <c r="J285" s="216"/>
      <c r="K285" s="217">
        <f>IF(E285*F285*G285&lt;&gt;0,E285*F285*G285,IF(E285*F285&lt;&gt;0,E285*F285,IF(F285*G285&lt;&gt;0,F285*G285,IF(E285*G285&lt;&gt;0,E285*G285,IF(E285&lt;&gt;0,E285,IF(F285&lt;&gt;0,F285,IF(G285&lt;&gt;0,G285,0)))))))*(IF(H285&lt;&gt;0,H285,1))+I285-J285</f>
        <v>30.876999999999999</v>
      </c>
      <c r="L285" s="218"/>
    </row>
    <row r="286" spans="2:12">
      <c r="B286" s="197"/>
      <c r="C286" s="189"/>
      <c r="D286" s="198"/>
      <c r="E286" s="199"/>
      <c r="F286" s="244"/>
      <c r="G286" s="199"/>
      <c r="H286" s="199"/>
      <c r="I286" s="199"/>
      <c r="J286" s="219"/>
      <c r="K286" s="217">
        <f>IF(E286*F286*G286&lt;&gt;0,E286*F286*G286,IF(E286*F286&lt;&gt;0,E286*F286,IF(F286*G286&lt;&gt;0,F286*G286,IF(E286*G286&lt;&gt;0,E286*G286,IF(E286&lt;&gt;0,E286,IF(F286&lt;&gt;0,F286,IF(G286&lt;&gt;0,G286,0)))))))*(IF(H286&lt;&gt;0,H286,1))+I286-J286</f>
        <v>0</v>
      </c>
      <c r="L286" s="218"/>
    </row>
    <row r="287" spans="2:12">
      <c r="B287" s="202"/>
      <c r="C287" s="203"/>
      <c r="D287" s="203"/>
      <c r="E287" s="203"/>
      <c r="F287" s="203"/>
      <c r="G287" s="203"/>
      <c r="H287" s="204"/>
      <c r="I287" s="556" t="s">
        <v>1221</v>
      </c>
      <c r="J287" s="556"/>
      <c r="K287" s="220">
        <f>SUM(K283:K286)</f>
        <v>202.64860000000002</v>
      </c>
      <c r="L287" s="207"/>
    </row>
    <row r="288" spans="2:12">
      <c r="B288" s="208"/>
      <c r="C288" s="204"/>
      <c r="D288" s="204"/>
      <c r="E288" s="204"/>
      <c r="F288" s="204"/>
      <c r="G288" s="204"/>
      <c r="H288" s="209"/>
      <c r="I288" s="557" t="s">
        <v>1222</v>
      </c>
      <c r="J288" s="557"/>
      <c r="K288" s="221">
        <v>190.3</v>
      </c>
      <c r="L288" s="207"/>
    </row>
    <row r="289" spans="2:12">
      <c r="B289" s="208"/>
      <c r="C289" s="204"/>
      <c r="D289" s="204"/>
      <c r="E289" s="204"/>
      <c r="F289" s="204"/>
      <c r="G289" s="204"/>
      <c r="H289" s="558" t="s">
        <v>1223</v>
      </c>
      <c r="I289" s="558"/>
      <c r="J289" s="558"/>
      <c r="K289" s="222">
        <v>171.77160000000001</v>
      </c>
      <c r="L289" s="207"/>
    </row>
    <row r="290" spans="2:12">
      <c r="B290" s="208"/>
      <c r="C290" s="204"/>
      <c r="D290" s="204"/>
      <c r="E290" s="204"/>
      <c r="F290" s="204"/>
      <c r="G290" s="204"/>
      <c r="H290" s="558" t="s">
        <v>1250</v>
      </c>
      <c r="I290" s="558"/>
      <c r="J290" s="558"/>
      <c r="K290" s="222">
        <f>IF(K287&gt;K288,K288,K287)-K289</f>
        <v>18.528400000000005</v>
      </c>
      <c r="L290" s="207"/>
    </row>
    <row r="291" spans="2:12">
      <c r="B291" s="213"/>
      <c r="C291" s="214"/>
      <c r="D291" s="214"/>
      <c r="E291" s="214"/>
      <c r="F291" s="214"/>
      <c r="G291" s="214"/>
      <c r="H291" s="559" t="s">
        <v>1224</v>
      </c>
      <c r="I291" s="559"/>
      <c r="J291" s="559"/>
      <c r="K291" s="223">
        <f>IF(K287&gt;K288,K287-K288,0)</f>
        <v>12.348600000000005</v>
      </c>
      <c r="L291" s="209"/>
    </row>
    <row r="293" spans="2:12" ht="14.25" customHeight="1">
      <c r="B293" s="555" t="s">
        <v>1276</v>
      </c>
      <c r="C293" s="555"/>
      <c r="D293" s="555"/>
      <c r="E293" s="555"/>
      <c r="F293" s="555"/>
      <c r="G293" s="555"/>
      <c r="H293" s="555"/>
      <c r="I293" s="555"/>
      <c r="J293" s="555"/>
      <c r="K293" s="555"/>
      <c r="L293" s="555"/>
    </row>
    <row r="294" spans="2:12">
      <c r="B294" s="187" t="s">
        <v>1209</v>
      </c>
      <c r="C294" s="187"/>
      <c r="D294" s="187" t="s">
        <v>39</v>
      </c>
      <c r="E294" s="187" t="s">
        <v>1210</v>
      </c>
      <c r="F294" s="187" t="s">
        <v>1211</v>
      </c>
      <c r="G294" s="187" t="s">
        <v>1212</v>
      </c>
      <c r="H294" s="187" t="s">
        <v>1213</v>
      </c>
      <c r="I294" s="187" t="s">
        <v>1214</v>
      </c>
      <c r="J294" s="187" t="s">
        <v>1215</v>
      </c>
      <c r="K294" s="187" t="s">
        <v>1216</v>
      </c>
      <c r="L294" s="187" t="s">
        <v>1217</v>
      </c>
    </row>
    <row r="295" spans="2:12">
      <c r="B295" s="188" t="s">
        <v>1273</v>
      </c>
      <c r="C295" s="189" t="s">
        <v>1271</v>
      </c>
      <c r="D295" s="190" t="s">
        <v>1274</v>
      </c>
      <c r="E295" s="191">
        <v>333</v>
      </c>
      <c r="F295" s="243">
        <v>0.245</v>
      </c>
      <c r="G295" s="192">
        <v>1.1000000000000001</v>
      </c>
      <c r="H295" s="191"/>
      <c r="I295" s="191"/>
      <c r="J295" s="216"/>
      <c r="K295" s="217">
        <f>IF(E295*F295*G295&lt;&gt;0,E295*F295*G295,IF(E295*F295&lt;&gt;0,E295*F295,IF(F295*G295&lt;&gt;0,F295*G295,IF(E295*G295&lt;&gt;0,E295*G295,IF(E295&lt;&gt;0,E295,IF(F295&lt;&gt;0,F295,IF(G295&lt;&gt;0,G295,0)))))))*(IF(H295&lt;&gt;0,H295,1))+I295-J295</f>
        <v>89.743499999999997</v>
      </c>
      <c r="L295" s="218"/>
    </row>
    <row r="296" spans="2:12">
      <c r="B296" s="188" t="s">
        <v>1275</v>
      </c>
      <c r="C296" s="189" t="s">
        <v>1333</v>
      </c>
      <c r="D296" s="190" t="s">
        <v>1274</v>
      </c>
      <c r="E296" s="191">
        <v>411</v>
      </c>
      <c r="F296" s="243">
        <v>0.245</v>
      </c>
      <c r="G296" s="192">
        <v>1.1000000000000001</v>
      </c>
      <c r="H296" s="191"/>
      <c r="I296" s="191"/>
      <c r="J296" s="216"/>
      <c r="K296" s="217">
        <f>IF(E296*F296*G296&lt;&gt;0,E296*F296*G296,IF(E296*F296&lt;&gt;0,E296*F296,IF(F296*G296&lt;&gt;0,F296*G296,IF(E296*G296&lt;&gt;0,E296*G296,IF(E296&lt;&gt;0,E296,IF(F296&lt;&gt;0,F296,IF(G296&lt;&gt;0,G296,0)))))))*(IF(H296&lt;&gt;0,H296,1))+I296-J296</f>
        <v>110.7645</v>
      </c>
      <c r="L296" s="218"/>
    </row>
    <row r="297" spans="2:12">
      <c r="B297" s="197"/>
      <c r="C297" s="189"/>
      <c r="D297" s="198"/>
      <c r="E297" s="199"/>
      <c r="F297" s="199"/>
      <c r="G297" s="199"/>
      <c r="H297" s="199"/>
      <c r="I297" s="199"/>
      <c r="J297" s="219"/>
      <c r="K297" s="217">
        <f>IF(E297*F297*G297&lt;&gt;0,E297*F297*G297,IF(E297*F297&lt;&gt;0,E297*F297,IF(F297*G297&lt;&gt;0,F297*G297,IF(E297*G297&lt;&gt;0,E297*G297,IF(E297&lt;&gt;0,E297,IF(F297&lt;&gt;0,F297,IF(G297&lt;&gt;0,G297,0)))))))*(IF(H297&lt;&gt;0,H297,1))+I297-J297</f>
        <v>0</v>
      </c>
      <c r="L297" s="218"/>
    </row>
    <row r="298" spans="2:12">
      <c r="B298" s="202"/>
      <c r="C298" s="203"/>
      <c r="D298" s="203"/>
      <c r="E298" s="203"/>
      <c r="F298" s="203"/>
      <c r="G298" s="203"/>
      <c r="H298" s="204"/>
      <c r="I298" s="556" t="s">
        <v>1221</v>
      </c>
      <c r="J298" s="556"/>
      <c r="K298" s="220">
        <f>SUM(K295:K297)</f>
        <v>200.50799999999998</v>
      </c>
      <c r="L298" s="207"/>
    </row>
    <row r="299" spans="2:12">
      <c r="B299" s="208"/>
      <c r="C299" s="204"/>
      <c r="D299" s="204"/>
      <c r="E299" s="204"/>
      <c r="F299" s="204"/>
      <c r="G299" s="204"/>
      <c r="H299" s="209"/>
      <c r="I299" s="557" t="s">
        <v>1222</v>
      </c>
      <c r="J299" s="557"/>
      <c r="K299" s="221">
        <v>77</v>
      </c>
      <c r="L299" s="207"/>
    </row>
    <row r="300" spans="2:12">
      <c r="B300" s="208"/>
      <c r="C300" s="204"/>
      <c r="D300" s="204"/>
      <c r="E300" s="204"/>
      <c r="F300" s="204"/>
      <c r="G300" s="204"/>
      <c r="H300" s="558" t="s">
        <v>1223</v>
      </c>
      <c r="I300" s="558"/>
      <c r="J300" s="558"/>
      <c r="K300" s="222">
        <v>77</v>
      </c>
      <c r="L300" s="207"/>
    </row>
    <row r="301" spans="2:12">
      <c r="B301" s="208"/>
      <c r="C301" s="204"/>
      <c r="D301" s="204"/>
      <c r="E301" s="204"/>
      <c r="F301" s="204"/>
      <c r="G301" s="204"/>
      <c r="H301" s="558" t="s">
        <v>1250</v>
      </c>
      <c r="I301" s="558"/>
      <c r="J301" s="558"/>
      <c r="K301" s="222">
        <f>IF(K298&gt;K299,K299,K298)-K300</f>
        <v>0</v>
      </c>
      <c r="L301" s="207"/>
    </row>
    <row r="302" spans="2:12">
      <c r="B302" s="213"/>
      <c r="C302" s="214"/>
      <c r="D302" s="214"/>
      <c r="E302" s="214"/>
      <c r="F302" s="214"/>
      <c r="G302" s="214"/>
      <c r="H302" s="559" t="s">
        <v>1224</v>
      </c>
      <c r="I302" s="559"/>
      <c r="J302" s="559"/>
      <c r="K302" s="223">
        <f>IF(K298&gt;K299,K298-K299,0)</f>
        <v>123.50799999999998</v>
      </c>
      <c r="L302" s="209"/>
    </row>
    <row r="304" spans="2:12" ht="14.25" customHeight="1">
      <c r="B304" s="555" t="s">
        <v>1277</v>
      </c>
      <c r="C304" s="555"/>
      <c r="D304" s="555"/>
      <c r="E304" s="555"/>
      <c r="F304" s="555"/>
      <c r="G304" s="555"/>
      <c r="H304" s="555"/>
      <c r="I304" s="555"/>
      <c r="J304" s="555"/>
      <c r="K304" s="555"/>
      <c r="L304" s="555"/>
    </row>
    <row r="305" spans="2:12">
      <c r="B305" s="187" t="s">
        <v>1209</v>
      </c>
      <c r="C305" s="187"/>
      <c r="D305" s="187" t="s">
        <v>39</v>
      </c>
      <c r="E305" s="187" t="s">
        <v>1210</v>
      </c>
      <c r="F305" s="187" t="s">
        <v>1211</v>
      </c>
      <c r="G305" s="187" t="s">
        <v>1212</v>
      </c>
      <c r="H305" s="187" t="s">
        <v>1213</v>
      </c>
      <c r="I305" s="187" t="s">
        <v>1214</v>
      </c>
      <c r="J305" s="187" t="s">
        <v>1215</v>
      </c>
      <c r="K305" s="187" t="s">
        <v>1216</v>
      </c>
      <c r="L305" s="187" t="s">
        <v>1217</v>
      </c>
    </row>
    <row r="306" spans="2:12">
      <c r="B306" s="188" t="s">
        <v>1273</v>
      </c>
      <c r="C306" s="189" t="s">
        <v>1271</v>
      </c>
      <c r="D306" s="190" t="s">
        <v>1274</v>
      </c>
      <c r="E306" s="191">
        <v>938</v>
      </c>
      <c r="F306" s="243">
        <v>0.39500000000000002</v>
      </c>
      <c r="G306" s="192">
        <v>1.1000000000000001</v>
      </c>
      <c r="H306" s="191"/>
      <c r="I306" s="191"/>
      <c r="J306" s="216"/>
      <c r="K306" s="217">
        <f>IF(E306*F306*G306&lt;&gt;0,E306*F306*G306,IF(E306*F306&lt;&gt;0,E306*F306,IF(F306*G306&lt;&gt;0,F306*G306,IF(E306*G306&lt;&gt;0,E306*G306,IF(E306&lt;&gt;0,E306,IF(F306&lt;&gt;0,F306,IF(G306&lt;&gt;0,G306,0)))))))*(IF(H306&lt;&gt;0,H306,1))+I306-J306</f>
        <v>407.56100000000004</v>
      </c>
      <c r="L306" s="218"/>
    </row>
    <row r="307" spans="2:12">
      <c r="B307" s="188" t="s">
        <v>1275</v>
      </c>
      <c r="C307" s="189" t="s">
        <v>1333</v>
      </c>
      <c r="D307" s="190" t="s">
        <v>1274</v>
      </c>
      <c r="E307" s="191">
        <v>197</v>
      </c>
      <c r="F307" s="243">
        <v>0.39500000000000002</v>
      </c>
      <c r="G307" s="192">
        <v>1.1000000000000001</v>
      </c>
      <c r="H307" s="191"/>
      <c r="I307" s="191"/>
      <c r="J307" s="216"/>
      <c r="K307" s="217">
        <f>IF(E307*F307*G307&lt;&gt;0,E307*F307*G307,IF(E307*F307&lt;&gt;0,E307*F307,IF(F307*G307&lt;&gt;0,F307*G307,IF(E307*G307&lt;&gt;0,E307*G307,IF(E307&lt;&gt;0,E307,IF(F307&lt;&gt;0,F307,IF(G307&lt;&gt;0,G307,0)))))))*(IF(H307&lt;&gt;0,H307,1))+I307-J307</f>
        <v>85.596500000000006</v>
      </c>
      <c r="L307" s="218"/>
    </row>
    <row r="308" spans="2:12">
      <c r="B308" s="188" t="s">
        <v>1448</v>
      </c>
      <c r="C308" s="189" t="s">
        <v>1441</v>
      </c>
      <c r="D308" s="190" t="s">
        <v>1274</v>
      </c>
      <c r="E308" s="191">
        <v>123.508</v>
      </c>
      <c r="F308" s="243"/>
      <c r="G308" s="192"/>
      <c r="H308" s="191">
        <v>0.75</v>
      </c>
      <c r="I308" s="191"/>
      <c r="J308" s="216"/>
      <c r="K308" s="217">
        <f>IF(E308*F308*G308&lt;&gt;0,E308*F308*G308,IF(E308*F308&lt;&gt;0,E308*F308,IF(F308*G308&lt;&gt;0,F308*G308,IF(E308*G308&lt;&gt;0,E308*G308,IF(E308&lt;&gt;0,E308,IF(F308&lt;&gt;0,F308,IF(G308&lt;&gt;0,G308,0)))))))*(IF(H308&lt;&gt;0,H308,1))+I308-J308</f>
        <v>92.631</v>
      </c>
      <c r="L308" s="218"/>
    </row>
    <row r="309" spans="2:12">
      <c r="B309" s="197"/>
      <c r="C309" s="189"/>
      <c r="D309" s="198"/>
      <c r="E309" s="199"/>
      <c r="F309" s="199"/>
      <c r="G309" s="199"/>
      <c r="H309" s="199"/>
      <c r="I309" s="199"/>
      <c r="J309" s="219"/>
      <c r="K309" s="217">
        <f>IF(E309*F309*G309&lt;&gt;0,E309*F309*G309,IF(E309*F309&lt;&gt;0,E309*F309,IF(F309*G309&lt;&gt;0,F309*G309,IF(E309*G309&lt;&gt;0,E309*G309,IF(E309&lt;&gt;0,E309,IF(F309&lt;&gt;0,F309,IF(G309&lt;&gt;0,G309,0)))))))*(IF(H309&lt;&gt;0,H309,1))+I309-J309</f>
        <v>0</v>
      </c>
      <c r="L309" s="218"/>
    </row>
    <row r="310" spans="2:12">
      <c r="B310" s="202"/>
      <c r="C310" s="203"/>
      <c r="D310" s="203"/>
      <c r="E310" s="203"/>
      <c r="F310" s="203"/>
      <c r="G310" s="203"/>
      <c r="H310" s="204"/>
      <c r="I310" s="556" t="s">
        <v>1221</v>
      </c>
      <c r="J310" s="556"/>
      <c r="K310" s="220">
        <f>SUM(K306:K309)</f>
        <v>585.7885</v>
      </c>
      <c r="L310" s="207"/>
    </row>
    <row r="311" spans="2:12">
      <c r="B311" s="208"/>
      <c r="C311" s="204"/>
      <c r="D311" s="204"/>
      <c r="E311" s="204"/>
      <c r="F311" s="204"/>
      <c r="G311" s="204"/>
      <c r="H311" s="209"/>
      <c r="I311" s="557" t="s">
        <v>1222</v>
      </c>
      <c r="J311" s="557"/>
      <c r="K311" s="221">
        <v>566.5</v>
      </c>
      <c r="L311" s="207"/>
    </row>
    <row r="312" spans="2:12">
      <c r="B312" s="208"/>
      <c r="C312" s="204"/>
      <c r="D312" s="204"/>
      <c r="E312" s="204"/>
      <c r="F312" s="204"/>
      <c r="G312" s="204"/>
      <c r="H312" s="558" t="s">
        <v>1223</v>
      </c>
      <c r="I312" s="558"/>
      <c r="J312" s="558"/>
      <c r="K312" s="222">
        <v>493.15750000000003</v>
      </c>
      <c r="L312" s="207"/>
    </row>
    <row r="313" spans="2:12">
      <c r="B313" s="208"/>
      <c r="C313" s="204"/>
      <c r="D313" s="204"/>
      <c r="E313" s="204"/>
      <c r="F313" s="204"/>
      <c r="G313" s="204"/>
      <c r="H313" s="558" t="s">
        <v>1250</v>
      </c>
      <c r="I313" s="558"/>
      <c r="J313" s="558"/>
      <c r="K313" s="222">
        <f>IF(K310&gt;K311,K311,K310)-K312</f>
        <v>73.342499999999973</v>
      </c>
      <c r="L313" s="207"/>
    </row>
    <row r="314" spans="2:12">
      <c r="B314" s="213"/>
      <c r="C314" s="214"/>
      <c r="D314" s="214"/>
      <c r="E314" s="214"/>
      <c r="F314" s="214"/>
      <c r="G314" s="214"/>
      <c r="H314" s="559" t="s">
        <v>1224</v>
      </c>
      <c r="I314" s="559"/>
      <c r="J314" s="559"/>
      <c r="K314" s="223">
        <f>IF(K310&gt;K311,K310-K311,0)</f>
        <v>19.288499999999999</v>
      </c>
      <c r="L314" s="209"/>
    </row>
    <row r="316" spans="2:12" ht="14.25" customHeight="1">
      <c r="B316" s="555" t="s">
        <v>1278</v>
      </c>
      <c r="C316" s="555"/>
      <c r="D316" s="555"/>
      <c r="E316" s="555"/>
      <c r="F316" s="555"/>
      <c r="G316" s="555"/>
      <c r="H316" s="555"/>
      <c r="I316" s="555"/>
      <c r="J316" s="555"/>
      <c r="K316" s="555"/>
      <c r="L316" s="555"/>
    </row>
    <row r="317" spans="2:12">
      <c r="B317" s="187" t="s">
        <v>1209</v>
      </c>
      <c r="C317" s="187"/>
      <c r="D317" s="187" t="s">
        <v>39</v>
      </c>
      <c r="E317" s="187" t="s">
        <v>1210</v>
      </c>
      <c r="F317" s="187" t="s">
        <v>1211</v>
      </c>
      <c r="G317" s="187" t="s">
        <v>1212</v>
      </c>
      <c r="H317" s="187" t="s">
        <v>1213</v>
      </c>
      <c r="I317" s="187" t="s">
        <v>1214</v>
      </c>
      <c r="J317" s="187" t="s">
        <v>1215</v>
      </c>
      <c r="K317" s="187" t="s">
        <v>1216</v>
      </c>
      <c r="L317" s="187" t="s">
        <v>1217</v>
      </c>
    </row>
    <row r="318" spans="2:12">
      <c r="B318" s="188" t="s">
        <v>1273</v>
      </c>
      <c r="C318" s="189" t="s">
        <v>1271</v>
      </c>
      <c r="D318" s="190" t="s">
        <v>1274</v>
      </c>
      <c r="E318" s="191">
        <v>737</v>
      </c>
      <c r="F318" s="243">
        <v>0.61699999999999999</v>
      </c>
      <c r="G318" s="192">
        <v>1.1000000000000001</v>
      </c>
      <c r="H318" s="191"/>
      <c r="I318" s="191"/>
      <c r="J318" s="216"/>
      <c r="K318" s="217">
        <f>IF(E318*F318*G318&lt;&gt;0,E318*F318*G318,IF(E318*F318&lt;&gt;0,E318*F318,IF(F318*G318&lt;&gt;0,F318*G318,IF(E318*G318&lt;&gt;0,E318*G318,IF(E318&lt;&gt;0,E318,IF(F318&lt;&gt;0,F318,IF(G318&lt;&gt;0,G318,0)))))))*(IF(H318&lt;&gt;0,H318,1))+I318-J318</f>
        <v>500.20190000000002</v>
      </c>
      <c r="L318" s="218"/>
    </row>
    <row r="319" spans="2:12">
      <c r="B319" s="188" t="s">
        <v>1275</v>
      </c>
      <c r="C319" s="189" t="s">
        <v>1333</v>
      </c>
      <c r="D319" s="190" t="s">
        <v>1274</v>
      </c>
      <c r="E319" s="191">
        <v>1837</v>
      </c>
      <c r="F319" s="243">
        <v>0.61699999999999999</v>
      </c>
      <c r="G319" s="192">
        <v>1.1000000000000001</v>
      </c>
      <c r="H319" s="191"/>
      <c r="I319" s="191"/>
      <c r="J319" s="216"/>
      <c r="K319" s="217">
        <f>IF(E319*F319*G319&lt;&gt;0,E319*F319*G319,IF(E319*F319&lt;&gt;0,E319*F319,IF(F319*G319&lt;&gt;0,F319*G319,IF(E319*G319&lt;&gt;0,E319*G319,IF(E319&lt;&gt;0,E319,IF(F319&lt;&gt;0,F319,IF(G319&lt;&gt;0,G319,0)))))))*(IF(H319&lt;&gt;0,H319,1))+I319-J319</f>
        <v>1246.7719000000002</v>
      </c>
      <c r="L319" s="218"/>
    </row>
    <row r="320" spans="2:12">
      <c r="B320" s="197"/>
      <c r="C320" s="189"/>
      <c r="D320" s="198"/>
      <c r="E320" s="199"/>
      <c r="F320" s="244"/>
      <c r="G320" s="199"/>
      <c r="H320" s="199"/>
      <c r="I320" s="199"/>
      <c r="J320" s="219"/>
      <c r="K320" s="217">
        <f>IF(E320*F320*G320&lt;&gt;0,E320*F320*G320,IF(E320*F320&lt;&gt;0,E320*F320,IF(F320*G320&lt;&gt;0,F320*G320,IF(E320*G320&lt;&gt;0,E320*G320,IF(E320&lt;&gt;0,E320,IF(F320&lt;&gt;0,F320,IF(G320&lt;&gt;0,G320,0)))))))*(IF(H320&lt;&gt;0,H320,1))+I320-J320</f>
        <v>0</v>
      </c>
      <c r="L320" s="218"/>
    </row>
    <row r="321" spans="2:12">
      <c r="B321" s="202"/>
      <c r="C321" s="203"/>
      <c r="D321" s="203"/>
      <c r="E321" s="203"/>
      <c r="F321" s="203"/>
      <c r="G321" s="203"/>
      <c r="H321" s="204"/>
      <c r="I321" s="556" t="s">
        <v>1221</v>
      </c>
      <c r="J321" s="556"/>
      <c r="K321" s="220">
        <f>SUM(K318:K320)</f>
        <v>1746.9738000000002</v>
      </c>
      <c r="L321" s="207"/>
    </row>
    <row r="322" spans="2:12">
      <c r="B322" s="208"/>
      <c r="C322" s="204"/>
      <c r="D322" s="204"/>
      <c r="E322" s="204"/>
      <c r="F322" s="204"/>
      <c r="G322" s="204"/>
      <c r="H322" s="209"/>
      <c r="I322" s="557" t="s">
        <v>1222</v>
      </c>
      <c r="J322" s="557"/>
      <c r="K322" s="221">
        <v>1663.2</v>
      </c>
      <c r="L322" s="207"/>
    </row>
    <row r="323" spans="2:12">
      <c r="B323" s="208"/>
      <c r="C323" s="204"/>
      <c r="D323" s="204"/>
      <c r="E323" s="204"/>
      <c r="F323" s="204"/>
      <c r="G323" s="204"/>
      <c r="H323" s="558" t="s">
        <v>1223</v>
      </c>
      <c r="I323" s="558"/>
      <c r="J323" s="558"/>
      <c r="K323" s="222">
        <v>500.20190000000002</v>
      </c>
      <c r="L323" s="207"/>
    </row>
    <row r="324" spans="2:12">
      <c r="B324" s="208"/>
      <c r="C324" s="204"/>
      <c r="D324" s="204"/>
      <c r="E324" s="204"/>
      <c r="F324" s="204"/>
      <c r="G324" s="204"/>
      <c r="H324" s="558" t="s">
        <v>1250</v>
      </c>
      <c r="I324" s="558"/>
      <c r="J324" s="558"/>
      <c r="K324" s="222">
        <f>IF(K321&gt;K322,K322,K321)-K323</f>
        <v>1162.9981</v>
      </c>
      <c r="L324" s="207"/>
    </row>
    <row r="325" spans="2:12">
      <c r="B325" s="213"/>
      <c r="C325" s="214"/>
      <c r="D325" s="214"/>
      <c r="E325" s="214"/>
      <c r="F325" s="214"/>
      <c r="G325" s="214"/>
      <c r="H325" s="559" t="s">
        <v>1224</v>
      </c>
      <c r="I325" s="559"/>
      <c r="J325" s="559"/>
      <c r="K325" s="223">
        <f>IF(K321&gt;K322,K321-K322,0)</f>
        <v>83.773800000000165</v>
      </c>
      <c r="L325" s="209"/>
    </row>
    <row r="327" spans="2:12" ht="14.25" customHeight="1">
      <c r="B327" s="555" t="s">
        <v>1279</v>
      </c>
      <c r="C327" s="555"/>
      <c r="D327" s="555"/>
      <c r="E327" s="555"/>
      <c r="F327" s="555"/>
      <c r="G327" s="555"/>
      <c r="H327" s="555"/>
      <c r="I327" s="555"/>
      <c r="J327" s="555"/>
      <c r="K327" s="555"/>
      <c r="L327" s="555"/>
    </row>
    <row r="328" spans="2:12">
      <c r="B328" s="187" t="s">
        <v>1209</v>
      </c>
      <c r="C328" s="187"/>
      <c r="D328" s="187" t="s">
        <v>39</v>
      </c>
      <c r="E328" s="187" t="s">
        <v>1210</v>
      </c>
      <c r="F328" s="187" t="s">
        <v>1211</v>
      </c>
      <c r="G328" s="187" t="s">
        <v>1212</v>
      </c>
      <c r="H328" s="187" t="s">
        <v>1213</v>
      </c>
      <c r="I328" s="187" t="s">
        <v>1214</v>
      </c>
      <c r="J328" s="187" t="s">
        <v>1215</v>
      </c>
      <c r="K328" s="187" t="s">
        <v>1216</v>
      </c>
      <c r="L328" s="187" t="s">
        <v>1217</v>
      </c>
    </row>
    <row r="329" spans="2:12">
      <c r="B329" s="188" t="s">
        <v>1273</v>
      </c>
      <c r="C329" s="189" t="s">
        <v>1271</v>
      </c>
      <c r="D329" s="190" t="s">
        <v>1274</v>
      </c>
      <c r="E329" s="191">
        <v>3329</v>
      </c>
      <c r="F329" s="243">
        <v>0.96299999999999997</v>
      </c>
      <c r="G329" s="192">
        <v>1.1000000000000001</v>
      </c>
      <c r="H329" s="191"/>
      <c r="I329" s="191"/>
      <c r="J329" s="216"/>
      <c r="K329" s="217">
        <f>IF(E329*F329*G329&lt;&gt;0,E329*F329*G329,IF(E329*F329&lt;&gt;0,E329*F329,IF(F329*G329&lt;&gt;0,F329*G329,IF(E329*G329&lt;&gt;0,E329*G329,IF(E329&lt;&gt;0,E329,IF(F329&lt;&gt;0,F329,IF(G329&lt;&gt;0,G329,0)))))))*(IF(H329&lt;&gt;0,H329,1))+I329-J329</f>
        <v>3526.4097000000002</v>
      </c>
      <c r="L329" s="218"/>
    </row>
    <row r="330" spans="2:12">
      <c r="B330" s="188" t="s">
        <v>1275</v>
      </c>
      <c r="C330" s="189" t="s">
        <v>1333</v>
      </c>
      <c r="D330" s="190" t="s">
        <v>1274</v>
      </c>
      <c r="E330" s="191">
        <v>2624</v>
      </c>
      <c r="F330" s="243">
        <v>0.96299999999999997</v>
      </c>
      <c r="G330" s="192">
        <v>1.1000000000000001</v>
      </c>
      <c r="H330" s="191"/>
      <c r="I330" s="191"/>
      <c r="J330" s="216"/>
      <c r="K330" s="217">
        <f>IF(E330*F330*G330&lt;&gt;0,E330*F330*G330,IF(E330*F330&lt;&gt;0,E330*F330,IF(F330*G330&lt;&gt;0,F330*G330,IF(E330*G330&lt;&gt;0,E330*G330,IF(E330&lt;&gt;0,E330,IF(F330&lt;&gt;0,F330,IF(G330&lt;&gt;0,G330,0)))))))*(IF(H330&lt;&gt;0,H330,1))+I330-J330</f>
        <v>2779.6032</v>
      </c>
      <c r="L330" s="218"/>
    </row>
    <row r="331" spans="2:12">
      <c r="B331" s="197"/>
      <c r="C331" s="189"/>
      <c r="D331" s="198"/>
      <c r="E331" s="199"/>
      <c r="F331" s="244"/>
      <c r="G331" s="199"/>
      <c r="H331" s="199"/>
      <c r="I331" s="199"/>
      <c r="J331" s="219"/>
      <c r="K331" s="217">
        <f>IF(E331*F331*G331&lt;&gt;0,E331*F331*G331,IF(E331*F331&lt;&gt;0,E331*F331,IF(F331*G331&lt;&gt;0,F331*G331,IF(E331*G331&lt;&gt;0,E331*G331,IF(E331&lt;&gt;0,E331,IF(F331&lt;&gt;0,F331,IF(G331&lt;&gt;0,G331,0)))))))*(IF(H331&lt;&gt;0,H331,1))+I331-J331</f>
        <v>0</v>
      </c>
      <c r="L331" s="218"/>
    </row>
    <row r="332" spans="2:12">
      <c r="B332" s="202"/>
      <c r="C332" s="203"/>
      <c r="D332" s="203"/>
      <c r="E332" s="203"/>
      <c r="F332" s="203"/>
      <c r="G332" s="203"/>
      <c r="H332" s="204"/>
      <c r="I332" s="556" t="s">
        <v>1221</v>
      </c>
      <c r="J332" s="556"/>
      <c r="K332" s="220">
        <f>SUM(K329:K331)</f>
        <v>6306.0128999999997</v>
      </c>
      <c r="L332" s="207"/>
    </row>
    <row r="333" spans="2:12">
      <c r="B333" s="208"/>
      <c r="C333" s="204"/>
      <c r="D333" s="204"/>
      <c r="E333" s="204"/>
      <c r="F333" s="204"/>
      <c r="G333" s="204"/>
      <c r="H333" s="209"/>
      <c r="I333" s="557" t="s">
        <v>1222</v>
      </c>
      <c r="J333" s="557"/>
      <c r="K333" s="221">
        <v>4944.5</v>
      </c>
      <c r="L333" s="207"/>
    </row>
    <row r="334" spans="2:12">
      <c r="B334" s="208"/>
      <c r="C334" s="204"/>
      <c r="D334" s="204"/>
      <c r="E334" s="204"/>
      <c r="F334" s="204"/>
      <c r="G334" s="204"/>
      <c r="H334" s="558" t="s">
        <v>1223</v>
      </c>
      <c r="I334" s="558"/>
      <c r="J334" s="558"/>
      <c r="K334" s="222">
        <v>3541.0572999999999</v>
      </c>
      <c r="L334" s="207"/>
    </row>
    <row r="335" spans="2:12">
      <c r="B335" s="208"/>
      <c r="C335" s="204"/>
      <c r="D335" s="204"/>
      <c r="E335" s="204"/>
      <c r="F335" s="204"/>
      <c r="G335" s="204"/>
      <c r="H335" s="558" t="s">
        <v>1250</v>
      </c>
      <c r="I335" s="558"/>
      <c r="J335" s="558"/>
      <c r="K335" s="222">
        <f>IF(K332&gt;K333,K333,K332)-K334</f>
        <v>1403.4427000000001</v>
      </c>
      <c r="L335" s="207"/>
    </row>
    <row r="336" spans="2:12">
      <c r="B336" s="213"/>
      <c r="C336" s="214"/>
      <c r="D336" s="214"/>
      <c r="E336" s="214"/>
      <c r="F336" s="214"/>
      <c r="G336" s="214"/>
      <c r="H336" s="559" t="s">
        <v>1224</v>
      </c>
      <c r="I336" s="559"/>
      <c r="J336" s="559"/>
      <c r="K336" s="223">
        <f>IF(K332&gt;K333,K332-K333,0)</f>
        <v>1361.5128999999997</v>
      </c>
      <c r="L336" s="209"/>
    </row>
    <row r="338" spans="2:12" ht="14.25" customHeight="1">
      <c r="B338" s="555" t="s">
        <v>1280</v>
      </c>
      <c r="C338" s="555"/>
      <c r="D338" s="555"/>
      <c r="E338" s="555"/>
      <c r="F338" s="555"/>
      <c r="G338" s="555"/>
      <c r="H338" s="555"/>
      <c r="I338" s="555"/>
      <c r="J338" s="555"/>
      <c r="K338" s="555"/>
      <c r="L338" s="555"/>
    </row>
    <row r="339" spans="2:12">
      <c r="B339" s="187" t="s">
        <v>1209</v>
      </c>
      <c r="C339" s="187"/>
      <c r="D339" s="187" t="s">
        <v>39</v>
      </c>
      <c r="E339" s="187" t="s">
        <v>1210</v>
      </c>
      <c r="F339" s="187" t="s">
        <v>1211</v>
      </c>
      <c r="G339" s="187" t="s">
        <v>1212</v>
      </c>
      <c r="H339" s="187" t="s">
        <v>1213</v>
      </c>
      <c r="I339" s="187" t="s">
        <v>1214</v>
      </c>
      <c r="J339" s="187" t="s">
        <v>1215</v>
      </c>
      <c r="K339" s="187" t="s">
        <v>1216</v>
      </c>
      <c r="L339" s="187" t="s">
        <v>1217</v>
      </c>
    </row>
    <row r="340" spans="2:12">
      <c r="B340" s="188" t="s">
        <v>1273</v>
      </c>
      <c r="C340" s="189" t="s">
        <v>1271</v>
      </c>
      <c r="D340" s="190" t="s">
        <v>1274</v>
      </c>
      <c r="E340" s="191"/>
      <c r="F340" s="243"/>
      <c r="G340" s="192"/>
      <c r="H340" s="191"/>
      <c r="I340" s="191"/>
      <c r="J340" s="216"/>
      <c r="K340" s="217">
        <f>IF(E340*F340*G340&lt;&gt;0,E340*F340*G340,IF(E340*F340&lt;&gt;0,E340*F340,IF(F340*G340&lt;&gt;0,F340*G340,IF(E340*G340&lt;&gt;0,E340*G340,IF(E340&lt;&gt;0,E340,IF(F340&lt;&gt;0,F340,IF(G340&lt;&gt;0,G340,0)))))))*(IF(H340&lt;&gt;0,H340,1))+I340-J340</f>
        <v>0</v>
      </c>
      <c r="L340" s="218"/>
    </row>
    <row r="341" spans="2:12">
      <c r="B341" s="188" t="s">
        <v>1275</v>
      </c>
      <c r="C341" s="189" t="s">
        <v>1333</v>
      </c>
      <c r="D341" s="190" t="s">
        <v>1274</v>
      </c>
      <c r="E341" s="191">
        <v>67</v>
      </c>
      <c r="F341" s="243">
        <v>1.5780000000000001</v>
      </c>
      <c r="G341" s="192">
        <v>1.1000000000000001</v>
      </c>
      <c r="H341" s="191"/>
      <c r="I341" s="191"/>
      <c r="J341" s="216"/>
      <c r="K341" s="217">
        <f>IF(E341*F341*G341&lt;&gt;0,E341*F341*G341,IF(E341*F341&lt;&gt;0,E341*F341,IF(F341*G341&lt;&gt;0,F341*G341,IF(E341*G341&lt;&gt;0,E341*G341,IF(E341&lt;&gt;0,E341,IF(F341&lt;&gt;0,F341,IF(G341&lt;&gt;0,G341,0)))))))*(IF(H341&lt;&gt;0,H341,1))+I341-J341</f>
        <v>116.29860000000001</v>
      </c>
      <c r="L341" s="218"/>
    </row>
    <row r="342" spans="2:12">
      <c r="B342" s="197"/>
      <c r="C342" s="189"/>
      <c r="D342" s="198"/>
      <c r="E342" s="199"/>
      <c r="F342" s="199"/>
      <c r="G342" s="199"/>
      <c r="H342" s="199"/>
      <c r="I342" s="199"/>
      <c r="J342" s="219"/>
      <c r="K342" s="217">
        <f>IF(E342*F342*G342&lt;&gt;0,E342*F342*G342,IF(E342*F342&lt;&gt;0,E342*F342,IF(F342*G342&lt;&gt;0,F342*G342,IF(E342*G342&lt;&gt;0,E342*G342,IF(E342&lt;&gt;0,E342,IF(F342&lt;&gt;0,F342,IF(G342&lt;&gt;0,G342,0)))))))*(IF(H342&lt;&gt;0,H342,1))+I342-J342</f>
        <v>0</v>
      </c>
      <c r="L342" s="218"/>
    </row>
    <row r="343" spans="2:12">
      <c r="B343" s="202"/>
      <c r="C343" s="203"/>
      <c r="D343" s="203"/>
      <c r="E343" s="203"/>
      <c r="F343" s="203"/>
      <c r="G343" s="203"/>
      <c r="H343" s="204"/>
      <c r="I343" s="556" t="s">
        <v>1221</v>
      </c>
      <c r="J343" s="556"/>
      <c r="K343" s="220">
        <f>SUM(K340:K342)</f>
        <v>116.29860000000001</v>
      </c>
      <c r="L343" s="207"/>
    </row>
    <row r="344" spans="2:12">
      <c r="B344" s="208"/>
      <c r="C344" s="204"/>
      <c r="D344" s="204"/>
      <c r="E344" s="204"/>
      <c r="F344" s="204"/>
      <c r="G344" s="204"/>
      <c r="H344" s="209"/>
      <c r="I344" s="557" t="s">
        <v>1222</v>
      </c>
      <c r="J344" s="557"/>
      <c r="K344" s="221">
        <v>115.5</v>
      </c>
      <c r="L344" s="207"/>
    </row>
    <row r="345" spans="2:12">
      <c r="B345" s="208"/>
      <c r="C345" s="204"/>
      <c r="D345" s="204"/>
      <c r="E345" s="204"/>
      <c r="F345" s="204"/>
      <c r="G345" s="204"/>
      <c r="H345" s="558" t="s">
        <v>1223</v>
      </c>
      <c r="I345" s="558"/>
      <c r="J345" s="558"/>
      <c r="K345" s="222">
        <v>115.5</v>
      </c>
      <c r="L345" s="207"/>
    </row>
    <row r="346" spans="2:12">
      <c r="B346" s="208"/>
      <c r="C346" s="204"/>
      <c r="D346" s="204"/>
      <c r="E346" s="204"/>
      <c r="F346" s="204"/>
      <c r="G346" s="204"/>
      <c r="H346" s="558" t="s">
        <v>1250</v>
      </c>
      <c r="I346" s="558"/>
      <c r="J346" s="558"/>
      <c r="K346" s="222">
        <f>IF(K343&gt;K344,K344,K343)-K345</f>
        <v>0</v>
      </c>
      <c r="L346" s="207"/>
    </row>
    <row r="347" spans="2:12">
      <c r="B347" s="213"/>
      <c r="C347" s="214"/>
      <c r="D347" s="214"/>
      <c r="E347" s="214"/>
      <c r="F347" s="214"/>
      <c r="G347" s="214"/>
      <c r="H347" s="559" t="s">
        <v>1224</v>
      </c>
      <c r="I347" s="559"/>
      <c r="J347" s="559"/>
      <c r="K347" s="223">
        <f>IF(K343&gt;K344,K343-K344,0)</f>
        <v>0.79860000000000753</v>
      </c>
      <c r="L347" s="209"/>
    </row>
    <row r="349" spans="2:12" ht="14.25" customHeight="1">
      <c r="B349" s="555" t="s">
        <v>1281</v>
      </c>
      <c r="C349" s="555"/>
      <c r="D349" s="555"/>
      <c r="E349" s="555"/>
      <c r="F349" s="555"/>
      <c r="G349" s="555"/>
      <c r="H349" s="555"/>
      <c r="I349" s="555"/>
      <c r="J349" s="555"/>
      <c r="K349" s="555"/>
      <c r="L349" s="555"/>
    </row>
    <row r="350" spans="2:12">
      <c r="B350" s="187" t="s">
        <v>1209</v>
      </c>
      <c r="C350" s="187"/>
      <c r="D350" s="187" t="s">
        <v>39</v>
      </c>
      <c r="E350" s="187" t="s">
        <v>1210</v>
      </c>
      <c r="F350" s="187" t="s">
        <v>1211</v>
      </c>
      <c r="G350" s="187" t="s">
        <v>1212</v>
      </c>
      <c r="H350" s="187" t="s">
        <v>1213</v>
      </c>
      <c r="I350" s="187" t="s">
        <v>1214</v>
      </c>
      <c r="J350" s="187" t="s">
        <v>1215</v>
      </c>
      <c r="K350" s="187" t="s">
        <v>1216</v>
      </c>
      <c r="L350" s="187" t="s">
        <v>1217</v>
      </c>
    </row>
    <row r="351" spans="2:12">
      <c r="B351" s="188" t="s">
        <v>1273</v>
      </c>
      <c r="C351" s="189" t="s">
        <v>1271</v>
      </c>
      <c r="D351" s="190" t="s">
        <v>1274</v>
      </c>
      <c r="E351" s="191">
        <v>369</v>
      </c>
      <c r="F351" s="243">
        <v>2.4660000000000002</v>
      </c>
      <c r="G351" s="192">
        <v>1.1000000000000001</v>
      </c>
      <c r="H351" s="191"/>
      <c r="I351" s="191"/>
      <c r="J351" s="216"/>
      <c r="K351" s="217">
        <f>IF(E351*F351*G351&lt;&gt;0,E351*F351*G351,IF(E351*F351&lt;&gt;0,E351*F351,IF(F351*G351&lt;&gt;0,F351*G351,IF(E351*G351&lt;&gt;0,E351*G351,IF(E351&lt;&gt;0,E351,IF(F351&lt;&gt;0,F351,IF(G351&lt;&gt;0,G351,0)))))))*(IF(H351&lt;&gt;0,H351,1))+I351-J351</f>
        <v>1000.9494000000002</v>
      </c>
      <c r="L351" s="245" t="s">
        <v>1282</v>
      </c>
    </row>
    <row r="352" spans="2:12">
      <c r="B352" s="188" t="s">
        <v>1273</v>
      </c>
      <c r="C352" s="189" t="s">
        <v>1271</v>
      </c>
      <c r="D352" s="190" t="s">
        <v>1274</v>
      </c>
      <c r="E352" s="191">
        <v>623</v>
      </c>
      <c r="F352" s="243">
        <v>3.8530000000000002</v>
      </c>
      <c r="G352" s="192">
        <v>1.1000000000000001</v>
      </c>
      <c r="H352" s="191"/>
      <c r="I352" s="191"/>
      <c r="J352" s="216"/>
      <c r="K352" s="217">
        <f>IF(E352*F352*G352&lt;&gt;0,E352*F352*G352,IF(E352*F352&lt;&gt;0,E352*F352,IF(F352*G352&lt;&gt;0,F352*G352,IF(E352*G352&lt;&gt;0,E352*G352,IF(E352&lt;&gt;0,E352,IF(F352&lt;&gt;0,F352,IF(G352&lt;&gt;0,G352,0)))))))*(IF(H352&lt;&gt;0,H352,1))+I352-J352</f>
        <v>2640.4609000000005</v>
      </c>
      <c r="L352" s="245" t="s">
        <v>1283</v>
      </c>
    </row>
    <row r="353" spans="2:12">
      <c r="B353" s="188" t="s">
        <v>1275</v>
      </c>
      <c r="C353" s="189" t="s">
        <v>1333</v>
      </c>
      <c r="D353" s="190" t="s">
        <v>1274</v>
      </c>
      <c r="E353" s="191">
        <v>1522</v>
      </c>
      <c r="F353" s="243">
        <v>2.4660000000000002</v>
      </c>
      <c r="G353" s="192">
        <v>1.1000000000000001</v>
      </c>
      <c r="H353" s="191"/>
      <c r="I353" s="191"/>
      <c r="J353" s="216"/>
      <c r="K353" s="217">
        <f>IF(E353*F353*G353&lt;&gt;0,E353*F353*G353,IF(E353*F353&lt;&gt;0,E353*F353,IF(F353*G353&lt;&gt;0,F353*G353,IF(E353*G353&lt;&gt;0,E353*G353,IF(E353&lt;&gt;0,E353,IF(F353&lt;&gt;0,F353,IF(G353&lt;&gt;0,G353,0)))))))*(IF(H353&lt;&gt;0,H353,1))+I353-J353</f>
        <v>4128.5772000000006</v>
      </c>
      <c r="L353" s="245" t="s">
        <v>1282</v>
      </c>
    </row>
    <row r="354" spans="2:12">
      <c r="B354" s="197"/>
      <c r="C354" s="189"/>
      <c r="D354" s="198"/>
      <c r="E354" s="199"/>
      <c r="F354" s="244"/>
      <c r="G354" s="199"/>
      <c r="H354" s="199"/>
      <c r="I354" s="199"/>
      <c r="J354" s="219"/>
      <c r="K354" s="217">
        <f>IF(E354*F354*G354&lt;&gt;0,E354*F354*G354,IF(E354*F354&lt;&gt;0,E354*F354,IF(F354*G354&lt;&gt;0,F354*G354,IF(E354*G354&lt;&gt;0,E354*G354,IF(E354&lt;&gt;0,E354,IF(F354&lt;&gt;0,F354,IF(G354&lt;&gt;0,G354,0)))))))*(IF(H354&lt;&gt;0,H354,1))+I354-J354</f>
        <v>0</v>
      </c>
      <c r="L354" s="218"/>
    </row>
    <row r="355" spans="2:12">
      <c r="B355" s="202"/>
      <c r="C355" s="203"/>
      <c r="D355" s="203"/>
      <c r="E355" s="203"/>
      <c r="F355" s="203"/>
      <c r="G355" s="203"/>
      <c r="H355" s="204"/>
      <c r="I355" s="556" t="s">
        <v>1221</v>
      </c>
      <c r="J355" s="556"/>
      <c r="K355" s="220">
        <f>SUM(K351:K354)</f>
        <v>7769.9875000000011</v>
      </c>
      <c r="L355" s="207"/>
    </row>
    <row r="356" spans="2:12">
      <c r="B356" s="208"/>
      <c r="C356" s="204"/>
      <c r="D356" s="204"/>
      <c r="E356" s="204"/>
      <c r="F356" s="204"/>
      <c r="G356" s="204"/>
      <c r="H356" s="209"/>
      <c r="I356" s="557" t="s">
        <v>1222</v>
      </c>
      <c r="J356" s="557"/>
      <c r="K356" s="221">
        <v>7195.1</v>
      </c>
      <c r="L356" s="207"/>
    </row>
    <row r="357" spans="2:12">
      <c r="B357" s="208"/>
      <c r="C357" s="204"/>
      <c r="D357" s="204"/>
      <c r="E357" s="204"/>
      <c r="F357" s="204"/>
      <c r="G357" s="204"/>
      <c r="H357" s="558" t="s">
        <v>1223</v>
      </c>
      <c r="I357" s="558"/>
      <c r="J357" s="558"/>
      <c r="K357" s="222">
        <v>3641.4103</v>
      </c>
      <c r="L357" s="207"/>
    </row>
    <row r="358" spans="2:12">
      <c r="B358" s="208"/>
      <c r="C358" s="204"/>
      <c r="D358" s="204"/>
      <c r="E358" s="204"/>
      <c r="F358" s="204"/>
      <c r="G358" s="204"/>
      <c r="H358" s="558" t="s">
        <v>1250</v>
      </c>
      <c r="I358" s="558"/>
      <c r="J358" s="558"/>
      <c r="K358" s="222">
        <f>IF(K355&gt;K356,K356,K355)-K357</f>
        <v>3553.6897000000004</v>
      </c>
      <c r="L358" s="207"/>
    </row>
    <row r="359" spans="2:12">
      <c r="B359" s="213"/>
      <c r="C359" s="214"/>
      <c r="D359" s="214"/>
      <c r="E359" s="214"/>
      <c r="F359" s="214"/>
      <c r="G359" s="214"/>
      <c r="H359" s="559" t="s">
        <v>1224</v>
      </c>
      <c r="I359" s="559"/>
      <c r="J359" s="559"/>
      <c r="K359" s="223">
        <f>IF(K355&gt;K356,K355-K356,0)</f>
        <v>574.88750000000073</v>
      </c>
      <c r="L359" s="209"/>
    </row>
    <row r="361" spans="2:12" ht="14.25" customHeight="1">
      <c r="B361" s="555" t="s">
        <v>1284</v>
      </c>
      <c r="C361" s="555"/>
      <c r="D361" s="555"/>
      <c r="E361" s="555"/>
      <c r="F361" s="555"/>
      <c r="G361" s="555"/>
      <c r="H361" s="555"/>
      <c r="I361" s="555"/>
      <c r="J361" s="555"/>
      <c r="K361" s="555"/>
      <c r="L361" s="555"/>
    </row>
    <row r="362" spans="2:12">
      <c r="B362" s="187" t="s">
        <v>1209</v>
      </c>
      <c r="C362" s="187"/>
      <c r="D362" s="187" t="s">
        <v>39</v>
      </c>
      <c r="E362" s="187" t="s">
        <v>1210</v>
      </c>
      <c r="F362" s="187" t="s">
        <v>1211</v>
      </c>
      <c r="G362" s="187" t="s">
        <v>1212</v>
      </c>
      <c r="H362" s="187" t="s">
        <v>1213</v>
      </c>
      <c r="I362" s="187" t="s">
        <v>1214</v>
      </c>
      <c r="J362" s="187" t="s">
        <v>1215</v>
      </c>
      <c r="K362" s="187" t="s">
        <v>1216</v>
      </c>
      <c r="L362" s="187" t="s">
        <v>1217</v>
      </c>
    </row>
    <row r="363" spans="2:12">
      <c r="B363" s="197" t="s">
        <v>1285</v>
      </c>
      <c r="C363" s="189" t="s">
        <v>1271</v>
      </c>
      <c r="D363" s="198" t="s">
        <v>169</v>
      </c>
      <c r="E363" s="199">
        <v>1.9</v>
      </c>
      <c r="F363" s="244">
        <v>0.9</v>
      </c>
      <c r="G363" s="199">
        <v>0.7</v>
      </c>
      <c r="H363" s="199"/>
      <c r="I363" s="199"/>
      <c r="J363" s="219"/>
      <c r="K363" s="217">
        <f t="shared" ref="K363:K408" si="7">IF(E363*F363*G363&lt;&gt;0,E363*F363*G363,IF(E363*F363&lt;&gt;0,E363*F363,IF(F363*G363&lt;&gt;0,F363*G363,IF(E363*G363&lt;&gt;0,E363*G363,IF(E363&lt;&gt;0,E363,IF(F363&lt;&gt;0,F363,IF(G363&lt;&gt;0,G363,0)))))))*(IF(H363&lt;&gt;0,H363,1))+I363-J363</f>
        <v>1.1969999999999998</v>
      </c>
      <c r="L363" s="218"/>
    </row>
    <row r="364" spans="2:12">
      <c r="B364" s="197" t="s">
        <v>1286</v>
      </c>
      <c r="C364" s="189" t="s">
        <v>1271</v>
      </c>
      <c r="D364" s="198" t="s">
        <v>169</v>
      </c>
      <c r="E364" s="199">
        <v>2.2000000000000002</v>
      </c>
      <c r="F364" s="244">
        <v>2.2000000000000002</v>
      </c>
      <c r="G364" s="199">
        <v>1.1000000000000001</v>
      </c>
      <c r="H364" s="199"/>
      <c r="I364" s="199"/>
      <c r="J364" s="219"/>
      <c r="K364" s="217">
        <f t="shared" si="7"/>
        <v>5.3240000000000016</v>
      </c>
      <c r="L364" s="218"/>
    </row>
    <row r="365" spans="2:12">
      <c r="B365" s="197" t="s">
        <v>1287</v>
      </c>
      <c r="C365" s="189" t="s">
        <v>1271</v>
      </c>
      <c r="D365" s="198" t="s">
        <v>169</v>
      </c>
      <c r="E365" s="199">
        <v>2.2000000000000002</v>
      </c>
      <c r="F365" s="244">
        <v>2.2000000000000002</v>
      </c>
      <c r="G365" s="199">
        <v>1.1000000000000001</v>
      </c>
      <c r="H365" s="199"/>
      <c r="I365" s="199"/>
      <c r="J365" s="219"/>
      <c r="K365" s="217">
        <f t="shared" si="7"/>
        <v>5.3240000000000016</v>
      </c>
      <c r="L365" s="218"/>
    </row>
    <row r="366" spans="2:12">
      <c r="B366" s="197" t="s">
        <v>1288</v>
      </c>
      <c r="C366" s="189" t="s">
        <v>1271</v>
      </c>
      <c r="D366" s="198" t="s">
        <v>169</v>
      </c>
      <c r="E366" s="199">
        <v>1.9</v>
      </c>
      <c r="F366" s="244">
        <v>0.9</v>
      </c>
      <c r="G366" s="199">
        <v>1</v>
      </c>
      <c r="H366" s="199"/>
      <c r="I366" s="199"/>
      <c r="J366" s="219"/>
      <c r="K366" s="217">
        <f t="shared" si="7"/>
        <v>1.71</v>
      </c>
      <c r="L366" s="218"/>
    </row>
    <row r="367" spans="2:12">
      <c r="B367" s="197" t="s">
        <v>1289</v>
      </c>
      <c r="C367" s="189" t="s">
        <v>1271</v>
      </c>
      <c r="D367" s="198" t="s">
        <v>169</v>
      </c>
      <c r="E367" s="199">
        <v>1</v>
      </c>
      <c r="F367" s="244">
        <v>1</v>
      </c>
      <c r="G367" s="199">
        <v>0.9</v>
      </c>
      <c r="H367" s="199"/>
      <c r="I367" s="199"/>
      <c r="J367" s="219"/>
      <c r="K367" s="217">
        <f t="shared" si="7"/>
        <v>0.9</v>
      </c>
      <c r="L367" s="218"/>
    </row>
    <row r="368" spans="2:12">
      <c r="B368" s="197" t="s">
        <v>1290</v>
      </c>
      <c r="C368" s="189" t="s">
        <v>1271</v>
      </c>
      <c r="D368" s="198" t="s">
        <v>169</v>
      </c>
      <c r="E368" s="199"/>
      <c r="F368" s="244"/>
      <c r="G368" s="199"/>
      <c r="H368" s="199"/>
      <c r="I368" s="199">
        <v>2.95614</v>
      </c>
      <c r="J368" s="219"/>
      <c r="K368" s="217">
        <f t="shared" si="7"/>
        <v>2.95614</v>
      </c>
      <c r="L368" s="218"/>
    </row>
    <row r="369" spans="2:12">
      <c r="B369" s="197" t="s">
        <v>1291</v>
      </c>
      <c r="C369" s="189" t="s">
        <v>1271</v>
      </c>
      <c r="D369" s="198" t="s">
        <v>169</v>
      </c>
      <c r="E369" s="199">
        <v>2.2000000000000002</v>
      </c>
      <c r="F369" s="244">
        <v>2.2000000000000002</v>
      </c>
      <c r="G369" s="199">
        <v>1.1000000000000001</v>
      </c>
      <c r="H369" s="199"/>
      <c r="I369" s="199"/>
      <c r="J369" s="219"/>
      <c r="K369" s="217">
        <f t="shared" si="7"/>
        <v>5.3240000000000016</v>
      </c>
      <c r="L369" s="218"/>
    </row>
    <row r="370" spans="2:12">
      <c r="B370" s="197" t="s">
        <v>1292</v>
      </c>
      <c r="C370" s="189" t="s">
        <v>1271</v>
      </c>
      <c r="D370" s="198" t="s">
        <v>169</v>
      </c>
      <c r="E370" s="199">
        <v>2.2000000000000002</v>
      </c>
      <c r="F370" s="244">
        <v>2.2000000000000002</v>
      </c>
      <c r="G370" s="199">
        <v>1.1000000000000001</v>
      </c>
      <c r="H370" s="199"/>
      <c r="I370" s="199"/>
      <c r="J370" s="219"/>
      <c r="K370" s="217">
        <f t="shared" si="7"/>
        <v>5.3240000000000016</v>
      </c>
      <c r="L370" s="218"/>
    </row>
    <row r="371" spans="2:12">
      <c r="B371" s="197" t="s">
        <v>1293</v>
      </c>
      <c r="C371" s="189" t="s">
        <v>1271</v>
      </c>
      <c r="D371" s="198" t="s">
        <v>169</v>
      </c>
      <c r="E371" s="199">
        <v>2.2000000000000002</v>
      </c>
      <c r="F371" s="244">
        <v>2.2000000000000002</v>
      </c>
      <c r="G371" s="199">
        <v>1.1000000000000001</v>
      </c>
      <c r="H371" s="199"/>
      <c r="I371" s="199"/>
      <c r="J371" s="219"/>
      <c r="K371" s="217">
        <f t="shared" si="7"/>
        <v>5.3240000000000016</v>
      </c>
      <c r="L371" s="218"/>
    </row>
    <row r="372" spans="2:12">
      <c r="B372" s="197" t="s">
        <v>1294</v>
      </c>
      <c r="C372" s="189" t="s">
        <v>1271</v>
      </c>
      <c r="D372" s="198" t="s">
        <v>169</v>
      </c>
      <c r="E372" s="199">
        <v>1</v>
      </c>
      <c r="F372" s="244">
        <v>1</v>
      </c>
      <c r="G372" s="199">
        <v>0.7</v>
      </c>
      <c r="H372" s="199"/>
      <c r="I372" s="199"/>
      <c r="J372" s="219"/>
      <c r="K372" s="217">
        <f t="shared" si="7"/>
        <v>0.7</v>
      </c>
      <c r="L372" s="218"/>
    </row>
    <row r="373" spans="2:12">
      <c r="B373" s="197" t="s">
        <v>1295</v>
      </c>
      <c r="C373" s="189" t="s">
        <v>1271</v>
      </c>
      <c r="D373" s="198" t="s">
        <v>169</v>
      </c>
      <c r="E373" s="199"/>
      <c r="F373" s="244"/>
      <c r="G373" s="199"/>
      <c r="H373" s="199"/>
      <c r="I373" s="199">
        <v>2.95614</v>
      </c>
      <c r="J373" s="219"/>
      <c r="K373" s="217">
        <f t="shared" si="7"/>
        <v>2.95614</v>
      </c>
      <c r="L373" s="218"/>
    </row>
    <row r="374" spans="2:12">
      <c r="B374" s="197" t="s">
        <v>1336</v>
      </c>
      <c r="C374" s="189" t="s">
        <v>1271</v>
      </c>
      <c r="D374" s="198" t="s">
        <v>169</v>
      </c>
      <c r="E374" s="199">
        <v>2.2000000000000002</v>
      </c>
      <c r="F374" s="244">
        <v>2.2000000000000002</v>
      </c>
      <c r="G374" s="199">
        <v>1.1000000000000001</v>
      </c>
      <c r="H374" s="199"/>
      <c r="I374" s="199"/>
      <c r="J374" s="219"/>
      <c r="K374" s="217">
        <f t="shared" si="7"/>
        <v>5.3240000000000016</v>
      </c>
      <c r="L374" s="218"/>
    </row>
    <row r="375" spans="2:12">
      <c r="B375" s="197" t="s">
        <v>1337</v>
      </c>
      <c r="C375" s="189" t="s">
        <v>1271</v>
      </c>
      <c r="D375" s="198" t="s">
        <v>169</v>
      </c>
      <c r="E375" s="199">
        <v>2.2000000000000002</v>
      </c>
      <c r="F375" s="244">
        <v>2.2000000000000002</v>
      </c>
      <c r="G375" s="199">
        <v>1.1000000000000001</v>
      </c>
      <c r="H375" s="199"/>
      <c r="I375" s="199"/>
      <c r="J375" s="219"/>
      <c r="K375" s="217">
        <f t="shared" si="7"/>
        <v>5.3240000000000016</v>
      </c>
      <c r="L375" s="218"/>
    </row>
    <row r="376" spans="2:12">
      <c r="B376" s="197" t="s">
        <v>1338</v>
      </c>
      <c r="C376" s="189" t="s">
        <v>1271</v>
      </c>
      <c r="D376" s="198" t="s">
        <v>169</v>
      </c>
      <c r="E376" s="199">
        <v>2.2000000000000002</v>
      </c>
      <c r="F376" s="244">
        <v>2.2000000000000002</v>
      </c>
      <c r="G376" s="199">
        <v>1.1000000000000001</v>
      </c>
      <c r="H376" s="199"/>
      <c r="I376" s="199"/>
      <c r="J376" s="219"/>
      <c r="K376" s="217">
        <f t="shared" si="7"/>
        <v>5.3240000000000016</v>
      </c>
      <c r="L376" s="218"/>
    </row>
    <row r="377" spans="2:12">
      <c r="B377" s="197" t="s">
        <v>1339</v>
      </c>
      <c r="C377" s="189" t="s">
        <v>1271</v>
      </c>
      <c r="D377" s="198" t="s">
        <v>169</v>
      </c>
      <c r="E377" s="199">
        <v>1</v>
      </c>
      <c r="F377" s="244">
        <v>1</v>
      </c>
      <c r="G377" s="199">
        <v>0.7</v>
      </c>
      <c r="H377" s="199"/>
      <c r="I377" s="199"/>
      <c r="J377" s="219"/>
      <c r="K377" s="217">
        <f t="shared" si="7"/>
        <v>0.7</v>
      </c>
      <c r="L377" s="218"/>
    </row>
    <row r="378" spans="2:12">
      <c r="B378" s="197" t="s">
        <v>1340</v>
      </c>
      <c r="C378" s="189" t="s">
        <v>1271</v>
      </c>
      <c r="D378" s="198" t="s">
        <v>169</v>
      </c>
      <c r="E378" s="199">
        <v>1.9</v>
      </c>
      <c r="F378" s="244">
        <v>0.9</v>
      </c>
      <c r="G378" s="199">
        <v>0.7</v>
      </c>
      <c r="H378" s="199"/>
      <c r="I378" s="199"/>
      <c r="J378" s="219"/>
      <c r="K378" s="217">
        <f t="shared" si="7"/>
        <v>1.1969999999999998</v>
      </c>
      <c r="L378" s="218"/>
    </row>
    <row r="379" spans="2:12">
      <c r="B379" s="197" t="s">
        <v>1296</v>
      </c>
      <c r="C379" s="189" t="s">
        <v>1271</v>
      </c>
      <c r="D379" s="198" t="s">
        <v>169</v>
      </c>
      <c r="E379" s="199">
        <v>1.9</v>
      </c>
      <c r="F379" s="244">
        <v>0.9</v>
      </c>
      <c r="G379" s="199">
        <v>0.7</v>
      </c>
      <c r="H379" s="199"/>
      <c r="I379" s="199"/>
      <c r="J379" s="219"/>
      <c r="K379" s="217">
        <f t="shared" si="7"/>
        <v>1.1969999999999998</v>
      </c>
      <c r="L379" s="218"/>
    </row>
    <row r="380" spans="2:12">
      <c r="B380" s="197" t="s">
        <v>1341</v>
      </c>
      <c r="C380" s="189" t="s">
        <v>1271</v>
      </c>
      <c r="D380" s="198" t="s">
        <v>169</v>
      </c>
      <c r="E380" s="199"/>
      <c r="F380" s="244"/>
      <c r="G380" s="199"/>
      <c r="H380" s="199"/>
      <c r="I380" s="199">
        <v>2.95614</v>
      </c>
      <c r="J380" s="219"/>
      <c r="K380" s="217">
        <f t="shared" si="7"/>
        <v>2.95614</v>
      </c>
      <c r="L380" s="218"/>
    </row>
    <row r="381" spans="2:12">
      <c r="B381" s="197" t="s">
        <v>1342</v>
      </c>
      <c r="C381" s="189" t="s">
        <v>1333</v>
      </c>
      <c r="D381" s="198" t="s">
        <v>169</v>
      </c>
      <c r="E381" s="199">
        <v>3.14</v>
      </c>
      <c r="F381" s="244">
        <v>3.14</v>
      </c>
      <c r="G381" s="199">
        <v>2.1</v>
      </c>
      <c r="H381" s="199"/>
      <c r="I381" s="199"/>
      <c r="J381" s="219"/>
      <c r="K381" s="217">
        <f t="shared" si="7"/>
        <v>20.705160000000003</v>
      </c>
      <c r="L381" s="218"/>
    </row>
    <row r="382" spans="2:12">
      <c r="B382" s="197" t="s">
        <v>1343</v>
      </c>
      <c r="C382" s="189" t="s">
        <v>1333</v>
      </c>
      <c r="D382" s="198" t="s">
        <v>169</v>
      </c>
      <c r="E382" s="199">
        <v>2.2000000000000002</v>
      </c>
      <c r="F382" s="244">
        <v>2.2000000000000002</v>
      </c>
      <c r="G382" s="199">
        <v>1.1000000000000001</v>
      </c>
      <c r="H382" s="199"/>
      <c r="I382" s="199"/>
      <c r="J382" s="219"/>
      <c r="K382" s="217">
        <f t="shared" si="7"/>
        <v>5.3240000000000016</v>
      </c>
      <c r="L382" s="218"/>
    </row>
    <row r="383" spans="2:12">
      <c r="B383" s="197" t="s">
        <v>1297</v>
      </c>
      <c r="C383" s="189" t="s">
        <v>1333</v>
      </c>
      <c r="D383" s="198" t="s">
        <v>169</v>
      </c>
      <c r="E383" s="199">
        <v>3.4</v>
      </c>
      <c r="F383" s="244">
        <v>1</v>
      </c>
      <c r="G383" s="199">
        <v>1.2</v>
      </c>
      <c r="H383" s="199"/>
      <c r="I383" s="199"/>
      <c r="J383" s="219"/>
      <c r="K383" s="217">
        <f t="shared" si="7"/>
        <v>4.08</v>
      </c>
      <c r="L383" s="218"/>
    </row>
    <row r="384" spans="2:12">
      <c r="B384" s="197" t="s">
        <v>1344</v>
      </c>
      <c r="C384" s="189" t="s">
        <v>1333</v>
      </c>
      <c r="D384" s="198" t="s">
        <v>169</v>
      </c>
      <c r="E384" s="199">
        <v>2.2000000000000002</v>
      </c>
      <c r="F384" s="244">
        <v>2.2000000000000002</v>
      </c>
      <c r="G384" s="199">
        <v>1.1000000000000001</v>
      </c>
      <c r="H384" s="199"/>
      <c r="I384" s="199"/>
      <c r="J384" s="219"/>
      <c r="K384" s="217">
        <f t="shared" si="7"/>
        <v>5.3240000000000016</v>
      </c>
      <c r="L384" s="218"/>
    </row>
    <row r="385" spans="2:12">
      <c r="B385" s="197" t="s">
        <v>1345</v>
      </c>
      <c r="C385" s="189" t="s">
        <v>1333</v>
      </c>
      <c r="D385" s="198" t="s">
        <v>169</v>
      </c>
      <c r="E385" s="199">
        <v>2.2000000000000002</v>
      </c>
      <c r="F385" s="244">
        <v>2.2000000000000002</v>
      </c>
      <c r="G385" s="199">
        <v>1.1000000000000001</v>
      </c>
      <c r="H385" s="199"/>
      <c r="I385" s="199"/>
      <c r="J385" s="219"/>
      <c r="K385" s="217">
        <f t="shared" si="7"/>
        <v>5.3240000000000016</v>
      </c>
      <c r="L385" s="218"/>
    </row>
    <row r="386" spans="2:12">
      <c r="B386" s="197" t="s">
        <v>1298</v>
      </c>
      <c r="C386" s="189" t="s">
        <v>1333</v>
      </c>
      <c r="D386" s="198" t="s">
        <v>169</v>
      </c>
      <c r="E386" s="199">
        <v>3.4</v>
      </c>
      <c r="F386" s="244">
        <v>2.2000000000000002</v>
      </c>
      <c r="G386" s="199">
        <v>1.34</v>
      </c>
      <c r="H386" s="199"/>
      <c r="I386" s="199"/>
      <c r="J386" s="219"/>
      <c r="K386" s="217">
        <f t="shared" si="7"/>
        <v>10.023200000000001</v>
      </c>
      <c r="L386" s="218"/>
    </row>
    <row r="387" spans="2:12">
      <c r="B387" s="197" t="s">
        <v>1346</v>
      </c>
      <c r="C387" s="189" t="s">
        <v>1333</v>
      </c>
      <c r="D387" s="198" t="s">
        <v>169</v>
      </c>
      <c r="E387" s="199">
        <v>2.2000000000000002</v>
      </c>
      <c r="F387" s="244">
        <v>2.2000000000000002</v>
      </c>
      <c r="G387" s="199">
        <v>1.1000000000000001</v>
      </c>
      <c r="H387" s="199"/>
      <c r="I387" s="199"/>
      <c r="J387" s="219"/>
      <c r="K387" s="217">
        <f t="shared" si="7"/>
        <v>5.3240000000000016</v>
      </c>
      <c r="L387" s="218"/>
    </row>
    <row r="388" spans="2:12">
      <c r="B388" s="197" t="s">
        <v>1347</v>
      </c>
      <c r="C388" s="189" t="s">
        <v>1333</v>
      </c>
      <c r="D388" s="198" t="s">
        <v>169</v>
      </c>
      <c r="E388" s="199"/>
      <c r="F388" s="244"/>
      <c r="G388" s="199"/>
      <c r="H388" s="199"/>
      <c r="I388" s="199">
        <v>2.95614</v>
      </c>
      <c r="J388" s="219"/>
      <c r="K388" s="217">
        <f t="shared" si="7"/>
        <v>2.95614</v>
      </c>
      <c r="L388" s="218"/>
    </row>
    <row r="389" spans="2:12">
      <c r="B389" s="197" t="s">
        <v>1348</v>
      </c>
      <c r="C389" s="189" t="s">
        <v>1333</v>
      </c>
      <c r="D389" s="198" t="s">
        <v>169</v>
      </c>
      <c r="E389" s="199">
        <v>3.14</v>
      </c>
      <c r="F389" s="244">
        <v>3.14</v>
      </c>
      <c r="G389" s="199">
        <v>2.1</v>
      </c>
      <c r="H389" s="199"/>
      <c r="I389" s="199"/>
      <c r="J389" s="219"/>
      <c r="K389" s="217">
        <f t="shared" si="7"/>
        <v>20.705160000000003</v>
      </c>
      <c r="L389" s="218"/>
    </row>
    <row r="390" spans="2:12">
      <c r="B390" s="197" t="s">
        <v>1349</v>
      </c>
      <c r="C390" s="189" t="s">
        <v>1333</v>
      </c>
      <c r="D390" s="198" t="s">
        <v>169</v>
      </c>
      <c r="E390" s="199">
        <v>3.4</v>
      </c>
      <c r="F390" s="244">
        <v>2.2000000000000002</v>
      </c>
      <c r="G390" s="199">
        <v>1.1000000000000001</v>
      </c>
      <c r="H390" s="199"/>
      <c r="I390" s="199"/>
      <c r="J390" s="219"/>
      <c r="K390" s="217">
        <f t="shared" si="7"/>
        <v>8.2280000000000015</v>
      </c>
      <c r="L390" s="218"/>
    </row>
    <row r="391" spans="2:12">
      <c r="B391" s="197" t="s">
        <v>1350</v>
      </c>
      <c r="C391" s="189" t="s">
        <v>1333</v>
      </c>
      <c r="D391" s="198" t="s">
        <v>169</v>
      </c>
      <c r="E391" s="199">
        <v>3.4</v>
      </c>
      <c r="F391" s="244">
        <v>2.2000000000000002</v>
      </c>
      <c r="G391" s="199">
        <v>1.1000000000000001</v>
      </c>
      <c r="H391" s="199"/>
      <c r="I391" s="199"/>
      <c r="J391" s="219"/>
      <c r="K391" s="217">
        <f t="shared" si="7"/>
        <v>8.2280000000000015</v>
      </c>
      <c r="L391" s="218"/>
    </row>
    <row r="392" spans="2:12">
      <c r="B392" s="197" t="s">
        <v>1351</v>
      </c>
      <c r="C392" s="189" t="s">
        <v>1333</v>
      </c>
      <c r="D392" s="198" t="s">
        <v>169</v>
      </c>
      <c r="E392" s="199">
        <v>2.2000000000000002</v>
      </c>
      <c r="F392" s="244">
        <v>2.2000000000000002</v>
      </c>
      <c r="G392" s="199">
        <v>1.1000000000000001</v>
      </c>
      <c r="H392" s="199"/>
      <c r="I392" s="199"/>
      <c r="J392" s="219"/>
      <c r="K392" s="217">
        <f t="shared" si="7"/>
        <v>5.3240000000000016</v>
      </c>
      <c r="L392" s="218"/>
    </row>
    <row r="393" spans="2:12">
      <c r="B393" s="197" t="s">
        <v>1352</v>
      </c>
      <c r="C393" s="189" t="s">
        <v>1333</v>
      </c>
      <c r="D393" s="198" t="s">
        <v>169</v>
      </c>
      <c r="E393" s="199">
        <v>1</v>
      </c>
      <c r="F393" s="244">
        <v>1</v>
      </c>
      <c r="G393" s="199">
        <v>0.7</v>
      </c>
      <c r="H393" s="199"/>
      <c r="I393" s="199"/>
      <c r="J393" s="219"/>
      <c r="K393" s="217">
        <f t="shared" si="7"/>
        <v>0.7</v>
      </c>
      <c r="L393" s="218"/>
    </row>
    <row r="394" spans="2:12">
      <c r="B394" s="197" t="s">
        <v>1353</v>
      </c>
      <c r="C394" s="189" t="s">
        <v>1333</v>
      </c>
      <c r="D394" s="198" t="s">
        <v>169</v>
      </c>
      <c r="E394" s="199">
        <v>1</v>
      </c>
      <c r="F394" s="244">
        <v>1</v>
      </c>
      <c r="G394" s="199">
        <v>0.7</v>
      </c>
      <c r="H394" s="199"/>
      <c r="I394" s="199"/>
      <c r="J394" s="219"/>
      <c r="K394" s="217">
        <f t="shared" si="7"/>
        <v>0.7</v>
      </c>
      <c r="L394" s="218"/>
    </row>
    <row r="395" spans="2:12">
      <c r="B395" s="197" t="s">
        <v>1354</v>
      </c>
      <c r="C395" s="189" t="s">
        <v>1333</v>
      </c>
      <c r="D395" s="198" t="s">
        <v>169</v>
      </c>
      <c r="E395" s="199">
        <v>1</v>
      </c>
      <c r="F395" s="244">
        <v>1</v>
      </c>
      <c r="G395" s="199">
        <v>0.7</v>
      </c>
      <c r="H395" s="199"/>
      <c r="I395" s="199"/>
      <c r="J395" s="219"/>
      <c r="K395" s="217">
        <f t="shared" si="7"/>
        <v>0.7</v>
      </c>
      <c r="L395" s="218"/>
    </row>
    <row r="396" spans="2:12">
      <c r="B396" s="197" t="s">
        <v>1355</v>
      </c>
      <c r="C396" s="189" t="s">
        <v>1333</v>
      </c>
      <c r="D396" s="198" t="s">
        <v>169</v>
      </c>
      <c r="E396" s="199">
        <v>1</v>
      </c>
      <c r="F396" s="244">
        <v>1</v>
      </c>
      <c r="G396" s="199">
        <v>0.7</v>
      </c>
      <c r="H396" s="199"/>
      <c r="I396" s="199"/>
      <c r="J396" s="219"/>
      <c r="K396" s="217">
        <f t="shared" si="7"/>
        <v>0.7</v>
      </c>
      <c r="L396" s="218"/>
    </row>
    <row r="397" spans="2:12">
      <c r="B397" s="197" t="s">
        <v>1356</v>
      </c>
      <c r="C397" s="189" t="s">
        <v>1333</v>
      </c>
      <c r="D397" s="198" t="s">
        <v>169</v>
      </c>
      <c r="E397" s="199">
        <v>2.2000000000000002</v>
      </c>
      <c r="F397" s="244">
        <v>2.2000000000000002</v>
      </c>
      <c r="G397" s="199">
        <v>1.1000000000000001</v>
      </c>
      <c r="H397" s="199"/>
      <c r="I397" s="199"/>
      <c r="J397" s="219"/>
      <c r="K397" s="217">
        <f t="shared" si="7"/>
        <v>5.3240000000000016</v>
      </c>
      <c r="L397" s="218"/>
    </row>
    <row r="398" spans="2:12">
      <c r="B398" s="197" t="s">
        <v>1357</v>
      </c>
      <c r="C398" s="189" t="s">
        <v>1333</v>
      </c>
      <c r="D398" s="198" t="s">
        <v>169</v>
      </c>
      <c r="E398" s="199">
        <v>2.2000000000000002</v>
      </c>
      <c r="F398" s="244">
        <v>2.2000000000000002</v>
      </c>
      <c r="G398" s="199">
        <v>1.1000000000000001</v>
      </c>
      <c r="H398" s="199"/>
      <c r="I398" s="199"/>
      <c r="J398" s="219"/>
      <c r="K398" s="217">
        <f t="shared" si="7"/>
        <v>5.3240000000000016</v>
      </c>
      <c r="L398" s="218"/>
    </row>
    <row r="399" spans="2:12">
      <c r="B399" s="197" t="s">
        <v>1358</v>
      </c>
      <c r="C399" s="189" t="s">
        <v>1333</v>
      </c>
      <c r="D399" s="198" t="s">
        <v>169</v>
      </c>
      <c r="E399" s="199">
        <v>2.2000000000000002</v>
      </c>
      <c r="F399" s="244">
        <v>2.2000000000000002</v>
      </c>
      <c r="G399" s="199">
        <v>1.1000000000000001</v>
      </c>
      <c r="H399" s="199"/>
      <c r="I399" s="199"/>
      <c r="J399" s="219"/>
      <c r="K399" s="217">
        <f t="shared" si="7"/>
        <v>5.3240000000000016</v>
      </c>
      <c r="L399" s="218"/>
    </row>
    <row r="400" spans="2:12">
      <c r="B400" s="197" t="s">
        <v>1359</v>
      </c>
      <c r="C400" s="189" t="s">
        <v>1333</v>
      </c>
      <c r="D400" s="198" t="s">
        <v>169</v>
      </c>
      <c r="E400" s="199">
        <v>2.2000000000000002</v>
      </c>
      <c r="F400" s="244">
        <v>2.2000000000000002</v>
      </c>
      <c r="G400" s="199">
        <v>1.1000000000000001</v>
      </c>
      <c r="H400" s="199"/>
      <c r="I400" s="199"/>
      <c r="J400" s="219"/>
      <c r="K400" s="217">
        <f t="shared" si="7"/>
        <v>5.3240000000000016</v>
      </c>
      <c r="L400" s="218"/>
    </row>
    <row r="401" spans="2:12">
      <c r="B401" s="197" t="s">
        <v>1360</v>
      </c>
      <c r="C401" s="189" t="s">
        <v>1333</v>
      </c>
      <c r="D401" s="198" t="s">
        <v>169</v>
      </c>
      <c r="E401" s="199">
        <v>1</v>
      </c>
      <c r="F401" s="244">
        <v>1</v>
      </c>
      <c r="G401" s="199">
        <v>0.7</v>
      </c>
      <c r="H401" s="199"/>
      <c r="I401" s="199"/>
      <c r="J401" s="219"/>
      <c r="K401" s="217">
        <f t="shared" si="7"/>
        <v>0.7</v>
      </c>
      <c r="L401" s="218"/>
    </row>
    <row r="402" spans="2:12">
      <c r="B402" s="197" t="s">
        <v>1361</v>
      </c>
      <c r="C402" s="189" t="s">
        <v>1333</v>
      </c>
      <c r="D402" s="198" t="s">
        <v>169</v>
      </c>
      <c r="E402" s="199">
        <v>1</v>
      </c>
      <c r="F402" s="244">
        <v>1</v>
      </c>
      <c r="G402" s="199">
        <v>0.7</v>
      </c>
      <c r="H402" s="199"/>
      <c r="I402" s="199"/>
      <c r="J402" s="219"/>
      <c r="K402" s="217">
        <f t="shared" si="7"/>
        <v>0.7</v>
      </c>
      <c r="L402" s="218"/>
    </row>
    <row r="403" spans="2:12">
      <c r="B403" s="197" t="s">
        <v>1362</v>
      </c>
      <c r="C403" s="189" t="s">
        <v>1333</v>
      </c>
      <c r="D403" s="198" t="s">
        <v>169</v>
      </c>
      <c r="E403" s="199">
        <v>2.2000000000000002</v>
      </c>
      <c r="F403" s="244">
        <v>2.2000000000000002</v>
      </c>
      <c r="G403" s="199">
        <v>1.1000000000000001</v>
      </c>
      <c r="H403" s="199"/>
      <c r="I403" s="199"/>
      <c r="J403" s="219"/>
      <c r="K403" s="217">
        <f t="shared" si="7"/>
        <v>5.3240000000000016</v>
      </c>
      <c r="L403" s="218"/>
    </row>
    <row r="404" spans="2:12">
      <c r="B404" s="197" t="s">
        <v>1363</v>
      </c>
      <c r="C404" s="189" t="s">
        <v>1333</v>
      </c>
      <c r="D404" s="198" t="s">
        <v>169</v>
      </c>
      <c r="E404" s="199">
        <v>2.2000000000000002</v>
      </c>
      <c r="F404" s="244">
        <v>2.2000000000000002</v>
      </c>
      <c r="G404" s="199">
        <v>1.1000000000000001</v>
      </c>
      <c r="H404" s="199"/>
      <c r="I404" s="199"/>
      <c r="J404" s="219"/>
      <c r="K404" s="217">
        <f t="shared" si="7"/>
        <v>5.3240000000000016</v>
      </c>
      <c r="L404" s="218"/>
    </row>
    <row r="405" spans="2:12">
      <c r="B405" s="197" t="s">
        <v>1364</v>
      </c>
      <c r="C405" s="189" t="s">
        <v>1333</v>
      </c>
      <c r="D405" s="198" t="s">
        <v>169</v>
      </c>
      <c r="E405" s="199">
        <v>1.9</v>
      </c>
      <c r="F405" s="244">
        <v>0.9</v>
      </c>
      <c r="G405" s="199">
        <v>1</v>
      </c>
      <c r="H405" s="199"/>
      <c r="I405" s="199"/>
      <c r="J405" s="219"/>
      <c r="K405" s="217">
        <f t="shared" si="7"/>
        <v>1.71</v>
      </c>
      <c r="L405" s="218"/>
    </row>
    <row r="406" spans="2:12">
      <c r="B406" s="197" t="s">
        <v>1442</v>
      </c>
      <c r="C406" s="189" t="s">
        <v>1441</v>
      </c>
      <c r="D406" s="198" t="s">
        <v>169</v>
      </c>
      <c r="E406" s="199">
        <v>3.4</v>
      </c>
      <c r="F406" s="244">
        <v>2</v>
      </c>
      <c r="G406" s="199">
        <v>1.3</v>
      </c>
      <c r="H406" s="199"/>
      <c r="I406" s="199"/>
      <c r="J406" s="219"/>
      <c r="K406" s="217">
        <f t="shared" si="7"/>
        <v>8.84</v>
      </c>
      <c r="L406" s="218"/>
    </row>
    <row r="407" spans="2:12">
      <c r="B407" s="197" t="s">
        <v>1443</v>
      </c>
      <c r="C407" s="189" t="s">
        <v>1441</v>
      </c>
      <c r="D407" s="198" t="s">
        <v>169</v>
      </c>
      <c r="E407" s="199">
        <v>3.4</v>
      </c>
      <c r="F407" s="244">
        <v>2</v>
      </c>
      <c r="G407" s="199">
        <v>1.3</v>
      </c>
      <c r="H407" s="199"/>
      <c r="I407" s="199">
        <f>0.01/'BM 005'!L78</f>
        <v>1.051856435491579E-5</v>
      </c>
      <c r="J407" s="219"/>
      <c r="K407" s="217">
        <f t="shared" si="7"/>
        <v>8.8400105185643554</v>
      </c>
      <c r="L407" s="218"/>
    </row>
    <row r="408" spans="2:12">
      <c r="B408" s="197"/>
      <c r="C408" s="189"/>
      <c r="D408" s="198"/>
      <c r="E408" s="199"/>
      <c r="F408" s="244"/>
      <c r="G408" s="199"/>
      <c r="H408" s="199"/>
      <c r="I408" s="199"/>
      <c r="J408" s="219"/>
      <c r="K408" s="217">
        <f t="shared" si="7"/>
        <v>0</v>
      </c>
      <c r="L408" s="218"/>
    </row>
    <row r="409" spans="2:12">
      <c r="B409" s="202"/>
      <c r="C409" s="203"/>
      <c r="D409" s="203"/>
      <c r="E409" s="203"/>
      <c r="F409" s="203"/>
      <c r="G409" s="203"/>
      <c r="H409" s="204"/>
      <c r="I409" s="556" t="s">
        <v>1221</v>
      </c>
      <c r="J409" s="556"/>
      <c r="K409" s="220">
        <f>SUM(K363:K408)</f>
        <v>216.14109051856443</v>
      </c>
      <c r="L409" s="207"/>
    </row>
    <row r="410" spans="2:12">
      <c r="B410" s="208"/>
      <c r="C410" s="204"/>
      <c r="D410" s="204"/>
      <c r="E410" s="204"/>
      <c r="F410" s="204"/>
      <c r="G410" s="204"/>
      <c r="H410" s="209"/>
      <c r="I410" s="557" t="s">
        <v>1222</v>
      </c>
      <c r="J410" s="557"/>
      <c r="K410" s="221">
        <v>213.07</v>
      </c>
      <c r="L410" s="207"/>
    </row>
    <row r="411" spans="2:12">
      <c r="B411" s="208"/>
      <c r="C411" s="204"/>
      <c r="D411" s="204"/>
      <c r="E411" s="204"/>
      <c r="F411" s="204"/>
      <c r="G411" s="204"/>
      <c r="H411" s="558" t="s">
        <v>1223</v>
      </c>
      <c r="I411" s="558"/>
      <c r="J411" s="558"/>
      <c r="K411" s="222">
        <v>198.46108000000001</v>
      </c>
      <c r="L411" s="207"/>
    </row>
    <row r="412" spans="2:12">
      <c r="B412" s="208"/>
      <c r="C412" s="204"/>
      <c r="D412" s="204"/>
      <c r="E412" s="204"/>
      <c r="F412" s="204"/>
      <c r="G412" s="204"/>
      <c r="H412" s="558" t="s">
        <v>1431</v>
      </c>
      <c r="I412" s="558"/>
      <c r="J412" s="558"/>
      <c r="K412" s="222">
        <f>IF(K409&gt;K410,K410,K409)-K411+0.0000105185643549158</f>
        <v>14.608930518564339</v>
      </c>
      <c r="L412" s="207"/>
    </row>
    <row r="413" spans="2:12">
      <c r="B413" s="213"/>
      <c r="C413" s="214"/>
      <c r="D413" s="214"/>
      <c r="E413" s="214"/>
      <c r="F413" s="214"/>
      <c r="G413" s="214"/>
      <c r="H413" s="559" t="s">
        <v>1224</v>
      </c>
      <c r="I413" s="559"/>
      <c r="J413" s="559"/>
      <c r="K413" s="223">
        <f>IF(K409&gt;K410,K409-K410,0)</f>
        <v>3.0710905185644322</v>
      </c>
      <c r="L413" s="209"/>
    </row>
    <row r="415" spans="2:12" ht="14.25" customHeight="1">
      <c r="B415" s="555" t="s">
        <v>1300</v>
      </c>
      <c r="C415" s="555"/>
      <c r="D415" s="555"/>
      <c r="E415" s="555"/>
      <c r="F415" s="555"/>
      <c r="G415" s="555"/>
      <c r="H415" s="555"/>
      <c r="I415" s="555"/>
      <c r="J415" s="555"/>
      <c r="K415" s="555"/>
      <c r="L415" s="555"/>
    </row>
    <row r="416" spans="2:12">
      <c r="B416" s="187" t="s">
        <v>1209</v>
      </c>
      <c r="C416" s="187"/>
      <c r="D416" s="187" t="s">
        <v>39</v>
      </c>
      <c r="E416" s="187" t="s">
        <v>1210</v>
      </c>
      <c r="F416" s="187" t="s">
        <v>1211</v>
      </c>
      <c r="G416" s="187" t="s">
        <v>1212</v>
      </c>
      <c r="H416" s="187" t="s">
        <v>1213</v>
      </c>
      <c r="I416" s="187" t="s">
        <v>1214</v>
      </c>
      <c r="J416" s="187" t="s">
        <v>1215</v>
      </c>
      <c r="K416" s="187" t="s">
        <v>1216</v>
      </c>
      <c r="L416" s="187" t="s">
        <v>1217</v>
      </c>
    </row>
    <row r="417" spans="2:12">
      <c r="B417" s="188" t="s">
        <v>1301</v>
      </c>
      <c r="C417" s="189" t="s">
        <v>1271</v>
      </c>
      <c r="D417" s="190" t="s">
        <v>1274</v>
      </c>
      <c r="E417" s="191">
        <v>646</v>
      </c>
      <c r="F417" s="243">
        <v>0.16</v>
      </c>
      <c r="G417" s="192"/>
      <c r="H417" s="191">
        <v>1.1000000000000001</v>
      </c>
      <c r="I417" s="191"/>
      <c r="J417" s="216"/>
      <c r="K417" s="217">
        <f>IF(E417*F417*G417&lt;&gt;0,E417*F417*G417,IF(E417*F417&lt;&gt;0,E417*F417,IF(F417*G417&lt;&gt;0,F417*G417,IF(E417*G417&lt;&gt;0,E417*G417,IF(E417&lt;&gt;0,E417,IF(F417&lt;&gt;0,F417,IF(G417&lt;&gt;0,G417,0)))))))*(IF(H417&lt;&gt;0,H417,1))+I417-J417</f>
        <v>113.69600000000001</v>
      </c>
      <c r="L417" s="218"/>
    </row>
    <row r="418" spans="2:12">
      <c r="B418" s="188" t="s">
        <v>1302</v>
      </c>
      <c r="C418" s="189" t="s">
        <v>1271</v>
      </c>
      <c r="D418" s="190" t="s">
        <v>1274</v>
      </c>
      <c r="E418" s="191">
        <v>348</v>
      </c>
      <c r="F418" s="243">
        <v>0.16</v>
      </c>
      <c r="G418" s="192"/>
      <c r="H418" s="191">
        <v>1.1000000000000001</v>
      </c>
      <c r="I418" s="191"/>
      <c r="J418" s="216"/>
      <c r="K418" s="217">
        <f>IF(E418*F418*G418&lt;&gt;0,E418*F418*G418,IF(E418*F418&lt;&gt;0,E418*F418,IF(F418*G418&lt;&gt;0,F418*G418,IF(E418*G418&lt;&gt;0,E418*G418,IF(E418&lt;&gt;0,E418,IF(F418&lt;&gt;0,F418,IF(G418&lt;&gt;0,G418,0)))))))*(IF(H418&lt;&gt;0,H418,1))+I418-J418</f>
        <v>61.248000000000005</v>
      </c>
      <c r="L418" s="218"/>
    </row>
    <row r="419" spans="2:12">
      <c r="B419" s="188" t="s">
        <v>1365</v>
      </c>
      <c r="C419" s="189" t="s">
        <v>1271</v>
      </c>
      <c r="D419" s="190" t="s">
        <v>1274</v>
      </c>
      <c r="E419" s="191">
        <v>43.18</v>
      </c>
      <c r="F419" s="243"/>
      <c r="G419" s="192"/>
      <c r="H419" s="191">
        <v>0.26</v>
      </c>
      <c r="I419" s="191"/>
      <c r="J419" s="216"/>
      <c r="K419" s="217">
        <f>IF(E419*F419*G419&lt;&gt;0,E419*F419*G419,IF(E419*F419&lt;&gt;0,E419*F419,IF(F419*G419&lt;&gt;0,F419*G419,IF(E419*G419&lt;&gt;0,E419*G419,IF(E419&lt;&gt;0,E419,IF(F419&lt;&gt;0,F419,IF(G419&lt;&gt;0,G419,0)))))))*(IF(H419&lt;&gt;0,H419,1))+I419-J419</f>
        <v>11.226800000000001</v>
      </c>
      <c r="L419" s="245" t="s">
        <v>1366</v>
      </c>
    </row>
    <row r="420" spans="2:12">
      <c r="B420" s="197"/>
      <c r="C420" s="189"/>
      <c r="D420" s="198"/>
      <c r="E420" s="199"/>
      <c r="F420" s="244"/>
      <c r="G420" s="199"/>
      <c r="H420" s="199"/>
      <c r="I420" s="199"/>
      <c r="J420" s="219"/>
      <c r="K420" s="217">
        <f>IF(E420*F420*G420&lt;&gt;0,E420*F420*G420,IF(E420*F420&lt;&gt;0,E420*F420,IF(F420*G420&lt;&gt;0,F420*G420,IF(E420*G420&lt;&gt;0,E420*G420,IF(E420&lt;&gt;0,E420,IF(F420&lt;&gt;0,F420,IF(G420&lt;&gt;0,G420,0)))))))*(IF(H420&lt;&gt;0,H420,1))+I420-J420</f>
        <v>0</v>
      </c>
      <c r="L420" s="218"/>
    </row>
    <row r="421" spans="2:12">
      <c r="B421" s="202"/>
      <c r="C421" s="203"/>
      <c r="D421" s="203"/>
      <c r="E421" s="203"/>
      <c r="F421" s="203"/>
      <c r="G421" s="203"/>
      <c r="H421" s="204"/>
      <c r="I421" s="556" t="s">
        <v>1221</v>
      </c>
      <c r="J421" s="556"/>
      <c r="K421" s="220">
        <f>SUM(K417:K420)</f>
        <v>186.17080000000001</v>
      </c>
      <c r="L421" s="207"/>
    </row>
    <row r="422" spans="2:12">
      <c r="B422" s="208"/>
      <c r="C422" s="204"/>
      <c r="D422" s="204"/>
      <c r="E422" s="204"/>
      <c r="F422" s="204"/>
      <c r="G422" s="204"/>
      <c r="H422" s="209"/>
      <c r="I422" s="557" t="s">
        <v>1222</v>
      </c>
      <c r="J422" s="557"/>
      <c r="K422" s="221">
        <v>185.9</v>
      </c>
      <c r="L422" s="207"/>
    </row>
    <row r="423" spans="2:12">
      <c r="B423" s="208"/>
      <c r="C423" s="204"/>
      <c r="D423" s="204"/>
      <c r="E423" s="204"/>
      <c r="F423" s="204"/>
      <c r="G423" s="204"/>
      <c r="H423" s="558" t="s">
        <v>1223</v>
      </c>
      <c r="I423" s="558"/>
      <c r="J423" s="558"/>
      <c r="K423" s="222">
        <v>163.02440000000001</v>
      </c>
      <c r="L423" s="207"/>
    </row>
    <row r="424" spans="2:12">
      <c r="B424" s="208"/>
      <c r="C424" s="204"/>
      <c r="D424" s="204"/>
      <c r="E424" s="204"/>
      <c r="F424" s="204"/>
      <c r="G424" s="204"/>
      <c r="H424" s="558" t="s">
        <v>1250</v>
      </c>
      <c r="I424" s="558"/>
      <c r="J424" s="558"/>
      <c r="K424" s="222">
        <f>IF(K421&gt;K422,K422,K421)-K423</f>
        <v>22.875599999999991</v>
      </c>
      <c r="L424" s="246">
        <f>K422-K421</f>
        <v>-0.27080000000000837</v>
      </c>
    </row>
    <row r="425" spans="2:12">
      <c r="B425" s="213"/>
      <c r="C425" s="214"/>
      <c r="D425" s="214"/>
      <c r="E425" s="214"/>
      <c r="F425" s="214"/>
      <c r="G425" s="214"/>
      <c r="H425" s="559" t="s">
        <v>1224</v>
      </c>
      <c r="I425" s="559"/>
      <c r="J425" s="559"/>
      <c r="K425" s="223">
        <f>IF(K421&gt;K422,K421-K422,0)</f>
        <v>0.27080000000000837</v>
      </c>
      <c r="L425" s="209"/>
    </row>
    <row r="427" spans="2:12" ht="14.25" customHeight="1">
      <c r="B427" s="555" t="s">
        <v>1303</v>
      </c>
      <c r="C427" s="555"/>
      <c r="D427" s="555"/>
      <c r="E427" s="555"/>
      <c r="F427" s="555"/>
      <c r="G427" s="555"/>
      <c r="H427" s="555"/>
      <c r="I427" s="555"/>
      <c r="J427" s="555"/>
      <c r="K427" s="555"/>
      <c r="L427" s="555"/>
    </row>
    <row r="428" spans="2:12">
      <c r="B428" s="187" t="s">
        <v>1209</v>
      </c>
      <c r="C428" s="187"/>
      <c r="D428" s="187" t="s">
        <v>39</v>
      </c>
      <c r="E428" s="187" t="s">
        <v>1210</v>
      </c>
      <c r="F428" s="187" t="s">
        <v>1211</v>
      </c>
      <c r="G428" s="187" t="s">
        <v>1212</v>
      </c>
      <c r="H428" s="187" t="s">
        <v>1213</v>
      </c>
      <c r="I428" s="187" t="s">
        <v>1214</v>
      </c>
      <c r="J428" s="187" t="s">
        <v>1215</v>
      </c>
      <c r="K428" s="187" t="s">
        <v>1216</v>
      </c>
      <c r="L428" s="187" t="s">
        <v>1217</v>
      </c>
    </row>
    <row r="429" spans="2:12">
      <c r="B429" s="188" t="s">
        <v>1301</v>
      </c>
      <c r="C429" s="189" t="s">
        <v>1271</v>
      </c>
      <c r="D429" s="190" t="s">
        <v>1274</v>
      </c>
      <c r="E429" s="191">
        <v>257</v>
      </c>
      <c r="F429" s="243">
        <v>0.245</v>
      </c>
      <c r="G429" s="192"/>
      <c r="H429" s="191">
        <v>1.1000000000000001</v>
      </c>
      <c r="I429" s="191"/>
      <c r="J429" s="216"/>
      <c r="K429" s="217">
        <f>IF(E429*F429*G429&lt;&gt;0,E429*F429*G429,IF(E429*F429&lt;&gt;0,E429*F429,IF(F429*G429&lt;&gt;0,F429*G429,IF(E429*G429&lt;&gt;0,E429*G429,IF(E429&lt;&gt;0,E429,IF(F429&lt;&gt;0,F429,IF(G429&lt;&gt;0,G429,0)))))))*(IF(H429&lt;&gt;0,H429,1))+I429-J429</f>
        <v>69.261499999999998</v>
      </c>
      <c r="L429" s="218"/>
    </row>
    <row r="430" spans="2:12">
      <c r="B430" s="188" t="s">
        <v>1302</v>
      </c>
      <c r="C430" s="189" t="s">
        <v>1271</v>
      </c>
      <c r="D430" s="190" t="s">
        <v>1274</v>
      </c>
      <c r="E430" s="191">
        <v>642</v>
      </c>
      <c r="F430" s="243">
        <v>0.245</v>
      </c>
      <c r="G430" s="192"/>
      <c r="H430" s="191">
        <v>1.1000000000000001</v>
      </c>
      <c r="I430" s="191"/>
      <c r="J430" s="216"/>
      <c r="K430" s="217">
        <f>IF(E430*F430*G430&lt;&gt;0,E430*F430*G430,IF(E430*F430&lt;&gt;0,E430*F430,IF(F430*G430&lt;&gt;0,F430*G430,IF(E430*G430&lt;&gt;0,E430*G430,IF(E430&lt;&gt;0,E430,IF(F430&lt;&gt;0,F430,IF(G430&lt;&gt;0,G430,0)))))))*(IF(H430&lt;&gt;0,H430,1))+I430-J430</f>
        <v>173.01900000000001</v>
      </c>
      <c r="L430" s="218"/>
    </row>
    <row r="431" spans="2:12">
      <c r="B431" s="197"/>
      <c r="C431" s="189"/>
      <c r="D431" s="198"/>
      <c r="E431" s="199"/>
      <c r="F431" s="244"/>
      <c r="G431" s="199"/>
      <c r="H431" s="199"/>
      <c r="I431" s="199"/>
      <c r="J431" s="219"/>
      <c r="K431" s="217">
        <f>IF(E431*F431*G431&lt;&gt;0,E431*F431*G431,IF(E431*F431&lt;&gt;0,E431*F431,IF(F431*G431&lt;&gt;0,F431*G431,IF(E431*G431&lt;&gt;0,E431*G431,IF(E431&lt;&gt;0,E431,IF(F431&lt;&gt;0,F431,IF(G431&lt;&gt;0,G431,0)))))))*(IF(H431&lt;&gt;0,H431,1))+I431-J431</f>
        <v>0</v>
      </c>
      <c r="L431" s="218"/>
    </row>
    <row r="432" spans="2:12">
      <c r="B432" s="202"/>
      <c r="C432" s="203"/>
      <c r="D432" s="203"/>
      <c r="E432" s="203"/>
      <c r="F432" s="203"/>
      <c r="G432" s="203"/>
      <c r="H432" s="204"/>
      <c r="I432" s="556" t="s">
        <v>1221</v>
      </c>
      <c r="J432" s="556"/>
      <c r="K432" s="220">
        <f>SUM(K429:K431)</f>
        <v>242.28050000000002</v>
      </c>
      <c r="L432" s="207"/>
    </row>
    <row r="433" spans="2:12">
      <c r="B433" s="208"/>
      <c r="C433" s="204"/>
      <c r="D433" s="204"/>
      <c r="E433" s="204"/>
      <c r="F433" s="204"/>
      <c r="G433" s="204"/>
      <c r="H433" s="209"/>
      <c r="I433" s="557" t="s">
        <v>1222</v>
      </c>
      <c r="J433" s="557"/>
      <c r="K433" s="221">
        <v>199.1</v>
      </c>
      <c r="L433" s="207"/>
    </row>
    <row r="434" spans="2:12">
      <c r="B434" s="208"/>
      <c r="C434" s="204"/>
      <c r="D434" s="204"/>
      <c r="E434" s="204"/>
      <c r="F434" s="204"/>
      <c r="G434" s="204"/>
      <c r="H434" s="558" t="s">
        <v>1223</v>
      </c>
      <c r="I434" s="558"/>
      <c r="J434" s="558"/>
      <c r="K434" s="222">
        <v>0</v>
      </c>
      <c r="L434" s="207"/>
    </row>
    <row r="435" spans="2:12">
      <c r="B435" s="208"/>
      <c r="C435" s="204"/>
      <c r="D435" s="204"/>
      <c r="E435" s="204"/>
      <c r="F435" s="204"/>
      <c r="G435" s="204"/>
      <c r="H435" s="558" t="s">
        <v>1201</v>
      </c>
      <c r="I435" s="558"/>
      <c r="J435" s="558"/>
      <c r="K435" s="222">
        <f>IF(K432&gt;K433,K433,K432)-K434</f>
        <v>199.1</v>
      </c>
      <c r="L435" s="207"/>
    </row>
    <row r="436" spans="2:12">
      <c r="B436" s="213"/>
      <c r="C436" s="214"/>
      <c r="D436" s="214"/>
      <c r="E436" s="214"/>
      <c r="F436" s="214"/>
      <c r="G436" s="214"/>
      <c r="H436" s="559" t="s">
        <v>1224</v>
      </c>
      <c r="I436" s="559"/>
      <c r="J436" s="559"/>
      <c r="K436" s="223">
        <f>IF(K432&gt;K433,K432-K433,0)</f>
        <v>43.180500000000023</v>
      </c>
      <c r="L436" s="209"/>
    </row>
    <row r="438" spans="2:12" ht="14.25" customHeight="1">
      <c r="B438" s="555" t="s">
        <v>1304</v>
      </c>
      <c r="C438" s="555"/>
      <c r="D438" s="555"/>
      <c r="E438" s="555"/>
      <c r="F438" s="555"/>
      <c r="G438" s="555"/>
      <c r="H438" s="555"/>
      <c r="I438" s="555"/>
      <c r="J438" s="555"/>
      <c r="K438" s="555"/>
      <c r="L438" s="555"/>
    </row>
    <row r="439" spans="2:12">
      <c r="B439" s="187" t="s">
        <v>1209</v>
      </c>
      <c r="C439" s="187"/>
      <c r="D439" s="187" t="s">
        <v>39</v>
      </c>
      <c r="E439" s="187" t="s">
        <v>1210</v>
      </c>
      <c r="F439" s="187" t="s">
        <v>1211</v>
      </c>
      <c r="G439" s="187" t="s">
        <v>1212</v>
      </c>
      <c r="H439" s="187" t="s">
        <v>1213</v>
      </c>
      <c r="I439" s="187" t="s">
        <v>1214</v>
      </c>
      <c r="J439" s="187" t="s">
        <v>1215</v>
      </c>
      <c r="K439" s="187" t="s">
        <v>1216</v>
      </c>
      <c r="L439" s="187" t="s">
        <v>1217</v>
      </c>
    </row>
    <row r="440" spans="2:12">
      <c r="B440" s="188" t="s">
        <v>1301</v>
      </c>
      <c r="C440" s="189" t="s">
        <v>1271</v>
      </c>
      <c r="D440" s="190" t="s">
        <v>1274</v>
      </c>
      <c r="E440" s="191">
        <v>566</v>
      </c>
      <c r="F440" s="243">
        <v>0.39500000000000002</v>
      </c>
      <c r="G440" s="192"/>
      <c r="H440" s="191">
        <v>1.1000000000000001</v>
      </c>
      <c r="I440" s="191"/>
      <c r="J440" s="216"/>
      <c r="K440" s="217">
        <f>IF(E440*F440*G440&lt;&gt;0,E440*F440*G440,IF(E440*F440&lt;&gt;0,E440*F440,IF(F440*G440&lt;&gt;0,F440*G440,IF(E440*G440&lt;&gt;0,E440*G440,IF(E440&lt;&gt;0,E440,IF(F440&lt;&gt;0,F440,IF(G440&lt;&gt;0,G440,0)))))))*(IF(H440&lt;&gt;0,H440,1))+I440-J440</f>
        <v>245.92700000000005</v>
      </c>
      <c r="L440" s="218"/>
    </row>
    <row r="441" spans="2:12">
      <c r="B441" s="188" t="s">
        <v>1302</v>
      </c>
      <c r="C441" s="189" t="s">
        <v>1271</v>
      </c>
      <c r="D441" s="190" t="s">
        <v>1274</v>
      </c>
      <c r="E441" s="191">
        <v>641</v>
      </c>
      <c r="F441" s="243">
        <v>0.39500000000000002</v>
      </c>
      <c r="G441" s="192"/>
      <c r="H441" s="191">
        <v>1.1000000000000001</v>
      </c>
      <c r="I441" s="191"/>
      <c r="J441" s="216"/>
      <c r="K441" s="217">
        <f>IF(E441*F441*G441&lt;&gt;0,E441*F441*G441,IF(E441*F441&lt;&gt;0,E441*F441,IF(F441*G441&lt;&gt;0,F441*G441,IF(E441*G441&lt;&gt;0,E441*G441,IF(E441&lt;&gt;0,E441,IF(F441&lt;&gt;0,F441,IF(G441&lt;&gt;0,G441,0)))))))*(IF(H441&lt;&gt;0,H441,1))+I441-J441</f>
        <v>278.51450000000006</v>
      </c>
      <c r="L441" s="218"/>
    </row>
    <row r="442" spans="2:12">
      <c r="B442" s="197"/>
      <c r="C442" s="189"/>
      <c r="D442" s="198"/>
      <c r="E442" s="199"/>
      <c r="F442" s="244"/>
      <c r="G442" s="199"/>
      <c r="H442" s="199"/>
      <c r="I442" s="199"/>
      <c r="J442" s="219"/>
      <c r="K442" s="217">
        <f>IF(E442*F442*G442&lt;&gt;0,E442*F442*G442,IF(E442*F442&lt;&gt;0,E442*F442,IF(F442*G442&lt;&gt;0,F442*G442,IF(E442*G442&lt;&gt;0,E442*G442,IF(E442&lt;&gt;0,E442,IF(F442&lt;&gt;0,F442,IF(G442&lt;&gt;0,G442,0)))))))*(IF(H442&lt;&gt;0,H442,1))+I442-J442</f>
        <v>0</v>
      </c>
      <c r="L442" s="218"/>
    </row>
    <row r="443" spans="2:12">
      <c r="B443" s="202"/>
      <c r="C443" s="203"/>
      <c r="D443" s="203"/>
      <c r="E443" s="203"/>
      <c r="F443" s="203"/>
      <c r="G443" s="203"/>
      <c r="H443" s="204"/>
      <c r="I443" s="556" t="s">
        <v>1221</v>
      </c>
      <c r="J443" s="556"/>
      <c r="K443" s="220">
        <f>SUM(K440:K442)</f>
        <v>524.44150000000013</v>
      </c>
      <c r="L443" s="207"/>
    </row>
    <row r="444" spans="2:12">
      <c r="B444" s="208"/>
      <c r="C444" s="204"/>
      <c r="D444" s="204"/>
      <c r="E444" s="204"/>
      <c r="F444" s="204"/>
      <c r="G444" s="204"/>
      <c r="H444" s="209"/>
      <c r="I444" s="557" t="s">
        <v>1222</v>
      </c>
      <c r="J444" s="557"/>
      <c r="K444" s="221">
        <v>378.4</v>
      </c>
      <c r="L444" s="207"/>
    </row>
    <row r="445" spans="2:12">
      <c r="B445" s="208"/>
      <c r="C445" s="204"/>
      <c r="D445" s="204"/>
      <c r="E445" s="204"/>
      <c r="F445" s="204"/>
      <c r="G445" s="204"/>
      <c r="H445" s="558" t="s">
        <v>1223</v>
      </c>
      <c r="I445" s="558"/>
      <c r="J445" s="558"/>
      <c r="K445" s="222">
        <v>0</v>
      </c>
      <c r="L445" s="207"/>
    </row>
    <row r="446" spans="2:12">
      <c r="B446" s="208"/>
      <c r="C446" s="204"/>
      <c r="D446" s="204"/>
      <c r="E446" s="204"/>
      <c r="F446" s="204"/>
      <c r="G446" s="204"/>
      <c r="H446" s="558" t="s">
        <v>1201</v>
      </c>
      <c r="I446" s="558"/>
      <c r="J446" s="558"/>
      <c r="K446" s="222">
        <f>IF(K443&gt;K444,K444,K443)-K445</f>
        <v>378.4</v>
      </c>
      <c r="L446" s="207"/>
    </row>
    <row r="447" spans="2:12">
      <c r="B447" s="213"/>
      <c r="C447" s="214"/>
      <c r="D447" s="214"/>
      <c r="E447" s="214"/>
      <c r="F447" s="214"/>
      <c r="G447" s="214"/>
      <c r="H447" s="559" t="s">
        <v>1224</v>
      </c>
      <c r="I447" s="559"/>
      <c r="J447" s="559"/>
      <c r="K447" s="223">
        <f>IF(K443&gt;K444,K443-K444,0)</f>
        <v>146.04150000000016</v>
      </c>
      <c r="L447" s="209"/>
    </row>
    <row r="449" spans="2:12" ht="14.25" customHeight="1">
      <c r="B449" s="555" t="s">
        <v>1305</v>
      </c>
      <c r="C449" s="555"/>
      <c r="D449" s="555"/>
      <c r="E449" s="555"/>
      <c r="F449" s="555"/>
      <c r="G449" s="555"/>
      <c r="H449" s="555"/>
      <c r="I449" s="555"/>
      <c r="J449" s="555"/>
      <c r="K449" s="555"/>
      <c r="L449" s="555"/>
    </row>
    <row r="450" spans="2:12">
      <c r="B450" s="187" t="s">
        <v>1209</v>
      </c>
      <c r="C450" s="187"/>
      <c r="D450" s="187" t="s">
        <v>39</v>
      </c>
      <c r="E450" s="187" t="s">
        <v>1210</v>
      </c>
      <c r="F450" s="187" t="s">
        <v>1211</v>
      </c>
      <c r="G450" s="187" t="s">
        <v>1212</v>
      </c>
      <c r="H450" s="187" t="s">
        <v>1213</v>
      </c>
      <c r="I450" s="187" t="s">
        <v>1214</v>
      </c>
      <c r="J450" s="187" t="s">
        <v>1215</v>
      </c>
      <c r="K450" s="187" t="s">
        <v>1216</v>
      </c>
      <c r="L450" s="187" t="s">
        <v>1217</v>
      </c>
    </row>
    <row r="451" spans="2:12">
      <c r="B451" s="188" t="s">
        <v>1301</v>
      </c>
      <c r="C451" s="189" t="s">
        <v>1271</v>
      </c>
      <c r="D451" s="190" t="s">
        <v>1274</v>
      </c>
      <c r="E451" s="191">
        <v>522</v>
      </c>
      <c r="F451" s="243">
        <v>0.61699999999999999</v>
      </c>
      <c r="G451" s="192"/>
      <c r="H451" s="191">
        <v>1.1000000000000001</v>
      </c>
      <c r="I451" s="191"/>
      <c r="J451" s="216"/>
      <c r="K451" s="217">
        <f>IF(E451*F451*G451&lt;&gt;0,E451*F451*G451,IF(E451*F451&lt;&gt;0,E451*F451,IF(F451*G451&lt;&gt;0,F451*G451,IF(E451*G451&lt;&gt;0,E451*G451,IF(E451&lt;&gt;0,E451,IF(F451&lt;&gt;0,F451,IF(G451&lt;&gt;0,G451,0)))))))*(IF(H451&lt;&gt;0,H451,1))+I451-J451</f>
        <v>354.28140000000002</v>
      </c>
      <c r="L451" s="218"/>
    </row>
    <row r="452" spans="2:12">
      <c r="B452" s="188" t="s">
        <v>1302</v>
      </c>
      <c r="C452" s="189" t="s">
        <v>1271</v>
      </c>
      <c r="D452" s="190" t="s">
        <v>1274</v>
      </c>
      <c r="E452" s="191">
        <v>150</v>
      </c>
      <c r="F452" s="243">
        <v>0.61699999999999999</v>
      </c>
      <c r="G452" s="192"/>
      <c r="H452" s="191">
        <v>1.1000000000000001</v>
      </c>
      <c r="I452" s="191">
        <v>1E-4</v>
      </c>
      <c r="J452" s="216"/>
      <c r="K452" s="217">
        <f>IF(E452*F452*G452&lt;&gt;0,E452*F452*G452,IF(E452*F452&lt;&gt;0,E452*F452,IF(F452*G452&lt;&gt;0,F452*G452,IF(E452*G452&lt;&gt;0,E452*G452,IF(E452&lt;&gt;0,E452,IF(F452&lt;&gt;0,F452,IF(G452&lt;&gt;0,G452,0)))))))*(IF(H452&lt;&gt;0,H452,1))+I452-J452</f>
        <v>101.80510000000001</v>
      </c>
      <c r="L452" s="218"/>
    </row>
    <row r="453" spans="2:12">
      <c r="B453" s="197"/>
      <c r="C453" s="189"/>
      <c r="D453" s="198"/>
      <c r="E453" s="199"/>
      <c r="F453" s="244"/>
      <c r="G453" s="199"/>
      <c r="H453" s="199"/>
      <c r="I453" s="199"/>
      <c r="J453" s="219"/>
      <c r="K453" s="217">
        <f>IF(E453*F453*G453&lt;&gt;0,E453*F453*G453,IF(E453*F453&lt;&gt;0,E453*F453,IF(F453*G453&lt;&gt;0,F453*G453,IF(E453*G453&lt;&gt;0,E453*G453,IF(E453&lt;&gt;0,E453,IF(F453&lt;&gt;0,F453,IF(G453&lt;&gt;0,G453,0)))))))*(IF(H453&lt;&gt;0,H453,1))+I453-J453</f>
        <v>0</v>
      </c>
      <c r="L453" s="218"/>
    </row>
    <row r="454" spans="2:12">
      <c r="B454" s="202"/>
      <c r="C454" s="203"/>
      <c r="D454" s="203"/>
      <c r="E454" s="203"/>
      <c r="F454" s="203"/>
      <c r="G454" s="203"/>
      <c r="H454" s="204"/>
      <c r="I454" s="556" t="s">
        <v>1221</v>
      </c>
      <c r="J454" s="556"/>
      <c r="K454" s="220">
        <f>SUM(K451:K453)</f>
        <v>456.0865</v>
      </c>
      <c r="L454" s="207"/>
    </row>
    <row r="455" spans="2:12">
      <c r="B455" s="208"/>
      <c r="C455" s="204"/>
      <c r="D455" s="204"/>
      <c r="E455" s="204"/>
      <c r="F455" s="204"/>
      <c r="G455" s="204"/>
      <c r="H455" s="209"/>
      <c r="I455" s="557" t="s">
        <v>1222</v>
      </c>
      <c r="J455" s="557"/>
      <c r="K455" s="221">
        <f>445.5+0.0001</f>
        <v>445.50009999999997</v>
      </c>
      <c r="L455" s="207"/>
    </row>
    <row r="456" spans="2:12">
      <c r="B456" s="208"/>
      <c r="C456" s="204"/>
      <c r="D456" s="204"/>
      <c r="E456" s="204"/>
      <c r="F456" s="204"/>
      <c r="G456" s="204"/>
      <c r="H456" s="558" t="s">
        <v>1223</v>
      </c>
      <c r="I456" s="558"/>
      <c r="J456" s="558"/>
      <c r="K456" s="222">
        <v>354.28140000000002</v>
      </c>
      <c r="L456" s="207"/>
    </row>
    <row r="457" spans="2:12">
      <c r="B457" s="208"/>
      <c r="C457" s="204"/>
      <c r="D457" s="204"/>
      <c r="E457" s="204"/>
      <c r="F457" s="204"/>
      <c r="G457" s="204"/>
      <c r="H457" s="558" t="s">
        <v>1201</v>
      </c>
      <c r="I457" s="558"/>
      <c r="J457" s="558"/>
      <c r="K457" s="222">
        <f>IF(K454&gt;K455,K455,K454)-K456</f>
        <v>91.218699999999956</v>
      </c>
      <c r="L457" s="207"/>
    </row>
    <row r="458" spans="2:12">
      <c r="B458" s="213"/>
      <c r="C458" s="214"/>
      <c r="D458" s="214"/>
      <c r="E458" s="214"/>
      <c r="F458" s="214"/>
      <c r="G458" s="214"/>
      <c r="H458" s="559" t="s">
        <v>1224</v>
      </c>
      <c r="I458" s="559"/>
      <c r="J458" s="559"/>
      <c r="K458" s="223">
        <f>IF(K454&gt;K455,K454-K455,0)</f>
        <v>10.586400000000026</v>
      </c>
      <c r="L458" s="209"/>
    </row>
    <row r="460" spans="2:12" ht="14.25" customHeight="1">
      <c r="B460" s="555" t="s">
        <v>1306</v>
      </c>
      <c r="C460" s="555"/>
      <c r="D460" s="555"/>
      <c r="E460" s="555"/>
      <c r="F460" s="555"/>
      <c r="G460" s="555"/>
      <c r="H460" s="555"/>
      <c r="I460" s="555"/>
      <c r="J460" s="555"/>
      <c r="K460" s="555"/>
      <c r="L460" s="555"/>
    </row>
    <row r="461" spans="2:12">
      <c r="B461" s="187" t="s">
        <v>1209</v>
      </c>
      <c r="C461" s="187"/>
      <c r="D461" s="187" t="s">
        <v>39</v>
      </c>
      <c r="E461" s="187" t="s">
        <v>1210</v>
      </c>
      <c r="F461" s="187" t="s">
        <v>1211</v>
      </c>
      <c r="G461" s="187" t="s">
        <v>1212</v>
      </c>
      <c r="H461" s="187" t="s">
        <v>1213</v>
      </c>
      <c r="I461" s="187" t="s">
        <v>1214</v>
      </c>
      <c r="J461" s="187" t="s">
        <v>1215</v>
      </c>
      <c r="K461" s="187" t="s">
        <v>1216</v>
      </c>
      <c r="L461" s="187" t="s">
        <v>1217</v>
      </c>
    </row>
    <row r="462" spans="2:12">
      <c r="B462" s="188" t="s">
        <v>1367</v>
      </c>
      <c r="C462" s="189" t="s">
        <v>1271</v>
      </c>
      <c r="D462" s="190" t="s">
        <v>1274</v>
      </c>
      <c r="E462" s="191"/>
      <c r="F462" s="243"/>
      <c r="G462" s="192"/>
      <c r="H462" s="191"/>
      <c r="I462" s="191"/>
      <c r="J462" s="216"/>
      <c r="K462" s="217">
        <f>IF(E462*F462*G462&lt;&gt;0,E462*F462*G462,IF(E462*F462&lt;&gt;0,E462*F462,IF(F462*G462&lt;&gt;0,F462*G462,IF(E462*G462&lt;&gt;0,E462*G462,IF(E462&lt;&gt;0,E462,IF(F462&lt;&gt;0,F462,IF(G462&lt;&gt;0,G462,0)))))))*(IF(H462&lt;&gt;0,H462,1))+I462-J462</f>
        <v>0</v>
      </c>
      <c r="L462" s="218"/>
    </row>
    <row r="463" spans="2:12">
      <c r="B463" s="188" t="s">
        <v>1302</v>
      </c>
      <c r="C463" s="189" t="s">
        <v>1271</v>
      </c>
      <c r="D463" s="190" t="s">
        <v>1274</v>
      </c>
      <c r="E463" s="191">
        <v>287</v>
      </c>
      <c r="F463" s="243">
        <v>0.96299999999999997</v>
      </c>
      <c r="G463" s="192"/>
      <c r="H463" s="191">
        <v>1.1000000000000001</v>
      </c>
      <c r="I463" s="191"/>
      <c r="J463" s="216"/>
      <c r="K463" s="217">
        <f>IF(E463*F463*G463&lt;&gt;0,E463*F463*G463,IF(E463*F463&lt;&gt;0,E463*F463,IF(F463*G463&lt;&gt;0,F463*G463,IF(E463*G463&lt;&gt;0,E463*G463,IF(E463&lt;&gt;0,E463,IF(F463&lt;&gt;0,F463,IF(G463&lt;&gt;0,G463,0)))))))*(IF(H463&lt;&gt;0,H463,1))+I463-J463</f>
        <v>304.01909999999998</v>
      </c>
      <c r="L463" s="218"/>
    </row>
    <row r="464" spans="2:12">
      <c r="B464" s="197"/>
      <c r="C464" s="189"/>
      <c r="D464" s="198"/>
      <c r="E464" s="199"/>
      <c r="F464" s="244"/>
      <c r="G464" s="199"/>
      <c r="H464" s="199"/>
      <c r="I464" s="199"/>
      <c r="J464" s="219"/>
      <c r="K464" s="217">
        <f>IF(E464*F464*G464&lt;&gt;0,E464*F464*G464,IF(E464*F464&lt;&gt;0,E464*F464,IF(F464*G464&lt;&gt;0,F464*G464,IF(E464*G464&lt;&gt;0,E464*G464,IF(E464&lt;&gt;0,E464,IF(F464&lt;&gt;0,F464,IF(G464&lt;&gt;0,G464,0)))))))*(IF(H464&lt;&gt;0,H464,1))+I464-J464</f>
        <v>0</v>
      </c>
      <c r="L464" s="218"/>
    </row>
    <row r="465" spans="2:12">
      <c r="B465" s="202"/>
      <c r="C465" s="203"/>
      <c r="D465" s="203"/>
      <c r="E465" s="203"/>
      <c r="F465" s="203"/>
      <c r="G465" s="203"/>
      <c r="H465" s="204"/>
      <c r="I465" s="556" t="s">
        <v>1221</v>
      </c>
      <c r="J465" s="556"/>
      <c r="K465" s="220">
        <f>SUM(K462:K464)</f>
        <v>304.01909999999998</v>
      </c>
      <c r="L465" s="207"/>
    </row>
    <row r="466" spans="2:12">
      <c r="B466" s="208"/>
      <c r="C466" s="204"/>
      <c r="D466" s="204"/>
      <c r="E466" s="204"/>
      <c r="F466" s="204"/>
      <c r="G466" s="204"/>
      <c r="H466" s="209"/>
      <c r="I466" s="557" t="s">
        <v>1222</v>
      </c>
      <c r="J466" s="557"/>
      <c r="K466" s="221">
        <v>177.1</v>
      </c>
      <c r="L466" s="207"/>
    </row>
    <row r="467" spans="2:12">
      <c r="B467" s="208"/>
      <c r="C467" s="204"/>
      <c r="D467" s="204"/>
      <c r="E467" s="204"/>
      <c r="F467" s="204"/>
      <c r="G467" s="204"/>
      <c r="H467" s="558" t="s">
        <v>1223</v>
      </c>
      <c r="I467" s="558"/>
      <c r="J467" s="558"/>
      <c r="K467" s="222">
        <v>0</v>
      </c>
      <c r="L467" s="207"/>
    </row>
    <row r="468" spans="2:12">
      <c r="B468" s="208"/>
      <c r="C468" s="204"/>
      <c r="D468" s="204"/>
      <c r="E468" s="204"/>
      <c r="F468" s="204"/>
      <c r="G468" s="204"/>
      <c r="H468" s="558" t="s">
        <v>1201</v>
      </c>
      <c r="I468" s="558"/>
      <c r="J468" s="558"/>
      <c r="K468" s="222">
        <f>IF(K465&gt;K466,K466,K465)-K467</f>
        <v>177.1</v>
      </c>
      <c r="L468" s="207"/>
    </row>
    <row r="469" spans="2:12">
      <c r="B469" s="213"/>
      <c r="C469" s="214"/>
      <c r="D469" s="214"/>
      <c r="E469" s="214"/>
      <c r="F469" s="214"/>
      <c r="G469" s="214"/>
      <c r="H469" s="559" t="s">
        <v>1224</v>
      </c>
      <c r="I469" s="559"/>
      <c r="J469" s="559"/>
      <c r="K469" s="223">
        <f>IF(K465&gt;K466,K465-K466,0)</f>
        <v>126.91909999999999</v>
      </c>
      <c r="L469" s="209"/>
    </row>
    <row r="471" spans="2:12" ht="14.25" customHeight="1">
      <c r="B471" s="332" t="s">
        <v>184</v>
      </c>
      <c r="C471" s="555" t="s">
        <v>1307</v>
      </c>
      <c r="D471" s="555"/>
      <c r="E471" s="555"/>
      <c r="F471" s="555"/>
      <c r="G471" s="555"/>
      <c r="H471" s="555"/>
      <c r="I471" s="555"/>
      <c r="J471" s="555"/>
      <c r="K471" s="555"/>
      <c r="L471" s="555"/>
    </row>
    <row r="472" spans="2:12">
      <c r="B472" s="187" t="s">
        <v>1209</v>
      </c>
      <c r="C472" s="333"/>
      <c r="D472" s="333" t="s">
        <v>39</v>
      </c>
      <c r="E472" s="333" t="s">
        <v>1210</v>
      </c>
      <c r="F472" s="333" t="s">
        <v>1211</v>
      </c>
      <c r="G472" s="333" t="s">
        <v>1212</v>
      </c>
      <c r="H472" s="333" t="s">
        <v>1213</v>
      </c>
      <c r="I472" s="333" t="s">
        <v>1214</v>
      </c>
      <c r="J472" s="333" t="s">
        <v>1215</v>
      </c>
      <c r="K472" s="333" t="s">
        <v>1216</v>
      </c>
      <c r="L472" s="333" t="s">
        <v>1217</v>
      </c>
    </row>
    <row r="473" spans="2:12">
      <c r="B473" s="188" t="s">
        <v>1301</v>
      </c>
      <c r="C473" s="189"/>
      <c r="D473" s="190" t="s">
        <v>152</v>
      </c>
      <c r="E473" s="191"/>
      <c r="F473" s="243"/>
      <c r="G473" s="192"/>
      <c r="H473" s="191"/>
      <c r="I473" s="191"/>
      <c r="J473" s="216"/>
      <c r="K473" s="217">
        <f>IF(E473*F473*G473&lt;&gt;0,E473*F473*G473,IF(E473*F473&lt;&gt;0,E473*F473,IF(F473*G473&lt;&gt;0,F473*G473,IF(E473*G473&lt;&gt;0,E473*G473,IF(E473&lt;&gt;0,E473,IF(F473&lt;&gt;0,F473,IF(G473&lt;&gt;0,G473,0)))))))*(IF(H473&lt;&gt;0,H473,1))+I473-J473</f>
        <v>0</v>
      </c>
      <c r="L473" s="218"/>
    </row>
    <row r="474" spans="2:12">
      <c r="B474" s="188" t="s">
        <v>1302</v>
      </c>
      <c r="C474" s="189"/>
      <c r="D474" s="190" t="s">
        <v>152</v>
      </c>
      <c r="E474" s="191">
        <v>35</v>
      </c>
      <c r="F474" s="243">
        <v>1.5780000000000001</v>
      </c>
      <c r="G474" s="192"/>
      <c r="H474" s="191">
        <v>1.1000000000000001</v>
      </c>
      <c r="I474" s="191"/>
      <c r="J474" s="216"/>
      <c r="K474" s="217">
        <f>IF(E474*F474*G474&lt;&gt;0,E474*F474*G474,IF(E474*F474&lt;&gt;0,E474*F474,IF(F474*G474&lt;&gt;0,F474*G474,IF(E474*G474&lt;&gt;0,E474*G474,IF(E474&lt;&gt;0,E474,IF(F474&lt;&gt;0,F474,IF(G474&lt;&gt;0,G474,0)))))))*(IF(H474&lt;&gt;0,H474,1))+I474-J474</f>
        <v>60.753000000000007</v>
      </c>
      <c r="L474" s="245" t="s">
        <v>1939</v>
      </c>
    </row>
    <row r="475" spans="2:12">
      <c r="B475" s="188" t="s">
        <v>1302</v>
      </c>
      <c r="C475" s="189"/>
      <c r="D475" s="190" t="s">
        <v>152</v>
      </c>
      <c r="E475" s="191">
        <v>157</v>
      </c>
      <c r="F475" s="243">
        <v>2.4660000000000002</v>
      </c>
      <c r="G475" s="192">
        <f>17.746402/18.380202</f>
        <v>0.96551724513147352</v>
      </c>
      <c r="H475" s="191">
        <v>1.1000000000000001</v>
      </c>
      <c r="I475" s="191"/>
      <c r="J475" s="216"/>
      <c r="K475" s="217">
        <f>IF(E475*F475*G475&lt;&gt;0,E475*F475*G475,IF(E475*F475&lt;&gt;0,E475*F475,IF(F475*G475&lt;&gt;0,F475*G475,IF(E475*G475&lt;&gt;0,E475*G475,IF(E475&lt;&gt;0,E475,IF(F475&lt;&gt;0,F475,IF(G475&lt;&gt;0,G475,0)))))))*(IF(H475&lt;&gt;0,H475,1))+I475-J475</f>
        <v>411.19274642555075</v>
      </c>
      <c r="L475" s="245" t="s">
        <v>1940</v>
      </c>
    </row>
    <row r="476" spans="2:12">
      <c r="B476" s="188" t="s">
        <v>1302</v>
      </c>
      <c r="C476" s="189"/>
      <c r="D476" s="190" t="s">
        <v>152</v>
      </c>
      <c r="E476" s="191">
        <v>222</v>
      </c>
      <c r="F476" s="243">
        <v>3.8530000000000002</v>
      </c>
      <c r="G476" s="192">
        <f>17.746402/18.380202</f>
        <v>0.96551724513147352</v>
      </c>
      <c r="H476" s="191">
        <v>1.1000000000000001</v>
      </c>
      <c r="I476" s="191"/>
      <c r="J476" s="216"/>
      <c r="K476" s="217">
        <f>IF(E476*F476*G476&lt;&gt;0,E476*F476*G476,IF(E476*F476&lt;&gt;0,E476*F476,IF(F476*G476&lt;&gt;0,F476*G476,IF(E476*G476&lt;&gt;0,E476*G476,IF(E476&lt;&gt;0,E476,IF(F476&lt;&gt;0,F476,IF(G476&lt;&gt;0,G476,0)))))))*(IF(H476&lt;&gt;0,H476,1))+I476-J476</f>
        <v>908.45768628904091</v>
      </c>
      <c r="L476" s="245" t="s">
        <v>1941</v>
      </c>
    </row>
    <row r="477" spans="2:12">
      <c r="B477" s="197"/>
      <c r="C477" s="189"/>
      <c r="D477" s="198"/>
      <c r="E477" s="199"/>
      <c r="F477" s="244"/>
      <c r="G477" s="199"/>
      <c r="H477" s="199"/>
      <c r="I477" s="191"/>
      <c r="J477" s="216"/>
      <c r="K477" s="217">
        <f>IF(E477*F477*G477&lt;&gt;0,E477*F477*G477,IF(E477*F477&lt;&gt;0,E477*F477,IF(F477*G477&lt;&gt;0,F477*G477,IF(E477*G477&lt;&gt;0,E477*G477,IF(E477&lt;&gt;0,E477,IF(F477&lt;&gt;0,F477,IF(G477&lt;&gt;0,G477,0)))))))*(IF(H477&lt;&gt;0,H477,1))+I477-J477</f>
        <v>0</v>
      </c>
      <c r="L477" s="218"/>
    </row>
    <row r="478" spans="2:12">
      <c r="B478" s="202"/>
      <c r="C478" s="203"/>
      <c r="D478" s="203"/>
      <c r="E478" s="203"/>
      <c r="F478" s="203"/>
      <c r="G478" s="203"/>
      <c r="H478" s="204"/>
      <c r="I478" s="556" t="s">
        <v>1221</v>
      </c>
      <c r="J478" s="556"/>
      <c r="K478" s="220">
        <f>SUM(K473:K477)</f>
        <v>1380.4034327145916</v>
      </c>
      <c r="L478" s="207"/>
    </row>
    <row r="479" spans="2:12">
      <c r="B479" s="208"/>
      <c r="C479" s="204"/>
      <c r="D479" s="204"/>
      <c r="E479" s="204"/>
      <c r="F479" s="204"/>
      <c r="G479" s="204"/>
      <c r="H479" s="209"/>
      <c r="I479" s="557" t="s">
        <v>1222</v>
      </c>
      <c r="J479" s="557"/>
      <c r="K479" s="221">
        <f>VLOOKUP(B471,'BM 011'!$B$27:$R$590,5,0)+0.0001</f>
        <v>1380.4001000000001</v>
      </c>
      <c r="L479" s="207"/>
    </row>
    <row r="480" spans="2:12">
      <c r="B480" s="208"/>
      <c r="C480" s="204"/>
      <c r="D480" s="204"/>
      <c r="E480" s="204"/>
      <c r="F480" s="204"/>
      <c r="G480" s="204"/>
      <c r="H480" s="558" t="s">
        <v>1223</v>
      </c>
      <c r="I480" s="558"/>
      <c r="J480" s="558"/>
      <c r="K480" s="222">
        <v>61.6</v>
      </c>
      <c r="L480" s="207"/>
    </row>
    <row r="481" spans="2:12">
      <c r="B481" s="208"/>
      <c r="C481" s="204"/>
      <c r="D481" s="204"/>
      <c r="E481" s="204"/>
      <c r="F481" s="204"/>
      <c r="G481" s="204"/>
      <c r="H481" s="558" t="s">
        <v>1891</v>
      </c>
      <c r="I481" s="558"/>
      <c r="J481" s="558"/>
      <c r="K481" s="222">
        <f>IF(K478&gt;K479,K479,K478)-K480</f>
        <v>1318.8001000000002</v>
      </c>
      <c r="L481" s="207"/>
    </row>
    <row r="482" spans="2:12">
      <c r="B482" s="213"/>
      <c r="C482" s="214"/>
      <c r="D482" s="214"/>
      <c r="E482" s="214"/>
      <c r="F482" s="214"/>
      <c r="G482" s="214"/>
      <c r="H482" s="559" t="s">
        <v>1224</v>
      </c>
      <c r="I482" s="559"/>
      <c r="J482" s="559"/>
      <c r="K482" s="223">
        <f>IF(K478&gt;K479,K478-K479,0)</f>
        <v>3.3327145915791334E-3</v>
      </c>
      <c r="L482" s="209"/>
    </row>
    <row r="484" spans="2:12" ht="14.25" customHeight="1">
      <c r="B484" s="555" t="s">
        <v>1308</v>
      </c>
      <c r="C484" s="555"/>
      <c r="D484" s="555"/>
      <c r="E484" s="555"/>
      <c r="F484" s="555"/>
      <c r="G484" s="555"/>
      <c r="H484" s="555"/>
      <c r="I484" s="555"/>
      <c r="J484" s="555"/>
      <c r="K484" s="555"/>
      <c r="L484" s="555"/>
    </row>
    <row r="485" spans="2:12">
      <c r="B485" s="187" t="s">
        <v>1209</v>
      </c>
      <c r="C485" s="187"/>
      <c r="D485" s="187" t="s">
        <v>39</v>
      </c>
      <c r="E485" s="187" t="s">
        <v>1210</v>
      </c>
      <c r="F485" s="187" t="s">
        <v>1211</v>
      </c>
      <c r="G485" s="187" t="s">
        <v>1212</v>
      </c>
      <c r="H485" s="187" t="s">
        <v>1213</v>
      </c>
      <c r="I485" s="187" t="s">
        <v>1214</v>
      </c>
      <c r="J485" s="187" t="s">
        <v>1215</v>
      </c>
      <c r="K485" s="187" t="s">
        <v>1216</v>
      </c>
      <c r="L485" s="187" t="s">
        <v>1217</v>
      </c>
    </row>
    <row r="486" spans="2:12">
      <c r="B486" s="197" t="s">
        <v>1309</v>
      </c>
      <c r="C486" s="189"/>
      <c r="D486" s="190" t="s">
        <v>169</v>
      </c>
      <c r="E486" s="199">
        <v>5.18</v>
      </c>
      <c r="F486" s="199">
        <v>0.7</v>
      </c>
      <c r="G486" s="199">
        <v>0.7</v>
      </c>
      <c r="H486" s="199">
        <v>1</v>
      </c>
      <c r="I486" s="199">
        <f t="shared" ref="I486:I512" si="8">E486*F486*G486*H486*0.07</f>
        <v>0.17767399999999997</v>
      </c>
      <c r="J486" s="219"/>
      <c r="K486" s="217">
        <f t="shared" ref="K486:K514" si="9">IF(E486*F486*G486&lt;&gt;0,E486*F486*G486,IF(E486*F486&lt;&gt;0,E486*F486,IF(F486*G486&lt;&gt;0,F486*G486,IF(E486*G486&lt;&gt;0,E486*G486,IF(E486&lt;&gt;0,E486,IF(F486&lt;&gt;0,F486,IF(G486&lt;&gt;0,G486,0)))))))*(IF(H486&lt;&gt;0,H486,1))+I486-J486</f>
        <v>2.7158739999999995</v>
      </c>
      <c r="L486" s="218"/>
    </row>
    <row r="487" spans="2:12">
      <c r="B487" s="197" t="s">
        <v>1310</v>
      </c>
      <c r="C487" s="189"/>
      <c r="D487" s="190" t="s">
        <v>169</v>
      </c>
      <c r="E487" s="199">
        <v>6.94</v>
      </c>
      <c r="F487" s="199">
        <v>0.7</v>
      </c>
      <c r="G487" s="199">
        <v>0.7</v>
      </c>
      <c r="H487" s="199">
        <v>1</v>
      </c>
      <c r="I487" s="199">
        <f t="shared" si="8"/>
        <v>0.23804199999999998</v>
      </c>
      <c r="J487" s="219"/>
      <c r="K487" s="217">
        <f t="shared" si="9"/>
        <v>3.6386419999999995</v>
      </c>
      <c r="L487" s="218"/>
    </row>
    <row r="488" spans="2:12">
      <c r="B488" s="197" t="s">
        <v>1311</v>
      </c>
      <c r="C488" s="189"/>
      <c r="D488" s="190" t="s">
        <v>169</v>
      </c>
      <c r="E488" s="199">
        <v>3.89</v>
      </c>
      <c r="F488" s="199">
        <v>0.2</v>
      </c>
      <c r="G488" s="199">
        <v>0.7</v>
      </c>
      <c r="H488" s="199">
        <v>1</v>
      </c>
      <c r="I488" s="199">
        <f t="shared" si="8"/>
        <v>3.8122000000000003E-2</v>
      </c>
      <c r="J488" s="219"/>
      <c r="K488" s="217">
        <f t="shared" si="9"/>
        <v>0.58272199999999996</v>
      </c>
      <c r="L488" s="218"/>
    </row>
    <row r="489" spans="2:12">
      <c r="B489" s="197" t="s">
        <v>1312</v>
      </c>
      <c r="C489" s="189"/>
      <c r="D489" s="190" t="s">
        <v>169</v>
      </c>
      <c r="E489" s="199">
        <v>2.33</v>
      </c>
      <c r="F489" s="199">
        <v>0.2</v>
      </c>
      <c r="G489" s="199">
        <v>0.7</v>
      </c>
      <c r="H489" s="199">
        <v>1</v>
      </c>
      <c r="I489" s="199">
        <f t="shared" si="8"/>
        <v>2.2834E-2</v>
      </c>
      <c r="J489" s="219"/>
      <c r="K489" s="217">
        <f t="shared" si="9"/>
        <v>0.34903400000000001</v>
      </c>
      <c r="L489" s="218"/>
    </row>
    <row r="490" spans="2:12">
      <c r="B490" s="197" t="s">
        <v>1313</v>
      </c>
      <c r="C490" s="189"/>
      <c r="D490" s="190" t="s">
        <v>169</v>
      </c>
      <c r="E490" s="199">
        <v>2.33</v>
      </c>
      <c r="F490" s="199">
        <v>0.2</v>
      </c>
      <c r="G490" s="199">
        <v>0.7</v>
      </c>
      <c r="H490" s="199">
        <v>1</v>
      </c>
      <c r="I490" s="199">
        <f t="shared" si="8"/>
        <v>2.2834E-2</v>
      </c>
      <c r="J490" s="219"/>
      <c r="K490" s="217">
        <f t="shared" si="9"/>
        <v>0.34903400000000001</v>
      </c>
      <c r="L490" s="218"/>
    </row>
    <row r="491" spans="2:12">
      <c r="B491" s="197" t="s">
        <v>1314</v>
      </c>
      <c r="C491" s="189"/>
      <c r="D491" s="190" t="s">
        <v>169</v>
      </c>
      <c r="E491" s="199">
        <v>4.93</v>
      </c>
      <c r="F491" s="199">
        <v>0.2</v>
      </c>
      <c r="G491" s="199">
        <v>0.7</v>
      </c>
      <c r="H491" s="199">
        <v>1</v>
      </c>
      <c r="I491" s="199">
        <f t="shared" si="8"/>
        <v>4.8314000000000003E-2</v>
      </c>
      <c r="J491" s="219"/>
      <c r="K491" s="217">
        <f t="shared" si="9"/>
        <v>0.73851399999999989</v>
      </c>
      <c r="L491" s="218"/>
    </row>
    <row r="492" spans="2:12">
      <c r="B492" s="197" t="s">
        <v>1315</v>
      </c>
      <c r="C492" s="189"/>
      <c r="D492" s="190" t="s">
        <v>169</v>
      </c>
      <c r="E492" s="199">
        <v>4.33</v>
      </c>
      <c r="F492" s="199">
        <v>0.2</v>
      </c>
      <c r="G492" s="199">
        <v>0.7</v>
      </c>
      <c r="H492" s="199">
        <v>1</v>
      </c>
      <c r="I492" s="199">
        <f t="shared" si="8"/>
        <v>4.2434000000000006E-2</v>
      </c>
      <c r="J492" s="219"/>
      <c r="K492" s="217">
        <f t="shared" si="9"/>
        <v>0.64863400000000004</v>
      </c>
      <c r="L492" s="218"/>
    </row>
    <row r="493" spans="2:12">
      <c r="B493" s="197" t="s">
        <v>1368</v>
      </c>
      <c r="C493" s="189"/>
      <c r="D493" s="190" t="s">
        <v>169</v>
      </c>
      <c r="E493" s="199">
        <v>3.32</v>
      </c>
      <c r="F493" s="199">
        <v>0.2</v>
      </c>
      <c r="G493" s="199">
        <v>0.7</v>
      </c>
      <c r="H493" s="199">
        <v>1</v>
      </c>
      <c r="I493" s="199">
        <f t="shared" si="8"/>
        <v>3.2536000000000002E-2</v>
      </c>
      <c r="J493" s="219"/>
      <c r="K493" s="217">
        <f t="shared" si="9"/>
        <v>0.497336</v>
      </c>
      <c r="L493" s="218"/>
    </row>
    <row r="494" spans="2:12">
      <c r="B494" s="197" t="s">
        <v>1369</v>
      </c>
      <c r="C494" s="189"/>
      <c r="D494" s="190" t="s">
        <v>169</v>
      </c>
      <c r="E494" s="199">
        <v>4.78</v>
      </c>
      <c r="F494" s="199">
        <v>0.2</v>
      </c>
      <c r="G494" s="199">
        <v>0.7</v>
      </c>
      <c r="H494" s="199">
        <v>1</v>
      </c>
      <c r="I494" s="199">
        <f t="shared" si="8"/>
        <v>4.6844000000000004E-2</v>
      </c>
      <c r="J494" s="219"/>
      <c r="K494" s="217">
        <f t="shared" si="9"/>
        <v>0.71604400000000001</v>
      </c>
      <c r="L494" s="218"/>
    </row>
    <row r="495" spans="2:12">
      <c r="B495" s="197" t="s">
        <v>1370</v>
      </c>
      <c r="C495" s="189"/>
      <c r="D495" s="190" t="s">
        <v>169</v>
      </c>
      <c r="E495" s="199">
        <v>2.7</v>
      </c>
      <c r="F495" s="199">
        <v>0.2</v>
      </c>
      <c r="G495" s="199">
        <v>0.7</v>
      </c>
      <c r="H495" s="199">
        <v>1</v>
      </c>
      <c r="I495" s="199">
        <f t="shared" si="8"/>
        <v>2.6460000000000004E-2</v>
      </c>
      <c r="J495" s="219"/>
      <c r="K495" s="217">
        <f t="shared" si="9"/>
        <v>0.40445999999999999</v>
      </c>
      <c r="L495" s="218"/>
    </row>
    <row r="496" spans="2:12">
      <c r="B496" s="197" t="s">
        <v>1371</v>
      </c>
      <c r="C496" s="189"/>
      <c r="D496" s="190" t="s">
        <v>169</v>
      </c>
      <c r="E496" s="199">
        <v>2.7</v>
      </c>
      <c r="F496" s="199">
        <v>0.2</v>
      </c>
      <c r="G496" s="199">
        <v>0.7</v>
      </c>
      <c r="H496" s="199">
        <v>1</v>
      </c>
      <c r="I496" s="199">
        <f t="shared" si="8"/>
        <v>2.6460000000000004E-2</v>
      </c>
      <c r="J496" s="219"/>
      <c r="K496" s="217">
        <f t="shared" si="9"/>
        <v>0.40445999999999999</v>
      </c>
      <c r="L496" s="218"/>
    </row>
    <row r="497" spans="2:12">
      <c r="B497" s="197" t="s">
        <v>1372</v>
      </c>
      <c r="C497" s="189"/>
      <c r="D497" s="190" t="s">
        <v>169</v>
      </c>
      <c r="E497" s="199">
        <v>5.62</v>
      </c>
      <c r="F497" s="199">
        <v>0.2</v>
      </c>
      <c r="G497" s="199">
        <v>0.7</v>
      </c>
      <c r="H497" s="199">
        <v>1</v>
      </c>
      <c r="I497" s="199">
        <f t="shared" si="8"/>
        <v>5.5076000000000007E-2</v>
      </c>
      <c r="J497" s="219"/>
      <c r="K497" s="217">
        <f t="shared" si="9"/>
        <v>0.84187600000000007</v>
      </c>
      <c r="L497" s="218"/>
    </row>
    <row r="498" spans="2:12">
      <c r="B498" s="197" t="s">
        <v>1373</v>
      </c>
      <c r="C498" s="189"/>
      <c r="D498" s="190" t="s">
        <v>169</v>
      </c>
      <c r="E498" s="199">
        <v>5.62</v>
      </c>
      <c r="F498" s="199">
        <v>0.2</v>
      </c>
      <c r="G498" s="199">
        <v>0.7</v>
      </c>
      <c r="H498" s="199">
        <v>1</v>
      </c>
      <c r="I498" s="199">
        <f t="shared" si="8"/>
        <v>5.5076000000000007E-2</v>
      </c>
      <c r="J498" s="219"/>
      <c r="K498" s="217">
        <f t="shared" si="9"/>
        <v>0.84187600000000007</v>
      </c>
      <c r="L498" s="218"/>
    </row>
    <row r="499" spans="2:12">
      <c r="B499" s="197" t="s">
        <v>1374</v>
      </c>
      <c r="C499" s="189"/>
      <c r="D499" s="190" t="s">
        <v>169</v>
      </c>
      <c r="E499" s="199">
        <v>2.38</v>
      </c>
      <c r="F499" s="199">
        <v>0.2</v>
      </c>
      <c r="G499" s="199">
        <v>0.7</v>
      </c>
      <c r="H499" s="199">
        <v>1</v>
      </c>
      <c r="I499" s="199">
        <f t="shared" si="8"/>
        <v>2.3323999999999998E-2</v>
      </c>
      <c r="J499" s="219"/>
      <c r="K499" s="217">
        <f t="shared" si="9"/>
        <v>0.35652399999999995</v>
      </c>
      <c r="L499" s="218"/>
    </row>
    <row r="500" spans="2:12">
      <c r="B500" s="197" t="s">
        <v>1375</v>
      </c>
      <c r="C500" s="189"/>
      <c r="D500" s="190" t="s">
        <v>169</v>
      </c>
      <c r="E500" s="199">
        <v>3.84</v>
      </c>
      <c r="F500" s="199">
        <v>0.2</v>
      </c>
      <c r="G500" s="199">
        <v>0.7</v>
      </c>
      <c r="H500" s="199">
        <v>1</v>
      </c>
      <c r="I500" s="199">
        <f t="shared" si="8"/>
        <v>3.7631999999999999E-2</v>
      </c>
      <c r="J500" s="219"/>
      <c r="K500" s="217">
        <f t="shared" si="9"/>
        <v>0.57523199999999997</v>
      </c>
      <c r="L500" s="218"/>
    </row>
    <row r="501" spans="2:12">
      <c r="B501" s="197" t="s">
        <v>1376</v>
      </c>
      <c r="C501" s="189"/>
      <c r="D501" s="190" t="s">
        <v>169</v>
      </c>
      <c r="E501" s="199">
        <v>4.4400000000000004</v>
      </c>
      <c r="F501" s="199">
        <v>0.3</v>
      </c>
      <c r="G501" s="199">
        <v>0.7</v>
      </c>
      <c r="H501" s="199">
        <v>1</v>
      </c>
      <c r="I501" s="199">
        <f t="shared" si="8"/>
        <v>6.5268000000000007E-2</v>
      </c>
      <c r="J501" s="219"/>
      <c r="K501" s="217">
        <f t="shared" si="9"/>
        <v>0.997668</v>
      </c>
      <c r="L501" s="218"/>
    </row>
    <row r="502" spans="2:12">
      <c r="B502" s="197" t="s">
        <v>1377</v>
      </c>
      <c r="C502" s="189"/>
      <c r="D502" s="190" t="s">
        <v>169</v>
      </c>
      <c r="E502" s="199">
        <v>2.39</v>
      </c>
      <c r="F502" s="199">
        <v>0.7</v>
      </c>
      <c r="G502" s="199">
        <v>0.7</v>
      </c>
      <c r="H502" s="199">
        <v>1</v>
      </c>
      <c r="I502" s="199">
        <f t="shared" si="8"/>
        <v>8.1977000000000008E-2</v>
      </c>
      <c r="J502" s="219"/>
      <c r="K502" s="217">
        <f t="shared" si="9"/>
        <v>1.253077</v>
      </c>
      <c r="L502" s="218"/>
    </row>
    <row r="503" spans="2:12">
      <c r="B503" s="197" t="s">
        <v>1378</v>
      </c>
      <c r="C503" s="189"/>
      <c r="D503" s="190" t="s">
        <v>169</v>
      </c>
      <c r="E503" s="199">
        <v>1.46</v>
      </c>
      <c r="F503" s="199">
        <v>0.2</v>
      </c>
      <c r="G503" s="199">
        <v>0.7</v>
      </c>
      <c r="H503" s="199">
        <v>1</v>
      </c>
      <c r="I503" s="199">
        <f t="shared" si="8"/>
        <v>1.4308E-2</v>
      </c>
      <c r="J503" s="219"/>
      <c r="K503" s="217">
        <f t="shared" si="9"/>
        <v>0.21870799999999996</v>
      </c>
      <c r="L503" s="218"/>
    </row>
    <row r="504" spans="2:12">
      <c r="B504" s="197" t="s">
        <v>1379</v>
      </c>
      <c r="C504" s="189"/>
      <c r="D504" s="190" t="s">
        <v>169</v>
      </c>
      <c r="E504" s="199">
        <v>0.91</v>
      </c>
      <c r="F504" s="199">
        <v>0.2</v>
      </c>
      <c r="G504" s="199">
        <v>0.7</v>
      </c>
      <c r="H504" s="199">
        <v>1</v>
      </c>
      <c r="I504" s="199">
        <f t="shared" si="8"/>
        <v>8.9180000000000023E-3</v>
      </c>
      <c r="J504" s="219"/>
      <c r="K504" s="217">
        <f t="shared" si="9"/>
        <v>0.13631800000000002</v>
      </c>
      <c r="L504" s="218"/>
    </row>
    <row r="505" spans="2:12">
      <c r="B505" s="197" t="s">
        <v>1380</v>
      </c>
      <c r="C505" s="189"/>
      <c r="D505" s="190" t="s">
        <v>169</v>
      </c>
      <c r="E505" s="199">
        <v>0.97</v>
      </c>
      <c r="F505" s="199">
        <v>0.2</v>
      </c>
      <c r="G505" s="199">
        <v>0.7</v>
      </c>
      <c r="H505" s="199">
        <v>1</v>
      </c>
      <c r="I505" s="199">
        <f t="shared" si="8"/>
        <v>9.5060000000000006E-3</v>
      </c>
      <c r="J505" s="219"/>
      <c r="K505" s="217">
        <f t="shared" si="9"/>
        <v>0.14530599999999999</v>
      </c>
      <c r="L505" s="218"/>
    </row>
    <row r="506" spans="2:12">
      <c r="B506" s="197" t="s">
        <v>1381</v>
      </c>
      <c r="C506" s="189"/>
      <c r="D506" s="190" t="s">
        <v>169</v>
      </c>
      <c r="E506" s="199">
        <v>1.37</v>
      </c>
      <c r="F506" s="199">
        <v>0.2</v>
      </c>
      <c r="G506" s="199">
        <v>0.7</v>
      </c>
      <c r="H506" s="199">
        <v>1</v>
      </c>
      <c r="I506" s="199">
        <f t="shared" si="8"/>
        <v>1.3426E-2</v>
      </c>
      <c r="J506" s="219"/>
      <c r="K506" s="217">
        <f t="shared" si="9"/>
        <v>0.20522599999999999</v>
      </c>
      <c r="L506" s="218"/>
    </row>
    <row r="507" spans="2:12">
      <c r="B507" s="197" t="s">
        <v>1449</v>
      </c>
      <c r="C507" s="189"/>
      <c r="D507" s="190" t="s">
        <v>169</v>
      </c>
      <c r="E507" s="199">
        <v>10.96</v>
      </c>
      <c r="F507" s="199">
        <v>0.2</v>
      </c>
      <c r="G507" s="199">
        <v>0.7</v>
      </c>
      <c r="H507" s="199">
        <v>1</v>
      </c>
      <c r="I507" s="199">
        <f t="shared" si="8"/>
        <v>0.107408</v>
      </c>
      <c r="J507" s="219"/>
      <c r="K507" s="217">
        <f t="shared" si="9"/>
        <v>1.6418079999999999</v>
      </c>
      <c r="L507" s="218"/>
    </row>
    <row r="508" spans="2:12">
      <c r="B508" s="197" t="s">
        <v>1450</v>
      </c>
      <c r="C508" s="189"/>
      <c r="D508" s="190" t="s">
        <v>169</v>
      </c>
      <c r="E508" s="199">
        <v>8.35</v>
      </c>
      <c r="F508" s="199">
        <v>0.2</v>
      </c>
      <c r="G508" s="199">
        <v>0.7</v>
      </c>
      <c r="H508" s="199">
        <v>1</v>
      </c>
      <c r="I508" s="199">
        <f t="shared" si="8"/>
        <v>8.183E-2</v>
      </c>
      <c r="J508" s="219"/>
      <c r="K508" s="217">
        <f t="shared" si="9"/>
        <v>1.2508299999999999</v>
      </c>
      <c r="L508" s="218"/>
    </row>
    <row r="509" spans="2:12">
      <c r="B509" s="197" t="s">
        <v>1451</v>
      </c>
      <c r="C509" s="189"/>
      <c r="D509" s="190" t="s">
        <v>169</v>
      </c>
      <c r="E509" s="199">
        <v>6.88</v>
      </c>
      <c r="F509" s="199">
        <v>0.2</v>
      </c>
      <c r="G509" s="199">
        <v>0.7</v>
      </c>
      <c r="H509" s="199">
        <v>1</v>
      </c>
      <c r="I509" s="199">
        <f t="shared" si="8"/>
        <v>6.7424000000000012E-2</v>
      </c>
      <c r="J509" s="219"/>
      <c r="K509" s="217">
        <f t="shared" si="9"/>
        <v>1.030624</v>
      </c>
      <c r="L509" s="218"/>
    </row>
    <row r="510" spans="2:12">
      <c r="B510" s="197" t="s">
        <v>1452</v>
      </c>
      <c r="C510" s="189"/>
      <c r="D510" s="190" t="s">
        <v>169</v>
      </c>
      <c r="E510" s="199">
        <v>6.93</v>
      </c>
      <c r="F510" s="199">
        <v>0.2</v>
      </c>
      <c r="G510" s="199">
        <v>0.7</v>
      </c>
      <c r="H510" s="199">
        <v>1</v>
      </c>
      <c r="I510" s="199">
        <f t="shared" si="8"/>
        <v>6.7914000000000016E-2</v>
      </c>
      <c r="J510" s="219"/>
      <c r="K510" s="217">
        <f t="shared" si="9"/>
        <v>1.038114</v>
      </c>
      <c r="L510" s="218"/>
    </row>
    <row r="511" spans="2:12">
      <c r="B511" s="197" t="s">
        <v>1453</v>
      </c>
      <c r="C511" s="189"/>
      <c r="D511" s="190" t="s">
        <v>169</v>
      </c>
      <c r="E511" s="199">
        <v>8.01</v>
      </c>
      <c r="F511" s="199">
        <v>0.2</v>
      </c>
      <c r="G511" s="199">
        <v>0.7</v>
      </c>
      <c r="H511" s="199">
        <v>1</v>
      </c>
      <c r="I511" s="199">
        <f t="shared" si="8"/>
        <v>7.8497999999999998E-2</v>
      </c>
      <c r="J511" s="219"/>
      <c r="K511" s="217">
        <f t="shared" si="9"/>
        <v>1.1998979999999999</v>
      </c>
      <c r="L511" s="218"/>
    </row>
    <row r="512" spans="2:12">
      <c r="B512" s="197" t="s">
        <v>1454</v>
      </c>
      <c r="C512" s="189"/>
      <c r="D512" s="190" t="s">
        <v>169</v>
      </c>
      <c r="E512" s="199">
        <v>3.6</v>
      </c>
      <c r="F512" s="199">
        <v>1</v>
      </c>
      <c r="G512" s="199">
        <v>0.6</v>
      </c>
      <c r="H512" s="199">
        <v>1</v>
      </c>
      <c r="I512" s="199">
        <f t="shared" si="8"/>
        <v>0.15120000000000003</v>
      </c>
      <c r="J512" s="219"/>
      <c r="K512" s="217">
        <f t="shared" si="9"/>
        <v>2.3112000000000004</v>
      </c>
      <c r="L512" s="218"/>
    </row>
    <row r="513" spans="2:12">
      <c r="B513" s="197"/>
      <c r="C513" s="189"/>
      <c r="D513" s="190"/>
      <c r="E513" s="199"/>
      <c r="F513" s="199"/>
      <c r="G513" s="199"/>
      <c r="H513" s="199"/>
      <c r="I513" s="199"/>
      <c r="J513" s="219"/>
      <c r="K513" s="217">
        <f t="shared" si="9"/>
        <v>0</v>
      </c>
      <c r="L513" s="218"/>
    </row>
    <row r="514" spans="2:12">
      <c r="B514" s="197"/>
      <c r="C514" s="189"/>
      <c r="D514" s="198"/>
      <c r="E514" s="199"/>
      <c r="F514" s="199"/>
      <c r="G514" s="199"/>
      <c r="H514" s="199"/>
      <c r="I514" s="199"/>
      <c r="J514" s="219"/>
      <c r="K514" s="217">
        <f t="shared" si="9"/>
        <v>0</v>
      </c>
      <c r="L514" s="218"/>
    </row>
    <row r="515" spans="2:12">
      <c r="B515" s="202"/>
      <c r="C515" s="203"/>
      <c r="D515" s="203"/>
      <c r="E515" s="203"/>
      <c r="F515" s="203"/>
      <c r="G515" s="203"/>
      <c r="H515" s="204"/>
      <c r="I515" s="556" t="s">
        <v>1221</v>
      </c>
      <c r="J515" s="556"/>
      <c r="K515" s="220">
        <f>SUM(K486:K514)</f>
        <v>25.089039000000003</v>
      </c>
      <c r="L515" s="207"/>
    </row>
    <row r="516" spans="2:12">
      <c r="B516" s="208"/>
      <c r="C516" s="204"/>
      <c r="D516" s="204"/>
      <c r="E516" s="204"/>
      <c r="F516" s="204"/>
      <c r="G516" s="204"/>
      <c r="H516" s="209"/>
      <c r="I516" s="557" t="s">
        <v>1222</v>
      </c>
      <c r="J516" s="557"/>
      <c r="K516" s="221">
        <v>25.08</v>
      </c>
      <c r="L516" s="207"/>
    </row>
    <row r="517" spans="2:12">
      <c r="B517" s="208"/>
      <c r="C517" s="204"/>
      <c r="D517" s="204"/>
      <c r="E517" s="204"/>
      <c r="F517" s="204"/>
      <c r="G517" s="204"/>
      <c r="H517" s="558" t="s">
        <v>1223</v>
      </c>
      <c r="I517" s="558"/>
      <c r="J517" s="558"/>
      <c r="K517" s="222">
        <v>22.9900105185644</v>
      </c>
      <c r="L517" s="207"/>
    </row>
    <row r="518" spans="2:12">
      <c r="B518" s="208"/>
      <c r="C518" s="204"/>
      <c r="D518" s="204"/>
      <c r="E518" s="204"/>
      <c r="F518" s="204"/>
      <c r="G518" s="204"/>
      <c r="H518" s="558" t="s">
        <v>1435</v>
      </c>
      <c r="I518" s="558"/>
      <c r="J518" s="558"/>
      <c r="K518" s="222">
        <f>IF(K515&gt;K516,K516,K515)-K517+0.0000105185643549158</f>
        <v>2.0899999999999532</v>
      </c>
      <c r="L518" s="207"/>
    </row>
    <row r="519" spans="2:12">
      <c r="B519" s="213"/>
      <c r="C519" s="214"/>
      <c r="D519" s="214"/>
      <c r="E519" s="214"/>
      <c r="F519" s="214"/>
      <c r="G519" s="214"/>
      <c r="H519" s="559" t="s">
        <v>1224</v>
      </c>
      <c r="I519" s="559"/>
      <c r="J519" s="559"/>
      <c r="K519" s="223">
        <f>IF(K515&gt;K516,K515-K516,0)</f>
        <v>9.0390000000049042E-3</v>
      </c>
      <c r="L519" s="209"/>
    </row>
    <row r="521" spans="2:12">
      <c r="B521" s="247" t="s">
        <v>197</v>
      </c>
      <c r="C521" s="565" t="s">
        <v>198</v>
      </c>
      <c r="D521" s="565"/>
      <c r="E521" s="565"/>
      <c r="F521" s="565"/>
      <c r="G521" s="565"/>
      <c r="H521" s="565"/>
      <c r="I521" s="565"/>
      <c r="J521" s="565"/>
      <c r="K521" s="565"/>
      <c r="L521" s="565"/>
    </row>
    <row r="522" spans="2:12">
      <c r="B522" s="248" t="s">
        <v>1209</v>
      </c>
      <c r="C522" s="248"/>
      <c r="D522" s="248" t="s">
        <v>39</v>
      </c>
      <c r="E522" s="248" t="s">
        <v>1210</v>
      </c>
      <c r="F522" s="248" t="s">
        <v>1382</v>
      </c>
      <c r="G522" s="248" t="s">
        <v>1383</v>
      </c>
      <c r="H522" s="248" t="s">
        <v>1384</v>
      </c>
      <c r="I522" s="248" t="s">
        <v>1214</v>
      </c>
      <c r="J522" s="248" t="s">
        <v>1385</v>
      </c>
      <c r="K522" s="248" t="s">
        <v>1216</v>
      </c>
      <c r="L522" s="248" t="s">
        <v>1217</v>
      </c>
    </row>
    <row r="523" spans="2:12">
      <c r="B523" s="249" t="s">
        <v>1367</v>
      </c>
      <c r="C523" s="250" t="s">
        <v>1333</v>
      </c>
      <c r="D523" s="205" t="s">
        <v>152</v>
      </c>
      <c r="E523" s="251">
        <v>661</v>
      </c>
      <c r="F523" s="252">
        <v>0.154</v>
      </c>
      <c r="G523" s="251"/>
      <c r="H523" s="251">
        <v>1.1000000000000001</v>
      </c>
      <c r="I523" s="251"/>
      <c r="J523" s="253"/>
      <c r="K523" s="254">
        <f t="shared" ref="K523:K541" si="10">IF(E523*F523*G523&lt;&gt;0,E523*F523*G523,IF(E523*F523&lt;&gt;0,E523*F523,IF(F523*G523&lt;&gt;0,F523*G523,IF(E523*G523&lt;&gt;0,E523*G523,IF(E523&lt;&gt;0,E523,IF(F523&lt;&gt;0,F523,IF(G523&lt;&gt;0,G523,0)))))))*(IF(H523&lt;&gt;0,H523,1))+I523-J523</f>
        <v>111.97340000000001</v>
      </c>
      <c r="L523" s="255"/>
    </row>
    <row r="524" spans="2:12">
      <c r="B524" s="249" t="s">
        <v>1386</v>
      </c>
      <c r="C524" s="250" t="s">
        <v>1333</v>
      </c>
      <c r="D524" s="205" t="s">
        <v>152</v>
      </c>
      <c r="E524" s="251">
        <v>433</v>
      </c>
      <c r="F524" s="252">
        <v>0.154</v>
      </c>
      <c r="G524" s="251"/>
      <c r="H524" s="251">
        <v>1.1000000000000001</v>
      </c>
      <c r="I524" s="251"/>
      <c r="J524" s="253"/>
      <c r="K524" s="254">
        <f t="shared" si="10"/>
        <v>73.350200000000015</v>
      </c>
      <c r="L524" s="255"/>
    </row>
    <row r="525" spans="2:12">
      <c r="B525" s="263" t="s">
        <v>1475</v>
      </c>
      <c r="C525" s="264" t="s">
        <v>1441</v>
      </c>
      <c r="D525" s="205" t="s">
        <v>152</v>
      </c>
      <c r="E525" s="251">
        <v>257</v>
      </c>
      <c r="F525" s="252">
        <v>0.154</v>
      </c>
      <c r="G525" s="251"/>
      <c r="H525" s="251">
        <v>1.1000000000000001</v>
      </c>
      <c r="I525" s="251"/>
      <c r="J525" s="253"/>
      <c r="K525" s="254">
        <f t="shared" si="10"/>
        <v>43.535800000000009</v>
      </c>
      <c r="L525" s="255"/>
    </row>
    <row r="526" spans="2:12">
      <c r="B526" s="263" t="s">
        <v>1476</v>
      </c>
      <c r="C526" s="264" t="s">
        <v>1441</v>
      </c>
      <c r="D526" s="205" t="s">
        <v>152</v>
      </c>
      <c r="E526" s="251">
        <v>402</v>
      </c>
      <c r="F526" s="252">
        <v>0.154</v>
      </c>
      <c r="G526" s="251"/>
      <c r="H526" s="251">
        <v>1.1000000000000001</v>
      </c>
      <c r="I526" s="251"/>
      <c r="J526" s="253"/>
      <c r="K526" s="254">
        <f t="shared" si="10"/>
        <v>68.098800000000011</v>
      </c>
      <c r="L526" s="255"/>
    </row>
    <row r="527" spans="2:12">
      <c r="B527" s="263" t="s">
        <v>1552</v>
      </c>
      <c r="C527" s="264" t="s">
        <v>1521</v>
      </c>
      <c r="D527" s="205" t="s">
        <v>152</v>
      </c>
      <c r="E527" s="251">
        <v>759</v>
      </c>
      <c r="F527" s="252">
        <v>0.154</v>
      </c>
      <c r="G527" s="251"/>
      <c r="H527" s="251">
        <v>1.1000000000000001</v>
      </c>
      <c r="I527" s="251"/>
      <c r="J527" s="253"/>
      <c r="K527" s="254">
        <f t="shared" si="10"/>
        <v>128.5746</v>
      </c>
      <c r="L527" s="266"/>
    </row>
    <row r="528" spans="2:12">
      <c r="B528" s="263" t="s">
        <v>1553</v>
      </c>
      <c r="C528" s="264" t="s">
        <v>1521</v>
      </c>
      <c r="D528" s="205" t="s">
        <v>152</v>
      </c>
      <c r="E528" s="251">
        <v>239</v>
      </c>
      <c r="F528" s="252">
        <v>0.154</v>
      </c>
      <c r="G528" s="251"/>
      <c r="H528" s="251">
        <v>1.1000000000000001</v>
      </c>
      <c r="I528" s="251"/>
      <c r="J528" s="253"/>
      <c r="K528" s="254">
        <f t="shared" si="10"/>
        <v>40.486600000000003</v>
      </c>
      <c r="L528" s="266"/>
    </row>
    <row r="529" spans="2:12">
      <c r="B529" s="263" t="s">
        <v>1642</v>
      </c>
      <c r="C529" s="264" t="s">
        <v>1611</v>
      </c>
      <c r="D529" s="205" t="s">
        <v>152</v>
      </c>
      <c r="E529" s="251">
        <v>433</v>
      </c>
      <c r="F529" s="252">
        <v>0.154</v>
      </c>
      <c r="G529" s="251"/>
      <c r="H529" s="251">
        <v>1.1000000000000001</v>
      </c>
      <c r="I529" s="251"/>
      <c r="J529" s="253"/>
      <c r="K529" s="254">
        <f t="shared" si="10"/>
        <v>73.350200000000015</v>
      </c>
      <c r="L529" s="266"/>
    </row>
    <row r="530" spans="2:12">
      <c r="B530" s="263" t="s">
        <v>1643</v>
      </c>
      <c r="C530" s="264" t="s">
        <v>1611</v>
      </c>
      <c r="D530" s="205" t="s">
        <v>152</v>
      </c>
      <c r="E530" s="251">
        <v>276</v>
      </c>
      <c r="F530" s="252">
        <v>0.154</v>
      </c>
      <c r="G530" s="251"/>
      <c r="H530" s="251">
        <v>1.1000000000000001</v>
      </c>
      <c r="I530" s="251"/>
      <c r="J530" s="253"/>
      <c r="K530" s="254">
        <f t="shared" si="10"/>
        <v>46.754400000000004</v>
      </c>
      <c r="L530" s="266"/>
    </row>
    <row r="531" spans="2:12">
      <c r="B531" s="263" t="s">
        <v>1644</v>
      </c>
      <c r="C531" s="264" t="s">
        <v>1612</v>
      </c>
      <c r="D531" s="205" t="s">
        <v>152</v>
      </c>
      <c r="E531" s="251">
        <v>214</v>
      </c>
      <c r="F531" s="252">
        <v>0.154</v>
      </c>
      <c r="G531" s="251"/>
      <c r="H531" s="251">
        <v>1.1000000000000001</v>
      </c>
      <c r="I531" s="251"/>
      <c r="J531" s="253"/>
      <c r="K531" s="254">
        <f t="shared" si="10"/>
        <v>36.251600000000003</v>
      </c>
      <c r="L531" s="266"/>
    </row>
    <row r="532" spans="2:12">
      <c r="B532" s="263" t="s">
        <v>1645</v>
      </c>
      <c r="C532" s="264" t="s">
        <v>1612</v>
      </c>
      <c r="D532" s="205" t="s">
        <v>152</v>
      </c>
      <c r="E532" s="251">
        <v>580</v>
      </c>
      <c r="F532" s="252">
        <v>0.154</v>
      </c>
      <c r="G532" s="251"/>
      <c r="H532" s="251">
        <v>1.1000000000000001</v>
      </c>
      <c r="I532" s="251"/>
      <c r="J532" s="253"/>
      <c r="K532" s="254">
        <f t="shared" si="10"/>
        <v>98.251999999999995</v>
      </c>
      <c r="L532" s="255"/>
    </row>
    <row r="533" spans="2:12">
      <c r="B533" s="263" t="s">
        <v>1646</v>
      </c>
      <c r="C533" s="264" t="s">
        <v>1612</v>
      </c>
      <c r="D533" s="205" t="s">
        <v>152</v>
      </c>
      <c r="E533" s="251">
        <v>565</v>
      </c>
      <c r="F533" s="252">
        <v>0.154</v>
      </c>
      <c r="G533" s="251"/>
      <c r="H533" s="251">
        <v>1.1000000000000001</v>
      </c>
      <c r="I533" s="251"/>
      <c r="J533" s="253"/>
      <c r="K533" s="254">
        <f t="shared" si="10"/>
        <v>95.711000000000013</v>
      </c>
      <c r="L533" s="255"/>
    </row>
    <row r="534" spans="2:12">
      <c r="B534" s="263" t="s">
        <v>1647</v>
      </c>
      <c r="C534" s="264" t="s">
        <v>1613</v>
      </c>
      <c r="D534" s="205" t="s">
        <v>152</v>
      </c>
      <c r="E534" s="257">
        <v>951</v>
      </c>
      <c r="F534" s="258">
        <v>0.154</v>
      </c>
      <c r="G534" s="257"/>
      <c r="H534" s="257">
        <v>1.1000000000000001</v>
      </c>
      <c r="I534" s="251"/>
      <c r="J534" s="253"/>
      <c r="K534" s="254">
        <f t="shared" si="10"/>
        <v>161.09940000000003</v>
      </c>
      <c r="L534" s="255"/>
    </row>
    <row r="535" spans="2:12">
      <c r="B535" s="263" t="s">
        <v>1896</v>
      </c>
      <c r="C535" s="264" t="s">
        <v>1895</v>
      </c>
      <c r="D535" s="205" t="s">
        <v>152</v>
      </c>
      <c r="E535" s="257">
        <v>1190</v>
      </c>
      <c r="F535" s="258">
        <v>0.154</v>
      </c>
      <c r="G535" s="257"/>
      <c r="H535" s="257">
        <v>1.1000000000000001</v>
      </c>
      <c r="I535" s="251"/>
      <c r="J535" s="253"/>
      <c r="K535" s="254">
        <f t="shared" si="10"/>
        <v>201.58600000000001</v>
      </c>
      <c r="L535" s="255"/>
    </row>
    <row r="536" spans="2:12">
      <c r="B536" s="263" t="s">
        <v>1942</v>
      </c>
      <c r="C536" s="264" t="s">
        <v>1931</v>
      </c>
      <c r="D536" s="205" t="s">
        <v>152</v>
      </c>
      <c r="E536" s="257">
        <v>1696</v>
      </c>
      <c r="F536" s="258">
        <v>0.154</v>
      </c>
      <c r="G536" s="257"/>
      <c r="H536" s="257">
        <v>1.1000000000000001</v>
      </c>
      <c r="I536" s="251"/>
      <c r="J536" s="253"/>
      <c r="K536" s="254">
        <f t="shared" si="10"/>
        <v>287.30239999999998</v>
      </c>
      <c r="L536" s="255"/>
    </row>
    <row r="537" spans="2:12">
      <c r="B537" s="263" t="s">
        <v>1943</v>
      </c>
      <c r="C537" s="264" t="s">
        <v>1931</v>
      </c>
      <c r="D537" s="205" t="s">
        <v>152</v>
      </c>
      <c r="E537" s="257">
        <v>271</v>
      </c>
      <c r="F537" s="258">
        <v>0.154</v>
      </c>
      <c r="G537" s="257"/>
      <c r="H537" s="257">
        <v>1.1000000000000001</v>
      </c>
      <c r="I537" s="251"/>
      <c r="J537" s="253"/>
      <c r="K537" s="254">
        <f t="shared" si="10"/>
        <v>45.907400000000003</v>
      </c>
      <c r="L537" s="255"/>
    </row>
    <row r="538" spans="2:12">
      <c r="B538" s="263" t="s">
        <v>1999</v>
      </c>
      <c r="C538" s="264" t="s">
        <v>1998</v>
      </c>
      <c r="D538" s="205" t="s">
        <v>152</v>
      </c>
      <c r="E538" s="257">
        <v>491</v>
      </c>
      <c r="F538" s="258">
        <v>0.154</v>
      </c>
      <c r="G538" s="257"/>
      <c r="H538" s="257">
        <v>1.1000000000000001</v>
      </c>
      <c r="I538" s="251"/>
      <c r="J538" s="253"/>
      <c r="K538" s="254">
        <f t="shared" si="10"/>
        <v>83.17540000000001</v>
      </c>
      <c r="L538" s="255"/>
    </row>
    <row r="539" spans="2:12">
      <c r="B539" s="263" t="s">
        <v>2000</v>
      </c>
      <c r="C539" s="264" t="s">
        <v>1998</v>
      </c>
      <c r="D539" s="205" t="s">
        <v>152</v>
      </c>
      <c r="E539" s="257">
        <v>692</v>
      </c>
      <c r="F539" s="258">
        <v>0.154</v>
      </c>
      <c r="G539" s="257"/>
      <c r="H539" s="257">
        <v>1.1000000000000001</v>
      </c>
      <c r="I539" s="251"/>
      <c r="J539" s="253"/>
      <c r="K539" s="254">
        <f t="shared" si="10"/>
        <v>117.2248</v>
      </c>
      <c r="L539" s="255"/>
    </row>
    <row r="540" spans="2:12">
      <c r="B540" s="263" t="s">
        <v>2001</v>
      </c>
      <c r="C540" s="264" t="s">
        <v>1998</v>
      </c>
      <c r="D540" s="205" t="s">
        <v>152</v>
      </c>
      <c r="E540" s="257">
        <v>643</v>
      </c>
      <c r="F540" s="258">
        <v>0.154</v>
      </c>
      <c r="G540" s="257"/>
      <c r="H540" s="257">
        <v>1.1000000000000001</v>
      </c>
      <c r="I540" s="251"/>
      <c r="J540" s="253"/>
      <c r="K540" s="254">
        <f t="shared" si="10"/>
        <v>108.92420000000001</v>
      </c>
      <c r="L540" s="255"/>
    </row>
    <row r="541" spans="2:12">
      <c r="B541" s="263" t="s">
        <v>2002</v>
      </c>
      <c r="C541" s="264" t="s">
        <v>1998</v>
      </c>
      <c r="D541" s="205" t="s">
        <v>152</v>
      </c>
      <c r="E541" s="257">
        <v>428</v>
      </c>
      <c r="F541" s="258">
        <v>0.154</v>
      </c>
      <c r="G541" s="257"/>
      <c r="H541" s="257">
        <v>1.1000000000000001</v>
      </c>
      <c r="I541" s="251"/>
      <c r="J541" s="253"/>
      <c r="K541" s="254">
        <f t="shared" si="10"/>
        <v>72.503200000000007</v>
      </c>
      <c r="L541" s="255"/>
    </row>
    <row r="542" spans="2:12">
      <c r="B542" s="263"/>
      <c r="C542" s="264"/>
      <c r="D542" s="210"/>
      <c r="E542" s="257"/>
      <c r="F542" s="258"/>
      <c r="G542" s="257"/>
      <c r="H542" s="257"/>
      <c r="I542" s="251"/>
      <c r="J542" s="253"/>
      <c r="K542" s="254"/>
      <c r="L542" s="255"/>
    </row>
    <row r="543" spans="2:12">
      <c r="B543" s="256"/>
      <c r="C543" s="210"/>
      <c r="D543" s="210"/>
      <c r="E543" s="257"/>
      <c r="F543" s="258"/>
      <c r="G543" s="257"/>
      <c r="H543" s="257"/>
      <c r="I543" s="251"/>
      <c r="J543" s="253"/>
      <c r="K543" s="254">
        <f>IF(E543*F543*G543&lt;&gt;0,E543*F543*G543,IF(E543*F543&lt;&gt;0,E543*F543,IF(F543*G543&lt;&gt;0,F543*G543,IF(E543*G543&lt;&gt;0,E543*G543,IF(E543&lt;&gt;0,E543,IF(F543&lt;&gt;0,F543,IF(G543&lt;&gt;0,G543,0)))))))*(IF(H543&lt;&gt;0,H543,1))+I543-J543</f>
        <v>0</v>
      </c>
      <c r="L543" s="205"/>
    </row>
    <row r="544" spans="2:12">
      <c r="B544" s="202"/>
      <c r="C544" s="203"/>
      <c r="D544" s="203"/>
      <c r="E544" s="203"/>
      <c r="F544" s="203"/>
      <c r="G544" s="203"/>
      <c r="H544" s="204"/>
      <c r="I544" s="557" t="s">
        <v>1221</v>
      </c>
      <c r="J544" s="557"/>
      <c r="K544" s="262">
        <f>SUM(K523:K543)</f>
        <v>1894.0614000000005</v>
      </c>
      <c r="L544" s="207"/>
    </row>
    <row r="545" spans="2:12">
      <c r="B545" s="208"/>
      <c r="C545" s="204"/>
      <c r="D545" s="204"/>
      <c r="E545" s="204"/>
      <c r="F545" s="204"/>
      <c r="G545" s="204"/>
      <c r="H545" s="209"/>
      <c r="I545" s="557" t="s">
        <v>1222</v>
      </c>
      <c r="J545" s="557"/>
      <c r="K545" s="221">
        <v>2130.6999999999998</v>
      </c>
      <c r="L545" s="207"/>
    </row>
    <row r="546" spans="2:12">
      <c r="B546" s="208"/>
      <c r="C546" s="204"/>
      <c r="D546" s="204"/>
      <c r="E546" s="204"/>
      <c r="F546" s="204"/>
      <c r="G546" s="204"/>
      <c r="H546" s="558" t="s">
        <v>1223</v>
      </c>
      <c r="I546" s="558"/>
      <c r="J546" s="558"/>
      <c r="K546" s="222">
        <v>1512.2338</v>
      </c>
      <c r="L546" s="207"/>
    </row>
    <row r="547" spans="2:12">
      <c r="B547" s="208"/>
      <c r="C547" s="204"/>
      <c r="D547" s="204"/>
      <c r="E547" s="204"/>
      <c r="F547" s="204"/>
      <c r="G547" s="204"/>
      <c r="H547" s="558" t="s">
        <v>1892</v>
      </c>
      <c r="I547" s="558"/>
      <c r="J547" s="558"/>
      <c r="K547" s="222">
        <f>TRUNC(SUMIF(C523:C543,H547,K523:K543),2)</f>
        <v>381.82</v>
      </c>
      <c r="L547" s="207"/>
    </row>
    <row r="548" spans="2:12">
      <c r="B548" s="213"/>
      <c r="C548" s="214"/>
      <c r="D548" s="214"/>
      <c r="E548" s="214"/>
      <c r="F548" s="214"/>
      <c r="G548" s="214"/>
      <c r="H548" s="559" t="s">
        <v>1224</v>
      </c>
      <c r="I548" s="559"/>
      <c r="J548" s="559"/>
      <c r="K548" s="223">
        <f>IF(K544&gt;K545,K544-K545,0)</f>
        <v>0</v>
      </c>
      <c r="L548" s="209"/>
    </row>
    <row r="550" spans="2:12">
      <c r="B550" s="247" t="s">
        <v>199</v>
      </c>
      <c r="C550" s="565" t="s">
        <v>200</v>
      </c>
      <c r="D550" s="565"/>
      <c r="E550" s="565"/>
      <c r="F550" s="565"/>
      <c r="G550" s="565"/>
      <c r="H550" s="565"/>
      <c r="I550" s="565"/>
      <c r="J550" s="565"/>
      <c r="K550" s="565"/>
      <c r="L550" s="565"/>
    </row>
    <row r="551" spans="2:12">
      <c r="B551" s="248" t="s">
        <v>1209</v>
      </c>
      <c r="C551" s="248"/>
      <c r="D551" s="248" t="s">
        <v>39</v>
      </c>
      <c r="E551" s="248" t="s">
        <v>1210</v>
      </c>
      <c r="F551" s="248" t="s">
        <v>1382</v>
      </c>
      <c r="G551" s="248" t="s">
        <v>1383</v>
      </c>
      <c r="H551" s="248" t="s">
        <v>1384</v>
      </c>
      <c r="I551" s="248" t="s">
        <v>1214</v>
      </c>
      <c r="J551" s="248" t="s">
        <v>1385</v>
      </c>
      <c r="K551" s="248" t="s">
        <v>1216</v>
      </c>
      <c r="L551" s="248" t="s">
        <v>1217</v>
      </c>
    </row>
    <row r="552" spans="2:12">
      <c r="B552" s="249" t="s">
        <v>1367</v>
      </c>
      <c r="C552" s="250" t="s">
        <v>1333</v>
      </c>
      <c r="D552" s="205" t="s">
        <v>152</v>
      </c>
      <c r="E552" s="251">
        <v>510</v>
      </c>
      <c r="F552" s="252">
        <v>0.245</v>
      </c>
      <c r="G552" s="251"/>
      <c r="H552" s="251">
        <v>1.1000000000000001</v>
      </c>
      <c r="I552" s="251"/>
      <c r="J552" s="253"/>
      <c r="K552" s="254">
        <f t="shared" ref="K552:K572" si="11">IF(E552*F552*G552&lt;&gt;0,E552*F552*G552,IF(E552*F552&lt;&gt;0,E552*F552,IF(F552*G552&lt;&gt;0,F552*G552,IF(E552*G552&lt;&gt;0,E552*G552,IF(E552&lt;&gt;0,E552,IF(F552&lt;&gt;0,F552,IF(G552&lt;&gt;0,G552,0)))))))*(IF(H552&lt;&gt;0,H552,1))+I552-J552</f>
        <v>137.44500000000002</v>
      </c>
      <c r="L552" s="255"/>
    </row>
    <row r="553" spans="2:12">
      <c r="B553" s="249" t="s">
        <v>1386</v>
      </c>
      <c r="C553" s="250" t="s">
        <v>1333</v>
      </c>
      <c r="D553" s="205" t="s">
        <v>152</v>
      </c>
      <c r="E553" s="251">
        <v>363</v>
      </c>
      <c r="F553" s="252">
        <v>0.245</v>
      </c>
      <c r="G553" s="251"/>
      <c r="H553" s="251">
        <v>1.1000000000000001</v>
      </c>
      <c r="I553" s="251"/>
      <c r="J553" s="253"/>
      <c r="K553" s="254">
        <f t="shared" si="11"/>
        <v>97.828500000000005</v>
      </c>
      <c r="L553" s="255"/>
    </row>
    <row r="554" spans="2:12">
      <c r="B554" s="263" t="s">
        <v>1475</v>
      </c>
      <c r="C554" s="264" t="s">
        <v>1441</v>
      </c>
      <c r="D554" s="205" t="s">
        <v>152</v>
      </c>
      <c r="E554" s="251">
        <v>425</v>
      </c>
      <c r="F554" s="252">
        <v>0.245</v>
      </c>
      <c r="G554" s="251"/>
      <c r="H554" s="251">
        <v>1.1000000000000001</v>
      </c>
      <c r="I554" s="251"/>
      <c r="J554" s="253"/>
      <c r="K554" s="254">
        <f t="shared" si="11"/>
        <v>114.53750000000001</v>
      </c>
      <c r="L554" s="255"/>
    </row>
    <row r="555" spans="2:12">
      <c r="B555" s="263" t="s">
        <v>1476</v>
      </c>
      <c r="C555" s="264" t="s">
        <v>1441</v>
      </c>
      <c r="D555" s="205" t="s">
        <v>152</v>
      </c>
      <c r="E555" s="251">
        <v>443</v>
      </c>
      <c r="F555" s="252">
        <v>0.245</v>
      </c>
      <c r="G555" s="251"/>
      <c r="H555" s="251">
        <v>1.1000000000000001</v>
      </c>
      <c r="I555" s="251"/>
      <c r="J555" s="253"/>
      <c r="K555" s="254">
        <f t="shared" si="11"/>
        <v>119.38850000000001</v>
      </c>
      <c r="L555" s="255"/>
    </row>
    <row r="556" spans="2:12">
      <c r="B556" s="263" t="s">
        <v>1552</v>
      </c>
      <c r="C556" s="264" t="s">
        <v>1521</v>
      </c>
      <c r="D556" s="205" t="s">
        <v>152</v>
      </c>
      <c r="E556" s="251">
        <v>1139</v>
      </c>
      <c r="F556" s="252">
        <v>0.245</v>
      </c>
      <c r="G556" s="251"/>
      <c r="H556" s="251">
        <v>1.1000000000000001</v>
      </c>
      <c r="I556" s="251"/>
      <c r="J556" s="253"/>
      <c r="K556" s="254">
        <f t="shared" si="11"/>
        <v>306.96050000000002</v>
      </c>
      <c r="L556" s="266"/>
    </row>
    <row r="557" spans="2:12">
      <c r="B557" s="263" t="s">
        <v>1553</v>
      </c>
      <c r="C557" s="264" t="s">
        <v>1521</v>
      </c>
      <c r="D557" s="205" t="s">
        <v>152</v>
      </c>
      <c r="E557" s="251">
        <v>362</v>
      </c>
      <c r="F557" s="252">
        <v>0.245</v>
      </c>
      <c r="G557" s="251"/>
      <c r="H557" s="251">
        <v>1.1000000000000001</v>
      </c>
      <c r="I557" s="251"/>
      <c r="J557" s="253"/>
      <c r="K557" s="254">
        <f t="shared" si="11"/>
        <v>97.559000000000012</v>
      </c>
      <c r="L557" s="266"/>
    </row>
    <row r="558" spans="2:12">
      <c r="B558" s="263" t="s">
        <v>1642</v>
      </c>
      <c r="C558" s="264" t="s">
        <v>1611</v>
      </c>
      <c r="D558" s="205" t="s">
        <v>152</v>
      </c>
      <c r="E558" s="251">
        <v>452</v>
      </c>
      <c r="F558" s="252">
        <v>0.245</v>
      </c>
      <c r="G558" s="251"/>
      <c r="H558" s="251">
        <v>1.1000000000000001</v>
      </c>
      <c r="I558" s="251"/>
      <c r="J558" s="253"/>
      <c r="K558" s="254">
        <f t="shared" si="11"/>
        <v>121.81400000000001</v>
      </c>
      <c r="L558" s="266"/>
    </row>
    <row r="559" spans="2:12">
      <c r="B559" s="263" t="s">
        <v>1643</v>
      </c>
      <c r="C559" s="264" t="s">
        <v>1611</v>
      </c>
      <c r="D559" s="205" t="s">
        <v>152</v>
      </c>
      <c r="E559" s="251">
        <v>421</v>
      </c>
      <c r="F559" s="252">
        <v>0.245</v>
      </c>
      <c r="G559" s="251"/>
      <c r="H559" s="251">
        <v>1.1000000000000001</v>
      </c>
      <c r="I559" s="251"/>
      <c r="J559" s="253"/>
      <c r="K559" s="254">
        <f t="shared" si="11"/>
        <v>113.45950000000001</v>
      </c>
      <c r="L559" s="266"/>
    </row>
    <row r="560" spans="2:12">
      <c r="B560" s="263" t="s">
        <v>1644</v>
      </c>
      <c r="C560" s="264" t="s">
        <v>1612</v>
      </c>
      <c r="D560" s="205" t="s">
        <v>152</v>
      </c>
      <c r="E560" s="251">
        <v>376</v>
      </c>
      <c r="F560" s="252">
        <v>0.245</v>
      </c>
      <c r="G560" s="251"/>
      <c r="H560" s="251">
        <v>1.1000000000000001</v>
      </c>
      <c r="I560" s="251"/>
      <c r="J560" s="253"/>
      <c r="K560" s="254">
        <f t="shared" si="11"/>
        <v>101.33200000000001</v>
      </c>
      <c r="L560" s="266"/>
    </row>
    <row r="561" spans="2:12">
      <c r="B561" s="263" t="s">
        <v>1645</v>
      </c>
      <c r="C561" s="264" t="s">
        <v>1612</v>
      </c>
      <c r="D561" s="205" t="s">
        <v>152</v>
      </c>
      <c r="E561" s="251">
        <v>524</v>
      </c>
      <c r="F561" s="252">
        <v>0.245</v>
      </c>
      <c r="G561" s="251"/>
      <c r="H561" s="251">
        <v>1.1000000000000001</v>
      </c>
      <c r="I561" s="251"/>
      <c r="J561" s="253"/>
      <c r="K561" s="254">
        <f t="shared" si="11"/>
        <v>141.21800000000002</v>
      </c>
      <c r="L561" s="266"/>
    </row>
    <row r="562" spans="2:12">
      <c r="B562" s="263" t="s">
        <v>1646</v>
      </c>
      <c r="C562" s="264" t="s">
        <v>1612</v>
      </c>
      <c r="D562" s="205" t="s">
        <v>152</v>
      </c>
      <c r="E562" s="251">
        <v>933</v>
      </c>
      <c r="F562" s="252">
        <v>0.245</v>
      </c>
      <c r="G562" s="251"/>
      <c r="H562" s="251">
        <v>1.1000000000000001</v>
      </c>
      <c r="I562" s="251"/>
      <c r="J562" s="253"/>
      <c r="K562" s="254">
        <f t="shared" si="11"/>
        <v>251.44350000000003</v>
      </c>
      <c r="L562" s="266"/>
    </row>
    <row r="563" spans="2:12">
      <c r="B563" s="263" t="s">
        <v>1647</v>
      </c>
      <c r="C563" s="264" t="s">
        <v>1613</v>
      </c>
      <c r="D563" s="205" t="s">
        <v>152</v>
      </c>
      <c r="E563" s="257">
        <v>992</v>
      </c>
      <c r="F563" s="258">
        <v>0.245</v>
      </c>
      <c r="G563" s="257"/>
      <c r="H563" s="257">
        <v>1.1000000000000001</v>
      </c>
      <c r="I563" s="251"/>
      <c r="J563" s="253"/>
      <c r="K563" s="254">
        <f t="shared" si="11"/>
        <v>267.34399999999999</v>
      </c>
      <c r="L563" s="255"/>
    </row>
    <row r="564" spans="2:12">
      <c r="B564" s="263" t="s">
        <v>1896</v>
      </c>
      <c r="C564" s="264" t="s">
        <v>1895</v>
      </c>
      <c r="D564" s="205" t="s">
        <v>152</v>
      </c>
      <c r="E564" s="257">
        <v>1009</v>
      </c>
      <c r="F564" s="258">
        <v>0.245</v>
      </c>
      <c r="G564" s="257"/>
      <c r="H564" s="257">
        <v>1.1000000000000001</v>
      </c>
      <c r="I564" s="251"/>
      <c r="J564" s="253"/>
      <c r="K564" s="254">
        <f t="shared" si="11"/>
        <v>271.9255</v>
      </c>
      <c r="L564" s="255"/>
    </row>
    <row r="565" spans="2:12">
      <c r="B565" s="263" t="s">
        <v>1942</v>
      </c>
      <c r="C565" s="264" t="s">
        <v>1931</v>
      </c>
      <c r="D565" s="205" t="s">
        <v>152</v>
      </c>
      <c r="E565" s="257">
        <v>869</v>
      </c>
      <c r="F565" s="258">
        <v>0.245</v>
      </c>
      <c r="G565" s="257"/>
      <c r="H565" s="257">
        <v>1.1000000000000001</v>
      </c>
      <c r="I565" s="251"/>
      <c r="J565" s="253"/>
      <c r="K565" s="254">
        <f t="shared" si="11"/>
        <v>234.19550000000001</v>
      </c>
      <c r="L565" s="255"/>
    </row>
    <row r="566" spans="2:12">
      <c r="B566" s="263" t="s">
        <v>1943</v>
      </c>
      <c r="C566" s="264" t="s">
        <v>1931</v>
      </c>
      <c r="D566" s="205" t="s">
        <v>152</v>
      </c>
      <c r="E566" s="257">
        <v>292</v>
      </c>
      <c r="F566" s="258">
        <v>0.245</v>
      </c>
      <c r="G566" s="257"/>
      <c r="H566" s="257">
        <v>1.1000000000000001</v>
      </c>
      <c r="I566" s="251"/>
      <c r="J566" s="253"/>
      <c r="K566" s="254">
        <f t="shared" si="11"/>
        <v>78.694000000000003</v>
      </c>
      <c r="L566" s="255"/>
    </row>
    <row r="567" spans="2:12">
      <c r="B567" s="263" t="s">
        <v>1999</v>
      </c>
      <c r="C567" s="264" t="s">
        <v>1998</v>
      </c>
      <c r="D567" s="205" t="s">
        <v>152</v>
      </c>
      <c r="E567" s="257">
        <v>598</v>
      </c>
      <c r="F567" s="258">
        <v>0.245</v>
      </c>
      <c r="G567" s="257"/>
      <c r="H567" s="257">
        <v>1.1000000000000001</v>
      </c>
      <c r="I567" s="251"/>
      <c r="J567" s="253"/>
      <c r="K567" s="254">
        <f t="shared" si="11"/>
        <v>161.161</v>
      </c>
      <c r="L567" s="255"/>
    </row>
    <row r="568" spans="2:12">
      <c r="B568" s="263" t="s">
        <v>2000</v>
      </c>
      <c r="C568" s="264" t="s">
        <v>1998</v>
      </c>
      <c r="D568" s="205" t="s">
        <v>152</v>
      </c>
      <c r="E568" s="257">
        <v>400</v>
      </c>
      <c r="F568" s="258">
        <v>0.245</v>
      </c>
      <c r="G568" s="257"/>
      <c r="H568" s="257">
        <v>1.1000000000000001</v>
      </c>
      <c r="I568" s="251"/>
      <c r="J568" s="253"/>
      <c r="K568" s="254">
        <f t="shared" si="11"/>
        <v>107.80000000000001</v>
      </c>
      <c r="L568" s="255"/>
    </row>
    <row r="569" spans="2:12">
      <c r="B569" s="263" t="s">
        <v>2001</v>
      </c>
      <c r="C569" s="264" t="s">
        <v>1998</v>
      </c>
      <c r="D569" s="205" t="s">
        <v>152</v>
      </c>
      <c r="E569" s="257">
        <v>357</v>
      </c>
      <c r="F569" s="258">
        <v>0.245</v>
      </c>
      <c r="G569" s="257"/>
      <c r="H569" s="257">
        <v>1.1000000000000001</v>
      </c>
      <c r="I569" s="251"/>
      <c r="J569" s="253"/>
      <c r="K569" s="254">
        <f t="shared" si="11"/>
        <v>96.211500000000015</v>
      </c>
      <c r="L569" s="255"/>
    </row>
    <row r="570" spans="2:12">
      <c r="B570" s="263" t="s">
        <v>2002</v>
      </c>
      <c r="C570" s="264" t="s">
        <v>1998</v>
      </c>
      <c r="D570" s="205" t="s">
        <v>152</v>
      </c>
      <c r="E570" s="257">
        <v>200</v>
      </c>
      <c r="F570" s="258">
        <v>0.245</v>
      </c>
      <c r="G570" s="257"/>
      <c r="H570" s="257">
        <v>1.1000000000000001</v>
      </c>
      <c r="I570" s="251"/>
      <c r="J570" s="253"/>
      <c r="K570" s="254">
        <f t="shared" si="11"/>
        <v>53.900000000000006</v>
      </c>
      <c r="L570" s="255"/>
    </row>
    <row r="571" spans="2:12">
      <c r="B571" s="263"/>
      <c r="C571" s="264"/>
      <c r="D571" s="210"/>
      <c r="E571" s="257"/>
      <c r="F571" s="258"/>
      <c r="G571" s="257"/>
      <c r="H571" s="257"/>
      <c r="I571" s="257"/>
      <c r="J571" s="259"/>
      <c r="K571" s="254">
        <f t="shared" si="11"/>
        <v>0</v>
      </c>
      <c r="L571" s="266"/>
    </row>
    <row r="572" spans="2:12">
      <c r="B572" s="256"/>
      <c r="C572" s="210"/>
      <c r="D572" s="210"/>
      <c r="E572" s="257"/>
      <c r="F572" s="258"/>
      <c r="G572" s="257"/>
      <c r="H572" s="257"/>
      <c r="I572" s="257"/>
      <c r="J572" s="259"/>
      <c r="K572" s="254">
        <f t="shared" si="11"/>
        <v>0</v>
      </c>
      <c r="L572" s="210"/>
    </row>
    <row r="573" spans="2:12">
      <c r="B573" s="202"/>
      <c r="C573" s="203"/>
      <c r="D573" s="203"/>
      <c r="E573" s="203"/>
      <c r="F573" s="203"/>
      <c r="G573" s="203"/>
      <c r="H573" s="204"/>
      <c r="I573" s="556" t="s">
        <v>1221</v>
      </c>
      <c r="J573" s="556"/>
      <c r="K573" s="220">
        <f>SUM(K552:K572)</f>
        <v>2874.2175000000002</v>
      </c>
      <c r="L573" s="207"/>
    </row>
    <row r="574" spans="2:12">
      <c r="B574" s="208"/>
      <c r="C574" s="204"/>
      <c r="D574" s="204"/>
      <c r="E574" s="204"/>
      <c r="F574" s="204"/>
      <c r="G574" s="204"/>
      <c r="H574" s="209"/>
      <c r="I574" s="557" t="s">
        <v>1222</v>
      </c>
      <c r="J574" s="557"/>
      <c r="K574" s="221">
        <v>3031.6</v>
      </c>
      <c r="L574" s="207"/>
    </row>
    <row r="575" spans="2:12">
      <c r="B575" s="208"/>
      <c r="C575" s="204"/>
      <c r="D575" s="204"/>
      <c r="E575" s="204"/>
      <c r="F575" s="204"/>
      <c r="G575" s="204"/>
      <c r="H575" s="558" t="s">
        <v>1223</v>
      </c>
      <c r="I575" s="558"/>
      <c r="J575" s="558"/>
      <c r="K575" s="222">
        <v>2455.145</v>
      </c>
      <c r="L575" s="207"/>
    </row>
    <row r="576" spans="2:12">
      <c r="B576" s="208"/>
      <c r="C576" s="204"/>
      <c r="D576" s="204"/>
      <c r="E576" s="204"/>
      <c r="F576" s="204"/>
      <c r="G576" s="204"/>
      <c r="H576" s="558" t="s">
        <v>1892</v>
      </c>
      <c r="I576" s="558"/>
      <c r="J576" s="558"/>
      <c r="K576" s="222">
        <f>TRUNC(SUMIF(C552:C572,H576,K552:K572),2)</f>
        <v>419.07</v>
      </c>
      <c r="L576" s="207"/>
    </row>
    <row r="577" spans="2:12">
      <c r="B577" s="213"/>
      <c r="C577" s="214"/>
      <c r="D577" s="214"/>
      <c r="E577" s="214"/>
      <c r="F577" s="214"/>
      <c r="G577" s="214"/>
      <c r="H577" s="559" t="s">
        <v>1224</v>
      </c>
      <c r="I577" s="559"/>
      <c r="J577" s="559"/>
      <c r="K577" s="223">
        <f>IF(K573&gt;K574,K573-K574,0)</f>
        <v>0</v>
      </c>
      <c r="L577" s="209"/>
    </row>
    <row r="579" spans="2:12">
      <c r="B579" s="247" t="s">
        <v>201</v>
      </c>
      <c r="C579" s="565" t="s">
        <v>202</v>
      </c>
      <c r="D579" s="565"/>
      <c r="E579" s="565"/>
      <c r="F579" s="565"/>
      <c r="G579" s="565"/>
      <c r="H579" s="565"/>
      <c r="I579" s="565"/>
      <c r="J579" s="565"/>
      <c r="K579" s="565"/>
      <c r="L579" s="565"/>
    </row>
    <row r="580" spans="2:12">
      <c r="B580" s="248" t="s">
        <v>1209</v>
      </c>
      <c r="C580" s="248"/>
      <c r="D580" s="248" t="s">
        <v>39</v>
      </c>
      <c r="E580" s="248" t="s">
        <v>1210</v>
      </c>
      <c r="F580" s="248" t="s">
        <v>1382</v>
      </c>
      <c r="G580" s="248" t="s">
        <v>1383</v>
      </c>
      <c r="H580" s="248" t="s">
        <v>1384</v>
      </c>
      <c r="I580" s="248" t="s">
        <v>1214</v>
      </c>
      <c r="J580" s="248" t="s">
        <v>1385</v>
      </c>
      <c r="K580" s="248" t="s">
        <v>1216</v>
      </c>
      <c r="L580" s="248" t="s">
        <v>1217</v>
      </c>
    </row>
    <row r="581" spans="2:12">
      <c r="B581" s="249" t="s">
        <v>1367</v>
      </c>
      <c r="C581" s="250" t="s">
        <v>1333</v>
      </c>
      <c r="D581" s="205" t="s">
        <v>152</v>
      </c>
      <c r="E581" s="251">
        <v>415</v>
      </c>
      <c r="F581" s="252">
        <v>0.39500000000000002</v>
      </c>
      <c r="G581" s="251"/>
      <c r="H581" s="251">
        <v>1.1000000000000001</v>
      </c>
      <c r="I581" s="251"/>
      <c r="J581" s="253"/>
      <c r="K581" s="254">
        <f t="shared" ref="K581:K602" si="12">IF(E581*F581*G581&lt;&gt;0,E581*F581*G581,IF(E581*F581&lt;&gt;0,E581*F581,IF(F581*G581&lt;&gt;0,F581*G581,IF(E581*G581&lt;&gt;0,E581*G581,IF(E581&lt;&gt;0,E581,IF(F581&lt;&gt;0,F581,IF(G581&lt;&gt;0,G581,0)))))))*(IF(H581&lt;&gt;0,H581,1))+I581-J581</f>
        <v>180.31750000000002</v>
      </c>
      <c r="L581" s="255"/>
    </row>
    <row r="582" spans="2:12">
      <c r="B582" s="249" t="s">
        <v>1386</v>
      </c>
      <c r="C582" s="250" t="s">
        <v>1333</v>
      </c>
      <c r="D582" s="205" t="s">
        <v>152</v>
      </c>
      <c r="E582" s="251">
        <v>427</v>
      </c>
      <c r="F582" s="252">
        <v>0.39500000000000002</v>
      </c>
      <c r="G582" s="251"/>
      <c r="H582" s="251">
        <v>1.1000000000000001</v>
      </c>
      <c r="I582" s="251"/>
      <c r="J582" s="253"/>
      <c r="K582" s="254">
        <f t="shared" si="12"/>
        <v>185.53150000000005</v>
      </c>
      <c r="L582" s="255"/>
    </row>
    <row r="583" spans="2:12">
      <c r="B583" s="263" t="s">
        <v>1475</v>
      </c>
      <c r="C583" s="264" t="s">
        <v>1441</v>
      </c>
      <c r="D583" s="205" t="s">
        <v>152</v>
      </c>
      <c r="E583" s="251">
        <v>851</v>
      </c>
      <c r="F583" s="252">
        <v>0.39500000000000002</v>
      </c>
      <c r="G583" s="251"/>
      <c r="H583" s="251">
        <v>1.1000000000000001</v>
      </c>
      <c r="I583" s="251"/>
      <c r="J583" s="253"/>
      <c r="K583" s="254">
        <f t="shared" si="12"/>
        <v>369.75950000000006</v>
      </c>
      <c r="L583" s="255"/>
    </row>
    <row r="584" spans="2:12">
      <c r="B584" s="263" t="s">
        <v>1476</v>
      </c>
      <c r="C584" s="264" t="s">
        <v>1441</v>
      </c>
      <c r="D584" s="205" t="s">
        <v>152</v>
      </c>
      <c r="E584" s="251">
        <v>950</v>
      </c>
      <c r="F584" s="252">
        <v>0.39500000000000002</v>
      </c>
      <c r="G584" s="251"/>
      <c r="H584" s="251">
        <v>1.1000000000000001</v>
      </c>
      <c r="I584" s="251"/>
      <c r="J584" s="253"/>
      <c r="K584" s="254">
        <f t="shared" si="12"/>
        <v>412.77500000000003</v>
      </c>
      <c r="L584" s="255"/>
    </row>
    <row r="585" spans="2:12">
      <c r="B585" s="263" t="s">
        <v>1477</v>
      </c>
      <c r="C585" s="264" t="s">
        <v>1441</v>
      </c>
      <c r="D585" s="205" t="s">
        <v>152</v>
      </c>
      <c r="E585" s="251"/>
      <c r="F585" s="252"/>
      <c r="G585" s="251"/>
      <c r="H585" s="251"/>
      <c r="I585" s="251">
        <v>146.04</v>
      </c>
      <c r="J585" s="253"/>
      <c r="K585" s="254">
        <f t="shared" si="12"/>
        <v>146.04</v>
      </c>
      <c r="L585" s="255"/>
    </row>
    <row r="586" spans="2:12">
      <c r="B586" s="263" t="s">
        <v>1552</v>
      </c>
      <c r="C586" s="264" t="s">
        <v>1521</v>
      </c>
      <c r="D586" s="205" t="s">
        <v>152</v>
      </c>
      <c r="E586" s="251">
        <v>343</v>
      </c>
      <c r="F586" s="252">
        <v>0.39500000000000002</v>
      </c>
      <c r="G586" s="251"/>
      <c r="H586" s="251">
        <v>1.1000000000000001</v>
      </c>
      <c r="I586" s="251"/>
      <c r="J586" s="253"/>
      <c r="K586" s="254">
        <f t="shared" si="12"/>
        <v>149.03350000000003</v>
      </c>
      <c r="L586" s="266"/>
    </row>
    <row r="587" spans="2:12">
      <c r="B587" s="263" t="s">
        <v>1553</v>
      </c>
      <c r="C587" s="264" t="s">
        <v>1521</v>
      </c>
      <c r="D587" s="205" t="s">
        <v>152</v>
      </c>
      <c r="E587" s="251">
        <v>313</v>
      </c>
      <c r="F587" s="252">
        <v>0.39500000000000002</v>
      </c>
      <c r="G587" s="251"/>
      <c r="H587" s="251">
        <v>1.1000000000000001</v>
      </c>
      <c r="I587" s="251"/>
      <c r="J587" s="253"/>
      <c r="K587" s="254">
        <f t="shared" si="12"/>
        <v>135.99850000000001</v>
      </c>
      <c r="L587" s="266"/>
    </row>
    <row r="588" spans="2:12">
      <c r="B588" s="263" t="s">
        <v>1642</v>
      </c>
      <c r="C588" s="264" t="s">
        <v>1611</v>
      </c>
      <c r="D588" s="205" t="s">
        <v>152</v>
      </c>
      <c r="E588" s="251">
        <v>369</v>
      </c>
      <c r="F588" s="252">
        <v>0.39500000000000002</v>
      </c>
      <c r="G588" s="251"/>
      <c r="H588" s="251">
        <v>1.1000000000000001</v>
      </c>
      <c r="I588" s="251"/>
      <c r="J588" s="253"/>
      <c r="K588" s="254">
        <f t="shared" si="12"/>
        <v>160.3305</v>
      </c>
      <c r="L588" s="266"/>
    </row>
    <row r="589" spans="2:12">
      <c r="B589" s="263" t="s">
        <v>1643</v>
      </c>
      <c r="C589" s="264" t="s">
        <v>1611</v>
      </c>
      <c r="D589" s="205" t="s">
        <v>152</v>
      </c>
      <c r="E589" s="251">
        <v>427</v>
      </c>
      <c r="F589" s="252">
        <v>0.39500000000000002</v>
      </c>
      <c r="G589" s="251"/>
      <c r="H589" s="251">
        <v>1.1000000000000001</v>
      </c>
      <c r="I589" s="251"/>
      <c r="J589" s="253"/>
      <c r="K589" s="254">
        <f t="shared" si="12"/>
        <v>185.53150000000005</v>
      </c>
      <c r="L589" s="266"/>
    </row>
    <row r="590" spans="2:12">
      <c r="B590" s="263" t="s">
        <v>1644</v>
      </c>
      <c r="C590" s="264" t="s">
        <v>1612</v>
      </c>
      <c r="D590" s="205" t="s">
        <v>152</v>
      </c>
      <c r="E590" s="251">
        <v>866</v>
      </c>
      <c r="F590" s="252">
        <v>0.39500000000000002</v>
      </c>
      <c r="G590" s="251"/>
      <c r="H590" s="251">
        <v>1.1000000000000001</v>
      </c>
      <c r="I590" s="251"/>
      <c r="J590" s="253"/>
      <c r="K590" s="254">
        <f t="shared" si="12"/>
        <v>376.27700000000004</v>
      </c>
      <c r="L590" s="266"/>
    </row>
    <row r="591" spans="2:12">
      <c r="B591" s="263" t="s">
        <v>1645</v>
      </c>
      <c r="C591" s="264" t="s">
        <v>1612</v>
      </c>
      <c r="D591" s="205" t="s">
        <v>152</v>
      </c>
      <c r="E591" s="251">
        <v>550</v>
      </c>
      <c r="F591" s="252">
        <v>0.39500000000000002</v>
      </c>
      <c r="G591" s="251"/>
      <c r="H591" s="251">
        <v>1.1000000000000001</v>
      </c>
      <c r="I591" s="251"/>
      <c r="J591" s="253"/>
      <c r="K591" s="254">
        <f t="shared" si="12"/>
        <v>238.97500000000002</v>
      </c>
      <c r="L591" s="266"/>
    </row>
    <row r="592" spans="2:12">
      <c r="B592" s="263" t="s">
        <v>1646</v>
      </c>
      <c r="C592" s="264" t="s">
        <v>1612</v>
      </c>
      <c r="D592" s="205" t="s">
        <v>152</v>
      </c>
      <c r="E592" s="251">
        <v>186</v>
      </c>
      <c r="F592" s="252">
        <v>0.39500000000000002</v>
      </c>
      <c r="G592" s="251"/>
      <c r="H592" s="251">
        <v>1.1000000000000001</v>
      </c>
      <c r="I592" s="251"/>
      <c r="J592" s="253"/>
      <c r="K592" s="254">
        <f t="shared" si="12"/>
        <v>80.817000000000007</v>
      </c>
      <c r="L592" s="266"/>
    </row>
    <row r="593" spans="2:12">
      <c r="B593" s="263" t="s">
        <v>1647</v>
      </c>
      <c r="C593" s="264" t="s">
        <v>1613</v>
      </c>
      <c r="D593" s="205" t="s">
        <v>152</v>
      </c>
      <c r="E593" s="257">
        <v>922</v>
      </c>
      <c r="F593" s="258">
        <v>0.39500000000000002</v>
      </c>
      <c r="G593" s="257"/>
      <c r="H593" s="257">
        <v>1.1000000000000001</v>
      </c>
      <c r="I593" s="251"/>
      <c r="J593" s="253"/>
      <c r="K593" s="254">
        <f t="shared" si="12"/>
        <v>400.60900000000004</v>
      </c>
      <c r="L593" s="255"/>
    </row>
    <row r="594" spans="2:12">
      <c r="B594" s="263" t="s">
        <v>1896</v>
      </c>
      <c r="C594" s="264" t="s">
        <v>1895</v>
      </c>
      <c r="D594" s="205" t="s">
        <v>152</v>
      </c>
      <c r="E594" s="257">
        <v>1422</v>
      </c>
      <c r="F594" s="258">
        <v>0.39500000000000002</v>
      </c>
      <c r="G594" s="257"/>
      <c r="H594" s="257">
        <v>1.1000000000000001</v>
      </c>
      <c r="I594" s="251"/>
      <c r="J594" s="253"/>
      <c r="K594" s="254">
        <f t="shared" si="12"/>
        <v>617.85900000000015</v>
      </c>
      <c r="L594" s="255"/>
    </row>
    <row r="595" spans="2:12">
      <c r="B595" s="263" t="s">
        <v>1942</v>
      </c>
      <c r="C595" s="264" t="s">
        <v>1931</v>
      </c>
      <c r="D595" s="205" t="s">
        <v>152</v>
      </c>
      <c r="E595" s="257">
        <v>1199</v>
      </c>
      <c r="F595" s="258">
        <v>0.39500000000000002</v>
      </c>
      <c r="G595" s="257"/>
      <c r="H595" s="257">
        <v>1.1000000000000001</v>
      </c>
      <c r="I595" s="251"/>
      <c r="J595" s="253"/>
      <c r="K595" s="254">
        <f t="shared" si="12"/>
        <v>520.96550000000002</v>
      </c>
      <c r="L595" s="266"/>
    </row>
    <row r="596" spans="2:12">
      <c r="B596" s="263" t="s">
        <v>1943</v>
      </c>
      <c r="C596" s="264" t="s">
        <v>1931</v>
      </c>
      <c r="D596" s="205" t="s">
        <v>152</v>
      </c>
      <c r="E596" s="257">
        <v>174</v>
      </c>
      <c r="F596" s="258">
        <v>0.39500000000000002</v>
      </c>
      <c r="G596" s="257"/>
      <c r="H596" s="257">
        <v>1.1000000000000001</v>
      </c>
      <c r="I596" s="251"/>
      <c r="J596" s="253"/>
      <c r="K596" s="254">
        <f t="shared" si="12"/>
        <v>75.603000000000009</v>
      </c>
      <c r="L596" s="266"/>
    </row>
    <row r="597" spans="2:12">
      <c r="B597" s="263" t="s">
        <v>1999</v>
      </c>
      <c r="C597" s="264" t="s">
        <v>1998</v>
      </c>
      <c r="D597" s="205" t="s">
        <v>152</v>
      </c>
      <c r="E597" s="257">
        <v>451</v>
      </c>
      <c r="F597" s="258">
        <v>0.39500000000000002</v>
      </c>
      <c r="G597" s="257"/>
      <c r="H597" s="257">
        <v>1.1000000000000001</v>
      </c>
      <c r="I597" s="251"/>
      <c r="J597" s="253"/>
      <c r="K597" s="254">
        <f t="shared" si="12"/>
        <v>195.95950000000002</v>
      </c>
      <c r="L597" s="255"/>
    </row>
    <row r="598" spans="2:12">
      <c r="B598" s="263" t="s">
        <v>2000</v>
      </c>
      <c r="C598" s="264" t="s">
        <v>1998</v>
      </c>
      <c r="D598" s="205" t="s">
        <v>152</v>
      </c>
      <c r="E598" s="257">
        <v>463</v>
      </c>
      <c r="F598" s="258">
        <v>0.39500000000000002</v>
      </c>
      <c r="G598" s="257"/>
      <c r="H598" s="257">
        <v>1.1000000000000001</v>
      </c>
      <c r="I598" s="251"/>
      <c r="J598" s="253"/>
      <c r="K598" s="254">
        <f t="shared" si="12"/>
        <v>201.17350000000005</v>
      </c>
      <c r="L598" s="255"/>
    </row>
    <row r="599" spans="2:12">
      <c r="B599" s="263" t="s">
        <v>2001</v>
      </c>
      <c r="C599" s="264" t="s">
        <v>1998</v>
      </c>
      <c r="D599" s="205" t="s">
        <v>152</v>
      </c>
      <c r="E599" s="257">
        <v>570</v>
      </c>
      <c r="F599" s="258">
        <v>0.39500000000000002</v>
      </c>
      <c r="G599" s="257"/>
      <c r="H599" s="257">
        <v>1.1000000000000001</v>
      </c>
      <c r="I599" s="251"/>
      <c r="J599" s="253"/>
      <c r="K599" s="254">
        <f t="shared" si="12"/>
        <v>247.66500000000002</v>
      </c>
      <c r="L599" s="255"/>
    </row>
    <row r="600" spans="2:12">
      <c r="B600" s="263" t="s">
        <v>2002</v>
      </c>
      <c r="C600" s="264" t="s">
        <v>1998</v>
      </c>
      <c r="D600" s="205" t="s">
        <v>152</v>
      </c>
      <c r="E600" s="257">
        <v>240</v>
      </c>
      <c r="F600" s="258">
        <v>0.39500000000000002</v>
      </c>
      <c r="G600" s="257"/>
      <c r="H600" s="257">
        <v>1.1000000000000001</v>
      </c>
      <c r="I600" s="251"/>
      <c r="J600" s="253"/>
      <c r="K600" s="254">
        <f t="shared" si="12"/>
        <v>104.28000000000002</v>
      </c>
      <c r="L600" s="255"/>
    </row>
    <row r="601" spans="2:12">
      <c r="B601" s="263"/>
      <c r="C601" s="264"/>
      <c r="D601" s="210"/>
      <c r="E601" s="257"/>
      <c r="F601" s="258"/>
      <c r="G601" s="257"/>
      <c r="H601" s="257"/>
      <c r="I601" s="257"/>
      <c r="J601" s="259"/>
      <c r="K601" s="254">
        <f t="shared" si="12"/>
        <v>0</v>
      </c>
      <c r="L601" s="266"/>
    </row>
    <row r="602" spans="2:12">
      <c r="B602" s="256"/>
      <c r="C602" s="210"/>
      <c r="D602" s="210"/>
      <c r="E602" s="257"/>
      <c r="F602" s="258"/>
      <c r="G602" s="257"/>
      <c r="H602" s="257"/>
      <c r="I602" s="257"/>
      <c r="J602" s="259"/>
      <c r="K602" s="254">
        <f t="shared" si="12"/>
        <v>0</v>
      </c>
      <c r="L602" s="210"/>
    </row>
    <row r="603" spans="2:12">
      <c r="B603" s="202"/>
      <c r="C603" s="203"/>
      <c r="D603" s="203"/>
      <c r="E603" s="203"/>
      <c r="F603" s="203"/>
      <c r="G603" s="203"/>
      <c r="H603" s="204"/>
      <c r="I603" s="556" t="s">
        <v>1221</v>
      </c>
      <c r="J603" s="556"/>
      <c r="K603" s="220">
        <f>SUM(K581:K602)</f>
        <v>4985.5010000000002</v>
      </c>
      <c r="L603" s="207"/>
    </row>
    <row r="604" spans="2:12">
      <c r="B604" s="208"/>
      <c r="C604" s="204"/>
      <c r="D604" s="204"/>
      <c r="E604" s="204"/>
      <c r="F604" s="204"/>
      <c r="G604" s="204"/>
      <c r="H604" s="209"/>
      <c r="I604" s="557" t="s">
        <v>1222</v>
      </c>
      <c r="J604" s="557"/>
      <c r="K604" s="221">
        <v>5608.9</v>
      </c>
      <c r="L604" s="207"/>
    </row>
    <row r="605" spans="2:12">
      <c r="B605" s="208"/>
      <c r="C605" s="204"/>
      <c r="D605" s="204"/>
      <c r="E605" s="204"/>
      <c r="F605" s="204"/>
      <c r="G605" s="204"/>
      <c r="H605" s="558" t="s">
        <v>1223</v>
      </c>
      <c r="I605" s="558"/>
      <c r="J605" s="558"/>
      <c r="K605" s="222">
        <v>4236.4229999999998</v>
      </c>
      <c r="L605" s="207"/>
    </row>
    <row r="606" spans="2:12">
      <c r="B606" s="208"/>
      <c r="C606" s="204"/>
      <c r="D606" s="204"/>
      <c r="E606" s="204"/>
      <c r="F606" s="204"/>
      <c r="G606" s="204"/>
      <c r="H606" s="558" t="s">
        <v>1892</v>
      </c>
      <c r="I606" s="558"/>
      <c r="J606" s="558"/>
      <c r="K606" s="222">
        <f>TRUNC(SUMIF(C581:C602,H606,K581:K602),2)</f>
        <v>749.07</v>
      </c>
      <c r="L606" s="207"/>
    </row>
    <row r="607" spans="2:12">
      <c r="B607" s="213"/>
      <c r="C607" s="214"/>
      <c r="D607" s="214"/>
      <c r="E607" s="214"/>
      <c r="F607" s="214"/>
      <c r="G607" s="214"/>
      <c r="H607" s="559" t="s">
        <v>1224</v>
      </c>
      <c r="I607" s="559"/>
      <c r="J607" s="559"/>
      <c r="K607" s="223">
        <f>IF(K603&gt;K604,K603-K604,0)</f>
        <v>0</v>
      </c>
      <c r="L607" s="209"/>
    </row>
    <row r="609" spans="2:12">
      <c r="B609" s="247" t="s">
        <v>203</v>
      </c>
      <c r="C609" s="565" t="s">
        <v>204</v>
      </c>
      <c r="D609" s="565"/>
      <c r="E609" s="565"/>
      <c r="F609" s="565"/>
      <c r="G609" s="565"/>
      <c r="H609" s="565"/>
      <c r="I609" s="565"/>
      <c r="J609" s="565"/>
      <c r="K609" s="565"/>
      <c r="L609" s="565"/>
    </row>
    <row r="610" spans="2:12">
      <c r="B610" s="248" t="s">
        <v>1209</v>
      </c>
      <c r="C610" s="248"/>
      <c r="D610" s="248" t="s">
        <v>39</v>
      </c>
      <c r="E610" s="248" t="s">
        <v>1210</v>
      </c>
      <c r="F610" s="248" t="s">
        <v>1382</v>
      </c>
      <c r="G610" s="248" t="s">
        <v>1383</v>
      </c>
      <c r="H610" s="248" t="s">
        <v>1384</v>
      </c>
      <c r="I610" s="248" t="s">
        <v>1214</v>
      </c>
      <c r="J610" s="248" t="s">
        <v>1385</v>
      </c>
      <c r="K610" s="248" t="s">
        <v>1216</v>
      </c>
      <c r="L610" s="248" t="s">
        <v>1217</v>
      </c>
    </row>
    <row r="611" spans="2:12">
      <c r="B611" s="249" t="s">
        <v>1367</v>
      </c>
      <c r="C611" s="250" t="s">
        <v>1333</v>
      </c>
      <c r="D611" s="205" t="s">
        <v>152</v>
      </c>
      <c r="E611" s="251">
        <v>89</v>
      </c>
      <c r="F611" s="252">
        <v>0.61699999999999999</v>
      </c>
      <c r="G611" s="251"/>
      <c r="H611" s="251">
        <v>1.1000000000000001</v>
      </c>
      <c r="I611" s="251"/>
      <c r="J611" s="253"/>
      <c r="K611" s="254">
        <f t="shared" ref="K611:K631" si="13">IF(E611*F611*G611&lt;&gt;0,E611*F611*G611,IF(E611*F611&lt;&gt;0,E611*F611,IF(F611*G611&lt;&gt;0,F611*G611,IF(E611*G611&lt;&gt;0,E611*G611,IF(E611&lt;&gt;0,E611,IF(F611&lt;&gt;0,F611,IF(G611&lt;&gt;0,G611,0)))))))*(IF(H611&lt;&gt;0,H611,1))+I611-J611</f>
        <v>60.404299999999999</v>
      </c>
      <c r="L611" s="255"/>
    </row>
    <row r="612" spans="2:12">
      <c r="B612" s="249" t="s">
        <v>1386</v>
      </c>
      <c r="C612" s="250" t="s">
        <v>1333</v>
      </c>
      <c r="D612" s="205" t="s">
        <v>152</v>
      </c>
      <c r="E612" s="251">
        <v>92</v>
      </c>
      <c r="F612" s="252">
        <v>0.61699999999999999</v>
      </c>
      <c r="G612" s="251"/>
      <c r="H612" s="251">
        <v>1.1000000000000001</v>
      </c>
      <c r="I612" s="251"/>
      <c r="J612" s="253"/>
      <c r="K612" s="254">
        <f t="shared" si="13"/>
        <v>62.440400000000004</v>
      </c>
      <c r="L612" s="255"/>
    </row>
    <row r="613" spans="2:12">
      <c r="B613" s="263" t="s">
        <v>1475</v>
      </c>
      <c r="C613" s="264" t="s">
        <v>1441</v>
      </c>
      <c r="D613" s="205" t="s">
        <v>152</v>
      </c>
      <c r="E613" s="251">
        <v>238</v>
      </c>
      <c r="F613" s="252">
        <v>0.61699999999999999</v>
      </c>
      <c r="G613" s="251"/>
      <c r="H613" s="251">
        <v>1.1000000000000001</v>
      </c>
      <c r="I613" s="251"/>
      <c r="J613" s="253"/>
      <c r="K613" s="254">
        <f t="shared" si="13"/>
        <v>161.53060000000002</v>
      </c>
      <c r="L613" s="255"/>
    </row>
    <row r="614" spans="2:12">
      <c r="B614" s="263" t="s">
        <v>1476</v>
      </c>
      <c r="C614" s="264" t="s">
        <v>1441</v>
      </c>
      <c r="D614" s="205" t="s">
        <v>152</v>
      </c>
      <c r="E614" s="251">
        <v>167</v>
      </c>
      <c r="F614" s="252">
        <v>0.61699999999999999</v>
      </c>
      <c r="G614" s="251"/>
      <c r="H614" s="251">
        <v>1.1000000000000001</v>
      </c>
      <c r="I614" s="251"/>
      <c r="J614" s="253"/>
      <c r="K614" s="254">
        <f t="shared" si="13"/>
        <v>113.34290000000001</v>
      </c>
      <c r="L614" s="255"/>
    </row>
    <row r="615" spans="2:12">
      <c r="B615" s="263" t="s">
        <v>1552</v>
      </c>
      <c r="C615" s="264" t="s">
        <v>1521</v>
      </c>
      <c r="D615" s="205" t="s">
        <v>152</v>
      </c>
      <c r="E615" s="251">
        <v>538</v>
      </c>
      <c r="F615" s="252">
        <v>0.61699999999999999</v>
      </c>
      <c r="G615" s="251"/>
      <c r="H615" s="251">
        <v>1.1000000000000001</v>
      </c>
      <c r="I615" s="251"/>
      <c r="J615" s="253"/>
      <c r="K615" s="254">
        <f t="shared" si="13"/>
        <v>365.14060000000001</v>
      </c>
      <c r="L615" s="266"/>
    </row>
    <row r="616" spans="2:12">
      <c r="B616" s="263" t="s">
        <v>1553</v>
      </c>
      <c r="C616" s="264" t="s">
        <v>1521</v>
      </c>
      <c r="D616" s="205" t="s">
        <v>152</v>
      </c>
      <c r="E616" s="251">
        <v>109</v>
      </c>
      <c r="F616" s="252">
        <v>0.61699999999999999</v>
      </c>
      <c r="G616" s="251"/>
      <c r="H616" s="251">
        <v>1.1000000000000001</v>
      </c>
      <c r="I616" s="251"/>
      <c r="J616" s="253"/>
      <c r="K616" s="254">
        <f t="shared" si="13"/>
        <v>73.978300000000004</v>
      </c>
      <c r="L616" s="266"/>
    </row>
    <row r="617" spans="2:12">
      <c r="B617" s="263" t="s">
        <v>1642</v>
      </c>
      <c r="C617" s="264" t="s">
        <v>1611</v>
      </c>
      <c r="D617" s="205" t="s">
        <v>152</v>
      </c>
      <c r="E617" s="251">
        <v>199</v>
      </c>
      <c r="F617" s="252">
        <v>0.61699999999999999</v>
      </c>
      <c r="G617" s="251"/>
      <c r="H617" s="251">
        <v>1.1000000000000001</v>
      </c>
      <c r="I617" s="251"/>
      <c r="J617" s="253"/>
      <c r="K617" s="254">
        <f t="shared" si="13"/>
        <v>135.06130000000002</v>
      </c>
      <c r="L617" s="266"/>
    </row>
    <row r="618" spans="2:12">
      <c r="B618" s="263" t="s">
        <v>1643</v>
      </c>
      <c r="C618" s="264" t="s">
        <v>1611</v>
      </c>
      <c r="D618" s="205" t="s">
        <v>152</v>
      </c>
      <c r="E618" s="251">
        <v>150</v>
      </c>
      <c r="F618" s="252">
        <v>0.61699999999999999</v>
      </c>
      <c r="G618" s="251"/>
      <c r="H618" s="251">
        <v>1.1000000000000001</v>
      </c>
      <c r="I618" s="251"/>
      <c r="J618" s="253"/>
      <c r="K618" s="254">
        <f t="shared" si="13"/>
        <v>101.80500000000001</v>
      </c>
      <c r="L618" s="266"/>
    </row>
    <row r="619" spans="2:12">
      <c r="B619" s="263" t="s">
        <v>1644</v>
      </c>
      <c r="C619" s="264" t="s">
        <v>1612</v>
      </c>
      <c r="D619" s="205" t="s">
        <v>152</v>
      </c>
      <c r="E619" s="251">
        <v>100</v>
      </c>
      <c r="F619" s="252">
        <v>0.61699999999999999</v>
      </c>
      <c r="G619" s="251"/>
      <c r="H619" s="251">
        <v>1.1000000000000001</v>
      </c>
      <c r="I619" s="251"/>
      <c r="J619" s="253"/>
      <c r="K619" s="254">
        <f t="shared" si="13"/>
        <v>67.87</v>
      </c>
      <c r="L619" s="266"/>
    </row>
    <row r="620" spans="2:12">
      <c r="B620" s="263" t="s">
        <v>1645</v>
      </c>
      <c r="C620" s="264" t="s">
        <v>1612</v>
      </c>
      <c r="D620" s="205" t="s">
        <v>152</v>
      </c>
      <c r="E620" s="251">
        <v>346</v>
      </c>
      <c r="F620" s="252">
        <v>0.61699999999999999</v>
      </c>
      <c r="G620" s="251"/>
      <c r="H620" s="251">
        <v>1.1000000000000001</v>
      </c>
      <c r="I620" s="251"/>
      <c r="J620" s="253"/>
      <c r="K620" s="254">
        <f t="shared" si="13"/>
        <v>234.83020000000002</v>
      </c>
      <c r="L620" s="266"/>
    </row>
    <row r="621" spans="2:12">
      <c r="B621" s="263" t="s">
        <v>1646</v>
      </c>
      <c r="C621" s="264" t="s">
        <v>1612</v>
      </c>
      <c r="D621" s="205" t="s">
        <v>152</v>
      </c>
      <c r="E621" s="251">
        <v>256</v>
      </c>
      <c r="F621" s="252">
        <v>0.61699999999999999</v>
      </c>
      <c r="G621" s="251"/>
      <c r="H621" s="251">
        <v>1.1000000000000001</v>
      </c>
      <c r="I621" s="251"/>
      <c r="J621" s="253"/>
      <c r="K621" s="254">
        <f t="shared" si="13"/>
        <v>173.74720000000002</v>
      </c>
      <c r="L621" s="266"/>
    </row>
    <row r="622" spans="2:12">
      <c r="B622" s="263" t="s">
        <v>1647</v>
      </c>
      <c r="C622" s="264" t="s">
        <v>1613</v>
      </c>
      <c r="D622" s="205" t="s">
        <v>152</v>
      </c>
      <c r="E622" s="257">
        <v>646</v>
      </c>
      <c r="F622" s="258">
        <v>0.61699999999999999</v>
      </c>
      <c r="G622" s="257"/>
      <c r="H622" s="257">
        <v>1.1000000000000001</v>
      </c>
      <c r="I622" s="251"/>
      <c r="J622" s="253"/>
      <c r="K622" s="254">
        <f t="shared" si="13"/>
        <v>438.4402</v>
      </c>
      <c r="L622" s="255"/>
    </row>
    <row r="623" spans="2:12">
      <c r="B623" s="263" t="s">
        <v>1896</v>
      </c>
      <c r="C623" s="264" t="s">
        <v>1895</v>
      </c>
      <c r="D623" s="205" t="s">
        <v>152</v>
      </c>
      <c r="E623" s="257">
        <v>589</v>
      </c>
      <c r="F623" s="258">
        <v>0.61699999999999999</v>
      </c>
      <c r="G623" s="257"/>
      <c r="H623" s="257">
        <v>1.1000000000000001</v>
      </c>
      <c r="I623" s="251"/>
      <c r="J623" s="253"/>
      <c r="K623" s="254">
        <f t="shared" si="13"/>
        <v>399.75430000000006</v>
      </c>
      <c r="L623" s="255"/>
    </row>
    <row r="624" spans="2:12">
      <c r="B624" s="263" t="s">
        <v>1942</v>
      </c>
      <c r="C624" s="264" t="s">
        <v>1931</v>
      </c>
      <c r="D624" s="205" t="s">
        <v>152</v>
      </c>
      <c r="E624" s="257">
        <v>642</v>
      </c>
      <c r="F624" s="258">
        <v>0.61699999999999999</v>
      </c>
      <c r="G624" s="257"/>
      <c r="H624" s="257">
        <v>1.1000000000000001</v>
      </c>
      <c r="I624" s="251"/>
      <c r="J624" s="253"/>
      <c r="K624" s="254">
        <f t="shared" si="13"/>
        <v>435.72540000000004</v>
      </c>
      <c r="L624" s="266"/>
    </row>
    <row r="625" spans="2:12">
      <c r="B625" s="263" t="s">
        <v>1943</v>
      </c>
      <c r="C625" s="264" t="s">
        <v>1931</v>
      </c>
      <c r="D625" s="205" t="s">
        <v>152</v>
      </c>
      <c r="E625" s="257">
        <v>73</v>
      </c>
      <c r="F625" s="258">
        <v>0.61699999999999999</v>
      </c>
      <c r="G625" s="257"/>
      <c r="H625" s="257">
        <v>1.1000000000000001</v>
      </c>
      <c r="I625" s="251"/>
      <c r="J625" s="253"/>
      <c r="K625" s="254">
        <f t="shared" si="13"/>
        <v>49.545099999999998</v>
      </c>
      <c r="L625" s="266"/>
    </row>
    <row r="626" spans="2:12">
      <c r="B626" s="263" t="s">
        <v>1999</v>
      </c>
      <c r="C626" s="264" t="s">
        <v>1998</v>
      </c>
      <c r="D626" s="205" t="s">
        <v>152</v>
      </c>
      <c r="E626" s="257">
        <v>302</v>
      </c>
      <c r="F626" s="258">
        <v>0.61699999999999999</v>
      </c>
      <c r="G626" s="257"/>
      <c r="H626" s="257">
        <v>1.1000000000000001</v>
      </c>
      <c r="I626" s="251"/>
      <c r="J626" s="253"/>
      <c r="K626" s="254">
        <f t="shared" si="13"/>
        <v>204.96740000000003</v>
      </c>
      <c r="L626" s="255"/>
    </row>
    <row r="627" spans="2:12">
      <c r="B627" s="263" t="s">
        <v>2000</v>
      </c>
      <c r="C627" s="264" t="s">
        <v>1998</v>
      </c>
      <c r="D627" s="205" t="s">
        <v>152</v>
      </c>
      <c r="E627" s="257">
        <v>322</v>
      </c>
      <c r="F627" s="258">
        <v>0.61699999999999999</v>
      </c>
      <c r="G627" s="257"/>
      <c r="H627" s="257">
        <v>1.1000000000000001</v>
      </c>
      <c r="I627" s="251"/>
      <c r="J627" s="253"/>
      <c r="K627" s="254">
        <f t="shared" si="13"/>
        <v>218.54140000000004</v>
      </c>
      <c r="L627" s="255"/>
    </row>
    <row r="628" spans="2:12">
      <c r="B628" s="263" t="s">
        <v>2001</v>
      </c>
      <c r="C628" s="264" t="s">
        <v>1998</v>
      </c>
      <c r="D628" s="205" t="s">
        <v>152</v>
      </c>
      <c r="E628" s="257">
        <v>316</v>
      </c>
      <c r="F628" s="258">
        <v>0.61699999999999999</v>
      </c>
      <c r="G628" s="257"/>
      <c r="H628" s="257">
        <v>1.1000000000000001</v>
      </c>
      <c r="I628" s="251"/>
      <c r="J628" s="253"/>
      <c r="K628" s="254">
        <f t="shared" si="13"/>
        <v>214.46920000000003</v>
      </c>
      <c r="L628" s="255"/>
    </row>
    <row r="629" spans="2:12">
      <c r="B629" s="263" t="s">
        <v>2002</v>
      </c>
      <c r="C629" s="264" t="s">
        <v>1998</v>
      </c>
      <c r="D629" s="205" t="s">
        <v>152</v>
      </c>
      <c r="E629" s="257">
        <v>204</v>
      </c>
      <c r="F629" s="258">
        <v>0.61699999999999999</v>
      </c>
      <c r="G629" s="257"/>
      <c r="H629" s="257">
        <v>1.1000000000000001</v>
      </c>
      <c r="I629" s="251"/>
      <c r="J629" s="253"/>
      <c r="K629" s="254">
        <f t="shared" si="13"/>
        <v>138.45480000000001</v>
      </c>
      <c r="L629" s="255"/>
    </row>
    <row r="630" spans="2:12">
      <c r="B630" s="263"/>
      <c r="C630" s="264"/>
      <c r="D630" s="210"/>
      <c r="E630" s="257"/>
      <c r="F630" s="258"/>
      <c r="G630" s="257"/>
      <c r="H630" s="257"/>
      <c r="I630" s="257"/>
      <c r="J630" s="259"/>
      <c r="K630" s="254">
        <f t="shared" si="13"/>
        <v>0</v>
      </c>
      <c r="L630" s="266"/>
    </row>
    <row r="631" spans="2:12">
      <c r="B631" s="256"/>
      <c r="C631" s="210"/>
      <c r="D631" s="210"/>
      <c r="E631" s="257"/>
      <c r="F631" s="258"/>
      <c r="G631" s="257"/>
      <c r="H631" s="257"/>
      <c r="I631" s="257"/>
      <c r="J631" s="259"/>
      <c r="K631" s="254">
        <f t="shared" si="13"/>
        <v>0</v>
      </c>
      <c r="L631" s="210"/>
    </row>
    <row r="632" spans="2:12">
      <c r="B632" s="202"/>
      <c r="C632" s="203"/>
      <c r="D632" s="203"/>
      <c r="E632" s="203"/>
      <c r="F632" s="203"/>
      <c r="G632" s="203"/>
      <c r="H632" s="204"/>
      <c r="I632" s="556" t="s">
        <v>1221</v>
      </c>
      <c r="J632" s="556"/>
      <c r="K632" s="220">
        <f>SUM(K611:K631)</f>
        <v>3650.0486000000001</v>
      </c>
      <c r="L632" s="207"/>
    </row>
    <row r="633" spans="2:12">
      <c r="B633" s="208"/>
      <c r="C633" s="204"/>
      <c r="D633" s="204"/>
      <c r="E633" s="204"/>
      <c r="F633" s="204"/>
      <c r="G633" s="204"/>
      <c r="H633" s="209"/>
      <c r="I633" s="557" t="s">
        <v>1222</v>
      </c>
      <c r="J633" s="557"/>
      <c r="K633" s="221">
        <v>4215.2</v>
      </c>
      <c r="L633" s="207"/>
    </row>
    <row r="634" spans="2:12">
      <c r="B634" s="208"/>
      <c r="C634" s="204"/>
      <c r="D634" s="204"/>
      <c r="E634" s="204"/>
      <c r="F634" s="204"/>
      <c r="G634" s="204"/>
      <c r="H634" s="558" t="s">
        <v>1223</v>
      </c>
      <c r="I634" s="558"/>
      <c r="J634" s="558"/>
      <c r="K634" s="222">
        <v>2873.6158</v>
      </c>
      <c r="L634" s="207"/>
    </row>
    <row r="635" spans="2:12">
      <c r="B635" s="208"/>
      <c r="C635" s="204"/>
      <c r="D635" s="204"/>
      <c r="E635" s="204"/>
      <c r="F635" s="204"/>
      <c r="G635" s="204"/>
      <c r="H635" s="558" t="s">
        <v>1892</v>
      </c>
      <c r="I635" s="558"/>
      <c r="J635" s="558"/>
      <c r="K635" s="222">
        <f>TRUNC(SUMIF(C611:C631,H635,K611:K631),2)</f>
        <v>776.43</v>
      </c>
      <c r="L635" s="207"/>
    </row>
    <row r="636" spans="2:12">
      <c r="B636" s="213"/>
      <c r="C636" s="214"/>
      <c r="D636" s="214"/>
      <c r="E636" s="214"/>
      <c r="F636" s="214"/>
      <c r="G636" s="214"/>
      <c r="H636" s="559" t="s">
        <v>1224</v>
      </c>
      <c r="I636" s="559"/>
      <c r="J636" s="559"/>
      <c r="K636" s="223">
        <f>IF(K632&gt;K633,K632-K633,0)</f>
        <v>0</v>
      </c>
      <c r="L636" s="209"/>
    </row>
    <row r="638" spans="2:12">
      <c r="B638" s="247" t="s">
        <v>205</v>
      </c>
      <c r="C638" s="565" t="s">
        <v>206</v>
      </c>
      <c r="D638" s="565"/>
      <c r="E638" s="565"/>
      <c r="F638" s="565"/>
      <c r="G638" s="565"/>
      <c r="H638" s="565"/>
      <c r="I638" s="565"/>
      <c r="J638" s="565"/>
      <c r="K638" s="565"/>
      <c r="L638" s="565"/>
    </row>
    <row r="639" spans="2:12">
      <c r="B639" s="248" t="s">
        <v>1209</v>
      </c>
      <c r="C639" s="248"/>
      <c r="D639" s="248" t="s">
        <v>39</v>
      </c>
      <c r="E639" s="248" t="s">
        <v>1210</v>
      </c>
      <c r="F639" s="248" t="s">
        <v>1382</v>
      </c>
      <c r="G639" s="248" t="s">
        <v>1383</v>
      </c>
      <c r="H639" s="248" t="s">
        <v>1384</v>
      </c>
      <c r="I639" s="248" t="s">
        <v>1214</v>
      </c>
      <c r="J639" s="248" t="s">
        <v>1385</v>
      </c>
      <c r="K639" s="248" t="s">
        <v>1216</v>
      </c>
      <c r="L639" s="248" t="s">
        <v>1217</v>
      </c>
    </row>
    <row r="640" spans="2:12">
      <c r="B640" s="249" t="s">
        <v>1367</v>
      </c>
      <c r="C640" s="250" t="s">
        <v>1333</v>
      </c>
      <c r="D640" s="205" t="s">
        <v>152</v>
      </c>
      <c r="E640" s="251">
        <v>89</v>
      </c>
      <c r="F640" s="252">
        <v>0.96299999999999997</v>
      </c>
      <c r="G640" s="251"/>
      <c r="H640" s="251">
        <v>1.1000000000000001</v>
      </c>
      <c r="I640" s="251"/>
      <c r="J640" s="253"/>
      <c r="K640" s="254">
        <f t="shared" ref="K640:K662" si="14">IF(E640*F640*G640&lt;&gt;0,E640*F640*G640,IF(E640*F640&lt;&gt;0,E640*F640,IF(F640*G640&lt;&gt;0,F640*G640,IF(E640*G640&lt;&gt;0,E640*G640,IF(E640&lt;&gt;0,E640,IF(F640&lt;&gt;0,F640,IF(G640&lt;&gt;0,G640,0)))))))*(IF(H640&lt;&gt;0,H640,1))+I640-J640</f>
        <v>94.277699999999996</v>
      </c>
      <c r="L640" s="255"/>
    </row>
    <row r="641" spans="2:12">
      <c r="B641" s="249" t="s">
        <v>1386</v>
      </c>
      <c r="C641" s="250" t="s">
        <v>1333</v>
      </c>
      <c r="D641" s="205" t="s">
        <v>152</v>
      </c>
      <c r="E641" s="251">
        <v>72</v>
      </c>
      <c r="F641" s="252">
        <v>0.96299999999999997</v>
      </c>
      <c r="G641" s="251"/>
      <c r="H641" s="251">
        <v>1.1000000000000001</v>
      </c>
      <c r="I641" s="251"/>
      <c r="J641" s="253"/>
      <c r="K641" s="254">
        <f t="shared" si="14"/>
        <v>76.269600000000011</v>
      </c>
      <c r="L641" s="255"/>
    </row>
    <row r="642" spans="2:12">
      <c r="B642" s="263" t="s">
        <v>1475</v>
      </c>
      <c r="C642" s="264" t="s">
        <v>1441</v>
      </c>
      <c r="D642" s="205" t="s">
        <v>152</v>
      </c>
      <c r="E642" s="251">
        <v>140</v>
      </c>
      <c r="F642" s="252">
        <v>0.96299999999999997</v>
      </c>
      <c r="G642" s="251"/>
      <c r="H642" s="251">
        <v>1.1000000000000001</v>
      </c>
      <c r="I642" s="251"/>
      <c r="J642" s="253"/>
      <c r="K642" s="254">
        <f t="shared" si="14"/>
        <v>148.30199999999999</v>
      </c>
      <c r="L642" s="255"/>
    </row>
    <row r="643" spans="2:12">
      <c r="B643" s="263" t="s">
        <v>1476</v>
      </c>
      <c r="C643" s="264" t="s">
        <v>1441</v>
      </c>
      <c r="D643" s="205" t="s">
        <v>152</v>
      </c>
      <c r="E643" s="251">
        <v>119</v>
      </c>
      <c r="F643" s="252">
        <v>0.96299999999999997</v>
      </c>
      <c r="G643" s="251"/>
      <c r="H643" s="251">
        <v>1.1000000000000001</v>
      </c>
      <c r="I643" s="251"/>
      <c r="J643" s="253"/>
      <c r="K643" s="254">
        <f t="shared" si="14"/>
        <v>126.05670000000001</v>
      </c>
      <c r="L643" s="255"/>
    </row>
    <row r="644" spans="2:12">
      <c r="B644" s="263" t="s">
        <v>1552</v>
      </c>
      <c r="C644" s="264" t="s">
        <v>1521</v>
      </c>
      <c r="D644" s="205" t="s">
        <v>152</v>
      </c>
      <c r="E644" s="251">
        <v>144</v>
      </c>
      <c r="F644" s="252">
        <v>0.96299999999999997</v>
      </c>
      <c r="G644" s="251"/>
      <c r="H644" s="251">
        <v>1.1000000000000001</v>
      </c>
      <c r="I644" s="251"/>
      <c r="J644" s="253"/>
      <c r="K644" s="254">
        <f t="shared" si="14"/>
        <v>152.53920000000002</v>
      </c>
      <c r="L644" s="266"/>
    </row>
    <row r="645" spans="2:12">
      <c r="B645" s="263" t="s">
        <v>1553</v>
      </c>
      <c r="C645" s="264" t="s">
        <v>1521</v>
      </c>
      <c r="D645" s="205" t="s">
        <v>152</v>
      </c>
      <c r="E645" s="251">
        <v>34</v>
      </c>
      <c r="F645" s="252">
        <v>0.96299999999999997</v>
      </c>
      <c r="G645" s="251"/>
      <c r="H645" s="251">
        <v>1.1000000000000001</v>
      </c>
      <c r="I645" s="251"/>
      <c r="J645" s="253"/>
      <c r="K645" s="254">
        <f t="shared" si="14"/>
        <v>36.016199999999998</v>
      </c>
      <c r="L645" s="266"/>
    </row>
    <row r="646" spans="2:12">
      <c r="B646" s="263" t="s">
        <v>1642</v>
      </c>
      <c r="C646" s="264" t="s">
        <v>1611</v>
      </c>
      <c r="D646" s="205" t="s">
        <v>152</v>
      </c>
      <c r="E646" s="251">
        <v>187</v>
      </c>
      <c r="F646" s="252">
        <v>0.96299999999999997</v>
      </c>
      <c r="G646" s="251"/>
      <c r="H646" s="251">
        <v>1.1000000000000001</v>
      </c>
      <c r="I646" s="251"/>
      <c r="J646" s="253"/>
      <c r="K646" s="254">
        <f t="shared" si="14"/>
        <v>198.0891</v>
      </c>
      <c r="L646" s="266"/>
    </row>
    <row r="647" spans="2:12">
      <c r="B647" s="263" t="s">
        <v>1643</v>
      </c>
      <c r="C647" s="264" t="s">
        <v>1611</v>
      </c>
      <c r="D647" s="205" t="s">
        <v>152</v>
      </c>
      <c r="E647" s="251">
        <v>105</v>
      </c>
      <c r="F647" s="252">
        <v>0.96299999999999997</v>
      </c>
      <c r="G647" s="251"/>
      <c r="H647" s="251">
        <v>1.1000000000000001</v>
      </c>
      <c r="I647" s="251"/>
      <c r="J647" s="253"/>
      <c r="K647" s="254">
        <f t="shared" si="14"/>
        <v>111.2265</v>
      </c>
      <c r="L647" s="266"/>
    </row>
    <row r="648" spans="2:12">
      <c r="B648" s="263" t="s">
        <v>1644</v>
      </c>
      <c r="C648" s="264" t="s">
        <v>1612</v>
      </c>
      <c r="D648" s="205" t="s">
        <v>152</v>
      </c>
      <c r="E648" s="251">
        <v>168</v>
      </c>
      <c r="F648" s="252">
        <v>0.96299999999999997</v>
      </c>
      <c r="G648" s="251"/>
      <c r="H648" s="251">
        <v>1.1000000000000001</v>
      </c>
      <c r="I648" s="251"/>
      <c r="J648" s="253"/>
      <c r="K648" s="254">
        <f t="shared" si="14"/>
        <v>177.9624</v>
      </c>
      <c r="L648" s="266"/>
    </row>
    <row r="649" spans="2:12">
      <c r="B649" s="263" t="s">
        <v>1645</v>
      </c>
      <c r="C649" s="264" t="s">
        <v>1612</v>
      </c>
      <c r="D649" s="205" t="s">
        <v>152</v>
      </c>
      <c r="E649" s="251">
        <v>94</v>
      </c>
      <c r="F649" s="252">
        <v>0.96299999999999997</v>
      </c>
      <c r="G649" s="251"/>
      <c r="H649" s="251">
        <v>1.1000000000000001</v>
      </c>
      <c r="I649" s="251"/>
      <c r="J649" s="253"/>
      <c r="K649" s="254">
        <f t="shared" si="14"/>
        <v>99.574200000000005</v>
      </c>
      <c r="L649" s="266"/>
    </row>
    <row r="650" spans="2:12">
      <c r="B650" s="263" t="s">
        <v>1646</v>
      </c>
      <c r="C650" s="264" t="s">
        <v>1612</v>
      </c>
      <c r="D650" s="205" t="s">
        <v>152</v>
      </c>
      <c r="E650" s="251">
        <v>86</v>
      </c>
      <c r="F650" s="252">
        <v>0.96299999999999997</v>
      </c>
      <c r="G650" s="251"/>
      <c r="H650" s="251">
        <v>1.1000000000000001</v>
      </c>
      <c r="I650" s="251"/>
      <c r="J650" s="253"/>
      <c r="K650" s="254">
        <f t="shared" si="14"/>
        <v>91.099800000000002</v>
      </c>
      <c r="L650" s="266"/>
    </row>
    <row r="651" spans="2:12">
      <c r="B651" s="263" t="s">
        <v>1647</v>
      </c>
      <c r="C651" s="264" t="s">
        <v>1613</v>
      </c>
      <c r="D651" s="205" t="s">
        <v>152</v>
      </c>
      <c r="E651" s="257">
        <v>228</v>
      </c>
      <c r="F651" s="258">
        <v>0.96299999999999997</v>
      </c>
      <c r="G651" s="257"/>
      <c r="H651" s="257">
        <v>1.1000000000000001</v>
      </c>
      <c r="I651" s="251"/>
      <c r="J651" s="253"/>
      <c r="K651" s="254">
        <f t="shared" si="14"/>
        <v>241.52040000000002</v>
      </c>
      <c r="L651" s="255"/>
    </row>
    <row r="652" spans="2:12">
      <c r="B652" s="263" t="s">
        <v>1896</v>
      </c>
      <c r="C652" s="264" t="s">
        <v>1895</v>
      </c>
      <c r="D652" s="205" t="s">
        <v>152</v>
      </c>
      <c r="E652" s="257">
        <v>442</v>
      </c>
      <c r="F652" s="258">
        <v>0.96299999999999997</v>
      </c>
      <c r="G652" s="257"/>
      <c r="H652" s="257">
        <v>1.1000000000000001</v>
      </c>
      <c r="I652" s="251"/>
      <c r="J652" s="253">
        <v>242.57730000000001</v>
      </c>
      <c r="K652" s="254">
        <f t="shared" si="14"/>
        <v>225.63329999999999</v>
      </c>
      <c r="L652" s="255" t="s">
        <v>1897</v>
      </c>
    </row>
    <row r="653" spans="2:12">
      <c r="B653" s="263" t="s">
        <v>1942</v>
      </c>
      <c r="C653" s="264" t="s">
        <v>1944</v>
      </c>
      <c r="D653" s="205" t="s">
        <v>152</v>
      </c>
      <c r="E653" s="257">
        <v>311</v>
      </c>
      <c r="F653" s="258">
        <v>0.96299999999999997</v>
      </c>
      <c r="G653" s="257"/>
      <c r="H653" s="257">
        <v>1.1000000000000001</v>
      </c>
      <c r="I653" s="251"/>
      <c r="J653" s="253"/>
      <c r="K653" s="254">
        <f t="shared" si="14"/>
        <v>329.44230000000005</v>
      </c>
      <c r="L653" s="266"/>
    </row>
    <row r="654" spans="2:12">
      <c r="B654" s="263" t="s">
        <v>1943</v>
      </c>
      <c r="C654" s="264" t="s">
        <v>1944</v>
      </c>
      <c r="D654" s="205" t="s">
        <v>152</v>
      </c>
      <c r="E654" s="257">
        <v>57</v>
      </c>
      <c r="F654" s="258">
        <v>0.96299999999999997</v>
      </c>
      <c r="G654" s="257"/>
      <c r="H654" s="257">
        <v>1.1000000000000001</v>
      </c>
      <c r="I654" s="251"/>
      <c r="J654" s="253"/>
      <c r="K654" s="254">
        <f t="shared" si="14"/>
        <v>60.380100000000006</v>
      </c>
      <c r="L654" s="266"/>
    </row>
    <row r="655" spans="2:12">
      <c r="B655" s="263" t="s">
        <v>1999</v>
      </c>
      <c r="C655" s="264" t="s">
        <v>1998</v>
      </c>
      <c r="D655" s="205" t="s">
        <v>152</v>
      </c>
      <c r="E655" s="257">
        <v>87</v>
      </c>
      <c r="F655" s="258">
        <v>0.96299999999999997</v>
      </c>
      <c r="G655" s="257"/>
      <c r="H655" s="257">
        <v>1.1000000000000001</v>
      </c>
      <c r="I655" s="251"/>
      <c r="J655" s="253"/>
      <c r="K655" s="254">
        <f t="shared" si="14"/>
        <v>92.159099999999995</v>
      </c>
      <c r="L655" s="255"/>
    </row>
    <row r="656" spans="2:12">
      <c r="B656" s="263" t="s">
        <v>2000</v>
      </c>
      <c r="C656" s="264" t="s">
        <v>1998</v>
      </c>
      <c r="D656" s="205" t="s">
        <v>152</v>
      </c>
      <c r="E656" s="257">
        <v>181</v>
      </c>
      <c r="F656" s="258">
        <v>0.96299999999999997</v>
      </c>
      <c r="G656" s="257"/>
      <c r="H656" s="257">
        <v>1.1000000000000001</v>
      </c>
      <c r="I656" s="251"/>
      <c r="J656" s="253"/>
      <c r="K656" s="254">
        <f t="shared" si="14"/>
        <v>191.73330000000001</v>
      </c>
      <c r="L656" s="255"/>
    </row>
    <row r="657" spans="2:12">
      <c r="B657" s="263" t="s">
        <v>2001</v>
      </c>
      <c r="C657" s="264" t="s">
        <v>1998</v>
      </c>
      <c r="D657" s="205" t="s">
        <v>152</v>
      </c>
      <c r="E657" s="257">
        <v>107</v>
      </c>
      <c r="F657" s="258">
        <v>0.96299999999999997</v>
      </c>
      <c r="G657" s="257"/>
      <c r="H657" s="257">
        <v>1.1000000000000001</v>
      </c>
      <c r="I657" s="251"/>
      <c r="J657" s="253"/>
      <c r="K657" s="254">
        <f t="shared" si="14"/>
        <v>113.3451</v>
      </c>
      <c r="L657" s="255"/>
    </row>
    <row r="658" spans="2:12">
      <c r="B658" s="263" t="s">
        <v>2002</v>
      </c>
      <c r="C658" s="264" t="s">
        <v>1998</v>
      </c>
      <c r="D658" s="205" t="s">
        <v>152</v>
      </c>
      <c r="E658" s="257">
        <v>106</v>
      </c>
      <c r="F658" s="258">
        <v>0.96299999999999997</v>
      </c>
      <c r="G658" s="257"/>
      <c r="H658" s="257">
        <v>1.1000000000000001</v>
      </c>
      <c r="I658" s="251"/>
      <c r="J658" s="253"/>
      <c r="K658" s="254">
        <f t="shared" si="14"/>
        <v>112.28580000000001</v>
      </c>
      <c r="L658" s="255"/>
    </row>
    <row r="659" spans="2:12">
      <c r="B659" s="263"/>
      <c r="C659" s="264"/>
      <c r="D659" s="210"/>
      <c r="E659" s="257"/>
      <c r="F659" s="258"/>
      <c r="G659" s="257"/>
      <c r="H659" s="257"/>
      <c r="I659" s="257"/>
      <c r="J659" s="259"/>
      <c r="K659" s="254">
        <f t="shared" si="14"/>
        <v>0</v>
      </c>
      <c r="L659" s="266"/>
    </row>
    <row r="660" spans="2:12">
      <c r="B660" s="263"/>
      <c r="C660" s="264"/>
      <c r="D660" s="210"/>
      <c r="E660" s="257"/>
      <c r="F660" s="258"/>
      <c r="G660" s="257"/>
      <c r="H660" s="257"/>
      <c r="I660" s="257"/>
      <c r="J660" s="259"/>
      <c r="K660" s="254">
        <f t="shared" si="14"/>
        <v>0</v>
      </c>
      <c r="L660" s="266"/>
    </row>
    <row r="661" spans="2:12">
      <c r="B661" s="263"/>
      <c r="C661" s="264"/>
      <c r="D661" s="210"/>
      <c r="E661" s="257"/>
      <c r="F661" s="258"/>
      <c r="G661" s="257"/>
      <c r="H661" s="257"/>
      <c r="I661" s="257"/>
      <c r="J661" s="259"/>
      <c r="K661" s="254">
        <f t="shared" si="14"/>
        <v>0</v>
      </c>
      <c r="L661" s="266"/>
    </row>
    <row r="662" spans="2:12">
      <c r="B662" s="263"/>
      <c r="C662" s="264"/>
      <c r="D662" s="210"/>
      <c r="E662" s="257"/>
      <c r="F662" s="258"/>
      <c r="G662" s="257"/>
      <c r="H662" s="257"/>
      <c r="I662" s="257"/>
      <c r="J662" s="259"/>
      <c r="K662" s="254">
        <f t="shared" si="14"/>
        <v>0</v>
      </c>
      <c r="L662" s="266"/>
    </row>
    <row r="663" spans="2:12">
      <c r="B663" s="202"/>
      <c r="C663" s="203"/>
      <c r="D663" s="203"/>
      <c r="E663" s="203"/>
      <c r="F663" s="203"/>
      <c r="G663" s="203"/>
      <c r="H663" s="204"/>
      <c r="I663" s="556" t="s">
        <v>1221</v>
      </c>
      <c r="J663" s="556"/>
      <c r="K663" s="220">
        <f>SUM(K640:K662)</f>
        <v>2677.9127999999996</v>
      </c>
      <c r="L663" s="207"/>
    </row>
    <row r="664" spans="2:12">
      <c r="B664" s="208"/>
      <c r="C664" s="204"/>
      <c r="D664" s="204"/>
      <c r="E664" s="204"/>
      <c r="F664" s="204"/>
      <c r="G664" s="204"/>
      <c r="H664" s="209"/>
      <c r="I664" s="557" t="s">
        <v>1222</v>
      </c>
      <c r="J664" s="557"/>
      <c r="K664" s="221">
        <v>3267</v>
      </c>
      <c r="L664" s="207"/>
    </row>
    <row r="665" spans="2:12">
      <c r="B665" s="208"/>
      <c r="C665" s="204"/>
      <c r="D665" s="204"/>
      <c r="E665" s="204"/>
      <c r="F665" s="204"/>
      <c r="G665" s="204"/>
      <c r="H665" s="558" t="s">
        <v>1223</v>
      </c>
      <c r="I665" s="558"/>
      <c r="J665" s="558"/>
      <c r="K665" s="222">
        <v>3266.97</v>
      </c>
      <c r="L665" s="207"/>
    </row>
    <row r="666" spans="2:12">
      <c r="B666" s="208"/>
      <c r="C666" s="204"/>
      <c r="D666" s="204"/>
      <c r="E666" s="204"/>
      <c r="F666" s="204"/>
      <c r="G666" s="204"/>
      <c r="H666" s="558" t="s">
        <v>1892</v>
      </c>
      <c r="I666" s="558"/>
      <c r="J666" s="558"/>
      <c r="K666" s="222">
        <f>IF(K665&gt;=K664,TRUNC(SUMIF(C640:C662,H666,K640:K662),2),0)</f>
        <v>0</v>
      </c>
      <c r="L666" s="207"/>
    </row>
    <row r="667" spans="2:12">
      <c r="B667" s="213"/>
      <c r="C667" s="214"/>
      <c r="D667" s="214"/>
      <c r="E667" s="214"/>
      <c r="F667" s="214"/>
      <c r="G667" s="214"/>
      <c r="H667" s="559" t="s">
        <v>1224</v>
      </c>
      <c r="I667" s="559"/>
      <c r="J667" s="559"/>
      <c r="K667" s="223">
        <f>IF(K663&gt;K664,K663-K664,0)</f>
        <v>0</v>
      </c>
      <c r="L667" s="209"/>
    </row>
    <row r="669" spans="2:12">
      <c r="B669" s="247" t="s">
        <v>207</v>
      </c>
      <c r="C669" s="565" t="s">
        <v>208</v>
      </c>
      <c r="D669" s="565"/>
      <c r="E669" s="565"/>
      <c r="F669" s="565"/>
      <c r="G669" s="565"/>
      <c r="H669" s="565"/>
      <c r="I669" s="565"/>
      <c r="J669" s="565"/>
      <c r="K669" s="565"/>
      <c r="L669" s="565"/>
    </row>
    <row r="670" spans="2:12">
      <c r="B670" s="248" t="s">
        <v>1209</v>
      </c>
      <c r="C670" s="248"/>
      <c r="D670" s="248" t="s">
        <v>39</v>
      </c>
      <c r="E670" s="248" t="s">
        <v>1210</v>
      </c>
      <c r="F670" s="248" t="s">
        <v>1382</v>
      </c>
      <c r="G670" s="248" t="s">
        <v>1383</v>
      </c>
      <c r="H670" s="248" t="s">
        <v>1384</v>
      </c>
      <c r="I670" s="248" t="s">
        <v>1214</v>
      </c>
      <c r="J670" s="248" t="s">
        <v>1385</v>
      </c>
      <c r="K670" s="248" t="s">
        <v>1216</v>
      </c>
      <c r="L670" s="248" t="s">
        <v>1217</v>
      </c>
    </row>
    <row r="671" spans="2:12">
      <c r="B671" s="249" t="s">
        <v>1367</v>
      </c>
      <c r="C671" s="250" t="s">
        <v>1333</v>
      </c>
      <c r="D671" s="205" t="s">
        <v>152</v>
      </c>
      <c r="E671" s="251">
        <v>221</v>
      </c>
      <c r="F671" s="252">
        <v>1.5780000000000001</v>
      </c>
      <c r="G671" s="251"/>
      <c r="H671" s="251">
        <v>1.1000000000000001</v>
      </c>
      <c r="I671" s="251"/>
      <c r="J671" s="253"/>
      <c r="K671" s="254">
        <f t="shared" ref="K671:K691" si="15">IF(E671*F671*G671&lt;&gt;0,E671*F671*G671,IF(E671*F671&lt;&gt;0,E671*F671,IF(F671*G671&lt;&gt;0,F671*G671,IF(E671*G671&lt;&gt;0,E671*G671,IF(E671&lt;&gt;0,E671,IF(F671&lt;&gt;0,F671,IF(G671&lt;&gt;0,G671,0)))))))*(IF(H671&lt;&gt;0,H671,1))+I671-J671</f>
        <v>383.61180000000002</v>
      </c>
      <c r="L671" s="255"/>
    </row>
    <row r="672" spans="2:12">
      <c r="B672" s="249" t="s">
        <v>1386</v>
      </c>
      <c r="C672" s="250" t="s">
        <v>1333</v>
      </c>
      <c r="D672" s="205" t="s">
        <v>152</v>
      </c>
      <c r="E672" s="251">
        <v>236</v>
      </c>
      <c r="F672" s="252">
        <v>1.5780000000000001</v>
      </c>
      <c r="G672" s="251"/>
      <c r="H672" s="251">
        <v>1.1000000000000001</v>
      </c>
      <c r="I672" s="251"/>
      <c r="J672" s="253"/>
      <c r="K672" s="254">
        <f t="shared" si="15"/>
        <v>409.64880000000005</v>
      </c>
      <c r="L672" s="255"/>
    </row>
    <row r="673" spans="2:12">
      <c r="B673" s="263" t="s">
        <v>1475</v>
      </c>
      <c r="C673" s="264" t="s">
        <v>1441</v>
      </c>
      <c r="D673" s="205" t="s">
        <v>152</v>
      </c>
      <c r="E673" s="251">
        <v>201</v>
      </c>
      <c r="F673" s="252">
        <v>1.5780000000000001</v>
      </c>
      <c r="G673" s="251"/>
      <c r="H673" s="251">
        <v>1.1000000000000001</v>
      </c>
      <c r="I673" s="251"/>
      <c r="J673" s="253"/>
      <c r="K673" s="254">
        <f t="shared" si="15"/>
        <v>348.89580000000001</v>
      </c>
      <c r="L673" s="255"/>
    </row>
    <row r="674" spans="2:12">
      <c r="B674" s="263" t="s">
        <v>1476</v>
      </c>
      <c r="C674" s="264" t="s">
        <v>1441</v>
      </c>
      <c r="D674" s="205" t="s">
        <v>152</v>
      </c>
      <c r="E674" s="251">
        <v>215</v>
      </c>
      <c r="F674" s="252">
        <v>1.5780000000000001</v>
      </c>
      <c r="G674" s="251"/>
      <c r="H674" s="251">
        <v>1.1000000000000001</v>
      </c>
      <c r="I674" s="251"/>
      <c r="J674" s="253"/>
      <c r="K674" s="254">
        <f t="shared" si="15"/>
        <v>373.19700000000006</v>
      </c>
      <c r="L674" s="255"/>
    </row>
    <row r="675" spans="2:12">
      <c r="B675" s="263" t="s">
        <v>1552</v>
      </c>
      <c r="C675" s="264" t="s">
        <v>1521</v>
      </c>
      <c r="D675" s="205" t="s">
        <v>152</v>
      </c>
      <c r="E675" s="251">
        <v>67</v>
      </c>
      <c r="F675" s="252">
        <v>1.5780000000000001</v>
      </c>
      <c r="G675" s="251"/>
      <c r="H675" s="251">
        <v>1.1000000000000001</v>
      </c>
      <c r="I675" s="251"/>
      <c r="J675" s="253"/>
      <c r="K675" s="254">
        <f t="shared" si="15"/>
        <v>116.29860000000001</v>
      </c>
      <c r="L675" s="266"/>
    </row>
    <row r="676" spans="2:12">
      <c r="B676" s="263" t="s">
        <v>1553</v>
      </c>
      <c r="C676" s="264" t="s">
        <v>1521</v>
      </c>
      <c r="D676" s="205" t="s">
        <v>152</v>
      </c>
      <c r="E676" s="251">
        <v>188</v>
      </c>
      <c r="F676" s="252">
        <v>1.5780000000000001</v>
      </c>
      <c r="G676" s="251"/>
      <c r="H676" s="251">
        <v>1.1000000000000001</v>
      </c>
      <c r="I676" s="251"/>
      <c r="J676" s="253"/>
      <c r="K676" s="254">
        <f t="shared" si="15"/>
        <v>326.3304</v>
      </c>
      <c r="L676" s="266"/>
    </row>
    <row r="677" spans="2:12">
      <c r="B677" s="263" t="s">
        <v>1642</v>
      </c>
      <c r="C677" s="264" t="s">
        <v>1611</v>
      </c>
      <c r="D677" s="205" t="s">
        <v>152</v>
      </c>
      <c r="E677" s="251">
        <v>161</v>
      </c>
      <c r="F677" s="252">
        <v>1.5780000000000001</v>
      </c>
      <c r="G677" s="251"/>
      <c r="H677" s="251">
        <v>1.1000000000000001</v>
      </c>
      <c r="I677" s="251"/>
      <c r="J677" s="253"/>
      <c r="K677" s="254">
        <f t="shared" si="15"/>
        <v>279.46380000000005</v>
      </c>
      <c r="L677" s="266"/>
    </row>
    <row r="678" spans="2:12">
      <c r="B678" s="263" t="s">
        <v>1643</v>
      </c>
      <c r="C678" s="264" t="s">
        <v>1611</v>
      </c>
      <c r="D678" s="205" t="s">
        <v>152</v>
      </c>
      <c r="E678" s="251">
        <v>205</v>
      </c>
      <c r="F678" s="252">
        <v>1.5780000000000001</v>
      </c>
      <c r="G678" s="251"/>
      <c r="H678" s="251">
        <v>1.1000000000000001</v>
      </c>
      <c r="I678" s="251"/>
      <c r="J678" s="253"/>
      <c r="K678" s="254">
        <f t="shared" si="15"/>
        <v>355.83900000000006</v>
      </c>
      <c r="L678" s="266"/>
    </row>
    <row r="679" spans="2:12">
      <c r="B679" s="263" t="s">
        <v>1644</v>
      </c>
      <c r="C679" s="264" t="s">
        <v>1612</v>
      </c>
      <c r="D679" s="205" t="s">
        <v>152</v>
      </c>
      <c r="E679" s="251">
        <v>44</v>
      </c>
      <c r="F679" s="252">
        <v>1.5780000000000001</v>
      </c>
      <c r="G679" s="251"/>
      <c r="H679" s="251">
        <v>1.1000000000000001</v>
      </c>
      <c r="I679" s="251"/>
      <c r="J679" s="253"/>
      <c r="K679" s="254">
        <f t="shared" si="15"/>
        <v>76.375200000000007</v>
      </c>
      <c r="L679" s="266"/>
    </row>
    <row r="680" spans="2:12">
      <c r="B680" s="263" t="s">
        <v>1645</v>
      </c>
      <c r="C680" s="264" t="s">
        <v>1612</v>
      </c>
      <c r="D680" s="205" t="s">
        <v>152</v>
      </c>
      <c r="E680" s="251">
        <v>141</v>
      </c>
      <c r="F680" s="252">
        <v>1.5780000000000001</v>
      </c>
      <c r="G680" s="251"/>
      <c r="H680" s="251">
        <v>1.1000000000000001</v>
      </c>
      <c r="I680" s="251"/>
      <c r="J680" s="253"/>
      <c r="K680" s="254">
        <f t="shared" si="15"/>
        <v>244.74780000000004</v>
      </c>
      <c r="L680" s="266"/>
    </row>
    <row r="681" spans="2:12">
      <c r="B681" s="263" t="s">
        <v>1646</v>
      </c>
      <c r="C681" s="264" t="s">
        <v>1612</v>
      </c>
      <c r="D681" s="205" t="s">
        <v>152</v>
      </c>
      <c r="E681" s="251">
        <v>223</v>
      </c>
      <c r="F681" s="252">
        <v>1.5780000000000001</v>
      </c>
      <c r="G681" s="251"/>
      <c r="H681" s="251">
        <v>1.1000000000000001</v>
      </c>
      <c r="I681" s="251"/>
      <c r="J681" s="253"/>
      <c r="K681" s="254">
        <f t="shared" si="15"/>
        <v>387.08340000000004</v>
      </c>
      <c r="L681" s="266"/>
    </row>
    <row r="682" spans="2:12">
      <c r="B682" s="263" t="s">
        <v>1647</v>
      </c>
      <c r="C682" s="264" t="s">
        <v>1613</v>
      </c>
      <c r="D682" s="205" t="s">
        <v>152</v>
      </c>
      <c r="E682" s="257">
        <v>614</v>
      </c>
      <c r="F682" s="258">
        <v>1.5780000000000001</v>
      </c>
      <c r="G682" s="257"/>
      <c r="H682" s="257">
        <v>1.1000000000000001</v>
      </c>
      <c r="I682" s="251"/>
      <c r="J682" s="253"/>
      <c r="K682" s="254">
        <f t="shared" si="15"/>
        <v>1065.7812000000001</v>
      </c>
      <c r="L682" s="255"/>
    </row>
    <row r="683" spans="2:12">
      <c r="B683" s="263" t="s">
        <v>1896</v>
      </c>
      <c r="C683" s="264" t="s">
        <v>1895</v>
      </c>
      <c r="D683" s="205" t="s">
        <v>152</v>
      </c>
      <c r="E683" s="257">
        <v>492</v>
      </c>
      <c r="F683" s="258">
        <v>1.5780000000000001</v>
      </c>
      <c r="G683" s="257"/>
      <c r="H683" s="257">
        <v>1.1000000000000001</v>
      </c>
      <c r="I683" s="251"/>
      <c r="J683" s="253"/>
      <c r="K683" s="254">
        <f t="shared" si="15"/>
        <v>854.01360000000022</v>
      </c>
      <c r="L683" s="255"/>
    </row>
    <row r="684" spans="2:12">
      <c r="B684" s="263" t="s">
        <v>1942</v>
      </c>
      <c r="C684" s="264" t="s">
        <v>1931</v>
      </c>
      <c r="D684" s="205" t="s">
        <v>152</v>
      </c>
      <c r="E684" s="257">
        <v>565</v>
      </c>
      <c r="F684" s="258">
        <v>1.5780000000000001</v>
      </c>
      <c r="G684" s="257"/>
      <c r="H684" s="257">
        <v>1.1000000000000001</v>
      </c>
      <c r="I684" s="251"/>
      <c r="J684" s="253"/>
      <c r="K684" s="254">
        <f t="shared" si="15"/>
        <v>980.72700000000009</v>
      </c>
      <c r="L684" s="266"/>
    </row>
    <row r="685" spans="2:12">
      <c r="B685" s="263" t="s">
        <v>1943</v>
      </c>
      <c r="C685" s="264" t="s">
        <v>1931</v>
      </c>
      <c r="D685" s="205" t="s">
        <v>152</v>
      </c>
      <c r="E685" s="257">
        <v>76</v>
      </c>
      <c r="F685" s="258">
        <v>1.5780000000000001</v>
      </c>
      <c r="G685" s="257"/>
      <c r="H685" s="257">
        <v>1.1000000000000001</v>
      </c>
      <c r="I685" s="251"/>
      <c r="J685" s="253"/>
      <c r="K685" s="254">
        <f t="shared" si="15"/>
        <v>131.92080000000001</v>
      </c>
      <c r="L685" s="266"/>
    </row>
    <row r="686" spans="2:12">
      <c r="B686" s="263" t="s">
        <v>1999</v>
      </c>
      <c r="C686" s="264" t="s">
        <v>1998</v>
      </c>
      <c r="D686" s="205" t="s">
        <v>152</v>
      </c>
      <c r="E686" s="257">
        <v>235</v>
      </c>
      <c r="F686" s="258">
        <v>1.5780000000000001</v>
      </c>
      <c r="G686" s="257"/>
      <c r="H686" s="257">
        <v>1.1000000000000001</v>
      </c>
      <c r="I686" s="251"/>
      <c r="J686" s="253"/>
      <c r="K686" s="254">
        <f t="shared" si="15"/>
        <v>407.91300000000007</v>
      </c>
      <c r="L686" s="255"/>
    </row>
    <row r="687" spans="2:12">
      <c r="B687" s="263" t="s">
        <v>2000</v>
      </c>
      <c r="C687" s="264" t="s">
        <v>1998</v>
      </c>
      <c r="D687" s="205" t="s">
        <v>152</v>
      </c>
      <c r="E687" s="257">
        <v>133</v>
      </c>
      <c r="F687" s="258">
        <v>1.5780000000000001</v>
      </c>
      <c r="G687" s="257"/>
      <c r="H687" s="257">
        <v>1.1000000000000001</v>
      </c>
      <c r="I687" s="251"/>
      <c r="J687" s="253"/>
      <c r="K687" s="254">
        <f t="shared" si="15"/>
        <v>230.8614</v>
      </c>
      <c r="L687" s="255"/>
    </row>
    <row r="688" spans="2:12">
      <c r="B688" s="263" t="s">
        <v>2001</v>
      </c>
      <c r="C688" s="264" t="s">
        <v>1998</v>
      </c>
      <c r="D688" s="205" t="s">
        <v>152</v>
      </c>
      <c r="E688" s="257">
        <v>154</v>
      </c>
      <c r="F688" s="258">
        <v>1.5780000000000001</v>
      </c>
      <c r="G688" s="257"/>
      <c r="H688" s="257">
        <v>1.1000000000000001</v>
      </c>
      <c r="I688" s="251"/>
      <c r="J688" s="253"/>
      <c r="K688" s="254">
        <f t="shared" si="15"/>
        <v>267.31319999999999</v>
      </c>
      <c r="L688" s="255"/>
    </row>
    <row r="689" spans="2:12">
      <c r="B689" s="263" t="s">
        <v>2002</v>
      </c>
      <c r="C689" s="264" t="s">
        <v>1998</v>
      </c>
      <c r="D689" s="205" t="s">
        <v>152</v>
      </c>
      <c r="E689" s="257">
        <v>122</v>
      </c>
      <c r="F689" s="258">
        <v>1.5780000000000001</v>
      </c>
      <c r="G689" s="257"/>
      <c r="H689" s="257">
        <v>1.1000000000000001</v>
      </c>
      <c r="I689" s="251"/>
      <c r="J689" s="253"/>
      <c r="K689" s="254">
        <f t="shared" si="15"/>
        <v>211.76760000000004</v>
      </c>
      <c r="L689" s="255"/>
    </row>
    <row r="690" spans="2:12">
      <c r="B690" s="263"/>
      <c r="C690" s="264"/>
      <c r="D690" s="210"/>
      <c r="E690" s="257"/>
      <c r="F690" s="258"/>
      <c r="G690" s="257"/>
      <c r="H690" s="257"/>
      <c r="I690" s="257"/>
      <c r="J690" s="259"/>
      <c r="K690" s="254">
        <f t="shared" si="15"/>
        <v>0</v>
      </c>
      <c r="L690" s="266"/>
    </row>
    <row r="691" spans="2:12">
      <c r="B691" s="256"/>
      <c r="C691" s="210"/>
      <c r="D691" s="210"/>
      <c r="E691" s="257"/>
      <c r="F691" s="258"/>
      <c r="G691" s="257"/>
      <c r="H691" s="257"/>
      <c r="I691" s="257"/>
      <c r="J691" s="259"/>
      <c r="K691" s="254">
        <f t="shared" si="15"/>
        <v>0</v>
      </c>
      <c r="L691" s="210"/>
    </row>
    <row r="692" spans="2:12">
      <c r="B692" s="202"/>
      <c r="C692" s="203"/>
      <c r="D692" s="203"/>
      <c r="E692" s="203"/>
      <c r="F692" s="203"/>
      <c r="G692" s="203"/>
      <c r="H692" s="204"/>
      <c r="I692" s="556" t="s">
        <v>1221</v>
      </c>
      <c r="J692" s="556"/>
      <c r="K692" s="220">
        <f>SUM(K671:K691)</f>
        <v>7451.7894000000006</v>
      </c>
      <c r="L692" s="207"/>
    </row>
    <row r="693" spans="2:12">
      <c r="B693" s="208"/>
      <c r="C693" s="204"/>
      <c r="D693" s="204"/>
      <c r="E693" s="204"/>
      <c r="F693" s="204"/>
      <c r="G693" s="204"/>
      <c r="H693" s="209"/>
      <c r="I693" s="557" t="s">
        <v>1222</v>
      </c>
      <c r="J693" s="557"/>
      <c r="K693" s="221">
        <v>8421.6</v>
      </c>
      <c r="L693" s="207"/>
    </row>
    <row r="694" spans="2:12">
      <c r="B694" s="208"/>
      <c r="C694" s="204"/>
      <c r="D694" s="204"/>
      <c r="E694" s="204"/>
      <c r="F694" s="204"/>
      <c r="G694" s="204"/>
      <c r="H694" s="558" t="s">
        <v>1223</v>
      </c>
      <c r="I694" s="558"/>
      <c r="J694" s="558"/>
      <c r="K694" s="222">
        <v>6333.9341999999997</v>
      </c>
      <c r="L694" s="207"/>
    </row>
    <row r="695" spans="2:12">
      <c r="B695" s="208"/>
      <c r="C695" s="204"/>
      <c r="D695" s="204"/>
      <c r="E695" s="204"/>
      <c r="F695" s="204"/>
      <c r="G695" s="204"/>
      <c r="H695" s="558" t="s">
        <v>1892</v>
      </c>
      <c r="I695" s="558"/>
      <c r="J695" s="558"/>
      <c r="K695" s="222">
        <f>TRUNC(SUMIF(C671:C691,H695,K671:K691),2)</f>
        <v>1117.8499999999999</v>
      </c>
      <c r="L695" s="207"/>
    </row>
    <row r="696" spans="2:12">
      <c r="B696" s="213"/>
      <c r="C696" s="214"/>
      <c r="D696" s="214"/>
      <c r="E696" s="214"/>
      <c r="F696" s="214"/>
      <c r="G696" s="214"/>
      <c r="H696" s="559" t="s">
        <v>1224</v>
      </c>
      <c r="I696" s="559"/>
      <c r="J696" s="559"/>
      <c r="K696" s="223">
        <f>IF(K692&gt;K693,K692-K693,0)</f>
        <v>0</v>
      </c>
      <c r="L696" s="209"/>
    </row>
    <row r="698" spans="2:12">
      <c r="B698" s="247" t="s">
        <v>209</v>
      </c>
      <c r="C698" s="565" t="s">
        <v>210</v>
      </c>
      <c r="D698" s="565"/>
      <c r="E698" s="565"/>
      <c r="F698" s="565"/>
      <c r="G698" s="565"/>
      <c r="H698" s="565"/>
      <c r="I698" s="565"/>
      <c r="J698" s="565"/>
      <c r="K698" s="565"/>
      <c r="L698" s="565"/>
    </row>
    <row r="699" spans="2:12">
      <c r="B699" s="248" t="s">
        <v>1209</v>
      </c>
      <c r="C699" s="248"/>
      <c r="D699" s="248" t="s">
        <v>39</v>
      </c>
      <c r="E699" s="248" t="s">
        <v>1210</v>
      </c>
      <c r="F699" s="248" t="s">
        <v>1382</v>
      </c>
      <c r="G699" s="248" t="s">
        <v>1383</v>
      </c>
      <c r="H699" s="248" t="s">
        <v>1384</v>
      </c>
      <c r="I699" s="248" t="s">
        <v>1214</v>
      </c>
      <c r="J699" s="248" t="s">
        <v>1385</v>
      </c>
      <c r="K699" s="248" t="s">
        <v>1216</v>
      </c>
      <c r="L699" s="248" t="s">
        <v>1217</v>
      </c>
    </row>
    <row r="700" spans="2:12">
      <c r="B700" s="249" t="s">
        <v>1367</v>
      </c>
      <c r="C700" s="250" t="s">
        <v>1333</v>
      </c>
      <c r="D700" s="205" t="s">
        <v>152</v>
      </c>
      <c r="E700" s="251">
        <v>75</v>
      </c>
      <c r="F700" s="252">
        <v>2.4660000000000002</v>
      </c>
      <c r="G700" s="251"/>
      <c r="H700" s="251">
        <v>1.1000000000000001</v>
      </c>
      <c r="I700" s="251"/>
      <c r="J700" s="253"/>
      <c r="K700" s="254">
        <f t="shared" ref="K700:K715" si="16">IF(E700*F700*G700&lt;&gt;0,E700*F700*G700,IF(E700*F700&lt;&gt;0,E700*F700,IF(F700*G700&lt;&gt;0,F700*G700,IF(E700*G700&lt;&gt;0,E700*G700,IF(E700&lt;&gt;0,E700,IF(F700&lt;&gt;0,F700,IF(G700&lt;&gt;0,G700,0)))))))*(IF(H700&lt;&gt;0,H700,1))+I700-J700</f>
        <v>203.44500000000002</v>
      </c>
      <c r="L700" s="255"/>
    </row>
    <row r="701" spans="2:12">
      <c r="B701" s="249" t="s">
        <v>1386</v>
      </c>
      <c r="C701" s="250" t="s">
        <v>1333</v>
      </c>
      <c r="D701" s="205" t="s">
        <v>152</v>
      </c>
      <c r="E701" s="251">
        <v>95</v>
      </c>
      <c r="F701" s="252">
        <v>2.4660000000000002</v>
      </c>
      <c r="G701" s="251"/>
      <c r="H701" s="251">
        <v>1.1000000000000001</v>
      </c>
      <c r="I701" s="251"/>
      <c r="J701" s="253"/>
      <c r="K701" s="254">
        <f t="shared" si="16"/>
        <v>257.69700000000006</v>
      </c>
      <c r="L701" s="255"/>
    </row>
    <row r="702" spans="2:12">
      <c r="B702" s="263" t="s">
        <v>1475</v>
      </c>
      <c r="C702" s="264" t="s">
        <v>1441</v>
      </c>
      <c r="D702" s="205" t="s">
        <v>152</v>
      </c>
      <c r="E702" s="251">
        <v>150</v>
      </c>
      <c r="F702" s="252">
        <v>2.4660000000000002</v>
      </c>
      <c r="G702" s="251"/>
      <c r="H702" s="251">
        <v>1.1000000000000001</v>
      </c>
      <c r="I702" s="251"/>
      <c r="J702" s="253"/>
      <c r="K702" s="254">
        <f t="shared" si="16"/>
        <v>406.89000000000004</v>
      </c>
      <c r="L702" s="255"/>
    </row>
    <row r="703" spans="2:12">
      <c r="B703" s="263" t="s">
        <v>1476</v>
      </c>
      <c r="C703" s="264" t="s">
        <v>1441</v>
      </c>
      <c r="D703" s="205" t="s">
        <v>152</v>
      </c>
      <c r="E703" s="251">
        <v>137</v>
      </c>
      <c r="F703" s="252">
        <v>2.4660000000000002</v>
      </c>
      <c r="G703" s="251"/>
      <c r="H703" s="251">
        <v>1.1000000000000001</v>
      </c>
      <c r="I703" s="251"/>
      <c r="J703" s="253"/>
      <c r="K703" s="254">
        <f t="shared" si="16"/>
        <v>371.6262000000001</v>
      </c>
      <c r="L703" s="255"/>
    </row>
    <row r="704" spans="2:12">
      <c r="B704" s="263" t="s">
        <v>1302</v>
      </c>
      <c r="C704" s="264" t="s">
        <v>1441</v>
      </c>
      <c r="D704" s="205" t="s">
        <v>152</v>
      </c>
      <c r="E704" s="251">
        <v>157</v>
      </c>
      <c r="F704" s="252">
        <v>2.4660000000000002</v>
      </c>
      <c r="G704" s="251"/>
      <c r="H704" s="251">
        <v>1.1000000000000001</v>
      </c>
      <c r="I704" s="251"/>
      <c r="J704" s="253"/>
      <c r="K704" s="254">
        <f t="shared" si="16"/>
        <v>425.87820000000005</v>
      </c>
      <c r="L704" s="255"/>
    </row>
    <row r="705" spans="2:12">
      <c r="B705" s="263" t="s">
        <v>1552</v>
      </c>
      <c r="C705" s="264" t="s">
        <v>1521</v>
      </c>
      <c r="D705" s="205" t="s">
        <v>152</v>
      </c>
      <c r="E705" s="251">
        <v>172</v>
      </c>
      <c r="F705" s="252">
        <v>2.4660000000000002</v>
      </c>
      <c r="G705" s="251"/>
      <c r="H705" s="251">
        <v>1.1000000000000001</v>
      </c>
      <c r="I705" s="251"/>
      <c r="J705" s="253"/>
      <c r="K705" s="254">
        <f t="shared" si="16"/>
        <v>466.56720000000007</v>
      </c>
      <c r="L705" s="266"/>
    </row>
    <row r="706" spans="2:12">
      <c r="B706" s="263" t="s">
        <v>1553</v>
      </c>
      <c r="C706" s="264" t="s">
        <v>1521</v>
      </c>
      <c r="D706" s="205" t="s">
        <v>152</v>
      </c>
      <c r="E706" s="251">
        <v>47</v>
      </c>
      <c r="F706" s="252">
        <v>2.4660000000000002</v>
      </c>
      <c r="G706" s="251"/>
      <c r="H706" s="251">
        <v>1.1000000000000001</v>
      </c>
      <c r="I706" s="251"/>
      <c r="J706" s="253"/>
      <c r="K706" s="254">
        <f t="shared" si="16"/>
        <v>127.49220000000003</v>
      </c>
      <c r="L706" s="266"/>
    </row>
    <row r="707" spans="2:12">
      <c r="B707" s="263" t="s">
        <v>1642</v>
      </c>
      <c r="C707" s="264" t="s">
        <v>1611</v>
      </c>
      <c r="D707" s="205" t="s">
        <v>152</v>
      </c>
      <c r="E707" s="251">
        <v>105</v>
      </c>
      <c r="F707" s="252">
        <v>2.4660000000000002</v>
      </c>
      <c r="G707" s="251"/>
      <c r="H707" s="251">
        <v>1.1000000000000001</v>
      </c>
      <c r="I707" s="251"/>
      <c r="J707" s="253"/>
      <c r="K707" s="254">
        <f t="shared" si="16"/>
        <v>284.82300000000004</v>
      </c>
      <c r="L707" s="266"/>
    </row>
    <row r="708" spans="2:12">
      <c r="B708" s="263" t="s">
        <v>1643</v>
      </c>
      <c r="C708" s="264" t="s">
        <v>1611</v>
      </c>
      <c r="D708" s="205" t="s">
        <v>152</v>
      </c>
      <c r="E708" s="251">
        <v>117</v>
      </c>
      <c r="F708" s="252">
        <v>2.4660000000000002</v>
      </c>
      <c r="G708" s="251"/>
      <c r="H708" s="251">
        <v>1.1000000000000001</v>
      </c>
      <c r="I708" s="251"/>
      <c r="J708" s="253"/>
      <c r="K708" s="254">
        <f t="shared" si="16"/>
        <v>317.37420000000009</v>
      </c>
      <c r="L708" s="266"/>
    </row>
    <row r="709" spans="2:12">
      <c r="B709" s="263" t="s">
        <v>1644</v>
      </c>
      <c r="C709" s="264" t="s">
        <v>1612</v>
      </c>
      <c r="D709" s="205" t="s">
        <v>152</v>
      </c>
      <c r="E709" s="251">
        <v>126</v>
      </c>
      <c r="F709" s="252">
        <v>2.4660000000000002</v>
      </c>
      <c r="G709" s="251"/>
      <c r="H709" s="251">
        <v>1.1000000000000001</v>
      </c>
      <c r="I709" s="251"/>
      <c r="J709" s="253"/>
      <c r="K709" s="254">
        <f t="shared" si="16"/>
        <v>341.78760000000005</v>
      </c>
      <c r="L709" s="266"/>
    </row>
    <row r="710" spans="2:12">
      <c r="B710" s="263" t="s">
        <v>1645</v>
      </c>
      <c r="C710" s="264" t="s">
        <v>1612</v>
      </c>
      <c r="D710" s="205" t="s">
        <v>152</v>
      </c>
      <c r="E710" s="251">
        <v>78</v>
      </c>
      <c r="F710" s="252">
        <v>2.4660000000000002</v>
      </c>
      <c r="G710" s="251"/>
      <c r="H710" s="251">
        <v>1.1000000000000001</v>
      </c>
      <c r="I710" s="251"/>
      <c r="J710" s="253"/>
      <c r="K710" s="254">
        <f t="shared" si="16"/>
        <v>211.58280000000002</v>
      </c>
      <c r="L710" s="266"/>
    </row>
    <row r="711" spans="2:12">
      <c r="B711" s="263" t="s">
        <v>1646</v>
      </c>
      <c r="C711" s="264" t="s">
        <v>1612</v>
      </c>
      <c r="D711" s="205" t="s">
        <v>152</v>
      </c>
      <c r="E711" s="251">
        <v>75</v>
      </c>
      <c r="F711" s="252">
        <v>2.4660000000000002</v>
      </c>
      <c r="G711" s="251"/>
      <c r="H711" s="251">
        <v>1.1000000000000001</v>
      </c>
      <c r="I711" s="251"/>
      <c r="J711" s="253"/>
      <c r="K711" s="254">
        <f t="shared" si="16"/>
        <v>203.44500000000002</v>
      </c>
      <c r="L711" s="266"/>
    </row>
    <row r="712" spans="2:12">
      <c r="B712" s="263" t="s">
        <v>1647</v>
      </c>
      <c r="C712" s="264" t="s">
        <v>1613</v>
      </c>
      <c r="D712" s="205" t="s">
        <v>152</v>
      </c>
      <c r="E712" s="257">
        <v>139</v>
      </c>
      <c r="F712" s="258">
        <v>2.4660000000000002</v>
      </c>
      <c r="G712" s="257"/>
      <c r="H712" s="257">
        <v>1.1000000000000001</v>
      </c>
      <c r="I712" s="251"/>
      <c r="J712" s="253"/>
      <c r="K712" s="254">
        <f t="shared" si="16"/>
        <v>377.05140000000006</v>
      </c>
      <c r="L712" s="255"/>
    </row>
    <row r="713" spans="2:12">
      <c r="B713" s="263" t="s">
        <v>1896</v>
      </c>
      <c r="C713" s="264" t="s">
        <v>1895</v>
      </c>
      <c r="D713" s="205" t="s">
        <v>152</v>
      </c>
      <c r="E713" s="257">
        <v>213</v>
      </c>
      <c r="F713" s="258">
        <v>2.4660000000000002</v>
      </c>
      <c r="G713" s="257"/>
      <c r="H713" s="257">
        <v>1.1000000000000001</v>
      </c>
      <c r="I713" s="251"/>
      <c r="J713" s="253"/>
      <c r="K713" s="254">
        <f t="shared" si="16"/>
        <v>577.78380000000004</v>
      </c>
      <c r="L713" s="255"/>
    </row>
    <row r="714" spans="2:12">
      <c r="B714" s="263" t="s">
        <v>1942</v>
      </c>
      <c r="C714" s="264" t="s">
        <v>1931</v>
      </c>
      <c r="D714" s="205" t="s">
        <v>152</v>
      </c>
      <c r="E714" s="257">
        <v>362</v>
      </c>
      <c r="F714" s="258">
        <v>2.4660000000000002</v>
      </c>
      <c r="G714" s="257"/>
      <c r="H714" s="257">
        <v>1.1000000000000001</v>
      </c>
      <c r="I714" s="251"/>
      <c r="J714" s="253"/>
      <c r="K714" s="254">
        <f t="shared" si="16"/>
        <v>981.96120000000019</v>
      </c>
      <c r="L714" s="266"/>
    </row>
    <row r="715" spans="2:12">
      <c r="B715" s="263" t="s">
        <v>1943</v>
      </c>
      <c r="C715" s="264" t="s">
        <v>1931</v>
      </c>
      <c r="D715" s="205" t="s">
        <v>152</v>
      </c>
      <c r="E715" s="257">
        <v>97</v>
      </c>
      <c r="F715" s="258">
        <v>2.4660000000000002</v>
      </c>
      <c r="G715" s="257"/>
      <c r="H715" s="257">
        <v>1.1000000000000001</v>
      </c>
      <c r="I715" s="251"/>
      <c r="J715" s="253"/>
      <c r="K715" s="254">
        <f t="shared" si="16"/>
        <v>263.12220000000008</v>
      </c>
      <c r="L715" s="266"/>
    </row>
    <row r="716" spans="2:12">
      <c r="B716" s="263" t="s">
        <v>1999</v>
      </c>
      <c r="C716" s="264" t="s">
        <v>1998</v>
      </c>
      <c r="D716" s="205" t="s">
        <v>152</v>
      </c>
      <c r="E716" s="257">
        <v>97</v>
      </c>
      <c r="F716" s="258">
        <v>2.4660000000000002</v>
      </c>
      <c r="G716" s="257"/>
      <c r="H716" s="257">
        <v>1.1000000000000001</v>
      </c>
      <c r="I716" s="251"/>
      <c r="J716" s="253"/>
      <c r="K716" s="254"/>
      <c r="L716" s="255"/>
    </row>
    <row r="717" spans="2:12">
      <c r="B717" s="263" t="s">
        <v>2000</v>
      </c>
      <c r="C717" s="264" t="s">
        <v>1998</v>
      </c>
      <c r="D717" s="205" t="s">
        <v>152</v>
      </c>
      <c r="E717" s="257">
        <v>167</v>
      </c>
      <c r="F717" s="258">
        <v>2.4660000000000002</v>
      </c>
      <c r="G717" s="257"/>
      <c r="H717" s="257">
        <v>1.1000000000000001</v>
      </c>
      <c r="I717" s="251"/>
      <c r="J717" s="253"/>
      <c r="K717" s="254"/>
      <c r="L717" s="255"/>
    </row>
    <row r="718" spans="2:12">
      <c r="B718" s="263" t="s">
        <v>2001</v>
      </c>
      <c r="C718" s="264" t="s">
        <v>1998</v>
      </c>
      <c r="D718" s="205" t="s">
        <v>152</v>
      </c>
      <c r="E718" s="257">
        <v>91</v>
      </c>
      <c r="F718" s="258">
        <v>2.4660000000000002</v>
      </c>
      <c r="G718" s="257"/>
      <c r="H718" s="257">
        <v>1.1000000000000001</v>
      </c>
      <c r="I718" s="251"/>
      <c r="J718" s="253"/>
      <c r="K718" s="254"/>
      <c r="L718" s="255"/>
    </row>
    <row r="719" spans="2:12">
      <c r="B719" s="263" t="s">
        <v>2002</v>
      </c>
      <c r="C719" s="264" t="s">
        <v>1998</v>
      </c>
      <c r="D719" s="205" t="s">
        <v>152</v>
      </c>
      <c r="E719" s="257">
        <v>32</v>
      </c>
      <c r="F719" s="258">
        <v>2.4660000000000002</v>
      </c>
      <c r="G719" s="257"/>
      <c r="H719" s="257">
        <v>1.1000000000000001</v>
      </c>
      <c r="I719" s="251"/>
      <c r="J719" s="253"/>
      <c r="K719" s="254"/>
      <c r="L719" s="255"/>
    </row>
    <row r="720" spans="2:12">
      <c r="B720" s="263"/>
      <c r="C720" s="264"/>
      <c r="D720" s="210"/>
      <c r="E720" s="257"/>
      <c r="F720" s="258"/>
      <c r="G720" s="257"/>
      <c r="H720" s="257"/>
      <c r="I720" s="257"/>
      <c r="J720" s="259"/>
      <c r="K720" s="254">
        <f>IF(E720*F720*G720&lt;&gt;0,E720*F720*G720,IF(E720*F720&lt;&gt;0,E720*F720,IF(F720*G720&lt;&gt;0,F720*G720,IF(E720*G720&lt;&gt;0,E720*G720,IF(E720&lt;&gt;0,E720,IF(F720&lt;&gt;0,F720,IF(G720&lt;&gt;0,G720,0)))))))*(IF(H720&lt;&gt;0,H720,1))+I720-J720</f>
        <v>0</v>
      </c>
      <c r="L720" s="266"/>
    </row>
    <row r="721" spans="2:12">
      <c r="B721" s="263"/>
      <c r="C721" s="264"/>
      <c r="D721" s="210"/>
      <c r="E721" s="257"/>
      <c r="F721" s="258"/>
      <c r="G721" s="257"/>
      <c r="H721" s="257"/>
      <c r="I721" s="257"/>
      <c r="J721" s="259"/>
      <c r="K721" s="254">
        <f>IF(E721*F721*G721&lt;&gt;0,E721*F721*G721,IF(E721*F721&lt;&gt;0,E721*F721,IF(F721*G721&lt;&gt;0,F721*G721,IF(E721*G721&lt;&gt;0,E721*G721,IF(E721&lt;&gt;0,E721,IF(F721&lt;&gt;0,F721,IF(G721&lt;&gt;0,G721,0)))))))*(IF(H721&lt;&gt;0,H721,1))+I721-J721</f>
        <v>0</v>
      </c>
      <c r="L721" s="266"/>
    </row>
    <row r="722" spans="2:12">
      <c r="B722" s="256"/>
      <c r="C722" s="210"/>
      <c r="D722" s="210"/>
      <c r="E722" s="257"/>
      <c r="F722" s="258"/>
      <c r="G722" s="257"/>
      <c r="H722" s="257"/>
      <c r="I722" s="257"/>
      <c r="J722" s="259"/>
      <c r="K722" s="254">
        <f>IF(E722*F722*G722&lt;&gt;0,E722*F722*G722,IF(E722*F722&lt;&gt;0,E722*F722,IF(F722*G722&lt;&gt;0,F722*G722,IF(E722*G722&lt;&gt;0,E722*G722,IF(E722&lt;&gt;0,E722,IF(F722&lt;&gt;0,F722,IF(G722&lt;&gt;0,G722,0)))))))*(IF(H722&lt;&gt;0,H722,1))+I722-J722</f>
        <v>0</v>
      </c>
      <c r="L722" s="210"/>
    </row>
    <row r="723" spans="2:12">
      <c r="B723" s="202"/>
      <c r="C723" s="203"/>
      <c r="D723" s="203"/>
      <c r="E723" s="203"/>
      <c r="F723" s="203"/>
      <c r="G723" s="203"/>
      <c r="H723" s="204"/>
      <c r="I723" s="556" t="s">
        <v>1221</v>
      </c>
      <c r="J723" s="556"/>
      <c r="K723" s="220">
        <f>SUM(K700:K722)</f>
        <v>5818.5270000000019</v>
      </c>
      <c r="L723" s="207"/>
    </row>
    <row r="724" spans="2:12">
      <c r="B724" s="208"/>
      <c r="C724" s="204"/>
      <c r="D724" s="204"/>
      <c r="E724" s="204"/>
      <c r="F724" s="204"/>
      <c r="G724" s="204"/>
      <c r="H724" s="209"/>
      <c r="I724" s="557" t="s">
        <v>1222</v>
      </c>
      <c r="J724" s="557"/>
      <c r="K724" s="221">
        <v>7144.5</v>
      </c>
      <c r="L724" s="207"/>
    </row>
    <row r="725" spans="2:12">
      <c r="B725" s="208"/>
      <c r="C725" s="204"/>
      <c r="D725" s="204"/>
      <c r="E725" s="204"/>
      <c r="F725" s="204"/>
      <c r="G725" s="204"/>
      <c r="H725" s="558" t="s">
        <v>1223</v>
      </c>
      <c r="I725" s="558"/>
      <c r="J725" s="558"/>
      <c r="K725" s="222">
        <v>5818.527</v>
      </c>
      <c r="L725" s="207"/>
    </row>
    <row r="726" spans="2:12">
      <c r="B726" s="208"/>
      <c r="C726" s="204"/>
      <c r="D726" s="204"/>
      <c r="E726" s="204"/>
      <c r="F726" s="204"/>
      <c r="G726" s="204"/>
      <c r="H726" s="558" t="s">
        <v>1892</v>
      </c>
      <c r="I726" s="558"/>
      <c r="J726" s="558"/>
      <c r="K726" s="222">
        <f>TRUNC(SUMIF(C700:C722,H726,K700:K722),2)</f>
        <v>0</v>
      </c>
      <c r="L726" s="207"/>
    </row>
    <row r="727" spans="2:12">
      <c r="B727" s="213"/>
      <c r="C727" s="214"/>
      <c r="D727" s="214"/>
      <c r="E727" s="214"/>
      <c r="F727" s="214"/>
      <c r="G727" s="214"/>
      <c r="H727" s="559" t="s">
        <v>1224</v>
      </c>
      <c r="I727" s="559"/>
      <c r="J727" s="559"/>
      <c r="K727" s="223">
        <f>IF(K723&gt;K724,K723-K724,0)</f>
        <v>0</v>
      </c>
      <c r="L727" s="209"/>
    </row>
    <row r="729" spans="2:12">
      <c r="B729" s="247" t="s">
        <v>211</v>
      </c>
      <c r="C729" s="565" t="s">
        <v>212</v>
      </c>
      <c r="D729" s="565"/>
      <c r="E729" s="565"/>
      <c r="F729" s="565"/>
      <c r="G729" s="565"/>
      <c r="H729" s="565"/>
      <c r="I729" s="565"/>
      <c r="J729" s="565"/>
      <c r="K729" s="565"/>
      <c r="L729" s="565"/>
    </row>
    <row r="730" spans="2:12">
      <c r="B730" s="248" t="s">
        <v>1209</v>
      </c>
      <c r="C730" s="248"/>
      <c r="D730" s="248" t="s">
        <v>39</v>
      </c>
      <c r="E730" s="248" t="s">
        <v>1210</v>
      </c>
      <c r="F730" s="248" t="s">
        <v>1382</v>
      </c>
      <c r="G730" s="248" t="s">
        <v>1383</v>
      </c>
      <c r="H730" s="248" t="s">
        <v>1384</v>
      </c>
      <c r="I730" s="248" t="s">
        <v>1214</v>
      </c>
      <c r="J730" s="248" t="s">
        <v>1385</v>
      </c>
      <c r="K730" s="248" t="s">
        <v>1216</v>
      </c>
      <c r="L730" s="248" t="s">
        <v>1217</v>
      </c>
    </row>
    <row r="731" spans="2:12">
      <c r="B731" s="249" t="s">
        <v>1367</v>
      </c>
      <c r="C731" s="250" t="s">
        <v>1333</v>
      </c>
      <c r="D731" s="205" t="s">
        <v>152</v>
      </c>
      <c r="E731" s="251">
        <v>16</v>
      </c>
      <c r="F731" s="252">
        <v>3.8530000000000002</v>
      </c>
      <c r="G731" s="251"/>
      <c r="H731" s="251">
        <v>1.1000000000000001</v>
      </c>
      <c r="I731" s="251"/>
      <c r="J731" s="253"/>
      <c r="K731" s="254">
        <f t="shared" ref="K731:K751" si="17">IF(E731*F731*G731&lt;&gt;0,E731*F731*G731,IF(E731*F731&lt;&gt;0,E731*F731,IF(F731*G731&lt;&gt;0,F731*G731,IF(E731*G731&lt;&gt;0,E731*G731,IF(E731&lt;&gt;0,E731,IF(F731&lt;&gt;0,F731,IF(G731&lt;&gt;0,G731,0)))))))*(IF(H731&lt;&gt;0,H731,1))+I731-J731</f>
        <v>67.81280000000001</v>
      </c>
      <c r="L731" s="255"/>
    </row>
    <row r="732" spans="2:12">
      <c r="B732" s="249" t="s">
        <v>1386</v>
      </c>
      <c r="C732" s="250" t="s">
        <v>1333</v>
      </c>
      <c r="D732" s="205" t="s">
        <v>152</v>
      </c>
      <c r="E732" s="251">
        <v>44</v>
      </c>
      <c r="F732" s="252">
        <v>3.8530000000000002</v>
      </c>
      <c r="G732" s="251"/>
      <c r="H732" s="251">
        <v>1.1000000000000001</v>
      </c>
      <c r="I732" s="251"/>
      <c r="J732" s="253"/>
      <c r="K732" s="254">
        <f t="shared" si="17"/>
        <v>186.48520000000002</v>
      </c>
      <c r="L732" s="255"/>
    </row>
    <row r="733" spans="2:12">
      <c r="B733" s="263" t="s">
        <v>1475</v>
      </c>
      <c r="C733" s="264" t="s">
        <v>1441</v>
      </c>
      <c r="D733" s="205" t="s">
        <v>152</v>
      </c>
      <c r="E733" s="251">
        <v>148</v>
      </c>
      <c r="F733" s="252">
        <v>3.8530000000000002</v>
      </c>
      <c r="G733" s="251"/>
      <c r="H733" s="251">
        <v>1.1000000000000001</v>
      </c>
      <c r="I733" s="251"/>
      <c r="J733" s="253"/>
      <c r="K733" s="254">
        <f t="shared" si="17"/>
        <v>627.26840000000004</v>
      </c>
      <c r="L733" s="255"/>
    </row>
    <row r="734" spans="2:12">
      <c r="B734" s="263" t="s">
        <v>1476</v>
      </c>
      <c r="C734" s="264" t="s">
        <v>1441</v>
      </c>
      <c r="D734" s="205" t="s">
        <v>152</v>
      </c>
      <c r="E734" s="251">
        <v>96</v>
      </c>
      <c r="F734" s="252">
        <v>3.8530000000000002</v>
      </c>
      <c r="G734" s="251"/>
      <c r="H734" s="251">
        <v>1.1000000000000001</v>
      </c>
      <c r="I734" s="251"/>
      <c r="J734" s="253"/>
      <c r="K734" s="254">
        <f t="shared" si="17"/>
        <v>406.87680000000006</v>
      </c>
      <c r="L734" s="255"/>
    </row>
    <row r="735" spans="2:12">
      <c r="B735" s="263" t="s">
        <v>1302</v>
      </c>
      <c r="C735" s="264" t="s">
        <v>1441</v>
      </c>
      <c r="D735" s="205" t="s">
        <v>152</v>
      </c>
      <c r="E735" s="251">
        <v>222</v>
      </c>
      <c r="F735" s="252">
        <v>3.8530000000000002</v>
      </c>
      <c r="G735" s="251"/>
      <c r="H735" s="251">
        <v>1.1000000000000001</v>
      </c>
      <c r="I735" s="251"/>
      <c r="J735" s="253"/>
      <c r="K735" s="254">
        <f t="shared" si="17"/>
        <v>940.90260000000023</v>
      </c>
      <c r="L735" s="255"/>
    </row>
    <row r="736" spans="2:12">
      <c r="B736" s="263" t="s">
        <v>1552</v>
      </c>
      <c r="C736" s="264" t="s">
        <v>1521</v>
      </c>
      <c r="D736" s="205" t="s">
        <v>152</v>
      </c>
      <c r="E736" s="251">
        <v>57</v>
      </c>
      <c r="F736" s="252">
        <v>3.8530000000000002</v>
      </c>
      <c r="G736" s="251"/>
      <c r="H736" s="251">
        <v>1.1000000000000001</v>
      </c>
      <c r="I736" s="251"/>
      <c r="J736" s="253"/>
      <c r="K736" s="254">
        <f t="shared" si="17"/>
        <v>241.58310000000003</v>
      </c>
      <c r="L736" s="266"/>
    </row>
    <row r="737" spans="2:12">
      <c r="B737" s="263" t="s">
        <v>1553</v>
      </c>
      <c r="C737" s="264" t="s">
        <v>1521</v>
      </c>
      <c r="D737" s="205" t="s">
        <v>152</v>
      </c>
      <c r="E737" s="251">
        <v>34</v>
      </c>
      <c r="F737" s="252">
        <v>3.8530000000000002</v>
      </c>
      <c r="G737" s="251"/>
      <c r="H737" s="251">
        <v>1.1000000000000001</v>
      </c>
      <c r="I737" s="251"/>
      <c r="J737" s="253"/>
      <c r="K737" s="254">
        <f t="shared" si="17"/>
        <v>144.10220000000001</v>
      </c>
      <c r="L737" s="266"/>
    </row>
    <row r="738" spans="2:12">
      <c r="B738" s="263" t="s">
        <v>1642</v>
      </c>
      <c r="C738" s="264" t="s">
        <v>1611</v>
      </c>
      <c r="D738" s="205" t="s">
        <v>152</v>
      </c>
      <c r="E738" s="251">
        <v>120</v>
      </c>
      <c r="F738" s="252">
        <v>3.8530000000000002</v>
      </c>
      <c r="G738" s="251"/>
      <c r="H738" s="251">
        <v>1.1000000000000001</v>
      </c>
      <c r="I738" s="251"/>
      <c r="J738" s="253"/>
      <c r="K738" s="254">
        <f t="shared" si="17"/>
        <v>508.59600000000006</v>
      </c>
      <c r="L738" s="266"/>
    </row>
    <row r="739" spans="2:12">
      <c r="B739" s="263" t="s">
        <v>1643</v>
      </c>
      <c r="C739" s="264" t="s">
        <v>1611</v>
      </c>
      <c r="D739" s="205" t="s">
        <v>152</v>
      </c>
      <c r="E739" s="251">
        <v>118</v>
      </c>
      <c r="F739" s="252">
        <v>3.8530000000000002</v>
      </c>
      <c r="G739" s="251"/>
      <c r="H739" s="251">
        <v>1.1000000000000001</v>
      </c>
      <c r="I739" s="251"/>
      <c r="J739" s="253"/>
      <c r="K739" s="254">
        <f t="shared" si="17"/>
        <v>500.11940000000004</v>
      </c>
      <c r="L739" s="266"/>
    </row>
    <row r="740" spans="2:12">
      <c r="B740" s="263" t="s">
        <v>1644</v>
      </c>
      <c r="C740" s="264" t="s">
        <v>1612</v>
      </c>
      <c r="D740" s="205" t="s">
        <v>152</v>
      </c>
      <c r="E740" s="251">
        <v>69</v>
      </c>
      <c r="F740" s="252">
        <v>3.8530000000000002</v>
      </c>
      <c r="G740" s="251"/>
      <c r="H740" s="251">
        <v>1.1000000000000001</v>
      </c>
      <c r="I740" s="251"/>
      <c r="J740" s="253"/>
      <c r="K740" s="254">
        <f t="shared" si="17"/>
        <v>292.44270000000006</v>
      </c>
      <c r="L740" s="266"/>
    </row>
    <row r="741" spans="2:12">
      <c r="B741" s="263" t="s">
        <v>1645</v>
      </c>
      <c r="C741" s="264" t="s">
        <v>1612</v>
      </c>
      <c r="D741" s="205" t="s">
        <v>152</v>
      </c>
      <c r="E741" s="251">
        <v>20</v>
      </c>
      <c r="F741" s="252">
        <v>3.8530000000000002</v>
      </c>
      <c r="G741" s="251"/>
      <c r="H741" s="251">
        <v>1.1000000000000001</v>
      </c>
      <c r="I741" s="251"/>
      <c r="J741" s="253"/>
      <c r="K741" s="254">
        <f t="shared" si="17"/>
        <v>84.766000000000005</v>
      </c>
      <c r="L741" s="266"/>
    </row>
    <row r="742" spans="2:12">
      <c r="B742" s="263" t="s">
        <v>1646</v>
      </c>
      <c r="C742" s="264" t="s">
        <v>1612</v>
      </c>
      <c r="D742" s="205" t="s">
        <v>152</v>
      </c>
      <c r="E742" s="251">
        <v>11</v>
      </c>
      <c r="F742" s="252">
        <v>3.8530000000000002</v>
      </c>
      <c r="G742" s="251"/>
      <c r="H742" s="251">
        <v>1.1000000000000001</v>
      </c>
      <c r="I742" s="251"/>
      <c r="J742" s="253"/>
      <c r="K742" s="254">
        <f t="shared" si="17"/>
        <v>46.621300000000005</v>
      </c>
      <c r="L742" s="266"/>
    </row>
    <row r="743" spans="2:12">
      <c r="B743" s="263" t="s">
        <v>1647</v>
      </c>
      <c r="C743" s="264" t="s">
        <v>1613</v>
      </c>
      <c r="D743" s="205" t="s">
        <v>152</v>
      </c>
      <c r="E743" s="257">
        <v>222</v>
      </c>
      <c r="F743" s="258">
        <v>3.8530000000000002</v>
      </c>
      <c r="G743" s="257"/>
      <c r="H743" s="257">
        <v>1.1000000000000001</v>
      </c>
      <c r="I743" s="251"/>
      <c r="J743" s="253"/>
      <c r="K743" s="254">
        <f t="shared" si="17"/>
        <v>940.90260000000023</v>
      </c>
      <c r="L743" s="255"/>
    </row>
    <row r="744" spans="2:12">
      <c r="B744" s="263" t="s">
        <v>1896</v>
      </c>
      <c r="C744" s="264" t="s">
        <v>1895</v>
      </c>
      <c r="D744" s="205" t="s">
        <v>152</v>
      </c>
      <c r="E744" s="257">
        <v>95</v>
      </c>
      <c r="F744" s="258">
        <v>3.8530000000000002</v>
      </c>
      <c r="G744" s="257"/>
      <c r="H744" s="257">
        <v>1.1000000000000001</v>
      </c>
      <c r="I744" s="251"/>
      <c r="J744" s="253"/>
      <c r="K744" s="254">
        <f t="shared" si="17"/>
        <v>402.63850000000008</v>
      </c>
      <c r="L744" s="255"/>
    </row>
    <row r="745" spans="2:12">
      <c r="B745" s="263" t="s">
        <v>1942</v>
      </c>
      <c r="C745" s="264" t="s">
        <v>1931</v>
      </c>
      <c r="D745" s="205" t="s">
        <v>152</v>
      </c>
      <c r="E745" s="257">
        <v>51</v>
      </c>
      <c r="F745" s="258">
        <v>3.8530000000000002</v>
      </c>
      <c r="G745" s="257"/>
      <c r="H745" s="257">
        <v>1.1000000000000001</v>
      </c>
      <c r="I745" s="251"/>
      <c r="J745" s="253"/>
      <c r="K745" s="254">
        <f t="shared" si="17"/>
        <v>216.15330000000003</v>
      </c>
      <c r="L745" s="266"/>
    </row>
    <row r="746" spans="2:12">
      <c r="B746" s="263" t="s">
        <v>1943</v>
      </c>
      <c r="C746" s="264" t="s">
        <v>1931</v>
      </c>
      <c r="D746" s="205" t="s">
        <v>152</v>
      </c>
      <c r="E746" s="257">
        <v>21</v>
      </c>
      <c r="F746" s="258">
        <v>3.8530000000000002</v>
      </c>
      <c r="G746" s="257"/>
      <c r="H746" s="257">
        <v>1.1000000000000001</v>
      </c>
      <c r="I746" s="251"/>
      <c r="J746" s="253"/>
      <c r="K746" s="254">
        <f t="shared" si="17"/>
        <v>89.004300000000015</v>
      </c>
      <c r="L746" s="266"/>
    </row>
    <row r="747" spans="2:12">
      <c r="B747" s="263" t="s">
        <v>1999</v>
      </c>
      <c r="C747" s="264" t="s">
        <v>1998</v>
      </c>
      <c r="D747" s="205" t="s">
        <v>152</v>
      </c>
      <c r="E747" s="257">
        <v>96</v>
      </c>
      <c r="F747" s="258">
        <v>3.8530000000000002</v>
      </c>
      <c r="G747" s="257"/>
      <c r="H747" s="257">
        <v>1.1000000000000001</v>
      </c>
      <c r="I747" s="251"/>
      <c r="J747" s="253"/>
      <c r="K747" s="254">
        <f t="shared" si="17"/>
        <v>406.87680000000006</v>
      </c>
      <c r="L747" s="255"/>
    </row>
    <row r="748" spans="2:12">
      <c r="B748" s="263" t="s">
        <v>2000</v>
      </c>
      <c r="C748" s="264" t="s">
        <v>1998</v>
      </c>
      <c r="D748" s="205" t="s">
        <v>152</v>
      </c>
      <c r="E748" s="257">
        <v>29</v>
      </c>
      <c r="F748" s="258">
        <v>3.8530000000000002</v>
      </c>
      <c r="G748" s="257"/>
      <c r="H748" s="257">
        <v>1.1000000000000001</v>
      </c>
      <c r="I748" s="251"/>
      <c r="J748" s="253"/>
      <c r="K748" s="254">
        <f t="shared" si="17"/>
        <v>122.91070000000002</v>
      </c>
      <c r="L748" s="255"/>
    </row>
    <row r="749" spans="2:12">
      <c r="B749" s="263" t="s">
        <v>2001</v>
      </c>
      <c r="C749" s="264" t="s">
        <v>1998</v>
      </c>
      <c r="D749" s="205" t="s">
        <v>152</v>
      </c>
      <c r="E749" s="257">
        <v>28</v>
      </c>
      <c r="F749" s="258">
        <v>3.8530000000000002</v>
      </c>
      <c r="G749" s="257"/>
      <c r="H749" s="257">
        <v>1.1000000000000001</v>
      </c>
      <c r="I749" s="251"/>
      <c r="J749" s="253"/>
      <c r="K749" s="254">
        <f t="shared" si="17"/>
        <v>118.67240000000001</v>
      </c>
      <c r="L749" s="255"/>
    </row>
    <row r="750" spans="2:12">
      <c r="B750" s="263" t="s">
        <v>2002</v>
      </c>
      <c r="C750" s="264" t="s">
        <v>1998</v>
      </c>
      <c r="D750" s="205" t="s">
        <v>152</v>
      </c>
      <c r="E750" s="257"/>
      <c r="F750" s="258">
        <v>3.8530000000000002</v>
      </c>
      <c r="G750" s="257"/>
      <c r="H750" s="257">
        <v>1.1000000000000001</v>
      </c>
      <c r="I750" s="251"/>
      <c r="J750" s="253"/>
      <c r="K750" s="254">
        <f t="shared" si="17"/>
        <v>4.2383000000000006</v>
      </c>
      <c r="L750" s="255"/>
    </row>
    <row r="751" spans="2:12">
      <c r="B751" s="256"/>
      <c r="C751" s="210"/>
      <c r="D751" s="210"/>
      <c r="E751" s="257"/>
      <c r="F751" s="258"/>
      <c r="G751" s="257"/>
      <c r="H751" s="257"/>
      <c r="I751" s="257"/>
      <c r="J751" s="259"/>
      <c r="K751" s="254">
        <f t="shared" si="17"/>
        <v>0</v>
      </c>
      <c r="L751" s="210"/>
    </row>
    <row r="752" spans="2:12">
      <c r="B752" s="202"/>
      <c r="C752" s="203"/>
      <c r="D752" s="203"/>
      <c r="E752" s="203"/>
      <c r="F752" s="203"/>
      <c r="G752" s="203"/>
      <c r="H752" s="204"/>
      <c r="I752" s="556" t="s">
        <v>1221</v>
      </c>
      <c r="J752" s="556"/>
      <c r="K752" s="220">
        <f>SUM(K731:K751)</f>
        <v>6348.9734000000008</v>
      </c>
      <c r="L752" s="207"/>
    </row>
    <row r="753" spans="2:12">
      <c r="B753" s="208"/>
      <c r="C753" s="204"/>
      <c r="D753" s="204"/>
      <c r="E753" s="204"/>
      <c r="F753" s="204"/>
      <c r="G753" s="204"/>
      <c r="H753" s="209"/>
      <c r="I753" s="557" t="s">
        <v>1222</v>
      </c>
      <c r="J753" s="557"/>
      <c r="K753" s="221">
        <v>6531.8</v>
      </c>
      <c r="L753" s="207"/>
    </row>
    <row r="754" spans="2:12">
      <c r="B754" s="208"/>
      <c r="C754" s="204"/>
      <c r="D754" s="204"/>
      <c r="E754" s="204"/>
      <c r="F754" s="204"/>
      <c r="G754" s="204"/>
      <c r="H754" s="558" t="s">
        <v>1223</v>
      </c>
      <c r="I754" s="558"/>
      <c r="J754" s="558"/>
      <c r="K754" s="222">
        <v>5696.2752</v>
      </c>
      <c r="L754" s="207"/>
    </row>
    <row r="755" spans="2:12">
      <c r="B755" s="208"/>
      <c r="C755" s="204"/>
      <c r="D755" s="204"/>
      <c r="E755" s="204"/>
      <c r="F755" s="204"/>
      <c r="G755" s="204"/>
      <c r="H755" s="558" t="s">
        <v>1892</v>
      </c>
      <c r="I755" s="558"/>
      <c r="J755" s="558"/>
      <c r="K755" s="222">
        <f>TRUNC(SUMIF(C731:C751,H755,K731:K751),2)</f>
        <v>652.69000000000005</v>
      </c>
      <c r="L755" s="207"/>
    </row>
    <row r="756" spans="2:12">
      <c r="B756" s="213"/>
      <c r="C756" s="214"/>
      <c r="D756" s="214"/>
      <c r="E756" s="214"/>
      <c r="F756" s="214"/>
      <c r="G756" s="214"/>
      <c r="H756" s="559" t="s">
        <v>1224</v>
      </c>
      <c r="I756" s="559"/>
      <c r="J756" s="559"/>
      <c r="K756" s="223">
        <f>IF(K752&gt;K753,K752-K753,0)</f>
        <v>0</v>
      </c>
      <c r="L756" s="209"/>
    </row>
    <row r="758" spans="2:12">
      <c r="B758" s="247" t="s">
        <v>214</v>
      </c>
      <c r="C758" s="565" t="str">
        <f>VLOOKUP(B758,'BM 004'!$B$27:$R$590,2,0)</f>
        <v xml:space="preserve">Concreto simples usinado fck=35mpa, bombeado, lançado e adensado em superestrutura </v>
      </c>
      <c r="D758" s="565"/>
      <c r="E758" s="565"/>
      <c r="F758" s="565"/>
      <c r="G758" s="565"/>
      <c r="H758" s="565"/>
      <c r="I758" s="565"/>
      <c r="J758" s="565"/>
      <c r="K758" s="565"/>
      <c r="L758" s="565"/>
    </row>
    <row r="759" spans="2:12">
      <c r="B759" s="248" t="s">
        <v>1209</v>
      </c>
      <c r="C759" s="248"/>
      <c r="D759" s="248" t="s">
        <v>39</v>
      </c>
      <c r="E759" s="248" t="s">
        <v>1210</v>
      </c>
      <c r="F759" s="248" t="s">
        <v>1388</v>
      </c>
      <c r="G759" s="248" t="s">
        <v>1212</v>
      </c>
      <c r="H759" s="248" t="s">
        <v>1455</v>
      </c>
      <c r="I759" s="248" t="s">
        <v>1214</v>
      </c>
      <c r="J759" s="248" t="s">
        <v>1385</v>
      </c>
      <c r="K759" s="248" t="s">
        <v>1216</v>
      </c>
      <c r="L759" s="248" t="s">
        <v>1217</v>
      </c>
    </row>
    <row r="760" spans="2:12">
      <c r="B760" s="249" t="s">
        <v>1456</v>
      </c>
      <c r="C760" s="250" t="s">
        <v>1441</v>
      </c>
      <c r="D760" s="205" t="s">
        <v>169</v>
      </c>
      <c r="E760" s="199">
        <v>0.64</v>
      </c>
      <c r="F760" s="199">
        <v>0.15</v>
      </c>
      <c r="G760" s="199">
        <v>1</v>
      </c>
      <c r="H760" s="199"/>
      <c r="I760" s="199"/>
      <c r="J760" s="219"/>
      <c r="K760" s="220">
        <f t="shared" ref="K760:K823" si="18">IF(E760*F760*G760&lt;&gt;0,E760*F760*G760,IF(E760*F760&lt;&gt;0,E760*F760,IF(F760*G760&lt;&gt;0,F760*G760,IF(E760*G760&lt;&gt;0,E760*G760,IF(E760&lt;&gt;0,E760,IF(F760&lt;&gt;0,F760,IF(G760&lt;&gt;0,G760,0)))))))*(IF(H760&lt;&gt;0,H760,1))+I760-J760</f>
        <v>9.6000000000000002E-2</v>
      </c>
      <c r="L760" s="255"/>
    </row>
    <row r="761" spans="2:12">
      <c r="B761" s="249" t="s">
        <v>1457</v>
      </c>
      <c r="C761" s="250" t="s">
        <v>1441</v>
      </c>
      <c r="D761" s="205" t="s">
        <v>169</v>
      </c>
      <c r="E761" s="199">
        <v>7.2</v>
      </c>
      <c r="F761" s="199">
        <v>0.15</v>
      </c>
      <c r="G761" s="199">
        <v>0.7</v>
      </c>
      <c r="H761" s="199"/>
      <c r="I761" s="199"/>
      <c r="J761" s="219"/>
      <c r="K761" s="220">
        <f t="shared" si="18"/>
        <v>0.75600000000000001</v>
      </c>
      <c r="L761" s="255"/>
    </row>
    <row r="762" spans="2:12">
      <c r="B762" s="249" t="s">
        <v>1458</v>
      </c>
      <c r="C762" s="250" t="s">
        <v>1441</v>
      </c>
      <c r="D762" s="205" t="s">
        <v>169</v>
      </c>
      <c r="E762" s="199">
        <v>13.07</v>
      </c>
      <c r="F762" s="199">
        <v>0.15</v>
      </c>
      <c r="G762" s="199">
        <v>0.7</v>
      </c>
      <c r="H762" s="199"/>
      <c r="I762" s="199"/>
      <c r="J762" s="219"/>
      <c r="K762" s="220">
        <f t="shared" si="18"/>
        <v>1.37235</v>
      </c>
      <c r="L762" s="255"/>
    </row>
    <row r="763" spans="2:12">
      <c r="B763" s="249" t="s">
        <v>1459</v>
      </c>
      <c r="C763" s="250" t="s">
        <v>1441</v>
      </c>
      <c r="D763" s="205" t="s">
        <v>169</v>
      </c>
      <c r="E763" s="199">
        <v>0.94</v>
      </c>
      <c r="F763" s="199">
        <v>0.2</v>
      </c>
      <c r="G763" s="199">
        <v>0.6</v>
      </c>
      <c r="H763" s="199"/>
      <c r="I763" s="199"/>
      <c r="J763" s="219"/>
      <c r="K763" s="220">
        <f t="shared" si="18"/>
        <v>0.1128</v>
      </c>
      <c r="L763" s="255"/>
    </row>
    <row r="764" spans="2:12">
      <c r="B764" s="249" t="s">
        <v>1460</v>
      </c>
      <c r="C764" s="250" t="s">
        <v>1441</v>
      </c>
      <c r="D764" s="205" t="s">
        <v>169</v>
      </c>
      <c r="E764" s="199">
        <v>6.7</v>
      </c>
      <c r="F764" s="199">
        <v>0.2</v>
      </c>
      <c r="G764" s="199">
        <v>0.6</v>
      </c>
      <c r="H764" s="199"/>
      <c r="I764" s="199"/>
      <c r="J764" s="219"/>
      <c r="K764" s="220">
        <f t="shared" si="18"/>
        <v>0.80400000000000005</v>
      </c>
      <c r="L764" s="255"/>
    </row>
    <row r="765" spans="2:12">
      <c r="B765" s="249" t="s">
        <v>1460</v>
      </c>
      <c r="C765" s="250" t="s">
        <v>1441</v>
      </c>
      <c r="D765" s="205" t="s">
        <v>169</v>
      </c>
      <c r="E765" s="199">
        <v>14.04</v>
      </c>
      <c r="F765" s="199">
        <v>0.2</v>
      </c>
      <c r="G765" s="199">
        <v>1.2</v>
      </c>
      <c r="H765" s="199"/>
      <c r="I765" s="199"/>
      <c r="J765" s="219"/>
      <c r="K765" s="220">
        <f t="shared" si="18"/>
        <v>3.3695999999999997</v>
      </c>
      <c r="L765" s="255"/>
    </row>
    <row r="766" spans="2:12">
      <c r="B766" s="249" t="s">
        <v>1461</v>
      </c>
      <c r="C766" s="250" t="s">
        <v>1441</v>
      </c>
      <c r="D766" s="205" t="s">
        <v>169</v>
      </c>
      <c r="E766" s="199">
        <v>7.64</v>
      </c>
      <c r="F766" s="199">
        <v>0.15</v>
      </c>
      <c r="G766" s="199">
        <v>0.8</v>
      </c>
      <c r="H766" s="199"/>
      <c r="I766" s="199"/>
      <c r="J766" s="219"/>
      <c r="K766" s="220">
        <f t="shared" si="18"/>
        <v>0.91679999999999995</v>
      </c>
      <c r="L766" s="255"/>
    </row>
    <row r="767" spans="2:12">
      <c r="B767" s="249" t="s">
        <v>1461</v>
      </c>
      <c r="C767" s="250" t="s">
        <v>1441</v>
      </c>
      <c r="D767" s="205" t="s">
        <v>169</v>
      </c>
      <c r="E767" s="199">
        <v>20.96</v>
      </c>
      <c r="F767" s="199">
        <v>0.15</v>
      </c>
      <c r="G767" s="199">
        <v>1.2</v>
      </c>
      <c r="H767" s="199"/>
      <c r="I767" s="199"/>
      <c r="J767" s="219"/>
      <c r="K767" s="220">
        <f t="shared" si="18"/>
        <v>3.7728000000000002</v>
      </c>
      <c r="L767" s="255"/>
    </row>
    <row r="768" spans="2:12">
      <c r="B768" s="249" t="s">
        <v>1462</v>
      </c>
      <c r="C768" s="250" t="s">
        <v>1441</v>
      </c>
      <c r="D768" s="205" t="s">
        <v>169</v>
      </c>
      <c r="E768" s="199">
        <v>22.34</v>
      </c>
      <c r="F768" s="199">
        <v>0.2</v>
      </c>
      <c r="G768" s="199">
        <v>0.6</v>
      </c>
      <c r="H768" s="199"/>
      <c r="I768" s="199"/>
      <c r="J768" s="219"/>
      <c r="K768" s="220">
        <f t="shared" si="18"/>
        <v>2.6808000000000001</v>
      </c>
      <c r="L768" s="255"/>
    </row>
    <row r="769" spans="2:12">
      <c r="B769" s="249" t="s">
        <v>1463</v>
      </c>
      <c r="C769" s="250" t="s">
        <v>1441</v>
      </c>
      <c r="D769" s="205" t="s">
        <v>169</v>
      </c>
      <c r="E769" s="199">
        <v>5.72</v>
      </c>
      <c r="F769" s="199">
        <v>0.15</v>
      </c>
      <c r="G769" s="199">
        <v>0.6</v>
      </c>
      <c r="H769" s="199"/>
      <c r="I769" s="199"/>
      <c r="J769" s="219"/>
      <c r="K769" s="220">
        <f t="shared" si="18"/>
        <v>0.51479999999999992</v>
      </c>
      <c r="L769" s="255"/>
    </row>
    <row r="770" spans="2:12">
      <c r="B770" s="249" t="s">
        <v>1464</v>
      </c>
      <c r="C770" s="250" t="s">
        <v>1441</v>
      </c>
      <c r="D770" s="205" t="s">
        <v>169</v>
      </c>
      <c r="E770" s="199">
        <v>22.34</v>
      </c>
      <c r="F770" s="199">
        <v>0.2</v>
      </c>
      <c r="G770" s="199">
        <v>0.6</v>
      </c>
      <c r="H770" s="199"/>
      <c r="I770" s="199"/>
      <c r="J770" s="219"/>
      <c r="K770" s="220">
        <f t="shared" si="18"/>
        <v>2.6808000000000001</v>
      </c>
      <c r="L770" s="255"/>
    </row>
    <row r="771" spans="2:12">
      <c r="B771" s="249" t="s">
        <v>1465</v>
      </c>
      <c r="C771" s="250" t="s">
        <v>1441</v>
      </c>
      <c r="D771" s="205" t="s">
        <v>169</v>
      </c>
      <c r="E771" s="199">
        <v>4.42</v>
      </c>
      <c r="F771" s="199">
        <v>0.2</v>
      </c>
      <c r="G771" s="199">
        <v>0.6</v>
      </c>
      <c r="H771" s="199"/>
      <c r="I771" s="199"/>
      <c r="J771" s="219"/>
      <c r="K771" s="220">
        <f t="shared" si="18"/>
        <v>0.53039999999999998</v>
      </c>
      <c r="L771" s="255"/>
    </row>
    <row r="772" spans="2:12">
      <c r="B772" s="249" t="s">
        <v>1466</v>
      </c>
      <c r="C772" s="250" t="s">
        <v>1441</v>
      </c>
      <c r="D772" s="205" t="s">
        <v>169</v>
      </c>
      <c r="E772" s="199">
        <v>28.84</v>
      </c>
      <c r="F772" s="199">
        <v>0.2</v>
      </c>
      <c r="G772" s="199">
        <v>0.6</v>
      </c>
      <c r="H772" s="199"/>
      <c r="I772" s="199"/>
      <c r="J772" s="219"/>
      <c r="K772" s="220">
        <f t="shared" si="18"/>
        <v>3.4608000000000003</v>
      </c>
      <c r="L772" s="255"/>
    </row>
    <row r="773" spans="2:12">
      <c r="B773" s="249" t="s">
        <v>1467</v>
      </c>
      <c r="C773" s="250" t="s">
        <v>1441</v>
      </c>
      <c r="D773" s="205" t="s">
        <v>169</v>
      </c>
      <c r="E773" s="199">
        <v>24.09</v>
      </c>
      <c r="F773" s="199">
        <v>0.15</v>
      </c>
      <c r="G773" s="199">
        <v>1</v>
      </c>
      <c r="H773" s="199"/>
      <c r="I773" s="199"/>
      <c r="J773" s="219"/>
      <c r="K773" s="220">
        <f t="shared" si="18"/>
        <v>3.6134999999999997</v>
      </c>
      <c r="L773" s="255"/>
    </row>
    <row r="774" spans="2:12">
      <c r="B774" s="249" t="s">
        <v>1468</v>
      </c>
      <c r="C774" s="250" t="s">
        <v>1441</v>
      </c>
      <c r="D774" s="205" t="s">
        <v>169</v>
      </c>
      <c r="E774" s="199">
        <v>9.8800000000000008</v>
      </c>
      <c r="F774" s="199">
        <v>0.15</v>
      </c>
      <c r="G774" s="199">
        <v>0.6</v>
      </c>
      <c r="H774" s="199"/>
      <c r="I774" s="199"/>
      <c r="J774" s="219"/>
      <c r="K774" s="220">
        <f t="shared" si="18"/>
        <v>0.88919999999999999</v>
      </c>
      <c r="L774" s="255"/>
    </row>
    <row r="775" spans="2:12">
      <c r="B775" s="249" t="s">
        <v>1469</v>
      </c>
      <c r="C775" s="250" t="s">
        <v>1441</v>
      </c>
      <c r="D775" s="205" t="s">
        <v>169</v>
      </c>
      <c r="E775" s="199">
        <v>12</v>
      </c>
      <c r="F775" s="199">
        <v>0.2</v>
      </c>
      <c r="G775" s="199">
        <v>0.6</v>
      </c>
      <c r="H775" s="199"/>
      <c r="I775" s="199"/>
      <c r="J775" s="219"/>
      <c r="K775" s="220">
        <f t="shared" si="18"/>
        <v>1.4400000000000002</v>
      </c>
      <c r="L775" s="255"/>
    </row>
    <row r="776" spans="2:12">
      <c r="B776" s="249" t="s">
        <v>1470</v>
      </c>
      <c r="C776" s="250" t="s">
        <v>1441</v>
      </c>
      <c r="D776" s="205" t="s">
        <v>169</v>
      </c>
      <c r="E776" s="199">
        <v>1.81</v>
      </c>
      <c r="F776" s="199">
        <v>0.2</v>
      </c>
      <c r="G776" s="199">
        <v>0.8</v>
      </c>
      <c r="H776" s="199"/>
      <c r="I776" s="199"/>
      <c r="J776" s="219"/>
      <c r="K776" s="220">
        <f t="shared" si="18"/>
        <v>0.28960000000000002</v>
      </c>
      <c r="L776" s="255"/>
    </row>
    <row r="777" spans="2:12">
      <c r="B777" s="249" t="s">
        <v>1471</v>
      </c>
      <c r="C777" s="250" t="s">
        <v>1441</v>
      </c>
      <c r="D777" s="205" t="s">
        <v>169</v>
      </c>
      <c r="E777" s="199">
        <v>5.92</v>
      </c>
      <c r="F777" s="199">
        <v>0.15</v>
      </c>
      <c r="G777" s="199">
        <v>1.2</v>
      </c>
      <c r="H777" s="199"/>
      <c r="I777" s="199"/>
      <c r="J777" s="219"/>
      <c r="K777" s="220">
        <f t="shared" si="18"/>
        <v>1.0655999999999999</v>
      </c>
      <c r="L777" s="255"/>
    </row>
    <row r="778" spans="2:12">
      <c r="B778" s="249" t="s">
        <v>1472</v>
      </c>
      <c r="C778" s="250" t="s">
        <v>1441</v>
      </c>
      <c r="D778" s="205" t="s">
        <v>169</v>
      </c>
      <c r="E778" s="199">
        <v>12.49</v>
      </c>
      <c r="F778" s="199">
        <v>0.15</v>
      </c>
      <c r="G778" s="199">
        <v>1</v>
      </c>
      <c r="H778" s="199"/>
      <c r="I778" s="199"/>
      <c r="J778" s="219"/>
      <c r="K778" s="220">
        <f t="shared" si="18"/>
        <v>1.8734999999999999</v>
      </c>
      <c r="L778" s="255"/>
    </row>
    <row r="779" spans="2:12">
      <c r="B779" s="249" t="s">
        <v>1472</v>
      </c>
      <c r="C779" s="250" t="s">
        <v>1441</v>
      </c>
      <c r="D779" s="205" t="s">
        <v>169</v>
      </c>
      <c r="E779" s="199">
        <v>6</v>
      </c>
      <c r="F779" s="199">
        <v>0.15</v>
      </c>
      <c r="G779" s="199">
        <v>1.2</v>
      </c>
      <c r="H779" s="199"/>
      <c r="I779" s="199"/>
      <c r="J779" s="219"/>
      <c r="K779" s="220">
        <f t="shared" si="18"/>
        <v>1.0799999999999998</v>
      </c>
      <c r="L779" s="255"/>
    </row>
    <row r="780" spans="2:12">
      <c r="B780" s="249" t="s">
        <v>1473</v>
      </c>
      <c r="C780" s="250" t="s">
        <v>1441</v>
      </c>
      <c r="D780" s="205" t="s">
        <v>169</v>
      </c>
      <c r="E780" s="199">
        <v>4.83</v>
      </c>
      <c r="F780" s="199">
        <v>0.15</v>
      </c>
      <c r="G780" s="199">
        <v>0.6</v>
      </c>
      <c r="H780" s="199"/>
      <c r="I780" s="199"/>
      <c r="J780" s="219"/>
      <c r="K780" s="220">
        <f t="shared" si="18"/>
        <v>0.43470000000000003</v>
      </c>
      <c r="L780" s="255"/>
    </row>
    <row r="781" spans="2:12">
      <c r="B781" s="249" t="s">
        <v>1474</v>
      </c>
      <c r="C781" s="250" t="s">
        <v>1441</v>
      </c>
      <c r="D781" s="205" t="s">
        <v>169</v>
      </c>
      <c r="E781" s="199">
        <v>13.85</v>
      </c>
      <c r="F781" s="199">
        <v>0.15</v>
      </c>
      <c r="G781" s="199">
        <v>0.7</v>
      </c>
      <c r="H781" s="199"/>
      <c r="I781" s="199"/>
      <c r="J781" s="219"/>
      <c r="K781" s="220">
        <f t="shared" si="18"/>
        <v>1.4542499999999996</v>
      </c>
      <c r="L781" s="255"/>
    </row>
    <row r="782" spans="2:12">
      <c r="B782" s="249" t="s">
        <v>1531</v>
      </c>
      <c r="C782" s="250" t="s">
        <v>1521</v>
      </c>
      <c r="D782" s="205" t="s">
        <v>169</v>
      </c>
      <c r="E782" s="199">
        <v>12.69</v>
      </c>
      <c r="F782" s="199">
        <v>0.15</v>
      </c>
      <c r="G782" s="199">
        <v>0.6</v>
      </c>
      <c r="H782" s="199"/>
      <c r="I782" s="199"/>
      <c r="J782" s="219"/>
      <c r="K782" s="220">
        <f t="shared" si="18"/>
        <v>1.1420999999999999</v>
      </c>
      <c r="L782" s="255"/>
    </row>
    <row r="783" spans="2:12">
      <c r="B783" s="249" t="s">
        <v>1532</v>
      </c>
      <c r="C783" s="250" t="s">
        <v>1521</v>
      </c>
      <c r="D783" s="205" t="s">
        <v>169</v>
      </c>
      <c r="E783" s="199">
        <v>1.83</v>
      </c>
      <c r="F783" s="199">
        <v>0.15</v>
      </c>
      <c r="G783" s="199">
        <v>0.6</v>
      </c>
      <c r="H783" s="199"/>
      <c r="I783" s="199"/>
      <c r="J783" s="219"/>
      <c r="K783" s="220">
        <f t="shared" si="18"/>
        <v>0.16470000000000001</v>
      </c>
      <c r="L783" s="255"/>
    </row>
    <row r="784" spans="2:12">
      <c r="B784" s="249" t="s">
        <v>1533</v>
      </c>
      <c r="C784" s="250" t="s">
        <v>1521</v>
      </c>
      <c r="D784" s="205" t="s">
        <v>169</v>
      </c>
      <c r="E784" s="199">
        <v>8.27</v>
      </c>
      <c r="F784" s="199">
        <v>0.15</v>
      </c>
      <c r="G784" s="199">
        <v>0.6</v>
      </c>
      <c r="H784" s="199"/>
      <c r="I784" s="199"/>
      <c r="J784" s="219"/>
      <c r="K784" s="220">
        <f t="shared" si="18"/>
        <v>0.74429999999999996</v>
      </c>
      <c r="L784" s="255"/>
    </row>
    <row r="785" spans="2:12">
      <c r="B785" s="249" t="s">
        <v>1534</v>
      </c>
      <c r="C785" s="250" t="s">
        <v>1521</v>
      </c>
      <c r="D785" s="205" t="s">
        <v>169</v>
      </c>
      <c r="E785" s="199">
        <v>28.74</v>
      </c>
      <c r="F785" s="199">
        <v>0.15</v>
      </c>
      <c r="G785" s="199">
        <v>1</v>
      </c>
      <c r="H785" s="199"/>
      <c r="I785" s="199"/>
      <c r="J785" s="219"/>
      <c r="K785" s="220">
        <f t="shared" si="18"/>
        <v>4.3109999999999999</v>
      </c>
      <c r="L785" s="255"/>
    </row>
    <row r="786" spans="2:12">
      <c r="B786" s="249" t="s">
        <v>1535</v>
      </c>
      <c r="C786" s="250" t="s">
        <v>1521</v>
      </c>
      <c r="D786" s="205" t="s">
        <v>169</v>
      </c>
      <c r="E786" s="199">
        <v>28.53</v>
      </c>
      <c r="F786" s="199">
        <v>0.2</v>
      </c>
      <c r="G786" s="199">
        <v>0.6</v>
      </c>
      <c r="H786" s="199"/>
      <c r="I786" s="199"/>
      <c r="J786" s="219"/>
      <c r="K786" s="220">
        <f t="shared" si="18"/>
        <v>3.4236</v>
      </c>
      <c r="L786" s="255"/>
    </row>
    <row r="787" spans="2:12">
      <c r="B787" s="249" t="s">
        <v>1536</v>
      </c>
      <c r="C787" s="250" t="s">
        <v>1521</v>
      </c>
      <c r="D787" s="205" t="s">
        <v>169</v>
      </c>
      <c r="E787" s="199">
        <v>6.34</v>
      </c>
      <c r="F787" s="199">
        <v>0.15</v>
      </c>
      <c r="G787" s="199">
        <v>0.6</v>
      </c>
      <c r="H787" s="199"/>
      <c r="I787" s="199"/>
      <c r="J787" s="219"/>
      <c r="K787" s="220">
        <f t="shared" si="18"/>
        <v>0.5706</v>
      </c>
      <c r="L787" s="255"/>
    </row>
    <row r="788" spans="2:12">
      <c r="B788" s="249" t="s">
        <v>1537</v>
      </c>
      <c r="C788" s="250" t="s">
        <v>1521</v>
      </c>
      <c r="D788" s="205" t="s">
        <v>169</v>
      </c>
      <c r="E788" s="199">
        <v>21.99</v>
      </c>
      <c r="F788" s="199">
        <v>0.2</v>
      </c>
      <c r="G788" s="199">
        <v>0.6</v>
      </c>
      <c r="H788" s="199"/>
      <c r="I788" s="199"/>
      <c r="J788" s="219"/>
      <c r="K788" s="220">
        <f t="shared" si="18"/>
        <v>2.6387999999999998</v>
      </c>
      <c r="L788" s="255"/>
    </row>
    <row r="789" spans="2:12">
      <c r="B789" s="249" t="s">
        <v>1538</v>
      </c>
      <c r="C789" s="250" t="s">
        <v>1521</v>
      </c>
      <c r="D789" s="205" t="s">
        <v>169</v>
      </c>
      <c r="E789" s="199">
        <v>21.99</v>
      </c>
      <c r="F789" s="199">
        <v>0.2</v>
      </c>
      <c r="G789" s="199">
        <v>0.6</v>
      </c>
      <c r="H789" s="199"/>
      <c r="I789" s="199"/>
      <c r="J789" s="219"/>
      <c r="K789" s="220">
        <f t="shared" si="18"/>
        <v>2.6387999999999998</v>
      </c>
      <c r="L789" s="255"/>
    </row>
    <row r="790" spans="2:12">
      <c r="B790" s="249" t="s">
        <v>1539</v>
      </c>
      <c r="C790" s="250" t="s">
        <v>1521</v>
      </c>
      <c r="D790" s="205" t="s">
        <v>169</v>
      </c>
      <c r="E790" s="199">
        <v>3.45</v>
      </c>
      <c r="F790" s="199">
        <v>0.2</v>
      </c>
      <c r="G790" s="199">
        <v>0.6</v>
      </c>
      <c r="H790" s="199"/>
      <c r="I790" s="199"/>
      <c r="J790" s="219"/>
      <c r="K790" s="220">
        <f t="shared" si="18"/>
        <v>0.41400000000000003</v>
      </c>
      <c r="L790" s="255"/>
    </row>
    <row r="791" spans="2:12">
      <c r="B791" s="249" t="s">
        <v>1540</v>
      </c>
      <c r="C791" s="250" t="s">
        <v>1521</v>
      </c>
      <c r="D791" s="205" t="s">
        <v>169</v>
      </c>
      <c r="E791" s="199">
        <v>28.53</v>
      </c>
      <c r="F791" s="199">
        <v>0.2</v>
      </c>
      <c r="G791" s="199">
        <v>0.6</v>
      </c>
      <c r="H791" s="199"/>
      <c r="I791" s="199"/>
      <c r="J791" s="219"/>
      <c r="K791" s="220">
        <f t="shared" si="18"/>
        <v>3.4236</v>
      </c>
      <c r="L791" s="255"/>
    </row>
    <row r="792" spans="2:12">
      <c r="B792" s="249" t="s">
        <v>1541</v>
      </c>
      <c r="C792" s="250" t="s">
        <v>1521</v>
      </c>
      <c r="D792" s="205" t="s">
        <v>169</v>
      </c>
      <c r="E792" s="199">
        <v>24.09</v>
      </c>
      <c r="F792" s="199">
        <v>0.15</v>
      </c>
      <c r="G792" s="199">
        <v>1</v>
      </c>
      <c r="H792" s="199"/>
      <c r="I792" s="199"/>
      <c r="J792" s="219"/>
      <c r="K792" s="220">
        <f t="shared" si="18"/>
        <v>3.6134999999999997</v>
      </c>
      <c r="L792" s="255"/>
    </row>
    <row r="793" spans="2:12">
      <c r="B793" s="249" t="s">
        <v>1541</v>
      </c>
      <c r="C793" s="250" t="s">
        <v>1521</v>
      </c>
      <c r="D793" s="205" t="s">
        <v>169</v>
      </c>
      <c r="E793" s="199">
        <v>0.48</v>
      </c>
      <c r="F793" s="199">
        <v>0.15</v>
      </c>
      <c r="G793" s="199">
        <v>0.6</v>
      </c>
      <c r="H793" s="199"/>
      <c r="I793" s="199"/>
      <c r="J793" s="219"/>
      <c r="K793" s="220">
        <f t="shared" si="18"/>
        <v>4.3199999999999995E-2</v>
      </c>
      <c r="L793" s="255"/>
    </row>
    <row r="794" spans="2:12">
      <c r="B794" s="249" t="s">
        <v>1542</v>
      </c>
      <c r="C794" s="250" t="s">
        <v>1521</v>
      </c>
      <c r="D794" s="205" t="s">
        <v>169</v>
      </c>
      <c r="E794" s="199">
        <v>2.7</v>
      </c>
      <c r="F794" s="199">
        <v>0.15</v>
      </c>
      <c r="G794" s="199">
        <v>0.6</v>
      </c>
      <c r="H794" s="199"/>
      <c r="I794" s="199"/>
      <c r="J794" s="219"/>
      <c r="K794" s="220">
        <f t="shared" si="18"/>
        <v>0.24299999999999999</v>
      </c>
      <c r="L794" s="255"/>
    </row>
    <row r="795" spans="2:12">
      <c r="B795" s="249" t="s">
        <v>1543</v>
      </c>
      <c r="C795" s="250" t="s">
        <v>1521</v>
      </c>
      <c r="D795" s="205" t="s">
        <v>169</v>
      </c>
      <c r="E795" s="199">
        <v>2.7</v>
      </c>
      <c r="F795" s="199">
        <v>0.15</v>
      </c>
      <c r="G795" s="199">
        <v>0.6</v>
      </c>
      <c r="H795" s="199"/>
      <c r="I795" s="199"/>
      <c r="J795" s="219"/>
      <c r="K795" s="220">
        <f t="shared" si="18"/>
        <v>0.24299999999999999</v>
      </c>
      <c r="L795" s="255"/>
    </row>
    <row r="796" spans="2:12">
      <c r="B796" s="249" t="s">
        <v>1544</v>
      </c>
      <c r="C796" s="250" t="s">
        <v>1521</v>
      </c>
      <c r="D796" s="205" t="s">
        <v>169</v>
      </c>
      <c r="E796" s="199">
        <v>9.35</v>
      </c>
      <c r="F796" s="199">
        <v>0.2</v>
      </c>
      <c r="G796" s="199">
        <v>0.7</v>
      </c>
      <c r="H796" s="199"/>
      <c r="I796" s="199"/>
      <c r="J796" s="219"/>
      <c r="K796" s="220">
        <f t="shared" si="18"/>
        <v>1.3089999999999999</v>
      </c>
      <c r="L796" s="255"/>
    </row>
    <row r="797" spans="2:12">
      <c r="B797" s="249" t="s">
        <v>1545</v>
      </c>
      <c r="C797" s="250" t="s">
        <v>1521</v>
      </c>
      <c r="D797" s="205" t="s">
        <v>169</v>
      </c>
      <c r="E797" s="199">
        <v>2.85</v>
      </c>
      <c r="F797" s="199">
        <v>0.15</v>
      </c>
      <c r="G797" s="199">
        <v>1</v>
      </c>
      <c r="H797" s="199"/>
      <c r="I797" s="199"/>
      <c r="J797" s="219"/>
      <c r="K797" s="220">
        <f t="shared" si="18"/>
        <v>0.42749999999999999</v>
      </c>
      <c r="L797" s="255"/>
    </row>
    <row r="798" spans="2:12">
      <c r="B798" s="249" t="s">
        <v>1546</v>
      </c>
      <c r="C798" s="250" t="s">
        <v>1521</v>
      </c>
      <c r="D798" s="205" t="s">
        <v>169</v>
      </c>
      <c r="E798" s="199">
        <v>23.39</v>
      </c>
      <c r="F798" s="199">
        <v>0.15</v>
      </c>
      <c r="G798" s="199">
        <v>1</v>
      </c>
      <c r="H798" s="199"/>
      <c r="I798" s="199"/>
      <c r="J798" s="219"/>
      <c r="K798" s="220">
        <f t="shared" si="18"/>
        <v>3.5085000000000002</v>
      </c>
      <c r="L798" s="255"/>
    </row>
    <row r="799" spans="2:12">
      <c r="B799" s="249" t="s">
        <v>1547</v>
      </c>
      <c r="C799" s="250" t="s">
        <v>1521</v>
      </c>
      <c r="D799" s="205" t="s">
        <v>169</v>
      </c>
      <c r="E799" s="199">
        <v>13.7</v>
      </c>
      <c r="F799" s="199">
        <v>0.15</v>
      </c>
      <c r="G799" s="199">
        <v>0.6</v>
      </c>
      <c r="H799" s="199"/>
      <c r="I799" s="199"/>
      <c r="J799" s="219"/>
      <c r="K799" s="220">
        <f t="shared" si="18"/>
        <v>1.2329999999999999</v>
      </c>
      <c r="L799" s="255"/>
    </row>
    <row r="800" spans="2:12">
      <c r="B800" s="249" t="s">
        <v>1548</v>
      </c>
      <c r="C800" s="250" t="s">
        <v>1521</v>
      </c>
      <c r="D800" s="205" t="s">
        <v>169</v>
      </c>
      <c r="E800" s="199">
        <v>0.48</v>
      </c>
      <c r="F800" s="199">
        <v>0.15</v>
      </c>
      <c r="G800" s="199">
        <v>0.6</v>
      </c>
      <c r="H800" s="199"/>
      <c r="I800" s="199"/>
      <c r="J800" s="219"/>
      <c r="K800" s="220">
        <f t="shared" si="18"/>
        <v>4.3199999999999995E-2</v>
      </c>
      <c r="L800" s="255"/>
    </row>
    <row r="801" spans="2:12">
      <c r="B801" s="249" t="s">
        <v>1549</v>
      </c>
      <c r="C801" s="250" t="s">
        <v>1521</v>
      </c>
      <c r="D801" s="205" t="s">
        <v>169</v>
      </c>
      <c r="E801" s="199">
        <v>12.95</v>
      </c>
      <c r="F801" s="199">
        <v>0.2</v>
      </c>
      <c r="G801" s="199">
        <v>0.6</v>
      </c>
      <c r="H801" s="199"/>
      <c r="I801" s="199"/>
      <c r="J801" s="219"/>
      <c r="K801" s="220">
        <f t="shared" si="18"/>
        <v>1.5539999999999998</v>
      </c>
      <c r="L801" s="255"/>
    </row>
    <row r="802" spans="2:12">
      <c r="B802" s="249" t="s">
        <v>1550</v>
      </c>
      <c r="C802" s="250" t="s">
        <v>1521</v>
      </c>
      <c r="D802" s="205" t="s">
        <v>169</v>
      </c>
      <c r="E802" s="199">
        <v>21.37</v>
      </c>
      <c r="F802" s="199">
        <v>0.15</v>
      </c>
      <c r="G802" s="199">
        <v>1</v>
      </c>
      <c r="H802" s="199"/>
      <c r="I802" s="199"/>
      <c r="J802" s="219"/>
      <c r="K802" s="220">
        <f t="shared" si="18"/>
        <v>3.2055000000000002</v>
      </c>
      <c r="L802" s="255"/>
    </row>
    <row r="803" spans="2:12">
      <c r="B803" s="249" t="s">
        <v>1551</v>
      </c>
      <c r="C803" s="250" t="s">
        <v>1521</v>
      </c>
      <c r="D803" s="205" t="s">
        <v>169</v>
      </c>
      <c r="E803" s="199">
        <v>2.86</v>
      </c>
      <c r="F803" s="199">
        <v>0.15</v>
      </c>
      <c r="G803" s="199">
        <v>1</v>
      </c>
      <c r="H803" s="199"/>
      <c r="I803" s="199"/>
      <c r="J803" s="219"/>
      <c r="K803" s="220">
        <f t="shared" si="18"/>
        <v>0.42899999999999999</v>
      </c>
      <c r="L803" s="255"/>
    </row>
    <row r="804" spans="2:12">
      <c r="B804" s="197" t="s">
        <v>1523</v>
      </c>
      <c r="C804" s="189" t="s">
        <v>1521</v>
      </c>
      <c r="D804" s="190" t="s">
        <v>169</v>
      </c>
      <c r="E804" s="199">
        <v>4.71</v>
      </c>
      <c r="F804" s="199">
        <v>0.25</v>
      </c>
      <c r="G804" s="199">
        <v>1.7</v>
      </c>
      <c r="H804" s="199">
        <v>1</v>
      </c>
      <c r="I804" s="199"/>
      <c r="J804" s="219"/>
      <c r="K804" s="217">
        <f t="shared" si="18"/>
        <v>2.0017499999999999</v>
      </c>
      <c r="L804" s="245" t="s">
        <v>1554</v>
      </c>
    </row>
    <row r="805" spans="2:12">
      <c r="B805" s="197" t="s">
        <v>1525</v>
      </c>
      <c r="C805" s="189" t="s">
        <v>1521</v>
      </c>
      <c r="D805" s="190" t="s">
        <v>169</v>
      </c>
      <c r="E805" s="199">
        <v>4.71</v>
      </c>
      <c r="F805" s="199">
        <v>0.15</v>
      </c>
      <c r="G805" s="199">
        <v>1.7</v>
      </c>
      <c r="H805" s="199">
        <v>1</v>
      </c>
      <c r="I805" s="199"/>
      <c r="J805" s="219"/>
      <c r="K805" s="217">
        <f t="shared" si="18"/>
        <v>1.20105</v>
      </c>
      <c r="L805" s="245" t="s">
        <v>1554</v>
      </c>
    </row>
    <row r="806" spans="2:12">
      <c r="B806" s="197" t="s">
        <v>1526</v>
      </c>
      <c r="C806" s="189" t="s">
        <v>1521</v>
      </c>
      <c r="D806" s="190" t="s">
        <v>169</v>
      </c>
      <c r="E806" s="199">
        <v>2.54</v>
      </c>
      <c r="F806" s="199">
        <v>0.15</v>
      </c>
      <c r="G806" s="199">
        <v>1.7</v>
      </c>
      <c r="H806" s="199">
        <v>1</v>
      </c>
      <c r="I806" s="199"/>
      <c r="J806" s="219"/>
      <c r="K806" s="217">
        <f t="shared" si="18"/>
        <v>0.64769999999999994</v>
      </c>
      <c r="L806" s="245" t="s">
        <v>1554</v>
      </c>
    </row>
    <row r="807" spans="2:12">
      <c r="B807" s="197" t="s">
        <v>1527</v>
      </c>
      <c r="C807" s="189" t="s">
        <v>1521</v>
      </c>
      <c r="D807" s="190" t="s">
        <v>169</v>
      </c>
      <c r="E807" s="199">
        <v>2.2000000000000002</v>
      </c>
      <c r="F807" s="199">
        <v>0.15</v>
      </c>
      <c r="G807" s="199">
        <v>1.7</v>
      </c>
      <c r="H807" s="199">
        <v>1</v>
      </c>
      <c r="I807" s="199"/>
      <c r="J807" s="219"/>
      <c r="K807" s="217">
        <f t="shared" si="18"/>
        <v>0.56100000000000005</v>
      </c>
      <c r="L807" s="245" t="s">
        <v>1554</v>
      </c>
    </row>
    <row r="808" spans="2:12">
      <c r="B808" s="197" t="s">
        <v>1528</v>
      </c>
      <c r="C808" s="189" t="s">
        <v>1521</v>
      </c>
      <c r="D808" s="190" t="s">
        <v>169</v>
      </c>
      <c r="E808" s="199">
        <v>2.2000000000000002</v>
      </c>
      <c r="F808" s="199">
        <v>0.15</v>
      </c>
      <c r="G808" s="199">
        <v>1.7</v>
      </c>
      <c r="H808" s="199">
        <v>1</v>
      </c>
      <c r="I808" s="199"/>
      <c r="J808" s="219"/>
      <c r="K808" s="217">
        <f t="shared" si="18"/>
        <v>0.56100000000000005</v>
      </c>
      <c r="L808" s="245" t="s">
        <v>1554</v>
      </c>
    </row>
    <row r="809" spans="2:12">
      <c r="B809" s="197" t="s">
        <v>1529</v>
      </c>
      <c r="C809" s="189" t="s">
        <v>1521</v>
      </c>
      <c r="D809" s="190" t="s">
        <v>169</v>
      </c>
      <c r="E809" s="199">
        <v>1.24</v>
      </c>
      <c r="F809" s="199">
        <v>0.2</v>
      </c>
      <c r="G809" s="199">
        <v>1.7</v>
      </c>
      <c r="H809" s="199">
        <v>1</v>
      </c>
      <c r="I809" s="199"/>
      <c r="J809" s="219"/>
      <c r="K809" s="217">
        <f t="shared" si="18"/>
        <v>0.42159999999999997</v>
      </c>
      <c r="L809" s="245" t="s">
        <v>1554</v>
      </c>
    </row>
    <row r="810" spans="2:12">
      <c r="B810" s="197" t="s">
        <v>1530</v>
      </c>
      <c r="C810" s="189" t="s">
        <v>1521</v>
      </c>
      <c r="D810" s="190" t="s">
        <v>169</v>
      </c>
      <c r="E810" s="199">
        <v>1.24</v>
      </c>
      <c r="F810" s="199">
        <v>0.2</v>
      </c>
      <c r="G810" s="199">
        <v>1.7</v>
      </c>
      <c r="H810" s="199">
        <v>1</v>
      </c>
      <c r="I810" s="199"/>
      <c r="J810" s="219"/>
      <c r="K810" s="217">
        <f t="shared" si="18"/>
        <v>0.42159999999999997</v>
      </c>
      <c r="L810" s="245" t="s">
        <v>1554</v>
      </c>
    </row>
    <row r="811" spans="2:12">
      <c r="B811" s="197" t="s">
        <v>1614</v>
      </c>
      <c r="C811" s="189" t="s">
        <v>1611</v>
      </c>
      <c r="D811" s="190" t="s">
        <v>169</v>
      </c>
      <c r="E811" s="199">
        <v>3.63</v>
      </c>
      <c r="F811" s="199">
        <v>0.2</v>
      </c>
      <c r="G811" s="199">
        <v>0.7</v>
      </c>
      <c r="H811" s="199"/>
      <c r="I811" s="199"/>
      <c r="J811" s="219"/>
      <c r="K811" s="217">
        <f t="shared" si="18"/>
        <v>0.50819999999999999</v>
      </c>
      <c r="L811" s="218"/>
    </row>
    <row r="812" spans="2:12">
      <c r="B812" s="197" t="s">
        <v>1614</v>
      </c>
      <c r="C812" s="189" t="s">
        <v>1611</v>
      </c>
      <c r="D812" s="190" t="s">
        <v>169</v>
      </c>
      <c r="E812" s="199">
        <v>27.92</v>
      </c>
      <c r="F812" s="199">
        <v>0.2</v>
      </c>
      <c r="G812" s="199">
        <v>0.6</v>
      </c>
      <c r="H812" s="199"/>
      <c r="I812" s="199"/>
      <c r="J812" s="219"/>
      <c r="K812" s="217">
        <f t="shared" si="18"/>
        <v>3.3504</v>
      </c>
      <c r="L812" s="218"/>
    </row>
    <row r="813" spans="2:12">
      <c r="B813" s="197" t="s">
        <v>1615</v>
      </c>
      <c r="C813" s="189" t="s">
        <v>1611</v>
      </c>
      <c r="D813" s="190" t="s">
        <v>169</v>
      </c>
      <c r="E813" s="199">
        <v>2.7</v>
      </c>
      <c r="F813" s="199">
        <v>0.15</v>
      </c>
      <c r="G813" s="199">
        <v>0.6</v>
      </c>
      <c r="H813" s="199"/>
      <c r="I813" s="199"/>
      <c r="J813" s="219"/>
      <c r="K813" s="217">
        <f t="shared" si="18"/>
        <v>0.24299999999999999</v>
      </c>
      <c r="L813" s="218"/>
    </row>
    <row r="814" spans="2:12">
      <c r="B814" s="197" t="s">
        <v>1616</v>
      </c>
      <c r="C814" s="189" t="s">
        <v>1611</v>
      </c>
      <c r="D814" s="190" t="s">
        <v>169</v>
      </c>
      <c r="E814" s="199">
        <v>4.62</v>
      </c>
      <c r="F814" s="199">
        <v>0.15</v>
      </c>
      <c r="G814" s="199">
        <v>0.6</v>
      </c>
      <c r="H814" s="199"/>
      <c r="I814" s="199"/>
      <c r="J814" s="219"/>
      <c r="K814" s="217">
        <f t="shared" si="18"/>
        <v>0.41579999999999995</v>
      </c>
      <c r="L814" s="218"/>
    </row>
    <row r="815" spans="2:12">
      <c r="B815" s="197" t="s">
        <v>1617</v>
      </c>
      <c r="C815" s="189" t="s">
        <v>1611</v>
      </c>
      <c r="D815" s="190" t="s">
        <v>169</v>
      </c>
      <c r="E815" s="199">
        <v>1.92</v>
      </c>
      <c r="F815" s="199">
        <v>0.15</v>
      </c>
      <c r="G815" s="199">
        <v>0.7</v>
      </c>
      <c r="H815" s="199"/>
      <c r="I815" s="199"/>
      <c r="J815" s="219"/>
      <c r="K815" s="217">
        <f t="shared" si="18"/>
        <v>0.20159999999999997</v>
      </c>
      <c r="L815" s="218"/>
    </row>
    <row r="816" spans="2:12">
      <c r="B816" s="197" t="s">
        <v>1618</v>
      </c>
      <c r="C816" s="189" t="s">
        <v>1611</v>
      </c>
      <c r="D816" s="190" t="s">
        <v>169</v>
      </c>
      <c r="E816" s="199">
        <v>0.84</v>
      </c>
      <c r="F816" s="199">
        <v>0.4</v>
      </c>
      <c r="G816" s="199">
        <v>1</v>
      </c>
      <c r="H816" s="199"/>
      <c r="I816" s="199"/>
      <c r="J816" s="219"/>
      <c r="K816" s="217">
        <f t="shared" si="18"/>
        <v>0.33600000000000002</v>
      </c>
      <c r="L816" s="218"/>
    </row>
    <row r="817" spans="2:12">
      <c r="B817" s="197" t="s">
        <v>1618</v>
      </c>
      <c r="C817" s="189" t="s">
        <v>1611</v>
      </c>
      <c r="D817" s="190" t="s">
        <v>169</v>
      </c>
      <c r="E817" s="199">
        <v>25.92</v>
      </c>
      <c r="F817" s="199">
        <v>0.3</v>
      </c>
      <c r="G817" s="199">
        <v>0.8</v>
      </c>
      <c r="H817" s="199"/>
      <c r="I817" s="199"/>
      <c r="J817" s="219"/>
      <c r="K817" s="217">
        <f t="shared" si="18"/>
        <v>6.2208000000000006</v>
      </c>
      <c r="L817" s="218"/>
    </row>
    <row r="818" spans="2:12">
      <c r="B818" s="197" t="s">
        <v>1619</v>
      </c>
      <c r="C818" s="189" t="s">
        <v>1611</v>
      </c>
      <c r="D818" s="190" t="s">
        <v>169</v>
      </c>
      <c r="E818" s="199">
        <v>16.71</v>
      </c>
      <c r="F818" s="199">
        <v>0.2</v>
      </c>
      <c r="G818" s="199">
        <v>0.7</v>
      </c>
      <c r="H818" s="199"/>
      <c r="I818" s="199"/>
      <c r="J818" s="219"/>
      <c r="K818" s="217">
        <f t="shared" si="18"/>
        <v>2.3394000000000004</v>
      </c>
      <c r="L818" s="218"/>
    </row>
    <row r="819" spans="2:12">
      <c r="B819" s="197" t="s">
        <v>1620</v>
      </c>
      <c r="C819" s="189" t="s">
        <v>1611</v>
      </c>
      <c r="D819" s="190" t="s">
        <v>169</v>
      </c>
      <c r="E819" s="199">
        <v>9.59</v>
      </c>
      <c r="F819" s="199">
        <v>0.15</v>
      </c>
      <c r="G819" s="199">
        <v>0.7</v>
      </c>
      <c r="H819" s="199"/>
      <c r="I819" s="199"/>
      <c r="J819" s="219"/>
      <c r="K819" s="217">
        <f t="shared" si="18"/>
        <v>1.0069499999999998</v>
      </c>
      <c r="L819" s="218"/>
    </row>
    <row r="820" spans="2:12">
      <c r="B820" s="197" t="s">
        <v>1621</v>
      </c>
      <c r="C820" s="189" t="s">
        <v>1611</v>
      </c>
      <c r="D820" s="190" t="s">
        <v>169</v>
      </c>
      <c r="E820" s="199">
        <v>1.44</v>
      </c>
      <c r="F820" s="199">
        <v>0.15</v>
      </c>
      <c r="G820" s="199">
        <v>0.7</v>
      </c>
      <c r="H820" s="199"/>
      <c r="I820" s="199"/>
      <c r="J820" s="219"/>
      <c r="K820" s="217">
        <f t="shared" si="18"/>
        <v>0.1512</v>
      </c>
      <c r="L820" s="218"/>
    </row>
    <row r="821" spans="2:12">
      <c r="B821" s="197" t="s">
        <v>1622</v>
      </c>
      <c r="C821" s="189" t="s">
        <v>1611</v>
      </c>
      <c r="D821" s="190" t="s">
        <v>169</v>
      </c>
      <c r="E821" s="199">
        <v>6.83</v>
      </c>
      <c r="F821" s="199">
        <v>0.25</v>
      </c>
      <c r="G821" s="199">
        <v>0.6</v>
      </c>
      <c r="H821" s="199"/>
      <c r="I821" s="199"/>
      <c r="J821" s="219"/>
      <c r="K821" s="217">
        <f t="shared" si="18"/>
        <v>1.0245</v>
      </c>
      <c r="L821" s="218"/>
    </row>
    <row r="822" spans="2:12">
      <c r="B822" s="197" t="s">
        <v>1622</v>
      </c>
      <c r="C822" s="189" t="s">
        <v>1611</v>
      </c>
      <c r="D822" s="190" t="s">
        <v>169</v>
      </c>
      <c r="E822" s="199">
        <v>7.5</v>
      </c>
      <c r="F822" s="199">
        <v>0.25</v>
      </c>
      <c r="G822" s="199">
        <v>1</v>
      </c>
      <c r="H822" s="199"/>
      <c r="I822" s="199"/>
      <c r="J822" s="219"/>
      <c r="K822" s="217">
        <f t="shared" si="18"/>
        <v>1.875</v>
      </c>
      <c r="L822" s="218"/>
    </row>
    <row r="823" spans="2:12">
      <c r="B823" s="197" t="s">
        <v>1622</v>
      </c>
      <c r="C823" s="189" t="s">
        <v>1611</v>
      </c>
      <c r="D823" s="190" t="s">
        <v>169</v>
      </c>
      <c r="E823" s="199">
        <v>6.17</v>
      </c>
      <c r="F823" s="199">
        <v>0.25</v>
      </c>
      <c r="G823" s="199">
        <v>0.6</v>
      </c>
      <c r="H823" s="199"/>
      <c r="I823" s="199"/>
      <c r="J823" s="219"/>
      <c r="K823" s="217">
        <f t="shared" si="18"/>
        <v>0.92549999999999999</v>
      </c>
      <c r="L823" s="218"/>
    </row>
    <row r="824" spans="2:12">
      <c r="B824" s="197" t="s">
        <v>1623</v>
      </c>
      <c r="C824" s="189" t="s">
        <v>1611</v>
      </c>
      <c r="D824" s="190" t="s">
        <v>169</v>
      </c>
      <c r="E824" s="199">
        <v>11.82</v>
      </c>
      <c r="F824" s="199">
        <v>0.2</v>
      </c>
      <c r="G824" s="199">
        <v>0.8</v>
      </c>
      <c r="H824" s="199"/>
      <c r="I824" s="199"/>
      <c r="J824" s="219"/>
      <c r="K824" s="217">
        <f t="shared" ref="K824:K887" si="19">IF(E824*F824*G824&lt;&gt;0,E824*F824*G824,IF(E824*F824&lt;&gt;0,E824*F824,IF(F824*G824&lt;&gt;0,F824*G824,IF(E824*G824&lt;&gt;0,E824*G824,IF(E824&lt;&gt;0,E824,IF(F824&lt;&gt;0,F824,IF(G824&lt;&gt;0,G824,0)))))))*(IF(H824&lt;&gt;0,H824,1))+I824-J824</f>
        <v>1.8912000000000004</v>
      </c>
      <c r="L824" s="218"/>
    </row>
    <row r="825" spans="2:12">
      <c r="B825" s="197" t="s">
        <v>1624</v>
      </c>
      <c r="C825" s="189" t="s">
        <v>1611</v>
      </c>
      <c r="D825" s="190" t="s">
        <v>169</v>
      </c>
      <c r="E825" s="199">
        <v>19.25</v>
      </c>
      <c r="F825" s="199">
        <v>0.25</v>
      </c>
      <c r="G825" s="199">
        <v>0.7</v>
      </c>
      <c r="H825" s="199"/>
      <c r="I825" s="199"/>
      <c r="J825" s="219"/>
      <c r="K825" s="217">
        <f t="shared" si="19"/>
        <v>3.3687499999999999</v>
      </c>
      <c r="L825" s="218"/>
    </row>
    <row r="826" spans="2:12">
      <c r="B826" s="197" t="s">
        <v>1625</v>
      </c>
      <c r="C826" s="189" t="s">
        <v>1611</v>
      </c>
      <c r="D826" s="190" t="s">
        <v>169</v>
      </c>
      <c r="E826" s="199">
        <v>5.14</v>
      </c>
      <c r="F826" s="199">
        <v>0.15</v>
      </c>
      <c r="G826" s="199">
        <v>0.6</v>
      </c>
      <c r="H826" s="199"/>
      <c r="I826" s="199"/>
      <c r="J826" s="219"/>
      <c r="K826" s="217">
        <f t="shared" si="19"/>
        <v>0.4625999999999999</v>
      </c>
      <c r="L826" s="218"/>
    </row>
    <row r="827" spans="2:12">
      <c r="B827" s="197" t="s">
        <v>1626</v>
      </c>
      <c r="C827" s="189" t="s">
        <v>1611</v>
      </c>
      <c r="D827" s="190" t="s">
        <v>169</v>
      </c>
      <c r="E827" s="199">
        <v>6.34</v>
      </c>
      <c r="F827" s="199">
        <v>0.2</v>
      </c>
      <c r="G827" s="199">
        <v>0.6</v>
      </c>
      <c r="H827" s="199"/>
      <c r="I827" s="199"/>
      <c r="J827" s="219"/>
      <c r="K827" s="217">
        <f t="shared" si="19"/>
        <v>0.76080000000000003</v>
      </c>
      <c r="L827" s="218"/>
    </row>
    <row r="828" spans="2:12">
      <c r="B828" s="197" t="s">
        <v>1626</v>
      </c>
      <c r="C828" s="189" t="s">
        <v>1611</v>
      </c>
      <c r="D828" s="190" t="s">
        <v>169</v>
      </c>
      <c r="E828" s="199">
        <v>3.78</v>
      </c>
      <c r="F828" s="199">
        <v>0.2</v>
      </c>
      <c r="G828" s="199">
        <v>0.7</v>
      </c>
      <c r="H828" s="199"/>
      <c r="I828" s="199"/>
      <c r="J828" s="219"/>
      <c r="K828" s="217">
        <f t="shared" si="19"/>
        <v>0.5292</v>
      </c>
      <c r="L828" s="218"/>
    </row>
    <row r="829" spans="2:12">
      <c r="B829" s="197" t="s">
        <v>1627</v>
      </c>
      <c r="C829" s="189" t="s">
        <v>1611</v>
      </c>
      <c r="D829" s="190" t="s">
        <v>169</v>
      </c>
      <c r="E829" s="199">
        <v>35.049999999999997</v>
      </c>
      <c r="F829" s="199">
        <v>0.2</v>
      </c>
      <c r="G829" s="199">
        <v>0.7</v>
      </c>
      <c r="H829" s="199"/>
      <c r="I829" s="199"/>
      <c r="J829" s="219"/>
      <c r="K829" s="217">
        <f t="shared" si="19"/>
        <v>4.9069999999999991</v>
      </c>
      <c r="L829" s="218"/>
    </row>
    <row r="830" spans="2:12">
      <c r="B830" s="197" t="s">
        <v>1627</v>
      </c>
      <c r="C830" s="189" t="s">
        <v>1611</v>
      </c>
      <c r="D830" s="190" t="s">
        <v>169</v>
      </c>
      <c r="E830" s="199">
        <v>5.05</v>
      </c>
      <c r="F830" s="199">
        <v>0.2</v>
      </c>
      <c r="G830" s="199">
        <v>1</v>
      </c>
      <c r="H830" s="199"/>
      <c r="I830" s="199"/>
      <c r="J830" s="219"/>
      <c r="K830" s="217">
        <f t="shared" si="19"/>
        <v>1.01</v>
      </c>
      <c r="L830" s="218"/>
    </row>
    <row r="831" spans="2:12">
      <c r="B831" s="197" t="s">
        <v>1628</v>
      </c>
      <c r="C831" s="189" t="s">
        <v>1611</v>
      </c>
      <c r="D831" s="190" t="s">
        <v>169</v>
      </c>
      <c r="E831" s="199">
        <v>12.91</v>
      </c>
      <c r="F831" s="199">
        <v>0.25</v>
      </c>
      <c r="G831" s="199">
        <v>0.7</v>
      </c>
      <c r="H831" s="199"/>
      <c r="I831" s="199"/>
      <c r="J831" s="219"/>
      <c r="K831" s="217">
        <f t="shared" si="19"/>
        <v>2.2592499999999998</v>
      </c>
      <c r="L831" s="218"/>
    </row>
    <row r="832" spans="2:12">
      <c r="B832" s="197" t="s">
        <v>1629</v>
      </c>
      <c r="C832" s="189" t="s">
        <v>1611</v>
      </c>
      <c r="D832" s="190" t="s">
        <v>169</v>
      </c>
      <c r="E832" s="199">
        <v>9.65</v>
      </c>
      <c r="F832" s="199">
        <v>0.3</v>
      </c>
      <c r="G832" s="199">
        <v>0.7</v>
      </c>
      <c r="H832" s="199"/>
      <c r="I832" s="199"/>
      <c r="J832" s="219"/>
      <c r="K832" s="217">
        <f t="shared" si="19"/>
        <v>2.0265</v>
      </c>
      <c r="L832" s="218"/>
    </row>
    <row r="833" spans="2:12">
      <c r="B833" s="197" t="s">
        <v>1629</v>
      </c>
      <c r="C833" s="189" t="s">
        <v>1611</v>
      </c>
      <c r="D833" s="190" t="s">
        <v>169</v>
      </c>
      <c r="E833" s="199">
        <v>2.91</v>
      </c>
      <c r="F833" s="199">
        <v>0.3</v>
      </c>
      <c r="G833" s="199">
        <v>0.65</v>
      </c>
      <c r="H833" s="199"/>
      <c r="I833" s="199"/>
      <c r="J833" s="219"/>
      <c r="K833" s="217">
        <f t="shared" si="19"/>
        <v>0.56745000000000001</v>
      </c>
      <c r="L833" s="218"/>
    </row>
    <row r="834" spans="2:12">
      <c r="B834" s="197" t="s">
        <v>1630</v>
      </c>
      <c r="C834" s="189" t="s">
        <v>1611</v>
      </c>
      <c r="D834" s="190" t="s">
        <v>169</v>
      </c>
      <c r="E834" s="199">
        <v>12.35</v>
      </c>
      <c r="F834" s="199">
        <v>0.15</v>
      </c>
      <c r="G834" s="199">
        <v>0.7</v>
      </c>
      <c r="H834" s="199"/>
      <c r="I834" s="199"/>
      <c r="J834" s="219"/>
      <c r="K834" s="217">
        <f t="shared" si="19"/>
        <v>1.2967499999999998</v>
      </c>
      <c r="L834" s="218"/>
    </row>
    <row r="835" spans="2:12">
      <c r="B835" s="197" t="s">
        <v>1631</v>
      </c>
      <c r="C835" s="189" t="s">
        <v>1611</v>
      </c>
      <c r="D835" s="190" t="s">
        <v>169</v>
      </c>
      <c r="E835" s="199">
        <v>16.260000000000002</v>
      </c>
      <c r="F835" s="199">
        <v>0.15</v>
      </c>
      <c r="G835" s="199">
        <v>1</v>
      </c>
      <c r="H835" s="199"/>
      <c r="I835" s="199"/>
      <c r="J835" s="219"/>
      <c r="K835" s="217">
        <f t="shared" si="19"/>
        <v>2.4390000000000001</v>
      </c>
      <c r="L835" s="218"/>
    </row>
    <row r="836" spans="2:12">
      <c r="B836" s="197" t="s">
        <v>1632</v>
      </c>
      <c r="C836" s="189" t="s">
        <v>1611</v>
      </c>
      <c r="D836" s="190" t="s">
        <v>169</v>
      </c>
      <c r="E836" s="199">
        <v>9.77</v>
      </c>
      <c r="F836" s="199">
        <v>0.3</v>
      </c>
      <c r="G836" s="199">
        <v>0.6</v>
      </c>
      <c r="H836" s="199"/>
      <c r="I836" s="199"/>
      <c r="J836" s="219"/>
      <c r="K836" s="217">
        <f t="shared" si="19"/>
        <v>1.7585999999999997</v>
      </c>
      <c r="L836" s="218"/>
    </row>
    <row r="837" spans="2:12">
      <c r="B837" s="197" t="s">
        <v>1633</v>
      </c>
      <c r="C837" s="189" t="s">
        <v>1611</v>
      </c>
      <c r="D837" s="190" t="s">
        <v>169</v>
      </c>
      <c r="E837" s="199">
        <v>8.8000000000000007</v>
      </c>
      <c r="F837" s="199">
        <v>0.15</v>
      </c>
      <c r="G837" s="199">
        <v>0.8</v>
      </c>
      <c r="H837" s="199"/>
      <c r="I837" s="199"/>
      <c r="J837" s="219"/>
      <c r="K837" s="217">
        <f t="shared" si="19"/>
        <v>1.056</v>
      </c>
      <c r="L837" s="218"/>
    </row>
    <row r="838" spans="2:12">
      <c r="B838" s="197" t="s">
        <v>1634</v>
      </c>
      <c r="C838" s="189" t="s">
        <v>1611</v>
      </c>
      <c r="D838" s="190" t="s">
        <v>169</v>
      </c>
      <c r="E838" s="199">
        <v>3.82</v>
      </c>
      <c r="F838" s="199">
        <v>0.3</v>
      </c>
      <c r="G838" s="199">
        <v>0.6</v>
      </c>
      <c r="H838" s="199"/>
      <c r="I838" s="199"/>
      <c r="J838" s="219"/>
      <c r="K838" s="217">
        <f t="shared" si="19"/>
        <v>0.68759999999999988</v>
      </c>
      <c r="L838" s="218"/>
    </row>
    <row r="839" spans="2:12">
      <c r="B839" s="197" t="s">
        <v>1635</v>
      </c>
      <c r="C839" s="189" t="s">
        <v>1611</v>
      </c>
      <c r="D839" s="190" t="s">
        <v>169</v>
      </c>
      <c r="E839" s="199">
        <v>2.54</v>
      </c>
      <c r="F839" s="199">
        <v>0.15</v>
      </c>
      <c r="G839" s="199">
        <v>0.6</v>
      </c>
      <c r="H839" s="199"/>
      <c r="I839" s="199"/>
      <c r="J839" s="219"/>
      <c r="K839" s="217">
        <f t="shared" si="19"/>
        <v>0.2286</v>
      </c>
      <c r="L839" s="218"/>
    </row>
    <row r="840" spans="2:12">
      <c r="B840" s="197" t="s">
        <v>1636</v>
      </c>
      <c r="C840" s="189" t="s">
        <v>1611</v>
      </c>
      <c r="D840" s="190" t="s">
        <v>169</v>
      </c>
      <c r="E840" s="199">
        <v>9.4</v>
      </c>
      <c r="F840" s="199">
        <v>0.2</v>
      </c>
      <c r="G840" s="199">
        <v>0.6</v>
      </c>
      <c r="H840" s="199"/>
      <c r="I840" s="199"/>
      <c r="J840" s="219"/>
      <c r="K840" s="217">
        <f t="shared" si="19"/>
        <v>1.1280000000000001</v>
      </c>
      <c r="L840" s="218"/>
    </row>
    <row r="841" spans="2:12">
      <c r="B841" s="197" t="s">
        <v>1637</v>
      </c>
      <c r="C841" s="189" t="s">
        <v>1611</v>
      </c>
      <c r="D841" s="190" t="s">
        <v>169</v>
      </c>
      <c r="E841" s="199">
        <v>3.84</v>
      </c>
      <c r="F841" s="199">
        <v>0.2</v>
      </c>
      <c r="G841" s="199">
        <v>0.7</v>
      </c>
      <c r="H841" s="199"/>
      <c r="I841" s="199"/>
      <c r="J841" s="219"/>
      <c r="K841" s="217">
        <f t="shared" si="19"/>
        <v>0.53759999999999997</v>
      </c>
      <c r="L841" s="218"/>
    </row>
    <row r="842" spans="2:12">
      <c r="B842" s="197" t="s">
        <v>1638</v>
      </c>
      <c r="C842" s="189" t="s">
        <v>1611</v>
      </c>
      <c r="D842" s="190" t="s">
        <v>169</v>
      </c>
      <c r="E842" s="199">
        <v>2.84</v>
      </c>
      <c r="F842" s="199">
        <v>0.2</v>
      </c>
      <c r="G842" s="199">
        <v>0.6</v>
      </c>
      <c r="H842" s="199"/>
      <c r="I842" s="199"/>
      <c r="J842" s="219"/>
      <c r="K842" s="217">
        <f t="shared" si="19"/>
        <v>0.34079999999999994</v>
      </c>
      <c r="L842" s="218"/>
    </row>
    <row r="843" spans="2:12">
      <c r="B843" s="197" t="s">
        <v>1639</v>
      </c>
      <c r="C843" s="189" t="s">
        <v>1611</v>
      </c>
      <c r="D843" s="190" t="s">
        <v>169</v>
      </c>
      <c r="E843" s="199">
        <v>9.4700000000000006</v>
      </c>
      <c r="F843" s="199">
        <v>0.15</v>
      </c>
      <c r="G843" s="199">
        <v>1</v>
      </c>
      <c r="H843" s="199"/>
      <c r="I843" s="199"/>
      <c r="J843" s="219"/>
      <c r="K843" s="217">
        <f t="shared" si="19"/>
        <v>1.4205000000000001</v>
      </c>
      <c r="L843" s="218"/>
    </row>
    <row r="844" spans="2:12">
      <c r="B844" s="197" t="s">
        <v>1640</v>
      </c>
      <c r="C844" s="189" t="s">
        <v>1611</v>
      </c>
      <c r="D844" s="190" t="s">
        <v>169</v>
      </c>
      <c r="E844" s="199">
        <v>21.33</v>
      </c>
      <c r="F844" s="199">
        <v>0.15</v>
      </c>
      <c r="G844" s="199">
        <v>1</v>
      </c>
      <c r="H844" s="199"/>
      <c r="I844" s="199"/>
      <c r="J844" s="219"/>
      <c r="K844" s="217">
        <f t="shared" si="19"/>
        <v>3.1994999999999996</v>
      </c>
      <c r="L844" s="218"/>
    </row>
    <row r="845" spans="2:12">
      <c r="B845" s="197" t="s">
        <v>1641</v>
      </c>
      <c r="C845" s="189" t="s">
        <v>1611</v>
      </c>
      <c r="D845" s="190" t="s">
        <v>169</v>
      </c>
      <c r="E845" s="199">
        <v>4.58</v>
      </c>
      <c r="F845" s="199">
        <v>0.2</v>
      </c>
      <c r="G845" s="199">
        <v>0.6</v>
      </c>
      <c r="H845" s="199"/>
      <c r="I845" s="199"/>
      <c r="J845" s="219"/>
      <c r="K845" s="217">
        <f t="shared" si="19"/>
        <v>0.54959999999999998</v>
      </c>
      <c r="L845" s="218"/>
    </row>
    <row r="846" spans="2:12">
      <c r="B846" s="197" t="s">
        <v>1648</v>
      </c>
      <c r="C846" s="189" t="s">
        <v>1612</v>
      </c>
      <c r="D846" s="190" t="s">
        <v>169</v>
      </c>
      <c r="E846" s="199">
        <v>21.7</v>
      </c>
      <c r="F846" s="199">
        <v>0.15</v>
      </c>
      <c r="G846" s="199">
        <v>1</v>
      </c>
      <c r="H846" s="199"/>
      <c r="I846" s="199"/>
      <c r="J846" s="219"/>
      <c r="K846" s="217">
        <f t="shared" si="19"/>
        <v>3.2549999999999999</v>
      </c>
      <c r="L846" s="218"/>
    </row>
    <row r="847" spans="2:12">
      <c r="B847" s="197" t="s">
        <v>1649</v>
      </c>
      <c r="C847" s="189" t="s">
        <v>1612</v>
      </c>
      <c r="D847" s="190" t="s">
        <v>169</v>
      </c>
      <c r="E847" s="199">
        <v>21.4</v>
      </c>
      <c r="F847" s="199">
        <v>0.2</v>
      </c>
      <c r="G847" s="199">
        <v>0.6</v>
      </c>
      <c r="H847" s="199"/>
      <c r="I847" s="199"/>
      <c r="J847" s="219"/>
      <c r="K847" s="217">
        <f t="shared" si="19"/>
        <v>2.5680000000000001</v>
      </c>
      <c r="L847" s="218"/>
    </row>
    <row r="848" spans="2:12">
      <c r="B848" s="197" t="s">
        <v>1650</v>
      </c>
      <c r="C848" s="189" t="s">
        <v>1612</v>
      </c>
      <c r="D848" s="190" t="s">
        <v>169</v>
      </c>
      <c r="E848" s="199">
        <v>21.4</v>
      </c>
      <c r="F848" s="199">
        <v>0.2</v>
      </c>
      <c r="G848" s="199">
        <v>0.6</v>
      </c>
      <c r="H848" s="199"/>
      <c r="I848" s="199"/>
      <c r="J848" s="219"/>
      <c r="K848" s="217">
        <f t="shared" si="19"/>
        <v>2.5680000000000001</v>
      </c>
      <c r="L848" s="218"/>
    </row>
    <row r="849" spans="2:12">
      <c r="B849" s="197" t="s">
        <v>1651</v>
      </c>
      <c r="C849" s="189" t="s">
        <v>1612</v>
      </c>
      <c r="D849" s="190" t="s">
        <v>169</v>
      </c>
      <c r="E849" s="199">
        <v>21.4</v>
      </c>
      <c r="F849" s="199">
        <v>0.2</v>
      </c>
      <c r="G849" s="199">
        <v>0.6</v>
      </c>
      <c r="H849" s="199"/>
      <c r="I849" s="199"/>
      <c r="J849" s="219"/>
      <c r="K849" s="217">
        <f t="shared" si="19"/>
        <v>2.5680000000000001</v>
      </c>
      <c r="L849" s="218"/>
    </row>
    <row r="850" spans="2:12">
      <c r="B850" s="197" t="s">
        <v>1652</v>
      </c>
      <c r="C850" s="189" t="s">
        <v>1612</v>
      </c>
      <c r="D850" s="190" t="s">
        <v>169</v>
      </c>
      <c r="E850" s="199">
        <v>3.45</v>
      </c>
      <c r="F850" s="199">
        <v>0.2</v>
      </c>
      <c r="G850" s="199">
        <v>0.6</v>
      </c>
      <c r="H850" s="199"/>
      <c r="I850" s="199"/>
      <c r="J850" s="219"/>
      <c r="K850" s="217">
        <f t="shared" si="19"/>
        <v>0.41400000000000003</v>
      </c>
      <c r="L850" s="218"/>
    </row>
    <row r="851" spans="2:12">
      <c r="B851" s="197" t="s">
        <v>1653</v>
      </c>
      <c r="C851" s="189" t="s">
        <v>1612</v>
      </c>
      <c r="D851" s="190" t="s">
        <v>169</v>
      </c>
      <c r="E851" s="199">
        <v>26.12</v>
      </c>
      <c r="F851" s="199">
        <v>0.2</v>
      </c>
      <c r="G851" s="199">
        <v>0.6</v>
      </c>
      <c r="H851" s="199"/>
      <c r="I851" s="199"/>
      <c r="J851" s="219"/>
      <c r="K851" s="217">
        <f t="shared" si="19"/>
        <v>3.1343999999999999</v>
      </c>
      <c r="L851" s="218"/>
    </row>
    <row r="852" spans="2:12">
      <c r="B852" s="197" t="s">
        <v>1654</v>
      </c>
      <c r="C852" s="189" t="s">
        <v>1612</v>
      </c>
      <c r="D852" s="190" t="s">
        <v>169</v>
      </c>
      <c r="E852" s="199">
        <v>24.11</v>
      </c>
      <c r="F852" s="199">
        <v>0.15</v>
      </c>
      <c r="G852" s="199">
        <v>1</v>
      </c>
      <c r="H852" s="199"/>
      <c r="I852" s="199"/>
      <c r="J852" s="219"/>
      <c r="K852" s="217">
        <f t="shared" si="19"/>
        <v>3.6164999999999998</v>
      </c>
      <c r="L852" s="218"/>
    </row>
    <row r="853" spans="2:12">
      <c r="B853" s="197" t="s">
        <v>1655</v>
      </c>
      <c r="C853" s="189" t="s">
        <v>1612</v>
      </c>
      <c r="D853" s="190" t="s">
        <v>169</v>
      </c>
      <c r="E853" s="199">
        <v>24.09</v>
      </c>
      <c r="F853" s="199">
        <v>0.15</v>
      </c>
      <c r="G853" s="199">
        <v>1</v>
      </c>
      <c r="H853" s="199"/>
      <c r="I853" s="199"/>
      <c r="J853" s="219"/>
      <c r="K853" s="217">
        <f t="shared" si="19"/>
        <v>3.6134999999999997</v>
      </c>
      <c r="L853" s="218"/>
    </row>
    <row r="854" spans="2:12">
      <c r="B854" s="197" t="s">
        <v>1656</v>
      </c>
      <c r="C854" s="189" t="s">
        <v>1612</v>
      </c>
      <c r="D854" s="190" t="s">
        <v>169</v>
      </c>
      <c r="E854" s="199">
        <v>7.87</v>
      </c>
      <c r="F854" s="199">
        <v>0.15</v>
      </c>
      <c r="G854" s="199">
        <v>0.6</v>
      </c>
      <c r="H854" s="199"/>
      <c r="I854" s="199"/>
      <c r="J854" s="219"/>
      <c r="K854" s="217">
        <f t="shared" si="19"/>
        <v>0.70829999999999993</v>
      </c>
      <c r="L854" s="218"/>
    </row>
    <row r="855" spans="2:12">
      <c r="B855" s="197" t="s">
        <v>1657</v>
      </c>
      <c r="C855" s="189" t="s">
        <v>1612</v>
      </c>
      <c r="D855" s="190" t="s">
        <v>169</v>
      </c>
      <c r="E855" s="199">
        <v>7.77</v>
      </c>
      <c r="F855" s="199">
        <v>0.2</v>
      </c>
      <c r="G855" s="199">
        <v>0.6</v>
      </c>
      <c r="H855" s="199"/>
      <c r="I855" s="199"/>
      <c r="J855" s="219"/>
      <c r="K855" s="217">
        <f t="shared" si="19"/>
        <v>0.93240000000000001</v>
      </c>
      <c r="L855" s="218"/>
    </row>
    <row r="856" spans="2:12">
      <c r="B856" s="197" t="s">
        <v>1658</v>
      </c>
      <c r="C856" s="189" t="s">
        <v>1612</v>
      </c>
      <c r="D856" s="190" t="s">
        <v>169</v>
      </c>
      <c r="E856" s="199">
        <v>28.53</v>
      </c>
      <c r="F856" s="199">
        <v>0.2</v>
      </c>
      <c r="G856" s="199">
        <v>0.6</v>
      </c>
      <c r="H856" s="199"/>
      <c r="I856" s="199"/>
      <c r="J856" s="219"/>
      <c r="K856" s="217">
        <f t="shared" si="19"/>
        <v>3.4236</v>
      </c>
      <c r="L856" s="218"/>
    </row>
    <row r="857" spans="2:12">
      <c r="B857" s="197" t="s">
        <v>1659</v>
      </c>
      <c r="C857" s="189" t="s">
        <v>1612</v>
      </c>
      <c r="D857" s="190" t="s">
        <v>169</v>
      </c>
      <c r="E857" s="199">
        <v>2.2000000000000002</v>
      </c>
      <c r="F857" s="199">
        <v>0.15</v>
      </c>
      <c r="G857" s="199">
        <v>0.6</v>
      </c>
      <c r="H857" s="199"/>
      <c r="I857" s="199"/>
      <c r="J857" s="219"/>
      <c r="K857" s="217">
        <f t="shared" si="19"/>
        <v>0.19800000000000001</v>
      </c>
      <c r="L857" s="218"/>
    </row>
    <row r="858" spans="2:12">
      <c r="B858" s="197" t="s">
        <v>1660</v>
      </c>
      <c r="C858" s="189" t="s">
        <v>1612</v>
      </c>
      <c r="D858" s="190" t="s">
        <v>169</v>
      </c>
      <c r="E858" s="199">
        <v>4.2699999999999996</v>
      </c>
      <c r="F858" s="199">
        <v>0.15</v>
      </c>
      <c r="G858" s="199">
        <v>0.6</v>
      </c>
      <c r="H858" s="199"/>
      <c r="I858" s="199"/>
      <c r="J858" s="219"/>
      <c r="K858" s="217">
        <f t="shared" si="19"/>
        <v>0.38429999999999997</v>
      </c>
      <c r="L858" s="218"/>
    </row>
    <row r="859" spans="2:12">
      <c r="B859" s="197" t="s">
        <v>1661</v>
      </c>
      <c r="C859" s="189" t="s">
        <v>1612</v>
      </c>
      <c r="D859" s="190" t="s">
        <v>169</v>
      </c>
      <c r="E859" s="199">
        <v>2.12</v>
      </c>
      <c r="F859" s="199">
        <v>0.15</v>
      </c>
      <c r="G859" s="199">
        <v>1</v>
      </c>
      <c r="H859" s="199"/>
      <c r="I859" s="199"/>
      <c r="J859" s="219"/>
      <c r="K859" s="217">
        <f t="shared" si="19"/>
        <v>0.318</v>
      </c>
      <c r="L859" s="218"/>
    </row>
    <row r="860" spans="2:12">
      <c r="B860" s="197" t="s">
        <v>1662</v>
      </c>
      <c r="C860" s="189" t="s">
        <v>1612</v>
      </c>
      <c r="D860" s="190" t="s">
        <v>169</v>
      </c>
      <c r="E860" s="199">
        <v>0.84</v>
      </c>
      <c r="F860" s="199">
        <v>0.25</v>
      </c>
      <c r="G860" s="199">
        <v>1</v>
      </c>
      <c r="H860" s="199"/>
      <c r="I860" s="199"/>
      <c r="J860" s="219"/>
      <c r="K860" s="217">
        <f t="shared" si="19"/>
        <v>0.21</v>
      </c>
      <c r="L860" s="218"/>
    </row>
    <row r="861" spans="2:12">
      <c r="B861" s="197" t="s">
        <v>1662</v>
      </c>
      <c r="C861" s="189" t="s">
        <v>1612</v>
      </c>
      <c r="D861" s="190" t="s">
        <v>169</v>
      </c>
      <c r="E861" s="199">
        <v>20.5</v>
      </c>
      <c r="F861" s="199">
        <v>0.25</v>
      </c>
      <c r="G861" s="199">
        <v>0.7</v>
      </c>
      <c r="H861" s="199"/>
      <c r="I861" s="199"/>
      <c r="J861" s="219"/>
      <c r="K861" s="217">
        <f t="shared" si="19"/>
        <v>3.5874999999999999</v>
      </c>
      <c r="L861" s="218"/>
    </row>
    <row r="862" spans="2:12">
      <c r="B862" s="197" t="s">
        <v>1662</v>
      </c>
      <c r="C862" s="189" t="s">
        <v>1612</v>
      </c>
      <c r="D862" s="190" t="s">
        <v>169</v>
      </c>
      <c r="E862" s="199">
        <v>4.0199999999999996</v>
      </c>
      <c r="F862" s="199">
        <v>0.25</v>
      </c>
      <c r="G862" s="199">
        <v>1</v>
      </c>
      <c r="H862" s="199"/>
      <c r="I862" s="199"/>
      <c r="J862" s="219"/>
      <c r="K862" s="217">
        <f t="shared" si="19"/>
        <v>1.0049999999999999</v>
      </c>
      <c r="L862" s="218"/>
    </row>
    <row r="863" spans="2:12">
      <c r="B863" s="197" t="s">
        <v>1663</v>
      </c>
      <c r="C863" s="189" t="s">
        <v>1612</v>
      </c>
      <c r="D863" s="190" t="s">
        <v>169</v>
      </c>
      <c r="E863" s="199">
        <v>11.03</v>
      </c>
      <c r="F863" s="199">
        <v>0.15</v>
      </c>
      <c r="G863" s="199">
        <v>1</v>
      </c>
      <c r="H863" s="199"/>
      <c r="I863" s="199"/>
      <c r="J863" s="219"/>
      <c r="K863" s="217">
        <f t="shared" si="19"/>
        <v>1.6544999999999999</v>
      </c>
      <c r="L863" s="218"/>
    </row>
    <row r="864" spans="2:12">
      <c r="B864" s="197" t="s">
        <v>1664</v>
      </c>
      <c r="C864" s="189" t="s">
        <v>1612</v>
      </c>
      <c r="D864" s="190" t="s">
        <v>169</v>
      </c>
      <c r="E864" s="199">
        <v>15.92</v>
      </c>
      <c r="F864" s="199">
        <v>0.25</v>
      </c>
      <c r="G864" s="199">
        <v>0.8</v>
      </c>
      <c r="H864" s="199"/>
      <c r="I864" s="199"/>
      <c r="J864" s="219"/>
      <c r="K864" s="217">
        <f t="shared" si="19"/>
        <v>3.1840000000000002</v>
      </c>
      <c r="L864" s="218"/>
    </row>
    <row r="865" spans="2:12">
      <c r="B865" s="197" t="s">
        <v>1664</v>
      </c>
      <c r="C865" s="189" t="s">
        <v>1612</v>
      </c>
      <c r="D865" s="190" t="s">
        <v>169</v>
      </c>
      <c r="E865" s="199">
        <v>2.1</v>
      </c>
      <c r="F865" s="199">
        <v>0.25</v>
      </c>
      <c r="G865" s="199">
        <v>1</v>
      </c>
      <c r="H865" s="199"/>
      <c r="I865" s="199"/>
      <c r="J865" s="219"/>
      <c r="K865" s="217">
        <f t="shared" si="19"/>
        <v>0.52500000000000002</v>
      </c>
      <c r="L865" s="218"/>
    </row>
    <row r="866" spans="2:12">
      <c r="B866" s="197" t="s">
        <v>1665</v>
      </c>
      <c r="C866" s="189" t="s">
        <v>1612</v>
      </c>
      <c r="D866" s="190" t="s">
        <v>169</v>
      </c>
      <c r="E866" s="199">
        <v>4.74</v>
      </c>
      <c r="F866" s="199">
        <v>0.15</v>
      </c>
      <c r="G866" s="199">
        <v>0.6</v>
      </c>
      <c r="H866" s="199"/>
      <c r="I866" s="199"/>
      <c r="J866" s="219"/>
      <c r="K866" s="217">
        <f t="shared" si="19"/>
        <v>0.42659999999999998</v>
      </c>
      <c r="L866" s="218"/>
    </row>
    <row r="867" spans="2:12">
      <c r="B867" s="197" t="s">
        <v>1666</v>
      </c>
      <c r="C867" s="189" t="s">
        <v>1612</v>
      </c>
      <c r="D867" s="190" t="s">
        <v>169</v>
      </c>
      <c r="E867" s="199">
        <v>6.44</v>
      </c>
      <c r="F867" s="199">
        <v>0.3</v>
      </c>
      <c r="G867" s="199">
        <v>0.6</v>
      </c>
      <c r="H867" s="199"/>
      <c r="I867" s="199"/>
      <c r="J867" s="219"/>
      <c r="K867" s="217">
        <f t="shared" si="19"/>
        <v>1.1592</v>
      </c>
      <c r="L867" s="218"/>
    </row>
    <row r="868" spans="2:12">
      <c r="B868" s="197" t="s">
        <v>1666</v>
      </c>
      <c r="C868" s="189" t="s">
        <v>1612</v>
      </c>
      <c r="D868" s="190" t="s">
        <v>169</v>
      </c>
      <c r="E868" s="199">
        <v>3.53</v>
      </c>
      <c r="F868" s="199">
        <v>0.3</v>
      </c>
      <c r="G868" s="199">
        <v>1</v>
      </c>
      <c r="H868" s="199"/>
      <c r="I868" s="199"/>
      <c r="J868" s="219"/>
      <c r="K868" s="217">
        <f t="shared" si="19"/>
        <v>1.0589999999999999</v>
      </c>
      <c r="L868" s="218"/>
    </row>
    <row r="869" spans="2:12">
      <c r="B869" s="197" t="s">
        <v>1667</v>
      </c>
      <c r="C869" s="189" t="s">
        <v>1612</v>
      </c>
      <c r="D869" s="190" t="s">
        <v>169</v>
      </c>
      <c r="E869" s="199">
        <v>1.06</v>
      </c>
      <c r="F869" s="199">
        <v>0.15</v>
      </c>
      <c r="G869" s="199">
        <v>1</v>
      </c>
      <c r="H869" s="199"/>
      <c r="I869" s="199"/>
      <c r="J869" s="219"/>
      <c r="K869" s="217">
        <f t="shared" si="19"/>
        <v>0.159</v>
      </c>
      <c r="L869" s="218"/>
    </row>
    <row r="870" spans="2:12">
      <c r="B870" s="197" t="s">
        <v>1668</v>
      </c>
      <c r="C870" s="189" t="s">
        <v>1612</v>
      </c>
      <c r="D870" s="190" t="s">
        <v>169</v>
      </c>
      <c r="E870" s="199">
        <v>14.42</v>
      </c>
      <c r="F870" s="199">
        <v>0.15</v>
      </c>
      <c r="G870" s="199">
        <v>1</v>
      </c>
      <c r="H870" s="199"/>
      <c r="I870" s="199"/>
      <c r="J870" s="219"/>
      <c r="K870" s="217">
        <f t="shared" si="19"/>
        <v>2.1629999999999998</v>
      </c>
      <c r="L870" s="218"/>
    </row>
    <row r="871" spans="2:12">
      <c r="B871" s="197" t="s">
        <v>1669</v>
      </c>
      <c r="C871" s="189" t="s">
        <v>1612</v>
      </c>
      <c r="D871" s="190" t="s">
        <v>169</v>
      </c>
      <c r="E871" s="199">
        <v>7.31</v>
      </c>
      <c r="F871" s="199">
        <v>0.15</v>
      </c>
      <c r="G871" s="199">
        <v>1</v>
      </c>
      <c r="H871" s="199"/>
      <c r="I871" s="199"/>
      <c r="J871" s="219"/>
      <c r="K871" s="217">
        <f t="shared" si="19"/>
        <v>1.0964999999999998</v>
      </c>
      <c r="L871" s="218"/>
    </row>
    <row r="872" spans="2:12">
      <c r="B872" s="197" t="s">
        <v>1670</v>
      </c>
      <c r="C872" s="189" t="s">
        <v>1612</v>
      </c>
      <c r="D872" s="190" t="s">
        <v>169</v>
      </c>
      <c r="E872" s="199">
        <v>10.97</v>
      </c>
      <c r="F872" s="199">
        <v>0.4</v>
      </c>
      <c r="G872" s="199">
        <v>0.6</v>
      </c>
      <c r="H872" s="199"/>
      <c r="I872" s="199"/>
      <c r="J872" s="219"/>
      <c r="K872" s="217">
        <f t="shared" si="19"/>
        <v>2.6328000000000005</v>
      </c>
      <c r="L872" s="218"/>
    </row>
    <row r="873" spans="2:12">
      <c r="B873" s="197" t="s">
        <v>1671</v>
      </c>
      <c r="C873" s="189" t="s">
        <v>1612</v>
      </c>
      <c r="D873" s="190" t="s">
        <v>169</v>
      </c>
      <c r="E873" s="199">
        <v>7.65</v>
      </c>
      <c r="F873" s="199">
        <v>0.15</v>
      </c>
      <c r="G873" s="199">
        <v>1</v>
      </c>
      <c r="H873" s="199"/>
      <c r="I873" s="199"/>
      <c r="J873" s="219"/>
      <c r="K873" s="217">
        <f t="shared" si="19"/>
        <v>1.1475</v>
      </c>
      <c r="L873" s="218"/>
    </row>
    <row r="874" spans="2:12">
      <c r="B874" s="197" t="s">
        <v>1672</v>
      </c>
      <c r="C874" s="189" t="s">
        <v>1612</v>
      </c>
      <c r="D874" s="190" t="s">
        <v>169</v>
      </c>
      <c r="E874" s="199">
        <v>2.54</v>
      </c>
      <c r="F874" s="199">
        <v>0.15</v>
      </c>
      <c r="G874" s="199">
        <v>0.6</v>
      </c>
      <c r="H874" s="199"/>
      <c r="I874" s="199"/>
      <c r="J874" s="219"/>
      <c r="K874" s="217">
        <f t="shared" si="19"/>
        <v>0.2286</v>
      </c>
      <c r="L874" s="218"/>
    </row>
    <row r="875" spans="2:12">
      <c r="B875" s="197" t="s">
        <v>1544</v>
      </c>
      <c r="C875" s="189" t="s">
        <v>1612</v>
      </c>
      <c r="D875" s="190" t="s">
        <v>169</v>
      </c>
      <c r="E875" s="199">
        <v>9.35</v>
      </c>
      <c r="F875" s="199">
        <v>0.2</v>
      </c>
      <c r="G875" s="199">
        <v>0.7</v>
      </c>
      <c r="H875" s="199"/>
      <c r="I875" s="199"/>
      <c r="J875" s="219"/>
      <c r="K875" s="217">
        <f t="shared" si="19"/>
        <v>1.3089999999999999</v>
      </c>
      <c r="L875" s="218"/>
    </row>
    <row r="876" spans="2:12">
      <c r="B876" s="197" t="s">
        <v>1673</v>
      </c>
      <c r="C876" s="189" t="s">
        <v>1612</v>
      </c>
      <c r="D876" s="190" t="s">
        <v>169</v>
      </c>
      <c r="E876" s="199">
        <v>1.55</v>
      </c>
      <c r="F876" s="199">
        <v>0.15</v>
      </c>
      <c r="G876" s="199">
        <v>1</v>
      </c>
      <c r="H876" s="199"/>
      <c r="I876" s="199"/>
      <c r="J876" s="219"/>
      <c r="K876" s="217">
        <f t="shared" si="19"/>
        <v>0.23249999999999998</v>
      </c>
      <c r="L876" s="218"/>
    </row>
    <row r="877" spans="2:12">
      <c r="B877" s="197" t="s">
        <v>1674</v>
      </c>
      <c r="C877" s="189" t="s">
        <v>1612</v>
      </c>
      <c r="D877" s="190" t="s">
        <v>169</v>
      </c>
      <c r="E877" s="199">
        <v>1.24</v>
      </c>
      <c r="F877" s="199">
        <v>0.2</v>
      </c>
      <c r="G877" s="199">
        <v>0.6</v>
      </c>
      <c r="H877" s="199"/>
      <c r="I877" s="199"/>
      <c r="J877" s="219"/>
      <c r="K877" s="217">
        <f t="shared" si="19"/>
        <v>0.14879999999999999</v>
      </c>
      <c r="L877" s="218"/>
    </row>
    <row r="878" spans="2:12">
      <c r="B878" s="197" t="s">
        <v>1675</v>
      </c>
      <c r="C878" s="189" t="s">
        <v>1612</v>
      </c>
      <c r="D878" s="190" t="s">
        <v>169</v>
      </c>
      <c r="E878" s="199">
        <v>8.8000000000000007</v>
      </c>
      <c r="F878" s="199">
        <v>0.2</v>
      </c>
      <c r="G878" s="199">
        <v>0.7</v>
      </c>
      <c r="H878" s="199"/>
      <c r="I878" s="199"/>
      <c r="J878" s="219"/>
      <c r="K878" s="217">
        <f t="shared" si="19"/>
        <v>1.232</v>
      </c>
      <c r="L878" s="218"/>
    </row>
    <row r="879" spans="2:12">
      <c r="B879" s="197" t="s">
        <v>1676</v>
      </c>
      <c r="C879" s="189" t="s">
        <v>1612</v>
      </c>
      <c r="D879" s="190" t="s">
        <v>169</v>
      </c>
      <c r="E879" s="199">
        <v>4.7</v>
      </c>
      <c r="F879" s="199">
        <v>0.15</v>
      </c>
      <c r="G879" s="199">
        <v>1</v>
      </c>
      <c r="H879" s="199"/>
      <c r="I879" s="199"/>
      <c r="J879" s="219"/>
      <c r="K879" s="217">
        <f t="shared" si="19"/>
        <v>0.70499999999999996</v>
      </c>
      <c r="L879" s="218"/>
    </row>
    <row r="880" spans="2:12">
      <c r="B880" s="197" t="s">
        <v>1677</v>
      </c>
      <c r="C880" s="189" t="s">
        <v>1612</v>
      </c>
      <c r="D880" s="190" t="s">
        <v>169</v>
      </c>
      <c r="E880" s="199">
        <v>2.98</v>
      </c>
      <c r="F880" s="199">
        <v>0.15</v>
      </c>
      <c r="G880" s="199">
        <v>1</v>
      </c>
      <c r="H880" s="199"/>
      <c r="I880" s="199"/>
      <c r="J880" s="219"/>
      <c r="K880" s="217">
        <f t="shared" si="19"/>
        <v>0.44700000000000001</v>
      </c>
      <c r="L880" s="218"/>
    </row>
    <row r="881" spans="2:12">
      <c r="B881" s="197" t="s">
        <v>1678</v>
      </c>
      <c r="C881" s="189" t="s">
        <v>1612</v>
      </c>
      <c r="D881" s="190" t="s">
        <v>169</v>
      </c>
      <c r="E881" s="199">
        <v>1.24</v>
      </c>
      <c r="F881" s="199">
        <v>0.2</v>
      </c>
      <c r="G881" s="199">
        <v>0.6</v>
      </c>
      <c r="H881" s="199"/>
      <c r="I881" s="199"/>
      <c r="J881" s="219"/>
      <c r="K881" s="217">
        <f t="shared" si="19"/>
        <v>0.14879999999999999</v>
      </c>
      <c r="L881" s="218"/>
    </row>
    <row r="882" spans="2:12">
      <c r="B882" s="197" t="s">
        <v>1679</v>
      </c>
      <c r="C882" s="189" t="s">
        <v>1612</v>
      </c>
      <c r="D882" s="190" t="s">
        <v>169</v>
      </c>
      <c r="E882" s="199">
        <v>1.94</v>
      </c>
      <c r="F882" s="199">
        <v>0.2</v>
      </c>
      <c r="G882" s="199">
        <v>1</v>
      </c>
      <c r="H882" s="199"/>
      <c r="I882" s="199"/>
      <c r="J882" s="219"/>
      <c r="K882" s="217">
        <f t="shared" si="19"/>
        <v>0.38800000000000001</v>
      </c>
      <c r="L882" s="218"/>
    </row>
    <row r="883" spans="2:12">
      <c r="B883" s="197" t="s">
        <v>1680</v>
      </c>
      <c r="C883" s="189" t="s">
        <v>1612</v>
      </c>
      <c r="D883" s="190" t="s">
        <v>169</v>
      </c>
      <c r="E883" s="199">
        <v>6.31</v>
      </c>
      <c r="F883" s="199">
        <v>0.15</v>
      </c>
      <c r="G883" s="199">
        <v>1</v>
      </c>
      <c r="H883" s="199"/>
      <c r="I883" s="199"/>
      <c r="J883" s="219"/>
      <c r="K883" s="217">
        <f t="shared" si="19"/>
        <v>0.9464999999999999</v>
      </c>
      <c r="L883" s="218"/>
    </row>
    <row r="884" spans="2:12">
      <c r="B884" s="197" t="s">
        <v>1648</v>
      </c>
      <c r="C884" s="189" t="s">
        <v>1613</v>
      </c>
      <c r="D884" s="190" t="s">
        <v>169</v>
      </c>
      <c r="E884" s="199">
        <v>21.7</v>
      </c>
      <c r="F884" s="199">
        <v>0.15</v>
      </c>
      <c r="G884" s="199">
        <v>1</v>
      </c>
      <c r="H884" s="199"/>
      <c r="I884" s="199"/>
      <c r="J884" s="219"/>
      <c r="K884" s="217">
        <f t="shared" si="19"/>
        <v>3.2549999999999999</v>
      </c>
      <c r="L884" s="218"/>
    </row>
    <row r="885" spans="2:12">
      <c r="B885" s="197" t="s">
        <v>1649</v>
      </c>
      <c r="C885" s="189" t="s">
        <v>1613</v>
      </c>
      <c r="D885" s="190" t="s">
        <v>169</v>
      </c>
      <c r="E885" s="199">
        <v>21.4</v>
      </c>
      <c r="F885" s="199">
        <v>0.2</v>
      </c>
      <c r="G885" s="199">
        <v>0.6</v>
      </c>
      <c r="H885" s="199"/>
      <c r="I885" s="199"/>
      <c r="J885" s="219"/>
      <c r="K885" s="217">
        <f t="shared" si="19"/>
        <v>2.5680000000000001</v>
      </c>
      <c r="L885" s="218"/>
    </row>
    <row r="886" spans="2:12">
      <c r="B886" s="197" t="s">
        <v>1650</v>
      </c>
      <c r="C886" s="189" t="s">
        <v>1613</v>
      </c>
      <c r="D886" s="190" t="s">
        <v>169</v>
      </c>
      <c r="E886" s="199">
        <v>21.4</v>
      </c>
      <c r="F886" s="199">
        <v>0.2</v>
      </c>
      <c r="G886" s="199">
        <v>0.6</v>
      </c>
      <c r="H886" s="199"/>
      <c r="I886" s="199"/>
      <c r="J886" s="219"/>
      <c r="K886" s="217">
        <f t="shared" si="19"/>
        <v>2.5680000000000001</v>
      </c>
      <c r="L886" s="218"/>
    </row>
    <row r="887" spans="2:12">
      <c r="B887" s="197" t="s">
        <v>1651</v>
      </c>
      <c r="C887" s="189" t="s">
        <v>1613</v>
      </c>
      <c r="D887" s="190" t="s">
        <v>169</v>
      </c>
      <c r="E887" s="199">
        <v>21.4</v>
      </c>
      <c r="F887" s="199">
        <v>0.2</v>
      </c>
      <c r="G887" s="199">
        <v>0.6</v>
      </c>
      <c r="H887" s="199"/>
      <c r="I887" s="199"/>
      <c r="J887" s="219"/>
      <c r="K887" s="217">
        <f t="shared" si="19"/>
        <v>2.5680000000000001</v>
      </c>
      <c r="L887" s="218"/>
    </row>
    <row r="888" spans="2:12">
      <c r="B888" s="197" t="s">
        <v>1652</v>
      </c>
      <c r="C888" s="189" t="s">
        <v>1613</v>
      </c>
      <c r="D888" s="190" t="s">
        <v>169</v>
      </c>
      <c r="E888" s="199">
        <v>3.45</v>
      </c>
      <c r="F888" s="199">
        <v>0.2</v>
      </c>
      <c r="G888" s="199">
        <v>0.6</v>
      </c>
      <c r="H888" s="199"/>
      <c r="I888" s="199"/>
      <c r="J888" s="219"/>
      <c r="K888" s="217">
        <f t="shared" ref="K888:K951" si="20">IF(E888*F888*G888&lt;&gt;0,E888*F888*G888,IF(E888*F888&lt;&gt;0,E888*F888,IF(F888*G888&lt;&gt;0,F888*G888,IF(E888*G888&lt;&gt;0,E888*G888,IF(E888&lt;&gt;0,E888,IF(F888&lt;&gt;0,F888,IF(G888&lt;&gt;0,G888,0)))))))*(IF(H888&lt;&gt;0,H888,1))+I888-J888</f>
        <v>0.41400000000000003</v>
      </c>
      <c r="L888" s="218"/>
    </row>
    <row r="889" spans="2:12">
      <c r="B889" s="197" t="s">
        <v>1653</v>
      </c>
      <c r="C889" s="189" t="s">
        <v>1613</v>
      </c>
      <c r="D889" s="190" t="s">
        <v>169</v>
      </c>
      <c r="E889" s="199">
        <v>26.12</v>
      </c>
      <c r="F889" s="199">
        <v>0.2</v>
      </c>
      <c r="G889" s="199">
        <v>0.6</v>
      </c>
      <c r="H889" s="199"/>
      <c r="I889" s="199"/>
      <c r="J889" s="219"/>
      <c r="K889" s="217">
        <f t="shared" si="20"/>
        <v>3.1343999999999999</v>
      </c>
      <c r="L889" s="218"/>
    </row>
    <row r="890" spans="2:12">
      <c r="B890" s="197" t="s">
        <v>1654</v>
      </c>
      <c r="C890" s="189" t="s">
        <v>1613</v>
      </c>
      <c r="D890" s="190" t="s">
        <v>169</v>
      </c>
      <c r="E890" s="199">
        <v>24.11</v>
      </c>
      <c r="F890" s="199">
        <v>0.15</v>
      </c>
      <c r="G890" s="199">
        <v>1</v>
      </c>
      <c r="H890" s="199"/>
      <c r="I890" s="199"/>
      <c r="J890" s="219"/>
      <c r="K890" s="217">
        <f t="shared" si="20"/>
        <v>3.6164999999999998</v>
      </c>
      <c r="L890" s="218"/>
    </row>
    <row r="891" spans="2:12">
      <c r="B891" s="197" t="s">
        <v>1655</v>
      </c>
      <c r="C891" s="189" t="s">
        <v>1613</v>
      </c>
      <c r="D891" s="190" t="s">
        <v>169</v>
      </c>
      <c r="E891" s="199">
        <v>24.09</v>
      </c>
      <c r="F891" s="199">
        <v>0.15</v>
      </c>
      <c r="G891" s="199">
        <v>1</v>
      </c>
      <c r="H891" s="199"/>
      <c r="I891" s="199"/>
      <c r="J891" s="219"/>
      <c r="K891" s="217">
        <f t="shared" si="20"/>
        <v>3.6134999999999997</v>
      </c>
      <c r="L891" s="218"/>
    </row>
    <row r="892" spans="2:12">
      <c r="B892" s="197" t="s">
        <v>1656</v>
      </c>
      <c r="C892" s="189" t="s">
        <v>1613</v>
      </c>
      <c r="D892" s="190" t="s">
        <v>169</v>
      </c>
      <c r="E892" s="199">
        <v>7.87</v>
      </c>
      <c r="F892" s="199">
        <v>0.15</v>
      </c>
      <c r="G892" s="199">
        <v>0.6</v>
      </c>
      <c r="H892" s="199"/>
      <c r="I892" s="199"/>
      <c r="J892" s="219"/>
      <c r="K892" s="217">
        <f t="shared" si="20"/>
        <v>0.70829999999999993</v>
      </c>
      <c r="L892" s="218"/>
    </row>
    <row r="893" spans="2:12">
      <c r="B893" s="197" t="s">
        <v>1657</v>
      </c>
      <c r="C893" s="189" t="s">
        <v>1613</v>
      </c>
      <c r="D893" s="190" t="s">
        <v>169</v>
      </c>
      <c r="E893" s="199">
        <v>7.77</v>
      </c>
      <c r="F893" s="199">
        <v>0.2</v>
      </c>
      <c r="G893" s="199">
        <v>0.6</v>
      </c>
      <c r="H893" s="199"/>
      <c r="I893" s="199"/>
      <c r="J893" s="219"/>
      <c r="K893" s="217">
        <f t="shared" si="20"/>
        <v>0.93240000000000001</v>
      </c>
      <c r="L893" s="218"/>
    </row>
    <row r="894" spans="2:12">
      <c r="B894" s="197" t="s">
        <v>1898</v>
      </c>
      <c r="C894" s="189" t="s">
        <v>1895</v>
      </c>
      <c r="D894" s="190" t="s">
        <v>169</v>
      </c>
      <c r="E894" s="199">
        <v>25.82</v>
      </c>
      <c r="F894" s="199">
        <v>0.2</v>
      </c>
      <c r="G894" s="199">
        <v>0.6</v>
      </c>
      <c r="H894" s="199">
        <v>1</v>
      </c>
      <c r="I894" s="199"/>
      <c r="J894" s="219"/>
      <c r="K894" s="217">
        <f t="shared" si="20"/>
        <v>3.0984000000000003</v>
      </c>
      <c r="L894" s="218"/>
    </row>
    <row r="895" spans="2:12">
      <c r="B895" s="197" t="s">
        <v>1899</v>
      </c>
      <c r="C895" s="189" t="s">
        <v>1895</v>
      </c>
      <c r="D895" s="190" t="s">
        <v>169</v>
      </c>
      <c r="E895" s="199">
        <v>2.2000000000000002</v>
      </c>
      <c r="F895" s="199">
        <v>0.15</v>
      </c>
      <c r="G895" s="199">
        <v>0.6</v>
      </c>
      <c r="H895" s="199">
        <v>1</v>
      </c>
      <c r="I895" s="199"/>
      <c r="J895" s="219"/>
      <c r="K895" s="217">
        <f t="shared" si="20"/>
        <v>0.19800000000000001</v>
      </c>
      <c r="L895" s="218"/>
    </row>
    <row r="896" spans="2:12">
      <c r="B896" s="197" t="s">
        <v>1900</v>
      </c>
      <c r="C896" s="189" t="s">
        <v>1895</v>
      </c>
      <c r="D896" s="190" t="s">
        <v>169</v>
      </c>
      <c r="E896" s="199">
        <v>2.2000000000000002</v>
      </c>
      <c r="F896" s="199">
        <v>0.15</v>
      </c>
      <c r="G896" s="199">
        <v>1</v>
      </c>
      <c r="H896" s="199">
        <v>1</v>
      </c>
      <c r="I896" s="199"/>
      <c r="J896" s="219"/>
      <c r="K896" s="217">
        <f t="shared" si="20"/>
        <v>0.33</v>
      </c>
      <c r="L896" s="218"/>
    </row>
    <row r="897" spans="2:12">
      <c r="B897" s="197" t="s">
        <v>1901</v>
      </c>
      <c r="C897" s="189" t="s">
        <v>1895</v>
      </c>
      <c r="D897" s="190" t="s">
        <v>169</v>
      </c>
      <c r="E897" s="199">
        <v>20.5</v>
      </c>
      <c r="F897" s="199">
        <v>0.25</v>
      </c>
      <c r="G897" s="199">
        <v>0.7</v>
      </c>
      <c r="H897" s="199">
        <v>1</v>
      </c>
      <c r="I897" s="199"/>
      <c r="J897" s="219"/>
      <c r="K897" s="217">
        <f t="shared" si="20"/>
        <v>3.5874999999999999</v>
      </c>
      <c r="L897" s="218"/>
    </row>
    <row r="898" spans="2:12">
      <c r="B898" s="197" t="s">
        <v>1901</v>
      </c>
      <c r="C898" s="189" t="s">
        <v>1895</v>
      </c>
      <c r="D898" s="190" t="s">
        <v>169</v>
      </c>
      <c r="E898" s="199">
        <v>4.0199999999999996</v>
      </c>
      <c r="F898" s="199">
        <v>0.25</v>
      </c>
      <c r="G898" s="199">
        <v>1</v>
      </c>
      <c r="H898" s="199">
        <v>1</v>
      </c>
      <c r="I898" s="199"/>
      <c r="J898" s="219"/>
      <c r="K898" s="217">
        <f t="shared" si="20"/>
        <v>1.0049999999999999</v>
      </c>
      <c r="L898" s="218"/>
    </row>
    <row r="899" spans="2:12">
      <c r="B899" s="197" t="s">
        <v>1902</v>
      </c>
      <c r="C899" s="189" t="s">
        <v>1895</v>
      </c>
      <c r="D899" s="190" t="s">
        <v>169</v>
      </c>
      <c r="E899" s="199">
        <v>11.03</v>
      </c>
      <c r="F899" s="199">
        <v>0.15</v>
      </c>
      <c r="G899" s="199">
        <v>1</v>
      </c>
      <c r="H899" s="199">
        <v>1</v>
      </c>
      <c r="I899" s="199"/>
      <c r="J899" s="219"/>
      <c r="K899" s="217">
        <f t="shared" si="20"/>
        <v>1.6544999999999999</v>
      </c>
      <c r="L899" s="218"/>
    </row>
    <row r="900" spans="2:12">
      <c r="B900" s="197" t="s">
        <v>1903</v>
      </c>
      <c r="C900" s="189" t="s">
        <v>1895</v>
      </c>
      <c r="D900" s="190" t="s">
        <v>169</v>
      </c>
      <c r="E900" s="199">
        <v>14.73</v>
      </c>
      <c r="F900" s="199">
        <v>0.25</v>
      </c>
      <c r="G900" s="199">
        <v>0.6</v>
      </c>
      <c r="H900" s="199">
        <v>1</v>
      </c>
      <c r="I900" s="199"/>
      <c r="J900" s="219"/>
      <c r="K900" s="217">
        <f t="shared" si="20"/>
        <v>2.2094999999999998</v>
      </c>
      <c r="L900" s="218"/>
    </row>
    <row r="901" spans="2:12">
      <c r="B901" s="197" t="s">
        <v>1904</v>
      </c>
      <c r="C901" s="189" t="s">
        <v>1895</v>
      </c>
      <c r="D901" s="190" t="s">
        <v>169</v>
      </c>
      <c r="E901" s="199">
        <v>4.74</v>
      </c>
      <c r="F901" s="199">
        <v>0.15</v>
      </c>
      <c r="G901" s="199">
        <v>0.6</v>
      </c>
      <c r="H901" s="199">
        <v>1</v>
      </c>
      <c r="I901" s="199"/>
      <c r="J901" s="219"/>
      <c r="K901" s="217">
        <f t="shared" si="20"/>
        <v>0.42659999999999998</v>
      </c>
      <c r="L901" s="218"/>
    </row>
    <row r="902" spans="2:12">
      <c r="B902" s="197" t="s">
        <v>1905</v>
      </c>
      <c r="C902" s="189" t="s">
        <v>1895</v>
      </c>
      <c r="D902" s="190" t="s">
        <v>169</v>
      </c>
      <c r="E902" s="199">
        <v>5.6</v>
      </c>
      <c r="F902" s="199">
        <v>0.3</v>
      </c>
      <c r="G902" s="199">
        <v>0.6</v>
      </c>
      <c r="H902" s="199">
        <v>1</v>
      </c>
      <c r="I902" s="199"/>
      <c r="J902" s="219"/>
      <c r="K902" s="217">
        <f t="shared" si="20"/>
        <v>1.008</v>
      </c>
      <c r="L902" s="218"/>
    </row>
    <row r="903" spans="2:12">
      <c r="B903" s="197" t="s">
        <v>1906</v>
      </c>
      <c r="C903" s="189" t="s">
        <v>1895</v>
      </c>
      <c r="D903" s="190" t="s">
        <v>169</v>
      </c>
      <c r="E903" s="199">
        <v>14.52</v>
      </c>
      <c r="F903" s="199">
        <v>0.15</v>
      </c>
      <c r="G903" s="199">
        <v>1</v>
      </c>
      <c r="H903" s="199">
        <v>1</v>
      </c>
      <c r="I903" s="199"/>
      <c r="J903" s="219"/>
      <c r="K903" s="217">
        <f t="shared" si="20"/>
        <v>2.1779999999999999</v>
      </c>
      <c r="L903" s="218"/>
    </row>
    <row r="904" spans="2:12">
      <c r="B904" s="197" t="s">
        <v>1907</v>
      </c>
      <c r="C904" s="189" t="s">
        <v>1895</v>
      </c>
      <c r="D904" s="190" t="s">
        <v>169</v>
      </c>
      <c r="E904" s="199">
        <v>0.2</v>
      </c>
      <c r="F904" s="199">
        <v>0.25</v>
      </c>
      <c r="G904" s="199">
        <v>1</v>
      </c>
      <c r="H904" s="199">
        <v>1</v>
      </c>
      <c r="I904" s="199"/>
      <c r="J904" s="219"/>
      <c r="K904" s="217">
        <f t="shared" si="20"/>
        <v>0.05</v>
      </c>
      <c r="L904" s="218"/>
    </row>
    <row r="905" spans="2:12">
      <c r="B905" s="197" t="s">
        <v>1907</v>
      </c>
      <c r="C905" s="189" t="s">
        <v>1895</v>
      </c>
      <c r="D905" s="190" t="s">
        <v>169</v>
      </c>
      <c r="E905" s="199">
        <v>7.06</v>
      </c>
      <c r="F905" s="199">
        <v>0.15</v>
      </c>
      <c r="G905" s="199">
        <v>1</v>
      </c>
      <c r="H905" s="199">
        <v>1</v>
      </c>
      <c r="I905" s="199"/>
      <c r="J905" s="219"/>
      <c r="K905" s="217">
        <f t="shared" si="20"/>
        <v>1.0589999999999999</v>
      </c>
      <c r="L905" s="218"/>
    </row>
    <row r="906" spans="2:12">
      <c r="B906" s="197" t="s">
        <v>1908</v>
      </c>
      <c r="C906" s="189" t="s">
        <v>1895</v>
      </c>
      <c r="D906" s="190" t="s">
        <v>169</v>
      </c>
      <c r="E906" s="199">
        <v>10.9</v>
      </c>
      <c r="F906" s="199">
        <v>0.4</v>
      </c>
      <c r="G906" s="199">
        <v>0.6</v>
      </c>
      <c r="H906" s="199">
        <v>1</v>
      </c>
      <c r="I906" s="199"/>
      <c r="J906" s="219"/>
      <c r="K906" s="217">
        <f t="shared" si="20"/>
        <v>2.6160000000000001</v>
      </c>
      <c r="L906" s="218"/>
    </row>
    <row r="907" spans="2:12">
      <c r="B907" s="197" t="s">
        <v>1909</v>
      </c>
      <c r="C907" s="189" t="s">
        <v>1895</v>
      </c>
      <c r="D907" s="190" t="s">
        <v>169</v>
      </c>
      <c r="E907" s="199">
        <v>10.130000000000001</v>
      </c>
      <c r="F907" s="199">
        <v>0.15</v>
      </c>
      <c r="G907" s="199">
        <v>1</v>
      </c>
      <c r="H907" s="199">
        <v>1</v>
      </c>
      <c r="I907" s="199"/>
      <c r="J907" s="219"/>
      <c r="K907" s="217">
        <f t="shared" si="20"/>
        <v>1.5195000000000001</v>
      </c>
      <c r="L907" s="218"/>
    </row>
    <row r="908" spans="2:12">
      <c r="B908" s="197" t="s">
        <v>1909</v>
      </c>
      <c r="C908" s="189" t="s">
        <v>1895</v>
      </c>
      <c r="D908" s="190" t="s">
        <v>169</v>
      </c>
      <c r="E908" s="199">
        <v>0.18</v>
      </c>
      <c r="F908" s="199">
        <v>0.25</v>
      </c>
      <c r="G908" s="199">
        <v>1</v>
      </c>
      <c r="H908" s="199">
        <v>1</v>
      </c>
      <c r="I908" s="199"/>
      <c r="J908" s="219"/>
      <c r="K908" s="217">
        <f t="shared" si="20"/>
        <v>4.4999999999999998E-2</v>
      </c>
      <c r="L908" s="218"/>
    </row>
    <row r="909" spans="2:12">
      <c r="B909" s="197" t="s">
        <v>1910</v>
      </c>
      <c r="C909" s="189" t="s">
        <v>1895</v>
      </c>
      <c r="D909" s="190" t="s">
        <v>169</v>
      </c>
      <c r="E909" s="199">
        <v>2.54</v>
      </c>
      <c r="F909" s="199">
        <v>0.15</v>
      </c>
      <c r="G909" s="199">
        <v>0.6</v>
      </c>
      <c r="H909" s="199">
        <v>1</v>
      </c>
      <c r="I909" s="199"/>
      <c r="J909" s="219"/>
      <c r="K909" s="217">
        <f t="shared" si="20"/>
        <v>0.2286</v>
      </c>
      <c r="L909" s="218"/>
    </row>
    <row r="910" spans="2:12">
      <c r="B910" s="197" t="s">
        <v>1911</v>
      </c>
      <c r="C910" s="189" t="s">
        <v>1895</v>
      </c>
      <c r="D910" s="190" t="s">
        <v>169</v>
      </c>
      <c r="E910" s="199">
        <v>9.35</v>
      </c>
      <c r="F910" s="199">
        <v>0.15</v>
      </c>
      <c r="G910" s="199">
        <v>0.6</v>
      </c>
      <c r="H910" s="199">
        <v>1</v>
      </c>
      <c r="I910" s="199"/>
      <c r="J910" s="219"/>
      <c r="K910" s="217">
        <f t="shared" si="20"/>
        <v>0.84149999999999991</v>
      </c>
      <c r="L910" s="218"/>
    </row>
    <row r="911" spans="2:12">
      <c r="B911" s="197" t="s">
        <v>1912</v>
      </c>
      <c r="C911" s="189" t="s">
        <v>1895</v>
      </c>
      <c r="D911" s="190" t="s">
        <v>169</v>
      </c>
      <c r="E911" s="199">
        <v>4.75</v>
      </c>
      <c r="F911" s="199">
        <v>0.15</v>
      </c>
      <c r="G911" s="199">
        <v>1</v>
      </c>
      <c r="H911" s="199">
        <v>1</v>
      </c>
      <c r="I911" s="199"/>
      <c r="J911" s="219"/>
      <c r="K911" s="217">
        <f t="shared" si="20"/>
        <v>0.71250000000000002</v>
      </c>
      <c r="L911" s="218"/>
    </row>
    <row r="912" spans="2:12">
      <c r="B912" s="197" t="s">
        <v>1912</v>
      </c>
      <c r="C912" s="189" t="s">
        <v>1895</v>
      </c>
      <c r="D912" s="190" t="s">
        <v>169</v>
      </c>
      <c r="E912" s="199">
        <v>0.86</v>
      </c>
      <c r="F912" s="199">
        <v>0.3</v>
      </c>
      <c r="G912" s="199">
        <v>1</v>
      </c>
      <c r="H912" s="199">
        <v>1</v>
      </c>
      <c r="I912" s="199"/>
      <c r="J912" s="219"/>
      <c r="K912" s="217">
        <f t="shared" si="20"/>
        <v>0.25800000000000001</v>
      </c>
      <c r="L912" s="218"/>
    </row>
    <row r="913" spans="2:12">
      <c r="B913" s="197" t="s">
        <v>1913</v>
      </c>
      <c r="C913" s="189" t="s">
        <v>1895</v>
      </c>
      <c r="D913" s="190" t="s">
        <v>169</v>
      </c>
      <c r="E913" s="199">
        <v>4.1500000000000004</v>
      </c>
      <c r="F913" s="199">
        <v>0.15</v>
      </c>
      <c r="G913" s="199">
        <v>1</v>
      </c>
      <c r="H913" s="199">
        <v>1</v>
      </c>
      <c r="I913" s="199"/>
      <c r="J913" s="219"/>
      <c r="K913" s="217">
        <f t="shared" si="20"/>
        <v>0.62250000000000005</v>
      </c>
      <c r="L913" s="218"/>
    </row>
    <row r="914" spans="2:12">
      <c r="B914" s="197" t="s">
        <v>1913</v>
      </c>
      <c r="C914" s="189" t="s">
        <v>1895</v>
      </c>
      <c r="D914" s="190" t="s">
        <v>169</v>
      </c>
      <c r="E914" s="199">
        <v>1.18</v>
      </c>
      <c r="F914" s="199">
        <v>0.25</v>
      </c>
      <c r="G914" s="199">
        <v>1</v>
      </c>
      <c r="H914" s="199">
        <v>1</v>
      </c>
      <c r="I914" s="199"/>
      <c r="J914" s="219"/>
      <c r="K914" s="217">
        <f t="shared" si="20"/>
        <v>0.29499999999999998</v>
      </c>
      <c r="L914" s="218"/>
    </row>
    <row r="915" spans="2:12">
      <c r="B915" s="197" t="s">
        <v>1914</v>
      </c>
      <c r="C915" s="189" t="s">
        <v>1895</v>
      </c>
      <c r="D915" s="190" t="s">
        <v>169</v>
      </c>
      <c r="E915" s="199">
        <v>1.24</v>
      </c>
      <c r="F915" s="199">
        <v>0.2</v>
      </c>
      <c r="G915" s="199">
        <v>0.6</v>
      </c>
      <c r="H915" s="199">
        <v>1</v>
      </c>
      <c r="I915" s="199"/>
      <c r="J915" s="219"/>
      <c r="K915" s="217">
        <f t="shared" si="20"/>
        <v>0.14879999999999999</v>
      </c>
      <c r="L915" s="218"/>
    </row>
    <row r="916" spans="2:12">
      <c r="B916" s="197" t="s">
        <v>1915</v>
      </c>
      <c r="C916" s="189" t="s">
        <v>1895</v>
      </c>
      <c r="D916" s="190" t="s">
        <v>169</v>
      </c>
      <c r="E916" s="199">
        <v>8.8000000000000007</v>
      </c>
      <c r="F916" s="199">
        <v>0.2</v>
      </c>
      <c r="G916" s="199">
        <v>0.7</v>
      </c>
      <c r="H916" s="199">
        <v>1</v>
      </c>
      <c r="I916" s="199"/>
      <c r="J916" s="219"/>
      <c r="K916" s="217">
        <f t="shared" si="20"/>
        <v>1.232</v>
      </c>
      <c r="L916" s="218"/>
    </row>
    <row r="917" spans="2:12">
      <c r="B917" s="197" t="s">
        <v>1916</v>
      </c>
      <c r="C917" s="189" t="s">
        <v>1895</v>
      </c>
      <c r="D917" s="190" t="s">
        <v>169</v>
      </c>
      <c r="E917" s="199">
        <v>2.98</v>
      </c>
      <c r="F917" s="199">
        <v>0.15</v>
      </c>
      <c r="G917" s="199">
        <v>1</v>
      </c>
      <c r="H917" s="199">
        <v>1</v>
      </c>
      <c r="I917" s="199"/>
      <c r="J917" s="219"/>
      <c r="K917" s="217">
        <f t="shared" si="20"/>
        <v>0.44700000000000001</v>
      </c>
      <c r="L917" s="218"/>
    </row>
    <row r="918" spans="2:12">
      <c r="B918" s="197" t="s">
        <v>1917</v>
      </c>
      <c r="C918" s="189" t="s">
        <v>1895</v>
      </c>
      <c r="D918" s="190" t="s">
        <v>169</v>
      </c>
      <c r="E918" s="199">
        <v>1.24</v>
      </c>
      <c r="F918" s="199">
        <v>0.2</v>
      </c>
      <c r="G918" s="199">
        <v>0.6</v>
      </c>
      <c r="H918" s="199">
        <v>1</v>
      </c>
      <c r="I918" s="199"/>
      <c r="J918" s="219"/>
      <c r="K918" s="217">
        <f t="shared" si="20"/>
        <v>0.14879999999999999</v>
      </c>
      <c r="L918" s="218"/>
    </row>
    <row r="919" spans="2:12">
      <c r="B919" s="197" t="s">
        <v>1918</v>
      </c>
      <c r="C919" s="189" t="s">
        <v>1895</v>
      </c>
      <c r="D919" s="190" t="s">
        <v>169</v>
      </c>
      <c r="E919" s="199">
        <v>1.94</v>
      </c>
      <c r="F919" s="199">
        <v>0.2</v>
      </c>
      <c r="G919" s="199">
        <v>1</v>
      </c>
      <c r="H919" s="199">
        <v>1</v>
      </c>
      <c r="I919" s="199"/>
      <c r="J919" s="219"/>
      <c r="K919" s="217">
        <f t="shared" si="20"/>
        <v>0.38800000000000001</v>
      </c>
      <c r="L919" s="218"/>
    </row>
    <row r="920" spans="2:12">
      <c r="B920" s="197" t="s">
        <v>1898</v>
      </c>
      <c r="C920" s="189" t="s">
        <v>1931</v>
      </c>
      <c r="D920" s="190" t="s">
        <v>169</v>
      </c>
      <c r="E920" s="199">
        <v>25.82</v>
      </c>
      <c r="F920" s="199">
        <v>0.2</v>
      </c>
      <c r="G920" s="199">
        <v>0.6</v>
      </c>
      <c r="H920" s="199">
        <v>1</v>
      </c>
      <c r="I920" s="199"/>
      <c r="J920" s="219"/>
      <c r="K920" s="217">
        <f t="shared" si="20"/>
        <v>3.0984000000000003</v>
      </c>
      <c r="L920" s="245" t="s">
        <v>1945</v>
      </c>
    </row>
    <row r="921" spans="2:12">
      <c r="B921" s="197" t="s">
        <v>1899</v>
      </c>
      <c r="C921" s="189" t="s">
        <v>1931</v>
      </c>
      <c r="D921" s="190" t="s">
        <v>169</v>
      </c>
      <c r="E921" s="199">
        <v>2.2000000000000002</v>
      </c>
      <c r="F921" s="199">
        <v>0.15</v>
      </c>
      <c r="G921" s="199">
        <v>0.6</v>
      </c>
      <c r="H921" s="199">
        <v>1</v>
      </c>
      <c r="I921" s="199"/>
      <c r="J921" s="219"/>
      <c r="K921" s="217">
        <f t="shared" si="20"/>
        <v>0.19800000000000001</v>
      </c>
      <c r="L921" s="245" t="s">
        <v>1945</v>
      </c>
    </row>
    <row r="922" spans="2:12">
      <c r="B922" s="197" t="s">
        <v>1900</v>
      </c>
      <c r="C922" s="189" t="s">
        <v>1931</v>
      </c>
      <c r="D922" s="190" t="s">
        <v>169</v>
      </c>
      <c r="E922" s="199">
        <v>2.2000000000000002</v>
      </c>
      <c r="F922" s="199">
        <v>0.15</v>
      </c>
      <c r="G922" s="199">
        <v>1</v>
      </c>
      <c r="H922" s="199">
        <v>1</v>
      </c>
      <c r="I922" s="199"/>
      <c r="J922" s="219"/>
      <c r="K922" s="217">
        <f t="shared" si="20"/>
        <v>0.33</v>
      </c>
      <c r="L922" s="245" t="s">
        <v>1945</v>
      </c>
    </row>
    <row r="923" spans="2:12">
      <c r="B923" s="197" t="s">
        <v>1901</v>
      </c>
      <c r="C923" s="189" t="s">
        <v>1931</v>
      </c>
      <c r="D923" s="190" t="s">
        <v>169</v>
      </c>
      <c r="E923" s="199">
        <v>20.5</v>
      </c>
      <c r="F923" s="199">
        <v>0.25</v>
      </c>
      <c r="G923" s="199">
        <v>0.7</v>
      </c>
      <c r="H923" s="199">
        <v>1</v>
      </c>
      <c r="I923" s="199"/>
      <c r="J923" s="219"/>
      <c r="K923" s="217">
        <f t="shared" si="20"/>
        <v>3.5874999999999999</v>
      </c>
      <c r="L923" s="245" t="s">
        <v>1945</v>
      </c>
    </row>
    <row r="924" spans="2:12">
      <c r="B924" s="197" t="s">
        <v>1901</v>
      </c>
      <c r="C924" s="189" t="s">
        <v>1931</v>
      </c>
      <c r="D924" s="190" t="s">
        <v>169</v>
      </c>
      <c r="E924" s="199">
        <v>4.0199999999999996</v>
      </c>
      <c r="F924" s="199">
        <v>0.25</v>
      </c>
      <c r="G924" s="199">
        <v>1</v>
      </c>
      <c r="H924" s="199">
        <v>1</v>
      </c>
      <c r="I924" s="199"/>
      <c r="J924" s="219"/>
      <c r="K924" s="217">
        <f t="shared" si="20"/>
        <v>1.0049999999999999</v>
      </c>
      <c r="L924" s="245" t="s">
        <v>1945</v>
      </c>
    </row>
    <row r="925" spans="2:12">
      <c r="B925" s="197" t="s">
        <v>1902</v>
      </c>
      <c r="C925" s="189" t="s">
        <v>1931</v>
      </c>
      <c r="D925" s="190" t="s">
        <v>169</v>
      </c>
      <c r="E925" s="199">
        <v>11.03</v>
      </c>
      <c r="F925" s="199">
        <v>0.15</v>
      </c>
      <c r="G925" s="199">
        <v>1</v>
      </c>
      <c r="H925" s="199">
        <v>1</v>
      </c>
      <c r="I925" s="199"/>
      <c r="J925" s="219"/>
      <c r="K925" s="217">
        <f t="shared" si="20"/>
        <v>1.6544999999999999</v>
      </c>
      <c r="L925" s="245" t="s">
        <v>1945</v>
      </c>
    </row>
    <row r="926" spans="2:12">
      <c r="B926" s="197" t="s">
        <v>1903</v>
      </c>
      <c r="C926" s="189" t="s">
        <v>1931</v>
      </c>
      <c r="D926" s="190" t="s">
        <v>169</v>
      </c>
      <c r="E926" s="199">
        <v>14.73</v>
      </c>
      <c r="F926" s="199">
        <v>0.25</v>
      </c>
      <c r="G926" s="199">
        <v>0.6</v>
      </c>
      <c r="H926" s="199">
        <v>1</v>
      </c>
      <c r="I926" s="199"/>
      <c r="J926" s="219"/>
      <c r="K926" s="217">
        <f t="shared" si="20"/>
        <v>2.2094999999999998</v>
      </c>
      <c r="L926" s="245" t="s">
        <v>1945</v>
      </c>
    </row>
    <row r="927" spans="2:12">
      <c r="B927" s="197" t="s">
        <v>1904</v>
      </c>
      <c r="C927" s="189" t="s">
        <v>1931</v>
      </c>
      <c r="D927" s="190" t="s">
        <v>169</v>
      </c>
      <c r="E927" s="199">
        <v>4.74</v>
      </c>
      <c r="F927" s="199">
        <v>0.15</v>
      </c>
      <c r="G927" s="199">
        <v>0.6</v>
      </c>
      <c r="H927" s="199">
        <v>1</v>
      </c>
      <c r="I927" s="199"/>
      <c r="J927" s="219"/>
      <c r="K927" s="217">
        <f t="shared" si="20"/>
        <v>0.42659999999999998</v>
      </c>
      <c r="L927" s="245" t="s">
        <v>1945</v>
      </c>
    </row>
    <row r="928" spans="2:12">
      <c r="B928" s="197" t="s">
        <v>1905</v>
      </c>
      <c r="C928" s="189" t="s">
        <v>1931</v>
      </c>
      <c r="D928" s="190" t="s">
        <v>169</v>
      </c>
      <c r="E928" s="199">
        <v>5.6</v>
      </c>
      <c r="F928" s="199">
        <v>0.3</v>
      </c>
      <c r="G928" s="199">
        <v>0.6</v>
      </c>
      <c r="H928" s="199">
        <v>1</v>
      </c>
      <c r="I928" s="199"/>
      <c r="J928" s="219"/>
      <c r="K928" s="217">
        <f t="shared" si="20"/>
        <v>1.008</v>
      </c>
      <c r="L928" s="245" t="s">
        <v>1945</v>
      </c>
    </row>
    <row r="929" spans="2:12">
      <c r="B929" s="197" t="s">
        <v>1906</v>
      </c>
      <c r="C929" s="189" t="s">
        <v>1931</v>
      </c>
      <c r="D929" s="190" t="s">
        <v>169</v>
      </c>
      <c r="E929" s="199">
        <v>14.52</v>
      </c>
      <c r="F929" s="199">
        <v>0.15</v>
      </c>
      <c r="G929" s="199">
        <v>1</v>
      </c>
      <c r="H929" s="199">
        <v>1</v>
      </c>
      <c r="I929" s="199"/>
      <c r="J929" s="219"/>
      <c r="K929" s="217">
        <f t="shared" si="20"/>
        <v>2.1779999999999999</v>
      </c>
      <c r="L929" s="245" t="s">
        <v>1945</v>
      </c>
    </row>
    <row r="930" spans="2:12">
      <c r="B930" s="197" t="s">
        <v>1907</v>
      </c>
      <c r="C930" s="189" t="s">
        <v>1931</v>
      </c>
      <c r="D930" s="190" t="s">
        <v>169</v>
      </c>
      <c r="E930" s="199">
        <v>0.2</v>
      </c>
      <c r="F930" s="199">
        <v>0.25</v>
      </c>
      <c r="G930" s="199">
        <v>1</v>
      </c>
      <c r="H930" s="199">
        <v>1</v>
      </c>
      <c r="I930" s="199"/>
      <c r="J930" s="219"/>
      <c r="K930" s="217">
        <f t="shared" si="20"/>
        <v>0.05</v>
      </c>
      <c r="L930" s="245" t="s">
        <v>1945</v>
      </c>
    </row>
    <row r="931" spans="2:12">
      <c r="B931" s="197" t="s">
        <v>1907</v>
      </c>
      <c r="C931" s="189" t="s">
        <v>1931</v>
      </c>
      <c r="D931" s="190" t="s">
        <v>169</v>
      </c>
      <c r="E931" s="199">
        <v>7.06</v>
      </c>
      <c r="F931" s="199">
        <v>0.15</v>
      </c>
      <c r="G931" s="199">
        <v>1</v>
      </c>
      <c r="H931" s="199">
        <v>1</v>
      </c>
      <c r="I931" s="199"/>
      <c r="J931" s="219"/>
      <c r="K931" s="217">
        <f t="shared" si="20"/>
        <v>1.0589999999999999</v>
      </c>
      <c r="L931" s="245" t="s">
        <v>1945</v>
      </c>
    </row>
    <row r="932" spans="2:12">
      <c r="B932" s="197" t="s">
        <v>1908</v>
      </c>
      <c r="C932" s="189" t="s">
        <v>1931</v>
      </c>
      <c r="D932" s="190" t="s">
        <v>169</v>
      </c>
      <c r="E932" s="199">
        <v>10.9</v>
      </c>
      <c r="F932" s="199">
        <v>0.4</v>
      </c>
      <c r="G932" s="199">
        <v>0.6</v>
      </c>
      <c r="H932" s="199">
        <v>1</v>
      </c>
      <c r="I932" s="199"/>
      <c r="J932" s="219"/>
      <c r="K932" s="217">
        <f t="shared" si="20"/>
        <v>2.6160000000000001</v>
      </c>
      <c r="L932" s="245" t="s">
        <v>1945</v>
      </c>
    </row>
    <row r="933" spans="2:12">
      <c r="B933" s="197" t="s">
        <v>1909</v>
      </c>
      <c r="C933" s="189" t="s">
        <v>1931</v>
      </c>
      <c r="D933" s="190" t="s">
        <v>169</v>
      </c>
      <c r="E933" s="199">
        <v>10.130000000000001</v>
      </c>
      <c r="F933" s="199">
        <v>0.15</v>
      </c>
      <c r="G933" s="199">
        <v>1</v>
      </c>
      <c r="H933" s="199">
        <v>1</v>
      </c>
      <c r="I933" s="199"/>
      <c r="J933" s="219"/>
      <c r="K933" s="217">
        <f t="shared" si="20"/>
        <v>1.5195000000000001</v>
      </c>
      <c r="L933" s="245" t="s">
        <v>1945</v>
      </c>
    </row>
    <row r="934" spans="2:12">
      <c r="B934" s="197" t="s">
        <v>1909</v>
      </c>
      <c r="C934" s="189" t="s">
        <v>1931</v>
      </c>
      <c r="D934" s="190" t="s">
        <v>169</v>
      </c>
      <c r="E934" s="199">
        <v>0.18</v>
      </c>
      <c r="F934" s="199">
        <v>0.25</v>
      </c>
      <c r="G934" s="199">
        <v>1</v>
      </c>
      <c r="H934" s="199">
        <v>1</v>
      </c>
      <c r="I934" s="199"/>
      <c r="J934" s="219"/>
      <c r="K934" s="217">
        <f t="shared" si="20"/>
        <v>4.4999999999999998E-2</v>
      </c>
      <c r="L934" s="245" t="s">
        <v>1945</v>
      </c>
    </row>
    <row r="935" spans="2:12">
      <c r="B935" s="197" t="s">
        <v>1910</v>
      </c>
      <c r="C935" s="189" t="s">
        <v>1931</v>
      </c>
      <c r="D935" s="190" t="s">
        <v>169</v>
      </c>
      <c r="E935" s="199">
        <v>2.54</v>
      </c>
      <c r="F935" s="199">
        <v>0.15</v>
      </c>
      <c r="G935" s="199">
        <v>0.6</v>
      </c>
      <c r="H935" s="199">
        <v>1</v>
      </c>
      <c r="I935" s="199"/>
      <c r="J935" s="219"/>
      <c r="K935" s="217">
        <f t="shared" si="20"/>
        <v>0.2286</v>
      </c>
      <c r="L935" s="245" t="s">
        <v>1945</v>
      </c>
    </row>
    <row r="936" spans="2:12">
      <c r="B936" s="197" t="s">
        <v>1911</v>
      </c>
      <c r="C936" s="189" t="s">
        <v>1931</v>
      </c>
      <c r="D936" s="190" t="s">
        <v>169</v>
      </c>
      <c r="E936" s="199">
        <v>9.35</v>
      </c>
      <c r="F936" s="199">
        <v>0.15</v>
      </c>
      <c r="G936" s="199">
        <v>0.6</v>
      </c>
      <c r="H936" s="199">
        <v>1</v>
      </c>
      <c r="I936" s="199"/>
      <c r="J936" s="219"/>
      <c r="K936" s="217">
        <f t="shared" si="20"/>
        <v>0.84149999999999991</v>
      </c>
      <c r="L936" s="245" t="s">
        <v>1945</v>
      </c>
    </row>
    <row r="937" spans="2:12">
      <c r="B937" s="197" t="s">
        <v>1912</v>
      </c>
      <c r="C937" s="189" t="s">
        <v>1931</v>
      </c>
      <c r="D937" s="190" t="s">
        <v>169</v>
      </c>
      <c r="E937" s="199">
        <v>4.75</v>
      </c>
      <c r="F937" s="199">
        <v>0.15</v>
      </c>
      <c r="G937" s="199">
        <v>1</v>
      </c>
      <c r="H937" s="199">
        <v>1</v>
      </c>
      <c r="I937" s="199"/>
      <c r="J937" s="219"/>
      <c r="K937" s="217">
        <f t="shared" si="20"/>
        <v>0.71250000000000002</v>
      </c>
      <c r="L937" s="245" t="s">
        <v>1945</v>
      </c>
    </row>
    <row r="938" spans="2:12">
      <c r="B938" s="197" t="s">
        <v>1912</v>
      </c>
      <c r="C938" s="189" t="s">
        <v>1931</v>
      </c>
      <c r="D938" s="190" t="s">
        <v>169</v>
      </c>
      <c r="E938" s="199">
        <v>0.86</v>
      </c>
      <c r="F938" s="199">
        <v>0.3</v>
      </c>
      <c r="G938" s="199">
        <v>1</v>
      </c>
      <c r="H938" s="199">
        <v>1</v>
      </c>
      <c r="I938" s="199"/>
      <c r="J938" s="219"/>
      <c r="K938" s="217">
        <f t="shared" si="20"/>
        <v>0.25800000000000001</v>
      </c>
      <c r="L938" s="245" t="s">
        <v>1945</v>
      </c>
    </row>
    <row r="939" spans="2:12">
      <c r="B939" s="197" t="s">
        <v>1913</v>
      </c>
      <c r="C939" s="189" t="s">
        <v>1931</v>
      </c>
      <c r="D939" s="190" t="s">
        <v>169</v>
      </c>
      <c r="E939" s="199">
        <v>4.1500000000000004</v>
      </c>
      <c r="F939" s="199">
        <v>0.15</v>
      </c>
      <c r="G939" s="199">
        <v>1</v>
      </c>
      <c r="H939" s="199">
        <v>1</v>
      </c>
      <c r="I939" s="199"/>
      <c r="J939" s="219"/>
      <c r="K939" s="217">
        <f t="shared" si="20"/>
        <v>0.62250000000000005</v>
      </c>
      <c r="L939" s="245" t="s">
        <v>1945</v>
      </c>
    </row>
    <row r="940" spans="2:12">
      <c r="B940" s="197" t="s">
        <v>1913</v>
      </c>
      <c r="C940" s="189" t="s">
        <v>1931</v>
      </c>
      <c r="D940" s="190" t="s">
        <v>169</v>
      </c>
      <c r="E940" s="199">
        <v>1.18</v>
      </c>
      <c r="F940" s="199">
        <v>0.25</v>
      </c>
      <c r="G940" s="199">
        <v>1</v>
      </c>
      <c r="H940" s="199">
        <v>1</v>
      </c>
      <c r="I940" s="199"/>
      <c r="J940" s="219"/>
      <c r="K940" s="217">
        <f t="shared" si="20"/>
        <v>0.29499999999999998</v>
      </c>
      <c r="L940" s="245" t="s">
        <v>1945</v>
      </c>
    </row>
    <row r="941" spans="2:12">
      <c r="B941" s="197" t="s">
        <v>1914</v>
      </c>
      <c r="C941" s="189" t="s">
        <v>1931</v>
      </c>
      <c r="D941" s="190" t="s">
        <v>169</v>
      </c>
      <c r="E941" s="199">
        <v>1.24</v>
      </c>
      <c r="F941" s="199">
        <v>0.2</v>
      </c>
      <c r="G941" s="199">
        <v>0.6</v>
      </c>
      <c r="H941" s="199">
        <v>1</v>
      </c>
      <c r="I941" s="199"/>
      <c r="J941" s="219"/>
      <c r="K941" s="217">
        <f t="shared" si="20"/>
        <v>0.14879999999999999</v>
      </c>
      <c r="L941" s="245" t="s">
        <v>1945</v>
      </c>
    </row>
    <row r="942" spans="2:12">
      <c r="B942" s="197" t="s">
        <v>1915</v>
      </c>
      <c r="C942" s="189" t="s">
        <v>1931</v>
      </c>
      <c r="D942" s="190" t="s">
        <v>169</v>
      </c>
      <c r="E942" s="199">
        <v>8.8000000000000007</v>
      </c>
      <c r="F942" s="199">
        <v>0.2</v>
      </c>
      <c r="G942" s="199">
        <v>0.7</v>
      </c>
      <c r="H942" s="199">
        <v>1</v>
      </c>
      <c r="I942" s="199"/>
      <c r="J942" s="219"/>
      <c r="K942" s="217">
        <f t="shared" si="20"/>
        <v>1.232</v>
      </c>
      <c r="L942" s="245" t="s">
        <v>1945</v>
      </c>
    </row>
    <row r="943" spans="2:12">
      <c r="B943" s="197" t="s">
        <v>1916</v>
      </c>
      <c r="C943" s="189" t="s">
        <v>1931</v>
      </c>
      <c r="D943" s="190" t="s">
        <v>169</v>
      </c>
      <c r="E943" s="199">
        <v>2.98</v>
      </c>
      <c r="F943" s="199">
        <v>0.15</v>
      </c>
      <c r="G943" s="199">
        <v>1</v>
      </c>
      <c r="H943" s="199">
        <v>1</v>
      </c>
      <c r="I943" s="199"/>
      <c r="J943" s="219"/>
      <c r="K943" s="217">
        <f t="shared" si="20"/>
        <v>0.44700000000000001</v>
      </c>
      <c r="L943" s="245" t="s">
        <v>1945</v>
      </c>
    </row>
    <row r="944" spans="2:12">
      <c r="B944" s="197" t="s">
        <v>1917</v>
      </c>
      <c r="C944" s="189" t="s">
        <v>1931</v>
      </c>
      <c r="D944" s="190" t="s">
        <v>169</v>
      </c>
      <c r="E944" s="199">
        <v>1.24</v>
      </c>
      <c r="F944" s="199">
        <v>0.2</v>
      </c>
      <c r="G944" s="199">
        <v>0.6</v>
      </c>
      <c r="H944" s="199">
        <v>1</v>
      </c>
      <c r="I944" s="199"/>
      <c r="J944" s="219"/>
      <c r="K944" s="217">
        <f t="shared" si="20"/>
        <v>0.14879999999999999</v>
      </c>
      <c r="L944" s="245" t="s">
        <v>1945</v>
      </c>
    </row>
    <row r="945" spans="2:12">
      <c r="B945" s="197" t="s">
        <v>1918</v>
      </c>
      <c r="C945" s="189" t="s">
        <v>1931</v>
      </c>
      <c r="D945" s="190" t="s">
        <v>169</v>
      </c>
      <c r="E945" s="199">
        <v>1.94</v>
      </c>
      <c r="F945" s="199">
        <v>0.2</v>
      </c>
      <c r="G945" s="199">
        <v>1</v>
      </c>
      <c r="H945" s="199">
        <v>1</v>
      </c>
      <c r="I945" s="199"/>
      <c r="J945" s="219"/>
      <c r="K945" s="217">
        <f t="shared" si="20"/>
        <v>0.38800000000000001</v>
      </c>
      <c r="L945" s="245" t="s">
        <v>1945</v>
      </c>
    </row>
    <row r="946" spans="2:12">
      <c r="B946" s="197" t="s">
        <v>1946</v>
      </c>
      <c r="C946" s="189" t="s">
        <v>1931</v>
      </c>
      <c r="D946" s="190" t="s">
        <v>169</v>
      </c>
      <c r="E946" s="199">
        <v>20.8</v>
      </c>
      <c r="F946" s="199">
        <v>0.15</v>
      </c>
      <c r="G946" s="199">
        <v>1</v>
      </c>
      <c r="H946" s="199">
        <v>1</v>
      </c>
      <c r="I946" s="199"/>
      <c r="J946" s="219"/>
      <c r="K946" s="217">
        <f t="shared" si="20"/>
        <v>3.12</v>
      </c>
      <c r="L946" s="245" t="s">
        <v>1947</v>
      </c>
    </row>
    <row r="947" spans="2:12">
      <c r="B947" s="197" t="s">
        <v>1948</v>
      </c>
      <c r="C947" s="189" t="s">
        <v>1931</v>
      </c>
      <c r="D947" s="190" t="s">
        <v>169</v>
      </c>
      <c r="E947" s="199">
        <v>21.35</v>
      </c>
      <c r="F947" s="199">
        <v>0.2</v>
      </c>
      <c r="G947" s="199">
        <v>0.6</v>
      </c>
      <c r="H947" s="199">
        <v>1</v>
      </c>
      <c r="I947" s="199"/>
      <c r="J947" s="219"/>
      <c r="K947" s="217">
        <f t="shared" si="20"/>
        <v>2.5620000000000003</v>
      </c>
      <c r="L947" s="245" t="s">
        <v>1947</v>
      </c>
    </row>
    <row r="948" spans="2:12">
      <c r="B948" s="197" t="s">
        <v>1949</v>
      </c>
      <c r="C948" s="189" t="s">
        <v>1931</v>
      </c>
      <c r="D948" s="190" t="s">
        <v>169</v>
      </c>
      <c r="E948" s="199">
        <v>21.35</v>
      </c>
      <c r="F948" s="199">
        <v>0.2</v>
      </c>
      <c r="G948" s="199">
        <v>0.6</v>
      </c>
      <c r="H948" s="199">
        <v>1</v>
      </c>
      <c r="I948" s="199"/>
      <c r="J948" s="219"/>
      <c r="K948" s="217">
        <f t="shared" si="20"/>
        <v>2.5620000000000003</v>
      </c>
      <c r="L948" s="245" t="s">
        <v>1947</v>
      </c>
    </row>
    <row r="949" spans="2:12">
      <c r="B949" s="197" t="s">
        <v>1950</v>
      </c>
      <c r="C949" s="189" t="s">
        <v>1931</v>
      </c>
      <c r="D949" s="190" t="s">
        <v>169</v>
      </c>
      <c r="E949" s="199">
        <v>21.35</v>
      </c>
      <c r="F949" s="199">
        <v>0.2</v>
      </c>
      <c r="G949" s="199">
        <v>0.6</v>
      </c>
      <c r="H949" s="199">
        <v>1</v>
      </c>
      <c r="I949" s="199"/>
      <c r="J949" s="219"/>
      <c r="K949" s="217">
        <f t="shared" si="20"/>
        <v>2.5620000000000003</v>
      </c>
      <c r="L949" s="245" t="s">
        <v>1947</v>
      </c>
    </row>
    <row r="950" spans="2:12">
      <c r="B950" s="197" t="s">
        <v>1951</v>
      </c>
      <c r="C950" s="189" t="s">
        <v>1931</v>
      </c>
      <c r="D950" s="190" t="s">
        <v>169</v>
      </c>
      <c r="E950" s="199">
        <v>3.4</v>
      </c>
      <c r="F950" s="199">
        <v>0.2</v>
      </c>
      <c r="G950" s="199">
        <v>0.6</v>
      </c>
      <c r="H950" s="199">
        <v>1</v>
      </c>
      <c r="I950" s="199"/>
      <c r="J950" s="219"/>
      <c r="K950" s="217">
        <f t="shared" si="20"/>
        <v>0.40800000000000003</v>
      </c>
      <c r="L950" s="245" t="s">
        <v>1947</v>
      </c>
    </row>
    <row r="951" spans="2:12">
      <c r="B951" s="197" t="s">
        <v>1952</v>
      </c>
      <c r="C951" s="189" t="s">
        <v>1931</v>
      </c>
      <c r="D951" s="190" t="s">
        <v>169</v>
      </c>
      <c r="E951" s="199">
        <v>25.92</v>
      </c>
      <c r="F951" s="199">
        <v>0.2</v>
      </c>
      <c r="G951" s="199">
        <v>0.6</v>
      </c>
      <c r="H951" s="199">
        <v>1</v>
      </c>
      <c r="I951" s="199"/>
      <c r="J951" s="219"/>
      <c r="K951" s="217">
        <f t="shared" si="20"/>
        <v>3.1104000000000007</v>
      </c>
      <c r="L951" s="245" t="s">
        <v>1947</v>
      </c>
    </row>
    <row r="952" spans="2:12">
      <c r="B952" s="197" t="s">
        <v>1953</v>
      </c>
      <c r="C952" s="189" t="s">
        <v>1931</v>
      </c>
      <c r="D952" s="190" t="s">
        <v>169</v>
      </c>
      <c r="E952" s="199">
        <v>23.69</v>
      </c>
      <c r="F952" s="199">
        <v>0.15</v>
      </c>
      <c r="G952" s="199">
        <v>1</v>
      </c>
      <c r="H952" s="199">
        <v>1</v>
      </c>
      <c r="I952" s="199"/>
      <c r="J952" s="219"/>
      <c r="K952" s="217">
        <f t="shared" ref="K952:K982" si="21">IF(E952*F952*G952&lt;&gt;0,E952*F952*G952,IF(E952*F952&lt;&gt;0,E952*F952,IF(F952*G952&lt;&gt;0,F952*G952,IF(E952*G952&lt;&gt;0,E952*G952,IF(E952&lt;&gt;0,E952,IF(F952&lt;&gt;0,F952,IF(G952&lt;&gt;0,G952,0)))))))*(IF(H952&lt;&gt;0,H952,1))+I952-J952</f>
        <v>3.5535000000000001</v>
      </c>
      <c r="L952" s="245" t="s">
        <v>1947</v>
      </c>
    </row>
    <row r="953" spans="2:12">
      <c r="B953" s="197" t="s">
        <v>1954</v>
      </c>
      <c r="C953" s="189" t="s">
        <v>1931</v>
      </c>
      <c r="D953" s="190" t="s">
        <v>169</v>
      </c>
      <c r="E953" s="199">
        <v>23.39</v>
      </c>
      <c r="F953" s="199">
        <v>0.15</v>
      </c>
      <c r="G953" s="199">
        <v>1</v>
      </c>
      <c r="H953" s="199">
        <v>1</v>
      </c>
      <c r="I953" s="199"/>
      <c r="J953" s="219"/>
      <c r="K953" s="217">
        <f t="shared" si="21"/>
        <v>3.5085000000000002</v>
      </c>
      <c r="L953" s="245" t="s">
        <v>1947</v>
      </c>
    </row>
    <row r="954" spans="2:12">
      <c r="B954" s="197" t="s">
        <v>1955</v>
      </c>
      <c r="C954" s="189" t="s">
        <v>1931</v>
      </c>
      <c r="D954" s="190" t="s">
        <v>169</v>
      </c>
      <c r="E954" s="199">
        <v>6.77</v>
      </c>
      <c r="F954" s="199">
        <v>0.2</v>
      </c>
      <c r="G954" s="199">
        <v>0.6</v>
      </c>
      <c r="H954" s="199">
        <v>1</v>
      </c>
      <c r="I954" s="199"/>
      <c r="J954" s="219"/>
      <c r="K954" s="217">
        <f t="shared" si="21"/>
        <v>0.81240000000000001</v>
      </c>
      <c r="L954" s="245" t="s">
        <v>1947</v>
      </c>
    </row>
    <row r="955" spans="2:12">
      <c r="B955" s="197" t="s">
        <v>1956</v>
      </c>
      <c r="C955" s="189" t="s">
        <v>1931</v>
      </c>
      <c r="D955" s="190" t="s">
        <v>169</v>
      </c>
      <c r="E955" s="199">
        <v>6.57</v>
      </c>
      <c r="F955" s="199">
        <v>0.2</v>
      </c>
      <c r="G955" s="199">
        <v>0.6</v>
      </c>
      <c r="H955" s="199">
        <v>1</v>
      </c>
      <c r="I955" s="199"/>
      <c r="J955" s="219"/>
      <c r="K955" s="217">
        <f t="shared" si="21"/>
        <v>0.78839999999999999</v>
      </c>
      <c r="L955" s="245" t="s">
        <v>1947</v>
      </c>
    </row>
    <row r="956" spans="2:12">
      <c r="B956" s="197" t="s">
        <v>2003</v>
      </c>
      <c r="C956" s="189" t="s">
        <v>1998</v>
      </c>
      <c r="D956" s="190" t="s">
        <v>169</v>
      </c>
      <c r="E956" s="199">
        <v>25.82</v>
      </c>
      <c r="F956" s="199">
        <v>0.2</v>
      </c>
      <c r="G956" s="199">
        <v>0.6</v>
      </c>
      <c r="H956" s="199">
        <v>1</v>
      </c>
      <c r="I956" s="199"/>
      <c r="J956" s="219"/>
      <c r="K956" s="217">
        <f t="shared" si="21"/>
        <v>3.0984000000000003</v>
      </c>
      <c r="L956" s="245" t="s">
        <v>2004</v>
      </c>
    </row>
    <row r="957" spans="2:12">
      <c r="B957" s="197" t="s">
        <v>2005</v>
      </c>
      <c r="C957" s="189" t="s">
        <v>1998</v>
      </c>
      <c r="D957" s="190" t="s">
        <v>169</v>
      </c>
      <c r="E957" s="199">
        <v>2.2000000000000002</v>
      </c>
      <c r="F957" s="199">
        <v>0.15</v>
      </c>
      <c r="G957" s="199">
        <v>0.6</v>
      </c>
      <c r="H957" s="199">
        <v>1</v>
      </c>
      <c r="I957" s="199"/>
      <c r="J957" s="219"/>
      <c r="K957" s="217">
        <f t="shared" si="21"/>
        <v>0.19800000000000001</v>
      </c>
      <c r="L957" s="245" t="s">
        <v>2004</v>
      </c>
    </row>
    <row r="958" spans="2:12">
      <c r="B958" s="197" t="s">
        <v>2006</v>
      </c>
      <c r="C958" s="189" t="s">
        <v>1998</v>
      </c>
      <c r="D958" s="190" t="s">
        <v>169</v>
      </c>
      <c r="E958" s="199">
        <v>2.2000000000000002</v>
      </c>
      <c r="F958" s="199">
        <v>0.15</v>
      </c>
      <c r="G958" s="199">
        <v>1</v>
      </c>
      <c r="H958" s="199">
        <v>1</v>
      </c>
      <c r="I958" s="199"/>
      <c r="J958" s="219"/>
      <c r="K958" s="217">
        <f t="shared" si="21"/>
        <v>0.33</v>
      </c>
      <c r="L958" s="245" t="s">
        <v>2004</v>
      </c>
    </row>
    <row r="959" spans="2:12">
      <c r="B959" s="197" t="s">
        <v>2007</v>
      </c>
      <c r="C959" s="189" t="s">
        <v>1998</v>
      </c>
      <c r="D959" s="190" t="s">
        <v>169</v>
      </c>
      <c r="E959" s="199">
        <v>20.5</v>
      </c>
      <c r="F959" s="199">
        <v>0.25</v>
      </c>
      <c r="G959" s="199">
        <v>0.7</v>
      </c>
      <c r="H959" s="199">
        <v>1</v>
      </c>
      <c r="I959" s="199"/>
      <c r="J959" s="219"/>
      <c r="K959" s="217">
        <f t="shared" si="21"/>
        <v>3.5874999999999999</v>
      </c>
      <c r="L959" s="245" t="s">
        <v>2004</v>
      </c>
    </row>
    <row r="960" spans="2:12">
      <c r="B960" s="197" t="s">
        <v>2007</v>
      </c>
      <c r="C960" s="189" t="s">
        <v>1998</v>
      </c>
      <c r="D960" s="190" t="s">
        <v>169</v>
      </c>
      <c r="E960" s="199">
        <v>4.0199999999999996</v>
      </c>
      <c r="F960" s="199">
        <v>0.25</v>
      </c>
      <c r="G960" s="199">
        <v>1</v>
      </c>
      <c r="H960" s="199">
        <v>1</v>
      </c>
      <c r="I960" s="199"/>
      <c r="J960" s="219"/>
      <c r="K960" s="217">
        <f t="shared" si="21"/>
        <v>1.0049999999999999</v>
      </c>
      <c r="L960" s="245" t="s">
        <v>2004</v>
      </c>
    </row>
    <row r="961" spans="2:12">
      <c r="B961" s="197" t="s">
        <v>2008</v>
      </c>
      <c r="C961" s="189" t="s">
        <v>1998</v>
      </c>
      <c r="D961" s="190" t="s">
        <v>169</v>
      </c>
      <c r="E961" s="199">
        <v>11.03</v>
      </c>
      <c r="F961" s="199">
        <v>0.15</v>
      </c>
      <c r="G961" s="199">
        <v>1</v>
      </c>
      <c r="H961" s="199">
        <v>1</v>
      </c>
      <c r="I961" s="199"/>
      <c r="J961" s="219"/>
      <c r="K961" s="217">
        <f t="shared" si="21"/>
        <v>1.6544999999999999</v>
      </c>
      <c r="L961" s="245" t="s">
        <v>2004</v>
      </c>
    </row>
    <row r="962" spans="2:12">
      <c r="B962" s="197" t="s">
        <v>2009</v>
      </c>
      <c r="C962" s="189" t="s">
        <v>1998</v>
      </c>
      <c r="D962" s="190" t="s">
        <v>169</v>
      </c>
      <c r="E962" s="199">
        <v>14.73</v>
      </c>
      <c r="F962" s="199">
        <v>0.25</v>
      </c>
      <c r="G962" s="199">
        <v>0.6</v>
      </c>
      <c r="H962" s="199">
        <v>1</v>
      </c>
      <c r="I962" s="199"/>
      <c r="J962" s="219"/>
      <c r="K962" s="217">
        <f t="shared" si="21"/>
        <v>2.2094999999999998</v>
      </c>
      <c r="L962" s="245" t="s">
        <v>2004</v>
      </c>
    </row>
    <row r="963" spans="2:12">
      <c r="B963" s="197" t="s">
        <v>2010</v>
      </c>
      <c r="C963" s="189" t="s">
        <v>1998</v>
      </c>
      <c r="D963" s="190" t="s">
        <v>169</v>
      </c>
      <c r="E963" s="199">
        <v>4.74</v>
      </c>
      <c r="F963" s="199">
        <v>0.15</v>
      </c>
      <c r="G963" s="199">
        <v>0.6</v>
      </c>
      <c r="H963" s="199">
        <v>1</v>
      </c>
      <c r="I963" s="199"/>
      <c r="J963" s="219"/>
      <c r="K963" s="217">
        <f t="shared" si="21"/>
        <v>0.42659999999999998</v>
      </c>
      <c r="L963" s="245" t="s">
        <v>2004</v>
      </c>
    </row>
    <row r="964" spans="2:12">
      <c r="B964" s="197" t="s">
        <v>2011</v>
      </c>
      <c r="C964" s="189" t="s">
        <v>1998</v>
      </c>
      <c r="D964" s="190" t="s">
        <v>169</v>
      </c>
      <c r="E964" s="199">
        <v>5.6</v>
      </c>
      <c r="F964" s="199">
        <v>0.3</v>
      </c>
      <c r="G964" s="199">
        <v>0.6</v>
      </c>
      <c r="H964" s="199">
        <v>1</v>
      </c>
      <c r="I964" s="199"/>
      <c r="J964" s="219"/>
      <c r="K964" s="217">
        <f t="shared" si="21"/>
        <v>1.008</v>
      </c>
      <c r="L964" s="245" t="s">
        <v>2004</v>
      </c>
    </row>
    <row r="965" spans="2:12">
      <c r="B965" s="197" t="s">
        <v>2012</v>
      </c>
      <c r="C965" s="189" t="s">
        <v>1998</v>
      </c>
      <c r="D965" s="190" t="s">
        <v>169</v>
      </c>
      <c r="E965" s="199">
        <v>14.52</v>
      </c>
      <c r="F965" s="199">
        <v>0.15</v>
      </c>
      <c r="G965" s="199">
        <v>1</v>
      </c>
      <c r="H965" s="199">
        <v>1</v>
      </c>
      <c r="I965" s="199"/>
      <c r="J965" s="219"/>
      <c r="K965" s="217">
        <f t="shared" si="21"/>
        <v>2.1779999999999999</v>
      </c>
      <c r="L965" s="245" t="s">
        <v>2004</v>
      </c>
    </row>
    <row r="966" spans="2:12">
      <c r="B966" s="197" t="s">
        <v>2013</v>
      </c>
      <c r="C966" s="189" t="s">
        <v>1998</v>
      </c>
      <c r="D966" s="190" t="s">
        <v>169</v>
      </c>
      <c r="E966" s="199">
        <v>0.2</v>
      </c>
      <c r="F966" s="199">
        <v>0.25</v>
      </c>
      <c r="G966" s="199">
        <v>1</v>
      </c>
      <c r="H966" s="199">
        <v>1</v>
      </c>
      <c r="I966" s="199"/>
      <c r="J966" s="219"/>
      <c r="K966" s="217">
        <f t="shared" si="21"/>
        <v>0.05</v>
      </c>
      <c r="L966" s="245" t="s">
        <v>2004</v>
      </c>
    </row>
    <row r="967" spans="2:12">
      <c r="B967" s="197" t="s">
        <v>2013</v>
      </c>
      <c r="C967" s="189" t="s">
        <v>1998</v>
      </c>
      <c r="D967" s="190" t="s">
        <v>169</v>
      </c>
      <c r="E967" s="199">
        <v>7.31</v>
      </c>
      <c r="F967" s="199">
        <v>0.15</v>
      </c>
      <c r="G967" s="199">
        <v>1</v>
      </c>
      <c r="H967" s="199">
        <v>1</v>
      </c>
      <c r="I967" s="199"/>
      <c r="J967" s="219"/>
      <c r="K967" s="217">
        <f t="shared" si="21"/>
        <v>1.0964999999999998</v>
      </c>
      <c r="L967" s="245" t="s">
        <v>2004</v>
      </c>
    </row>
    <row r="968" spans="2:12">
      <c r="B968" s="197" t="s">
        <v>2014</v>
      </c>
      <c r="C968" s="189" t="s">
        <v>1998</v>
      </c>
      <c r="D968" s="190" t="s">
        <v>169</v>
      </c>
      <c r="E968" s="199">
        <v>10.9</v>
      </c>
      <c r="F968" s="199">
        <v>0.4</v>
      </c>
      <c r="G968" s="199">
        <v>0.6</v>
      </c>
      <c r="H968" s="199">
        <v>1</v>
      </c>
      <c r="I968" s="199"/>
      <c r="J968" s="219"/>
      <c r="K968" s="217">
        <f t="shared" si="21"/>
        <v>2.6160000000000001</v>
      </c>
      <c r="L968" s="245" t="s">
        <v>2004</v>
      </c>
    </row>
    <row r="969" spans="2:12">
      <c r="B969" s="197" t="s">
        <v>2015</v>
      </c>
      <c r="C969" s="189" t="s">
        <v>1998</v>
      </c>
      <c r="D969" s="190" t="s">
        <v>169</v>
      </c>
      <c r="E969" s="199">
        <v>10</v>
      </c>
      <c r="F969" s="199">
        <v>0.15</v>
      </c>
      <c r="G969" s="199">
        <v>1</v>
      </c>
      <c r="H969" s="199">
        <v>1</v>
      </c>
      <c r="I969" s="199"/>
      <c r="J969" s="219"/>
      <c r="K969" s="217">
        <f t="shared" si="21"/>
        <v>1.5</v>
      </c>
      <c r="L969" s="245" t="s">
        <v>2004</v>
      </c>
    </row>
    <row r="970" spans="2:12">
      <c r="B970" s="197" t="s">
        <v>2015</v>
      </c>
      <c r="C970" s="189" t="s">
        <v>1998</v>
      </c>
      <c r="D970" s="190" t="s">
        <v>169</v>
      </c>
      <c r="E970" s="199">
        <v>0.18</v>
      </c>
      <c r="F970" s="199">
        <v>0.25</v>
      </c>
      <c r="G970" s="199">
        <v>1</v>
      </c>
      <c r="H970" s="199">
        <v>1</v>
      </c>
      <c r="I970" s="199"/>
      <c r="J970" s="219"/>
      <c r="K970" s="217">
        <f t="shared" si="21"/>
        <v>4.4999999999999998E-2</v>
      </c>
      <c r="L970" s="245" t="s">
        <v>2004</v>
      </c>
    </row>
    <row r="971" spans="2:12">
      <c r="B971" s="197" t="s">
        <v>2016</v>
      </c>
      <c r="C971" s="189" t="s">
        <v>1998</v>
      </c>
      <c r="D971" s="190" t="s">
        <v>169</v>
      </c>
      <c r="E971" s="199">
        <v>2.54</v>
      </c>
      <c r="F971" s="199">
        <v>0.15</v>
      </c>
      <c r="G971" s="199">
        <v>0.6</v>
      </c>
      <c r="H971" s="199">
        <v>1</v>
      </c>
      <c r="I971" s="199"/>
      <c r="J971" s="219"/>
      <c r="K971" s="217">
        <f t="shared" si="21"/>
        <v>0.2286</v>
      </c>
      <c r="L971" s="245" t="s">
        <v>2004</v>
      </c>
    </row>
    <row r="972" spans="2:12">
      <c r="B972" s="197" t="s">
        <v>2017</v>
      </c>
      <c r="C972" s="189" t="s">
        <v>1998</v>
      </c>
      <c r="D972" s="190" t="s">
        <v>169</v>
      </c>
      <c r="E972" s="199">
        <v>9.35</v>
      </c>
      <c r="F972" s="199">
        <v>0.15</v>
      </c>
      <c r="G972" s="199">
        <v>0.6</v>
      </c>
      <c r="H972" s="199">
        <v>1</v>
      </c>
      <c r="I972" s="199"/>
      <c r="J972" s="219"/>
      <c r="K972" s="217">
        <f t="shared" si="21"/>
        <v>0.84149999999999991</v>
      </c>
      <c r="L972" s="245" t="s">
        <v>2004</v>
      </c>
    </row>
    <row r="973" spans="2:12">
      <c r="B973" s="197" t="s">
        <v>2018</v>
      </c>
      <c r="C973" s="189" t="s">
        <v>1998</v>
      </c>
      <c r="D973" s="190" t="s">
        <v>169</v>
      </c>
      <c r="E973" s="199">
        <v>4.75</v>
      </c>
      <c r="F973" s="199">
        <v>0.15</v>
      </c>
      <c r="G973" s="199">
        <v>1</v>
      </c>
      <c r="H973" s="199">
        <v>1</v>
      </c>
      <c r="I973" s="199"/>
      <c r="J973" s="219"/>
      <c r="K973" s="217">
        <f t="shared" si="21"/>
        <v>0.71250000000000002</v>
      </c>
      <c r="L973" s="245" t="s">
        <v>2004</v>
      </c>
    </row>
    <row r="974" spans="2:12">
      <c r="B974" s="197" t="s">
        <v>2018</v>
      </c>
      <c r="C974" s="189" t="s">
        <v>1998</v>
      </c>
      <c r="D974" s="190" t="s">
        <v>169</v>
      </c>
      <c r="E974" s="199">
        <v>0.86</v>
      </c>
      <c r="F974" s="199">
        <v>0.3</v>
      </c>
      <c r="G974" s="199">
        <v>1</v>
      </c>
      <c r="H974" s="199">
        <v>1</v>
      </c>
      <c r="I974" s="199"/>
      <c r="J974" s="219"/>
      <c r="K974" s="217">
        <f t="shared" si="21"/>
        <v>0.25800000000000001</v>
      </c>
      <c r="L974" s="245" t="s">
        <v>2004</v>
      </c>
    </row>
    <row r="975" spans="2:12">
      <c r="B975" s="197" t="s">
        <v>2019</v>
      </c>
      <c r="C975" s="189" t="s">
        <v>1998</v>
      </c>
      <c r="D975" s="190" t="s">
        <v>169</v>
      </c>
      <c r="E975" s="199">
        <v>4.1500000000000004</v>
      </c>
      <c r="F975" s="199">
        <v>0.15</v>
      </c>
      <c r="G975" s="199">
        <v>1</v>
      </c>
      <c r="H975" s="199">
        <v>1</v>
      </c>
      <c r="I975" s="199"/>
      <c r="J975" s="219"/>
      <c r="K975" s="217">
        <f t="shared" si="21"/>
        <v>0.62250000000000005</v>
      </c>
      <c r="L975" s="245" t="s">
        <v>2004</v>
      </c>
    </row>
    <row r="976" spans="2:12">
      <c r="B976" s="197" t="s">
        <v>2019</v>
      </c>
      <c r="C976" s="189" t="s">
        <v>1998</v>
      </c>
      <c r="D976" s="190" t="s">
        <v>169</v>
      </c>
      <c r="E976" s="199">
        <v>1.18</v>
      </c>
      <c r="F976" s="199">
        <v>0.25</v>
      </c>
      <c r="G976" s="199">
        <v>1</v>
      </c>
      <c r="H976" s="199">
        <v>1</v>
      </c>
      <c r="I976" s="199"/>
      <c r="J976" s="219"/>
      <c r="K976" s="217">
        <f t="shared" si="21"/>
        <v>0.29499999999999998</v>
      </c>
      <c r="L976" s="245" t="s">
        <v>2004</v>
      </c>
    </row>
    <row r="977" spans="2:12">
      <c r="B977" s="197" t="s">
        <v>2020</v>
      </c>
      <c r="C977" s="189" t="s">
        <v>1998</v>
      </c>
      <c r="D977" s="190" t="s">
        <v>169</v>
      </c>
      <c r="E977" s="199">
        <v>1.24</v>
      </c>
      <c r="F977" s="199">
        <v>0.2</v>
      </c>
      <c r="G977" s="199">
        <v>0.6</v>
      </c>
      <c r="H977" s="199">
        <v>1</v>
      </c>
      <c r="I977" s="199"/>
      <c r="J977" s="219"/>
      <c r="K977" s="217">
        <f t="shared" si="21"/>
        <v>0.14879999999999999</v>
      </c>
      <c r="L977" s="245" t="s">
        <v>2004</v>
      </c>
    </row>
    <row r="978" spans="2:12">
      <c r="B978" s="197" t="s">
        <v>2021</v>
      </c>
      <c r="C978" s="189" t="s">
        <v>1998</v>
      </c>
      <c r="D978" s="190" t="s">
        <v>169</v>
      </c>
      <c r="E978" s="199">
        <v>9.6</v>
      </c>
      <c r="F978" s="199">
        <v>0.2</v>
      </c>
      <c r="G978" s="199">
        <v>0.7</v>
      </c>
      <c r="H978" s="199">
        <v>1</v>
      </c>
      <c r="I978" s="199"/>
      <c r="J978" s="219"/>
      <c r="K978" s="217">
        <f t="shared" si="21"/>
        <v>1.3439999999999999</v>
      </c>
      <c r="L978" s="245" t="s">
        <v>2004</v>
      </c>
    </row>
    <row r="979" spans="2:12">
      <c r="B979" s="197" t="s">
        <v>2022</v>
      </c>
      <c r="C979" s="189" t="s">
        <v>1998</v>
      </c>
      <c r="D979" s="190" t="s">
        <v>169</v>
      </c>
      <c r="E979" s="199">
        <v>2.98</v>
      </c>
      <c r="F979" s="199">
        <v>0.15</v>
      </c>
      <c r="G979" s="199">
        <v>1</v>
      </c>
      <c r="H979" s="199">
        <v>1</v>
      </c>
      <c r="I979" s="199"/>
      <c r="J979" s="219"/>
      <c r="K979" s="217">
        <f t="shared" si="21"/>
        <v>0.44700000000000001</v>
      </c>
      <c r="L979" s="245" t="s">
        <v>2004</v>
      </c>
    </row>
    <row r="980" spans="2:12">
      <c r="B980" s="197" t="s">
        <v>2023</v>
      </c>
      <c r="C980" s="189" t="s">
        <v>1998</v>
      </c>
      <c r="D980" s="190" t="s">
        <v>169</v>
      </c>
      <c r="E980" s="199">
        <v>1.24</v>
      </c>
      <c r="F980" s="199">
        <v>0.2</v>
      </c>
      <c r="G980" s="199">
        <v>0.6</v>
      </c>
      <c r="H980" s="199">
        <v>1</v>
      </c>
      <c r="I980" s="199"/>
      <c r="J980" s="219"/>
      <c r="K980" s="217">
        <f t="shared" si="21"/>
        <v>0.14879999999999999</v>
      </c>
      <c r="L980" s="245" t="s">
        <v>2004</v>
      </c>
    </row>
    <row r="981" spans="2:12">
      <c r="B981" s="197" t="s">
        <v>2024</v>
      </c>
      <c r="C981" s="189" t="s">
        <v>1998</v>
      </c>
      <c r="D981" s="190" t="s">
        <v>169</v>
      </c>
      <c r="E981" s="199">
        <v>1.94</v>
      </c>
      <c r="F981" s="199">
        <v>0.2</v>
      </c>
      <c r="G981" s="199">
        <v>1</v>
      </c>
      <c r="H981" s="199">
        <v>1</v>
      </c>
      <c r="I981" s="199"/>
      <c r="J981" s="219"/>
      <c r="K981" s="217">
        <f t="shared" si="21"/>
        <v>0.38800000000000001</v>
      </c>
      <c r="L981" s="245" t="s">
        <v>2004</v>
      </c>
    </row>
    <row r="982" spans="2:12">
      <c r="B982" s="197"/>
      <c r="C982" s="189"/>
      <c r="D982" s="190"/>
      <c r="E982" s="199"/>
      <c r="F982" s="199"/>
      <c r="G982" s="199"/>
      <c r="H982" s="199"/>
      <c r="I982" s="199"/>
      <c r="J982" s="219"/>
      <c r="K982" s="217">
        <f t="shared" si="21"/>
        <v>0</v>
      </c>
      <c r="L982" s="218"/>
    </row>
    <row r="983" spans="2:12">
      <c r="B983" s="208"/>
      <c r="C983" s="204"/>
      <c r="D983" s="204"/>
      <c r="E983" s="204"/>
      <c r="F983" s="204"/>
      <c r="G983" s="204"/>
      <c r="H983" s="204"/>
      <c r="I983" s="557" t="s">
        <v>1221</v>
      </c>
      <c r="J983" s="557"/>
      <c r="K983" s="262">
        <f>SUM(K760:K982)</f>
        <v>304.28775000000013</v>
      </c>
      <c r="L983" s="207"/>
    </row>
    <row r="984" spans="2:12">
      <c r="B984" s="208"/>
      <c r="C984" s="204"/>
      <c r="D984" s="204"/>
      <c r="E984" s="204"/>
      <c r="F984" s="204"/>
      <c r="G984" s="204"/>
      <c r="H984" s="209"/>
      <c r="I984" s="557" t="s">
        <v>1222</v>
      </c>
      <c r="J984" s="557"/>
      <c r="K984" s="221">
        <f>VLOOKUP(B758,'BM 004'!$B$27:$R$590,4,0)</f>
        <v>364.43</v>
      </c>
      <c r="L984" s="207"/>
    </row>
    <row r="985" spans="2:12">
      <c r="B985" s="208"/>
      <c r="C985" s="204"/>
      <c r="D985" s="204"/>
      <c r="E985" s="204"/>
      <c r="F985" s="204"/>
      <c r="G985" s="204"/>
      <c r="H985" s="558" t="s">
        <v>1223</v>
      </c>
      <c r="I985" s="558"/>
      <c r="J985" s="558"/>
      <c r="K985" s="222">
        <v>277.85005000000001</v>
      </c>
      <c r="L985" s="207"/>
    </row>
    <row r="986" spans="2:12">
      <c r="B986" s="208"/>
      <c r="C986" s="204"/>
      <c r="D986" s="204"/>
      <c r="E986" s="204"/>
      <c r="F986" s="204"/>
      <c r="G986" s="204"/>
      <c r="H986" s="558" t="s">
        <v>1892</v>
      </c>
      <c r="I986" s="558"/>
      <c r="J986" s="558"/>
      <c r="K986" s="222">
        <f>TRUNC(SUMIF(C760:C982,H986,K760:K982),2)</f>
        <v>26.43</v>
      </c>
      <c r="L986" s="207"/>
    </row>
    <row r="987" spans="2:12">
      <c r="B987" s="213"/>
      <c r="C987" s="214"/>
      <c r="D987" s="214"/>
      <c r="E987" s="214"/>
      <c r="F987" s="214"/>
      <c r="G987" s="214"/>
      <c r="H987" s="559" t="s">
        <v>1224</v>
      </c>
      <c r="I987" s="559"/>
      <c r="J987" s="559"/>
      <c r="K987" s="223">
        <f>IF(K983&gt;K984,K983-K984,0)</f>
        <v>0</v>
      </c>
      <c r="L987" s="209"/>
    </row>
    <row r="989" spans="2:12">
      <c r="B989" s="247" t="s">
        <v>220</v>
      </c>
      <c r="C989" s="565" t="str">
        <f>VLOOKUP(B989,'BM 004'!$B$27:$R$590,2,0)</f>
        <v xml:space="preserve">Armação de pilar ou viga de uma estrutura convencional de concreto armado em um edifício de múltiplos pavimentos utilizando aço ca-60 de 5,0 mm - montagem. </v>
      </c>
      <c r="D989" s="565"/>
      <c r="E989" s="565"/>
      <c r="F989" s="565"/>
      <c r="G989" s="565"/>
      <c r="H989" s="565"/>
      <c r="I989" s="565"/>
      <c r="J989" s="565"/>
      <c r="K989" s="565"/>
      <c r="L989" s="565"/>
    </row>
    <row r="990" spans="2:12">
      <c r="B990" s="248" t="s">
        <v>1209</v>
      </c>
      <c r="C990" s="248"/>
      <c r="D990" s="248" t="s">
        <v>39</v>
      </c>
      <c r="E990" s="248" t="s">
        <v>1210</v>
      </c>
      <c r="F990" s="248" t="s">
        <v>1382</v>
      </c>
      <c r="G990" s="248" t="s">
        <v>1383</v>
      </c>
      <c r="H990" s="248" t="s">
        <v>1384</v>
      </c>
      <c r="I990" s="248" t="s">
        <v>1214</v>
      </c>
      <c r="J990" s="248" t="s">
        <v>1385</v>
      </c>
      <c r="K990" s="248" t="s">
        <v>1216</v>
      </c>
      <c r="L990" s="248" t="s">
        <v>1217</v>
      </c>
    </row>
    <row r="991" spans="2:12">
      <c r="B991" s="249" t="s">
        <v>1387</v>
      </c>
      <c r="C991" s="250" t="s">
        <v>1333</v>
      </c>
      <c r="D991" s="205" t="s">
        <v>152</v>
      </c>
      <c r="E991" s="251">
        <v>208</v>
      </c>
      <c r="F991" s="252">
        <v>0.154</v>
      </c>
      <c r="G991" s="251">
        <v>1.1000000000000001</v>
      </c>
      <c r="H991" s="251">
        <v>0.55000000000000004</v>
      </c>
      <c r="I991" s="251"/>
      <c r="J991" s="253"/>
      <c r="K991" s="254">
        <f t="shared" ref="K991:K1003" si="22">IF(E991*F991*G991&lt;&gt;0,E991*F991*G991,IF(E991*F991&lt;&gt;0,E991*F991,IF(F991*G991&lt;&gt;0,F991*G991,IF(E991*G991&lt;&gt;0,E991*G991,IF(E991&lt;&gt;0,E991,IF(F991&lt;&gt;0,F991,IF(G991&lt;&gt;0,G991,0)))))))*(IF(H991&lt;&gt;0,H991,1))+I991-J991</f>
        <v>19.379360000000002</v>
      </c>
      <c r="L991" s="255"/>
    </row>
    <row r="992" spans="2:12">
      <c r="B992" s="249" t="s">
        <v>1480</v>
      </c>
      <c r="C992" s="250" t="s">
        <v>1441</v>
      </c>
      <c r="D992" s="205" t="s">
        <v>152</v>
      </c>
      <c r="E992" s="251">
        <v>1109</v>
      </c>
      <c r="F992" s="252">
        <f>F991</f>
        <v>0.154</v>
      </c>
      <c r="G992" s="251">
        <f>G991</f>
        <v>1.1000000000000001</v>
      </c>
      <c r="H992" s="251">
        <v>0.5</v>
      </c>
      <c r="I992" s="251"/>
      <c r="J992" s="253"/>
      <c r="K992" s="254">
        <f t="shared" si="22"/>
        <v>93.932300000000012</v>
      </c>
      <c r="L992" s="205"/>
    </row>
    <row r="993" spans="2:12">
      <c r="B993" s="249" t="s">
        <v>1555</v>
      </c>
      <c r="C993" s="250" t="s">
        <v>1441</v>
      </c>
      <c r="D993" s="205" t="s">
        <v>152</v>
      </c>
      <c r="E993" s="251"/>
      <c r="F993" s="252"/>
      <c r="G993" s="251"/>
      <c r="H993" s="251">
        <v>0</v>
      </c>
      <c r="I993" s="251"/>
      <c r="J993" s="253"/>
      <c r="K993" s="254">
        <f t="shared" si="22"/>
        <v>0</v>
      </c>
      <c r="L993" s="205"/>
    </row>
    <row r="994" spans="2:12">
      <c r="B994" s="249" t="s">
        <v>1681</v>
      </c>
      <c r="C994" s="250" t="s">
        <v>1611</v>
      </c>
      <c r="D994" s="205" t="s">
        <v>152</v>
      </c>
      <c r="E994" s="251">
        <v>735</v>
      </c>
      <c r="F994" s="252">
        <v>0.154</v>
      </c>
      <c r="G994" s="251">
        <v>1.1000000000000001</v>
      </c>
      <c r="H994" s="251">
        <v>0.3</v>
      </c>
      <c r="I994" s="251"/>
      <c r="J994" s="253"/>
      <c r="K994" s="254">
        <f t="shared" si="22"/>
        <v>37.352700000000006</v>
      </c>
      <c r="L994" s="205"/>
    </row>
    <row r="995" spans="2:12">
      <c r="B995" s="249" t="s">
        <v>1681</v>
      </c>
      <c r="C995" s="250" t="s">
        <v>1612</v>
      </c>
      <c r="D995" s="205" t="s">
        <v>152</v>
      </c>
      <c r="E995" s="251">
        <v>735</v>
      </c>
      <c r="F995" s="252">
        <v>0.154</v>
      </c>
      <c r="G995" s="251">
        <v>1.1000000000000001</v>
      </c>
      <c r="H995" s="251">
        <v>0.3</v>
      </c>
      <c r="I995" s="251"/>
      <c r="J995" s="253"/>
      <c r="K995" s="254">
        <f t="shared" si="22"/>
        <v>37.352700000000006</v>
      </c>
      <c r="L995" s="205"/>
    </row>
    <row r="996" spans="2:12">
      <c r="B996" s="249" t="s">
        <v>1681</v>
      </c>
      <c r="C996" s="250" t="s">
        <v>1613</v>
      </c>
      <c r="D996" s="205" t="s">
        <v>152</v>
      </c>
      <c r="E996" s="251">
        <v>735</v>
      </c>
      <c r="F996" s="252">
        <v>0.154</v>
      </c>
      <c r="G996" s="251">
        <v>1.1000000000000001</v>
      </c>
      <c r="H996" s="251">
        <v>0.2</v>
      </c>
      <c r="I996" s="251"/>
      <c r="J996" s="253"/>
      <c r="K996" s="254">
        <f t="shared" si="22"/>
        <v>24.901800000000005</v>
      </c>
      <c r="L996" s="205"/>
    </row>
    <row r="997" spans="2:12">
      <c r="B997" s="249" t="s">
        <v>1387</v>
      </c>
      <c r="C997" s="250" t="s">
        <v>1895</v>
      </c>
      <c r="D997" s="205" t="s">
        <v>152</v>
      </c>
      <c r="E997" s="251">
        <v>208</v>
      </c>
      <c r="F997" s="252">
        <v>0.154</v>
      </c>
      <c r="G997" s="251">
        <v>1.1000000000000001</v>
      </c>
      <c r="H997" s="251">
        <v>0.15</v>
      </c>
      <c r="I997" s="251"/>
      <c r="J997" s="253"/>
      <c r="K997" s="254">
        <f t="shared" si="22"/>
        <v>5.2852799999999993</v>
      </c>
      <c r="L997" s="255"/>
    </row>
    <row r="998" spans="2:12">
      <c r="B998" s="249" t="s">
        <v>1480</v>
      </c>
      <c r="C998" s="250" t="s">
        <v>1895</v>
      </c>
      <c r="D998" s="205" t="s">
        <v>152</v>
      </c>
      <c r="E998" s="251">
        <v>1109</v>
      </c>
      <c r="F998" s="252">
        <f>F997</f>
        <v>0.154</v>
      </c>
      <c r="G998" s="251">
        <f>G997</f>
        <v>1.1000000000000001</v>
      </c>
      <c r="H998" s="251">
        <v>0.3</v>
      </c>
      <c r="I998" s="251"/>
      <c r="J998" s="253"/>
      <c r="K998" s="254">
        <f t="shared" si="22"/>
        <v>56.359380000000009</v>
      </c>
      <c r="L998" s="205"/>
    </row>
    <row r="999" spans="2:12">
      <c r="B999" s="249" t="s">
        <v>1387</v>
      </c>
      <c r="C999" s="250" t="s">
        <v>1931</v>
      </c>
      <c r="D999" s="205" t="s">
        <v>152</v>
      </c>
      <c r="E999" s="251">
        <v>208</v>
      </c>
      <c r="F999" s="252">
        <v>0.154</v>
      </c>
      <c r="G999" s="251">
        <v>1.1000000000000001</v>
      </c>
      <c r="H999" s="251">
        <v>0.2</v>
      </c>
      <c r="I999" s="251"/>
      <c r="J999" s="253"/>
      <c r="K999" s="254">
        <f t="shared" si="22"/>
        <v>7.04704</v>
      </c>
      <c r="L999" s="255"/>
    </row>
    <row r="1000" spans="2:12">
      <c r="B1000" s="249" t="s">
        <v>1387</v>
      </c>
      <c r="C1000" s="250" t="s">
        <v>1998</v>
      </c>
      <c r="D1000" s="205" t="s">
        <v>152</v>
      </c>
      <c r="E1000" s="251">
        <v>208</v>
      </c>
      <c r="F1000" s="252">
        <v>0.154</v>
      </c>
      <c r="G1000" s="251">
        <v>1.1000000000000001</v>
      </c>
      <c r="H1000" s="251">
        <v>0.1</v>
      </c>
      <c r="I1000" s="251"/>
      <c r="J1000" s="253"/>
      <c r="K1000" s="254">
        <f t="shared" si="22"/>
        <v>3.52352</v>
      </c>
      <c r="L1000" s="255"/>
    </row>
    <row r="1001" spans="2:12">
      <c r="B1001" s="249" t="s">
        <v>1480</v>
      </c>
      <c r="C1001" s="250" t="s">
        <v>1998</v>
      </c>
      <c r="D1001" s="205" t="s">
        <v>152</v>
      </c>
      <c r="E1001" s="251">
        <v>1109</v>
      </c>
      <c r="F1001" s="252">
        <f>F1000</f>
        <v>0.154</v>
      </c>
      <c r="G1001" s="251">
        <f>G1000</f>
        <v>1.1000000000000001</v>
      </c>
      <c r="H1001" s="251">
        <v>0.2</v>
      </c>
      <c r="I1001" s="251"/>
      <c r="J1001" s="253"/>
      <c r="K1001" s="254">
        <f t="shared" si="22"/>
        <v>37.572920000000003</v>
      </c>
      <c r="L1001" s="205"/>
    </row>
    <row r="1002" spans="2:12">
      <c r="B1002" s="249" t="s">
        <v>1555</v>
      </c>
      <c r="C1002" s="250" t="s">
        <v>1998</v>
      </c>
      <c r="D1002" s="205" t="s">
        <v>152</v>
      </c>
      <c r="E1002" s="251"/>
      <c r="F1002" s="252"/>
      <c r="G1002" s="251"/>
      <c r="H1002" s="251">
        <v>0</v>
      </c>
      <c r="I1002" s="251"/>
      <c r="J1002" s="253"/>
      <c r="K1002" s="254">
        <f t="shared" si="22"/>
        <v>0</v>
      </c>
      <c r="L1002" s="205"/>
    </row>
    <row r="1003" spans="2:12">
      <c r="B1003" s="267"/>
      <c r="C1003" s="205"/>
      <c r="D1003" s="205"/>
      <c r="E1003" s="251"/>
      <c r="F1003" s="252"/>
      <c r="G1003" s="251"/>
      <c r="H1003" s="251"/>
      <c r="I1003" s="251"/>
      <c r="J1003" s="253"/>
      <c r="K1003" s="254">
        <f t="shared" si="22"/>
        <v>0</v>
      </c>
      <c r="L1003" s="205"/>
    </row>
    <row r="1004" spans="2:12">
      <c r="B1004" s="208"/>
      <c r="C1004" s="204"/>
      <c r="D1004" s="204"/>
      <c r="E1004" s="204"/>
      <c r="F1004" s="204"/>
      <c r="G1004" s="204"/>
      <c r="H1004" s="204"/>
      <c r="I1004" s="556" t="s">
        <v>1221</v>
      </c>
      <c r="J1004" s="556"/>
      <c r="K1004" s="262">
        <f>SUM(K991:K1003)</f>
        <v>322.70700000000005</v>
      </c>
      <c r="L1004" s="207"/>
    </row>
    <row r="1005" spans="2:12">
      <c r="B1005" s="208"/>
      <c r="C1005" s="204"/>
      <c r="D1005" s="204"/>
      <c r="E1005" s="204"/>
      <c r="F1005" s="204"/>
      <c r="G1005" s="204"/>
      <c r="H1005" s="209"/>
      <c r="I1005" s="557" t="s">
        <v>1222</v>
      </c>
      <c r="J1005" s="557"/>
      <c r="K1005" s="221">
        <f>VLOOKUP(B989,'BM 004'!$B$27:$R$590,4,0)</f>
        <v>347.6</v>
      </c>
      <c r="L1005" s="207"/>
    </row>
    <row r="1006" spans="2:12">
      <c r="B1006" s="208"/>
      <c r="C1006" s="204"/>
      <c r="D1006" s="204"/>
      <c r="E1006" s="204"/>
      <c r="F1006" s="204"/>
      <c r="G1006" s="204"/>
      <c r="H1006" s="558" t="s">
        <v>1223</v>
      </c>
      <c r="I1006" s="558"/>
      <c r="J1006" s="558"/>
      <c r="K1006" s="222">
        <v>281.61056000000002</v>
      </c>
      <c r="L1006" s="207"/>
    </row>
    <row r="1007" spans="2:12">
      <c r="B1007" s="208"/>
      <c r="C1007" s="204"/>
      <c r="D1007" s="204"/>
      <c r="E1007" s="204"/>
      <c r="F1007" s="204"/>
      <c r="G1007" s="204"/>
      <c r="H1007" s="558" t="s">
        <v>1892</v>
      </c>
      <c r="I1007" s="558"/>
      <c r="J1007" s="558"/>
      <c r="K1007" s="222">
        <f>TRUNC(SUMIF(C991:C1003,H1007,K991:K1003),2)</f>
        <v>41.09</v>
      </c>
      <c r="L1007" s="207"/>
    </row>
    <row r="1008" spans="2:12">
      <c r="B1008" s="213"/>
      <c r="C1008" s="214"/>
      <c r="D1008" s="214"/>
      <c r="E1008" s="214"/>
      <c r="F1008" s="214"/>
      <c r="G1008" s="214"/>
      <c r="H1008" s="559" t="s">
        <v>1224</v>
      </c>
      <c r="I1008" s="559"/>
      <c r="J1008" s="559"/>
      <c r="K1008" s="223">
        <f>IF(K1004&gt;K1005,K1004-K1005,0)</f>
        <v>0</v>
      </c>
      <c r="L1008" s="209"/>
    </row>
    <row r="1010" spans="2:12">
      <c r="B1010" s="247" t="s">
        <v>221</v>
      </c>
      <c r="C1010" s="565" t="str">
        <f>VLOOKUP(B1010,'BM 004'!$B$27:$R$590,2,0)</f>
        <v>Armação de pilar ou viga de uma estrutura convencional de concreto armado em um edifício de múltiplos pavimentos utilizando aço ca-50 de 6,3 mm - montagem.</v>
      </c>
      <c r="D1010" s="565"/>
      <c r="E1010" s="565"/>
      <c r="F1010" s="565"/>
      <c r="G1010" s="565"/>
      <c r="H1010" s="565"/>
      <c r="I1010" s="565"/>
      <c r="J1010" s="565"/>
      <c r="K1010" s="565"/>
      <c r="L1010" s="565"/>
    </row>
    <row r="1011" spans="2:12">
      <c r="B1011" s="248" t="s">
        <v>1209</v>
      </c>
      <c r="C1011" s="248"/>
      <c r="D1011" s="248" t="s">
        <v>39</v>
      </c>
      <c r="E1011" s="248" t="s">
        <v>1210</v>
      </c>
      <c r="F1011" s="248" t="s">
        <v>1382</v>
      </c>
      <c r="G1011" s="248" t="s">
        <v>1383</v>
      </c>
      <c r="H1011" s="248" t="s">
        <v>1384</v>
      </c>
      <c r="I1011" s="248" t="s">
        <v>1214</v>
      </c>
      <c r="J1011" s="248" t="s">
        <v>1385</v>
      </c>
      <c r="K1011" s="248" t="s">
        <v>1216</v>
      </c>
      <c r="L1011" s="248" t="s">
        <v>1217</v>
      </c>
    </row>
    <row r="1012" spans="2:12">
      <c r="B1012" s="249" t="s">
        <v>1387</v>
      </c>
      <c r="C1012" s="250" t="s">
        <v>1333</v>
      </c>
      <c r="D1012" s="205" t="s">
        <v>152</v>
      </c>
      <c r="E1012" s="251">
        <v>4472</v>
      </c>
      <c r="F1012" s="252">
        <v>0.245</v>
      </c>
      <c r="G1012" s="251">
        <v>1.1000000000000001</v>
      </c>
      <c r="H1012" s="251">
        <v>0.55000000000000004</v>
      </c>
      <c r="I1012" s="251"/>
      <c r="J1012" s="253"/>
      <c r="K1012" s="254">
        <f t="shared" ref="K1012:K1023" si="23">IF(E1012*F1012*G1012&lt;&gt;0,E1012*F1012*G1012,IF(E1012*F1012&lt;&gt;0,E1012*F1012,IF(F1012*G1012&lt;&gt;0,F1012*G1012,IF(E1012*G1012&lt;&gt;0,E1012*G1012,IF(E1012&lt;&gt;0,E1012,IF(F1012&lt;&gt;0,F1012,IF(G1012&lt;&gt;0,G1012,0)))))))*(IF(H1012&lt;&gt;0,H1012,1))+I1012-J1012</f>
        <v>662.86220000000003</v>
      </c>
      <c r="L1012" s="255"/>
    </row>
    <row r="1013" spans="2:12">
      <c r="B1013" s="249" t="s">
        <v>1480</v>
      </c>
      <c r="C1013" s="250" t="s">
        <v>1441</v>
      </c>
      <c r="D1013" s="205" t="s">
        <v>152</v>
      </c>
      <c r="E1013" s="251">
        <v>2134</v>
      </c>
      <c r="F1013" s="252">
        <f>F1012</f>
        <v>0.245</v>
      </c>
      <c r="G1013" s="251">
        <f>G1012</f>
        <v>1.1000000000000001</v>
      </c>
      <c r="H1013" s="251">
        <v>0.5</v>
      </c>
      <c r="I1013" s="251"/>
      <c r="J1013" s="253"/>
      <c r="K1013" s="254">
        <f t="shared" si="23"/>
        <v>287.55650000000003</v>
      </c>
      <c r="L1013" s="205"/>
    </row>
    <row r="1014" spans="2:12">
      <c r="B1014" s="249" t="s">
        <v>1555</v>
      </c>
      <c r="C1014" s="250" t="s">
        <v>1521</v>
      </c>
      <c r="D1014" s="205" t="s">
        <v>152</v>
      </c>
      <c r="E1014" s="251">
        <v>2992</v>
      </c>
      <c r="F1014" s="252">
        <f>F1013</f>
        <v>0.245</v>
      </c>
      <c r="G1014" s="251">
        <f>G1013</f>
        <v>1.1000000000000001</v>
      </c>
      <c r="H1014" s="251">
        <v>0.3</v>
      </c>
      <c r="I1014" s="251"/>
      <c r="J1014" s="253"/>
      <c r="K1014" s="254">
        <f t="shared" si="23"/>
        <v>241.9032</v>
      </c>
      <c r="L1014" s="205"/>
    </row>
    <row r="1015" spans="2:12">
      <c r="B1015" s="249" t="s">
        <v>1681</v>
      </c>
      <c r="C1015" s="250" t="s">
        <v>1611</v>
      </c>
      <c r="D1015" s="205" t="s">
        <v>152</v>
      </c>
      <c r="E1015" s="251">
        <v>3859</v>
      </c>
      <c r="F1015" s="252">
        <v>0.245</v>
      </c>
      <c r="G1015" s="251">
        <v>1.1000000000000001</v>
      </c>
      <c r="H1015" s="251">
        <v>0.3</v>
      </c>
      <c r="I1015" s="251"/>
      <c r="J1015" s="253"/>
      <c r="K1015" s="254">
        <f t="shared" si="23"/>
        <v>312.00015000000002</v>
      </c>
      <c r="L1015" s="205"/>
    </row>
    <row r="1016" spans="2:12">
      <c r="B1016" s="249" t="s">
        <v>1681</v>
      </c>
      <c r="C1016" s="250" t="s">
        <v>1612</v>
      </c>
      <c r="D1016" s="205" t="s">
        <v>152</v>
      </c>
      <c r="E1016" s="251">
        <v>3859</v>
      </c>
      <c r="F1016" s="252">
        <v>0.245</v>
      </c>
      <c r="G1016" s="251">
        <v>1.1000000000000001</v>
      </c>
      <c r="H1016" s="251">
        <v>0.3</v>
      </c>
      <c r="I1016" s="251"/>
      <c r="J1016" s="253"/>
      <c r="K1016" s="254">
        <f t="shared" si="23"/>
        <v>312.00015000000002</v>
      </c>
      <c r="L1016" s="205"/>
    </row>
    <row r="1017" spans="2:12">
      <c r="B1017" s="249" t="s">
        <v>1681</v>
      </c>
      <c r="C1017" s="250" t="s">
        <v>1613</v>
      </c>
      <c r="D1017" s="205" t="s">
        <v>152</v>
      </c>
      <c r="E1017" s="251">
        <v>3859</v>
      </c>
      <c r="F1017" s="252">
        <v>0.245</v>
      </c>
      <c r="G1017" s="251">
        <v>1.1000000000000001</v>
      </c>
      <c r="H1017" s="251">
        <v>0.2</v>
      </c>
      <c r="I1017" s="251"/>
      <c r="J1017" s="253"/>
      <c r="K1017" s="254">
        <f t="shared" si="23"/>
        <v>208.00010000000003</v>
      </c>
      <c r="L1017" s="205"/>
    </row>
    <row r="1018" spans="2:12">
      <c r="B1018" s="249" t="s">
        <v>1555</v>
      </c>
      <c r="C1018" s="250" t="s">
        <v>1895</v>
      </c>
      <c r="D1018" s="205" t="s">
        <v>152</v>
      </c>
      <c r="E1018" s="251">
        <v>2992</v>
      </c>
      <c r="F1018" s="252">
        <f>F1017</f>
        <v>0.245</v>
      </c>
      <c r="G1018" s="251">
        <f>G1017</f>
        <v>1.1000000000000001</v>
      </c>
      <c r="H1018" s="251">
        <v>0.2</v>
      </c>
      <c r="I1018" s="251"/>
      <c r="J1018" s="253"/>
      <c r="K1018" s="254">
        <f t="shared" si="23"/>
        <v>161.26880000000003</v>
      </c>
      <c r="L1018" s="205"/>
    </row>
    <row r="1019" spans="2:12">
      <c r="B1019" s="249" t="s">
        <v>1387</v>
      </c>
      <c r="C1019" s="250" t="s">
        <v>1931</v>
      </c>
      <c r="D1019" s="205" t="s">
        <v>152</v>
      </c>
      <c r="E1019" s="251">
        <v>4472</v>
      </c>
      <c r="F1019" s="252">
        <v>0.245</v>
      </c>
      <c r="G1019" s="251">
        <v>1.1000000000000001</v>
      </c>
      <c r="H1019" s="251">
        <v>0.2</v>
      </c>
      <c r="I1019" s="251"/>
      <c r="J1019" s="253"/>
      <c r="K1019" s="254">
        <f t="shared" si="23"/>
        <v>241.04079999999999</v>
      </c>
      <c r="L1019" s="255"/>
    </row>
    <row r="1020" spans="2:12">
      <c r="B1020" s="249" t="s">
        <v>1387</v>
      </c>
      <c r="C1020" s="250" t="s">
        <v>1998</v>
      </c>
      <c r="D1020" s="205" t="s">
        <v>152</v>
      </c>
      <c r="E1020" s="251">
        <v>4472</v>
      </c>
      <c r="F1020" s="252">
        <v>0.245</v>
      </c>
      <c r="G1020" s="251">
        <v>1.1000000000000001</v>
      </c>
      <c r="H1020" s="251">
        <v>0.25</v>
      </c>
      <c r="I1020" s="251"/>
      <c r="J1020" s="253"/>
      <c r="K1020" s="254">
        <f t="shared" si="23"/>
        <v>301.30099999999999</v>
      </c>
      <c r="L1020" s="255"/>
    </row>
    <row r="1021" spans="2:12">
      <c r="B1021" s="249" t="s">
        <v>1480</v>
      </c>
      <c r="C1021" s="250" t="s">
        <v>1998</v>
      </c>
      <c r="D1021" s="205" t="s">
        <v>152</v>
      </c>
      <c r="E1021" s="251">
        <v>2134</v>
      </c>
      <c r="F1021" s="252">
        <f>F1020</f>
        <v>0.245</v>
      </c>
      <c r="G1021" s="251">
        <f>G1020</f>
        <v>1.1000000000000001</v>
      </c>
      <c r="H1021" s="251">
        <v>0.5</v>
      </c>
      <c r="I1021" s="251"/>
      <c r="J1021" s="253"/>
      <c r="K1021" s="254">
        <f t="shared" si="23"/>
        <v>287.55650000000003</v>
      </c>
      <c r="L1021" s="205"/>
    </row>
    <row r="1022" spans="2:12">
      <c r="B1022" s="249" t="s">
        <v>1555</v>
      </c>
      <c r="C1022" s="250" t="s">
        <v>1998</v>
      </c>
      <c r="D1022" s="205" t="s">
        <v>152</v>
      </c>
      <c r="E1022" s="251">
        <v>2992</v>
      </c>
      <c r="F1022" s="252">
        <f>F1021</f>
        <v>0.245</v>
      </c>
      <c r="G1022" s="251">
        <f>G1021</f>
        <v>1.1000000000000001</v>
      </c>
      <c r="H1022" s="251">
        <v>0.5</v>
      </c>
      <c r="I1022" s="251"/>
      <c r="J1022" s="253"/>
      <c r="K1022" s="254">
        <f t="shared" si="23"/>
        <v>403.17200000000003</v>
      </c>
      <c r="L1022" s="205"/>
    </row>
    <row r="1023" spans="2:12">
      <c r="B1023" s="267"/>
      <c r="C1023" s="205"/>
      <c r="D1023" s="205"/>
      <c r="E1023" s="251"/>
      <c r="F1023" s="252"/>
      <c r="G1023" s="251"/>
      <c r="H1023" s="251"/>
      <c r="I1023" s="251"/>
      <c r="J1023" s="253"/>
      <c r="K1023" s="254">
        <f t="shared" si="23"/>
        <v>0</v>
      </c>
      <c r="L1023" s="205"/>
    </row>
    <row r="1024" spans="2:12">
      <c r="B1024" s="208"/>
      <c r="C1024" s="204"/>
      <c r="D1024" s="204"/>
      <c r="E1024" s="204"/>
      <c r="F1024" s="204"/>
      <c r="G1024" s="204"/>
      <c r="H1024" s="204"/>
      <c r="I1024" s="556" t="s">
        <v>1221</v>
      </c>
      <c r="J1024" s="556"/>
      <c r="K1024" s="262">
        <f>SUM(K1012:K1023)</f>
        <v>3418.6614000000004</v>
      </c>
      <c r="L1024" s="207"/>
    </row>
    <row r="1025" spans="2:12">
      <c r="B1025" s="208"/>
      <c r="C1025" s="204"/>
      <c r="D1025" s="204"/>
      <c r="E1025" s="204"/>
      <c r="F1025" s="204"/>
      <c r="G1025" s="204"/>
      <c r="H1025" s="209"/>
      <c r="I1025" s="557" t="s">
        <v>1222</v>
      </c>
      <c r="J1025" s="557"/>
      <c r="K1025" s="221">
        <f>VLOOKUP(B1010,'BM 004'!$B$27:$R$590,4,0)</f>
        <v>3626.7</v>
      </c>
      <c r="L1025" s="207"/>
    </row>
    <row r="1026" spans="2:12">
      <c r="B1026" s="208"/>
      <c r="C1026" s="204"/>
      <c r="D1026" s="204"/>
      <c r="E1026" s="204"/>
      <c r="F1026" s="204"/>
      <c r="G1026" s="204"/>
      <c r="H1026" s="558" t="s">
        <v>1223</v>
      </c>
      <c r="I1026" s="558"/>
      <c r="J1026" s="558"/>
      <c r="K1026" s="222">
        <v>2426.6318999999999</v>
      </c>
      <c r="L1026" s="207"/>
    </row>
    <row r="1027" spans="2:12">
      <c r="B1027" s="208"/>
      <c r="C1027" s="204"/>
      <c r="D1027" s="204"/>
      <c r="E1027" s="204"/>
      <c r="F1027" s="204"/>
      <c r="G1027" s="204"/>
      <c r="H1027" s="558" t="s">
        <v>1892</v>
      </c>
      <c r="I1027" s="558"/>
      <c r="J1027" s="558"/>
      <c r="K1027" s="222">
        <f>TRUNC(SUMIF(C1012:C1023,H1027,K1012:K1023),2)</f>
        <v>992.02</v>
      </c>
      <c r="L1027" s="207"/>
    </row>
    <row r="1028" spans="2:12">
      <c r="B1028" s="213"/>
      <c r="C1028" s="214"/>
      <c r="D1028" s="214"/>
      <c r="E1028" s="214"/>
      <c r="F1028" s="214"/>
      <c r="G1028" s="214"/>
      <c r="H1028" s="559" t="s">
        <v>1224</v>
      </c>
      <c r="I1028" s="559"/>
      <c r="J1028" s="559"/>
      <c r="K1028" s="223">
        <f>IF(K1024&gt;K1025,K1024-K1025,0)</f>
        <v>0</v>
      </c>
      <c r="L1028" s="209"/>
    </row>
    <row r="1030" spans="2:12">
      <c r="B1030" s="247" t="s">
        <v>223</v>
      </c>
      <c r="C1030" s="565" t="str">
        <f>VLOOKUP(B1030,'BM 004'!$B$27:$R$590,2,0)</f>
        <v xml:space="preserve">Armação de pilar ou viga de uma estrutura convencional de concreto armado em um edifício de múltiplos pavimentos utilizando aço ca-50 de 8,0 mm - montagem. </v>
      </c>
      <c r="D1030" s="565"/>
      <c r="E1030" s="565"/>
      <c r="F1030" s="565"/>
      <c r="G1030" s="565"/>
      <c r="H1030" s="565"/>
      <c r="I1030" s="565"/>
      <c r="J1030" s="565"/>
      <c r="K1030" s="565"/>
      <c r="L1030" s="565"/>
    </row>
    <row r="1031" spans="2:12">
      <c r="B1031" s="248" t="s">
        <v>1209</v>
      </c>
      <c r="C1031" s="248"/>
      <c r="D1031" s="248" t="s">
        <v>39</v>
      </c>
      <c r="E1031" s="248" t="s">
        <v>1210</v>
      </c>
      <c r="F1031" s="248" t="s">
        <v>1382</v>
      </c>
      <c r="G1031" s="248" t="s">
        <v>1383</v>
      </c>
      <c r="H1031" s="248" t="s">
        <v>1384</v>
      </c>
      <c r="I1031" s="248" t="s">
        <v>1214</v>
      </c>
      <c r="J1031" s="248" t="s">
        <v>1385</v>
      </c>
      <c r="K1031" s="248" t="s">
        <v>1216</v>
      </c>
      <c r="L1031" s="248" t="s">
        <v>1217</v>
      </c>
    </row>
    <row r="1032" spans="2:12">
      <c r="B1032" s="249" t="s">
        <v>1387</v>
      </c>
      <c r="C1032" s="250" t="s">
        <v>1333</v>
      </c>
      <c r="D1032" s="205" t="s">
        <v>152</v>
      </c>
      <c r="E1032" s="251">
        <v>1288</v>
      </c>
      <c r="F1032" s="252">
        <v>0.39500000000000002</v>
      </c>
      <c r="G1032" s="251">
        <v>1.1000000000000001</v>
      </c>
      <c r="H1032" s="251">
        <v>0.55000000000000004</v>
      </c>
      <c r="I1032" s="251"/>
      <c r="J1032" s="253"/>
      <c r="K1032" s="254">
        <f t="shared" ref="K1032:K1042" si="24">IF(E1032*F1032*G1032&lt;&gt;0,E1032*F1032*G1032,IF(E1032*F1032&lt;&gt;0,E1032*F1032,IF(F1032*G1032&lt;&gt;0,F1032*G1032,IF(E1032*G1032&lt;&gt;0,E1032*G1032,IF(E1032&lt;&gt;0,E1032,IF(F1032&lt;&gt;0,F1032,IF(G1032&lt;&gt;0,G1032,0)))))))*(IF(H1032&lt;&gt;0,H1032,1))+I1032-J1032</f>
        <v>307.79980000000006</v>
      </c>
      <c r="L1032" s="255"/>
    </row>
    <row r="1033" spans="2:12">
      <c r="B1033" s="249" t="s">
        <v>1480</v>
      </c>
      <c r="C1033" s="250" t="s">
        <v>1441</v>
      </c>
      <c r="D1033" s="205" t="s">
        <v>152</v>
      </c>
      <c r="E1033" s="251">
        <v>203</v>
      </c>
      <c r="F1033" s="252">
        <f>F1032</f>
        <v>0.39500000000000002</v>
      </c>
      <c r="G1033" s="251">
        <f>G1032</f>
        <v>1.1000000000000001</v>
      </c>
      <c r="H1033" s="251">
        <v>0.5</v>
      </c>
      <c r="I1033" s="251"/>
      <c r="J1033" s="253"/>
      <c r="K1033" s="254">
        <f t="shared" si="24"/>
        <v>44.101750000000003</v>
      </c>
      <c r="L1033" s="205"/>
    </row>
    <row r="1034" spans="2:12">
      <c r="B1034" s="249" t="s">
        <v>1480</v>
      </c>
      <c r="C1034" s="250" t="s">
        <v>1521</v>
      </c>
      <c r="D1034" s="205" t="s">
        <v>152</v>
      </c>
      <c r="E1034" s="251">
        <v>1750</v>
      </c>
      <c r="F1034" s="252">
        <f>F1033</f>
        <v>0.39500000000000002</v>
      </c>
      <c r="G1034" s="251">
        <f>G1033</f>
        <v>1.1000000000000001</v>
      </c>
      <c r="H1034" s="251">
        <v>0.3</v>
      </c>
      <c r="I1034" s="251"/>
      <c r="J1034" s="253"/>
      <c r="K1034" s="254">
        <f t="shared" si="24"/>
        <v>228.11250000000004</v>
      </c>
      <c r="L1034" s="205"/>
    </row>
    <row r="1035" spans="2:12">
      <c r="B1035" s="249" t="s">
        <v>1555</v>
      </c>
      <c r="C1035" s="250" t="s">
        <v>1611</v>
      </c>
      <c r="D1035" s="205" t="s">
        <v>152</v>
      </c>
      <c r="E1035" s="251"/>
      <c r="F1035" s="252"/>
      <c r="G1035" s="251"/>
      <c r="H1035" s="251"/>
      <c r="I1035" s="251"/>
      <c r="J1035" s="253"/>
      <c r="K1035" s="254">
        <f t="shared" si="24"/>
        <v>0</v>
      </c>
      <c r="L1035" s="205"/>
    </row>
    <row r="1036" spans="2:12">
      <c r="B1036" s="249" t="s">
        <v>1681</v>
      </c>
      <c r="C1036" s="250" t="s">
        <v>1611</v>
      </c>
      <c r="D1036" s="205" t="s">
        <v>152</v>
      </c>
      <c r="E1036" s="251">
        <v>815</v>
      </c>
      <c r="F1036" s="252">
        <v>0.39500000000000002</v>
      </c>
      <c r="G1036" s="251">
        <v>1.1000000000000001</v>
      </c>
      <c r="H1036" s="251">
        <v>0.3</v>
      </c>
      <c r="I1036" s="251"/>
      <c r="J1036" s="253"/>
      <c r="K1036" s="254">
        <f t="shared" si="24"/>
        <v>106.23525000000002</v>
      </c>
      <c r="L1036" s="205"/>
    </row>
    <row r="1037" spans="2:12">
      <c r="B1037" s="249" t="s">
        <v>1681</v>
      </c>
      <c r="C1037" s="250" t="s">
        <v>1612</v>
      </c>
      <c r="D1037" s="205" t="s">
        <v>152</v>
      </c>
      <c r="E1037" s="251">
        <v>815</v>
      </c>
      <c r="F1037" s="252">
        <v>0.39500000000000002</v>
      </c>
      <c r="G1037" s="251">
        <v>1.1000000000000001</v>
      </c>
      <c r="H1037" s="251">
        <v>0.3</v>
      </c>
      <c r="I1037" s="251"/>
      <c r="J1037" s="253"/>
      <c r="K1037" s="254">
        <f t="shared" si="24"/>
        <v>106.23525000000002</v>
      </c>
      <c r="L1037" s="205"/>
    </row>
    <row r="1038" spans="2:12">
      <c r="B1038" s="249" t="s">
        <v>1681</v>
      </c>
      <c r="C1038" s="250" t="s">
        <v>1613</v>
      </c>
      <c r="D1038" s="205" t="s">
        <v>152</v>
      </c>
      <c r="E1038" s="251">
        <v>815</v>
      </c>
      <c r="F1038" s="252">
        <v>0.39500000000000002</v>
      </c>
      <c r="G1038" s="251">
        <v>1.1000000000000001</v>
      </c>
      <c r="H1038" s="251">
        <v>0.2</v>
      </c>
      <c r="I1038" s="251"/>
      <c r="J1038" s="253"/>
      <c r="K1038" s="254">
        <f t="shared" si="24"/>
        <v>70.82350000000001</v>
      </c>
      <c r="L1038" s="205"/>
    </row>
    <row r="1039" spans="2:12">
      <c r="B1039" s="249" t="s">
        <v>1387</v>
      </c>
      <c r="C1039" s="250" t="s">
        <v>1895</v>
      </c>
      <c r="D1039" s="205" t="s">
        <v>152</v>
      </c>
      <c r="E1039" s="251">
        <v>1288</v>
      </c>
      <c r="F1039" s="252">
        <v>0.39500000000000002</v>
      </c>
      <c r="G1039" s="251">
        <v>1.1000000000000001</v>
      </c>
      <c r="H1039" s="251">
        <v>0.25</v>
      </c>
      <c r="I1039" s="251"/>
      <c r="J1039" s="253"/>
      <c r="K1039" s="254">
        <f t="shared" si="24"/>
        <v>139.90900000000002</v>
      </c>
      <c r="L1039" s="255"/>
    </row>
    <row r="1040" spans="2:12">
      <c r="B1040" s="249" t="s">
        <v>1387</v>
      </c>
      <c r="C1040" s="250" t="s">
        <v>1931</v>
      </c>
      <c r="D1040" s="205" t="s">
        <v>152</v>
      </c>
      <c r="E1040" s="251">
        <v>1288</v>
      </c>
      <c r="F1040" s="252">
        <v>0.39500000000000002</v>
      </c>
      <c r="G1040" s="251">
        <v>1.1000000000000001</v>
      </c>
      <c r="H1040" s="251">
        <v>0.2</v>
      </c>
      <c r="I1040" s="251"/>
      <c r="J1040" s="253"/>
      <c r="K1040" s="254">
        <f t="shared" si="24"/>
        <v>111.92720000000003</v>
      </c>
      <c r="L1040" s="255"/>
    </row>
    <row r="1041" spans="2:12">
      <c r="B1041" s="249" t="s">
        <v>1480</v>
      </c>
      <c r="C1041" s="250" t="s">
        <v>1998</v>
      </c>
      <c r="D1041" s="205" t="s">
        <v>152</v>
      </c>
      <c r="E1041" s="251">
        <v>203</v>
      </c>
      <c r="F1041" s="252">
        <v>0.39500000000000002</v>
      </c>
      <c r="G1041" s="251">
        <v>1.1000000000000001</v>
      </c>
      <c r="H1041" s="251">
        <v>0.2</v>
      </c>
      <c r="I1041" s="251"/>
      <c r="J1041" s="253"/>
      <c r="K1041" s="254">
        <f t="shared" si="24"/>
        <v>17.640700000000002</v>
      </c>
      <c r="L1041" s="205"/>
    </row>
    <row r="1042" spans="2:12">
      <c r="B1042" s="249"/>
      <c r="C1042" s="250"/>
      <c r="D1042" s="205"/>
      <c r="E1042" s="251"/>
      <c r="F1042" s="252"/>
      <c r="G1042" s="251"/>
      <c r="H1042" s="251"/>
      <c r="I1042" s="251"/>
      <c r="J1042" s="253"/>
      <c r="K1042" s="254">
        <f t="shared" si="24"/>
        <v>0</v>
      </c>
      <c r="L1042" s="205"/>
    </row>
    <row r="1043" spans="2:12">
      <c r="B1043" s="208"/>
      <c r="C1043" s="204"/>
      <c r="D1043" s="204"/>
      <c r="E1043" s="204"/>
      <c r="F1043" s="204"/>
      <c r="G1043" s="204"/>
      <c r="H1043" s="204"/>
      <c r="I1043" s="556" t="s">
        <v>1221</v>
      </c>
      <c r="J1043" s="556"/>
      <c r="K1043" s="262">
        <f>SUM(K1032:K1042)</f>
        <v>1132.7849500000002</v>
      </c>
      <c r="L1043" s="207"/>
    </row>
    <row r="1044" spans="2:12">
      <c r="B1044" s="208"/>
      <c r="C1044" s="204"/>
      <c r="D1044" s="204"/>
      <c r="E1044" s="204"/>
      <c r="F1044" s="204"/>
      <c r="G1044" s="204"/>
      <c r="H1044" s="209"/>
      <c r="I1044" s="557" t="s">
        <v>1222</v>
      </c>
      <c r="J1044" s="557"/>
      <c r="K1044" s="221">
        <f>VLOOKUP(B1030,'BM 004'!$B$27:$R$590,4,0)</f>
        <v>1762.2</v>
      </c>
      <c r="L1044" s="207"/>
    </row>
    <row r="1045" spans="2:12">
      <c r="B1045" s="208"/>
      <c r="C1045" s="204"/>
      <c r="D1045" s="204"/>
      <c r="E1045" s="204"/>
      <c r="F1045" s="204"/>
      <c r="G1045" s="204"/>
      <c r="H1045" s="558" t="s">
        <v>1223</v>
      </c>
      <c r="I1045" s="558"/>
      <c r="J1045" s="558"/>
      <c r="K1045" s="222">
        <v>1115.1442500000001</v>
      </c>
      <c r="L1045" s="207"/>
    </row>
    <row r="1046" spans="2:12">
      <c r="B1046" s="208"/>
      <c r="C1046" s="204"/>
      <c r="D1046" s="204"/>
      <c r="E1046" s="204"/>
      <c r="F1046" s="204"/>
      <c r="G1046" s="204"/>
      <c r="H1046" s="558" t="s">
        <v>1892</v>
      </c>
      <c r="I1046" s="558"/>
      <c r="J1046" s="558"/>
      <c r="K1046" s="222">
        <f>TRUNC(SUMIF(C1032:C1042,H1046,K1032:K1042),2)</f>
        <v>17.64</v>
      </c>
      <c r="L1046" s="207"/>
    </row>
    <row r="1047" spans="2:12">
      <c r="B1047" s="213"/>
      <c r="C1047" s="214"/>
      <c r="D1047" s="214"/>
      <c r="E1047" s="214"/>
      <c r="F1047" s="214"/>
      <c r="G1047" s="214"/>
      <c r="H1047" s="559" t="s">
        <v>1224</v>
      </c>
      <c r="I1047" s="559"/>
      <c r="J1047" s="559"/>
      <c r="K1047" s="223">
        <f>IF(K1043&gt;K1044,K1043-K1044,0)</f>
        <v>0</v>
      </c>
      <c r="L1047" s="209"/>
    </row>
    <row r="1049" spans="2:12">
      <c r="B1049" s="247" t="s">
        <v>224</v>
      </c>
      <c r="C1049" s="565" t="str">
        <f>VLOOKUP(B1049,'BM 004'!$B$27:$R$590,2,0)</f>
        <v xml:space="preserve">Armação de pilar ou viga de uma estrutura convencional de concreto armado em um edifício de múltiplos pavimentos utilizando aço ca-50 de 10,0 mm - montagem. </v>
      </c>
      <c r="D1049" s="565"/>
      <c r="E1049" s="565"/>
      <c r="F1049" s="565"/>
      <c r="G1049" s="565"/>
      <c r="H1049" s="565"/>
      <c r="I1049" s="565"/>
      <c r="J1049" s="565"/>
      <c r="K1049" s="565"/>
      <c r="L1049" s="565"/>
    </row>
    <row r="1050" spans="2:12">
      <c r="B1050" s="248" t="s">
        <v>1209</v>
      </c>
      <c r="C1050" s="248"/>
      <c r="D1050" s="248" t="s">
        <v>39</v>
      </c>
      <c r="E1050" s="248" t="s">
        <v>1210</v>
      </c>
      <c r="F1050" s="248" t="s">
        <v>1382</v>
      </c>
      <c r="G1050" s="248" t="s">
        <v>1383</v>
      </c>
      <c r="H1050" s="248" t="s">
        <v>1384</v>
      </c>
      <c r="I1050" s="248" t="s">
        <v>1214</v>
      </c>
      <c r="J1050" s="248" t="s">
        <v>1385</v>
      </c>
      <c r="K1050" s="248" t="s">
        <v>1216</v>
      </c>
      <c r="L1050" s="248" t="s">
        <v>1217</v>
      </c>
    </row>
    <row r="1051" spans="2:12">
      <c r="B1051" s="249" t="s">
        <v>1387</v>
      </c>
      <c r="C1051" s="250" t="s">
        <v>1333</v>
      </c>
      <c r="D1051" s="205" t="s">
        <v>152</v>
      </c>
      <c r="E1051" s="251">
        <v>82</v>
      </c>
      <c r="F1051" s="252">
        <v>0.61699999999999999</v>
      </c>
      <c r="G1051" s="251">
        <v>1.1000000000000001</v>
      </c>
      <c r="H1051" s="251">
        <v>0.55000000000000004</v>
      </c>
      <c r="I1051" s="251"/>
      <c r="J1051" s="253"/>
      <c r="K1051" s="254">
        <f t="shared" ref="K1051:K1064" si="25">IF(E1051*F1051*G1051&lt;&gt;0,E1051*F1051*G1051,IF(E1051*F1051&lt;&gt;0,E1051*F1051,IF(F1051*G1051&lt;&gt;0,F1051*G1051,IF(E1051*G1051&lt;&gt;0,E1051*G1051,IF(E1051&lt;&gt;0,E1051,IF(F1051&lt;&gt;0,F1051,IF(G1051&lt;&gt;0,G1051,0)))))))*(IF(H1051&lt;&gt;0,H1051,1))+I1051-J1051</f>
        <v>30.609370000000006</v>
      </c>
      <c r="L1051" s="255"/>
    </row>
    <row r="1052" spans="2:12">
      <c r="B1052" s="249" t="s">
        <v>1480</v>
      </c>
      <c r="C1052" s="250" t="s">
        <v>1441</v>
      </c>
      <c r="D1052" s="205" t="s">
        <v>152</v>
      </c>
      <c r="E1052" s="251">
        <v>494</v>
      </c>
      <c r="F1052" s="252">
        <f>F1051</f>
        <v>0.61699999999999999</v>
      </c>
      <c r="G1052" s="251">
        <f>G1051</f>
        <v>1.1000000000000001</v>
      </c>
      <c r="H1052" s="251">
        <v>0.5</v>
      </c>
      <c r="I1052" s="251"/>
      <c r="J1052" s="253"/>
      <c r="K1052" s="254">
        <f t="shared" si="25"/>
        <v>167.63890000000001</v>
      </c>
      <c r="L1052" s="205"/>
    </row>
    <row r="1053" spans="2:12">
      <c r="B1053" s="249" t="s">
        <v>1555</v>
      </c>
      <c r="C1053" s="250" t="s">
        <v>1611</v>
      </c>
      <c r="D1053" s="205" t="s">
        <v>152</v>
      </c>
      <c r="E1053" s="251"/>
      <c r="F1053" s="252"/>
      <c r="G1053" s="251"/>
      <c r="H1053" s="251"/>
      <c r="I1053" s="251"/>
      <c r="J1053" s="253"/>
      <c r="K1053" s="254">
        <f t="shared" si="25"/>
        <v>0</v>
      </c>
      <c r="L1053" s="205"/>
    </row>
    <row r="1054" spans="2:12">
      <c r="B1054" s="249" t="s">
        <v>1681</v>
      </c>
      <c r="C1054" s="250" t="s">
        <v>1611</v>
      </c>
      <c r="D1054" s="205" t="s">
        <v>152</v>
      </c>
      <c r="E1054" s="251">
        <v>222</v>
      </c>
      <c r="F1054" s="252">
        <v>0.61699999999999999</v>
      </c>
      <c r="G1054" s="251">
        <v>1.1000000000000001</v>
      </c>
      <c r="H1054" s="251">
        <v>0.3</v>
      </c>
      <c r="I1054" s="251"/>
      <c r="J1054" s="253"/>
      <c r="K1054" s="254">
        <f t="shared" si="25"/>
        <v>45.201419999999999</v>
      </c>
      <c r="L1054" s="205"/>
    </row>
    <row r="1055" spans="2:12">
      <c r="B1055" s="249" t="s">
        <v>1681</v>
      </c>
      <c r="C1055" s="250" t="s">
        <v>1612</v>
      </c>
      <c r="D1055" s="205" t="s">
        <v>152</v>
      </c>
      <c r="E1055" s="251">
        <v>222</v>
      </c>
      <c r="F1055" s="252">
        <v>0.61699999999999999</v>
      </c>
      <c r="G1055" s="251">
        <v>1.1000000000000001</v>
      </c>
      <c r="H1055" s="251">
        <v>0.2</v>
      </c>
      <c r="I1055" s="251"/>
      <c r="J1055" s="253"/>
      <c r="K1055" s="254">
        <f t="shared" si="25"/>
        <v>30.134280000000004</v>
      </c>
      <c r="L1055" s="205"/>
    </row>
    <row r="1056" spans="2:12">
      <c r="B1056" s="249" t="s">
        <v>1681</v>
      </c>
      <c r="C1056" s="250" t="s">
        <v>1613</v>
      </c>
      <c r="D1056" s="205" t="s">
        <v>152</v>
      </c>
      <c r="E1056" s="251">
        <v>222</v>
      </c>
      <c r="F1056" s="252">
        <v>0.61699999999999999</v>
      </c>
      <c r="G1056" s="251">
        <v>1.1000000000000001</v>
      </c>
      <c r="H1056" s="251">
        <v>0.3</v>
      </c>
      <c r="I1056" s="251"/>
      <c r="J1056" s="253"/>
      <c r="K1056" s="254">
        <f t="shared" si="25"/>
        <v>45.201419999999999</v>
      </c>
      <c r="L1056" s="205"/>
    </row>
    <row r="1057" spans="2:12">
      <c r="B1057" s="249" t="s">
        <v>1387</v>
      </c>
      <c r="C1057" s="250" t="s">
        <v>1895</v>
      </c>
      <c r="D1057" s="205" t="s">
        <v>152</v>
      </c>
      <c r="E1057" s="251">
        <v>82</v>
      </c>
      <c r="F1057" s="252">
        <v>0.61699999999999999</v>
      </c>
      <c r="G1057" s="251">
        <v>1.1000000000000001</v>
      </c>
      <c r="H1057" s="251">
        <v>0.15</v>
      </c>
      <c r="I1057" s="251"/>
      <c r="J1057" s="253"/>
      <c r="K1057" s="254">
        <f t="shared" si="25"/>
        <v>8.3480100000000004</v>
      </c>
      <c r="L1057" s="255"/>
    </row>
    <row r="1058" spans="2:12">
      <c r="B1058" s="249" t="s">
        <v>1480</v>
      </c>
      <c r="C1058" s="250" t="s">
        <v>1895</v>
      </c>
      <c r="D1058" s="205" t="s">
        <v>152</v>
      </c>
      <c r="E1058" s="251">
        <v>494</v>
      </c>
      <c r="F1058" s="252">
        <f>F1057</f>
        <v>0.61699999999999999</v>
      </c>
      <c r="G1058" s="251">
        <f>G1057</f>
        <v>1.1000000000000001</v>
      </c>
      <c r="H1058" s="251">
        <v>0.2</v>
      </c>
      <c r="I1058" s="251"/>
      <c r="J1058" s="253"/>
      <c r="K1058" s="254">
        <f t="shared" si="25"/>
        <v>67.05556</v>
      </c>
      <c r="L1058" s="205"/>
    </row>
    <row r="1059" spans="2:12">
      <c r="B1059" s="249" t="s">
        <v>1387</v>
      </c>
      <c r="C1059" s="250" t="s">
        <v>1931</v>
      </c>
      <c r="D1059" s="205" t="s">
        <v>152</v>
      </c>
      <c r="E1059" s="251">
        <v>82</v>
      </c>
      <c r="F1059" s="252">
        <v>0.61699999999999999</v>
      </c>
      <c r="G1059" s="251">
        <v>1.1000000000000001</v>
      </c>
      <c r="H1059" s="251">
        <v>0.2</v>
      </c>
      <c r="I1059" s="251"/>
      <c r="J1059" s="253"/>
      <c r="K1059" s="254">
        <f t="shared" si="25"/>
        <v>11.130680000000002</v>
      </c>
      <c r="L1059" s="255"/>
    </row>
    <row r="1060" spans="2:12">
      <c r="B1060" s="249" t="s">
        <v>1387</v>
      </c>
      <c r="C1060" s="250" t="s">
        <v>1998</v>
      </c>
      <c r="D1060" s="205" t="s">
        <v>152</v>
      </c>
      <c r="E1060" s="251">
        <v>82</v>
      </c>
      <c r="F1060" s="252">
        <v>0.61699999999999999</v>
      </c>
      <c r="G1060" s="251">
        <v>1.1000000000000001</v>
      </c>
      <c r="H1060" s="251">
        <v>0.1</v>
      </c>
      <c r="I1060" s="251"/>
      <c r="J1060" s="253"/>
      <c r="K1060" s="254">
        <f t="shared" si="25"/>
        <v>5.5653400000000008</v>
      </c>
      <c r="L1060" s="255"/>
    </row>
    <row r="1061" spans="2:12">
      <c r="B1061" s="249" t="s">
        <v>1480</v>
      </c>
      <c r="C1061" s="250" t="s">
        <v>1998</v>
      </c>
      <c r="D1061" s="205" t="s">
        <v>152</v>
      </c>
      <c r="E1061" s="251">
        <v>494</v>
      </c>
      <c r="F1061" s="252">
        <f>F1060</f>
        <v>0.61699999999999999</v>
      </c>
      <c r="G1061" s="251">
        <f>G1060</f>
        <v>1.1000000000000001</v>
      </c>
      <c r="H1061" s="251">
        <v>0.3</v>
      </c>
      <c r="I1061" s="251"/>
      <c r="J1061" s="253"/>
      <c r="K1061" s="254">
        <f t="shared" si="25"/>
        <v>100.58334000000001</v>
      </c>
      <c r="L1061" s="205"/>
    </row>
    <row r="1062" spans="2:12">
      <c r="B1062" s="249"/>
      <c r="C1062" s="250"/>
      <c r="D1062" s="205"/>
      <c r="E1062" s="251"/>
      <c r="F1062" s="252"/>
      <c r="G1062" s="251"/>
      <c r="H1062" s="251"/>
      <c r="I1062" s="251"/>
      <c r="J1062" s="253"/>
      <c r="K1062" s="254">
        <f t="shared" si="25"/>
        <v>0</v>
      </c>
      <c r="L1062" s="205"/>
    </row>
    <row r="1063" spans="2:12">
      <c r="B1063" s="249"/>
      <c r="C1063" s="250"/>
      <c r="D1063" s="205"/>
      <c r="E1063" s="251"/>
      <c r="F1063" s="252"/>
      <c r="G1063" s="251"/>
      <c r="H1063" s="251"/>
      <c r="I1063" s="251"/>
      <c r="J1063" s="253"/>
      <c r="K1063" s="254">
        <f t="shared" si="25"/>
        <v>0</v>
      </c>
      <c r="L1063" s="205"/>
    </row>
    <row r="1064" spans="2:12">
      <c r="B1064" s="267"/>
      <c r="C1064" s="205"/>
      <c r="D1064" s="205"/>
      <c r="E1064" s="251"/>
      <c r="F1064" s="252"/>
      <c r="G1064" s="251"/>
      <c r="H1064" s="251"/>
      <c r="I1064" s="251"/>
      <c r="J1064" s="253"/>
      <c r="K1064" s="254">
        <f t="shared" si="25"/>
        <v>0</v>
      </c>
      <c r="L1064" s="205"/>
    </row>
    <row r="1065" spans="2:12">
      <c r="B1065" s="208"/>
      <c r="C1065" s="204"/>
      <c r="D1065" s="204"/>
      <c r="E1065" s="204"/>
      <c r="F1065" s="204"/>
      <c r="G1065" s="204"/>
      <c r="H1065" s="204"/>
      <c r="I1065" s="556" t="s">
        <v>1221</v>
      </c>
      <c r="J1065" s="556"/>
      <c r="K1065" s="262">
        <f>SUM(K1051:K1064)</f>
        <v>511.46832000000001</v>
      </c>
      <c r="L1065" s="207"/>
    </row>
    <row r="1066" spans="2:12">
      <c r="B1066" s="208"/>
      <c r="C1066" s="204"/>
      <c r="D1066" s="204"/>
      <c r="E1066" s="204"/>
      <c r="F1066" s="204"/>
      <c r="G1066" s="204"/>
      <c r="H1066" s="209"/>
      <c r="I1066" s="557" t="s">
        <v>1222</v>
      </c>
      <c r="J1066" s="557"/>
      <c r="K1066" s="221">
        <f>VLOOKUP(B1049,'BM 004'!$B$27:$R$590,4,0)</f>
        <v>542.29999999999995</v>
      </c>
      <c r="L1066" s="207"/>
    </row>
    <row r="1067" spans="2:12">
      <c r="B1067" s="208"/>
      <c r="C1067" s="204"/>
      <c r="D1067" s="204"/>
      <c r="E1067" s="204"/>
      <c r="F1067" s="204"/>
      <c r="G1067" s="204"/>
      <c r="H1067" s="558" t="s">
        <v>1223</v>
      </c>
      <c r="I1067" s="558"/>
      <c r="J1067" s="558"/>
      <c r="K1067" s="222">
        <v>394.18896000000001</v>
      </c>
      <c r="L1067" s="207"/>
    </row>
    <row r="1068" spans="2:12">
      <c r="B1068" s="208"/>
      <c r="C1068" s="204"/>
      <c r="D1068" s="204"/>
      <c r="E1068" s="204"/>
      <c r="F1068" s="204"/>
      <c r="G1068" s="204"/>
      <c r="H1068" s="558" t="s">
        <v>1892</v>
      </c>
      <c r="I1068" s="558"/>
      <c r="J1068" s="558"/>
      <c r="K1068" s="222">
        <f>TRUNC(SUMIF(C1051:C1064,H1068,K1051:K1064),2)</f>
        <v>106.14</v>
      </c>
      <c r="L1068" s="207"/>
    </row>
    <row r="1069" spans="2:12">
      <c r="B1069" s="213"/>
      <c r="C1069" s="214"/>
      <c r="D1069" s="214"/>
      <c r="E1069" s="214"/>
      <c r="F1069" s="214"/>
      <c r="G1069" s="214"/>
      <c r="H1069" s="559" t="s">
        <v>1224</v>
      </c>
      <c r="I1069" s="559"/>
      <c r="J1069" s="559"/>
      <c r="K1069" s="223">
        <f>IF(K1065&gt;K1066,K1065-K1066,0)</f>
        <v>0</v>
      </c>
      <c r="L1069" s="209"/>
    </row>
    <row r="1071" spans="2:12">
      <c r="B1071" s="247" t="s">
        <v>225</v>
      </c>
      <c r="C1071" s="565" t="str">
        <f>VLOOKUP(B1071,'BM 004'!$B$27:$R$590,2,0)</f>
        <v xml:space="preserve">Armação de pilar ou viga de uma estrutura convencional de concreto armado em um edifício de múltiplos pavimentos utilizando aço ca-50 de 12,5 mm - montagem. </v>
      </c>
      <c r="D1071" s="565"/>
      <c r="E1071" s="565"/>
      <c r="F1071" s="565"/>
      <c r="G1071" s="565"/>
      <c r="H1071" s="565"/>
      <c r="I1071" s="565"/>
      <c r="J1071" s="565"/>
      <c r="K1071" s="565"/>
      <c r="L1071" s="565"/>
    </row>
    <row r="1072" spans="2:12">
      <c r="B1072" s="248" t="s">
        <v>1209</v>
      </c>
      <c r="C1072" s="248"/>
      <c r="D1072" s="248" t="s">
        <v>39</v>
      </c>
      <c r="E1072" s="248" t="s">
        <v>1210</v>
      </c>
      <c r="F1072" s="248" t="s">
        <v>1382</v>
      </c>
      <c r="G1072" s="248" t="s">
        <v>1383</v>
      </c>
      <c r="H1072" s="248" t="s">
        <v>1384</v>
      </c>
      <c r="I1072" s="248" t="s">
        <v>1214</v>
      </c>
      <c r="J1072" s="248" t="s">
        <v>1385</v>
      </c>
      <c r="K1072" s="248" t="s">
        <v>1216</v>
      </c>
      <c r="L1072" s="248" t="s">
        <v>1217</v>
      </c>
    </row>
    <row r="1073" spans="2:12">
      <c r="B1073" s="249" t="s">
        <v>1387</v>
      </c>
      <c r="C1073" s="250" t="s">
        <v>1333</v>
      </c>
      <c r="D1073" s="205" t="s">
        <v>152</v>
      </c>
      <c r="E1073" s="251">
        <v>169</v>
      </c>
      <c r="F1073" s="252">
        <v>0.96299999999999997</v>
      </c>
      <c r="G1073" s="251">
        <v>1.1000000000000001</v>
      </c>
      <c r="H1073" s="251">
        <v>0.55000000000000004</v>
      </c>
      <c r="I1073" s="251"/>
      <c r="J1073" s="253"/>
      <c r="K1073" s="254">
        <f t="shared" ref="K1073:K1088" si="26">IF(E1073*F1073*G1073&lt;&gt;0,E1073*F1073*G1073,IF(E1073*F1073&lt;&gt;0,E1073*F1073,IF(F1073*G1073&lt;&gt;0,F1073*G1073,IF(E1073*G1073&lt;&gt;0,E1073*G1073,IF(E1073&lt;&gt;0,E1073,IF(F1073&lt;&gt;0,F1073,IF(G1073&lt;&gt;0,G1073,0)))))))*(IF(H1073&lt;&gt;0,H1073,1))+I1073-J1073</f>
        <v>98.461935000000011</v>
      </c>
      <c r="L1073" s="255"/>
    </row>
    <row r="1074" spans="2:12">
      <c r="B1074" s="249" t="s">
        <v>1480</v>
      </c>
      <c r="C1074" s="250" t="s">
        <v>1441</v>
      </c>
      <c r="D1074" s="205" t="s">
        <v>152</v>
      </c>
      <c r="E1074" s="251">
        <v>653</v>
      </c>
      <c r="F1074" s="252">
        <f>F1073</f>
        <v>0.96299999999999997</v>
      </c>
      <c r="G1074" s="251">
        <f>G1073</f>
        <v>1.1000000000000001</v>
      </c>
      <c r="H1074" s="251">
        <v>0.5</v>
      </c>
      <c r="I1074" s="251"/>
      <c r="J1074" s="253"/>
      <c r="K1074" s="254">
        <f t="shared" si="26"/>
        <v>345.86144999999999</v>
      </c>
      <c r="L1074" s="205"/>
    </row>
    <row r="1075" spans="2:12">
      <c r="B1075" s="249" t="s">
        <v>1555</v>
      </c>
      <c r="C1075" s="250" t="s">
        <v>1521</v>
      </c>
      <c r="D1075" s="205" t="s">
        <v>152</v>
      </c>
      <c r="E1075" s="251">
        <v>1331</v>
      </c>
      <c r="F1075" s="252">
        <f>F1074</f>
        <v>0.96299999999999997</v>
      </c>
      <c r="G1075" s="251">
        <f>G1074</f>
        <v>1.1000000000000001</v>
      </c>
      <c r="H1075" s="251">
        <v>0.3</v>
      </c>
      <c r="I1075" s="251"/>
      <c r="J1075" s="253"/>
      <c r="K1075" s="254">
        <f t="shared" si="26"/>
        <v>422.97849000000002</v>
      </c>
      <c r="L1075" s="205"/>
    </row>
    <row r="1076" spans="2:12">
      <c r="B1076" s="249" t="s">
        <v>1681</v>
      </c>
      <c r="C1076" s="250" t="s">
        <v>1611</v>
      </c>
      <c r="D1076" s="205" t="s">
        <v>152</v>
      </c>
      <c r="E1076" s="251">
        <v>1181</v>
      </c>
      <c r="F1076" s="252">
        <v>0.96299999999999997</v>
      </c>
      <c r="G1076" s="251">
        <v>1.1000000000000001</v>
      </c>
      <c r="H1076" s="251">
        <v>0.3</v>
      </c>
      <c r="I1076" s="251"/>
      <c r="J1076" s="253"/>
      <c r="K1076" s="254">
        <f t="shared" si="26"/>
        <v>375.30999000000003</v>
      </c>
      <c r="L1076" s="205"/>
    </row>
    <row r="1077" spans="2:12">
      <c r="B1077" s="249" t="s">
        <v>1555</v>
      </c>
      <c r="C1077" s="250" t="s">
        <v>1612</v>
      </c>
      <c r="D1077" s="205" t="s">
        <v>152</v>
      </c>
      <c r="E1077" s="251">
        <v>1331</v>
      </c>
      <c r="F1077" s="252">
        <f>F1076</f>
        <v>0.96299999999999997</v>
      </c>
      <c r="G1077" s="251">
        <f>G1076</f>
        <v>1.1000000000000001</v>
      </c>
      <c r="H1077" s="251">
        <v>0.2</v>
      </c>
      <c r="I1077" s="251"/>
      <c r="J1077" s="253"/>
      <c r="K1077" s="254">
        <f t="shared" si="26"/>
        <v>281.98566</v>
      </c>
      <c r="L1077" s="205"/>
    </row>
    <row r="1078" spans="2:12">
      <c r="B1078" s="249" t="s">
        <v>1681</v>
      </c>
      <c r="C1078" s="250" t="s">
        <v>1613</v>
      </c>
      <c r="D1078" s="205" t="s">
        <v>152</v>
      </c>
      <c r="E1078" s="251">
        <v>1181</v>
      </c>
      <c r="F1078" s="252">
        <v>0.96299999999999997</v>
      </c>
      <c r="G1078" s="251">
        <v>1.1000000000000001</v>
      </c>
      <c r="H1078" s="251">
        <v>0.2</v>
      </c>
      <c r="I1078" s="251"/>
      <c r="J1078" s="253"/>
      <c r="K1078" s="254">
        <f t="shared" si="26"/>
        <v>250.20666000000003</v>
      </c>
      <c r="L1078" s="205"/>
    </row>
    <row r="1079" spans="2:12">
      <c r="B1079" s="249" t="s">
        <v>1387</v>
      </c>
      <c r="C1079" s="250" t="s">
        <v>1895</v>
      </c>
      <c r="D1079" s="205" t="s">
        <v>152</v>
      </c>
      <c r="E1079" s="251">
        <v>169</v>
      </c>
      <c r="F1079" s="252">
        <v>0.96299999999999997</v>
      </c>
      <c r="G1079" s="251">
        <v>1.1000000000000001</v>
      </c>
      <c r="H1079" s="251">
        <v>0.15</v>
      </c>
      <c r="I1079" s="251"/>
      <c r="J1079" s="253"/>
      <c r="K1079" s="254">
        <f t="shared" si="26"/>
        <v>26.853255000000001</v>
      </c>
      <c r="L1079" s="255"/>
    </row>
    <row r="1080" spans="2:12">
      <c r="B1080" s="249" t="s">
        <v>1480</v>
      </c>
      <c r="C1080" s="250" t="s">
        <v>1895</v>
      </c>
      <c r="D1080" s="205" t="s">
        <v>152</v>
      </c>
      <c r="E1080" s="251">
        <v>653</v>
      </c>
      <c r="F1080" s="252">
        <f>F1079</f>
        <v>0.96299999999999997</v>
      </c>
      <c r="G1080" s="251">
        <f>G1079</f>
        <v>1.1000000000000001</v>
      </c>
      <c r="H1080" s="251">
        <v>0.3</v>
      </c>
      <c r="I1080" s="251"/>
      <c r="J1080" s="253"/>
      <c r="K1080" s="254">
        <f t="shared" si="26"/>
        <v>207.51686999999998</v>
      </c>
      <c r="L1080" s="205"/>
    </row>
    <row r="1081" spans="2:12">
      <c r="B1081" s="249" t="s">
        <v>1555</v>
      </c>
      <c r="C1081" s="250" t="s">
        <v>1895</v>
      </c>
      <c r="D1081" s="205" t="s">
        <v>152</v>
      </c>
      <c r="E1081" s="251">
        <v>1331</v>
      </c>
      <c r="F1081" s="252">
        <f>F1080</f>
        <v>0.96299999999999997</v>
      </c>
      <c r="G1081" s="251">
        <f>G1080</f>
        <v>1.1000000000000001</v>
      </c>
      <c r="H1081" s="251">
        <v>0.1</v>
      </c>
      <c r="I1081" s="251"/>
      <c r="J1081" s="253"/>
      <c r="K1081" s="254">
        <f t="shared" si="26"/>
        <v>140.99283</v>
      </c>
      <c r="L1081" s="205"/>
    </row>
    <row r="1082" spans="2:12">
      <c r="B1082" s="249" t="s">
        <v>1681</v>
      </c>
      <c r="C1082" s="250" t="s">
        <v>1895</v>
      </c>
      <c r="D1082" s="205" t="s">
        <v>152</v>
      </c>
      <c r="E1082" s="251">
        <v>1181</v>
      </c>
      <c r="F1082" s="252">
        <v>0.96299999999999997</v>
      </c>
      <c r="G1082" s="251">
        <v>1.1000000000000001</v>
      </c>
      <c r="H1082" s="251">
        <v>0.1</v>
      </c>
      <c r="I1082" s="251"/>
      <c r="J1082" s="253"/>
      <c r="K1082" s="254">
        <f t="shared" si="26"/>
        <v>125.10333000000001</v>
      </c>
      <c r="L1082" s="205"/>
    </row>
    <row r="1083" spans="2:12">
      <c r="B1083" s="249" t="s">
        <v>1387</v>
      </c>
      <c r="C1083" s="250" t="s">
        <v>1931</v>
      </c>
      <c r="D1083" s="205" t="s">
        <v>152</v>
      </c>
      <c r="E1083" s="251">
        <v>169</v>
      </c>
      <c r="F1083" s="252">
        <v>0.96299999999999997</v>
      </c>
      <c r="G1083" s="251">
        <v>1.1000000000000001</v>
      </c>
      <c r="H1083" s="251">
        <v>0.2</v>
      </c>
      <c r="I1083" s="251"/>
      <c r="J1083" s="253"/>
      <c r="K1083" s="254">
        <f t="shared" si="26"/>
        <v>35.804340000000003</v>
      </c>
      <c r="L1083" s="255"/>
    </row>
    <row r="1084" spans="2:12">
      <c r="B1084" s="249" t="s">
        <v>1387</v>
      </c>
      <c r="C1084" s="250" t="s">
        <v>1998</v>
      </c>
      <c r="D1084" s="205" t="s">
        <v>152</v>
      </c>
      <c r="E1084" s="251">
        <v>169</v>
      </c>
      <c r="F1084" s="252">
        <v>0.96299999999999997</v>
      </c>
      <c r="G1084" s="251">
        <v>1.1000000000000001</v>
      </c>
      <c r="H1084" s="251">
        <v>0.1</v>
      </c>
      <c r="I1084" s="251"/>
      <c r="J1084" s="253"/>
      <c r="K1084" s="254">
        <f t="shared" si="26"/>
        <v>17.902170000000002</v>
      </c>
      <c r="L1084" s="255"/>
    </row>
    <row r="1085" spans="2:12">
      <c r="B1085" s="249" t="s">
        <v>1480</v>
      </c>
      <c r="C1085" s="250" t="s">
        <v>1998</v>
      </c>
      <c r="D1085" s="205" t="s">
        <v>152</v>
      </c>
      <c r="E1085" s="251">
        <v>653</v>
      </c>
      <c r="F1085" s="252">
        <f>F1084</f>
        <v>0.96299999999999997</v>
      </c>
      <c r="G1085" s="251">
        <f>G1084</f>
        <v>1.1000000000000001</v>
      </c>
      <c r="H1085" s="251">
        <v>0.2</v>
      </c>
      <c r="I1085" s="251"/>
      <c r="J1085" s="253"/>
      <c r="K1085" s="254">
        <f t="shared" si="26"/>
        <v>138.34458000000001</v>
      </c>
      <c r="L1085" s="205"/>
    </row>
    <row r="1086" spans="2:12">
      <c r="B1086" s="249" t="s">
        <v>1555</v>
      </c>
      <c r="C1086" s="250" t="s">
        <v>1998</v>
      </c>
      <c r="D1086" s="205" t="s">
        <v>152</v>
      </c>
      <c r="E1086" s="251">
        <v>1331</v>
      </c>
      <c r="F1086" s="252">
        <f>F1085</f>
        <v>0.96299999999999997</v>
      </c>
      <c r="G1086" s="251">
        <f>G1085</f>
        <v>1.1000000000000001</v>
      </c>
      <c r="H1086" s="251">
        <v>0.4</v>
      </c>
      <c r="I1086" s="251"/>
      <c r="J1086" s="253"/>
      <c r="K1086" s="254">
        <f t="shared" si="26"/>
        <v>563.97131999999999</v>
      </c>
      <c r="L1086" s="205"/>
    </row>
    <row r="1087" spans="2:12">
      <c r="B1087" s="267"/>
      <c r="C1087" s="205"/>
      <c r="D1087" s="205"/>
      <c r="E1087" s="251"/>
      <c r="F1087" s="252"/>
      <c r="G1087" s="251"/>
      <c r="H1087" s="251"/>
      <c r="I1087" s="251"/>
      <c r="J1087" s="253"/>
      <c r="K1087" s="254">
        <f t="shared" si="26"/>
        <v>0</v>
      </c>
      <c r="L1087" s="205"/>
    </row>
    <row r="1088" spans="2:12">
      <c r="B1088" s="267"/>
      <c r="C1088" s="205"/>
      <c r="D1088" s="205"/>
      <c r="E1088" s="251"/>
      <c r="F1088" s="252"/>
      <c r="G1088" s="251"/>
      <c r="H1088" s="251"/>
      <c r="I1088" s="251"/>
      <c r="J1088" s="253"/>
      <c r="K1088" s="254">
        <f t="shared" si="26"/>
        <v>0</v>
      </c>
      <c r="L1088" s="205"/>
    </row>
    <row r="1089" spans="2:12">
      <c r="B1089" s="208"/>
      <c r="C1089" s="204"/>
      <c r="D1089" s="204"/>
      <c r="E1089" s="204"/>
      <c r="F1089" s="204"/>
      <c r="G1089" s="204"/>
      <c r="H1089" s="204"/>
      <c r="I1089" s="556" t="s">
        <v>1221</v>
      </c>
      <c r="J1089" s="556"/>
      <c r="K1089" s="262">
        <f>SUM(K1073:K1088)</f>
        <v>3031.29288</v>
      </c>
      <c r="L1089" s="207"/>
    </row>
    <row r="1090" spans="2:12">
      <c r="B1090" s="208"/>
      <c r="C1090" s="204"/>
      <c r="D1090" s="204"/>
      <c r="E1090" s="204"/>
      <c r="F1090" s="204"/>
      <c r="G1090" s="204"/>
      <c r="H1090" s="209"/>
      <c r="I1090" s="557" t="s">
        <v>1222</v>
      </c>
      <c r="J1090" s="557"/>
      <c r="K1090" s="221">
        <f>VLOOKUP(B1071,'BM 004'!$B$27:$R$590,4,0)</f>
        <v>3532.1</v>
      </c>
      <c r="L1090" s="207"/>
    </row>
    <row r="1091" spans="2:12">
      <c r="B1091" s="208"/>
      <c r="C1091" s="204"/>
      <c r="D1091" s="204"/>
      <c r="E1091" s="204"/>
      <c r="F1091" s="204"/>
      <c r="G1091" s="204"/>
      <c r="H1091" s="558" t="s">
        <v>1223</v>
      </c>
      <c r="I1091" s="558"/>
      <c r="J1091" s="558"/>
      <c r="K1091" s="222">
        <v>2275.2704699999999</v>
      </c>
      <c r="L1091" s="207"/>
    </row>
    <row r="1092" spans="2:12">
      <c r="B1092" s="208"/>
      <c r="C1092" s="204"/>
      <c r="D1092" s="204"/>
      <c r="E1092" s="204"/>
      <c r="F1092" s="204"/>
      <c r="G1092" s="204"/>
      <c r="H1092" s="558" t="s">
        <v>1892</v>
      </c>
      <c r="I1092" s="558"/>
      <c r="J1092" s="558"/>
      <c r="K1092" s="222">
        <f>TRUNC(SUMIF(C1073:C1088,H1092,K1073:K1088),2)</f>
        <v>720.21</v>
      </c>
      <c r="L1092" s="207"/>
    </row>
    <row r="1093" spans="2:12">
      <c r="B1093" s="213"/>
      <c r="C1093" s="214"/>
      <c r="D1093" s="214"/>
      <c r="E1093" s="214"/>
      <c r="F1093" s="214"/>
      <c r="G1093" s="214"/>
      <c r="H1093" s="559" t="s">
        <v>1224</v>
      </c>
      <c r="I1093" s="559"/>
      <c r="J1093" s="559"/>
      <c r="K1093" s="223">
        <f>IF(K1089&gt;K1090,K1089-K1090,0)</f>
        <v>0</v>
      </c>
      <c r="L1093" s="209"/>
    </row>
    <row r="1095" spans="2:12">
      <c r="B1095" s="247" t="s">
        <v>226</v>
      </c>
      <c r="C1095" s="565" t="str">
        <f>VLOOKUP(B1095,'BM 004'!$B$27:$R$590,2,0)</f>
        <v xml:space="preserve">Armação de pilar ou viga de uma estrutura convencional de concreto armado em um edifício de múltiplos pavimentos utilizando aço ca-50 de 16,0 mm - montagem. </v>
      </c>
      <c r="D1095" s="565"/>
      <c r="E1095" s="565"/>
      <c r="F1095" s="565"/>
      <c r="G1095" s="565"/>
      <c r="H1095" s="565"/>
      <c r="I1095" s="565"/>
      <c r="J1095" s="565"/>
      <c r="K1095" s="565"/>
      <c r="L1095" s="565"/>
    </row>
    <row r="1096" spans="2:12">
      <c r="B1096" s="248" t="s">
        <v>1209</v>
      </c>
      <c r="C1096" s="248"/>
      <c r="D1096" s="248" t="s">
        <v>39</v>
      </c>
      <c r="E1096" s="248" t="s">
        <v>1210</v>
      </c>
      <c r="F1096" s="248" t="s">
        <v>1382</v>
      </c>
      <c r="G1096" s="248" t="s">
        <v>1383</v>
      </c>
      <c r="H1096" s="248" t="s">
        <v>1384</v>
      </c>
      <c r="I1096" s="248" t="s">
        <v>1214</v>
      </c>
      <c r="J1096" s="248" t="s">
        <v>1385</v>
      </c>
      <c r="K1096" s="248" t="s">
        <v>1216</v>
      </c>
      <c r="L1096" s="248" t="s">
        <v>1217</v>
      </c>
    </row>
    <row r="1097" spans="2:12">
      <c r="B1097" s="249" t="s">
        <v>1387</v>
      </c>
      <c r="C1097" s="250" t="s">
        <v>1333</v>
      </c>
      <c r="D1097" s="205" t="s">
        <v>152</v>
      </c>
      <c r="E1097" s="251">
        <v>3239</v>
      </c>
      <c r="F1097" s="252">
        <v>1.5780000000000001</v>
      </c>
      <c r="G1097" s="251">
        <v>1.1000000000000001</v>
      </c>
      <c r="H1097" s="251">
        <v>0.55000000000000004</v>
      </c>
      <c r="I1097" s="251"/>
      <c r="J1097" s="253"/>
      <c r="K1097" s="254">
        <f t="shared" ref="K1097:K1108" si="27">IF(E1097*F1097*G1097&lt;&gt;0,E1097*F1097*G1097,IF(E1097*F1097&lt;&gt;0,E1097*F1097,IF(F1097*G1097&lt;&gt;0,F1097*G1097,IF(E1097*G1097&lt;&gt;0,E1097*G1097,IF(E1097&lt;&gt;0,E1097,IF(F1097&lt;&gt;0,F1097,IF(G1097&lt;&gt;0,G1097,0)))))))*(IF(H1097&lt;&gt;0,H1097,1))+I1097-J1097</f>
        <v>3092.24091</v>
      </c>
      <c r="L1097" s="255"/>
    </row>
    <row r="1098" spans="2:12">
      <c r="B1098" s="249" t="s">
        <v>1480</v>
      </c>
      <c r="C1098" s="250" t="s">
        <v>1441</v>
      </c>
      <c r="D1098" s="205" t="s">
        <v>152</v>
      </c>
      <c r="E1098" s="251">
        <v>153</v>
      </c>
      <c r="F1098" s="252">
        <f>F1097</f>
        <v>1.5780000000000001</v>
      </c>
      <c r="G1098" s="251">
        <f>G1097</f>
        <v>1.1000000000000001</v>
      </c>
      <c r="H1098" s="251">
        <v>0.5</v>
      </c>
      <c r="I1098" s="251"/>
      <c r="J1098" s="253"/>
      <c r="K1098" s="254">
        <f t="shared" si="27"/>
        <v>132.78870000000001</v>
      </c>
      <c r="L1098" s="205"/>
    </row>
    <row r="1099" spans="2:12">
      <c r="B1099" s="249" t="s">
        <v>1555</v>
      </c>
      <c r="C1099" s="250" t="s">
        <v>1611</v>
      </c>
      <c r="D1099" s="205" t="s">
        <v>152</v>
      </c>
      <c r="E1099" s="251"/>
      <c r="F1099" s="252"/>
      <c r="G1099" s="251"/>
      <c r="H1099" s="251"/>
      <c r="I1099" s="251"/>
      <c r="J1099" s="253"/>
      <c r="K1099" s="254">
        <f t="shared" si="27"/>
        <v>0</v>
      </c>
      <c r="L1099" s="205"/>
    </row>
    <row r="1100" spans="2:12">
      <c r="B1100" s="249" t="s">
        <v>1681</v>
      </c>
      <c r="C1100" s="250" t="s">
        <v>1611</v>
      </c>
      <c r="D1100" s="205" t="s">
        <v>152</v>
      </c>
      <c r="E1100" s="251">
        <v>822</v>
      </c>
      <c r="F1100" s="252">
        <v>1.5780000000000001</v>
      </c>
      <c r="G1100" s="251">
        <v>1.1000000000000001</v>
      </c>
      <c r="H1100" s="251">
        <v>0.3</v>
      </c>
      <c r="I1100" s="251"/>
      <c r="J1100" s="253"/>
      <c r="K1100" s="254">
        <f t="shared" si="27"/>
        <v>428.04828000000003</v>
      </c>
      <c r="L1100" s="205"/>
    </row>
    <row r="1101" spans="2:12">
      <c r="B1101" s="249" t="s">
        <v>1681</v>
      </c>
      <c r="C1101" s="250" t="s">
        <v>1612</v>
      </c>
      <c r="D1101" s="205" t="s">
        <v>152</v>
      </c>
      <c r="E1101" s="251">
        <v>822</v>
      </c>
      <c r="F1101" s="252">
        <v>1.5780000000000001</v>
      </c>
      <c r="G1101" s="251">
        <v>1.1000000000000001</v>
      </c>
      <c r="H1101" s="251">
        <v>0.3</v>
      </c>
      <c r="I1101" s="251"/>
      <c r="J1101" s="253"/>
      <c r="K1101" s="254">
        <f t="shared" si="27"/>
        <v>428.04828000000003</v>
      </c>
      <c r="L1101" s="205"/>
    </row>
    <row r="1102" spans="2:12">
      <c r="B1102" s="249" t="s">
        <v>1681</v>
      </c>
      <c r="C1102" s="250" t="s">
        <v>1613</v>
      </c>
      <c r="D1102" s="205" t="s">
        <v>152</v>
      </c>
      <c r="E1102" s="251">
        <v>822</v>
      </c>
      <c r="F1102" s="252">
        <v>1.5780000000000001</v>
      </c>
      <c r="G1102" s="251">
        <v>1.1000000000000001</v>
      </c>
      <c r="H1102" s="251">
        <v>0.2</v>
      </c>
      <c r="I1102" s="251"/>
      <c r="J1102" s="253"/>
      <c r="K1102" s="254">
        <f t="shared" si="27"/>
        <v>285.36552</v>
      </c>
      <c r="L1102" s="205"/>
    </row>
    <row r="1103" spans="2:12">
      <c r="B1103" s="249" t="s">
        <v>1387</v>
      </c>
      <c r="C1103" s="250" t="s">
        <v>1895</v>
      </c>
      <c r="D1103" s="205" t="s">
        <v>152</v>
      </c>
      <c r="E1103" s="251">
        <v>3239</v>
      </c>
      <c r="F1103" s="252">
        <v>1.5780000000000001</v>
      </c>
      <c r="G1103" s="251">
        <v>1.1000000000000001</v>
      </c>
      <c r="H1103" s="251">
        <v>0.15</v>
      </c>
      <c r="I1103" s="251"/>
      <c r="J1103" s="253"/>
      <c r="K1103" s="254">
        <f t="shared" si="27"/>
        <v>843.3384299999999</v>
      </c>
      <c r="L1103" s="255"/>
    </row>
    <row r="1104" spans="2:12">
      <c r="B1104" s="249" t="s">
        <v>1480</v>
      </c>
      <c r="C1104" s="250" t="s">
        <v>1895</v>
      </c>
      <c r="D1104" s="205" t="s">
        <v>152</v>
      </c>
      <c r="E1104" s="251">
        <v>153</v>
      </c>
      <c r="F1104" s="252">
        <f>F1103</f>
        <v>1.5780000000000001</v>
      </c>
      <c r="G1104" s="251">
        <f>G1103</f>
        <v>1.1000000000000001</v>
      </c>
      <c r="H1104" s="251">
        <v>0.3</v>
      </c>
      <c r="I1104" s="251"/>
      <c r="J1104" s="253"/>
      <c r="K1104" s="254">
        <f t="shared" si="27"/>
        <v>79.673220000000001</v>
      </c>
      <c r="L1104" s="205"/>
    </row>
    <row r="1105" spans="2:12">
      <c r="B1105" s="249" t="s">
        <v>1387</v>
      </c>
      <c r="C1105" s="250" t="s">
        <v>1931</v>
      </c>
      <c r="D1105" s="205" t="s">
        <v>152</v>
      </c>
      <c r="E1105" s="251">
        <v>3239</v>
      </c>
      <c r="F1105" s="252">
        <v>1.5780000000000001</v>
      </c>
      <c r="G1105" s="251">
        <v>1.1000000000000001</v>
      </c>
      <c r="H1105" s="251">
        <v>0.2</v>
      </c>
      <c r="I1105" s="251"/>
      <c r="J1105" s="253"/>
      <c r="K1105" s="254">
        <f t="shared" si="27"/>
        <v>1124.4512400000001</v>
      </c>
      <c r="L1105" s="255"/>
    </row>
    <row r="1106" spans="2:12">
      <c r="B1106" s="249" t="s">
        <v>1387</v>
      </c>
      <c r="C1106" s="250" t="s">
        <v>1998</v>
      </c>
      <c r="D1106" s="205" t="s">
        <v>152</v>
      </c>
      <c r="E1106" s="251">
        <v>3239</v>
      </c>
      <c r="F1106" s="252">
        <v>1.5780000000000001</v>
      </c>
      <c r="G1106" s="251">
        <v>1.1000000000000001</v>
      </c>
      <c r="H1106" s="251">
        <v>0.1</v>
      </c>
      <c r="I1106" s="251"/>
      <c r="J1106" s="253"/>
      <c r="K1106" s="254">
        <f t="shared" si="27"/>
        <v>562.22562000000005</v>
      </c>
      <c r="L1106" s="205"/>
    </row>
    <row r="1107" spans="2:12">
      <c r="B1107" s="267"/>
      <c r="C1107" s="205"/>
      <c r="D1107" s="205"/>
      <c r="E1107" s="251"/>
      <c r="F1107" s="252"/>
      <c r="G1107" s="251"/>
      <c r="H1107" s="251"/>
      <c r="I1107" s="251"/>
      <c r="J1107" s="253"/>
      <c r="K1107" s="254">
        <f t="shared" si="27"/>
        <v>0</v>
      </c>
      <c r="L1107" s="205"/>
    </row>
    <row r="1108" spans="2:12">
      <c r="B1108" s="267"/>
      <c r="C1108" s="205"/>
      <c r="D1108" s="205"/>
      <c r="E1108" s="251"/>
      <c r="F1108" s="252"/>
      <c r="G1108" s="251"/>
      <c r="H1108" s="251"/>
      <c r="I1108" s="251"/>
      <c r="J1108" s="253"/>
      <c r="K1108" s="254">
        <f t="shared" si="27"/>
        <v>0</v>
      </c>
      <c r="L1108" s="205"/>
    </row>
    <row r="1109" spans="2:12">
      <c r="B1109" s="208"/>
      <c r="C1109" s="204"/>
      <c r="D1109" s="204"/>
      <c r="E1109" s="204"/>
      <c r="F1109" s="204"/>
      <c r="G1109" s="204"/>
      <c r="H1109" s="204"/>
      <c r="I1109" s="556" t="s">
        <v>1221</v>
      </c>
      <c r="J1109" s="556"/>
      <c r="K1109" s="262">
        <f>SUM(K1097:K1108)</f>
        <v>6976.1801999999998</v>
      </c>
      <c r="L1109" s="207"/>
    </row>
    <row r="1110" spans="2:12">
      <c r="B1110" s="208"/>
      <c r="C1110" s="204"/>
      <c r="D1110" s="204"/>
      <c r="E1110" s="204"/>
      <c r="F1110" s="204"/>
      <c r="G1110" s="204"/>
      <c r="H1110" s="209"/>
      <c r="I1110" s="557" t="s">
        <v>1222</v>
      </c>
      <c r="J1110" s="557"/>
      <c r="K1110" s="221">
        <f>VLOOKUP(B1095,'BM 004'!$B$27:$R$590,4,0)</f>
        <v>7313.9</v>
      </c>
      <c r="L1110" s="207"/>
    </row>
    <row r="1111" spans="2:12">
      <c r="B1111" s="208"/>
      <c r="C1111" s="204"/>
      <c r="D1111" s="204"/>
      <c r="E1111" s="204"/>
      <c r="F1111" s="204"/>
      <c r="G1111" s="204"/>
      <c r="H1111" s="558" t="s">
        <v>1223</v>
      </c>
      <c r="I1111" s="558"/>
      <c r="J1111" s="558"/>
      <c r="K1111" s="222">
        <v>6413.9545799999996</v>
      </c>
      <c r="L1111" s="207"/>
    </row>
    <row r="1112" spans="2:12">
      <c r="B1112" s="208"/>
      <c r="C1112" s="204"/>
      <c r="D1112" s="204"/>
      <c r="E1112" s="204"/>
      <c r="F1112" s="204"/>
      <c r="G1112" s="204"/>
      <c r="H1112" s="558" t="s">
        <v>1892</v>
      </c>
      <c r="I1112" s="558"/>
      <c r="J1112" s="558"/>
      <c r="K1112" s="222">
        <f>TRUNC(SUMIF(C1097:C1108,H1112,K1097:K1108),2)</f>
        <v>562.22</v>
      </c>
      <c r="L1112" s="207"/>
    </row>
    <row r="1113" spans="2:12">
      <c r="B1113" s="213"/>
      <c r="C1113" s="214"/>
      <c r="D1113" s="214"/>
      <c r="E1113" s="214"/>
      <c r="F1113" s="214"/>
      <c r="G1113" s="214"/>
      <c r="H1113" s="559" t="s">
        <v>1224</v>
      </c>
      <c r="I1113" s="559"/>
      <c r="J1113" s="559"/>
      <c r="K1113" s="223">
        <f>IF(K1109&gt;K1110,K1109-K1110,0)</f>
        <v>0</v>
      </c>
      <c r="L1113" s="209"/>
    </row>
    <row r="1115" spans="2:12">
      <c r="B1115" s="247" t="s">
        <v>227</v>
      </c>
      <c r="C1115" s="565" t="str">
        <f>VLOOKUP(B1115,'BM 004'!$B$27:$R$590,2,0)</f>
        <v xml:space="preserve">Armação de pilar ou viga de uma estrutura convencional de concreto armado em um edifício de múltiplos pavimentos utilizando aço ca-50 de 20,0 mm - montagem. </v>
      </c>
      <c r="D1115" s="565"/>
      <c r="E1115" s="565"/>
      <c r="F1115" s="565"/>
      <c r="G1115" s="565"/>
      <c r="H1115" s="565"/>
      <c r="I1115" s="565"/>
      <c r="J1115" s="565"/>
      <c r="K1115" s="565"/>
      <c r="L1115" s="565"/>
    </row>
    <row r="1116" spans="2:12">
      <c r="B1116" s="248" t="s">
        <v>1209</v>
      </c>
      <c r="C1116" s="248"/>
      <c r="D1116" s="248" t="s">
        <v>39</v>
      </c>
      <c r="E1116" s="248" t="s">
        <v>1210</v>
      </c>
      <c r="F1116" s="248" t="s">
        <v>1382</v>
      </c>
      <c r="G1116" s="248" t="s">
        <v>1383</v>
      </c>
      <c r="H1116" s="248" t="s">
        <v>1384</v>
      </c>
      <c r="I1116" s="248" t="s">
        <v>1214</v>
      </c>
      <c r="J1116" s="248" t="s">
        <v>1385</v>
      </c>
      <c r="K1116" s="248" t="s">
        <v>1216</v>
      </c>
      <c r="L1116" s="248" t="s">
        <v>1217</v>
      </c>
    </row>
    <row r="1117" spans="2:12">
      <c r="B1117" s="249" t="s">
        <v>1387</v>
      </c>
      <c r="C1117" s="250" t="s">
        <v>1333</v>
      </c>
      <c r="D1117" s="205" t="s">
        <v>152</v>
      </c>
      <c r="E1117" s="251">
        <v>991</v>
      </c>
      <c r="F1117" s="252">
        <v>2.4660000000000002</v>
      </c>
      <c r="G1117" s="251">
        <v>1.1000000000000001</v>
      </c>
      <c r="H1117" s="251">
        <v>0.55000000000000004</v>
      </c>
      <c r="I1117" s="251"/>
      <c r="J1117" s="253"/>
      <c r="K1117" s="254">
        <f t="shared" ref="K1117:K1129" si="28">IF(E1117*F1117*G1117&lt;&gt;0,E1117*F1117*G1117,IF(E1117*F1117&lt;&gt;0,E1117*F1117,IF(F1117*G1117&lt;&gt;0,F1117*G1117,IF(E1117*G1117&lt;&gt;0,E1117*G1117,IF(E1117&lt;&gt;0,E1117,IF(F1117&lt;&gt;0,F1117,IF(G1117&lt;&gt;0,G1117,0)))))))*(IF(H1117&lt;&gt;0,H1117,1))+I1117-J1117</f>
        <v>1478.5026300000004</v>
      </c>
      <c r="L1117" s="255"/>
    </row>
    <row r="1118" spans="2:12">
      <c r="B1118" s="249" t="s">
        <v>1480</v>
      </c>
      <c r="C1118" s="250" t="s">
        <v>1441</v>
      </c>
      <c r="D1118" s="205" t="s">
        <v>152</v>
      </c>
      <c r="E1118" s="251">
        <v>425</v>
      </c>
      <c r="F1118" s="252">
        <f>F1117</f>
        <v>2.4660000000000002</v>
      </c>
      <c r="G1118" s="251">
        <f>G1117</f>
        <v>1.1000000000000001</v>
      </c>
      <c r="H1118" s="251">
        <v>0.5</v>
      </c>
      <c r="I1118" s="251"/>
      <c r="J1118" s="253"/>
      <c r="K1118" s="254">
        <f t="shared" si="28"/>
        <v>576.42750000000012</v>
      </c>
      <c r="L1118" s="205"/>
    </row>
    <row r="1119" spans="2:12">
      <c r="B1119" s="249" t="s">
        <v>1555</v>
      </c>
      <c r="C1119" s="250" t="s">
        <v>1611</v>
      </c>
      <c r="D1119" s="205" t="s">
        <v>152</v>
      </c>
      <c r="E1119" s="251"/>
      <c r="F1119" s="252"/>
      <c r="G1119" s="251"/>
      <c r="H1119" s="251"/>
      <c r="I1119" s="251"/>
      <c r="J1119" s="253"/>
      <c r="K1119" s="254">
        <f t="shared" si="28"/>
        <v>0</v>
      </c>
      <c r="L1119" s="205"/>
    </row>
    <row r="1120" spans="2:12">
      <c r="B1120" s="249" t="s">
        <v>1681</v>
      </c>
      <c r="C1120" s="250" t="s">
        <v>1611</v>
      </c>
      <c r="D1120" s="205" t="s">
        <v>152</v>
      </c>
      <c r="E1120" s="251">
        <v>247</v>
      </c>
      <c r="F1120" s="252">
        <v>2.4660000000000002</v>
      </c>
      <c r="G1120" s="251">
        <v>1.1000000000000001</v>
      </c>
      <c r="H1120" s="251">
        <v>0.3</v>
      </c>
      <c r="I1120" s="251"/>
      <c r="J1120" s="253"/>
      <c r="K1120" s="254">
        <f t="shared" si="28"/>
        <v>201.00366000000002</v>
      </c>
      <c r="L1120" s="205"/>
    </row>
    <row r="1121" spans="2:12">
      <c r="B1121" s="249" t="s">
        <v>1681</v>
      </c>
      <c r="C1121" s="250" t="s">
        <v>1612</v>
      </c>
      <c r="D1121" s="205" t="s">
        <v>152</v>
      </c>
      <c r="E1121" s="251">
        <v>247</v>
      </c>
      <c r="F1121" s="252">
        <v>2.4660000000000002</v>
      </c>
      <c r="G1121" s="251">
        <v>1.1000000000000001</v>
      </c>
      <c r="H1121" s="251">
        <v>0.25</v>
      </c>
      <c r="I1121" s="251"/>
      <c r="J1121" s="253"/>
      <c r="K1121" s="254">
        <f t="shared" si="28"/>
        <v>167.50305000000003</v>
      </c>
      <c r="L1121" s="205"/>
    </row>
    <row r="1122" spans="2:12">
      <c r="B1122" s="249" t="s">
        <v>1681</v>
      </c>
      <c r="C1122" s="250" t="s">
        <v>1613</v>
      </c>
      <c r="D1122" s="205" t="s">
        <v>152</v>
      </c>
      <c r="E1122" s="251">
        <v>247</v>
      </c>
      <c r="F1122" s="252">
        <v>2.4660000000000002</v>
      </c>
      <c r="G1122" s="251">
        <v>1.1000000000000001</v>
      </c>
      <c r="H1122" s="251">
        <v>0.2</v>
      </c>
      <c r="I1122" s="251"/>
      <c r="J1122" s="253"/>
      <c r="K1122" s="254">
        <f t="shared" si="28"/>
        <v>134.00244000000004</v>
      </c>
      <c r="L1122" s="205"/>
    </row>
    <row r="1123" spans="2:12">
      <c r="B1123" s="249" t="s">
        <v>1387</v>
      </c>
      <c r="C1123" s="250" t="s">
        <v>1895</v>
      </c>
      <c r="D1123" s="205" t="s">
        <v>152</v>
      </c>
      <c r="E1123" s="251">
        <v>991</v>
      </c>
      <c r="F1123" s="252">
        <v>2.4660000000000002</v>
      </c>
      <c r="G1123" s="251">
        <v>1.1000000000000001</v>
      </c>
      <c r="H1123" s="251">
        <v>0.15</v>
      </c>
      <c r="I1123" s="251"/>
      <c r="J1123" s="253"/>
      <c r="K1123" s="254">
        <f t="shared" si="28"/>
        <v>403.22799000000003</v>
      </c>
      <c r="L1123" s="255"/>
    </row>
    <row r="1124" spans="2:12">
      <c r="B1124" s="249" t="s">
        <v>1480</v>
      </c>
      <c r="C1124" s="250" t="s">
        <v>1895</v>
      </c>
      <c r="D1124" s="205" t="s">
        <v>152</v>
      </c>
      <c r="E1124" s="251">
        <v>425</v>
      </c>
      <c r="F1124" s="252">
        <f>F1123</f>
        <v>2.4660000000000002</v>
      </c>
      <c r="G1124" s="251">
        <f>G1123</f>
        <v>1.1000000000000001</v>
      </c>
      <c r="H1124" s="251">
        <v>0.3</v>
      </c>
      <c r="I1124" s="251"/>
      <c r="J1124" s="253"/>
      <c r="K1124" s="254">
        <f t="shared" si="28"/>
        <v>345.85650000000004</v>
      </c>
      <c r="L1124" s="205"/>
    </row>
    <row r="1125" spans="2:12">
      <c r="B1125" s="249" t="s">
        <v>1387</v>
      </c>
      <c r="C1125" s="250" t="s">
        <v>1931</v>
      </c>
      <c r="D1125" s="205" t="s">
        <v>152</v>
      </c>
      <c r="E1125" s="251">
        <v>991</v>
      </c>
      <c r="F1125" s="252">
        <v>2.4660000000000002</v>
      </c>
      <c r="G1125" s="251">
        <v>1.1000000000000001</v>
      </c>
      <c r="H1125" s="251">
        <v>0.2</v>
      </c>
      <c r="I1125" s="251"/>
      <c r="J1125" s="253"/>
      <c r="K1125" s="254">
        <f t="shared" si="28"/>
        <v>537.63732000000016</v>
      </c>
      <c r="L1125" s="255"/>
    </row>
    <row r="1126" spans="2:12">
      <c r="B1126" s="249" t="s">
        <v>1387</v>
      </c>
      <c r="C1126" s="250" t="s">
        <v>1998</v>
      </c>
      <c r="D1126" s="205" t="s">
        <v>152</v>
      </c>
      <c r="E1126" s="251">
        <v>991</v>
      </c>
      <c r="F1126" s="252">
        <v>2.4660000000000002</v>
      </c>
      <c r="G1126" s="251">
        <v>1.1000000000000001</v>
      </c>
      <c r="H1126" s="251">
        <v>0.1</v>
      </c>
      <c r="I1126" s="251"/>
      <c r="J1126" s="253"/>
      <c r="K1126" s="254">
        <f t="shared" si="28"/>
        <v>268.81866000000008</v>
      </c>
      <c r="L1126" s="255"/>
    </row>
    <row r="1127" spans="2:12">
      <c r="B1127" s="249" t="s">
        <v>1480</v>
      </c>
      <c r="C1127" s="250" t="s">
        <v>1998</v>
      </c>
      <c r="D1127" s="205" t="s">
        <v>152</v>
      </c>
      <c r="E1127" s="251">
        <v>425</v>
      </c>
      <c r="F1127" s="252">
        <f>F1126</f>
        <v>2.4660000000000002</v>
      </c>
      <c r="G1127" s="251">
        <f>G1126</f>
        <v>1.1000000000000001</v>
      </c>
      <c r="H1127" s="251">
        <v>0.2</v>
      </c>
      <c r="I1127" s="251"/>
      <c r="J1127" s="253"/>
      <c r="K1127" s="254">
        <f t="shared" si="28"/>
        <v>230.57100000000005</v>
      </c>
      <c r="L1127" s="205"/>
    </row>
    <row r="1128" spans="2:12">
      <c r="B1128" s="249"/>
      <c r="C1128" s="250"/>
      <c r="D1128" s="205"/>
      <c r="E1128" s="251"/>
      <c r="F1128" s="252"/>
      <c r="G1128" s="251"/>
      <c r="H1128" s="251"/>
      <c r="I1128" s="251"/>
      <c r="J1128" s="253"/>
      <c r="K1128" s="254">
        <f t="shared" si="28"/>
        <v>0</v>
      </c>
      <c r="L1128" s="205"/>
    </row>
    <row r="1129" spans="2:12">
      <c r="B1129" s="267"/>
      <c r="C1129" s="205"/>
      <c r="D1129" s="205"/>
      <c r="E1129" s="251"/>
      <c r="F1129" s="252"/>
      <c r="G1129" s="251"/>
      <c r="H1129" s="251"/>
      <c r="I1129" s="251"/>
      <c r="J1129" s="253"/>
      <c r="K1129" s="254">
        <f t="shared" si="28"/>
        <v>0</v>
      </c>
      <c r="L1129" s="205"/>
    </row>
    <row r="1130" spans="2:12">
      <c r="B1130" s="208"/>
      <c r="C1130" s="204"/>
      <c r="D1130" s="204"/>
      <c r="E1130" s="204"/>
      <c r="F1130" s="204"/>
      <c r="G1130" s="204"/>
      <c r="H1130" s="204"/>
      <c r="I1130" s="556" t="s">
        <v>1221</v>
      </c>
      <c r="J1130" s="556"/>
      <c r="K1130" s="262">
        <f>SUM(K1117:K1129)</f>
        <v>4343.5507500000003</v>
      </c>
      <c r="L1130" s="207"/>
    </row>
    <row r="1131" spans="2:12">
      <c r="B1131" s="208"/>
      <c r="C1131" s="204"/>
      <c r="D1131" s="204"/>
      <c r="E1131" s="204"/>
      <c r="F1131" s="204"/>
      <c r="G1131" s="204"/>
      <c r="H1131" s="209"/>
      <c r="I1131" s="557" t="s">
        <v>1222</v>
      </c>
      <c r="J1131" s="557"/>
      <c r="K1131" s="221">
        <f>VLOOKUP(B1115,'BM 004'!$B$27:$R$590,4,0)</f>
        <v>4513.3</v>
      </c>
      <c r="L1131" s="207"/>
    </row>
    <row r="1132" spans="2:12">
      <c r="B1132" s="208"/>
      <c r="C1132" s="204"/>
      <c r="D1132" s="204"/>
      <c r="E1132" s="204"/>
      <c r="F1132" s="204"/>
      <c r="G1132" s="204"/>
      <c r="H1132" s="558" t="s">
        <v>1223</v>
      </c>
      <c r="I1132" s="558"/>
      <c r="J1132" s="558"/>
      <c r="K1132" s="222">
        <v>3844.1610900000001</v>
      </c>
      <c r="L1132" s="207"/>
    </row>
    <row r="1133" spans="2:12">
      <c r="B1133" s="208"/>
      <c r="C1133" s="204"/>
      <c r="D1133" s="204"/>
      <c r="E1133" s="204"/>
      <c r="F1133" s="204"/>
      <c r="G1133" s="204"/>
      <c r="H1133" s="558" t="s">
        <v>1892</v>
      </c>
      <c r="I1133" s="558"/>
      <c r="J1133" s="558"/>
      <c r="K1133" s="222">
        <f>TRUNC(SUMIF(C1117:C1129,H1133,K1117:K1129),2)</f>
        <v>499.38</v>
      </c>
      <c r="L1133" s="207"/>
    </row>
    <row r="1134" spans="2:12">
      <c r="B1134" s="213"/>
      <c r="C1134" s="214"/>
      <c r="D1134" s="214"/>
      <c r="E1134" s="214"/>
      <c r="F1134" s="214"/>
      <c r="G1134" s="214"/>
      <c r="H1134" s="559" t="s">
        <v>1224</v>
      </c>
      <c r="I1134" s="559"/>
      <c r="J1134" s="559"/>
      <c r="K1134" s="223">
        <f>IF(K1130&gt;K1131,K1130-K1131,0)</f>
        <v>0</v>
      </c>
      <c r="L1134" s="209"/>
    </row>
    <row r="1136" spans="2:12">
      <c r="B1136" s="247" t="s">
        <v>228</v>
      </c>
      <c r="C1136" s="565" t="str">
        <f>VLOOKUP(B1136,'BM 004'!$B$27:$R$590,2,0)</f>
        <v xml:space="preserve">Armação de pilar ou viga de uma estrutura convencional de concreto armado em um edifício de múltiplos pavimentos utilizando aço ca-50 de 25,0 mm - montagem. </v>
      </c>
      <c r="D1136" s="565"/>
      <c r="E1136" s="565"/>
      <c r="F1136" s="565"/>
      <c r="G1136" s="565"/>
      <c r="H1136" s="565"/>
      <c r="I1136" s="565"/>
      <c r="J1136" s="565"/>
      <c r="K1136" s="565"/>
      <c r="L1136" s="565"/>
    </row>
    <row r="1137" spans="2:12">
      <c r="B1137" s="248" t="s">
        <v>1209</v>
      </c>
      <c r="C1137" s="248"/>
      <c r="D1137" s="248" t="s">
        <v>39</v>
      </c>
      <c r="E1137" s="248" t="s">
        <v>1210</v>
      </c>
      <c r="F1137" s="248" t="s">
        <v>1382</v>
      </c>
      <c r="G1137" s="248" t="s">
        <v>1383</v>
      </c>
      <c r="H1137" s="248" t="s">
        <v>1384</v>
      </c>
      <c r="I1137" s="248" t="s">
        <v>1214</v>
      </c>
      <c r="J1137" s="248" t="s">
        <v>1385</v>
      </c>
      <c r="K1137" s="248" t="s">
        <v>1216</v>
      </c>
      <c r="L1137" s="248" t="s">
        <v>1217</v>
      </c>
    </row>
    <row r="1138" spans="2:12">
      <c r="B1138" s="249" t="s">
        <v>1387</v>
      </c>
      <c r="C1138" s="250" t="s">
        <v>1333</v>
      </c>
      <c r="D1138" s="205" t="s">
        <v>152</v>
      </c>
      <c r="E1138" s="251">
        <v>928</v>
      </c>
      <c r="F1138" s="252">
        <v>3.8530000000000002</v>
      </c>
      <c r="G1138" s="251">
        <v>1.1000000000000001</v>
      </c>
      <c r="H1138" s="251">
        <v>0.55000000000000004</v>
      </c>
      <c r="I1138" s="251"/>
      <c r="J1138" s="253"/>
      <c r="K1138" s="254">
        <f t="shared" ref="K1138:K1153" si="29">IF(E1138*F1138*G1138&lt;&gt;0,E1138*F1138*G1138,IF(E1138*F1138&lt;&gt;0,E1138*F1138,IF(F1138*G1138&lt;&gt;0,F1138*G1138,IF(E1138*G1138&lt;&gt;0,E1138*G1138,IF(E1138&lt;&gt;0,E1138,IF(F1138&lt;&gt;0,F1138,IF(G1138&lt;&gt;0,G1138,0)))))))*(IF(H1138&lt;&gt;0,H1138,1))+I1138-J1138</f>
        <v>2163.2283200000006</v>
      </c>
      <c r="L1138" s="255"/>
    </row>
    <row r="1139" spans="2:12">
      <c r="B1139" s="249" t="s">
        <v>1480</v>
      </c>
      <c r="C1139" s="250" t="s">
        <v>1441</v>
      </c>
      <c r="D1139" s="205" t="s">
        <v>152</v>
      </c>
      <c r="E1139" s="251">
        <v>142</v>
      </c>
      <c r="F1139" s="252">
        <f>F1138</f>
        <v>3.8530000000000002</v>
      </c>
      <c r="G1139" s="251">
        <f>G1138</f>
        <v>1.1000000000000001</v>
      </c>
      <c r="H1139" s="251">
        <v>0.5</v>
      </c>
      <c r="I1139" s="251"/>
      <c r="J1139" s="253"/>
      <c r="K1139" s="254">
        <f t="shared" si="29"/>
        <v>300.91930000000002</v>
      </c>
      <c r="L1139" s="205"/>
    </row>
    <row r="1140" spans="2:12">
      <c r="B1140" s="249" t="s">
        <v>1555</v>
      </c>
      <c r="C1140" s="250" t="s">
        <v>1521</v>
      </c>
      <c r="D1140" s="205" t="s">
        <v>152</v>
      </c>
      <c r="E1140" s="251">
        <v>1728</v>
      </c>
      <c r="F1140" s="252">
        <f>F1139</f>
        <v>3.8530000000000002</v>
      </c>
      <c r="G1140" s="251">
        <f>G1139</f>
        <v>1.1000000000000001</v>
      </c>
      <c r="H1140" s="251">
        <v>0.3</v>
      </c>
      <c r="I1140" s="251"/>
      <c r="J1140" s="253"/>
      <c r="K1140" s="254">
        <f t="shared" si="29"/>
        <v>2197.13472</v>
      </c>
      <c r="L1140" s="205"/>
    </row>
    <row r="1141" spans="2:12">
      <c r="B1141" s="249" t="s">
        <v>1681</v>
      </c>
      <c r="C1141" s="250" t="s">
        <v>1611</v>
      </c>
      <c r="D1141" s="205" t="s">
        <v>152</v>
      </c>
      <c r="E1141" s="251">
        <v>653</v>
      </c>
      <c r="F1141" s="252">
        <v>3.8530000000000002</v>
      </c>
      <c r="G1141" s="251">
        <v>1.1000000000000001</v>
      </c>
      <c r="H1141" s="251">
        <v>0.3</v>
      </c>
      <c r="I1141" s="251"/>
      <c r="J1141" s="253"/>
      <c r="K1141" s="254">
        <f t="shared" si="29"/>
        <v>830.28297000000009</v>
      </c>
      <c r="L1141" s="205"/>
    </row>
    <row r="1142" spans="2:12">
      <c r="B1142" s="249" t="s">
        <v>1555</v>
      </c>
      <c r="C1142" s="250" t="s">
        <v>1612</v>
      </c>
      <c r="D1142" s="205" t="s">
        <v>152</v>
      </c>
      <c r="E1142" s="251">
        <v>1728</v>
      </c>
      <c r="F1142" s="252">
        <f>F1141</f>
        <v>3.8530000000000002</v>
      </c>
      <c r="G1142" s="251">
        <f>G1141</f>
        <v>1.1000000000000001</v>
      </c>
      <c r="H1142" s="251">
        <v>0.5</v>
      </c>
      <c r="I1142" s="251"/>
      <c r="J1142" s="253"/>
      <c r="K1142" s="254">
        <f t="shared" si="29"/>
        <v>3661.8912000000005</v>
      </c>
      <c r="L1142" s="205"/>
    </row>
    <row r="1143" spans="2:12">
      <c r="B1143" s="249" t="s">
        <v>1681</v>
      </c>
      <c r="C1143" s="250" t="s">
        <v>1612</v>
      </c>
      <c r="D1143" s="205" t="s">
        <v>152</v>
      </c>
      <c r="E1143" s="251">
        <v>653</v>
      </c>
      <c r="F1143" s="252">
        <v>3.8530000000000002</v>
      </c>
      <c r="G1143" s="251">
        <v>1.1000000000000001</v>
      </c>
      <c r="H1143" s="251">
        <v>0.1</v>
      </c>
      <c r="I1143" s="251"/>
      <c r="J1143" s="253"/>
      <c r="K1143" s="254">
        <f t="shared" si="29"/>
        <v>276.76099000000005</v>
      </c>
      <c r="L1143" s="205"/>
    </row>
    <row r="1144" spans="2:12">
      <c r="B1144" s="249" t="s">
        <v>1681</v>
      </c>
      <c r="C1144" s="250" t="s">
        <v>1613</v>
      </c>
      <c r="D1144" s="205" t="s">
        <v>152</v>
      </c>
      <c r="E1144" s="251">
        <v>653</v>
      </c>
      <c r="F1144" s="252">
        <v>3.8530000000000002</v>
      </c>
      <c r="G1144" s="251">
        <v>1.1000000000000001</v>
      </c>
      <c r="H1144" s="251">
        <v>0.1</v>
      </c>
      <c r="I1144" s="251"/>
      <c r="J1144" s="253"/>
      <c r="K1144" s="254">
        <f t="shared" si="29"/>
        <v>276.76099000000005</v>
      </c>
      <c r="L1144" s="205"/>
    </row>
    <row r="1145" spans="2:12">
      <c r="B1145" s="249" t="s">
        <v>1387</v>
      </c>
      <c r="C1145" s="250" t="s">
        <v>1895</v>
      </c>
      <c r="D1145" s="205" t="s">
        <v>152</v>
      </c>
      <c r="E1145" s="251">
        <v>928</v>
      </c>
      <c r="F1145" s="252">
        <v>3.8530000000000002</v>
      </c>
      <c r="G1145" s="251">
        <v>1.1000000000000001</v>
      </c>
      <c r="H1145" s="251">
        <v>0.15</v>
      </c>
      <c r="I1145" s="251"/>
      <c r="J1145" s="253"/>
      <c r="K1145" s="254">
        <f t="shared" si="29"/>
        <v>589.97136000000012</v>
      </c>
      <c r="L1145" s="255"/>
    </row>
    <row r="1146" spans="2:12">
      <c r="B1146" s="249" t="s">
        <v>1480</v>
      </c>
      <c r="C1146" s="250" t="s">
        <v>1895</v>
      </c>
      <c r="D1146" s="205" t="s">
        <v>152</v>
      </c>
      <c r="E1146" s="251">
        <v>142</v>
      </c>
      <c r="F1146" s="252">
        <f>F1145</f>
        <v>3.8530000000000002</v>
      </c>
      <c r="G1146" s="251">
        <f>G1145</f>
        <v>1.1000000000000001</v>
      </c>
      <c r="H1146" s="251">
        <v>0.3</v>
      </c>
      <c r="I1146" s="251"/>
      <c r="J1146" s="253"/>
      <c r="K1146" s="254">
        <f t="shared" si="29"/>
        <v>180.55158</v>
      </c>
      <c r="L1146" s="205"/>
    </row>
    <row r="1147" spans="2:12">
      <c r="B1147" s="249" t="s">
        <v>1555</v>
      </c>
      <c r="C1147" s="250" t="s">
        <v>1895</v>
      </c>
      <c r="D1147" s="205" t="s">
        <v>152</v>
      </c>
      <c r="E1147" s="251">
        <v>1728</v>
      </c>
      <c r="F1147" s="252">
        <f>F1146</f>
        <v>3.8530000000000002</v>
      </c>
      <c r="G1147" s="251">
        <f>G1146</f>
        <v>1.1000000000000001</v>
      </c>
      <c r="H1147" s="251">
        <v>0.1</v>
      </c>
      <c r="I1147" s="251"/>
      <c r="J1147" s="253"/>
      <c r="K1147" s="254">
        <f t="shared" si="29"/>
        <v>732.37824000000012</v>
      </c>
      <c r="L1147" s="205"/>
    </row>
    <row r="1148" spans="2:12">
      <c r="B1148" s="249" t="s">
        <v>1387</v>
      </c>
      <c r="C1148" s="250" t="s">
        <v>1931</v>
      </c>
      <c r="D1148" s="205" t="s">
        <v>152</v>
      </c>
      <c r="E1148" s="251">
        <v>928</v>
      </c>
      <c r="F1148" s="252">
        <v>3.8530000000000002</v>
      </c>
      <c r="G1148" s="251">
        <v>1.1000000000000001</v>
      </c>
      <c r="H1148" s="251">
        <v>0.2</v>
      </c>
      <c r="I1148" s="251"/>
      <c r="J1148" s="253"/>
      <c r="K1148" s="254">
        <f t="shared" si="29"/>
        <v>786.6284800000002</v>
      </c>
      <c r="L1148" s="255"/>
    </row>
    <row r="1149" spans="2:12">
      <c r="B1149" s="249" t="s">
        <v>1387</v>
      </c>
      <c r="C1149" s="250" t="s">
        <v>1998</v>
      </c>
      <c r="D1149" s="205" t="s">
        <v>152</v>
      </c>
      <c r="E1149" s="251">
        <v>928</v>
      </c>
      <c r="F1149" s="252">
        <v>3.8530000000000002</v>
      </c>
      <c r="G1149" s="251">
        <v>1.1000000000000001</v>
      </c>
      <c r="H1149" s="251">
        <v>0.1</v>
      </c>
      <c r="I1149" s="251"/>
      <c r="J1149" s="253"/>
      <c r="K1149" s="254">
        <f t="shared" si="29"/>
        <v>393.3142400000001</v>
      </c>
      <c r="L1149" s="255"/>
    </row>
    <row r="1150" spans="2:12">
      <c r="B1150" s="249" t="s">
        <v>1480</v>
      </c>
      <c r="C1150" s="250" t="s">
        <v>1998</v>
      </c>
      <c r="D1150" s="205" t="s">
        <v>152</v>
      </c>
      <c r="E1150" s="251">
        <v>142</v>
      </c>
      <c r="F1150" s="252">
        <f>F1149</f>
        <v>3.8530000000000002</v>
      </c>
      <c r="G1150" s="251">
        <f>G1149</f>
        <v>1.1000000000000001</v>
      </c>
      <c r="H1150" s="251">
        <v>0.2</v>
      </c>
      <c r="I1150" s="251"/>
      <c r="J1150" s="253"/>
      <c r="K1150" s="254">
        <f t="shared" si="29"/>
        <v>120.36772000000002</v>
      </c>
      <c r="L1150" s="255"/>
    </row>
    <row r="1151" spans="2:12">
      <c r="B1151" s="249" t="s">
        <v>1555</v>
      </c>
      <c r="C1151" s="250" t="s">
        <v>1998</v>
      </c>
      <c r="D1151" s="205" t="s">
        <v>152</v>
      </c>
      <c r="E1151" s="251">
        <v>1728</v>
      </c>
      <c r="F1151" s="252">
        <f>F1150</f>
        <v>3.8530000000000002</v>
      </c>
      <c r="G1151" s="251">
        <f>G1150</f>
        <v>1.1000000000000001</v>
      </c>
      <c r="H1151" s="251">
        <v>0.1</v>
      </c>
      <c r="I1151" s="251"/>
      <c r="J1151" s="253"/>
      <c r="K1151" s="254">
        <f t="shared" si="29"/>
        <v>732.37824000000012</v>
      </c>
      <c r="L1151" s="255"/>
    </row>
    <row r="1152" spans="2:12">
      <c r="B1152" s="249"/>
      <c r="C1152" s="250"/>
      <c r="D1152" s="205"/>
      <c r="E1152" s="251"/>
      <c r="F1152" s="252"/>
      <c r="G1152" s="251"/>
      <c r="H1152" s="251"/>
      <c r="I1152" s="251"/>
      <c r="J1152" s="253"/>
      <c r="K1152" s="254">
        <f t="shared" si="29"/>
        <v>0</v>
      </c>
      <c r="L1152" s="255"/>
    </row>
    <row r="1153" spans="2:12">
      <c r="B1153" s="267"/>
      <c r="C1153" s="205"/>
      <c r="D1153" s="205"/>
      <c r="E1153" s="251"/>
      <c r="F1153" s="252"/>
      <c r="G1153" s="251"/>
      <c r="H1153" s="251"/>
      <c r="I1153" s="251"/>
      <c r="J1153" s="253"/>
      <c r="K1153" s="254">
        <f t="shared" si="29"/>
        <v>0</v>
      </c>
      <c r="L1153" s="205"/>
    </row>
    <row r="1154" spans="2:12">
      <c r="B1154" s="208"/>
      <c r="C1154" s="204"/>
      <c r="D1154" s="204"/>
      <c r="E1154" s="204"/>
      <c r="F1154" s="204"/>
      <c r="G1154" s="204"/>
      <c r="H1154" s="204"/>
      <c r="I1154" s="556" t="s">
        <v>1221</v>
      </c>
      <c r="J1154" s="556"/>
      <c r="K1154" s="262">
        <f>SUM(K1138:K1153)</f>
        <v>13242.568350000001</v>
      </c>
      <c r="L1154" s="207"/>
    </row>
    <row r="1155" spans="2:12">
      <c r="B1155" s="208"/>
      <c r="C1155" s="204"/>
      <c r="D1155" s="204"/>
      <c r="E1155" s="204"/>
      <c r="F1155" s="204"/>
      <c r="G1155" s="204"/>
      <c r="H1155" s="209"/>
      <c r="I1155" s="557" t="s">
        <v>1222</v>
      </c>
      <c r="J1155" s="557"/>
      <c r="K1155" s="221">
        <f>VLOOKUP(B1136,'BM 004'!$B$27:$R$590,4,0)</f>
        <v>14626.7</v>
      </c>
      <c r="L1155" s="207"/>
    </row>
    <row r="1156" spans="2:12">
      <c r="B1156" s="208"/>
      <c r="C1156" s="204"/>
      <c r="D1156" s="204"/>
      <c r="E1156" s="204"/>
      <c r="F1156" s="204"/>
      <c r="G1156" s="204"/>
      <c r="H1156" s="558" t="s">
        <v>1223</v>
      </c>
      <c r="I1156" s="558"/>
      <c r="J1156" s="558"/>
      <c r="K1156" s="222">
        <v>11996.50815</v>
      </c>
      <c r="L1156" s="207"/>
    </row>
    <row r="1157" spans="2:12">
      <c r="B1157" s="208"/>
      <c r="C1157" s="204"/>
      <c r="D1157" s="204"/>
      <c r="E1157" s="204"/>
      <c r="F1157" s="204"/>
      <c r="G1157" s="204"/>
      <c r="H1157" s="558" t="s">
        <v>1892</v>
      </c>
      <c r="I1157" s="558"/>
      <c r="J1157" s="558"/>
      <c r="K1157" s="222">
        <f>TRUNC(SUMIF(C1138:C1153,H1157,K1138:K1153),2)</f>
        <v>1246.06</v>
      </c>
      <c r="L1157" s="207"/>
    </row>
    <row r="1158" spans="2:12">
      <c r="B1158" s="213"/>
      <c r="C1158" s="214"/>
      <c r="D1158" s="214"/>
      <c r="E1158" s="214"/>
      <c r="F1158" s="214"/>
      <c r="G1158" s="214"/>
      <c r="H1158" s="559" t="s">
        <v>1224</v>
      </c>
      <c r="I1158" s="559"/>
      <c r="J1158" s="559"/>
      <c r="K1158" s="223">
        <f>IF(K1154&gt;K1155,K1154-K1155,0)</f>
        <v>0</v>
      </c>
      <c r="L1158" s="209"/>
    </row>
    <row r="1160" spans="2:12">
      <c r="B1160" s="247" t="s">
        <v>233</v>
      </c>
      <c r="C1160" s="565" t="str">
        <f>VLOOKUP(B1160,'BM 004'!$B$27:$R$590,2,0)</f>
        <v xml:space="preserve">Concreto simples usinado fck=35mpa, bombeado, lançado e adensado em superestrutura </v>
      </c>
      <c r="D1160" s="565"/>
      <c r="E1160" s="565"/>
      <c r="F1160" s="565"/>
      <c r="G1160" s="565"/>
      <c r="H1160" s="565"/>
      <c r="I1160" s="565"/>
      <c r="J1160" s="565"/>
      <c r="K1160" s="565"/>
      <c r="L1160" s="565"/>
    </row>
    <row r="1161" spans="2:12">
      <c r="B1161" s="248" t="s">
        <v>1209</v>
      </c>
      <c r="C1161" s="248"/>
      <c r="D1161" s="248" t="s">
        <v>39</v>
      </c>
      <c r="E1161" s="248" t="s">
        <v>1210</v>
      </c>
      <c r="F1161" s="248" t="s">
        <v>1388</v>
      </c>
      <c r="G1161" s="248" t="s">
        <v>1212</v>
      </c>
      <c r="H1161" s="248" t="s">
        <v>1213</v>
      </c>
      <c r="I1161" s="248" t="s">
        <v>1214</v>
      </c>
      <c r="J1161" s="248" t="s">
        <v>1385</v>
      </c>
      <c r="K1161" s="248" t="s">
        <v>1216</v>
      </c>
      <c r="L1161" s="248" t="s">
        <v>1217</v>
      </c>
    </row>
    <row r="1162" spans="2:12">
      <c r="B1162" s="249" t="s">
        <v>1389</v>
      </c>
      <c r="C1162" s="250" t="s">
        <v>1333</v>
      </c>
      <c r="D1162" s="205" t="s">
        <v>110</v>
      </c>
      <c r="E1162" s="199">
        <v>0.5</v>
      </c>
      <c r="F1162" s="199">
        <v>0.4</v>
      </c>
      <c r="G1162" s="199">
        <v>5.12</v>
      </c>
      <c r="H1162" s="199">
        <v>1</v>
      </c>
      <c r="I1162" s="199"/>
      <c r="J1162" s="253"/>
      <c r="K1162" s="260">
        <f t="shared" ref="K1162:K1225" si="30">IF(E1162*F1162*G1162&lt;&gt;0,E1162*F1162*G1162,IF(E1162*F1162&lt;&gt;0,E1162*F1162,IF(F1162*G1162&lt;&gt;0,F1162*G1162,IF(E1162*G1162&lt;&gt;0,E1162*G1162,IF(E1162&lt;&gt;0,E1162,IF(F1162&lt;&gt;0,F1162,IF(G1162&lt;&gt;0,G1162,0)))))))*(IF(H1162&lt;&gt;0,H1162,1))+I1162-J1162</f>
        <v>1.024</v>
      </c>
      <c r="L1162" s="255" t="s">
        <v>1556</v>
      </c>
    </row>
    <row r="1163" spans="2:12">
      <c r="B1163" s="256" t="s">
        <v>1390</v>
      </c>
      <c r="C1163" s="250" t="s">
        <v>1333</v>
      </c>
      <c r="D1163" s="205" t="s">
        <v>110</v>
      </c>
      <c r="E1163" s="261">
        <v>1</v>
      </c>
      <c r="F1163" s="261">
        <v>0.2</v>
      </c>
      <c r="G1163" s="261">
        <v>5.12</v>
      </c>
      <c r="H1163" s="261">
        <v>1</v>
      </c>
      <c r="I1163" s="261"/>
      <c r="J1163" s="259"/>
      <c r="K1163" s="260">
        <f t="shared" si="30"/>
        <v>1.024</v>
      </c>
      <c r="L1163" s="266" t="s">
        <v>1556</v>
      </c>
    </row>
    <row r="1164" spans="2:12">
      <c r="B1164" s="256" t="s">
        <v>1391</v>
      </c>
      <c r="C1164" s="250" t="s">
        <v>1333</v>
      </c>
      <c r="D1164" s="205" t="s">
        <v>110</v>
      </c>
      <c r="E1164" s="261">
        <v>1</v>
      </c>
      <c r="F1164" s="261">
        <v>0.2</v>
      </c>
      <c r="G1164" s="261">
        <v>5.12</v>
      </c>
      <c r="H1164" s="261">
        <v>1</v>
      </c>
      <c r="I1164" s="261"/>
      <c r="J1164" s="259"/>
      <c r="K1164" s="260">
        <f t="shared" si="30"/>
        <v>1.024</v>
      </c>
      <c r="L1164" s="266" t="s">
        <v>1556</v>
      </c>
    </row>
    <row r="1165" spans="2:12">
      <c r="B1165" s="256" t="s">
        <v>1392</v>
      </c>
      <c r="C1165" s="250" t="s">
        <v>1333</v>
      </c>
      <c r="D1165" s="205" t="s">
        <v>110</v>
      </c>
      <c r="E1165" s="261">
        <v>0.4</v>
      </c>
      <c r="F1165" s="261">
        <v>0.4</v>
      </c>
      <c r="G1165" s="261">
        <v>5.12</v>
      </c>
      <c r="H1165" s="261">
        <v>1</v>
      </c>
      <c r="I1165" s="261"/>
      <c r="J1165" s="259"/>
      <c r="K1165" s="260">
        <f t="shared" si="30"/>
        <v>0.81920000000000015</v>
      </c>
      <c r="L1165" s="266" t="s">
        <v>1556</v>
      </c>
    </row>
    <row r="1166" spans="2:12">
      <c r="B1166" s="256" t="s">
        <v>1393</v>
      </c>
      <c r="C1166" s="250" t="s">
        <v>1333</v>
      </c>
      <c r="D1166" s="205" t="s">
        <v>110</v>
      </c>
      <c r="E1166" s="261">
        <v>0.3</v>
      </c>
      <c r="F1166" s="261">
        <v>0.3</v>
      </c>
      <c r="G1166" s="261">
        <v>5.12</v>
      </c>
      <c r="H1166" s="261">
        <v>1</v>
      </c>
      <c r="I1166" s="261"/>
      <c r="J1166" s="259"/>
      <c r="K1166" s="260">
        <f t="shared" si="30"/>
        <v>0.46079999999999999</v>
      </c>
      <c r="L1166" s="266" t="s">
        <v>1556</v>
      </c>
    </row>
    <row r="1167" spans="2:12">
      <c r="B1167" s="256" t="s">
        <v>1394</v>
      </c>
      <c r="C1167" s="250" t="s">
        <v>1333</v>
      </c>
      <c r="D1167" s="205" t="s">
        <v>110</v>
      </c>
      <c r="E1167" s="261">
        <v>0.4</v>
      </c>
      <c r="F1167" s="261">
        <v>0.4</v>
      </c>
      <c r="G1167" s="261">
        <v>5.12</v>
      </c>
      <c r="H1167" s="261">
        <v>1</v>
      </c>
      <c r="I1167" s="261"/>
      <c r="J1167" s="259"/>
      <c r="K1167" s="260">
        <f t="shared" si="30"/>
        <v>0.81920000000000015</v>
      </c>
      <c r="L1167" s="266" t="s">
        <v>1556</v>
      </c>
    </row>
    <row r="1168" spans="2:12">
      <c r="B1168" s="256" t="s">
        <v>1395</v>
      </c>
      <c r="C1168" s="250" t="s">
        <v>1333</v>
      </c>
      <c r="D1168" s="205" t="s">
        <v>110</v>
      </c>
      <c r="E1168" s="199">
        <v>0.5</v>
      </c>
      <c r="F1168" s="199">
        <v>0.4</v>
      </c>
      <c r="G1168" s="261">
        <v>5.12</v>
      </c>
      <c r="H1168" s="261">
        <v>1</v>
      </c>
      <c r="I1168" s="261"/>
      <c r="J1168" s="259"/>
      <c r="K1168" s="260">
        <f t="shared" si="30"/>
        <v>1.024</v>
      </c>
      <c r="L1168" s="266" t="s">
        <v>1556</v>
      </c>
    </row>
    <row r="1169" spans="2:12">
      <c r="B1169" s="256" t="s">
        <v>1396</v>
      </c>
      <c r="C1169" s="250" t="s">
        <v>1333</v>
      </c>
      <c r="D1169" s="205" t="s">
        <v>110</v>
      </c>
      <c r="E1169" s="199">
        <v>0.5</v>
      </c>
      <c r="F1169" s="199">
        <v>0.4</v>
      </c>
      <c r="G1169" s="261">
        <v>5.12</v>
      </c>
      <c r="H1169" s="261">
        <v>1</v>
      </c>
      <c r="I1169" s="261"/>
      <c r="J1169" s="259"/>
      <c r="K1169" s="260">
        <f t="shared" si="30"/>
        <v>1.024</v>
      </c>
      <c r="L1169" s="266" t="s">
        <v>1556</v>
      </c>
    </row>
    <row r="1170" spans="2:12">
      <c r="B1170" s="256" t="s">
        <v>1397</v>
      </c>
      <c r="C1170" s="250" t="s">
        <v>1333</v>
      </c>
      <c r="D1170" s="205" t="s">
        <v>110</v>
      </c>
      <c r="E1170" s="261">
        <v>1</v>
      </c>
      <c r="F1170" s="261">
        <v>0.2</v>
      </c>
      <c r="G1170" s="261">
        <v>5.12</v>
      </c>
      <c r="H1170" s="261">
        <v>1</v>
      </c>
      <c r="I1170" s="261"/>
      <c r="J1170" s="259"/>
      <c r="K1170" s="260">
        <f t="shared" si="30"/>
        <v>1.024</v>
      </c>
      <c r="L1170" s="266" t="s">
        <v>1556</v>
      </c>
    </row>
    <row r="1171" spans="2:12">
      <c r="B1171" s="256" t="s">
        <v>1398</v>
      </c>
      <c r="C1171" s="250" t="s">
        <v>1333</v>
      </c>
      <c r="D1171" s="205" t="s">
        <v>110</v>
      </c>
      <c r="E1171" s="261">
        <v>0.3</v>
      </c>
      <c r="F1171" s="261">
        <v>0.3</v>
      </c>
      <c r="G1171" s="261">
        <v>5.12</v>
      </c>
      <c r="H1171" s="261">
        <v>1</v>
      </c>
      <c r="I1171" s="261"/>
      <c r="J1171" s="259"/>
      <c r="K1171" s="260">
        <f t="shared" si="30"/>
        <v>0.46079999999999999</v>
      </c>
      <c r="L1171" s="266" t="s">
        <v>1556</v>
      </c>
    </row>
    <row r="1172" spans="2:12">
      <c r="B1172" s="256" t="s">
        <v>1399</v>
      </c>
      <c r="C1172" s="250" t="s">
        <v>1333</v>
      </c>
      <c r="D1172" s="205" t="s">
        <v>110</v>
      </c>
      <c r="E1172" s="261">
        <v>0.4</v>
      </c>
      <c r="F1172" s="261">
        <v>0.4</v>
      </c>
      <c r="G1172" s="261">
        <v>5.12</v>
      </c>
      <c r="H1172" s="261">
        <v>1</v>
      </c>
      <c r="I1172" s="261"/>
      <c r="J1172" s="259"/>
      <c r="K1172" s="260">
        <f t="shared" si="30"/>
        <v>0.81920000000000015</v>
      </c>
      <c r="L1172" s="266" t="s">
        <v>1556</v>
      </c>
    </row>
    <row r="1173" spans="2:12">
      <c r="B1173" s="256" t="s">
        <v>1400</v>
      </c>
      <c r="C1173" s="250" t="s">
        <v>1333</v>
      </c>
      <c r="D1173" s="205" t="s">
        <v>110</v>
      </c>
      <c r="E1173" s="199">
        <v>0.5</v>
      </c>
      <c r="F1173" s="199">
        <v>0.4</v>
      </c>
      <c r="G1173" s="261">
        <v>5.12</v>
      </c>
      <c r="H1173" s="261">
        <v>1</v>
      </c>
      <c r="I1173" s="261"/>
      <c r="J1173" s="259"/>
      <c r="K1173" s="260">
        <f t="shared" si="30"/>
        <v>1.024</v>
      </c>
      <c r="L1173" s="266" t="s">
        <v>1556</v>
      </c>
    </row>
    <row r="1174" spans="2:12">
      <c r="B1174" s="256" t="s">
        <v>1401</v>
      </c>
      <c r="C1174" s="250" t="s">
        <v>1333</v>
      </c>
      <c r="D1174" s="205" t="s">
        <v>110</v>
      </c>
      <c r="E1174" s="199">
        <v>0.5</v>
      </c>
      <c r="F1174" s="199">
        <v>0.4</v>
      </c>
      <c r="G1174" s="261">
        <v>5.12</v>
      </c>
      <c r="H1174" s="261">
        <v>1</v>
      </c>
      <c r="I1174" s="261"/>
      <c r="J1174" s="259"/>
      <c r="K1174" s="260">
        <f t="shared" si="30"/>
        <v>1.024</v>
      </c>
      <c r="L1174" s="266" t="s">
        <v>1556</v>
      </c>
    </row>
    <row r="1175" spans="2:12">
      <c r="B1175" s="256" t="s">
        <v>1402</v>
      </c>
      <c r="C1175" s="250" t="s">
        <v>1333</v>
      </c>
      <c r="D1175" s="205" t="s">
        <v>110</v>
      </c>
      <c r="E1175" s="261">
        <v>1</v>
      </c>
      <c r="F1175" s="261">
        <v>0.2</v>
      </c>
      <c r="G1175" s="261">
        <v>5.12</v>
      </c>
      <c r="H1175" s="261">
        <v>1</v>
      </c>
      <c r="I1175" s="261"/>
      <c r="J1175" s="259"/>
      <c r="K1175" s="260">
        <f t="shared" si="30"/>
        <v>1.024</v>
      </c>
      <c r="L1175" s="266" t="s">
        <v>1556</v>
      </c>
    </row>
    <row r="1176" spans="2:12">
      <c r="B1176" s="256" t="s">
        <v>1403</v>
      </c>
      <c r="C1176" s="250" t="s">
        <v>1333</v>
      </c>
      <c r="D1176" s="205" t="s">
        <v>110</v>
      </c>
      <c r="E1176" s="261">
        <v>0.3</v>
      </c>
      <c r="F1176" s="261">
        <v>0.3</v>
      </c>
      <c r="G1176" s="261">
        <v>5.12</v>
      </c>
      <c r="H1176" s="261">
        <v>1</v>
      </c>
      <c r="I1176" s="261"/>
      <c r="J1176" s="259"/>
      <c r="K1176" s="260">
        <f t="shared" si="30"/>
        <v>0.46079999999999999</v>
      </c>
      <c r="L1176" s="266" t="s">
        <v>1556</v>
      </c>
    </row>
    <row r="1177" spans="2:12">
      <c r="B1177" s="256" t="s">
        <v>1404</v>
      </c>
      <c r="C1177" s="250" t="s">
        <v>1333</v>
      </c>
      <c r="D1177" s="205" t="s">
        <v>110</v>
      </c>
      <c r="E1177" s="261">
        <v>0.6</v>
      </c>
      <c r="F1177" s="261">
        <v>0.2</v>
      </c>
      <c r="G1177" s="261">
        <v>5.12</v>
      </c>
      <c r="H1177" s="261">
        <v>1</v>
      </c>
      <c r="I1177" s="261"/>
      <c r="J1177" s="259"/>
      <c r="K1177" s="260">
        <f t="shared" si="30"/>
        <v>0.61439999999999995</v>
      </c>
      <c r="L1177" s="266" t="s">
        <v>1556</v>
      </c>
    </row>
    <row r="1178" spans="2:12">
      <c r="B1178" s="256" t="s">
        <v>1405</v>
      </c>
      <c r="C1178" s="250" t="s">
        <v>1333</v>
      </c>
      <c r="D1178" s="205" t="s">
        <v>110</v>
      </c>
      <c r="E1178" s="261">
        <v>0.6</v>
      </c>
      <c r="F1178" s="261">
        <v>0.2</v>
      </c>
      <c r="G1178" s="261">
        <v>5.12</v>
      </c>
      <c r="H1178" s="261">
        <v>1</v>
      </c>
      <c r="I1178" s="261"/>
      <c r="J1178" s="259"/>
      <c r="K1178" s="260">
        <f t="shared" si="30"/>
        <v>0.61439999999999995</v>
      </c>
      <c r="L1178" s="266" t="s">
        <v>1556</v>
      </c>
    </row>
    <row r="1179" spans="2:12">
      <c r="B1179" s="256" t="s">
        <v>1406</v>
      </c>
      <c r="C1179" s="250" t="s">
        <v>1333</v>
      </c>
      <c r="D1179" s="205" t="s">
        <v>110</v>
      </c>
      <c r="E1179" s="261">
        <v>0.4</v>
      </c>
      <c r="F1179" s="261">
        <v>0.4</v>
      </c>
      <c r="G1179" s="261">
        <v>5.12</v>
      </c>
      <c r="H1179" s="261">
        <v>1</v>
      </c>
      <c r="I1179" s="261"/>
      <c r="J1179" s="259"/>
      <c r="K1179" s="260">
        <f t="shared" si="30"/>
        <v>0.81920000000000015</v>
      </c>
      <c r="L1179" s="266" t="s">
        <v>1556</v>
      </c>
    </row>
    <row r="1180" spans="2:12">
      <c r="B1180" s="256" t="s">
        <v>1407</v>
      </c>
      <c r="C1180" s="250" t="s">
        <v>1333</v>
      </c>
      <c r="D1180" s="205" t="s">
        <v>110</v>
      </c>
      <c r="E1180" s="199">
        <v>0.5</v>
      </c>
      <c r="F1180" s="199">
        <v>0.4</v>
      </c>
      <c r="G1180" s="261">
        <v>5.12</v>
      </c>
      <c r="H1180" s="261">
        <v>1</v>
      </c>
      <c r="I1180" s="261"/>
      <c r="J1180" s="259"/>
      <c r="K1180" s="260">
        <f t="shared" si="30"/>
        <v>1.024</v>
      </c>
      <c r="L1180" s="266" t="s">
        <v>1556</v>
      </c>
    </row>
    <row r="1181" spans="2:12">
      <c r="B1181" s="256" t="s">
        <v>1408</v>
      </c>
      <c r="C1181" s="250" t="s">
        <v>1333</v>
      </c>
      <c r="D1181" s="205" t="s">
        <v>110</v>
      </c>
      <c r="E1181" s="261">
        <v>0.5</v>
      </c>
      <c r="F1181" s="261">
        <v>0.4</v>
      </c>
      <c r="G1181" s="261">
        <v>5.12</v>
      </c>
      <c r="H1181" s="261">
        <v>1</v>
      </c>
      <c r="I1181" s="261"/>
      <c r="J1181" s="259"/>
      <c r="K1181" s="260">
        <f t="shared" si="30"/>
        <v>1.024</v>
      </c>
      <c r="L1181" s="266" t="s">
        <v>1556</v>
      </c>
    </row>
    <row r="1182" spans="2:12">
      <c r="B1182" s="256" t="s">
        <v>1409</v>
      </c>
      <c r="C1182" s="250" t="s">
        <v>1333</v>
      </c>
      <c r="D1182" s="205" t="s">
        <v>110</v>
      </c>
      <c r="E1182" s="261">
        <v>1</v>
      </c>
      <c r="F1182" s="261">
        <v>0.2</v>
      </c>
      <c r="G1182" s="261">
        <v>5.12</v>
      </c>
      <c r="H1182" s="261">
        <v>1</v>
      </c>
      <c r="I1182" s="261"/>
      <c r="J1182" s="259"/>
      <c r="K1182" s="260">
        <f t="shared" si="30"/>
        <v>1.024</v>
      </c>
      <c r="L1182" s="266" t="s">
        <v>1556</v>
      </c>
    </row>
    <row r="1183" spans="2:12">
      <c r="B1183" s="256" t="s">
        <v>1410</v>
      </c>
      <c r="C1183" s="250" t="s">
        <v>1333</v>
      </c>
      <c r="D1183" s="205" t="s">
        <v>110</v>
      </c>
      <c r="E1183" s="261">
        <v>0.45</v>
      </c>
      <c r="F1183" s="261">
        <v>0.3</v>
      </c>
      <c r="G1183" s="261">
        <v>5.12</v>
      </c>
      <c r="H1183" s="261">
        <v>1</v>
      </c>
      <c r="I1183" s="261"/>
      <c r="J1183" s="259"/>
      <c r="K1183" s="260">
        <f t="shared" si="30"/>
        <v>0.69120000000000004</v>
      </c>
      <c r="L1183" s="266" t="s">
        <v>1556</v>
      </c>
    </row>
    <row r="1184" spans="2:12">
      <c r="B1184" s="256" t="s">
        <v>1411</v>
      </c>
      <c r="C1184" s="250" t="s">
        <v>1333</v>
      </c>
      <c r="D1184" s="205" t="s">
        <v>110</v>
      </c>
      <c r="E1184" s="261">
        <v>0.45</v>
      </c>
      <c r="F1184" s="261">
        <v>0.3</v>
      </c>
      <c r="G1184" s="261">
        <v>5.12</v>
      </c>
      <c r="H1184" s="261">
        <v>1</v>
      </c>
      <c r="I1184" s="261"/>
      <c r="J1184" s="259"/>
      <c r="K1184" s="260">
        <f t="shared" si="30"/>
        <v>0.69120000000000004</v>
      </c>
      <c r="L1184" s="266" t="s">
        <v>1556</v>
      </c>
    </row>
    <row r="1185" spans="2:12">
      <c r="B1185" s="256" t="s">
        <v>1412</v>
      </c>
      <c r="C1185" s="250" t="s">
        <v>1333</v>
      </c>
      <c r="D1185" s="205" t="s">
        <v>110</v>
      </c>
      <c r="E1185" s="261">
        <v>0.55000000000000004</v>
      </c>
      <c r="F1185" s="261">
        <v>0.3</v>
      </c>
      <c r="G1185" s="261">
        <v>5.12</v>
      </c>
      <c r="H1185" s="261">
        <v>1</v>
      </c>
      <c r="I1185" s="261"/>
      <c r="J1185" s="259"/>
      <c r="K1185" s="260">
        <f t="shared" si="30"/>
        <v>0.84480000000000011</v>
      </c>
      <c r="L1185" s="266" t="s">
        <v>1556</v>
      </c>
    </row>
    <row r="1186" spans="2:12">
      <c r="B1186" s="256" t="s">
        <v>1413</v>
      </c>
      <c r="C1186" s="250" t="s">
        <v>1333</v>
      </c>
      <c r="D1186" s="205" t="s">
        <v>110</v>
      </c>
      <c r="E1186" s="261">
        <v>0.55000000000000004</v>
      </c>
      <c r="F1186" s="261">
        <v>0.3</v>
      </c>
      <c r="G1186" s="261">
        <v>5.12</v>
      </c>
      <c r="H1186" s="261">
        <v>1</v>
      </c>
      <c r="I1186" s="261"/>
      <c r="J1186" s="259"/>
      <c r="K1186" s="260">
        <f t="shared" si="30"/>
        <v>0.84480000000000011</v>
      </c>
      <c r="L1186" s="266" t="s">
        <v>1556</v>
      </c>
    </row>
    <row r="1187" spans="2:12">
      <c r="B1187" s="256" t="s">
        <v>1414</v>
      </c>
      <c r="C1187" s="250" t="s">
        <v>1333</v>
      </c>
      <c r="D1187" s="205" t="s">
        <v>110</v>
      </c>
      <c r="E1187" s="261">
        <v>0.55000000000000004</v>
      </c>
      <c r="F1187" s="261">
        <v>0.3</v>
      </c>
      <c r="G1187" s="261">
        <v>5.12</v>
      </c>
      <c r="H1187" s="261">
        <v>1</v>
      </c>
      <c r="I1187" s="261"/>
      <c r="J1187" s="259"/>
      <c r="K1187" s="260">
        <f t="shared" si="30"/>
        <v>0.84480000000000011</v>
      </c>
      <c r="L1187" s="266" t="s">
        <v>1556</v>
      </c>
    </row>
    <row r="1188" spans="2:12">
      <c r="B1188" s="256" t="s">
        <v>1415</v>
      </c>
      <c r="C1188" s="250" t="s">
        <v>1333</v>
      </c>
      <c r="D1188" s="205" t="s">
        <v>110</v>
      </c>
      <c r="E1188" s="261">
        <v>0.55000000000000004</v>
      </c>
      <c r="F1188" s="261">
        <v>0.3</v>
      </c>
      <c r="G1188" s="261">
        <v>5.12</v>
      </c>
      <c r="H1188" s="261">
        <v>1</v>
      </c>
      <c r="I1188" s="261"/>
      <c r="J1188" s="259"/>
      <c r="K1188" s="260">
        <f t="shared" si="30"/>
        <v>0.84480000000000011</v>
      </c>
      <c r="L1188" s="266" t="s">
        <v>1556</v>
      </c>
    </row>
    <row r="1189" spans="2:12">
      <c r="B1189" s="256" t="s">
        <v>1416</v>
      </c>
      <c r="C1189" s="250" t="s">
        <v>1333</v>
      </c>
      <c r="D1189" s="205" t="s">
        <v>110</v>
      </c>
      <c r="E1189" s="261">
        <v>0.45</v>
      </c>
      <c r="F1189" s="261">
        <v>0.3</v>
      </c>
      <c r="G1189" s="261">
        <v>5.12</v>
      </c>
      <c r="H1189" s="261">
        <v>1</v>
      </c>
      <c r="I1189" s="261"/>
      <c r="J1189" s="259"/>
      <c r="K1189" s="260">
        <f t="shared" si="30"/>
        <v>0.69120000000000004</v>
      </c>
      <c r="L1189" s="266" t="s">
        <v>1556</v>
      </c>
    </row>
    <row r="1190" spans="2:12">
      <c r="B1190" s="256" t="s">
        <v>1417</v>
      </c>
      <c r="C1190" s="250" t="s">
        <v>1333</v>
      </c>
      <c r="D1190" s="205" t="s">
        <v>110</v>
      </c>
      <c r="E1190" s="261">
        <v>0.45</v>
      </c>
      <c r="F1190" s="261">
        <v>0.3</v>
      </c>
      <c r="G1190" s="261">
        <v>5.12</v>
      </c>
      <c r="H1190" s="261">
        <v>1</v>
      </c>
      <c r="I1190" s="261"/>
      <c r="J1190" s="259"/>
      <c r="K1190" s="260">
        <f t="shared" si="30"/>
        <v>0.69120000000000004</v>
      </c>
      <c r="L1190" s="266" t="s">
        <v>1556</v>
      </c>
    </row>
    <row r="1191" spans="2:12">
      <c r="B1191" s="256" t="s">
        <v>1418</v>
      </c>
      <c r="C1191" s="250" t="s">
        <v>1333</v>
      </c>
      <c r="D1191" s="205" t="s">
        <v>110</v>
      </c>
      <c r="E1191" s="261">
        <v>0.8</v>
      </c>
      <c r="F1191" s="261">
        <v>0.2</v>
      </c>
      <c r="G1191" s="261">
        <v>5.12</v>
      </c>
      <c r="H1191" s="261">
        <v>1</v>
      </c>
      <c r="I1191" s="261"/>
      <c r="J1191" s="259"/>
      <c r="K1191" s="260">
        <f t="shared" si="30"/>
        <v>0.81920000000000015</v>
      </c>
      <c r="L1191" s="266" t="s">
        <v>1556</v>
      </c>
    </row>
    <row r="1192" spans="2:12">
      <c r="B1192" s="256" t="s">
        <v>1419</v>
      </c>
      <c r="C1192" s="250" t="s">
        <v>1333</v>
      </c>
      <c r="D1192" s="205" t="s">
        <v>110</v>
      </c>
      <c r="E1192" s="261">
        <v>0.8</v>
      </c>
      <c r="F1192" s="261">
        <v>0.2</v>
      </c>
      <c r="G1192" s="261">
        <v>6.62</v>
      </c>
      <c r="H1192" s="261">
        <v>1</v>
      </c>
      <c r="I1192" s="261"/>
      <c r="J1192" s="259"/>
      <c r="K1192" s="260">
        <f t="shared" si="30"/>
        <v>1.0592000000000001</v>
      </c>
      <c r="L1192" s="266" t="s">
        <v>1556</v>
      </c>
    </row>
    <row r="1193" spans="2:12">
      <c r="B1193" s="256" t="s">
        <v>1420</v>
      </c>
      <c r="C1193" s="250" t="s">
        <v>1333</v>
      </c>
      <c r="D1193" s="205" t="s">
        <v>110</v>
      </c>
      <c r="E1193" s="261">
        <v>0.8</v>
      </c>
      <c r="F1193" s="261">
        <v>0.3</v>
      </c>
      <c r="G1193" s="261">
        <v>6.62</v>
      </c>
      <c r="H1193" s="261">
        <v>1</v>
      </c>
      <c r="I1193" s="261"/>
      <c r="J1193" s="259"/>
      <c r="K1193" s="260">
        <f t="shared" si="30"/>
        <v>1.5888</v>
      </c>
      <c r="L1193" s="266" t="s">
        <v>1556</v>
      </c>
    </row>
    <row r="1194" spans="2:12">
      <c r="B1194" s="256" t="s">
        <v>1421</v>
      </c>
      <c r="C1194" s="250" t="s">
        <v>1333</v>
      </c>
      <c r="D1194" s="205" t="s">
        <v>110</v>
      </c>
      <c r="E1194" s="261">
        <v>0.8</v>
      </c>
      <c r="F1194" s="261">
        <v>0.2</v>
      </c>
      <c r="G1194" s="261">
        <v>6.62</v>
      </c>
      <c r="H1194" s="261">
        <v>1</v>
      </c>
      <c r="I1194" s="261"/>
      <c r="J1194" s="259"/>
      <c r="K1194" s="260">
        <f t="shared" si="30"/>
        <v>1.0592000000000001</v>
      </c>
      <c r="L1194" s="266" t="s">
        <v>1556</v>
      </c>
    </row>
    <row r="1195" spans="2:12">
      <c r="B1195" s="256" t="s">
        <v>1422</v>
      </c>
      <c r="C1195" s="250" t="s">
        <v>1333</v>
      </c>
      <c r="D1195" s="205" t="s">
        <v>110</v>
      </c>
      <c r="E1195" s="261">
        <v>0.8</v>
      </c>
      <c r="F1195" s="261">
        <v>0.3</v>
      </c>
      <c r="G1195" s="261">
        <v>6.62</v>
      </c>
      <c r="H1195" s="261">
        <v>1</v>
      </c>
      <c r="I1195" s="261"/>
      <c r="J1195" s="259"/>
      <c r="K1195" s="260">
        <f t="shared" si="30"/>
        <v>1.5888</v>
      </c>
      <c r="L1195" s="266" t="s">
        <v>1556</v>
      </c>
    </row>
    <row r="1196" spans="2:12">
      <c r="B1196" s="256" t="s">
        <v>1423</v>
      </c>
      <c r="C1196" s="250" t="s">
        <v>1333</v>
      </c>
      <c r="D1196" s="205" t="s">
        <v>110</v>
      </c>
      <c r="E1196" s="261">
        <v>0.7</v>
      </c>
      <c r="F1196" s="261">
        <v>0.4</v>
      </c>
      <c r="G1196" s="261">
        <v>5.12</v>
      </c>
      <c r="H1196" s="261">
        <v>1</v>
      </c>
      <c r="I1196" s="261"/>
      <c r="J1196" s="259"/>
      <c r="K1196" s="260">
        <f t="shared" si="30"/>
        <v>1.4336</v>
      </c>
      <c r="L1196" s="266" t="s">
        <v>1556</v>
      </c>
    </row>
    <row r="1197" spans="2:12">
      <c r="B1197" s="256" t="s">
        <v>1424</v>
      </c>
      <c r="C1197" s="250" t="s">
        <v>1333</v>
      </c>
      <c r="D1197" s="205" t="s">
        <v>110</v>
      </c>
      <c r="E1197" s="261">
        <v>0.7</v>
      </c>
      <c r="F1197" s="261">
        <v>0.5</v>
      </c>
      <c r="G1197" s="261">
        <v>5.12</v>
      </c>
      <c r="H1197" s="261">
        <v>1</v>
      </c>
      <c r="I1197" s="261"/>
      <c r="J1197" s="259"/>
      <c r="K1197" s="260">
        <f t="shared" si="30"/>
        <v>1.7919999999999998</v>
      </c>
      <c r="L1197" s="266" t="s">
        <v>1556</v>
      </c>
    </row>
    <row r="1198" spans="2:12">
      <c r="B1198" s="256" t="s">
        <v>1425</v>
      </c>
      <c r="C1198" s="250" t="s">
        <v>1333</v>
      </c>
      <c r="D1198" s="205" t="s">
        <v>110</v>
      </c>
      <c r="E1198" s="261">
        <v>0.7</v>
      </c>
      <c r="F1198" s="261">
        <v>0.5</v>
      </c>
      <c r="G1198" s="261">
        <v>5.12</v>
      </c>
      <c r="H1198" s="261">
        <v>1</v>
      </c>
      <c r="I1198" s="261"/>
      <c r="J1198" s="259"/>
      <c r="K1198" s="260">
        <f t="shared" si="30"/>
        <v>1.7919999999999998</v>
      </c>
      <c r="L1198" s="266" t="s">
        <v>1556</v>
      </c>
    </row>
    <row r="1199" spans="2:12">
      <c r="B1199" s="256" t="s">
        <v>1426</v>
      </c>
      <c r="C1199" s="250" t="s">
        <v>1333</v>
      </c>
      <c r="D1199" s="205" t="s">
        <v>110</v>
      </c>
      <c r="E1199" s="261">
        <v>0.5</v>
      </c>
      <c r="F1199" s="261">
        <v>0.4</v>
      </c>
      <c r="G1199" s="261">
        <v>5.12</v>
      </c>
      <c r="H1199" s="261">
        <v>1</v>
      </c>
      <c r="I1199" s="261"/>
      <c r="J1199" s="259"/>
      <c r="K1199" s="260">
        <f t="shared" si="30"/>
        <v>1.024</v>
      </c>
      <c r="L1199" s="266" t="s">
        <v>1556</v>
      </c>
    </row>
    <row r="1200" spans="2:12">
      <c r="B1200" s="256" t="s">
        <v>1481</v>
      </c>
      <c r="C1200" s="250" t="s">
        <v>1441</v>
      </c>
      <c r="D1200" s="205" t="s">
        <v>110</v>
      </c>
      <c r="E1200" s="261">
        <v>0.25</v>
      </c>
      <c r="F1200" s="261">
        <v>0.4</v>
      </c>
      <c r="G1200" s="261">
        <v>5.12</v>
      </c>
      <c r="H1200" s="261">
        <v>1</v>
      </c>
      <c r="I1200" s="261"/>
      <c r="J1200" s="259"/>
      <c r="K1200" s="260">
        <f t="shared" si="30"/>
        <v>0.51200000000000001</v>
      </c>
      <c r="L1200" s="266" t="s">
        <v>1556</v>
      </c>
    </row>
    <row r="1201" spans="2:12">
      <c r="B1201" s="256" t="s">
        <v>1482</v>
      </c>
      <c r="C1201" s="250" t="s">
        <v>1441</v>
      </c>
      <c r="D1201" s="205" t="s">
        <v>110</v>
      </c>
      <c r="E1201" s="261">
        <v>0.3</v>
      </c>
      <c r="F1201" s="261">
        <v>0.3</v>
      </c>
      <c r="G1201" s="261">
        <v>5.12</v>
      </c>
      <c r="H1201" s="261">
        <v>1</v>
      </c>
      <c r="I1201" s="261"/>
      <c r="J1201" s="259"/>
      <c r="K1201" s="260">
        <f t="shared" si="30"/>
        <v>0.46079999999999999</v>
      </c>
      <c r="L1201" s="266" t="s">
        <v>1556</v>
      </c>
    </row>
    <row r="1202" spans="2:12">
      <c r="B1202" s="256" t="s">
        <v>1483</v>
      </c>
      <c r="C1202" s="250" t="s">
        <v>1441</v>
      </c>
      <c r="D1202" s="205" t="s">
        <v>110</v>
      </c>
      <c r="E1202" s="261">
        <v>0.3</v>
      </c>
      <c r="F1202" s="261">
        <v>0.3</v>
      </c>
      <c r="G1202" s="261">
        <v>5.12</v>
      </c>
      <c r="H1202" s="261">
        <v>1</v>
      </c>
      <c r="I1202" s="261"/>
      <c r="J1202" s="259"/>
      <c r="K1202" s="260">
        <f t="shared" si="30"/>
        <v>0.46079999999999999</v>
      </c>
      <c r="L1202" s="266" t="s">
        <v>1556</v>
      </c>
    </row>
    <row r="1203" spans="2:12">
      <c r="B1203" s="256" t="s">
        <v>1484</v>
      </c>
      <c r="C1203" s="250" t="s">
        <v>1441</v>
      </c>
      <c r="D1203" s="205" t="s">
        <v>110</v>
      </c>
      <c r="E1203" s="261">
        <v>0.4</v>
      </c>
      <c r="F1203" s="261">
        <v>0.4</v>
      </c>
      <c r="G1203" s="261">
        <v>5.12</v>
      </c>
      <c r="H1203" s="261">
        <v>1</v>
      </c>
      <c r="I1203" s="261"/>
      <c r="J1203" s="259"/>
      <c r="K1203" s="260">
        <f t="shared" si="30"/>
        <v>0.81920000000000015</v>
      </c>
      <c r="L1203" s="266" t="s">
        <v>1556</v>
      </c>
    </row>
    <row r="1204" spans="2:12">
      <c r="B1204" s="256" t="s">
        <v>1485</v>
      </c>
      <c r="C1204" s="250" t="s">
        <v>1441</v>
      </c>
      <c r="D1204" s="205" t="s">
        <v>110</v>
      </c>
      <c r="E1204" s="261">
        <v>0.4</v>
      </c>
      <c r="F1204" s="261">
        <v>0.6</v>
      </c>
      <c r="G1204" s="261">
        <v>5.12</v>
      </c>
      <c r="H1204" s="261">
        <v>1</v>
      </c>
      <c r="I1204" s="261"/>
      <c r="J1204" s="259"/>
      <c r="K1204" s="260">
        <f t="shared" si="30"/>
        <v>1.2287999999999999</v>
      </c>
      <c r="L1204" s="266" t="s">
        <v>1556</v>
      </c>
    </row>
    <row r="1205" spans="2:12">
      <c r="B1205" s="256" t="s">
        <v>1486</v>
      </c>
      <c r="C1205" s="250" t="s">
        <v>1441</v>
      </c>
      <c r="D1205" s="205" t="s">
        <v>110</v>
      </c>
      <c r="E1205" s="261">
        <v>0.2</v>
      </c>
      <c r="F1205" s="261">
        <v>2.94</v>
      </c>
      <c r="G1205" s="261">
        <f>5.12+2</f>
        <v>7.12</v>
      </c>
      <c r="H1205" s="261">
        <v>1</v>
      </c>
      <c r="I1205" s="261"/>
      <c r="J1205" s="259"/>
      <c r="K1205" s="260">
        <f t="shared" si="30"/>
        <v>4.1865600000000001</v>
      </c>
      <c r="L1205" s="266" t="s">
        <v>1556</v>
      </c>
    </row>
    <row r="1206" spans="2:12">
      <c r="B1206" s="256" t="s">
        <v>1487</v>
      </c>
      <c r="C1206" s="250" t="s">
        <v>1441</v>
      </c>
      <c r="D1206" s="205" t="s">
        <v>110</v>
      </c>
      <c r="E1206" s="261">
        <v>0.2</v>
      </c>
      <c r="F1206" s="261">
        <v>2.94</v>
      </c>
      <c r="G1206" s="261">
        <f>5.12+2</f>
        <v>7.12</v>
      </c>
      <c r="H1206" s="261">
        <v>1</v>
      </c>
      <c r="I1206" s="261"/>
      <c r="J1206" s="259"/>
      <c r="K1206" s="260">
        <f t="shared" si="30"/>
        <v>4.1865600000000001</v>
      </c>
      <c r="L1206" s="266" t="s">
        <v>1556</v>
      </c>
    </row>
    <row r="1207" spans="2:12">
      <c r="B1207" s="256" t="s">
        <v>1488</v>
      </c>
      <c r="C1207" s="250" t="s">
        <v>1441</v>
      </c>
      <c r="D1207" s="205" t="s">
        <v>110</v>
      </c>
      <c r="E1207" s="261">
        <v>0.6</v>
      </c>
      <c r="F1207" s="261">
        <v>0.5</v>
      </c>
      <c r="G1207" s="261">
        <v>5.12</v>
      </c>
      <c r="H1207" s="261">
        <v>1</v>
      </c>
      <c r="I1207" s="261"/>
      <c r="J1207" s="259"/>
      <c r="K1207" s="260">
        <f t="shared" si="30"/>
        <v>1.536</v>
      </c>
      <c r="L1207" s="266" t="s">
        <v>1556</v>
      </c>
    </row>
    <row r="1208" spans="2:12">
      <c r="B1208" s="256" t="s">
        <v>1489</v>
      </c>
      <c r="C1208" s="250" t="s">
        <v>1441</v>
      </c>
      <c r="D1208" s="205" t="s">
        <v>110</v>
      </c>
      <c r="E1208" s="261">
        <v>0.4</v>
      </c>
      <c r="F1208" s="261">
        <v>0.4</v>
      </c>
      <c r="G1208" s="261">
        <v>5.12</v>
      </c>
      <c r="H1208" s="261">
        <v>1</v>
      </c>
      <c r="I1208" s="261"/>
      <c r="J1208" s="259"/>
      <c r="K1208" s="260">
        <f t="shared" si="30"/>
        <v>0.81920000000000015</v>
      </c>
      <c r="L1208" s="266" t="s">
        <v>1556</v>
      </c>
    </row>
    <row r="1209" spans="2:12">
      <c r="B1209" s="256" t="s">
        <v>1490</v>
      </c>
      <c r="C1209" s="250" t="s">
        <v>1441</v>
      </c>
      <c r="D1209" s="205" t="s">
        <v>110</v>
      </c>
      <c r="E1209" s="261">
        <v>0.2</v>
      </c>
      <c r="F1209" s="261">
        <v>0.8</v>
      </c>
      <c r="G1209" s="261">
        <v>5.12</v>
      </c>
      <c r="H1209" s="261">
        <v>1</v>
      </c>
      <c r="I1209" s="261"/>
      <c r="J1209" s="259"/>
      <c r="K1209" s="260">
        <f t="shared" si="30"/>
        <v>0.81920000000000015</v>
      </c>
      <c r="L1209" s="266" t="s">
        <v>1556</v>
      </c>
    </row>
    <row r="1210" spans="2:12">
      <c r="B1210" s="256" t="s">
        <v>1491</v>
      </c>
      <c r="C1210" s="250" t="s">
        <v>1441</v>
      </c>
      <c r="D1210" s="205" t="s">
        <v>110</v>
      </c>
      <c r="E1210" s="261">
        <v>0.3</v>
      </c>
      <c r="F1210" s="261">
        <v>0.3</v>
      </c>
      <c r="G1210" s="261">
        <v>5.12</v>
      </c>
      <c r="H1210" s="261">
        <v>1</v>
      </c>
      <c r="I1210" s="261"/>
      <c r="J1210" s="259"/>
      <c r="K1210" s="260">
        <f t="shared" si="30"/>
        <v>0.46079999999999999</v>
      </c>
      <c r="L1210" s="266" t="s">
        <v>1556</v>
      </c>
    </row>
    <row r="1211" spans="2:12">
      <c r="B1211" s="256" t="s">
        <v>1492</v>
      </c>
      <c r="C1211" s="250" t="s">
        <v>1441</v>
      </c>
      <c r="D1211" s="205" t="s">
        <v>110</v>
      </c>
      <c r="E1211" s="261">
        <v>0.3</v>
      </c>
      <c r="F1211" s="261">
        <v>0.3</v>
      </c>
      <c r="G1211" s="261">
        <v>5.12</v>
      </c>
      <c r="H1211" s="261">
        <v>1</v>
      </c>
      <c r="I1211" s="261"/>
      <c r="J1211" s="259"/>
      <c r="K1211" s="260">
        <f t="shared" si="30"/>
        <v>0.46079999999999999</v>
      </c>
      <c r="L1211" s="266" t="s">
        <v>1556</v>
      </c>
    </row>
    <row r="1212" spans="2:12">
      <c r="B1212" s="256" t="s">
        <v>1493</v>
      </c>
      <c r="C1212" s="250" t="s">
        <v>1441</v>
      </c>
      <c r="D1212" s="205" t="s">
        <v>110</v>
      </c>
      <c r="E1212" s="261">
        <v>0.4</v>
      </c>
      <c r="F1212" s="261">
        <v>0.4</v>
      </c>
      <c r="G1212" s="261">
        <v>5.12</v>
      </c>
      <c r="H1212" s="261">
        <v>1</v>
      </c>
      <c r="I1212" s="261"/>
      <c r="J1212" s="259"/>
      <c r="K1212" s="260">
        <f t="shared" si="30"/>
        <v>0.81920000000000015</v>
      </c>
      <c r="L1212" s="266" t="s">
        <v>1556</v>
      </c>
    </row>
    <row r="1213" spans="2:12">
      <c r="B1213" s="256" t="s">
        <v>1494</v>
      </c>
      <c r="C1213" s="250" t="s">
        <v>1441</v>
      </c>
      <c r="D1213" s="205" t="s">
        <v>110</v>
      </c>
      <c r="E1213" s="261">
        <v>0.4</v>
      </c>
      <c r="F1213" s="261">
        <v>0.4</v>
      </c>
      <c r="G1213" s="261">
        <v>5.12</v>
      </c>
      <c r="H1213" s="261">
        <v>1</v>
      </c>
      <c r="I1213" s="261"/>
      <c r="J1213" s="259"/>
      <c r="K1213" s="260">
        <f t="shared" si="30"/>
        <v>0.81920000000000015</v>
      </c>
      <c r="L1213" s="266" t="s">
        <v>1556</v>
      </c>
    </row>
    <row r="1214" spans="2:12">
      <c r="B1214" s="256" t="s">
        <v>1495</v>
      </c>
      <c r="C1214" s="250" t="s">
        <v>1441</v>
      </c>
      <c r="D1214" s="205" t="s">
        <v>110</v>
      </c>
      <c r="E1214" s="261">
        <v>0.4</v>
      </c>
      <c r="F1214" s="261">
        <v>0.4</v>
      </c>
      <c r="G1214" s="261">
        <v>5.12</v>
      </c>
      <c r="H1214" s="261">
        <v>1</v>
      </c>
      <c r="I1214" s="261"/>
      <c r="J1214" s="259"/>
      <c r="K1214" s="260">
        <f t="shared" si="30"/>
        <v>0.81920000000000015</v>
      </c>
      <c r="L1214" s="266" t="s">
        <v>1556</v>
      </c>
    </row>
    <row r="1215" spans="2:12">
      <c r="B1215" s="249" t="s">
        <v>1389</v>
      </c>
      <c r="C1215" s="250" t="s">
        <v>1521</v>
      </c>
      <c r="D1215" s="205" t="s">
        <v>110</v>
      </c>
      <c r="E1215" s="199">
        <v>0.5</v>
      </c>
      <c r="F1215" s="199">
        <v>0.4</v>
      </c>
      <c r="G1215" s="199">
        <v>3.6</v>
      </c>
      <c r="H1215" s="199">
        <v>1</v>
      </c>
      <c r="I1215" s="199"/>
      <c r="J1215" s="253"/>
      <c r="K1215" s="260">
        <f t="shared" si="30"/>
        <v>0.72000000000000008</v>
      </c>
      <c r="L1215" s="255" t="s">
        <v>1557</v>
      </c>
    </row>
    <row r="1216" spans="2:12">
      <c r="B1216" s="256" t="s">
        <v>1390</v>
      </c>
      <c r="C1216" s="250" t="s">
        <v>1521</v>
      </c>
      <c r="D1216" s="205" t="s">
        <v>110</v>
      </c>
      <c r="E1216" s="261">
        <v>1</v>
      </c>
      <c r="F1216" s="261">
        <v>0.2</v>
      </c>
      <c r="G1216" s="261">
        <v>3.6</v>
      </c>
      <c r="H1216" s="261">
        <v>1</v>
      </c>
      <c r="I1216" s="261"/>
      <c r="J1216" s="259"/>
      <c r="K1216" s="260">
        <f t="shared" si="30"/>
        <v>0.72000000000000008</v>
      </c>
      <c r="L1216" s="266" t="s">
        <v>1557</v>
      </c>
    </row>
    <row r="1217" spans="2:12">
      <c r="B1217" s="256" t="s">
        <v>1391</v>
      </c>
      <c r="C1217" s="250" t="s">
        <v>1521</v>
      </c>
      <c r="D1217" s="205" t="s">
        <v>110</v>
      </c>
      <c r="E1217" s="261">
        <v>1</v>
      </c>
      <c r="F1217" s="261">
        <v>0.2</v>
      </c>
      <c r="G1217" s="261">
        <v>3.6</v>
      </c>
      <c r="H1217" s="261">
        <v>1</v>
      </c>
      <c r="I1217" s="261"/>
      <c r="J1217" s="259"/>
      <c r="K1217" s="260">
        <f t="shared" si="30"/>
        <v>0.72000000000000008</v>
      </c>
      <c r="L1217" s="266" t="s">
        <v>1557</v>
      </c>
    </row>
    <row r="1218" spans="2:12">
      <c r="B1218" s="256" t="s">
        <v>1392</v>
      </c>
      <c r="C1218" s="250" t="s">
        <v>1521</v>
      </c>
      <c r="D1218" s="205" t="s">
        <v>110</v>
      </c>
      <c r="E1218" s="261">
        <v>0.4</v>
      </c>
      <c r="F1218" s="261">
        <v>0.4</v>
      </c>
      <c r="G1218" s="261">
        <v>3.6</v>
      </c>
      <c r="H1218" s="261">
        <v>1</v>
      </c>
      <c r="I1218" s="261"/>
      <c r="J1218" s="259"/>
      <c r="K1218" s="260">
        <f t="shared" si="30"/>
        <v>0.57600000000000018</v>
      </c>
      <c r="L1218" s="266" t="s">
        <v>1557</v>
      </c>
    </row>
    <row r="1219" spans="2:12">
      <c r="B1219" s="256" t="s">
        <v>1393</v>
      </c>
      <c r="C1219" s="250" t="s">
        <v>1521</v>
      </c>
      <c r="D1219" s="205" t="s">
        <v>110</v>
      </c>
      <c r="E1219" s="261">
        <v>0.3</v>
      </c>
      <c r="F1219" s="261">
        <v>0.3</v>
      </c>
      <c r="G1219" s="261">
        <v>3.6</v>
      </c>
      <c r="H1219" s="261">
        <v>1</v>
      </c>
      <c r="I1219" s="261"/>
      <c r="J1219" s="259"/>
      <c r="K1219" s="260">
        <f t="shared" si="30"/>
        <v>0.32400000000000001</v>
      </c>
      <c r="L1219" s="266" t="s">
        <v>1557</v>
      </c>
    </row>
    <row r="1220" spans="2:12">
      <c r="B1220" s="256" t="s">
        <v>1394</v>
      </c>
      <c r="C1220" s="250" t="s">
        <v>1521</v>
      </c>
      <c r="D1220" s="205" t="s">
        <v>110</v>
      </c>
      <c r="E1220" s="261">
        <v>0.4</v>
      </c>
      <c r="F1220" s="261">
        <v>0.4</v>
      </c>
      <c r="G1220" s="261">
        <v>3.6</v>
      </c>
      <c r="H1220" s="261">
        <v>1</v>
      </c>
      <c r="I1220" s="261"/>
      <c r="J1220" s="259"/>
      <c r="K1220" s="260">
        <f t="shared" si="30"/>
        <v>0.57600000000000018</v>
      </c>
      <c r="L1220" s="266" t="s">
        <v>1557</v>
      </c>
    </row>
    <row r="1221" spans="2:12">
      <c r="B1221" s="256" t="s">
        <v>1395</v>
      </c>
      <c r="C1221" s="250" t="s">
        <v>1521</v>
      </c>
      <c r="D1221" s="205" t="s">
        <v>110</v>
      </c>
      <c r="E1221" s="199">
        <v>0.5</v>
      </c>
      <c r="F1221" s="199">
        <v>0.4</v>
      </c>
      <c r="G1221" s="261">
        <v>3.6</v>
      </c>
      <c r="H1221" s="261">
        <v>1</v>
      </c>
      <c r="I1221" s="261"/>
      <c r="J1221" s="259"/>
      <c r="K1221" s="260">
        <f t="shared" si="30"/>
        <v>0.72000000000000008</v>
      </c>
      <c r="L1221" s="266" t="s">
        <v>1557</v>
      </c>
    </row>
    <row r="1222" spans="2:12">
      <c r="B1222" s="256" t="s">
        <v>1396</v>
      </c>
      <c r="C1222" s="250" t="s">
        <v>1521</v>
      </c>
      <c r="D1222" s="205" t="s">
        <v>110</v>
      </c>
      <c r="E1222" s="199">
        <v>0.5</v>
      </c>
      <c r="F1222" s="199">
        <v>0.4</v>
      </c>
      <c r="G1222" s="261">
        <v>3.6</v>
      </c>
      <c r="H1222" s="261">
        <v>1</v>
      </c>
      <c r="I1222" s="261"/>
      <c r="J1222" s="259"/>
      <c r="K1222" s="260">
        <f t="shared" si="30"/>
        <v>0.72000000000000008</v>
      </c>
      <c r="L1222" s="266" t="s">
        <v>1557</v>
      </c>
    </row>
    <row r="1223" spans="2:12">
      <c r="B1223" s="256" t="s">
        <v>1397</v>
      </c>
      <c r="C1223" s="250" t="s">
        <v>1521</v>
      </c>
      <c r="D1223" s="205" t="s">
        <v>110</v>
      </c>
      <c r="E1223" s="261">
        <v>1</v>
      </c>
      <c r="F1223" s="261">
        <v>0.2</v>
      </c>
      <c r="G1223" s="261">
        <v>3.6</v>
      </c>
      <c r="H1223" s="261">
        <v>1</v>
      </c>
      <c r="I1223" s="261"/>
      <c r="J1223" s="259"/>
      <c r="K1223" s="260">
        <f t="shared" si="30"/>
        <v>0.72000000000000008</v>
      </c>
      <c r="L1223" s="266" t="s">
        <v>1557</v>
      </c>
    </row>
    <row r="1224" spans="2:12">
      <c r="B1224" s="256" t="s">
        <v>1398</v>
      </c>
      <c r="C1224" s="250" t="s">
        <v>1521</v>
      </c>
      <c r="D1224" s="205" t="s">
        <v>110</v>
      </c>
      <c r="E1224" s="261">
        <v>0.3</v>
      </c>
      <c r="F1224" s="261">
        <v>0.3</v>
      </c>
      <c r="G1224" s="261">
        <v>3.6</v>
      </c>
      <c r="H1224" s="261">
        <v>1</v>
      </c>
      <c r="I1224" s="261"/>
      <c r="J1224" s="259"/>
      <c r="K1224" s="260">
        <f t="shared" si="30"/>
        <v>0.32400000000000001</v>
      </c>
      <c r="L1224" s="266" t="s">
        <v>1557</v>
      </c>
    </row>
    <row r="1225" spans="2:12">
      <c r="B1225" s="256" t="s">
        <v>1399</v>
      </c>
      <c r="C1225" s="250" t="s">
        <v>1521</v>
      </c>
      <c r="D1225" s="205" t="s">
        <v>110</v>
      </c>
      <c r="E1225" s="261">
        <v>0.4</v>
      </c>
      <c r="F1225" s="261">
        <v>0.4</v>
      </c>
      <c r="G1225" s="261">
        <v>3.6</v>
      </c>
      <c r="H1225" s="261">
        <v>1</v>
      </c>
      <c r="I1225" s="261"/>
      <c r="J1225" s="259"/>
      <c r="K1225" s="260">
        <f t="shared" si="30"/>
        <v>0.57600000000000018</v>
      </c>
      <c r="L1225" s="266" t="s">
        <v>1557</v>
      </c>
    </row>
    <row r="1226" spans="2:12">
      <c r="B1226" s="256" t="s">
        <v>1400</v>
      </c>
      <c r="C1226" s="250" t="s">
        <v>1521</v>
      </c>
      <c r="D1226" s="205" t="s">
        <v>110</v>
      </c>
      <c r="E1226" s="199">
        <v>0.5</v>
      </c>
      <c r="F1226" s="199">
        <v>0.4</v>
      </c>
      <c r="G1226" s="261">
        <v>3.6</v>
      </c>
      <c r="H1226" s="261">
        <v>1</v>
      </c>
      <c r="I1226" s="261"/>
      <c r="J1226" s="259"/>
      <c r="K1226" s="260">
        <f t="shared" ref="K1226:K1289" si="31">IF(E1226*F1226*G1226&lt;&gt;0,E1226*F1226*G1226,IF(E1226*F1226&lt;&gt;0,E1226*F1226,IF(F1226*G1226&lt;&gt;0,F1226*G1226,IF(E1226*G1226&lt;&gt;0,E1226*G1226,IF(E1226&lt;&gt;0,E1226,IF(F1226&lt;&gt;0,F1226,IF(G1226&lt;&gt;0,G1226,0)))))))*(IF(H1226&lt;&gt;0,H1226,1))+I1226-J1226</f>
        <v>0.72000000000000008</v>
      </c>
      <c r="L1226" s="266" t="s">
        <v>1557</v>
      </c>
    </row>
    <row r="1227" spans="2:12">
      <c r="B1227" s="256" t="s">
        <v>1401</v>
      </c>
      <c r="C1227" s="250" t="s">
        <v>1521</v>
      </c>
      <c r="D1227" s="205" t="s">
        <v>110</v>
      </c>
      <c r="E1227" s="199">
        <v>0.5</v>
      </c>
      <c r="F1227" s="199">
        <v>0.4</v>
      </c>
      <c r="G1227" s="261">
        <v>3.6</v>
      </c>
      <c r="H1227" s="261">
        <v>1</v>
      </c>
      <c r="I1227" s="261"/>
      <c r="J1227" s="259"/>
      <c r="K1227" s="260">
        <f t="shared" si="31"/>
        <v>0.72000000000000008</v>
      </c>
      <c r="L1227" s="266" t="s">
        <v>1557</v>
      </c>
    </row>
    <row r="1228" spans="2:12">
      <c r="B1228" s="256" t="s">
        <v>1402</v>
      </c>
      <c r="C1228" s="250" t="s">
        <v>1521</v>
      </c>
      <c r="D1228" s="205" t="s">
        <v>110</v>
      </c>
      <c r="E1228" s="261">
        <v>1</v>
      </c>
      <c r="F1228" s="261">
        <v>0.2</v>
      </c>
      <c r="G1228" s="261">
        <v>3.6</v>
      </c>
      <c r="H1228" s="261">
        <v>1</v>
      </c>
      <c r="I1228" s="261"/>
      <c r="J1228" s="259"/>
      <c r="K1228" s="260">
        <f t="shared" si="31"/>
        <v>0.72000000000000008</v>
      </c>
      <c r="L1228" s="266" t="s">
        <v>1557</v>
      </c>
    </row>
    <row r="1229" spans="2:12">
      <c r="B1229" s="256" t="s">
        <v>1403</v>
      </c>
      <c r="C1229" s="250" t="s">
        <v>1521</v>
      </c>
      <c r="D1229" s="205" t="s">
        <v>110</v>
      </c>
      <c r="E1229" s="261">
        <v>0.3</v>
      </c>
      <c r="F1229" s="261">
        <v>0.3</v>
      </c>
      <c r="G1229" s="261">
        <v>3.6</v>
      </c>
      <c r="H1229" s="261">
        <v>1</v>
      </c>
      <c r="I1229" s="261"/>
      <c r="J1229" s="259"/>
      <c r="K1229" s="260">
        <f t="shared" si="31"/>
        <v>0.32400000000000001</v>
      </c>
      <c r="L1229" s="266" t="s">
        <v>1557</v>
      </c>
    </row>
    <row r="1230" spans="2:12">
      <c r="B1230" s="256" t="s">
        <v>1404</v>
      </c>
      <c r="C1230" s="250" t="s">
        <v>1521</v>
      </c>
      <c r="D1230" s="205" t="s">
        <v>110</v>
      </c>
      <c r="E1230" s="261">
        <v>0.6</v>
      </c>
      <c r="F1230" s="261">
        <v>0.2</v>
      </c>
      <c r="G1230" s="261">
        <v>3.6</v>
      </c>
      <c r="H1230" s="261">
        <v>1</v>
      </c>
      <c r="I1230" s="261"/>
      <c r="J1230" s="259"/>
      <c r="K1230" s="260">
        <f t="shared" si="31"/>
        <v>0.432</v>
      </c>
      <c r="L1230" s="266" t="s">
        <v>1557</v>
      </c>
    </row>
    <row r="1231" spans="2:12">
      <c r="B1231" s="256" t="s">
        <v>1405</v>
      </c>
      <c r="C1231" s="250" t="s">
        <v>1521</v>
      </c>
      <c r="D1231" s="205" t="s">
        <v>110</v>
      </c>
      <c r="E1231" s="261">
        <v>0.6</v>
      </c>
      <c r="F1231" s="261">
        <v>0.2</v>
      </c>
      <c r="G1231" s="261">
        <v>3.6</v>
      </c>
      <c r="H1231" s="261">
        <v>1</v>
      </c>
      <c r="I1231" s="261"/>
      <c r="J1231" s="259"/>
      <c r="K1231" s="260">
        <f t="shared" si="31"/>
        <v>0.432</v>
      </c>
      <c r="L1231" s="266" t="s">
        <v>1557</v>
      </c>
    </row>
    <row r="1232" spans="2:12">
      <c r="B1232" s="256" t="s">
        <v>1406</v>
      </c>
      <c r="C1232" s="250" t="s">
        <v>1521</v>
      </c>
      <c r="D1232" s="205" t="s">
        <v>110</v>
      </c>
      <c r="E1232" s="261">
        <v>0.4</v>
      </c>
      <c r="F1232" s="261">
        <v>0.4</v>
      </c>
      <c r="G1232" s="261">
        <v>3.6</v>
      </c>
      <c r="H1232" s="261">
        <v>1</v>
      </c>
      <c r="I1232" s="261"/>
      <c r="J1232" s="259"/>
      <c r="K1232" s="260">
        <f t="shared" si="31"/>
        <v>0.57600000000000018</v>
      </c>
      <c r="L1232" s="266" t="s">
        <v>1557</v>
      </c>
    </row>
    <row r="1233" spans="2:12">
      <c r="B1233" s="256" t="s">
        <v>1407</v>
      </c>
      <c r="C1233" s="250" t="s">
        <v>1521</v>
      </c>
      <c r="D1233" s="205" t="s">
        <v>110</v>
      </c>
      <c r="E1233" s="199">
        <v>0.5</v>
      </c>
      <c r="F1233" s="199">
        <v>0.4</v>
      </c>
      <c r="G1233" s="261">
        <v>3.6</v>
      </c>
      <c r="H1233" s="261">
        <v>1</v>
      </c>
      <c r="I1233" s="261"/>
      <c r="J1233" s="259"/>
      <c r="K1233" s="260">
        <f t="shared" si="31"/>
        <v>0.72000000000000008</v>
      </c>
      <c r="L1233" s="266" t="s">
        <v>1557</v>
      </c>
    </row>
    <row r="1234" spans="2:12">
      <c r="B1234" s="256" t="s">
        <v>1408</v>
      </c>
      <c r="C1234" s="250" t="s">
        <v>1521</v>
      </c>
      <c r="D1234" s="205" t="s">
        <v>110</v>
      </c>
      <c r="E1234" s="261">
        <v>0.5</v>
      </c>
      <c r="F1234" s="261">
        <v>0.4</v>
      </c>
      <c r="G1234" s="261">
        <v>3.6</v>
      </c>
      <c r="H1234" s="261">
        <v>1</v>
      </c>
      <c r="I1234" s="261"/>
      <c r="J1234" s="259"/>
      <c r="K1234" s="260">
        <f t="shared" si="31"/>
        <v>0.72000000000000008</v>
      </c>
      <c r="L1234" s="266" t="s">
        <v>1557</v>
      </c>
    </row>
    <row r="1235" spans="2:12">
      <c r="B1235" s="256" t="s">
        <v>1409</v>
      </c>
      <c r="C1235" s="250" t="s">
        <v>1521</v>
      </c>
      <c r="D1235" s="205" t="s">
        <v>110</v>
      </c>
      <c r="E1235" s="261">
        <v>1</v>
      </c>
      <c r="F1235" s="261">
        <v>0.2</v>
      </c>
      <c r="G1235" s="261">
        <v>3.6</v>
      </c>
      <c r="H1235" s="261">
        <v>1</v>
      </c>
      <c r="I1235" s="261"/>
      <c r="J1235" s="259"/>
      <c r="K1235" s="260">
        <f t="shared" si="31"/>
        <v>0.72000000000000008</v>
      </c>
      <c r="L1235" s="266" t="s">
        <v>1557</v>
      </c>
    </row>
    <row r="1236" spans="2:12">
      <c r="B1236" s="256" t="s">
        <v>1410</v>
      </c>
      <c r="C1236" s="250" t="s">
        <v>1521</v>
      </c>
      <c r="D1236" s="205" t="s">
        <v>110</v>
      </c>
      <c r="E1236" s="261">
        <v>0.45</v>
      </c>
      <c r="F1236" s="261">
        <v>0.3</v>
      </c>
      <c r="G1236" s="261">
        <v>3.6</v>
      </c>
      <c r="H1236" s="261">
        <v>1</v>
      </c>
      <c r="I1236" s="261"/>
      <c r="J1236" s="259"/>
      <c r="K1236" s="260">
        <f t="shared" si="31"/>
        <v>0.48600000000000004</v>
      </c>
      <c r="L1236" s="266" t="s">
        <v>1557</v>
      </c>
    </row>
    <row r="1237" spans="2:12">
      <c r="B1237" s="256" t="s">
        <v>1411</v>
      </c>
      <c r="C1237" s="250" t="s">
        <v>1521</v>
      </c>
      <c r="D1237" s="205" t="s">
        <v>110</v>
      </c>
      <c r="E1237" s="261">
        <v>0.45</v>
      </c>
      <c r="F1237" s="261">
        <v>0.3</v>
      </c>
      <c r="G1237" s="261">
        <v>3.6</v>
      </c>
      <c r="H1237" s="261">
        <v>1</v>
      </c>
      <c r="I1237" s="261"/>
      <c r="J1237" s="259"/>
      <c r="K1237" s="260">
        <f t="shared" si="31"/>
        <v>0.48600000000000004</v>
      </c>
      <c r="L1237" s="266" t="s">
        <v>1557</v>
      </c>
    </row>
    <row r="1238" spans="2:12">
      <c r="B1238" s="256" t="s">
        <v>1412</v>
      </c>
      <c r="C1238" s="250" t="s">
        <v>1521</v>
      </c>
      <c r="D1238" s="205" t="s">
        <v>110</v>
      </c>
      <c r="E1238" s="261">
        <v>0.55000000000000004</v>
      </c>
      <c r="F1238" s="261">
        <v>0.3</v>
      </c>
      <c r="G1238" s="261">
        <v>3.6</v>
      </c>
      <c r="H1238" s="261">
        <v>1</v>
      </c>
      <c r="I1238" s="261"/>
      <c r="J1238" s="259"/>
      <c r="K1238" s="260">
        <f t="shared" si="31"/>
        <v>0.59400000000000008</v>
      </c>
      <c r="L1238" s="266" t="s">
        <v>1557</v>
      </c>
    </row>
    <row r="1239" spans="2:12">
      <c r="B1239" s="256" t="s">
        <v>1413</v>
      </c>
      <c r="C1239" s="250" t="s">
        <v>1521</v>
      </c>
      <c r="D1239" s="205" t="s">
        <v>110</v>
      </c>
      <c r="E1239" s="261">
        <v>0.55000000000000004</v>
      </c>
      <c r="F1239" s="261">
        <v>0.3</v>
      </c>
      <c r="G1239" s="261">
        <v>3.6</v>
      </c>
      <c r="H1239" s="261">
        <v>1</v>
      </c>
      <c r="I1239" s="261"/>
      <c r="J1239" s="259"/>
      <c r="K1239" s="260">
        <f t="shared" si="31"/>
        <v>0.59400000000000008</v>
      </c>
      <c r="L1239" s="266" t="s">
        <v>1557</v>
      </c>
    </row>
    <row r="1240" spans="2:12">
      <c r="B1240" s="256" t="s">
        <v>1414</v>
      </c>
      <c r="C1240" s="250" t="s">
        <v>1521</v>
      </c>
      <c r="D1240" s="205" t="s">
        <v>110</v>
      </c>
      <c r="E1240" s="261">
        <v>0.55000000000000004</v>
      </c>
      <c r="F1240" s="261">
        <v>0.3</v>
      </c>
      <c r="G1240" s="261">
        <v>3.6</v>
      </c>
      <c r="H1240" s="261">
        <v>1</v>
      </c>
      <c r="I1240" s="261"/>
      <c r="J1240" s="259"/>
      <c r="K1240" s="260">
        <f t="shared" si="31"/>
        <v>0.59400000000000008</v>
      </c>
      <c r="L1240" s="266" t="s">
        <v>1557</v>
      </c>
    </row>
    <row r="1241" spans="2:12">
      <c r="B1241" s="256" t="s">
        <v>1415</v>
      </c>
      <c r="C1241" s="250" t="s">
        <v>1521</v>
      </c>
      <c r="D1241" s="205" t="s">
        <v>110</v>
      </c>
      <c r="E1241" s="261">
        <v>0.55000000000000004</v>
      </c>
      <c r="F1241" s="261">
        <v>0.3</v>
      </c>
      <c r="G1241" s="261">
        <v>3.6</v>
      </c>
      <c r="H1241" s="261">
        <v>1</v>
      </c>
      <c r="I1241" s="261"/>
      <c r="J1241" s="259"/>
      <c r="K1241" s="260">
        <f t="shared" si="31"/>
        <v>0.59400000000000008</v>
      </c>
      <c r="L1241" s="266" t="s">
        <v>1557</v>
      </c>
    </row>
    <row r="1242" spans="2:12">
      <c r="B1242" s="256" t="s">
        <v>1416</v>
      </c>
      <c r="C1242" s="250" t="s">
        <v>1521</v>
      </c>
      <c r="D1242" s="205" t="s">
        <v>110</v>
      </c>
      <c r="E1242" s="261">
        <v>0.45</v>
      </c>
      <c r="F1242" s="261">
        <v>0.3</v>
      </c>
      <c r="G1242" s="261">
        <v>3.6</v>
      </c>
      <c r="H1242" s="261">
        <v>1</v>
      </c>
      <c r="I1242" s="261"/>
      <c r="J1242" s="259"/>
      <c r="K1242" s="260">
        <f t="shared" si="31"/>
        <v>0.48600000000000004</v>
      </c>
      <c r="L1242" s="266" t="s">
        <v>1557</v>
      </c>
    </row>
    <row r="1243" spans="2:12">
      <c r="B1243" s="256" t="s">
        <v>1417</v>
      </c>
      <c r="C1243" s="250" t="s">
        <v>1521</v>
      </c>
      <c r="D1243" s="205" t="s">
        <v>110</v>
      </c>
      <c r="E1243" s="261">
        <v>0.45</v>
      </c>
      <c r="F1243" s="261">
        <v>0.3</v>
      </c>
      <c r="G1243" s="261">
        <v>3.6</v>
      </c>
      <c r="H1243" s="261">
        <v>1</v>
      </c>
      <c r="I1243" s="261"/>
      <c r="J1243" s="259"/>
      <c r="K1243" s="260">
        <f t="shared" si="31"/>
        <v>0.48600000000000004</v>
      </c>
      <c r="L1243" s="266" t="s">
        <v>1557</v>
      </c>
    </row>
    <row r="1244" spans="2:12">
      <c r="B1244" s="256" t="s">
        <v>1418</v>
      </c>
      <c r="C1244" s="250" t="s">
        <v>1521</v>
      </c>
      <c r="D1244" s="205" t="s">
        <v>110</v>
      </c>
      <c r="E1244" s="261">
        <v>0.8</v>
      </c>
      <c r="F1244" s="261">
        <v>0.2</v>
      </c>
      <c r="G1244" s="261">
        <v>3.6</v>
      </c>
      <c r="H1244" s="261">
        <v>1</v>
      </c>
      <c r="I1244" s="261"/>
      <c r="J1244" s="259"/>
      <c r="K1244" s="260">
        <f t="shared" si="31"/>
        <v>0.57600000000000018</v>
      </c>
      <c r="L1244" s="266" t="s">
        <v>1557</v>
      </c>
    </row>
    <row r="1245" spans="2:12">
      <c r="B1245" s="249" t="s">
        <v>1389</v>
      </c>
      <c r="C1245" s="250" t="s">
        <v>1521</v>
      </c>
      <c r="D1245" s="205" t="s">
        <v>110</v>
      </c>
      <c r="E1245" s="199">
        <v>0.5</v>
      </c>
      <c r="F1245" s="199">
        <v>0.4</v>
      </c>
      <c r="G1245" s="199">
        <v>3.6</v>
      </c>
      <c r="H1245" s="199">
        <v>1</v>
      </c>
      <c r="I1245" s="199"/>
      <c r="J1245" s="253"/>
      <c r="K1245" s="260">
        <f t="shared" si="31"/>
        <v>0.72000000000000008</v>
      </c>
      <c r="L1245" s="266" t="s">
        <v>1714</v>
      </c>
    </row>
    <row r="1246" spans="2:12">
      <c r="B1246" s="256" t="s">
        <v>1390</v>
      </c>
      <c r="C1246" s="250" t="s">
        <v>1521</v>
      </c>
      <c r="D1246" s="205" t="s">
        <v>110</v>
      </c>
      <c r="E1246" s="261">
        <v>1</v>
      </c>
      <c r="F1246" s="261">
        <v>0.2</v>
      </c>
      <c r="G1246" s="261">
        <v>3.6</v>
      </c>
      <c r="H1246" s="261">
        <v>1</v>
      </c>
      <c r="I1246" s="261"/>
      <c r="J1246" s="259"/>
      <c r="K1246" s="260">
        <f t="shared" si="31"/>
        <v>0.72000000000000008</v>
      </c>
      <c r="L1246" s="266" t="s">
        <v>1714</v>
      </c>
    </row>
    <row r="1247" spans="2:12">
      <c r="B1247" s="256" t="s">
        <v>1391</v>
      </c>
      <c r="C1247" s="250" t="s">
        <v>1521</v>
      </c>
      <c r="D1247" s="205" t="s">
        <v>110</v>
      </c>
      <c r="E1247" s="261">
        <v>1</v>
      </c>
      <c r="F1247" s="261">
        <v>0.2</v>
      </c>
      <c r="G1247" s="261">
        <v>3.6</v>
      </c>
      <c r="H1247" s="261">
        <v>1</v>
      </c>
      <c r="I1247" s="261"/>
      <c r="J1247" s="259"/>
      <c r="K1247" s="260">
        <f t="shared" si="31"/>
        <v>0.72000000000000008</v>
      </c>
      <c r="L1247" s="266" t="s">
        <v>1714</v>
      </c>
    </row>
    <row r="1248" spans="2:12">
      <c r="B1248" s="256" t="s">
        <v>1392</v>
      </c>
      <c r="C1248" s="250" t="s">
        <v>1521</v>
      </c>
      <c r="D1248" s="205" t="s">
        <v>110</v>
      </c>
      <c r="E1248" s="261">
        <v>0.4</v>
      </c>
      <c r="F1248" s="261">
        <v>0.4</v>
      </c>
      <c r="G1248" s="261">
        <v>3.6</v>
      </c>
      <c r="H1248" s="261">
        <v>1</v>
      </c>
      <c r="I1248" s="261"/>
      <c r="J1248" s="259"/>
      <c r="K1248" s="260">
        <f t="shared" si="31"/>
        <v>0.57600000000000018</v>
      </c>
      <c r="L1248" s="266" t="s">
        <v>1714</v>
      </c>
    </row>
    <row r="1249" spans="2:12">
      <c r="B1249" s="256" t="s">
        <v>1394</v>
      </c>
      <c r="C1249" s="250" t="s">
        <v>1521</v>
      </c>
      <c r="D1249" s="205" t="s">
        <v>110</v>
      </c>
      <c r="E1249" s="261">
        <v>0.4</v>
      </c>
      <c r="F1249" s="261">
        <v>0.4</v>
      </c>
      <c r="G1249" s="261">
        <v>3.6</v>
      </c>
      <c r="H1249" s="261">
        <v>1</v>
      </c>
      <c r="I1249" s="261"/>
      <c r="J1249" s="259"/>
      <c r="K1249" s="260">
        <f t="shared" si="31"/>
        <v>0.57600000000000018</v>
      </c>
      <c r="L1249" s="266" t="s">
        <v>1714</v>
      </c>
    </row>
    <row r="1250" spans="2:12">
      <c r="B1250" s="256" t="s">
        <v>1395</v>
      </c>
      <c r="C1250" s="250" t="s">
        <v>1521</v>
      </c>
      <c r="D1250" s="205" t="s">
        <v>110</v>
      </c>
      <c r="E1250" s="199">
        <v>0.5</v>
      </c>
      <c r="F1250" s="199">
        <v>0.4</v>
      </c>
      <c r="G1250" s="261">
        <v>3.6</v>
      </c>
      <c r="H1250" s="261">
        <v>1</v>
      </c>
      <c r="I1250" s="261"/>
      <c r="J1250" s="259"/>
      <c r="K1250" s="260">
        <f t="shared" si="31"/>
        <v>0.72000000000000008</v>
      </c>
      <c r="L1250" s="266" t="s">
        <v>1714</v>
      </c>
    </row>
    <row r="1251" spans="2:12">
      <c r="B1251" s="256" t="s">
        <v>1396</v>
      </c>
      <c r="C1251" s="250" t="s">
        <v>1521</v>
      </c>
      <c r="D1251" s="205" t="s">
        <v>110</v>
      </c>
      <c r="E1251" s="199">
        <v>0.5</v>
      </c>
      <c r="F1251" s="199">
        <v>0.4</v>
      </c>
      <c r="G1251" s="261">
        <v>3.6</v>
      </c>
      <c r="H1251" s="261">
        <v>1</v>
      </c>
      <c r="I1251" s="261"/>
      <c r="J1251" s="259"/>
      <c r="K1251" s="260">
        <f t="shared" si="31"/>
        <v>0.72000000000000008</v>
      </c>
      <c r="L1251" s="266" t="s">
        <v>1714</v>
      </c>
    </row>
    <row r="1252" spans="2:12">
      <c r="B1252" s="256" t="s">
        <v>1397</v>
      </c>
      <c r="C1252" s="250" t="s">
        <v>1521</v>
      </c>
      <c r="D1252" s="205" t="s">
        <v>110</v>
      </c>
      <c r="E1252" s="261">
        <v>1</v>
      </c>
      <c r="F1252" s="261">
        <v>0.2</v>
      </c>
      <c r="G1252" s="261">
        <v>3.6</v>
      </c>
      <c r="H1252" s="261">
        <v>1</v>
      </c>
      <c r="I1252" s="261"/>
      <c r="J1252" s="259"/>
      <c r="K1252" s="260">
        <f t="shared" si="31"/>
        <v>0.72000000000000008</v>
      </c>
      <c r="L1252" s="266" t="s">
        <v>1714</v>
      </c>
    </row>
    <row r="1253" spans="2:12">
      <c r="B1253" s="256" t="s">
        <v>1399</v>
      </c>
      <c r="C1253" s="250" t="s">
        <v>1521</v>
      </c>
      <c r="D1253" s="205" t="s">
        <v>110</v>
      </c>
      <c r="E1253" s="261">
        <v>0.4</v>
      </c>
      <c r="F1253" s="261">
        <v>0.4</v>
      </c>
      <c r="G1253" s="261">
        <v>3.6</v>
      </c>
      <c r="H1253" s="261">
        <v>1</v>
      </c>
      <c r="I1253" s="261"/>
      <c r="J1253" s="259"/>
      <c r="K1253" s="260">
        <f t="shared" si="31"/>
        <v>0.57600000000000018</v>
      </c>
      <c r="L1253" s="266" t="s">
        <v>1714</v>
      </c>
    </row>
    <row r="1254" spans="2:12">
      <c r="B1254" s="256" t="s">
        <v>1400</v>
      </c>
      <c r="C1254" s="250" t="s">
        <v>1521</v>
      </c>
      <c r="D1254" s="205" t="s">
        <v>110</v>
      </c>
      <c r="E1254" s="199">
        <v>0.5</v>
      </c>
      <c r="F1254" s="199">
        <v>0.4</v>
      </c>
      <c r="G1254" s="261">
        <v>3.6</v>
      </c>
      <c r="H1254" s="261">
        <v>1</v>
      </c>
      <c r="I1254" s="261"/>
      <c r="J1254" s="259"/>
      <c r="K1254" s="260">
        <f t="shared" si="31"/>
        <v>0.72000000000000008</v>
      </c>
      <c r="L1254" s="266" t="s">
        <v>1714</v>
      </c>
    </row>
    <row r="1255" spans="2:12">
      <c r="B1255" s="256" t="s">
        <v>1401</v>
      </c>
      <c r="C1255" s="250" t="s">
        <v>1521</v>
      </c>
      <c r="D1255" s="205" t="s">
        <v>110</v>
      </c>
      <c r="E1255" s="199">
        <v>0.5</v>
      </c>
      <c r="F1255" s="199">
        <v>0.4</v>
      </c>
      <c r="G1255" s="261">
        <v>3.6</v>
      </c>
      <c r="H1255" s="261">
        <v>1</v>
      </c>
      <c r="I1255" s="261"/>
      <c r="J1255" s="259"/>
      <c r="K1255" s="260">
        <f t="shared" si="31"/>
        <v>0.72000000000000008</v>
      </c>
      <c r="L1255" s="266" t="s">
        <v>1714</v>
      </c>
    </row>
    <row r="1256" spans="2:12">
      <c r="B1256" s="256" t="s">
        <v>1402</v>
      </c>
      <c r="C1256" s="250" t="s">
        <v>1521</v>
      </c>
      <c r="D1256" s="205" t="s">
        <v>110</v>
      </c>
      <c r="E1256" s="261">
        <v>1</v>
      </c>
      <c r="F1256" s="261">
        <v>0.2</v>
      </c>
      <c r="G1256" s="261">
        <v>3.6</v>
      </c>
      <c r="H1256" s="261">
        <v>1</v>
      </c>
      <c r="I1256" s="261"/>
      <c r="J1256" s="259"/>
      <c r="K1256" s="260">
        <f t="shared" si="31"/>
        <v>0.72000000000000008</v>
      </c>
      <c r="L1256" s="266" t="s">
        <v>1714</v>
      </c>
    </row>
    <row r="1257" spans="2:12">
      <c r="B1257" s="256" t="s">
        <v>1404</v>
      </c>
      <c r="C1257" s="250" t="s">
        <v>1611</v>
      </c>
      <c r="D1257" s="205" t="s">
        <v>110</v>
      </c>
      <c r="E1257" s="261">
        <v>0.2</v>
      </c>
      <c r="F1257" s="261">
        <v>0.6</v>
      </c>
      <c r="G1257" s="261">
        <v>3.6</v>
      </c>
      <c r="H1257" s="261">
        <v>1</v>
      </c>
      <c r="I1257" s="261"/>
      <c r="J1257" s="259"/>
      <c r="K1257" s="260">
        <f t="shared" si="31"/>
        <v>0.432</v>
      </c>
      <c r="L1257" s="266" t="s">
        <v>1714</v>
      </c>
    </row>
    <row r="1258" spans="2:12">
      <c r="B1258" s="256" t="s">
        <v>1405</v>
      </c>
      <c r="C1258" s="250" t="s">
        <v>1611</v>
      </c>
      <c r="D1258" s="205" t="s">
        <v>110</v>
      </c>
      <c r="E1258" s="261">
        <v>0.2</v>
      </c>
      <c r="F1258" s="261">
        <v>0.6</v>
      </c>
      <c r="G1258" s="261">
        <v>3.6</v>
      </c>
      <c r="H1258" s="261">
        <v>1</v>
      </c>
      <c r="I1258" s="261"/>
      <c r="J1258" s="259"/>
      <c r="K1258" s="260">
        <f t="shared" si="31"/>
        <v>0.432</v>
      </c>
      <c r="L1258" s="266" t="s">
        <v>1714</v>
      </c>
    </row>
    <row r="1259" spans="2:12">
      <c r="B1259" s="256" t="s">
        <v>1406</v>
      </c>
      <c r="C1259" s="250" t="s">
        <v>1611</v>
      </c>
      <c r="D1259" s="205" t="s">
        <v>110</v>
      </c>
      <c r="E1259" s="261">
        <v>0.4</v>
      </c>
      <c r="F1259" s="261">
        <v>0.4</v>
      </c>
      <c r="G1259" s="261">
        <v>3.6</v>
      </c>
      <c r="H1259" s="261">
        <v>1</v>
      </c>
      <c r="I1259" s="261"/>
      <c r="J1259" s="259"/>
      <c r="K1259" s="260">
        <f t="shared" si="31"/>
        <v>0.57600000000000018</v>
      </c>
      <c r="L1259" s="266" t="s">
        <v>1714</v>
      </c>
    </row>
    <row r="1260" spans="2:12">
      <c r="B1260" s="256" t="s">
        <v>1407</v>
      </c>
      <c r="C1260" s="250" t="s">
        <v>1611</v>
      </c>
      <c r="D1260" s="205" t="s">
        <v>110</v>
      </c>
      <c r="E1260" s="261">
        <v>0.5</v>
      </c>
      <c r="F1260" s="261">
        <v>0.4</v>
      </c>
      <c r="G1260" s="261">
        <v>3.6</v>
      </c>
      <c r="H1260" s="261">
        <v>1</v>
      </c>
      <c r="I1260" s="261"/>
      <c r="J1260" s="259"/>
      <c r="K1260" s="260">
        <f t="shared" si="31"/>
        <v>0.72000000000000008</v>
      </c>
      <c r="L1260" s="266" t="s">
        <v>1714</v>
      </c>
    </row>
    <row r="1261" spans="2:12">
      <c r="B1261" s="256" t="s">
        <v>1408</v>
      </c>
      <c r="C1261" s="250" t="s">
        <v>1611</v>
      </c>
      <c r="D1261" s="205" t="s">
        <v>110</v>
      </c>
      <c r="E1261" s="261">
        <v>0.5</v>
      </c>
      <c r="F1261" s="261">
        <v>0.4</v>
      </c>
      <c r="G1261" s="261">
        <v>3.6</v>
      </c>
      <c r="H1261" s="261">
        <v>1</v>
      </c>
      <c r="I1261" s="261"/>
      <c r="J1261" s="259"/>
      <c r="K1261" s="260">
        <f t="shared" si="31"/>
        <v>0.72000000000000008</v>
      </c>
      <c r="L1261" s="266" t="s">
        <v>1714</v>
      </c>
    </row>
    <row r="1262" spans="2:12">
      <c r="B1262" s="256" t="s">
        <v>1409</v>
      </c>
      <c r="C1262" s="250" t="s">
        <v>1611</v>
      </c>
      <c r="D1262" s="205" t="s">
        <v>110</v>
      </c>
      <c r="E1262" s="261">
        <v>0.2</v>
      </c>
      <c r="F1262" s="261">
        <v>1</v>
      </c>
      <c r="G1262" s="261">
        <v>3.6</v>
      </c>
      <c r="H1262" s="261">
        <v>1</v>
      </c>
      <c r="I1262" s="261"/>
      <c r="J1262" s="259"/>
      <c r="K1262" s="260">
        <f t="shared" si="31"/>
        <v>0.72000000000000008</v>
      </c>
      <c r="L1262" s="266" t="s">
        <v>1714</v>
      </c>
    </row>
    <row r="1263" spans="2:12">
      <c r="B1263" s="256" t="s">
        <v>1410</v>
      </c>
      <c r="C1263" s="250" t="s">
        <v>1611</v>
      </c>
      <c r="D1263" s="205" t="s">
        <v>110</v>
      </c>
      <c r="E1263" s="261">
        <v>0.45</v>
      </c>
      <c r="F1263" s="261">
        <v>0.3</v>
      </c>
      <c r="G1263" s="261">
        <v>3.6</v>
      </c>
      <c r="H1263" s="261">
        <v>1</v>
      </c>
      <c r="I1263" s="261"/>
      <c r="J1263" s="259"/>
      <c r="K1263" s="260">
        <f t="shared" si="31"/>
        <v>0.48600000000000004</v>
      </c>
      <c r="L1263" s="266" t="s">
        <v>1714</v>
      </c>
    </row>
    <row r="1264" spans="2:12">
      <c r="B1264" s="256" t="s">
        <v>1412</v>
      </c>
      <c r="C1264" s="250" t="s">
        <v>1611</v>
      </c>
      <c r="D1264" s="205" t="s">
        <v>110</v>
      </c>
      <c r="E1264" s="261">
        <v>0.55000000000000004</v>
      </c>
      <c r="F1264" s="261">
        <v>0.3</v>
      </c>
      <c r="G1264" s="261">
        <v>3.6</v>
      </c>
      <c r="H1264" s="261">
        <v>1</v>
      </c>
      <c r="I1264" s="261"/>
      <c r="J1264" s="259"/>
      <c r="K1264" s="260">
        <f t="shared" si="31"/>
        <v>0.59400000000000008</v>
      </c>
      <c r="L1264" s="266" t="s">
        <v>1714</v>
      </c>
    </row>
    <row r="1265" spans="2:12">
      <c r="B1265" s="256" t="s">
        <v>1414</v>
      </c>
      <c r="C1265" s="250" t="s">
        <v>1611</v>
      </c>
      <c r="D1265" s="205" t="s">
        <v>110</v>
      </c>
      <c r="E1265" s="261">
        <v>0.55000000000000004</v>
      </c>
      <c r="F1265" s="261">
        <v>0.3</v>
      </c>
      <c r="G1265" s="261">
        <v>3.6</v>
      </c>
      <c r="H1265" s="261">
        <v>1</v>
      </c>
      <c r="I1265" s="261"/>
      <c r="J1265" s="259"/>
      <c r="K1265" s="260">
        <f t="shared" si="31"/>
        <v>0.59400000000000008</v>
      </c>
      <c r="L1265" s="266" t="s">
        <v>1714</v>
      </c>
    </row>
    <row r="1266" spans="2:12">
      <c r="B1266" s="256" t="s">
        <v>1416</v>
      </c>
      <c r="C1266" s="250" t="s">
        <v>1611</v>
      </c>
      <c r="D1266" s="205" t="s">
        <v>110</v>
      </c>
      <c r="E1266" s="261">
        <v>0.45</v>
      </c>
      <c r="F1266" s="261">
        <v>0.3</v>
      </c>
      <c r="G1266" s="261">
        <v>3.6</v>
      </c>
      <c r="H1266" s="261">
        <v>1</v>
      </c>
      <c r="I1266" s="261"/>
      <c r="J1266" s="259"/>
      <c r="K1266" s="260">
        <f t="shared" si="31"/>
        <v>0.48600000000000004</v>
      </c>
      <c r="L1266" s="266" t="s">
        <v>1714</v>
      </c>
    </row>
    <row r="1267" spans="2:12">
      <c r="B1267" s="256" t="s">
        <v>1418</v>
      </c>
      <c r="C1267" s="250" t="s">
        <v>1611</v>
      </c>
      <c r="D1267" s="205" t="s">
        <v>110</v>
      </c>
      <c r="E1267" s="261">
        <v>0.2</v>
      </c>
      <c r="F1267" s="261">
        <v>0.8</v>
      </c>
      <c r="G1267" s="261">
        <v>3.6</v>
      </c>
      <c r="H1267" s="261">
        <v>1</v>
      </c>
      <c r="I1267" s="261"/>
      <c r="J1267" s="259"/>
      <c r="K1267" s="260">
        <f t="shared" si="31"/>
        <v>0.57600000000000018</v>
      </c>
      <c r="L1267" s="266" t="s">
        <v>1714</v>
      </c>
    </row>
    <row r="1268" spans="2:12">
      <c r="B1268" s="256" t="s">
        <v>1411</v>
      </c>
      <c r="C1268" s="250" t="s">
        <v>1611</v>
      </c>
      <c r="D1268" s="205" t="s">
        <v>110</v>
      </c>
      <c r="E1268" s="261">
        <v>0.45</v>
      </c>
      <c r="F1268" s="261">
        <v>0.3</v>
      </c>
      <c r="G1268" s="261">
        <v>3.6</v>
      </c>
      <c r="H1268" s="261">
        <v>1</v>
      </c>
      <c r="I1268" s="261"/>
      <c r="J1268" s="259"/>
      <c r="K1268" s="260">
        <f t="shared" si="31"/>
        <v>0.48600000000000004</v>
      </c>
      <c r="L1268" s="266" t="s">
        <v>1682</v>
      </c>
    </row>
    <row r="1269" spans="2:12">
      <c r="B1269" s="256" t="s">
        <v>1413</v>
      </c>
      <c r="C1269" s="250" t="s">
        <v>1611</v>
      </c>
      <c r="D1269" s="205" t="s">
        <v>110</v>
      </c>
      <c r="E1269" s="261">
        <v>0.55000000000000004</v>
      </c>
      <c r="F1269" s="261">
        <v>0.3</v>
      </c>
      <c r="G1269" s="261">
        <v>3.6</v>
      </c>
      <c r="H1269" s="261">
        <v>1</v>
      </c>
      <c r="I1269" s="261"/>
      <c r="J1269" s="259"/>
      <c r="K1269" s="260">
        <f t="shared" si="31"/>
        <v>0.59400000000000008</v>
      </c>
      <c r="L1269" s="266" t="s">
        <v>1682</v>
      </c>
    </row>
    <row r="1270" spans="2:12">
      <c r="B1270" s="256" t="s">
        <v>1415</v>
      </c>
      <c r="C1270" s="250" t="s">
        <v>1611</v>
      </c>
      <c r="D1270" s="205" t="s">
        <v>110</v>
      </c>
      <c r="E1270" s="261">
        <v>0.55000000000000004</v>
      </c>
      <c r="F1270" s="261">
        <v>0.3</v>
      </c>
      <c r="G1270" s="261">
        <v>3.6</v>
      </c>
      <c r="H1270" s="261">
        <v>1</v>
      </c>
      <c r="I1270" s="261"/>
      <c r="J1270" s="259"/>
      <c r="K1270" s="260">
        <f t="shared" si="31"/>
        <v>0.59400000000000008</v>
      </c>
      <c r="L1270" s="266" t="s">
        <v>1682</v>
      </c>
    </row>
    <row r="1271" spans="2:12">
      <c r="B1271" s="256" t="s">
        <v>1417</v>
      </c>
      <c r="C1271" s="250" t="s">
        <v>1611</v>
      </c>
      <c r="D1271" s="205" t="s">
        <v>110</v>
      </c>
      <c r="E1271" s="261">
        <v>0.45</v>
      </c>
      <c r="F1271" s="261">
        <v>0.3</v>
      </c>
      <c r="G1271" s="261">
        <v>3.6</v>
      </c>
      <c r="H1271" s="261">
        <v>1</v>
      </c>
      <c r="I1271" s="261"/>
      <c r="J1271" s="259"/>
      <c r="K1271" s="260">
        <f t="shared" si="31"/>
        <v>0.48600000000000004</v>
      </c>
      <c r="L1271" s="266" t="s">
        <v>1682</v>
      </c>
    </row>
    <row r="1272" spans="2:12">
      <c r="B1272" s="256" t="s">
        <v>1419</v>
      </c>
      <c r="C1272" s="250" t="s">
        <v>1611</v>
      </c>
      <c r="D1272" s="205" t="s">
        <v>110</v>
      </c>
      <c r="E1272" s="261">
        <v>0.2</v>
      </c>
      <c r="F1272" s="261">
        <v>0.8</v>
      </c>
      <c r="G1272" s="261">
        <v>3.6</v>
      </c>
      <c r="H1272" s="261">
        <v>1</v>
      </c>
      <c r="I1272" s="261"/>
      <c r="J1272" s="259"/>
      <c r="K1272" s="260">
        <f t="shared" si="31"/>
        <v>0.57600000000000018</v>
      </c>
      <c r="L1272" s="266" t="s">
        <v>1682</v>
      </c>
    </row>
    <row r="1273" spans="2:12">
      <c r="B1273" s="256" t="s">
        <v>1420</v>
      </c>
      <c r="C1273" s="250" t="s">
        <v>1611</v>
      </c>
      <c r="D1273" s="205" t="s">
        <v>110</v>
      </c>
      <c r="E1273" s="261">
        <v>0.3</v>
      </c>
      <c r="F1273" s="261">
        <v>0.8</v>
      </c>
      <c r="G1273" s="261">
        <v>3.6</v>
      </c>
      <c r="H1273" s="261">
        <v>1</v>
      </c>
      <c r="I1273" s="261"/>
      <c r="J1273" s="259"/>
      <c r="K1273" s="260">
        <f t="shared" si="31"/>
        <v>0.86399999999999999</v>
      </c>
      <c r="L1273" s="266" t="s">
        <v>1682</v>
      </c>
    </row>
    <row r="1274" spans="2:12">
      <c r="B1274" s="256" t="s">
        <v>1421</v>
      </c>
      <c r="C1274" s="250" t="s">
        <v>1611</v>
      </c>
      <c r="D1274" s="205" t="s">
        <v>110</v>
      </c>
      <c r="E1274" s="261">
        <v>0.2</v>
      </c>
      <c r="F1274" s="261">
        <v>0.8</v>
      </c>
      <c r="G1274" s="261">
        <v>3.6</v>
      </c>
      <c r="H1274" s="261">
        <v>1</v>
      </c>
      <c r="I1274" s="261"/>
      <c r="J1274" s="259"/>
      <c r="K1274" s="260">
        <f t="shared" si="31"/>
        <v>0.57600000000000018</v>
      </c>
      <c r="L1274" s="266" t="s">
        <v>1682</v>
      </c>
    </row>
    <row r="1275" spans="2:12">
      <c r="B1275" s="256" t="s">
        <v>1422</v>
      </c>
      <c r="C1275" s="250" t="s">
        <v>1611</v>
      </c>
      <c r="D1275" s="205" t="s">
        <v>110</v>
      </c>
      <c r="E1275" s="261">
        <v>0.3</v>
      </c>
      <c r="F1275" s="261">
        <v>0.8</v>
      </c>
      <c r="G1275" s="261">
        <v>3.6</v>
      </c>
      <c r="H1275" s="261">
        <v>1</v>
      </c>
      <c r="I1275" s="261"/>
      <c r="J1275" s="259"/>
      <c r="K1275" s="260">
        <f t="shared" si="31"/>
        <v>0.86399999999999999</v>
      </c>
      <c r="L1275" s="266" t="s">
        <v>1682</v>
      </c>
    </row>
    <row r="1276" spans="2:12">
      <c r="B1276" s="256" t="s">
        <v>1423</v>
      </c>
      <c r="C1276" s="250" t="s">
        <v>1611</v>
      </c>
      <c r="D1276" s="205" t="s">
        <v>110</v>
      </c>
      <c r="E1276" s="261">
        <v>0.4</v>
      </c>
      <c r="F1276" s="261">
        <v>0.7</v>
      </c>
      <c r="G1276" s="261">
        <v>3.6</v>
      </c>
      <c r="H1276" s="261">
        <v>1</v>
      </c>
      <c r="I1276" s="261"/>
      <c r="J1276" s="259"/>
      <c r="K1276" s="260">
        <f t="shared" si="31"/>
        <v>1.008</v>
      </c>
      <c r="L1276" s="266" t="s">
        <v>1682</v>
      </c>
    </row>
    <row r="1277" spans="2:12">
      <c r="B1277" s="256" t="s">
        <v>1424</v>
      </c>
      <c r="C1277" s="250" t="s">
        <v>1611</v>
      </c>
      <c r="D1277" s="205" t="s">
        <v>110</v>
      </c>
      <c r="E1277" s="261">
        <v>0.5</v>
      </c>
      <c r="F1277" s="261">
        <v>0.7</v>
      </c>
      <c r="G1277" s="261">
        <v>3.6</v>
      </c>
      <c r="H1277" s="261">
        <v>1</v>
      </c>
      <c r="I1277" s="261"/>
      <c r="J1277" s="259"/>
      <c r="K1277" s="260">
        <f t="shared" si="31"/>
        <v>1.26</v>
      </c>
      <c r="L1277" s="266" t="s">
        <v>1682</v>
      </c>
    </row>
    <row r="1278" spans="2:12">
      <c r="B1278" s="256" t="s">
        <v>1425</v>
      </c>
      <c r="C1278" s="250" t="s">
        <v>1611</v>
      </c>
      <c r="D1278" s="205" t="s">
        <v>110</v>
      </c>
      <c r="E1278" s="261">
        <v>0.5</v>
      </c>
      <c r="F1278" s="261">
        <v>0.7</v>
      </c>
      <c r="G1278" s="261">
        <v>3.6</v>
      </c>
      <c r="H1278" s="261">
        <v>1</v>
      </c>
      <c r="I1278" s="261"/>
      <c r="J1278" s="259"/>
      <c r="K1278" s="260">
        <f t="shared" si="31"/>
        <v>1.26</v>
      </c>
      <c r="L1278" s="266" t="s">
        <v>1682</v>
      </c>
    </row>
    <row r="1279" spans="2:12">
      <c r="B1279" s="256" t="s">
        <v>1426</v>
      </c>
      <c r="C1279" s="250" t="s">
        <v>1611</v>
      </c>
      <c r="D1279" s="205" t="s">
        <v>110</v>
      </c>
      <c r="E1279" s="261">
        <v>0.4</v>
      </c>
      <c r="F1279" s="261">
        <v>0.5</v>
      </c>
      <c r="G1279" s="261">
        <v>3.6</v>
      </c>
      <c r="H1279" s="261">
        <v>1</v>
      </c>
      <c r="I1279" s="261"/>
      <c r="J1279" s="259"/>
      <c r="K1279" s="260">
        <f t="shared" si="31"/>
        <v>0.72000000000000008</v>
      </c>
      <c r="L1279" s="266" t="s">
        <v>1682</v>
      </c>
    </row>
    <row r="1280" spans="2:12">
      <c r="B1280" s="256" t="s">
        <v>1485</v>
      </c>
      <c r="C1280" s="250" t="s">
        <v>1611</v>
      </c>
      <c r="D1280" s="205" t="s">
        <v>110</v>
      </c>
      <c r="E1280" s="261">
        <v>0.6</v>
      </c>
      <c r="F1280" s="261">
        <v>0.4</v>
      </c>
      <c r="G1280" s="261">
        <v>3.6</v>
      </c>
      <c r="H1280" s="261">
        <v>1</v>
      </c>
      <c r="I1280" s="261"/>
      <c r="J1280" s="259"/>
      <c r="K1280" s="260">
        <f t="shared" si="31"/>
        <v>0.86399999999999999</v>
      </c>
      <c r="L1280" s="266" t="s">
        <v>1682</v>
      </c>
    </row>
    <row r="1281" spans="2:12">
      <c r="B1281" s="256" t="s">
        <v>1486</v>
      </c>
      <c r="C1281" s="250" t="s">
        <v>1611</v>
      </c>
      <c r="D1281" s="205" t="s">
        <v>110</v>
      </c>
      <c r="E1281" s="261">
        <v>0.2</v>
      </c>
      <c r="F1281" s="261">
        <v>2.94</v>
      </c>
      <c r="G1281" s="261">
        <v>3.6</v>
      </c>
      <c r="H1281" s="261">
        <v>1</v>
      </c>
      <c r="I1281" s="261"/>
      <c r="J1281" s="259"/>
      <c r="K1281" s="260">
        <f t="shared" si="31"/>
        <v>2.1168</v>
      </c>
      <c r="L1281" s="266" t="s">
        <v>1682</v>
      </c>
    </row>
    <row r="1282" spans="2:12">
      <c r="B1282" s="256" t="s">
        <v>1487</v>
      </c>
      <c r="C1282" s="250" t="s">
        <v>1611</v>
      </c>
      <c r="D1282" s="205" t="s">
        <v>110</v>
      </c>
      <c r="E1282" s="261">
        <v>0.2</v>
      </c>
      <c r="F1282" s="261">
        <v>2.94</v>
      </c>
      <c r="G1282" s="261">
        <v>3.6</v>
      </c>
      <c r="H1282" s="261">
        <v>1</v>
      </c>
      <c r="I1282" s="261"/>
      <c r="J1282" s="259"/>
      <c r="K1282" s="260">
        <f t="shared" si="31"/>
        <v>2.1168</v>
      </c>
      <c r="L1282" s="266" t="s">
        <v>1682</v>
      </c>
    </row>
    <row r="1283" spans="2:12">
      <c r="B1283" s="256" t="s">
        <v>1488</v>
      </c>
      <c r="C1283" s="250" t="s">
        <v>1611</v>
      </c>
      <c r="D1283" s="205" t="s">
        <v>110</v>
      </c>
      <c r="E1283" s="261">
        <v>0.6</v>
      </c>
      <c r="F1283" s="261">
        <v>0.5</v>
      </c>
      <c r="G1283" s="261">
        <v>3.6</v>
      </c>
      <c r="H1283" s="261">
        <v>1</v>
      </c>
      <c r="I1283" s="261"/>
      <c r="J1283" s="259"/>
      <c r="K1283" s="260">
        <f t="shared" si="31"/>
        <v>1.08</v>
      </c>
      <c r="L1283" s="266" t="s">
        <v>1682</v>
      </c>
    </row>
    <row r="1284" spans="2:12">
      <c r="B1284" s="256" t="s">
        <v>1489</v>
      </c>
      <c r="C1284" s="250" t="s">
        <v>1611</v>
      </c>
      <c r="D1284" s="205" t="s">
        <v>110</v>
      </c>
      <c r="E1284" s="261">
        <v>0.4</v>
      </c>
      <c r="F1284" s="261">
        <v>0.4</v>
      </c>
      <c r="G1284" s="261">
        <v>3.6</v>
      </c>
      <c r="H1284" s="261">
        <v>1</v>
      </c>
      <c r="I1284" s="261"/>
      <c r="J1284" s="259"/>
      <c r="K1284" s="260">
        <f t="shared" si="31"/>
        <v>0.57600000000000018</v>
      </c>
      <c r="L1284" s="266" t="s">
        <v>1682</v>
      </c>
    </row>
    <row r="1285" spans="2:12">
      <c r="B1285" s="256" t="s">
        <v>1490</v>
      </c>
      <c r="C1285" s="250" t="s">
        <v>1611</v>
      </c>
      <c r="D1285" s="205" t="s">
        <v>110</v>
      </c>
      <c r="E1285" s="261">
        <v>0.2</v>
      </c>
      <c r="F1285" s="261">
        <v>0.8</v>
      </c>
      <c r="G1285" s="261">
        <v>3.6</v>
      </c>
      <c r="H1285" s="261">
        <v>1</v>
      </c>
      <c r="I1285" s="261"/>
      <c r="J1285" s="259"/>
      <c r="K1285" s="260">
        <f t="shared" si="31"/>
        <v>0.57600000000000018</v>
      </c>
      <c r="L1285" s="266" t="s">
        <v>1682</v>
      </c>
    </row>
    <row r="1286" spans="2:12">
      <c r="B1286" s="256" t="s">
        <v>1493</v>
      </c>
      <c r="C1286" s="250" t="s">
        <v>1611</v>
      </c>
      <c r="D1286" s="205" t="s">
        <v>110</v>
      </c>
      <c r="E1286" s="261">
        <v>0.4</v>
      </c>
      <c r="F1286" s="261">
        <v>0.4</v>
      </c>
      <c r="G1286" s="261">
        <v>3.6</v>
      </c>
      <c r="H1286" s="261">
        <v>1</v>
      </c>
      <c r="I1286" s="261"/>
      <c r="J1286" s="259"/>
      <c r="K1286" s="260">
        <f t="shared" si="31"/>
        <v>0.57600000000000018</v>
      </c>
      <c r="L1286" s="266" t="s">
        <v>1682</v>
      </c>
    </row>
    <row r="1287" spans="2:12">
      <c r="B1287" s="256" t="s">
        <v>1494</v>
      </c>
      <c r="C1287" s="250" t="s">
        <v>1611</v>
      </c>
      <c r="D1287" s="205" t="s">
        <v>110</v>
      </c>
      <c r="E1287" s="261">
        <v>0.4</v>
      </c>
      <c r="F1287" s="261">
        <v>0.4</v>
      </c>
      <c r="G1287" s="261">
        <v>3.6</v>
      </c>
      <c r="H1287" s="261">
        <v>1</v>
      </c>
      <c r="I1287" s="261"/>
      <c r="J1287" s="259"/>
      <c r="K1287" s="260">
        <f t="shared" si="31"/>
        <v>0.57600000000000018</v>
      </c>
      <c r="L1287" s="266" t="s">
        <v>1682</v>
      </c>
    </row>
    <row r="1288" spans="2:12">
      <c r="B1288" s="256" t="s">
        <v>1495</v>
      </c>
      <c r="C1288" s="250" t="s">
        <v>1611</v>
      </c>
      <c r="D1288" s="205" t="s">
        <v>110</v>
      </c>
      <c r="E1288" s="261">
        <v>0.4</v>
      </c>
      <c r="F1288" s="261">
        <v>0.4</v>
      </c>
      <c r="G1288" s="261">
        <v>3.6</v>
      </c>
      <c r="H1288" s="261">
        <v>1</v>
      </c>
      <c r="I1288" s="261"/>
      <c r="J1288" s="259"/>
      <c r="K1288" s="260">
        <f t="shared" si="31"/>
        <v>0.57600000000000018</v>
      </c>
      <c r="L1288" s="266" t="s">
        <v>1682</v>
      </c>
    </row>
    <row r="1289" spans="2:12">
      <c r="B1289" s="256" t="s">
        <v>1389</v>
      </c>
      <c r="C1289" s="264" t="s">
        <v>1612</v>
      </c>
      <c r="D1289" s="210" t="s">
        <v>110</v>
      </c>
      <c r="E1289" s="261">
        <v>0.5</v>
      </c>
      <c r="F1289" s="261">
        <v>0.4</v>
      </c>
      <c r="G1289" s="261">
        <v>3.6</v>
      </c>
      <c r="H1289" s="261">
        <v>1</v>
      </c>
      <c r="I1289" s="261"/>
      <c r="J1289" s="259"/>
      <c r="K1289" s="260">
        <f t="shared" si="31"/>
        <v>0.72000000000000008</v>
      </c>
      <c r="L1289" s="266" t="s">
        <v>1683</v>
      </c>
    </row>
    <row r="1290" spans="2:12">
      <c r="B1290" s="256" t="s">
        <v>1390</v>
      </c>
      <c r="C1290" s="264" t="s">
        <v>1612</v>
      </c>
      <c r="D1290" s="210" t="s">
        <v>110</v>
      </c>
      <c r="E1290" s="261">
        <v>1</v>
      </c>
      <c r="F1290" s="261">
        <v>0.2</v>
      </c>
      <c r="G1290" s="261">
        <v>3.6</v>
      </c>
      <c r="H1290" s="261">
        <v>1</v>
      </c>
      <c r="I1290" s="261"/>
      <c r="J1290" s="259"/>
      <c r="K1290" s="260">
        <f t="shared" ref="K1290:K1353" si="32">IF(E1290*F1290*G1290&lt;&gt;0,E1290*F1290*G1290,IF(E1290*F1290&lt;&gt;0,E1290*F1290,IF(F1290*G1290&lt;&gt;0,F1290*G1290,IF(E1290*G1290&lt;&gt;0,E1290*G1290,IF(E1290&lt;&gt;0,E1290,IF(F1290&lt;&gt;0,F1290,IF(G1290&lt;&gt;0,G1290,0)))))))*(IF(H1290&lt;&gt;0,H1290,1))+I1290-J1290</f>
        <v>0.72000000000000008</v>
      </c>
      <c r="L1290" s="266" t="s">
        <v>1683</v>
      </c>
    </row>
    <row r="1291" spans="2:12">
      <c r="B1291" s="256" t="s">
        <v>1391</v>
      </c>
      <c r="C1291" s="264" t="s">
        <v>1612</v>
      </c>
      <c r="D1291" s="210" t="s">
        <v>110</v>
      </c>
      <c r="E1291" s="261">
        <v>1</v>
      </c>
      <c r="F1291" s="261">
        <v>0.2</v>
      </c>
      <c r="G1291" s="261">
        <v>3.6</v>
      </c>
      <c r="H1291" s="261">
        <v>1</v>
      </c>
      <c r="I1291" s="261"/>
      <c r="J1291" s="259"/>
      <c r="K1291" s="260">
        <f t="shared" si="32"/>
        <v>0.72000000000000008</v>
      </c>
      <c r="L1291" s="266" t="s">
        <v>1683</v>
      </c>
    </row>
    <row r="1292" spans="2:12">
      <c r="B1292" s="256" t="s">
        <v>1392</v>
      </c>
      <c r="C1292" s="264" t="s">
        <v>1612</v>
      </c>
      <c r="D1292" s="210" t="s">
        <v>110</v>
      </c>
      <c r="E1292" s="261">
        <v>0.4</v>
      </c>
      <c r="F1292" s="261">
        <v>0.4</v>
      </c>
      <c r="G1292" s="261">
        <v>3.6</v>
      </c>
      <c r="H1292" s="261">
        <v>1</v>
      </c>
      <c r="I1292" s="261"/>
      <c r="J1292" s="259"/>
      <c r="K1292" s="260">
        <f t="shared" si="32"/>
        <v>0.57600000000000018</v>
      </c>
      <c r="L1292" s="266" t="s">
        <v>1683</v>
      </c>
    </row>
    <row r="1293" spans="2:12">
      <c r="B1293" s="256" t="s">
        <v>1394</v>
      </c>
      <c r="C1293" s="264" t="s">
        <v>1612</v>
      </c>
      <c r="D1293" s="210" t="s">
        <v>110</v>
      </c>
      <c r="E1293" s="261">
        <v>0.4</v>
      </c>
      <c r="F1293" s="261">
        <v>0.4</v>
      </c>
      <c r="G1293" s="261">
        <v>3.6</v>
      </c>
      <c r="H1293" s="261">
        <v>1</v>
      </c>
      <c r="I1293" s="261"/>
      <c r="J1293" s="259"/>
      <c r="K1293" s="260">
        <f t="shared" si="32"/>
        <v>0.57600000000000018</v>
      </c>
      <c r="L1293" s="266" t="s">
        <v>1683</v>
      </c>
    </row>
    <row r="1294" spans="2:12">
      <c r="B1294" s="256" t="s">
        <v>1395</v>
      </c>
      <c r="C1294" s="264" t="s">
        <v>1612</v>
      </c>
      <c r="D1294" s="210" t="s">
        <v>110</v>
      </c>
      <c r="E1294" s="261">
        <v>0.5</v>
      </c>
      <c r="F1294" s="261">
        <v>0.4</v>
      </c>
      <c r="G1294" s="261">
        <v>3.6</v>
      </c>
      <c r="H1294" s="261">
        <v>1</v>
      </c>
      <c r="I1294" s="261"/>
      <c r="J1294" s="259"/>
      <c r="K1294" s="260">
        <f t="shared" si="32"/>
        <v>0.72000000000000008</v>
      </c>
      <c r="L1294" s="266" t="s">
        <v>1683</v>
      </c>
    </row>
    <row r="1295" spans="2:12">
      <c r="B1295" s="256" t="s">
        <v>1396</v>
      </c>
      <c r="C1295" s="264" t="s">
        <v>1612</v>
      </c>
      <c r="D1295" s="210" t="s">
        <v>110</v>
      </c>
      <c r="E1295" s="261">
        <v>0.5</v>
      </c>
      <c r="F1295" s="261">
        <v>0.4</v>
      </c>
      <c r="G1295" s="261">
        <v>3.6</v>
      </c>
      <c r="H1295" s="261">
        <v>1</v>
      </c>
      <c r="I1295" s="261"/>
      <c r="J1295" s="259"/>
      <c r="K1295" s="260">
        <f t="shared" si="32"/>
        <v>0.72000000000000008</v>
      </c>
      <c r="L1295" s="266" t="s">
        <v>1683</v>
      </c>
    </row>
    <row r="1296" spans="2:12">
      <c r="B1296" s="256" t="s">
        <v>1397</v>
      </c>
      <c r="C1296" s="264" t="s">
        <v>1612</v>
      </c>
      <c r="D1296" s="210" t="s">
        <v>110</v>
      </c>
      <c r="E1296" s="261">
        <v>1</v>
      </c>
      <c r="F1296" s="261">
        <v>0.2</v>
      </c>
      <c r="G1296" s="261">
        <v>3.6</v>
      </c>
      <c r="H1296" s="261">
        <v>1</v>
      </c>
      <c r="I1296" s="261"/>
      <c r="J1296" s="259"/>
      <c r="K1296" s="260">
        <f t="shared" si="32"/>
        <v>0.72000000000000008</v>
      </c>
      <c r="L1296" s="266" t="s">
        <v>1683</v>
      </c>
    </row>
    <row r="1297" spans="2:12">
      <c r="B1297" s="256" t="s">
        <v>1399</v>
      </c>
      <c r="C1297" s="264" t="s">
        <v>1612</v>
      </c>
      <c r="D1297" s="210" t="s">
        <v>110</v>
      </c>
      <c r="E1297" s="261">
        <v>0.4</v>
      </c>
      <c r="F1297" s="261">
        <v>0.4</v>
      </c>
      <c r="G1297" s="261">
        <v>3.6</v>
      </c>
      <c r="H1297" s="261">
        <v>1</v>
      </c>
      <c r="I1297" s="261"/>
      <c r="J1297" s="259"/>
      <c r="K1297" s="260">
        <f t="shared" si="32"/>
        <v>0.57600000000000018</v>
      </c>
      <c r="L1297" s="266" t="s">
        <v>1683</v>
      </c>
    </row>
    <row r="1298" spans="2:12">
      <c r="B1298" s="256" t="s">
        <v>1400</v>
      </c>
      <c r="C1298" s="264" t="s">
        <v>1612</v>
      </c>
      <c r="D1298" s="210" t="s">
        <v>110</v>
      </c>
      <c r="E1298" s="261">
        <v>0.5</v>
      </c>
      <c r="F1298" s="261">
        <v>0.4</v>
      </c>
      <c r="G1298" s="261">
        <v>3.6</v>
      </c>
      <c r="H1298" s="261">
        <v>1</v>
      </c>
      <c r="I1298" s="261"/>
      <c r="J1298" s="259"/>
      <c r="K1298" s="260">
        <f t="shared" si="32"/>
        <v>0.72000000000000008</v>
      </c>
      <c r="L1298" s="266" t="s">
        <v>1683</v>
      </c>
    </row>
    <row r="1299" spans="2:12">
      <c r="B1299" s="256" t="s">
        <v>1401</v>
      </c>
      <c r="C1299" s="264" t="s">
        <v>1612</v>
      </c>
      <c r="D1299" s="210" t="s">
        <v>110</v>
      </c>
      <c r="E1299" s="261">
        <v>0.5</v>
      </c>
      <c r="F1299" s="261">
        <v>0.4</v>
      </c>
      <c r="G1299" s="261">
        <v>3.6</v>
      </c>
      <c r="H1299" s="261">
        <v>1</v>
      </c>
      <c r="I1299" s="261"/>
      <c r="J1299" s="259"/>
      <c r="K1299" s="260">
        <f t="shared" si="32"/>
        <v>0.72000000000000008</v>
      </c>
      <c r="L1299" s="266" t="s">
        <v>1683</v>
      </c>
    </row>
    <row r="1300" spans="2:12">
      <c r="B1300" s="256" t="s">
        <v>1402</v>
      </c>
      <c r="C1300" s="264" t="s">
        <v>1612</v>
      </c>
      <c r="D1300" s="210" t="s">
        <v>110</v>
      </c>
      <c r="E1300" s="261">
        <v>1</v>
      </c>
      <c r="F1300" s="261">
        <v>0.2</v>
      </c>
      <c r="G1300" s="261">
        <v>3.6</v>
      </c>
      <c r="H1300" s="261">
        <v>1</v>
      </c>
      <c r="I1300" s="261"/>
      <c r="J1300" s="259"/>
      <c r="K1300" s="260">
        <f t="shared" si="32"/>
        <v>0.72000000000000008</v>
      </c>
      <c r="L1300" s="266" t="s">
        <v>1683</v>
      </c>
    </row>
    <row r="1301" spans="2:12">
      <c r="B1301" s="256" t="s">
        <v>1404</v>
      </c>
      <c r="C1301" s="264" t="s">
        <v>1612</v>
      </c>
      <c r="D1301" s="210" t="s">
        <v>110</v>
      </c>
      <c r="E1301" s="261">
        <v>0.2</v>
      </c>
      <c r="F1301" s="261">
        <v>0.6</v>
      </c>
      <c r="G1301" s="261">
        <v>3.6</v>
      </c>
      <c r="H1301" s="261">
        <v>1</v>
      </c>
      <c r="I1301" s="261"/>
      <c r="J1301" s="259"/>
      <c r="K1301" s="260">
        <f t="shared" si="32"/>
        <v>0.432</v>
      </c>
      <c r="L1301" s="266" t="s">
        <v>1683</v>
      </c>
    </row>
    <row r="1302" spans="2:12">
      <c r="B1302" s="256" t="s">
        <v>1405</v>
      </c>
      <c r="C1302" s="264" t="s">
        <v>1612</v>
      </c>
      <c r="D1302" s="210" t="s">
        <v>110</v>
      </c>
      <c r="E1302" s="261">
        <v>0.2</v>
      </c>
      <c r="F1302" s="261">
        <v>0.6</v>
      </c>
      <c r="G1302" s="261">
        <v>3.6</v>
      </c>
      <c r="H1302" s="261">
        <v>1</v>
      </c>
      <c r="I1302" s="261"/>
      <c r="J1302" s="259"/>
      <c r="K1302" s="260">
        <f t="shared" si="32"/>
        <v>0.432</v>
      </c>
      <c r="L1302" s="266" t="s">
        <v>1683</v>
      </c>
    </row>
    <row r="1303" spans="2:12">
      <c r="B1303" s="256" t="s">
        <v>1406</v>
      </c>
      <c r="C1303" s="264" t="s">
        <v>1612</v>
      </c>
      <c r="D1303" s="210" t="s">
        <v>110</v>
      </c>
      <c r="E1303" s="261">
        <v>0.4</v>
      </c>
      <c r="F1303" s="261">
        <v>0.4</v>
      </c>
      <c r="G1303" s="261">
        <v>3.6</v>
      </c>
      <c r="H1303" s="261">
        <v>1</v>
      </c>
      <c r="I1303" s="261"/>
      <c r="J1303" s="259"/>
      <c r="K1303" s="260">
        <f t="shared" si="32"/>
        <v>0.57600000000000018</v>
      </c>
      <c r="L1303" s="266" t="s">
        <v>1683</v>
      </c>
    </row>
    <row r="1304" spans="2:12">
      <c r="B1304" s="256" t="s">
        <v>1407</v>
      </c>
      <c r="C1304" s="264" t="s">
        <v>1612</v>
      </c>
      <c r="D1304" s="210" t="s">
        <v>110</v>
      </c>
      <c r="E1304" s="261">
        <v>0.5</v>
      </c>
      <c r="F1304" s="261">
        <v>0.4</v>
      </c>
      <c r="G1304" s="261">
        <v>3.6</v>
      </c>
      <c r="H1304" s="261">
        <v>1</v>
      </c>
      <c r="I1304" s="261"/>
      <c r="J1304" s="259"/>
      <c r="K1304" s="260">
        <f t="shared" si="32"/>
        <v>0.72000000000000008</v>
      </c>
      <c r="L1304" s="266" t="s">
        <v>1683</v>
      </c>
    </row>
    <row r="1305" spans="2:12">
      <c r="B1305" s="256" t="s">
        <v>1408</v>
      </c>
      <c r="C1305" s="264" t="s">
        <v>1612</v>
      </c>
      <c r="D1305" s="210" t="s">
        <v>110</v>
      </c>
      <c r="E1305" s="261">
        <v>0.5</v>
      </c>
      <c r="F1305" s="261">
        <v>0.4</v>
      </c>
      <c r="G1305" s="261">
        <v>3.6</v>
      </c>
      <c r="H1305" s="261">
        <v>1</v>
      </c>
      <c r="I1305" s="261"/>
      <c r="J1305" s="259"/>
      <c r="K1305" s="260">
        <f t="shared" si="32"/>
        <v>0.72000000000000008</v>
      </c>
      <c r="L1305" s="266" t="s">
        <v>1683</v>
      </c>
    </row>
    <row r="1306" spans="2:12">
      <c r="B1306" s="256" t="s">
        <v>1409</v>
      </c>
      <c r="C1306" s="264" t="s">
        <v>1612</v>
      </c>
      <c r="D1306" s="210" t="s">
        <v>110</v>
      </c>
      <c r="E1306" s="261">
        <v>0.2</v>
      </c>
      <c r="F1306" s="261">
        <v>1</v>
      </c>
      <c r="G1306" s="261">
        <v>3.6</v>
      </c>
      <c r="H1306" s="261">
        <v>1</v>
      </c>
      <c r="I1306" s="261"/>
      <c r="J1306" s="259"/>
      <c r="K1306" s="260">
        <f t="shared" si="32"/>
        <v>0.72000000000000008</v>
      </c>
      <c r="L1306" s="266" t="s">
        <v>1683</v>
      </c>
    </row>
    <row r="1307" spans="2:12">
      <c r="B1307" s="256" t="s">
        <v>1410</v>
      </c>
      <c r="C1307" s="264" t="s">
        <v>1612</v>
      </c>
      <c r="D1307" s="210" t="s">
        <v>110</v>
      </c>
      <c r="E1307" s="261">
        <v>0.45</v>
      </c>
      <c r="F1307" s="261">
        <v>0.3</v>
      </c>
      <c r="G1307" s="261">
        <v>3.6</v>
      </c>
      <c r="H1307" s="261">
        <v>1</v>
      </c>
      <c r="I1307" s="261"/>
      <c r="J1307" s="259"/>
      <c r="K1307" s="260">
        <f t="shared" si="32"/>
        <v>0.48600000000000004</v>
      </c>
      <c r="L1307" s="266" t="s">
        <v>1683</v>
      </c>
    </row>
    <row r="1308" spans="2:12">
      <c r="B1308" s="256" t="s">
        <v>1412</v>
      </c>
      <c r="C1308" s="264" t="s">
        <v>1612</v>
      </c>
      <c r="D1308" s="210" t="s">
        <v>110</v>
      </c>
      <c r="E1308" s="261">
        <v>0.55000000000000004</v>
      </c>
      <c r="F1308" s="261">
        <v>0.3</v>
      </c>
      <c r="G1308" s="261">
        <v>3.6</v>
      </c>
      <c r="H1308" s="261">
        <v>1</v>
      </c>
      <c r="I1308" s="261"/>
      <c r="J1308" s="259"/>
      <c r="K1308" s="260">
        <f t="shared" si="32"/>
        <v>0.59400000000000008</v>
      </c>
      <c r="L1308" s="266" t="s">
        <v>1683</v>
      </c>
    </row>
    <row r="1309" spans="2:12">
      <c r="B1309" s="256" t="s">
        <v>1414</v>
      </c>
      <c r="C1309" s="264" t="s">
        <v>1612</v>
      </c>
      <c r="D1309" s="210" t="s">
        <v>110</v>
      </c>
      <c r="E1309" s="261">
        <v>0.55000000000000004</v>
      </c>
      <c r="F1309" s="261">
        <v>0.3</v>
      </c>
      <c r="G1309" s="261">
        <v>3.6</v>
      </c>
      <c r="H1309" s="261">
        <v>1</v>
      </c>
      <c r="I1309" s="261"/>
      <c r="J1309" s="259"/>
      <c r="K1309" s="260">
        <f t="shared" si="32"/>
        <v>0.59400000000000008</v>
      </c>
      <c r="L1309" s="266" t="s">
        <v>1683</v>
      </c>
    </row>
    <row r="1310" spans="2:12">
      <c r="B1310" s="256" t="s">
        <v>1416</v>
      </c>
      <c r="C1310" s="264" t="s">
        <v>1612</v>
      </c>
      <c r="D1310" s="210" t="s">
        <v>110</v>
      </c>
      <c r="E1310" s="261">
        <v>0.45</v>
      </c>
      <c r="F1310" s="261">
        <v>0.3</v>
      </c>
      <c r="G1310" s="261">
        <v>3.6</v>
      </c>
      <c r="H1310" s="261">
        <v>1</v>
      </c>
      <c r="I1310" s="261"/>
      <c r="J1310" s="259"/>
      <c r="K1310" s="260">
        <f t="shared" si="32"/>
        <v>0.48600000000000004</v>
      </c>
      <c r="L1310" s="266" t="s">
        <v>1683</v>
      </c>
    </row>
    <row r="1311" spans="2:12">
      <c r="B1311" s="256" t="s">
        <v>1418</v>
      </c>
      <c r="C1311" s="264" t="s">
        <v>1612</v>
      </c>
      <c r="D1311" s="210" t="s">
        <v>110</v>
      </c>
      <c r="E1311" s="261">
        <v>0.2</v>
      </c>
      <c r="F1311" s="261">
        <v>0.8</v>
      </c>
      <c r="G1311" s="261">
        <v>3.6</v>
      </c>
      <c r="H1311" s="261">
        <v>1</v>
      </c>
      <c r="I1311" s="261"/>
      <c r="J1311" s="259"/>
      <c r="K1311" s="260">
        <f t="shared" si="32"/>
        <v>0.57600000000000018</v>
      </c>
      <c r="L1311" s="266" t="s">
        <v>1683</v>
      </c>
    </row>
    <row r="1312" spans="2:12">
      <c r="B1312" s="256" t="s">
        <v>1411</v>
      </c>
      <c r="C1312" s="264" t="s">
        <v>1612</v>
      </c>
      <c r="D1312" s="205" t="s">
        <v>110</v>
      </c>
      <c r="E1312" s="261">
        <v>0.45</v>
      </c>
      <c r="F1312" s="261">
        <v>0.3</v>
      </c>
      <c r="G1312" s="261">
        <v>3.6</v>
      </c>
      <c r="H1312" s="261">
        <v>1</v>
      </c>
      <c r="I1312" s="261"/>
      <c r="J1312" s="259"/>
      <c r="K1312" s="260">
        <f t="shared" si="32"/>
        <v>0.48600000000000004</v>
      </c>
      <c r="L1312" s="266" t="s">
        <v>1682</v>
      </c>
    </row>
    <row r="1313" spans="2:12">
      <c r="B1313" s="256" t="s">
        <v>1413</v>
      </c>
      <c r="C1313" s="264" t="s">
        <v>1612</v>
      </c>
      <c r="D1313" s="205" t="s">
        <v>110</v>
      </c>
      <c r="E1313" s="261">
        <v>0.55000000000000004</v>
      </c>
      <c r="F1313" s="261">
        <v>0.3</v>
      </c>
      <c r="G1313" s="261">
        <v>3.6</v>
      </c>
      <c r="H1313" s="261">
        <v>1</v>
      </c>
      <c r="I1313" s="261"/>
      <c r="J1313" s="259"/>
      <c r="K1313" s="260">
        <f t="shared" si="32"/>
        <v>0.59400000000000008</v>
      </c>
      <c r="L1313" s="266" t="s">
        <v>1682</v>
      </c>
    </row>
    <row r="1314" spans="2:12">
      <c r="B1314" s="256" t="s">
        <v>1415</v>
      </c>
      <c r="C1314" s="264" t="s">
        <v>1612</v>
      </c>
      <c r="D1314" s="205" t="s">
        <v>110</v>
      </c>
      <c r="E1314" s="261">
        <v>0.55000000000000004</v>
      </c>
      <c r="F1314" s="261">
        <v>0.3</v>
      </c>
      <c r="G1314" s="261">
        <v>3.6</v>
      </c>
      <c r="H1314" s="261">
        <v>1</v>
      </c>
      <c r="I1314" s="261"/>
      <c r="J1314" s="259"/>
      <c r="K1314" s="260">
        <f t="shared" si="32"/>
        <v>0.59400000000000008</v>
      </c>
      <c r="L1314" s="266" t="s">
        <v>1682</v>
      </c>
    </row>
    <row r="1315" spans="2:12">
      <c r="B1315" s="256" t="s">
        <v>1417</v>
      </c>
      <c r="C1315" s="264" t="s">
        <v>1612</v>
      </c>
      <c r="D1315" s="205" t="s">
        <v>110</v>
      </c>
      <c r="E1315" s="261">
        <v>0.45</v>
      </c>
      <c r="F1315" s="261">
        <v>0.3</v>
      </c>
      <c r="G1315" s="261">
        <v>3.6</v>
      </c>
      <c r="H1315" s="261">
        <v>1</v>
      </c>
      <c r="I1315" s="261"/>
      <c r="J1315" s="259"/>
      <c r="K1315" s="260">
        <f t="shared" si="32"/>
        <v>0.48600000000000004</v>
      </c>
      <c r="L1315" s="266" t="s">
        <v>1682</v>
      </c>
    </row>
    <row r="1316" spans="2:12">
      <c r="B1316" s="256" t="s">
        <v>1419</v>
      </c>
      <c r="C1316" s="264" t="s">
        <v>1612</v>
      </c>
      <c r="D1316" s="205" t="s">
        <v>110</v>
      </c>
      <c r="E1316" s="261">
        <v>0.2</v>
      </c>
      <c r="F1316" s="261">
        <v>0.8</v>
      </c>
      <c r="G1316" s="261">
        <v>3.6</v>
      </c>
      <c r="H1316" s="261">
        <v>1</v>
      </c>
      <c r="I1316" s="261"/>
      <c r="J1316" s="259"/>
      <c r="K1316" s="260">
        <f t="shared" si="32"/>
        <v>0.57600000000000018</v>
      </c>
      <c r="L1316" s="266" t="s">
        <v>1682</v>
      </c>
    </row>
    <row r="1317" spans="2:12">
      <c r="B1317" s="256" t="s">
        <v>1420</v>
      </c>
      <c r="C1317" s="264" t="s">
        <v>1612</v>
      </c>
      <c r="D1317" s="205" t="s">
        <v>110</v>
      </c>
      <c r="E1317" s="261">
        <v>0.3</v>
      </c>
      <c r="F1317" s="261">
        <v>0.8</v>
      </c>
      <c r="G1317" s="261">
        <v>3.6</v>
      </c>
      <c r="H1317" s="261">
        <v>1</v>
      </c>
      <c r="I1317" s="261"/>
      <c r="J1317" s="259"/>
      <c r="K1317" s="260">
        <f t="shared" si="32"/>
        <v>0.86399999999999999</v>
      </c>
      <c r="L1317" s="266" t="s">
        <v>1682</v>
      </c>
    </row>
    <row r="1318" spans="2:12">
      <c r="B1318" s="256" t="s">
        <v>1421</v>
      </c>
      <c r="C1318" s="264" t="s">
        <v>1612</v>
      </c>
      <c r="D1318" s="205" t="s">
        <v>110</v>
      </c>
      <c r="E1318" s="261">
        <v>0.2</v>
      </c>
      <c r="F1318" s="261">
        <v>0.8</v>
      </c>
      <c r="G1318" s="261">
        <v>3.6</v>
      </c>
      <c r="H1318" s="261">
        <v>1</v>
      </c>
      <c r="I1318" s="261"/>
      <c r="J1318" s="259"/>
      <c r="K1318" s="260">
        <f t="shared" si="32"/>
        <v>0.57600000000000018</v>
      </c>
      <c r="L1318" s="266" t="s">
        <v>1682</v>
      </c>
    </row>
    <row r="1319" spans="2:12">
      <c r="B1319" s="256" t="s">
        <v>1422</v>
      </c>
      <c r="C1319" s="264" t="s">
        <v>1612</v>
      </c>
      <c r="D1319" s="205" t="s">
        <v>110</v>
      </c>
      <c r="E1319" s="261">
        <v>0.3</v>
      </c>
      <c r="F1319" s="261">
        <v>0.8</v>
      </c>
      <c r="G1319" s="261">
        <v>3.6</v>
      </c>
      <c r="H1319" s="261">
        <v>1</v>
      </c>
      <c r="I1319" s="261"/>
      <c r="J1319" s="259"/>
      <c r="K1319" s="260">
        <f t="shared" si="32"/>
        <v>0.86399999999999999</v>
      </c>
      <c r="L1319" s="266" t="s">
        <v>1682</v>
      </c>
    </row>
    <row r="1320" spans="2:12">
      <c r="B1320" s="256" t="s">
        <v>1423</v>
      </c>
      <c r="C1320" s="264" t="s">
        <v>1612</v>
      </c>
      <c r="D1320" s="205" t="s">
        <v>110</v>
      </c>
      <c r="E1320" s="261">
        <v>0.4</v>
      </c>
      <c r="F1320" s="261">
        <v>0.7</v>
      </c>
      <c r="G1320" s="261">
        <v>3.6</v>
      </c>
      <c r="H1320" s="261">
        <v>1</v>
      </c>
      <c r="I1320" s="261"/>
      <c r="J1320" s="259"/>
      <c r="K1320" s="260">
        <f t="shared" si="32"/>
        <v>1.008</v>
      </c>
      <c r="L1320" s="266" t="s">
        <v>1682</v>
      </c>
    </row>
    <row r="1321" spans="2:12">
      <c r="B1321" s="256" t="s">
        <v>1424</v>
      </c>
      <c r="C1321" s="264" t="s">
        <v>1612</v>
      </c>
      <c r="D1321" s="205" t="s">
        <v>110</v>
      </c>
      <c r="E1321" s="261">
        <v>0.5</v>
      </c>
      <c r="F1321" s="261">
        <v>0.7</v>
      </c>
      <c r="G1321" s="261">
        <v>3.6</v>
      </c>
      <c r="H1321" s="261">
        <v>1</v>
      </c>
      <c r="I1321" s="261"/>
      <c r="J1321" s="259"/>
      <c r="K1321" s="260">
        <f t="shared" si="32"/>
        <v>1.26</v>
      </c>
      <c r="L1321" s="266" t="s">
        <v>1682</v>
      </c>
    </row>
    <row r="1322" spans="2:12">
      <c r="B1322" s="256" t="s">
        <v>1425</v>
      </c>
      <c r="C1322" s="264" t="s">
        <v>1612</v>
      </c>
      <c r="D1322" s="205" t="s">
        <v>110</v>
      </c>
      <c r="E1322" s="261">
        <v>0.5</v>
      </c>
      <c r="F1322" s="261">
        <v>0.7</v>
      </c>
      <c r="G1322" s="261">
        <v>3.6</v>
      </c>
      <c r="H1322" s="261">
        <v>1</v>
      </c>
      <c r="I1322" s="261"/>
      <c r="J1322" s="259"/>
      <c r="K1322" s="260">
        <f t="shared" si="32"/>
        <v>1.26</v>
      </c>
      <c r="L1322" s="266" t="s">
        <v>1682</v>
      </c>
    </row>
    <row r="1323" spans="2:12">
      <c r="B1323" s="256" t="s">
        <v>1426</v>
      </c>
      <c r="C1323" s="264" t="s">
        <v>1612</v>
      </c>
      <c r="D1323" s="205" t="s">
        <v>110</v>
      </c>
      <c r="E1323" s="261">
        <v>0.4</v>
      </c>
      <c r="F1323" s="261">
        <v>0.5</v>
      </c>
      <c r="G1323" s="261">
        <v>3.6</v>
      </c>
      <c r="H1323" s="261">
        <v>1</v>
      </c>
      <c r="I1323" s="261"/>
      <c r="J1323" s="259"/>
      <c r="K1323" s="260">
        <f t="shared" si="32"/>
        <v>0.72000000000000008</v>
      </c>
      <c r="L1323" s="266" t="s">
        <v>1682</v>
      </c>
    </row>
    <row r="1324" spans="2:12">
      <c r="B1324" s="256" t="s">
        <v>1485</v>
      </c>
      <c r="C1324" s="264" t="s">
        <v>1613</v>
      </c>
      <c r="D1324" s="205" t="s">
        <v>110</v>
      </c>
      <c r="E1324" s="261">
        <v>0.6</v>
      </c>
      <c r="F1324" s="261">
        <v>0.4</v>
      </c>
      <c r="G1324" s="261">
        <v>3.6</v>
      </c>
      <c r="H1324" s="261">
        <v>1</v>
      </c>
      <c r="I1324" s="261"/>
      <c r="J1324" s="259"/>
      <c r="K1324" s="260">
        <f t="shared" si="32"/>
        <v>0.86399999999999999</v>
      </c>
      <c r="L1324" s="266" t="s">
        <v>1682</v>
      </c>
    </row>
    <row r="1325" spans="2:12">
      <c r="B1325" s="256" t="s">
        <v>1486</v>
      </c>
      <c r="C1325" s="264" t="s">
        <v>1613</v>
      </c>
      <c r="D1325" s="205" t="s">
        <v>110</v>
      </c>
      <c r="E1325" s="261">
        <v>2.94</v>
      </c>
      <c r="F1325" s="261">
        <v>0.2</v>
      </c>
      <c r="G1325" s="261">
        <v>3.6</v>
      </c>
      <c r="H1325" s="261">
        <v>1</v>
      </c>
      <c r="I1325" s="261"/>
      <c r="J1325" s="259"/>
      <c r="K1325" s="260">
        <f t="shared" si="32"/>
        <v>2.1168</v>
      </c>
      <c r="L1325" s="266" t="s">
        <v>1682</v>
      </c>
    </row>
    <row r="1326" spans="2:12">
      <c r="B1326" s="256" t="s">
        <v>1487</v>
      </c>
      <c r="C1326" s="264" t="s">
        <v>1613</v>
      </c>
      <c r="D1326" s="205" t="s">
        <v>110</v>
      </c>
      <c r="E1326" s="261">
        <v>2.94</v>
      </c>
      <c r="F1326" s="261">
        <v>0.2</v>
      </c>
      <c r="G1326" s="261">
        <v>3.6</v>
      </c>
      <c r="H1326" s="261">
        <v>1</v>
      </c>
      <c r="I1326" s="261"/>
      <c r="J1326" s="259"/>
      <c r="K1326" s="260">
        <f t="shared" si="32"/>
        <v>2.1168</v>
      </c>
      <c r="L1326" s="266" t="s">
        <v>1682</v>
      </c>
    </row>
    <row r="1327" spans="2:12">
      <c r="B1327" s="256" t="s">
        <v>1488</v>
      </c>
      <c r="C1327" s="264" t="s">
        <v>1613</v>
      </c>
      <c r="D1327" s="205" t="s">
        <v>110</v>
      </c>
      <c r="E1327" s="261">
        <v>0.6</v>
      </c>
      <c r="F1327" s="261">
        <v>0.5</v>
      </c>
      <c r="G1327" s="261">
        <v>3.6</v>
      </c>
      <c r="H1327" s="261">
        <v>1</v>
      </c>
      <c r="I1327" s="261"/>
      <c r="J1327" s="259"/>
      <c r="K1327" s="260">
        <f t="shared" si="32"/>
        <v>1.08</v>
      </c>
      <c r="L1327" s="266" t="s">
        <v>1682</v>
      </c>
    </row>
    <row r="1328" spans="2:12">
      <c r="B1328" s="256" t="s">
        <v>1489</v>
      </c>
      <c r="C1328" s="264" t="s">
        <v>1613</v>
      </c>
      <c r="D1328" s="205" t="s">
        <v>110</v>
      </c>
      <c r="E1328" s="261">
        <v>0.4</v>
      </c>
      <c r="F1328" s="261">
        <v>0.4</v>
      </c>
      <c r="G1328" s="261">
        <v>3.6</v>
      </c>
      <c r="H1328" s="261">
        <v>1</v>
      </c>
      <c r="I1328" s="261"/>
      <c r="J1328" s="259"/>
      <c r="K1328" s="260">
        <f t="shared" si="32"/>
        <v>0.57600000000000018</v>
      </c>
      <c r="L1328" s="266" t="s">
        <v>1682</v>
      </c>
    </row>
    <row r="1329" spans="2:12">
      <c r="B1329" s="256" t="s">
        <v>1490</v>
      </c>
      <c r="C1329" s="264" t="s">
        <v>1613</v>
      </c>
      <c r="D1329" s="205" t="s">
        <v>110</v>
      </c>
      <c r="E1329" s="261">
        <v>0.2</v>
      </c>
      <c r="F1329" s="261">
        <v>0.8</v>
      </c>
      <c r="G1329" s="261">
        <v>3.6</v>
      </c>
      <c r="H1329" s="261">
        <v>1</v>
      </c>
      <c r="I1329" s="261"/>
      <c r="J1329" s="259"/>
      <c r="K1329" s="260">
        <f t="shared" si="32"/>
        <v>0.57600000000000018</v>
      </c>
      <c r="L1329" s="266" t="s">
        <v>1682</v>
      </c>
    </row>
    <row r="1330" spans="2:12">
      <c r="B1330" s="256" t="s">
        <v>1493</v>
      </c>
      <c r="C1330" s="264" t="s">
        <v>1613</v>
      </c>
      <c r="D1330" s="205" t="s">
        <v>110</v>
      </c>
      <c r="E1330" s="261">
        <v>0.4</v>
      </c>
      <c r="F1330" s="261">
        <v>0.4</v>
      </c>
      <c r="G1330" s="261">
        <v>3.6</v>
      </c>
      <c r="H1330" s="261">
        <v>1</v>
      </c>
      <c r="I1330" s="261"/>
      <c r="J1330" s="259"/>
      <c r="K1330" s="260">
        <f t="shared" si="32"/>
        <v>0.57600000000000018</v>
      </c>
      <c r="L1330" s="266" t="s">
        <v>1682</v>
      </c>
    </row>
    <row r="1331" spans="2:12">
      <c r="B1331" s="256" t="s">
        <v>1494</v>
      </c>
      <c r="C1331" s="264" t="s">
        <v>1613</v>
      </c>
      <c r="D1331" s="205" t="s">
        <v>110</v>
      </c>
      <c r="E1331" s="261">
        <v>0.4</v>
      </c>
      <c r="F1331" s="261">
        <v>0.4</v>
      </c>
      <c r="G1331" s="261">
        <v>3.6</v>
      </c>
      <c r="H1331" s="261">
        <v>1</v>
      </c>
      <c r="I1331" s="261"/>
      <c r="J1331" s="259"/>
      <c r="K1331" s="260">
        <f t="shared" si="32"/>
        <v>0.57600000000000018</v>
      </c>
      <c r="L1331" s="266" t="s">
        <v>1682</v>
      </c>
    </row>
    <row r="1332" spans="2:12">
      <c r="B1332" s="256" t="s">
        <v>1495</v>
      </c>
      <c r="C1332" s="264" t="s">
        <v>1613</v>
      </c>
      <c r="D1332" s="205" t="s">
        <v>110</v>
      </c>
      <c r="E1332" s="261">
        <v>0.4</v>
      </c>
      <c r="F1332" s="261">
        <v>0.4</v>
      </c>
      <c r="G1332" s="261">
        <v>3.6</v>
      </c>
      <c r="H1332" s="261">
        <v>1</v>
      </c>
      <c r="I1332" s="261"/>
      <c r="J1332" s="259"/>
      <c r="K1332" s="260">
        <f t="shared" si="32"/>
        <v>0.57600000000000018</v>
      </c>
      <c r="L1332" s="266" t="s">
        <v>1682</v>
      </c>
    </row>
    <row r="1333" spans="2:12">
      <c r="B1333" s="256" t="s">
        <v>1389</v>
      </c>
      <c r="C1333" s="264" t="s">
        <v>1613</v>
      </c>
      <c r="D1333" s="210" t="s">
        <v>110</v>
      </c>
      <c r="E1333" s="261">
        <v>0.5</v>
      </c>
      <c r="F1333" s="261">
        <v>0.4</v>
      </c>
      <c r="G1333" s="261">
        <v>3.6</v>
      </c>
      <c r="H1333" s="261">
        <v>1</v>
      </c>
      <c r="I1333" s="261"/>
      <c r="J1333" s="259"/>
      <c r="K1333" s="260">
        <f t="shared" si="32"/>
        <v>0.72000000000000008</v>
      </c>
      <c r="L1333" s="266" t="s">
        <v>1684</v>
      </c>
    </row>
    <row r="1334" spans="2:12">
      <c r="B1334" s="256" t="s">
        <v>1390</v>
      </c>
      <c r="C1334" s="264" t="s">
        <v>1613</v>
      </c>
      <c r="D1334" s="210" t="s">
        <v>110</v>
      </c>
      <c r="E1334" s="261">
        <v>1</v>
      </c>
      <c r="F1334" s="261">
        <v>0.2</v>
      </c>
      <c r="G1334" s="261">
        <v>3.6</v>
      </c>
      <c r="H1334" s="261">
        <v>1</v>
      </c>
      <c r="I1334" s="261"/>
      <c r="J1334" s="259"/>
      <c r="K1334" s="260">
        <f t="shared" si="32"/>
        <v>0.72000000000000008</v>
      </c>
      <c r="L1334" s="266" t="s">
        <v>1684</v>
      </c>
    </row>
    <row r="1335" spans="2:12">
      <c r="B1335" s="256" t="s">
        <v>1391</v>
      </c>
      <c r="C1335" s="264" t="s">
        <v>1613</v>
      </c>
      <c r="D1335" s="210" t="s">
        <v>110</v>
      </c>
      <c r="E1335" s="261">
        <v>1</v>
      </c>
      <c r="F1335" s="261">
        <v>0.2</v>
      </c>
      <c r="G1335" s="261">
        <v>3.6</v>
      </c>
      <c r="H1335" s="261">
        <v>1</v>
      </c>
      <c r="I1335" s="261"/>
      <c r="J1335" s="259"/>
      <c r="K1335" s="260">
        <f t="shared" si="32"/>
        <v>0.72000000000000008</v>
      </c>
      <c r="L1335" s="266" t="s">
        <v>1684</v>
      </c>
    </row>
    <row r="1336" spans="2:12">
      <c r="B1336" s="256" t="s">
        <v>1392</v>
      </c>
      <c r="C1336" s="264" t="s">
        <v>1613</v>
      </c>
      <c r="D1336" s="210" t="s">
        <v>110</v>
      </c>
      <c r="E1336" s="261">
        <v>0.4</v>
      </c>
      <c r="F1336" s="261">
        <v>0.4</v>
      </c>
      <c r="G1336" s="261">
        <v>3.6</v>
      </c>
      <c r="H1336" s="261">
        <v>1</v>
      </c>
      <c r="I1336" s="261"/>
      <c r="J1336" s="259"/>
      <c r="K1336" s="260">
        <f t="shared" si="32"/>
        <v>0.57600000000000018</v>
      </c>
      <c r="L1336" s="266" t="s">
        <v>1684</v>
      </c>
    </row>
    <row r="1337" spans="2:12">
      <c r="B1337" s="256" t="s">
        <v>1394</v>
      </c>
      <c r="C1337" s="264" t="s">
        <v>1613</v>
      </c>
      <c r="D1337" s="210" t="s">
        <v>110</v>
      </c>
      <c r="E1337" s="261">
        <v>0.4</v>
      </c>
      <c r="F1337" s="261">
        <v>0.4</v>
      </c>
      <c r="G1337" s="261">
        <v>3.6</v>
      </c>
      <c r="H1337" s="261">
        <v>1</v>
      </c>
      <c r="I1337" s="261"/>
      <c r="J1337" s="259"/>
      <c r="K1337" s="260">
        <f t="shared" si="32"/>
        <v>0.57600000000000018</v>
      </c>
      <c r="L1337" s="266" t="s">
        <v>1684</v>
      </c>
    </row>
    <row r="1338" spans="2:12">
      <c r="B1338" s="256" t="s">
        <v>1395</v>
      </c>
      <c r="C1338" s="264" t="s">
        <v>1613</v>
      </c>
      <c r="D1338" s="210" t="s">
        <v>110</v>
      </c>
      <c r="E1338" s="261">
        <v>0.5</v>
      </c>
      <c r="F1338" s="261">
        <v>0.4</v>
      </c>
      <c r="G1338" s="261">
        <v>3.6</v>
      </c>
      <c r="H1338" s="261">
        <v>1</v>
      </c>
      <c r="I1338" s="261"/>
      <c r="J1338" s="259"/>
      <c r="K1338" s="260">
        <f t="shared" si="32"/>
        <v>0.72000000000000008</v>
      </c>
      <c r="L1338" s="266" t="s">
        <v>1684</v>
      </c>
    </row>
    <row r="1339" spans="2:12">
      <c r="B1339" s="256" t="s">
        <v>1396</v>
      </c>
      <c r="C1339" s="264" t="s">
        <v>1613</v>
      </c>
      <c r="D1339" s="210" t="s">
        <v>110</v>
      </c>
      <c r="E1339" s="261">
        <v>0.5</v>
      </c>
      <c r="F1339" s="261">
        <v>0.4</v>
      </c>
      <c r="G1339" s="261">
        <v>3.6</v>
      </c>
      <c r="H1339" s="261">
        <v>1</v>
      </c>
      <c r="I1339" s="261"/>
      <c r="J1339" s="259"/>
      <c r="K1339" s="260">
        <f t="shared" si="32"/>
        <v>0.72000000000000008</v>
      </c>
      <c r="L1339" s="266" t="s">
        <v>1684</v>
      </c>
    </row>
    <row r="1340" spans="2:12">
      <c r="B1340" s="256" t="s">
        <v>1397</v>
      </c>
      <c r="C1340" s="264" t="s">
        <v>1613</v>
      </c>
      <c r="D1340" s="210" t="s">
        <v>110</v>
      </c>
      <c r="E1340" s="261">
        <v>1</v>
      </c>
      <c r="F1340" s="261">
        <v>0.2</v>
      </c>
      <c r="G1340" s="261">
        <v>3.6</v>
      </c>
      <c r="H1340" s="261">
        <v>1</v>
      </c>
      <c r="I1340" s="261"/>
      <c r="J1340" s="259"/>
      <c r="K1340" s="260">
        <f t="shared" si="32"/>
        <v>0.72000000000000008</v>
      </c>
      <c r="L1340" s="266" t="s">
        <v>1684</v>
      </c>
    </row>
    <row r="1341" spans="2:12">
      <c r="B1341" s="256" t="s">
        <v>1399</v>
      </c>
      <c r="C1341" s="264" t="s">
        <v>1613</v>
      </c>
      <c r="D1341" s="210" t="s">
        <v>110</v>
      </c>
      <c r="E1341" s="261">
        <v>0.4</v>
      </c>
      <c r="F1341" s="261">
        <v>0.4</v>
      </c>
      <c r="G1341" s="261">
        <v>3.6</v>
      </c>
      <c r="H1341" s="261">
        <v>1</v>
      </c>
      <c r="I1341" s="261"/>
      <c r="J1341" s="259"/>
      <c r="K1341" s="260">
        <f t="shared" si="32"/>
        <v>0.57600000000000018</v>
      </c>
      <c r="L1341" s="266" t="s">
        <v>1684</v>
      </c>
    </row>
    <row r="1342" spans="2:12">
      <c r="B1342" s="256" t="s">
        <v>1400</v>
      </c>
      <c r="C1342" s="264" t="s">
        <v>1613</v>
      </c>
      <c r="D1342" s="210" t="s">
        <v>110</v>
      </c>
      <c r="E1342" s="261">
        <v>0.5</v>
      </c>
      <c r="F1342" s="261">
        <v>0.4</v>
      </c>
      <c r="G1342" s="261">
        <v>3.6</v>
      </c>
      <c r="H1342" s="261">
        <v>1</v>
      </c>
      <c r="I1342" s="261"/>
      <c r="J1342" s="259"/>
      <c r="K1342" s="260">
        <f t="shared" si="32"/>
        <v>0.72000000000000008</v>
      </c>
      <c r="L1342" s="266" t="s">
        <v>1684</v>
      </c>
    </row>
    <row r="1343" spans="2:12">
      <c r="B1343" s="256" t="s">
        <v>1401</v>
      </c>
      <c r="C1343" s="264" t="s">
        <v>1613</v>
      </c>
      <c r="D1343" s="210" t="s">
        <v>110</v>
      </c>
      <c r="E1343" s="261">
        <v>0.5</v>
      </c>
      <c r="F1343" s="261">
        <v>0.4</v>
      </c>
      <c r="G1343" s="261">
        <v>3.6</v>
      </c>
      <c r="H1343" s="261">
        <v>1</v>
      </c>
      <c r="I1343" s="261"/>
      <c r="J1343" s="259"/>
      <c r="K1343" s="260">
        <f t="shared" si="32"/>
        <v>0.72000000000000008</v>
      </c>
      <c r="L1343" s="266" t="s">
        <v>1684</v>
      </c>
    </row>
    <row r="1344" spans="2:12">
      <c r="B1344" s="256" t="s">
        <v>1402</v>
      </c>
      <c r="C1344" s="264" t="s">
        <v>1613</v>
      </c>
      <c r="D1344" s="210" t="s">
        <v>110</v>
      </c>
      <c r="E1344" s="261">
        <v>1</v>
      </c>
      <c r="F1344" s="261">
        <v>0.2</v>
      </c>
      <c r="G1344" s="261">
        <v>3.6</v>
      </c>
      <c r="H1344" s="261">
        <v>1</v>
      </c>
      <c r="I1344" s="261"/>
      <c r="J1344" s="259"/>
      <c r="K1344" s="260">
        <f t="shared" si="32"/>
        <v>0.72000000000000008</v>
      </c>
      <c r="L1344" s="266" t="s">
        <v>1684</v>
      </c>
    </row>
    <row r="1345" spans="2:12">
      <c r="B1345" s="256" t="s">
        <v>1404</v>
      </c>
      <c r="C1345" s="264" t="s">
        <v>1613</v>
      </c>
      <c r="D1345" s="210" t="s">
        <v>110</v>
      </c>
      <c r="E1345" s="261">
        <v>0.2</v>
      </c>
      <c r="F1345" s="261">
        <v>0.6</v>
      </c>
      <c r="G1345" s="261">
        <v>3.6</v>
      </c>
      <c r="H1345" s="261">
        <v>1</v>
      </c>
      <c r="I1345" s="261"/>
      <c r="J1345" s="259"/>
      <c r="K1345" s="260">
        <f t="shared" si="32"/>
        <v>0.432</v>
      </c>
      <c r="L1345" s="266" t="s">
        <v>1684</v>
      </c>
    </row>
    <row r="1346" spans="2:12">
      <c r="B1346" s="256" t="s">
        <v>1405</v>
      </c>
      <c r="C1346" s="264" t="s">
        <v>1613</v>
      </c>
      <c r="D1346" s="210" t="s">
        <v>110</v>
      </c>
      <c r="E1346" s="261">
        <v>0.2</v>
      </c>
      <c r="F1346" s="261">
        <v>0.6</v>
      </c>
      <c r="G1346" s="261">
        <v>3.6</v>
      </c>
      <c r="H1346" s="261">
        <v>1</v>
      </c>
      <c r="I1346" s="261"/>
      <c r="J1346" s="259"/>
      <c r="K1346" s="260">
        <f t="shared" si="32"/>
        <v>0.432</v>
      </c>
      <c r="L1346" s="266" t="s">
        <v>1684</v>
      </c>
    </row>
    <row r="1347" spans="2:12">
      <c r="B1347" s="256" t="s">
        <v>1406</v>
      </c>
      <c r="C1347" s="264" t="s">
        <v>1613</v>
      </c>
      <c r="D1347" s="210" t="s">
        <v>110</v>
      </c>
      <c r="E1347" s="261">
        <v>0.4</v>
      </c>
      <c r="F1347" s="261">
        <v>0.4</v>
      </c>
      <c r="G1347" s="261">
        <v>3.6</v>
      </c>
      <c r="H1347" s="261">
        <v>1</v>
      </c>
      <c r="I1347" s="261"/>
      <c r="J1347" s="259"/>
      <c r="K1347" s="260">
        <f t="shared" si="32"/>
        <v>0.57600000000000018</v>
      </c>
      <c r="L1347" s="266" t="s">
        <v>1684</v>
      </c>
    </row>
    <row r="1348" spans="2:12">
      <c r="B1348" s="256" t="s">
        <v>1407</v>
      </c>
      <c r="C1348" s="264" t="s">
        <v>1613</v>
      </c>
      <c r="D1348" s="210" t="s">
        <v>110</v>
      </c>
      <c r="E1348" s="261">
        <v>0.5</v>
      </c>
      <c r="F1348" s="261">
        <v>0.4</v>
      </c>
      <c r="G1348" s="261">
        <v>3.6</v>
      </c>
      <c r="H1348" s="261">
        <v>1</v>
      </c>
      <c r="I1348" s="261"/>
      <c r="J1348" s="259"/>
      <c r="K1348" s="260">
        <f t="shared" si="32"/>
        <v>0.72000000000000008</v>
      </c>
      <c r="L1348" s="266" t="s">
        <v>1684</v>
      </c>
    </row>
    <row r="1349" spans="2:12">
      <c r="B1349" s="256" t="s">
        <v>1408</v>
      </c>
      <c r="C1349" s="264" t="s">
        <v>1613</v>
      </c>
      <c r="D1349" s="210" t="s">
        <v>110</v>
      </c>
      <c r="E1349" s="261">
        <v>0.5</v>
      </c>
      <c r="F1349" s="261">
        <v>0.4</v>
      </c>
      <c r="G1349" s="261">
        <v>3.6</v>
      </c>
      <c r="H1349" s="261">
        <v>1</v>
      </c>
      <c r="I1349" s="261"/>
      <c r="J1349" s="259"/>
      <c r="K1349" s="260">
        <f t="shared" si="32"/>
        <v>0.72000000000000008</v>
      </c>
      <c r="L1349" s="266" t="s">
        <v>1684</v>
      </c>
    </row>
    <row r="1350" spans="2:12">
      <c r="B1350" s="256" t="s">
        <v>1409</v>
      </c>
      <c r="C1350" s="264" t="s">
        <v>1613</v>
      </c>
      <c r="D1350" s="210" t="s">
        <v>110</v>
      </c>
      <c r="E1350" s="261">
        <v>0.2</v>
      </c>
      <c r="F1350" s="261">
        <v>1</v>
      </c>
      <c r="G1350" s="261">
        <v>3.6</v>
      </c>
      <c r="H1350" s="261">
        <v>1</v>
      </c>
      <c r="I1350" s="261"/>
      <c r="J1350" s="259"/>
      <c r="K1350" s="260">
        <f t="shared" si="32"/>
        <v>0.72000000000000008</v>
      </c>
      <c r="L1350" s="266" t="s">
        <v>1684</v>
      </c>
    </row>
    <row r="1351" spans="2:12">
      <c r="B1351" s="256" t="s">
        <v>1410</v>
      </c>
      <c r="C1351" s="264" t="s">
        <v>1613</v>
      </c>
      <c r="D1351" s="210" t="s">
        <v>110</v>
      </c>
      <c r="E1351" s="261">
        <v>0.45</v>
      </c>
      <c r="F1351" s="261">
        <v>0.3</v>
      </c>
      <c r="G1351" s="261">
        <v>3.6</v>
      </c>
      <c r="H1351" s="261">
        <v>1</v>
      </c>
      <c r="I1351" s="261"/>
      <c r="J1351" s="259"/>
      <c r="K1351" s="260">
        <f t="shared" si="32"/>
        <v>0.48600000000000004</v>
      </c>
      <c r="L1351" s="266" t="s">
        <v>1684</v>
      </c>
    </row>
    <row r="1352" spans="2:12">
      <c r="B1352" s="256" t="s">
        <v>1412</v>
      </c>
      <c r="C1352" s="264" t="s">
        <v>1613</v>
      </c>
      <c r="D1352" s="210" t="s">
        <v>110</v>
      </c>
      <c r="E1352" s="261">
        <v>0.55000000000000004</v>
      </c>
      <c r="F1352" s="261">
        <v>0.3</v>
      </c>
      <c r="G1352" s="261">
        <v>3.6</v>
      </c>
      <c r="H1352" s="261">
        <v>1</v>
      </c>
      <c r="I1352" s="261"/>
      <c r="J1352" s="259"/>
      <c r="K1352" s="260">
        <f t="shared" si="32"/>
        <v>0.59400000000000008</v>
      </c>
      <c r="L1352" s="266" t="s">
        <v>1684</v>
      </c>
    </row>
    <row r="1353" spans="2:12">
      <c r="B1353" s="256" t="s">
        <v>1414</v>
      </c>
      <c r="C1353" s="264" t="s">
        <v>1613</v>
      </c>
      <c r="D1353" s="210" t="s">
        <v>110</v>
      </c>
      <c r="E1353" s="261">
        <v>0.55000000000000004</v>
      </c>
      <c r="F1353" s="261">
        <v>0.3</v>
      </c>
      <c r="G1353" s="261">
        <v>3.6</v>
      </c>
      <c r="H1353" s="261">
        <v>1</v>
      </c>
      <c r="I1353" s="261"/>
      <c r="J1353" s="259"/>
      <c r="K1353" s="260">
        <f t="shared" si="32"/>
        <v>0.59400000000000008</v>
      </c>
      <c r="L1353" s="266" t="s">
        <v>1684</v>
      </c>
    </row>
    <row r="1354" spans="2:12">
      <c r="B1354" s="256" t="s">
        <v>1416</v>
      </c>
      <c r="C1354" s="264" t="s">
        <v>1613</v>
      </c>
      <c r="D1354" s="210" t="s">
        <v>110</v>
      </c>
      <c r="E1354" s="261">
        <v>0.45</v>
      </c>
      <c r="F1354" s="261">
        <v>0.3</v>
      </c>
      <c r="G1354" s="261">
        <v>3.6</v>
      </c>
      <c r="H1354" s="261">
        <v>1</v>
      </c>
      <c r="I1354" s="261"/>
      <c r="J1354" s="259"/>
      <c r="K1354" s="260">
        <f t="shared" ref="K1354:K1417" si="33">IF(E1354*F1354*G1354&lt;&gt;0,E1354*F1354*G1354,IF(E1354*F1354&lt;&gt;0,E1354*F1354,IF(F1354*G1354&lt;&gt;0,F1354*G1354,IF(E1354*G1354&lt;&gt;0,E1354*G1354,IF(E1354&lt;&gt;0,E1354,IF(F1354&lt;&gt;0,F1354,IF(G1354&lt;&gt;0,G1354,0)))))))*(IF(H1354&lt;&gt;0,H1354,1))+I1354-J1354</f>
        <v>0.48600000000000004</v>
      </c>
      <c r="L1354" s="266" t="s">
        <v>1684</v>
      </c>
    </row>
    <row r="1355" spans="2:12">
      <c r="B1355" s="256" t="s">
        <v>1418</v>
      </c>
      <c r="C1355" s="264" t="s">
        <v>1613</v>
      </c>
      <c r="D1355" s="210" t="s">
        <v>110</v>
      </c>
      <c r="E1355" s="261">
        <v>0.2</v>
      </c>
      <c r="F1355" s="261">
        <v>0.8</v>
      </c>
      <c r="G1355" s="261">
        <v>3.6</v>
      </c>
      <c r="H1355" s="261">
        <v>1</v>
      </c>
      <c r="I1355" s="261"/>
      <c r="J1355" s="259"/>
      <c r="K1355" s="260">
        <f t="shared" si="33"/>
        <v>0.57600000000000018</v>
      </c>
      <c r="L1355" s="266" t="s">
        <v>1684</v>
      </c>
    </row>
    <row r="1356" spans="2:12">
      <c r="B1356" s="256" t="s">
        <v>1411</v>
      </c>
      <c r="C1356" s="264" t="s">
        <v>1613</v>
      </c>
      <c r="D1356" s="205" t="s">
        <v>110</v>
      </c>
      <c r="E1356" s="261">
        <v>0.45</v>
      </c>
      <c r="F1356" s="261">
        <v>0.3</v>
      </c>
      <c r="G1356" s="261">
        <v>3.6</v>
      </c>
      <c r="H1356" s="261">
        <v>1</v>
      </c>
      <c r="I1356" s="261"/>
      <c r="J1356" s="259"/>
      <c r="K1356" s="260">
        <f t="shared" si="33"/>
        <v>0.48600000000000004</v>
      </c>
      <c r="L1356" s="266" t="s">
        <v>1685</v>
      </c>
    </row>
    <row r="1357" spans="2:12">
      <c r="B1357" s="256" t="s">
        <v>1413</v>
      </c>
      <c r="C1357" s="264" t="s">
        <v>1613</v>
      </c>
      <c r="D1357" s="205" t="s">
        <v>110</v>
      </c>
      <c r="E1357" s="261">
        <v>0.55000000000000004</v>
      </c>
      <c r="F1357" s="261">
        <v>0.3</v>
      </c>
      <c r="G1357" s="261">
        <v>3.6</v>
      </c>
      <c r="H1357" s="261">
        <v>1</v>
      </c>
      <c r="I1357" s="261"/>
      <c r="J1357" s="259"/>
      <c r="K1357" s="260">
        <f t="shared" si="33"/>
        <v>0.59400000000000008</v>
      </c>
      <c r="L1357" s="266" t="s">
        <v>1685</v>
      </c>
    </row>
    <row r="1358" spans="2:12">
      <c r="B1358" s="256" t="s">
        <v>1415</v>
      </c>
      <c r="C1358" s="264" t="s">
        <v>1613</v>
      </c>
      <c r="D1358" s="205" t="s">
        <v>110</v>
      </c>
      <c r="E1358" s="261">
        <v>0.55000000000000004</v>
      </c>
      <c r="F1358" s="261">
        <v>0.3</v>
      </c>
      <c r="G1358" s="261">
        <v>3.6</v>
      </c>
      <c r="H1358" s="261">
        <v>1</v>
      </c>
      <c r="I1358" s="261"/>
      <c r="J1358" s="259"/>
      <c r="K1358" s="260">
        <f t="shared" si="33"/>
        <v>0.59400000000000008</v>
      </c>
      <c r="L1358" s="266" t="s">
        <v>1685</v>
      </c>
    </row>
    <row r="1359" spans="2:12">
      <c r="B1359" s="256" t="s">
        <v>1417</v>
      </c>
      <c r="C1359" s="264" t="s">
        <v>1613</v>
      </c>
      <c r="D1359" s="205" t="s">
        <v>110</v>
      </c>
      <c r="E1359" s="261">
        <v>0.45</v>
      </c>
      <c r="F1359" s="261">
        <v>0.3</v>
      </c>
      <c r="G1359" s="261">
        <v>3.6</v>
      </c>
      <c r="H1359" s="261">
        <v>1</v>
      </c>
      <c r="I1359" s="261"/>
      <c r="J1359" s="259"/>
      <c r="K1359" s="260">
        <f t="shared" si="33"/>
        <v>0.48600000000000004</v>
      </c>
      <c r="L1359" s="266" t="s">
        <v>1685</v>
      </c>
    </row>
    <row r="1360" spans="2:12">
      <c r="B1360" s="256" t="s">
        <v>1419</v>
      </c>
      <c r="C1360" s="264" t="s">
        <v>1613</v>
      </c>
      <c r="D1360" s="205" t="s">
        <v>110</v>
      </c>
      <c r="E1360" s="261">
        <v>0.2</v>
      </c>
      <c r="F1360" s="261">
        <v>0.8</v>
      </c>
      <c r="G1360" s="261">
        <v>3.6</v>
      </c>
      <c r="H1360" s="261">
        <v>1</v>
      </c>
      <c r="I1360" s="261"/>
      <c r="J1360" s="259"/>
      <c r="K1360" s="260">
        <f t="shared" si="33"/>
        <v>0.57600000000000018</v>
      </c>
      <c r="L1360" s="266" t="s">
        <v>1685</v>
      </c>
    </row>
    <row r="1361" spans="2:12">
      <c r="B1361" s="256" t="s">
        <v>1420</v>
      </c>
      <c r="C1361" s="264" t="s">
        <v>1613</v>
      </c>
      <c r="D1361" s="205" t="s">
        <v>110</v>
      </c>
      <c r="E1361" s="261">
        <v>0.3</v>
      </c>
      <c r="F1361" s="261">
        <v>0.8</v>
      </c>
      <c r="G1361" s="261">
        <v>3.6</v>
      </c>
      <c r="H1361" s="261">
        <v>1</v>
      </c>
      <c r="I1361" s="261"/>
      <c r="J1361" s="259"/>
      <c r="K1361" s="260">
        <f t="shared" si="33"/>
        <v>0.86399999999999999</v>
      </c>
      <c r="L1361" s="266" t="s">
        <v>1685</v>
      </c>
    </row>
    <row r="1362" spans="2:12">
      <c r="B1362" s="256" t="s">
        <v>1421</v>
      </c>
      <c r="C1362" s="264" t="s">
        <v>1613</v>
      </c>
      <c r="D1362" s="205" t="s">
        <v>110</v>
      </c>
      <c r="E1362" s="261">
        <v>0.2</v>
      </c>
      <c r="F1362" s="261">
        <v>0.8</v>
      </c>
      <c r="G1362" s="261">
        <v>3.6</v>
      </c>
      <c r="H1362" s="261">
        <v>1</v>
      </c>
      <c r="I1362" s="261"/>
      <c r="J1362" s="259"/>
      <c r="K1362" s="260">
        <f t="shared" si="33"/>
        <v>0.57600000000000018</v>
      </c>
      <c r="L1362" s="266" t="s">
        <v>1685</v>
      </c>
    </row>
    <row r="1363" spans="2:12">
      <c r="B1363" s="256" t="s">
        <v>1422</v>
      </c>
      <c r="C1363" s="264" t="s">
        <v>1613</v>
      </c>
      <c r="D1363" s="205" t="s">
        <v>110</v>
      </c>
      <c r="E1363" s="261">
        <v>0.3</v>
      </c>
      <c r="F1363" s="261">
        <v>0.8</v>
      </c>
      <c r="G1363" s="261">
        <v>3.6</v>
      </c>
      <c r="H1363" s="261">
        <v>1</v>
      </c>
      <c r="I1363" s="261"/>
      <c r="J1363" s="259"/>
      <c r="K1363" s="260">
        <f t="shared" si="33"/>
        <v>0.86399999999999999</v>
      </c>
      <c r="L1363" s="266" t="s">
        <v>1685</v>
      </c>
    </row>
    <row r="1364" spans="2:12">
      <c r="B1364" s="256" t="s">
        <v>1423</v>
      </c>
      <c r="C1364" s="264" t="s">
        <v>1613</v>
      </c>
      <c r="D1364" s="205" t="s">
        <v>110</v>
      </c>
      <c r="E1364" s="261">
        <v>0.4</v>
      </c>
      <c r="F1364" s="261">
        <v>0.7</v>
      </c>
      <c r="G1364" s="261">
        <v>3.6</v>
      </c>
      <c r="H1364" s="261">
        <v>1</v>
      </c>
      <c r="I1364" s="261"/>
      <c r="J1364" s="259"/>
      <c r="K1364" s="260">
        <f t="shared" si="33"/>
        <v>1.008</v>
      </c>
      <c r="L1364" s="266" t="s">
        <v>1685</v>
      </c>
    </row>
    <row r="1365" spans="2:12">
      <c r="B1365" s="256" t="s">
        <v>1424</v>
      </c>
      <c r="C1365" s="264" t="s">
        <v>1613</v>
      </c>
      <c r="D1365" s="205" t="s">
        <v>110</v>
      </c>
      <c r="E1365" s="261">
        <v>0.5</v>
      </c>
      <c r="F1365" s="261">
        <v>0.7</v>
      </c>
      <c r="G1365" s="261">
        <v>3.6</v>
      </c>
      <c r="H1365" s="261">
        <v>1</v>
      </c>
      <c r="I1365" s="261"/>
      <c r="J1365" s="259"/>
      <c r="K1365" s="260">
        <f t="shared" si="33"/>
        <v>1.26</v>
      </c>
      <c r="L1365" s="266" t="s">
        <v>1685</v>
      </c>
    </row>
    <row r="1366" spans="2:12">
      <c r="B1366" s="256" t="s">
        <v>1425</v>
      </c>
      <c r="C1366" s="264" t="s">
        <v>1613</v>
      </c>
      <c r="D1366" s="205" t="s">
        <v>110</v>
      </c>
      <c r="E1366" s="261">
        <v>0.5</v>
      </c>
      <c r="F1366" s="261">
        <v>0.7</v>
      </c>
      <c r="G1366" s="261">
        <v>3.6</v>
      </c>
      <c r="H1366" s="261">
        <v>1</v>
      </c>
      <c r="I1366" s="261"/>
      <c r="J1366" s="259"/>
      <c r="K1366" s="260">
        <f t="shared" si="33"/>
        <v>1.26</v>
      </c>
      <c r="L1366" s="266" t="s">
        <v>1685</v>
      </c>
    </row>
    <row r="1367" spans="2:12">
      <c r="B1367" s="256" t="s">
        <v>1426</v>
      </c>
      <c r="C1367" s="264" t="s">
        <v>1613</v>
      </c>
      <c r="D1367" s="205" t="s">
        <v>110</v>
      </c>
      <c r="E1367" s="261">
        <v>0.4</v>
      </c>
      <c r="F1367" s="261">
        <v>0.5</v>
      </c>
      <c r="G1367" s="261">
        <v>3.6</v>
      </c>
      <c r="H1367" s="261">
        <v>1</v>
      </c>
      <c r="I1367" s="261"/>
      <c r="J1367" s="259"/>
      <c r="K1367" s="260">
        <f t="shared" si="33"/>
        <v>0.72000000000000008</v>
      </c>
      <c r="L1367" s="266" t="s">
        <v>1685</v>
      </c>
    </row>
    <row r="1368" spans="2:12">
      <c r="B1368" s="256" t="s">
        <v>1485</v>
      </c>
      <c r="C1368" s="264" t="s">
        <v>1613</v>
      </c>
      <c r="D1368" s="205" t="s">
        <v>110</v>
      </c>
      <c r="E1368" s="261">
        <v>0.6</v>
      </c>
      <c r="F1368" s="261">
        <v>0.4</v>
      </c>
      <c r="G1368" s="261">
        <v>3.6</v>
      </c>
      <c r="H1368" s="261">
        <v>1</v>
      </c>
      <c r="I1368" s="261"/>
      <c r="J1368" s="259"/>
      <c r="K1368" s="260">
        <f t="shared" si="33"/>
        <v>0.86399999999999999</v>
      </c>
      <c r="L1368" s="266" t="s">
        <v>1685</v>
      </c>
    </row>
    <row r="1369" spans="2:12">
      <c r="B1369" s="256" t="s">
        <v>1486</v>
      </c>
      <c r="C1369" s="264" t="s">
        <v>1613</v>
      </c>
      <c r="D1369" s="205" t="s">
        <v>110</v>
      </c>
      <c r="E1369" s="261">
        <v>2.94</v>
      </c>
      <c r="F1369" s="261">
        <v>0.2</v>
      </c>
      <c r="G1369" s="261">
        <v>3.6</v>
      </c>
      <c r="H1369" s="261">
        <v>1</v>
      </c>
      <c r="I1369" s="261"/>
      <c r="J1369" s="259"/>
      <c r="K1369" s="260">
        <f t="shared" si="33"/>
        <v>2.1168</v>
      </c>
      <c r="L1369" s="266" t="s">
        <v>1685</v>
      </c>
    </row>
    <row r="1370" spans="2:12">
      <c r="B1370" s="256" t="s">
        <v>1487</v>
      </c>
      <c r="C1370" s="264" t="s">
        <v>1613</v>
      </c>
      <c r="D1370" s="205" t="s">
        <v>110</v>
      </c>
      <c r="E1370" s="261">
        <v>2.94</v>
      </c>
      <c r="F1370" s="261">
        <v>0.2</v>
      </c>
      <c r="G1370" s="261">
        <v>3.6</v>
      </c>
      <c r="H1370" s="261">
        <v>1</v>
      </c>
      <c r="I1370" s="261"/>
      <c r="J1370" s="259"/>
      <c r="K1370" s="260">
        <f t="shared" si="33"/>
        <v>2.1168</v>
      </c>
      <c r="L1370" s="266" t="s">
        <v>1685</v>
      </c>
    </row>
    <row r="1371" spans="2:12">
      <c r="B1371" s="256" t="s">
        <v>1488</v>
      </c>
      <c r="C1371" s="264" t="s">
        <v>1613</v>
      </c>
      <c r="D1371" s="205" t="s">
        <v>110</v>
      </c>
      <c r="E1371" s="261">
        <v>0.6</v>
      </c>
      <c r="F1371" s="261">
        <v>0.5</v>
      </c>
      <c r="G1371" s="261">
        <v>3.6</v>
      </c>
      <c r="H1371" s="261">
        <v>1</v>
      </c>
      <c r="I1371" s="261"/>
      <c r="J1371" s="259"/>
      <c r="K1371" s="260">
        <f t="shared" si="33"/>
        <v>1.08</v>
      </c>
      <c r="L1371" s="266" t="s">
        <v>1685</v>
      </c>
    </row>
    <row r="1372" spans="2:12">
      <c r="B1372" s="256" t="s">
        <v>1489</v>
      </c>
      <c r="C1372" s="264" t="s">
        <v>1613</v>
      </c>
      <c r="D1372" s="205" t="s">
        <v>110</v>
      </c>
      <c r="E1372" s="261">
        <v>0.4</v>
      </c>
      <c r="F1372" s="261">
        <v>0.4</v>
      </c>
      <c r="G1372" s="261">
        <v>3.6</v>
      </c>
      <c r="H1372" s="261">
        <v>1</v>
      </c>
      <c r="I1372" s="261"/>
      <c r="J1372" s="259"/>
      <c r="K1372" s="260">
        <f t="shared" si="33"/>
        <v>0.57600000000000018</v>
      </c>
      <c r="L1372" s="266" t="s">
        <v>1685</v>
      </c>
    </row>
    <row r="1373" spans="2:12">
      <c r="B1373" s="256" t="s">
        <v>1490</v>
      </c>
      <c r="C1373" s="264" t="s">
        <v>1613</v>
      </c>
      <c r="D1373" s="205" t="s">
        <v>110</v>
      </c>
      <c r="E1373" s="261">
        <v>0.2</v>
      </c>
      <c r="F1373" s="261">
        <v>0.8</v>
      </c>
      <c r="G1373" s="261">
        <v>3.6</v>
      </c>
      <c r="H1373" s="261">
        <v>1</v>
      </c>
      <c r="I1373" s="261"/>
      <c r="J1373" s="259"/>
      <c r="K1373" s="260">
        <f t="shared" si="33"/>
        <v>0.57600000000000018</v>
      </c>
      <c r="L1373" s="266" t="s">
        <v>1685</v>
      </c>
    </row>
    <row r="1374" spans="2:12">
      <c r="B1374" s="256" t="s">
        <v>1493</v>
      </c>
      <c r="C1374" s="264" t="s">
        <v>1613</v>
      </c>
      <c r="D1374" s="205" t="s">
        <v>110</v>
      </c>
      <c r="E1374" s="261">
        <v>0.4</v>
      </c>
      <c r="F1374" s="261">
        <v>0.4</v>
      </c>
      <c r="G1374" s="261">
        <v>3.6</v>
      </c>
      <c r="H1374" s="261">
        <v>1</v>
      </c>
      <c r="I1374" s="261"/>
      <c r="J1374" s="259"/>
      <c r="K1374" s="260">
        <f t="shared" si="33"/>
        <v>0.57600000000000018</v>
      </c>
      <c r="L1374" s="266" t="s">
        <v>1685</v>
      </c>
    </row>
    <row r="1375" spans="2:12">
      <c r="B1375" s="256" t="s">
        <v>1494</v>
      </c>
      <c r="C1375" s="264" t="s">
        <v>1613</v>
      </c>
      <c r="D1375" s="205" t="s">
        <v>110</v>
      </c>
      <c r="E1375" s="261">
        <v>0.4</v>
      </c>
      <c r="F1375" s="261">
        <v>0.4</v>
      </c>
      <c r="G1375" s="261">
        <v>3.6</v>
      </c>
      <c r="H1375" s="261">
        <v>1</v>
      </c>
      <c r="I1375" s="261"/>
      <c r="J1375" s="259"/>
      <c r="K1375" s="260">
        <f t="shared" si="33"/>
        <v>0.57600000000000018</v>
      </c>
      <c r="L1375" s="266" t="s">
        <v>1685</v>
      </c>
    </row>
    <row r="1376" spans="2:12">
      <c r="B1376" s="256" t="s">
        <v>1495</v>
      </c>
      <c r="C1376" s="264" t="s">
        <v>1613</v>
      </c>
      <c r="D1376" s="205" t="s">
        <v>110</v>
      </c>
      <c r="E1376" s="261">
        <v>0.4</v>
      </c>
      <c r="F1376" s="261">
        <v>0.4</v>
      </c>
      <c r="G1376" s="261">
        <v>3.6</v>
      </c>
      <c r="H1376" s="261">
        <v>1</v>
      </c>
      <c r="I1376" s="261"/>
      <c r="J1376" s="259"/>
      <c r="K1376" s="260">
        <f t="shared" si="33"/>
        <v>0.57600000000000018</v>
      </c>
      <c r="L1376" s="266" t="s">
        <v>1685</v>
      </c>
    </row>
    <row r="1377" spans="2:12">
      <c r="B1377" s="256" t="s">
        <v>1411</v>
      </c>
      <c r="C1377" s="264" t="s">
        <v>1895</v>
      </c>
      <c r="D1377" s="205" t="s">
        <v>110</v>
      </c>
      <c r="E1377" s="261">
        <v>0.45</v>
      </c>
      <c r="F1377" s="261">
        <v>0.3</v>
      </c>
      <c r="G1377" s="261">
        <v>3.6</v>
      </c>
      <c r="H1377" s="261">
        <v>1</v>
      </c>
      <c r="I1377" s="261"/>
      <c r="J1377" s="259"/>
      <c r="K1377" s="260">
        <f t="shared" si="33"/>
        <v>0.48600000000000004</v>
      </c>
      <c r="L1377" s="266" t="s">
        <v>1685</v>
      </c>
    </row>
    <row r="1378" spans="2:12">
      <c r="B1378" s="256" t="s">
        <v>1413</v>
      </c>
      <c r="C1378" s="264" t="s">
        <v>1895</v>
      </c>
      <c r="D1378" s="205" t="s">
        <v>110</v>
      </c>
      <c r="E1378" s="261">
        <v>0.55000000000000004</v>
      </c>
      <c r="F1378" s="261">
        <v>0.3</v>
      </c>
      <c r="G1378" s="261">
        <v>3.6</v>
      </c>
      <c r="H1378" s="261">
        <v>1</v>
      </c>
      <c r="I1378" s="261"/>
      <c r="J1378" s="259"/>
      <c r="K1378" s="260">
        <f t="shared" si="33"/>
        <v>0.59400000000000008</v>
      </c>
      <c r="L1378" s="266" t="s">
        <v>1919</v>
      </c>
    </row>
    <row r="1379" spans="2:12">
      <c r="B1379" s="256" t="s">
        <v>1415</v>
      </c>
      <c r="C1379" s="264" t="s">
        <v>1895</v>
      </c>
      <c r="D1379" s="205" t="s">
        <v>110</v>
      </c>
      <c r="E1379" s="261">
        <v>0.55000000000000004</v>
      </c>
      <c r="F1379" s="261">
        <v>0.3</v>
      </c>
      <c r="G1379" s="261">
        <v>3.6</v>
      </c>
      <c r="H1379" s="261">
        <v>1</v>
      </c>
      <c r="I1379" s="261"/>
      <c r="J1379" s="259"/>
      <c r="K1379" s="260">
        <f t="shared" si="33"/>
        <v>0.59400000000000008</v>
      </c>
      <c r="L1379" s="266" t="s">
        <v>1919</v>
      </c>
    </row>
    <row r="1380" spans="2:12">
      <c r="B1380" s="256" t="s">
        <v>1417</v>
      </c>
      <c r="C1380" s="264" t="s">
        <v>1895</v>
      </c>
      <c r="D1380" s="205" t="s">
        <v>110</v>
      </c>
      <c r="E1380" s="261">
        <v>0.45</v>
      </c>
      <c r="F1380" s="261">
        <v>0.3</v>
      </c>
      <c r="G1380" s="261">
        <v>3.6</v>
      </c>
      <c r="H1380" s="261">
        <v>1</v>
      </c>
      <c r="I1380" s="261"/>
      <c r="J1380" s="259"/>
      <c r="K1380" s="260">
        <f t="shared" si="33"/>
        <v>0.48600000000000004</v>
      </c>
      <c r="L1380" s="266" t="s">
        <v>1919</v>
      </c>
    </row>
    <row r="1381" spans="2:12">
      <c r="B1381" s="256" t="s">
        <v>1419</v>
      </c>
      <c r="C1381" s="264" t="s">
        <v>1895</v>
      </c>
      <c r="D1381" s="205" t="s">
        <v>110</v>
      </c>
      <c r="E1381" s="261">
        <v>0.2</v>
      </c>
      <c r="F1381" s="261">
        <v>0.8</v>
      </c>
      <c r="G1381" s="261">
        <v>3.6</v>
      </c>
      <c r="H1381" s="261">
        <v>1</v>
      </c>
      <c r="I1381" s="261"/>
      <c r="J1381" s="259"/>
      <c r="K1381" s="260">
        <f t="shared" si="33"/>
        <v>0.57600000000000018</v>
      </c>
      <c r="L1381" s="266" t="s">
        <v>1919</v>
      </c>
    </row>
    <row r="1382" spans="2:12">
      <c r="B1382" s="256" t="s">
        <v>1420</v>
      </c>
      <c r="C1382" s="264" t="s">
        <v>1895</v>
      </c>
      <c r="D1382" s="205" t="s">
        <v>110</v>
      </c>
      <c r="E1382" s="261">
        <v>0.3</v>
      </c>
      <c r="F1382" s="261">
        <v>0.8</v>
      </c>
      <c r="G1382" s="261">
        <v>3.6</v>
      </c>
      <c r="H1382" s="261">
        <v>1</v>
      </c>
      <c r="I1382" s="261"/>
      <c r="J1382" s="259"/>
      <c r="K1382" s="260">
        <f t="shared" si="33"/>
        <v>0.86399999999999999</v>
      </c>
      <c r="L1382" s="266" t="s">
        <v>1919</v>
      </c>
    </row>
    <row r="1383" spans="2:12">
      <c r="B1383" s="256" t="s">
        <v>1421</v>
      </c>
      <c r="C1383" s="264" t="s">
        <v>1895</v>
      </c>
      <c r="D1383" s="205" t="s">
        <v>110</v>
      </c>
      <c r="E1383" s="261">
        <v>0.2</v>
      </c>
      <c r="F1383" s="261">
        <v>0.8</v>
      </c>
      <c r="G1383" s="261">
        <v>3.6</v>
      </c>
      <c r="H1383" s="261">
        <v>1</v>
      </c>
      <c r="I1383" s="261"/>
      <c r="J1383" s="259"/>
      <c r="K1383" s="260">
        <f t="shared" si="33"/>
        <v>0.57600000000000018</v>
      </c>
      <c r="L1383" s="266" t="s">
        <v>1919</v>
      </c>
    </row>
    <row r="1384" spans="2:12">
      <c r="B1384" s="256" t="s">
        <v>1422</v>
      </c>
      <c r="C1384" s="264" t="s">
        <v>1895</v>
      </c>
      <c r="D1384" s="205" t="s">
        <v>110</v>
      </c>
      <c r="E1384" s="261">
        <v>0.3</v>
      </c>
      <c r="F1384" s="261">
        <v>0.8</v>
      </c>
      <c r="G1384" s="261">
        <v>3.6</v>
      </c>
      <c r="H1384" s="261">
        <v>1</v>
      </c>
      <c r="I1384" s="261"/>
      <c r="J1384" s="259"/>
      <c r="K1384" s="260">
        <f t="shared" si="33"/>
        <v>0.86399999999999999</v>
      </c>
      <c r="L1384" s="266" t="s">
        <v>1919</v>
      </c>
    </row>
    <row r="1385" spans="2:12">
      <c r="B1385" s="256" t="s">
        <v>1423</v>
      </c>
      <c r="C1385" s="264" t="s">
        <v>1895</v>
      </c>
      <c r="D1385" s="205" t="s">
        <v>110</v>
      </c>
      <c r="E1385" s="261">
        <v>0.4</v>
      </c>
      <c r="F1385" s="261">
        <v>0.7</v>
      </c>
      <c r="G1385" s="261">
        <v>3.6</v>
      </c>
      <c r="H1385" s="261">
        <v>1</v>
      </c>
      <c r="I1385" s="261"/>
      <c r="J1385" s="259"/>
      <c r="K1385" s="260">
        <f t="shared" si="33"/>
        <v>1.008</v>
      </c>
      <c r="L1385" s="266" t="s">
        <v>1919</v>
      </c>
    </row>
    <row r="1386" spans="2:12">
      <c r="B1386" s="256" t="s">
        <v>1424</v>
      </c>
      <c r="C1386" s="264" t="s">
        <v>1895</v>
      </c>
      <c r="D1386" s="205" t="s">
        <v>110</v>
      </c>
      <c r="E1386" s="261">
        <v>0.5</v>
      </c>
      <c r="F1386" s="261">
        <v>0.7</v>
      </c>
      <c r="G1386" s="261">
        <v>3.6</v>
      </c>
      <c r="H1386" s="261">
        <v>1</v>
      </c>
      <c r="I1386" s="261"/>
      <c r="J1386" s="259"/>
      <c r="K1386" s="260">
        <f t="shared" si="33"/>
        <v>1.26</v>
      </c>
      <c r="L1386" s="266" t="s">
        <v>1919</v>
      </c>
    </row>
    <row r="1387" spans="2:12">
      <c r="B1387" s="256" t="s">
        <v>1425</v>
      </c>
      <c r="C1387" s="264" t="s">
        <v>1895</v>
      </c>
      <c r="D1387" s="205" t="s">
        <v>110</v>
      </c>
      <c r="E1387" s="261">
        <v>0.5</v>
      </c>
      <c r="F1387" s="261">
        <v>0.7</v>
      </c>
      <c r="G1387" s="261">
        <v>3.6</v>
      </c>
      <c r="H1387" s="261">
        <v>1</v>
      </c>
      <c r="I1387" s="261"/>
      <c r="J1387" s="259"/>
      <c r="K1387" s="260">
        <f t="shared" si="33"/>
        <v>1.26</v>
      </c>
      <c r="L1387" s="266" t="s">
        <v>1919</v>
      </c>
    </row>
    <row r="1388" spans="2:12">
      <c r="B1388" s="256" t="s">
        <v>1426</v>
      </c>
      <c r="C1388" s="264" t="s">
        <v>1895</v>
      </c>
      <c r="D1388" s="205" t="s">
        <v>110</v>
      </c>
      <c r="E1388" s="261">
        <v>0.4</v>
      </c>
      <c r="F1388" s="261">
        <v>0.5</v>
      </c>
      <c r="G1388" s="261">
        <v>3.6</v>
      </c>
      <c r="H1388" s="261">
        <v>1</v>
      </c>
      <c r="I1388" s="261"/>
      <c r="J1388" s="259"/>
      <c r="K1388" s="260">
        <f t="shared" si="33"/>
        <v>0.72000000000000008</v>
      </c>
      <c r="L1388" s="266" t="s">
        <v>1919</v>
      </c>
    </row>
    <row r="1389" spans="2:12">
      <c r="B1389" s="256" t="s">
        <v>1485</v>
      </c>
      <c r="C1389" s="264" t="s">
        <v>1895</v>
      </c>
      <c r="D1389" s="205" t="s">
        <v>110</v>
      </c>
      <c r="E1389" s="261">
        <v>0.6</v>
      </c>
      <c r="F1389" s="261">
        <v>0.4</v>
      </c>
      <c r="G1389" s="261">
        <v>3.6</v>
      </c>
      <c r="H1389" s="261">
        <v>1</v>
      </c>
      <c r="I1389" s="261"/>
      <c r="J1389" s="259"/>
      <c r="K1389" s="260">
        <f t="shared" si="33"/>
        <v>0.86399999999999999</v>
      </c>
      <c r="L1389" s="266" t="s">
        <v>1919</v>
      </c>
    </row>
    <row r="1390" spans="2:12">
      <c r="B1390" s="256" t="s">
        <v>1486</v>
      </c>
      <c r="C1390" s="264" t="s">
        <v>1895</v>
      </c>
      <c r="D1390" s="205" t="s">
        <v>110</v>
      </c>
      <c r="E1390" s="261">
        <v>2.94</v>
      </c>
      <c r="F1390" s="261">
        <v>0.2</v>
      </c>
      <c r="G1390" s="261">
        <v>3.6</v>
      </c>
      <c r="H1390" s="261">
        <v>1</v>
      </c>
      <c r="I1390" s="261"/>
      <c r="J1390" s="259"/>
      <c r="K1390" s="260">
        <f t="shared" si="33"/>
        <v>2.1168</v>
      </c>
      <c r="L1390" s="266" t="s">
        <v>1919</v>
      </c>
    </row>
    <row r="1391" spans="2:12">
      <c r="B1391" s="256" t="s">
        <v>1487</v>
      </c>
      <c r="C1391" s="264" t="s">
        <v>1895</v>
      </c>
      <c r="D1391" s="205" t="s">
        <v>110</v>
      </c>
      <c r="E1391" s="261">
        <v>2.94</v>
      </c>
      <c r="F1391" s="261">
        <v>0.2</v>
      </c>
      <c r="G1391" s="261">
        <v>3.6</v>
      </c>
      <c r="H1391" s="261">
        <v>1</v>
      </c>
      <c r="I1391" s="261"/>
      <c r="J1391" s="259"/>
      <c r="K1391" s="260">
        <f t="shared" si="33"/>
        <v>2.1168</v>
      </c>
      <c r="L1391" s="266" t="s">
        <v>1919</v>
      </c>
    </row>
    <row r="1392" spans="2:12">
      <c r="B1392" s="256" t="s">
        <v>1488</v>
      </c>
      <c r="C1392" s="264" t="s">
        <v>1895</v>
      </c>
      <c r="D1392" s="205" t="s">
        <v>110</v>
      </c>
      <c r="E1392" s="261">
        <v>0.6</v>
      </c>
      <c r="F1392" s="261">
        <v>0.5</v>
      </c>
      <c r="G1392" s="261">
        <v>3.6</v>
      </c>
      <c r="H1392" s="261">
        <v>1</v>
      </c>
      <c r="I1392" s="261"/>
      <c r="J1392" s="259"/>
      <c r="K1392" s="260">
        <f t="shared" si="33"/>
        <v>1.08</v>
      </c>
      <c r="L1392" s="266" t="s">
        <v>1919</v>
      </c>
    </row>
    <row r="1393" spans="2:12">
      <c r="B1393" s="256" t="s">
        <v>1489</v>
      </c>
      <c r="C1393" s="264" t="s">
        <v>1895</v>
      </c>
      <c r="D1393" s="205" t="s">
        <v>110</v>
      </c>
      <c r="E1393" s="261">
        <v>0.4</v>
      </c>
      <c r="F1393" s="261">
        <v>0.4</v>
      </c>
      <c r="G1393" s="261">
        <v>3.6</v>
      </c>
      <c r="H1393" s="261">
        <v>1</v>
      </c>
      <c r="I1393" s="261"/>
      <c r="J1393" s="259"/>
      <c r="K1393" s="260">
        <f t="shared" si="33"/>
        <v>0.57600000000000018</v>
      </c>
      <c r="L1393" s="266" t="s">
        <v>1919</v>
      </c>
    </row>
    <row r="1394" spans="2:12">
      <c r="B1394" s="256" t="s">
        <v>1490</v>
      </c>
      <c r="C1394" s="264" t="s">
        <v>1895</v>
      </c>
      <c r="D1394" s="205" t="s">
        <v>110</v>
      </c>
      <c r="E1394" s="261">
        <v>0.2</v>
      </c>
      <c r="F1394" s="261">
        <v>0.8</v>
      </c>
      <c r="G1394" s="261">
        <v>3.6</v>
      </c>
      <c r="H1394" s="261">
        <v>1</v>
      </c>
      <c r="I1394" s="261"/>
      <c r="J1394" s="259"/>
      <c r="K1394" s="260">
        <f t="shared" si="33"/>
        <v>0.57600000000000018</v>
      </c>
      <c r="L1394" s="266" t="s">
        <v>1919</v>
      </c>
    </row>
    <row r="1395" spans="2:12">
      <c r="B1395" s="256" t="s">
        <v>1493</v>
      </c>
      <c r="C1395" s="264" t="s">
        <v>1895</v>
      </c>
      <c r="D1395" s="205" t="s">
        <v>110</v>
      </c>
      <c r="E1395" s="261">
        <v>0.4</v>
      </c>
      <c r="F1395" s="261">
        <v>0.4</v>
      </c>
      <c r="G1395" s="261">
        <v>3.6</v>
      </c>
      <c r="H1395" s="261">
        <v>1</v>
      </c>
      <c r="I1395" s="261"/>
      <c r="J1395" s="259"/>
      <c r="K1395" s="260">
        <f t="shared" si="33"/>
        <v>0.57600000000000018</v>
      </c>
      <c r="L1395" s="266" t="s">
        <v>1919</v>
      </c>
    </row>
    <row r="1396" spans="2:12">
      <c r="B1396" s="256" t="s">
        <v>1494</v>
      </c>
      <c r="C1396" s="264" t="s">
        <v>1895</v>
      </c>
      <c r="D1396" s="205" t="s">
        <v>110</v>
      </c>
      <c r="E1396" s="261">
        <v>0.4</v>
      </c>
      <c r="F1396" s="261">
        <v>0.4</v>
      </c>
      <c r="G1396" s="261">
        <v>3.6</v>
      </c>
      <c r="H1396" s="261">
        <v>1</v>
      </c>
      <c r="I1396" s="261"/>
      <c r="J1396" s="259"/>
      <c r="K1396" s="260">
        <f t="shared" si="33"/>
        <v>0.57600000000000018</v>
      </c>
      <c r="L1396" s="266" t="s">
        <v>1919</v>
      </c>
    </row>
    <row r="1397" spans="2:12">
      <c r="B1397" s="256" t="s">
        <v>1495</v>
      </c>
      <c r="C1397" s="264" t="s">
        <v>1895</v>
      </c>
      <c r="D1397" s="205" t="s">
        <v>110</v>
      </c>
      <c r="E1397" s="261">
        <v>0.4</v>
      </c>
      <c r="F1397" s="261">
        <v>0.4</v>
      </c>
      <c r="G1397" s="261">
        <v>3.6</v>
      </c>
      <c r="H1397" s="261">
        <v>1</v>
      </c>
      <c r="I1397" s="261"/>
      <c r="J1397" s="259"/>
      <c r="K1397" s="260">
        <f t="shared" si="33"/>
        <v>0.57600000000000018</v>
      </c>
      <c r="L1397" s="266" t="s">
        <v>1919</v>
      </c>
    </row>
    <row r="1398" spans="2:12">
      <c r="B1398" s="256" t="s">
        <v>1413</v>
      </c>
      <c r="C1398" s="264" t="s">
        <v>1931</v>
      </c>
      <c r="D1398" s="205" t="s">
        <v>110</v>
      </c>
      <c r="E1398" s="261">
        <v>0.55000000000000004</v>
      </c>
      <c r="F1398" s="261">
        <v>0.3</v>
      </c>
      <c r="G1398" s="261">
        <v>3.6</v>
      </c>
      <c r="H1398" s="261">
        <v>1</v>
      </c>
      <c r="I1398" s="261"/>
      <c r="J1398" s="259"/>
      <c r="K1398" s="260">
        <f t="shared" si="33"/>
        <v>0.59400000000000008</v>
      </c>
      <c r="L1398" s="266" t="s">
        <v>1957</v>
      </c>
    </row>
    <row r="1399" spans="2:12">
      <c r="B1399" s="256" t="s">
        <v>1415</v>
      </c>
      <c r="C1399" s="264" t="s">
        <v>1931</v>
      </c>
      <c r="D1399" s="205" t="s">
        <v>110</v>
      </c>
      <c r="E1399" s="261">
        <v>0.55000000000000004</v>
      </c>
      <c r="F1399" s="261">
        <v>0.3</v>
      </c>
      <c r="G1399" s="261">
        <v>3.6</v>
      </c>
      <c r="H1399" s="261">
        <v>1</v>
      </c>
      <c r="I1399" s="261"/>
      <c r="J1399" s="259"/>
      <c r="K1399" s="260">
        <f t="shared" si="33"/>
        <v>0.59400000000000008</v>
      </c>
      <c r="L1399" s="266" t="s">
        <v>1957</v>
      </c>
    </row>
    <row r="1400" spans="2:12">
      <c r="B1400" s="256" t="s">
        <v>1417</v>
      </c>
      <c r="C1400" s="264" t="s">
        <v>1931</v>
      </c>
      <c r="D1400" s="205" t="s">
        <v>110</v>
      </c>
      <c r="E1400" s="261">
        <v>0.45</v>
      </c>
      <c r="F1400" s="261">
        <v>0.3</v>
      </c>
      <c r="G1400" s="261">
        <v>3.6</v>
      </c>
      <c r="H1400" s="261">
        <v>1</v>
      </c>
      <c r="I1400" s="261"/>
      <c r="J1400" s="259"/>
      <c r="K1400" s="260">
        <f t="shared" si="33"/>
        <v>0.48600000000000004</v>
      </c>
      <c r="L1400" s="266" t="s">
        <v>1957</v>
      </c>
    </row>
    <row r="1401" spans="2:12">
      <c r="B1401" s="256" t="s">
        <v>1419</v>
      </c>
      <c r="C1401" s="264" t="s">
        <v>1931</v>
      </c>
      <c r="D1401" s="205" t="s">
        <v>110</v>
      </c>
      <c r="E1401" s="261">
        <v>0.2</v>
      </c>
      <c r="F1401" s="261">
        <v>0.8</v>
      </c>
      <c r="G1401" s="261">
        <v>3.6</v>
      </c>
      <c r="H1401" s="261">
        <v>1</v>
      </c>
      <c r="I1401" s="261"/>
      <c r="J1401" s="259"/>
      <c r="K1401" s="260">
        <f t="shared" si="33"/>
        <v>0.57600000000000018</v>
      </c>
      <c r="L1401" s="266" t="s">
        <v>1957</v>
      </c>
    </row>
    <row r="1402" spans="2:12">
      <c r="B1402" s="256" t="s">
        <v>1420</v>
      </c>
      <c r="C1402" s="264" t="s">
        <v>1931</v>
      </c>
      <c r="D1402" s="205" t="s">
        <v>110</v>
      </c>
      <c r="E1402" s="261">
        <v>0.3</v>
      </c>
      <c r="F1402" s="261">
        <v>0.8</v>
      </c>
      <c r="G1402" s="261">
        <v>3.6</v>
      </c>
      <c r="H1402" s="261">
        <v>1</v>
      </c>
      <c r="I1402" s="261"/>
      <c r="J1402" s="259"/>
      <c r="K1402" s="260">
        <f t="shared" si="33"/>
        <v>0.86399999999999999</v>
      </c>
      <c r="L1402" s="266" t="s">
        <v>1957</v>
      </c>
    </row>
    <row r="1403" spans="2:12">
      <c r="B1403" s="256" t="s">
        <v>1421</v>
      </c>
      <c r="C1403" s="264" t="s">
        <v>1931</v>
      </c>
      <c r="D1403" s="205" t="s">
        <v>110</v>
      </c>
      <c r="E1403" s="261">
        <v>0.2</v>
      </c>
      <c r="F1403" s="261">
        <v>0.8</v>
      </c>
      <c r="G1403" s="261">
        <v>3.6</v>
      </c>
      <c r="H1403" s="261">
        <v>1</v>
      </c>
      <c r="I1403" s="261"/>
      <c r="J1403" s="259"/>
      <c r="K1403" s="260">
        <f t="shared" si="33"/>
        <v>0.57600000000000018</v>
      </c>
      <c r="L1403" s="266" t="s">
        <v>1957</v>
      </c>
    </row>
    <row r="1404" spans="2:12">
      <c r="B1404" s="256" t="s">
        <v>1422</v>
      </c>
      <c r="C1404" s="264" t="s">
        <v>1931</v>
      </c>
      <c r="D1404" s="205" t="s">
        <v>110</v>
      </c>
      <c r="E1404" s="261">
        <v>0.3</v>
      </c>
      <c r="F1404" s="261">
        <v>0.8</v>
      </c>
      <c r="G1404" s="261">
        <v>3.6</v>
      </c>
      <c r="H1404" s="261">
        <v>1</v>
      </c>
      <c r="I1404" s="261"/>
      <c r="J1404" s="259"/>
      <c r="K1404" s="260">
        <f t="shared" si="33"/>
        <v>0.86399999999999999</v>
      </c>
      <c r="L1404" s="266" t="s">
        <v>1957</v>
      </c>
    </row>
    <row r="1405" spans="2:12">
      <c r="B1405" s="256" t="s">
        <v>1423</v>
      </c>
      <c r="C1405" s="264" t="s">
        <v>1931</v>
      </c>
      <c r="D1405" s="205" t="s">
        <v>110</v>
      </c>
      <c r="E1405" s="261">
        <v>0.4</v>
      </c>
      <c r="F1405" s="261">
        <v>0.7</v>
      </c>
      <c r="G1405" s="261">
        <v>3.6</v>
      </c>
      <c r="H1405" s="261">
        <v>1</v>
      </c>
      <c r="I1405" s="261"/>
      <c r="J1405" s="259"/>
      <c r="K1405" s="260">
        <f t="shared" si="33"/>
        <v>1.008</v>
      </c>
      <c r="L1405" s="266" t="s">
        <v>1957</v>
      </c>
    </row>
    <row r="1406" spans="2:12">
      <c r="B1406" s="256" t="s">
        <v>1424</v>
      </c>
      <c r="C1406" s="264" t="s">
        <v>1931</v>
      </c>
      <c r="D1406" s="205" t="s">
        <v>110</v>
      </c>
      <c r="E1406" s="261">
        <v>0.5</v>
      </c>
      <c r="F1406" s="261">
        <v>0.7</v>
      </c>
      <c r="G1406" s="261">
        <v>3.6</v>
      </c>
      <c r="H1406" s="261">
        <v>1</v>
      </c>
      <c r="I1406" s="261"/>
      <c r="J1406" s="259"/>
      <c r="K1406" s="260">
        <f t="shared" si="33"/>
        <v>1.26</v>
      </c>
      <c r="L1406" s="266" t="s">
        <v>1957</v>
      </c>
    </row>
    <row r="1407" spans="2:12">
      <c r="B1407" s="256" t="s">
        <v>1425</v>
      </c>
      <c r="C1407" s="264" t="s">
        <v>1931</v>
      </c>
      <c r="D1407" s="205" t="s">
        <v>110</v>
      </c>
      <c r="E1407" s="261">
        <v>0.5</v>
      </c>
      <c r="F1407" s="261">
        <v>0.7</v>
      </c>
      <c r="G1407" s="261">
        <v>3.6</v>
      </c>
      <c r="H1407" s="261">
        <v>1</v>
      </c>
      <c r="I1407" s="261"/>
      <c r="J1407" s="259"/>
      <c r="K1407" s="260">
        <f t="shared" si="33"/>
        <v>1.26</v>
      </c>
      <c r="L1407" s="266" t="s">
        <v>1957</v>
      </c>
    </row>
    <row r="1408" spans="2:12">
      <c r="B1408" s="256" t="s">
        <v>1426</v>
      </c>
      <c r="C1408" s="264" t="s">
        <v>1931</v>
      </c>
      <c r="D1408" s="205" t="s">
        <v>110</v>
      </c>
      <c r="E1408" s="261">
        <v>0.4</v>
      </c>
      <c r="F1408" s="261">
        <v>0.5</v>
      </c>
      <c r="G1408" s="261">
        <v>3.6</v>
      </c>
      <c r="H1408" s="261">
        <v>1</v>
      </c>
      <c r="I1408" s="261"/>
      <c r="J1408" s="259"/>
      <c r="K1408" s="260">
        <f t="shared" si="33"/>
        <v>0.72000000000000008</v>
      </c>
      <c r="L1408" s="266" t="s">
        <v>1957</v>
      </c>
    </row>
    <row r="1409" spans="2:12">
      <c r="B1409" s="256" t="s">
        <v>1485</v>
      </c>
      <c r="C1409" s="264" t="s">
        <v>1931</v>
      </c>
      <c r="D1409" s="205" t="s">
        <v>110</v>
      </c>
      <c r="E1409" s="261">
        <v>0.6</v>
      </c>
      <c r="F1409" s="261">
        <v>0.4</v>
      </c>
      <c r="G1409" s="261">
        <v>3.6</v>
      </c>
      <c r="H1409" s="261">
        <v>1</v>
      </c>
      <c r="I1409" s="261"/>
      <c r="J1409" s="259"/>
      <c r="K1409" s="260">
        <f t="shared" si="33"/>
        <v>0.86399999999999999</v>
      </c>
      <c r="L1409" s="266" t="s">
        <v>1957</v>
      </c>
    </row>
    <row r="1410" spans="2:12">
      <c r="B1410" s="256" t="s">
        <v>1486</v>
      </c>
      <c r="C1410" s="264" t="s">
        <v>1931</v>
      </c>
      <c r="D1410" s="205" t="s">
        <v>110</v>
      </c>
      <c r="E1410" s="261">
        <v>2.94</v>
      </c>
      <c r="F1410" s="261">
        <v>0.2</v>
      </c>
      <c r="G1410" s="261">
        <v>3.6</v>
      </c>
      <c r="H1410" s="261">
        <v>1</v>
      </c>
      <c r="I1410" s="261"/>
      <c r="J1410" s="259"/>
      <c r="K1410" s="260">
        <f t="shared" si="33"/>
        <v>2.1168</v>
      </c>
      <c r="L1410" s="266" t="s">
        <v>1957</v>
      </c>
    </row>
    <row r="1411" spans="2:12">
      <c r="B1411" s="256" t="s">
        <v>1487</v>
      </c>
      <c r="C1411" s="264" t="s">
        <v>1931</v>
      </c>
      <c r="D1411" s="205" t="s">
        <v>110</v>
      </c>
      <c r="E1411" s="261">
        <v>2.94</v>
      </c>
      <c r="F1411" s="261">
        <v>0.2</v>
      </c>
      <c r="G1411" s="261">
        <v>3.6</v>
      </c>
      <c r="H1411" s="261">
        <v>1</v>
      </c>
      <c r="I1411" s="261"/>
      <c r="J1411" s="259"/>
      <c r="K1411" s="260">
        <f t="shared" si="33"/>
        <v>2.1168</v>
      </c>
      <c r="L1411" s="266" t="s">
        <v>1957</v>
      </c>
    </row>
    <row r="1412" spans="2:12">
      <c r="B1412" s="256" t="s">
        <v>1488</v>
      </c>
      <c r="C1412" s="264" t="s">
        <v>1931</v>
      </c>
      <c r="D1412" s="205" t="s">
        <v>110</v>
      </c>
      <c r="E1412" s="261">
        <v>0.6</v>
      </c>
      <c r="F1412" s="261">
        <v>0.5</v>
      </c>
      <c r="G1412" s="261">
        <v>3.6</v>
      </c>
      <c r="H1412" s="261">
        <v>1</v>
      </c>
      <c r="I1412" s="261"/>
      <c r="J1412" s="259"/>
      <c r="K1412" s="260">
        <f t="shared" si="33"/>
        <v>1.08</v>
      </c>
      <c r="L1412" s="266" t="s">
        <v>1957</v>
      </c>
    </row>
    <row r="1413" spans="2:12">
      <c r="B1413" s="256" t="s">
        <v>1489</v>
      </c>
      <c r="C1413" s="264" t="s">
        <v>1931</v>
      </c>
      <c r="D1413" s="205" t="s">
        <v>110</v>
      </c>
      <c r="E1413" s="261">
        <v>0.4</v>
      </c>
      <c r="F1413" s="261">
        <v>0.4</v>
      </c>
      <c r="G1413" s="261">
        <v>3.6</v>
      </c>
      <c r="H1413" s="261">
        <v>1</v>
      </c>
      <c r="I1413" s="261"/>
      <c r="J1413" s="259"/>
      <c r="K1413" s="260">
        <f t="shared" si="33"/>
        <v>0.57600000000000018</v>
      </c>
      <c r="L1413" s="266" t="s">
        <v>1957</v>
      </c>
    </row>
    <row r="1414" spans="2:12">
      <c r="B1414" s="256" t="s">
        <v>1490</v>
      </c>
      <c r="C1414" s="264" t="s">
        <v>1931</v>
      </c>
      <c r="D1414" s="205" t="s">
        <v>110</v>
      </c>
      <c r="E1414" s="261">
        <v>0.2</v>
      </c>
      <c r="F1414" s="261">
        <v>0.8</v>
      </c>
      <c r="G1414" s="261">
        <v>3.6</v>
      </c>
      <c r="H1414" s="261">
        <v>1</v>
      </c>
      <c r="I1414" s="261"/>
      <c r="J1414" s="259"/>
      <c r="K1414" s="260">
        <f t="shared" si="33"/>
        <v>0.57600000000000018</v>
      </c>
      <c r="L1414" s="266" t="s">
        <v>1957</v>
      </c>
    </row>
    <row r="1415" spans="2:12">
      <c r="B1415" s="256" t="s">
        <v>1493</v>
      </c>
      <c r="C1415" s="264" t="s">
        <v>1931</v>
      </c>
      <c r="D1415" s="205" t="s">
        <v>110</v>
      </c>
      <c r="E1415" s="261">
        <v>0.4</v>
      </c>
      <c r="F1415" s="261">
        <v>0.4</v>
      </c>
      <c r="G1415" s="261">
        <v>3.6</v>
      </c>
      <c r="H1415" s="261">
        <v>1</v>
      </c>
      <c r="I1415" s="261"/>
      <c r="J1415" s="259"/>
      <c r="K1415" s="260">
        <f t="shared" si="33"/>
        <v>0.57600000000000018</v>
      </c>
      <c r="L1415" s="266" t="s">
        <v>1957</v>
      </c>
    </row>
    <row r="1416" spans="2:12">
      <c r="B1416" s="256" t="s">
        <v>1494</v>
      </c>
      <c r="C1416" s="264" t="s">
        <v>1931</v>
      </c>
      <c r="D1416" s="205" t="s">
        <v>110</v>
      </c>
      <c r="E1416" s="261">
        <v>0.4</v>
      </c>
      <c r="F1416" s="261">
        <v>0.4</v>
      </c>
      <c r="G1416" s="261">
        <v>3.6</v>
      </c>
      <c r="H1416" s="261">
        <v>1</v>
      </c>
      <c r="I1416" s="261"/>
      <c r="J1416" s="259"/>
      <c r="K1416" s="260">
        <f t="shared" si="33"/>
        <v>0.57600000000000018</v>
      </c>
      <c r="L1416" s="266" t="s">
        <v>1957</v>
      </c>
    </row>
    <row r="1417" spans="2:12">
      <c r="B1417" s="256" t="s">
        <v>1495</v>
      </c>
      <c r="C1417" s="264" t="s">
        <v>1931</v>
      </c>
      <c r="D1417" s="205" t="s">
        <v>110</v>
      </c>
      <c r="E1417" s="261">
        <v>0.4</v>
      </c>
      <c r="F1417" s="261">
        <v>0.4</v>
      </c>
      <c r="G1417" s="261">
        <v>3.6</v>
      </c>
      <c r="H1417" s="261">
        <v>1</v>
      </c>
      <c r="I1417" s="261"/>
      <c r="J1417" s="259"/>
      <c r="K1417" s="260">
        <f t="shared" si="33"/>
        <v>0.57600000000000018</v>
      </c>
      <c r="L1417" s="266" t="s">
        <v>1957</v>
      </c>
    </row>
    <row r="1418" spans="2:12">
      <c r="B1418" s="256" t="s">
        <v>1404</v>
      </c>
      <c r="C1418" s="264" t="s">
        <v>1998</v>
      </c>
      <c r="D1418" s="210" t="s">
        <v>110</v>
      </c>
      <c r="E1418" s="261">
        <v>0.2</v>
      </c>
      <c r="F1418" s="261">
        <v>0.6</v>
      </c>
      <c r="G1418" s="261">
        <v>3.6</v>
      </c>
      <c r="H1418" s="261">
        <v>1</v>
      </c>
      <c r="I1418" s="261"/>
      <c r="J1418" s="259"/>
      <c r="K1418" s="260">
        <f t="shared" ref="K1418:K1436" si="34">IF(E1418*F1418*G1418&lt;&gt;0,E1418*F1418*G1418,IF(E1418*F1418&lt;&gt;0,E1418*F1418,IF(F1418*G1418&lt;&gt;0,F1418*G1418,IF(E1418*G1418&lt;&gt;0,E1418*G1418,IF(E1418&lt;&gt;0,E1418,IF(F1418&lt;&gt;0,F1418,IF(G1418&lt;&gt;0,G1418,0)))))))*(IF(H1418&lt;&gt;0,H1418,1))+I1418-J1418</f>
        <v>0.432</v>
      </c>
      <c r="L1418" s="266" t="s">
        <v>2025</v>
      </c>
    </row>
    <row r="1419" spans="2:12">
      <c r="B1419" s="256" t="s">
        <v>1405</v>
      </c>
      <c r="C1419" s="264" t="s">
        <v>1998</v>
      </c>
      <c r="D1419" s="210" t="s">
        <v>110</v>
      </c>
      <c r="E1419" s="261">
        <v>0.2</v>
      </c>
      <c r="F1419" s="261">
        <v>0.6</v>
      </c>
      <c r="G1419" s="261">
        <v>3.6</v>
      </c>
      <c r="H1419" s="261">
        <v>1</v>
      </c>
      <c r="I1419" s="261"/>
      <c r="J1419" s="259"/>
      <c r="K1419" s="260">
        <f t="shared" si="34"/>
        <v>0.432</v>
      </c>
      <c r="L1419" s="266" t="s">
        <v>2025</v>
      </c>
    </row>
    <row r="1420" spans="2:12">
      <c r="B1420" s="256" t="s">
        <v>1418</v>
      </c>
      <c r="C1420" s="264" t="s">
        <v>1998</v>
      </c>
      <c r="D1420" s="210" t="s">
        <v>110</v>
      </c>
      <c r="E1420" s="261">
        <v>0.2</v>
      </c>
      <c r="F1420" s="261">
        <v>0.8</v>
      </c>
      <c r="G1420" s="261">
        <v>3.6</v>
      </c>
      <c r="H1420" s="261">
        <v>1</v>
      </c>
      <c r="I1420" s="261"/>
      <c r="J1420" s="259"/>
      <c r="K1420" s="260">
        <f t="shared" si="34"/>
        <v>0.57600000000000018</v>
      </c>
      <c r="L1420" s="266" t="s">
        <v>2025</v>
      </c>
    </row>
    <row r="1421" spans="2:12">
      <c r="B1421" s="256" t="s">
        <v>2026</v>
      </c>
      <c r="C1421" s="264" t="s">
        <v>1998</v>
      </c>
      <c r="D1421" s="210" t="s">
        <v>110</v>
      </c>
      <c r="E1421" s="261">
        <v>0.2</v>
      </c>
      <c r="F1421" s="261">
        <v>0.6</v>
      </c>
      <c r="G1421" s="261">
        <v>3.6</v>
      </c>
      <c r="H1421" s="261">
        <v>1</v>
      </c>
      <c r="I1421" s="261"/>
      <c r="J1421" s="259"/>
      <c r="K1421" s="260">
        <f t="shared" si="34"/>
        <v>0.432</v>
      </c>
      <c r="L1421" s="266" t="s">
        <v>2025</v>
      </c>
    </row>
    <row r="1422" spans="2:12">
      <c r="B1422" s="256" t="s">
        <v>1415</v>
      </c>
      <c r="C1422" s="264" t="s">
        <v>1998</v>
      </c>
      <c r="D1422" s="205" t="s">
        <v>110</v>
      </c>
      <c r="E1422" s="261">
        <v>0.55000000000000004</v>
      </c>
      <c r="F1422" s="261">
        <v>0.3</v>
      </c>
      <c r="G1422" s="261">
        <v>3.6</v>
      </c>
      <c r="H1422" s="261">
        <v>1</v>
      </c>
      <c r="I1422" s="261"/>
      <c r="J1422" s="259"/>
      <c r="K1422" s="260">
        <f t="shared" si="34"/>
        <v>0.59400000000000008</v>
      </c>
      <c r="L1422" s="266" t="s">
        <v>2025</v>
      </c>
    </row>
    <row r="1423" spans="2:12">
      <c r="B1423" s="256" t="s">
        <v>1417</v>
      </c>
      <c r="C1423" s="264" t="s">
        <v>1998</v>
      </c>
      <c r="D1423" s="205" t="s">
        <v>110</v>
      </c>
      <c r="E1423" s="261">
        <v>0.45</v>
      </c>
      <c r="F1423" s="261">
        <v>0.3</v>
      </c>
      <c r="G1423" s="261">
        <v>3.6</v>
      </c>
      <c r="H1423" s="261">
        <v>1</v>
      </c>
      <c r="I1423" s="261"/>
      <c r="J1423" s="259"/>
      <c r="K1423" s="260">
        <f t="shared" si="34"/>
        <v>0.48600000000000004</v>
      </c>
      <c r="L1423" s="266" t="s">
        <v>2025</v>
      </c>
    </row>
    <row r="1424" spans="2:12">
      <c r="B1424" s="256" t="s">
        <v>1419</v>
      </c>
      <c r="C1424" s="264" t="s">
        <v>1998</v>
      </c>
      <c r="D1424" s="205" t="s">
        <v>110</v>
      </c>
      <c r="E1424" s="261">
        <v>0.2</v>
      </c>
      <c r="F1424" s="261">
        <v>0.8</v>
      </c>
      <c r="G1424" s="261">
        <v>3.6</v>
      </c>
      <c r="H1424" s="261">
        <v>1</v>
      </c>
      <c r="I1424" s="261"/>
      <c r="J1424" s="259"/>
      <c r="K1424" s="260">
        <f t="shared" si="34"/>
        <v>0.57600000000000018</v>
      </c>
      <c r="L1424" s="266" t="s">
        <v>2025</v>
      </c>
    </row>
    <row r="1425" spans="2:12">
      <c r="B1425" s="256" t="s">
        <v>1420</v>
      </c>
      <c r="C1425" s="264" t="s">
        <v>1998</v>
      </c>
      <c r="D1425" s="205" t="s">
        <v>110</v>
      </c>
      <c r="E1425" s="261">
        <v>0.3</v>
      </c>
      <c r="F1425" s="261">
        <v>0.8</v>
      </c>
      <c r="G1425" s="261">
        <v>3.6</v>
      </c>
      <c r="H1425" s="261">
        <v>1</v>
      </c>
      <c r="I1425" s="261"/>
      <c r="J1425" s="259"/>
      <c r="K1425" s="260">
        <f t="shared" si="34"/>
        <v>0.86399999999999999</v>
      </c>
      <c r="L1425" s="266" t="s">
        <v>2025</v>
      </c>
    </row>
    <row r="1426" spans="2:12">
      <c r="B1426" s="256" t="s">
        <v>1421</v>
      </c>
      <c r="C1426" s="264" t="s">
        <v>1998</v>
      </c>
      <c r="D1426" s="205" t="s">
        <v>110</v>
      </c>
      <c r="E1426" s="261">
        <v>0.2</v>
      </c>
      <c r="F1426" s="261">
        <v>0.8</v>
      </c>
      <c r="G1426" s="261">
        <v>3.6</v>
      </c>
      <c r="H1426" s="261">
        <v>1</v>
      </c>
      <c r="I1426" s="261"/>
      <c r="J1426" s="259"/>
      <c r="K1426" s="260">
        <f t="shared" si="34"/>
        <v>0.57600000000000018</v>
      </c>
      <c r="L1426" s="266" t="s">
        <v>2025</v>
      </c>
    </row>
    <row r="1427" spans="2:12">
      <c r="B1427" s="256" t="s">
        <v>1422</v>
      </c>
      <c r="C1427" s="264" t="s">
        <v>1998</v>
      </c>
      <c r="D1427" s="205" t="s">
        <v>110</v>
      </c>
      <c r="E1427" s="261">
        <v>0.3</v>
      </c>
      <c r="F1427" s="261">
        <v>0.8</v>
      </c>
      <c r="G1427" s="261">
        <v>3.6</v>
      </c>
      <c r="H1427" s="261">
        <v>1</v>
      </c>
      <c r="I1427" s="261"/>
      <c r="J1427" s="259"/>
      <c r="K1427" s="260">
        <f t="shared" si="34"/>
        <v>0.86399999999999999</v>
      </c>
      <c r="L1427" s="266" t="s">
        <v>2025</v>
      </c>
    </row>
    <row r="1428" spans="2:12">
      <c r="B1428" s="256" t="s">
        <v>1424</v>
      </c>
      <c r="C1428" s="264" t="s">
        <v>1998</v>
      </c>
      <c r="D1428" s="205" t="s">
        <v>110</v>
      </c>
      <c r="E1428" s="261">
        <v>0.5</v>
      </c>
      <c r="F1428" s="261">
        <v>0.7</v>
      </c>
      <c r="G1428" s="261">
        <v>3.6</v>
      </c>
      <c r="H1428" s="261">
        <v>1</v>
      </c>
      <c r="I1428" s="261"/>
      <c r="J1428" s="259"/>
      <c r="K1428" s="260">
        <f t="shared" si="34"/>
        <v>1.26</v>
      </c>
      <c r="L1428" s="266" t="s">
        <v>2025</v>
      </c>
    </row>
    <row r="1429" spans="2:12">
      <c r="B1429" s="256" t="s">
        <v>1426</v>
      </c>
      <c r="C1429" s="264" t="s">
        <v>1998</v>
      </c>
      <c r="D1429" s="205" t="s">
        <v>110</v>
      </c>
      <c r="E1429" s="261">
        <v>0.4</v>
      </c>
      <c r="F1429" s="261">
        <v>0.5</v>
      </c>
      <c r="G1429" s="261">
        <v>3.6</v>
      </c>
      <c r="H1429" s="261">
        <v>1</v>
      </c>
      <c r="I1429" s="261"/>
      <c r="J1429" s="259"/>
      <c r="K1429" s="260">
        <f t="shared" si="34"/>
        <v>0.72000000000000008</v>
      </c>
      <c r="L1429" s="266" t="s">
        <v>2025</v>
      </c>
    </row>
    <row r="1430" spans="2:12">
      <c r="B1430" s="256" t="s">
        <v>1486</v>
      </c>
      <c r="C1430" s="264" t="s">
        <v>1998</v>
      </c>
      <c r="D1430" s="205" t="s">
        <v>110</v>
      </c>
      <c r="E1430" s="261">
        <v>2.94</v>
      </c>
      <c r="F1430" s="261">
        <v>0.2</v>
      </c>
      <c r="G1430" s="261">
        <v>3.6</v>
      </c>
      <c r="H1430" s="261">
        <v>1</v>
      </c>
      <c r="I1430" s="261"/>
      <c r="J1430" s="259"/>
      <c r="K1430" s="260">
        <f t="shared" si="34"/>
        <v>2.1168</v>
      </c>
      <c r="L1430" s="266" t="s">
        <v>2025</v>
      </c>
    </row>
    <row r="1431" spans="2:12">
      <c r="B1431" s="256" t="s">
        <v>1487</v>
      </c>
      <c r="C1431" s="264" t="s">
        <v>1998</v>
      </c>
      <c r="D1431" s="205" t="s">
        <v>110</v>
      </c>
      <c r="E1431" s="261">
        <v>2.94</v>
      </c>
      <c r="F1431" s="261">
        <v>0.2</v>
      </c>
      <c r="G1431" s="261">
        <v>3.6</v>
      </c>
      <c r="H1431" s="261">
        <v>1</v>
      </c>
      <c r="I1431" s="261"/>
      <c r="J1431" s="259"/>
      <c r="K1431" s="260">
        <f t="shared" si="34"/>
        <v>2.1168</v>
      </c>
      <c r="L1431" s="266" t="s">
        <v>2025</v>
      </c>
    </row>
    <row r="1432" spans="2:12">
      <c r="B1432" s="256" t="s">
        <v>1488</v>
      </c>
      <c r="C1432" s="264" t="s">
        <v>1998</v>
      </c>
      <c r="D1432" s="205" t="s">
        <v>110</v>
      </c>
      <c r="E1432" s="261">
        <v>0.6</v>
      </c>
      <c r="F1432" s="261">
        <v>0.5</v>
      </c>
      <c r="G1432" s="261">
        <v>3.6</v>
      </c>
      <c r="H1432" s="261">
        <v>1</v>
      </c>
      <c r="I1432" s="261"/>
      <c r="J1432" s="259"/>
      <c r="K1432" s="260">
        <f t="shared" si="34"/>
        <v>1.08</v>
      </c>
      <c r="L1432" s="266" t="s">
        <v>2025</v>
      </c>
    </row>
    <row r="1433" spans="2:12">
      <c r="B1433" s="256" t="s">
        <v>1489</v>
      </c>
      <c r="C1433" s="264" t="s">
        <v>1998</v>
      </c>
      <c r="D1433" s="205" t="s">
        <v>110</v>
      </c>
      <c r="E1433" s="261">
        <v>0.4</v>
      </c>
      <c r="F1433" s="261">
        <v>0.4</v>
      </c>
      <c r="G1433" s="261">
        <v>3.6</v>
      </c>
      <c r="H1433" s="261">
        <v>1</v>
      </c>
      <c r="I1433" s="261"/>
      <c r="J1433" s="259"/>
      <c r="K1433" s="260">
        <f t="shared" si="34"/>
        <v>0.57600000000000018</v>
      </c>
      <c r="L1433" s="266" t="s">
        <v>2025</v>
      </c>
    </row>
    <row r="1434" spans="2:12">
      <c r="B1434" s="256" t="s">
        <v>1490</v>
      </c>
      <c r="C1434" s="264" t="s">
        <v>1998</v>
      </c>
      <c r="D1434" s="205" t="s">
        <v>110</v>
      </c>
      <c r="E1434" s="261">
        <v>0.2</v>
      </c>
      <c r="F1434" s="261">
        <v>0.8</v>
      </c>
      <c r="G1434" s="261">
        <v>3.6</v>
      </c>
      <c r="H1434" s="261">
        <v>1</v>
      </c>
      <c r="I1434" s="261"/>
      <c r="J1434" s="259"/>
      <c r="K1434" s="260">
        <f t="shared" si="34"/>
        <v>0.57600000000000018</v>
      </c>
      <c r="L1434" s="266" t="s">
        <v>2025</v>
      </c>
    </row>
    <row r="1435" spans="2:12">
      <c r="B1435" s="256" t="s">
        <v>1493</v>
      </c>
      <c r="C1435" s="264" t="s">
        <v>1998</v>
      </c>
      <c r="D1435" s="205" t="s">
        <v>110</v>
      </c>
      <c r="E1435" s="261">
        <v>0.4</v>
      </c>
      <c r="F1435" s="261">
        <v>0.4</v>
      </c>
      <c r="G1435" s="261">
        <v>3.6</v>
      </c>
      <c r="H1435" s="261">
        <v>1</v>
      </c>
      <c r="I1435" s="261"/>
      <c r="J1435" s="259"/>
      <c r="K1435" s="260">
        <f t="shared" si="34"/>
        <v>0.57600000000000018</v>
      </c>
      <c r="L1435" s="266" t="s">
        <v>2025</v>
      </c>
    </row>
    <row r="1436" spans="2:12">
      <c r="B1436" s="256"/>
      <c r="C1436" s="210"/>
      <c r="D1436" s="210"/>
      <c r="E1436" s="261"/>
      <c r="F1436" s="261"/>
      <c r="G1436" s="261"/>
      <c r="H1436" s="261"/>
      <c r="I1436" s="261"/>
      <c r="J1436" s="259"/>
      <c r="K1436" s="260">
        <f t="shared" si="34"/>
        <v>0</v>
      </c>
      <c r="L1436" s="210"/>
    </row>
    <row r="1437" spans="2:12">
      <c r="B1437" s="202"/>
      <c r="C1437" s="203"/>
      <c r="D1437" s="203"/>
      <c r="E1437" s="203"/>
      <c r="F1437" s="203"/>
      <c r="G1437" s="203"/>
      <c r="H1437" s="204"/>
      <c r="I1437" s="556" t="s">
        <v>1221</v>
      </c>
      <c r="J1437" s="556"/>
      <c r="K1437" s="220">
        <f>SUM(K1162:K1436)</f>
        <v>222.28871999999959</v>
      </c>
      <c r="L1437" s="207"/>
    </row>
    <row r="1438" spans="2:12">
      <c r="B1438" s="208"/>
      <c r="C1438" s="204"/>
      <c r="D1438" s="204"/>
      <c r="E1438" s="204"/>
      <c r="F1438" s="204"/>
      <c r="G1438" s="204"/>
      <c r="H1438" s="209"/>
      <c r="I1438" s="556" t="s">
        <v>1222</v>
      </c>
      <c r="J1438" s="556"/>
      <c r="K1438" s="221">
        <v>250.26</v>
      </c>
      <c r="L1438" s="207"/>
    </row>
    <row r="1439" spans="2:12">
      <c r="B1439" s="208"/>
      <c r="C1439" s="204"/>
      <c r="D1439" s="204"/>
      <c r="E1439" s="204"/>
      <c r="F1439" s="204"/>
      <c r="G1439" s="204"/>
      <c r="H1439" s="558" t="s">
        <v>1223</v>
      </c>
      <c r="I1439" s="558"/>
      <c r="J1439" s="558"/>
      <c r="K1439" s="222">
        <v>207.39</v>
      </c>
      <c r="L1439" s="246"/>
    </row>
    <row r="1440" spans="2:12">
      <c r="B1440" s="208"/>
      <c r="C1440" s="204"/>
      <c r="D1440" s="204"/>
      <c r="E1440" s="204"/>
      <c r="F1440" s="204"/>
      <c r="G1440" s="204"/>
      <c r="H1440" s="558" t="s">
        <v>1892</v>
      </c>
      <c r="I1440" s="558"/>
      <c r="J1440" s="558"/>
      <c r="K1440" s="222">
        <f>TRUNC(SUMIF(C1162:C1436,H1440,K1162:K1436),2)</f>
        <v>14.85</v>
      </c>
      <c r="L1440" s="246"/>
    </row>
    <row r="1441" spans="2:12">
      <c r="B1441" s="213"/>
      <c r="C1441" s="214"/>
      <c r="D1441" s="214"/>
      <c r="E1441" s="214"/>
      <c r="F1441" s="214"/>
      <c r="G1441" s="214"/>
      <c r="H1441" s="566" t="s">
        <v>1224</v>
      </c>
      <c r="I1441" s="566"/>
      <c r="J1441" s="566"/>
      <c r="K1441" s="223">
        <f>IF(K1437&gt;K1438,K1437-K1438,0)</f>
        <v>0</v>
      </c>
      <c r="L1441" s="209"/>
    </row>
    <row r="1443" spans="2:12">
      <c r="B1443" s="247" t="s">
        <v>240</v>
      </c>
      <c r="C1443" s="565" t="str">
        <f>VLOOKUP(B1443,'BM 004'!$B$27:$R$590,2,0)</f>
        <v xml:space="preserve">Armação de laje de uma estrutura convencional de concreto armado em um edifício de múltiplos pavimentos utilizando aço ca-50 de 6,3 mm - montagem. </v>
      </c>
      <c r="D1443" s="565"/>
      <c r="E1443" s="565"/>
      <c r="F1443" s="565"/>
      <c r="G1443" s="565"/>
      <c r="H1443" s="565"/>
      <c r="I1443" s="565"/>
      <c r="J1443" s="565"/>
      <c r="K1443" s="565"/>
      <c r="L1443" s="565"/>
    </row>
    <row r="1444" spans="2:12">
      <c r="B1444" s="248" t="s">
        <v>1209</v>
      </c>
      <c r="C1444" s="248"/>
      <c r="D1444" s="248" t="s">
        <v>39</v>
      </c>
      <c r="E1444" s="248" t="s">
        <v>1210</v>
      </c>
      <c r="F1444" s="248" t="s">
        <v>1388</v>
      </c>
      <c r="G1444" s="248" t="s">
        <v>1212</v>
      </c>
      <c r="H1444" s="248" t="s">
        <v>1213</v>
      </c>
      <c r="I1444" s="248" t="s">
        <v>1214</v>
      </c>
      <c r="J1444" s="248" t="s">
        <v>1385</v>
      </c>
      <c r="K1444" s="248" t="s">
        <v>1216</v>
      </c>
      <c r="L1444" s="248" t="s">
        <v>1217</v>
      </c>
    </row>
    <row r="1445" spans="2:12">
      <c r="B1445" s="205" t="s">
        <v>1958</v>
      </c>
      <c r="C1445" s="250"/>
      <c r="D1445" s="205" t="s">
        <v>152</v>
      </c>
      <c r="E1445" s="251"/>
      <c r="F1445" s="252"/>
      <c r="G1445" s="251"/>
      <c r="H1445" s="251"/>
      <c r="I1445" s="251"/>
      <c r="J1445" s="253"/>
      <c r="K1445" s="254">
        <f t="shared" ref="K1445:K1450" si="35">IF(E1445*F1445*G1445&lt;&gt;0,E1445*F1445*G1445,IF(E1445*F1445&lt;&gt;0,E1445*F1445,IF(F1445*G1445&lt;&gt;0,F1445*G1445,IF(E1445*G1445&lt;&gt;0,E1445*G1445,IF(E1445&lt;&gt;0,E1445,IF(F1445&lt;&gt;0,F1445,IF(G1445&lt;&gt;0,G1445,0)))))))*(IF(H1445&lt;&gt;0,H1445,1))+I1445-J1445</f>
        <v>0</v>
      </c>
      <c r="L1445" s="255" t="s">
        <v>1959</v>
      </c>
    </row>
    <row r="1446" spans="2:12">
      <c r="B1446" s="205" t="s">
        <v>1960</v>
      </c>
      <c r="C1446" s="250"/>
      <c r="D1446" s="205" t="s">
        <v>152</v>
      </c>
      <c r="E1446" s="251"/>
      <c r="F1446" s="252"/>
      <c r="G1446" s="251"/>
      <c r="H1446" s="251"/>
      <c r="I1446" s="251"/>
      <c r="J1446" s="253"/>
      <c r="K1446" s="254">
        <f t="shared" si="35"/>
        <v>0</v>
      </c>
      <c r="L1446" s="255" t="s">
        <v>1959</v>
      </c>
    </row>
    <row r="1447" spans="2:12">
      <c r="B1447" s="205" t="s">
        <v>1961</v>
      </c>
      <c r="C1447" s="250"/>
      <c r="D1447" s="205" t="s">
        <v>152</v>
      </c>
      <c r="E1447" s="251"/>
      <c r="F1447" s="252"/>
      <c r="G1447" s="251"/>
      <c r="H1447" s="251"/>
      <c r="I1447" s="251"/>
      <c r="J1447" s="253"/>
      <c r="K1447" s="254">
        <f t="shared" si="35"/>
        <v>0</v>
      </c>
      <c r="L1447" s="255" t="s">
        <v>1959</v>
      </c>
    </row>
    <row r="1448" spans="2:12">
      <c r="B1448" s="205" t="s">
        <v>1962</v>
      </c>
      <c r="C1448" s="250"/>
      <c r="D1448" s="205" t="s">
        <v>152</v>
      </c>
      <c r="E1448" s="251"/>
      <c r="F1448" s="252"/>
      <c r="G1448" s="251"/>
      <c r="H1448" s="251"/>
      <c r="I1448" s="251"/>
      <c r="J1448" s="253"/>
      <c r="K1448" s="254">
        <f t="shared" si="35"/>
        <v>0</v>
      </c>
      <c r="L1448" s="255" t="s">
        <v>1959</v>
      </c>
    </row>
    <row r="1449" spans="2:12">
      <c r="B1449" s="205" t="s">
        <v>1963</v>
      </c>
      <c r="C1449" s="250"/>
      <c r="D1449" s="205" t="s">
        <v>152</v>
      </c>
      <c r="E1449" s="251">
        <v>11560</v>
      </c>
      <c r="F1449" s="252">
        <v>0.154</v>
      </c>
      <c r="G1449" s="251">
        <f>1-0.165</f>
        <v>0.83499999999999996</v>
      </c>
      <c r="H1449" s="251">
        <v>1.1000000000000001</v>
      </c>
      <c r="I1449" s="251"/>
      <c r="J1449" s="253"/>
      <c r="K1449" s="254">
        <f t="shared" si="35"/>
        <v>1635.1504400000001</v>
      </c>
      <c r="L1449" s="266" t="s">
        <v>1959</v>
      </c>
    </row>
    <row r="1450" spans="2:12">
      <c r="B1450" s="205" t="s">
        <v>1963</v>
      </c>
      <c r="C1450" s="264" t="s">
        <v>1998</v>
      </c>
      <c r="D1450" s="205" t="s">
        <v>152</v>
      </c>
      <c r="E1450" s="251">
        <v>11560</v>
      </c>
      <c r="F1450" s="252">
        <v>0.154</v>
      </c>
      <c r="G1450" s="251">
        <v>0.16</v>
      </c>
      <c r="H1450" s="251">
        <v>1.1000000000000001</v>
      </c>
      <c r="I1450" s="251"/>
      <c r="J1450" s="253"/>
      <c r="K1450" s="254">
        <f t="shared" si="35"/>
        <v>313.32224000000008</v>
      </c>
      <c r="L1450" s="266" t="s">
        <v>1959</v>
      </c>
    </row>
    <row r="1451" spans="2:12">
      <c r="B1451" s="329" t="s">
        <v>1964</v>
      </c>
      <c r="C1451" s="329"/>
      <c r="D1451" s="329" t="s">
        <v>152</v>
      </c>
      <c r="E1451" s="253"/>
      <c r="F1451" s="334"/>
      <c r="G1451" s="253"/>
      <c r="H1451" s="253"/>
      <c r="I1451" s="253"/>
      <c r="J1451" s="253"/>
      <c r="K1451" s="335"/>
      <c r="L1451" s="331" t="s">
        <v>1959</v>
      </c>
    </row>
    <row r="1452" spans="2:12">
      <c r="B1452" s="329" t="s">
        <v>1965</v>
      </c>
      <c r="C1452" s="329"/>
      <c r="D1452" s="329" t="s">
        <v>152</v>
      </c>
      <c r="E1452" s="253"/>
      <c r="F1452" s="334"/>
      <c r="G1452" s="253"/>
      <c r="H1452" s="253"/>
      <c r="I1452" s="253"/>
      <c r="J1452" s="253"/>
      <c r="K1452" s="335"/>
      <c r="L1452" s="336" t="s">
        <v>1959</v>
      </c>
    </row>
    <row r="1453" spans="2:12">
      <c r="B1453" s="205" t="s">
        <v>1966</v>
      </c>
      <c r="C1453" s="250"/>
      <c r="D1453" s="205" t="s">
        <v>152</v>
      </c>
      <c r="E1453" s="251">
        <v>8265</v>
      </c>
      <c r="F1453" s="252">
        <v>0.154</v>
      </c>
      <c r="G1453" s="251"/>
      <c r="H1453" s="251">
        <v>1.1000000000000001</v>
      </c>
      <c r="I1453" s="251"/>
      <c r="J1453" s="253"/>
      <c r="K1453" s="254">
        <f>IF(E1453*F1453*G1453&lt;&gt;0,E1453*F1453*G1453,IF(E1453*F1453&lt;&gt;0,E1453*F1453,IF(F1453*G1453&lt;&gt;0,F1453*G1453,IF(E1453*G1453&lt;&gt;0,E1453*G1453,IF(E1453&lt;&gt;0,E1453,IF(F1453&lt;&gt;0,F1453,IF(G1453&lt;&gt;0,G1453,0)))))))*(IF(H1453&lt;&gt;0,H1453,1))+I1453-J1453</f>
        <v>1400.0910000000001</v>
      </c>
      <c r="L1453" s="255" t="s">
        <v>1959</v>
      </c>
    </row>
    <row r="1454" spans="2:12">
      <c r="B1454" s="205" t="s">
        <v>1967</v>
      </c>
      <c r="C1454" s="250"/>
      <c r="D1454" s="205" t="s">
        <v>152</v>
      </c>
      <c r="E1454" s="251"/>
      <c r="F1454" s="252"/>
      <c r="G1454" s="251"/>
      <c r="H1454" s="251"/>
      <c r="I1454" s="251"/>
      <c r="J1454" s="253"/>
      <c r="K1454" s="254">
        <f>IF(E1454*F1454*G1454&lt;&gt;0,E1454*F1454*G1454,IF(E1454*F1454&lt;&gt;0,E1454*F1454,IF(F1454*G1454&lt;&gt;0,F1454*G1454,IF(E1454*G1454&lt;&gt;0,E1454*G1454,IF(E1454&lt;&gt;0,E1454,IF(F1454&lt;&gt;0,F1454,IF(G1454&lt;&gt;0,G1454,0)))))))*(IF(H1454&lt;&gt;0,H1454,1))+I1454-J1454</f>
        <v>0</v>
      </c>
      <c r="L1454" s="255" t="s">
        <v>1959</v>
      </c>
    </row>
    <row r="1455" spans="2:12">
      <c r="B1455" s="205" t="s">
        <v>1968</v>
      </c>
      <c r="C1455" s="250"/>
      <c r="D1455" s="205" t="s">
        <v>152</v>
      </c>
      <c r="E1455" s="251">
        <v>673</v>
      </c>
      <c r="F1455" s="252">
        <v>0.154</v>
      </c>
      <c r="G1455" s="251"/>
      <c r="H1455" s="251">
        <v>1.1000000000000001</v>
      </c>
      <c r="I1455" s="251"/>
      <c r="J1455" s="253"/>
      <c r="K1455" s="254">
        <f>IF(E1455*F1455*G1455&lt;&gt;0,E1455*F1455*G1455,IF(E1455*F1455&lt;&gt;0,E1455*F1455,IF(F1455*G1455&lt;&gt;0,F1455*G1455,IF(E1455*G1455&lt;&gt;0,E1455*G1455,IF(E1455&lt;&gt;0,E1455,IF(F1455&lt;&gt;0,F1455,IF(G1455&lt;&gt;0,G1455,0)))))))*(IF(H1455&lt;&gt;0,H1455,1))+I1455-J1455</f>
        <v>114.00620000000001</v>
      </c>
      <c r="L1455" s="255" t="s">
        <v>1959</v>
      </c>
    </row>
    <row r="1456" spans="2:12">
      <c r="B1456" s="210" t="s">
        <v>1969</v>
      </c>
      <c r="C1456" s="264"/>
      <c r="D1456" s="210" t="s">
        <v>152</v>
      </c>
      <c r="E1456" s="257"/>
      <c r="F1456" s="258"/>
      <c r="G1456" s="257"/>
      <c r="H1456" s="257"/>
      <c r="I1456" s="257"/>
      <c r="J1456" s="259"/>
      <c r="K1456" s="254">
        <f>IF(E1456*F1456*G1456&lt;&gt;0,E1456*F1456*G1456,IF(E1456*F1456&lt;&gt;0,E1456*F1456,IF(F1456*G1456&lt;&gt;0,F1456*G1456,IF(E1456*G1456&lt;&gt;0,E1456*G1456,IF(E1456&lt;&gt;0,E1456,IF(F1456&lt;&gt;0,F1456,IF(G1456&lt;&gt;0,G1456,0)))))))*(IF(H1456&lt;&gt;0,H1456,1))+I1456-J1456</f>
        <v>0</v>
      </c>
      <c r="L1456" s="266" t="s">
        <v>1959</v>
      </c>
    </row>
    <row r="1457" spans="2:12">
      <c r="B1457" s="210" t="s">
        <v>1970</v>
      </c>
      <c r="C1457" s="264"/>
      <c r="D1457" s="210" t="s">
        <v>152</v>
      </c>
      <c r="E1457" s="257"/>
      <c r="F1457" s="258"/>
      <c r="G1457" s="257"/>
      <c r="H1457" s="257"/>
      <c r="I1457" s="257"/>
      <c r="J1457" s="259"/>
      <c r="K1457" s="254">
        <f>IF(E1457*F1457*G1457&lt;&gt;0,E1457*F1457*G1457,IF(E1457*F1457&lt;&gt;0,E1457*F1457,IF(F1457*G1457&lt;&gt;0,F1457*G1457,IF(E1457*G1457&lt;&gt;0,E1457*G1457,IF(E1457&lt;&gt;0,E1457,IF(F1457&lt;&gt;0,F1457,IF(G1457&lt;&gt;0,G1457,0)))))))*(IF(H1457&lt;&gt;0,H1457,1))+I1457-J1457</f>
        <v>0</v>
      </c>
      <c r="L1457" s="266" t="s">
        <v>1959</v>
      </c>
    </row>
    <row r="1458" spans="2:12">
      <c r="B1458" s="337" t="s">
        <v>1971</v>
      </c>
      <c r="C1458" s="337"/>
      <c r="D1458" s="337" t="s">
        <v>152</v>
      </c>
      <c r="E1458" s="259">
        <v>581</v>
      </c>
      <c r="F1458" s="338">
        <v>0.154</v>
      </c>
      <c r="G1458" s="259"/>
      <c r="H1458" s="259">
        <v>1.1000000000000001</v>
      </c>
      <c r="I1458" s="259"/>
      <c r="J1458" s="259"/>
      <c r="K1458" s="335"/>
      <c r="L1458" s="331" t="s">
        <v>1959</v>
      </c>
    </row>
    <row r="1459" spans="2:12">
      <c r="B1459" s="337" t="s">
        <v>1972</v>
      </c>
      <c r="C1459" s="337"/>
      <c r="D1459" s="337" t="s">
        <v>152</v>
      </c>
      <c r="E1459" s="259"/>
      <c r="F1459" s="338"/>
      <c r="G1459" s="259"/>
      <c r="H1459" s="259"/>
      <c r="I1459" s="259"/>
      <c r="J1459" s="259"/>
      <c r="K1459" s="335"/>
      <c r="L1459" s="331" t="s">
        <v>1959</v>
      </c>
    </row>
    <row r="1460" spans="2:12">
      <c r="B1460" s="210" t="s">
        <v>1958</v>
      </c>
      <c r="C1460" s="264"/>
      <c r="D1460" s="210" t="s">
        <v>152</v>
      </c>
      <c r="E1460" s="257">
        <v>764.81</v>
      </c>
      <c r="F1460" s="258">
        <v>0.245</v>
      </c>
      <c r="G1460" s="257"/>
      <c r="H1460" s="257">
        <v>1.1000000000000001</v>
      </c>
      <c r="I1460" s="257"/>
      <c r="J1460" s="259"/>
      <c r="K1460" s="254">
        <f t="shared" ref="K1460:K1466" si="36">IF(E1460*F1460*G1460&lt;&gt;0,E1460*F1460*G1460,IF(E1460*F1460&lt;&gt;0,E1460*F1460,IF(F1460*G1460&lt;&gt;0,F1460*G1460,IF(E1460*G1460&lt;&gt;0,E1460*G1460,IF(E1460&lt;&gt;0,E1460,IF(F1460&lt;&gt;0,F1460,IF(G1460&lt;&gt;0,G1460,0)))))))*(IF(H1460&lt;&gt;0,H1460,1))+I1460-J1460</f>
        <v>206.11629500000001</v>
      </c>
      <c r="L1460" s="266" t="s">
        <v>1973</v>
      </c>
    </row>
    <row r="1461" spans="2:12">
      <c r="B1461" s="210" t="s">
        <v>1960</v>
      </c>
      <c r="C1461" s="264"/>
      <c r="D1461" s="210" t="s">
        <v>152</v>
      </c>
      <c r="E1461" s="257">
        <v>1237.52</v>
      </c>
      <c r="F1461" s="258">
        <v>0.245</v>
      </c>
      <c r="G1461" s="257"/>
      <c r="H1461" s="257">
        <v>1.1000000000000001</v>
      </c>
      <c r="I1461" s="257"/>
      <c r="J1461" s="259"/>
      <c r="K1461" s="254">
        <f t="shared" si="36"/>
        <v>333.51164</v>
      </c>
      <c r="L1461" s="266" t="s">
        <v>1973</v>
      </c>
    </row>
    <row r="1462" spans="2:12">
      <c r="B1462" s="210" t="s">
        <v>1961</v>
      </c>
      <c r="C1462" s="264"/>
      <c r="D1462" s="210" t="s">
        <v>152</v>
      </c>
      <c r="E1462" s="257">
        <v>281.45999999999998</v>
      </c>
      <c r="F1462" s="258">
        <v>0.245</v>
      </c>
      <c r="G1462" s="257"/>
      <c r="H1462" s="257">
        <v>1.1000000000000001</v>
      </c>
      <c r="I1462" s="257"/>
      <c r="J1462" s="259"/>
      <c r="K1462" s="254">
        <f t="shared" si="36"/>
        <v>75.853469999999987</v>
      </c>
      <c r="L1462" s="266" t="s">
        <v>1973</v>
      </c>
    </row>
    <row r="1463" spans="2:12">
      <c r="B1463" s="210" t="s">
        <v>1962</v>
      </c>
      <c r="C1463" s="264"/>
      <c r="D1463" s="210" t="s">
        <v>152</v>
      </c>
      <c r="E1463" s="257">
        <v>1221</v>
      </c>
      <c r="F1463" s="258">
        <v>0.245</v>
      </c>
      <c r="G1463" s="257">
        <v>0.8</v>
      </c>
      <c r="H1463" s="257">
        <v>1.1000000000000001</v>
      </c>
      <c r="I1463" s="257"/>
      <c r="J1463" s="259"/>
      <c r="K1463" s="254">
        <f t="shared" si="36"/>
        <v>263.24760000000003</v>
      </c>
      <c r="L1463" s="266" t="s">
        <v>1973</v>
      </c>
    </row>
    <row r="1464" spans="2:12">
      <c r="B1464" s="210" t="s">
        <v>1962</v>
      </c>
      <c r="C1464" s="264" t="s">
        <v>1998</v>
      </c>
      <c r="D1464" s="210" t="s">
        <v>152</v>
      </c>
      <c r="E1464" s="257">
        <v>1221</v>
      </c>
      <c r="F1464" s="258">
        <v>0.245</v>
      </c>
      <c r="G1464" s="257">
        <v>0.2</v>
      </c>
      <c r="H1464" s="257">
        <v>1.1000000000000001</v>
      </c>
      <c r="I1464" s="257"/>
      <c r="J1464" s="259"/>
      <c r="K1464" s="254">
        <f t="shared" si="36"/>
        <v>65.811900000000009</v>
      </c>
      <c r="L1464" s="266" t="s">
        <v>1973</v>
      </c>
    </row>
    <row r="1465" spans="2:12">
      <c r="B1465" s="210" t="s">
        <v>1963</v>
      </c>
      <c r="C1465" s="264"/>
      <c r="D1465" s="210" t="s">
        <v>152</v>
      </c>
      <c r="E1465" s="257">
        <v>1550</v>
      </c>
      <c r="F1465" s="258">
        <v>0.245</v>
      </c>
      <c r="G1465" s="257">
        <v>0.8</v>
      </c>
      <c r="H1465" s="257">
        <v>1.1000000000000001</v>
      </c>
      <c r="I1465" s="257"/>
      <c r="J1465" s="259"/>
      <c r="K1465" s="254">
        <f t="shared" si="36"/>
        <v>334.18000000000006</v>
      </c>
      <c r="L1465" s="266" t="s">
        <v>1973</v>
      </c>
    </row>
    <row r="1466" spans="2:12">
      <c r="B1466" s="210" t="s">
        <v>1963</v>
      </c>
      <c r="C1466" s="264" t="s">
        <v>1998</v>
      </c>
      <c r="D1466" s="210" t="s">
        <v>152</v>
      </c>
      <c r="E1466" s="257">
        <v>1550</v>
      </c>
      <c r="F1466" s="258">
        <v>0.245</v>
      </c>
      <c r="G1466" s="257">
        <v>0.2</v>
      </c>
      <c r="H1466" s="257">
        <v>1.1000000000000001</v>
      </c>
      <c r="I1466" s="257"/>
      <c r="J1466" s="259"/>
      <c r="K1466" s="254">
        <f t="shared" si="36"/>
        <v>83.545000000000016</v>
      </c>
      <c r="L1466" s="266" t="s">
        <v>1973</v>
      </c>
    </row>
    <row r="1467" spans="2:12">
      <c r="B1467" s="337" t="s">
        <v>1964</v>
      </c>
      <c r="C1467" s="337"/>
      <c r="D1467" s="337" t="s">
        <v>152</v>
      </c>
      <c r="E1467" s="259">
        <v>977</v>
      </c>
      <c r="F1467" s="338">
        <v>0.245</v>
      </c>
      <c r="G1467" s="259"/>
      <c r="H1467" s="259">
        <v>1.1000000000000001</v>
      </c>
      <c r="I1467" s="259"/>
      <c r="J1467" s="259"/>
      <c r="K1467" s="335"/>
      <c r="L1467" s="331" t="s">
        <v>1973</v>
      </c>
    </row>
    <row r="1468" spans="2:12">
      <c r="B1468" s="337" t="s">
        <v>1965</v>
      </c>
      <c r="C1468" s="337"/>
      <c r="D1468" s="337" t="s">
        <v>152</v>
      </c>
      <c r="E1468" s="259">
        <v>1734</v>
      </c>
      <c r="F1468" s="338">
        <v>0.245</v>
      </c>
      <c r="G1468" s="259"/>
      <c r="H1468" s="259">
        <v>1.1000000000000001</v>
      </c>
      <c r="I1468" s="259"/>
      <c r="J1468" s="259"/>
      <c r="K1468" s="335"/>
      <c r="L1468" s="331" t="s">
        <v>1973</v>
      </c>
    </row>
    <row r="1469" spans="2:12">
      <c r="B1469" s="210" t="s">
        <v>1966</v>
      </c>
      <c r="C1469" s="264"/>
      <c r="D1469" s="210" t="s">
        <v>152</v>
      </c>
      <c r="E1469" s="257">
        <v>803</v>
      </c>
      <c r="F1469" s="258">
        <v>0.245</v>
      </c>
      <c r="G1469" s="257"/>
      <c r="H1469" s="257">
        <v>1.1000000000000001</v>
      </c>
      <c r="I1469" s="257"/>
      <c r="J1469" s="259"/>
      <c r="K1469" s="254">
        <f>IF(E1469*F1469*G1469&lt;&gt;0,E1469*F1469*G1469,IF(E1469*F1469&lt;&gt;0,E1469*F1469,IF(F1469*G1469&lt;&gt;0,F1469*G1469,IF(E1469*G1469&lt;&gt;0,E1469*G1469,IF(E1469&lt;&gt;0,E1469,IF(F1469&lt;&gt;0,F1469,IF(G1469&lt;&gt;0,G1469,0)))))))*(IF(H1469&lt;&gt;0,H1469,1))+I1469-J1469</f>
        <v>216.4085</v>
      </c>
      <c r="L1469" s="266" t="s">
        <v>1973</v>
      </c>
    </row>
    <row r="1470" spans="2:12">
      <c r="B1470" s="210" t="s">
        <v>1967</v>
      </c>
      <c r="C1470" s="264"/>
      <c r="D1470" s="210" t="s">
        <v>152</v>
      </c>
      <c r="E1470" s="257">
        <v>329</v>
      </c>
      <c r="F1470" s="258">
        <v>0.245</v>
      </c>
      <c r="G1470" s="257"/>
      <c r="H1470" s="257">
        <v>1.1000000000000001</v>
      </c>
      <c r="I1470" s="257"/>
      <c r="J1470" s="259"/>
      <c r="K1470" s="254">
        <f>IF(E1470*F1470*G1470&lt;&gt;0,E1470*F1470*G1470,IF(E1470*F1470&lt;&gt;0,E1470*F1470,IF(F1470*G1470&lt;&gt;0,F1470*G1470,IF(E1470*G1470&lt;&gt;0,E1470*G1470,IF(E1470&lt;&gt;0,E1470,IF(F1470&lt;&gt;0,F1470,IF(G1470&lt;&gt;0,G1470,0)))))))*(IF(H1470&lt;&gt;0,H1470,1))+I1470-J1470</f>
        <v>88.665500000000009</v>
      </c>
      <c r="L1470" s="266" t="s">
        <v>1973</v>
      </c>
    </row>
    <row r="1471" spans="2:12">
      <c r="B1471" s="210" t="s">
        <v>1968</v>
      </c>
      <c r="C1471" s="264"/>
      <c r="D1471" s="210" t="s">
        <v>152</v>
      </c>
      <c r="E1471" s="257">
        <v>749</v>
      </c>
      <c r="F1471" s="258">
        <v>0.245</v>
      </c>
      <c r="G1471" s="257"/>
      <c r="H1471" s="257">
        <v>1.1000000000000001</v>
      </c>
      <c r="I1471" s="257"/>
      <c r="J1471" s="259"/>
      <c r="K1471" s="254">
        <f>IF(E1471*F1471*G1471&lt;&gt;0,E1471*F1471*G1471,IF(E1471*F1471&lt;&gt;0,E1471*F1471,IF(F1471*G1471&lt;&gt;0,F1471*G1471,IF(E1471*G1471&lt;&gt;0,E1471*G1471,IF(E1471&lt;&gt;0,E1471,IF(F1471&lt;&gt;0,F1471,IF(G1471&lt;&gt;0,G1471,0)))))))*(IF(H1471&lt;&gt;0,H1471,1))+I1471-J1471</f>
        <v>201.85550000000001</v>
      </c>
      <c r="L1471" s="266" t="s">
        <v>1973</v>
      </c>
    </row>
    <row r="1472" spans="2:12">
      <c r="B1472" s="210" t="s">
        <v>1969</v>
      </c>
      <c r="C1472" s="264"/>
      <c r="D1472" s="210" t="s">
        <v>152</v>
      </c>
      <c r="E1472" s="257">
        <v>5439.48</v>
      </c>
      <c r="F1472" s="258">
        <v>0.245</v>
      </c>
      <c r="G1472" s="257"/>
      <c r="H1472" s="257">
        <v>1.1000000000000001</v>
      </c>
      <c r="I1472" s="257"/>
      <c r="J1472" s="259"/>
      <c r="K1472" s="254">
        <f>IF(E1472*F1472*G1472&lt;&gt;0,E1472*F1472*G1472,IF(E1472*F1472&lt;&gt;0,E1472*F1472,IF(F1472*G1472&lt;&gt;0,F1472*G1472,IF(E1472*G1472&lt;&gt;0,E1472*G1472,IF(E1472&lt;&gt;0,E1472,IF(F1472&lt;&gt;0,F1472,IF(G1472&lt;&gt;0,G1472,0)))))))*(IF(H1472&lt;&gt;0,H1472,1))+I1472-J1472</f>
        <v>1465.93986</v>
      </c>
      <c r="L1472" s="266" t="s">
        <v>1973</v>
      </c>
    </row>
    <row r="1473" spans="2:12">
      <c r="B1473" s="210" t="s">
        <v>1970</v>
      </c>
      <c r="C1473" s="264"/>
      <c r="D1473" s="210" t="s">
        <v>152</v>
      </c>
      <c r="E1473" s="257">
        <v>1694.88</v>
      </c>
      <c r="F1473" s="258">
        <v>0.245</v>
      </c>
      <c r="G1473" s="257"/>
      <c r="H1473" s="257">
        <v>1.1000000000000001</v>
      </c>
      <c r="I1473" s="257"/>
      <c r="J1473" s="259"/>
      <c r="K1473" s="254">
        <f>IF(E1473*F1473*G1473&lt;&gt;0,E1473*F1473*G1473,IF(E1473*F1473&lt;&gt;0,E1473*F1473,IF(F1473*G1473&lt;&gt;0,F1473*G1473,IF(E1473*G1473&lt;&gt;0,E1473*G1473,IF(E1473&lt;&gt;0,E1473,IF(F1473&lt;&gt;0,F1473,IF(G1473&lt;&gt;0,G1473,0)))))))*(IF(H1473&lt;&gt;0,H1473,1))+I1473-J1473</f>
        <v>456.77016000000009</v>
      </c>
      <c r="L1473" s="266" t="s">
        <v>1973</v>
      </c>
    </row>
    <row r="1474" spans="2:12">
      <c r="B1474" s="337" t="s">
        <v>1971</v>
      </c>
      <c r="C1474" s="337"/>
      <c r="D1474" s="337" t="s">
        <v>152</v>
      </c>
      <c r="E1474" s="259">
        <v>1235</v>
      </c>
      <c r="F1474" s="338">
        <v>0.245</v>
      </c>
      <c r="G1474" s="259"/>
      <c r="H1474" s="259">
        <v>1.1000000000000001</v>
      </c>
      <c r="I1474" s="259"/>
      <c r="J1474" s="259"/>
      <c r="K1474" s="335"/>
      <c r="L1474" s="331" t="s">
        <v>1973</v>
      </c>
    </row>
    <row r="1475" spans="2:12">
      <c r="B1475" s="339" t="s">
        <v>1972</v>
      </c>
      <c r="C1475" s="339"/>
      <c r="D1475" s="339" t="s">
        <v>152</v>
      </c>
      <c r="E1475" s="325">
        <v>523</v>
      </c>
      <c r="F1475" s="340">
        <v>0.245</v>
      </c>
      <c r="G1475" s="325">
        <v>0.5</v>
      </c>
      <c r="H1475" s="325">
        <v>1.1000000000000001</v>
      </c>
      <c r="I1475" s="325"/>
      <c r="J1475" s="325"/>
      <c r="K1475" s="341">
        <f>IF(E1475*F1475*G1475&lt;&gt;0,E1475*F1475*G1475,IF(E1475*F1475&lt;&gt;0,E1475*F1475,IF(F1475*G1475&lt;&gt;0,F1475*G1475,IF(E1475*G1475&lt;&gt;0,E1475*G1475,IF(E1475&lt;&gt;0,E1475,IF(F1475&lt;&gt;0,F1475,IF(G1475&lt;&gt;0,G1475,0)))))))*(IF(H1475&lt;&gt;0,H1475,1))+I1475-J1475</f>
        <v>70.474249999999998</v>
      </c>
      <c r="L1475" s="327" t="s">
        <v>1973</v>
      </c>
    </row>
    <row r="1476" spans="2:12">
      <c r="B1476" s="256"/>
      <c r="C1476" s="210"/>
      <c r="D1476" s="210"/>
      <c r="E1476" s="257"/>
      <c r="F1476" s="258"/>
      <c r="G1476" s="257"/>
      <c r="H1476" s="257"/>
      <c r="I1476" s="257"/>
      <c r="J1476" s="259"/>
      <c r="K1476" s="254">
        <f>IF(E1476*F1476*G1476&lt;&gt;0,E1476*F1476*G1476,IF(E1476*F1476&lt;&gt;0,E1476*F1476,IF(F1476*G1476&lt;&gt;0,F1476*G1476,IF(E1476*G1476&lt;&gt;0,E1476*G1476,IF(E1476&lt;&gt;0,E1476,IF(F1476&lt;&gt;0,F1476,IF(G1476&lt;&gt;0,G1476,0)))))))*(IF(H1476&lt;&gt;0,H1476,1))+I1476-J1476</f>
        <v>0</v>
      </c>
      <c r="L1476" s="210"/>
    </row>
    <row r="1477" spans="2:12">
      <c r="B1477" s="202"/>
      <c r="C1477" s="203"/>
      <c r="D1477" s="203"/>
      <c r="E1477" s="203"/>
      <c r="F1477" s="203"/>
      <c r="G1477" s="203"/>
      <c r="H1477" s="204"/>
      <c r="I1477" s="556" t="s">
        <v>1221</v>
      </c>
      <c r="J1477" s="556"/>
      <c r="K1477" s="220">
        <f>SUM(K1445:K1476)</f>
        <v>7324.9495550000001</v>
      </c>
      <c r="L1477" s="207"/>
    </row>
    <row r="1478" spans="2:12">
      <c r="B1478" s="208"/>
      <c r="C1478" s="204"/>
      <c r="D1478" s="204"/>
      <c r="E1478" s="204"/>
      <c r="F1478" s="204"/>
      <c r="G1478" s="204"/>
      <c r="H1478" s="209"/>
      <c r="I1478" s="557" t="s">
        <v>1222</v>
      </c>
      <c r="J1478" s="557"/>
      <c r="K1478" s="221">
        <f>VLOOKUP(B1443,'BM 011'!$B$27:$R$590,5,0)</f>
        <v>8567.08</v>
      </c>
      <c r="L1478" s="207"/>
    </row>
    <row r="1479" spans="2:12">
      <c r="B1479" s="208"/>
      <c r="C1479" s="204"/>
      <c r="D1479" s="204"/>
      <c r="E1479" s="204"/>
      <c r="F1479" s="204"/>
      <c r="G1479" s="204"/>
      <c r="H1479" s="558" t="s">
        <v>1223</v>
      </c>
      <c r="I1479" s="558"/>
      <c r="J1479" s="558"/>
      <c r="K1479" s="222">
        <v>6863.105415</v>
      </c>
      <c r="L1479" s="207"/>
    </row>
    <row r="1480" spans="2:12">
      <c r="B1480" s="208"/>
      <c r="C1480" s="204"/>
      <c r="D1480" s="204"/>
      <c r="E1480" s="204"/>
      <c r="F1480" s="204"/>
      <c r="G1480" s="204"/>
      <c r="H1480" s="558" t="s">
        <v>1892</v>
      </c>
      <c r="I1480" s="558"/>
      <c r="J1480" s="558"/>
      <c r="K1480" s="222">
        <f>IF(K1477&gt;K1478,K1478,K1477)-K1479</f>
        <v>461.84414000000015</v>
      </c>
      <c r="L1480" s="207"/>
    </row>
    <row r="1481" spans="2:12">
      <c r="B1481" s="213"/>
      <c r="C1481" s="214"/>
      <c r="D1481" s="214"/>
      <c r="E1481" s="214"/>
      <c r="F1481" s="214"/>
      <c r="G1481" s="214"/>
      <c r="H1481" s="559" t="s">
        <v>1224</v>
      </c>
      <c r="I1481" s="559"/>
      <c r="J1481" s="559"/>
      <c r="K1481" s="223">
        <f>IF(K1477&gt;K1478,K1477-K1478,0)</f>
        <v>0</v>
      </c>
      <c r="L1481" s="209"/>
    </row>
    <row r="1483" spans="2:12">
      <c r="B1483" s="247" t="s">
        <v>242</v>
      </c>
      <c r="C1483" s="565" t="str">
        <f>VLOOKUP(B1483,'BM 004'!$B$27:$R$590,2,0)</f>
        <v>Armação de laje de uma estrutura convencional de concreto armado em um edifício de múltiplos pavimentos utilizando aço ca-50 de 8,0 mm - montagem.</v>
      </c>
      <c r="D1483" s="565"/>
      <c r="E1483" s="565"/>
      <c r="F1483" s="565"/>
      <c r="G1483" s="565"/>
      <c r="H1483" s="565"/>
      <c r="I1483" s="565"/>
      <c r="J1483" s="565"/>
      <c r="K1483" s="565"/>
      <c r="L1483" s="565"/>
    </row>
    <row r="1484" spans="2:12">
      <c r="B1484" s="248" t="s">
        <v>1209</v>
      </c>
      <c r="C1484" s="248"/>
      <c r="D1484" s="248" t="s">
        <v>39</v>
      </c>
      <c r="E1484" s="248" t="s">
        <v>1210</v>
      </c>
      <c r="F1484" s="248" t="s">
        <v>1388</v>
      </c>
      <c r="G1484" s="248" t="s">
        <v>1212</v>
      </c>
      <c r="H1484" s="248" t="s">
        <v>1213</v>
      </c>
      <c r="I1484" s="248" t="s">
        <v>1214</v>
      </c>
      <c r="J1484" s="248" t="s">
        <v>1385</v>
      </c>
      <c r="K1484" s="248" t="s">
        <v>1216</v>
      </c>
      <c r="L1484" s="248" t="s">
        <v>1217</v>
      </c>
    </row>
    <row r="1485" spans="2:12">
      <c r="B1485" s="205" t="s">
        <v>1958</v>
      </c>
      <c r="C1485" s="250" t="s">
        <v>1933</v>
      </c>
      <c r="D1485" s="205" t="s">
        <v>152</v>
      </c>
      <c r="E1485" s="251">
        <v>322.88</v>
      </c>
      <c r="F1485" s="252">
        <v>0.39500000000000002</v>
      </c>
      <c r="G1485" s="251"/>
      <c r="H1485" s="251">
        <v>1.1000000000000001</v>
      </c>
      <c r="I1485" s="251"/>
      <c r="J1485" s="253"/>
      <c r="K1485" s="254">
        <f t="shared" ref="K1485:K1490" si="37">IF(E1485*F1485*G1485&lt;&gt;0,E1485*F1485*G1485,IF(E1485*F1485&lt;&gt;0,E1485*F1485,IF(F1485*G1485&lt;&gt;0,F1485*G1485,IF(E1485*G1485&lt;&gt;0,E1485*G1485,IF(E1485&lt;&gt;0,E1485,IF(F1485&lt;&gt;0,F1485,IF(G1485&lt;&gt;0,G1485,0)))))))*(IF(H1485&lt;&gt;0,H1485,1))+I1485-J1485</f>
        <v>140.29136</v>
      </c>
      <c r="L1485" s="255"/>
    </row>
    <row r="1486" spans="2:12">
      <c r="B1486" s="205" t="s">
        <v>1960</v>
      </c>
      <c r="C1486" s="250" t="s">
        <v>1933</v>
      </c>
      <c r="D1486" s="205" t="s">
        <v>152</v>
      </c>
      <c r="E1486" s="251">
        <v>224.54</v>
      </c>
      <c r="F1486" s="252">
        <v>0.39500000000000002</v>
      </c>
      <c r="G1486" s="251"/>
      <c r="H1486" s="251">
        <v>1.1000000000000001</v>
      </c>
      <c r="I1486" s="251"/>
      <c r="J1486" s="253"/>
      <c r="K1486" s="254">
        <f t="shared" si="37"/>
        <v>97.562630000000013</v>
      </c>
      <c r="L1486" s="255"/>
    </row>
    <row r="1487" spans="2:12">
      <c r="B1487" s="205" t="s">
        <v>1961</v>
      </c>
      <c r="C1487" s="250" t="s">
        <v>1933</v>
      </c>
      <c r="D1487" s="205" t="s">
        <v>152</v>
      </c>
      <c r="E1487" s="251">
        <v>224.36</v>
      </c>
      <c r="F1487" s="252">
        <v>0.39500000000000002</v>
      </c>
      <c r="G1487" s="251"/>
      <c r="H1487" s="251">
        <v>1.1000000000000001</v>
      </c>
      <c r="I1487" s="251"/>
      <c r="J1487" s="253"/>
      <c r="K1487" s="254">
        <f t="shared" si="37"/>
        <v>97.484420000000014</v>
      </c>
      <c r="L1487" s="255"/>
    </row>
    <row r="1488" spans="2:12">
      <c r="B1488" s="205" t="s">
        <v>1962</v>
      </c>
      <c r="C1488" s="250" t="s">
        <v>1933</v>
      </c>
      <c r="D1488" s="205" t="s">
        <v>152</v>
      </c>
      <c r="E1488" s="251">
        <v>125</v>
      </c>
      <c r="F1488" s="252">
        <v>0.39500000000000002</v>
      </c>
      <c r="G1488" s="251">
        <v>0.8</v>
      </c>
      <c r="H1488" s="251">
        <v>1.1000000000000001</v>
      </c>
      <c r="I1488" s="251"/>
      <c r="J1488" s="253"/>
      <c r="K1488" s="254">
        <f t="shared" si="37"/>
        <v>43.45</v>
      </c>
      <c r="L1488" s="255"/>
    </row>
    <row r="1489" spans="2:12">
      <c r="B1489" s="205" t="s">
        <v>1962</v>
      </c>
      <c r="C1489" s="250" t="s">
        <v>1933</v>
      </c>
      <c r="D1489" s="205" t="s">
        <v>152</v>
      </c>
      <c r="E1489" s="251">
        <v>125</v>
      </c>
      <c r="F1489" s="252">
        <v>0.39500000000000002</v>
      </c>
      <c r="G1489" s="251">
        <v>0.2</v>
      </c>
      <c r="H1489" s="251">
        <v>1.1000000000000001</v>
      </c>
      <c r="I1489" s="251"/>
      <c r="J1489" s="253"/>
      <c r="K1489" s="254">
        <f t="shared" si="37"/>
        <v>10.862500000000001</v>
      </c>
      <c r="L1489" s="255"/>
    </row>
    <row r="1490" spans="2:12">
      <c r="B1490" s="324" t="s">
        <v>1963</v>
      </c>
      <c r="C1490" s="339" t="s">
        <v>1998</v>
      </c>
      <c r="D1490" s="324" t="s">
        <v>152</v>
      </c>
      <c r="E1490" s="342">
        <v>499</v>
      </c>
      <c r="F1490" s="343">
        <v>0.39500000000000002</v>
      </c>
      <c r="G1490" s="342"/>
      <c r="H1490" s="342">
        <v>1.1000000000000001</v>
      </c>
      <c r="I1490" s="342"/>
      <c r="J1490" s="342"/>
      <c r="K1490" s="341">
        <f t="shared" si="37"/>
        <v>216.81550000000004</v>
      </c>
      <c r="L1490" s="344"/>
    </row>
    <row r="1491" spans="2:12">
      <c r="B1491" s="329" t="s">
        <v>1964</v>
      </c>
      <c r="C1491" s="329"/>
      <c r="D1491" s="329" t="s">
        <v>152</v>
      </c>
      <c r="E1491" s="253">
        <v>36</v>
      </c>
      <c r="F1491" s="334">
        <v>0.39500000000000002</v>
      </c>
      <c r="G1491" s="253"/>
      <c r="H1491" s="253">
        <v>1.1000000000000001</v>
      </c>
      <c r="I1491" s="253"/>
      <c r="J1491" s="253"/>
      <c r="K1491" s="335"/>
      <c r="L1491" s="336"/>
    </row>
    <row r="1492" spans="2:12">
      <c r="B1492" s="210" t="s">
        <v>1965</v>
      </c>
      <c r="C1492" s="264" t="s">
        <v>1931</v>
      </c>
      <c r="D1492" s="210" t="s">
        <v>152</v>
      </c>
      <c r="E1492" s="257">
        <v>591</v>
      </c>
      <c r="F1492" s="258">
        <v>0.39500000000000002</v>
      </c>
      <c r="G1492" s="257"/>
      <c r="H1492" s="257">
        <v>1.1000000000000001</v>
      </c>
      <c r="I1492" s="257"/>
      <c r="J1492" s="259"/>
      <c r="K1492" s="254">
        <f t="shared" ref="K1492:K1500" si="38">IF(E1492*F1492*G1492&lt;&gt;0,E1492*F1492*G1492,IF(E1492*F1492&lt;&gt;0,E1492*F1492,IF(F1492*G1492&lt;&gt;0,F1492*G1492,IF(E1492*G1492&lt;&gt;0,E1492*G1492,IF(E1492&lt;&gt;0,E1492,IF(F1492&lt;&gt;0,F1492,IF(G1492&lt;&gt;0,G1492,0)))))))*(IF(H1492&lt;&gt;0,H1492,1))+I1492-J1492</f>
        <v>256.78950000000003</v>
      </c>
      <c r="L1492" s="266"/>
    </row>
    <row r="1493" spans="2:12">
      <c r="B1493" s="210" t="s">
        <v>1966</v>
      </c>
      <c r="C1493" s="264" t="s">
        <v>1931</v>
      </c>
      <c r="D1493" s="210" t="s">
        <v>152</v>
      </c>
      <c r="E1493" s="257">
        <v>99</v>
      </c>
      <c r="F1493" s="258">
        <v>0.39500000000000002</v>
      </c>
      <c r="G1493" s="257"/>
      <c r="H1493" s="257">
        <v>1.1000000000000001</v>
      </c>
      <c r="I1493" s="257"/>
      <c r="J1493" s="259"/>
      <c r="K1493" s="254">
        <f t="shared" si="38"/>
        <v>43.01550000000001</v>
      </c>
      <c r="L1493" s="266"/>
    </row>
    <row r="1494" spans="2:12">
      <c r="B1494" s="210" t="s">
        <v>1967</v>
      </c>
      <c r="C1494" s="264" t="s">
        <v>1931</v>
      </c>
      <c r="D1494" s="210" t="s">
        <v>152</v>
      </c>
      <c r="E1494" s="257">
        <v>1170</v>
      </c>
      <c r="F1494" s="258">
        <v>0.39500000000000002</v>
      </c>
      <c r="G1494" s="257"/>
      <c r="H1494" s="257">
        <v>1.1000000000000001</v>
      </c>
      <c r="I1494" s="257"/>
      <c r="J1494" s="259"/>
      <c r="K1494" s="254">
        <f t="shared" si="38"/>
        <v>508.36500000000007</v>
      </c>
      <c r="L1494" s="266"/>
    </row>
    <row r="1495" spans="2:12">
      <c r="B1495" s="210" t="s">
        <v>1968</v>
      </c>
      <c r="C1495" s="264" t="s">
        <v>1931</v>
      </c>
      <c r="D1495" s="210" t="s">
        <v>152</v>
      </c>
      <c r="E1495" s="257">
        <v>163</v>
      </c>
      <c r="F1495" s="258">
        <v>0.39500000000000002</v>
      </c>
      <c r="G1495" s="257"/>
      <c r="H1495" s="257">
        <v>1.1000000000000001</v>
      </c>
      <c r="I1495" s="257"/>
      <c r="J1495" s="259"/>
      <c r="K1495" s="254">
        <f t="shared" si="38"/>
        <v>70.82350000000001</v>
      </c>
      <c r="L1495" s="266"/>
    </row>
    <row r="1496" spans="2:12">
      <c r="B1496" s="210" t="s">
        <v>1969</v>
      </c>
      <c r="C1496" s="264" t="s">
        <v>1931</v>
      </c>
      <c r="D1496" s="210" t="s">
        <v>152</v>
      </c>
      <c r="E1496" s="257"/>
      <c r="F1496" s="258"/>
      <c r="G1496" s="257"/>
      <c r="H1496" s="257"/>
      <c r="I1496" s="257"/>
      <c r="J1496" s="259"/>
      <c r="K1496" s="254">
        <f t="shared" si="38"/>
        <v>0</v>
      </c>
      <c r="L1496" s="266"/>
    </row>
    <row r="1497" spans="2:12">
      <c r="B1497" s="210" t="s">
        <v>1970</v>
      </c>
      <c r="C1497" s="264" t="s">
        <v>1931</v>
      </c>
      <c r="D1497" s="210" t="s">
        <v>152</v>
      </c>
      <c r="E1497" s="257"/>
      <c r="F1497" s="258"/>
      <c r="G1497" s="257"/>
      <c r="H1497" s="257"/>
      <c r="I1497" s="257"/>
      <c r="J1497" s="259"/>
      <c r="K1497" s="254">
        <f t="shared" si="38"/>
        <v>0</v>
      </c>
      <c r="L1497" s="266"/>
    </row>
    <row r="1498" spans="2:12">
      <c r="B1498" s="210" t="s">
        <v>1971</v>
      </c>
      <c r="C1498" s="264" t="s">
        <v>1931</v>
      </c>
      <c r="D1498" s="210" t="s">
        <v>152</v>
      </c>
      <c r="E1498" s="257">
        <v>11</v>
      </c>
      <c r="F1498" s="258">
        <v>0.39500000000000002</v>
      </c>
      <c r="G1498" s="257"/>
      <c r="H1498" s="257">
        <v>1.1000000000000001</v>
      </c>
      <c r="I1498" s="257"/>
      <c r="J1498" s="259"/>
      <c r="K1498" s="254">
        <f t="shared" si="38"/>
        <v>4.7795000000000014</v>
      </c>
      <c r="L1498" s="266"/>
    </row>
    <row r="1499" spans="2:12">
      <c r="B1499" s="210" t="s">
        <v>1972</v>
      </c>
      <c r="C1499" s="264" t="s">
        <v>1931</v>
      </c>
      <c r="D1499" s="210" t="s">
        <v>152</v>
      </c>
      <c r="E1499" s="257">
        <v>238</v>
      </c>
      <c r="F1499" s="258">
        <v>0.39500000000000002</v>
      </c>
      <c r="G1499" s="257">
        <v>0.5</v>
      </c>
      <c r="H1499" s="257">
        <v>1.1000000000000001</v>
      </c>
      <c r="I1499" s="257"/>
      <c r="J1499" s="259"/>
      <c r="K1499" s="254">
        <f t="shared" si="38"/>
        <v>51.705500000000008</v>
      </c>
      <c r="L1499" s="266"/>
    </row>
    <row r="1500" spans="2:12">
      <c r="B1500" s="256"/>
      <c r="C1500" s="210"/>
      <c r="D1500" s="210"/>
      <c r="E1500" s="257"/>
      <c r="F1500" s="258"/>
      <c r="G1500" s="257"/>
      <c r="H1500" s="257"/>
      <c r="I1500" s="257"/>
      <c r="J1500" s="259"/>
      <c r="K1500" s="260">
        <f t="shared" si="38"/>
        <v>0</v>
      </c>
      <c r="L1500" s="210"/>
    </row>
    <row r="1501" spans="2:12">
      <c r="B1501" s="202"/>
      <c r="C1501" s="203"/>
      <c r="D1501" s="203"/>
      <c r="E1501" s="203"/>
      <c r="F1501" s="203"/>
      <c r="G1501" s="203"/>
      <c r="H1501" s="204"/>
      <c r="I1501" s="556" t="s">
        <v>1221</v>
      </c>
      <c r="J1501" s="556"/>
      <c r="K1501" s="220">
        <f>SUM(K1485:K1500)</f>
        <v>1541.9449100000002</v>
      </c>
      <c r="L1501" s="207"/>
    </row>
    <row r="1502" spans="2:12">
      <c r="B1502" s="208"/>
      <c r="C1502" s="204"/>
      <c r="D1502" s="204"/>
      <c r="E1502" s="204"/>
      <c r="F1502" s="204"/>
      <c r="G1502" s="204"/>
      <c r="H1502" s="209"/>
      <c r="I1502" s="557" t="s">
        <v>1222</v>
      </c>
      <c r="J1502" s="557"/>
      <c r="K1502" s="221">
        <f>VLOOKUP(B1483,'BM 011'!$B$27:$R$590,5,0)</f>
        <v>1609.29</v>
      </c>
      <c r="L1502" s="207"/>
    </row>
    <row r="1503" spans="2:12">
      <c r="B1503" s="208"/>
      <c r="C1503" s="204"/>
      <c r="D1503" s="204"/>
      <c r="E1503" s="204"/>
      <c r="F1503" s="204"/>
      <c r="G1503" s="204"/>
      <c r="H1503" s="558" t="s">
        <v>1223</v>
      </c>
      <c r="I1503" s="558"/>
      <c r="J1503" s="558"/>
      <c r="K1503" s="222">
        <v>1314.2669100000001</v>
      </c>
      <c r="L1503" s="207"/>
    </row>
    <row r="1504" spans="2:12">
      <c r="B1504" s="208"/>
      <c r="C1504" s="204"/>
      <c r="D1504" s="204"/>
      <c r="E1504" s="204"/>
      <c r="F1504" s="204"/>
      <c r="G1504" s="204"/>
      <c r="H1504" s="558" t="s">
        <v>1892</v>
      </c>
      <c r="I1504" s="558"/>
      <c r="J1504" s="558"/>
      <c r="K1504" s="222">
        <f>IF(K1501&gt;K1502,K1502,K1501)-K1503</f>
        <v>227.67800000000011</v>
      </c>
      <c r="L1504" s="207"/>
    </row>
    <row r="1505" spans="2:12">
      <c r="B1505" s="213"/>
      <c r="C1505" s="214"/>
      <c r="D1505" s="214"/>
      <c r="E1505" s="214"/>
      <c r="F1505" s="214"/>
      <c r="G1505" s="214"/>
      <c r="H1505" s="559" t="s">
        <v>1224</v>
      </c>
      <c r="I1505" s="559"/>
      <c r="J1505" s="559"/>
      <c r="K1505" s="223">
        <f>IF(K1501&gt;K1502,K1501-K1502,0)</f>
        <v>0</v>
      </c>
      <c r="L1505" s="209"/>
    </row>
    <row r="1507" spans="2:12">
      <c r="B1507" s="247" t="s">
        <v>244</v>
      </c>
      <c r="C1507" s="565" t="str">
        <f>VLOOKUP(B1507,'BM 004'!$B$27:$R$590,2,0)</f>
        <v xml:space="preserve">Armação de laje de uma estrutura convencional de concreto armado em um edifício de múltiplos pavimentos utilizando aço ca-50 de 10,0 mm - montagem. </v>
      </c>
      <c r="D1507" s="565"/>
      <c r="E1507" s="565"/>
      <c r="F1507" s="565"/>
      <c r="G1507" s="565"/>
      <c r="H1507" s="565"/>
      <c r="I1507" s="565"/>
      <c r="J1507" s="565"/>
      <c r="K1507" s="565"/>
      <c r="L1507" s="565"/>
    </row>
    <row r="1508" spans="2:12">
      <c r="B1508" s="248" t="s">
        <v>1209</v>
      </c>
      <c r="C1508" s="248"/>
      <c r="D1508" s="248" t="s">
        <v>39</v>
      </c>
      <c r="E1508" s="248" t="s">
        <v>1210</v>
      </c>
      <c r="F1508" s="248" t="s">
        <v>1388</v>
      </c>
      <c r="G1508" s="248" t="s">
        <v>1212</v>
      </c>
      <c r="H1508" s="248" t="s">
        <v>1213</v>
      </c>
      <c r="I1508" s="248" t="s">
        <v>1214</v>
      </c>
      <c r="J1508" s="248" t="s">
        <v>1385</v>
      </c>
      <c r="K1508" s="248" t="s">
        <v>1216</v>
      </c>
      <c r="L1508" s="248" t="s">
        <v>1217</v>
      </c>
    </row>
    <row r="1509" spans="2:12">
      <c r="B1509" s="205" t="s">
        <v>1958</v>
      </c>
      <c r="C1509" s="250"/>
      <c r="D1509" s="205" t="s">
        <v>152</v>
      </c>
      <c r="E1509" s="251">
        <v>886.9</v>
      </c>
      <c r="F1509" s="252">
        <v>0.61699999999999999</v>
      </c>
      <c r="G1509" s="251"/>
      <c r="H1509" s="251">
        <v>1.1000000000000001</v>
      </c>
      <c r="I1509" s="251"/>
      <c r="J1509" s="253"/>
      <c r="K1509" s="254">
        <f t="shared" ref="K1509:K1515" si="39">IF(E1509*F1509*G1509&lt;&gt;0,E1509*F1509*G1509,IF(E1509*F1509&lt;&gt;0,E1509*F1509,IF(F1509*G1509&lt;&gt;0,F1509*G1509,IF(E1509*G1509&lt;&gt;0,E1509*G1509,IF(E1509&lt;&gt;0,E1509,IF(F1509&lt;&gt;0,F1509,IF(G1509&lt;&gt;0,G1509,0)))))))*(IF(H1509&lt;&gt;0,H1509,1))+I1509-J1509</f>
        <v>601.93903000000012</v>
      </c>
      <c r="L1509" s="255"/>
    </row>
    <row r="1510" spans="2:12">
      <c r="B1510" s="205" t="s">
        <v>1960</v>
      </c>
      <c r="C1510" s="250"/>
      <c r="D1510" s="205" t="s">
        <v>152</v>
      </c>
      <c r="E1510" s="251">
        <v>1476.23</v>
      </c>
      <c r="F1510" s="252">
        <v>0.61699999999999999</v>
      </c>
      <c r="G1510" s="251"/>
      <c r="H1510" s="251">
        <v>1.1000000000000001</v>
      </c>
      <c r="I1510" s="251"/>
      <c r="J1510" s="253"/>
      <c r="K1510" s="254">
        <f t="shared" si="39"/>
        <v>1001.9173010000001</v>
      </c>
      <c r="L1510" s="255"/>
    </row>
    <row r="1511" spans="2:12">
      <c r="B1511" s="205" t="s">
        <v>1961</v>
      </c>
      <c r="C1511" s="250"/>
      <c r="D1511" s="205" t="s">
        <v>152</v>
      </c>
      <c r="E1511" s="251">
        <v>922.65</v>
      </c>
      <c r="F1511" s="252">
        <v>0.61699999999999999</v>
      </c>
      <c r="G1511" s="251"/>
      <c r="H1511" s="251">
        <v>1.1000000000000001</v>
      </c>
      <c r="I1511" s="251"/>
      <c r="J1511" s="253"/>
      <c r="K1511" s="254">
        <f t="shared" si="39"/>
        <v>626.20255499999996</v>
      </c>
      <c r="L1511" s="255"/>
    </row>
    <row r="1512" spans="2:12">
      <c r="B1512" s="205" t="s">
        <v>1962</v>
      </c>
      <c r="C1512" s="250"/>
      <c r="D1512" s="205" t="s">
        <v>152</v>
      </c>
      <c r="E1512" s="251">
        <v>1571</v>
      </c>
      <c r="F1512" s="252">
        <v>0.61699999999999999</v>
      </c>
      <c r="G1512" s="251">
        <v>0.8</v>
      </c>
      <c r="H1512" s="251">
        <v>1.1000000000000001</v>
      </c>
      <c r="I1512" s="251"/>
      <c r="J1512" s="253"/>
      <c r="K1512" s="254">
        <f t="shared" si="39"/>
        <v>852.99016000000006</v>
      </c>
      <c r="L1512" s="255"/>
    </row>
    <row r="1513" spans="2:12">
      <c r="B1513" s="205" t="s">
        <v>1962</v>
      </c>
      <c r="C1513" s="250"/>
      <c r="D1513" s="205" t="s">
        <v>152</v>
      </c>
      <c r="E1513" s="251">
        <v>1571</v>
      </c>
      <c r="F1513" s="252">
        <v>0.61699999999999999</v>
      </c>
      <c r="G1513" s="251">
        <v>0.2</v>
      </c>
      <c r="H1513" s="251">
        <v>1.1000000000000001</v>
      </c>
      <c r="I1513" s="251"/>
      <c r="J1513" s="253"/>
      <c r="K1513" s="254">
        <f t="shared" si="39"/>
        <v>213.24754000000001</v>
      </c>
      <c r="L1513" s="255"/>
    </row>
    <row r="1514" spans="2:12">
      <c r="B1514" s="205" t="s">
        <v>1963</v>
      </c>
      <c r="C1514" s="250"/>
      <c r="D1514" s="205" t="s">
        <v>152</v>
      </c>
      <c r="E1514" s="251">
        <v>1635</v>
      </c>
      <c r="F1514" s="252">
        <v>0.61699999999999999</v>
      </c>
      <c r="G1514" s="251">
        <v>0.8</v>
      </c>
      <c r="H1514" s="251">
        <v>1.1000000000000001</v>
      </c>
      <c r="I1514" s="251"/>
      <c r="J1514" s="253"/>
      <c r="K1514" s="254">
        <f t="shared" si="39"/>
        <v>887.73960000000011</v>
      </c>
      <c r="L1514" s="255"/>
    </row>
    <row r="1515" spans="2:12">
      <c r="B1515" s="205" t="s">
        <v>1963</v>
      </c>
      <c r="C1515" s="250"/>
      <c r="D1515" s="205" t="s">
        <v>152</v>
      </c>
      <c r="E1515" s="251">
        <v>1635</v>
      </c>
      <c r="F1515" s="252">
        <v>0.61699999999999999</v>
      </c>
      <c r="G1515" s="251">
        <v>0.2</v>
      </c>
      <c r="H1515" s="251">
        <v>1.1000000000000001</v>
      </c>
      <c r="I1515" s="251"/>
      <c r="J1515" s="253"/>
      <c r="K1515" s="254">
        <f t="shared" si="39"/>
        <v>221.93490000000003</v>
      </c>
      <c r="L1515" s="255"/>
    </row>
    <row r="1516" spans="2:12">
      <c r="B1516" s="329" t="s">
        <v>1964</v>
      </c>
      <c r="C1516" s="329"/>
      <c r="D1516" s="329" t="s">
        <v>152</v>
      </c>
      <c r="E1516" s="253">
        <v>82</v>
      </c>
      <c r="F1516" s="334">
        <v>0.61699999999999999</v>
      </c>
      <c r="G1516" s="253"/>
      <c r="H1516" s="253">
        <v>1.1000000000000001</v>
      </c>
      <c r="I1516" s="253"/>
      <c r="J1516" s="253"/>
      <c r="K1516" s="335"/>
      <c r="L1516" s="336"/>
    </row>
    <row r="1517" spans="2:12">
      <c r="B1517" s="329" t="s">
        <v>1965</v>
      </c>
      <c r="C1517" s="329"/>
      <c r="D1517" s="329" t="s">
        <v>152</v>
      </c>
      <c r="E1517" s="253"/>
      <c r="F1517" s="334"/>
      <c r="G1517" s="253"/>
      <c r="H1517" s="253"/>
      <c r="I1517" s="253"/>
      <c r="J1517" s="253"/>
      <c r="K1517" s="335"/>
      <c r="L1517" s="336"/>
    </row>
    <row r="1518" spans="2:12">
      <c r="B1518" s="205" t="s">
        <v>1966</v>
      </c>
      <c r="C1518" s="250"/>
      <c r="D1518" s="205" t="s">
        <v>152</v>
      </c>
      <c r="E1518" s="251">
        <v>459</v>
      </c>
      <c r="F1518" s="252">
        <v>0.61699999999999999</v>
      </c>
      <c r="G1518" s="251"/>
      <c r="H1518" s="251">
        <v>1.1000000000000001</v>
      </c>
      <c r="I1518" s="251"/>
      <c r="J1518" s="253"/>
      <c r="K1518" s="254">
        <f t="shared" ref="K1518:K1525" si="40">IF(E1518*F1518*G1518&lt;&gt;0,E1518*F1518*G1518,IF(E1518*F1518&lt;&gt;0,E1518*F1518,IF(F1518*G1518&lt;&gt;0,F1518*G1518,IF(E1518*G1518&lt;&gt;0,E1518*G1518,IF(E1518&lt;&gt;0,E1518,IF(F1518&lt;&gt;0,F1518,IF(G1518&lt;&gt;0,G1518,0)))))))*(IF(H1518&lt;&gt;0,H1518,1))+I1518-J1518</f>
        <v>311.52330000000001</v>
      </c>
      <c r="L1518" s="255"/>
    </row>
    <row r="1519" spans="2:12">
      <c r="B1519" s="205" t="s">
        <v>1967</v>
      </c>
      <c r="C1519" s="250"/>
      <c r="D1519" s="205" t="s">
        <v>152</v>
      </c>
      <c r="E1519" s="251">
        <v>332</v>
      </c>
      <c r="F1519" s="252">
        <v>0.61699999999999999</v>
      </c>
      <c r="G1519" s="251"/>
      <c r="H1519" s="251">
        <v>1.1000000000000001</v>
      </c>
      <c r="I1519" s="251"/>
      <c r="J1519" s="253"/>
      <c r="K1519" s="254">
        <f t="shared" si="40"/>
        <v>225.32840000000002</v>
      </c>
      <c r="L1519" s="255"/>
    </row>
    <row r="1520" spans="2:12">
      <c r="B1520" s="205" t="s">
        <v>1968</v>
      </c>
      <c r="C1520" s="250"/>
      <c r="D1520" s="205" t="s">
        <v>152</v>
      </c>
      <c r="E1520" s="251">
        <v>1207</v>
      </c>
      <c r="F1520" s="252">
        <v>0.61699999999999999</v>
      </c>
      <c r="G1520" s="251"/>
      <c r="H1520" s="251">
        <v>1.1000000000000001</v>
      </c>
      <c r="I1520" s="251"/>
      <c r="J1520" s="253"/>
      <c r="K1520" s="254">
        <f t="shared" si="40"/>
        <v>819.19089999999994</v>
      </c>
      <c r="L1520" s="255"/>
    </row>
    <row r="1521" spans="2:12">
      <c r="B1521" s="205" t="s">
        <v>1969</v>
      </c>
      <c r="C1521" s="250"/>
      <c r="D1521" s="205" t="s">
        <v>152</v>
      </c>
      <c r="E1521" s="251"/>
      <c r="F1521" s="252"/>
      <c r="G1521" s="251"/>
      <c r="H1521" s="251"/>
      <c r="I1521" s="251"/>
      <c r="J1521" s="253"/>
      <c r="K1521" s="254">
        <f t="shared" si="40"/>
        <v>0</v>
      </c>
      <c r="L1521" s="255"/>
    </row>
    <row r="1522" spans="2:12">
      <c r="B1522" s="205" t="s">
        <v>1970</v>
      </c>
      <c r="C1522" s="250"/>
      <c r="D1522" s="205" t="s">
        <v>152</v>
      </c>
      <c r="E1522" s="251"/>
      <c r="F1522" s="252"/>
      <c r="G1522" s="251"/>
      <c r="H1522" s="251"/>
      <c r="I1522" s="251"/>
      <c r="J1522" s="253"/>
      <c r="K1522" s="254">
        <f t="shared" si="40"/>
        <v>0</v>
      </c>
      <c r="L1522" s="255"/>
    </row>
    <row r="1523" spans="2:12">
      <c r="B1523" s="329" t="s">
        <v>1971</v>
      </c>
      <c r="C1523" s="329"/>
      <c r="D1523" s="329" t="s">
        <v>152</v>
      </c>
      <c r="E1523" s="253">
        <v>413</v>
      </c>
      <c r="F1523" s="334">
        <v>0.61699999999999999</v>
      </c>
      <c r="G1523" s="253"/>
      <c r="H1523" s="253">
        <v>1.1000000000000001</v>
      </c>
      <c r="I1523" s="253"/>
      <c r="J1523" s="253"/>
      <c r="K1523" s="335">
        <f t="shared" si="40"/>
        <v>280.30310000000003</v>
      </c>
      <c r="L1523" s="336"/>
    </row>
    <row r="1524" spans="2:12">
      <c r="B1524" s="210" t="s">
        <v>1972</v>
      </c>
      <c r="C1524" s="264"/>
      <c r="D1524" s="210" t="s">
        <v>152</v>
      </c>
      <c r="E1524" s="257">
        <v>1005</v>
      </c>
      <c r="F1524" s="258">
        <v>0.61699999999999999</v>
      </c>
      <c r="G1524" s="257">
        <v>0.5</v>
      </c>
      <c r="H1524" s="257">
        <v>1.1000000000000001</v>
      </c>
      <c r="I1524" s="257"/>
      <c r="J1524" s="259"/>
      <c r="K1524" s="254">
        <f t="shared" si="40"/>
        <v>341.04675000000003</v>
      </c>
      <c r="L1524" s="266"/>
    </row>
    <row r="1525" spans="2:12">
      <c r="B1525" s="256"/>
      <c r="C1525" s="210"/>
      <c r="D1525" s="210"/>
      <c r="E1525" s="257"/>
      <c r="F1525" s="258"/>
      <c r="G1525" s="257"/>
      <c r="H1525" s="257"/>
      <c r="I1525" s="257"/>
      <c r="J1525" s="259"/>
      <c r="K1525" s="254">
        <f t="shared" si="40"/>
        <v>0</v>
      </c>
      <c r="L1525" s="210"/>
    </row>
    <row r="1526" spans="2:12">
      <c r="B1526" s="202"/>
      <c r="C1526" s="203"/>
      <c r="D1526" s="203"/>
      <c r="E1526" s="203"/>
      <c r="F1526" s="203"/>
      <c r="G1526" s="203"/>
      <c r="H1526" s="204"/>
      <c r="I1526" s="556" t="s">
        <v>1221</v>
      </c>
      <c r="J1526" s="556"/>
      <c r="K1526" s="220">
        <f>SUM(K1509:K1525)</f>
        <v>6383.3635360000007</v>
      </c>
      <c r="L1526" s="207"/>
    </row>
    <row r="1527" spans="2:12">
      <c r="B1527" s="208"/>
      <c r="C1527" s="204"/>
      <c r="D1527" s="204"/>
      <c r="E1527" s="204"/>
      <c r="F1527" s="204"/>
      <c r="G1527" s="204"/>
      <c r="H1527" s="209"/>
      <c r="I1527" s="557" t="s">
        <v>1222</v>
      </c>
      <c r="J1527" s="557"/>
      <c r="K1527" s="221">
        <f>VLOOKUP(B1507,'BM 011'!$B$27:$R$590,5,0)</f>
        <v>6780.06</v>
      </c>
      <c r="L1527" s="207"/>
    </row>
    <row r="1528" spans="2:12">
      <c r="B1528" s="208"/>
      <c r="C1528" s="204"/>
      <c r="D1528" s="204"/>
      <c r="E1528" s="204"/>
      <c r="F1528" s="204"/>
      <c r="G1528" s="204"/>
      <c r="H1528" s="558" t="s">
        <v>1223</v>
      </c>
      <c r="I1528" s="558"/>
      <c r="J1528" s="558"/>
      <c r="K1528" s="222">
        <v>5948.1810960000003</v>
      </c>
      <c r="L1528" s="207"/>
    </row>
    <row r="1529" spans="2:12">
      <c r="B1529" s="208"/>
      <c r="C1529" s="204"/>
      <c r="D1529" s="204"/>
      <c r="E1529" s="204"/>
      <c r="F1529" s="204"/>
      <c r="G1529" s="204"/>
      <c r="H1529" s="558" t="s">
        <v>1892</v>
      </c>
      <c r="I1529" s="558"/>
      <c r="J1529" s="558"/>
      <c r="K1529" s="222">
        <f>IF(K1526&gt;K1527,K1527,K1526)-K1528</f>
        <v>435.1824400000005</v>
      </c>
      <c r="L1529" s="207"/>
    </row>
    <row r="1530" spans="2:12">
      <c r="B1530" s="213"/>
      <c r="C1530" s="214"/>
      <c r="D1530" s="214"/>
      <c r="E1530" s="214"/>
      <c r="F1530" s="214"/>
      <c r="G1530" s="214"/>
      <c r="H1530" s="559" t="s">
        <v>1224</v>
      </c>
      <c r="I1530" s="559"/>
      <c r="J1530" s="559"/>
      <c r="K1530" s="223">
        <f>IF(K1526&gt;K1527,K1526-K1527,0)</f>
        <v>0</v>
      </c>
      <c r="L1530" s="209"/>
    </row>
    <row r="1532" spans="2:12">
      <c r="B1532" s="247" t="s">
        <v>246</v>
      </c>
      <c r="C1532" s="565" t="str">
        <f>VLOOKUP(B1532,'BM 004'!$B$27:$R$590,2,0)</f>
        <v xml:space="preserve">Armação de laje de uma estrutura convencional de concreto armado em um edifício de múltiplos pavimentos utilizando aço ca-50 de 12,5 mm - montagem. </v>
      </c>
      <c r="D1532" s="565"/>
      <c r="E1532" s="565"/>
      <c r="F1532" s="565"/>
      <c r="G1532" s="565"/>
      <c r="H1532" s="565"/>
      <c r="I1532" s="565"/>
      <c r="J1532" s="565"/>
      <c r="K1532" s="565"/>
      <c r="L1532" s="565"/>
    </row>
    <row r="1533" spans="2:12">
      <c r="B1533" s="248" t="s">
        <v>1209</v>
      </c>
      <c r="C1533" s="248"/>
      <c r="D1533" s="248" t="s">
        <v>39</v>
      </c>
      <c r="E1533" s="248" t="s">
        <v>1210</v>
      </c>
      <c r="F1533" s="248" t="s">
        <v>1388</v>
      </c>
      <c r="G1533" s="248" t="s">
        <v>1212</v>
      </c>
      <c r="H1533" s="248" t="s">
        <v>1213</v>
      </c>
      <c r="I1533" s="248" t="s">
        <v>1214</v>
      </c>
      <c r="J1533" s="248" t="s">
        <v>1385</v>
      </c>
      <c r="K1533" s="248" t="s">
        <v>1216</v>
      </c>
      <c r="L1533" s="248" t="s">
        <v>1217</v>
      </c>
    </row>
    <row r="1534" spans="2:12">
      <c r="B1534" s="256" t="s">
        <v>1958</v>
      </c>
      <c r="C1534" s="210"/>
      <c r="D1534" s="210" t="s">
        <v>152</v>
      </c>
      <c r="E1534" s="257">
        <v>760.48</v>
      </c>
      <c r="F1534" s="258">
        <v>0.96299999999999997</v>
      </c>
      <c r="G1534" s="257"/>
      <c r="H1534" s="257">
        <v>1.1000000000000001</v>
      </c>
      <c r="I1534" s="257"/>
      <c r="J1534" s="259"/>
      <c r="K1534" s="260">
        <f t="shared" ref="K1534:K1540" si="41">IF(E1534*F1534*G1534&lt;&gt;0,E1534*F1534*G1534,IF(E1534*F1534&lt;&gt;0,E1534*F1534,IF(F1534*G1534&lt;&gt;0,F1534*G1534,IF(E1534*G1534&lt;&gt;0,E1534*G1534,IF(E1534&lt;&gt;0,E1534,IF(F1534&lt;&gt;0,F1534,IF(G1534&lt;&gt;0,G1534,0)))))))*(IF(H1534&lt;&gt;0,H1534,1))+I1534-J1534</f>
        <v>805.57646399999999</v>
      </c>
      <c r="L1534" s="210"/>
    </row>
    <row r="1535" spans="2:12">
      <c r="B1535" s="256" t="s">
        <v>1960</v>
      </c>
      <c r="C1535" s="210"/>
      <c r="D1535" s="210" t="s">
        <v>152</v>
      </c>
      <c r="E1535" s="257">
        <v>1210.6500000000001</v>
      </c>
      <c r="F1535" s="258">
        <v>0.96299999999999997</v>
      </c>
      <c r="G1535" s="257"/>
      <c r="H1535" s="257">
        <v>1.1000000000000001</v>
      </c>
      <c r="I1535" s="257"/>
      <c r="J1535" s="259"/>
      <c r="K1535" s="260">
        <f t="shared" si="41"/>
        <v>1282.4415450000001</v>
      </c>
      <c r="L1535" s="210"/>
    </row>
    <row r="1536" spans="2:12">
      <c r="B1536" s="256" t="s">
        <v>1961</v>
      </c>
      <c r="C1536" s="210"/>
      <c r="D1536" s="210" t="s">
        <v>152</v>
      </c>
      <c r="E1536" s="257">
        <v>815.54</v>
      </c>
      <c r="F1536" s="258">
        <v>0.96299999999999997</v>
      </c>
      <c r="G1536" s="257"/>
      <c r="H1536" s="257">
        <v>1.1000000000000001</v>
      </c>
      <c r="I1536" s="257"/>
      <c r="J1536" s="259"/>
      <c r="K1536" s="260">
        <f t="shared" si="41"/>
        <v>863.901522</v>
      </c>
      <c r="L1536" s="210"/>
    </row>
    <row r="1537" spans="2:12">
      <c r="B1537" s="256" t="s">
        <v>1962</v>
      </c>
      <c r="C1537" s="210"/>
      <c r="D1537" s="210" t="s">
        <v>152</v>
      </c>
      <c r="E1537" s="257">
        <v>4843</v>
      </c>
      <c r="F1537" s="258">
        <v>0.96299999999999997</v>
      </c>
      <c r="G1537" s="257">
        <v>0.8</v>
      </c>
      <c r="H1537" s="257">
        <v>1.1000000000000001</v>
      </c>
      <c r="I1537" s="257"/>
      <c r="J1537" s="259"/>
      <c r="K1537" s="260">
        <f t="shared" si="41"/>
        <v>4104.1519200000012</v>
      </c>
      <c r="L1537" s="210"/>
    </row>
    <row r="1538" spans="2:12">
      <c r="B1538" s="256" t="s">
        <v>1962</v>
      </c>
      <c r="C1538" s="210"/>
      <c r="D1538" s="210" t="s">
        <v>152</v>
      </c>
      <c r="E1538" s="257">
        <v>4843</v>
      </c>
      <c r="F1538" s="258">
        <v>0.96299999999999997</v>
      </c>
      <c r="G1538" s="257">
        <v>0.2</v>
      </c>
      <c r="H1538" s="257">
        <v>1.1000000000000001</v>
      </c>
      <c r="I1538" s="257"/>
      <c r="J1538" s="259"/>
      <c r="K1538" s="260">
        <f t="shared" si="41"/>
        <v>1026.0379800000003</v>
      </c>
      <c r="L1538" s="210"/>
    </row>
    <row r="1539" spans="2:12">
      <c r="B1539" s="256" t="s">
        <v>1963</v>
      </c>
      <c r="C1539" s="210"/>
      <c r="D1539" s="210" t="s">
        <v>152</v>
      </c>
      <c r="E1539" s="257">
        <v>4014</v>
      </c>
      <c r="F1539" s="258">
        <v>0.96299999999999997</v>
      </c>
      <c r="G1539" s="257">
        <v>0.8</v>
      </c>
      <c r="H1539" s="257">
        <v>1.1000000000000001</v>
      </c>
      <c r="I1539" s="257"/>
      <c r="J1539" s="259"/>
      <c r="K1539" s="260">
        <f t="shared" si="41"/>
        <v>3401.6241600000003</v>
      </c>
      <c r="L1539" s="210"/>
    </row>
    <row r="1540" spans="2:12">
      <c r="B1540" s="256" t="s">
        <v>1963</v>
      </c>
      <c r="C1540" s="210"/>
      <c r="D1540" s="210" t="s">
        <v>152</v>
      </c>
      <c r="E1540" s="257">
        <v>4014</v>
      </c>
      <c r="F1540" s="258">
        <v>0.96299999999999997</v>
      </c>
      <c r="G1540" s="257">
        <v>0.2</v>
      </c>
      <c r="H1540" s="257">
        <v>1.1000000000000001</v>
      </c>
      <c r="I1540" s="257"/>
      <c r="J1540" s="259"/>
      <c r="K1540" s="260">
        <f t="shared" si="41"/>
        <v>850.40604000000008</v>
      </c>
      <c r="L1540" s="210"/>
    </row>
    <row r="1541" spans="2:12">
      <c r="B1541" s="328" t="s">
        <v>1964</v>
      </c>
      <c r="C1541" s="337"/>
      <c r="D1541" s="337" t="s">
        <v>152</v>
      </c>
      <c r="E1541" s="259">
        <v>325</v>
      </c>
      <c r="F1541" s="338">
        <v>0.96299999999999997</v>
      </c>
      <c r="G1541" s="259"/>
      <c r="H1541" s="259">
        <v>1.1000000000000001</v>
      </c>
      <c r="I1541" s="259"/>
      <c r="J1541" s="259"/>
      <c r="K1541" s="330"/>
      <c r="L1541" s="337"/>
    </row>
    <row r="1542" spans="2:12">
      <c r="B1542" s="328" t="s">
        <v>1965</v>
      </c>
      <c r="C1542" s="337"/>
      <c r="D1542" s="337" t="s">
        <v>152</v>
      </c>
      <c r="E1542" s="259"/>
      <c r="F1542" s="338"/>
      <c r="G1542" s="259"/>
      <c r="H1542" s="259"/>
      <c r="I1542" s="259"/>
      <c r="J1542" s="259"/>
      <c r="K1542" s="330"/>
      <c r="L1542" s="337"/>
    </row>
    <row r="1543" spans="2:12">
      <c r="B1543" s="256" t="s">
        <v>1966</v>
      </c>
      <c r="C1543" s="210"/>
      <c r="D1543" s="210" t="s">
        <v>152</v>
      </c>
      <c r="E1543" s="257">
        <v>1053</v>
      </c>
      <c r="F1543" s="258">
        <v>0.96299999999999997</v>
      </c>
      <c r="G1543" s="257"/>
      <c r="H1543" s="257">
        <v>1.1000000000000001</v>
      </c>
      <c r="I1543" s="257"/>
      <c r="J1543" s="259"/>
      <c r="K1543" s="260">
        <f>IF(E1543*F1543*G1543&lt;&gt;0,E1543*F1543*G1543,IF(E1543*F1543&lt;&gt;0,E1543*F1543,IF(F1543*G1543&lt;&gt;0,F1543*G1543,IF(E1543*G1543&lt;&gt;0,E1543*G1543,IF(E1543&lt;&gt;0,E1543,IF(F1543&lt;&gt;0,F1543,IF(G1543&lt;&gt;0,G1543,0)))))))*(IF(H1543&lt;&gt;0,H1543,1))+I1543-J1543</f>
        <v>1115.4429</v>
      </c>
      <c r="L1543" s="210"/>
    </row>
    <row r="1544" spans="2:12">
      <c r="B1544" s="256" t="s">
        <v>1967</v>
      </c>
      <c r="C1544" s="210"/>
      <c r="D1544" s="210" t="s">
        <v>152</v>
      </c>
      <c r="E1544" s="257">
        <v>165</v>
      </c>
      <c r="F1544" s="258">
        <v>0.96299999999999997</v>
      </c>
      <c r="G1544" s="257"/>
      <c r="H1544" s="257">
        <v>1.1000000000000001</v>
      </c>
      <c r="I1544" s="257"/>
      <c r="J1544" s="259"/>
      <c r="K1544" s="260">
        <f>IF(E1544*F1544*G1544&lt;&gt;0,E1544*F1544*G1544,IF(E1544*F1544&lt;&gt;0,E1544*F1544,IF(F1544*G1544&lt;&gt;0,F1544*G1544,IF(E1544*G1544&lt;&gt;0,E1544*G1544,IF(E1544&lt;&gt;0,E1544,IF(F1544&lt;&gt;0,F1544,IF(G1544&lt;&gt;0,G1544,0)))))))*(IF(H1544&lt;&gt;0,H1544,1))+I1544-J1544</f>
        <v>174.78449999999998</v>
      </c>
      <c r="L1544" s="210"/>
    </row>
    <row r="1545" spans="2:12">
      <c r="B1545" s="256" t="s">
        <v>1968</v>
      </c>
      <c r="C1545" s="210"/>
      <c r="D1545" s="210" t="s">
        <v>152</v>
      </c>
      <c r="E1545" s="257">
        <v>733</v>
      </c>
      <c r="F1545" s="258">
        <v>0.96299999999999997</v>
      </c>
      <c r="G1545" s="257"/>
      <c r="H1545" s="257">
        <v>1.1000000000000001</v>
      </c>
      <c r="I1545" s="257"/>
      <c r="J1545" s="259"/>
      <c r="K1545" s="260">
        <f>IF(E1545*F1545*G1545&lt;&gt;0,E1545*F1545*G1545,IF(E1545*F1545&lt;&gt;0,E1545*F1545,IF(F1545*G1545&lt;&gt;0,F1545*G1545,IF(E1545*G1545&lt;&gt;0,E1545*G1545,IF(E1545&lt;&gt;0,E1545,IF(F1545&lt;&gt;0,F1545,IF(G1545&lt;&gt;0,G1545,0)))))))*(IF(H1545&lt;&gt;0,H1545,1))+I1545-J1545</f>
        <v>776.46690000000012</v>
      </c>
      <c r="L1545" s="210"/>
    </row>
    <row r="1546" spans="2:12">
      <c r="B1546" s="256" t="s">
        <v>1969</v>
      </c>
      <c r="C1546" s="210"/>
      <c r="D1546" s="210" t="s">
        <v>152</v>
      </c>
      <c r="E1546" s="257"/>
      <c r="F1546" s="258"/>
      <c r="G1546" s="257"/>
      <c r="H1546" s="257"/>
      <c r="I1546" s="257"/>
      <c r="J1546" s="259"/>
      <c r="K1546" s="260">
        <f>IF(E1546*F1546*G1546&lt;&gt;0,E1546*F1546*G1546,IF(E1546*F1546&lt;&gt;0,E1546*F1546,IF(F1546*G1546&lt;&gt;0,F1546*G1546,IF(E1546*G1546&lt;&gt;0,E1546*G1546,IF(E1546&lt;&gt;0,E1546,IF(F1546&lt;&gt;0,F1546,IF(G1546&lt;&gt;0,G1546,0)))))))*(IF(H1546&lt;&gt;0,H1546,1))+I1546-J1546</f>
        <v>0</v>
      </c>
      <c r="L1546" s="210"/>
    </row>
    <row r="1547" spans="2:12">
      <c r="B1547" s="256" t="s">
        <v>1970</v>
      </c>
      <c r="C1547" s="210"/>
      <c r="D1547" s="210" t="s">
        <v>152</v>
      </c>
      <c r="E1547" s="257"/>
      <c r="F1547" s="258"/>
      <c r="G1547" s="257"/>
      <c r="H1547" s="257"/>
      <c r="I1547" s="257"/>
      <c r="J1547" s="259"/>
      <c r="K1547" s="260">
        <f>IF(E1547*F1547*G1547&lt;&gt;0,E1547*F1547*G1547,IF(E1547*F1547&lt;&gt;0,E1547*F1547,IF(F1547*G1547&lt;&gt;0,F1547*G1547,IF(E1547*G1547&lt;&gt;0,E1547*G1547,IF(E1547&lt;&gt;0,E1547,IF(F1547&lt;&gt;0,F1547,IF(G1547&lt;&gt;0,G1547,0)))))))*(IF(H1547&lt;&gt;0,H1547,1))+I1547-J1547</f>
        <v>0</v>
      </c>
      <c r="L1547" s="210"/>
    </row>
    <row r="1548" spans="2:12">
      <c r="B1548" s="328" t="s">
        <v>1971</v>
      </c>
      <c r="C1548" s="337"/>
      <c r="D1548" s="337" t="s">
        <v>152</v>
      </c>
      <c r="E1548" s="259">
        <v>62</v>
      </c>
      <c r="F1548" s="338">
        <v>0.96299999999999997</v>
      </c>
      <c r="G1548" s="259"/>
      <c r="H1548" s="259">
        <v>1.1000000000000001</v>
      </c>
      <c r="I1548" s="259"/>
      <c r="J1548" s="259"/>
      <c r="K1548" s="330"/>
      <c r="L1548" s="337"/>
    </row>
    <row r="1549" spans="2:12">
      <c r="B1549" s="256" t="s">
        <v>1972</v>
      </c>
      <c r="C1549" s="210"/>
      <c r="D1549" s="210" t="s">
        <v>152</v>
      </c>
      <c r="E1549" s="257">
        <v>203</v>
      </c>
      <c r="F1549" s="258">
        <v>0.96299999999999997</v>
      </c>
      <c r="G1549" s="257">
        <v>0.5</v>
      </c>
      <c r="H1549" s="257">
        <v>1.1000000000000001</v>
      </c>
      <c r="I1549" s="257"/>
      <c r="J1549" s="259"/>
      <c r="K1549" s="260">
        <f>IF(E1549*F1549*G1549&lt;&gt;0,E1549*F1549*G1549,IF(E1549*F1549&lt;&gt;0,E1549*F1549,IF(F1549*G1549&lt;&gt;0,F1549*G1549,IF(E1549*G1549&lt;&gt;0,E1549*G1549,IF(E1549&lt;&gt;0,E1549,IF(F1549&lt;&gt;0,F1549,IF(G1549&lt;&gt;0,G1549,0)))))))*(IF(H1549&lt;&gt;0,H1549,1))+I1549-J1549</f>
        <v>107.51895000000002</v>
      </c>
      <c r="L1549" s="210"/>
    </row>
    <row r="1550" spans="2:12">
      <c r="B1550" s="256"/>
      <c r="C1550" s="210"/>
      <c r="D1550" s="210"/>
      <c r="E1550" s="257"/>
      <c r="F1550" s="258"/>
      <c r="G1550" s="257"/>
      <c r="H1550" s="257"/>
      <c r="I1550" s="257"/>
      <c r="J1550" s="259"/>
      <c r="K1550" s="260">
        <f>IF(E1550*F1550*G1550&lt;&gt;0,E1550*F1550*G1550,IF(E1550*F1550&lt;&gt;0,E1550*F1550,IF(F1550*G1550&lt;&gt;0,F1550*G1550,IF(E1550*G1550&lt;&gt;0,E1550*G1550,IF(E1550&lt;&gt;0,E1550,IF(F1550&lt;&gt;0,F1550,IF(G1550&lt;&gt;0,G1550,0)))))))*(IF(H1550&lt;&gt;0,H1550,1))+I1550-J1550</f>
        <v>0</v>
      </c>
      <c r="L1550" s="210"/>
    </row>
    <row r="1551" spans="2:12">
      <c r="B1551" s="202"/>
      <c r="C1551" s="203"/>
      <c r="D1551" s="203"/>
      <c r="E1551" s="203"/>
      <c r="F1551" s="203"/>
      <c r="G1551" s="203"/>
      <c r="H1551" s="204"/>
      <c r="I1551" s="556" t="s">
        <v>1221</v>
      </c>
      <c r="J1551" s="556"/>
      <c r="K1551" s="220">
        <f>SUM(K1534:K1550)</f>
        <v>14508.352881000001</v>
      </c>
      <c r="L1551" s="207"/>
    </row>
    <row r="1552" spans="2:12">
      <c r="B1552" s="208"/>
      <c r="C1552" s="204"/>
      <c r="D1552" s="204"/>
      <c r="E1552" s="204"/>
      <c r="F1552" s="204"/>
      <c r="G1552" s="204"/>
      <c r="H1552" s="209"/>
      <c r="I1552" s="557" t="s">
        <v>1222</v>
      </c>
      <c r="J1552" s="557"/>
      <c r="K1552" s="221">
        <f>VLOOKUP(B1532,'BM 011'!$B$27:$R$590,5,0)</f>
        <v>15025.82</v>
      </c>
      <c r="L1552" s="207"/>
    </row>
    <row r="1553" spans="2:12">
      <c r="B1553" s="208"/>
      <c r="C1553" s="204"/>
      <c r="D1553" s="204"/>
      <c r="E1553" s="204"/>
      <c r="F1553" s="204"/>
      <c r="G1553" s="204"/>
      <c r="H1553" s="558" t="s">
        <v>1223</v>
      </c>
      <c r="I1553" s="558"/>
      <c r="J1553" s="558"/>
      <c r="K1553" s="222">
        <v>12631.908861</v>
      </c>
      <c r="L1553" s="207"/>
    </row>
    <row r="1554" spans="2:12">
      <c r="B1554" s="208"/>
      <c r="C1554" s="204"/>
      <c r="D1554" s="204"/>
      <c r="E1554" s="204"/>
      <c r="F1554" s="204"/>
      <c r="G1554" s="204"/>
      <c r="H1554" s="558" t="s">
        <v>1892</v>
      </c>
      <c r="I1554" s="558"/>
      <c r="J1554" s="558"/>
      <c r="K1554" s="222">
        <f>IF(K1551&gt;K1552,K1552-K1553,K1551-K1553)</f>
        <v>1876.4440200000008</v>
      </c>
      <c r="L1554" s="207"/>
    </row>
    <row r="1555" spans="2:12">
      <c r="B1555" s="213"/>
      <c r="C1555" s="214"/>
      <c r="D1555" s="214"/>
      <c r="E1555" s="214"/>
      <c r="F1555" s="214"/>
      <c r="G1555" s="214"/>
      <c r="H1555" s="559" t="s">
        <v>1224</v>
      </c>
      <c r="I1555" s="559"/>
      <c r="J1555" s="559"/>
      <c r="K1555" s="223">
        <f>IF(K1551&gt;K1552,K1551-K1552,0)</f>
        <v>0</v>
      </c>
      <c r="L1555" s="209"/>
    </row>
    <row r="1557" spans="2:12">
      <c r="B1557" s="247" t="s">
        <v>248</v>
      </c>
      <c r="C1557" s="565" t="str">
        <f>VLOOKUP(B1557,'BM 004'!$B$27:$R$590,2,0)</f>
        <v xml:space="preserve">Armação de laje de uma estrutura convencional de concreto armado em um edifício de múltiplos pavimentos utilizando aço ca-50 de 16,0 mm - montagem. </v>
      </c>
      <c r="D1557" s="565"/>
      <c r="E1557" s="565"/>
      <c r="F1557" s="565"/>
      <c r="G1557" s="565"/>
      <c r="H1557" s="565"/>
      <c r="I1557" s="565"/>
      <c r="J1557" s="565"/>
      <c r="K1557" s="565"/>
      <c r="L1557" s="565"/>
    </row>
    <row r="1558" spans="2:12">
      <c r="B1558" s="248" t="s">
        <v>1209</v>
      </c>
      <c r="C1558" s="248"/>
      <c r="D1558" s="248" t="s">
        <v>39</v>
      </c>
      <c r="E1558" s="248" t="s">
        <v>1210</v>
      </c>
      <c r="F1558" s="248" t="s">
        <v>1388</v>
      </c>
      <c r="G1558" s="248" t="s">
        <v>1212</v>
      </c>
      <c r="H1558" s="248" t="s">
        <v>1213</v>
      </c>
      <c r="I1558" s="248" t="s">
        <v>1214</v>
      </c>
      <c r="J1558" s="248" t="s">
        <v>1385</v>
      </c>
      <c r="K1558" s="248" t="s">
        <v>1216</v>
      </c>
      <c r="L1558" s="248" t="s">
        <v>1217</v>
      </c>
    </row>
    <row r="1559" spans="2:12">
      <c r="B1559" s="205" t="s">
        <v>1958</v>
      </c>
      <c r="C1559" s="250" t="s">
        <v>1933</v>
      </c>
      <c r="D1559" s="205" t="s">
        <v>152</v>
      </c>
      <c r="E1559" s="251">
        <v>365.1</v>
      </c>
      <c r="F1559" s="252">
        <v>1.5780000000000001</v>
      </c>
      <c r="G1559" s="251"/>
      <c r="H1559" s="251">
        <v>1.1000000000000001</v>
      </c>
      <c r="I1559" s="251"/>
      <c r="J1559" s="253"/>
      <c r="K1559" s="254">
        <f t="shared" ref="K1559:K1565" si="42">IF(E1559*F1559*G1559&lt;&gt;0,E1559*F1559*G1559,IF(E1559*F1559&lt;&gt;0,E1559*F1559,IF(F1559*G1559&lt;&gt;0,F1559*G1559,IF(E1559*G1559&lt;&gt;0,E1559*G1559,IF(E1559&lt;&gt;0,E1559,IF(F1559&lt;&gt;0,F1559,IF(G1559&lt;&gt;0,G1559,0)))))))*(IF(H1559&lt;&gt;0,H1559,1))+I1559-J1559</f>
        <v>633.74058000000014</v>
      </c>
      <c r="L1559" s="255"/>
    </row>
    <row r="1560" spans="2:12">
      <c r="B1560" s="205" t="s">
        <v>1960</v>
      </c>
      <c r="C1560" s="250" t="s">
        <v>1933</v>
      </c>
      <c r="D1560" s="205" t="s">
        <v>152</v>
      </c>
      <c r="E1560" s="251">
        <v>1168.92</v>
      </c>
      <c r="F1560" s="252">
        <v>1.5780000000000001</v>
      </c>
      <c r="G1560" s="251"/>
      <c r="H1560" s="251">
        <v>1.1000000000000001</v>
      </c>
      <c r="I1560" s="251"/>
      <c r="J1560" s="253"/>
      <c r="K1560" s="254">
        <f t="shared" si="42"/>
        <v>2029.0113360000005</v>
      </c>
      <c r="L1560" s="255"/>
    </row>
    <row r="1561" spans="2:12">
      <c r="B1561" s="205" t="s">
        <v>1961</v>
      </c>
      <c r="C1561" s="250" t="s">
        <v>1933</v>
      </c>
      <c r="D1561" s="205" t="s">
        <v>152</v>
      </c>
      <c r="E1561" s="251">
        <v>758.08</v>
      </c>
      <c r="F1561" s="252">
        <v>1.5780000000000001</v>
      </c>
      <c r="G1561" s="251"/>
      <c r="H1561" s="251">
        <v>1.1000000000000001</v>
      </c>
      <c r="I1561" s="251"/>
      <c r="J1561" s="253"/>
      <c r="K1561" s="254">
        <f t="shared" si="42"/>
        <v>1315.8752640000002</v>
      </c>
      <c r="L1561" s="255"/>
    </row>
    <row r="1562" spans="2:12">
      <c r="B1562" s="205" t="s">
        <v>1962</v>
      </c>
      <c r="C1562" s="250" t="s">
        <v>1931</v>
      </c>
      <c r="D1562" s="205" t="s">
        <v>152</v>
      </c>
      <c r="E1562" s="251">
        <v>4827</v>
      </c>
      <c r="F1562" s="252">
        <v>1.5780000000000001</v>
      </c>
      <c r="G1562" s="251">
        <v>0.5</v>
      </c>
      <c r="H1562" s="251">
        <v>1.1000000000000001</v>
      </c>
      <c r="I1562" s="251"/>
      <c r="J1562" s="253"/>
      <c r="K1562" s="254">
        <f t="shared" si="42"/>
        <v>4189.3533000000007</v>
      </c>
      <c r="L1562" s="255"/>
    </row>
    <row r="1563" spans="2:12">
      <c r="B1563" s="205" t="s">
        <v>1962</v>
      </c>
      <c r="C1563" s="250" t="s">
        <v>1998</v>
      </c>
      <c r="D1563" s="205" t="s">
        <v>152</v>
      </c>
      <c r="E1563" s="251">
        <v>4827</v>
      </c>
      <c r="F1563" s="252">
        <v>1.5780000000000001</v>
      </c>
      <c r="G1563" s="251">
        <v>0.5</v>
      </c>
      <c r="H1563" s="251">
        <v>1.1000000000000001</v>
      </c>
      <c r="I1563" s="251"/>
      <c r="J1563" s="253"/>
      <c r="K1563" s="254">
        <f t="shared" si="42"/>
        <v>4189.3533000000007</v>
      </c>
      <c r="L1563" s="255"/>
    </row>
    <row r="1564" spans="2:12">
      <c r="B1564" s="324" t="s">
        <v>1963</v>
      </c>
      <c r="C1564" s="324" t="s">
        <v>1931</v>
      </c>
      <c r="D1564" s="324" t="s">
        <v>152</v>
      </c>
      <c r="E1564" s="342">
        <v>2687</v>
      </c>
      <c r="F1564" s="343">
        <v>1.5780000000000001</v>
      </c>
      <c r="G1564" s="342">
        <v>0.5</v>
      </c>
      <c r="H1564" s="342">
        <v>1.1000000000000001</v>
      </c>
      <c r="I1564" s="342"/>
      <c r="J1564" s="342"/>
      <c r="K1564" s="254">
        <f t="shared" si="42"/>
        <v>2332.0473000000002</v>
      </c>
      <c r="L1564" s="344"/>
    </row>
    <row r="1565" spans="2:12">
      <c r="B1565" s="205" t="s">
        <v>1962</v>
      </c>
      <c r="C1565" s="250" t="s">
        <v>1998</v>
      </c>
      <c r="D1565" s="205" t="s">
        <v>152</v>
      </c>
      <c r="E1565" s="251">
        <v>4827</v>
      </c>
      <c r="F1565" s="252">
        <v>1.5780000000000001</v>
      </c>
      <c r="G1565" s="251">
        <v>0.5</v>
      </c>
      <c r="H1565" s="251">
        <v>1.1000000000000001</v>
      </c>
      <c r="I1565" s="251"/>
      <c r="J1565" s="253"/>
      <c r="K1565" s="254">
        <f t="shared" si="42"/>
        <v>4189.3533000000007</v>
      </c>
      <c r="L1565" s="255"/>
    </row>
    <row r="1566" spans="2:12">
      <c r="B1566" s="329" t="s">
        <v>1964</v>
      </c>
      <c r="C1566" s="329" t="s">
        <v>1931</v>
      </c>
      <c r="D1566" s="329" t="s">
        <v>152</v>
      </c>
      <c r="E1566" s="253">
        <v>253</v>
      </c>
      <c r="F1566" s="334">
        <v>1.5780000000000001</v>
      </c>
      <c r="G1566" s="253"/>
      <c r="H1566" s="253">
        <v>1.1000000000000001</v>
      </c>
      <c r="I1566" s="253"/>
      <c r="J1566" s="253"/>
      <c r="K1566" s="335"/>
      <c r="L1566" s="336"/>
    </row>
    <row r="1567" spans="2:12">
      <c r="B1567" s="337" t="s">
        <v>1965</v>
      </c>
      <c r="C1567" s="337" t="s">
        <v>1931</v>
      </c>
      <c r="D1567" s="337" t="s">
        <v>152</v>
      </c>
      <c r="E1567" s="259"/>
      <c r="F1567" s="338"/>
      <c r="G1567" s="259"/>
      <c r="H1567" s="259"/>
      <c r="I1567" s="259"/>
      <c r="J1567" s="259"/>
      <c r="K1567" s="335"/>
      <c r="L1567" s="337"/>
    </row>
    <row r="1568" spans="2:12">
      <c r="B1568" s="210" t="s">
        <v>1966</v>
      </c>
      <c r="C1568" s="264" t="s">
        <v>1931</v>
      </c>
      <c r="D1568" s="210" t="s">
        <v>152</v>
      </c>
      <c r="E1568" s="257">
        <v>584</v>
      </c>
      <c r="F1568" s="258">
        <v>1.5780000000000001</v>
      </c>
      <c r="G1568" s="257"/>
      <c r="H1568" s="257">
        <v>1.1000000000000001</v>
      </c>
      <c r="I1568" s="257"/>
      <c r="J1568" s="259"/>
      <c r="K1568" s="254">
        <f>IF(E1568*F1568*G1568&lt;&gt;0,E1568*F1568*G1568,IF(E1568*F1568&lt;&gt;0,E1568*F1568,IF(F1568*G1568&lt;&gt;0,F1568*G1568,IF(E1568*G1568&lt;&gt;0,E1568*G1568,IF(E1568&lt;&gt;0,E1568,IF(F1568&lt;&gt;0,F1568,IF(G1568&lt;&gt;0,G1568,0)))))))*(IF(H1568&lt;&gt;0,H1568,1))+I1568-J1568</f>
        <v>1013.7072000000001</v>
      </c>
      <c r="L1568" s="210"/>
    </row>
    <row r="1569" spans="2:12">
      <c r="B1569" s="210" t="s">
        <v>1967</v>
      </c>
      <c r="C1569" s="264" t="s">
        <v>1931</v>
      </c>
      <c r="D1569" s="210" t="s">
        <v>152</v>
      </c>
      <c r="E1569" s="257">
        <v>722</v>
      </c>
      <c r="F1569" s="258">
        <v>1.5780000000000001</v>
      </c>
      <c r="G1569" s="257"/>
      <c r="H1569" s="257">
        <v>1.1000000000000001</v>
      </c>
      <c r="I1569" s="257"/>
      <c r="J1569" s="259"/>
      <c r="K1569" s="254">
        <f>IF(E1569*F1569*G1569&lt;&gt;0,E1569*F1569*G1569,IF(E1569*F1569&lt;&gt;0,E1569*F1569,IF(F1569*G1569&lt;&gt;0,F1569*G1569,IF(E1569*G1569&lt;&gt;0,E1569*G1569,IF(E1569&lt;&gt;0,E1569,IF(F1569&lt;&gt;0,F1569,IF(G1569&lt;&gt;0,G1569,0)))))))*(IF(H1569&lt;&gt;0,H1569,1))+I1569-J1569</f>
        <v>1253.2476000000001</v>
      </c>
      <c r="L1569" s="210"/>
    </row>
    <row r="1570" spans="2:12">
      <c r="B1570" s="210" t="s">
        <v>1968</v>
      </c>
      <c r="C1570" s="264" t="s">
        <v>1931</v>
      </c>
      <c r="D1570" s="210" t="s">
        <v>152</v>
      </c>
      <c r="E1570" s="257">
        <v>5626</v>
      </c>
      <c r="F1570" s="258">
        <v>1.5780000000000001</v>
      </c>
      <c r="G1570" s="257">
        <v>0.5</v>
      </c>
      <c r="H1570" s="257">
        <v>1.1000000000000001</v>
      </c>
      <c r="I1570" s="257"/>
      <c r="J1570" s="259"/>
      <c r="K1570" s="254">
        <f>IF(E1570*F1570*G1570&lt;&gt;0,E1570*F1570*G1570,IF(E1570*F1570&lt;&gt;0,E1570*F1570,IF(F1570*G1570&lt;&gt;0,F1570*G1570,IF(E1570*G1570&lt;&gt;0,E1570*G1570,IF(E1570&lt;&gt;0,E1570,IF(F1570&lt;&gt;0,F1570,IF(G1570&lt;&gt;0,G1570,0)))))))*(IF(H1570&lt;&gt;0,H1570,1))+I1570-J1570</f>
        <v>4882.8054000000002</v>
      </c>
      <c r="L1570" s="210"/>
    </row>
    <row r="1571" spans="2:12">
      <c r="B1571" s="210" t="s">
        <v>1969</v>
      </c>
      <c r="C1571" s="264" t="s">
        <v>1931</v>
      </c>
      <c r="D1571" s="210" t="s">
        <v>152</v>
      </c>
      <c r="E1571" s="257"/>
      <c r="F1571" s="258"/>
      <c r="G1571" s="257"/>
      <c r="H1571" s="257"/>
      <c r="I1571" s="257"/>
      <c r="J1571" s="259"/>
      <c r="K1571" s="254">
        <f>IF(E1571*F1571*G1571&lt;&gt;0,E1571*F1571*G1571,IF(E1571*F1571&lt;&gt;0,E1571*F1571,IF(F1571*G1571&lt;&gt;0,F1571*G1571,IF(E1571*G1571&lt;&gt;0,E1571*G1571,IF(E1571&lt;&gt;0,E1571,IF(F1571&lt;&gt;0,F1571,IF(G1571&lt;&gt;0,G1571,0)))))))*(IF(H1571&lt;&gt;0,H1571,1))+I1571-J1571</f>
        <v>0</v>
      </c>
      <c r="L1571" s="210"/>
    </row>
    <row r="1572" spans="2:12">
      <c r="B1572" s="210" t="s">
        <v>1970</v>
      </c>
      <c r="C1572" s="264" t="s">
        <v>1931</v>
      </c>
      <c r="D1572" s="210" t="s">
        <v>152</v>
      </c>
      <c r="E1572" s="257"/>
      <c r="F1572" s="258"/>
      <c r="G1572" s="257"/>
      <c r="H1572" s="257"/>
      <c r="I1572" s="257"/>
      <c r="J1572" s="259"/>
      <c r="K1572" s="254">
        <f>IF(E1572*F1572*G1572&lt;&gt;0,E1572*F1572*G1572,IF(E1572*F1572&lt;&gt;0,E1572*F1572,IF(F1572*G1572&lt;&gt;0,F1572*G1572,IF(E1572*G1572&lt;&gt;0,E1572*G1572,IF(E1572&lt;&gt;0,E1572,IF(F1572&lt;&gt;0,F1572,IF(G1572&lt;&gt;0,G1572,0)))))))*(IF(H1572&lt;&gt;0,H1572,1))+I1572-J1572</f>
        <v>0</v>
      </c>
      <c r="L1572" s="210"/>
    </row>
    <row r="1573" spans="2:12">
      <c r="B1573" s="337" t="s">
        <v>1971</v>
      </c>
      <c r="C1573" s="264"/>
      <c r="D1573" s="337" t="s">
        <v>152</v>
      </c>
      <c r="E1573" s="259">
        <v>583</v>
      </c>
      <c r="F1573" s="338">
        <v>1.5780000000000001</v>
      </c>
      <c r="G1573" s="259"/>
      <c r="H1573" s="259">
        <v>1.1000000000000001</v>
      </c>
      <c r="I1573" s="259"/>
      <c r="J1573" s="259"/>
      <c r="K1573" s="335"/>
      <c r="L1573" s="337"/>
    </row>
    <row r="1574" spans="2:12">
      <c r="B1574" s="210" t="s">
        <v>1972</v>
      </c>
      <c r="C1574" s="264" t="s">
        <v>1931</v>
      </c>
      <c r="D1574" s="210" t="s">
        <v>152</v>
      </c>
      <c r="E1574" s="257"/>
      <c r="F1574" s="258"/>
      <c r="G1574" s="257"/>
      <c r="H1574" s="257"/>
      <c r="I1574" s="257"/>
      <c r="J1574" s="259"/>
      <c r="K1574" s="254">
        <f>IF(E1574*F1574*G1574&lt;&gt;0,E1574*F1574*G1574,IF(E1574*F1574&lt;&gt;0,E1574*F1574,IF(F1574*G1574&lt;&gt;0,F1574*G1574,IF(E1574*G1574&lt;&gt;0,E1574*G1574,IF(E1574&lt;&gt;0,E1574,IF(F1574&lt;&gt;0,F1574,IF(G1574&lt;&gt;0,G1574,0)))))))*(IF(H1574&lt;&gt;0,H1574,1))+I1574-J1574</f>
        <v>0</v>
      </c>
      <c r="L1574" s="210"/>
    </row>
    <row r="1575" spans="2:12">
      <c r="B1575" s="210"/>
      <c r="C1575" s="210"/>
      <c r="D1575" s="210"/>
      <c r="E1575" s="257"/>
      <c r="F1575" s="258"/>
      <c r="G1575" s="257"/>
      <c r="H1575" s="257"/>
      <c r="I1575" s="257"/>
      <c r="J1575" s="259"/>
      <c r="K1575" s="260">
        <f>IF(E1575*F1575*G1575&lt;&gt;0,E1575*F1575*G1575,IF(E1575*F1575&lt;&gt;0,E1575*F1575,IF(F1575*G1575&lt;&gt;0,F1575*G1575,IF(E1575*G1575&lt;&gt;0,E1575*G1575,IF(E1575&lt;&gt;0,E1575,IF(F1575&lt;&gt;0,F1575,IF(G1575&lt;&gt;0,G1575,0)))))))*(IF(H1575&lt;&gt;0,H1575,1))+I1575-J1575</f>
        <v>0</v>
      </c>
      <c r="L1575" s="210"/>
    </row>
    <row r="1576" spans="2:12">
      <c r="B1576" s="202"/>
      <c r="C1576" s="203"/>
      <c r="D1576" s="203"/>
      <c r="E1576" s="203"/>
      <c r="F1576" s="203"/>
      <c r="G1576" s="203"/>
      <c r="H1576" s="204"/>
      <c r="I1576" s="556" t="s">
        <v>1221</v>
      </c>
      <c r="J1576" s="556"/>
      <c r="K1576" s="220">
        <f>SUM(K1559:K1575)</f>
        <v>26028.494580000002</v>
      </c>
      <c r="L1576" s="207"/>
    </row>
    <row r="1577" spans="2:12">
      <c r="B1577" s="208"/>
      <c r="C1577" s="204"/>
      <c r="D1577" s="204"/>
      <c r="E1577" s="204"/>
      <c r="F1577" s="204"/>
      <c r="G1577" s="204"/>
      <c r="H1577" s="209"/>
      <c r="I1577" s="557" t="s">
        <v>1222</v>
      </c>
      <c r="J1577" s="557"/>
      <c r="K1577" s="221">
        <f>VLOOKUP(B1557,'BM 011'!$B$27:$R$590,5,0)</f>
        <v>30505.119999999999</v>
      </c>
      <c r="L1577" s="207"/>
    </row>
    <row r="1578" spans="2:12">
      <c r="B1578" s="208"/>
      <c r="C1578" s="204"/>
      <c r="D1578" s="204"/>
      <c r="E1578" s="204"/>
      <c r="F1578" s="204"/>
      <c r="G1578" s="204"/>
      <c r="H1578" s="558" t="s">
        <v>1223</v>
      </c>
      <c r="I1578" s="558"/>
      <c r="J1578" s="558"/>
      <c r="K1578" s="222">
        <v>17649.787980000001</v>
      </c>
      <c r="L1578" s="207"/>
    </row>
    <row r="1579" spans="2:12">
      <c r="B1579" s="208"/>
      <c r="C1579" s="204"/>
      <c r="D1579" s="204"/>
      <c r="E1579" s="204"/>
      <c r="F1579" s="204"/>
      <c r="G1579" s="204"/>
      <c r="H1579" s="558" t="s">
        <v>1892</v>
      </c>
      <c r="I1579" s="558"/>
      <c r="J1579" s="558"/>
      <c r="K1579" s="222">
        <f>IF(K1576&gt;K1577,K1577-K1578,K1576-K1578)</f>
        <v>8378.7066000000013</v>
      </c>
      <c r="L1579" s="207"/>
    </row>
    <row r="1580" spans="2:12">
      <c r="B1580" s="213"/>
      <c r="C1580" s="214"/>
      <c r="D1580" s="214"/>
      <c r="E1580" s="214"/>
      <c r="F1580" s="214"/>
      <c r="G1580" s="214"/>
      <c r="H1580" s="559" t="s">
        <v>1224</v>
      </c>
      <c r="I1580" s="559"/>
      <c r="J1580" s="559"/>
      <c r="K1580" s="223">
        <f>IF(K1576&gt;K1577,K1576-K1577,0)</f>
        <v>0</v>
      </c>
      <c r="L1580" s="209"/>
    </row>
    <row r="1582" spans="2:12">
      <c r="B1582" s="247" t="s">
        <v>250</v>
      </c>
      <c r="C1582" s="565" t="str">
        <f>VLOOKUP(B1582,'BM 004'!$B$27:$R$590,2,0)</f>
        <v xml:space="preserve">Armação de laje de uma estrutura convencional de concreto armado em um edifício de múltiplos pavimentos utilizando aço ca-50 de 20,0 mm - montagem. </v>
      </c>
      <c r="D1582" s="565"/>
      <c r="E1582" s="565"/>
      <c r="F1582" s="565"/>
      <c r="G1582" s="565"/>
      <c r="H1582" s="565"/>
      <c r="I1582" s="565"/>
      <c r="J1582" s="565"/>
      <c r="K1582" s="565"/>
      <c r="L1582" s="565"/>
    </row>
    <row r="1583" spans="2:12">
      <c r="B1583" s="248" t="s">
        <v>1209</v>
      </c>
      <c r="C1583" s="248"/>
      <c r="D1583" s="248" t="s">
        <v>39</v>
      </c>
      <c r="E1583" s="248" t="s">
        <v>1210</v>
      </c>
      <c r="F1583" s="248" t="s">
        <v>1388</v>
      </c>
      <c r="G1583" s="248" t="s">
        <v>1212</v>
      </c>
      <c r="H1583" s="248" t="s">
        <v>1213</v>
      </c>
      <c r="I1583" s="248" t="s">
        <v>1214</v>
      </c>
      <c r="J1583" s="248" t="s">
        <v>1385</v>
      </c>
      <c r="K1583" s="248" t="s">
        <v>1216</v>
      </c>
      <c r="L1583" s="248" t="s">
        <v>1217</v>
      </c>
    </row>
    <row r="1584" spans="2:12">
      <c r="B1584" s="205" t="s">
        <v>1958</v>
      </c>
      <c r="C1584" s="250"/>
      <c r="D1584" s="205" t="s">
        <v>152</v>
      </c>
      <c r="E1584" s="251">
        <v>154.41999999999999</v>
      </c>
      <c r="F1584" s="252">
        <v>2.4660000000000002</v>
      </c>
      <c r="G1584" s="251"/>
      <c r="H1584" s="251">
        <v>1.1000000000000001</v>
      </c>
      <c r="I1584" s="251"/>
      <c r="J1584" s="253"/>
      <c r="K1584" s="254">
        <f t="shared" ref="K1584:K1590" si="43">IF(E1584*F1584*G1584&lt;&gt;0,E1584*F1584*G1584,IF(E1584*F1584&lt;&gt;0,E1584*F1584,IF(F1584*G1584&lt;&gt;0,F1584*G1584,IF(E1584*G1584&lt;&gt;0,E1584*G1584,IF(E1584&lt;&gt;0,E1584,IF(F1584&lt;&gt;0,F1584,IF(G1584&lt;&gt;0,G1584,0)))))))*(IF(H1584&lt;&gt;0,H1584,1))+I1584-J1584</f>
        <v>418.87969200000003</v>
      </c>
      <c r="L1584" s="255"/>
    </row>
    <row r="1585" spans="2:12">
      <c r="B1585" s="205" t="s">
        <v>1960</v>
      </c>
      <c r="C1585" s="250"/>
      <c r="D1585" s="205" t="s">
        <v>152</v>
      </c>
      <c r="E1585" s="251">
        <v>1019.89</v>
      </c>
      <c r="F1585" s="252">
        <v>2.4660000000000002</v>
      </c>
      <c r="G1585" s="251"/>
      <c r="H1585" s="251">
        <v>1.1000000000000001</v>
      </c>
      <c r="I1585" s="251"/>
      <c r="J1585" s="253"/>
      <c r="K1585" s="254">
        <f t="shared" si="43"/>
        <v>2766.5536140000004</v>
      </c>
      <c r="L1585" s="255"/>
    </row>
    <row r="1586" spans="2:12">
      <c r="B1586" s="205" t="s">
        <v>1961</v>
      </c>
      <c r="C1586" s="250"/>
      <c r="D1586" s="205" t="s">
        <v>152</v>
      </c>
      <c r="E1586" s="251">
        <v>156.41999999999999</v>
      </c>
      <c r="F1586" s="252">
        <v>2.4660000000000002</v>
      </c>
      <c r="G1586" s="251"/>
      <c r="H1586" s="251">
        <v>1.1000000000000001</v>
      </c>
      <c r="I1586" s="251"/>
      <c r="J1586" s="253"/>
      <c r="K1586" s="254">
        <f t="shared" si="43"/>
        <v>424.30489200000005</v>
      </c>
      <c r="L1586" s="255"/>
    </row>
    <row r="1587" spans="2:12">
      <c r="B1587" s="205" t="s">
        <v>1962</v>
      </c>
      <c r="C1587" s="250"/>
      <c r="D1587" s="205" t="s">
        <v>152</v>
      </c>
      <c r="E1587" s="251">
        <v>1778</v>
      </c>
      <c r="F1587" s="252">
        <v>2.4660000000000002</v>
      </c>
      <c r="G1587" s="251">
        <v>0.84</v>
      </c>
      <c r="H1587" s="251">
        <v>1.1000000000000001</v>
      </c>
      <c r="I1587" s="251"/>
      <c r="J1587" s="253"/>
      <c r="K1587" s="254">
        <f t="shared" si="43"/>
        <v>4051.322352000001</v>
      </c>
      <c r="L1587" s="255"/>
    </row>
    <row r="1588" spans="2:12">
      <c r="B1588" s="205" t="s">
        <v>1962</v>
      </c>
      <c r="C1588" s="250"/>
      <c r="D1588" s="205" t="s">
        <v>152</v>
      </c>
      <c r="E1588" s="251">
        <v>1778</v>
      </c>
      <c r="F1588" s="252">
        <v>2.4660000000000002</v>
      </c>
      <c r="G1588" s="251">
        <v>0.16</v>
      </c>
      <c r="H1588" s="251">
        <v>1.1000000000000001</v>
      </c>
      <c r="I1588" s="251"/>
      <c r="J1588" s="253"/>
      <c r="K1588" s="254">
        <f t="shared" si="43"/>
        <v>771.68044800000018</v>
      </c>
      <c r="L1588" s="255"/>
    </row>
    <row r="1589" spans="2:12">
      <c r="B1589" s="205" t="s">
        <v>1963</v>
      </c>
      <c r="C1589" s="250"/>
      <c r="D1589" s="205" t="s">
        <v>152</v>
      </c>
      <c r="E1589" s="251">
        <v>4194</v>
      </c>
      <c r="F1589" s="252">
        <v>2.4660000000000002</v>
      </c>
      <c r="G1589" s="251">
        <v>0.84</v>
      </c>
      <c r="H1589" s="251">
        <v>1.1000000000000001</v>
      </c>
      <c r="I1589" s="251"/>
      <c r="J1589" s="253"/>
      <c r="K1589" s="254">
        <f t="shared" si="43"/>
        <v>9556.3812960000014</v>
      </c>
      <c r="L1589" s="255"/>
    </row>
    <row r="1590" spans="2:12">
      <c r="B1590" s="205" t="s">
        <v>1963</v>
      </c>
      <c r="C1590" s="250"/>
      <c r="D1590" s="205" t="s">
        <v>152</v>
      </c>
      <c r="E1590" s="251">
        <v>4194</v>
      </c>
      <c r="F1590" s="252">
        <v>2.4660000000000002</v>
      </c>
      <c r="G1590" s="251">
        <v>0.16</v>
      </c>
      <c r="H1590" s="251">
        <v>1.1000000000000001</v>
      </c>
      <c r="I1590" s="251"/>
      <c r="J1590" s="253"/>
      <c r="K1590" s="254">
        <f t="shared" si="43"/>
        <v>1820.2631040000003</v>
      </c>
      <c r="L1590" s="255"/>
    </row>
    <row r="1591" spans="2:12">
      <c r="B1591" s="329" t="s">
        <v>1964</v>
      </c>
      <c r="C1591" s="329"/>
      <c r="D1591" s="329" t="s">
        <v>152</v>
      </c>
      <c r="E1591" s="253">
        <v>655</v>
      </c>
      <c r="F1591" s="334">
        <v>2.4660000000000002</v>
      </c>
      <c r="G1591" s="253"/>
      <c r="H1591" s="253">
        <v>1.1000000000000001</v>
      </c>
      <c r="I1591" s="253"/>
      <c r="J1591" s="253"/>
      <c r="K1591" s="335"/>
      <c r="L1591" s="336"/>
    </row>
    <row r="1592" spans="2:12">
      <c r="B1592" s="329" t="s">
        <v>1965</v>
      </c>
      <c r="C1592" s="329"/>
      <c r="D1592" s="329" t="s">
        <v>152</v>
      </c>
      <c r="E1592" s="253"/>
      <c r="F1592" s="334"/>
      <c r="G1592" s="253"/>
      <c r="H1592" s="253"/>
      <c r="I1592" s="253"/>
      <c r="J1592" s="253"/>
      <c r="K1592" s="335"/>
      <c r="L1592" s="336"/>
    </row>
    <row r="1593" spans="2:12">
      <c r="B1593" s="205" t="s">
        <v>1966</v>
      </c>
      <c r="C1593" s="250"/>
      <c r="D1593" s="205" t="s">
        <v>152</v>
      </c>
      <c r="E1593" s="251">
        <v>51</v>
      </c>
      <c r="F1593" s="252">
        <v>2.4660000000000002</v>
      </c>
      <c r="G1593" s="251"/>
      <c r="H1593" s="251">
        <v>1.1000000000000001</v>
      </c>
      <c r="I1593" s="251"/>
      <c r="J1593" s="253"/>
      <c r="K1593" s="254">
        <f>IF(E1593*F1593*G1593&lt;&gt;0,E1593*F1593*G1593,IF(E1593*F1593&lt;&gt;0,E1593*F1593,IF(F1593*G1593&lt;&gt;0,F1593*G1593,IF(E1593*G1593&lt;&gt;0,E1593*G1593,IF(E1593&lt;&gt;0,E1593,IF(F1593&lt;&gt;0,F1593,IF(G1593&lt;&gt;0,G1593,0)))))))*(IF(H1593&lt;&gt;0,H1593,1))+I1593-J1593</f>
        <v>138.3426</v>
      </c>
      <c r="L1593" s="255"/>
    </row>
    <row r="1594" spans="2:12">
      <c r="B1594" s="205" t="s">
        <v>1967</v>
      </c>
      <c r="C1594" s="264"/>
      <c r="D1594" s="210" t="s">
        <v>152</v>
      </c>
      <c r="E1594" s="257">
        <v>298</v>
      </c>
      <c r="F1594" s="258">
        <v>2.4660000000000002</v>
      </c>
      <c r="G1594" s="257"/>
      <c r="H1594" s="257">
        <v>1.1000000000000001</v>
      </c>
      <c r="I1594" s="257"/>
      <c r="J1594" s="253"/>
      <c r="K1594" s="254">
        <f>IF(E1594*F1594*G1594&lt;&gt;0,E1594*F1594*G1594,IF(E1594*F1594&lt;&gt;0,E1594*F1594,IF(F1594*G1594&lt;&gt;0,F1594*G1594,IF(E1594*G1594&lt;&gt;0,E1594*G1594,IF(E1594&lt;&gt;0,E1594,IF(F1594&lt;&gt;0,F1594,IF(G1594&lt;&gt;0,G1594,0)))))))*(IF(H1594&lt;&gt;0,H1594,1))+I1594-J1594</f>
        <v>808.35480000000007</v>
      </c>
      <c r="L1594" s="255"/>
    </row>
    <row r="1595" spans="2:12">
      <c r="B1595" s="205" t="s">
        <v>1968</v>
      </c>
      <c r="C1595" s="250"/>
      <c r="D1595" s="205" t="s">
        <v>152</v>
      </c>
      <c r="E1595" s="251">
        <v>804</v>
      </c>
      <c r="F1595" s="252">
        <v>2.4660000000000002</v>
      </c>
      <c r="G1595" s="251"/>
      <c r="H1595" s="251">
        <v>1.1000000000000001</v>
      </c>
      <c r="I1595" s="251"/>
      <c r="J1595" s="253"/>
      <c r="K1595" s="254">
        <f>IF(E1595*F1595*G1595&lt;&gt;0,E1595*F1595*G1595,IF(E1595*F1595&lt;&gt;0,E1595*F1595,IF(F1595*G1595&lt;&gt;0,F1595*G1595,IF(E1595*G1595&lt;&gt;0,E1595*G1595,IF(E1595&lt;&gt;0,E1595,IF(F1595&lt;&gt;0,F1595,IF(G1595&lt;&gt;0,G1595,0)))))))*(IF(H1595&lt;&gt;0,H1595,1))+I1595-J1595</f>
        <v>2180.9304000000002</v>
      </c>
      <c r="L1595" s="255"/>
    </row>
    <row r="1596" spans="2:12">
      <c r="B1596" s="205" t="s">
        <v>1969</v>
      </c>
      <c r="C1596" s="250"/>
      <c r="D1596" s="205" t="s">
        <v>152</v>
      </c>
      <c r="E1596" s="251"/>
      <c r="F1596" s="252"/>
      <c r="G1596" s="251"/>
      <c r="H1596" s="251"/>
      <c r="I1596" s="251"/>
      <c r="J1596" s="253"/>
      <c r="K1596" s="254">
        <f>IF(E1596*F1596*G1596&lt;&gt;0,E1596*F1596*G1596,IF(E1596*F1596&lt;&gt;0,E1596*F1596,IF(F1596*G1596&lt;&gt;0,F1596*G1596,IF(E1596*G1596&lt;&gt;0,E1596*G1596,IF(E1596&lt;&gt;0,E1596,IF(F1596&lt;&gt;0,F1596,IF(G1596&lt;&gt;0,G1596,0)))))))*(IF(H1596&lt;&gt;0,H1596,1))+I1596-J1596</f>
        <v>0</v>
      </c>
      <c r="L1596" s="255"/>
    </row>
    <row r="1597" spans="2:12">
      <c r="B1597" s="205" t="s">
        <v>1970</v>
      </c>
      <c r="C1597" s="250"/>
      <c r="D1597" s="205" t="s">
        <v>152</v>
      </c>
      <c r="E1597" s="251"/>
      <c r="F1597" s="252"/>
      <c r="G1597" s="251"/>
      <c r="H1597" s="251"/>
      <c r="I1597" s="257"/>
      <c r="J1597" s="259"/>
      <c r="K1597" s="254">
        <f>IF(E1597*F1597*G1597&lt;&gt;0,E1597*F1597*G1597,IF(E1597*F1597&lt;&gt;0,E1597*F1597,IF(F1597*G1597&lt;&gt;0,F1597*G1597,IF(E1597*G1597&lt;&gt;0,E1597*G1597,IF(E1597&lt;&gt;0,E1597,IF(F1597&lt;&gt;0,F1597,IF(G1597&lt;&gt;0,G1597,0)))))))*(IF(H1597&lt;&gt;0,H1597,1))+I1597-J1597</f>
        <v>0</v>
      </c>
      <c r="L1597" s="210"/>
    </row>
    <row r="1598" spans="2:12">
      <c r="B1598" s="337" t="s">
        <v>1971</v>
      </c>
      <c r="C1598" s="337"/>
      <c r="D1598" s="337" t="s">
        <v>152</v>
      </c>
      <c r="E1598" s="259">
        <v>367</v>
      </c>
      <c r="F1598" s="338">
        <v>2.4660000000000002</v>
      </c>
      <c r="G1598" s="259"/>
      <c r="H1598" s="259">
        <v>1.1000000000000001</v>
      </c>
      <c r="I1598" s="259"/>
      <c r="J1598" s="259"/>
      <c r="K1598" s="335"/>
      <c r="L1598" s="337"/>
    </row>
    <row r="1599" spans="2:12">
      <c r="B1599" s="256"/>
      <c r="C1599" s="210"/>
      <c r="D1599" s="210"/>
      <c r="E1599" s="257"/>
      <c r="F1599" s="258"/>
      <c r="G1599" s="257"/>
      <c r="H1599" s="257"/>
      <c r="I1599" s="257"/>
      <c r="J1599" s="259"/>
      <c r="K1599" s="260">
        <f>IF(E1599*F1599*G1599&lt;&gt;0,E1599*F1599*G1599,IF(E1599*F1599&lt;&gt;0,E1599*F1599,IF(F1599*G1599&lt;&gt;0,F1599*G1599,IF(E1599*G1599&lt;&gt;0,E1599*G1599,IF(E1599&lt;&gt;0,E1599,IF(F1599&lt;&gt;0,F1599,IF(G1599&lt;&gt;0,G1599,0)))))))*(IF(H1599&lt;&gt;0,H1599,1))+I1599-J1599</f>
        <v>0</v>
      </c>
      <c r="L1599" s="210"/>
    </row>
    <row r="1600" spans="2:12">
      <c r="B1600" s="202"/>
      <c r="C1600" s="203"/>
      <c r="D1600" s="203"/>
      <c r="E1600" s="203"/>
      <c r="F1600" s="203"/>
      <c r="G1600" s="203"/>
      <c r="H1600" s="204"/>
      <c r="I1600" s="556" t="s">
        <v>1221</v>
      </c>
      <c r="J1600" s="556"/>
      <c r="K1600" s="220">
        <f>SUM(K1584:K1599)</f>
        <v>22937.013198000008</v>
      </c>
      <c r="L1600" s="207"/>
    </row>
    <row r="1601" spans="2:12">
      <c r="B1601" s="208"/>
      <c r="C1601" s="204"/>
      <c r="D1601" s="204"/>
      <c r="E1601" s="204"/>
      <c r="F1601" s="204"/>
      <c r="G1601" s="204"/>
      <c r="H1601" s="209"/>
      <c r="I1601" s="557" t="s">
        <v>1222</v>
      </c>
      <c r="J1601" s="557"/>
      <c r="K1601" s="221">
        <f>VLOOKUP(B1582,'BM 011'!$B$27:$R$590,5,0)</f>
        <v>25709.29</v>
      </c>
      <c r="L1601" s="207"/>
    </row>
    <row r="1602" spans="2:12">
      <c r="B1602" s="208"/>
      <c r="C1602" s="204"/>
      <c r="D1602" s="204"/>
      <c r="E1602" s="204"/>
      <c r="F1602" s="204"/>
      <c r="G1602" s="204"/>
      <c r="H1602" s="558" t="s">
        <v>1223</v>
      </c>
      <c r="I1602" s="558"/>
      <c r="J1602" s="558"/>
      <c r="K1602" s="222">
        <v>20345.069646</v>
      </c>
      <c r="L1602" s="207"/>
    </row>
    <row r="1603" spans="2:12">
      <c r="B1603" s="208"/>
      <c r="C1603" s="204"/>
      <c r="D1603" s="204"/>
      <c r="E1603" s="204"/>
      <c r="F1603" s="204"/>
      <c r="G1603" s="204"/>
      <c r="H1603" s="558" t="s">
        <v>1892</v>
      </c>
      <c r="I1603" s="558"/>
      <c r="J1603" s="558"/>
      <c r="K1603" s="222">
        <f>IF(K1600&gt;K1601,K1601-K1602,K1600-K1602)</f>
        <v>2591.9435520000079</v>
      </c>
      <c r="L1603" s="207"/>
    </row>
    <row r="1604" spans="2:12">
      <c r="B1604" s="213"/>
      <c r="C1604" s="214"/>
      <c r="D1604" s="214"/>
      <c r="E1604" s="214"/>
      <c r="F1604" s="214"/>
      <c r="G1604" s="214"/>
      <c r="H1604" s="559" t="s">
        <v>1224</v>
      </c>
      <c r="I1604" s="559"/>
      <c r="J1604" s="559"/>
      <c r="K1604" s="223">
        <f>IF(K1600&gt;K1601,K1600-K1601,0)</f>
        <v>0</v>
      </c>
      <c r="L1604" s="209"/>
    </row>
    <row r="1606" spans="2:12">
      <c r="B1606" s="247" t="s">
        <v>252</v>
      </c>
      <c r="C1606" s="565" t="str">
        <f>VLOOKUP(B1606,'BM 004'!$B$27:$R$590,2,0)</f>
        <v>ARMAÇÃO DE LAJE DE UMA ESTRUTURA CONVENCIONAL DE CONCRETO ARMADO EM UM EDIFÍCIO DE MÚLTIPLOS PAVIMENTOS UTILIZANDO AÇO CA-50 DE 25,0 MM - MONTAGEM.</v>
      </c>
      <c r="D1606" s="565"/>
      <c r="E1606" s="565"/>
      <c r="F1606" s="565"/>
      <c r="G1606" s="565"/>
      <c r="H1606" s="565"/>
      <c r="I1606" s="565"/>
      <c r="J1606" s="565"/>
      <c r="K1606" s="565"/>
      <c r="L1606" s="565"/>
    </row>
    <row r="1607" spans="2:12">
      <c r="B1607" s="248" t="s">
        <v>1209</v>
      </c>
      <c r="C1607" s="248"/>
      <c r="D1607" s="248" t="s">
        <v>39</v>
      </c>
      <c r="E1607" s="248" t="s">
        <v>1210</v>
      </c>
      <c r="F1607" s="248" t="s">
        <v>1388</v>
      </c>
      <c r="G1607" s="248" t="s">
        <v>1212</v>
      </c>
      <c r="H1607" s="248" t="s">
        <v>1213</v>
      </c>
      <c r="I1607" s="248" t="s">
        <v>1214</v>
      </c>
      <c r="J1607" s="248" t="s">
        <v>1385</v>
      </c>
      <c r="K1607" s="248" t="s">
        <v>1216</v>
      </c>
      <c r="L1607" s="248" t="s">
        <v>1217</v>
      </c>
    </row>
    <row r="1608" spans="2:12">
      <c r="B1608" s="205" t="s">
        <v>1510</v>
      </c>
      <c r="C1608" s="250" t="s">
        <v>1441</v>
      </c>
      <c r="D1608" s="205" t="s">
        <v>1274</v>
      </c>
      <c r="E1608" s="251">
        <v>372.94</v>
      </c>
      <c r="F1608" s="252">
        <v>3.8530000000000002</v>
      </c>
      <c r="G1608" s="251">
        <v>0.45</v>
      </c>
      <c r="H1608" s="251">
        <v>1.1000000000000001</v>
      </c>
      <c r="I1608" s="251"/>
      <c r="J1608" s="253"/>
      <c r="K1608" s="254">
        <f t="shared" ref="K1608:K1622" si="44">IF(E1608*F1608*G1608&lt;&gt;0,E1608*F1608*G1608,IF(E1608*F1608&lt;&gt;0,E1608*F1608,IF(F1608*G1608&lt;&gt;0,F1608*G1608,IF(E1608*G1608&lt;&gt;0,E1608*G1608,IF(E1608&lt;&gt;0,E1608,IF(F1608&lt;&gt;0,F1608,IF(G1608&lt;&gt;0,G1608,0)))))))*(IF(H1608&lt;&gt;0,H1608,1))+I1608-J1608</f>
        <v>711.28422090000004</v>
      </c>
      <c r="L1608" s="255"/>
    </row>
    <row r="1609" spans="2:12">
      <c r="B1609" s="205" t="s">
        <v>1512</v>
      </c>
      <c r="C1609" s="250" t="s">
        <v>1441</v>
      </c>
      <c r="D1609" s="205" t="s">
        <v>1274</v>
      </c>
      <c r="E1609" s="251">
        <v>47.06</v>
      </c>
      <c r="F1609" s="252">
        <v>3.8530000000000002</v>
      </c>
      <c r="G1609" s="251">
        <v>0.45</v>
      </c>
      <c r="H1609" s="251">
        <v>1.1000000000000001</v>
      </c>
      <c r="I1609" s="251"/>
      <c r="J1609" s="253"/>
      <c r="K1609" s="254">
        <f t="shared" si="44"/>
        <v>89.754479100000026</v>
      </c>
      <c r="L1609" s="255"/>
    </row>
    <row r="1610" spans="2:12">
      <c r="B1610" s="205" t="s">
        <v>1513</v>
      </c>
      <c r="C1610" s="250" t="s">
        <v>1441</v>
      </c>
      <c r="D1610" s="205" t="s">
        <v>1274</v>
      </c>
      <c r="E1610" s="251">
        <v>6</v>
      </c>
      <c r="F1610" s="252">
        <v>3.8530000000000002</v>
      </c>
      <c r="G1610" s="251"/>
      <c r="H1610" s="251">
        <v>1.1000000000000001</v>
      </c>
      <c r="I1610" s="251"/>
      <c r="J1610" s="253"/>
      <c r="K1610" s="254">
        <f t="shared" si="44"/>
        <v>25.429800000000004</v>
      </c>
      <c r="L1610" s="255"/>
    </row>
    <row r="1611" spans="2:12">
      <c r="B1611" s="205" t="s">
        <v>1514</v>
      </c>
      <c r="C1611" s="250" t="s">
        <v>1441</v>
      </c>
      <c r="D1611" s="205" t="s">
        <v>1274</v>
      </c>
      <c r="E1611" s="251">
        <v>3</v>
      </c>
      <c r="F1611" s="252">
        <v>3.8530000000000002</v>
      </c>
      <c r="G1611" s="251"/>
      <c r="H1611" s="251">
        <v>1.1000000000000001</v>
      </c>
      <c r="I1611" s="251"/>
      <c r="J1611" s="253"/>
      <c r="K1611" s="254">
        <f t="shared" si="44"/>
        <v>12.714900000000002</v>
      </c>
      <c r="L1611" s="255"/>
    </row>
    <row r="1612" spans="2:12">
      <c r="B1612" s="205" t="s">
        <v>1572</v>
      </c>
      <c r="C1612" s="250" t="s">
        <v>1521</v>
      </c>
      <c r="D1612" s="205" t="s">
        <v>1274</v>
      </c>
      <c r="E1612" s="251">
        <v>37.869999999999997</v>
      </c>
      <c r="F1612" s="252">
        <v>3.8530000000000002</v>
      </c>
      <c r="G1612" s="251">
        <v>0.5</v>
      </c>
      <c r="H1612" s="251">
        <v>1.1000000000000001</v>
      </c>
      <c r="I1612" s="251"/>
      <c r="J1612" s="253"/>
      <c r="K1612" s="254">
        <f t="shared" si="44"/>
        <v>80.252210500000004</v>
      </c>
      <c r="L1612" s="255"/>
    </row>
    <row r="1613" spans="2:12">
      <c r="B1613" s="205" t="s">
        <v>1573</v>
      </c>
      <c r="C1613" s="250" t="s">
        <v>1521</v>
      </c>
      <c r="D1613" s="205" t="s">
        <v>1274</v>
      </c>
      <c r="E1613" s="251">
        <v>5</v>
      </c>
      <c r="F1613" s="252">
        <v>3.8530000000000002</v>
      </c>
      <c r="G1613" s="251">
        <v>0.5</v>
      </c>
      <c r="H1613" s="251">
        <v>1.1000000000000001</v>
      </c>
      <c r="I1613" s="251"/>
      <c r="J1613" s="253"/>
      <c r="K1613" s="254">
        <f t="shared" si="44"/>
        <v>10.595750000000001</v>
      </c>
      <c r="L1613" s="255"/>
    </row>
    <row r="1614" spans="2:12">
      <c r="B1614" s="205" t="s">
        <v>1510</v>
      </c>
      <c r="C1614" s="250" t="s">
        <v>1611</v>
      </c>
      <c r="D1614" s="205" t="s">
        <v>1274</v>
      </c>
      <c r="E1614" s="251">
        <v>372.94</v>
      </c>
      <c r="F1614" s="252">
        <v>3.8530000000000002</v>
      </c>
      <c r="G1614" s="251">
        <v>0.55000000000000004</v>
      </c>
      <c r="H1614" s="251">
        <v>1.1000000000000001</v>
      </c>
      <c r="I1614" s="251"/>
      <c r="J1614" s="253"/>
      <c r="K1614" s="254">
        <f t="shared" si="44"/>
        <v>869.34738110000012</v>
      </c>
      <c r="L1614" s="255"/>
    </row>
    <row r="1615" spans="2:12">
      <c r="B1615" s="205" t="s">
        <v>1512</v>
      </c>
      <c r="C1615" s="250" t="s">
        <v>1611</v>
      </c>
      <c r="D1615" s="205" t="s">
        <v>1274</v>
      </c>
      <c r="E1615" s="251">
        <v>47.06</v>
      </c>
      <c r="F1615" s="252">
        <v>3.8530000000000002</v>
      </c>
      <c r="G1615" s="251">
        <v>0.55000000000000004</v>
      </c>
      <c r="H1615" s="251">
        <v>1.1000000000000001</v>
      </c>
      <c r="I1615" s="251"/>
      <c r="J1615" s="253"/>
      <c r="K1615" s="254">
        <f t="shared" si="44"/>
        <v>109.69991890000004</v>
      </c>
      <c r="L1615" s="255"/>
    </row>
    <row r="1616" spans="2:12">
      <c r="B1616" s="205" t="s">
        <v>1572</v>
      </c>
      <c r="C1616" s="250" t="s">
        <v>1612</v>
      </c>
      <c r="D1616" s="205" t="s">
        <v>1274</v>
      </c>
      <c r="E1616" s="251">
        <v>37.869999999999997</v>
      </c>
      <c r="F1616" s="252">
        <v>3.8530000000000002</v>
      </c>
      <c r="G1616" s="251">
        <v>0.5</v>
      </c>
      <c r="H1616" s="251">
        <v>1.1000000000000001</v>
      </c>
      <c r="I1616" s="251"/>
      <c r="J1616" s="253"/>
      <c r="K1616" s="254">
        <f t="shared" si="44"/>
        <v>80.252210500000004</v>
      </c>
      <c r="L1616" s="255"/>
    </row>
    <row r="1617" spans="2:12">
      <c r="B1617" s="205" t="s">
        <v>1573</v>
      </c>
      <c r="C1617" s="250" t="s">
        <v>1612</v>
      </c>
      <c r="D1617" s="205" t="s">
        <v>1274</v>
      </c>
      <c r="E1617" s="251">
        <v>5</v>
      </c>
      <c r="F1617" s="252">
        <v>3.8530000000000002</v>
      </c>
      <c r="G1617" s="251">
        <v>0.5</v>
      </c>
      <c r="H1617" s="251">
        <v>1.1000000000000001</v>
      </c>
      <c r="I1617" s="251"/>
      <c r="J1617" s="253"/>
      <c r="K1617" s="254">
        <f t="shared" si="44"/>
        <v>10.595750000000001</v>
      </c>
      <c r="L1617" s="255"/>
    </row>
    <row r="1618" spans="2:12">
      <c r="B1618" s="205" t="s">
        <v>1686</v>
      </c>
      <c r="C1618" s="250" t="s">
        <v>1612</v>
      </c>
      <c r="D1618" s="205" t="s">
        <v>1274</v>
      </c>
      <c r="E1618" s="251">
        <v>709</v>
      </c>
      <c r="F1618" s="252">
        <v>3.8530000000000002</v>
      </c>
      <c r="G1618" s="251">
        <v>0.4</v>
      </c>
      <c r="H1618" s="251">
        <v>1.1000000000000001</v>
      </c>
      <c r="I1618" s="251"/>
      <c r="J1618" s="253"/>
      <c r="K1618" s="254">
        <f t="shared" si="44"/>
        <v>1201.9818800000003</v>
      </c>
      <c r="L1618" s="255"/>
    </row>
    <row r="1619" spans="2:12">
      <c r="B1619" s="205" t="s">
        <v>1686</v>
      </c>
      <c r="C1619" s="250" t="s">
        <v>1613</v>
      </c>
      <c r="D1619" s="205" t="s">
        <v>1274</v>
      </c>
      <c r="E1619" s="251">
        <v>709</v>
      </c>
      <c r="F1619" s="252">
        <v>3.8530000000000002</v>
      </c>
      <c r="G1619" s="251">
        <v>0.25</v>
      </c>
      <c r="H1619" s="251">
        <v>1.1000000000000001</v>
      </c>
      <c r="I1619" s="251"/>
      <c r="J1619" s="253"/>
      <c r="K1619" s="254">
        <f t="shared" si="44"/>
        <v>751.23867500000006</v>
      </c>
      <c r="L1619" s="255"/>
    </row>
    <row r="1620" spans="2:12">
      <c r="B1620" s="205" t="s">
        <v>1686</v>
      </c>
      <c r="C1620" s="250" t="s">
        <v>1895</v>
      </c>
      <c r="D1620" s="205" t="s">
        <v>1274</v>
      </c>
      <c r="E1620" s="251">
        <v>709</v>
      </c>
      <c r="F1620" s="252">
        <v>3.8530000000000002</v>
      </c>
      <c r="G1620" s="251">
        <v>0.15</v>
      </c>
      <c r="H1620" s="251">
        <v>1.1000000000000001</v>
      </c>
      <c r="I1620" s="251"/>
      <c r="J1620" s="253"/>
      <c r="K1620" s="254">
        <f t="shared" si="44"/>
        <v>450.74320500000005</v>
      </c>
      <c r="L1620" s="255"/>
    </row>
    <row r="1621" spans="2:12">
      <c r="B1621" s="256"/>
      <c r="C1621" s="210"/>
      <c r="D1621" s="210"/>
      <c r="E1621" s="257"/>
      <c r="F1621" s="258"/>
      <c r="G1621" s="257"/>
      <c r="H1621" s="257"/>
      <c r="I1621" s="257"/>
      <c r="J1621" s="259"/>
      <c r="K1621" s="254">
        <f t="shared" si="44"/>
        <v>0</v>
      </c>
      <c r="L1621" s="210"/>
    </row>
    <row r="1622" spans="2:12">
      <c r="B1622" s="256"/>
      <c r="C1622" s="210"/>
      <c r="D1622" s="210"/>
      <c r="E1622" s="257"/>
      <c r="F1622" s="258"/>
      <c r="G1622" s="257"/>
      <c r="H1622" s="257"/>
      <c r="I1622" s="257"/>
      <c r="J1622" s="259"/>
      <c r="K1622" s="260">
        <f t="shared" si="44"/>
        <v>0</v>
      </c>
      <c r="L1622" s="210"/>
    </row>
    <row r="1623" spans="2:12">
      <c r="B1623" s="202"/>
      <c r="C1623" s="203"/>
      <c r="D1623" s="203"/>
      <c r="E1623" s="203"/>
      <c r="F1623" s="203"/>
      <c r="G1623" s="203"/>
      <c r="H1623" s="204"/>
      <c r="I1623" s="556" t="s">
        <v>1221</v>
      </c>
      <c r="J1623" s="556"/>
      <c r="K1623" s="220">
        <f>SUM(K1608:K1622)</f>
        <v>4403.8903810000011</v>
      </c>
      <c r="L1623" s="207"/>
    </row>
    <row r="1624" spans="2:12">
      <c r="B1624" s="208"/>
      <c r="C1624" s="204"/>
      <c r="D1624" s="204"/>
      <c r="E1624" s="204"/>
      <c r="F1624" s="204"/>
      <c r="G1624" s="204"/>
      <c r="H1624" s="209"/>
      <c r="I1624" s="557" t="s">
        <v>1222</v>
      </c>
      <c r="J1624" s="557"/>
      <c r="K1624" s="221">
        <f>VLOOKUP(B1606,'BM 004'!$B$27:$R$590,4,0)</f>
        <v>5166.7</v>
      </c>
      <c r="L1624" s="207"/>
    </row>
    <row r="1625" spans="2:12">
      <c r="B1625" s="208"/>
      <c r="C1625" s="204"/>
      <c r="D1625" s="204"/>
      <c r="E1625" s="204"/>
      <c r="F1625" s="204"/>
      <c r="G1625" s="204"/>
      <c r="H1625" s="558" t="s">
        <v>1223</v>
      </c>
      <c r="I1625" s="558"/>
      <c r="J1625" s="558"/>
      <c r="K1625" s="222">
        <v>4403.8903810000002</v>
      </c>
      <c r="L1625" s="207"/>
    </row>
    <row r="1626" spans="2:12">
      <c r="B1626" s="208"/>
      <c r="C1626" s="204"/>
      <c r="D1626" s="204"/>
      <c r="E1626" s="204"/>
      <c r="F1626" s="204"/>
      <c r="G1626" s="204"/>
      <c r="H1626" s="558" t="s">
        <v>1892</v>
      </c>
      <c r="I1626" s="558"/>
      <c r="J1626" s="558"/>
      <c r="K1626" s="222">
        <f>TRUNC(SUMIF(C1608:C1622,H1626,K1608:K1622),2)</f>
        <v>0</v>
      </c>
      <c r="L1626" s="207"/>
    </row>
    <row r="1627" spans="2:12">
      <c r="B1627" s="213"/>
      <c r="C1627" s="214"/>
      <c r="D1627" s="214"/>
      <c r="E1627" s="214"/>
      <c r="F1627" s="214"/>
      <c r="G1627" s="214"/>
      <c r="H1627" s="559" t="s">
        <v>1224</v>
      </c>
      <c r="I1627" s="559"/>
      <c r="J1627" s="559"/>
      <c r="K1627" s="223">
        <f>IF(K1623&gt;K1624,K1623-K1624,0)</f>
        <v>0</v>
      </c>
      <c r="L1627" s="209"/>
    </row>
    <row r="1629" spans="2:12">
      <c r="B1629" s="247" t="s">
        <v>254</v>
      </c>
      <c r="C1629" s="565" t="str">
        <f>VLOOKUP(B1629,'BM 004'!$B$27:$R$590,2,0)</f>
        <v xml:space="preserve">Concreto simples usinado fck=35mpa, bombeado, lançado e adensado em superestrutura </v>
      </c>
      <c r="D1629" s="565"/>
      <c r="E1629" s="565"/>
      <c r="F1629" s="565"/>
      <c r="G1629" s="565"/>
      <c r="H1629" s="565"/>
      <c r="I1629" s="565"/>
      <c r="J1629" s="565"/>
      <c r="K1629" s="565"/>
      <c r="L1629" s="565"/>
    </row>
    <row r="1630" spans="2:12">
      <c r="B1630" s="248" t="s">
        <v>1209</v>
      </c>
      <c r="C1630" s="248"/>
      <c r="D1630" s="248" t="s">
        <v>39</v>
      </c>
      <c r="E1630" s="248" t="s">
        <v>1210</v>
      </c>
      <c r="F1630" s="248" t="s">
        <v>1388</v>
      </c>
      <c r="G1630" s="248" t="s">
        <v>1212</v>
      </c>
      <c r="H1630" s="248" t="s">
        <v>1213</v>
      </c>
      <c r="I1630" s="248" t="s">
        <v>1214</v>
      </c>
      <c r="J1630" s="248" t="s">
        <v>1385</v>
      </c>
      <c r="K1630" s="248" t="s">
        <v>1216</v>
      </c>
      <c r="L1630" s="248" t="s">
        <v>1217</v>
      </c>
    </row>
    <row r="1631" spans="2:12">
      <c r="B1631" s="255" t="s">
        <v>1501</v>
      </c>
      <c r="C1631" s="250" t="s">
        <v>1441</v>
      </c>
      <c r="D1631" s="205" t="s">
        <v>169</v>
      </c>
      <c r="E1631" s="251">
        <v>1</v>
      </c>
      <c r="F1631" s="252">
        <v>7</v>
      </c>
      <c r="G1631" s="251">
        <v>5.91</v>
      </c>
      <c r="H1631" s="251">
        <v>0.3</v>
      </c>
      <c r="I1631" s="251"/>
      <c r="J1631" s="253">
        <v>6.3423999999999996</v>
      </c>
      <c r="K1631" s="254">
        <f t="shared" ref="K1631:K1662" si="45">IF(E1631*F1631*G1631&lt;&gt;0,E1631*F1631*G1631,IF(E1631*F1631&lt;&gt;0,E1631*F1631,IF(F1631*G1631&lt;&gt;0,F1631*G1631,IF(E1631*G1631&lt;&gt;0,E1631*G1631,IF(E1631&lt;&gt;0,E1631,IF(F1631&lt;&gt;0,F1631,IF(G1631&lt;&gt;0,G1631,0)))))))*(IF(H1631&lt;&gt;0,H1631,1))+I1631-J1631</f>
        <v>6.0686000000000018</v>
      </c>
      <c r="L1631" s="255" t="s">
        <v>1518</v>
      </c>
    </row>
    <row r="1632" spans="2:12">
      <c r="B1632" s="255" t="s">
        <v>1502</v>
      </c>
      <c r="C1632" s="250" t="s">
        <v>1441</v>
      </c>
      <c r="D1632" s="205" t="s">
        <v>169</v>
      </c>
      <c r="E1632" s="251">
        <v>1</v>
      </c>
      <c r="F1632" s="252">
        <v>13.72</v>
      </c>
      <c r="G1632" s="251">
        <v>5.91</v>
      </c>
      <c r="H1632" s="251">
        <v>0.3</v>
      </c>
      <c r="I1632" s="251"/>
      <c r="J1632" s="253">
        <v>12.56235</v>
      </c>
      <c r="K1632" s="254">
        <f t="shared" si="45"/>
        <v>11.763209999999999</v>
      </c>
      <c r="L1632" s="255" t="s">
        <v>1518</v>
      </c>
    </row>
    <row r="1633" spans="2:12">
      <c r="B1633" s="255" t="s">
        <v>1503</v>
      </c>
      <c r="C1633" s="250" t="s">
        <v>1441</v>
      </c>
      <c r="D1633" s="205" t="s">
        <v>169</v>
      </c>
      <c r="E1633" s="251">
        <v>1</v>
      </c>
      <c r="F1633" s="252">
        <v>14.35</v>
      </c>
      <c r="G1633" s="251">
        <v>3.73</v>
      </c>
      <c r="H1633" s="251">
        <v>0.25</v>
      </c>
      <c r="I1633" s="251"/>
      <c r="J1633" s="253">
        <v>6.8421599999999998</v>
      </c>
      <c r="K1633" s="254">
        <f t="shared" si="45"/>
        <v>6.5392150000000004</v>
      </c>
      <c r="L1633" s="255" t="s">
        <v>1519</v>
      </c>
    </row>
    <row r="1634" spans="2:12">
      <c r="B1634" s="255" t="s">
        <v>1504</v>
      </c>
      <c r="C1634" s="250" t="s">
        <v>1441</v>
      </c>
      <c r="D1634" s="205" t="s">
        <v>169</v>
      </c>
      <c r="E1634" s="251">
        <v>1</v>
      </c>
      <c r="F1634" s="252">
        <v>6.49</v>
      </c>
      <c r="G1634" s="251">
        <v>3.73</v>
      </c>
      <c r="H1634" s="251">
        <v>0.25</v>
      </c>
      <c r="I1634" s="251"/>
      <c r="J1634" s="253">
        <v>2.8173599999999999</v>
      </c>
      <c r="K1634" s="254">
        <f t="shared" si="45"/>
        <v>3.2345649999999999</v>
      </c>
      <c r="L1634" s="255" t="s">
        <v>1519</v>
      </c>
    </row>
    <row r="1635" spans="2:12">
      <c r="B1635" s="255" t="s">
        <v>1505</v>
      </c>
      <c r="C1635" s="250" t="s">
        <v>1441</v>
      </c>
      <c r="D1635" s="205" t="s">
        <v>169</v>
      </c>
      <c r="E1635" s="251">
        <v>1</v>
      </c>
      <c r="F1635" s="252">
        <v>7.49</v>
      </c>
      <c r="G1635" s="251">
        <v>1.81</v>
      </c>
      <c r="H1635" s="251">
        <v>0.25</v>
      </c>
      <c r="I1635" s="251"/>
      <c r="J1635" s="253">
        <v>1.55844</v>
      </c>
      <c r="K1635" s="254">
        <f t="shared" si="45"/>
        <v>1.8307850000000001</v>
      </c>
      <c r="L1635" s="255" t="s">
        <v>1519</v>
      </c>
    </row>
    <row r="1636" spans="2:12">
      <c r="B1636" s="255" t="s">
        <v>1506</v>
      </c>
      <c r="C1636" s="250" t="s">
        <v>1441</v>
      </c>
      <c r="D1636" s="205" t="s">
        <v>169</v>
      </c>
      <c r="E1636" s="251">
        <v>1</v>
      </c>
      <c r="F1636" s="252">
        <v>7.1</v>
      </c>
      <c r="G1636" s="251">
        <v>1.81</v>
      </c>
      <c r="H1636" s="251">
        <v>0.25</v>
      </c>
      <c r="I1636" s="251"/>
      <c r="J1636" s="253">
        <v>1.3852800000000001</v>
      </c>
      <c r="K1636" s="254">
        <f t="shared" si="45"/>
        <v>1.8274699999999997</v>
      </c>
      <c r="L1636" s="255" t="s">
        <v>1519</v>
      </c>
    </row>
    <row r="1637" spans="2:12">
      <c r="B1637" s="255" t="s">
        <v>1507</v>
      </c>
      <c r="C1637" s="250" t="s">
        <v>1441</v>
      </c>
      <c r="D1637" s="205" t="s">
        <v>169</v>
      </c>
      <c r="E1637" s="251">
        <v>1</v>
      </c>
      <c r="F1637" s="252">
        <v>7.05</v>
      </c>
      <c r="G1637" s="251">
        <v>1.81</v>
      </c>
      <c r="H1637" s="251">
        <v>0.25</v>
      </c>
      <c r="I1637" s="251"/>
      <c r="J1637" s="253">
        <v>1.3852800000000001</v>
      </c>
      <c r="K1637" s="254">
        <f t="shared" si="45"/>
        <v>1.804845</v>
      </c>
      <c r="L1637" s="255" t="s">
        <v>1519</v>
      </c>
    </row>
    <row r="1638" spans="2:12">
      <c r="B1638" s="255" t="s">
        <v>1508</v>
      </c>
      <c r="C1638" s="250" t="s">
        <v>1441</v>
      </c>
      <c r="D1638" s="205" t="s">
        <v>169</v>
      </c>
      <c r="E1638" s="251">
        <v>1</v>
      </c>
      <c r="F1638" s="252">
        <v>22.04</v>
      </c>
      <c r="G1638" s="251">
        <v>5.8</v>
      </c>
      <c r="H1638" s="251">
        <v>0.25</v>
      </c>
      <c r="I1638" s="251"/>
      <c r="J1638" s="253">
        <v>16.595279999999999</v>
      </c>
      <c r="K1638" s="254">
        <f t="shared" si="45"/>
        <v>15.362719999999999</v>
      </c>
      <c r="L1638" s="255" t="s">
        <v>1519</v>
      </c>
    </row>
    <row r="1639" spans="2:12">
      <c r="B1639" s="255" t="s">
        <v>1509</v>
      </c>
      <c r="C1639" s="250" t="s">
        <v>1441</v>
      </c>
      <c r="D1639" s="205" t="s">
        <v>169</v>
      </c>
      <c r="E1639" s="251">
        <v>1</v>
      </c>
      <c r="F1639" s="252">
        <v>22.04</v>
      </c>
      <c r="G1639" s="251">
        <v>5.69</v>
      </c>
      <c r="H1639" s="251">
        <v>0.25</v>
      </c>
      <c r="I1639" s="251"/>
      <c r="J1639" s="253">
        <v>15.54228</v>
      </c>
      <c r="K1639" s="254">
        <f t="shared" si="45"/>
        <v>15.809620000000001</v>
      </c>
      <c r="L1639" s="255" t="s">
        <v>1519</v>
      </c>
    </row>
    <row r="1640" spans="2:12">
      <c r="B1640" s="255" t="s">
        <v>1496</v>
      </c>
      <c r="C1640" s="250" t="s">
        <v>1441</v>
      </c>
      <c r="D1640" s="205" t="s">
        <v>169</v>
      </c>
      <c r="E1640" s="251">
        <v>1</v>
      </c>
      <c r="F1640" s="252">
        <v>5.85</v>
      </c>
      <c r="G1640" s="251">
        <v>0.49</v>
      </c>
      <c r="H1640" s="251">
        <v>0.12</v>
      </c>
      <c r="I1640" s="251"/>
      <c r="J1640" s="253"/>
      <c r="K1640" s="254">
        <f t="shared" si="45"/>
        <v>0.34397999999999995</v>
      </c>
      <c r="L1640" s="255"/>
    </row>
    <row r="1641" spans="2:12">
      <c r="B1641" s="255" t="s">
        <v>1497</v>
      </c>
      <c r="C1641" s="250" t="s">
        <v>1441</v>
      </c>
      <c r="D1641" s="205" t="s">
        <v>169</v>
      </c>
      <c r="E1641" s="251">
        <v>1</v>
      </c>
      <c r="F1641" s="252">
        <v>3.83</v>
      </c>
      <c r="G1641" s="251">
        <v>0.49</v>
      </c>
      <c r="H1641" s="251">
        <v>0.12</v>
      </c>
      <c r="I1641" s="251"/>
      <c r="J1641" s="253"/>
      <c r="K1641" s="254">
        <f t="shared" si="45"/>
        <v>0.22520399999999999</v>
      </c>
      <c r="L1641" s="255"/>
    </row>
    <row r="1642" spans="2:12">
      <c r="B1642" s="255" t="s">
        <v>1498</v>
      </c>
      <c r="C1642" s="250" t="s">
        <v>1441</v>
      </c>
      <c r="D1642" s="205" t="s">
        <v>169</v>
      </c>
      <c r="E1642" s="251">
        <v>1</v>
      </c>
      <c r="F1642" s="252">
        <v>5.93</v>
      </c>
      <c r="G1642" s="251">
        <v>1.92</v>
      </c>
      <c r="H1642" s="251">
        <v>0.15</v>
      </c>
      <c r="I1642" s="251"/>
      <c r="J1642" s="253"/>
      <c r="K1642" s="254">
        <f t="shared" si="45"/>
        <v>1.7078399999999998</v>
      </c>
      <c r="L1642" s="255"/>
    </row>
    <row r="1643" spans="2:12">
      <c r="B1643" s="255" t="s">
        <v>1499</v>
      </c>
      <c r="C1643" s="250" t="s">
        <v>1441</v>
      </c>
      <c r="D1643" s="205" t="s">
        <v>169</v>
      </c>
      <c r="E1643" s="251">
        <v>1</v>
      </c>
      <c r="F1643" s="252">
        <v>7.62</v>
      </c>
      <c r="G1643" s="251">
        <v>1.92</v>
      </c>
      <c r="H1643" s="251">
        <v>0.15</v>
      </c>
      <c r="I1643" s="251"/>
      <c r="J1643" s="253"/>
      <c r="K1643" s="254">
        <f t="shared" si="45"/>
        <v>2.1945600000000001</v>
      </c>
      <c r="L1643" s="255"/>
    </row>
    <row r="1644" spans="2:12">
      <c r="B1644" s="255" t="s">
        <v>1500</v>
      </c>
      <c r="C1644" s="250" t="s">
        <v>1441</v>
      </c>
      <c r="D1644" s="205" t="s">
        <v>169</v>
      </c>
      <c r="E1644" s="251">
        <v>1</v>
      </c>
      <c r="F1644" s="252">
        <v>4.42</v>
      </c>
      <c r="G1644" s="251">
        <v>2.74</v>
      </c>
      <c r="H1644" s="251">
        <v>0.15</v>
      </c>
      <c r="I1644" s="251"/>
      <c r="J1644" s="253"/>
      <c r="K1644" s="254">
        <f t="shared" si="45"/>
        <v>1.8166200000000001</v>
      </c>
      <c r="L1644" s="255"/>
    </row>
    <row r="1645" spans="2:12">
      <c r="B1645" s="256" t="s">
        <v>1565</v>
      </c>
      <c r="C1645" s="250" t="s">
        <v>1521</v>
      </c>
      <c r="D1645" s="205" t="s">
        <v>169</v>
      </c>
      <c r="E1645" s="257">
        <v>1</v>
      </c>
      <c r="F1645" s="258">
        <v>12.39</v>
      </c>
      <c r="G1645" s="257">
        <v>2.5499999999999998</v>
      </c>
      <c r="H1645" s="257">
        <v>0.25</v>
      </c>
      <c r="I1645" s="257"/>
      <c r="J1645" s="259">
        <v>4.048476</v>
      </c>
      <c r="K1645" s="260">
        <f t="shared" si="45"/>
        <v>3.850149</v>
      </c>
      <c r="L1645" s="266" t="s">
        <v>1574</v>
      </c>
    </row>
    <row r="1646" spans="2:12">
      <c r="B1646" s="256" t="s">
        <v>1559</v>
      </c>
      <c r="C1646" s="250" t="s">
        <v>1521</v>
      </c>
      <c r="D1646" s="205" t="s">
        <v>169</v>
      </c>
      <c r="E1646" s="257">
        <v>1</v>
      </c>
      <c r="F1646" s="258">
        <v>1.68</v>
      </c>
      <c r="G1646" s="257">
        <v>0.33</v>
      </c>
      <c r="H1646" s="257">
        <v>0.15</v>
      </c>
      <c r="I1646" s="257"/>
      <c r="J1646" s="259">
        <v>0</v>
      </c>
      <c r="K1646" s="260">
        <f t="shared" si="45"/>
        <v>8.3159999999999998E-2</v>
      </c>
      <c r="L1646" s="266"/>
    </row>
    <row r="1647" spans="2:12">
      <c r="B1647" s="256" t="s">
        <v>1560</v>
      </c>
      <c r="C1647" s="250" t="s">
        <v>1521</v>
      </c>
      <c r="D1647" s="205" t="s">
        <v>169</v>
      </c>
      <c r="E1647" s="257">
        <v>1</v>
      </c>
      <c r="F1647" s="258">
        <v>7.67</v>
      </c>
      <c r="G1647" s="257">
        <v>0.33</v>
      </c>
      <c r="H1647" s="257">
        <v>0.15</v>
      </c>
      <c r="I1647" s="257"/>
      <c r="J1647" s="259">
        <v>0</v>
      </c>
      <c r="K1647" s="260">
        <f t="shared" si="45"/>
        <v>0.37966499999999997</v>
      </c>
      <c r="L1647" s="266"/>
    </row>
    <row r="1648" spans="2:12">
      <c r="B1648" s="256" t="s">
        <v>1561</v>
      </c>
      <c r="C1648" s="250" t="s">
        <v>1521</v>
      </c>
      <c r="D1648" s="205" t="s">
        <v>169</v>
      </c>
      <c r="E1648" s="257">
        <v>1</v>
      </c>
      <c r="F1648" s="258">
        <v>0.31</v>
      </c>
      <c r="G1648" s="257">
        <v>0.33</v>
      </c>
      <c r="H1648" s="257">
        <v>0.15</v>
      </c>
      <c r="I1648" s="257"/>
      <c r="J1648" s="259">
        <v>0</v>
      </c>
      <c r="K1648" s="260">
        <f t="shared" si="45"/>
        <v>1.5344999999999999E-2</v>
      </c>
      <c r="L1648" s="266"/>
    </row>
    <row r="1649" spans="2:12">
      <c r="B1649" s="256" t="s">
        <v>1566</v>
      </c>
      <c r="C1649" s="250" t="s">
        <v>1521</v>
      </c>
      <c r="D1649" s="205" t="s">
        <v>169</v>
      </c>
      <c r="E1649" s="257">
        <v>1</v>
      </c>
      <c r="F1649" s="258">
        <v>22.04</v>
      </c>
      <c r="G1649" s="257">
        <v>5.85</v>
      </c>
      <c r="H1649" s="257">
        <v>0.25</v>
      </c>
      <c r="I1649" s="257"/>
      <c r="J1649" s="259">
        <v>3.4898359999999999</v>
      </c>
      <c r="K1649" s="260">
        <f t="shared" si="45"/>
        <v>28.743663999999999</v>
      </c>
      <c r="L1649" s="266" t="s">
        <v>1574</v>
      </c>
    </row>
    <row r="1650" spans="2:12">
      <c r="B1650" s="256" t="s">
        <v>1567</v>
      </c>
      <c r="C1650" s="250" t="s">
        <v>1521</v>
      </c>
      <c r="D1650" s="205" t="s">
        <v>169</v>
      </c>
      <c r="E1650" s="257">
        <v>1</v>
      </c>
      <c r="F1650" s="258">
        <v>6.24</v>
      </c>
      <c r="G1650" s="257">
        <v>5.85</v>
      </c>
      <c r="H1650" s="257">
        <v>0.25</v>
      </c>
      <c r="I1650" s="257"/>
      <c r="J1650" s="259">
        <v>4.6484759999999996</v>
      </c>
      <c r="K1650" s="260">
        <f t="shared" si="45"/>
        <v>4.4775239999999998</v>
      </c>
      <c r="L1650" s="266" t="s">
        <v>1574</v>
      </c>
    </row>
    <row r="1651" spans="2:12">
      <c r="B1651" s="256" t="s">
        <v>1568</v>
      </c>
      <c r="C1651" s="250" t="s">
        <v>1521</v>
      </c>
      <c r="D1651" s="205" t="s">
        <v>169</v>
      </c>
      <c r="E1651" s="257">
        <v>1</v>
      </c>
      <c r="F1651" s="258">
        <v>6.34</v>
      </c>
      <c r="G1651" s="257">
        <v>3.83</v>
      </c>
      <c r="H1651" s="257">
        <v>0.25</v>
      </c>
      <c r="I1651" s="257"/>
      <c r="J1651" s="259">
        <v>2.6242380000000001</v>
      </c>
      <c r="K1651" s="260">
        <f t="shared" si="45"/>
        <v>3.4463119999999998</v>
      </c>
      <c r="L1651" s="266" t="s">
        <v>1574</v>
      </c>
    </row>
    <row r="1652" spans="2:12">
      <c r="B1652" s="256" t="s">
        <v>1569</v>
      </c>
      <c r="C1652" s="250" t="s">
        <v>1521</v>
      </c>
      <c r="D1652" s="205" t="s">
        <v>169</v>
      </c>
      <c r="E1652" s="257">
        <v>1</v>
      </c>
      <c r="F1652" s="258">
        <v>22.04</v>
      </c>
      <c r="G1652" s="257">
        <v>5.8</v>
      </c>
      <c r="H1652" s="257">
        <v>0.25</v>
      </c>
      <c r="I1652" s="257"/>
      <c r="J1652" s="259">
        <v>16.849836</v>
      </c>
      <c r="K1652" s="260">
        <f t="shared" si="45"/>
        <v>15.108163999999999</v>
      </c>
      <c r="L1652" s="266" t="s">
        <v>1574</v>
      </c>
    </row>
    <row r="1653" spans="2:12">
      <c r="B1653" s="256" t="s">
        <v>1570</v>
      </c>
      <c r="C1653" s="250" t="s">
        <v>1521</v>
      </c>
      <c r="D1653" s="205" t="s">
        <v>169</v>
      </c>
      <c r="E1653" s="257">
        <v>1</v>
      </c>
      <c r="F1653" s="258">
        <v>22.04</v>
      </c>
      <c r="G1653" s="257">
        <v>5.8</v>
      </c>
      <c r="H1653" s="257">
        <v>0.25</v>
      </c>
      <c r="I1653" s="257"/>
      <c r="J1653" s="259">
        <v>16.849836</v>
      </c>
      <c r="K1653" s="260">
        <f t="shared" si="45"/>
        <v>15.108163999999999</v>
      </c>
      <c r="L1653" s="266" t="s">
        <v>1574</v>
      </c>
    </row>
    <row r="1654" spans="2:12">
      <c r="B1654" s="256" t="s">
        <v>1562</v>
      </c>
      <c r="C1654" s="250" t="s">
        <v>1521</v>
      </c>
      <c r="D1654" s="205" t="s">
        <v>169</v>
      </c>
      <c r="E1654" s="257">
        <v>1</v>
      </c>
      <c r="F1654" s="258">
        <v>13.7</v>
      </c>
      <c r="G1654" s="257">
        <v>0.77</v>
      </c>
      <c r="H1654" s="257">
        <v>0.15</v>
      </c>
      <c r="I1654" s="257"/>
      <c r="J1654" s="259">
        <v>0</v>
      </c>
      <c r="K1654" s="260">
        <f t="shared" si="45"/>
        <v>1.5823499999999999</v>
      </c>
      <c r="L1654" s="266"/>
    </row>
    <row r="1655" spans="2:12">
      <c r="B1655" s="256" t="s">
        <v>1563</v>
      </c>
      <c r="C1655" s="250" t="s">
        <v>1521</v>
      </c>
      <c r="D1655" s="205" t="s">
        <v>169</v>
      </c>
      <c r="E1655" s="257">
        <v>1</v>
      </c>
      <c r="F1655" s="258">
        <v>13.7</v>
      </c>
      <c r="G1655" s="257">
        <v>1.77</v>
      </c>
      <c r="H1655" s="257">
        <v>0.15</v>
      </c>
      <c r="I1655" s="257"/>
      <c r="J1655" s="259">
        <v>0</v>
      </c>
      <c r="K1655" s="260">
        <f t="shared" si="45"/>
        <v>3.6373499999999996</v>
      </c>
      <c r="L1655" s="266"/>
    </row>
    <row r="1656" spans="2:12">
      <c r="B1656" s="256" t="s">
        <v>1571</v>
      </c>
      <c r="C1656" s="250" t="s">
        <v>1521</v>
      </c>
      <c r="D1656" s="205" t="s">
        <v>169</v>
      </c>
      <c r="E1656" s="257">
        <v>1</v>
      </c>
      <c r="F1656" s="258">
        <v>22.04</v>
      </c>
      <c r="G1656" s="257">
        <v>5.69</v>
      </c>
      <c r="H1656" s="257">
        <v>0.25</v>
      </c>
      <c r="I1656" s="257"/>
      <c r="J1656" s="259">
        <v>15.769836</v>
      </c>
      <c r="K1656" s="260">
        <f t="shared" si="45"/>
        <v>15.582064000000001</v>
      </c>
      <c r="L1656" s="266" t="s">
        <v>1574</v>
      </c>
    </row>
    <row r="1657" spans="2:12">
      <c r="B1657" s="256" t="s">
        <v>1564</v>
      </c>
      <c r="C1657" s="250" t="s">
        <v>1521</v>
      </c>
      <c r="D1657" s="205" t="s">
        <v>169</v>
      </c>
      <c r="E1657" s="257">
        <v>1</v>
      </c>
      <c r="F1657" s="258">
        <v>3.45</v>
      </c>
      <c r="G1657" s="257">
        <v>2.74</v>
      </c>
      <c r="H1657" s="257">
        <v>0.15</v>
      </c>
      <c r="I1657" s="257"/>
      <c r="J1657" s="259"/>
      <c r="K1657" s="260">
        <f t="shared" si="45"/>
        <v>1.41795</v>
      </c>
      <c r="L1657" s="266"/>
    </row>
    <row r="1658" spans="2:12">
      <c r="B1658" s="256" t="s">
        <v>1688</v>
      </c>
      <c r="C1658" s="250" t="s">
        <v>1611</v>
      </c>
      <c r="D1658" s="205" t="s">
        <v>169</v>
      </c>
      <c r="E1658" s="257">
        <v>4.58</v>
      </c>
      <c r="F1658" s="258">
        <v>1.92</v>
      </c>
      <c r="G1658" s="257">
        <v>0.15</v>
      </c>
      <c r="H1658" s="257">
        <v>1</v>
      </c>
      <c r="I1658" s="257"/>
      <c r="J1658" s="259"/>
      <c r="K1658" s="260">
        <f t="shared" si="45"/>
        <v>1.31904</v>
      </c>
      <c r="L1658" s="266"/>
    </row>
    <row r="1659" spans="2:12">
      <c r="B1659" s="256" t="s">
        <v>1689</v>
      </c>
      <c r="C1659" s="250" t="s">
        <v>1611</v>
      </c>
      <c r="D1659" s="205" t="s">
        <v>169</v>
      </c>
      <c r="E1659" s="257">
        <v>25.45</v>
      </c>
      <c r="F1659" s="258">
        <v>6.84</v>
      </c>
      <c r="G1659" s="257">
        <v>0.3</v>
      </c>
      <c r="H1659" s="257">
        <v>1</v>
      </c>
      <c r="I1659" s="257"/>
      <c r="J1659" s="259">
        <v>27.54</v>
      </c>
      <c r="K1659" s="260">
        <f t="shared" si="45"/>
        <v>24.683399999999999</v>
      </c>
      <c r="L1659" s="266"/>
    </row>
    <row r="1660" spans="2:12">
      <c r="B1660" s="256" t="s">
        <v>1690</v>
      </c>
      <c r="C1660" s="250" t="s">
        <v>1611</v>
      </c>
      <c r="D1660" s="205" t="s">
        <v>169</v>
      </c>
      <c r="E1660" s="257">
        <v>1.92</v>
      </c>
      <c r="F1660" s="258">
        <v>1.38</v>
      </c>
      <c r="G1660" s="257">
        <v>0.15</v>
      </c>
      <c r="H1660" s="257">
        <v>1</v>
      </c>
      <c r="I1660" s="257"/>
      <c r="J1660" s="259">
        <v>0</v>
      </c>
      <c r="K1660" s="260">
        <f t="shared" si="45"/>
        <v>0.3974399999999999</v>
      </c>
      <c r="L1660" s="266"/>
    </row>
    <row r="1661" spans="2:12">
      <c r="B1661" s="256" t="s">
        <v>1691</v>
      </c>
      <c r="C1661" s="250" t="s">
        <v>1611</v>
      </c>
      <c r="D1661" s="205" t="s">
        <v>169</v>
      </c>
      <c r="E1661" s="257">
        <v>0.81</v>
      </c>
      <c r="F1661" s="258">
        <v>1.99</v>
      </c>
      <c r="G1661" s="257">
        <v>0.15</v>
      </c>
      <c r="H1661" s="257">
        <v>1</v>
      </c>
      <c r="I1661" s="257"/>
      <c r="J1661" s="259">
        <v>0</v>
      </c>
      <c r="K1661" s="260">
        <f t="shared" si="45"/>
        <v>0.241785</v>
      </c>
      <c r="L1661" s="266"/>
    </row>
    <row r="1662" spans="2:12">
      <c r="B1662" s="256" t="s">
        <v>1692</v>
      </c>
      <c r="C1662" s="250" t="s">
        <v>1611</v>
      </c>
      <c r="D1662" s="205" t="s">
        <v>169</v>
      </c>
      <c r="E1662" s="257">
        <v>17.421875</v>
      </c>
      <c r="F1662" s="258">
        <v>2.56</v>
      </c>
      <c r="G1662" s="257">
        <v>0.12</v>
      </c>
      <c r="H1662" s="257">
        <v>1</v>
      </c>
      <c r="I1662" s="257"/>
      <c r="J1662" s="259">
        <v>0</v>
      </c>
      <c r="K1662" s="260">
        <f t="shared" si="45"/>
        <v>5.3520000000000003</v>
      </c>
      <c r="L1662" s="266"/>
    </row>
    <row r="1663" spans="2:12">
      <c r="B1663" s="256" t="s">
        <v>1693</v>
      </c>
      <c r="C1663" s="250" t="s">
        <v>1611</v>
      </c>
      <c r="D1663" s="205" t="s">
        <v>169</v>
      </c>
      <c r="E1663" s="257">
        <v>3.94</v>
      </c>
      <c r="F1663" s="258">
        <v>3.82</v>
      </c>
      <c r="G1663" s="257">
        <v>0.25</v>
      </c>
      <c r="H1663" s="257">
        <v>1</v>
      </c>
      <c r="I1663" s="257"/>
      <c r="J1663" s="259">
        <v>1.71</v>
      </c>
      <c r="K1663" s="260">
        <f t="shared" ref="K1663:K1694" si="46">IF(E1663*F1663*G1663&lt;&gt;0,E1663*F1663*G1663,IF(E1663*F1663&lt;&gt;0,E1663*F1663,IF(F1663*G1663&lt;&gt;0,F1663*G1663,IF(E1663*G1663&lt;&gt;0,E1663*G1663,IF(E1663&lt;&gt;0,E1663,IF(F1663&lt;&gt;0,F1663,IF(G1663&lt;&gt;0,G1663,0)))))))*(IF(H1663&lt;&gt;0,H1663,1))+I1663-J1663</f>
        <v>2.0526999999999997</v>
      </c>
      <c r="L1663" s="266"/>
    </row>
    <row r="1664" spans="2:12">
      <c r="B1664" s="256" t="s">
        <v>1694</v>
      </c>
      <c r="C1664" s="250" t="s">
        <v>1611</v>
      </c>
      <c r="D1664" s="205" t="s">
        <v>169</v>
      </c>
      <c r="E1664" s="257">
        <v>6.13</v>
      </c>
      <c r="F1664" s="258">
        <v>3.82</v>
      </c>
      <c r="G1664" s="257">
        <v>0.25</v>
      </c>
      <c r="H1664" s="257">
        <v>1</v>
      </c>
      <c r="I1664" s="257"/>
      <c r="J1664" s="259">
        <v>2.72</v>
      </c>
      <c r="K1664" s="260">
        <f t="shared" si="46"/>
        <v>3.1341499999999995</v>
      </c>
      <c r="L1664" s="266"/>
    </row>
    <row r="1665" spans="2:12">
      <c r="B1665" s="256" t="s">
        <v>1695</v>
      </c>
      <c r="C1665" s="250" t="s">
        <v>1611</v>
      </c>
      <c r="D1665" s="205" t="s">
        <v>169</v>
      </c>
      <c r="E1665" s="257">
        <v>16.71</v>
      </c>
      <c r="F1665" s="258">
        <v>4.9000000000000004</v>
      </c>
      <c r="G1665" s="257">
        <v>0.3</v>
      </c>
      <c r="H1665" s="257">
        <v>1</v>
      </c>
      <c r="I1665" s="257"/>
      <c r="J1665" s="259">
        <v>13.52</v>
      </c>
      <c r="K1665" s="260">
        <f t="shared" si="46"/>
        <v>11.043700000000001</v>
      </c>
      <c r="L1665" s="266"/>
    </row>
    <row r="1666" spans="2:12">
      <c r="B1666" s="256" t="s">
        <v>1696</v>
      </c>
      <c r="C1666" s="250" t="s">
        <v>1611</v>
      </c>
      <c r="D1666" s="205" t="s">
        <v>169</v>
      </c>
      <c r="E1666" s="257">
        <v>9.09</v>
      </c>
      <c r="F1666" s="258">
        <v>2.91</v>
      </c>
      <c r="G1666" s="257">
        <v>0.12</v>
      </c>
      <c r="H1666" s="257">
        <v>1</v>
      </c>
      <c r="I1666" s="257"/>
      <c r="J1666" s="259">
        <v>0</v>
      </c>
      <c r="K1666" s="260">
        <f t="shared" si="46"/>
        <v>3.1742280000000003</v>
      </c>
      <c r="L1666" s="266"/>
    </row>
    <row r="1667" spans="2:12">
      <c r="B1667" s="256" t="s">
        <v>1697</v>
      </c>
      <c r="C1667" s="250" t="s">
        <v>1611</v>
      </c>
      <c r="D1667" s="205" t="s">
        <v>169</v>
      </c>
      <c r="E1667" s="257">
        <v>7.0864197530864201</v>
      </c>
      <c r="F1667" s="258">
        <v>3.24</v>
      </c>
      <c r="G1667" s="257">
        <v>0.15</v>
      </c>
      <c r="H1667" s="257">
        <v>1</v>
      </c>
      <c r="I1667" s="257"/>
      <c r="J1667" s="259">
        <v>0</v>
      </c>
      <c r="K1667" s="260">
        <f t="shared" si="46"/>
        <v>3.4440000000000004</v>
      </c>
      <c r="L1667" s="266"/>
    </row>
    <row r="1668" spans="2:12">
      <c r="B1668" s="256" t="s">
        <v>1698</v>
      </c>
      <c r="C1668" s="250" t="s">
        <v>1611</v>
      </c>
      <c r="D1668" s="205" t="s">
        <v>169</v>
      </c>
      <c r="E1668" s="257">
        <v>10.119999999999999</v>
      </c>
      <c r="F1668" s="258">
        <v>4.1500000000000004</v>
      </c>
      <c r="G1668" s="257">
        <v>0.25</v>
      </c>
      <c r="H1668" s="257">
        <v>1</v>
      </c>
      <c r="I1668" s="257"/>
      <c r="J1668" s="259">
        <v>5.29</v>
      </c>
      <c r="K1668" s="260">
        <f t="shared" si="46"/>
        <v>5.2094999999999994</v>
      </c>
      <c r="L1668" s="266"/>
    </row>
    <row r="1669" spans="2:12">
      <c r="B1669" s="256" t="s">
        <v>1699</v>
      </c>
      <c r="C1669" s="250" t="s">
        <v>1611</v>
      </c>
      <c r="D1669" s="205" t="s">
        <v>169</v>
      </c>
      <c r="E1669" s="257">
        <v>9.09</v>
      </c>
      <c r="F1669" s="258">
        <v>9.4</v>
      </c>
      <c r="G1669" s="257">
        <v>0.35</v>
      </c>
      <c r="H1669" s="257">
        <v>1</v>
      </c>
      <c r="I1669" s="257"/>
      <c r="J1669" s="259">
        <v>15.35</v>
      </c>
      <c r="K1669" s="260">
        <f t="shared" si="46"/>
        <v>14.556099999999999</v>
      </c>
      <c r="L1669" s="266"/>
    </row>
    <row r="1670" spans="2:12">
      <c r="B1670" s="256" t="s">
        <v>1700</v>
      </c>
      <c r="C1670" s="250" t="s">
        <v>1611</v>
      </c>
      <c r="D1670" s="205" t="s">
        <v>169</v>
      </c>
      <c r="E1670" s="257">
        <v>11.23</v>
      </c>
      <c r="F1670" s="258">
        <v>9.4</v>
      </c>
      <c r="G1670" s="257">
        <v>0.35</v>
      </c>
      <c r="H1670" s="257">
        <v>1</v>
      </c>
      <c r="I1670" s="257"/>
      <c r="J1670" s="259">
        <v>18.670000000000002</v>
      </c>
      <c r="K1670" s="260">
        <f t="shared" si="46"/>
        <v>18.276699999999998</v>
      </c>
      <c r="L1670" s="266"/>
    </row>
    <row r="1671" spans="2:12">
      <c r="B1671" s="256" t="s">
        <v>1701</v>
      </c>
      <c r="C1671" s="250" t="s">
        <v>1611</v>
      </c>
      <c r="D1671" s="205" t="s">
        <v>169</v>
      </c>
      <c r="E1671" s="257">
        <v>7.2202127659574504</v>
      </c>
      <c r="F1671" s="258">
        <v>9.4</v>
      </c>
      <c r="G1671" s="257">
        <v>0.18</v>
      </c>
      <c r="H1671" s="257">
        <v>1</v>
      </c>
      <c r="I1671" s="257"/>
      <c r="J1671" s="259">
        <v>0</v>
      </c>
      <c r="K1671" s="260">
        <f t="shared" si="46"/>
        <v>12.216600000000005</v>
      </c>
      <c r="L1671" s="266"/>
    </row>
    <row r="1672" spans="2:12">
      <c r="B1672" s="256" t="s">
        <v>1702</v>
      </c>
      <c r="C1672" s="250" t="s">
        <v>1611</v>
      </c>
      <c r="D1672" s="205" t="s">
        <v>169</v>
      </c>
      <c r="E1672" s="257">
        <v>10.119999999999999</v>
      </c>
      <c r="F1672" s="258">
        <v>5.05</v>
      </c>
      <c r="G1672" s="257">
        <v>0.25</v>
      </c>
      <c r="H1672" s="257">
        <v>1</v>
      </c>
      <c r="I1672" s="257"/>
      <c r="J1672" s="259">
        <v>6.31</v>
      </c>
      <c r="K1672" s="260">
        <f t="shared" si="46"/>
        <v>6.466499999999999</v>
      </c>
      <c r="L1672" s="266"/>
    </row>
    <row r="1673" spans="2:12">
      <c r="B1673" s="256" t="s">
        <v>1703</v>
      </c>
      <c r="C1673" s="250" t="s">
        <v>1612</v>
      </c>
      <c r="D1673" s="205" t="s">
        <v>169</v>
      </c>
      <c r="E1673" s="257">
        <v>4.43</v>
      </c>
      <c r="F1673" s="258">
        <v>1.87</v>
      </c>
      <c r="G1673" s="257">
        <v>0.15</v>
      </c>
      <c r="H1673" s="257">
        <v>1</v>
      </c>
      <c r="I1673" s="257"/>
      <c r="J1673" s="259">
        <v>0</v>
      </c>
      <c r="K1673" s="260">
        <f t="shared" si="46"/>
        <v>1.242615</v>
      </c>
      <c r="L1673" s="266" t="s">
        <v>1682</v>
      </c>
    </row>
    <row r="1674" spans="2:12">
      <c r="B1674" s="256" t="s">
        <v>1704</v>
      </c>
      <c r="C1674" s="250" t="s">
        <v>1612</v>
      </c>
      <c r="D1674" s="205" t="s">
        <v>169</v>
      </c>
      <c r="E1674" s="257">
        <v>26.41</v>
      </c>
      <c r="F1674" s="258">
        <v>6.86</v>
      </c>
      <c r="G1674" s="257">
        <v>0.3</v>
      </c>
      <c r="H1674" s="257">
        <v>1</v>
      </c>
      <c r="I1674" s="257"/>
      <c r="J1674" s="259">
        <v>25.665299999999998</v>
      </c>
      <c r="K1674" s="260">
        <f t="shared" si="46"/>
        <v>28.686480000000007</v>
      </c>
      <c r="L1674" s="266" t="s">
        <v>1682</v>
      </c>
    </row>
    <row r="1675" spans="2:12">
      <c r="B1675" s="256" t="s">
        <v>1705</v>
      </c>
      <c r="C1675" s="250" t="s">
        <v>1612</v>
      </c>
      <c r="D1675" s="205" t="s">
        <v>169</v>
      </c>
      <c r="E1675" s="257">
        <v>1.97</v>
      </c>
      <c r="F1675" s="258">
        <v>1.38</v>
      </c>
      <c r="G1675" s="257">
        <v>0.15</v>
      </c>
      <c r="H1675" s="257">
        <v>1</v>
      </c>
      <c r="I1675" s="257"/>
      <c r="J1675" s="259">
        <v>0</v>
      </c>
      <c r="K1675" s="260">
        <f t="shared" si="46"/>
        <v>0.40778999999999999</v>
      </c>
      <c r="L1675" s="266" t="s">
        <v>1682</v>
      </c>
    </row>
    <row r="1676" spans="2:12">
      <c r="B1676" s="256" t="s">
        <v>1706</v>
      </c>
      <c r="C1676" s="250" t="s">
        <v>1612</v>
      </c>
      <c r="D1676" s="205" t="s">
        <v>169</v>
      </c>
      <c r="E1676" s="257">
        <v>3.95</v>
      </c>
      <c r="F1676" s="258">
        <v>0.15</v>
      </c>
      <c r="G1676" s="257">
        <v>0.15</v>
      </c>
      <c r="H1676" s="257">
        <v>1</v>
      </c>
      <c r="I1676" s="257"/>
      <c r="J1676" s="259">
        <v>0</v>
      </c>
      <c r="K1676" s="260">
        <f t="shared" si="46"/>
        <v>8.8874999999999996E-2</v>
      </c>
      <c r="L1676" s="266" t="s">
        <v>1682</v>
      </c>
    </row>
    <row r="1677" spans="2:12">
      <c r="B1677" s="256" t="s">
        <v>1707</v>
      </c>
      <c r="C1677" s="250" t="s">
        <v>1612</v>
      </c>
      <c r="D1677" s="205" t="s">
        <v>169</v>
      </c>
      <c r="E1677" s="257">
        <v>19.21</v>
      </c>
      <c r="F1677" s="258">
        <v>8.9499999999999993</v>
      </c>
      <c r="G1677" s="257">
        <v>0.35</v>
      </c>
      <c r="H1677" s="257">
        <v>1</v>
      </c>
      <c r="I1677" s="257"/>
      <c r="J1677" s="259">
        <v>28.693059999999999</v>
      </c>
      <c r="K1677" s="260">
        <f t="shared" si="46"/>
        <v>31.482264999999995</v>
      </c>
      <c r="L1677" s="266" t="s">
        <v>1682</v>
      </c>
    </row>
    <row r="1678" spans="2:12">
      <c r="B1678" s="256" t="s">
        <v>1708</v>
      </c>
      <c r="C1678" s="250" t="s">
        <v>1612</v>
      </c>
      <c r="D1678" s="205" t="s">
        <v>169</v>
      </c>
      <c r="E1678" s="257">
        <v>10.61</v>
      </c>
      <c r="F1678" s="258">
        <v>0.83</v>
      </c>
      <c r="G1678" s="257">
        <v>0.15</v>
      </c>
      <c r="H1678" s="257">
        <v>1</v>
      </c>
      <c r="I1678" s="257"/>
      <c r="J1678" s="259">
        <v>0</v>
      </c>
      <c r="K1678" s="260">
        <f t="shared" si="46"/>
        <v>1.3209449999999998</v>
      </c>
      <c r="L1678" s="266" t="s">
        <v>1682</v>
      </c>
    </row>
    <row r="1679" spans="2:12">
      <c r="B1679" s="256" t="s">
        <v>1709</v>
      </c>
      <c r="C1679" s="250" t="s">
        <v>1612</v>
      </c>
      <c r="D1679" s="205" t="s">
        <v>169</v>
      </c>
      <c r="E1679" s="257">
        <v>3</v>
      </c>
      <c r="F1679" s="258">
        <v>0.15</v>
      </c>
      <c r="G1679" s="257">
        <v>0.15</v>
      </c>
      <c r="H1679" s="257">
        <v>1</v>
      </c>
      <c r="I1679" s="257"/>
      <c r="J1679" s="259">
        <v>0</v>
      </c>
      <c r="K1679" s="260">
        <f t="shared" si="46"/>
        <v>6.7499999999999991E-2</v>
      </c>
      <c r="L1679" s="266" t="s">
        <v>1682</v>
      </c>
    </row>
    <row r="1680" spans="2:12">
      <c r="B1680" s="256" t="s">
        <v>1710</v>
      </c>
      <c r="C1680" s="250" t="s">
        <v>1612</v>
      </c>
      <c r="D1680" s="205" t="s">
        <v>169</v>
      </c>
      <c r="E1680" s="257">
        <v>10.02</v>
      </c>
      <c r="F1680" s="258">
        <v>4.1500000000000004</v>
      </c>
      <c r="G1680" s="257">
        <v>0.25</v>
      </c>
      <c r="H1680" s="257">
        <v>1</v>
      </c>
      <c r="I1680" s="257"/>
      <c r="J1680" s="259">
        <v>4.9834800000000001</v>
      </c>
      <c r="K1680" s="260">
        <f t="shared" si="46"/>
        <v>5.4122699999999995</v>
      </c>
      <c r="L1680" s="266" t="s">
        <v>1682</v>
      </c>
    </row>
    <row r="1681" spans="2:12">
      <c r="B1681" s="256" t="s">
        <v>1711</v>
      </c>
      <c r="C1681" s="250" t="s">
        <v>1612</v>
      </c>
      <c r="D1681" s="205" t="s">
        <v>169</v>
      </c>
      <c r="E1681" s="257">
        <v>8.0399999999999991</v>
      </c>
      <c r="F1681" s="258">
        <v>9.35</v>
      </c>
      <c r="G1681" s="257">
        <v>0.18</v>
      </c>
      <c r="H1681" s="257">
        <v>1</v>
      </c>
      <c r="I1681" s="257"/>
      <c r="J1681" s="259">
        <v>0</v>
      </c>
      <c r="K1681" s="260">
        <f t="shared" si="46"/>
        <v>13.531319999999997</v>
      </c>
      <c r="L1681" s="266" t="s">
        <v>1682</v>
      </c>
    </row>
    <row r="1682" spans="2:12">
      <c r="B1682" s="256" t="s">
        <v>1712</v>
      </c>
      <c r="C1682" s="250" t="s">
        <v>1612</v>
      </c>
      <c r="D1682" s="205" t="s">
        <v>169</v>
      </c>
      <c r="E1682" s="257">
        <v>5.57</v>
      </c>
      <c r="F1682" s="258">
        <v>4.95</v>
      </c>
      <c r="G1682" s="257">
        <v>0.25</v>
      </c>
      <c r="H1682" s="257">
        <v>1</v>
      </c>
      <c r="I1682" s="257"/>
      <c r="J1682" s="259">
        <v>3.3962699999999999</v>
      </c>
      <c r="K1682" s="260">
        <f t="shared" si="46"/>
        <v>3.4966050000000011</v>
      </c>
      <c r="L1682" s="266" t="s">
        <v>1682</v>
      </c>
    </row>
    <row r="1683" spans="2:12">
      <c r="B1683" s="256" t="s">
        <v>1713</v>
      </c>
      <c r="C1683" s="250" t="s">
        <v>1612</v>
      </c>
      <c r="D1683" s="205" t="s">
        <v>169</v>
      </c>
      <c r="E1683" s="257">
        <v>17.97</v>
      </c>
      <c r="F1683" s="258">
        <v>0.55000000000000004</v>
      </c>
      <c r="G1683" s="257">
        <v>0.1</v>
      </c>
      <c r="H1683" s="257">
        <v>1</v>
      </c>
      <c r="I1683" s="257"/>
      <c r="J1683" s="259">
        <v>0</v>
      </c>
      <c r="K1683" s="260">
        <f t="shared" si="46"/>
        <v>0.98835000000000006</v>
      </c>
      <c r="L1683" s="266" t="s">
        <v>1714</v>
      </c>
    </row>
    <row r="1684" spans="2:12">
      <c r="B1684" s="256" t="s">
        <v>1715</v>
      </c>
      <c r="C1684" s="250" t="s">
        <v>1612</v>
      </c>
      <c r="D1684" s="205" t="s">
        <v>169</v>
      </c>
      <c r="E1684" s="257">
        <v>21.4</v>
      </c>
      <c r="F1684" s="258">
        <v>5.85</v>
      </c>
      <c r="G1684" s="257">
        <v>0.25</v>
      </c>
      <c r="H1684" s="257">
        <v>1</v>
      </c>
      <c r="I1684" s="257"/>
      <c r="J1684" s="259">
        <v>14.8062</v>
      </c>
      <c r="K1684" s="260">
        <f t="shared" si="46"/>
        <v>16.491299999999995</v>
      </c>
      <c r="L1684" s="266" t="s">
        <v>1714</v>
      </c>
    </row>
    <row r="1685" spans="2:12">
      <c r="B1685" s="256" t="s">
        <v>1716</v>
      </c>
      <c r="C1685" s="250" t="s">
        <v>1612</v>
      </c>
      <c r="D1685" s="205" t="s">
        <v>169</v>
      </c>
      <c r="E1685" s="257">
        <v>21.4</v>
      </c>
      <c r="F1685" s="258">
        <v>5.8</v>
      </c>
      <c r="G1685" s="257">
        <v>0.25</v>
      </c>
      <c r="H1685" s="257">
        <v>1</v>
      </c>
      <c r="I1685" s="257"/>
      <c r="J1685" s="259">
        <v>14.8062</v>
      </c>
      <c r="K1685" s="260">
        <f t="shared" si="46"/>
        <v>16.223799999999997</v>
      </c>
      <c r="L1685" s="266" t="s">
        <v>1714</v>
      </c>
    </row>
    <row r="1686" spans="2:12">
      <c r="B1686" s="256" t="s">
        <v>1717</v>
      </c>
      <c r="C1686" s="250" t="s">
        <v>1612</v>
      </c>
      <c r="D1686" s="205" t="s">
        <v>169</v>
      </c>
      <c r="E1686" s="257">
        <v>24.49</v>
      </c>
      <c r="F1686" s="258">
        <v>0.55000000000000004</v>
      </c>
      <c r="G1686" s="257">
        <v>0.1</v>
      </c>
      <c r="H1686" s="257">
        <v>1</v>
      </c>
      <c r="I1686" s="257"/>
      <c r="J1686" s="259">
        <v>0</v>
      </c>
      <c r="K1686" s="260">
        <f t="shared" si="46"/>
        <v>1.3469500000000001</v>
      </c>
      <c r="L1686" s="266" t="s">
        <v>1714</v>
      </c>
    </row>
    <row r="1687" spans="2:12">
      <c r="B1687" s="256" t="s">
        <v>1718</v>
      </c>
      <c r="C1687" s="250" t="s">
        <v>1612</v>
      </c>
      <c r="D1687" s="205" t="s">
        <v>169</v>
      </c>
      <c r="E1687" s="257">
        <v>21.4</v>
      </c>
      <c r="F1687" s="258">
        <v>5.8</v>
      </c>
      <c r="G1687" s="257">
        <v>0.25</v>
      </c>
      <c r="H1687" s="257">
        <v>1</v>
      </c>
      <c r="I1687" s="257"/>
      <c r="J1687" s="259">
        <v>14.76966</v>
      </c>
      <c r="K1687" s="260">
        <f t="shared" si="46"/>
        <v>16.260339999999999</v>
      </c>
      <c r="L1687" s="266" t="s">
        <v>1714</v>
      </c>
    </row>
    <row r="1688" spans="2:12">
      <c r="B1688" s="256" t="s">
        <v>1719</v>
      </c>
      <c r="C1688" s="250" t="s">
        <v>1612</v>
      </c>
      <c r="D1688" s="205" t="s">
        <v>169</v>
      </c>
      <c r="E1688" s="257">
        <v>7.77</v>
      </c>
      <c r="F1688" s="258">
        <v>0.18</v>
      </c>
      <c r="G1688" s="257">
        <v>0.12</v>
      </c>
      <c r="H1688" s="257">
        <v>1</v>
      </c>
      <c r="I1688" s="257"/>
      <c r="J1688" s="259">
        <v>0</v>
      </c>
      <c r="K1688" s="260">
        <f t="shared" si="46"/>
        <v>0.16783199999999998</v>
      </c>
      <c r="L1688" s="266" t="s">
        <v>1714</v>
      </c>
    </row>
    <row r="1689" spans="2:12">
      <c r="B1689" s="256" t="s">
        <v>1720</v>
      </c>
      <c r="C1689" s="250" t="s">
        <v>1612</v>
      </c>
      <c r="D1689" s="205" t="s">
        <v>169</v>
      </c>
      <c r="E1689" s="257">
        <v>21.4</v>
      </c>
      <c r="F1689" s="258">
        <v>5.69</v>
      </c>
      <c r="G1689" s="257">
        <v>0.25</v>
      </c>
      <c r="H1689" s="257">
        <v>1</v>
      </c>
      <c r="I1689" s="257"/>
      <c r="J1689" s="259">
        <v>13.92924</v>
      </c>
      <c r="K1689" s="260">
        <f t="shared" si="46"/>
        <v>16.512260000000001</v>
      </c>
      <c r="L1689" s="266" t="s">
        <v>1714</v>
      </c>
    </row>
    <row r="1690" spans="2:12">
      <c r="B1690" s="256" t="s">
        <v>1721</v>
      </c>
      <c r="C1690" s="250" t="s">
        <v>1612</v>
      </c>
      <c r="D1690" s="205" t="s">
        <v>169</v>
      </c>
      <c r="E1690" s="257">
        <v>3.45</v>
      </c>
      <c r="F1690" s="258">
        <v>2.74</v>
      </c>
      <c r="G1690" s="257">
        <v>0.15</v>
      </c>
      <c r="H1690" s="257">
        <v>1</v>
      </c>
      <c r="I1690" s="257"/>
      <c r="J1690" s="259">
        <v>0</v>
      </c>
      <c r="K1690" s="260">
        <f t="shared" si="46"/>
        <v>1.41795</v>
      </c>
      <c r="L1690" s="266" t="s">
        <v>1714</v>
      </c>
    </row>
    <row r="1691" spans="2:12">
      <c r="B1691" s="256" t="s">
        <v>1713</v>
      </c>
      <c r="C1691" s="250" t="s">
        <v>1613</v>
      </c>
      <c r="D1691" s="205" t="s">
        <v>169</v>
      </c>
      <c r="E1691" s="257">
        <v>17.97</v>
      </c>
      <c r="F1691" s="258">
        <v>0.55000000000000004</v>
      </c>
      <c r="G1691" s="257">
        <v>0.1</v>
      </c>
      <c r="H1691" s="257">
        <v>1</v>
      </c>
      <c r="I1691" s="257"/>
      <c r="J1691" s="259">
        <v>0</v>
      </c>
      <c r="K1691" s="260">
        <f t="shared" si="46"/>
        <v>0.98835000000000006</v>
      </c>
      <c r="L1691" s="266" t="s">
        <v>1683</v>
      </c>
    </row>
    <row r="1692" spans="2:12">
      <c r="B1692" s="256" t="s">
        <v>1715</v>
      </c>
      <c r="C1692" s="250" t="s">
        <v>1613</v>
      </c>
      <c r="D1692" s="205" t="s">
        <v>169</v>
      </c>
      <c r="E1692" s="257">
        <v>21.4</v>
      </c>
      <c r="F1692" s="258">
        <v>5.85</v>
      </c>
      <c r="G1692" s="257">
        <v>0.25</v>
      </c>
      <c r="H1692" s="257">
        <v>1</v>
      </c>
      <c r="I1692" s="257"/>
      <c r="J1692" s="259">
        <v>14.8062</v>
      </c>
      <c r="K1692" s="260">
        <f t="shared" si="46"/>
        <v>16.491299999999995</v>
      </c>
      <c r="L1692" s="266" t="s">
        <v>1683</v>
      </c>
    </row>
    <row r="1693" spans="2:12">
      <c r="B1693" s="256" t="s">
        <v>1716</v>
      </c>
      <c r="C1693" s="250" t="s">
        <v>1613</v>
      </c>
      <c r="D1693" s="205" t="s">
        <v>169</v>
      </c>
      <c r="E1693" s="257">
        <v>21.4</v>
      </c>
      <c r="F1693" s="258">
        <v>5.8</v>
      </c>
      <c r="G1693" s="257">
        <v>0.25</v>
      </c>
      <c r="H1693" s="257">
        <v>1</v>
      </c>
      <c r="I1693" s="257"/>
      <c r="J1693" s="259">
        <v>14.8062</v>
      </c>
      <c r="K1693" s="260">
        <f t="shared" si="46"/>
        <v>16.223799999999997</v>
      </c>
      <c r="L1693" s="266" t="s">
        <v>1683</v>
      </c>
    </row>
    <row r="1694" spans="2:12">
      <c r="B1694" s="256" t="s">
        <v>1717</v>
      </c>
      <c r="C1694" s="250" t="s">
        <v>1613</v>
      </c>
      <c r="D1694" s="205" t="s">
        <v>169</v>
      </c>
      <c r="E1694" s="257">
        <v>24.49</v>
      </c>
      <c r="F1694" s="258">
        <v>0.55000000000000004</v>
      </c>
      <c r="G1694" s="257">
        <v>0.1</v>
      </c>
      <c r="H1694" s="257">
        <v>1</v>
      </c>
      <c r="I1694" s="257"/>
      <c r="J1694" s="259">
        <v>0</v>
      </c>
      <c r="K1694" s="260">
        <f t="shared" si="46"/>
        <v>1.3469500000000001</v>
      </c>
      <c r="L1694" s="266" t="s">
        <v>1683</v>
      </c>
    </row>
    <row r="1695" spans="2:12">
      <c r="B1695" s="256" t="s">
        <v>1718</v>
      </c>
      <c r="C1695" s="250" t="s">
        <v>1613</v>
      </c>
      <c r="D1695" s="205" t="s">
        <v>169</v>
      </c>
      <c r="E1695" s="257">
        <v>21.4</v>
      </c>
      <c r="F1695" s="258">
        <v>5.8</v>
      </c>
      <c r="G1695" s="257">
        <v>0.25</v>
      </c>
      <c r="H1695" s="257">
        <v>1</v>
      </c>
      <c r="I1695" s="257"/>
      <c r="J1695" s="259">
        <v>14.76966</v>
      </c>
      <c r="K1695" s="260">
        <f t="shared" ref="K1695:K1726" si="47">IF(E1695*F1695*G1695&lt;&gt;0,E1695*F1695*G1695,IF(E1695*F1695&lt;&gt;0,E1695*F1695,IF(F1695*G1695&lt;&gt;0,F1695*G1695,IF(E1695*G1695&lt;&gt;0,E1695*G1695,IF(E1695&lt;&gt;0,E1695,IF(F1695&lt;&gt;0,F1695,IF(G1695&lt;&gt;0,G1695,0)))))))*(IF(H1695&lt;&gt;0,H1695,1))+I1695-J1695</f>
        <v>16.260339999999999</v>
      </c>
      <c r="L1695" s="266" t="s">
        <v>1683</v>
      </c>
    </row>
    <row r="1696" spans="2:12">
      <c r="B1696" s="256" t="s">
        <v>1719</v>
      </c>
      <c r="C1696" s="250" t="s">
        <v>1613</v>
      </c>
      <c r="D1696" s="205" t="s">
        <v>169</v>
      </c>
      <c r="E1696" s="257">
        <v>7.77</v>
      </c>
      <c r="F1696" s="258">
        <v>0.18</v>
      </c>
      <c r="G1696" s="257">
        <v>0.12</v>
      </c>
      <c r="H1696" s="257">
        <v>1</v>
      </c>
      <c r="I1696" s="257"/>
      <c r="J1696" s="259">
        <v>0</v>
      </c>
      <c r="K1696" s="260">
        <f t="shared" si="47"/>
        <v>0.16783199999999998</v>
      </c>
      <c r="L1696" s="266" t="s">
        <v>1683</v>
      </c>
    </row>
    <row r="1697" spans="2:12">
      <c r="B1697" s="256" t="s">
        <v>1720</v>
      </c>
      <c r="C1697" s="250" t="s">
        <v>1613</v>
      </c>
      <c r="D1697" s="205" t="s">
        <v>169</v>
      </c>
      <c r="E1697" s="257">
        <v>21.4</v>
      </c>
      <c r="F1697" s="258">
        <v>5.69</v>
      </c>
      <c r="G1697" s="257">
        <v>0.25</v>
      </c>
      <c r="H1697" s="257">
        <v>1</v>
      </c>
      <c r="I1697" s="257"/>
      <c r="J1697" s="259">
        <v>13.92924</v>
      </c>
      <c r="K1697" s="260">
        <f t="shared" si="47"/>
        <v>16.512260000000001</v>
      </c>
      <c r="L1697" s="266" t="s">
        <v>1683</v>
      </c>
    </row>
    <row r="1698" spans="2:12">
      <c r="B1698" s="256" t="s">
        <v>1721</v>
      </c>
      <c r="C1698" s="250" t="s">
        <v>1613</v>
      </c>
      <c r="D1698" s="205" t="s">
        <v>169</v>
      </c>
      <c r="E1698" s="257">
        <v>3.45</v>
      </c>
      <c r="F1698" s="258">
        <v>2.74</v>
      </c>
      <c r="G1698" s="257">
        <v>0.15</v>
      </c>
      <c r="H1698" s="257">
        <v>1</v>
      </c>
      <c r="I1698" s="257"/>
      <c r="J1698" s="259">
        <v>0</v>
      </c>
      <c r="K1698" s="260">
        <f t="shared" si="47"/>
        <v>1.41795</v>
      </c>
      <c r="L1698" s="266" t="s">
        <v>1683</v>
      </c>
    </row>
    <row r="1699" spans="2:12">
      <c r="B1699" s="256" t="s">
        <v>1920</v>
      </c>
      <c r="C1699" s="250" t="s">
        <v>1895</v>
      </c>
      <c r="D1699" s="205" t="s">
        <v>169</v>
      </c>
      <c r="E1699" s="257">
        <v>25.82</v>
      </c>
      <c r="F1699" s="258">
        <v>6.86</v>
      </c>
      <c r="G1699" s="257">
        <v>0.3</v>
      </c>
      <c r="H1699" s="257">
        <v>1</v>
      </c>
      <c r="I1699" s="257"/>
      <c r="J1699" s="259">
        <v>26.362084374999998</v>
      </c>
      <c r="K1699" s="260">
        <f t="shared" si="47"/>
        <v>26.775475625000002</v>
      </c>
      <c r="L1699" s="266" t="s">
        <v>1685</v>
      </c>
    </row>
    <row r="1700" spans="2:12">
      <c r="B1700" s="256" t="s">
        <v>1921</v>
      </c>
      <c r="C1700" s="250" t="s">
        <v>1895</v>
      </c>
      <c r="D1700" s="205" t="s">
        <v>169</v>
      </c>
      <c r="E1700" s="257">
        <v>7.39</v>
      </c>
      <c r="F1700" s="258">
        <v>0.5</v>
      </c>
      <c r="G1700" s="257">
        <v>0.1</v>
      </c>
      <c r="H1700" s="257">
        <v>1</v>
      </c>
      <c r="I1700" s="257"/>
      <c r="J1700" s="259">
        <v>0</v>
      </c>
      <c r="K1700" s="260">
        <f t="shared" si="47"/>
        <v>0.3695</v>
      </c>
      <c r="L1700" s="266" t="s">
        <v>1685</v>
      </c>
    </row>
    <row r="1701" spans="2:12">
      <c r="B1701" s="256" t="s">
        <v>1922</v>
      </c>
      <c r="C1701" s="250" t="s">
        <v>1895</v>
      </c>
      <c r="D1701" s="205" t="s">
        <v>169</v>
      </c>
      <c r="E1701" s="257">
        <v>3.95</v>
      </c>
      <c r="F1701" s="258">
        <v>0.15</v>
      </c>
      <c r="G1701" s="257">
        <v>0.15</v>
      </c>
      <c r="H1701" s="257">
        <v>1</v>
      </c>
      <c r="I1701" s="257"/>
      <c r="J1701" s="259">
        <v>0</v>
      </c>
      <c r="K1701" s="260">
        <f t="shared" si="47"/>
        <v>8.8874999999999996E-2</v>
      </c>
      <c r="L1701" s="266" t="s">
        <v>1685</v>
      </c>
    </row>
    <row r="1702" spans="2:12">
      <c r="B1702" s="256" t="s">
        <v>1923</v>
      </c>
      <c r="C1702" s="250" t="s">
        <v>1895</v>
      </c>
      <c r="D1702" s="205" t="s">
        <v>169</v>
      </c>
      <c r="E1702" s="257">
        <v>19.7</v>
      </c>
      <c r="F1702" s="258">
        <v>8.9499999999999993</v>
      </c>
      <c r="G1702" s="257">
        <v>0.35</v>
      </c>
      <c r="H1702" s="257">
        <v>1</v>
      </c>
      <c r="I1702" s="257"/>
      <c r="J1702" s="259">
        <v>30.36582881</v>
      </c>
      <c r="K1702" s="260">
        <f t="shared" si="47"/>
        <v>31.344421189999988</v>
      </c>
      <c r="L1702" s="266" t="s">
        <v>1685</v>
      </c>
    </row>
    <row r="1703" spans="2:12">
      <c r="B1703" s="256" t="s">
        <v>1924</v>
      </c>
      <c r="C1703" s="250" t="s">
        <v>1895</v>
      </c>
      <c r="D1703" s="205" t="s">
        <v>169</v>
      </c>
      <c r="E1703" s="257">
        <v>10.61</v>
      </c>
      <c r="F1703" s="258">
        <v>0.83</v>
      </c>
      <c r="G1703" s="257">
        <v>0.15</v>
      </c>
      <c r="H1703" s="257">
        <v>1</v>
      </c>
      <c r="I1703" s="257"/>
      <c r="J1703" s="259">
        <v>0</v>
      </c>
      <c r="K1703" s="260">
        <f t="shared" si="47"/>
        <v>1.3209449999999998</v>
      </c>
      <c r="L1703" s="266" t="s">
        <v>1685</v>
      </c>
    </row>
    <row r="1704" spans="2:12">
      <c r="B1704" s="256" t="s">
        <v>1925</v>
      </c>
      <c r="C1704" s="250" t="s">
        <v>1895</v>
      </c>
      <c r="D1704" s="205" t="s">
        <v>169</v>
      </c>
      <c r="E1704" s="257">
        <v>3.65</v>
      </c>
      <c r="F1704" s="258">
        <v>0.15</v>
      </c>
      <c r="G1704" s="257">
        <v>0.15</v>
      </c>
      <c r="H1704" s="257">
        <v>1</v>
      </c>
      <c r="I1704" s="257"/>
      <c r="J1704" s="259">
        <v>0</v>
      </c>
      <c r="K1704" s="260">
        <f t="shared" si="47"/>
        <v>8.212499999999999E-2</v>
      </c>
      <c r="L1704" s="266" t="s">
        <v>1685</v>
      </c>
    </row>
    <row r="1705" spans="2:12">
      <c r="B1705" s="256" t="s">
        <v>1926</v>
      </c>
      <c r="C1705" s="250" t="s">
        <v>1895</v>
      </c>
      <c r="D1705" s="205" t="s">
        <v>169</v>
      </c>
      <c r="E1705" s="257">
        <v>6.51</v>
      </c>
      <c r="F1705" s="258">
        <v>4.1500000000000004</v>
      </c>
      <c r="G1705" s="257">
        <v>0.25</v>
      </c>
      <c r="H1705" s="257">
        <v>1</v>
      </c>
      <c r="I1705" s="257"/>
      <c r="J1705" s="259">
        <v>3.5522191200000002</v>
      </c>
      <c r="K1705" s="260">
        <f t="shared" si="47"/>
        <v>3.20190588</v>
      </c>
      <c r="L1705" s="266" t="s">
        <v>1685</v>
      </c>
    </row>
    <row r="1706" spans="2:12">
      <c r="B1706" s="256" t="s">
        <v>1927</v>
      </c>
      <c r="C1706" s="250" t="s">
        <v>1895</v>
      </c>
      <c r="D1706" s="205" t="s">
        <v>169</v>
      </c>
      <c r="E1706" s="257">
        <v>8.07</v>
      </c>
      <c r="F1706" s="258">
        <v>9.35</v>
      </c>
      <c r="G1706" s="257">
        <v>0.18</v>
      </c>
      <c r="H1706" s="257">
        <v>1</v>
      </c>
      <c r="I1706" s="257"/>
      <c r="J1706" s="259">
        <v>0</v>
      </c>
      <c r="K1706" s="260">
        <f t="shared" si="47"/>
        <v>13.581809999999999</v>
      </c>
      <c r="L1706" s="266" t="s">
        <v>1685</v>
      </c>
    </row>
    <row r="1707" spans="2:12">
      <c r="B1707" s="256" t="s">
        <v>1928</v>
      </c>
      <c r="C1707" s="250" t="s">
        <v>1895</v>
      </c>
      <c r="D1707" s="205" t="s">
        <v>169</v>
      </c>
      <c r="E1707" s="257">
        <v>5.6</v>
      </c>
      <c r="F1707" s="258">
        <v>5</v>
      </c>
      <c r="G1707" s="257">
        <v>0.25</v>
      </c>
      <c r="H1707" s="257">
        <v>1</v>
      </c>
      <c r="I1707" s="257"/>
      <c r="J1707" s="259">
        <v>3.3947491200000002</v>
      </c>
      <c r="K1707" s="260">
        <f t="shared" si="47"/>
        <v>3.6052508799999998</v>
      </c>
      <c r="L1707" s="266" t="s">
        <v>1685</v>
      </c>
    </row>
    <row r="1708" spans="2:12">
      <c r="B1708" s="256" t="s">
        <v>1713</v>
      </c>
      <c r="C1708" s="250" t="s">
        <v>1931</v>
      </c>
      <c r="D1708" s="205" t="s">
        <v>169</v>
      </c>
      <c r="E1708" s="257">
        <v>17.97</v>
      </c>
      <c r="F1708" s="258">
        <v>0.55000000000000004</v>
      </c>
      <c r="G1708" s="257">
        <v>0.1</v>
      </c>
      <c r="H1708" s="257">
        <v>1</v>
      </c>
      <c r="I1708" s="257"/>
      <c r="J1708" s="259">
        <v>0</v>
      </c>
      <c r="K1708" s="260">
        <f t="shared" si="47"/>
        <v>0.98835000000000006</v>
      </c>
      <c r="L1708" s="266" t="s">
        <v>1685</v>
      </c>
    </row>
    <row r="1709" spans="2:12">
      <c r="B1709" s="256" t="s">
        <v>1974</v>
      </c>
      <c r="C1709" s="250" t="s">
        <v>1931</v>
      </c>
      <c r="D1709" s="205" t="s">
        <v>169</v>
      </c>
      <c r="E1709" s="257">
        <v>17.72</v>
      </c>
      <c r="F1709" s="258">
        <v>0.4</v>
      </c>
      <c r="G1709" s="257">
        <v>0.1</v>
      </c>
      <c r="H1709" s="257">
        <v>1</v>
      </c>
      <c r="I1709" s="257"/>
      <c r="J1709" s="259"/>
      <c r="K1709" s="260">
        <f t="shared" si="47"/>
        <v>0.7088000000000001</v>
      </c>
      <c r="L1709" s="266" t="s">
        <v>1684</v>
      </c>
    </row>
    <row r="1710" spans="2:12">
      <c r="B1710" s="256" t="s">
        <v>1975</v>
      </c>
      <c r="C1710" s="250" t="s">
        <v>1931</v>
      </c>
      <c r="D1710" s="205" t="s">
        <v>169</v>
      </c>
      <c r="E1710" s="257">
        <v>21.4</v>
      </c>
      <c r="F1710" s="258">
        <v>5.85</v>
      </c>
      <c r="G1710" s="257">
        <v>0.25</v>
      </c>
      <c r="H1710" s="257">
        <v>1</v>
      </c>
      <c r="I1710" s="257"/>
      <c r="J1710" s="259">
        <v>14.531504</v>
      </c>
      <c r="K1710" s="260">
        <f t="shared" si="47"/>
        <v>16.765995999999994</v>
      </c>
      <c r="L1710" s="266" t="s">
        <v>1684</v>
      </c>
    </row>
    <row r="1711" spans="2:12">
      <c r="B1711" s="256" t="s">
        <v>1976</v>
      </c>
      <c r="C1711" s="250" t="s">
        <v>1931</v>
      </c>
      <c r="D1711" s="205" t="s">
        <v>169</v>
      </c>
      <c r="E1711" s="257">
        <v>21.4</v>
      </c>
      <c r="F1711" s="258">
        <v>5.8</v>
      </c>
      <c r="G1711" s="257">
        <v>0.25</v>
      </c>
      <c r="H1711" s="257">
        <v>1</v>
      </c>
      <c r="I1711" s="257"/>
      <c r="J1711" s="259">
        <v>14.531504</v>
      </c>
      <c r="K1711" s="260">
        <f t="shared" si="47"/>
        <v>16.498495999999996</v>
      </c>
      <c r="L1711" s="266" t="s">
        <v>1684</v>
      </c>
    </row>
    <row r="1712" spans="2:12">
      <c r="B1712" s="256" t="s">
        <v>1977</v>
      </c>
      <c r="C1712" s="250" t="s">
        <v>1931</v>
      </c>
      <c r="D1712" s="205" t="s">
        <v>169</v>
      </c>
      <c r="E1712" s="257">
        <v>24.29</v>
      </c>
      <c r="F1712" s="258">
        <v>0.5</v>
      </c>
      <c r="G1712" s="257">
        <v>0.1</v>
      </c>
      <c r="H1712" s="257">
        <v>1</v>
      </c>
      <c r="I1712" s="257"/>
      <c r="J1712" s="259">
        <v>0</v>
      </c>
      <c r="K1712" s="260">
        <f t="shared" si="47"/>
        <v>1.2145000000000001</v>
      </c>
      <c r="L1712" s="266" t="s">
        <v>1684</v>
      </c>
    </row>
    <row r="1713" spans="2:12">
      <c r="B1713" s="256" t="s">
        <v>1978</v>
      </c>
      <c r="C1713" s="250" t="s">
        <v>1931</v>
      </c>
      <c r="D1713" s="205" t="s">
        <v>169</v>
      </c>
      <c r="E1713" s="257">
        <v>21.4</v>
      </c>
      <c r="F1713" s="258">
        <v>5.8</v>
      </c>
      <c r="G1713" s="257">
        <v>0.25</v>
      </c>
      <c r="H1713" s="257">
        <v>1</v>
      </c>
      <c r="I1713" s="257"/>
      <c r="J1713" s="259">
        <v>14.531504</v>
      </c>
      <c r="K1713" s="260">
        <f t="shared" si="47"/>
        <v>16.498495999999996</v>
      </c>
      <c r="L1713" s="266" t="s">
        <v>1684</v>
      </c>
    </row>
    <row r="1714" spans="2:12">
      <c r="B1714" s="256" t="s">
        <v>1979</v>
      </c>
      <c r="C1714" s="250" t="s">
        <v>1931</v>
      </c>
      <c r="D1714" s="205" t="s">
        <v>169</v>
      </c>
      <c r="E1714" s="257">
        <v>6.52</v>
      </c>
      <c r="F1714" s="258">
        <v>0.18</v>
      </c>
      <c r="G1714" s="257">
        <v>0.12</v>
      </c>
      <c r="H1714" s="257">
        <v>1</v>
      </c>
      <c r="I1714" s="257"/>
      <c r="J1714" s="259">
        <v>0</v>
      </c>
      <c r="K1714" s="260">
        <f t="shared" si="47"/>
        <v>0.14083199999999998</v>
      </c>
      <c r="L1714" s="266" t="s">
        <v>1684</v>
      </c>
    </row>
    <row r="1715" spans="2:12">
      <c r="B1715" s="256" t="s">
        <v>1980</v>
      </c>
      <c r="C1715" s="250" t="s">
        <v>1931</v>
      </c>
      <c r="D1715" s="205" t="s">
        <v>169</v>
      </c>
      <c r="E1715" s="257">
        <v>21.4</v>
      </c>
      <c r="F1715" s="258">
        <v>5.69</v>
      </c>
      <c r="G1715" s="257">
        <v>0.25</v>
      </c>
      <c r="H1715" s="257">
        <v>1</v>
      </c>
      <c r="I1715" s="257"/>
      <c r="J1715" s="259">
        <v>13.621504</v>
      </c>
      <c r="K1715" s="260">
        <f t="shared" si="47"/>
        <v>16.819996000000003</v>
      </c>
      <c r="L1715" s="266" t="s">
        <v>1684</v>
      </c>
    </row>
    <row r="1716" spans="2:12">
      <c r="B1716" s="256" t="s">
        <v>1981</v>
      </c>
      <c r="C1716" s="250" t="s">
        <v>1931</v>
      </c>
      <c r="D1716" s="205" t="s">
        <v>169</v>
      </c>
      <c r="E1716" s="257">
        <v>3.4</v>
      </c>
      <c r="F1716" s="258">
        <v>2.74</v>
      </c>
      <c r="G1716" s="257">
        <v>0.15</v>
      </c>
      <c r="H1716" s="257">
        <v>1</v>
      </c>
      <c r="I1716" s="257"/>
      <c r="J1716" s="259"/>
      <c r="K1716" s="260">
        <f t="shared" si="47"/>
        <v>1.3974</v>
      </c>
      <c r="L1716" s="266" t="s">
        <v>1684</v>
      </c>
    </row>
    <row r="1717" spans="2:12">
      <c r="B1717" s="256" t="s">
        <v>1982</v>
      </c>
      <c r="C1717" s="250" t="s">
        <v>1931</v>
      </c>
      <c r="D1717" s="205" t="s">
        <v>169</v>
      </c>
      <c r="E1717" s="257">
        <v>7.39</v>
      </c>
      <c r="F1717" s="258">
        <v>0.5</v>
      </c>
      <c r="G1717" s="257">
        <v>0.1</v>
      </c>
      <c r="H1717" s="257">
        <v>1</v>
      </c>
      <c r="I1717" s="257"/>
      <c r="J1717" s="259"/>
      <c r="K1717" s="260">
        <f t="shared" si="47"/>
        <v>0.3695</v>
      </c>
      <c r="L1717" s="266" t="s">
        <v>1684</v>
      </c>
    </row>
    <row r="1718" spans="2:12">
      <c r="B1718" s="256" t="s">
        <v>1920</v>
      </c>
      <c r="C1718" s="250" t="s">
        <v>1931</v>
      </c>
      <c r="D1718" s="205" t="s">
        <v>169</v>
      </c>
      <c r="E1718" s="257">
        <v>25.82</v>
      </c>
      <c r="F1718" s="258">
        <v>6.86</v>
      </c>
      <c r="G1718" s="257">
        <v>0.3</v>
      </c>
      <c r="H1718" s="257">
        <v>1</v>
      </c>
      <c r="I1718" s="257"/>
      <c r="J1718" s="259">
        <v>26.709375000000001</v>
      </c>
      <c r="K1718" s="260">
        <f t="shared" si="47"/>
        <v>26.428184999999999</v>
      </c>
      <c r="L1718" s="266" t="s">
        <v>1919</v>
      </c>
    </row>
    <row r="1719" spans="2:12">
      <c r="B1719" s="256" t="s">
        <v>1921</v>
      </c>
      <c r="C1719" s="250" t="s">
        <v>1931</v>
      </c>
      <c r="D1719" s="205" t="s">
        <v>169</v>
      </c>
      <c r="E1719" s="257">
        <v>7.39</v>
      </c>
      <c r="F1719" s="258">
        <v>0.5</v>
      </c>
      <c r="G1719" s="257">
        <v>0.1</v>
      </c>
      <c r="H1719" s="257">
        <v>1</v>
      </c>
      <c r="I1719" s="257"/>
      <c r="J1719" s="259">
        <v>0</v>
      </c>
      <c r="K1719" s="260">
        <f t="shared" si="47"/>
        <v>0.3695</v>
      </c>
      <c r="L1719" s="266" t="s">
        <v>1919</v>
      </c>
    </row>
    <row r="1720" spans="2:12">
      <c r="B1720" s="256" t="s">
        <v>1922</v>
      </c>
      <c r="C1720" s="250" t="s">
        <v>1931</v>
      </c>
      <c r="D1720" s="205" t="s">
        <v>169</v>
      </c>
      <c r="E1720" s="257">
        <v>3.95</v>
      </c>
      <c r="F1720" s="258">
        <v>0.15</v>
      </c>
      <c r="G1720" s="257">
        <v>0.15</v>
      </c>
      <c r="H1720" s="257">
        <v>1</v>
      </c>
      <c r="I1720" s="257"/>
      <c r="J1720" s="259">
        <v>0</v>
      </c>
      <c r="K1720" s="260">
        <f t="shared" si="47"/>
        <v>8.8874999999999996E-2</v>
      </c>
      <c r="L1720" s="266" t="s">
        <v>1919</v>
      </c>
    </row>
    <row r="1721" spans="2:12">
      <c r="B1721" s="256" t="s">
        <v>1923</v>
      </c>
      <c r="C1721" s="250" t="s">
        <v>1931</v>
      </c>
      <c r="D1721" s="205" t="s">
        <v>169</v>
      </c>
      <c r="E1721" s="257">
        <v>19.7</v>
      </c>
      <c r="F1721" s="258">
        <v>8.9499999999999993</v>
      </c>
      <c r="G1721" s="257">
        <v>0.35</v>
      </c>
      <c r="H1721" s="257">
        <v>1</v>
      </c>
      <c r="I1721" s="257"/>
      <c r="J1721" s="259">
        <v>30.685402</v>
      </c>
      <c r="K1721" s="260">
        <f t="shared" si="47"/>
        <v>31.024847999999988</v>
      </c>
      <c r="L1721" s="266" t="s">
        <v>1919</v>
      </c>
    </row>
    <row r="1722" spans="2:12">
      <c r="B1722" s="256" t="s">
        <v>1924</v>
      </c>
      <c r="C1722" s="250" t="s">
        <v>1931</v>
      </c>
      <c r="D1722" s="205" t="s">
        <v>169</v>
      </c>
      <c r="E1722" s="257">
        <v>10.61</v>
      </c>
      <c r="F1722" s="258">
        <v>0.83</v>
      </c>
      <c r="G1722" s="257">
        <v>0.15</v>
      </c>
      <c r="H1722" s="257">
        <v>1</v>
      </c>
      <c r="I1722" s="257"/>
      <c r="J1722" s="259">
        <v>0</v>
      </c>
      <c r="K1722" s="260">
        <f t="shared" si="47"/>
        <v>1.3209449999999998</v>
      </c>
      <c r="L1722" s="266" t="s">
        <v>1919</v>
      </c>
    </row>
    <row r="1723" spans="2:12">
      <c r="B1723" s="256" t="s">
        <v>1925</v>
      </c>
      <c r="C1723" s="250" t="s">
        <v>1931</v>
      </c>
      <c r="D1723" s="205" t="s">
        <v>169</v>
      </c>
      <c r="E1723" s="257">
        <v>3.65</v>
      </c>
      <c r="F1723" s="258">
        <v>0.15</v>
      </c>
      <c r="G1723" s="257">
        <v>0.15</v>
      </c>
      <c r="H1723" s="257">
        <v>1</v>
      </c>
      <c r="I1723" s="257"/>
      <c r="J1723" s="259">
        <v>0</v>
      </c>
      <c r="K1723" s="260">
        <f t="shared" si="47"/>
        <v>8.212499999999999E-2</v>
      </c>
      <c r="L1723" s="266" t="s">
        <v>1919</v>
      </c>
    </row>
    <row r="1724" spans="2:12">
      <c r="B1724" s="256" t="s">
        <v>1926</v>
      </c>
      <c r="C1724" s="250" t="s">
        <v>1931</v>
      </c>
      <c r="D1724" s="205" t="s">
        <v>169</v>
      </c>
      <c r="E1724" s="257">
        <v>6.51</v>
      </c>
      <c r="F1724" s="258">
        <v>4.1500000000000004</v>
      </c>
      <c r="G1724" s="257">
        <v>0.25</v>
      </c>
      <c r="H1724" s="257">
        <v>1</v>
      </c>
      <c r="I1724" s="257"/>
      <c r="J1724" s="259">
        <v>3.4451040000000002</v>
      </c>
      <c r="K1724" s="260">
        <f t="shared" si="47"/>
        <v>3.309021</v>
      </c>
      <c r="L1724" s="266" t="s">
        <v>1919</v>
      </c>
    </row>
    <row r="1725" spans="2:12">
      <c r="B1725" s="256" t="s">
        <v>1927</v>
      </c>
      <c r="C1725" s="250" t="s">
        <v>1931</v>
      </c>
      <c r="D1725" s="205" t="s">
        <v>169</v>
      </c>
      <c r="E1725" s="257">
        <v>8.07</v>
      </c>
      <c r="F1725" s="258">
        <v>9.35</v>
      </c>
      <c r="G1725" s="257">
        <v>0.18</v>
      </c>
      <c r="H1725" s="257">
        <v>1</v>
      </c>
      <c r="I1725" s="257"/>
      <c r="J1725" s="259">
        <v>0</v>
      </c>
      <c r="K1725" s="260">
        <f t="shared" si="47"/>
        <v>13.581809999999999</v>
      </c>
      <c r="L1725" s="266" t="s">
        <v>1919</v>
      </c>
    </row>
    <row r="1726" spans="2:12">
      <c r="B1726" s="256" t="s">
        <v>1928</v>
      </c>
      <c r="C1726" s="250" t="s">
        <v>1931</v>
      </c>
      <c r="D1726" s="205" t="s">
        <v>169</v>
      </c>
      <c r="E1726" s="257">
        <v>5.6</v>
      </c>
      <c r="F1726" s="258">
        <v>5</v>
      </c>
      <c r="G1726" s="257">
        <v>0.25</v>
      </c>
      <c r="H1726" s="257">
        <v>1</v>
      </c>
      <c r="I1726" s="257"/>
      <c r="J1726" s="259">
        <v>3.2951039999999998</v>
      </c>
      <c r="K1726" s="260">
        <f t="shared" si="47"/>
        <v>3.7048960000000002</v>
      </c>
      <c r="L1726" s="266" t="s">
        <v>1919</v>
      </c>
    </row>
    <row r="1727" spans="2:12">
      <c r="B1727" s="256" t="s">
        <v>2027</v>
      </c>
      <c r="C1727" s="250" t="s">
        <v>1998</v>
      </c>
      <c r="D1727" s="205" t="s">
        <v>169</v>
      </c>
      <c r="E1727" s="257">
        <v>25.82</v>
      </c>
      <c r="F1727" s="258">
        <v>6.86</v>
      </c>
      <c r="G1727" s="257">
        <v>0.3</v>
      </c>
      <c r="H1727" s="257">
        <v>1</v>
      </c>
      <c r="I1727" s="257"/>
      <c r="J1727" s="259">
        <v>29.407834999999999</v>
      </c>
      <c r="K1727" s="260">
        <f t="shared" ref="K1727:K1735" si="48">IF(E1727*F1727*G1727&lt;&gt;0,E1727*F1727*G1727,IF(E1727*F1727&lt;&gt;0,E1727*F1727,IF(F1727*G1727&lt;&gt;0,F1727*G1727,IF(E1727*G1727&lt;&gt;0,E1727*G1727,IF(E1727&lt;&gt;0,E1727,IF(F1727&lt;&gt;0,F1727,IF(G1727&lt;&gt;0,G1727,0)))))))*(IF(H1727&lt;&gt;0,H1727,1))+I1727-J1727</f>
        <v>23.729725000000002</v>
      </c>
      <c r="L1727" s="266" t="s">
        <v>1957</v>
      </c>
    </row>
    <row r="1728" spans="2:12">
      <c r="B1728" s="256" t="s">
        <v>2028</v>
      </c>
      <c r="C1728" s="250" t="s">
        <v>1998</v>
      </c>
      <c r="D1728" s="205" t="s">
        <v>169</v>
      </c>
      <c r="E1728" s="257">
        <v>3.95</v>
      </c>
      <c r="F1728" s="258">
        <v>0.15</v>
      </c>
      <c r="G1728" s="257">
        <v>0.15</v>
      </c>
      <c r="H1728" s="257">
        <v>1</v>
      </c>
      <c r="I1728" s="257"/>
      <c r="J1728" s="259">
        <v>0</v>
      </c>
      <c r="K1728" s="260">
        <f t="shared" si="48"/>
        <v>8.8874999999999996E-2</v>
      </c>
      <c r="L1728" s="266" t="s">
        <v>1957</v>
      </c>
    </row>
    <row r="1729" spans="2:12">
      <c r="B1729" s="256" t="s">
        <v>2029</v>
      </c>
      <c r="C1729" s="250" t="s">
        <v>1998</v>
      </c>
      <c r="D1729" s="205" t="s">
        <v>169</v>
      </c>
      <c r="E1729" s="257">
        <v>19.71</v>
      </c>
      <c r="F1729" s="258">
        <v>8.9499999999999993</v>
      </c>
      <c r="G1729" s="257">
        <v>0.35</v>
      </c>
      <c r="H1729" s="257">
        <v>1</v>
      </c>
      <c r="I1729" s="257"/>
      <c r="J1729" s="259">
        <v>31.257401999999999</v>
      </c>
      <c r="K1729" s="260">
        <f t="shared" si="48"/>
        <v>30.484172999999991</v>
      </c>
      <c r="L1729" s="266" t="s">
        <v>1957</v>
      </c>
    </row>
    <row r="1730" spans="2:12">
      <c r="B1730" s="256" t="s">
        <v>2030</v>
      </c>
      <c r="C1730" s="250" t="s">
        <v>1998</v>
      </c>
      <c r="D1730" s="205" t="s">
        <v>169</v>
      </c>
      <c r="E1730" s="257">
        <v>10.66</v>
      </c>
      <c r="F1730" s="258">
        <v>0.84</v>
      </c>
      <c r="G1730" s="257">
        <v>0.15</v>
      </c>
      <c r="H1730" s="257">
        <v>1</v>
      </c>
      <c r="I1730" s="257"/>
      <c r="J1730" s="259">
        <v>0</v>
      </c>
      <c r="K1730" s="260">
        <f t="shared" si="48"/>
        <v>1.3431599999999999</v>
      </c>
      <c r="L1730" s="266" t="s">
        <v>1957</v>
      </c>
    </row>
    <row r="1731" spans="2:12">
      <c r="B1731" s="256" t="s">
        <v>2031</v>
      </c>
      <c r="C1731" s="250" t="s">
        <v>1998</v>
      </c>
      <c r="D1731" s="205" t="s">
        <v>169</v>
      </c>
      <c r="E1731" s="257">
        <v>3.65</v>
      </c>
      <c r="F1731" s="258">
        <v>0.15</v>
      </c>
      <c r="G1731" s="257">
        <v>0.15</v>
      </c>
      <c r="H1731" s="257">
        <v>1</v>
      </c>
      <c r="I1731" s="257"/>
      <c r="J1731" s="259">
        <v>0</v>
      </c>
      <c r="K1731" s="260">
        <f t="shared" si="48"/>
        <v>8.212499999999999E-2</v>
      </c>
      <c r="L1731" s="266" t="s">
        <v>1957</v>
      </c>
    </row>
    <row r="1732" spans="2:12">
      <c r="B1732" s="256" t="s">
        <v>2032</v>
      </c>
      <c r="C1732" s="250" t="s">
        <v>1998</v>
      </c>
      <c r="D1732" s="205" t="s">
        <v>169</v>
      </c>
      <c r="E1732" s="257">
        <v>6.51</v>
      </c>
      <c r="F1732" s="258">
        <v>4.1500000000000004</v>
      </c>
      <c r="G1732" s="257">
        <v>0.25</v>
      </c>
      <c r="H1732" s="257">
        <v>1</v>
      </c>
      <c r="I1732" s="257"/>
      <c r="J1732" s="259">
        <v>3.4851040000000002</v>
      </c>
      <c r="K1732" s="260">
        <f t="shared" si="48"/>
        <v>3.269021</v>
      </c>
      <c r="L1732" s="266" t="s">
        <v>1957</v>
      </c>
    </row>
    <row r="1733" spans="2:12">
      <c r="B1733" s="256" t="s">
        <v>2033</v>
      </c>
      <c r="C1733" s="250" t="s">
        <v>1998</v>
      </c>
      <c r="D1733" s="205" t="s">
        <v>169</v>
      </c>
      <c r="E1733" s="257">
        <v>8.07</v>
      </c>
      <c r="F1733" s="258">
        <v>9.35</v>
      </c>
      <c r="G1733" s="257">
        <v>0.35</v>
      </c>
      <c r="H1733" s="257">
        <v>1</v>
      </c>
      <c r="I1733" s="257"/>
      <c r="J1733" s="259">
        <v>11.797821000000001</v>
      </c>
      <c r="K1733" s="260">
        <f t="shared" si="48"/>
        <v>14.611253999999997</v>
      </c>
      <c r="L1733" s="266" t="s">
        <v>1957</v>
      </c>
    </row>
    <row r="1734" spans="2:12">
      <c r="B1734" s="256" t="s">
        <v>2034</v>
      </c>
      <c r="C1734" s="250" t="s">
        <v>1998</v>
      </c>
      <c r="D1734" s="205" t="s">
        <v>169</v>
      </c>
      <c r="E1734" s="257">
        <v>5.6</v>
      </c>
      <c r="F1734" s="258">
        <v>5</v>
      </c>
      <c r="G1734" s="257">
        <v>0.25</v>
      </c>
      <c r="H1734" s="257">
        <v>1</v>
      </c>
      <c r="I1734" s="257"/>
      <c r="J1734" s="259">
        <v>3.4091040000000001</v>
      </c>
      <c r="K1734" s="260">
        <f t="shared" si="48"/>
        <v>3.5908959999999999</v>
      </c>
      <c r="L1734" s="266" t="s">
        <v>1957</v>
      </c>
    </row>
    <row r="1735" spans="2:12">
      <c r="B1735" s="256"/>
      <c r="C1735" s="210"/>
      <c r="D1735" s="210"/>
      <c r="E1735" s="257"/>
      <c r="F1735" s="258"/>
      <c r="G1735" s="257"/>
      <c r="H1735" s="257"/>
      <c r="I1735" s="257"/>
      <c r="J1735" s="259"/>
      <c r="K1735" s="260">
        <f t="shared" si="48"/>
        <v>0</v>
      </c>
      <c r="L1735" s="210"/>
    </row>
    <row r="1736" spans="2:12">
      <c r="B1736" s="202"/>
      <c r="C1736" s="203"/>
      <c r="D1736" s="203"/>
      <c r="E1736" s="203"/>
      <c r="F1736" s="203"/>
      <c r="G1736" s="203"/>
      <c r="H1736" s="204"/>
      <c r="I1736" s="556" t="s">
        <v>1221</v>
      </c>
      <c r="J1736" s="556"/>
      <c r="K1736" s="220">
        <f>SUM(K1631:K1735)</f>
        <v>808.96527557500019</v>
      </c>
      <c r="L1736" s="207"/>
    </row>
    <row r="1737" spans="2:12">
      <c r="B1737" s="208"/>
      <c r="C1737" s="204"/>
      <c r="D1737" s="204"/>
      <c r="E1737" s="204"/>
      <c r="F1737" s="204"/>
      <c r="G1737" s="204"/>
      <c r="H1737" s="209"/>
      <c r="I1737" s="557" t="s">
        <v>1222</v>
      </c>
      <c r="J1737" s="557"/>
      <c r="K1737" s="221">
        <v>897.35</v>
      </c>
      <c r="L1737" s="246"/>
    </row>
    <row r="1738" spans="2:12">
      <c r="B1738" s="208"/>
      <c r="C1738" s="204"/>
      <c r="D1738" s="204"/>
      <c r="E1738" s="204"/>
      <c r="F1738" s="204"/>
      <c r="G1738" s="204"/>
      <c r="H1738" s="558" t="s">
        <v>1223</v>
      </c>
      <c r="I1738" s="558"/>
      <c r="J1738" s="558"/>
      <c r="K1738" s="222">
        <v>731.76604657500002</v>
      </c>
      <c r="L1738" s="207"/>
    </row>
    <row r="1739" spans="2:12">
      <c r="B1739" s="208"/>
      <c r="C1739" s="204"/>
      <c r="D1739" s="204"/>
      <c r="E1739" s="204"/>
      <c r="F1739" s="204"/>
      <c r="G1739" s="204"/>
      <c r="H1739" s="558" t="s">
        <v>1892</v>
      </c>
      <c r="I1739" s="558"/>
      <c r="J1739" s="558"/>
      <c r="K1739" s="222">
        <f>TRUNC(SUMIF(C1631:C1735,H1739,K1631:K1735),2)</f>
        <v>77.19</v>
      </c>
      <c r="L1739" s="246"/>
    </row>
    <row r="1740" spans="2:12">
      <c r="B1740" s="213"/>
      <c r="C1740" s="214"/>
      <c r="D1740" s="214"/>
      <c r="E1740" s="214"/>
      <c r="F1740" s="214"/>
      <c r="G1740" s="214"/>
      <c r="H1740" s="559" t="s">
        <v>1224</v>
      </c>
      <c r="I1740" s="559"/>
      <c r="J1740" s="559"/>
      <c r="K1740" s="223">
        <f>IF(K1736&gt;K1737,K1736-K1737,0)</f>
        <v>0</v>
      </c>
      <c r="L1740" s="209"/>
    </row>
    <row r="1742" spans="2:12">
      <c r="B1742" s="247" t="s">
        <v>1745</v>
      </c>
      <c r="C1742" s="565" t="str">
        <f>VLOOKUP(B1742,'BM 011'!$B$28:$R$618,2,0)</f>
        <v>ARMAÇÃO PARA EXECUÇÃO DE RADIER, PISO DE CONCRETO OU LAJE SOBRE SOLO, COM USO DE TELA Q-196. AF_09/2021</v>
      </c>
      <c r="D1742" s="565"/>
      <c r="E1742" s="565"/>
      <c r="F1742" s="565"/>
      <c r="G1742" s="565"/>
      <c r="H1742" s="565"/>
      <c r="I1742" s="565"/>
      <c r="J1742" s="565"/>
      <c r="K1742" s="565"/>
      <c r="L1742" s="565"/>
    </row>
    <row r="1743" spans="2:12">
      <c r="B1743" s="248" t="s">
        <v>1209</v>
      </c>
      <c r="C1743" s="248"/>
      <c r="D1743" s="248" t="s">
        <v>39</v>
      </c>
      <c r="E1743" s="248" t="s">
        <v>1210</v>
      </c>
      <c r="F1743" s="248" t="s">
        <v>1388</v>
      </c>
      <c r="G1743" s="248" t="s">
        <v>1212</v>
      </c>
      <c r="H1743" s="248" t="s">
        <v>1213</v>
      </c>
      <c r="I1743" s="248" t="s">
        <v>1214</v>
      </c>
      <c r="J1743" s="248" t="s">
        <v>1385</v>
      </c>
      <c r="K1743" s="248" t="s">
        <v>1216</v>
      </c>
      <c r="L1743" s="248" t="s">
        <v>1217</v>
      </c>
    </row>
    <row r="1744" spans="2:12">
      <c r="B1744" s="256" t="s">
        <v>1932</v>
      </c>
      <c r="C1744" s="250" t="s">
        <v>1931</v>
      </c>
      <c r="D1744" s="205" t="s">
        <v>79</v>
      </c>
      <c r="E1744" s="261">
        <v>1174</v>
      </c>
      <c r="F1744" s="261">
        <v>3.11</v>
      </c>
      <c r="G1744" s="261"/>
      <c r="H1744" s="261">
        <v>1</v>
      </c>
      <c r="I1744" s="261"/>
      <c r="J1744" s="275"/>
      <c r="K1744" s="260">
        <f t="shared" ref="K1744:K1750" si="49">IF(E1744*F1744*G1744&lt;&gt;0,E1744*F1744*G1744,IF(E1744*F1744&lt;&gt;0,E1744*F1744,IF(F1744*G1744&lt;&gt;0,F1744*G1744,IF(E1744*G1744&lt;&gt;0,E1744*G1744,IF(E1744&lt;&gt;0,E1744,IF(F1744&lt;&gt;0,F1744,IF(G1744&lt;&gt;0,G1744,0)))))))*(IF(H1744&lt;&gt;0,H1744,1))+I1744-J1744</f>
        <v>3651.14</v>
      </c>
      <c r="L1744" s="266"/>
    </row>
    <row r="1745" spans="2:12">
      <c r="B1745" s="256" t="s">
        <v>1557</v>
      </c>
      <c r="C1745" s="250" t="s">
        <v>1931</v>
      </c>
      <c r="D1745" s="205" t="s">
        <v>79</v>
      </c>
      <c r="E1745" s="261">
        <v>1086.1600000000001</v>
      </c>
      <c r="F1745" s="261">
        <v>3.11</v>
      </c>
      <c r="G1745" s="261"/>
      <c r="H1745" s="261">
        <v>1</v>
      </c>
      <c r="I1745" s="261"/>
      <c r="J1745" s="275"/>
      <c r="K1745" s="260">
        <f t="shared" si="49"/>
        <v>3377.9576000000002</v>
      </c>
      <c r="L1745" s="266"/>
    </row>
    <row r="1746" spans="2:12">
      <c r="B1746" s="256" t="s">
        <v>1558</v>
      </c>
      <c r="C1746" s="250" t="s">
        <v>1931</v>
      </c>
      <c r="D1746" s="205" t="s">
        <v>79</v>
      </c>
      <c r="E1746" s="261">
        <v>952.86</v>
      </c>
      <c r="F1746" s="261">
        <v>3.11</v>
      </c>
      <c r="G1746" s="261"/>
      <c r="H1746" s="261">
        <v>1</v>
      </c>
      <c r="I1746" s="261"/>
      <c r="J1746" s="275"/>
      <c r="K1746" s="260">
        <f t="shared" si="49"/>
        <v>2963.3946000000001</v>
      </c>
      <c r="L1746" s="266"/>
    </row>
    <row r="1747" spans="2:12">
      <c r="B1747" s="256" t="s">
        <v>1983</v>
      </c>
      <c r="C1747" s="250" t="s">
        <v>1931</v>
      </c>
      <c r="D1747" s="205" t="s">
        <v>79</v>
      </c>
      <c r="E1747" s="261">
        <v>952.86</v>
      </c>
      <c r="F1747" s="261">
        <v>3.11</v>
      </c>
      <c r="G1747" s="261"/>
      <c r="H1747" s="261">
        <v>1</v>
      </c>
      <c r="I1747" s="261"/>
      <c r="J1747" s="275"/>
      <c r="K1747" s="260">
        <f t="shared" si="49"/>
        <v>2963.3946000000001</v>
      </c>
      <c r="L1747" s="266"/>
    </row>
    <row r="1748" spans="2:12">
      <c r="B1748" s="323" t="s">
        <v>1984</v>
      </c>
      <c r="C1748" s="324" t="s">
        <v>1931</v>
      </c>
      <c r="D1748" s="324" t="s">
        <v>79</v>
      </c>
      <c r="E1748" s="231">
        <v>1034.77</v>
      </c>
      <c r="F1748" s="231">
        <v>3.11</v>
      </c>
      <c r="G1748" s="231">
        <v>0.5</v>
      </c>
      <c r="H1748" s="231">
        <v>1</v>
      </c>
      <c r="I1748" s="275"/>
      <c r="J1748" s="275"/>
      <c r="K1748" s="260">
        <f t="shared" si="49"/>
        <v>1609.0673499999998</v>
      </c>
      <c r="L1748" s="331"/>
    </row>
    <row r="1749" spans="2:12">
      <c r="B1749" s="323" t="s">
        <v>1984</v>
      </c>
      <c r="C1749" s="324" t="s">
        <v>1998</v>
      </c>
      <c r="D1749" s="324" t="s">
        <v>79</v>
      </c>
      <c r="E1749" s="231">
        <v>1034.77</v>
      </c>
      <c r="F1749" s="231">
        <v>3.11</v>
      </c>
      <c r="G1749" s="231">
        <v>0.4</v>
      </c>
      <c r="H1749" s="231">
        <v>1</v>
      </c>
      <c r="I1749" s="275"/>
      <c r="J1749" s="275"/>
      <c r="K1749" s="260">
        <f t="shared" si="49"/>
        <v>1287.25388</v>
      </c>
      <c r="L1749" s="331"/>
    </row>
    <row r="1750" spans="2:12">
      <c r="B1750" s="256"/>
      <c r="C1750" s="210"/>
      <c r="D1750" s="210"/>
      <c r="E1750" s="261"/>
      <c r="F1750" s="261"/>
      <c r="G1750" s="261"/>
      <c r="H1750" s="261"/>
      <c r="I1750" s="261"/>
      <c r="J1750" s="275"/>
      <c r="K1750" s="260">
        <f t="shared" si="49"/>
        <v>0</v>
      </c>
      <c r="L1750" s="210"/>
    </row>
    <row r="1751" spans="2:12">
      <c r="B1751" s="202"/>
      <c r="C1751" s="203"/>
      <c r="D1751" s="203"/>
      <c r="E1751" s="203"/>
      <c r="F1751" s="203"/>
      <c r="G1751" s="203"/>
      <c r="H1751" s="204"/>
      <c r="I1751" s="556" t="s">
        <v>1221</v>
      </c>
      <c r="J1751" s="556"/>
      <c r="K1751" s="220">
        <f>SUM(K1744:K1750)</f>
        <v>15852.20803</v>
      </c>
      <c r="L1751" s="207"/>
    </row>
    <row r="1752" spans="2:12">
      <c r="B1752" s="208"/>
      <c r="C1752" s="204"/>
      <c r="D1752" s="204"/>
      <c r="E1752" s="204"/>
      <c r="F1752" s="204"/>
      <c r="G1752" s="204"/>
      <c r="H1752" s="209"/>
      <c r="I1752" s="556" t="s">
        <v>1222</v>
      </c>
      <c r="J1752" s="556"/>
      <c r="K1752" s="221">
        <f>VLOOKUP(B1742,'BM 011'!$B$28:$R$618,5,0)</f>
        <v>17291.599999999999</v>
      </c>
      <c r="L1752" s="246"/>
    </row>
    <row r="1753" spans="2:12">
      <c r="B1753" s="208"/>
      <c r="C1753" s="204"/>
      <c r="D1753" s="204"/>
      <c r="E1753" s="204"/>
      <c r="F1753" s="204"/>
      <c r="G1753" s="204"/>
      <c r="H1753" s="558" t="s">
        <v>1223</v>
      </c>
      <c r="I1753" s="558"/>
      <c r="J1753" s="558"/>
      <c r="K1753" s="222">
        <v>14564.95415</v>
      </c>
      <c r="L1753" s="207"/>
    </row>
    <row r="1754" spans="2:12">
      <c r="B1754" s="208"/>
      <c r="C1754" s="204"/>
      <c r="D1754" s="204"/>
      <c r="E1754" s="204"/>
      <c r="F1754" s="204"/>
      <c r="G1754" s="204"/>
      <c r="H1754" s="558" t="s">
        <v>1892</v>
      </c>
      <c r="I1754" s="558"/>
      <c r="J1754" s="558"/>
      <c r="K1754" s="222">
        <f>TRUNC(SUMIF(C1744:C1750,H1754,K1744:K1750),2)</f>
        <v>1287.25</v>
      </c>
      <c r="L1754" s="207"/>
    </row>
    <row r="1755" spans="2:12">
      <c r="B1755" s="213"/>
      <c r="C1755" s="214"/>
      <c r="D1755" s="214"/>
      <c r="E1755" s="214"/>
      <c r="F1755" s="214"/>
      <c r="G1755" s="214"/>
      <c r="H1755" s="566" t="s">
        <v>1224</v>
      </c>
      <c r="I1755" s="566"/>
      <c r="J1755" s="566"/>
      <c r="K1755" s="223">
        <f>IF(K1751&gt;K1752,K1751-K1752,0)</f>
        <v>0</v>
      </c>
      <c r="L1755" s="209"/>
    </row>
    <row r="1757" spans="2:12">
      <c r="B1757" s="247" t="s">
        <v>259</v>
      </c>
      <c r="C1757" s="573" t="str">
        <f>VLOOKUP(B1757,'BM 004'!$B$27:$R$590,2,0)</f>
        <v xml:space="preserve">FIXAÇÃO (ENCUNHAMENTO) DE ALVENARIA DE VEDAÇÃO COM TIJOLO MACIÇO. 
aplicada com bisnaga. </v>
      </c>
      <c r="D1757" s="573"/>
      <c r="E1757" s="573"/>
      <c r="F1757" s="573"/>
      <c r="G1757" s="573"/>
      <c r="H1757" s="573"/>
      <c r="I1757" s="573"/>
      <c r="J1757" s="573"/>
      <c r="K1757" s="573"/>
      <c r="L1757" s="573"/>
    </row>
    <row r="1758" spans="2:12">
      <c r="B1758" s="248" t="s">
        <v>1209</v>
      </c>
      <c r="C1758" s="248"/>
      <c r="D1758" s="248" t="s">
        <v>39</v>
      </c>
      <c r="E1758" s="248" t="s">
        <v>1210</v>
      </c>
      <c r="F1758" s="248" t="s">
        <v>1388</v>
      </c>
      <c r="G1758" s="248" t="s">
        <v>1212</v>
      </c>
      <c r="H1758" s="248" t="s">
        <v>1213</v>
      </c>
      <c r="I1758" s="248" t="s">
        <v>1214</v>
      </c>
      <c r="J1758" s="248" t="s">
        <v>1385</v>
      </c>
      <c r="K1758" s="248" t="s">
        <v>1216</v>
      </c>
      <c r="L1758" s="248" t="s">
        <v>1217</v>
      </c>
    </row>
    <row r="1759" spans="2:12">
      <c r="B1759" s="256" t="s">
        <v>1985</v>
      </c>
      <c r="C1759" s="250" t="s">
        <v>1931</v>
      </c>
      <c r="D1759" s="205" t="s">
        <v>82</v>
      </c>
      <c r="E1759" s="261">
        <v>85</v>
      </c>
      <c r="F1759" s="261"/>
      <c r="G1759" s="261"/>
      <c r="H1759" s="261"/>
      <c r="I1759" s="261"/>
      <c r="J1759" s="275"/>
      <c r="K1759" s="260">
        <f>IF(E1759*F1759*G1759&lt;&gt;0,E1759*F1759*G1759,IF(E1759*F1759&lt;&gt;0,E1759*F1759,IF(F1759*G1759&lt;&gt;0,F1759*G1759,IF(E1759*G1759&lt;&gt;0,E1759*G1759,IF(E1759&lt;&gt;0,E1759,IF(F1759&lt;&gt;0,F1759,IF(G1759&lt;&gt;0,G1759,0)))))))*(IF(H1759&lt;&gt;0,H1759,1))+I1759-J1759</f>
        <v>85</v>
      </c>
      <c r="L1759" s="266"/>
    </row>
    <row r="1760" spans="2:12">
      <c r="B1760" s="256"/>
      <c r="C1760" s="250"/>
      <c r="D1760" s="205"/>
      <c r="E1760" s="261"/>
      <c r="F1760" s="261"/>
      <c r="G1760" s="261"/>
      <c r="H1760" s="261"/>
      <c r="I1760" s="261"/>
      <c r="J1760" s="275"/>
      <c r="K1760" s="260">
        <f>IF(E1760*F1760*G1760&lt;&gt;0,E1760*F1760*G1760,IF(E1760*F1760&lt;&gt;0,E1760*F1760,IF(F1760*G1760&lt;&gt;0,F1760*G1760,IF(E1760*G1760&lt;&gt;0,E1760*G1760,IF(E1760&lt;&gt;0,E1760,IF(F1760&lt;&gt;0,F1760,IF(G1760&lt;&gt;0,G1760,0)))))))*(IF(H1760&lt;&gt;0,H1760,1))+I1760-J1760</f>
        <v>0</v>
      </c>
      <c r="L1760" s="266"/>
    </row>
    <row r="1761" spans="2:15">
      <c r="B1761" s="256"/>
      <c r="C1761" s="264"/>
      <c r="D1761" s="210"/>
      <c r="E1761" s="261"/>
      <c r="F1761" s="261"/>
      <c r="G1761" s="261"/>
      <c r="H1761" s="261"/>
      <c r="I1761" s="261"/>
      <c r="J1761" s="275"/>
      <c r="K1761" s="260">
        <f>IF(E1761*F1761*G1761&lt;&gt;0,E1761*F1761*G1761,IF(E1761*F1761&lt;&gt;0,E1761*F1761,IF(F1761*G1761&lt;&gt;0,F1761*G1761,IF(E1761*G1761&lt;&gt;0,E1761*G1761,IF(E1761&lt;&gt;0,E1761,IF(F1761&lt;&gt;0,F1761,IF(G1761&lt;&gt;0,G1761,0)))))))*(IF(H1761&lt;&gt;0,H1761,1))+I1761-J1761</f>
        <v>0</v>
      </c>
      <c r="L1761" s="266"/>
    </row>
    <row r="1762" spans="2:15">
      <c r="B1762" s="256"/>
      <c r="C1762" s="264"/>
      <c r="D1762" s="210"/>
      <c r="E1762" s="261"/>
      <c r="F1762" s="261"/>
      <c r="G1762" s="261"/>
      <c r="H1762" s="261"/>
      <c r="I1762" s="261"/>
      <c r="J1762" s="275"/>
      <c r="K1762" s="260">
        <f>IF(E1762*F1762*G1762&lt;&gt;0,E1762*F1762*G1762,IF(E1762*F1762&lt;&gt;0,E1762*F1762,IF(F1762*G1762&lt;&gt;0,F1762*G1762,IF(E1762*G1762&lt;&gt;0,E1762*G1762,IF(E1762&lt;&gt;0,E1762,IF(F1762&lt;&gt;0,F1762,IF(G1762&lt;&gt;0,G1762,0)))))))*(IF(H1762&lt;&gt;0,H1762,1))+I1762-J1762</f>
        <v>0</v>
      </c>
      <c r="L1762" s="266"/>
    </row>
    <row r="1763" spans="2:15">
      <c r="B1763" s="256"/>
      <c r="C1763" s="210"/>
      <c r="D1763" s="210"/>
      <c r="E1763" s="261"/>
      <c r="F1763" s="261"/>
      <c r="G1763" s="261"/>
      <c r="H1763" s="261"/>
      <c r="I1763" s="261"/>
      <c r="J1763" s="275"/>
      <c r="K1763" s="260">
        <f>IF(E1763*F1763*G1763&lt;&gt;0,E1763*F1763*G1763,IF(E1763*F1763&lt;&gt;0,E1763*F1763,IF(F1763*G1763&lt;&gt;0,F1763*G1763,IF(E1763*G1763&lt;&gt;0,E1763*G1763,IF(E1763&lt;&gt;0,E1763,IF(F1763&lt;&gt;0,F1763,IF(G1763&lt;&gt;0,G1763,0)))))))*(IF(H1763&lt;&gt;0,H1763,1))+I1763-J1763</f>
        <v>0</v>
      </c>
      <c r="L1763" s="210"/>
    </row>
    <row r="1764" spans="2:15">
      <c r="B1764" s="202"/>
      <c r="C1764" s="203"/>
      <c r="D1764" s="203"/>
      <c r="E1764" s="203"/>
      <c r="F1764" s="203"/>
      <c r="G1764" s="203"/>
      <c r="H1764" s="204"/>
      <c r="I1764" s="556" t="s">
        <v>1221</v>
      </c>
      <c r="J1764" s="556"/>
      <c r="K1764" s="220">
        <f>SUM(K1759:K1763)</f>
        <v>85</v>
      </c>
      <c r="L1764" s="207"/>
    </row>
    <row r="1765" spans="2:15">
      <c r="B1765" s="208"/>
      <c r="C1765" s="204"/>
      <c r="D1765" s="204"/>
      <c r="E1765" s="204"/>
      <c r="F1765" s="204"/>
      <c r="G1765" s="204"/>
      <c r="H1765" s="209"/>
      <c r="I1765" s="556" t="s">
        <v>1222</v>
      </c>
      <c r="J1765" s="556"/>
      <c r="K1765" s="221">
        <f>VLOOKUP(B1757,'BM 011'!$B$28:$R$681,5,0)</f>
        <v>3852</v>
      </c>
      <c r="L1765" s="246"/>
    </row>
    <row r="1766" spans="2:15">
      <c r="B1766" s="208"/>
      <c r="C1766" s="204"/>
      <c r="D1766" s="204"/>
      <c r="E1766" s="204"/>
      <c r="F1766" s="204"/>
      <c r="G1766" s="204"/>
      <c r="H1766" s="558" t="s">
        <v>1223</v>
      </c>
      <c r="I1766" s="558"/>
      <c r="J1766" s="558"/>
      <c r="K1766" s="222">
        <v>0</v>
      </c>
      <c r="L1766" s="207"/>
    </row>
    <row r="1767" spans="2:15">
      <c r="B1767" s="208"/>
      <c r="C1767" s="204"/>
      <c r="D1767" s="204"/>
      <c r="E1767" s="204"/>
      <c r="F1767" s="204"/>
      <c r="G1767" s="204"/>
      <c r="H1767" s="558" t="s">
        <v>1891</v>
      </c>
      <c r="I1767" s="558"/>
      <c r="J1767" s="558"/>
      <c r="K1767" s="222">
        <f>TRUNC(SUMIF(C1759:C1763,H1767,K1759:K1763),2)</f>
        <v>85</v>
      </c>
      <c r="L1767" s="207"/>
    </row>
    <row r="1768" spans="2:15">
      <c r="B1768" s="213"/>
      <c r="C1768" s="214"/>
      <c r="D1768" s="214"/>
      <c r="E1768" s="214"/>
      <c r="F1768" s="214"/>
      <c r="G1768" s="214"/>
      <c r="H1768" s="566" t="s">
        <v>1224</v>
      </c>
      <c r="I1768" s="566"/>
      <c r="J1768" s="566"/>
      <c r="K1768" s="223">
        <f>IF(K1764&gt;K1765,K1764-K1765,0)</f>
        <v>0</v>
      </c>
      <c r="L1768" s="209"/>
    </row>
    <row r="1770" spans="2:15">
      <c r="B1770" s="247" t="s">
        <v>261</v>
      </c>
      <c r="C1770" s="565" t="str">
        <f>VLOOKUP(B1770,'BM 004'!$B$27:$R$590,2,0)</f>
        <v xml:space="preserve">ALVENARIA DE EMBASAMENTO COM BLOCO ESTRUTURAL DE CONCRETO, DE 14X19X29CM E ARGAMASSA DE ASSENTAMENTO COM PREPARO EM BETONEIRA. </v>
      </c>
      <c r="D1770" s="565"/>
      <c r="E1770" s="565"/>
      <c r="F1770" s="565"/>
      <c r="G1770" s="565"/>
      <c r="H1770" s="565"/>
      <c r="I1770" s="565"/>
      <c r="J1770" s="565"/>
      <c r="K1770" s="565"/>
      <c r="L1770" s="565"/>
    </row>
    <row r="1771" spans="2:15">
      <c r="B1771" s="248" t="s">
        <v>1209</v>
      </c>
      <c r="C1771" s="248"/>
      <c r="D1771" s="248" t="s">
        <v>39</v>
      </c>
      <c r="E1771" s="248" t="s">
        <v>1210</v>
      </c>
      <c r="F1771" s="248" t="s">
        <v>1388</v>
      </c>
      <c r="G1771" s="248" t="s">
        <v>1212</v>
      </c>
      <c r="H1771" s="248" t="s">
        <v>1213</v>
      </c>
      <c r="I1771" s="248" t="s">
        <v>1214</v>
      </c>
      <c r="J1771" s="248" t="s">
        <v>1385</v>
      </c>
      <c r="K1771" s="248" t="s">
        <v>1216</v>
      </c>
      <c r="L1771" s="248" t="s">
        <v>1217</v>
      </c>
    </row>
    <row r="1772" spans="2:15">
      <c r="B1772" s="256" t="s">
        <v>1722</v>
      </c>
      <c r="C1772" s="250" t="s">
        <v>1612</v>
      </c>
      <c r="D1772" s="205" t="s">
        <v>79</v>
      </c>
      <c r="E1772" s="261">
        <v>20.943999999999999</v>
      </c>
      <c r="F1772" s="261">
        <v>0.19</v>
      </c>
      <c r="G1772" s="261">
        <v>0.5</v>
      </c>
      <c r="H1772" s="261">
        <v>1</v>
      </c>
      <c r="I1772" s="261"/>
      <c r="J1772" s="275"/>
      <c r="K1772" s="260">
        <f t="shared" ref="K1772:K1777" si="50">IF(E1772*F1772*G1772&lt;&gt;0,E1772*F1772*G1772,IF(E1772*F1772&lt;&gt;0,E1772*F1772,IF(F1772*G1772&lt;&gt;0,F1772*G1772,IF(E1772*G1772&lt;&gt;0,E1772*G1772,IF(E1772&lt;&gt;0,E1772,IF(F1772&lt;&gt;0,F1772,IF(G1772&lt;&gt;0,G1772,0)))))))*(IF(H1772&lt;&gt;0,H1772,1))+I1772-J1772</f>
        <v>1.9896799999999999</v>
      </c>
      <c r="L1772" s="266" t="s">
        <v>1723</v>
      </c>
      <c r="O1772" s="224"/>
    </row>
    <row r="1773" spans="2:15">
      <c r="B1773" s="256" t="s">
        <v>1724</v>
      </c>
      <c r="C1773" s="250" t="s">
        <v>1612</v>
      </c>
      <c r="D1773" s="205" t="s">
        <v>79</v>
      </c>
      <c r="E1773" s="261">
        <v>7.0720000000000001</v>
      </c>
      <c r="F1773" s="261">
        <v>0.19</v>
      </c>
      <c r="G1773" s="261">
        <v>0.5</v>
      </c>
      <c r="H1773" s="261">
        <v>1</v>
      </c>
      <c r="I1773" s="261"/>
      <c r="J1773" s="275"/>
      <c r="K1773" s="260">
        <f t="shared" si="50"/>
        <v>0.67183999999999999</v>
      </c>
      <c r="L1773" s="266"/>
      <c r="O1773" s="224"/>
    </row>
    <row r="1774" spans="2:15">
      <c r="B1774" s="256" t="s">
        <v>1929</v>
      </c>
      <c r="C1774" s="264" t="s">
        <v>1895</v>
      </c>
      <c r="D1774" s="210" t="s">
        <v>79</v>
      </c>
      <c r="E1774" s="261">
        <v>37.200000000000003</v>
      </c>
      <c r="F1774" s="261">
        <v>0.19</v>
      </c>
      <c r="G1774" s="261">
        <v>0.5</v>
      </c>
      <c r="H1774" s="261">
        <v>1</v>
      </c>
      <c r="I1774" s="261"/>
      <c r="J1774" s="275"/>
      <c r="K1774" s="260">
        <f t="shared" si="50"/>
        <v>3.5340000000000003</v>
      </c>
      <c r="L1774" s="266"/>
      <c r="O1774" s="224"/>
    </row>
    <row r="1775" spans="2:15">
      <c r="B1775" s="256" t="s">
        <v>1929</v>
      </c>
      <c r="C1775" s="264" t="s">
        <v>1931</v>
      </c>
      <c r="D1775" s="210" t="s">
        <v>79</v>
      </c>
      <c r="E1775" s="261">
        <v>71.2</v>
      </c>
      <c r="F1775" s="261">
        <v>0.19</v>
      </c>
      <c r="G1775" s="261">
        <v>0.5</v>
      </c>
      <c r="H1775" s="261">
        <v>1</v>
      </c>
      <c r="I1775" s="261"/>
      <c r="J1775" s="275"/>
      <c r="K1775" s="260">
        <f t="shared" si="50"/>
        <v>6.7640000000000002</v>
      </c>
      <c r="L1775" s="266"/>
      <c r="O1775" s="224"/>
    </row>
    <row r="1776" spans="2:15">
      <c r="B1776" s="256" t="s">
        <v>1929</v>
      </c>
      <c r="C1776" s="264" t="s">
        <v>1998</v>
      </c>
      <c r="D1776" s="210" t="s">
        <v>79</v>
      </c>
      <c r="E1776" s="261">
        <v>319</v>
      </c>
      <c r="F1776" s="261">
        <v>0.19</v>
      </c>
      <c r="G1776" s="261">
        <v>0.5</v>
      </c>
      <c r="H1776" s="261">
        <v>1</v>
      </c>
      <c r="I1776" s="261"/>
      <c r="J1776" s="275"/>
      <c r="K1776" s="260">
        <f t="shared" si="50"/>
        <v>30.305</v>
      </c>
      <c r="L1776" s="266"/>
    </row>
    <row r="1777" spans="2:15">
      <c r="B1777" s="256"/>
      <c r="C1777" s="210"/>
      <c r="D1777" s="210"/>
      <c r="E1777" s="261"/>
      <c r="F1777" s="261"/>
      <c r="G1777" s="261"/>
      <c r="H1777" s="261"/>
      <c r="I1777" s="261"/>
      <c r="J1777" s="275"/>
      <c r="K1777" s="260">
        <f t="shared" si="50"/>
        <v>0</v>
      </c>
      <c r="L1777" s="210"/>
    </row>
    <row r="1778" spans="2:15">
      <c r="B1778" s="202"/>
      <c r="C1778" s="203"/>
      <c r="D1778" s="203"/>
      <c r="E1778" s="203"/>
      <c r="F1778" s="203"/>
      <c r="G1778" s="203"/>
      <c r="H1778" s="204"/>
      <c r="I1778" s="556" t="s">
        <v>1221</v>
      </c>
      <c r="J1778" s="556"/>
      <c r="K1778" s="220">
        <f>SUM(K1772:K1777)</f>
        <v>43.264520000000005</v>
      </c>
      <c r="L1778" s="207"/>
    </row>
    <row r="1779" spans="2:15">
      <c r="B1779" s="208"/>
      <c r="C1779" s="204"/>
      <c r="D1779" s="204"/>
      <c r="E1779" s="204"/>
      <c r="F1779" s="204"/>
      <c r="G1779" s="204"/>
      <c r="H1779" s="209"/>
      <c r="I1779" s="556" t="s">
        <v>1222</v>
      </c>
      <c r="J1779" s="556"/>
      <c r="K1779" s="221">
        <f>VLOOKUP(B1770,'BM 004'!$B$27:$R$590,4,0)</f>
        <v>112</v>
      </c>
      <c r="L1779" s="246"/>
    </row>
    <row r="1780" spans="2:15">
      <c r="B1780" s="208"/>
      <c r="C1780" s="204"/>
      <c r="D1780" s="204"/>
      <c r="E1780" s="204"/>
      <c r="F1780" s="204"/>
      <c r="G1780" s="204"/>
      <c r="H1780" s="558" t="s">
        <v>1223</v>
      </c>
      <c r="I1780" s="558"/>
      <c r="J1780" s="558"/>
      <c r="K1780" s="222">
        <v>12.959519999999999</v>
      </c>
      <c r="L1780" s="207"/>
    </row>
    <row r="1781" spans="2:15">
      <c r="B1781" s="208"/>
      <c r="C1781" s="204"/>
      <c r="D1781" s="204"/>
      <c r="E1781" s="204"/>
      <c r="F1781" s="204"/>
      <c r="G1781" s="204"/>
      <c r="H1781" s="558" t="s">
        <v>1892</v>
      </c>
      <c r="I1781" s="558"/>
      <c r="J1781" s="558"/>
      <c r="K1781" s="222">
        <f>TRUNC(SUMIF(C1772:C1777,H1781,K1772:K1777),2)</f>
        <v>30.3</v>
      </c>
      <c r="L1781" s="207"/>
      <c r="O1781" s="224"/>
    </row>
    <row r="1782" spans="2:15">
      <c r="B1782" s="213"/>
      <c r="C1782" s="214"/>
      <c r="D1782" s="214"/>
      <c r="E1782" s="214"/>
      <c r="F1782" s="214"/>
      <c r="G1782" s="214"/>
      <c r="H1782" s="566" t="s">
        <v>1224</v>
      </c>
      <c r="I1782" s="566"/>
      <c r="J1782" s="566"/>
      <c r="K1782" s="223">
        <f>IF(K1778&gt;K1779,K1778-K1779,0)</f>
        <v>0</v>
      </c>
      <c r="L1782" s="209"/>
    </row>
    <row r="1784" spans="2:15">
      <c r="B1784" s="247" t="s">
        <v>263</v>
      </c>
      <c r="C1784" s="565" t="str">
        <f>VLOOKUP(B1784,'BM 004'!$B$27:$R$590,2,0)</f>
        <v xml:space="preserve">ALVENARIA DE VEDAÇÃO DE BLOCOS CERÂMICOS FURADOS NA HORIZONTAL DE 9X19X19CM (ESPESSURA 9CM) DE PAREDES COM ÁREA LÍQUIDA MAIOR OU IGUAL A 6M² COM VÃOS E ARGAMASSA DE ASSENTAMENTO COM PREPARO EM BETONEIRA. </v>
      </c>
      <c r="D1784" s="565"/>
      <c r="E1784" s="565"/>
      <c r="F1784" s="565"/>
      <c r="G1784" s="565"/>
      <c r="H1784" s="565"/>
      <c r="I1784" s="565"/>
      <c r="J1784" s="565"/>
      <c r="K1784" s="565"/>
      <c r="L1784" s="565"/>
    </row>
    <row r="1785" spans="2:15">
      <c r="B1785" s="248" t="s">
        <v>1209</v>
      </c>
      <c r="C1785" s="248"/>
      <c r="D1785" s="248" t="s">
        <v>39</v>
      </c>
      <c r="E1785" s="248" t="s">
        <v>1210</v>
      </c>
      <c r="F1785" s="248" t="s">
        <v>1388</v>
      </c>
      <c r="G1785" s="248" t="s">
        <v>1212</v>
      </c>
      <c r="H1785" s="248" t="s">
        <v>1213</v>
      </c>
      <c r="I1785" s="248" t="s">
        <v>1214</v>
      </c>
      <c r="J1785" s="248" t="s">
        <v>1385</v>
      </c>
      <c r="K1785" s="248" t="s">
        <v>1216</v>
      </c>
      <c r="L1785" s="248" t="s">
        <v>1217</v>
      </c>
    </row>
    <row r="1786" spans="2:15">
      <c r="B1786" s="256" t="s">
        <v>1722</v>
      </c>
      <c r="C1786" s="250" t="s">
        <v>1612</v>
      </c>
      <c r="D1786" s="205" t="s">
        <v>79</v>
      </c>
      <c r="E1786" s="261">
        <v>26.18</v>
      </c>
      <c r="F1786" s="261"/>
      <c r="G1786" s="261">
        <v>1.8</v>
      </c>
      <c r="H1786" s="261">
        <v>1</v>
      </c>
      <c r="I1786" s="261"/>
      <c r="J1786" s="275"/>
      <c r="K1786" s="260">
        <f t="shared" ref="K1786:K1806" si="51">IF(E1786*F1786*G1786&lt;&gt;0,E1786*F1786*G1786,IF(E1786*F1786&lt;&gt;0,E1786*F1786,IF(F1786*G1786&lt;&gt;0,F1786*G1786,IF(E1786*G1786&lt;&gt;0,E1786*G1786,IF(E1786&lt;&gt;0,E1786,IF(F1786&lt;&gt;0,F1786,IF(G1786&lt;&gt;0,G1786,0)))))))*(IF(H1786&lt;&gt;0,H1786,1))+I1786-J1786</f>
        <v>47.124000000000002</v>
      </c>
      <c r="L1786" s="266"/>
    </row>
    <row r="1787" spans="2:15">
      <c r="B1787" s="256" t="s">
        <v>1725</v>
      </c>
      <c r="C1787" s="250" t="s">
        <v>1612</v>
      </c>
      <c r="D1787" s="205" t="s">
        <v>79</v>
      </c>
      <c r="E1787" s="261">
        <v>4.1500000000000004</v>
      </c>
      <c r="F1787" s="261"/>
      <c r="G1787" s="261">
        <v>1.8</v>
      </c>
      <c r="H1787" s="261">
        <v>2</v>
      </c>
      <c r="I1787" s="261"/>
      <c r="J1787" s="275"/>
      <c r="K1787" s="260">
        <f t="shared" si="51"/>
        <v>14.940000000000001</v>
      </c>
      <c r="L1787" s="266"/>
    </row>
    <row r="1788" spans="2:15">
      <c r="B1788" s="256" t="s">
        <v>1725</v>
      </c>
      <c r="C1788" s="250" t="s">
        <v>1612</v>
      </c>
      <c r="D1788" s="205" t="s">
        <v>79</v>
      </c>
      <c r="E1788" s="261">
        <v>3.08</v>
      </c>
      <c r="F1788" s="261"/>
      <c r="G1788" s="261">
        <v>1.8</v>
      </c>
      <c r="H1788" s="261">
        <v>2</v>
      </c>
      <c r="I1788" s="261"/>
      <c r="J1788" s="275"/>
      <c r="K1788" s="260">
        <f t="shared" si="51"/>
        <v>11.088000000000001</v>
      </c>
      <c r="L1788" s="266"/>
    </row>
    <row r="1789" spans="2:15">
      <c r="B1789" s="256" t="s">
        <v>1726</v>
      </c>
      <c r="C1789" s="250" t="s">
        <v>1612</v>
      </c>
      <c r="D1789" s="205" t="s">
        <v>79</v>
      </c>
      <c r="E1789" s="261">
        <v>1.84</v>
      </c>
      <c r="F1789" s="261"/>
      <c r="G1789" s="261">
        <v>1.8</v>
      </c>
      <c r="H1789" s="261">
        <v>2</v>
      </c>
      <c r="I1789" s="261"/>
      <c r="J1789" s="275"/>
      <c r="K1789" s="260">
        <f t="shared" si="51"/>
        <v>6.6240000000000006</v>
      </c>
      <c r="L1789" s="266"/>
    </row>
    <row r="1790" spans="2:15">
      <c r="B1790" s="256" t="s">
        <v>1726</v>
      </c>
      <c r="C1790" s="250" t="s">
        <v>1612</v>
      </c>
      <c r="D1790" s="205" t="s">
        <v>79</v>
      </c>
      <c r="E1790" s="261">
        <v>2.15</v>
      </c>
      <c r="F1790" s="261"/>
      <c r="G1790" s="261">
        <v>1.8</v>
      </c>
      <c r="H1790" s="261">
        <v>2</v>
      </c>
      <c r="I1790" s="261"/>
      <c r="J1790" s="275"/>
      <c r="K1790" s="260">
        <f t="shared" si="51"/>
        <v>7.74</v>
      </c>
      <c r="L1790" s="266"/>
    </row>
    <row r="1791" spans="2:15">
      <c r="B1791" s="256" t="s">
        <v>1727</v>
      </c>
      <c r="C1791" s="250" t="s">
        <v>1612</v>
      </c>
      <c r="D1791" s="205" t="s">
        <v>79</v>
      </c>
      <c r="E1791" s="261">
        <v>4.1500000000000004</v>
      </c>
      <c r="F1791" s="261"/>
      <c r="G1791" s="261">
        <v>1.8</v>
      </c>
      <c r="H1791" s="261">
        <v>1</v>
      </c>
      <c r="I1791" s="261"/>
      <c r="J1791" s="275"/>
      <c r="K1791" s="260">
        <f t="shared" si="51"/>
        <v>7.4700000000000006</v>
      </c>
      <c r="L1791" s="266"/>
    </row>
    <row r="1792" spans="2:15">
      <c r="B1792" s="256" t="s">
        <v>1727</v>
      </c>
      <c r="C1792" s="250" t="s">
        <v>1612</v>
      </c>
      <c r="D1792" s="205" t="s">
        <v>79</v>
      </c>
      <c r="E1792" s="261">
        <v>3.25</v>
      </c>
      <c r="F1792" s="261"/>
      <c r="G1792" s="261">
        <v>1.8</v>
      </c>
      <c r="H1792" s="261">
        <v>1</v>
      </c>
      <c r="I1792" s="261"/>
      <c r="J1792" s="275"/>
      <c r="K1792" s="260">
        <f t="shared" si="51"/>
        <v>5.8500000000000005</v>
      </c>
      <c r="L1792" s="266"/>
    </row>
    <row r="1793" spans="2:15">
      <c r="B1793" s="256" t="s">
        <v>1728</v>
      </c>
      <c r="C1793" s="250" t="s">
        <v>1612</v>
      </c>
      <c r="D1793" s="205" t="s">
        <v>79</v>
      </c>
      <c r="E1793" s="261">
        <v>4.1500000000000004</v>
      </c>
      <c r="F1793" s="261"/>
      <c r="G1793" s="261">
        <v>1.8</v>
      </c>
      <c r="H1793" s="261">
        <v>1</v>
      </c>
      <c r="I1793" s="261"/>
      <c r="J1793" s="275"/>
      <c r="K1793" s="260">
        <f t="shared" si="51"/>
        <v>7.4700000000000006</v>
      </c>
      <c r="L1793" s="266"/>
    </row>
    <row r="1794" spans="2:15">
      <c r="B1794" s="256" t="s">
        <v>1728</v>
      </c>
      <c r="C1794" s="250" t="s">
        <v>1612</v>
      </c>
      <c r="D1794" s="205" t="s">
        <v>79</v>
      </c>
      <c r="E1794" s="261">
        <v>3.25</v>
      </c>
      <c r="F1794" s="261"/>
      <c r="G1794" s="261">
        <v>1.8</v>
      </c>
      <c r="H1794" s="261">
        <v>1</v>
      </c>
      <c r="I1794" s="261"/>
      <c r="J1794" s="275"/>
      <c r="K1794" s="260">
        <f t="shared" si="51"/>
        <v>5.8500000000000005</v>
      </c>
      <c r="L1794" s="266"/>
    </row>
    <row r="1795" spans="2:15">
      <c r="B1795" s="256" t="s">
        <v>1729</v>
      </c>
      <c r="C1795" s="250" t="s">
        <v>1612</v>
      </c>
      <c r="D1795" s="205" t="s">
        <v>79</v>
      </c>
      <c r="E1795" s="261">
        <v>1.79</v>
      </c>
      <c r="F1795" s="261"/>
      <c r="G1795" s="261">
        <v>1.8</v>
      </c>
      <c r="H1795" s="261">
        <v>2</v>
      </c>
      <c r="I1795" s="261"/>
      <c r="J1795" s="275"/>
      <c r="K1795" s="260">
        <f t="shared" si="51"/>
        <v>6.444</v>
      </c>
      <c r="L1795" s="266"/>
    </row>
    <row r="1796" spans="2:15">
      <c r="B1796" s="256" t="s">
        <v>1729</v>
      </c>
      <c r="C1796" s="250" t="s">
        <v>1612</v>
      </c>
      <c r="D1796" s="205" t="s">
        <v>79</v>
      </c>
      <c r="E1796" s="261">
        <v>2.15</v>
      </c>
      <c r="F1796" s="261"/>
      <c r="G1796" s="261">
        <v>1.8</v>
      </c>
      <c r="H1796" s="261">
        <v>2</v>
      </c>
      <c r="I1796" s="261"/>
      <c r="J1796" s="275"/>
      <c r="K1796" s="260">
        <f t="shared" si="51"/>
        <v>7.74</v>
      </c>
      <c r="L1796" s="266"/>
    </row>
    <row r="1797" spans="2:15">
      <c r="B1797" s="256" t="s">
        <v>1730</v>
      </c>
      <c r="C1797" s="250" t="s">
        <v>1612</v>
      </c>
      <c r="D1797" s="205" t="s">
        <v>79</v>
      </c>
      <c r="E1797" s="261">
        <v>4.1500000000000004</v>
      </c>
      <c r="F1797" s="261"/>
      <c r="G1797" s="261">
        <v>1.8</v>
      </c>
      <c r="H1797" s="261">
        <v>2</v>
      </c>
      <c r="I1797" s="261"/>
      <c r="J1797" s="275"/>
      <c r="K1797" s="260">
        <f t="shared" si="51"/>
        <v>14.940000000000001</v>
      </c>
      <c r="L1797" s="266"/>
    </row>
    <row r="1798" spans="2:15">
      <c r="B1798" s="256" t="s">
        <v>1730</v>
      </c>
      <c r="C1798" s="250" t="s">
        <v>1612</v>
      </c>
      <c r="D1798" s="205" t="s">
        <v>79</v>
      </c>
      <c r="E1798" s="261">
        <v>3.43</v>
      </c>
      <c r="F1798" s="261"/>
      <c r="G1798" s="261">
        <v>1.8</v>
      </c>
      <c r="H1798" s="261">
        <v>2</v>
      </c>
      <c r="I1798" s="261"/>
      <c r="J1798" s="275"/>
      <c r="K1798" s="260">
        <f t="shared" si="51"/>
        <v>12.348000000000001</v>
      </c>
      <c r="L1798" s="266"/>
    </row>
    <row r="1799" spans="2:15">
      <c r="B1799" s="256" t="s">
        <v>1731</v>
      </c>
      <c r="C1799" s="250" t="s">
        <v>1612</v>
      </c>
      <c r="D1799" s="205" t="s">
        <v>79</v>
      </c>
      <c r="E1799" s="261">
        <v>8.31</v>
      </c>
      <c r="F1799" s="261"/>
      <c r="G1799" s="261">
        <v>1.8</v>
      </c>
      <c r="H1799" s="261">
        <v>1</v>
      </c>
      <c r="I1799" s="261"/>
      <c r="J1799" s="275"/>
      <c r="K1799" s="260">
        <f t="shared" si="51"/>
        <v>14.958000000000002</v>
      </c>
      <c r="L1799" s="266"/>
    </row>
    <row r="1800" spans="2:15">
      <c r="B1800" s="256" t="s">
        <v>1731</v>
      </c>
      <c r="C1800" s="250" t="s">
        <v>1612</v>
      </c>
      <c r="D1800" s="205" t="s">
        <v>79</v>
      </c>
      <c r="E1800" s="261">
        <v>6.03</v>
      </c>
      <c r="F1800" s="261"/>
      <c r="G1800" s="261">
        <v>1.8</v>
      </c>
      <c r="H1800" s="261">
        <v>1</v>
      </c>
      <c r="I1800" s="261"/>
      <c r="J1800" s="275"/>
      <c r="K1800" s="260">
        <f t="shared" si="51"/>
        <v>10.854000000000001</v>
      </c>
      <c r="L1800" s="266"/>
    </row>
    <row r="1801" spans="2:15">
      <c r="B1801" s="256" t="s">
        <v>1557</v>
      </c>
      <c r="C1801" s="264" t="s">
        <v>1613</v>
      </c>
      <c r="D1801" s="210" t="s">
        <v>79</v>
      </c>
      <c r="E1801" s="261"/>
      <c r="F1801" s="261"/>
      <c r="G1801" s="261"/>
      <c r="H1801" s="261"/>
      <c r="I1801" s="261">
        <v>145</v>
      </c>
      <c r="J1801" s="275"/>
      <c r="K1801" s="260">
        <f t="shared" si="51"/>
        <v>145</v>
      </c>
      <c r="L1801" s="266"/>
    </row>
    <row r="1802" spans="2:15">
      <c r="B1802" s="256" t="s">
        <v>1557</v>
      </c>
      <c r="C1802" s="264" t="s">
        <v>1895</v>
      </c>
      <c r="D1802" s="210" t="s">
        <v>79</v>
      </c>
      <c r="E1802" s="261"/>
      <c r="F1802" s="261"/>
      <c r="G1802" s="261"/>
      <c r="H1802" s="261"/>
      <c r="I1802" s="261">
        <v>550</v>
      </c>
      <c r="J1802" s="275"/>
      <c r="K1802" s="260">
        <f t="shared" si="51"/>
        <v>550</v>
      </c>
      <c r="L1802" s="266"/>
    </row>
    <row r="1803" spans="2:15">
      <c r="B1803" s="256" t="s">
        <v>1986</v>
      </c>
      <c r="C1803" s="264" t="s">
        <v>1931</v>
      </c>
      <c r="D1803" s="210" t="s">
        <v>79</v>
      </c>
      <c r="E1803" s="261"/>
      <c r="F1803" s="261"/>
      <c r="G1803" s="261"/>
      <c r="H1803" s="261"/>
      <c r="I1803" s="261">
        <v>1200</v>
      </c>
      <c r="J1803" s="275"/>
      <c r="K1803" s="260">
        <f t="shared" si="51"/>
        <v>1200</v>
      </c>
      <c r="L1803" s="266"/>
    </row>
    <row r="1804" spans="2:15">
      <c r="B1804" s="256" t="s">
        <v>2035</v>
      </c>
      <c r="C1804" s="264" t="s">
        <v>1998</v>
      </c>
      <c r="D1804" s="210" t="s">
        <v>79</v>
      </c>
      <c r="E1804" s="261"/>
      <c r="F1804" s="261"/>
      <c r="G1804" s="261"/>
      <c r="H1804" s="261"/>
      <c r="I1804" s="261">
        <v>1950</v>
      </c>
      <c r="J1804" s="275"/>
      <c r="K1804" s="260">
        <f t="shared" si="51"/>
        <v>1950</v>
      </c>
      <c r="L1804" s="266"/>
    </row>
    <row r="1805" spans="2:15">
      <c r="B1805" s="256"/>
      <c r="C1805" s="264"/>
      <c r="D1805" s="210"/>
      <c r="E1805" s="261"/>
      <c r="F1805" s="261"/>
      <c r="G1805" s="261"/>
      <c r="H1805" s="261"/>
      <c r="I1805" s="261"/>
      <c r="J1805" s="275"/>
      <c r="K1805" s="260">
        <f t="shared" si="51"/>
        <v>0</v>
      </c>
      <c r="L1805" s="266"/>
    </row>
    <row r="1806" spans="2:15">
      <c r="B1806" s="256"/>
      <c r="C1806" s="210"/>
      <c r="D1806" s="210"/>
      <c r="E1806" s="261"/>
      <c r="F1806" s="261"/>
      <c r="G1806" s="261"/>
      <c r="H1806" s="261"/>
      <c r="I1806" s="261"/>
      <c r="J1806" s="275"/>
      <c r="K1806" s="260">
        <f t="shared" si="51"/>
        <v>0</v>
      </c>
      <c r="L1806" s="210"/>
    </row>
    <row r="1807" spans="2:15">
      <c r="B1807" s="202"/>
      <c r="C1807" s="203"/>
      <c r="D1807" s="203"/>
      <c r="E1807" s="203"/>
      <c r="F1807" s="203"/>
      <c r="G1807" s="203"/>
      <c r="H1807" s="204"/>
      <c r="I1807" s="556" t="s">
        <v>1221</v>
      </c>
      <c r="J1807" s="556"/>
      <c r="K1807" s="220">
        <f>SUM(K1786:K1806)</f>
        <v>4026.44</v>
      </c>
      <c r="L1807" s="207"/>
      <c r="O1807" s="224"/>
    </row>
    <row r="1808" spans="2:15">
      <c r="B1808" s="208"/>
      <c r="C1808" s="204"/>
      <c r="D1808" s="204"/>
      <c r="E1808" s="204"/>
      <c r="F1808" s="204"/>
      <c r="G1808" s="204"/>
      <c r="H1808" s="209"/>
      <c r="I1808" s="557" t="s">
        <v>1222</v>
      </c>
      <c r="J1808" s="557"/>
      <c r="K1808" s="221">
        <f>VLOOKUP(B1784,'BM 004'!$B$27:$R$590,4,0)</f>
        <v>15102.2</v>
      </c>
      <c r="L1808" s="246"/>
      <c r="O1808" s="224"/>
    </row>
    <row r="1809" spans="2:12">
      <c r="B1809" s="208"/>
      <c r="C1809" s="204"/>
      <c r="D1809" s="204"/>
      <c r="E1809" s="204"/>
      <c r="F1809" s="204"/>
      <c r="G1809" s="204"/>
      <c r="H1809" s="558" t="s">
        <v>1223</v>
      </c>
      <c r="I1809" s="558"/>
      <c r="J1809" s="558"/>
      <c r="K1809" s="222">
        <v>2076.44</v>
      </c>
      <c r="L1809" s="207"/>
    </row>
    <row r="1810" spans="2:12">
      <c r="B1810" s="208"/>
      <c r="C1810" s="204"/>
      <c r="D1810" s="204"/>
      <c r="E1810" s="204"/>
      <c r="F1810" s="204"/>
      <c r="G1810" s="204"/>
      <c r="H1810" s="558" t="s">
        <v>1892</v>
      </c>
      <c r="I1810" s="558"/>
      <c r="J1810" s="558"/>
      <c r="K1810" s="222">
        <f>TRUNC(SUMIF(C1786:C1806,H1810,K1786:K1806),2)</f>
        <v>1950</v>
      </c>
      <c r="L1810" s="207"/>
    </row>
    <row r="1811" spans="2:12">
      <c r="B1811" s="213"/>
      <c r="C1811" s="214"/>
      <c r="D1811" s="214"/>
      <c r="E1811" s="214"/>
      <c r="F1811" s="214"/>
      <c r="G1811" s="214"/>
      <c r="H1811" s="559" t="s">
        <v>1224</v>
      </c>
      <c r="I1811" s="559"/>
      <c r="J1811" s="559"/>
      <c r="K1811" s="223">
        <f>IF(K1807&gt;K1808,K1807-K1808,0)</f>
        <v>0</v>
      </c>
      <c r="L1811" s="209"/>
    </row>
    <row r="1813" spans="2:12">
      <c r="B1813" s="247" t="s">
        <v>269</v>
      </c>
      <c r="C1813" s="565" t="str">
        <f>VLOOKUP(B1813,'BM 004'!$B$27:$R$590,2,0)</f>
        <v xml:space="preserve">VERGA PRÉ-MOLDADA PARA JANELAS COM MAIS DE 1,5 M DE VÃO. </v>
      </c>
      <c r="D1813" s="565"/>
      <c r="E1813" s="565"/>
      <c r="F1813" s="565"/>
      <c r="G1813" s="565"/>
      <c r="H1813" s="565"/>
      <c r="I1813" s="565"/>
      <c r="J1813" s="565"/>
      <c r="K1813" s="565"/>
      <c r="L1813" s="565"/>
    </row>
    <row r="1814" spans="2:12">
      <c r="B1814" s="248" t="s">
        <v>1209</v>
      </c>
      <c r="C1814" s="248"/>
      <c r="D1814" s="248" t="s">
        <v>39</v>
      </c>
      <c r="E1814" s="248" t="s">
        <v>1210</v>
      </c>
      <c r="F1814" s="248" t="s">
        <v>1388</v>
      </c>
      <c r="G1814" s="248" t="s">
        <v>1212</v>
      </c>
      <c r="H1814" s="248" t="s">
        <v>1213</v>
      </c>
      <c r="I1814" s="248" t="s">
        <v>1214</v>
      </c>
      <c r="J1814" s="248" t="s">
        <v>1385</v>
      </c>
      <c r="K1814" s="248" t="s">
        <v>1216</v>
      </c>
      <c r="L1814" s="248" t="s">
        <v>1217</v>
      </c>
    </row>
    <row r="1815" spans="2:12">
      <c r="B1815" s="256" t="s">
        <v>2036</v>
      </c>
      <c r="C1815" s="250" t="s">
        <v>1613</v>
      </c>
      <c r="D1815" s="205" t="s">
        <v>82</v>
      </c>
      <c r="E1815" s="257">
        <v>1.5</v>
      </c>
      <c r="F1815" s="261"/>
      <c r="G1815" s="261"/>
      <c r="H1815" s="261">
        <v>36</v>
      </c>
      <c r="I1815" s="261"/>
      <c r="J1815" s="275"/>
      <c r="K1815" s="260">
        <f>IF(E1815*F1815*G1815&lt;&gt;0,E1815*F1815*G1815,IF(E1815*F1815&lt;&gt;0,E1815*F1815,IF(F1815*G1815&lt;&gt;0,F1815*G1815,IF(E1815*G1815&lt;&gt;0,E1815*G1815,IF(E1815&lt;&gt;0,E1815,IF(F1815&lt;&gt;0,F1815,IF(G1815&lt;&gt;0,G1815,0)))))))*(IF(H1815&lt;&gt;0,H1815,1))+I1815-J1815</f>
        <v>54</v>
      </c>
      <c r="L1815" s="266" t="s">
        <v>2037</v>
      </c>
    </row>
    <row r="1816" spans="2:12">
      <c r="B1816" s="256" t="s">
        <v>2036</v>
      </c>
      <c r="C1816" s="250" t="s">
        <v>1931</v>
      </c>
      <c r="D1816" s="205" t="s">
        <v>82</v>
      </c>
      <c r="E1816" s="257">
        <v>1.5</v>
      </c>
      <c r="F1816" s="261"/>
      <c r="G1816" s="261"/>
      <c r="H1816" s="261">
        <v>42</v>
      </c>
      <c r="I1816" s="261"/>
      <c r="J1816" s="275"/>
      <c r="K1816" s="260">
        <f>IF(E1816*F1816*G1816&lt;&gt;0,E1816*F1816*G1816,IF(E1816*F1816&lt;&gt;0,E1816*F1816,IF(F1816*G1816&lt;&gt;0,F1816*G1816,IF(E1816*G1816&lt;&gt;0,E1816*G1816,IF(E1816&lt;&gt;0,E1816,IF(F1816&lt;&gt;0,F1816,IF(G1816&lt;&gt;0,G1816,0)))))))*(IF(H1816&lt;&gt;0,H1816,1))+I1816-J1816</f>
        <v>63</v>
      </c>
      <c r="L1816" s="266" t="s">
        <v>2037</v>
      </c>
    </row>
    <row r="1817" spans="2:12">
      <c r="B1817" s="256" t="s">
        <v>2036</v>
      </c>
      <c r="C1817" s="250" t="s">
        <v>1998</v>
      </c>
      <c r="D1817" s="205" t="s">
        <v>82</v>
      </c>
      <c r="E1817" s="257">
        <v>2</v>
      </c>
      <c r="F1817" s="261"/>
      <c r="G1817" s="261"/>
      <c r="H1817" s="261">
        <v>130</v>
      </c>
      <c r="I1817" s="261"/>
      <c r="J1817" s="275"/>
      <c r="K1817" s="260">
        <f>IF(E1817*F1817*G1817&lt;&gt;0,E1817*F1817*G1817,IF(E1817*F1817&lt;&gt;0,E1817*F1817,IF(F1817*G1817&lt;&gt;0,F1817*G1817,IF(E1817*G1817&lt;&gt;0,E1817*G1817,IF(E1817&lt;&gt;0,E1817,IF(F1817&lt;&gt;0,F1817,IF(G1817&lt;&gt;0,G1817,0)))))))*(IF(H1817&lt;&gt;0,H1817,1))+I1817-J1817</f>
        <v>260</v>
      </c>
      <c r="L1817" s="266" t="s">
        <v>2037</v>
      </c>
    </row>
    <row r="1818" spans="2:12">
      <c r="B1818" s="256"/>
      <c r="C1818" s="250"/>
      <c r="D1818" s="205"/>
      <c r="E1818" s="257"/>
      <c r="F1818" s="261"/>
      <c r="G1818" s="261"/>
      <c r="H1818" s="261"/>
      <c r="I1818" s="261"/>
      <c r="J1818" s="275"/>
      <c r="K1818" s="260">
        <f>IF(E1818*F1818*G1818&lt;&gt;0,E1818*F1818*G1818,IF(E1818*F1818&lt;&gt;0,E1818*F1818,IF(F1818*G1818&lt;&gt;0,F1818*G1818,IF(E1818*G1818&lt;&gt;0,E1818*G1818,IF(E1818&lt;&gt;0,E1818,IF(F1818&lt;&gt;0,F1818,IF(G1818&lt;&gt;0,G1818,0)))))))*(IF(H1818&lt;&gt;0,H1818,1))+I1818-J1818</f>
        <v>0</v>
      </c>
      <c r="L1818" s="266"/>
    </row>
    <row r="1819" spans="2:12">
      <c r="B1819" s="256"/>
      <c r="C1819" s="210"/>
      <c r="D1819" s="210"/>
      <c r="E1819" s="257"/>
      <c r="F1819" s="261"/>
      <c r="G1819" s="261"/>
      <c r="H1819" s="261"/>
      <c r="I1819" s="261"/>
      <c r="J1819" s="275"/>
      <c r="K1819" s="260">
        <f>IF(E1819*F1819*G1819&lt;&gt;0,E1819*F1819*G1819,IF(E1819*F1819&lt;&gt;0,E1819*F1819,IF(F1819*G1819&lt;&gt;0,F1819*G1819,IF(E1819*G1819&lt;&gt;0,E1819*G1819,IF(E1819&lt;&gt;0,E1819,IF(F1819&lt;&gt;0,F1819,IF(G1819&lt;&gt;0,G1819,0)))))))*(IF(H1819&lt;&gt;0,H1819,1))+I1819-J1819</f>
        <v>0</v>
      </c>
      <c r="L1819" s="210"/>
    </row>
    <row r="1820" spans="2:12">
      <c r="B1820" s="202"/>
      <c r="C1820" s="203"/>
      <c r="D1820" s="203"/>
      <c r="E1820" s="203"/>
      <c r="F1820" s="203"/>
      <c r="G1820" s="203"/>
      <c r="H1820" s="204"/>
      <c r="I1820" s="556" t="s">
        <v>1221</v>
      </c>
      <c r="J1820" s="556"/>
      <c r="K1820" s="220">
        <f>SUM(K1815:K1819)</f>
        <v>377</v>
      </c>
      <c r="L1820" s="207"/>
    </row>
    <row r="1821" spans="2:12">
      <c r="B1821" s="208"/>
      <c r="C1821" s="204"/>
      <c r="D1821" s="204"/>
      <c r="E1821" s="204"/>
      <c r="F1821" s="204"/>
      <c r="G1821" s="204"/>
      <c r="H1821" s="209"/>
      <c r="I1821" s="557" t="s">
        <v>1222</v>
      </c>
      <c r="J1821" s="557"/>
      <c r="K1821" s="221">
        <f>VLOOKUP(B1813,'BM 004'!$B$27:$R$590,4,0)</f>
        <v>550.94000000000005</v>
      </c>
      <c r="L1821" s="246"/>
    </row>
    <row r="1822" spans="2:12">
      <c r="B1822" s="208"/>
      <c r="C1822" s="204"/>
      <c r="D1822" s="204"/>
      <c r="E1822" s="204"/>
      <c r="F1822" s="204"/>
      <c r="G1822" s="204"/>
      <c r="H1822" s="558" t="s">
        <v>1223</v>
      </c>
      <c r="I1822" s="558"/>
      <c r="J1822" s="558"/>
      <c r="K1822" s="222">
        <v>117</v>
      </c>
      <c r="L1822" s="207"/>
    </row>
    <row r="1823" spans="2:12">
      <c r="B1823" s="208"/>
      <c r="C1823" s="204"/>
      <c r="D1823" s="204"/>
      <c r="E1823" s="204"/>
      <c r="F1823" s="204"/>
      <c r="G1823" s="204"/>
      <c r="H1823" s="558" t="s">
        <v>1892</v>
      </c>
      <c r="I1823" s="558"/>
      <c r="J1823" s="558"/>
      <c r="K1823" s="222">
        <f>TRUNC(SUMIF(C1815:C1819,H1823,K1815:K1819),2)</f>
        <v>260</v>
      </c>
      <c r="L1823" s="207"/>
    </row>
    <row r="1824" spans="2:12">
      <c r="B1824" s="213"/>
      <c r="C1824" s="214"/>
      <c r="D1824" s="214"/>
      <c r="E1824" s="214"/>
      <c r="F1824" s="214"/>
      <c r="G1824" s="214"/>
      <c r="H1824" s="559" t="s">
        <v>1224</v>
      </c>
      <c r="I1824" s="559"/>
      <c r="J1824" s="559"/>
      <c r="K1824" s="223">
        <f>IF(K1820&gt;K1821,K1820-K1821,0)</f>
        <v>0</v>
      </c>
      <c r="L1824" s="209"/>
    </row>
    <row r="1826" spans="2:12">
      <c r="B1826" s="247" t="s">
        <v>346</v>
      </c>
      <c r="C1826" s="565" t="str">
        <f>VLOOKUP(B1826,'BM 004'!$B$27:$R$590,2,0)</f>
        <v xml:space="preserve">IMPERMEABILIZAÇÃO DE SUPERFÍCIE ENTERRADA COM EMULSÃO ASFÁLTICA, 2 DEMÃOS </v>
      </c>
      <c r="D1826" s="565"/>
      <c r="E1826" s="565"/>
      <c r="F1826" s="565"/>
      <c r="G1826" s="565"/>
      <c r="H1826" s="565"/>
      <c r="I1826" s="565"/>
      <c r="J1826" s="565"/>
      <c r="K1826" s="565"/>
      <c r="L1826" s="565"/>
    </row>
    <row r="1827" spans="2:12">
      <c r="B1827" s="248" t="s">
        <v>1209</v>
      </c>
      <c r="C1827" s="248"/>
      <c r="D1827" s="248" t="s">
        <v>39</v>
      </c>
      <c r="E1827" s="248" t="s">
        <v>1210</v>
      </c>
      <c r="F1827" s="248" t="s">
        <v>1388</v>
      </c>
      <c r="G1827" s="248" t="s">
        <v>1212</v>
      </c>
      <c r="H1827" s="248" t="s">
        <v>1213</v>
      </c>
      <c r="I1827" s="248" t="s">
        <v>1214</v>
      </c>
      <c r="J1827" s="248" t="s">
        <v>1385</v>
      </c>
      <c r="K1827" s="248" t="s">
        <v>1216</v>
      </c>
      <c r="L1827" s="248" t="s">
        <v>1217</v>
      </c>
    </row>
    <row r="1828" spans="2:12">
      <c r="B1828" s="256" t="s">
        <v>2038</v>
      </c>
      <c r="C1828" s="250" t="s">
        <v>1613</v>
      </c>
      <c r="D1828" s="205" t="s">
        <v>1335</v>
      </c>
      <c r="E1828" s="257">
        <v>48</v>
      </c>
      <c r="F1828" s="261">
        <f>0.2+0.8+0.2</f>
        <v>1.2</v>
      </c>
      <c r="G1828" s="261"/>
      <c r="H1828" s="261"/>
      <c r="I1828" s="261"/>
      <c r="J1828" s="275"/>
      <c r="K1828" s="260">
        <f>IF(E1828*F1828*G1828&lt;&gt;0,E1828*F1828*G1828,IF(E1828*F1828&lt;&gt;0,E1828*F1828,IF(F1828*G1828&lt;&gt;0,F1828*G1828,IF(E1828*G1828&lt;&gt;0,E1828*G1828,IF(E1828&lt;&gt;0,E1828,IF(F1828&lt;&gt;0,F1828,IF(G1828&lt;&gt;0,G1828,0)))))))*(IF(H1828&lt;&gt;0,H1828,1))+I1828-J1828</f>
        <v>57.599999999999994</v>
      </c>
      <c r="L1828" s="266"/>
    </row>
    <row r="1829" spans="2:12">
      <c r="B1829" s="256" t="s">
        <v>2038</v>
      </c>
      <c r="C1829" s="250" t="s">
        <v>1895</v>
      </c>
      <c r="D1829" s="205" t="s">
        <v>1335</v>
      </c>
      <c r="E1829" s="257">
        <v>150</v>
      </c>
      <c r="F1829" s="261">
        <f>0.2+0.8+0.2</f>
        <v>1.2</v>
      </c>
      <c r="G1829" s="261"/>
      <c r="H1829" s="261"/>
      <c r="I1829" s="261"/>
      <c r="J1829" s="275"/>
      <c r="K1829" s="260">
        <f>IF(E1829*F1829*G1829&lt;&gt;0,E1829*F1829*G1829,IF(E1829*F1829&lt;&gt;0,E1829*F1829,IF(F1829*G1829&lt;&gt;0,F1829*G1829,IF(E1829*G1829&lt;&gt;0,E1829*G1829,IF(E1829&lt;&gt;0,E1829,IF(F1829&lt;&gt;0,F1829,IF(G1829&lt;&gt;0,G1829,0)))))))*(IF(H1829&lt;&gt;0,H1829,1))+I1829-J1829</f>
        <v>180</v>
      </c>
      <c r="L1829" s="266"/>
    </row>
    <row r="1830" spans="2:12">
      <c r="B1830" s="256" t="s">
        <v>2038</v>
      </c>
      <c r="C1830" s="250" t="s">
        <v>1998</v>
      </c>
      <c r="D1830" s="205" t="s">
        <v>1335</v>
      </c>
      <c r="E1830" s="257">
        <v>376</v>
      </c>
      <c r="F1830" s="261">
        <f>0.2+0.8+0.2</f>
        <v>1.2</v>
      </c>
      <c r="G1830" s="261"/>
      <c r="H1830" s="261"/>
      <c r="I1830" s="261"/>
      <c r="J1830" s="275"/>
      <c r="K1830" s="260">
        <f>IF(E1830*F1830*G1830&lt;&gt;0,E1830*F1830*G1830,IF(E1830*F1830&lt;&gt;0,E1830*F1830,IF(F1830*G1830&lt;&gt;0,F1830*G1830,IF(E1830*G1830&lt;&gt;0,E1830*G1830,IF(E1830&lt;&gt;0,E1830,IF(F1830&lt;&gt;0,F1830,IF(G1830&lt;&gt;0,G1830,0)))))))*(IF(H1830&lt;&gt;0,H1830,1))+I1830-J1830</f>
        <v>451.2</v>
      </c>
      <c r="L1830" s="266"/>
    </row>
    <row r="1831" spans="2:12">
      <c r="B1831" s="256"/>
      <c r="C1831" s="250"/>
      <c r="D1831" s="205"/>
      <c r="E1831" s="257"/>
      <c r="F1831" s="261"/>
      <c r="G1831" s="261"/>
      <c r="H1831" s="261"/>
      <c r="I1831" s="261"/>
      <c r="J1831" s="275"/>
      <c r="K1831" s="260">
        <f>IF(E1831*F1831*G1831&lt;&gt;0,E1831*F1831*G1831,IF(E1831*F1831&lt;&gt;0,E1831*F1831,IF(F1831*G1831&lt;&gt;0,F1831*G1831,IF(E1831*G1831&lt;&gt;0,E1831*G1831,IF(E1831&lt;&gt;0,E1831,IF(F1831&lt;&gt;0,F1831,IF(G1831&lt;&gt;0,G1831,0)))))))*(IF(H1831&lt;&gt;0,H1831,1))+I1831-J1831</f>
        <v>0</v>
      </c>
      <c r="L1831" s="266"/>
    </row>
    <row r="1832" spans="2:12">
      <c r="B1832" s="256"/>
      <c r="C1832" s="210"/>
      <c r="D1832" s="210"/>
      <c r="E1832" s="257"/>
      <c r="F1832" s="261"/>
      <c r="G1832" s="261"/>
      <c r="H1832" s="261"/>
      <c r="I1832" s="261"/>
      <c r="J1832" s="275"/>
      <c r="K1832" s="260">
        <f>IF(E1832*F1832*G1832&lt;&gt;0,E1832*F1832*G1832,IF(E1832*F1832&lt;&gt;0,E1832*F1832,IF(F1832*G1832&lt;&gt;0,F1832*G1832,IF(E1832*G1832&lt;&gt;0,E1832*G1832,IF(E1832&lt;&gt;0,E1832,IF(F1832&lt;&gt;0,F1832,IF(G1832&lt;&gt;0,G1832,0)))))))*(IF(H1832&lt;&gt;0,H1832,1))+I1832-J1832</f>
        <v>0</v>
      </c>
      <c r="L1832" s="210"/>
    </row>
    <row r="1833" spans="2:12">
      <c r="B1833" s="202"/>
      <c r="C1833" s="203"/>
      <c r="D1833" s="203"/>
      <c r="E1833" s="203"/>
      <c r="F1833" s="203"/>
      <c r="G1833" s="203"/>
      <c r="H1833" s="204"/>
      <c r="I1833" s="556" t="s">
        <v>1221</v>
      </c>
      <c r="J1833" s="556"/>
      <c r="K1833" s="220">
        <f>SUM(K1828:K1832)</f>
        <v>688.8</v>
      </c>
      <c r="L1833" s="207"/>
    </row>
    <row r="1834" spans="2:12">
      <c r="B1834" s="208"/>
      <c r="C1834" s="204"/>
      <c r="D1834" s="204"/>
      <c r="E1834" s="204"/>
      <c r="F1834" s="204"/>
      <c r="G1834" s="204"/>
      <c r="H1834" s="209"/>
      <c r="I1834" s="557" t="s">
        <v>1222</v>
      </c>
      <c r="J1834" s="557"/>
      <c r="K1834" s="221">
        <f>VLOOKUP(B1826,'BM 004'!$B$27:$R$590,4,0)</f>
        <v>880</v>
      </c>
      <c r="L1834" s="246"/>
    </row>
    <row r="1835" spans="2:12">
      <c r="B1835" s="208"/>
      <c r="C1835" s="204"/>
      <c r="D1835" s="204"/>
      <c r="E1835" s="204"/>
      <c r="F1835" s="204"/>
      <c r="G1835" s="204"/>
      <c r="H1835" s="558" t="s">
        <v>1223</v>
      </c>
      <c r="I1835" s="558"/>
      <c r="J1835" s="558"/>
      <c r="K1835" s="222">
        <v>237.6</v>
      </c>
      <c r="L1835" s="207"/>
    </row>
    <row r="1836" spans="2:12">
      <c r="B1836" s="208"/>
      <c r="C1836" s="204"/>
      <c r="D1836" s="204"/>
      <c r="E1836" s="204"/>
      <c r="F1836" s="204"/>
      <c r="G1836" s="204"/>
      <c r="H1836" s="558" t="s">
        <v>1892</v>
      </c>
      <c r="I1836" s="558"/>
      <c r="J1836" s="558"/>
      <c r="K1836" s="222">
        <f>TRUNC(SUMIF(C1828:C1832,H1836,K1828:K1832),2)</f>
        <v>451.2</v>
      </c>
      <c r="L1836" s="207"/>
    </row>
    <row r="1837" spans="2:12">
      <c r="B1837" s="213"/>
      <c r="C1837" s="214"/>
      <c r="D1837" s="214"/>
      <c r="E1837" s="214"/>
      <c r="F1837" s="214"/>
      <c r="G1837" s="214"/>
      <c r="H1837" s="559" t="s">
        <v>1224</v>
      </c>
      <c r="I1837" s="559"/>
      <c r="J1837" s="559"/>
      <c r="K1837" s="223">
        <f>IF(K1833&gt;K1834,K1833-K1834,0)</f>
        <v>0</v>
      </c>
      <c r="L1837" s="209"/>
    </row>
    <row r="1839" spans="2:12">
      <c r="B1839" s="247" t="s">
        <v>463</v>
      </c>
      <c r="C1839" s="565" t="str">
        <f>VLOOKUP(B1839,'BM 004'!$B$27:$R$590,2,0)</f>
        <v>ELETRODUTO FLEXÍVEL CORRUGADO, PVC, DN 25 MM (3/4”), PARA CIRCUITOS TERMINAIS, INSTALADO EM PAREDE OU TETO - FORNECIMENTO E INSTALAÇÃO. Marca Tigre</v>
      </c>
      <c r="D1839" s="565"/>
      <c r="E1839" s="565"/>
      <c r="F1839" s="565"/>
      <c r="G1839" s="565"/>
      <c r="H1839" s="565"/>
      <c r="I1839" s="565"/>
      <c r="J1839" s="565"/>
      <c r="K1839" s="565"/>
      <c r="L1839" s="565"/>
    </row>
    <row r="1840" spans="2:12">
      <c r="B1840" s="248" t="s">
        <v>1209</v>
      </c>
      <c r="C1840" s="248"/>
      <c r="D1840" s="248" t="s">
        <v>39</v>
      </c>
      <c r="E1840" s="248" t="s">
        <v>1210</v>
      </c>
      <c r="F1840" s="248" t="s">
        <v>1388</v>
      </c>
      <c r="G1840" s="248" t="s">
        <v>1212</v>
      </c>
      <c r="H1840" s="248" t="s">
        <v>1213</v>
      </c>
      <c r="I1840" s="248" t="s">
        <v>1214</v>
      </c>
      <c r="J1840" s="248" t="s">
        <v>1385</v>
      </c>
      <c r="K1840" s="248" t="s">
        <v>1216</v>
      </c>
      <c r="L1840" s="248" t="s">
        <v>1217</v>
      </c>
    </row>
    <row r="1841" spans="2:12">
      <c r="B1841" s="256" t="s">
        <v>2039</v>
      </c>
      <c r="C1841" s="250" t="s">
        <v>1931</v>
      </c>
      <c r="D1841" s="205" t="s">
        <v>82</v>
      </c>
      <c r="E1841" s="257">
        <v>400</v>
      </c>
      <c r="F1841" s="258"/>
      <c r="G1841" s="257"/>
      <c r="H1841" s="257"/>
      <c r="I1841" s="257"/>
      <c r="J1841" s="259"/>
      <c r="K1841" s="260">
        <f>IF(E1841*F1841*G1841&lt;&gt;0,E1841*F1841*G1841,IF(E1841*F1841&lt;&gt;0,E1841*F1841,IF(F1841*G1841&lt;&gt;0,F1841*G1841,IF(E1841*G1841&lt;&gt;0,E1841*G1841,IF(E1841&lt;&gt;0,E1841,IF(F1841&lt;&gt;0,F1841,IF(G1841&lt;&gt;0,G1841,0)))))))*(IF(H1841&lt;&gt;0,H1841,1))+I1841-J1841</f>
        <v>400</v>
      </c>
      <c r="L1841" s="266"/>
    </row>
    <row r="1842" spans="2:12">
      <c r="B1842" s="256" t="s">
        <v>1557</v>
      </c>
      <c r="C1842" s="250" t="s">
        <v>1998</v>
      </c>
      <c r="D1842" s="205" t="s">
        <v>82</v>
      </c>
      <c r="E1842" s="257">
        <v>600</v>
      </c>
      <c r="F1842" s="258"/>
      <c r="G1842" s="257"/>
      <c r="H1842" s="257"/>
      <c r="I1842" s="257"/>
      <c r="J1842" s="259"/>
      <c r="K1842" s="260">
        <f>IF(E1842*F1842*G1842&lt;&gt;0,E1842*F1842*G1842,IF(E1842*F1842&lt;&gt;0,E1842*F1842,IF(F1842*G1842&lt;&gt;0,F1842*G1842,IF(E1842*G1842&lt;&gt;0,E1842*G1842,IF(E1842&lt;&gt;0,E1842,IF(F1842&lt;&gt;0,F1842,IF(G1842&lt;&gt;0,G1842,0)))))))*(IF(H1842&lt;&gt;0,H1842,1))+I1842-J1842</f>
        <v>600</v>
      </c>
      <c r="L1842" s="266"/>
    </row>
    <row r="1843" spans="2:12">
      <c r="B1843" s="256"/>
      <c r="C1843" s="210"/>
      <c r="D1843" s="210"/>
      <c r="E1843" s="257"/>
      <c r="F1843" s="258"/>
      <c r="G1843" s="257"/>
      <c r="H1843" s="257"/>
      <c r="I1843" s="257"/>
      <c r="J1843" s="259"/>
      <c r="K1843" s="260">
        <f>IF(E1843*F1843*G1843&lt;&gt;0,E1843*F1843*G1843,IF(E1843*F1843&lt;&gt;0,E1843*F1843,IF(F1843*G1843&lt;&gt;0,F1843*G1843,IF(E1843*G1843&lt;&gt;0,E1843*G1843,IF(E1843&lt;&gt;0,E1843,IF(F1843&lt;&gt;0,F1843,IF(G1843&lt;&gt;0,G1843,0)))))))*(IF(H1843&lt;&gt;0,H1843,1))+I1843-J1843</f>
        <v>0</v>
      </c>
      <c r="L1843" s="210"/>
    </row>
    <row r="1844" spans="2:12">
      <c r="B1844" s="202"/>
      <c r="C1844" s="203"/>
      <c r="D1844" s="203"/>
      <c r="E1844" s="203"/>
      <c r="F1844" s="203"/>
      <c r="G1844" s="203"/>
      <c r="H1844" s="204"/>
      <c r="I1844" s="556" t="s">
        <v>1221</v>
      </c>
      <c r="J1844" s="556"/>
      <c r="K1844" s="220">
        <f>SUM(K1841:K1843)</f>
        <v>1000</v>
      </c>
      <c r="L1844" s="207"/>
    </row>
    <row r="1845" spans="2:12">
      <c r="B1845" s="208"/>
      <c r="C1845" s="204"/>
      <c r="D1845" s="204"/>
      <c r="E1845" s="204"/>
      <c r="F1845" s="204"/>
      <c r="G1845" s="204"/>
      <c r="H1845" s="209"/>
      <c r="I1845" s="557" t="s">
        <v>1222</v>
      </c>
      <c r="J1845" s="557"/>
      <c r="K1845" s="221">
        <f>VLOOKUP(B1839,'BM 004'!$B$27:$R$590,4,0)</f>
        <v>8549.7900000000009</v>
      </c>
      <c r="L1845" s="246"/>
    </row>
    <row r="1846" spans="2:12">
      <c r="B1846" s="208"/>
      <c r="C1846" s="204"/>
      <c r="D1846" s="204"/>
      <c r="E1846" s="204"/>
      <c r="F1846" s="204"/>
      <c r="G1846" s="204"/>
      <c r="H1846" s="558" t="s">
        <v>1223</v>
      </c>
      <c r="I1846" s="558"/>
      <c r="J1846" s="558"/>
      <c r="K1846" s="222">
        <v>400</v>
      </c>
      <c r="L1846" s="207"/>
    </row>
    <row r="1847" spans="2:12">
      <c r="B1847" s="208"/>
      <c r="C1847" s="204"/>
      <c r="D1847" s="204"/>
      <c r="E1847" s="204"/>
      <c r="F1847" s="204"/>
      <c r="G1847" s="204"/>
      <c r="H1847" s="558" t="s">
        <v>1892</v>
      </c>
      <c r="I1847" s="558"/>
      <c r="J1847" s="558"/>
      <c r="K1847" s="222">
        <f>TRUNC(SUMIF(C1841:C1843,H1847,K1841:K1843),2)</f>
        <v>600</v>
      </c>
      <c r="L1847" s="207"/>
    </row>
    <row r="1848" spans="2:12">
      <c r="B1848" s="213"/>
      <c r="C1848" s="214"/>
      <c r="D1848" s="214"/>
      <c r="E1848" s="214"/>
      <c r="F1848" s="214"/>
      <c r="G1848" s="214"/>
      <c r="H1848" s="559" t="s">
        <v>1224</v>
      </c>
      <c r="I1848" s="559"/>
      <c r="J1848" s="559"/>
      <c r="K1848" s="223">
        <f>IF(K1844&gt;K1845,K1844-K1845,0)</f>
        <v>0</v>
      </c>
      <c r="L1848" s="209"/>
    </row>
    <row r="1850" spans="2:12">
      <c r="B1850" s="247" t="s">
        <v>491</v>
      </c>
      <c r="C1850" s="565" t="str">
        <f>VLOOKUP(B1850,'BM 004'!$B$27:$R$590,2,0)</f>
        <v>CABO DE COBRE FLEXÍVEL ISOLADO, 50 MM², ANTI-CHAMA 0,6/1,0 KV, PARA DISTRIBUIÇÃO - FORNECIMENTO E INSTALAÇÃO. MARCA COBRECOM, PRYSMIAN, SIL, CORFIO, INDUSCABOS OU NAMBEI</v>
      </c>
      <c r="D1850" s="565"/>
      <c r="E1850" s="565"/>
      <c r="F1850" s="565"/>
      <c r="G1850" s="565"/>
      <c r="H1850" s="565"/>
      <c r="I1850" s="565"/>
      <c r="J1850" s="565"/>
      <c r="K1850" s="565"/>
      <c r="L1850" s="565"/>
    </row>
    <row r="1851" spans="2:12">
      <c r="B1851" s="248" t="s">
        <v>1209</v>
      </c>
      <c r="C1851" s="248"/>
      <c r="D1851" s="248" t="s">
        <v>39</v>
      </c>
      <c r="E1851" s="248" t="s">
        <v>1210</v>
      </c>
      <c r="F1851" s="248" t="s">
        <v>1388</v>
      </c>
      <c r="G1851" s="248" t="s">
        <v>1212</v>
      </c>
      <c r="H1851" s="248" t="s">
        <v>1213</v>
      </c>
      <c r="I1851" s="248" t="s">
        <v>1214</v>
      </c>
      <c r="J1851" s="248" t="s">
        <v>1385</v>
      </c>
      <c r="K1851" s="248" t="s">
        <v>1216</v>
      </c>
      <c r="L1851" s="248" t="s">
        <v>1217</v>
      </c>
    </row>
    <row r="1852" spans="2:12">
      <c r="B1852" s="256" t="s">
        <v>1575</v>
      </c>
      <c r="C1852" s="250" t="s">
        <v>1931</v>
      </c>
      <c r="D1852" s="205" t="s">
        <v>82</v>
      </c>
      <c r="E1852" s="257">
        <f>326.43/3</f>
        <v>108.81</v>
      </c>
      <c r="F1852" s="258"/>
      <c r="G1852" s="257"/>
      <c r="H1852" s="257">
        <v>3</v>
      </c>
      <c r="I1852" s="257"/>
      <c r="J1852" s="259"/>
      <c r="K1852" s="260">
        <f>IF(E1852*F1852*G1852&lt;&gt;0,E1852*F1852*G1852,IF(E1852*F1852&lt;&gt;0,E1852*F1852,IF(F1852*G1852&lt;&gt;0,F1852*G1852,IF(E1852*G1852&lt;&gt;0,E1852*G1852,IF(E1852&lt;&gt;0,E1852,IF(F1852&lt;&gt;0,F1852,IF(G1852&lt;&gt;0,G1852,0)))))))*(IF(H1852&lt;&gt;0,H1852,1))+I1852-J1852</f>
        <v>326.43</v>
      </c>
      <c r="L1852" s="266"/>
    </row>
    <row r="1853" spans="2:12">
      <c r="B1853" s="256"/>
      <c r="C1853" s="210"/>
      <c r="D1853" s="210"/>
      <c r="E1853" s="257"/>
      <c r="F1853" s="258"/>
      <c r="G1853" s="257"/>
      <c r="H1853" s="257"/>
      <c r="I1853" s="257"/>
      <c r="J1853" s="259"/>
      <c r="K1853" s="260">
        <f>IF(E1853*F1853*G1853&lt;&gt;0,E1853*F1853*G1853,IF(E1853*F1853&lt;&gt;0,E1853*F1853,IF(F1853*G1853&lt;&gt;0,F1853*G1853,IF(E1853*G1853&lt;&gt;0,E1853*G1853,IF(E1853&lt;&gt;0,E1853,IF(F1853&lt;&gt;0,F1853,IF(G1853&lt;&gt;0,G1853,0)))))))*(IF(H1853&lt;&gt;0,H1853,1))+I1853-J1853</f>
        <v>0</v>
      </c>
      <c r="L1853" s="210"/>
    </row>
    <row r="1854" spans="2:12">
      <c r="B1854" s="202"/>
      <c r="C1854" s="203"/>
      <c r="D1854" s="203"/>
      <c r="E1854" s="203"/>
      <c r="F1854" s="203"/>
      <c r="G1854" s="203"/>
      <c r="H1854" s="204"/>
      <c r="I1854" s="556" t="s">
        <v>1221</v>
      </c>
      <c r="J1854" s="556"/>
      <c r="K1854" s="220">
        <f>SUM(K1852:K1853)</f>
        <v>326.43</v>
      </c>
      <c r="L1854" s="207"/>
    </row>
    <row r="1855" spans="2:12">
      <c r="B1855" s="208"/>
      <c r="C1855" s="204"/>
      <c r="D1855" s="204"/>
      <c r="E1855" s="204"/>
      <c r="F1855" s="204"/>
      <c r="G1855" s="204"/>
      <c r="H1855" s="209"/>
      <c r="I1855" s="557" t="s">
        <v>1222</v>
      </c>
      <c r="J1855" s="557"/>
      <c r="K1855" s="221">
        <f>VLOOKUP(B1850,'BM 004'!$B$27:$R$590,4,0)</f>
        <v>326.43</v>
      </c>
      <c r="L1855" s="246"/>
    </row>
    <row r="1856" spans="2:12">
      <c r="B1856" s="208"/>
      <c r="C1856" s="204"/>
      <c r="D1856" s="204"/>
      <c r="E1856" s="204"/>
      <c r="F1856" s="204"/>
      <c r="G1856" s="204"/>
      <c r="H1856" s="558" t="s">
        <v>1223</v>
      </c>
      <c r="I1856" s="558"/>
      <c r="J1856" s="558"/>
      <c r="K1856" s="222">
        <v>0</v>
      </c>
      <c r="L1856" s="207"/>
    </row>
    <row r="1857" spans="2:12">
      <c r="B1857" s="208"/>
      <c r="C1857" s="204"/>
      <c r="D1857" s="204"/>
      <c r="E1857" s="204"/>
      <c r="F1857" s="204"/>
      <c r="G1857" s="204"/>
      <c r="H1857" s="558" t="s">
        <v>1891</v>
      </c>
      <c r="I1857" s="558"/>
      <c r="J1857" s="558"/>
      <c r="K1857" s="222">
        <f>TRUNC(SUMIF(C1852:C1853,H1857,K1852:K1853),2)</f>
        <v>326.43</v>
      </c>
      <c r="L1857" s="207"/>
    </row>
    <row r="1858" spans="2:12">
      <c r="B1858" s="213"/>
      <c r="C1858" s="214"/>
      <c r="D1858" s="214"/>
      <c r="E1858" s="214"/>
      <c r="F1858" s="214"/>
      <c r="G1858" s="214"/>
      <c r="H1858" s="559" t="s">
        <v>1224</v>
      </c>
      <c r="I1858" s="559"/>
      <c r="J1858" s="559"/>
      <c r="K1858" s="223">
        <f>IF(K1854&gt;K1855,K1854-K1855,0)</f>
        <v>0</v>
      </c>
      <c r="L1858" s="209"/>
    </row>
    <row r="1860" spans="2:12">
      <c r="B1860" s="247" t="s">
        <v>664</v>
      </c>
      <c r="C1860" s="565" t="str">
        <f>VLOOKUP(B1860,'BM 004'!$B$27:$R$590,2,0)</f>
        <v xml:space="preserve">Tubo pvc rígido soldável marrom p/ água, d = 75 mm (2 1/2")	</v>
      </c>
      <c r="D1860" s="565"/>
      <c r="E1860" s="565"/>
      <c r="F1860" s="565"/>
      <c r="G1860" s="565"/>
      <c r="H1860" s="565"/>
      <c r="I1860" s="565"/>
      <c r="J1860" s="565"/>
      <c r="K1860" s="565"/>
      <c r="L1860" s="565"/>
    </row>
    <row r="1861" spans="2:12">
      <c r="B1861" s="248" t="s">
        <v>1209</v>
      </c>
      <c r="C1861" s="248"/>
      <c r="D1861" s="248" t="s">
        <v>39</v>
      </c>
      <c r="E1861" s="248" t="s">
        <v>1210</v>
      </c>
      <c r="F1861" s="248" t="s">
        <v>1388</v>
      </c>
      <c r="G1861" s="248" t="s">
        <v>1212</v>
      </c>
      <c r="H1861" s="248" t="s">
        <v>1213</v>
      </c>
      <c r="I1861" s="248" t="s">
        <v>1214</v>
      </c>
      <c r="J1861" s="248" t="s">
        <v>1385</v>
      </c>
      <c r="K1861" s="248" t="s">
        <v>1216</v>
      </c>
      <c r="L1861" s="248" t="s">
        <v>1217</v>
      </c>
    </row>
    <row r="1862" spans="2:12">
      <c r="B1862" s="256" t="s">
        <v>1575</v>
      </c>
      <c r="C1862" s="250" t="s">
        <v>1521</v>
      </c>
      <c r="D1862" s="205" t="s">
        <v>82</v>
      </c>
      <c r="E1862" s="257">
        <v>30</v>
      </c>
      <c r="F1862" s="258"/>
      <c r="G1862" s="257"/>
      <c r="H1862" s="257"/>
      <c r="I1862" s="257"/>
      <c r="J1862" s="259"/>
      <c r="K1862" s="260">
        <f>IF(E1862*F1862*G1862&lt;&gt;0,E1862*F1862*G1862,IF(E1862*F1862&lt;&gt;0,E1862*F1862,IF(F1862*G1862&lt;&gt;0,F1862*G1862,IF(E1862*G1862&lt;&gt;0,E1862*G1862,IF(E1862&lt;&gt;0,E1862,IF(F1862&lt;&gt;0,F1862,IF(G1862&lt;&gt;0,G1862,0)))))))*(IF(H1862&lt;&gt;0,H1862,1))+I1862-J1862</f>
        <v>30</v>
      </c>
      <c r="L1862" s="266"/>
    </row>
    <row r="1863" spans="2:12">
      <c r="B1863" s="256"/>
      <c r="C1863" s="210"/>
      <c r="D1863" s="210"/>
      <c r="E1863" s="257"/>
      <c r="F1863" s="258"/>
      <c r="G1863" s="257"/>
      <c r="H1863" s="257"/>
      <c r="I1863" s="257"/>
      <c r="J1863" s="259"/>
      <c r="K1863" s="260">
        <f>IF(E1863*F1863*G1863&lt;&gt;0,E1863*F1863*G1863,IF(E1863*F1863&lt;&gt;0,E1863*F1863,IF(F1863*G1863&lt;&gt;0,F1863*G1863,IF(E1863*G1863&lt;&gt;0,E1863*G1863,IF(E1863&lt;&gt;0,E1863,IF(F1863&lt;&gt;0,F1863,IF(G1863&lt;&gt;0,G1863,0)))))))*(IF(H1863&lt;&gt;0,H1863,1))+I1863-J1863</f>
        <v>0</v>
      </c>
      <c r="L1863" s="210"/>
    </row>
    <row r="1864" spans="2:12">
      <c r="B1864" s="202"/>
      <c r="C1864" s="203"/>
      <c r="D1864" s="203"/>
      <c r="E1864" s="203"/>
      <c r="F1864" s="203"/>
      <c r="G1864" s="203"/>
      <c r="H1864" s="204"/>
      <c r="I1864" s="556" t="s">
        <v>1221</v>
      </c>
      <c r="J1864" s="556"/>
      <c r="K1864" s="220">
        <f>SUM(K1862:K1863)</f>
        <v>30</v>
      </c>
      <c r="L1864" s="207"/>
    </row>
    <row r="1865" spans="2:12">
      <c r="B1865" s="208"/>
      <c r="C1865" s="204"/>
      <c r="D1865" s="204"/>
      <c r="E1865" s="204"/>
      <c r="F1865" s="204"/>
      <c r="G1865" s="204"/>
      <c r="H1865" s="209"/>
      <c r="I1865" s="557" t="s">
        <v>1222</v>
      </c>
      <c r="J1865" s="557"/>
      <c r="K1865" s="221">
        <f>VLOOKUP(B1860,'BM 004'!$B$27:$R$590,4,0)</f>
        <v>162.16999999999999</v>
      </c>
      <c r="L1865" s="246"/>
    </row>
    <row r="1866" spans="2:12">
      <c r="B1866" s="208"/>
      <c r="C1866" s="204"/>
      <c r="D1866" s="204"/>
      <c r="E1866" s="204"/>
      <c r="F1866" s="204"/>
      <c r="G1866" s="204"/>
      <c r="H1866" s="558" t="s">
        <v>1223</v>
      </c>
      <c r="I1866" s="558"/>
      <c r="J1866" s="558"/>
      <c r="K1866" s="222">
        <v>0</v>
      </c>
      <c r="L1866" s="207"/>
    </row>
    <row r="1867" spans="2:12">
      <c r="B1867" s="208"/>
      <c r="C1867" s="204"/>
      <c r="D1867" s="204"/>
      <c r="E1867" s="204"/>
      <c r="F1867" s="204"/>
      <c r="G1867" s="204"/>
      <c r="H1867" s="558" t="s">
        <v>1435</v>
      </c>
      <c r="I1867" s="558"/>
      <c r="J1867" s="558"/>
      <c r="K1867" s="222">
        <f>TRUNC(SUMIF(C1862:C1863,H1867,K1862:K1863),2)</f>
        <v>30</v>
      </c>
      <c r="L1867" s="207"/>
    </row>
    <row r="1868" spans="2:12">
      <c r="B1868" s="213"/>
      <c r="C1868" s="214"/>
      <c r="D1868" s="214"/>
      <c r="E1868" s="214"/>
      <c r="F1868" s="214"/>
      <c r="G1868" s="214"/>
      <c r="H1868" s="559" t="s">
        <v>1224</v>
      </c>
      <c r="I1868" s="559"/>
      <c r="J1868" s="559"/>
      <c r="K1868" s="223">
        <f>IF(K1864&gt;K1865,K1864-K1865,0)</f>
        <v>0</v>
      </c>
      <c r="L1868" s="209"/>
    </row>
    <row r="1870" spans="2:12">
      <c r="B1870" s="247" t="s">
        <v>791</v>
      </c>
      <c r="C1870" s="565" t="str">
        <f>VLOOKUP(B1870,'BM 011'!$B$28:$R$681,2,0)</f>
        <v>Tubo pvc, serie normal, esgoto predial, dn 75 mm, fornecido e instalado em ramal de descarga ou ramal de esgoto sanitário. Marca Tigre</v>
      </c>
      <c r="D1870" s="565"/>
      <c r="E1870" s="565"/>
      <c r="F1870" s="565"/>
      <c r="G1870" s="565"/>
      <c r="H1870" s="565"/>
      <c r="I1870" s="565"/>
      <c r="J1870" s="565"/>
      <c r="K1870" s="565"/>
      <c r="L1870" s="565"/>
    </row>
    <row r="1871" spans="2:12">
      <c r="B1871" s="248" t="s">
        <v>1209</v>
      </c>
      <c r="C1871" s="248"/>
      <c r="D1871" s="248" t="s">
        <v>39</v>
      </c>
      <c r="E1871" s="248" t="s">
        <v>1210</v>
      </c>
      <c r="F1871" s="248" t="s">
        <v>1388</v>
      </c>
      <c r="G1871" s="248" t="s">
        <v>1212</v>
      </c>
      <c r="H1871" s="248" t="s">
        <v>1213</v>
      </c>
      <c r="I1871" s="248" t="s">
        <v>1214</v>
      </c>
      <c r="J1871" s="248" t="s">
        <v>1385</v>
      </c>
      <c r="K1871" s="248" t="s">
        <v>1216</v>
      </c>
      <c r="L1871" s="248" t="s">
        <v>1217</v>
      </c>
    </row>
    <row r="1872" spans="2:12">
      <c r="B1872" s="256" t="s">
        <v>2040</v>
      </c>
      <c r="C1872" s="250" t="s">
        <v>1998</v>
      </c>
      <c r="D1872" s="205" t="s">
        <v>82</v>
      </c>
      <c r="E1872" s="257">
        <v>48</v>
      </c>
      <c r="F1872" s="258"/>
      <c r="G1872" s="257"/>
      <c r="H1872" s="257"/>
      <c r="I1872" s="257"/>
      <c r="J1872" s="259"/>
      <c r="K1872" s="260">
        <f>IF(E1872*F1872*G1872&lt;&gt;0,E1872*F1872*G1872,IF(E1872*F1872&lt;&gt;0,E1872*F1872,IF(F1872*G1872&lt;&gt;0,F1872*G1872,IF(E1872*G1872&lt;&gt;0,E1872*G1872,IF(E1872&lt;&gt;0,E1872,IF(F1872&lt;&gt;0,F1872,IF(G1872&lt;&gt;0,G1872,0)))))))*(IF(H1872&lt;&gt;0,H1872,1))+I1872-J1872</f>
        <v>48</v>
      </c>
      <c r="L1872" s="266"/>
    </row>
    <row r="1873" spans="2:12">
      <c r="B1873" s="256"/>
      <c r="C1873" s="210"/>
      <c r="D1873" s="210"/>
      <c r="E1873" s="257"/>
      <c r="F1873" s="258"/>
      <c r="G1873" s="257"/>
      <c r="H1873" s="257"/>
      <c r="I1873" s="257"/>
      <c r="J1873" s="259"/>
      <c r="K1873" s="260">
        <f>IF(E1873*F1873*G1873&lt;&gt;0,E1873*F1873*G1873,IF(E1873*F1873&lt;&gt;0,E1873*F1873,IF(F1873*G1873&lt;&gt;0,F1873*G1873,IF(E1873*G1873&lt;&gt;0,E1873*G1873,IF(E1873&lt;&gt;0,E1873,IF(F1873&lt;&gt;0,F1873,IF(G1873&lt;&gt;0,G1873,0)))))))*(IF(H1873&lt;&gt;0,H1873,1))+I1873-J1873</f>
        <v>0</v>
      </c>
      <c r="L1873" s="210"/>
    </row>
    <row r="1874" spans="2:12">
      <c r="B1874" s="202"/>
      <c r="C1874" s="203"/>
      <c r="D1874" s="203"/>
      <c r="E1874" s="203"/>
      <c r="F1874" s="203"/>
      <c r="G1874" s="203"/>
      <c r="H1874" s="204"/>
      <c r="I1874" s="556" t="s">
        <v>1221</v>
      </c>
      <c r="J1874" s="556"/>
      <c r="K1874" s="220">
        <f>SUM(K1872:K1873)</f>
        <v>48</v>
      </c>
      <c r="L1874" s="207"/>
    </row>
    <row r="1875" spans="2:12">
      <c r="B1875" s="208"/>
      <c r="C1875" s="204"/>
      <c r="D1875" s="204"/>
      <c r="E1875" s="204"/>
      <c r="F1875" s="204"/>
      <c r="G1875" s="204"/>
      <c r="H1875" s="209"/>
      <c r="I1875" s="557" t="s">
        <v>1222</v>
      </c>
      <c r="J1875" s="557"/>
      <c r="K1875" s="221">
        <f>VLOOKUP(B1870,'BM 011'!$B$28:$R$681,5,0)</f>
        <v>307.39999999999998</v>
      </c>
      <c r="L1875" s="246"/>
    </row>
    <row r="1876" spans="2:12">
      <c r="B1876" s="208"/>
      <c r="C1876" s="204"/>
      <c r="D1876" s="204"/>
      <c r="E1876" s="204"/>
      <c r="F1876" s="204"/>
      <c r="G1876" s="204"/>
      <c r="H1876" s="558" t="s">
        <v>1223</v>
      </c>
      <c r="I1876" s="558"/>
      <c r="J1876" s="558"/>
      <c r="K1876" s="222">
        <v>0</v>
      </c>
      <c r="L1876" s="207"/>
    </row>
    <row r="1877" spans="2:12">
      <c r="B1877" s="208"/>
      <c r="C1877" s="204"/>
      <c r="D1877" s="204"/>
      <c r="E1877" s="204"/>
      <c r="F1877" s="204"/>
      <c r="G1877" s="204"/>
      <c r="H1877" s="558" t="s">
        <v>1892</v>
      </c>
      <c r="I1877" s="558"/>
      <c r="J1877" s="558"/>
      <c r="K1877" s="222">
        <f>TRUNC(SUMIF(C1872:C1873,H1877,K1872:K1873),2)</f>
        <v>48</v>
      </c>
      <c r="L1877" s="207"/>
    </row>
    <row r="1878" spans="2:12">
      <c r="B1878" s="213"/>
      <c r="C1878" s="214"/>
      <c r="D1878" s="214"/>
      <c r="E1878" s="214"/>
      <c r="F1878" s="214"/>
      <c r="G1878" s="214"/>
      <c r="H1878" s="559" t="s">
        <v>1224</v>
      </c>
      <c r="I1878" s="559"/>
      <c r="J1878" s="559"/>
      <c r="K1878" s="223">
        <f>IF(K1874&gt;K1875,K1874-K1875,0)</f>
        <v>0</v>
      </c>
      <c r="L1878" s="209"/>
    </row>
    <row r="1880" spans="2:12">
      <c r="B1880" s="247" t="s">
        <v>798</v>
      </c>
      <c r="C1880" s="565" t="str">
        <f>VLOOKUP(B1880,'BM 011'!$B$28:$R$681,2,0)</f>
        <v>Tubo pvc rígido soldável ponta e bolsa p/ esgoto predial, d = 150 mm Marca Tigre</v>
      </c>
      <c r="D1880" s="565"/>
      <c r="E1880" s="565"/>
      <c r="F1880" s="565"/>
      <c r="G1880" s="565"/>
      <c r="H1880" s="565"/>
      <c r="I1880" s="565"/>
      <c r="J1880" s="565"/>
      <c r="K1880" s="565"/>
      <c r="L1880" s="565"/>
    </row>
    <row r="1881" spans="2:12">
      <c r="B1881" s="248" t="s">
        <v>1209</v>
      </c>
      <c r="C1881" s="248"/>
      <c r="D1881" s="248" t="s">
        <v>39</v>
      </c>
      <c r="E1881" s="248" t="s">
        <v>1210</v>
      </c>
      <c r="F1881" s="248" t="s">
        <v>1388</v>
      </c>
      <c r="G1881" s="248" t="s">
        <v>1212</v>
      </c>
      <c r="H1881" s="248" t="s">
        <v>1213</v>
      </c>
      <c r="I1881" s="248" t="s">
        <v>1214</v>
      </c>
      <c r="J1881" s="248" t="s">
        <v>1385</v>
      </c>
      <c r="K1881" s="248" t="s">
        <v>1216</v>
      </c>
      <c r="L1881" s="248" t="s">
        <v>1217</v>
      </c>
    </row>
    <row r="1882" spans="2:12">
      <c r="B1882" s="256" t="s">
        <v>2040</v>
      </c>
      <c r="C1882" s="250" t="s">
        <v>1998</v>
      </c>
      <c r="D1882" s="205" t="s">
        <v>82</v>
      </c>
      <c r="E1882" s="257">
        <v>102</v>
      </c>
      <c r="F1882" s="258"/>
      <c r="G1882" s="257"/>
      <c r="H1882" s="257"/>
      <c r="I1882" s="257"/>
      <c r="J1882" s="259"/>
      <c r="K1882" s="260">
        <f>IF(E1882*F1882*G1882&lt;&gt;0,E1882*F1882*G1882,IF(E1882*F1882&lt;&gt;0,E1882*F1882,IF(F1882*G1882&lt;&gt;0,F1882*G1882,IF(E1882*G1882&lt;&gt;0,E1882*G1882,IF(E1882&lt;&gt;0,E1882,IF(F1882&lt;&gt;0,F1882,IF(G1882&lt;&gt;0,G1882,0)))))))*(IF(H1882&lt;&gt;0,H1882,1))+I1882-J1882</f>
        <v>102</v>
      </c>
      <c r="L1882" s="266"/>
    </row>
    <row r="1883" spans="2:12">
      <c r="B1883" s="256"/>
      <c r="C1883" s="210"/>
      <c r="D1883" s="210"/>
      <c r="E1883" s="257"/>
      <c r="F1883" s="258"/>
      <c r="G1883" s="257"/>
      <c r="H1883" s="257"/>
      <c r="I1883" s="257"/>
      <c r="J1883" s="259"/>
      <c r="K1883" s="260">
        <f>IF(E1883*F1883*G1883&lt;&gt;0,E1883*F1883*G1883,IF(E1883*F1883&lt;&gt;0,E1883*F1883,IF(F1883*G1883&lt;&gt;0,F1883*G1883,IF(E1883*G1883&lt;&gt;0,E1883*G1883,IF(E1883&lt;&gt;0,E1883,IF(F1883&lt;&gt;0,F1883,IF(G1883&lt;&gt;0,G1883,0)))))))*(IF(H1883&lt;&gt;0,H1883,1))+I1883-J1883</f>
        <v>0</v>
      </c>
      <c r="L1883" s="210"/>
    </row>
    <row r="1884" spans="2:12">
      <c r="B1884" s="202"/>
      <c r="C1884" s="203"/>
      <c r="D1884" s="203"/>
      <c r="E1884" s="203"/>
      <c r="F1884" s="203"/>
      <c r="G1884" s="203"/>
      <c r="H1884" s="204"/>
      <c r="I1884" s="556" t="s">
        <v>1221</v>
      </c>
      <c r="J1884" s="556"/>
      <c r="K1884" s="220">
        <f>SUM(K1882:K1883)</f>
        <v>102</v>
      </c>
      <c r="L1884" s="207"/>
    </row>
    <row r="1885" spans="2:12">
      <c r="B1885" s="208"/>
      <c r="C1885" s="204"/>
      <c r="D1885" s="204"/>
      <c r="E1885" s="204"/>
      <c r="F1885" s="204"/>
      <c r="G1885" s="204"/>
      <c r="H1885" s="209"/>
      <c r="I1885" s="557" t="s">
        <v>1222</v>
      </c>
      <c r="J1885" s="557"/>
      <c r="K1885" s="221">
        <f>VLOOKUP(B1880,'BM 011'!$B$28:$R$681,5,0)</f>
        <v>658.8</v>
      </c>
      <c r="L1885" s="246"/>
    </row>
    <row r="1886" spans="2:12">
      <c r="B1886" s="208"/>
      <c r="C1886" s="204"/>
      <c r="D1886" s="204"/>
      <c r="E1886" s="204"/>
      <c r="F1886" s="204"/>
      <c r="G1886" s="204"/>
      <c r="H1886" s="558" t="s">
        <v>1223</v>
      </c>
      <c r="I1886" s="558"/>
      <c r="J1886" s="558"/>
      <c r="K1886" s="222">
        <v>0</v>
      </c>
      <c r="L1886" s="207"/>
    </row>
    <row r="1887" spans="2:12">
      <c r="B1887" s="208"/>
      <c r="C1887" s="204"/>
      <c r="D1887" s="204"/>
      <c r="E1887" s="204"/>
      <c r="F1887" s="204"/>
      <c r="G1887" s="204"/>
      <c r="H1887" s="558" t="s">
        <v>1892</v>
      </c>
      <c r="I1887" s="558"/>
      <c r="J1887" s="558"/>
      <c r="K1887" s="222">
        <f>TRUNC(SUMIF(C1882:C1883,H1887,K1882:K1883),2)</f>
        <v>102</v>
      </c>
      <c r="L1887" s="207"/>
    </row>
    <row r="1888" spans="2:12">
      <c r="B1888" s="213"/>
      <c r="C1888" s="214"/>
      <c r="D1888" s="214"/>
      <c r="E1888" s="214"/>
      <c r="F1888" s="214"/>
      <c r="G1888" s="214"/>
      <c r="H1888" s="559" t="s">
        <v>1224</v>
      </c>
      <c r="I1888" s="559"/>
      <c r="J1888" s="559"/>
      <c r="K1888" s="223">
        <f>IF(K1884&gt;K1885,K1884-K1885,0)</f>
        <v>0</v>
      </c>
      <c r="L1888" s="209"/>
    </row>
    <row r="1890" spans="2:12">
      <c r="B1890" s="247" t="s">
        <v>1747</v>
      </c>
      <c r="C1890" s="565" t="str">
        <f>VLOOKUP(B1890,'BM 011'!$B$28:$R$681,2,0)</f>
        <v>TUBO DE PEAD CORRUGADO DE DUPLA PAREDE PARA REDE COLETORA DE ESGOTO, DN 300 MM, JUNTA ELÁSTICA INTEGRADA - FORNECIMENTO E ASSENTAMENTO. AF_01/2021</v>
      </c>
      <c r="D1890" s="565"/>
      <c r="E1890" s="565"/>
      <c r="F1890" s="565"/>
      <c r="G1890" s="565"/>
      <c r="H1890" s="565"/>
      <c r="I1890" s="565"/>
      <c r="J1890" s="565"/>
      <c r="K1890" s="565"/>
      <c r="L1890" s="565"/>
    </row>
    <row r="1891" spans="2:12">
      <c r="B1891" s="248" t="s">
        <v>1209</v>
      </c>
      <c r="C1891" s="248"/>
      <c r="D1891" s="248" t="s">
        <v>39</v>
      </c>
      <c r="E1891" s="248" t="s">
        <v>1210</v>
      </c>
      <c r="F1891" s="248" t="s">
        <v>1388</v>
      </c>
      <c r="G1891" s="248" t="s">
        <v>1212</v>
      </c>
      <c r="H1891" s="248" t="s">
        <v>1213</v>
      </c>
      <c r="I1891" s="248" t="s">
        <v>1214</v>
      </c>
      <c r="J1891" s="248" t="s">
        <v>1385</v>
      </c>
      <c r="K1891" s="248" t="s">
        <v>1216</v>
      </c>
      <c r="L1891" s="248" t="s">
        <v>1217</v>
      </c>
    </row>
    <row r="1892" spans="2:12">
      <c r="B1892" s="256" t="s">
        <v>1987</v>
      </c>
      <c r="C1892" s="250" t="s">
        <v>1931</v>
      </c>
      <c r="D1892" s="205" t="s">
        <v>82</v>
      </c>
      <c r="E1892" s="257">
        <v>69.73</v>
      </c>
      <c r="F1892" s="258"/>
      <c r="G1892" s="257"/>
      <c r="H1892" s="257"/>
      <c r="I1892" s="257"/>
      <c r="J1892" s="259"/>
      <c r="K1892" s="260">
        <f>IF(E1892*F1892*G1892&lt;&gt;0,E1892*F1892*G1892,IF(E1892*F1892&lt;&gt;0,E1892*F1892,IF(F1892*G1892&lt;&gt;0,F1892*G1892,IF(E1892*G1892&lt;&gt;0,E1892*G1892,IF(E1892&lt;&gt;0,E1892,IF(F1892&lt;&gt;0,F1892,IF(G1892&lt;&gt;0,G1892,0)))))))*(IF(H1892&lt;&gt;0,H1892,1))+I1892-J1892</f>
        <v>69.73</v>
      </c>
      <c r="L1892" s="266"/>
    </row>
    <row r="1893" spans="2:12">
      <c r="B1893" s="256"/>
      <c r="C1893" s="210"/>
      <c r="D1893" s="210"/>
      <c r="E1893" s="257"/>
      <c r="F1893" s="258"/>
      <c r="G1893" s="257"/>
      <c r="H1893" s="257"/>
      <c r="I1893" s="257"/>
      <c r="J1893" s="259"/>
      <c r="K1893" s="260">
        <f>IF(E1893*F1893*G1893&lt;&gt;0,E1893*F1893*G1893,IF(E1893*F1893&lt;&gt;0,E1893*F1893,IF(F1893*G1893&lt;&gt;0,F1893*G1893,IF(E1893*G1893&lt;&gt;0,E1893*G1893,IF(E1893&lt;&gt;0,E1893,IF(F1893&lt;&gt;0,F1893,IF(G1893&lt;&gt;0,G1893,0)))))))*(IF(H1893&lt;&gt;0,H1893,1))+I1893-J1893</f>
        <v>0</v>
      </c>
      <c r="L1893" s="210"/>
    </row>
    <row r="1894" spans="2:12">
      <c r="B1894" s="202"/>
      <c r="C1894" s="203"/>
      <c r="D1894" s="203"/>
      <c r="E1894" s="203"/>
      <c r="F1894" s="203"/>
      <c r="G1894" s="203"/>
      <c r="H1894" s="204"/>
      <c r="I1894" s="556" t="s">
        <v>1221</v>
      </c>
      <c r="J1894" s="556"/>
      <c r="K1894" s="220">
        <f>SUM(K1892:K1893)</f>
        <v>69.73</v>
      </c>
      <c r="L1894" s="207"/>
    </row>
    <row r="1895" spans="2:12">
      <c r="B1895" s="208"/>
      <c r="C1895" s="204"/>
      <c r="D1895" s="204"/>
      <c r="E1895" s="204"/>
      <c r="F1895" s="204"/>
      <c r="G1895" s="204"/>
      <c r="H1895" s="209"/>
      <c r="I1895" s="557" t="s">
        <v>1222</v>
      </c>
      <c r="J1895" s="557"/>
      <c r="K1895" s="221">
        <f>VLOOKUP(B1890,'BM 011'!$B$28:$R$681,5,0)</f>
        <v>69.73</v>
      </c>
      <c r="L1895" s="246"/>
    </row>
    <row r="1896" spans="2:12">
      <c r="B1896" s="208"/>
      <c r="C1896" s="204"/>
      <c r="D1896" s="204"/>
      <c r="E1896" s="204"/>
      <c r="F1896" s="204"/>
      <c r="G1896" s="204"/>
      <c r="H1896" s="558" t="s">
        <v>1223</v>
      </c>
      <c r="I1896" s="558"/>
      <c r="J1896" s="558"/>
      <c r="K1896" s="222">
        <v>0</v>
      </c>
      <c r="L1896" s="207"/>
    </row>
    <row r="1897" spans="2:12">
      <c r="B1897" s="208"/>
      <c r="C1897" s="204"/>
      <c r="D1897" s="204"/>
      <c r="E1897" s="204"/>
      <c r="F1897" s="204"/>
      <c r="G1897" s="204"/>
      <c r="H1897" s="558" t="s">
        <v>1891</v>
      </c>
      <c r="I1897" s="558"/>
      <c r="J1897" s="558"/>
      <c r="K1897" s="222">
        <f>TRUNC(SUMIF(C1892:C1893,H1897,K1892:K1893),2)</f>
        <v>69.73</v>
      </c>
      <c r="L1897" s="207"/>
    </row>
    <row r="1898" spans="2:12">
      <c r="B1898" s="213"/>
      <c r="C1898" s="214"/>
      <c r="D1898" s="214"/>
      <c r="E1898" s="214"/>
      <c r="F1898" s="214"/>
      <c r="G1898" s="214"/>
      <c r="H1898" s="559" t="s">
        <v>1224</v>
      </c>
      <c r="I1898" s="559"/>
      <c r="J1898" s="559"/>
      <c r="K1898" s="223">
        <f>IF(K1894&gt;K1895,K1894-K1895,0)</f>
        <v>0</v>
      </c>
      <c r="L1898" s="209"/>
    </row>
    <row r="1900" spans="2:12">
      <c r="B1900" s="247" t="s">
        <v>927</v>
      </c>
      <c r="C1900" s="565" t="str">
        <f>VLOOKUP(B1900,'BM 011'!$B$28:$R$681,2,0)</f>
        <v>Caixa sifonada em pvc, 150 x 150 x 50 mm, com tampa cega, acabamento branco. Marca Tigre</v>
      </c>
      <c r="D1900" s="565"/>
      <c r="E1900" s="565"/>
      <c r="F1900" s="565"/>
      <c r="G1900" s="565"/>
      <c r="H1900" s="565"/>
      <c r="I1900" s="565"/>
      <c r="J1900" s="565"/>
      <c r="K1900" s="565"/>
      <c r="L1900" s="565"/>
    </row>
    <row r="1901" spans="2:12">
      <c r="B1901" s="248" t="s">
        <v>1209</v>
      </c>
      <c r="C1901" s="248"/>
      <c r="D1901" s="248" t="s">
        <v>39</v>
      </c>
      <c r="E1901" s="248" t="s">
        <v>1210</v>
      </c>
      <c r="F1901" s="248" t="s">
        <v>1388</v>
      </c>
      <c r="G1901" s="248" t="s">
        <v>1212</v>
      </c>
      <c r="H1901" s="248" t="s">
        <v>1213</v>
      </c>
      <c r="I1901" s="248" t="s">
        <v>1214</v>
      </c>
      <c r="J1901" s="248" t="s">
        <v>1385</v>
      </c>
      <c r="K1901" s="248" t="s">
        <v>1216</v>
      </c>
      <c r="L1901" s="248" t="s">
        <v>1217</v>
      </c>
    </row>
    <row r="1902" spans="2:12">
      <c r="B1902" s="256" t="s">
        <v>2040</v>
      </c>
      <c r="C1902" s="250" t="s">
        <v>1998</v>
      </c>
      <c r="D1902" s="205" t="s">
        <v>39</v>
      </c>
      <c r="E1902" s="257"/>
      <c r="F1902" s="258"/>
      <c r="G1902" s="257"/>
      <c r="H1902" s="257"/>
      <c r="I1902" s="257">
        <v>12</v>
      </c>
      <c r="J1902" s="259"/>
      <c r="K1902" s="260">
        <f>IF(E1902*F1902*G1902&lt;&gt;0,E1902*F1902*G1902,IF(E1902*F1902&lt;&gt;0,E1902*F1902,IF(F1902*G1902&lt;&gt;0,F1902*G1902,IF(E1902*G1902&lt;&gt;0,E1902*G1902,IF(E1902&lt;&gt;0,E1902,IF(F1902&lt;&gt;0,F1902,IF(G1902&lt;&gt;0,G1902,0)))))))*(IF(H1902&lt;&gt;0,H1902,1))+I1902-J1902</f>
        <v>12</v>
      </c>
      <c r="L1902" s="266"/>
    </row>
    <row r="1903" spans="2:12">
      <c r="B1903" s="256"/>
      <c r="C1903" s="210"/>
      <c r="D1903" s="210"/>
      <c r="E1903" s="257"/>
      <c r="F1903" s="258"/>
      <c r="G1903" s="257"/>
      <c r="H1903" s="257"/>
      <c r="I1903" s="257"/>
      <c r="J1903" s="259"/>
      <c r="K1903" s="260">
        <f>IF(E1903*F1903*G1903&lt;&gt;0,E1903*F1903*G1903,IF(E1903*F1903&lt;&gt;0,E1903*F1903,IF(F1903*G1903&lt;&gt;0,F1903*G1903,IF(E1903*G1903&lt;&gt;0,E1903*G1903,IF(E1903&lt;&gt;0,E1903,IF(F1903&lt;&gt;0,F1903,IF(G1903&lt;&gt;0,G1903,0)))))))*(IF(H1903&lt;&gt;0,H1903,1))+I1903-J1903</f>
        <v>0</v>
      </c>
      <c r="L1903" s="210"/>
    </row>
    <row r="1904" spans="2:12">
      <c r="B1904" s="202"/>
      <c r="C1904" s="203"/>
      <c r="D1904" s="203"/>
      <c r="E1904" s="203"/>
      <c r="F1904" s="203"/>
      <c r="G1904" s="203"/>
      <c r="H1904" s="204"/>
      <c r="I1904" s="556" t="s">
        <v>1221</v>
      </c>
      <c r="J1904" s="556"/>
      <c r="K1904" s="220">
        <f>SUM(K1902:K1903)</f>
        <v>12</v>
      </c>
      <c r="L1904" s="207"/>
    </row>
    <row r="1905" spans="2:12">
      <c r="B1905" s="208"/>
      <c r="C1905" s="204"/>
      <c r="D1905" s="204"/>
      <c r="E1905" s="204"/>
      <c r="F1905" s="204"/>
      <c r="G1905" s="204"/>
      <c r="H1905" s="209"/>
      <c r="I1905" s="557" t="s">
        <v>1222</v>
      </c>
      <c r="J1905" s="557"/>
      <c r="K1905" s="221">
        <f>VLOOKUP(B1900,'BM 011'!$B$28:$R$681,5,0)</f>
        <v>69</v>
      </c>
      <c r="L1905" s="246"/>
    </row>
    <row r="1906" spans="2:12">
      <c r="B1906" s="208"/>
      <c r="C1906" s="204"/>
      <c r="D1906" s="204"/>
      <c r="E1906" s="204"/>
      <c r="F1906" s="204"/>
      <c r="G1906" s="204"/>
      <c r="H1906" s="558" t="s">
        <v>1223</v>
      </c>
      <c r="I1906" s="558"/>
      <c r="J1906" s="558"/>
      <c r="K1906" s="222">
        <v>0</v>
      </c>
      <c r="L1906" s="207"/>
    </row>
    <row r="1907" spans="2:12">
      <c r="B1907" s="208"/>
      <c r="C1907" s="204"/>
      <c r="D1907" s="204"/>
      <c r="E1907" s="204"/>
      <c r="F1907" s="204"/>
      <c r="G1907" s="204"/>
      <c r="H1907" s="558" t="s">
        <v>1892</v>
      </c>
      <c r="I1907" s="558"/>
      <c r="J1907" s="558"/>
      <c r="K1907" s="222">
        <f>TRUNC(SUMIF(C1902:C1903,H1907,K1902:K1903),2)</f>
        <v>12</v>
      </c>
      <c r="L1907" s="207"/>
    </row>
    <row r="1908" spans="2:12">
      <c r="B1908" s="213"/>
      <c r="C1908" s="214"/>
      <c r="D1908" s="214"/>
      <c r="E1908" s="214"/>
      <c r="F1908" s="214"/>
      <c r="G1908" s="214"/>
      <c r="H1908" s="559" t="s">
        <v>1224</v>
      </c>
      <c r="I1908" s="559"/>
      <c r="J1908" s="559"/>
      <c r="K1908" s="223">
        <f>IF(K1904&gt;K1905,K1904-K1905,0)</f>
        <v>0</v>
      </c>
      <c r="L1908" s="209"/>
    </row>
  </sheetData>
  <mergeCells count="436">
    <mergeCell ref="I1905:J1905"/>
    <mergeCell ref="H1906:J1906"/>
    <mergeCell ref="H1907:J1907"/>
    <mergeCell ref="H1908:J1908"/>
    <mergeCell ref="H1888:J1888"/>
    <mergeCell ref="C1890:L1890"/>
    <mergeCell ref="I1894:J1894"/>
    <mergeCell ref="I1895:J1895"/>
    <mergeCell ref="H1896:J1896"/>
    <mergeCell ref="H1897:J1897"/>
    <mergeCell ref="H1898:J1898"/>
    <mergeCell ref="C1900:L1900"/>
    <mergeCell ref="I1904:J1904"/>
    <mergeCell ref="I1875:J1875"/>
    <mergeCell ref="H1876:J1876"/>
    <mergeCell ref="H1877:J1877"/>
    <mergeCell ref="H1878:J1878"/>
    <mergeCell ref="C1880:L1880"/>
    <mergeCell ref="I1884:J1884"/>
    <mergeCell ref="I1885:J1885"/>
    <mergeCell ref="H1886:J1886"/>
    <mergeCell ref="H1887:J1887"/>
    <mergeCell ref="H1858:J1858"/>
    <mergeCell ref="C1860:L1860"/>
    <mergeCell ref="I1864:J1864"/>
    <mergeCell ref="I1865:J1865"/>
    <mergeCell ref="H1866:J1866"/>
    <mergeCell ref="H1867:J1867"/>
    <mergeCell ref="H1868:J1868"/>
    <mergeCell ref="C1870:L1870"/>
    <mergeCell ref="I1874:J1874"/>
    <mergeCell ref="I1845:J1845"/>
    <mergeCell ref="H1846:J1846"/>
    <mergeCell ref="H1847:J1847"/>
    <mergeCell ref="H1848:J1848"/>
    <mergeCell ref="C1850:L1850"/>
    <mergeCell ref="I1854:J1854"/>
    <mergeCell ref="I1855:J1855"/>
    <mergeCell ref="H1856:J1856"/>
    <mergeCell ref="H1857:J1857"/>
    <mergeCell ref="H1824:J1824"/>
    <mergeCell ref="C1826:L1826"/>
    <mergeCell ref="I1833:J1833"/>
    <mergeCell ref="I1834:J1834"/>
    <mergeCell ref="H1835:J1835"/>
    <mergeCell ref="H1836:J1836"/>
    <mergeCell ref="H1837:J1837"/>
    <mergeCell ref="C1839:L1839"/>
    <mergeCell ref="I1844:J1844"/>
    <mergeCell ref="I1808:J1808"/>
    <mergeCell ref="H1809:J1809"/>
    <mergeCell ref="H1810:J1810"/>
    <mergeCell ref="H1811:J1811"/>
    <mergeCell ref="C1813:L1813"/>
    <mergeCell ref="I1820:J1820"/>
    <mergeCell ref="I1821:J1821"/>
    <mergeCell ref="H1822:J1822"/>
    <mergeCell ref="H1823:J1823"/>
    <mergeCell ref="H1768:J1768"/>
    <mergeCell ref="C1770:L1770"/>
    <mergeCell ref="I1778:J1778"/>
    <mergeCell ref="I1779:J1779"/>
    <mergeCell ref="H1780:J1780"/>
    <mergeCell ref="H1781:J1781"/>
    <mergeCell ref="H1782:J1782"/>
    <mergeCell ref="C1784:L1784"/>
    <mergeCell ref="I1807:J1807"/>
    <mergeCell ref="I1752:J1752"/>
    <mergeCell ref="H1753:J1753"/>
    <mergeCell ref="H1754:J1754"/>
    <mergeCell ref="H1755:J1755"/>
    <mergeCell ref="C1757:L1757"/>
    <mergeCell ref="I1764:J1764"/>
    <mergeCell ref="I1765:J1765"/>
    <mergeCell ref="H1766:J1766"/>
    <mergeCell ref="H1767:J1767"/>
    <mergeCell ref="H1627:J1627"/>
    <mergeCell ref="C1629:L1629"/>
    <mergeCell ref="I1736:J1736"/>
    <mergeCell ref="I1737:J1737"/>
    <mergeCell ref="H1738:J1738"/>
    <mergeCell ref="H1739:J1739"/>
    <mergeCell ref="H1740:J1740"/>
    <mergeCell ref="C1742:L1742"/>
    <mergeCell ref="I1751:J1751"/>
    <mergeCell ref="I1601:J1601"/>
    <mergeCell ref="H1602:J1602"/>
    <mergeCell ref="H1603:J1603"/>
    <mergeCell ref="H1604:J1604"/>
    <mergeCell ref="C1606:L1606"/>
    <mergeCell ref="I1623:J1623"/>
    <mergeCell ref="I1624:J1624"/>
    <mergeCell ref="H1625:J1625"/>
    <mergeCell ref="H1626:J1626"/>
    <mergeCell ref="H1555:J1555"/>
    <mergeCell ref="C1557:L1557"/>
    <mergeCell ref="I1576:J1576"/>
    <mergeCell ref="I1577:J1577"/>
    <mergeCell ref="H1578:J1578"/>
    <mergeCell ref="H1579:J1579"/>
    <mergeCell ref="H1580:J1580"/>
    <mergeCell ref="C1582:L1582"/>
    <mergeCell ref="I1600:J1600"/>
    <mergeCell ref="I1527:J1527"/>
    <mergeCell ref="H1528:J1528"/>
    <mergeCell ref="H1529:J1529"/>
    <mergeCell ref="H1530:J1530"/>
    <mergeCell ref="C1532:L1532"/>
    <mergeCell ref="I1551:J1551"/>
    <mergeCell ref="I1552:J1552"/>
    <mergeCell ref="H1553:J1553"/>
    <mergeCell ref="H1554:J1554"/>
    <mergeCell ref="H1481:J1481"/>
    <mergeCell ref="C1483:L1483"/>
    <mergeCell ref="I1501:J1501"/>
    <mergeCell ref="I1502:J1502"/>
    <mergeCell ref="H1503:J1503"/>
    <mergeCell ref="H1504:J1504"/>
    <mergeCell ref="H1505:J1505"/>
    <mergeCell ref="C1507:L1507"/>
    <mergeCell ref="I1526:J1526"/>
    <mergeCell ref="I1438:J1438"/>
    <mergeCell ref="H1439:J1439"/>
    <mergeCell ref="H1440:J1440"/>
    <mergeCell ref="H1441:J1441"/>
    <mergeCell ref="C1443:L1443"/>
    <mergeCell ref="I1477:J1477"/>
    <mergeCell ref="I1478:J1478"/>
    <mergeCell ref="H1479:J1479"/>
    <mergeCell ref="H1480:J1480"/>
    <mergeCell ref="H1134:J1134"/>
    <mergeCell ref="C1136:L1136"/>
    <mergeCell ref="I1154:J1154"/>
    <mergeCell ref="I1155:J1155"/>
    <mergeCell ref="H1156:J1156"/>
    <mergeCell ref="H1157:J1157"/>
    <mergeCell ref="H1158:J1158"/>
    <mergeCell ref="C1160:L1160"/>
    <mergeCell ref="I1437:J1437"/>
    <mergeCell ref="I1110:J1110"/>
    <mergeCell ref="H1111:J1111"/>
    <mergeCell ref="H1112:J1112"/>
    <mergeCell ref="H1113:J1113"/>
    <mergeCell ref="C1115:L1115"/>
    <mergeCell ref="I1130:J1130"/>
    <mergeCell ref="I1131:J1131"/>
    <mergeCell ref="H1132:J1132"/>
    <mergeCell ref="H1133:J1133"/>
    <mergeCell ref="H1069:J1069"/>
    <mergeCell ref="C1071:L1071"/>
    <mergeCell ref="I1089:J1089"/>
    <mergeCell ref="I1090:J1090"/>
    <mergeCell ref="H1091:J1091"/>
    <mergeCell ref="H1092:J1092"/>
    <mergeCell ref="H1093:J1093"/>
    <mergeCell ref="C1095:L1095"/>
    <mergeCell ref="I1109:J1109"/>
    <mergeCell ref="I1044:J1044"/>
    <mergeCell ref="H1045:J1045"/>
    <mergeCell ref="H1046:J1046"/>
    <mergeCell ref="H1047:J1047"/>
    <mergeCell ref="C1049:L1049"/>
    <mergeCell ref="I1065:J1065"/>
    <mergeCell ref="I1066:J1066"/>
    <mergeCell ref="H1067:J1067"/>
    <mergeCell ref="H1068:J1068"/>
    <mergeCell ref="H1008:J1008"/>
    <mergeCell ref="C1010:L1010"/>
    <mergeCell ref="I1024:J1024"/>
    <mergeCell ref="I1025:J1025"/>
    <mergeCell ref="H1026:J1026"/>
    <mergeCell ref="H1027:J1027"/>
    <mergeCell ref="H1028:J1028"/>
    <mergeCell ref="C1030:L1030"/>
    <mergeCell ref="I1043:J1043"/>
    <mergeCell ref="I984:J984"/>
    <mergeCell ref="H985:J985"/>
    <mergeCell ref="H986:J986"/>
    <mergeCell ref="H987:J987"/>
    <mergeCell ref="C989:L989"/>
    <mergeCell ref="I1004:J1004"/>
    <mergeCell ref="I1005:J1005"/>
    <mergeCell ref="H1006:J1006"/>
    <mergeCell ref="H1007:J1007"/>
    <mergeCell ref="H727:J727"/>
    <mergeCell ref="C729:L729"/>
    <mergeCell ref="I752:J752"/>
    <mergeCell ref="I753:J753"/>
    <mergeCell ref="H754:J754"/>
    <mergeCell ref="H755:J755"/>
    <mergeCell ref="H756:J756"/>
    <mergeCell ref="C758:L758"/>
    <mergeCell ref="I983:J983"/>
    <mergeCell ref="I693:J693"/>
    <mergeCell ref="H694:J694"/>
    <mergeCell ref="H695:J695"/>
    <mergeCell ref="H696:J696"/>
    <mergeCell ref="C698:L698"/>
    <mergeCell ref="I723:J723"/>
    <mergeCell ref="I724:J724"/>
    <mergeCell ref="H725:J725"/>
    <mergeCell ref="H726:J726"/>
    <mergeCell ref="H636:J636"/>
    <mergeCell ref="C638:L638"/>
    <mergeCell ref="I663:J663"/>
    <mergeCell ref="I664:J664"/>
    <mergeCell ref="H665:J665"/>
    <mergeCell ref="H666:J666"/>
    <mergeCell ref="H667:J667"/>
    <mergeCell ref="C669:L669"/>
    <mergeCell ref="I692:J692"/>
    <mergeCell ref="I604:J604"/>
    <mergeCell ref="H605:J605"/>
    <mergeCell ref="H606:J606"/>
    <mergeCell ref="H607:J607"/>
    <mergeCell ref="C609:L609"/>
    <mergeCell ref="I632:J632"/>
    <mergeCell ref="I633:J633"/>
    <mergeCell ref="H634:J634"/>
    <mergeCell ref="H635:J635"/>
    <mergeCell ref="H548:J548"/>
    <mergeCell ref="C550:L550"/>
    <mergeCell ref="I573:J573"/>
    <mergeCell ref="I574:J574"/>
    <mergeCell ref="H575:J575"/>
    <mergeCell ref="H576:J576"/>
    <mergeCell ref="H577:J577"/>
    <mergeCell ref="C579:L579"/>
    <mergeCell ref="I603:J603"/>
    <mergeCell ref="I516:J516"/>
    <mergeCell ref="H517:J517"/>
    <mergeCell ref="H518:J518"/>
    <mergeCell ref="H519:J519"/>
    <mergeCell ref="C521:L521"/>
    <mergeCell ref="I544:J544"/>
    <mergeCell ref="I545:J545"/>
    <mergeCell ref="H546:J546"/>
    <mergeCell ref="H547:J547"/>
    <mergeCell ref="H469:J469"/>
    <mergeCell ref="C471:L471"/>
    <mergeCell ref="I478:J478"/>
    <mergeCell ref="I479:J479"/>
    <mergeCell ref="H480:J480"/>
    <mergeCell ref="H481:J481"/>
    <mergeCell ref="H482:J482"/>
    <mergeCell ref="B484:L484"/>
    <mergeCell ref="I515:J515"/>
    <mergeCell ref="I455:J455"/>
    <mergeCell ref="H456:J456"/>
    <mergeCell ref="H457:J457"/>
    <mergeCell ref="H458:J458"/>
    <mergeCell ref="B460:L460"/>
    <mergeCell ref="I465:J465"/>
    <mergeCell ref="I466:J466"/>
    <mergeCell ref="H467:J467"/>
    <mergeCell ref="H468:J468"/>
    <mergeCell ref="H436:J436"/>
    <mergeCell ref="B438:L438"/>
    <mergeCell ref="I443:J443"/>
    <mergeCell ref="I444:J444"/>
    <mergeCell ref="H445:J445"/>
    <mergeCell ref="H446:J446"/>
    <mergeCell ref="H447:J447"/>
    <mergeCell ref="B449:L449"/>
    <mergeCell ref="I454:J454"/>
    <mergeCell ref="I422:J422"/>
    <mergeCell ref="H423:J423"/>
    <mergeCell ref="H424:J424"/>
    <mergeCell ref="H425:J425"/>
    <mergeCell ref="B427:L427"/>
    <mergeCell ref="I432:J432"/>
    <mergeCell ref="I433:J433"/>
    <mergeCell ref="H434:J434"/>
    <mergeCell ref="H435:J435"/>
    <mergeCell ref="H359:J359"/>
    <mergeCell ref="B361:L361"/>
    <mergeCell ref="I409:J409"/>
    <mergeCell ref="I410:J410"/>
    <mergeCell ref="H411:J411"/>
    <mergeCell ref="H412:J412"/>
    <mergeCell ref="H413:J413"/>
    <mergeCell ref="B415:L415"/>
    <mergeCell ref="I421:J421"/>
    <mergeCell ref="I344:J344"/>
    <mergeCell ref="H345:J345"/>
    <mergeCell ref="H346:J346"/>
    <mergeCell ref="H347:J347"/>
    <mergeCell ref="B349:L349"/>
    <mergeCell ref="I355:J355"/>
    <mergeCell ref="I356:J356"/>
    <mergeCell ref="H357:J357"/>
    <mergeCell ref="H358:J358"/>
    <mergeCell ref="H325:J325"/>
    <mergeCell ref="B327:L327"/>
    <mergeCell ref="I332:J332"/>
    <mergeCell ref="I333:J333"/>
    <mergeCell ref="H334:J334"/>
    <mergeCell ref="H335:J335"/>
    <mergeCell ref="H336:J336"/>
    <mergeCell ref="B338:L338"/>
    <mergeCell ref="I343:J343"/>
    <mergeCell ref="I311:J311"/>
    <mergeCell ref="H312:J312"/>
    <mergeCell ref="H313:J313"/>
    <mergeCell ref="H314:J314"/>
    <mergeCell ref="B316:L316"/>
    <mergeCell ref="I321:J321"/>
    <mergeCell ref="I322:J322"/>
    <mergeCell ref="H323:J323"/>
    <mergeCell ref="H324:J324"/>
    <mergeCell ref="H291:J291"/>
    <mergeCell ref="B293:L293"/>
    <mergeCell ref="I298:J298"/>
    <mergeCell ref="I299:J299"/>
    <mergeCell ref="H300:J300"/>
    <mergeCell ref="H301:J301"/>
    <mergeCell ref="H302:J302"/>
    <mergeCell ref="B304:L304"/>
    <mergeCell ref="I310:J310"/>
    <mergeCell ref="I276:J276"/>
    <mergeCell ref="H277:J277"/>
    <mergeCell ref="H278:J278"/>
    <mergeCell ref="H279:J279"/>
    <mergeCell ref="B281:L281"/>
    <mergeCell ref="I287:J287"/>
    <mergeCell ref="I288:J288"/>
    <mergeCell ref="H289:J289"/>
    <mergeCell ref="H290:J290"/>
    <mergeCell ref="H207:J207"/>
    <mergeCell ref="B209:L209"/>
    <mergeCell ref="I214:J214"/>
    <mergeCell ref="I215:J215"/>
    <mergeCell ref="H216:J216"/>
    <mergeCell ref="H217:J217"/>
    <mergeCell ref="H218:J218"/>
    <mergeCell ref="B220:L220"/>
    <mergeCell ref="I275:J275"/>
    <mergeCell ref="I193:J193"/>
    <mergeCell ref="H194:J194"/>
    <mergeCell ref="H195:J195"/>
    <mergeCell ref="H196:J196"/>
    <mergeCell ref="B198:L198"/>
    <mergeCell ref="I203:J203"/>
    <mergeCell ref="I204:J204"/>
    <mergeCell ref="H205:J205"/>
    <mergeCell ref="H206:J206"/>
    <mergeCell ref="H176:J176"/>
    <mergeCell ref="B178:L178"/>
    <mergeCell ref="I182:J182"/>
    <mergeCell ref="I183:J183"/>
    <mergeCell ref="H184:J184"/>
    <mergeCell ref="H185:J185"/>
    <mergeCell ref="H186:J186"/>
    <mergeCell ref="B188:L188"/>
    <mergeCell ref="I192:J192"/>
    <mergeCell ref="I162:J162"/>
    <mergeCell ref="H163:J163"/>
    <mergeCell ref="H164:J164"/>
    <mergeCell ref="H165:J165"/>
    <mergeCell ref="B167:L167"/>
    <mergeCell ref="I172:J172"/>
    <mergeCell ref="I173:J173"/>
    <mergeCell ref="H174:J174"/>
    <mergeCell ref="H175:J175"/>
    <mergeCell ref="H135:J135"/>
    <mergeCell ref="B137:L137"/>
    <mergeCell ref="I146:J146"/>
    <mergeCell ref="I147:J147"/>
    <mergeCell ref="H148:J148"/>
    <mergeCell ref="H149:J149"/>
    <mergeCell ref="H150:J150"/>
    <mergeCell ref="B152:L152"/>
    <mergeCell ref="I161:J161"/>
    <mergeCell ref="I121:J121"/>
    <mergeCell ref="H122:J122"/>
    <mergeCell ref="H123:J123"/>
    <mergeCell ref="H124:J124"/>
    <mergeCell ref="B126:L126"/>
    <mergeCell ref="I131:J131"/>
    <mergeCell ref="I132:J132"/>
    <mergeCell ref="H133:J133"/>
    <mergeCell ref="H134:J134"/>
    <mergeCell ref="H104:J104"/>
    <mergeCell ref="B106:L106"/>
    <mergeCell ref="I110:J110"/>
    <mergeCell ref="I111:J111"/>
    <mergeCell ref="H112:J112"/>
    <mergeCell ref="H113:J113"/>
    <mergeCell ref="H114:J114"/>
    <mergeCell ref="B116:L116"/>
    <mergeCell ref="I120:J120"/>
    <mergeCell ref="I91:J91"/>
    <mergeCell ref="H92:J92"/>
    <mergeCell ref="H93:J93"/>
    <mergeCell ref="H94:J94"/>
    <mergeCell ref="B96:L96"/>
    <mergeCell ref="I100:J100"/>
    <mergeCell ref="I101:J101"/>
    <mergeCell ref="H102:J102"/>
    <mergeCell ref="H103:J103"/>
    <mergeCell ref="H74:J74"/>
    <mergeCell ref="B76:L76"/>
    <mergeCell ref="I80:J80"/>
    <mergeCell ref="I81:J81"/>
    <mergeCell ref="H82:J82"/>
    <mergeCell ref="H83:J83"/>
    <mergeCell ref="H84:J84"/>
    <mergeCell ref="B86:L86"/>
    <mergeCell ref="I90:J90"/>
    <mergeCell ref="I55:J55"/>
    <mergeCell ref="H56:J56"/>
    <mergeCell ref="H57:J57"/>
    <mergeCell ref="H58:J58"/>
    <mergeCell ref="C60:K60"/>
    <mergeCell ref="I70:J70"/>
    <mergeCell ref="I71:J71"/>
    <mergeCell ref="H72:J72"/>
    <mergeCell ref="H73:J73"/>
    <mergeCell ref="H27:J27"/>
    <mergeCell ref="C29:L29"/>
    <mergeCell ref="I44:J44"/>
    <mergeCell ref="I45:J45"/>
    <mergeCell ref="H46:J46"/>
    <mergeCell ref="H47:J47"/>
    <mergeCell ref="H48:J48"/>
    <mergeCell ref="B50:L50"/>
    <mergeCell ref="I54:J54"/>
    <mergeCell ref="B2:L2"/>
    <mergeCell ref="B3:L3"/>
    <mergeCell ref="B4:L4"/>
    <mergeCell ref="B6:L6"/>
    <mergeCell ref="C8:L8"/>
    <mergeCell ref="I23:J23"/>
    <mergeCell ref="I24:J24"/>
    <mergeCell ref="H25:J25"/>
    <mergeCell ref="H26:J26"/>
  </mergeCells>
  <printOptions horizontalCentered="1"/>
  <pageMargins left="0.51180555555555596" right="0.51180555555555596" top="0.78749999999999998" bottom="0.98402777777777795" header="0.511811023622047" footer="0.511811023622047"/>
  <pageSetup paperSize="9" scale="39" fitToHeight="16"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627"/>
  <sheetViews>
    <sheetView tabSelected="1" view="pageBreakPreview" topLeftCell="B1" zoomScale="115" zoomScaleNormal="70" zoomScaleSheetLayoutView="115" zoomScalePageLayoutView="75" workbookViewId="0">
      <selection activeCell="B621" sqref="B621:G621"/>
    </sheetView>
  </sheetViews>
  <sheetFormatPr defaultColWidth="9.109375" defaultRowHeight="14.4"/>
  <cols>
    <col min="1" max="1" width="3.6640625" style="2" hidden="1" customWidth="1"/>
    <col min="2" max="2" width="11.33203125" style="2" customWidth="1"/>
    <col min="3" max="3" width="67.33203125" style="2" customWidth="1"/>
    <col min="4" max="4" width="14.77734375" style="4" customWidth="1"/>
    <col min="5" max="5" width="4.44140625" style="4" hidden="1" customWidth="1"/>
    <col min="6" max="6" width="12.88671875" style="4" customWidth="1"/>
    <col min="7" max="7" width="18.44140625" style="5" customWidth="1"/>
    <col min="8" max="9" width="23.5546875" style="6" hidden="1" customWidth="1"/>
    <col min="10" max="10" width="19.77734375" style="6" customWidth="1"/>
    <col min="11" max="11" width="3" style="2" customWidth="1"/>
    <col min="12" max="12" width="22.6640625" style="2" customWidth="1"/>
    <col min="13" max="13" width="21.44140625" style="2" customWidth="1"/>
    <col min="14" max="14" width="17.109375" style="2" customWidth="1"/>
    <col min="15" max="16373" width="9.109375" style="2"/>
    <col min="16374" max="16384" width="11.5546875" style="2" customWidth="1"/>
  </cols>
  <sheetData>
    <row r="1" spans="2:14" ht="6" customHeight="1" thickBot="1"/>
    <row r="2" spans="2:14" ht="29.25" customHeight="1">
      <c r="B2" s="576"/>
      <c r="C2" s="576"/>
      <c r="D2" s="576"/>
      <c r="E2" s="576"/>
      <c r="F2" s="576"/>
      <c r="G2" s="576"/>
      <c r="H2" s="576"/>
      <c r="I2" s="576"/>
      <c r="J2" s="576"/>
      <c r="K2" s="7"/>
    </row>
    <row r="3" spans="2:14" ht="29.25" customHeight="1">
      <c r="B3" s="577" t="s">
        <v>2332</v>
      </c>
      <c r="C3" s="577"/>
      <c r="D3" s="577"/>
      <c r="E3" s="577"/>
      <c r="F3" s="577"/>
      <c r="G3" s="577"/>
      <c r="H3" s="577"/>
      <c r="I3" s="577"/>
      <c r="J3" s="577"/>
      <c r="K3" s="7"/>
      <c r="N3" s="8"/>
    </row>
    <row r="4" spans="2:14" ht="29.25" customHeight="1">
      <c r="B4" s="578"/>
      <c r="C4" s="578"/>
      <c r="D4" s="578"/>
      <c r="E4" s="578"/>
      <c r="F4" s="578"/>
      <c r="G4" s="578"/>
      <c r="H4" s="578"/>
      <c r="I4" s="578"/>
      <c r="J4" s="578"/>
      <c r="K4" s="9"/>
    </row>
    <row r="5" spans="2:14" ht="8.25" customHeight="1">
      <c r="B5" s="494"/>
      <c r="C5" s="494"/>
      <c r="D5" s="494"/>
      <c r="E5" s="494"/>
      <c r="F5" s="494"/>
      <c r="G5" s="494"/>
      <c r="H5" s="494"/>
      <c r="I5" s="494"/>
      <c r="J5" s="494"/>
      <c r="K5" s="9"/>
    </row>
    <row r="6" spans="2:14" ht="38.25" customHeight="1">
      <c r="B6" s="579" t="s">
        <v>2041</v>
      </c>
      <c r="C6" s="579"/>
      <c r="D6" s="579"/>
      <c r="E6" s="579"/>
      <c r="F6" s="579"/>
      <c r="G6" s="579"/>
      <c r="H6" s="579"/>
      <c r="I6" s="579"/>
      <c r="J6" s="579"/>
      <c r="K6" s="7"/>
    </row>
    <row r="7" spans="2:14" ht="8.25" customHeight="1">
      <c r="B7" s="496"/>
      <c r="C7" s="496"/>
      <c r="D7" s="496"/>
      <c r="E7" s="496"/>
      <c r="F7" s="496"/>
      <c r="G7" s="496"/>
      <c r="H7" s="496"/>
      <c r="I7" s="496"/>
      <c r="J7" s="496"/>
      <c r="K7" s="7"/>
    </row>
    <row r="8" spans="2:14" s="10" customFormat="1" ht="6" customHeight="1">
      <c r="B8" s="521"/>
      <c r="C8" s="521"/>
      <c r="D8" s="521"/>
      <c r="E8" s="521"/>
      <c r="F8" s="521"/>
      <c r="G8" s="521"/>
      <c r="H8" s="521"/>
      <c r="I8" s="521"/>
      <c r="J8" s="521"/>
      <c r="K8" s="11"/>
      <c r="L8" s="25"/>
    </row>
    <row r="9" spans="2:14" s="10" customFormat="1" ht="5.25" customHeight="1" thickBot="1">
      <c r="B9" s="575"/>
      <c r="C9" s="575"/>
      <c r="D9" s="575"/>
      <c r="E9" s="575"/>
      <c r="F9" s="575"/>
      <c r="G9" s="575"/>
      <c r="H9" s="575"/>
      <c r="I9" s="575"/>
      <c r="J9" s="575"/>
    </row>
    <row r="10" spans="2:14" ht="2.25" customHeight="1">
      <c r="B10" s="442"/>
      <c r="C10" s="443"/>
      <c r="D10" s="444"/>
      <c r="E10" s="444"/>
      <c r="F10" s="444"/>
      <c r="G10" s="443"/>
      <c r="H10" s="445"/>
      <c r="I10" s="445"/>
      <c r="J10" s="446"/>
    </row>
    <row r="11" spans="2:14" ht="43.5" customHeight="1">
      <c r="B11" s="46" t="s">
        <v>37</v>
      </c>
      <c r="C11" s="447" t="s">
        <v>38</v>
      </c>
      <c r="D11" s="447" t="s">
        <v>39</v>
      </c>
      <c r="E11" s="448"/>
      <c r="F11" s="449" t="s">
        <v>2042</v>
      </c>
      <c r="G11" s="57" t="s">
        <v>2203</v>
      </c>
      <c r="H11" s="347"/>
      <c r="I11" s="347"/>
      <c r="J11" s="427" t="s">
        <v>2202</v>
      </c>
      <c r="L11" s="50"/>
      <c r="M11" s="50"/>
    </row>
    <row r="12" spans="2:14" s="34" customFormat="1" ht="14.25" customHeight="1">
      <c r="B12" s="450" t="s">
        <v>57</v>
      </c>
      <c r="C12" s="451" t="s">
        <v>58</v>
      </c>
      <c r="D12" s="452"/>
      <c r="E12" s="453"/>
      <c r="F12" s="454"/>
      <c r="G12" s="454"/>
      <c r="H12" s="453"/>
      <c r="I12" s="453"/>
      <c r="J12" s="455"/>
      <c r="L12" s="65"/>
    </row>
    <row r="13" spans="2:14" s="34" customFormat="1" ht="14.25" customHeight="1">
      <c r="B13" s="456" t="s">
        <v>59</v>
      </c>
      <c r="C13" s="457" t="s">
        <v>60</v>
      </c>
      <c r="D13" s="458"/>
      <c r="E13" s="419"/>
      <c r="F13" s="419"/>
      <c r="G13" s="428"/>
      <c r="H13" s="459"/>
      <c r="I13" s="459"/>
      <c r="J13" s="460"/>
    </row>
    <row r="14" spans="2:14" s="34" customFormat="1" ht="14.25" customHeight="1">
      <c r="B14" s="461" t="s">
        <v>61</v>
      </c>
      <c r="C14" s="462" t="s">
        <v>2043</v>
      </c>
      <c r="D14" s="463" t="s">
        <v>63</v>
      </c>
      <c r="E14" s="414"/>
      <c r="F14" s="400">
        <v>1</v>
      </c>
      <c r="G14" s="415"/>
      <c r="H14" s="416"/>
      <c r="I14" s="416"/>
      <c r="J14" s="464"/>
    </row>
    <row r="15" spans="2:14" s="34" customFormat="1" ht="14.25" customHeight="1">
      <c r="B15" s="456" t="s">
        <v>64</v>
      </c>
      <c r="C15" s="457" t="s">
        <v>65</v>
      </c>
      <c r="D15" s="458"/>
      <c r="E15" s="419"/>
      <c r="F15" s="465"/>
      <c r="G15" s="428"/>
      <c r="H15" s="459"/>
      <c r="I15" s="459"/>
      <c r="J15" s="460"/>
    </row>
    <row r="16" spans="2:14" s="34" customFormat="1" ht="14.25" customHeight="1">
      <c r="B16" s="461" t="s">
        <v>66</v>
      </c>
      <c r="C16" s="462" t="s">
        <v>2044</v>
      </c>
      <c r="D16" s="463" t="s">
        <v>68</v>
      </c>
      <c r="E16" s="414"/>
      <c r="F16" s="400">
        <v>6</v>
      </c>
      <c r="G16" s="415"/>
      <c r="H16" s="416"/>
      <c r="I16" s="416"/>
      <c r="J16" s="464"/>
    </row>
    <row r="17" spans="2:14" s="34" customFormat="1" ht="14.25" customHeight="1">
      <c r="B17" s="461" t="s">
        <v>69</v>
      </c>
      <c r="C17" s="462" t="s">
        <v>2045</v>
      </c>
      <c r="D17" s="463" t="s">
        <v>1226</v>
      </c>
      <c r="E17" s="414"/>
      <c r="F17" s="400">
        <v>1</v>
      </c>
      <c r="G17" s="415"/>
      <c r="H17" s="416"/>
      <c r="I17" s="416"/>
      <c r="J17" s="464"/>
    </row>
    <row r="18" spans="2:14" s="34" customFormat="1" ht="106.8" customHeight="1">
      <c r="B18" s="461" t="s">
        <v>71</v>
      </c>
      <c r="C18" s="462" t="s">
        <v>72</v>
      </c>
      <c r="D18" s="463" t="s">
        <v>2204</v>
      </c>
      <c r="E18" s="414"/>
      <c r="F18" s="400">
        <v>1</v>
      </c>
      <c r="G18" s="415"/>
      <c r="H18" s="416"/>
      <c r="I18" s="416"/>
      <c r="J18" s="464"/>
    </row>
    <row r="19" spans="2:14" s="34" customFormat="1" ht="14.25" customHeight="1">
      <c r="B19" s="461" t="s">
        <v>73</v>
      </c>
      <c r="C19" s="462" t="s">
        <v>2046</v>
      </c>
      <c r="D19" s="463" t="s">
        <v>68</v>
      </c>
      <c r="E19" s="414"/>
      <c r="F19" s="400">
        <v>6</v>
      </c>
      <c r="G19" s="415"/>
      <c r="H19" s="416"/>
      <c r="I19" s="416"/>
      <c r="J19" s="464"/>
    </row>
    <row r="20" spans="2:14" s="34" customFormat="1" ht="14.25" customHeight="1">
      <c r="B20" s="466" t="s">
        <v>75</v>
      </c>
      <c r="C20" s="417" t="s">
        <v>2207</v>
      </c>
      <c r="D20" s="418"/>
      <c r="E20" s="419"/>
      <c r="F20" s="590"/>
      <c r="G20" s="590"/>
      <c r="H20" s="590"/>
      <c r="I20" s="591"/>
      <c r="J20" s="592"/>
      <c r="K20" s="424"/>
      <c r="L20" s="424"/>
      <c r="M20" s="597">
        <f>SUM(M21:N40)</f>
        <v>0</v>
      </c>
      <c r="N20" s="597"/>
    </row>
    <row r="21" spans="2:14" s="34" customFormat="1" ht="14.25" customHeight="1">
      <c r="B21" s="461" t="s">
        <v>77</v>
      </c>
      <c r="C21" s="420" t="s">
        <v>2208</v>
      </c>
      <c r="D21" s="421" t="s">
        <v>79</v>
      </c>
      <c r="E21" s="414"/>
      <c r="F21" s="621">
        <v>1056.79</v>
      </c>
      <c r="G21" s="422"/>
      <c r="H21" s="422"/>
      <c r="I21" s="423"/>
      <c r="J21" s="467"/>
      <c r="K21" s="425"/>
      <c r="L21" s="425"/>
      <c r="M21" s="596">
        <f t="shared" ref="M21:M35" si="0">F21*I21</f>
        <v>0</v>
      </c>
      <c r="N21" s="596"/>
    </row>
    <row r="22" spans="2:14" s="34" customFormat="1" ht="14.25" customHeight="1">
      <c r="B22" s="461" t="s">
        <v>80</v>
      </c>
      <c r="C22" s="420" t="s">
        <v>2209</v>
      </c>
      <c r="D22" s="421" t="s">
        <v>79</v>
      </c>
      <c r="E22" s="414"/>
      <c r="F22" s="621">
        <v>1056.79</v>
      </c>
      <c r="G22" s="422"/>
      <c r="H22" s="422"/>
      <c r="I22" s="423"/>
      <c r="J22" s="467"/>
      <c r="K22" s="425"/>
      <c r="L22" s="425"/>
      <c r="M22" s="596">
        <f t="shared" si="0"/>
        <v>0</v>
      </c>
      <c r="N22" s="596"/>
    </row>
    <row r="23" spans="2:14" s="34" customFormat="1" ht="14.25" customHeight="1">
      <c r="B23" s="461" t="s">
        <v>83</v>
      </c>
      <c r="C23" s="420" t="s">
        <v>2210</v>
      </c>
      <c r="D23" s="421" t="s">
        <v>79</v>
      </c>
      <c r="E23" s="414"/>
      <c r="F23" s="621">
        <v>1056.79</v>
      </c>
      <c r="G23" s="422"/>
      <c r="H23" s="422"/>
      <c r="I23" s="423"/>
      <c r="J23" s="467"/>
      <c r="K23" s="425"/>
      <c r="L23" s="425"/>
      <c r="M23" s="596">
        <f t="shared" si="0"/>
        <v>0</v>
      </c>
      <c r="N23" s="596"/>
    </row>
    <row r="24" spans="2:14" s="34" customFormat="1" ht="14.25" customHeight="1">
      <c r="B24" s="461" t="s">
        <v>85</v>
      </c>
      <c r="C24" s="420" t="s">
        <v>2211</v>
      </c>
      <c r="D24" s="421" t="s">
        <v>79</v>
      </c>
      <c r="E24" s="414"/>
      <c r="F24" s="621">
        <v>1056.79</v>
      </c>
      <c r="G24" s="422"/>
      <c r="H24" s="422"/>
      <c r="I24" s="423"/>
      <c r="J24" s="467"/>
      <c r="K24" s="425"/>
      <c r="L24" s="425"/>
      <c r="M24" s="596">
        <f t="shared" si="0"/>
        <v>0</v>
      </c>
      <c r="N24" s="596"/>
    </row>
    <row r="25" spans="2:14" s="34" customFormat="1" ht="14.25" customHeight="1">
      <c r="B25" s="461" t="s">
        <v>87</v>
      </c>
      <c r="C25" s="420" t="s">
        <v>2212</v>
      </c>
      <c r="D25" s="421" t="s">
        <v>79</v>
      </c>
      <c r="E25" s="414"/>
      <c r="F25" s="621">
        <v>1056.79</v>
      </c>
      <c r="G25" s="422"/>
      <c r="H25" s="422"/>
      <c r="I25" s="423"/>
      <c r="J25" s="467"/>
      <c r="K25" s="425"/>
      <c r="L25" s="425"/>
      <c r="M25" s="596">
        <f t="shared" si="0"/>
        <v>0</v>
      </c>
      <c r="N25" s="596"/>
    </row>
    <row r="26" spans="2:14" s="34" customFormat="1" ht="14.25" customHeight="1">
      <c r="B26" s="461" t="s">
        <v>89</v>
      </c>
      <c r="C26" s="420" t="s">
        <v>2213</v>
      </c>
      <c r="D26" s="421" t="s">
        <v>79</v>
      </c>
      <c r="E26" s="414"/>
      <c r="F26" s="621">
        <v>1056.79</v>
      </c>
      <c r="G26" s="422"/>
      <c r="H26" s="422"/>
      <c r="I26" s="423"/>
      <c r="J26" s="467"/>
      <c r="K26" s="425"/>
      <c r="L26" s="425"/>
      <c r="M26" s="596">
        <f t="shared" si="0"/>
        <v>0</v>
      </c>
      <c r="N26" s="596"/>
    </row>
    <row r="27" spans="2:14" s="34" customFormat="1" ht="14.25" customHeight="1">
      <c r="B27" s="461" t="s">
        <v>91</v>
      </c>
      <c r="C27" s="420" t="s">
        <v>2214</v>
      </c>
      <c r="D27" s="421" t="s">
        <v>79</v>
      </c>
      <c r="E27" s="414"/>
      <c r="F27" s="621">
        <v>1056.79</v>
      </c>
      <c r="G27" s="422"/>
      <c r="H27" s="422"/>
      <c r="I27" s="423"/>
      <c r="J27" s="467"/>
      <c r="K27" s="425"/>
      <c r="L27" s="425"/>
      <c r="M27" s="596">
        <f t="shared" si="0"/>
        <v>0</v>
      </c>
      <c r="N27" s="596"/>
    </row>
    <row r="28" spans="2:14" s="34" customFormat="1" ht="14.25" customHeight="1">
      <c r="B28" s="461" t="s">
        <v>2215</v>
      </c>
      <c r="C28" s="420" t="s">
        <v>2216</v>
      </c>
      <c r="D28" s="421" t="s">
        <v>79</v>
      </c>
      <c r="E28" s="414"/>
      <c r="F28" s="621">
        <v>1056.79</v>
      </c>
      <c r="G28" s="422"/>
      <c r="H28" s="422"/>
      <c r="I28" s="423"/>
      <c r="J28" s="467"/>
      <c r="K28" s="425"/>
      <c r="L28" s="425"/>
      <c r="M28" s="596">
        <f t="shared" si="0"/>
        <v>0</v>
      </c>
      <c r="N28" s="596"/>
    </row>
    <row r="29" spans="2:14" s="34" customFormat="1" ht="14.25" customHeight="1">
      <c r="B29" s="461" t="s">
        <v>2217</v>
      </c>
      <c r="C29" s="420" t="s">
        <v>2218</v>
      </c>
      <c r="D29" s="421" t="s">
        <v>79</v>
      </c>
      <c r="E29" s="414"/>
      <c r="F29" s="621">
        <v>1056.79</v>
      </c>
      <c r="G29" s="422"/>
      <c r="H29" s="422"/>
      <c r="I29" s="423"/>
      <c r="J29" s="467"/>
      <c r="K29" s="425"/>
      <c r="L29" s="425"/>
      <c r="M29" s="596">
        <f t="shared" si="0"/>
        <v>0</v>
      </c>
      <c r="N29" s="596"/>
    </row>
    <row r="30" spans="2:14" s="34" customFormat="1" ht="14.25" customHeight="1">
      <c r="B30" s="461" t="s">
        <v>2219</v>
      </c>
      <c r="C30" s="420" t="s">
        <v>2220</v>
      </c>
      <c r="D30" s="421" t="s">
        <v>79</v>
      </c>
      <c r="E30" s="414"/>
      <c r="F30" s="621">
        <v>1056.79</v>
      </c>
      <c r="G30" s="422"/>
      <c r="H30" s="422"/>
      <c r="I30" s="423"/>
      <c r="J30" s="467"/>
      <c r="K30" s="425"/>
      <c r="L30" s="425"/>
      <c r="M30" s="596">
        <f t="shared" si="0"/>
        <v>0</v>
      </c>
      <c r="N30" s="596"/>
    </row>
    <row r="31" spans="2:14" s="34" customFormat="1" ht="14.25" customHeight="1">
      <c r="B31" s="461" t="s">
        <v>2221</v>
      </c>
      <c r="C31" s="420" t="s">
        <v>2222</v>
      </c>
      <c r="D31" s="421" t="s">
        <v>79</v>
      </c>
      <c r="E31" s="414"/>
      <c r="F31" s="621">
        <v>1056.79</v>
      </c>
      <c r="G31" s="422"/>
      <c r="H31" s="422"/>
      <c r="I31" s="423"/>
      <c r="J31" s="467"/>
      <c r="K31" s="425"/>
      <c r="L31" s="425"/>
      <c r="M31" s="596">
        <f t="shared" si="0"/>
        <v>0</v>
      </c>
      <c r="N31" s="596"/>
    </row>
    <row r="32" spans="2:14" s="34" customFormat="1" ht="14.25" customHeight="1">
      <c r="B32" s="461" t="s">
        <v>2223</v>
      </c>
      <c r="C32" s="420" t="s">
        <v>2224</v>
      </c>
      <c r="D32" s="421" t="s">
        <v>79</v>
      </c>
      <c r="E32" s="414"/>
      <c r="F32" s="621">
        <v>1056.79</v>
      </c>
      <c r="G32" s="422"/>
      <c r="H32" s="422"/>
      <c r="I32" s="423"/>
      <c r="J32" s="467"/>
      <c r="K32" s="425"/>
      <c r="L32" s="425"/>
      <c r="M32" s="596">
        <f t="shared" si="0"/>
        <v>0</v>
      </c>
      <c r="N32" s="596"/>
    </row>
    <row r="33" spans="2:14" s="34" customFormat="1" ht="14.25" customHeight="1">
      <c r="B33" s="461" t="s">
        <v>2225</v>
      </c>
      <c r="C33" s="420" t="s">
        <v>2226</v>
      </c>
      <c r="D33" s="421" t="s">
        <v>79</v>
      </c>
      <c r="E33" s="414"/>
      <c r="F33" s="621">
        <v>1056.79</v>
      </c>
      <c r="G33" s="422"/>
      <c r="H33" s="422"/>
      <c r="I33" s="423"/>
      <c r="J33" s="467"/>
      <c r="K33" s="425"/>
      <c r="L33" s="425"/>
      <c r="M33" s="596">
        <f t="shared" si="0"/>
        <v>0</v>
      </c>
      <c r="N33" s="596"/>
    </row>
    <row r="34" spans="2:14" s="34" customFormat="1" ht="14.25" customHeight="1">
      <c r="B34" s="461" t="s">
        <v>2227</v>
      </c>
      <c r="C34" s="420" t="s">
        <v>2228</v>
      </c>
      <c r="D34" s="421" t="s">
        <v>79</v>
      </c>
      <c r="E34" s="414"/>
      <c r="F34" s="621">
        <v>1056.79</v>
      </c>
      <c r="G34" s="422"/>
      <c r="H34" s="422"/>
      <c r="I34" s="423"/>
      <c r="J34" s="467"/>
      <c r="K34" s="425"/>
      <c r="L34" s="425"/>
      <c r="M34" s="596">
        <f t="shared" si="0"/>
        <v>0</v>
      </c>
      <c r="N34" s="596"/>
    </row>
    <row r="35" spans="2:14" s="34" customFormat="1" ht="14.25" customHeight="1">
      <c r="B35" s="461" t="s">
        <v>2229</v>
      </c>
      <c r="C35" s="420" t="s">
        <v>2230</v>
      </c>
      <c r="D35" s="421" t="s">
        <v>79</v>
      </c>
      <c r="E35" s="414"/>
      <c r="F35" s="621">
        <v>1056.79</v>
      </c>
      <c r="G35" s="422"/>
      <c r="H35" s="422"/>
      <c r="I35" s="423"/>
      <c r="J35" s="467"/>
      <c r="K35" s="425"/>
      <c r="L35" s="425"/>
      <c r="M35" s="596">
        <f t="shared" si="0"/>
        <v>0</v>
      </c>
      <c r="N35" s="596"/>
    </row>
    <row r="36" spans="2:14" s="34" customFormat="1" ht="14.25" customHeight="1">
      <c r="B36" s="456" t="s">
        <v>93</v>
      </c>
      <c r="C36" s="457" t="s">
        <v>76</v>
      </c>
      <c r="D36" s="458"/>
      <c r="E36" s="419"/>
      <c r="F36" s="465"/>
      <c r="G36" s="428"/>
      <c r="H36" s="459"/>
      <c r="I36" s="459"/>
      <c r="J36" s="460"/>
    </row>
    <row r="37" spans="2:14" s="34" customFormat="1" ht="14.25" customHeight="1">
      <c r="B37" s="468" t="s">
        <v>95</v>
      </c>
      <c r="C37" s="462" t="s">
        <v>78</v>
      </c>
      <c r="D37" s="421" t="s">
        <v>79</v>
      </c>
      <c r="E37" s="469"/>
      <c r="F37" s="401">
        <v>280</v>
      </c>
      <c r="G37" s="415"/>
      <c r="H37" s="416"/>
      <c r="I37" s="416"/>
      <c r="J37" s="464"/>
    </row>
    <row r="38" spans="2:14" s="34" customFormat="1" ht="21.6" customHeight="1">
      <c r="B38" s="468" t="s">
        <v>97</v>
      </c>
      <c r="C38" s="462" t="s">
        <v>81</v>
      </c>
      <c r="D38" s="463" t="s">
        <v>124</v>
      </c>
      <c r="E38" s="469"/>
      <c r="F38" s="400">
        <v>460</v>
      </c>
      <c r="G38" s="415"/>
      <c r="H38" s="416"/>
      <c r="I38" s="416"/>
      <c r="J38" s="464"/>
    </row>
    <row r="39" spans="2:14" s="34" customFormat="1" ht="21.6" customHeight="1">
      <c r="B39" s="468" t="s">
        <v>100</v>
      </c>
      <c r="C39" s="462" t="s">
        <v>84</v>
      </c>
      <c r="D39" s="421" t="s">
        <v>79</v>
      </c>
      <c r="E39" s="469"/>
      <c r="F39" s="402">
        <v>15</v>
      </c>
      <c r="G39" s="415"/>
      <c r="H39" s="416"/>
      <c r="I39" s="416"/>
      <c r="J39" s="464"/>
    </row>
    <row r="40" spans="2:14" s="34" customFormat="1" ht="26.4" customHeight="1">
      <c r="B40" s="468" t="s">
        <v>102</v>
      </c>
      <c r="C40" s="462" t="s">
        <v>86</v>
      </c>
      <c r="D40" s="421" t="s">
        <v>79</v>
      </c>
      <c r="E40" s="469"/>
      <c r="F40" s="402">
        <v>15</v>
      </c>
      <c r="G40" s="415"/>
      <c r="H40" s="416"/>
      <c r="I40" s="416"/>
      <c r="J40" s="464"/>
    </row>
    <row r="41" spans="2:14" s="34" customFormat="1" ht="21.6" customHeight="1">
      <c r="B41" s="468" t="s">
        <v>104</v>
      </c>
      <c r="C41" s="462" t="s">
        <v>88</v>
      </c>
      <c r="D41" s="421" t="s">
        <v>79</v>
      </c>
      <c r="E41" s="469"/>
      <c r="F41" s="402">
        <v>20</v>
      </c>
      <c r="G41" s="415"/>
      <c r="H41" s="416"/>
      <c r="I41" s="416"/>
      <c r="J41" s="464"/>
      <c r="L41" s="83"/>
    </row>
    <row r="42" spans="2:14" s="34" customFormat="1" ht="21.6" customHeight="1">
      <c r="B42" s="468" t="s">
        <v>106</v>
      </c>
      <c r="C42" s="462" t="s">
        <v>90</v>
      </c>
      <c r="D42" s="463" t="s">
        <v>79</v>
      </c>
      <c r="E42" s="414"/>
      <c r="F42" s="400">
        <v>12</v>
      </c>
      <c r="G42" s="415"/>
      <c r="H42" s="416"/>
      <c r="I42" s="416"/>
      <c r="J42" s="464"/>
    </row>
    <row r="43" spans="2:14" s="34" customFormat="1" ht="21.6" customHeight="1">
      <c r="B43" s="468" t="s">
        <v>108</v>
      </c>
      <c r="C43" s="462" t="s">
        <v>1195</v>
      </c>
      <c r="D43" s="463" t="s">
        <v>79</v>
      </c>
      <c r="E43" s="414"/>
      <c r="F43" s="400">
        <v>20</v>
      </c>
      <c r="G43" s="415"/>
      <c r="H43" s="416"/>
      <c r="I43" s="416"/>
      <c r="J43" s="464"/>
    </row>
    <row r="44" spans="2:14" s="34" customFormat="1" ht="14.25" customHeight="1">
      <c r="B44" s="456" t="s">
        <v>2231</v>
      </c>
      <c r="C44" s="457" t="s">
        <v>94</v>
      </c>
      <c r="D44" s="458"/>
      <c r="E44" s="419"/>
      <c r="F44" s="465"/>
      <c r="G44" s="428"/>
      <c r="H44" s="459"/>
      <c r="I44" s="459"/>
      <c r="J44" s="460"/>
    </row>
    <row r="45" spans="2:14" s="34" customFormat="1" ht="25.2" customHeight="1">
      <c r="B45" s="468" t="s">
        <v>2232</v>
      </c>
      <c r="C45" s="462" t="s">
        <v>107</v>
      </c>
      <c r="D45" s="421" t="s">
        <v>169</v>
      </c>
      <c r="E45" s="469"/>
      <c r="F45" s="401">
        <v>300</v>
      </c>
      <c r="G45" s="415"/>
      <c r="H45" s="426"/>
      <c r="I45" s="416"/>
      <c r="J45" s="464"/>
    </row>
    <row r="46" spans="2:14" s="34" customFormat="1" ht="21.6" customHeight="1">
      <c r="B46" s="468" t="s">
        <v>2233</v>
      </c>
      <c r="C46" s="462" t="s">
        <v>2047</v>
      </c>
      <c r="D46" s="421" t="s">
        <v>169</v>
      </c>
      <c r="E46" s="469"/>
      <c r="F46" s="401">
        <v>300</v>
      </c>
      <c r="G46" s="415"/>
      <c r="H46" s="426"/>
      <c r="I46" s="416"/>
      <c r="J46" s="464"/>
    </row>
    <row r="47" spans="2:14" s="34" customFormat="1" ht="21.6" customHeight="1">
      <c r="B47" s="468" t="s">
        <v>2234</v>
      </c>
      <c r="C47" s="462" t="s">
        <v>2048</v>
      </c>
      <c r="D47" s="421" t="s">
        <v>2049</v>
      </c>
      <c r="E47" s="469"/>
      <c r="F47" s="401">
        <v>9000</v>
      </c>
      <c r="G47" s="415"/>
      <c r="H47" s="426"/>
      <c r="I47" s="416"/>
      <c r="J47" s="464"/>
    </row>
    <row r="48" spans="2:14" s="34" customFormat="1" ht="14.25" customHeight="1">
      <c r="B48" s="450" t="s">
        <v>114</v>
      </c>
      <c r="C48" s="451" t="s">
        <v>115</v>
      </c>
      <c r="D48" s="452"/>
      <c r="E48" s="453"/>
      <c r="F48" s="470"/>
      <c r="G48" s="454"/>
      <c r="H48" s="453"/>
      <c r="I48" s="453"/>
      <c r="J48" s="455"/>
    </row>
    <row r="49" spans="2:12" s="34" customFormat="1" ht="15.75" customHeight="1">
      <c r="B49" s="450" t="s">
        <v>114</v>
      </c>
      <c r="C49" s="451" t="s">
        <v>137</v>
      </c>
      <c r="D49" s="452"/>
      <c r="E49" s="453"/>
      <c r="F49" s="470"/>
      <c r="G49" s="454"/>
      <c r="H49" s="453"/>
      <c r="I49" s="453"/>
      <c r="J49" s="455"/>
    </row>
    <row r="50" spans="2:12" s="34" customFormat="1" ht="14.25" customHeight="1">
      <c r="B50" s="456" t="s">
        <v>116</v>
      </c>
      <c r="C50" s="457" t="s">
        <v>139</v>
      </c>
      <c r="D50" s="458"/>
      <c r="E50" s="419"/>
      <c r="F50" s="465"/>
      <c r="G50" s="428"/>
      <c r="H50" s="459"/>
      <c r="I50" s="459"/>
      <c r="J50" s="460"/>
    </row>
    <row r="51" spans="2:12" s="34" customFormat="1" ht="14.25" customHeight="1">
      <c r="B51" s="468" t="s">
        <v>140</v>
      </c>
      <c r="C51" s="462" t="s">
        <v>141</v>
      </c>
      <c r="D51" s="421" t="s">
        <v>169</v>
      </c>
      <c r="E51" s="469"/>
      <c r="F51" s="401">
        <v>60</v>
      </c>
      <c r="G51" s="415"/>
      <c r="H51" s="426"/>
      <c r="I51" s="416"/>
      <c r="J51" s="464"/>
      <c r="L51" s="83"/>
    </row>
    <row r="52" spans="2:12" s="34" customFormat="1" ht="21.6" customHeight="1">
      <c r="B52" s="468" t="s">
        <v>142</v>
      </c>
      <c r="C52" s="462" t="s">
        <v>143</v>
      </c>
      <c r="D52" s="421" t="s">
        <v>79</v>
      </c>
      <c r="E52" s="469"/>
      <c r="F52" s="402">
        <v>40</v>
      </c>
      <c r="G52" s="415"/>
      <c r="H52" s="426"/>
      <c r="I52" s="416"/>
      <c r="J52" s="464"/>
      <c r="L52" s="83"/>
    </row>
    <row r="53" spans="2:12" s="34" customFormat="1" ht="14.25" customHeight="1">
      <c r="B53" s="468" t="s">
        <v>144</v>
      </c>
      <c r="C53" s="462" t="s">
        <v>145</v>
      </c>
      <c r="D53" s="421" t="s">
        <v>169</v>
      </c>
      <c r="E53" s="469"/>
      <c r="F53" s="402">
        <v>55</v>
      </c>
      <c r="G53" s="415"/>
      <c r="H53" s="426"/>
      <c r="I53" s="416"/>
      <c r="J53" s="464"/>
      <c r="L53" s="83"/>
    </row>
    <row r="54" spans="2:12" s="34" customFormat="1" ht="21.6" customHeight="1">
      <c r="B54" s="468" t="s">
        <v>148</v>
      </c>
      <c r="C54" s="462" t="s">
        <v>149</v>
      </c>
      <c r="D54" s="421" t="s">
        <v>79</v>
      </c>
      <c r="E54" s="469"/>
      <c r="F54" s="401">
        <v>80</v>
      </c>
      <c r="G54" s="415"/>
      <c r="H54" s="426"/>
      <c r="I54" s="416"/>
      <c r="J54" s="464"/>
      <c r="L54" s="83"/>
    </row>
    <row r="55" spans="2:12" s="34" customFormat="1" ht="20.399999999999999" customHeight="1">
      <c r="B55" s="468" t="s">
        <v>150</v>
      </c>
      <c r="C55" s="462" t="s">
        <v>151</v>
      </c>
      <c r="D55" s="421" t="s">
        <v>1274</v>
      </c>
      <c r="E55" s="469"/>
      <c r="F55" s="401">
        <v>70</v>
      </c>
      <c r="G55" s="415"/>
      <c r="H55" s="426"/>
      <c r="I55" s="416"/>
      <c r="J55" s="464"/>
      <c r="L55" s="83"/>
    </row>
    <row r="56" spans="2:12" s="34" customFormat="1" ht="23.4">
      <c r="B56" s="468" t="s">
        <v>153</v>
      </c>
      <c r="C56" s="462" t="s">
        <v>154</v>
      </c>
      <c r="D56" s="421" t="s">
        <v>1274</v>
      </c>
      <c r="E56" s="469"/>
      <c r="F56" s="401">
        <v>80</v>
      </c>
      <c r="G56" s="415"/>
      <c r="H56" s="426"/>
      <c r="I56" s="416"/>
      <c r="J56" s="464"/>
      <c r="L56" s="83"/>
    </row>
    <row r="57" spans="2:12" s="34" customFormat="1" ht="18.600000000000001" customHeight="1">
      <c r="B57" s="468" t="s">
        <v>155</v>
      </c>
      <c r="C57" s="462" t="s">
        <v>156</v>
      </c>
      <c r="D57" s="421" t="s">
        <v>1274</v>
      </c>
      <c r="E57" s="469"/>
      <c r="F57" s="401">
        <v>180</v>
      </c>
      <c r="G57" s="415"/>
      <c r="H57" s="426"/>
      <c r="I57" s="416"/>
      <c r="J57" s="464"/>
      <c r="L57" s="83"/>
    </row>
    <row r="58" spans="2:12" s="34" customFormat="1" ht="26.4" customHeight="1">
      <c r="B58" s="468" t="s">
        <v>157</v>
      </c>
      <c r="C58" s="462" t="s">
        <v>158</v>
      </c>
      <c r="D58" s="421" t="s">
        <v>1274</v>
      </c>
      <c r="E58" s="469"/>
      <c r="F58" s="401">
        <v>800</v>
      </c>
      <c r="G58" s="415"/>
      <c r="H58" s="426"/>
      <c r="I58" s="416"/>
      <c r="J58" s="464"/>
      <c r="L58" s="83"/>
    </row>
    <row r="59" spans="2:12" s="34" customFormat="1" ht="23.4" customHeight="1">
      <c r="B59" s="468" t="s">
        <v>159</v>
      </c>
      <c r="C59" s="462" t="s">
        <v>160</v>
      </c>
      <c r="D59" s="421" t="s">
        <v>1274</v>
      </c>
      <c r="E59" s="469"/>
      <c r="F59" s="401">
        <v>850</v>
      </c>
      <c r="G59" s="415"/>
      <c r="H59" s="426"/>
      <c r="I59" s="416"/>
      <c r="J59" s="464"/>
      <c r="L59" s="83"/>
    </row>
    <row r="60" spans="2:12" s="34" customFormat="1" ht="25.2" customHeight="1">
      <c r="B60" s="468" t="s">
        <v>161</v>
      </c>
      <c r="C60" s="462" t="s">
        <v>162</v>
      </c>
      <c r="D60" s="421" t="s">
        <v>1274</v>
      </c>
      <c r="E60" s="469"/>
      <c r="F60" s="401">
        <v>50</v>
      </c>
      <c r="G60" s="415"/>
      <c r="H60" s="94"/>
      <c r="I60" s="416"/>
      <c r="J60" s="464"/>
      <c r="L60" s="83"/>
    </row>
    <row r="61" spans="2:12" s="34" customFormat="1" ht="25.2" customHeight="1">
      <c r="B61" s="468" t="s">
        <v>163</v>
      </c>
      <c r="C61" s="462" t="s">
        <v>164</v>
      </c>
      <c r="D61" s="421" t="s">
        <v>1274</v>
      </c>
      <c r="E61" s="469"/>
      <c r="F61" s="401">
        <v>1200</v>
      </c>
      <c r="G61" s="415"/>
      <c r="H61" s="426"/>
      <c r="I61" s="416"/>
      <c r="J61" s="464"/>
      <c r="L61" s="83"/>
    </row>
    <row r="62" spans="2:12" s="34" customFormat="1" ht="21.6" customHeight="1">
      <c r="B62" s="468" t="s">
        <v>165</v>
      </c>
      <c r="C62" s="462" t="s">
        <v>166</v>
      </c>
      <c r="D62" s="421" t="s">
        <v>79</v>
      </c>
      <c r="E62" s="469"/>
      <c r="F62" s="401">
        <v>120</v>
      </c>
      <c r="G62" s="415"/>
      <c r="H62" s="426"/>
      <c r="I62" s="416"/>
      <c r="J62" s="464"/>
      <c r="L62" s="83"/>
    </row>
    <row r="63" spans="2:12" s="34" customFormat="1" ht="21.6" customHeight="1">
      <c r="B63" s="468" t="s">
        <v>167</v>
      </c>
      <c r="C63" s="462" t="s">
        <v>168</v>
      </c>
      <c r="D63" s="421" t="s">
        <v>169</v>
      </c>
      <c r="E63" s="469"/>
      <c r="F63" s="402">
        <v>80</v>
      </c>
      <c r="G63" s="415"/>
      <c r="H63" s="95"/>
      <c r="I63" s="416"/>
      <c r="J63" s="464"/>
      <c r="L63" s="83"/>
    </row>
    <row r="64" spans="2:12" s="34" customFormat="1" ht="14.25" customHeight="1">
      <c r="B64" s="471" t="s">
        <v>1743</v>
      </c>
      <c r="C64" s="462" t="s">
        <v>2050</v>
      </c>
      <c r="D64" s="421" t="s">
        <v>79</v>
      </c>
      <c r="E64" s="472"/>
      <c r="F64" s="406">
        <v>45</v>
      </c>
      <c r="G64" s="415"/>
      <c r="H64" s="294"/>
      <c r="I64" s="473"/>
      <c r="J64" s="464"/>
      <c r="L64" s="83"/>
    </row>
    <row r="65" spans="2:12" s="34" customFormat="1" ht="14.25" customHeight="1">
      <c r="B65" s="456" t="s">
        <v>170</v>
      </c>
      <c r="C65" s="457" t="s">
        <v>171</v>
      </c>
      <c r="D65" s="458"/>
      <c r="E65" s="419"/>
      <c r="F65" s="465"/>
      <c r="G65" s="428"/>
      <c r="H65" s="459"/>
      <c r="I65" s="459"/>
      <c r="J65" s="460"/>
    </row>
    <row r="66" spans="2:12" s="34" customFormat="1" ht="14.25" customHeight="1">
      <c r="B66" s="468" t="s">
        <v>172</v>
      </c>
      <c r="C66" s="462" t="s">
        <v>141</v>
      </c>
      <c r="D66" s="421" t="s">
        <v>169</v>
      </c>
      <c r="E66" s="469"/>
      <c r="F66" s="401">
        <v>120</v>
      </c>
      <c r="G66" s="415"/>
      <c r="H66" s="426"/>
      <c r="I66" s="416"/>
      <c r="J66" s="464"/>
    </row>
    <row r="67" spans="2:12" s="34" customFormat="1" ht="14.25" customHeight="1">
      <c r="B67" s="468" t="s">
        <v>173</v>
      </c>
      <c r="C67" s="462" t="s">
        <v>145</v>
      </c>
      <c r="D67" s="421" t="s">
        <v>169</v>
      </c>
      <c r="E67" s="469"/>
      <c r="F67" s="402">
        <v>60</v>
      </c>
      <c r="G67" s="415"/>
      <c r="H67" s="426"/>
      <c r="I67" s="416"/>
      <c r="J67" s="464"/>
    </row>
    <row r="68" spans="2:12" s="34" customFormat="1" ht="21.6" customHeight="1">
      <c r="B68" s="468" t="s">
        <v>174</v>
      </c>
      <c r="C68" s="462" t="s">
        <v>126</v>
      </c>
      <c r="D68" s="421" t="s">
        <v>169</v>
      </c>
      <c r="E68" s="469"/>
      <c r="F68" s="402">
        <v>80</v>
      </c>
      <c r="G68" s="415"/>
      <c r="H68" s="426"/>
      <c r="I68" s="416"/>
      <c r="J68" s="464"/>
    </row>
    <row r="69" spans="2:12" s="34" customFormat="1" ht="21.6" customHeight="1">
      <c r="B69" s="468" t="s">
        <v>175</v>
      </c>
      <c r="C69" s="462" t="s">
        <v>128</v>
      </c>
      <c r="D69" s="421" t="s">
        <v>2049</v>
      </c>
      <c r="E69" s="469"/>
      <c r="F69" s="401">
        <v>2400</v>
      </c>
      <c r="G69" s="415"/>
      <c r="H69" s="426"/>
      <c r="I69" s="416"/>
      <c r="J69" s="464"/>
    </row>
    <row r="70" spans="2:12" s="34" customFormat="1" ht="21.6" customHeight="1">
      <c r="B70" s="468" t="s">
        <v>176</v>
      </c>
      <c r="C70" s="462" t="s">
        <v>177</v>
      </c>
      <c r="D70" s="421" t="s">
        <v>79</v>
      </c>
      <c r="E70" s="469"/>
      <c r="F70" s="401">
        <v>80</v>
      </c>
      <c r="G70" s="415"/>
      <c r="H70" s="426"/>
      <c r="I70" s="416"/>
      <c r="J70" s="464"/>
    </row>
    <row r="71" spans="2:12" s="34" customFormat="1" ht="14.25" customHeight="1">
      <c r="B71" s="468" t="s">
        <v>178</v>
      </c>
      <c r="C71" s="462" t="s">
        <v>151</v>
      </c>
      <c r="D71" s="421" t="s">
        <v>1274</v>
      </c>
      <c r="E71" s="469"/>
      <c r="F71" s="401">
        <v>80</v>
      </c>
      <c r="G71" s="415"/>
      <c r="H71" s="426"/>
      <c r="I71" s="416"/>
      <c r="J71" s="464"/>
    </row>
    <row r="72" spans="2:12" s="34" customFormat="1" ht="14.25" customHeight="1">
      <c r="B72" s="468" t="s">
        <v>179</v>
      </c>
      <c r="C72" s="462" t="s">
        <v>180</v>
      </c>
      <c r="D72" s="421" t="s">
        <v>1274</v>
      </c>
      <c r="E72" s="469"/>
      <c r="F72" s="401">
        <v>80</v>
      </c>
      <c r="G72" s="415"/>
      <c r="H72" s="426"/>
      <c r="I72" s="416"/>
      <c r="J72" s="464"/>
    </row>
    <row r="73" spans="2:12" s="34" customFormat="1" ht="14.25" customHeight="1">
      <c r="B73" s="468" t="s">
        <v>181</v>
      </c>
      <c r="C73" s="462" t="s">
        <v>156</v>
      </c>
      <c r="D73" s="421" t="s">
        <v>1274</v>
      </c>
      <c r="E73" s="469"/>
      <c r="F73" s="401">
        <v>200</v>
      </c>
      <c r="G73" s="415"/>
      <c r="H73" s="426"/>
      <c r="I73" s="416"/>
      <c r="J73" s="464"/>
    </row>
    <row r="74" spans="2:12" s="34" customFormat="1" ht="14.25" customHeight="1">
      <c r="B74" s="468" t="s">
        <v>182</v>
      </c>
      <c r="C74" s="462" t="s">
        <v>158</v>
      </c>
      <c r="D74" s="421" t="s">
        <v>1274</v>
      </c>
      <c r="E74" s="469"/>
      <c r="F74" s="401">
        <v>100</v>
      </c>
      <c r="G74" s="415"/>
      <c r="H74" s="426"/>
      <c r="I74" s="416"/>
      <c r="J74" s="464"/>
    </row>
    <row r="75" spans="2:12" s="34" customFormat="1" ht="14.25" customHeight="1">
      <c r="B75" s="468" t="s">
        <v>183</v>
      </c>
      <c r="C75" s="462" t="s">
        <v>160</v>
      </c>
      <c r="D75" s="421" t="s">
        <v>1274</v>
      </c>
      <c r="E75" s="469"/>
      <c r="F75" s="401">
        <v>100</v>
      </c>
      <c r="G75" s="415"/>
      <c r="H75" s="426"/>
      <c r="I75" s="416"/>
      <c r="J75" s="464"/>
    </row>
    <row r="76" spans="2:12" s="34" customFormat="1" ht="14.25" customHeight="1">
      <c r="B76" s="468" t="s">
        <v>184</v>
      </c>
      <c r="C76" s="462" t="s">
        <v>162</v>
      </c>
      <c r="D76" s="421" t="s">
        <v>1274</v>
      </c>
      <c r="E76" s="469"/>
      <c r="F76" s="401">
        <v>600</v>
      </c>
      <c r="G76" s="415"/>
      <c r="H76" s="426"/>
      <c r="I76" s="416"/>
      <c r="J76" s="464"/>
    </row>
    <row r="77" spans="2:12" s="34" customFormat="1" ht="21.6" customHeight="1">
      <c r="B77" s="468" t="s">
        <v>185</v>
      </c>
      <c r="C77" s="462" t="s">
        <v>2051</v>
      </c>
      <c r="D77" s="421" t="s">
        <v>79</v>
      </c>
      <c r="E77" s="469"/>
      <c r="F77" s="401">
        <v>60</v>
      </c>
      <c r="G77" s="415"/>
      <c r="H77" s="426"/>
      <c r="I77" s="416"/>
      <c r="J77" s="464"/>
      <c r="L77" s="83"/>
    </row>
    <row r="78" spans="2:12" s="34" customFormat="1" ht="14.25" customHeight="1">
      <c r="B78" s="468" t="s">
        <v>187</v>
      </c>
      <c r="C78" s="462" t="s">
        <v>188</v>
      </c>
      <c r="D78" s="421" t="s">
        <v>169</v>
      </c>
      <c r="E78" s="469"/>
      <c r="F78" s="402">
        <v>20</v>
      </c>
      <c r="G78" s="415"/>
      <c r="H78" s="426"/>
      <c r="I78" s="416"/>
      <c r="J78" s="464"/>
      <c r="L78" s="83"/>
    </row>
    <row r="79" spans="2:12" s="34" customFormat="1" ht="14.25" customHeight="1">
      <c r="B79" s="468" t="s">
        <v>189</v>
      </c>
      <c r="C79" s="462" t="s">
        <v>2052</v>
      </c>
      <c r="D79" s="421" t="s">
        <v>63</v>
      </c>
      <c r="E79" s="469"/>
      <c r="F79" s="402">
        <v>30</v>
      </c>
      <c r="G79" s="415"/>
      <c r="H79" s="426"/>
      <c r="I79" s="416"/>
      <c r="J79" s="464"/>
      <c r="L79" s="83"/>
    </row>
    <row r="80" spans="2:12" s="34" customFormat="1" ht="14.25" customHeight="1">
      <c r="B80" s="450" t="s">
        <v>191</v>
      </c>
      <c r="C80" s="451" t="s">
        <v>192</v>
      </c>
      <c r="D80" s="452"/>
      <c r="E80" s="453"/>
      <c r="F80" s="470"/>
      <c r="G80" s="454"/>
      <c r="H80" s="453"/>
      <c r="I80" s="453"/>
      <c r="J80" s="455"/>
    </row>
    <row r="81" spans="2:10" s="34" customFormat="1" ht="14.25" customHeight="1">
      <c r="B81" s="456" t="s">
        <v>193</v>
      </c>
      <c r="C81" s="457" t="s">
        <v>194</v>
      </c>
      <c r="D81" s="458"/>
      <c r="E81" s="419"/>
      <c r="F81" s="465"/>
      <c r="G81" s="428"/>
      <c r="H81" s="459"/>
      <c r="I81" s="459"/>
      <c r="J81" s="460"/>
    </row>
    <row r="82" spans="2:10" s="34" customFormat="1" ht="21.6" customHeight="1">
      <c r="B82" s="468" t="s">
        <v>195</v>
      </c>
      <c r="C82" s="462" t="s">
        <v>196</v>
      </c>
      <c r="D82" s="421" t="s">
        <v>79</v>
      </c>
      <c r="E82" s="469"/>
      <c r="F82" s="402">
        <v>980</v>
      </c>
      <c r="G82" s="415"/>
      <c r="H82" s="426"/>
      <c r="I82" s="416"/>
      <c r="J82" s="464"/>
    </row>
    <row r="83" spans="2:10" s="34" customFormat="1" ht="21.6" customHeight="1">
      <c r="B83" s="468" t="s">
        <v>197</v>
      </c>
      <c r="C83" s="462" t="s">
        <v>198</v>
      </c>
      <c r="D83" s="421" t="s">
        <v>1274</v>
      </c>
      <c r="E83" s="469"/>
      <c r="F83" s="401">
        <v>800</v>
      </c>
      <c r="G83" s="415"/>
      <c r="H83" s="426"/>
      <c r="I83" s="416"/>
      <c r="J83" s="464"/>
    </row>
    <row r="84" spans="2:10" s="34" customFormat="1" ht="21.6" customHeight="1">
      <c r="B84" s="468" t="s">
        <v>199</v>
      </c>
      <c r="C84" s="462" t="s">
        <v>200</v>
      </c>
      <c r="D84" s="421" t="s">
        <v>1274</v>
      </c>
      <c r="E84" s="469"/>
      <c r="F84" s="401">
        <v>600</v>
      </c>
      <c r="G84" s="415"/>
      <c r="H84" s="426"/>
      <c r="I84" s="416"/>
      <c r="J84" s="464"/>
    </row>
    <row r="85" spans="2:10" s="34" customFormat="1" ht="21.6" customHeight="1">
      <c r="B85" s="468" t="s">
        <v>201</v>
      </c>
      <c r="C85" s="462" t="s">
        <v>202</v>
      </c>
      <c r="D85" s="421" t="s">
        <v>1274</v>
      </c>
      <c r="E85" s="469"/>
      <c r="F85" s="401">
        <v>1000</v>
      </c>
      <c r="G85" s="415"/>
      <c r="H85" s="426"/>
      <c r="I85" s="416"/>
      <c r="J85" s="464"/>
    </row>
    <row r="86" spans="2:10" s="34" customFormat="1" ht="21.6" customHeight="1">
      <c r="B86" s="468" t="s">
        <v>203</v>
      </c>
      <c r="C86" s="462" t="s">
        <v>204</v>
      </c>
      <c r="D86" s="421" t="s">
        <v>1274</v>
      </c>
      <c r="E86" s="469"/>
      <c r="F86" s="401">
        <v>1000</v>
      </c>
      <c r="G86" s="415"/>
      <c r="H86" s="426"/>
      <c r="I86" s="416"/>
      <c r="J86" s="464"/>
    </row>
    <row r="87" spans="2:10" s="34" customFormat="1" ht="21.6" customHeight="1">
      <c r="B87" s="468" t="s">
        <v>205</v>
      </c>
      <c r="C87" s="462" t="s">
        <v>206</v>
      </c>
      <c r="D87" s="421" t="s">
        <v>1274</v>
      </c>
      <c r="E87" s="469"/>
      <c r="F87" s="401">
        <v>1200</v>
      </c>
      <c r="G87" s="415"/>
      <c r="H87" s="426"/>
      <c r="I87" s="416"/>
      <c r="J87" s="464"/>
    </row>
    <row r="88" spans="2:10" s="34" customFormat="1" ht="21.6" customHeight="1">
      <c r="B88" s="468" t="s">
        <v>207</v>
      </c>
      <c r="C88" s="462" t="s">
        <v>208</v>
      </c>
      <c r="D88" s="421" t="s">
        <v>1274</v>
      </c>
      <c r="E88" s="469"/>
      <c r="F88" s="401">
        <v>1800</v>
      </c>
      <c r="G88" s="415"/>
      <c r="H88" s="426"/>
      <c r="I88" s="416"/>
      <c r="J88" s="464"/>
    </row>
    <row r="89" spans="2:10" s="34" customFormat="1" ht="21.6" customHeight="1">
      <c r="B89" s="468" t="s">
        <v>209</v>
      </c>
      <c r="C89" s="462" t="s">
        <v>210</v>
      </c>
      <c r="D89" s="421" t="s">
        <v>1274</v>
      </c>
      <c r="E89" s="469"/>
      <c r="F89" s="402">
        <v>1800</v>
      </c>
      <c r="G89" s="415"/>
      <c r="H89" s="426"/>
      <c r="I89" s="416"/>
      <c r="J89" s="464"/>
    </row>
    <row r="90" spans="2:10" s="34" customFormat="1" ht="21.6" customHeight="1">
      <c r="B90" s="468" t="s">
        <v>211</v>
      </c>
      <c r="C90" s="462" t="s">
        <v>212</v>
      </c>
      <c r="D90" s="421" t="s">
        <v>1274</v>
      </c>
      <c r="E90" s="469"/>
      <c r="F90" s="402">
        <v>1300</v>
      </c>
      <c r="G90" s="415"/>
      <c r="H90" s="426"/>
      <c r="I90" s="416"/>
      <c r="J90" s="464"/>
    </row>
    <row r="91" spans="2:10" s="34" customFormat="1" ht="14.25" customHeight="1">
      <c r="B91" s="468" t="s">
        <v>213</v>
      </c>
      <c r="C91" s="462" t="s">
        <v>2053</v>
      </c>
      <c r="D91" s="421" t="s">
        <v>63</v>
      </c>
      <c r="E91" s="469"/>
      <c r="F91" s="402">
        <v>80</v>
      </c>
      <c r="G91" s="415"/>
      <c r="H91" s="426"/>
      <c r="I91" s="416"/>
      <c r="J91" s="464"/>
    </row>
    <row r="92" spans="2:10" s="34" customFormat="1" ht="25.8" customHeight="1">
      <c r="B92" s="468" t="s">
        <v>214</v>
      </c>
      <c r="C92" s="462" t="s">
        <v>215</v>
      </c>
      <c r="D92" s="421" t="s">
        <v>169</v>
      </c>
      <c r="E92" s="469"/>
      <c r="F92" s="402">
        <v>120</v>
      </c>
      <c r="G92" s="415"/>
      <c r="H92" s="426"/>
      <c r="I92" s="416"/>
      <c r="J92" s="464"/>
    </row>
    <row r="93" spans="2:10" s="34" customFormat="1" ht="14.25" customHeight="1">
      <c r="B93" s="456" t="s">
        <v>216</v>
      </c>
      <c r="C93" s="457" t="s">
        <v>217</v>
      </c>
      <c r="D93" s="458"/>
      <c r="E93" s="419"/>
      <c r="F93" s="465"/>
      <c r="G93" s="428"/>
      <c r="H93" s="459"/>
      <c r="I93" s="459"/>
      <c r="J93" s="460"/>
    </row>
    <row r="94" spans="2:10" s="34" customFormat="1" ht="21.6" customHeight="1">
      <c r="B94" s="468" t="s">
        <v>218</v>
      </c>
      <c r="C94" s="462" t="s">
        <v>219</v>
      </c>
      <c r="D94" s="421" t="s">
        <v>79</v>
      </c>
      <c r="E94" s="469"/>
      <c r="F94" s="402">
        <v>880</v>
      </c>
      <c r="G94" s="415"/>
      <c r="H94" s="426"/>
      <c r="I94" s="416"/>
      <c r="J94" s="464"/>
    </row>
    <row r="95" spans="2:10" s="34" customFormat="1" ht="21.6" customHeight="1">
      <c r="B95" s="468" t="s">
        <v>220</v>
      </c>
      <c r="C95" s="462" t="s">
        <v>198</v>
      </c>
      <c r="D95" s="421" t="s">
        <v>1274</v>
      </c>
      <c r="E95" s="469"/>
      <c r="F95" s="401">
        <v>650</v>
      </c>
      <c r="G95" s="415"/>
      <c r="H95" s="426"/>
      <c r="I95" s="416"/>
      <c r="J95" s="464"/>
    </row>
    <row r="96" spans="2:10" s="34" customFormat="1" ht="21.6" customHeight="1">
      <c r="B96" s="468" t="s">
        <v>221</v>
      </c>
      <c r="C96" s="462" t="s">
        <v>222</v>
      </c>
      <c r="D96" s="421" t="s">
        <v>1274</v>
      </c>
      <c r="E96" s="469"/>
      <c r="F96" s="401">
        <v>1000</v>
      </c>
      <c r="G96" s="415"/>
      <c r="H96" s="426"/>
      <c r="I96" s="416"/>
      <c r="J96" s="464"/>
    </row>
    <row r="97" spans="2:10" s="34" customFormat="1" ht="21.6" customHeight="1">
      <c r="B97" s="468" t="s">
        <v>223</v>
      </c>
      <c r="C97" s="462" t="s">
        <v>202</v>
      </c>
      <c r="D97" s="421" t="s">
        <v>1274</v>
      </c>
      <c r="E97" s="469"/>
      <c r="F97" s="401">
        <v>980</v>
      </c>
      <c r="G97" s="415"/>
      <c r="H97" s="426"/>
      <c r="I97" s="416"/>
      <c r="J97" s="464"/>
    </row>
    <row r="98" spans="2:10" s="34" customFormat="1" ht="21.6" customHeight="1">
      <c r="B98" s="468" t="s">
        <v>224</v>
      </c>
      <c r="C98" s="462" t="s">
        <v>204</v>
      </c>
      <c r="D98" s="421" t="s">
        <v>1274</v>
      </c>
      <c r="E98" s="469"/>
      <c r="F98" s="401">
        <v>230</v>
      </c>
      <c r="G98" s="415"/>
      <c r="H98" s="426"/>
      <c r="I98" s="416"/>
      <c r="J98" s="464"/>
    </row>
    <row r="99" spans="2:10" s="34" customFormat="1" ht="21.6" customHeight="1">
      <c r="B99" s="468" t="s">
        <v>225</v>
      </c>
      <c r="C99" s="462" t="s">
        <v>206</v>
      </c>
      <c r="D99" s="421" t="s">
        <v>1274</v>
      </c>
      <c r="E99" s="469"/>
      <c r="F99" s="401">
        <v>1000</v>
      </c>
      <c r="G99" s="415"/>
      <c r="H99" s="426"/>
      <c r="I99" s="416"/>
      <c r="J99" s="464"/>
    </row>
    <row r="100" spans="2:10" s="34" customFormat="1" ht="21.6" customHeight="1">
      <c r="B100" s="468" t="s">
        <v>226</v>
      </c>
      <c r="C100" s="462" t="s">
        <v>208</v>
      </c>
      <c r="D100" s="421" t="s">
        <v>1274</v>
      </c>
      <c r="E100" s="469"/>
      <c r="F100" s="401">
        <v>2300</v>
      </c>
      <c r="G100" s="415"/>
      <c r="H100" s="426"/>
      <c r="I100" s="416"/>
      <c r="J100" s="464"/>
    </row>
    <row r="101" spans="2:10" s="34" customFormat="1" ht="21.6" customHeight="1">
      <c r="B101" s="468" t="s">
        <v>227</v>
      </c>
      <c r="C101" s="462" t="s">
        <v>210</v>
      </c>
      <c r="D101" s="421" t="s">
        <v>1274</v>
      </c>
      <c r="E101" s="469"/>
      <c r="F101" s="402">
        <v>1200</v>
      </c>
      <c r="G101" s="415"/>
      <c r="H101" s="426"/>
      <c r="I101" s="416"/>
      <c r="J101" s="464"/>
    </row>
    <row r="102" spans="2:10" s="34" customFormat="1" ht="21.6" customHeight="1">
      <c r="B102" s="468" t="s">
        <v>228</v>
      </c>
      <c r="C102" s="462" t="s">
        <v>212</v>
      </c>
      <c r="D102" s="421" t="s">
        <v>1274</v>
      </c>
      <c r="E102" s="469"/>
      <c r="F102" s="402">
        <v>2300</v>
      </c>
      <c r="G102" s="415"/>
      <c r="H102" s="426"/>
      <c r="I102" s="416"/>
      <c r="J102" s="464"/>
    </row>
    <row r="103" spans="2:10" s="34" customFormat="1" ht="14.25" customHeight="1">
      <c r="B103" s="468" t="s">
        <v>229</v>
      </c>
      <c r="C103" s="462" t="s">
        <v>230</v>
      </c>
      <c r="D103" s="421" t="s">
        <v>231</v>
      </c>
      <c r="E103" s="469"/>
      <c r="F103" s="402">
        <v>1200</v>
      </c>
      <c r="G103" s="415"/>
      <c r="H103" s="426"/>
      <c r="I103" s="416"/>
      <c r="J103" s="464"/>
    </row>
    <row r="104" spans="2:10" s="34" customFormat="1" ht="14.25" customHeight="1">
      <c r="B104" s="468" t="s">
        <v>232</v>
      </c>
      <c r="C104" s="462" t="s">
        <v>2053</v>
      </c>
      <c r="D104" s="421" t="s">
        <v>63</v>
      </c>
      <c r="E104" s="469"/>
      <c r="F104" s="402">
        <v>90</v>
      </c>
      <c r="G104" s="415"/>
      <c r="H104" s="426"/>
      <c r="I104" s="416"/>
      <c r="J104" s="464"/>
    </row>
    <row r="105" spans="2:10" s="34" customFormat="1" ht="14.25" customHeight="1">
      <c r="B105" s="468" t="s">
        <v>233</v>
      </c>
      <c r="C105" s="462" t="s">
        <v>215</v>
      </c>
      <c r="D105" s="421" t="s">
        <v>169</v>
      </c>
      <c r="E105" s="469"/>
      <c r="F105" s="402">
        <v>90</v>
      </c>
      <c r="G105" s="415"/>
      <c r="H105" s="426"/>
      <c r="I105" s="416"/>
      <c r="J105" s="464"/>
    </row>
    <row r="106" spans="2:10" s="34" customFormat="1" ht="14.25" customHeight="1">
      <c r="B106" s="456" t="s">
        <v>234</v>
      </c>
      <c r="C106" s="457" t="s">
        <v>235</v>
      </c>
      <c r="D106" s="458"/>
      <c r="E106" s="419"/>
      <c r="F106" s="465"/>
      <c r="G106" s="428"/>
      <c r="H106" s="459"/>
      <c r="I106" s="459"/>
      <c r="J106" s="460"/>
    </row>
    <row r="107" spans="2:10" s="34" customFormat="1" ht="21.6" customHeight="1">
      <c r="B107" s="468" t="s">
        <v>236</v>
      </c>
      <c r="C107" s="462" t="s">
        <v>2054</v>
      </c>
      <c r="D107" s="421" t="s">
        <v>79</v>
      </c>
      <c r="E107" s="469"/>
      <c r="F107" s="402">
        <v>500</v>
      </c>
      <c r="G107" s="415"/>
      <c r="H107" s="426"/>
      <c r="I107" s="416"/>
      <c r="J107" s="464"/>
    </row>
    <row r="108" spans="2:10" s="34" customFormat="1" ht="36" customHeight="1">
      <c r="B108" s="468" t="s">
        <v>238</v>
      </c>
      <c r="C108" s="462" t="s">
        <v>2055</v>
      </c>
      <c r="D108" s="421" t="s">
        <v>79</v>
      </c>
      <c r="E108" s="469"/>
      <c r="F108" s="402">
        <v>2300</v>
      </c>
      <c r="G108" s="415"/>
      <c r="H108" s="426"/>
      <c r="I108" s="416"/>
      <c r="J108" s="464"/>
    </row>
    <row r="109" spans="2:10" s="34" customFormat="1" ht="21.6" customHeight="1">
      <c r="B109" s="468" t="s">
        <v>240</v>
      </c>
      <c r="C109" s="462" t="s">
        <v>241</v>
      </c>
      <c r="D109" s="421" t="s">
        <v>1274</v>
      </c>
      <c r="E109" s="469"/>
      <c r="F109" s="402">
        <v>2500</v>
      </c>
      <c r="G109" s="415"/>
      <c r="H109" s="426"/>
      <c r="I109" s="416"/>
      <c r="J109" s="464"/>
    </row>
    <row r="110" spans="2:10" s="34" customFormat="1" ht="21.6" customHeight="1">
      <c r="B110" s="468" t="s">
        <v>242</v>
      </c>
      <c r="C110" s="462" t="s">
        <v>243</v>
      </c>
      <c r="D110" s="421" t="s">
        <v>1274</v>
      </c>
      <c r="E110" s="469"/>
      <c r="F110" s="401">
        <v>800</v>
      </c>
      <c r="G110" s="415"/>
      <c r="H110" s="426"/>
      <c r="I110" s="416"/>
      <c r="J110" s="464"/>
    </row>
    <row r="111" spans="2:10" s="34" customFormat="1" ht="21.6" customHeight="1">
      <c r="B111" s="468" t="s">
        <v>244</v>
      </c>
      <c r="C111" s="462" t="s">
        <v>245</v>
      </c>
      <c r="D111" s="421" t="s">
        <v>1274</v>
      </c>
      <c r="E111" s="469"/>
      <c r="F111" s="401">
        <v>2000</v>
      </c>
      <c r="G111" s="415"/>
      <c r="H111" s="426"/>
      <c r="I111" s="416"/>
      <c r="J111" s="464"/>
    </row>
    <row r="112" spans="2:10" s="34" customFormat="1" ht="21.6" customHeight="1">
      <c r="B112" s="468" t="s">
        <v>246</v>
      </c>
      <c r="C112" s="462" t="s">
        <v>247</v>
      </c>
      <c r="D112" s="421" t="s">
        <v>1274</v>
      </c>
      <c r="E112" s="469"/>
      <c r="F112" s="401">
        <v>6000</v>
      </c>
      <c r="G112" s="415"/>
      <c r="H112" s="426"/>
      <c r="I112" s="416"/>
      <c r="J112" s="464"/>
    </row>
    <row r="113" spans="2:12" s="34" customFormat="1" ht="21.6" customHeight="1">
      <c r="B113" s="468" t="s">
        <v>248</v>
      </c>
      <c r="C113" s="462" t="s">
        <v>249</v>
      </c>
      <c r="D113" s="421" t="s">
        <v>1274</v>
      </c>
      <c r="E113" s="469"/>
      <c r="F113" s="401">
        <v>18000</v>
      </c>
      <c r="G113" s="415"/>
      <c r="H113" s="426"/>
      <c r="I113" s="416"/>
      <c r="J113" s="464"/>
    </row>
    <row r="114" spans="2:12" s="34" customFormat="1" ht="21.6" customHeight="1">
      <c r="B114" s="468" t="s">
        <v>250</v>
      </c>
      <c r="C114" s="462" t="s">
        <v>251</v>
      </c>
      <c r="D114" s="421" t="s">
        <v>1274</v>
      </c>
      <c r="E114" s="469"/>
      <c r="F114" s="401">
        <v>16000</v>
      </c>
      <c r="G114" s="415"/>
      <c r="H114" s="426"/>
      <c r="I114" s="416"/>
      <c r="J114" s="464"/>
    </row>
    <row r="115" spans="2:12" s="34" customFormat="1" ht="21.6" customHeight="1">
      <c r="B115" s="468" t="s">
        <v>252</v>
      </c>
      <c r="C115" s="462" t="s">
        <v>2056</v>
      </c>
      <c r="D115" s="421" t="s">
        <v>1274</v>
      </c>
      <c r="E115" s="469"/>
      <c r="F115" s="401">
        <v>1600</v>
      </c>
      <c r="G115" s="415"/>
      <c r="H115" s="426"/>
      <c r="I115" s="416"/>
      <c r="J115" s="464"/>
    </row>
    <row r="116" spans="2:12" s="34" customFormat="1" ht="14.25" customHeight="1">
      <c r="B116" s="468" t="s">
        <v>254</v>
      </c>
      <c r="C116" s="462" t="s">
        <v>215</v>
      </c>
      <c r="D116" s="421" t="s">
        <v>169</v>
      </c>
      <c r="E116" s="469"/>
      <c r="F116" s="402">
        <v>210</v>
      </c>
      <c r="G116" s="415"/>
      <c r="H116" s="426"/>
      <c r="I116" s="416"/>
      <c r="J116" s="464"/>
      <c r="L116" s="83"/>
    </row>
    <row r="117" spans="2:12" s="34" customFormat="1" ht="21.6" customHeight="1">
      <c r="B117" s="474" t="s">
        <v>1745</v>
      </c>
      <c r="C117" s="462" t="s">
        <v>2057</v>
      </c>
      <c r="D117" s="421" t="s">
        <v>1274</v>
      </c>
      <c r="E117" s="472"/>
      <c r="F117" s="406">
        <v>4500</v>
      </c>
      <c r="G117" s="415"/>
      <c r="H117" s="475"/>
      <c r="I117" s="473"/>
      <c r="J117" s="464"/>
    </row>
    <row r="118" spans="2:12" s="34" customFormat="1" ht="14.25" customHeight="1">
      <c r="B118" s="450" t="s">
        <v>255</v>
      </c>
      <c r="C118" s="451" t="s">
        <v>256</v>
      </c>
      <c r="D118" s="452"/>
      <c r="E118" s="453"/>
      <c r="F118" s="470"/>
      <c r="G118" s="454"/>
      <c r="H118" s="453"/>
      <c r="I118" s="453"/>
      <c r="J118" s="455"/>
    </row>
    <row r="119" spans="2:12" s="34" customFormat="1" ht="14.25" customHeight="1">
      <c r="B119" s="468" t="s">
        <v>257</v>
      </c>
      <c r="C119" s="462" t="s">
        <v>2058</v>
      </c>
      <c r="D119" s="476" t="s">
        <v>169</v>
      </c>
      <c r="E119" s="477"/>
      <c r="F119" s="404">
        <v>80</v>
      </c>
      <c r="G119" s="415"/>
      <c r="H119" s="426"/>
      <c r="I119" s="416"/>
      <c r="J119" s="464"/>
    </row>
    <row r="120" spans="2:12" s="34" customFormat="1" ht="21.6" customHeight="1">
      <c r="B120" s="468" t="s">
        <v>259</v>
      </c>
      <c r="C120" s="462" t="s">
        <v>2059</v>
      </c>
      <c r="D120" s="421" t="s">
        <v>82</v>
      </c>
      <c r="E120" s="469"/>
      <c r="F120" s="401">
        <v>800</v>
      </c>
      <c r="G120" s="415"/>
      <c r="H120" s="426"/>
      <c r="I120" s="416"/>
      <c r="J120" s="464"/>
    </row>
    <row r="121" spans="2:12" s="34" customFormat="1" ht="21.6" customHeight="1">
      <c r="B121" s="468" t="s">
        <v>261</v>
      </c>
      <c r="C121" s="462" t="s">
        <v>2060</v>
      </c>
      <c r="D121" s="421" t="s">
        <v>110</v>
      </c>
      <c r="E121" s="469"/>
      <c r="F121" s="402">
        <v>50</v>
      </c>
      <c r="G121" s="415"/>
      <c r="H121" s="426"/>
      <c r="I121" s="416"/>
      <c r="J121" s="464"/>
      <c r="L121" s="83"/>
    </row>
    <row r="122" spans="2:12" s="34" customFormat="1" ht="34.799999999999997">
      <c r="B122" s="468" t="s">
        <v>263</v>
      </c>
      <c r="C122" s="462" t="s">
        <v>2061</v>
      </c>
      <c r="D122" s="421" t="s">
        <v>79</v>
      </c>
      <c r="E122" s="469"/>
      <c r="F122" s="401">
        <v>6800</v>
      </c>
      <c r="G122" s="415"/>
      <c r="H122" s="426"/>
      <c r="I122" s="416"/>
      <c r="J122" s="464"/>
    </row>
    <row r="123" spans="2:12" s="34" customFormat="1" ht="21.6" customHeight="1">
      <c r="B123" s="468" t="s">
        <v>265</v>
      </c>
      <c r="C123" s="462" t="s">
        <v>2062</v>
      </c>
      <c r="D123" s="421" t="s">
        <v>79</v>
      </c>
      <c r="E123" s="469"/>
      <c r="F123" s="401">
        <v>360</v>
      </c>
      <c r="G123" s="415"/>
      <c r="H123" s="426"/>
      <c r="I123" s="416"/>
      <c r="J123" s="464"/>
    </row>
    <row r="124" spans="2:12" s="34" customFormat="1" ht="21.6" customHeight="1">
      <c r="B124" s="468" t="s">
        <v>267</v>
      </c>
      <c r="C124" s="462" t="s">
        <v>2063</v>
      </c>
      <c r="D124" s="421" t="s">
        <v>79</v>
      </c>
      <c r="E124" s="469"/>
      <c r="F124" s="401">
        <v>90</v>
      </c>
      <c r="G124" s="415"/>
      <c r="H124" s="426"/>
      <c r="I124" s="416"/>
      <c r="J124" s="464"/>
    </row>
    <row r="125" spans="2:12" s="34" customFormat="1" ht="14.25" customHeight="1">
      <c r="B125" s="468" t="s">
        <v>269</v>
      </c>
      <c r="C125" s="462" t="s">
        <v>2064</v>
      </c>
      <c r="D125" s="421" t="s">
        <v>124</v>
      </c>
      <c r="E125" s="469"/>
      <c r="F125" s="401">
        <v>260</v>
      </c>
      <c r="G125" s="415"/>
      <c r="H125" s="426"/>
      <c r="I125" s="416"/>
      <c r="J125" s="464"/>
    </row>
    <row r="126" spans="2:12" s="34" customFormat="1" ht="14.25" customHeight="1">
      <c r="B126" s="450" t="s">
        <v>271</v>
      </c>
      <c r="C126" s="451" t="s">
        <v>272</v>
      </c>
      <c r="D126" s="452"/>
      <c r="E126" s="453"/>
      <c r="F126" s="470"/>
      <c r="G126" s="478"/>
      <c r="H126" s="453"/>
      <c r="I126" s="453"/>
      <c r="J126" s="479"/>
    </row>
    <row r="127" spans="2:12" s="34" customFormat="1" ht="14.25" customHeight="1">
      <c r="B127" s="456" t="s">
        <v>273</v>
      </c>
      <c r="C127" s="457" t="s">
        <v>274</v>
      </c>
      <c r="D127" s="458"/>
      <c r="E127" s="419"/>
      <c r="F127" s="465"/>
      <c r="G127" s="428"/>
      <c r="H127" s="459"/>
      <c r="I127" s="459"/>
      <c r="J127" s="460"/>
    </row>
    <row r="128" spans="2:12" s="34" customFormat="1" ht="21.6" customHeight="1">
      <c r="B128" s="468" t="s">
        <v>275</v>
      </c>
      <c r="C128" s="462" t="s">
        <v>2065</v>
      </c>
      <c r="D128" s="421" t="s">
        <v>79</v>
      </c>
      <c r="E128" s="469"/>
      <c r="F128" s="401">
        <v>15600</v>
      </c>
      <c r="G128" s="415"/>
      <c r="H128" s="426"/>
      <c r="I128" s="416"/>
      <c r="J128" s="464"/>
    </row>
    <row r="129" spans="2:10" s="34" customFormat="1" ht="31.65" customHeight="1">
      <c r="B129" s="468" t="s">
        <v>277</v>
      </c>
      <c r="C129" s="462" t="s">
        <v>278</v>
      </c>
      <c r="D129" s="421" t="s">
        <v>79</v>
      </c>
      <c r="E129" s="469"/>
      <c r="F129" s="401">
        <v>240</v>
      </c>
      <c r="G129" s="415"/>
      <c r="H129" s="426"/>
      <c r="I129" s="416"/>
      <c r="J129" s="464"/>
    </row>
    <row r="130" spans="2:10" s="34" customFormat="1" ht="42.15" customHeight="1">
      <c r="B130" s="468" t="s">
        <v>279</v>
      </c>
      <c r="C130" s="462" t="s">
        <v>280</v>
      </c>
      <c r="D130" s="421" t="s">
        <v>79</v>
      </c>
      <c r="E130" s="469"/>
      <c r="F130" s="401">
        <v>14600</v>
      </c>
      <c r="G130" s="415"/>
      <c r="H130" s="426"/>
      <c r="I130" s="416"/>
      <c r="J130" s="464"/>
    </row>
    <row r="131" spans="2:10" s="34" customFormat="1" ht="14.25" customHeight="1">
      <c r="B131" s="468" t="s">
        <v>281</v>
      </c>
      <c r="C131" s="462" t="s">
        <v>2066</v>
      </c>
      <c r="D131" s="421" t="s">
        <v>79</v>
      </c>
      <c r="E131" s="469"/>
      <c r="F131" s="401">
        <v>750</v>
      </c>
      <c r="G131" s="415"/>
      <c r="H131" s="426"/>
      <c r="I131" s="416"/>
      <c r="J131" s="464"/>
    </row>
    <row r="132" spans="2:10" s="34" customFormat="1" ht="21.6" customHeight="1">
      <c r="B132" s="468" t="s">
        <v>283</v>
      </c>
      <c r="C132" s="462" t="s">
        <v>284</v>
      </c>
      <c r="D132" s="421" t="s">
        <v>79</v>
      </c>
      <c r="E132" s="469"/>
      <c r="F132" s="402">
        <v>120</v>
      </c>
      <c r="G132" s="415"/>
      <c r="H132" s="426"/>
      <c r="I132" s="416"/>
      <c r="J132" s="464"/>
    </row>
    <row r="133" spans="2:10" s="34" customFormat="1" ht="14.25" customHeight="1">
      <c r="B133" s="468" t="s">
        <v>285</v>
      </c>
      <c r="C133" s="462" t="s">
        <v>2067</v>
      </c>
      <c r="D133" s="421" t="s">
        <v>79</v>
      </c>
      <c r="E133" s="469"/>
      <c r="F133" s="402">
        <v>35</v>
      </c>
      <c r="G133" s="415"/>
      <c r="H133" s="426"/>
      <c r="I133" s="416"/>
      <c r="J133" s="464"/>
    </row>
    <row r="134" spans="2:10" s="34" customFormat="1" ht="14.25" customHeight="1">
      <c r="B134" s="468" t="s">
        <v>287</v>
      </c>
      <c r="C134" s="462" t="s">
        <v>288</v>
      </c>
      <c r="D134" s="421" t="s">
        <v>79</v>
      </c>
      <c r="E134" s="469"/>
      <c r="F134" s="401">
        <v>130</v>
      </c>
      <c r="G134" s="415"/>
      <c r="H134" s="426"/>
      <c r="I134" s="416"/>
      <c r="J134" s="464"/>
    </row>
    <row r="135" spans="2:10" s="34" customFormat="1" ht="14.25" customHeight="1">
      <c r="B135" s="456" t="s">
        <v>289</v>
      </c>
      <c r="C135" s="457" t="s">
        <v>290</v>
      </c>
      <c r="D135" s="458"/>
      <c r="E135" s="419"/>
      <c r="F135" s="465"/>
      <c r="G135" s="428"/>
      <c r="H135" s="459"/>
      <c r="I135" s="459"/>
      <c r="J135" s="460"/>
    </row>
    <row r="136" spans="2:10" s="34" customFormat="1" ht="21.6" customHeight="1">
      <c r="B136" s="468" t="s">
        <v>291</v>
      </c>
      <c r="C136" s="462" t="s">
        <v>2068</v>
      </c>
      <c r="D136" s="421" t="s">
        <v>79</v>
      </c>
      <c r="E136" s="469"/>
      <c r="F136" s="401">
        <v>2600</v>
      </c>
      <c r="G136" s="415"/>
      <c r="H136" s="426"/>
      <c r="I136" s="416"/>
      <c r="J136" s="464"/>
    </row>
    <row r="137" spans="2:10" s="34" customFormat="1" ht="31.65" customHeight="1">
      <c r="B137" s="468" t="s">
        <v>293</v>
      </c>
      <c r="C137" s="462" t="s">
        <v>2069</v>
      </c>
      <c r="D137" s="421" t="s">
        <v>79</v>
      </c>
      <c r="E137" s="469"/>
      <c r="F137" s="401">
        <v>2500</v>
      </c>
      <c r="G137" s="415"/>
      <c r="H137" s="426"/>
      <c r="I137" s="416"/>
      <c r="J137" s="464"/>
    </row>
    <row r="138" spans="2:10" s="34" customFormat="1" ht="14.25" customHeight="1">
      <c r="B138" s="468" t="s">
        <v>295</v>
      </c>
      <c r="C138" s="462" t="s">
        <v>2070</v>
      </c>
      <c r="D138" s="421" t="s">
        <v>79</v>
      </c>
      <c r="E138" s="469"/>
      <c r="F138" s="401">
        <v>200</v>
      </c>
      <c r="G138" s="415"/>
      <c r="H138" s="426"/>
      <c r="I138" s="416"/>
      <c r="J138" s="464"/>
    </row>
    <row r="139" spans="2:10" s="34" customFormat="1" ht="14.25" customHeight="1">
      <c r="B139" s="468" t="s">
        <v>297</v>
      </c>
      <c r="C139" s="462" t="s">
        <v>2071</v>
      </c>
      <c r="D139" s="421" t="s">
        <v>79</v>
      </c>
      <c r="E139" s="469"/>
      <c r="F139" s="401">
        <v>300</v>
      </c>
      <c r="G139" s="415"/>
      <c r="H139" s="426"/>
      <c r="I139" s="416"/>
      <c r="J139" s="464"/>
    </row>
    <row r="140" spans="2:10" s="34" customFormat="1" ht="14.25" customHeight="1">
      <c r="B140" s="468" t="s">
        <v>299</v>
      </c>
      <c r="C140" s="462" t="s">
        <v>2072</v>
      </c>
      <c r="D140" s="421" t="s">
        <v>79</v>
      </c>
      <c r="E140" s="469"/>
      <c r="F140" s="401">
        <v>1500</v>
      </c>
      <c r="G140" s="415"/>
      <c r="H140" s="426"/>
      <c r="I140" s="416"/>
      <c r="J140" s="464"/>
    </row>
    <row r="141" spans="2:10" s="34" customFormat="1" ht="14.25" customHeight="1">
      <c r="B141" s="468" t="s">
        <v>301</v>
      </c>
      <c r="C141" s="462" t="s">
        <v>2073</v>
      </c>
      <c r="D141" s="421" t="s">
        <v>79</v>
      </c>
      <c r="E141" s="469"/>
      <c r="F141" s="401">
        <v>900</v>
      </c>
      <c r="G141" s="415"/>
      <c r="H141" s="426"/>
      <c r="I141" s="416"/>
      <c r="J141" s="464"/>
    </row>
    <row r="142" spans="2:10" s="34" customFormat="1" ht="14.25" customHeight="1">
      <c r="B142" s="450" t="s">
        <v>303</v>
      </c>
      <c r="C142" s="451" t="s">
        <v>304</v>
      </c>
      <c r="D142" s="452"/>
      <c r="E142" s="453"/>
      <c r="F142" s="470"/>
      <c r="G142" s="454"/>
      <c r="H142" s="453"/>
      <c r="I142" s="453"/>
      <c r="J142" s="455"/>
    </row>
    <row r="143" spans="2:10" s="34" customFormat="1" ht="14.25" customHeight="1">
      <c r="B143" s="456" t="s">
        <v>305</v>
      </c>
      <c r="C143" s="457" t="s">
        <v>306</v>
      </c>
      <c r="D143" s="458"/>
      <c r="E143" s="419"/>
      <c r="F143" s="465"/>
      <c r="G143" s="428"/>
      <c r="H143" s="459"/>
      <c r="I143" s="459"/>
      <c r="J143" s="460"/>
    </row>
    <row r="144" spans="2:10" s="34" customFormat="1" ht="21.6" customHeight="1">
      <c r="B144" s="468" t="s">
        <v>307</v>
      </c>
      <c r="C144" s="462" t="s">
        <v>2074</v>
      </c>
      <c r="D144" s="421" t="s">
        <v>79</v>
      </c>
      <c r="E144" s="480"/>
      <c r="F144" s="401">
        <v>1600</v>
      </c>
      <c r="G144" s="415"/>
      <c r="H144" s="426"/>
      <c r="I144" s="416"/>
      <c r="J144" s="464"/>
    </row>
    <row r="145" spans="2:10" s="34" customFormat="1" ht="21.6" customHeight="1">
      <c r="B145" s="468" t="s">
        <v>309</v>
      </c>
      <c r="C145" s="462" t="s">
        <v>2075</v>
      </c>
      <c r="D145" s="421" t="s">
        <v>79</v>
      </c>
      <c r="E145" s="426"/>
      <c r="F145" s="408">
        <v>450</v>
      </c>
      <c r="G145" s="415"/>
      <c r="H145" s="426"/>
      <c r="I145" s="416"/>
      <c r="J145" s="464"/>
    </row>
    <row r="146" spans="2:10" s="34" customFormat="1" ht="21.6" customHeight="1">
      <c r="B146" s="468" t="s">
        <v>311</v>
      </c>
      <c r="C146" s="462" t="s">
        <v>312</v>
      </c>
      <c r="D146" s="421" t="s">
        <v>79</v>
      </c>
      <c r="E146" s="480"/>
      <c r="F146" s="401">
        <v>1200</v>
      </c>
      <c r="G146" s="415"/>
      <c r="H146" s="426"/>
      <c r="I146" s="416"/>
      <c r="J146" s="464"/>
    </row>
    <row r="147" spans="2:10" s="34" customFormat="1" ht="21.6" customHeight="1">
      <c r="B147" s="468" t="s">
        <v>313</v>
      </c>
      <c r="C147" s="462" t="s">
        <v>284</v>
      </c>
      <c r="D147" s="421" t="s">
        <v>79</v>
      </c>
      <c r="E147" s="480"/>
      <c r="F147" s="402">
        <v>800</v>
      </c>
      <c r="G147" s="415"/>
      <c r="H147" s="426"/>
      <c r="I147" s="416"/>
      <c r="J147" s="464"/>
    </row>
    <row r="148" spans="2:10" s="34" customFormat="1" ht="21.6" customHeight="1">
      <c r="B148" s="468" t="s">
        <v>314</v>
      </c>
      <c r="C148" s="462" t="s">
        <v>315</v>
      </c>
      <c r="D148" s="421" t="s">
        <v>79</v>
      </c>
      <c r="E148" s="480"/>
      <c r="F148" s="402">
        <v>700</v>
      </c>
      <c r="G148" s="415"/>
      <c r="H148" s="426"/>
      <c r="I148" s="416"/>
      <c r="J148" s="464"/>
    </row>
    <row r="149" spans="2:10" s="34" customFormat="1" ht="14.25" customHeight="1">
      <c r="B149" s="468" t="s">
        <v>316</v>
      </c>
      <c r="C149" s="462" t="s">
        <v>2076</v>
      </c>
      <c r="D149" s="421" t="s">
        <v>79</v>
      </c>
      <c r="E149" s="480"/>
      <c r="F149" s="401">
        <v>40</v>
      </c>
      <c r="G149" s="415"/>
      <c r="H149" s="426"/>
      <c r="I149" s="416"/>
      <c r="J149" s="464"/>
    </row>
    <row r="150" spans="2:10" s="34" customFormat="1" ht="14.25" customHeight="1">
      <c r="B150" s="468" t="s">
        <v>318</v>
      </c>
      <c r="C150" s="462" t="s">
        <v>2077</v>
      </c>
      <c r="D150" s="421" t="s">
        <v>124</v>
      </c>
      <c r="E150" s="480"/>
      <c r="F150" s="402">
        <v>25</v>
      </c>
      <c r="G150" s="415"/>
      <c r="H150" s="426"/>
      <c r="I150" s="416"/>
      <c r="J150" s="464"/>
    </row>
    <row r="151" spans="2:10" s="34" customFormat="1" ht="14.25" customHeight="1">
      <c r="B151" s="468" t="s">
        <v>320</v>
      </c>
      <c r="C151" s="462" t="s">
        <v>321</v>
      </c>
      <c r="D151" s="421" t="s">
        <v>124</v>
      </c>
      <c r="E151" s="480"/>
      <c r="F151" s="402">
        <v>100</v>
      </c>
      <c r="G151" s="415"/>
      <c r="H151" s="426"/>
      <c r="I151" s="416"/>
      <c r="J151" s="464"/>
    </row>
    <row r="152" spans="2:10" s="34" customFormat="1" ht="14.25" customHeight="1">
      <c r="B152" s="456" t="s">
        <v>322</v>
      </c>
      <c r="C152" s="457" t="s">
        <v>323</v>
      </c>
      <c r="D152" s="458"/>
      <c r="E152" s="419"/>
      <c r="F152" s="465"/>
      <c r="G152" s="428"/>
      <c r="H152" s="459"/>
      <c r="I152" s="459"/>
      <c r="J152" s="460"/>
    </row>
    <row r="153" spans="2:10" s="34" customFormat="1" ht="21.6" customHeight="1">
      <c r="B153" s="468" t="s">
        <v>324</v>
      </c>
      <c r="C153" s="462" t="s">
        <v>325</v>
      </c>
      <c r="D153" s="421" t="s">
        <v>79</v>
      </c>
      <c r="E153" s="469"/>
      <c r="F153" s="401">
        <v>200</v>
      </c>
      <c r="G153" s="415"/>
      <c r="H153" s="426"/>
      <c r="I153" s="416"/>
      <c r="J153" s="464"/>
    </row>
    <row r="154" spans="2:10" s="34" customFormat="1" ht="21.6" customHeight="1">
      <c r="B154" s="468" t="s">
        <v>326</v>
      </c>
      <c r="C154" s="462" t="s">
        <v>327</v>
      </c>
      <c r="D154" s="421" t="s">
        <v>79</v>
      </c>
      <c r="E154" s="469"/>
      <c r="F154" s="401">
        <v>200</v>
      </c>
      <c r="G154" s="415"/>
      <c r="H154" s="426"/>
      <c r="I154" s="416"/>
      <c r="J154" s="464"/>
    </row>
    <row r="155" spans="2:10" s="34" customFormat="1" ht="21.6" customHeight="1">
      <c r="B155" s="468" t="s">
        <v>328</v>
      </c>
      <c r="C155" s="462" t="s">
        <v>2235</v>
      </c>
      <c r="D155" s="421" t="s">
        <v>79</v>
      </c>
      <c r="E155" s="469"/>
      <c r="F155" s="401">
        <v>300</v>
      </c>
      <c r="G155" s="415"/>
      <c r="H155" s="426"/>
      <c r="I155" s="416"/>
      <c r="J155" s="464"/>
    </row>
    <row r="156" spans="2:10" s="34" customFormat="1" ht="14.25" customHeight="1">
      <c r="B156" s="468" t="s">
        <v>330</v>
      </c>
      <c r="C156" s="462" t="s">
        <v>2078</v>
      </c>
      <c r="D156" s="421" t="s">
        <v>124</v>
      </c>
      <c r="E156" s="469"/>
      <c r="F156" s="401">
        <v>50</v>
      </c>
      <c r="G156" s="415"/>
      <c r="H156" s="426"/>
      <c r="I156" s="416"/>
      <c r="J156" s="464"/>
    </row>
    <row r="157" spans="2:10" s="34" customFormat="1" ht="28.8" customHeight="1">
      <c r="B157" s="468" t="s">
        <v>2236</v>
      </c>
      <c r="C157" s="462" t="s">
        <v>2079</v>
      </c>
      <c r="D157" s="421" t="s">
        <v>124</v>
      </c>
      <c r="E157" s="469"/>
      <c r="F157" s="401">
        <v>50</v>
      </c>
      <c r="G157" s="415"/>
      <c r="H157" s="426"/>
      <c r="I157" s="416"/>
      <c r="J157" s="464"/>
    </row>
    <row r="158" spans="2:10" s="34" customFormat="1" ht="14.25" customHeight="1">
      <c r="B158" s="450" t="s">
        <v>332</v>
      </c>
      <c r="C158" s="451" t="s">
        <v>333</v>
      </c>
      <c r="D158" s="452"/>
      <c r="E158" s="453"/>
      <c r="F158" s="470"/>
      <c r="G158" s="454"/>
      <c r="H158" s="453"/>
      <c r="I158" s="453"/>
      <c r="J158" s="455"/>
    </row>
    <row r="159" spans="2:10" s="34" customFormat="1" ht="21.6" customHeight="1">
      <c r="B159" s="468" t="s">
        <v>334</v>
      </c>
      <c r="C159" s="462" t="s">
        <v>335</v>
      </c>
      <c r="D159" s="421" t="s">
        <v>79</v>
      </c>
      <c r="E159" s="469"/>
      <c r="F159" s="401">
        <v>1600</v>
      </c>
      <c r="G159" s="415"/>
      <c r="H159" s="426"/>
      <c r="I159" s="416"/>
      <c r="J159" s="464"/>
    </row>
    <row r="160" spans="2:10" s="34" customFormat="1" ht="28.8" customHeight="1">
      <c r="B160" s="468" t="s">
        <v>336</v>
      </c>
      <c r="C160" s="462" t="s">
        <v>337</v>
      </c>
      <c r="D160" s="421" t="s">
        <v>79</v>
      </c>
      <c r="E160" s="469"/>
      <c r="F160" s="401">
        <v>100</v>
      </c>
      <c r="G160" s="415"/>
      <c r="H160" s="426"/>
      <c r="I160" s="416"/>
      <c r="J160" s="464"/>
    </row>
    <row r="161" spans="2:10" s="34" customFormat="1" ht="27" customHeight="1">
      <c r="B161" s="468" t="s">
        <v>338</v>
      </c>
      <c r="C161" s="462" t="s">
        <v>339</v>
      </c>
      <c r="D161" s="421" t="s">
        <v>79</v>
      </c>
      <c r="E161" s="469"/>
      <c r="F161" s="401">
        <v>500</v>
      </c>
      <c r="G161" s="415"/>
      <c r="H161" s="426"/>
      <c r="I161" s="416"/>
      <c r="J161" s="464"/>
    </row>
    <row r="162" spans="2:10" s="34" customFormat="1" ht="38.4" customHeight="1">
      <c r="B162" s="468" t="s">
        <v>340</v>
      </c>
      <c r="C162" s="462" t="s">
        <v>341</v>
      </c>
      <c r="D162" s="421" t="s">
        <v>79</v>
      </c>
      <c r="E162" s="469"/>
      <c r="F162" s="401">
        <v>400</v>
      </c>
      <c r="G162" s="415"/>
      <c r="H162" s="426"/>
      <c r="I162" s="416"/>
      <c r="J162" s="464"/>
    </row>
    <row r="163" spans="2:10" s="34" customFormat="1" ht="14.25" customHeight="1">
      <c r="B163" s="450" t="s">
        <v>342</v>
      </c>
      <c r="C163" s="451" t="s">
        <v>343</v>
      </c>
      <c r="D163" s="452"/>
      <c r="E163" s="453"/>
      <c r="F163" s="470"/>
      <c r="G163" s="454"/>
      <c r="H163" s="453"/>
      <c r="I163" s="453"/>
      <c r="J163" s="455"/>
    </row>
    <row r="164" spans="2:10" s="34" customFormat="1" ht="21.6" customHeight="1">
      <c r="B164" s="468" t="s">
        <v>344</v>
      </c>
      <c r="C164" s="462" t="s">
        <v>345</v>
      </c>
      <c r="D164" s="421" t="s">
        <v>79</v>
      </c>
      <c r="E164" s="469"/>
      <c r="F164" s="401">
        <v>800</v>
      </c>
      <c r="G164" s="415"/>
      <c r="H164" s="426"/>
      <c r="I164" s="416"/>
      <c r="J164" s="464"/>
    </row>
    <row r="165" spans="2:10" s="34" customFormat="1" ht="14.25" customHeight="1">
      <c r="B165" s="461" t="s">
        <v>346</v>
      </c>
      <c r="C165" s="462" t="s">
        <v>2080</v>
      </c>
      <c r="D165" s="463" t="s">
        <v>79</v>
      </c>
      <c r="E165" s="414"/>
      <c r="F165" s="403">
        <v>450</v>
      </c>
      <c r="G165" s="415"/>
      <c r="H165" s="426"/>
      <c r="I165" s="416"/>
      <c r="J165" s="464"/>
    </row>
    <row r="166" spans="2:10" s="34" customFormat="1" ht="14.25" customHeight="1">
      <c r="B166" s="450" t="s">
        <v>348</v>
      </c>
      <c r="C166" s="451" t="s">
        <v>349</v>
      </c>
      <c r="D166" s="452"/>
      <c r="E166" s="453"/>
      <c r="F166" s="470"/>
      <c r="G166" s="454"/>
      <c r="H166" s="453"/>
      <c r="I166" s="453"/>
      <c r="J166" s="455"/>
    </row>
    <row r="167" spans="2:10" s="34" customFormat="1" ht="14.25" customHeight="1">
      <c r="B167" s="456" t="s">
        <v>350</v>
      </c>
      <c r="C167" s="457" t="s">
        <v>351</v>
      </c>
      <c r="D167" s="458"/>
      <c r="E167" s="419"/>
      <c r="F167" s="465"/>
      <c r="G167" s="428"/>
      <c r="H167" s="459"/>
      <c r="I167" s="459"/>
      <c r="J167" s="460"/>
    </row>
    <row r="168" spans="2:10" s="34" customFormat="1" ht="61.2" customHeight="1">
      <c r="B168" s="461" t="s">
        <v>352</v>
      </c>
      <c r="C168" s="462" t="s">
        <v>2081</v>
      </c>
      <c r="D168" s="421" t="s">
        <v>63</v>
      </c>
      <c r="E168" s="469"/>
      <c r="F168" s="402">
        <v>30</v>
      </c>
      <c r="G168" s="415"/>
      <c r="H168" s="426"/>
      <c r="I168" s="416"/>
      <c r="J168" s="464"/>
    </row>
    <row r="169" spans="2:10" s="34" customFormat="1" ht="46.2">
      <c r="B169" s="461" t="s">
        <v>354</v>
      </c>
      <c r="C169" s="462" t="s">
        <v>2082</v>
      </c>
      <c r="D169" s="421" t="s">
        <v>63</v>
      </c>
      <c r="E169" s="469"/>
      <c r="F169" s="402">
        <v>20</v>
      </c>
      <c r="G169" s="415"/>
      <c r="H169" s="426"/>
      <c r="I169" s="416"/>
      <c r="J169" s="464"/>
    </row>
    <row r="170" spans="2:10" s="34" customFormat="1" ht="57.6">
      <c r="B170" s="461" t="s">
        <v>356</v>
      </c>
      <c r="C170" s="462" t="s">
        <v>2083</v>
      </c>
      <c r="D170" s="421" t="s">
        <v>63</v>
      </c>
      <c r="E170" s="469"/>
      <c r="F170" s="402">
        <v>10</v>
      </c>
      <c r="G170" s="415"/>
      <c r="H170" s="426"/>
      <c r="I170" s="416"/>
      <c r="J170" s="464"/>
    </row>
    <row r="171" spans="2:10" s="34" customFormat="1" ht="34.799999999999997">
      <c r="B171" s="461" t="s">
        <v>358</v>
      </c>
      <c r="C171" s="462" t="s">
        <v>2084</v>
      </c>
      <c r="D171" s="421" t="s">
        <v>63</v>
      </c>
      <c r="E171" s="469"/>
      <c r="F171" s="402">
        <v>5</v>
      </c>
      <c r="G171" s="415"/>
      <c r="H171" s="426"/>
      <c r="I171" s="416"/>
      <c r="J171" s="464"/>
    </row>
    <row r="172" spans="2:10" s="34" customFormat="1" ht="57.6">
      <c r="B172" s="461" t="s">
        <v>360</v>
      </c>
      <c r="C172" s="462" t="s">
        <v>2085</v>
      </c>
      <c r="D172" s="421" t="s">
        <v>63</v>
      </c>
      <c r="E172" s="469"/>
      <c r="F172" s="402">
        <v>10</v>
      </c>
      <c r="G172" s="415"/>
      <c r="H172" s="426"/>
      <c r="I172" s="416"/>
      <c r="J172" s="464"/>
    </row>
    <row r="173" spans="2:10" s="34" customFormat="1" ht="57.6">
      <c r="B173" s="461" t="s">
        <v>362</v>
      </c>
      <c r="C173" s="462" t="s">
        <v>2086</v>
      </c>
      <c r="D173" s="421" t="s">
        <v>63</v>
      </c>
      <c r="E173" s="469"/>
      <c r="F173" s="402">
        <v>5</v>
      </c>
      <c r="G173" s="415"/>
      <c r="H173" s="426"/>
      <c r="I173" s="416"/>
      <c r="J173" s="464"/>
    </row>
    <row r="174" spans="2:10" s="34" customFormat="1" ht="34.799999999999997">
      <c r="B174" s="461" t="s">
        <v>364</v>
      </c>
      <c r="C174" s="462" t="s">
        <v>365</v>
      </c>
      <c r="D174" s="421" t="s">
        <v>63</v>
      </c>
      <c r="E174" s="469"/>
      <c r="F174" s="402">
        <v>5</v>
      </c>
      <c r="G174" s="415"/>
      <c r="H174" s="426"/>
      <c r="I174" s="416"/>
      <c r="J174" s="464"/>
    </row>
    <row r="175" spans="2:10" s="34" customFormat="1" ht="69">
      <c r="B175" s="461" t="s">
        <v>366</v>
      </c>
      <c r="C175" s="462" t="s">
        <v>2087</v>
      </c>
      <c r="D175" s="421" t="s">
        <v>63</v>
      </c>
      <c r="E175" s="469"/>
      <c r="F175" s="402">
        <v>2</v>
      </c>
      <c r="G175" s="415"/>
      <c r="H175" s="426"/>
      <c r="I175" s="416"/>
      <c r="J175" s="464"/>
    </row>
    <row r="176" spans="2:10" s="34" customFormat="1" ht="34.799999999999997">
      <c r="B176" s="461" t="s">
        <v>368</v>
      </c>
      <c r="C176" s="462" t="s">
        <v>369</v>
      </c>
      <c r="D176" s="421" t="s">
        <v>63</v>
      </c>
      <c r="E176" s="469"/>
      <c r="F176" s="402">
        <v>15</v>
      </c>
      <c r="G176" s="415"/>
      <c r="H176" s="426"/>
      <c r="I176" s="416"/>
      <c r="J176" s="464"/>
    </row>
    <row r="177" spans="2:10" s="34" customFormat="1" ht="34.799999999999997">
      <c r="B177" s="461" t="s">
        <v>370</v>
      </c>
      <c r="C177" s="462" t="s">
        <v>371</v>
      </c>
      <c r="D177" s="421" t="s">
        <v>63</v>
      </c>
      <c r="E177" s="469"/>
      <c r="F177" s="402">
        <v>2</v>
      </c>
      <c r="G177" s="415"/>
      <c r="H177" s="426"/>
      <c r="I177" s="416"/>
      <c r="J177" s="464"/>
    </row>
    <row r="178" spans="2:10" s="34" customFormat="1" ht="34.799999999999997">
      <c r="B178" s="461" t="s">
        <v>372</v>
      </c>
      <c r="C178" s="462" t="s">
        <v>373</v>
      </c>
      <c r="D178" s="421" t="s">
        <v>63</v>
      </c>
      <c r="E178" s="469"/>
      <c r="F178" s="402">
        <v>2</v>
      </c>
      <c r="G178" s="415"/>
      <c r="H178" s="426"/>
      <c r="I178" s="416"/>
      <c r="J178" s="464"/>
    </row>
    <row r="179" spans="2:10" s="34" customFormat="1" ht="34.799999999999997">
      <c r="B179" s="461" t="s">
        <v>374</v>
      </c>
      <c r="C179" s="462" t="s">
        <v>375</v>
      </c>
      <c r="D179" s="421" t="s">
        <v>79</v>
      </c>
      <c r="E179" s="469"/>
      <c r="F179" s="402">
        <v>90</v>
      </c>
      <c r="G179" s="415"/>
      <c r="H179" s="426"/>
      <c r="I179" s="416"/>
      <c r="J179" s="464"/>
    </row>
    <row r="180" spans="2:10" s="34" customFormat="1" ht="34.799999999999997">
      <c r="B180" s="461" t="s">
        <v>376</v>
      </c>
      <c r="C180" s="462" t="s">
        <v>377</v>
      </c>
      <c r="D180" s="421" t="s">
        <v>79</v>
      </c>
      <c r="E180" s="469"/>
      <c r="F180" s="402">
        <v>45</v>
      </c>
      <c r="G180" s="415"/>
      <c r="H180" s="426"/>
      <c r="I180" s="416"/>
      <c r="J180" s="464"/>
    </row>
    <row r="181" spans="2:10" s="34" customFormat="1" ht="34.799999999999997">
      <c r="B181" s="461" t="s">
        <v>378</v>
      </c>
      <c r="C181" s="462" t="s">
        <v>379</v>
      </c>
      <c r="D181" s="421" t="s">
        <v>79</v>
      </c>
      <c r="E181" s="469"/>
      <c r="F181" s="402">
        <v>90</v>
      </c>
      <c r="G181" s="415"/>
      <c r="H181" s="426"/>
      <c r="I181" s="416"/>
      <c r="J181" s="464"/>
    </row>
    <row r="182" spans="2:10" s="34" customFormat="1" ht="34.799999999999997">
      <c r="B182" s="461" t="s">
        <v>380</v>
      </c>
      <c r="C182" s="462" t="s">
        <v>381</v>
      </c>
      <c r="D182" s="421" t="s">
        <v>79</v>
      </c>
      <c r="E182" s="469"/>
      <c r="F182" s="402">
        <v>25</v>
      </c>
      <c r="G182" s="415"/>
      <c r="H182" s="426"/>
      <c r="I182" s="416"/>
      <c r="J182" s="464"/>
    </row>
    <row r="183" spans="2:10" s="34" customFormat="1" ht="23.4">
      <c r="B183" s="461" t="s">
        <v>382</v>
      </c>
      <c r="C183" s="462" t="s">
        <v>383</v>
      </c>
      <c r="D183" s="421" t="s">
        <v>79</v>
      </c>
      <c r="E183" s="469"/>
      <c r="F183" s="402">
        <v>20</v>
      </c>
      <c r="G183" s="415"/>
      <c r="H183" s="426"/>
      <c r="I183" s="416"/>
      <c r="J183" s="464"/>
    </row>
    <row r="184" spans="2:10" s="34" customFormat="1" ht="40.200000000000003" customHeight="1">
      <c r="B184" s="461" t="s">
        <v>384</v>
      </c>
      <c r="C184" s="462" t="s">
        <v>385</v>
      </c>
      <c r="D184" s="421" t="s">
        <v>79</v>
      </c>
      <c r="E184" s="469"/>
      <c r="F184" s="402">
        <v>80</v>
      </c>
      <c r="G184" s="415"/>
      <c r="H184" s="426"/>
      <c r="I184" s="416"/>
      <c r="J184" s="464"/>
    </row>
    <row r="185" spans="2:10" s="34" customFormat="1" ht="61.2" customHeight="1">
      <c r="B185" s="461" t="s">
        <v>386</v>
      </c>
      <c r="C185" s="462" t="s">
        <v>387</v>
      </c>
      <c r="D185" s="421" t="s">
        <v>79</v>
      </c>
      <c r="E185" s="469"/>
      <c r="F185" s="402">
        <v>200</v>
      </c>
      <c r="G185" s="415"/>
      <c r="H185" s="426"/>
      <c r="I185" s="416"/>
      <c r="J185" s="464"/>
    </row>
    <row r="186" spans="2:10" s="34" customFormat="1" ht="24.6" customHeight="1">
      <c r="B186" s="461" t="s">
        <v>388</v>
      </c>
      <c r="C186" s="462" t="s">
        <v>389</v>
      </c>
      <c r="D186" s="421" t="s">
        <v>390</v>
      </c>
      <c r="E186" s="469"/>
      <c r="F186" s="402">
        <v>3</v>
      </c>
      <c r="G186" s="415"/>
      <c r="H186" s="426"/>
      <c r="I186" s="416"/>
      <c r="J186" s="464"/>
    </row>
    <row r="187" spans="2:10" s="34" customFormat="1" ht="24.6" customHeight="1">
      <c r="B187" s="461" t="s">
        <v>391</v>
      </c>
      <c r="C187" s="462" t="s">
        <v>392</v>
      </c>
      <c r="D187" s="421" t="s">
        <v>390</v>
      </c>
      <c r="E187" s="469"/>
      <c r="F187" s="402">
        <v>1</v>
      </c>
      <c r="G187" s="415"/>
      <c r="H187" s="426"/>
      <c r="I187" s="416"/>
      <c r="J187" s="464"/>
    </row>
    <row r="188" spans="2:10" s="34" customFormat="1" ht="19.2" customHeight="1">
      <c r="B188" s="461" t="s">
        <v>393</v>
      </c>
      <c r="C188" s="462" t="s">
        <v>394</v>
      </c>
      <c r="D188" s="421" t="s">
        <v>390</v>
      </c>
      <c r="E188" s="469"/>
      <c r="F188" s="402">
        <v>4</v>
      </c>
      <c r="G188" s="415"/>
      <c r="H188" s="426"/>
      <c r="I188" s="416"/>
      <c r="J188" s="464"/>
    </row>
    <row r="189" spans="2:10" s="34" customFormat="1" ht="34.799999999999997">
      <c r="B189" s="461" t="s">
        <v>395</v>
      </c>
      <c r="C189" s="462" t="s">
        <v>396</v>
      </c>
      <c r="D189" s="421" t="s">
        <v>390</v>
      </c>
      <c r="E189" s="469"/>
      <c r="F189" s="402">
        <v>20</v>
      </c>
      <c r="G189" s="415"/>
      <c r="H189" s="426"/>
      <c r="I189" s="416"/>
      <c r="J189" s="464"/>
    </row>
    <row r="190" spans="2:10" s="34" customFormat="1" ht="21.6" customHeight="1">
      <c r="B190" s="461" t="s">
        <v>397</v>
      </c>
      <c r="C190" s="462" t="s">
        <v>398</v>
      </c>
      <c r="D190" s="421" t="s">
        <v>79</v>
      </c>
      <c r="E190" s="469"/>
      <c r="F190" s="402">
        <v>15</v>
      </c>
      <c r="G190" s="415"/>
      <c r="H190" s="426"/>
      <c r="I190" s="416"/>
      <c r="J190" s="464"/>
    </row>
    <row r="191" spans="2:10" s="34" customFormat="1" ht="21.6" customHeight="1">
      <c r="B191" s="461" t="s">
        <v>399</v>
      </c>
      <c r="C191" s="462" t="s">
        <v>400</v>
      </c>
      <c r="D191" s="421" t="s">
        <v>63</v>
      </c>
      <c r="E191" s="469"/>
      <c r="F191" s="402">
        <v>15</v>
      </c>
      <c r="G191" s="415"/>
      <c r="H191" s="426"/>
      <c r="I191" s="416"/>
      <c r="J191" s="464"/>
    </row>
    <row r="192" spans="2:10" s="34" customFormat="1" ht="21.6" customHeight="1">
      <c r="B192" s="461" t="s">
        <v>401</v>
      </c>
      <c r="C192" s="462" t="s">
        <v>402</v>
      </c>
      <c r="D192" s="421" t="s">
        <v>63</v>
      </c>
      <c r="E192" s="469"/>
      <c r="F192" s="402">
        <v>40</v>
      </c>
      <c r="G192" s="415"/>
      <c r="H192" s="426"/>
      <c r="I192" s="416"/>
      <c r="J192" s="464"/>
    </row>
    <row r="193" spans="2:10" s="34" customFormat="1" ht="14.25" customHeight="1">
      <c r="B193" s="456" t="s">
        <v>403</v>
      </c>
      <c r="C193" s="457" t="s">
        <v>404</v>
      </c>
      <c r="D193" s="458"/>
      <c r="E193" s="419"/>
      <c r="F193" s="465"/>
      <c r="G193" s="428"/>
      <c r="H193" s="459"/>
      <c r="I193" s="459"/>
      <c r="J193" s="460"/>
    </row>
    <row r="194" spans="2:10" s="34" customFormat="1" ht="21.6" customHeight="1">
      <c r="B194" s="468" t="s">
        <v>405</v>
      </c>
      <c r="C194" s="462" t="s">
        <v>406</v>
      </c>
      <c r="D194" s="421" t="s">
        <v>124</v>
      </c>
      <c r="E194" s="469"/>
      <c r="F194" s="402">
        <v>120</v>
      </c>
      <c r="G194" s="415"/>
      <c r="H194" s="426"/>
      <c r="I194" s="416"/>
      <c r="J194" s="464"/>
    </row>
    <row r="195" spans="2:10" s="34" customFormat="1" ht="14.25" customHeight="1">
      <c r="B195" s="468" t="s">
        <v>407</v>
      </c>
      <c r="C195" s="462" t="s">
        <v>408</v>
      </c>
      <c r="D195" s="421" t="s">
        <v>124</v>
      </c>
      <c r="E195" s="469"/>
      <c r="F195" s="402">
        <v>150</v>
      </c>
      <c r="G195" s="415"/>
      <c r="H195" s="426"/>
      <c r="I195" s="416"/>
      <c r="J195" s="464"/>
    </row>
    <row r="196" spans="2:10" s="34" customFormat="1" ht="14.25" customHeight="1">
      <c r="B196" s="468" t="s">
        <v>409</v>
      </c>
      <c r="C196" s="462" t="s">
        <v>410</v>
      </c>
      <c r="D196" s="421" t="s">
        <v>124</v>
      </c>
      <c r="E196" s="469"/>
      <c r="F196" s="402">
        <v>120</v>
      </c>
      <c r="G196" s="415"/>
      <c r="H196" s="426"/>
      <c r="I196" s="416"/>
      <c r="J196" s="464"/>
    </row>
    <row r="197" spans="2:10" s="34" customFormat="1" ht="14.25" customHeight="1">
      <c r="B197" s="468" t="s">
        <v>411</v>
      </c>
      <c r="C197" s="462" t="s">
        <v>412</v>
      </c>
      <c r="D197" s="421" t="s">
        <v>124</v>
      </c>
      <c r="E197" s="469"/>
      <c r="F197" s="402">
        <v>80</v>
      </c>
      <c r="G197" s="415"/>
      <c r="H197" s="426"/>
      <c r="I197" s="416"/>
      <c r="J197" s="464"/>
    </row>
    <row r="198" spans="2:10" s="34" customFormat="1" ht="31.65" customHeight="1">
      <c r="B198" s="468" t="s">
        <v>413</v>
      </c>
      <c r="C198" s="462" t="s">
        <v>414</v>
      </c>
      <c r="D198" s="421" t="s">
        <v>124</v>
      </c>
      <c r="E198" s="469"/>
      <c r="F198" s="402">
        <v>10</v>
      </c>
      <c r="G198" s="415"/>
      <c r="H198" s="426"/>
      <c r="I198" s="416"/>
      <c r="J198" s="464"/>
    </row>
    <row r="199" spans="2:10" s="34" customFormat="1" ht="14.25" customHeight="1">
      <c r="B199" s="468" t="s">
        <v>415</v>
      </c>
      <c r="C199" s="462" t="s">
        <v>416</v>
      </c>
      <c r="D199" s="421" t="s">
        <v>79</v>
      </c>
      <c r="E199" s="469"/>
      <c r="F199" s="402">
        <v>50</v>
      </c>
      <c r="G199" s="415"/>
      <c r="H199" s="426"/>
      <c r="I199" s="416"/>
      <c r="J199" s="464"/>
    </row>
    <row r="200" spans="2:10" s="34" customFormat="1" ht="14.25" customHeight="1">
      <c r="B200" s="468" t="s">
        <v>417</v>
      </c>
      <c r="C200" s="462" t="s">
        <v>418</v>
      </c>
      <c r="D200" s="421" t="s">
        <v>79</v>
      </c>
      <c r="E200" s="469"/>
      <c r="F200" s="402">
        <v>50</v>
      </c>
      <c r="G200" s="415"/>
      <c r="H200" s="426"/>
      <c r="I200" s="416"/>
      <c r="J200" s="464"/>
    </row>
    <row r="201" spans="2:10" s="34" customFormat="1" ht="21.6" customHeight="1">
      <c r="B201" s="468" t="s">
        <v>419</v>
      </c>
      <c r="C201" s="462" t="s">
        <v>2088</v>
      </c>
      <c r="D201" s="421" t="s">
        <v>79</v>
      </c>
      <c r="E201" s="469"/>
      <c r="F201" s="402">
        <v>50</v>
      </c>
      <c r="G201" s="415"/>
      <c r="H201" s="426"/>
      <c r="I201" s="416"/>
      <c r="J201" s="464"/>
    </row>
    <row r="202" spans="2:10" s="34" customFormat="1" ht="21.6" customHeight="1">
      <c r="B202" s="468" t="s">
        <v>421</v>
      </c>
      <c r="C202" s="462" t="s">
        <v>422</v>
      </c>
      <c r="D202" s="421" t="s">
        <v>79</v>
      </c>
      <c r="E202" s="469"/>
      <c r="F202" s="402">
        <v>300</v>
      </c>
      <c r="G202" s="415"/>
      <c r="H202" s="426"/>
      <c r="I202" s="416"/>
      <c r="J202" s="464"/>
    </row>
    <row r="203" spans="2:10" s="34" customFormat="1" ht="14.25" customHeight="1">
      <c r="B203" s="450" t="s">
        <v>423</v>
      </c>
      <c r="C203" s="451" t="s">
        <v>424</v>
      </c>
      <c r="D203" s="452"/>
      <c r="E203" s="453"/>
      <c r="F203" s="470"/>
      <c r="G203" s="454"/>
      <c r="H203" s="453"/>
      <c r="I203" s="453"/>
      <c r="J203" s="455"/>
    </row>
    <row r="204" spans="2:10" s="34" customFormat="1" ht="14.25" customHeight="1">
      <c r="B204" s="468" t="s">
        <v>425</v>
      </c>
      <c r="C204" s="462" t="s">
        <v>426</v>
      </c>
      <c r="D204" s="421" t="s">
        <v>79</v>
      </c>
      <c r="E204" s="469"/>
      <c r="F204" s="401">
        <v>20000</v>
      </c>
      <c r="G204" s="415"/>
      <c r="H204" s="426"/>
      <c r="I204" s="416"/>
      <c r="J204" s="464"/>
    </row>
    <row r="205" spans="2:10" s="34" customFormat="1" ht="14.25" customHeight="1">
      <c r="B205" s="468" t="s">
        <v>427</v>
      </c>
      <c r="C205" s="462" t="s">
        <v>2089</v>
      </c>
      <c r="D205" s="421" t="s">
        <v>79</v>
      </c>
      <c r="E205" s="469"/>
      <c r="F205" s="401">
        <v>3000</v>
      </c>
      <c r="G205" s="415"/>
      <c r="H205" s="426"/>
      <c r="I205" s="416"/>
      <c r="J205" s="464"/>
    </row>
    <row r="206" spans="2:10" s="34" customFormat="1" ht="14.25" customHeight="1">
      <c r="B206" s="468" t="s">
        <v>429</v>
      </c>
      <c r="C206" s="462" t="s">
        <v>430</v>
      </c>
      <c r="D206" s="421" t="s">
        <v>79</v>
      </c>
      <c r="E206" s="469"/>
      <c r="F206" s="401">
        <v>20000</v>
      </c>
      <c r="G206" s="415"/>
      <c r="H206" s="426"/>
      <c r="I206" s="416"/>
      <c r="J206" s="464"/>
    </row>
    <row r="207" spans="2:10" s="34" customFormat="1" ht="14.25" customHeight="1">
      <c r="B207" s="468" t="s">
        <v>431</v>
      </c>
      <c r="C207" s="462" t="s">
        <v>432</v>
      </c>
      <c r="D207" s="421" t="s">
        <v>79</v>
      </c>
      <c r="E207" s="469"/>
      <c r="F207" s="401">
        <v>3000</v>
      </c>
      <c r="G207" s="415"/>
      <c r="H207" s="426"/>
      <c r="I207" s="416"/>
      <c r="J207" s="464"/>
    </row>
    <row r="208" spans="2:10" s="34" customFormat="1" ht="14.25" customHeight="1">
      <c r="B208" s="468" t="s">
        <v>433</v>
      </c>
      <c r="C208" s="462" t="s">
        <v>434</v>
      </c>
      <c r="D208" s="421" t="s">
        <v>79</v>
      </c>
      <c r="E208" s="469"/>
      <c r="F208" s="401">
        <v>20000</v>
      </c>
      <c r="G208" s="415"/>
      <c r="H208" s="426"/>
      <c r="I208" s="416"/>
      <c r="J208" s="464"/>
    </row>
    <row r="209" spans="2:10" s="34" customFormat="1" ht="14.25" customHeight="1">
      <c r="B209" s="468" t="s">
        <v>435</v>
      </c>
      <c r="C209" s="462" t="s">
        <v>436</v>
      </c>
      <c r="D209" s="421" t="s">
        <v>79</v>
      </c>
      <c r="E209" s="469"/>
      <c r="F209" s="401">
        <v>3000</v>
      </c>
      <c r="G209" s="415"/>
      <c r="H209" s="426"/>
      <c r="I209" s="416"/>
      <c r="J209" s="464"/>
    </row>
    <row r="210" spans="2:10" s="107" customFormat="1" ht="14.25" customHeight="1">
      <c r="B210" s="450" t="s">
        <v>437</v>
      </c>
      <c r="C210" s="451" t="s">
        <v>438</v>
      </c>
      <c r="D210" s="452"/>
      <c r="E210" s="453"/>
      <c r="F210" s="470"/>
      <c r="G210" s="454"/>
      <c r="H210" s="453"/>
      <c r="I210" s="453"/>
      <c r="J210" s="455"/>
    </row>
    <row r="211" spans="2:10" s="34" customFormat="1" ht="14.25" customHeight="1">
      <c r="B211" s="468" t="s">
        <v>439</v>
      </c>
      <c r="C211" s="462" t="s">
        <v>440</v>
      </c>
      <c r="D211" s="421" t="s">
        <v>124</v>
      </c>
      <c r="E211" s="469"/>
      <c r="F211" s="401">
        <v>200</v>
      </c>
      <c r="G211" s="415"/>
      <c r="H211" s="426"/>
      <c r="I211" s="416"/>
      <c r="J211" s="464"/>
    </row>
    <row r="212" spans="2:10" s="34" customFormat="1" ht="14.25" customHeight="1">
      <c r="B212" s="468" t="s">
        <v>441</v>
      </c>
      <c r="C212" s="462" t="s">
        <v>442</v>
      </c>
      <c r="D212" s="421" t="s">
        <v>124</v>
      </c>
      <c r="E212" s="469"/>
      <c r="F212" s="402">
        <v>200</v>
      </c>
      <c r="G212" s="415"/>
      <c r="H212" s="426"/>
      <c r="I212" s="416"/>
      <c r="J212" s="464"/>
    </row>
    <row r="213" spans="2:10" s="34" customFormat="1" ht="14.25" customHeight="1">
      <c r="B213" s="450" t="s">
        <v>443</v>
      </c>
      <c r="C213" s="451" t="s">
        <v>444</v>
      </c>
      <c r="D213" s="452"/>
      <c r="E213" s="453"/>
      <c r="F213" s="470"/>
      <c r="G213" s="454"/>
      <c r="H213" s="453"/>
      <c r="I213" s="453"/>
      <c r="J213" s="455"/>
    </row>
    <row r="214" spans="2:10" s="34" customFormat="1" ht="14.25" customHeight="1">
      <c r="B214" s="456" t="s">
        <v>445</v>
      </c>
      <c r="C214" s="457" t="s">
        <v>446</v>
      </c>
      <c r="D214" s="458"/>
      <c r="E214" s="419"/>
      <c r="F214" s="465"/>
      <c r="G214" s="428"/>
      <c r="H214" s="459"/>
      <c r="I214" s="459"/>
      <c r="J214" s="460"/>
    </row>
    <row r="215" spans="2:10" s="34" customFormat="1" ht="14.25" customHeight="1">
      <c r="B215" s="468" t="s">
        <v>447</v>
      </c>
      <c r="C215" s="462" t="s">
        <v>448</v>
      </c>
      <c r="D215" s="421" t="s">
        <v>124</v>
      </c>
      <c r="E215" s="469"/>
      <c r="F215" s="401">
        <v>260</v>
      </c>
      <c r="G215" s="415"/>
      <c r="H215" s="426"/>
      <c r="I215" s="416"/>
      <c r="J215" s="464"/>
    </row>
    <row r="216" spans="2:10" s="34" customFormat="1" ht="14.25" customHeight="1">
      <c r="B216" s="468" t="s">
        <v>449</v>
      </c>
      <c r="C216" s="462" t="s">
        <v>450</v>
      </c>
      <c r="D216" s="421" t="s">
        <v>63</v>
      </c>
      <c r="E216" s="469"/>
      <c r="F216" s="401">
        <v>20</v>
      </c>
      <c r="G216" s="415"/>
      <c r="H216" s="426"/>
      <c r="I216" s="416"/>
      <c r="J216" s="464"/>
    </row>
    <row r="217" spans="2:10" s="34" customFormat="1" ht="14.25" customHeight="1">
      <c r="B217" s="468" t="s">
        <v>451</v>
      </c>
      <c r="C217" s="462" t="s">
        <v>452</v>
      </c>
      <c r="D217" s="421" t="s">
        <v>63</v>
      </c>
      <c r="E217" s="469"/>
      <c r="F217" s="401">
        <v>30</v>
      </c>
      <c r="G217" s="415"/>
      <c r="H217" s="426"/>
      <c r="I217" s="416"/>
      <c r="J217" s="464"/>
    </row>
    <row r="218" spans="2:10" s="34" customFormat="1" ht="14.25" customHeight="1">
      <c r="B218" s="468" t="s">
        <v>453</v>
      </c>
      <c r="C218" s="462" t="s">
        <v>454</v>
      </c>
      <c r="D218" s="421" t="s">
        <v>63</v>
      </c>
      <c r="E218" s="469"/>
      <c r="F218" s="401">
        <v>20</v>
      </c>
      <c r="G218" s="415"/>
      <c r="H218" s="426"/>
      <c r="I218" s="416"/>
      <c r="J218" s="464"/>
    </row>
    <row r="219" spans="2:10" s="34" customFormat="1" ht="14.25" customHeight="1">
      <c r="B219" s="468" t="s">
        <v>455</v>
      </c>
      <c r="C219" s="462" t="s">
        <v>456</v>
      </c>
      <c r="D219" s="421" t="s">
        <v>63</v>
      </c>
      <c r="E219" s="469"/>
      <c r="F219" s="401">
        <v>20</v>
      </c>
      <c r="G219" s="415"/>
      <c r="H219" s="426"/>
      <c r="I219" s="416"/>
      <c r="J219" s="464"/>
    </row>
    <row r="220" spans="2:10" s="34" customFormat="1" ht="14.25" customHeight="1">
      <c r="B220" s="468" t="s">
        <v>457</v>
      </c>
      <c r="C220" s="462" t="s">
        <v>458</v>
      </c>
      <c r="D220" s="421" t="s">
        <v>63</v>
      </c>
      <c r="E220" s="469"/>
      <c r="F220" s="401">
        <v>250</v>
      </c>
      <c r="G220" s="415"/>
      <c r="H220" s="426"/>
      <c r="I220" s="416"/>
      <c r="J220" s="464"/>
    </row>
    <row r="221" spans="2:10" s="34" customFormat="1" ht="21.6" customHeight="1">
      <c r="B221" s="468" t="s">
        <v>459</v>
      </c>
      <c r="C221" s="462" t="s">
        <v>460</v>
      </c>
      <c r="D221" s="421" t="s">
        <v>124</v>
      </c>
      <c r="E221" s="469"/>
      <c r="F221" s="401">
        <v>50</v>
      </c>
      <c r="G221" s="415"/>
      <c r="H221" s="426"/>
      <c r="I221" s="416"/>
      <c r="J221" s="464"/>
    </row>
    <row r="222" spans="2:10" s="34" customFormat="1" ht="21.6" customHeight="1">
      <c r="B222" s="468" t="s">
        <v>461</v>
      </c>
      <c r="C222" s="462" t="s">
        <v>2090</v>
      </c>
      <c r="D222" s="421" t="s">
        <v>124</v>
      </c>
      <c r="E222" s="469"/>
      <c r="F222" s="401">
        <v>90</v>
      </c>
      <c r="G222" s="415"/>
      <c r="H222" s="426"/>
      <c r="I222" s="416"/>
      <c r="J222" s="464"/>
    </row>
    <row r="223" spans="2:10" s="34" customFormat="1" ht="21.6" customHeight="1">
      <c r="B223" s="468" t="s">
        <v>463</v>
      </c>
      <c r="C223" s="462" t="s">
        <v>2091</v>
      </c>
      <c r="D223" s="421" t="s">
        <v>124</v>
      </c>
      <c r="E223" s="469"/>
      <c r="F223" s="401">
        <v>3600</v>
      </c>
      <c r="G223" s="415"/>
      <c r="H223" s="426"/>
      <c r="I223" s="416"/>
      <c r="J223" s="464"/>
    </row>
    <row r="224" spans="2:10" s="34" customFormat="1" ht="21.6" customHeight="1">
      <c r="B224" s="468" t="s">
        <v>465</v>
      </c>
      <c r="C224" s="462" t="s">
        <v>2092</v>
      </c>
      <c r="D224" s="421" t="s">
        <v>124</v>
      </c>
      <c r="E224" s="469"/>
      <c r="F224" s="401">
        <v>450</v>
      </c>
      <c r="G224" s="415"/>
      <c r="H224" s="426"/>
      <c r="I224" s="416"/>
      <c r="J224" s="464"/>
    </row>
    <row r="225" spans="2:10" s="34" customFormat="1" ht="14.25" customHeight="1">
      <c r="B225" s="468" t="s">
        <v>467</v>
      </c>
      <c r="C225" s="462" t="s">
        <v>2093</v>
      </c>
      <c r="D225" s="421" t="s">
        <v>63</v>
      </c>
      <c r="E225" s="469"/>
      <c r="F225" s="401">
        <v>750</v>
      </c>
      <c r="G225" s="415"/>
      <c r="H225" s="426"/>
      <c r="I225" s="416"/>
      <c r="J225" s="464"/>
    </row>
    <row r="226" spans="2:10" s="34" customFormat="1" ht="21.6" customHeight="1">
      <c r="B226" s="468" t="s">
        <v>469</v>
      </c>
      <c r="C226" s="462" t="s">
        <v>2094</v>
      </c>
      <c r="D226" s="421" t="s">
        <v>63</v>
      </c>
      <c r="E226" s="469"/>
      <c r="F226" s="401">
        <v>900</v>
      </c>
      <c r="G226" s="415"/>
      <c r="H226" s="426"/>
      <c r="I226" s="416"/>
      <c r="J226" s="464"/>
    </row>
    <row r="227" spans="2:10" s="34" customFormat="1" ht="21.6" customHeight="1">
      <c r="B227" s="468" t="s">
        <v>471</v>
      </c>
      <c r="C227" s="462" t="s">
        <v>2095</v>
      </c>
      <c r="D227" s="421" t="s">
        <v>63</v>
      </c>
      <c r="E227" s="469"/>
      <c r="F227" s="401">
        <v>4</v>
      </c>
      <c r="G227" s="415"/>
      <c r="H227" s="426"/>
      <c r="I227" s="416"/>
      <c r="J227" s="464"/>
    </row>
    <row r="228" spans="2:10" s="34" customFormat="1" ht="14.25" customHeight="1">
      <c r="B228" s="456" t="s">
        <v>473</v>
      </c>
      <c r="C228" s="457" t="s">
        <v>474</v>
      </c>
      <c r="D228" s="458"/>
      <c r="E228" s="419"/>
      <c r="F228" s="465"/>
      <c r="G228" s="428"/>
      <c r="H228" s="459"/>
      <c r="I228" s="459"/>
      <c r="J228" s="460"/>
    </row>
    <row r="229" spans="2:10" s="34" customFormat="1" ht="14.25" customHeight="1">
      <c r="B229" s="468" t="s">
        <v>475</v>
      </c>
      <c r="C229" s="462" t="s">
        <v>476</v>
      </c>
      <c r="D229" s="421" t="s">
        <v>124</v>
      </c>
      <c r="E229" s="469"/>
      <c r="F229" s="401">
        <v>800</v>
      </c>
      <c r="G229" s="415"/>
      <c r="H229" s="426"/>
      <c r="I229" s="416"/>
      <c r="J229" s="464"/>
    </row>
    <row r="230" spans="2:10" s="34" customFormat="1" ht="21.6" customHeight="1">
      <c r="B230" s="468" t="s">
        <v>477</v>
      </c>
      <c r="C230" s="462" t="s">
        <v>478</v>
      </c>
      <c r="D230" s="421" t="s">
        <v>124</v>
      </c>
      <c r="E230" s="469"/>
      <c r="F230" s="401">
        <v>5000</v>
      </c>
      <c r="G230" s="415"/>
      <c r="H230" s="426"/>
      <c r="I230" s="416"/>
      <c r="J230" s="464"/>
    </row>
    <row r="231" spans="2:10" s="34" customFormat="1" ht="21.6" customHeight="1">
      <c r="B231" s="468" t="s">
        <v>479</v>
      </c>
      <c r="C231" s="462" t="s">
        <v>2096</v>
      </c>
      <c r="D231" s="421" t="s">
        <v>124</v>
      </c>
      <c r="E231" s="469"/>
      <c r="F231" s="401">
        <v>8000</v>
      </c>
      <c r="G231" s="415"/>
      <c r="H231" s="426"/>
      <c r="I231" s="416"/>
      <c r="J231" s="464"/>
    </row>
    <row r="232" spans="2:10" s="34" customFormat="1" ht="21.6" customHeight="1">
      <c r="B232" s="468" t="s">
        <v>481</v>
      </c>
      <c r="C232" s="462" t="s">
        <v>482</v>
      </c>
      <c r="D232" s="421" t="s">
        <v>124</v>
      </c>
      <c r="E232" s="469"/>
      <c r="F232" s="401">
        <v>900</v>
      </c>
      <c r="G232" s="415"/>
      <c r="H232" s="426"/>
      <c r="I232" s="416"/>
      <c r="J232" s="464"/>
    </row>
    <row r="233" spans="2:10" s="34" customFormat="1" ht="21.6" customHeight="1">
      <c r="B233" s="468" t="s">
        <v>483</v>
      </c>
      <c r="C233" s="462" t="s">
        <v>2097</v>
      </c>
      <c r="D233" s="421" t="s">
        <v>124</v>
      </c>
      <c r="E233" s="469"/>
      <c r="F233" s="401">
        <v>300</v>
      </c>
      <c r="G233" s="415"/>
      <c r="H233" s="426"/>
      <c r="I233" s="416"/>
      <c r="J233" s="464"/>
    </row>
    <row r="234" spans="2:10" s="34" customFormat="1" ht="21.6" customHeight="1">
      <c r="B234" s="468" t="s">
        <v>485</v>
      </c>
      <c r="C234" s="462" t="s">
        <v>486</v>
      </c>
      <c r="D234" s="421" t="s">
        <v>124</v>
      </c>
      <c r="E234" s="469"/>
      <c r="F234" s="401">
        <v>350</v>
      </c>
      <c r="G234" s="415"/>
      <c r="H234" s="426"/>
      <c r="I234" s="416"/>
      <c r="J234" s="464"/>
    </row>
    <row r="235" spans="2:10" s="34" customFormat="1" ht="21.6" customHeight="1">
      <c r="B235" s="468" t="s">
        <v>487</v>
      </c>
      <c r="C235" s="462" t="s">
        <v>488</v>
      </c>
      <c r="D235" s="421" t="s">
        <v>124</v>
      </c>
      <c r="E235" s="469"/>
      <c r="F235" s="401">
        <v>450</v>
      </c>
      <c r="G235" s="415"/>
      <c r="H235" s="426"/>
      <c r="I235" s="416"/>
      <c r="J235" s="464"/>
    </row>
    <row r="236" spans="2:10" s="34" customFormat="1" ht="21.6" customHeight="1">
      <c r="B236" s="468" t="s">
        <v>489</v>
      </c>
      <c r="C236" s="462" t="s">
        <v>490</v>
      </c>
      <c r="D236" s="421" t="s">
        <v>124</v>
      </c>
      <c r="E236" s="469"/>
      <c r="F236" s="401">
        <v>300</v>
      </c>
      <c r="G236" s="415"/>
      <c r="H236" s="426"/>
      <c r="I236" s="416"/>
      <c r="J236" s="464"/>
    </row>
    <row r="237" spans="2:10" s="34" customFormat="1" ht="21.6" customHeight="1">
      <c r="B237" s="468" t="s">
        <v>491</v>
      </c>
      <c r="C237" s="462" t="s">
        <v>2098</v>
      </c>
      <c r="D237" s="421" t="s">
        <v>124</v>
      </c>
      <c r="E237" s="469"/>
      <c r="F237" s="401">
        <v>320</v>
      </c>
      <c r="G237" s="415"/>
      <c r="H237" s="426"/>
      <c r="I237" s="416"/>
      <c r="J237" s="464"/>
    </row>
    <row r="238" spans="2:10" s="34" customFormat="1" ht="21.6" customHeight="1">
      <c r="B238" s="468" t="s">
        <v>493</v>
      </c>
      <c r="C238" s="462" t="s">
        <v>494</v>
      </c>
      <c r="D238" s="421" t="s">
        <v>124</v>
      </c>
      <c r="E238" s="469"/>
      <c r="F238" s="401">
        <v>40</v>
      </c>
      <c r="G238" s="415"/>
      <c r="H238" s="426"/>
      <c r="I238" s="416"/>
      <c r="J238" s="464"/>
    </row>
    <row r="239" spans="2:10" s="34" customFormat="1" ht="21.6" customHeight="1">
      <c r="B239" s="468" t="s">
        <v>495</v>
      </c>
      <c r="C239" s="462" t="s">
        <v>496</v>
      </c>
      <c r="D239" s="421" t="s">
        <v>124</v>
      </c>
      <c r="E239" s="469"/>
      <c r="F239" s="401">
        <v>40</v>
      </c>
      <c r="G239" s="415"/>
      <c r="H239" s="426"/>
      <c r="I239" s="416"/>
      <c r="J239" s="464"/>
    </row>
    <row r="240" spans="2:10" s="34" customFormat="1" ht="21.6" customHeight="1">
      <c r="B240" s="468" t="s">
        <v>497</v>
      </c>
      <c r="C240" s="462" t="s">
        <v>498</v>
      </c>
      <c r="D240" s="421" t="s">
        <v>124</v>
      </c>
      <c r="E240" s="469"/>
      <c r="F240" s="401">
        <v>120</v>
      </c>
      <c r="G240" s="415"/>
      <c r="H240" s="426"/>
      <c r="I240" s="416"/>
      <c r="J240" s="464"/>
    </row>
    <row r="241" spans="2:10" s="34" customFormat="1" ht="14.25" customHeight="1">
      <c r="B241" s="468" t="s">
        <v>499</v>
      </c>
      <c r="C241" s="462" t="s">
        <v>500</v>
      </c>
      <c r="D241" s="421" t="s">
        <v>124</v>
      </c>
      <c r="E241" s="469"/>
      <c r="F241" s="401">
        <v>4000</v>
      </c>
      <c r="G241" s="415"/>
      <c r="H241" s="426"/>
      <c r="I241" s="416"/>
      <c r="J241" s="464"/>
    </row>
    <row r="242" spans="2:10" s="34" customFormat="1" ht="14.25" customHeight="1">
      <c r="B242" s="468" t="s">
        <v>501</v>
      </c>
      <c r="C242" s="462" t="s">
        <v>502</v>
      </c>
      <c r="D242" s="421" t="s">
        <v>124</v>
      </c>
      <c r="E242" s="469"/>
      <c r="F242" s="401">
        <v>8000</v>
      </c>
      <c r="G242" s="415"/>
      <c r="H242" s="426"/>
      <c r="I242" s="416"/>
      <c r="J242" s="464"/>
    </row>
    <row r="243" spans="2:10" s="34" customFormat="1" ht="14.25" customHeight="1">
      <c r="B243" s="456" t="s">
        <v>503</v>
      </c>
      <c r="C243" s="457" t="s">
        <v>504</v>
      </c>
      <c r="D243" s="458"/>
      <c r="E243" s="419"/>
      <c r="F243" s="465"/>
      <c r="G243" s="428"/>
      <c r="H243" s="459"/>
      <c r="I243" s="459"/>
      <c r="J243" s="460"/>
    </row>
    <row r="244" spans="2:10" s="34" customFormat="1" ht="21.6" customHeight="1">
      <c r="B244" s="468" t="s">
        <v>505</v>
      </c>
      <c r="C244" s="462" t="s">
        <v>506</v>
      </c>
      <c r="D244" s="421" t="s">
        <v>63</v>
      </c>
      <c r="E244" s="469"/>
      <c r="F244" s="401">
        <v>2</v>
      </c>
      <c r="G244" s="415"/>
      <c r="H244" s="426"/>
      <c r="I244" s="416"/>
      <c r="J244" s="464"/>
    </row>
    <row r="245" spans="2:10" s="34" customFormat="1" ht="21.6" customHeight="1">
      <c r="B245" s="468" t="s">
        <v>507</v>
      </c>
      <c r="C245" s="462" t="s">
        <v>508</v>
      </c>
      <c r="D245" s="421" t="s">
        <v>63</v>
      </c>
      <c r="E245" s="469"/>
      <c r="F245" s="401">
        <v>1</v>
      </c>
      <c r="G245" s="415"/>
      <c r="H245" s="426"/>
      <c r="I245" s="416"/>
      <c r="J245" s="464"/>
    </row>
    <row r="246" spans="2:10" s="34" customFormat="1" ht="21.6" customHeight="1">
      <c r="B246" s="468" t="s">
        <v>509</v>
      </c>
      <c r="C246" s="462" t="s">
        <v>510</v>
      </c>
      <c r="D246" s="421" t="s">
        <v>63</v>
      </c>
      <c r="E246" s="469"/>
      <c r="F246" s="401">
        <v>3</v>
      </c>
      <c r="G246" s="415"/>
      <c r="H246" s="426"/>
      <c r="I246" s="416"/>
      <c r="J246" s="464"/>
    </row>
    <row r="247" spans="2:10" s="34" customFormat="1" ht="21.6" customHeight="1">
      <c r="B247" s="468" t="s">
        <v>511</v>
      </c>
      <c r="C247" s="462" t="s">
        <v>512</v>
      </c>
      <c r="D247" s="421" t="s">
        <v>63</v>
      </c>
      <c r="E247" s="469"/>
      <c r="F247" s="401">
        <v>10</v>
      </c>
      <c r="G247" s="415"/>
      <c r="H247" s="426"/>
      <c r="I247" s="416"/>
      <c r="J247" s="464"/>
    </row>
    <row r="248" spans="2:10" s="34" customFormat="1" ht="21.6" customHeight="1">
      <c r="B248" s="468" t="s">
        <v>513</v>
      </c>
      <c r="C248" s="462" t="s">
        <v>514</v>
      </c>
      <c r="D248" s="421" t="s">
        <v>63</v>
      </c>
      <c r="E248" s="469"/>
      <c r="F248" s="401">
        <v>1</v>
      </c>
      <c r="G248" s="415"/>
      <c r="H248" s="426"/>
      <c r="I248" s="416"/>
      <c r="J248" s="464"/>
    </row>
    <row r="249" spans="2:10" s="34" customFormat="1" ht="14.25" customHeight="1">
      <c r="B249" s="468" t="s">
        <v>515</v>
      </c>
      <c r="C249" s="462" t="s">
        <v>516</v>
      </c>
      <c r="D249" s="421" t="s">
        <v>63</v>
      </c>
      <c r="E249" s="469"/>
      <c r="F249" s="401">
        <v>2</v>
      </c>
      <c r="G249" s="415"/>
      <c r="H249" s="426"/>
      <c r="I249" s="416"/>
      <c r="J249" s="464"/>
    </row>
    <row r="250" spans="2:10" s="34" customFormat="1" ht="14.25" customHeight="1">
      <c r="B250" s="468" t="s">
        <v>517</v>
      </c>
      <c r="C250" s="462" t="s">
        <v>518</v>
      </c>
      <c r="D250" s="421" t="s">
        <v>63</v>
      </c>
      <c r="E250" s="469"/>
      <c r="F250" s="401">
        <v>1</v>
      </c>
      <c r="G250" s="415"/>
      <c r="H250" s="426"/>
      <c r="I250" s="416"/>
      <c r="J250" s="464"/>
    </row>
    <row r="251" spans="2:10" s="34" customFormat="1" ht="14.25" customHeight="1">
      <c r="B251" s="468" t="s">
        <v>519</v>
      </c>
      <c r="C251" s="462" t="s">
        <v>520</v>
      </c>
      <c r="D251" s="421" t="s">
        <v>63</v>
      </c>
      <c r="E251" s="469"/>
      <c r="F251" s="401">
        <v>2</v>
      </c>
      <c r="G251" s="415"/>
      <c r="H251" s="426"/>
      <c r="I251" s="416"/>
      <c r="J251" s="464"/>
    </row>
    <row r="252" spans="2:10" s="34" customFormat="1" ht="21.6" customHeight="1">
      <c r="B252" s="468" t="s">
        <v>521</v>
      </c>
      <c r="C252" s="462" t="s">
        <v>2099</v>
      </c>
      <c r="D252" s="421" t="s">
        <v>63</v>
      </c>
      <c r="E252" s="469"/>
      <c r="F252" s="401">
        <v>12</v>
      </c>
      <c r="G252" s="415"/>
      <c r="H252" s="426"/>
      <c r="I252" s="416"/>
      <c r="J252" s="464"/>
    </row>
    <row r="253" spans="2:10" s="34" customFormat="1" ht="21.6" customHeight="1">
      <c r="B253" s="468" t="s">
        <v>523</v>
      </c>
      <c r="C253" s="462" t="s">
        <v>2100</v>
      </c>
      <c r="D253" s="421" t="s">
        <v>63</v>
      </c>
      <c r="E253" s="469"/>
      <c r="F253" s="401">
        <v>5</v>
      </c>
      <c r="G253" s="415"/>
      <c r="H253" s="426"/>
      <c r="I253" s="416"/>
      <c r="J253" s="464"/>
    </row>
    <row r="254" spans="2:10" s="34" customFormat="1" ht="14.25" customHeight="1">
      <c r="B254" s="468" t="s">
        <v>525</v>
      </c>
      <c r="C254" s="462" t="s">
        <v>526</v>
      </c>
      <c r="D254" s="421" t="s">
        <v>63</v>
      </c>
      <c r="E254" s="469"/>
      <c r="F254" s="401">
        <v>1</v>
      </c>
      <c r="G254" s="415"/>
      <c r="H254" s="426"/>
      <c r="I254" s="416"/>
      <c r="J254" s="464"/>
    </row>
    <row r="255" spans="2:10" s="34" customFormat="1" ht="14.25" customHeight="1">
      <c r="B255" s="468" t="s">
        <v>527</v>
      </c>
      <c r="C255" s="462" t="s">
        <v>528</v>
      </c>
      <c r="D255" s="421" t="s">
        <v>63</v>
      </c>
      <c r="E255" s="469"/>
      <c r="F255" s="401">
        <v>2</v>
      </c>
      <c r="G255" s="415"/>
      <c r="H255" s="426"/>
      <c r="I255" s="416"/>
      <c r="J255" s="464"/>
    </row>
    <row r="256" spans="2:10" s="34" customFormat="1" ht="14.25" customHeight="1">
      <c r="B256" s="468" t="s">
        <v>529</v>
      </c>
      <c r="C256" s="462" t="s">
        <v>530</v>
      </c>
      <c r="D256" s="421" t="s">
        <v>63</v>
      </c>
      <c r="E256" s="469"/>
      <c r="F256" s="401">
        <v>10</v>
      </c>
      <c r="G256" s="415"/>
      <c r="H256" s="426"/>
      <c r="I256" s="416"/>
      <c r="J256" s="464"/>
    </row>
    <row r="257" spans="2:10" s="34" customFormat="1" ht="14.25" customHeight="1">
      <c r="B257" s="468" t="s">
        <v>531</v>
      </c>
      <c r="C257" s="462" t="s">
        <v>532</v>
      </c>
      <c r="D257" s="421" t="s">
        <v>63</v>
      </c>
      <c r="E257" s="469"/>
      <c r="F257" s="401">
        <v>2</v>
      </c>
      <c r="G257" s="415"/>
      <c r="H257" s="426"/>
      <c r="I257" s="416"/>
      <c r="J257" s="464"/>
    </row>
    <row r="258" spans="2:10" s="34" customFormat="1" ht="14.25" customHeight="1">
      <c r="B258" s="468" t="s">
        <v>533</v>
      </c>
      <c r="C258" s="462" t="s">
        <v>534</v>
      </c>
      <c r="D258" s="421" t="s">
        <v>63</v>
      </c>
      <c r="E258" s="469"/>
      <c r="F258" s="401">
        <v>1</v>
      </c>
      <c r="G258" s="415"/>
      <c r="H258" s="426"/>
      <c r="I258" s="416"/>
      <c r="J258" s="464"/>
    </row>
    <row r="259" spans="2:10" s="34" customFormat="1" ht="14.25" customHeight="1">
      <c r="B259" s="468" t="s">
        <v>535</v>
      </c>
      <c r="C259" s="462" t="s">
        <v>536</v>
      </c>
      <c r="D259" s="421" t="s">
        <v>63</v>
      </c>
      <c r="E259" s="469"/>
      <c r="F259" s="401">
        <v>1</v>
      </c>
      <c r="G259" s="415"/>
      <c r="H259" s="426"/>
      <c r="I259" s="416"/>
      <c r="J259" s="464"/>
    </row>
    <row r="260" spans="2:10" s="34" customFormat="1" ht="14.25" customHeight="1">
      <c r="B260" s="468" t="s">
        <v>537</v>
      </c>
      <c r="C260" s="462" t="s">
        <v>538</v>
      </c>
      <c r="D260" s="421" t="s">
        <v>63</v>
      </c>
      <c r="E260" s="469"/>
      <c r="F260" s="401">
        <v>4</v>
      </c>
      <c r="G260" s="415"/>
      <c r="H260" s="426"/>
      <c r="I260" s="416"/>
      <c r="J260" s="464"/>
    </row>
    <row r="261" spans="2:10" s="34" customFormat="1" ht="14.25" customHeight="1">
      <c r="B261" s="468" t="s">
        <v>539</v>
      </c>
      <c r="C261" s="462" t="s">
        <v>540</v>
      </c>
      <c r="D261" s="421" t="s">
        <v>63</v>
      </c>
      <c r="E261" s="469"/>
      <c r="F261" s="401">
        <v>1</v>
      </c>
      <c r="G261" s="415"/>
      <c r="H261" s="426"/>
      <c r="I261" s="416"/>
      <c r="J261" s="464"/>
    </row>
    <row r="262" spans="2:10" s="34" customFormat="1" ht="21.6" customHeight="1">
      <c r="B262" s="468" t="s">
        <v>541</v>
      </c>
      <c r="C262" s="462" t="s">
        <v>542</v>
      </c>
      <c r="D262" s="421" t="s">
        <v>63</v>
      </c>
      <c r="E262" s="469"/>
      <c r="F262" s="401">
        <v>5</v>
      </c>
      <c r="G262" s="415"/>
      <c r="H262" s="426"/>
      <c r="I262" s="416"/>
      <c r="J262" s="464"/>
    </row>
    <row r="263" spans="2:10" s="34" customFormat="1" ht="21.6" customHeight="1">
      <c r="B263" s="468" t="s">
        <v>543</v>
      </c>
      <c r="C263" s="462" t="s">
        <v>544</v>
      </c>
      <c r="D263" s="421" t="s">
        <v>63</v>
      </c>
      <c r="E263" s="469"/>
      <c r="F263" s="401">
        <v>15</v>
      </c>
      <c r="G263" s="415"/>
      <c r="H263" s="426"/>
      <c r="I263" s="416"/>
      <c r="J263" s="464"/>
    </row>
    <row r="264" spans="2:10" s="34" customFormat="1" ht="21.6" customHeight="1">
      <c r="B264" s="468" t="s">
        <v>545</v>
      </c>
      <c r="C264" s="462" t="s">
        <v>546</v>
      </c>
      <c r="D264" s="421" t="s">
        <v>63</v>
      </c>
      <c r="E264" s="469"/>
      <c r="F264" s="401">
        <v>50</v>
      </c>
      <c r="G264" s="415"/>
      <c r="H264" s="426"/>
      <c r="I264" s="416"/>
      <c r="J264" s="464"/>
    </row>
    <row r="265" spans="2:10" s="34" customFormat="1" ht="21.6" customHeight="1">
      <c r="B265" s="468" t="s">
        <v>547</v>
      </c>
      <c r="C265" s="462" t="s">
        <v>548</v>
      </c>
      <c r="D265" s="421" t="s">
        <v>63</v>
      </c>
      <c r="E265" s="469"/>
      <c r="F265" s="401">
        <v>120</v>
      </c>
      <c r="G265" s="415"/>
      <c r="H265" s="426"/>
      <c r="I265" s="416"/>
      <c r="J265" s="464"/>
    </row>
    <row r="266" spans="2:10" s="34" customFormat="1" ht="21.6" customHeight="1">
      <c r="B266" s="468" t="s">
        <v>549</v>
      </c>
      <c r="C266" s="462" t="s">
        <v>550</v>
      </c>
      <c r="D266" s="421" t="s">
        <v>63</v>
      </c>
      <c r="E266" s="469"/>
      <c r="F266" s="401">
        <v>1</v>
      </c>
      <c r="G266" s="415"/>
      <c r="H266" s="426"/>
      <c r="I266" s="416"/>
      <c r="J266" s="464"/>
    </row>
    <row r="267" spans="2:10" s="34" customFormat="1" ht="21.6" customHeight="1">
      <c r="B267" s="468" t="s">
        <v>551</v>
      </c>
      <c r="C267" s="462" t="s">
        <v>552</v>
      </c>
      <c r="D267" s="421" t="s">
        <v>63</v>
      </c>
      <c r="E267" s="469"/>
      <c r="F267" s="401">
        <v>5</v>
      </c>
      <c r="G267" s="415"/>
      <c r="H267" s="426"/>
      <c r="I267" s="416"/>
      <c r="J267" s="464"/>
    </row>
    <row r="268" spans="2:10" s="34" customFormat="1" ht="21.6" customHeight="1">
      <c r="B268" s="468" t="s">
        <v>553</v>
      </c>
      <c r="C268" s="462" t="s">
        <v>554</v>
      </c>
      <c r="D268" s="421" t="s">
        <v>63</v>
      </c>
      <c r="E268" s="469"/>
      <c r="F268" s="401">
        <v>12</v>
      </c>
      <c r="G268" s="415"/>
      <c r="H268" s="426"/>
      <c r="I268" s="416"/>
      <c r="J268" s="464"/>
    </row>
    <row r="269" spans="2:10" s="34" customFormat="1" ht="21.6" customHeight="1">
      <c r="B269" s="468" t="s">
        <v>555</v>
      </c>
      <c r="C269" s="462" t="s">
        <v>556</v>
      </c>
      <c r="D269" s="421" t="s">
        <v>63</v>
      </c>
      <c r="E269" s="469"/>
      <c r="F269" s="401">
        <v>4</v>
      </c>
      <c r="G269" s="415"/>
      <c r="H269" s="426"/>
      <c r="I269" s="416"/>
      <c r="J269" s="464"/>
    </row>
    <row r="270" spans="2:10" s="34" customFormat="1" ht="21.6" customHeight="1">
      <c r="B270" s="468" t="s">
        <v>557</v>
      </c>
      <c r="C270" s="462" t="s">
        <v>558</v>
      </c>
      <c r="D270" s="421" t="s">
        <v>63</v>
      </c>
      <c r="E270" s="469"/>
      <c r="F270" s="401">
        <v>2</v>
      </c>
      <c r="G270" s="415"/>
      <c r="H270" s="426"/>
      <c r="I270" s="416"/>
      <c r="J270" s="464"/>
    </row>
    <row r="271" spans="2:10" s="34" customFormat="1" ht="21.6" customHeight="1">
      <c r="B271" s="468" t="s">
        <v>559</v>
      </c>
      <c r="C271" s="462" t="s">
        <v>560</v>
      </c>
      <c r="D271" s="421" t="s">
        <v>63</v>
      </c>
      <c r="E271" s="469"/>
      <c r="F271" s="401">
        <v>2</v>
      </c>
      <c r="G271" s="415"/>
      <c r="H271" s="426"/>
      <c r="I271" s="416"/>
      <c r="J271" s="464"/>
    </row>
    <row r="272" spans="2:10" s="34" customFormat="1" ht="21.6" customHeight="1">
      <c r="B272" s="468" t="s">
        <v>561</v>
      </c>
      <c r="C272" s="462" t="s">
        <v>562</v>
      </c>
      <c r="D272" s="421" t="s">
        <v>63</v>
      </c>
      <c r="E272" s="469"/>
      <c r="F272" s="401">
        <v>1</v>
      </c>
      <c r="G272" s="415"/>
      <c r="H272" s="426"/>
      <c r="I272" s="416"/>
      <c r="J272" s="464"/>
    </row>
    <row r="273" spans="2:10" s="34" customFormat="1" ht="21.6" customHeight="1">
      <c r="B273" s="468" t="s">
        <v>563</v>
      </c>
      <c r="C273" s="462" t="s">
        <v>564</v>
      </c>
      <c r="D273" s="421" t="s">
        <v>63</v>
      </c>
      <c r="E273" s="469"/>
      <c r="F273" s="401">
        <v>6</v>
      </c>
      <c r="G273" s="415"/>
      <c r="H273" s="426"/>
      <c r="I273" s="416"/>
      <c r="J273" s="464"/>
    </row>
    <row r="274" spans="2:10" s="34" customFormat="1" ht="21.6" customHeight="1">
      <c r="B274" s="468" t="s">
        <v>565</v>
      </c>
      <c r="C274" s="462" t="s">
        <v>566</v>
      </c>
      <c r="D274" s="421" t="s">
        <v>63</v>
      </c>
      <c r="E274" s="469"/>
      <c r="F274" s="401">
        <v>2</v>
      </c>
      <c r="G274" s="415"/>
      <c r="H274" s="426"/>
      <c r="I274" s="416"/>
      <c r="J274" s="464"/>
    </row>
    <row r="275" spans="2:10" s="34" customFormat="1" ht="21.6" customHeight="1">
      <c r="B275" s="468" t="s">
        <v>567</v>
      </c>
      <c r="C275" s="462" t="s">
        <v>568</v>
      </c>
      <c r="D275" s="421" t="s">
        <v>63</v>
      </c>
      <c r="E275" s="469"/>
      <c r="F275" s="401">
        <v>8</v>
      </c>
      <c r="G275" s="415"/>
      <c r="H275" s="426"/>
      <c r="I275" s="416"/>
      <c r="J275" s="464"/>
    </row>
    <row r="276" spans="2:10" s="34" customFormat="1" ht="21.6" customHeight="1">
      <c r="B276" s="468" t="s">
        <v>569</v>
      </c>
      <c r="C276" s="462" t="s">
        <v>570</v>
      </c>
      <c r="D276" s="421" t="s">
        <v>63</v>
      </c>
      <c r="E276" s="469"/>
      <c r="F276" s="401">
        <v>2</v>
      </c>
      <c r="G276" s="415"/>
      <c r="H276" s="426"/>
      <c r="I276" s="416"/>
      <c r="J276" s="464"/>
    </row>
    <row r="277" spans="2:10" s="34" customFormat="1" ht="21.6" customHeight="1">
      <c r="B277" s="468" t="s">
        <v>571</v>
      </c>
      <c r="C277" s="462" t="s">
        <v>572</v>
      </c>
      <c r="D277" s="421" t="s">
        <v>63</v>
      </c>
      <c r="E277" s="469"/>
      <c r="F277" s="401">
        <v>1</v>
      </c>
      <c r="G277" s="415"/>
      <c r="H277" s="426"/>
      <c r="I277" s="416"/>
      <c r="J277" s="464"/>
    </row>
    <row r="278" spans="2:10" s="34" customFormat="1" ht="21.6" customHeight="1">
      <c r="B278" s="468" t="s">
        <v>573</v>
      </c>
      <c r="C278" s="462" t="s">
        <v>574</v>
      </c>
      <c r="D278" s="421" t="s">
        <v>63</v>
      </c>
      <c r="E278" s="469"/>
      <c r="F278" s="401">
        <v>1</v>
      </c>
      <c r="G278" s="415"/>
      <c r="H278" s="426"/>
      <c r="I278" s="416"/>
      <c r="J278" s="464"/>
    </row>
    <row r="279" spans="2:10" s="34" customFormat="1" ht="14.25" customHeight="1">
      <c r="B279" s="456" t="s">
        <v>575</v>
      </c>
      <c r="C279" s="457" t="s">
        <v>576</v>
      </c>
      <c r="D279" s="458"/>
      <c r="E279" s="419"/>
      <c r="F279" s="465"/>
      <c r="G279" s="428"/>
      <c r="H279" s="459"/>
      <c r="I279" s="459"/>
      <c r="J279" s="460"/>
    </row>
    <row r="280" spans="2:10" s="34" customFormat="1" ht="21.6" customHeight="1">
      <c r="B280" s="468" t="s">
        <v>577</v>
      </c>
      <c r="C280" s="462" t="s">
        <v>578</v>
      </c>
      <c r="D280" s="421" t="s">
        <v>63</v>
      </c>
      <c r="E280" s="469"/>
      <c r="F280" s="401">
        <v>40</v>
      </c>
      <c r="G280" s="415"/>
      <c r="H280" s="426"/>
      <c r="I280" s="416"/>
      <c r="J280" s="464"/>
    </row>
    <row r="281" spans="2:10" s="34" customFormat="1" ht="14.25" customHeight="1">
      <c r="B281" s="468" t="s">
        <v>579</v>
      </c>
      <c r="C281" s="462" t="s">
        <v>580</v>
      </c>
      <c r="D281" s="421" t="s">
        <v>63</v>
      </c>
      <c r="E281" s="469"/>
      <c r="F281" s="401">
        <v>360</v>
      </c>
      <c r="G281" s="415"/>
      <c r="H281" s="426"/>
      <c r="I281" s="416"/>
      <c r="J281" s="464"/>
    </row>
    <row r="282" spans="2:10" s="34" customFormat="1" ht="14.25" customHeight="1">
      <c r="B282" s="468" t="s">
        <v>581</v>
      </c>
      <c r="C282" s="462" t="s">
        <v>582</v>
      </c>
      <c r="D282" s="421" t="s">
        <v>63</v>
      </c>
      <c r="E282" s="469"/>
      <c r="F282" s="401">
        <v>10</v>
      </c>
      <c r="G282" s="415"/>
      <c r="H282" s="426"/>
      <c r="I282" s="416"/>
      <c r="J282" s="464"/>
    </row>
    <row r="283" spans="2:10" s="34" customFormat="1" ht="14.25" customHeight="1">
      <c r="B283" s="468" t="s">
        <v>583</v>
      </c>
      <c r="C283" s="462" t="s">
        <v>584</v>
      </c>
      <c r="D283" s="421" t="s">
        <v>63</v>
      </c>
      <c r="E283" s="469"/>
      <c r="F283" s="401">
        <v>25</v>
      </c>
      <c r="G283" s="415"/>
      <c r="H283" s="426"/>
      <c r="I283" s="416"/>
      <c r="J283" s="464"/>
    </row>
    <row r="284" spans="2:10" s="34" customFormat="1" ht="14.25" customHeight="1">
      <c r="B284" s="456" t="s">
        <v>585</v>
      </c>
      <c r="C284" s="457" t="s">
        <v>586</v>
      </c>
      <c r="D284" s="458"/>
      <c r="E284" s="419"/>
      <c r="F284" s="465"/>
      <c r="G284" s="428"/>
      <c r="H284" s="459"/>
      <c r="I284" s="459"/>
      <c r="J284" s="460"/>
    </row>
    <row r="285" spans="2:10" s="34" customFormat="1" ht="21.6" customHeight="1">
      <c r="B285" s="468" t="s">
        <v>587</v>
      </c>
      <c r="C285" s="462" t="s">
        <v>588</v>
      </c>
      <c r="D285" s="421" t="s">
        <v>63</v>
      </c>
      <c r="E285" s="469"/>
      <c r="F285" s="401">
        <v>50</v>
      </c>
      <c r="G285" s="415"/>
      <c r="H285" s="426"/>
      <c r="I285" s="416"/>
      <c r="J285" s="464"/>
    </row>
    <row r="286" spans="2:10" s="34" customFormat="1" ht="21.6" customHeight="1">
      <c r="B286" s="468" t="s">
        <v>589</v>
      </c>
      <c r="C286" s="462" t="s">
        <v>590</v>
      </c>
      <c r="D286" s="421" t="s">
        <v>63</v>
      </c>
      <c r="E286" s="469"/>
      <c r="F286" s="401">
        <v>50</v>
      </c>
      <c r="G286" s="415"/>
      <c r="H286" s="426"/>
      <c r="I286" s="416"/>
      <c r="J286" s="464"/>
    </row>
    <row r="287" spans="2:10" s="34" customFormat="1" ht="21.6" customHeight="1">
      <c r="B287" s="468" t="s">
        <v>591</v>
      </c>
      <c r="C287" s="462" t="s">
        <v>592</v>
      </c>
      <c r="D287" s="421" t="s">
        <v>63</v>
      </c>
      <c r="E287" s="469"/>
      <c r="F287" s="401">
        <v>20</v>
      </c>
      <c r="G287" s="415"/>
      <c r="H287" s="426"/>
      <c r="I287" s="416"/>
      <c r="J287" s="464"/>
    </row>
    <row r="288" spans="2:10" s="34" customFormat="1" ht="21.6" customHeight="1">
      <c r="B288" s="468" t="s">
        <v>593</v>
      </c>
      <c r="C288" s="462" t="s">
        <v>594</v>
      </c>
      <c r="D288" s="421" t="s">
        <v>63</v>
      </c>
      <c r="E288" s="469"/>
      <c r="F288" s="401">
        <v>40</v>
      </c>
      <c r="G288" s="415"/>
      <c r="H288" s="426"/>
      <c r="I288" s="416"/>
      <c r="J288" s="464"/>
    </row>
    <row r="289" spans="2:10" s="34" customFormat="1" ht="21.6" customHeight="1">
      <c r="B289" s="468" t="s">
        <v>595</v>
      </c>
      <c r="C289" s="462" t="s">
        <v>596</v>
      </c>
      <c r="D289" s="421" t="s">
        <v>63</v>
      </c>
      <c r="E289" s="469"/>
      <c r="F289" s="401">
        <v>20</v>
      </c>
      <c r="G289" s="415"/>
      <c r="H289" s="426"/>
      <c r="I289" s="416"/>
      <c r="J289" s="464"/>
    </row>
    <row r="290" spans="2:10" s="34" customFormat="1" ht="21.6" customHeight="1">
      <c r="B290" s="468" t="s">
        <v>597</v>
      </c>
      <c r="C290" s="462" t="s">
        <v>598</v>
      </c>
      <c r="D290" s="421" t="s">
        <v>63</v>
      </c>
      <c r="E290" s="469"/>
      <c r="F290" s="401">
        <v>2</v>
      </c>
      <c r="G290" s="415"/>
      <c r="H290" s="426"/>
      <c r="I290" s="416"/>
      <c r="J290" s="464"/>
    </row>
    <row r="291" spans="2:10" s="34" customFormat="1" ht="21.6" customHeight="1">
      <c r="B291" s="468" t="s">
        <v>599</v>
      </c>
      <c r="C291" s="462" t="s">
        <v>600</v>
      </c>
      <c r="D291" s="421" t="s">
        <v>63</v>
      </c>
      <c r="E291" s="469"/>
      <c r="F291" s="401">
        <v>1</v>
      </c>
      <c r="G291" s="415"/>
      <c r="H291" s="426"/>
      <c r="I291" s="416"/>
      <c r="J291" s="464"/>
    </row>
    <row r="292" spans="2:10" s="34" customFormat="1" ht="21.6" customHeight="1">
      <c r="B292" s="468" t="s">
        <v>601</v>
      </c>
      <c r="C292" s="462" t="s">
        <v>602</v>
      </c>
      <c r="D292" s="421" t="s">
        <v>63</v>
      </c>
      <c r="E292" s="469"/>
      <c r="F292" s="401">
        <v>10</v>
      </c>
      <c r="G292" s="415"/>
      <c r="H292" s="426"/>
      <c r="I292" s="416"/>
      <c r="J292" s="464"/>
    </row>
    <row r="293" spans="2:10" s="34" customFormat="1" ht="21.6" customHeight="1">
      <c r="B293" s="468" t="s">
        <v>603</v>
      </c>
      <c r="C293" s="462" t="s">
        <v>604</v>
      </c>
      <c r="D293" s="421" t="s">
        <v>63</v>
      </c>
      <c r="E293" s="469"/>
      <c r="F293" s="401">
        <v>4</v>
      </c>
      <c r="G293" s="415"/>
      <c r="H293" s="426"/>
      <c r="I293" s="416"/>
      <c r="J293" s="464"/>
    </row>
    <row r="294" spans="2:10" s="34" customFormat="1" ht="21.6" customHeight="1">
      <c r="B294" s="468" t="s">
        <v>605</v>
      </c>
      <c r="C294" s="462" t="s">
        <v>2101</v>
      </c>
      <c r="D294" s="421" t="s">
        <v>63</v>
      </c>
      <c r="E294" s="469"/>
      <c r="F294" s="401">
        <v>2</v>
      </c>
      <c r="G294" s="415"/>
      <c r="H294" s="426"/>
      <c r="I294" s="416"/>
      <c r="J294" s="464"/>
    </row>
    <row r="295" spans="2:10" s="34" customFormat="1" ht="14.25" customHeight="1">
      <c r="B295" s="456" t="s">
        <v>607</v>
      </c>
      <c r="C295" s="457" t="s">
        <v>608</v>
      </c>
      <c r="D295" s="458"/>
      <c r="E295" s="419"/>
      <c r="F295" s="465"/>
      <c r="G295" s="428"/>
      <c r="H295" s="459"/>
      <c r="I295" s="459"/>
      <c r="J295" s="460"/>
    </row>
    <row r="296" spans="2:10" s="34" customFormat="1" ht="21.6" customHeight="1">
      <c r="B296" s="468" t="s">
        <v>609</v>
      </c>
      <c r="C296" s="462" t="s">
        <v>2102</v>
      </c>
      <c r="D296" s="421" t="s">
        <v>63</v>
      </c>
      <c r="E296" s="469"/>
      <c r="F296" s="401">
        <v>100</v>
      </c>
      <c r="G296" s="415"/>
      <c r="H296" s="426"/>
      <c r="I296" s="416"/>
      <c r="J296" s="464"/>
    </row>
    <row r="297" spans="2:10" s="34" customFormat="1" ht="21.6" customHeight="1">
      <c r="B297" s="468" t="s">
        <v>611</v>
      </c>
      <c r="C297" s="462" t="s">
        <v>2103</v>
      </c>
      <c r="D297" s="421" t="s">
        <v>63</v>
      </c>
      <c r="E297" s="469"/>
      <c r="F297" s="401">
        <v>300</v>
      </c>
      <c r="G297" s="415"/>
      <c r="H297" s="426"/>
      <c r="I297" s="416"/>
      <c r="J297" s="464"/>
    </row>
    <row r="298" spans="2:10" s="34" customFormat="1" ht="21.6" customHeight="1">
      <c r="B298" s="468" t="s">
        <v>613</v>
      </c>
      <c r="C298" s="462" t="s">
        <v>614</v>
      </c>
      <c r="D298" s="421" t="s">
        <v>63</v>
      </c>
      <c r="E298" s="469"/>
      <c r="F298" s="401">
        <v>40</v>
      </c>
      <c r="G298" s="415"/>
      <c r="H298" s="426"/>
      <c r="I298" s="416"/>
      <c r="J298" s="464"/>
    </row>
    <row r="299" spans="2:10" s="34" customFormat="1" ht="21.6" customHeight="1">
      <c r="B299" s="468" t="s">
        <v>615</v>
      </c>
      <c r="C299" s="462" t="s">
        <v>2102</v>
      </c>
      <c r="D299" s="421" t="s">
        <v>63</v>
      </c>
      <c r="E299" s="469"/>
      <c r="F299" s="401">
        <v>1</v>
      </c>
      <c r="G299" s="415"/>
      <c r="H299" s="426"/>
      <c r="I299" s="416"/>
      <c r="J299" s="464"/>
    </row>
    <row r="300" spans="2:10" s="34" customFormat="1" ht="14.25" customHeight="1">
      <c r="B300" s="468" t="s">
        <v>616</v>
      </c>
      <c r="C300" s="462" t="s">
        <v>617</v>
      </c>
      <c r="D300" s="421" t="s">
        <v>63</v>
      </c>
      <c r="E300" s="469"/>
      <c r="F300" s="401">
        <v>100</v>
      </c>
      <c r="G300" s="415"/>
      <c r="H300" s="426"/>
      <c r="I300" s="416"/>
      <c r="J300" s="464"/>
    </row>
    <row r="301" spans="2:10" s="34" customFormat="1" ht="14.25" customHeight="1">
      <c r="B301" s="468" t="s">
        <v>618</v>
      </c>
      <c r="C301" s="462" t="s">
        <v>619</v>
      </c>
      <c r="D301" s="421" t="s">
        <v>63</v>
      </c>
      <c r="E301" s="469"/>
      <c r="F301" s="401">
        <v>10</v>
      </c>
      <c r="G301" s="415"/>
      <c r="H301" s="426"/>
      <c r="I301" s="416"/>
      <c r="J301" s="464"/>
    </row>
    <row r="302" spans="2:10" s="34" customFormat="1" ht="14.25" customHeight="1">
      <c r="B302" s="468" t="s">
        <v>620</v>
      </c>
      <c r="C302" s="462" t="s">
        <v>621</v>
      </c>
      <c r="D302" s="421" t="s">
        <v>63</v>
      </c>
      <c r="E302" s="469"/>
      <c r="F302" s="401">
        <v>100</v>
      </c>
      <c r="G302" s="415"/>
      <c r="H302" s="426"/>
      <c r="I302" s="416"/>
      <c r="J302" s="464"/>
    </row>
    <row r="303" spans="2:10" s="34" customFormat="1" ht="14.25" customHeight="1">
      <c r="B303" s="450" t="s">
        <v>626</v>
      </c>
      <c r="C303" s="451" t="s">
        <v>627</v>
      </c>
      <c r="D303" s="452"/>
      <c r="E303" s="453"/>
      <c r="F303" s="470"/>
      <c r="G303" s="454"/>
      <c r="H303" s="453"/>
      <c r="I303" s="453"/>
      <c r="J303" s="455"/>
    </row>
    <row r="304" spans="2:10" s="34" customFormat="1" ht="14.25" customHeight="1">
      <c r="B304" s="461" t="s">
        <v>628</v>
      </c>
      <c r="C304" s="462" t="s">
        <v>629</v>
      </c>
      <c r="D304"/>
      <c r="E304" s="414"/>
      <c r="F304" s="403">
        <v>150</v>
      </c>
      <c r="G304" s="415"/>
      <c r="H304" s="426"/>
      <c r="I304" s="416"/>
      <c r="J304" s="464"/>
    </row>
    <row r="305" spans="2:10" s="34" customFormat="1" ht="14.25" customHeight="1">
      <c r="B305" s="461" t="s">
        <v>630</v>
      </c>
      <c r="C305" s="462" t="s">
        <v>631</v>
      </c>
      <c r="D305" s="463" t="s">
        <v>63</v>
      </c>
      <c r="E305" s="414"/>
      <c r="F305" s="403">
        <v>2</v>
      </c>
      <c r="G305" s="415"/>
      <c r="H305" s="426"/>
      <c r="I305" s="416"/>
      <c r="J305" s="464"/>
    </row>
    <row r="306" spans="2:10" s="34" customFormat="1" ht="14.25" customHeight="1">
      <c r="B306" s="461" t="s">
        <v>632</v>
      </c>
      <c r="C306" s="462" t="s">
        <v>633</v>
      </c>
      <c r="D306" s="463" t="s">
        <v>124</v>
      </c>
      <c r="E306" s="414"/>
      <c r="F306" s="403">
        <v>200</v>
      </c>
      <c r="G306" s="415"/>
      <c r="H306" s="426"/>
      <c r="I306" s="416"/>
      <c r="J306" s="464"/>
    </row>
    <row r="307" spans="2:10" s="34" customFormat="1" ht="14.25" customHeight="1">
      <c r="B307" s="461" t="s">
        <v>634</v>
      </c>
      <c r="C307" s="462" t="s">
        <v>635</v>
      </c>
      <c r="D307" s="463" t="s">
        <v>63</v>
      </c>
      <c r="E307" s="414"/>
      <c r="F307" s="400">
        <v>15</v>
      </c>
      <c r="G307" s="415"/>
      <c r="H307" s="426"/>
      <c r="I307" s="416"/>
      <c r="J307" s="464"/>
    </row>
    <row r="308" spans="2:10" s="34" customFormat="1" ht="14.25" customHeight="1">
      <c r="B308" s="461" t="s">
        <v>636</v>
      </c>
      <c r="C308" s="462" t="s">
        <v>637</v>
      </c>
      <c r="D308" s="463" t="s">
        <v>63</v>
      </c>
      <c r="E308" s="414"/>
      <c r="F308" s="400">
        <v>15</v>
      </c>
      <c r="G308" s="415"/>
      <c r="H308" s="426"/>
      <c r="I308" s="416"/>
      <c r="J308" s="464"/>
    </row>
    <row r="309" spans="2:10" s="34" customFormat="1" ht="21.6" customHeight="1">
      <c r="B309" s="461" t="s">
        <v>638</v>
      </c>
      <c r="C309" s="462" t="s">
        <v>639</v>
      </c>
      <c r="D309" s="463" t="s">
        <v>63</v>
      </c>
      <c r="E309" s="414"/>
      <c r="F309" s="400">
        <v>1</v>
      </c>
      <c r="G309" s="415"/>
      <c r="H309" s="426"/>
      <c r="I309" s="416"/>
      <c r="J309" s="464"/>
    </row>
    <row r="310" spans="2:10" s="34" customFormat="1" ht="14.25" customHeight="1">
      <c r="B310" s="461" t="s">
        <v>640</v>
      </c>
      <c r="C310" s="462" t="s">
        <v>2104</v>
      </c>
      <c r="D310" s="463" t="s">
        <v>63</v>
      </c>
      <c r="E310" s="414"/>
      <c r="F310" s="400">
        <v>15</v>
      </c>
      <c r="G310" s="415"/>
      <c r="H310" s="426"/>
      <c r="I310" s="416"/>
      <c r="J310" s="464"/>
    </row>
    <row r="311" spans="2:10" s="34" customFormat="1" ht="14.25" customHeight="1">
      <c r="B311" s="461" t="s">
        <v>642</v>
      </c>
      <c r="C311" s="462" t="s">
        <v>643</v>
      </c>
      <c r="D311" s="463" t="s">
        <v>63</v>
      </c>
      <c r="E311" s="414"/>
      <c r="F311" s="400">
        <v>80</v>
      </c>
      <c r="G311" s="415"/>
      <c r="H311" s="426"/>
      <c r="I311" s="416"/>
      <c r="J311" s="464"/>
    </row>
    <row r="312" spans="2:10" s="34" customFormat="1" ht="23.25" customHeight="1">
      <c r="B312" s="461" t="s">
        <v>644</v>
      </c>
      <c r="C312" s="462" t="s">
        <v>645</v>
      </c>
      <c r="D312" s="463" t="s">
        <v>124</v>
      </c>
      <c r="E312" s="414"/>
      <c r="F312" s="400">
        <v>10</v>
      </c>
      <c r="G312" s="415"/>
      <c r="H312" s="426"/>
      <c r="I312" s="416"/>
      <c r="J312" s="464"/>
    </row>
    <row r="313" spans="2:10" s="34" customFormat="1" ht="14.25" customHeight="1">
      <c r="B313" s="461" t="s">
        <v>646</v>
      </c>
      <c r="C313" s="462" t="s">
        <v>647</v>
      </c>
      <c r="D313" s="463" t="s">
        <v>63</v>
      </c>
      <c r="E313" s="414"/>
      <c r="F313" s="400">
        <v>15</v>
      </c>
      <c r="G313" s="415"/>
      <c r="H313" s="426"/>
      <c r="I313" s="416"/>
      <c r="J313" s="464"/>
    </row>
    <row r="314" spans="2:10" s="34" customFormat="1" ht="14.25" customHeight="1">
      <c r="B314" s="450" t="s">
        <v>648</v>
      </c>
      <c r="C314" s="451" t="s">
        <v>649</v>
      </c>
      <c r="D314" s="452"/>
      <c r="E314" s="453"/>
      <c r="F314" s="470"/>
      <c r="G314" s="454"/>
      <c r="H314" s="453"/>
      <c r="I314" s="453"/>
      <c r="J314" s="455"/>
    </row>
    <row r="315" spans="2:10" s="34" customFormat="1" ht="14.25" customHeight="1">
      <c r="B315" s="456" t="s">
        <v>650</v>
      </c>
      <c r="C315" s="457" t="s">
        <v>651</v>
      </c>
      <c r="D315" s="458"/>
      <c r="E315" s="419"/>
      <c r="F315" s="465"/>
      <c r="G315" s="428"/>
      <c r="H315" s="459"/>
      <c r="I315" s="459"/>
      <c r="J315" s="460"/>
    </row>
    <row r="316" spans="2:10" s="34" customFormat="1" ht="14.25" customHeight="1">
      <c r="B316" s="461" t="s">
        <v>652</v>
      </c>
      <c r="C316" s="462" t="s">
        <v>653</v>
      </c>
      <c r="D316" s="463" t="s">
        <v>124</v>
      </c>
      <c r="E316" s="469"/>
      <c r="F316" s="401">
        <v>100</v>
      </c>
      <c r="G316" s="415"/>
      <c r="H316" s="426"/>
      <c r="I316" s="416"/>
      <c r="J316" s="464"/>
    </row>
    <row r="317" spans="2:10" s="34" customFormat="1" ht="14.25" customHeight="1">
      <c r="B317" s="461" t="s">
        <v>654</v>
      </c>
      <c r="C317" s="462" t="s">
        <v>655</v>
      </c>
      <c r="D317" s="463" t="s">
        <v>124</v>
      </c>
      <c r="E317" s="469"/>
      <c r="F317" s="401">
        <v>450</v>
      </c>
      <c r="G317" s="415"/>
      <c r="H317" s="426"/>
      <c r="I317" s="416"/>
      <c r="J317" s="464"/>
    </row>
    <row r="318" spans="2:10" s="34" customFormat="1" ht="14.25" customHeight="1">
      <c r="B318" s="461" t="s">
        <v>656</v>
      </c>
      <c r="C318" s="462" t="s">
        <v>657</v>
      </c>
      <c r="D318" s="463" t="s">
        <v>124</v>
      </c>
      <c r="E318" s="414"/>
      <c r="F318" s="403">
        <v>18</v>
      </c>
      <c r="G318" s="415"/>
      <c r="H318" s="426"/>
      <c r="I318" s="416"/>
      <c r="J318" s="464"/>
    </row>
    <row r="319" spans="2:10" s="34" customFormat="1" ht="14.25" customHeight="1">
      <c r="B319" s="461" t="s">
        <v>658</v>
      </c>
      <c r="C319" s="462" t="s">
        <v>659</v>
      </c>
      <c r="D319" s="463" t="s">
        <v>124</v>
      </c>
      <c r="E319" s="414"/>
      <c r="F319" s="403">
        <v>180</v>
      </c>
      <c r="G319" s="415"/>
      <c r="H319" s="426"/>
      <c r="I319" s="416"/>
      <c r="J319" s="464"/>
    </row>
    <row r="320" spans="2:10" s="34" customFormat="1" ht="14.25" customHeight="1">
      <c r="B320" s="461" t="s">
        <v>660</v>
      </c>
      <c r="C320" s="462" t="s">
        <v>661</v>
      </c>
      <c r="D320" s="463" t="s">
        <v>124</v>
      </c>
      <c r="E320" s="414"/>
      <c r="F320" s="403">
        <v>20</v>
      </c>
      <c r="G320" s="415"/>
      <c r="H320" s="426"/>
      <c r="I320" s="416"/>
      <c r="J320" s="464"/>
    </row>
    <row r="321" spans="2:10" s="34" customFormat="1" ht="14.25" customHeight="1">
      <c r="B321" s="461" t="s">
        <v>662</v>
      </c>
      <c r="C321" s="462" t="s">
        <v>663</v>
      </c>
      <c r="D321" s="463" t="s">
        <v>124</v>
      </c>
      <c r="E321" s="414"/>
      <c r="F321" s="403">
        <v>80</v>
      </c>
      <c r="G321" s="415"/>
      <c r="H321" s="426"/>
      <c r="I321" s="416"/>
      <c r="J321" s="464"/>
    </row>
    <row r="322" spans="2:10" s="34" customFormat="1" ht="14.25" customHeight="1">
      <c r="B322" s="461" t="s">
        <v>664</v>
      </c>
      <c r="C322" s="462" t="s">
        <v>665</v>
      </c>
      <c r="D322" s="463" t="s">
        <v>124</v>
      </c>
      <c r="E322" s="414"/>
      <c r="F322" s="403">
        <v>75</v>
      </c>
      <c r="G322" s="415"/>
      <c r="H322" s="426"/>
      <c r="I322" s="416"/>
      <c r="J322" s="464"/>
    </row>
    <row r="323" spans="2:10" s="34" customFormat="1" ht="14.25" customHeight="1">
      <c r="B323" s="456" t="s">
        <v>666</v>
      </c>
      <c r="C323" s="457" t="s">
        <v>667</v>
      </c>
      <c r="D323" s="458"/>
      <c r="E323" s="419"/>
      <c r="F323" s="465"/>
      <c r="G323" s="428"/>
      <c r="H323" s="459"/>
      <c r="I323" s="459"/>
      <c r="J323" s="460"/>
    </row>
    <row r="324" spans="2:10" s="34" customFormat="1" ht="21.6" customHeight="1">
      <c r="B324" s="461" t="s">
        <v>668</v>
      </c>
      <c r="C324" s="462" t="s">
        <v>2105</v>
      </c>
      <c r="D324" s="463" t="s">
        <v>63</v>
      </c>
      <c r="E324" s="414"/>
      <c r="F324" s="403">
        <v>1</v>
      </c>
      <c r="G324" s="415"/>
      <c r="H324" s="426"/>
      <c r="I324" s="416"/>
      <c r="J324" s="464"/>
    </row>
    <row r="325" spans="2:10" s="34" customFormat="1" ht="21.6" customHeight="1">
      <c r="B325" s="461" t="s">
        <v>670</v>
      </c>
      <c r="C325" s="462" t="s">
        <v>2106</v>
      </c>
      <c r="D325" s="463" t="s">
        <v>63</v>
      </c>
      <c r="E325" s="414"/>
      <c r="F325" s="403">
        <v>8</v>
      </c>
      <c r="G325" s="415"/>
      <c r="H325" s="426"/>
      <c r="I325" s="416"/>
      <c r="J325" s="464"/>
    </row>
    <row r="326" spans="2:10" s="34" customFormat="1" ht="14.25" customHeight="1">
      <c r="B326" s="461" t="s">
        <v>672</v>
      </c>
      <c r="C326" s="462" t="s">
        <v>673</v>
      </c>
      <c r="D326" s="463" t="s">
        <v>63</v>
      </c>
      <c r="E326" s="414"/>
      <c r="F326" s="403">
        <v>12</v>
      </c>
      <c r="G326" s="415"/>
      <c r="H326" s="426"/>
      <c r="I326" s="416"/>
      <c r="J326" s="464"/>
    </row>
    <row r="327" spans="2:10" s="34" customFormat="1" ht="14.25" customHeight="1">
      <c r="B327" s="461" t="s">
        <v>674</v>
      </c>
      <c r="C327" s="462" t="s">
        <v>2107</v>
      </c>
      <c r="D327" s="463" t="s">
        <v>63</v>
      </c>
      <c r="E327" s="414"/>
      <c r="F327" s="403">
        <v>4</v>
      </c>
      <c r="G327" s="415"/>
      <c r="H327" s="426"/>
      <c r="I327" s="416"/>
      <c r="J327" s="464"/>
    </row>
    <row r="328" spans="2:10" s="34" customFormat="1" ht="21.6" customHeight="1">
      <c r="B328" s="461" t="s">
        <v>676</v>
      </c>
      <c r="C328" s="462" t="s">
        <v>677</v>
      </c>
      <c r="D328" s="463" t="s">
        <v>63</v>
      </c>
      <c r="E328" s="414"/>
      <c r="F328" s="403">
        <v>120</v>
      </c>
      <c r="G328" s="415"/>
      <c r="H328" s="426"/>
      <c r="I328" s="416"/>
      <c r="J328" s="464"/>
    </row>
    <row r="329" spans="2:10" s="34" customFormat="1" ht="14.25" customHeight="1">
      <c r="B329" s="461" t="s">
        <v>678</v>
      </c>
      <c r="C329" s="462" t="s">
        <v>679</v>
      </c>
      <c r="D329" s="463" t="s">
        <v>63</v>
      </c>
      <c r="E329" s="414"/>
      <c r="F329" s="403">
        <v>10</v>
      </c>
      <c r="G329" s="415"/>
      <c r="H329" s="426"/>
      <c r="I329" s="416"/>
      <c r="J329" s="464"/>
    </row>
    <row r="330" spans="2:10" s="34" customFormat="1" ht="28.2" customHeight="1">
      <c r="B330" s="461" t="s">
        <v>680</v>
      </c>
      <c r="C330" s="462" t="s">
        <v>2108</v>
      </c>
      <c r="D330" s="463" t="s">
        <v>63</v>
      </c>
      <c r="E330" s="469"/>
      <c r="F330" s="401">
        <v>1</v>
      </c>
      <c r="G330" s="415"/>
      <c r="H330" s="426"/>
      <c r="I330" s="416"/>
      <c r="J330" s="464"/>
    </row>
    <row r="331" spans="2:10" s="34" customFormat="1" ht="28.2" customHeight="1">
      <c r="B331" s="461" t="s">
        <v>682</v>
      </c>
      <c r="C331" s="462" t="s">
        <v>683</v>
      </c>
      <c r="D331" s="463" t="s">
        <v>63</v>
      </c>
      <c r="E331" s="469"/>
      <c r="F331" s="401">
        <v>1</v>
      </c>
      <c r="G331" s="415"/>
      <c r="H331" s="426"/>
      <c r="I331" s="416"/>
      <c r="J331" s="464"/>
    </row>
    <row r="332" spans="2:10" s="34" customFormat="1" ht="28.2" customHeight="1">
      <c r="B332" s="461" t="s">
        <v>684</v>
      </c>
      <c r="C332" s="462" t="s">
        <v>685</v>
      </c>
      <c r="D332" s="463" t="s">
        <v>63</v>
      </c>
      <c r="E332" s="469"/>
      <c r="F332" s="401">
        <v>2</v>
      </c>
      <c r="G332" s="415"/>
      <c r="H332" s="426"/>
      <c r="I332" s="416"/>
      <c r="J332" s="464"/>
    </row>
    <row r="333" spans="2:10" s="34" customFormat="1" ht="28.2" customHeight="1">
      <c r="B333" s="461" t="s">
        <v>686</v>
      </c>
      <c r="C333" s="462" t="s">
        <v>687</v>
      </c>
      <c r="D333" s="463" t="s">
        <v>63</v>
      </c>
      <c r="E333" s="469"/>
      <c r="F333" s="401">
        <v>2</v>
      </c>
      <c r="G333" s="415"/>
      <c r="H333" s="426"/>
      <c r="I333" s="416"/>
      <c r="J333" s="464"/>
    </row>
    <row r="334" spans="2:10" s="34" customFormat="1" ht="36.6" customHeight="1">
      <c r="B334" s="461" t="s">
        <v>688</v>
      </c>
      <c r="C334" s="462" t="s">
        <v>689</v>
      </c>
      <c r="D334" s="463" t="s">
        <v>63</v>
      </c>
      <c r="E334" s="469"/>
      <c r="F334" s="401">
        <v>12</v>
      </c>
      <c r="G334" s="415"/>
      <c r="H334" s="426"/>
      <c r="I334" s="416"/>
      <c r="J334" s="464"/>
    </row>
    <row r="335" spans="2:10" s="34" customFormat="1" ht="36.6" customHeight="1">
      <c r="B335" s="461" t="s">
        <v>690</v>
      </c>
      <c r="C335" s="462" t="s">
        <v>691</v>
      </c>
      <c r="D335" s="463" t="s">
        <v>63</v>
      </c>
      <c r="E335" s="469"/>
      <c r="F335" s="401">
        <v>2</v>
      </c>
      <c r="G335" s="415"/>
      <c r="H335" s="426"/>
      <c r="I335" s="416"/>
      <c r="J335" s="464"/>
    </row>
    <row r="336" spans="2:10" s="34" customFormat="1" ht="36.6" customHeight="1">
      <c r="B336" s="461" t="s">
        <v>692</v>
      </c>
      <c r="C336" s="462" t="s">
        <v>693</v>
      </c>
      <c r="D336" s="463" t="s">
        <v>63</v>
      </c>
      <c r="E336" s="469"/>
      <c r="F336" s="401">
        <v>1</v>
      </c>
      <c r="G336" s="415"/>
      <c r="H336" s="426"/>
      <c r="I336" s="416"/>
      <c r="J336" s="464"/>
    </row>
    <row r="337" spans="2:10" s="34" customFormat="1" ht="36.6" customHeight="1">
      <c r="B337" s="461" t="s">
        <v>694</v>
      </c>
      <c r="C337" s="462" t="s">
        <v>695</v>
      </c>
      <c r="D337" s="463" t="s">
        <v>63</v>
      </c>
      <c r="E337" s="469"/>
      <c r="F337" s="401">
        <v>20</v>
      </c>
      <c r="G337" s="415"/>
      <c r="H337" s="426"/>
      <c r="I337" s="416"/>
      <c r="J337" s="464"/>
    </row>
    <row r="338" spans="2:10" s="34" customFormat="1" ht="21.6" customHeight="1">
      <c r="B338" s="461" t="s">
        <v>696</v>
      </c>
      <c r="C338" s="462" t="s">
        <v>697</v>
      </c>
      <c r="D338" s="463" t="s">
        <v>63</v>
      </c>
      <c r="E338" s="469"/>
      <c r="F338" s="401">
        <v>160</v>
      </c>
      <c r="G338" s="415"/>
      <c r="H338" s="426"/>
      <c r="I338" s="416"/>
      <c r="J338" s="464"/>
    </row>
    <row r="339" spans="2:10" s="34" customFormat="1" ht="14.25" customHeight="1">
      <c r="B339" s="461" t="s">
        <v>698</v>
      </c>
      <c r="C339" s="462" t="s">
        <v>699</v>
      </c>
      <c r="D339" s="463" t="s">
        <v>63</v>
      </c>
      <c r="E339" s="469"/>
      <c r="F339" s="401">
        <v>10</v>
      </c>
      <c r="G339" s="415"/>
      <c r="H339" s="426"/>
      <c r="I339" s="416"/>
      <c r="J339" s="464"/>
    </row>
    <row r="340" spans="2:10" s="34" customFormat="1" ht="14.25" customHeight="1">
      <c r="B340" s="461" t="s">
        <v>700</v>
      </c>
      <c r="C340" s="462" t="s">
        <v>701</v>
      </c>
      <c r="D340" s="463" t="s">
        <v>63</v>
      </c>
      <c r="E340" s="469"/>
      <c r="F340" s="401">
        <v>1</v>
      </c>
      <c r="G340" s="415"/>
      <c r="H340" s="426"/>
      <c r="I340" s="416"/>
      <c r="J340" s="464"/>
    </row>
    <row r="341" spans="2:10" s="34" customFormat="1" ht="14.25" customHeight="1">
      <c r="B341" s="461" t="s">
        <v>702</v>
      </c>
      <c r="C341" s="462" t="s">
        <v>703</v>
      </c>
      <c r="D341" s="463" t="s">
        <v>63</v>
      </c>
      <c r="E341" s="469"/>
      <c r="F341" s="401">
        <v>1</v>
      </c>
      <c r="G341" s="415"/>
      <c r="H341" s="426"/>
      <c r="I341" s="416"/>
      <c r="J341" s="464"/>
    </row>
    <row r="342" spans="2:10" s="34" customFormat="1" ht="14.25" customHeight="1">
      <c r="B342" s="461" t="s">
        <v>704</v>
      </c>
      <c r="C342" s="462" t="s">
        <v>705</v>
      </c>
      <c r="D342" s="463" t="s">
        <v>63</v>
      </c>
      <c r="E342" s="469"/>
      <c r="F342" s="401">
        <v>1</v>
      </c>
      <c r="G342" s="415"/>
      <c r="H342" s="426"/>
      <c r="I342" s="416"/>
      <c r="J342" s="464"/>
    </row>
    <row r="343" spans="2:10" s="34" customFormat="1" ht="14.25" customHeight="1">
      <c r="B343" s="461" t="s">
        <v>706</v>
      </c>
      <c r="C343" s="462" t="s">
        <v>707</v>
      </c>
      <c r="D343" s="463" t="s">
        <v>63</v>
      </c>
      <c r="E343" s="469"/>
      <c r="F343" s="401">
        <v>2</v>
      </c>
      <c r="G343" s="415"/>
      <c r="H343" s="426"/>
      <c r="I343" s="416"/>
      <c r="J343" s="464"/>
    </row>
    <row r="344" spans="2:10" s="34" customFormat="1" ht="14.25" customHeight="1">
      <c r="B344" s="461" t="s">
        <v>708</v>
      </c>
      <c r="C344" s="462" t="s">
        <v>709</v>
      </c>
      <c r="D344" s="463" t="s">
        <v>63</v>
      </c>
      <c r="E344" s="469"/>
      <c r="F344" s="401">
        <v>1</v>
      </c>
      <c r="G344" s="415"/>
      <c r="H344" s="426"/>
      <c r="I344" s="416"/>
      <c r="J344" s="464"/>
    </row>
    <row r="345" spans="2:10" s="34" customFormat="1" ht="14.25" customHeight="1">
      <c r="B345" s="461" t="s">
        <v>710</v>
      </c>
      <c r="C345" s="462" t="s">
        <v>711</v>
      </c>
      <c r="D345" s="463" t="s">
        <v>63</v>
      </c>
      <c r="E345" s="469"/>
      <c r="F345" s="401">
        <v>40</v>
      </c>
      <c r="G345" s="415"/>
      <c r="H345" s="426"/>
      <c r="I345" s="416"/>
      <c r="J345" s="464"/>
    </row>
    <row r="346" spans="2:10" s="34" customFormat="1" ht="14.25" customHeight="1">
      <c r="B346" s="461" t="s">
        <v>712</v>
      </c>
      <c r="C346" s="462" t="s">
        <v>713</v>
      </c>
      <c r="D346" s="463" t="s">
        <v>63</v>
      </c>
      <c r="E346" s="469"/>
      <c r="F346" s="401">
        <v>1</v>
      </c>
      <c r="G346" s="415"/>
      <c r="H346" s="426"/>
      <c r="I346" s="416"/>
      <c r="J346" s="464"/>
    </row>
    <row r="347" spans="2:10" s="34" customFormat="1" ht="21.6" customHeight="1">
      <c r="B347" s="461" t="s">
        <v>714</v>
      </c>
      <c r="C347" s="462" t="s">
        <v>2109</v>
      </c>
      <c r="D347" s="463" t="s">
        <v>63</v>
      </c>
      <c r="E347" s="469"/>
      <c r="F347" s="401">
        <v>1</v>
      </c>
      <c r="G347" s="415"/>
      <c r="H347" s="426"/>
      <c r="I347" s="416"/>
      <c r="J347" s="464"/>
    </row>
    <row r="348" spans="2:10" s="34" customFormat="1" ht="21.6" customHeight="1">
      <c r="B348" s="461" t="s">
        <v>716</v>
      </c>
      <c r="C348" s="462" t="s">
        <v>717</v>
      </c>
      <c r="D348" s="463" t="s">
        <v>63</v>
      </c>
      <c r="E348" s="469"/>
      <c r="F348" s="401">
        <v>20</v>
      </c>
      <c r="G348" s="415"/>
      <c r="H348" s="426"/>
      <c r="I348" s="416"/>
      <c r="J348" s="464"/>
    </row>
    <row r="349" spans="2:10" s="34" customFormat="1" ht="21.6" customHeight="1">
      <c r="B349" s="461" t="s">
        <v>718</v>
      </c>
      <c r="C349" s="462" t="s">
        <v>719</v>
      </c>
      <c r="D349" s="463" t="s">
        <v>63</v>
      </c>
      <c r="E349" s="469"/>
      <c r="F349" s="401">
        <v>2</v>
      </c>
      <c r="G349" s="415"/>
      <c r="H349" s="426"/>
      <c r="I349" s="416"/>
      <c r="J349" s="464"/>
    </row>
    <row r="350" spans="2:10" s="34" customFormat="1" ht="21.6" customHeight="1">
      <c r="B350" s="461" t="s">
        <v>720</v>
      </c>
      <c r="C350" s="462" t="s">
        <v>721</v>
      </c>
      <c r="D350" s="463" t="s">
        <v>63</v>
      </c>
      <c r="E350" s="469"/>
      <c r="F350" s="401">
        <v>2</v>
      </c>
      <c r="G350" s="415"/>
      <c r="H350" s="426"/>
      <c r="I350" s="416"/>
      <c r="J350" s="464"/>
    </row>
    <row r="351" spans="2:10" s="34" customFormat="1" ht="21.6" customHeight="1">
      <c r="B351" s="461" t="s">
        <v>722</v>
      </c>
      <c r="C351" s="462" t="s">
        <v>723</v>
      </c>
      <c r="D351" s="463" t="s">
        <v>63</v>
      </c>
      <c r="E351" s="469"/>
      <c r="F351" s="401">
        <v>2</v>
      </c>
      <c r="G351" s="415"/>
      <c r="H351" s="426"/>
      <c r="I351" s="416"/>
      <c r="J351" s="464"/>
    </row>
    <row r="352" spans="2:10" s="34" customFormat="1" ht="21.6" customHeight="1">
      <c r="B352" s="461" t="s">
        <v>724</v>
      </c>
      <c r="C352" s="462" t="s">
        <v>725</v>
      </c>
      <c r="D352" s="463" t="s">
        <v>63</v>
      </c>
      <c r="E352" s="469"/>
      <c r="F352" s="401">
        <v>2</v>
      </c>
      <c r="G352" s="415"/>
      <c r="H352" s="426"/>
      <c r="I352" s="416"/>
      <c r="J352" s="464"/>
    </row>
    <row r="353" spans="2:10" s="34" customFormat="1" ht="21.6" customHeight="1">
      <c r="B353" s="461" t="s">
        <v>726</v>
      </c>
      <c r="C353" s="462" t="s">
        <v>2110</v>
      </c>
      <c r="D353" s="463" t="s">
        <v>63</v>
      </c>
      <c r="E353" s="469"/>
      <c r="F353" s="401">
        <v>1</v>
      </c>
      <c r="G353" s="415"/>
      <c r="H353" s="426"/>
      <c r="I353" s="416"/>
      <c r="J353" s="464"/>
    </row>
    <row r="354" spans="2:10" s="34" customFormat="1" ht="14.25" customHeight="1">
      <c r="B354" s="461" t="s">
        <v>728</v>
      </c>
      <c r="C354" s="462" t="s">
        <v>729</v>
      </c>
      <c r="D354" s="463" t="s">
        <v>63</v>
      </c>
      <c r="E354" s="469"/>
      <c r="F354" s="401">
        <v>15</v>
      </c>
      <c r="G354" s="415"/>
      <c r="H354" s="426"/>
      <c r="I354" s="416"/>
      <c r="J354" s="464"/>
    </row>
    <row r="355" spans="2:10" s="34" customFormat="1" ht="14.25" customHeight="1">
      <c r="B355" s="461" t="s">
        <v>730</v>
      </c>
      <c r="C355" s="462" t="s">
        <v>731</v>
      </c>
      <c r="D355" s="463" t="s">
        <v>63</v>
      </c>
      <c r="E355" s="469"/>
      <c r="F355" s="401">
        <v>150</v>
      </c>
      <c r="G355" s="415"/>
      <c r="H355" s="426"/>
      <c r="I355" s="416"/>
      <c r="J355" s="464"/>
    </row>
    <row r="356" spans="2:10" s="34" customFormat="1" ht="21.6" customHeight="1">
      <c r="B356" s="461" t="s">
        <v>732</v>
      </c>
      <c r="C356" s="462" t="s">
        <v>733</v>
      </c>
      <c r="D356" s="463" t="s">
        <v>63</v>
      </c>
      <c r="E356" s="469"/>
      <c r="F356" s="401">
        <v>4</v>
      </c>
      <c r="G356" s="415"/>
      <c r="H356" s="426"/>
      <c r="I356" s="416"/>
      <c r="J356" s="464"/>
    </row>
    <row r="357" spans="2:10" s="34" customFormat="1" ht="21.6" customHeight="1">
      <c r="B357" s="461" t="s">
        <v>734</v>
      </c>
      <c r="C357" s="462" t="s">
        <v>735</v>
      </c>
      <c r="D357" s="463" t="s">
        <v>63</v>
      </c>
      <c r="E357" s="469"/>
      <c r="F357" s="401">
        <v>250</v>
      </c>
      <c r="G357" s="415"/>
      <c r="H357" s="426"/>
      <c r="I357" s="416"/>
      <c r="J357" s="464"/>
    </row>
    <row r="358" spans="2:10" s="34" customFormat="1" ht="21.6" customHeight="1">
      <c r="B358" s="461" t="s">
        <v>736</v>
      </c>
      <c r="C358" s="462" t="s">
        <v>737</v>
      </c>
      <c r="D358" s="463" t="s">
        <v>63</v>
      </c>
      <c r="E358" s="469"/>
      <c r="F358" s="401">
        <v>2</v>
      </c>
      <c r="G358" s="415"/>
      <c r="H358" s="426"/>
      <c r="I358" s="416"/>
      <c r="J358" s="464"/>
    </row>
    <row r="359" spans="2:10" s="34" customFormat="1" ht="21.6" customHeight="1">
      <c r="B359" s="461" t="s">
        <v>738</v>
      </c>
      <c r="C359" s="462" t="s">
        <v>739</v>
      </c>
      <c r="D359" s="463" t="s">
        <v>63</v>
      </c>
      <c r="E359" s="414"/>
      <c r="F359" s="403">
        <v>100</v>
      </c>
      <c r="G359" s="415"/>
      <c r="H359" s="426"/>
      <c r="I359" s="416"/>
      <c r="J359" s="464"/>
    </row>
    <row r="360" spans="2:10" s="34" customFormat="1" ht="21.6" customHeight="1">
      <c r="B360" s="461" t="s">
        <v>740</v>
      </c>
      <c r="C360" s="462" t="s">
        <v>741</v>
      </c>
      <c r="D360" s="463" t="s">
        <v>63</v>
      </c>
      <c r="E360" s="414"/>
      <c r="F360" s="403">
        <v>2</v>
      </c>
      <c r="G360" s="415"/>
      <c r="H360" s="426"/>
      <c r="I360" s="416"/>
      <c r="J360" s="464"/>
    </row>
    <row r="361" spans="2:10" s="34" customFormat="1" ht="21.6" customHeight="1">
      <c r="B361" s="461" t="s">
        <v>742</v>
      </c>
      <c r="C361" s="462" t="s">
        <v>743</v>
      </c>
      <c r="D361" s="463" t="s">
        <v>63</v>
      </c>
      <c r="E361" s="414"/>
      <c r="F361" s="403">
        <v>25</v>
      </c>
      <c r="G361" s="415"/>
      <c r="H361" s="426"/>
      <c r="I361" s="416"/>
      <c r="J361" s="464"/>
    </row>
    <row r="362" spans="2:10" s="34" customFormat="1" ht="21.6" customHeight="1">
      <c r="B362" s="461" t="s">
        <v>744</v>
      </c>
      <c r="C362" s="462" t="s">
        <v>745</v>
      </c>
      <c r="D362" s="463" t="s">
        <v>63</v>
      </c>
      <c r="E362" s="414"/>
      <c r="F362" s="403">
        <v>15</v>
      </c>
      <c r="G362" s="415"/>
      <c r="H362" s="426"/>
      <c r="I362" s="416"/>
      <c r="J362" s="464"/>
    </row>
    <row r="363" spans="2:10" s="34" customFormat="1" ht="14.25" customHeight="1">
      <c r="B363" s="461" t="s">
        <v>746</v>
      </c>
      <c r="C363" s="462" t="s">
        <v>747</v>
      </c>
      <c r="D363" s="463" t="s">
        <v>63</v>
      </c>
      <c r="E363" s="414"/>
      <c r="F363" s="403">
        <v>15</v>
      </c>
      <c r="G363" s="415"/>
      <c r="H363" s="426"/>
      <c r="I363" s="416"/>
      <c r="J363" s="464"/>
    </row>
    <row r="364" spans="2:10" s="34" customFormat="1" ht="14.25" customHeight="1">
      <c r="B364" s="461" t="s">
        <v>748</v>
      </c>
      <c r="C364" s="462" t="s">
        <v>749</v>
      </c>
      <c r="D364" s="463" t="s">
        <v>63</v>
      </c>
      <c r="E364" s="414"/>
      <c r="F364" s="403">
        <v>15</v>
      </c>
      <c r="G364" s="415"/>
      <c r="H364" s="426"/>
      <c r="I364" s="416"/>
      <c r="J364" s="464"/>
    </row>
    <row r="365" spans="2:10" s="34" customFormat="1" ht="14.25" customHeight="1">
      <c r="B365" s="461" t="s">
        <v>750</v>
      </c>
      <c r="C365" s="462" t="s">
        <v>751</v>
      </c>
      <c r="D365" s="463" t="s">
        <v>63</v>
      </c>
      <c r="E365" s="414"/>
      <c r="F365" s="403">
        <v>1</v>
      </c>
      <c r="G365" s="415"/>
      <c r="H365" s="426"/>
      <c r="I365" s="416"/>
      <c r="J365" s="464"/>
    </row>
    <row r="366" spans="2:10" s="34" customFormat="1" ht="14.25" customHeight="1">
      <c r="B366" s="461" t="s">
        <v>752</v>
      </c>
      <c r="C366" s="462" t="s">
        <v>753</v>
      </c>
      <c r="D366" s="463" t="s">
        <v>63</v>
      </c>
      <c r="E366" s="414"/>
      <c r="F366" s="403">
        <v>10</v>
      </c>
      <c r="G366" s="415"/>
      <c r="H366" s="426"/>
      <c r="I366" s="416"/>
      <c r="J366" s="464"/>
    </row>
    <row r="367" spans="2:10" s="34" customFormat="1" ht="14.25" customHeight="1">
      <c r="B367" s="461" t="s">
        <v>754</v>
      </c>
      <c r="C367" s="462" t="s">
        <v>755</v>
      </c>
      <c r="D367" s="463" t="s">
        <v>63</v>
      </c>
      <c r="E367" s="414"/>
      <c r="F367" s="403">
        <v>15</v>
      </c>
      <c r="G367" s="415"/>
      <c r="H367" s="426"/>
      <c r="I367" s="416"/>
      <c r="J367" s="464"/>
    </row>
    <row r="368" spans="2:10" s="34" customFormat="1" ht="14.25" customHeight="1">
      <c r="B368" s="461" t="s">
        <v>756</v>
      </c>
      <c r="C368" s="462" t="s">
        <v>757</v>
      </c>
      <c r="D368" s="463" t="s">
        <v>63</v>
      </c>
      <c r="E368" s="414"/>
      <c r="F368" s="403">
        <v>15</v>
      </c>
      <c r="G368" s="415"/>
      <c r="H368" s="426"/>
      <c r="I368" s="416"/>
      <c r="J368" s="464"/>
    </row>
    <row r="369" spans="2:10" s="34" customFormat="1" ht="21.6" customHeight="1">
      <c r="B369" s="461" t="s">
        <v>758</v>
      </c>
      <c r="C369" s="462" t="s">
        <v>759</v>
      </c>
      <c r="D369" s="463" t="s">
        <v>63</v>
      </c>
      <c r="E369" s="414"/>
      <c r="F369" s="403">
        <v>2</v>
      </c>
      <c r="G369" s="415"/>
      <c r="H369" s="426"/>
      <c r="I369" s="416"/>
      <c r="J369" s="464"/>
    </row>
    <row r="370" spans="2:10" s="34" customFormat="1" ht="14.25" customHeight="1">
      <c r="B370" s="461" t="s">
        <v>760</v>
      </c>
      <c r="C370" s="462" t="s">
        <v>761</v>
      </c>
      <c r="D370" s="463" t="s">
        <v>63</v>
      </c>
      <c r="E370" s="414"/>
      <c r="F370" s="403">
        <v>25</v>
      </c>
      <c r="G370" s="415"/>
      <c r="H370" s="426"/>
      <c r="I370" s="416"/>
      <c r="J370" s="464"/>
    </row>
    <row r="371" spans="2:10" s="34" customFormat="1" ht="14.25" customHeight="1">
      <c r="B371" s="461" t="s">
        <v>762</v>
      </c>
      <c r="C371" s="462" t="s">
        <v>763</v>
      </c>
      <c r="D371" s="463" t="s">
        <v>63</v>
      </c>
      <c r="E371" s="414"/>
      <c r="F371" s="403">
        <v>1</v>
      </c>
      <c r="G371" s="415"/>
      <c r="H371" s="426"/>
      <c r="I371" s="416"/>
      <c r="J371" s="464"/>
    </row>
    <row r="372" spans="2:10" s="34" customFormat="1" ht="21.6" customHeight="1">
      <c r="B372" s="461" t="s">
        <v>764</v>
      </c>
      <c r="C372" s="462" t="s">
        <v>765</v>
      </c>
      <c r="D372" s="463" t="s">
        <v>63</v>
      </c>
      <c r="E372" s="414"/>
      <c r="F372" s="403">
        <v>5</v>
      </c>
      <c r="G372" s="415"/>
      <c r="H372" s="426"/>
      <c r="I372" s="416"/>
      <c r="J372" s="464"/>
    </row>
    <row r="373" spans="2:10" s="34" customFormat="1" ht="14.25" customHeight="1">
      <c r="B373" s="461" t="s">
        <v>766</v>
      </c>
      <c r="C373" s="462" t="s">
        <v>767</v>
      </c>
      <c r="D373" s="463" t="s">
        <v>63</v>
      </c>
      <c r="E373" s="469"/>
      <c r="F373" s="401">
        <v>1</v>
      </c>
      <c r="G373" s="415"/>
      <c r="H373" s="426"/>
      <c r="I373" s="416"/>
      <c r="J373" s="464"/>
    </row>
    <row r="374" spans="2:10" s="34" customFormat="1" ht="21.6" customHeight="1">
      <c r="B374" s="461" t="s">
        <v>768</v>
      </c>
      <c r="C374" s="462" t="s">
        <v>769</v>
      </c>
      <c r="D374" s="463" t="s">
        <v>63</v>
      </c>
      <c r="E374" s="469"/>
      <c r="F374" s="401">
        <v>20</v>
      </c>
      <c r="G374" s="415"/>
      <c r="H374" s="426"/>
      <c r="I374" s="416"/>
      <c r="J374" s="464"/>
    </row>
    <row r="375" spans="2:10" s="34" customFormat="1" ht="27.6" customHeight="1">
      <c r="B375" s="461" t="s">
        <v>770</v>
      </c>
      <c r="C375" s="462" t="s">
        <v>771</v>
      </c>
      <c r="D375" s="463" t="s">
        <v>63</v>
      </c>
      <c r="E375" s="414"/>
      <c r="F375" s="403">
        <v>120</v>
      </c>
      <c r="G375" s="415"/>
      <c r="H375" s="426"/>
      <c r="I375" s="416"/>
      <c r="J375" s="464"/>
    </row>
    <row r="376" spans="2:10" s="34" customFormat="1" ht="14.25" customHeight="1">
      <c r="B376" s="461" t="s">
        <v>772</v>
      </c>
      <c r="C376" s="462" t="s">
        <v>773</v>
      </c>
      <c r="D376" s="463" t="s">
        <v>63</v>
      </c>
      <c r="E376" s="414"/>
      <c r="F376" s="403">
        <v>45</v>
      </c>
      <c r="G376" s="415"/>
      <c r="H376" s="426"/>
      <c r="I376" s="416"/>
      <c r="J376" s="464"/>
    </row>
    <row r="377" spans="2:10" s="34" customFormat="1" ht="14.25" customHeight="1">
      <c r="B377" s="461" t="s">
        <v>774</v>
      </c>
      <c r="C377" s="462" t="s">
        <v>775</v>
      </c>
      <c r="D377" s="463" t="s">
        <v>63</v>
      </c>
      <c r="E377" s="414"/>
      <c r="F377" s="403">
        <v>1</v>
      </c>
      <c r="G377" s="415"/>
      <c r="H377" s="426"/>
      <c r="I377" s="416"/>
      <c r="J377" s="464"/>
    </row>
    <row r="378" spans="2:10" s="34" customFormat="1" ht="14.25" customHeight="1">
      <c r="B378" s="461" t="s">
        <v>776</v>
      </c>
      <c r="C378" s="462" t="s">
        <v>777</v>
      </c>
      <c r="D378" s="463" t="s">
        <v>63</v>
      </c>
      <c r="E378" s="414"/>
      <c r="F378" s="403">
        <v>10</v>
      </c>
      <c r="G378" s="415"/>
      <c r="H378" s="426"/>
      <c r="I378" s="416"/>
      <c r="J378" s="464"/>
    </row>
    <row r="379" spans="2:10" s="34" customFormat="1" ht="21.6" customHeight="1">
      <c r="B379" s="461" t="s">
        <v>778</v>
      </c>
      <c r="C379" s="462" t="s">
        <v>779</v>
      </c>
      <c r="D379" s="463" t="s">
        <v>63</v>
      </c>
      <c r="E379" s="414"/>
      <c r="F379" s="403">
        <v>10</v>
      </c>
      <c r="G379" s="415"/>
      <c r="H379" s="426"/>
      <c r="I379" s="416"/>
      <c r="J379" s="464"/>
    </row>
    <row r="380" spans="2:10" s="34" customFormat="1" ht="14.25" customHeight="1">
      <c r="B380" s="461" t="s">
        <v>780</v>
      </c>
      <c r="C380" s="462" t="s">
        <v>2111</v>
      </c>
      <c r="D380" s="463" t="s">
        <v>63</v>
      </c>
      <c r="E380" s="414"/>
      <c r="F380" s="403">
        <v>2</v>
      </c>
      <c r="G380" s="415"/>
      <c r="H380" s="426"/>
      <c r="I380" s="416"/>
      <c r="J380" s="464"/>
    </row>
    <row r="381" spans="2:10" s="34" customFormat="1" ht="14.25" customHeight="1">
      <c r="B381" s="456" t="s">
        <v>782</v>
      </c>
      <c r="C381" s="457" t="s">
        <v>783</v>
      </c>
      <c r="D381" s="458"/>
      <c r="E381" s="419"/>
      <c r="F381" s="465"/>
      <c r="G381" s="428"/>
      <c r="H381" s="459"/>
      <c r="I381" s="459"/>
      <c r="J381" s="460"/>
    </row>
    <row r="382" spans="2:10" s="34" customFormat="1" ht="21.6" customHeight="1">
      <c r="B382" s="461" t="s">
        <v>784</v>
      </c>
      <c r="C382" s="462" t="s">
        <v>785</v>
      </c>
      <c r="D382" s="463" t="s">
        <v>124</v>
      </c>
      <c r="E382" s="423"/>
      <c r="F382" s="409">
        <v>260</v>
      </c>
      <c r="G382" s="415"/>
      <c r="H382" s="426"/>
      <c r="I382" s="416"/>
      <c r="J382" s="464"/>
    </row>
    <row r="383" spans="2:10" s="34" customFormat="1" ht="14.25" customHeight="1">
      <c r="B383" s="461" t="s">
        <v>786</v>
      </c>
      <c r="C383" s="462" t="s">
        <v>653</v>
      </c>
      <c r="D383" s="463" t="s">
        <v>124</v>
      </c>
      <c r="E383" s="481"/>
      <c r="F383" s="401">
        <v>10</v>
      </c>
      <c r="G383" s="415"/>
      <c r="H383" s="426"/>
      <c r="I383" s="416"/>
      <c r="J383" s="464"/>
    </row>
    <row r="384" spans="2:10" s="34" customFormat="1" ht="14.25" customHeight="1">
      <c r="B384" s="461" t="s">
        <v>787</v>
      </c>
      <c r="C384" s="462" t="s">
        <v>655</v>
      </c>
      <c r="D384" s="463" t="s">
        <v>124</v>
      </c>
      <c r="E384" s="481"/>
      <c r="F384" s="401">
        <v>320</v>
      </c>
      <c r="G384" s="415"/>
      <c r="H384" s="426"/>
      <c r="I384" s="416"/>
      <c r="J384" s="464"/>
    </row>
    <row r="385" spans="2:10" s="34" customFormat="1" ht="14.25" customHeight="1">
      <c r="B385" s="461" t="s">
        <v>788</v>
      </c>
      <c r="C385" s="462" t="s">
        <v>659</v>
      </c>
      <c r="D385" s="463" t="s">
        <v>124</v>
      </c>
      <c r="E385" s="422"/>
      <c r="F385" s="403">
        <v>10</v>
      </c>
      <c r="G385" s="415"/>
      <c r="H385" s="426"/>
      <c r="I385" s="416"/>
      <c r="J385" s="464"/>
    </row>
    <row r="386" spans="2:10" s="34" customFormat="1" ht="21.6" customHeight="1">
      <c r="B386" s="461" t="s">
        <v>789</v>
      </c>
      <c r="C386" s="462" t="s">
        <v>790</v>
      </c>
      <c r="D386" s="463" t="s">
        <v>124</v>
      </c>
      <c r="E386" s="423"/>
      <c r="F386" s="409">
        <v>320</v>
      </c>
      <c r="G386" s="415"/>
      <c r="H386" s="426"/>
      <c r="I386" s="416"/>
      <c r="J386" s="464"/>
    </row>
    <row r="387" spans="2:10" s="34" customFormat="1" ht="21.6" customHeight="1">
      <c r="B387" s="461" t="s">
        <v>791</v>
      </c>
      <c r="C387" s="462" t="s">
        <v>792</v>
      </c>
      <c r="D387" s="463" t="s">
        <v>124</v>
      </c>
      <c r="E387" s="416"/>
      <c r="F387" s="409">
        <v>120</v>
      </c>
      <c r="G387" s="415"/>
      <c r="H387" s="426"/>
      <c r="I387" s="416"/>
      <c r="J387" s="464"/>
    </row>
    <row r="388" spans="2:10" s="34" customFormat="1" ht="21.6" customHeight="1">
      <c r="B388" s="461" t="s">
        <v>793</v>
      </c>
      <c r="C388" s="462" t="s">
        <v>794</v>
      </c>
      <c r="D388" s="463" t="s">
        <v>124</v>
      </c>
      <c r="E388" s="416"/>
      <c r="F388" s="409">
        <v>200</v>
      </c>
      <c r="G388" s="415"/>
      <c r="H388" s="426"/>
      <c r="I388" s="416"/>
      <c r="J388" s="464"/>
    </row>
    <row r="389" spans="2:10" s="34" customFormat="1" ht="14.25" customHeight="1">
      <c r="B389" s="461" t="s">
        <v>795</v>
      </c>
      <c r="C389" s="462" t="s">
        <v>796</v>
      </c>
      <c r="D389" s="463" t="s">
        <v>124</v>
      </c>
      <c r="E389" s="416"/>
      <c r="F389" s="409">
        <v>50</v>
      </c>
      <c r="G389" s="415"/>
      <c r="H389" s="426"/>
      <c r="I389" s="416"/>
      <c r="J389" s="464"/>
    </row>
    <row r="390" spans="2:10" s="34" customFormat="1" ht="14.25" customHeight="1">
      <c r="B390" s="461" t="s">
        <v>797</v>
      </c>
      <c r="C390" s="462" t="s">
        <v>796</v>
      </c>
      <c r="D390" s="463" t="s">
        <v>124</v>
      </c>
      <c r="E390" s="416"/>
      <c r="F390" s="409">
        <v>2.5</v>
      </c>
      <c r="G390" s="415"/>
      <c r="H390" s="426"/>
      <c r="I390" s="416"/>
      <c r="J390" s="464"/>
    </row>
    <row r="391" spans="2:10" s="34" customFormat="1" ht="14.25" customHeight="1">
      <c r="B391" s="461" t="s">
        <v>798</v>
      </c>
      <c r="C391" s="462" t="s">
        <v>799</v>
      </c>
      <c r="D391" s="463" t="s">
        <v>124</v>
      </c>
      <c r="E391" s="416"/>
      <c r="F391" s="409">
        <v>500</v>
      </c>
      <c r="G391" s="415"/>
      <c r="H391" s="426"/>
      <c r="I391" s="416"/>
      <c r="J391" s="464"/>
    </row>
    <row r="392" spans="2:10" s="34" customFormat="1" ht="21.6" customHeight="1">
      <c r="B392" s="482" t="s">
        <v>1747</v>
      </c>
      <c r="C392" s="462" t="s">
        <v>2112</v>
      </c>
      <c r="D392" s="463" t="s">
        <v>124</v>
      </c>
      <c r="E392" s="473"/>
      <c r="F392" s="407">
        <v>50</v>
      </c>
      <c r="G392" s="415"/>
      <c r="H392" s="475"/>
      <c r="I392" s="473"/>
      <c r="J392" s="464"/>
    </row>
    <row r="393" spans="2:10" s="34" customFormat="1" ht="28.2" customHeight="1">
      <c r="B393" s="456" t="s">
        <v>800</v>
      </c>
      <c r="C393" s="457" t="s">
        <v>801</v>
      </c>
      <c r="D393" s="483"/>
      <c r="E393" s="484"/>
      <c r="F393" s="485"/>
      <c r="G393" s="428"/>
      <c r="H393" s="459"/>
      <c r="I393" s="459"/>
      <c r="J393" s="460"/>
    </row>
    <row r="394" spans="2:10" s="34" customFormat="1" ht="21.6" customHeight="1">
      <c r="B394" s="461" t="s">
        <v>802</v>
      </c>
      <c r="C394" s="462" t="s">
        <v>2113</v>
      </c>
      <c r="D394" s="463" t="s">
        <v>63</v>
      </c>
      <c r="E394" s="414"/>
      <c r="F394" s="403">
        <v>180</v>
      </c>
      <c r="G394" s="415"/>
      <c r="H394" s="426"/>
      <c r="I394" s="416"/>
      <c r="J394" s="464"/>
    </row>
    <row r="395" spans="2:10" s="34" customFormat="1" ht="21.6" customHeight="1">
      <c r="B395" s="461" t="s">
        <v>804</v>
      </c>
      <c r="C395" s="462" t="s">
        <v>2114</v>
      </c>
      <c r="D395" s="463" t="s">
        <v>63</v>
      </c>
      <c r="E395" s="414"/>
      <c r="F395" s="403">
        <v>120</v>
      </c>
      <c r="G395" s="415"/>
      <c r="H395" s="426"/>
      <c r="I395" s="416"/>
      <c r="J395" s="464"/>
    </row>
    <row r="396" spans="2:10" s="34" customFormat="1" ht="21.6" customHeight="1">
      <c r="B396" s="461" t="s">
        <v>806</v>
      </c>
      <c r="C396" s="462" t="s">
        <v>807</v>
      </c>
      <c r="D396" s="463" t="s">
        <v>63</v>
      </c>
      <c r="E396" s="414"/>
      <c r="F396" s="403">
        <v>250</v>
      </c>
      <c r="G396" s="415"/>
      <c r="H396" s="426"/>
      <c r="I396" s="416"/>
      <c r="J396" s="464"/>
    </row>
    <row r="397" spans="2:10" s="34" customFormat="1" ht="21.6" customHeight="1">
      <c r="B397" s="461" t="s">
        <v>808</v>
      </c>
      <c r="C397" s="462" t="s">
        <v>809</v>
      </c>
      <c r="D397" s="463" t="s">
        <v>63</v>
      </c>
      <c r="E397" s="414"/>
      <c r="F397" s="403">
        <v>2</v>
      </c>
      <c r="G397" s="415"/>
      <c r="H397" s="426"/>
      <c r="I397" s="416"/>
      <c r="J397" s="464"/>
    </row>
    <row r="398" spans="2:10" s="34" customFormat="1" ht="21.6" customHeight="1">
      <c r="B398" s="461" t="s">
        <v>810</v>
      </c>
      <c r="C398" s="462" t="s">
        <v>811</v>
      </c>
      <c r="D398" s="463" t="s">
        <v>63</v>
      </c>
      <c r="E398" s="414"/>
      <c r="F398" s="403">
        <v>2</v>
      </c>
      <c r="G398" s="415"/>
      <c r="H398" s="426"/>
      <c r="I398" s="416"/>
      <c r="J398" s="464"/>
    </row>
    <row r="399" spans="2:10" s="34" customFormat="1" ht="21.6" customHeight="1">
      <c r="B399" s="461" t="s">
        <v>812</v>
      </c>
      <c r="C399" s="462" t="s">
        <v>2115</v>
      </c>
      <c r="D399" s="463" t="s">
        <v>63</v>
      </c>
      <c r="E399" s="414"/>
      <c r="F399" s="403">
        <v>220</v>
      </c>
      <c r="G399" s="415"/>
      <c r="H399" s="426"/>
      <c r="I399" s="416"/>
      <c r="J399" s="464"/>
    </row>
    <row r="400" spans="2:10" s="34" customFormat="1" ht="21.6" customHeight="1">
      <c r="B400" s="461" t="s">
        <v>814</v>
      </c>
      <c r="C400" s="462" t="s">
        <v>815</v>
      </c>
      <c r="D400" s="463" t="s">
        <v>63</v>
      </c>
      <c r="E400" s="414"/>
      <c r="F400" s="403">
        <v>1</v>
      </c>
      <c r="G400" s="415"/>
      <c r="H400" s="426"/>
      <c r="I400" s="416"/>
      <c r="J400" s="464"/>
    </row>
    <row r="401" spans="2:10" s="34" customFormat="1" ht="21.6" customHeight="1">
      <c r="B401" s="461" t="s">
        <v>816</v>
      </c>
      <c r="C401" s="462" t="s">
        <v>2116</v>
      </c>
      <c r="D401" s="463" t="s">
        <v>63</v>
      </c>
      <c r="E401" s="414"/>
      <c r="F401" s="403">
        <v>100</v>
      </c>
      <c r="G401" s="415"/>
      <c r="H401" s="426"/>
      <c r="I401" s="416"/>
      <c r="J401" s="464"/>
    </row>
    <row r="402" spans="2:10" s="34" customFormat="1" ht="21.6" customHeight="1">
      <c r="B402" s="461" t="s">
        <v>818</v>
      </c>
      <c r="C402" s="462" t="s">
        <v>2117</v>
      </c>
      <c r="D402" s="463" t="s">
        <v>63</v>
      </c>
      <c r="E402" s="414"/>
      <c r="F402" s="403">
        <v>120</v>
      </c>
      <c r="G402" s="415"/>
      <c r="H402" s="426"/>
      <c r="I402" s="416"/>
      <c r="J402" s="464"/>
    </row>
    <row r="403" spans="2:10" s="34" customFormat="1" ht="21.6" customHeight="1">
      <c r="B403" s="461" t="s">
        <v>820</v>
      </c>
      <c r="C403" s="462" t="s">
        <v>2118</v>
      </c>
      <c r="D403" s="463" t="s">
        <v>63</v>
      </c>
      <c r="E403" s="414"/>
      <c r="F403" s="403">
        <v>20</v>
      </c>
      <c r="G403" s="415"/>
      <c r="H403" s="426"/>
      <c r="I403" s="416"/>
      <c r="J403" s="464"/>
    </row>
    <row r="404" spans="2:10" s="34" customFormat="1" ht="22.5" customHeight="1">
      <c r="B404" s="461" t="s">
        <v>822</v>
      </c>
      <c r="C404" s="462" t="s">
        <v>2119</v>
      </c>
      <c r="D404" s="463" t="s">
        <v>63</v>
      </c>
      <c r="E404" s="414"/>
      <c r="F404" s="403">
        <v>30</v>
      </c>
      <c r="G404" s="415"/>
      <c r="H404" s="426"/>
      <c r="I404" s="416"/>
      <c r="J404" s="464"/>
    </row>
    <row r="405" spans="2:10" s="34" customFormat="1" ht="21.6" customHeight="1">
      <c r="B405" s="461" t="s">
        <v>824</v>
      </c>
      <c r="C405" s="462" t="s">
        <v>825</v>
      </c>
      <c r="D405" s="463" t="s">
        <v>63</v>
      </c>
      <c r="E405" s="414"/>
      <c r="F405" s="403">
        <v>50</v>
      </c>
      <c r="G405" s="415"/>
      <c r="H405" s="426"/>
      <c r="I405" s="416"/>
      <c r="J405" s="464"/>
    </row>
    <row r="406" spans="2:10" s="34" customFormat="1" ht="21.6" customHeight="1">
      <c r="B406" s="461" t="s">
        <v>826</v>
      </c>
      <c r="C406" s="462" t="s">
        <v>827</v>
      </c>
      <c r="D406" s="463" t="s">
        <v>63</v>
      </c>
      <c r="E406" s="414"/>
      <c r="F406" s="403">
        <v>1</v>
      </c>
      <c r="G406" s="415"/>
      <c r="H406" s="426"/>
      <c r="I406" s="416"/>
      <c r="J406" s="464"/>
    </row>
    <row r="407" spans="2:10" s="34" customFormat="1" ht="21.6" customHeight="1">
      <c r="B407" s="461" t="s">
        <v>828</v>
      </c>
      <c r="C407" s="462" t="s">
        <v>829</v>
      </c>
      <c r="D407" s="463" t="s">
        <v>63</v>
      </c>
      <c r="E407" s="414"/>
      <c r="F407" s="403">
        <v>2</v>
      </c>
      <c r="G407" s="415"/>
      <c r="H407" s="426"/>
      <c r="I407" s="416"/>
      <c r="J407" s="464"/>
    </row>
    <row r="408" spans="2:10" s="34" customFormat="1" ht="21.6" customHeight="1">
      <c r="B408" s="461" t="s">
        <v>830</v>
      </c>
      <c r="C408" s="462" t="s">
        <v>2120</v>
      </c>
      <c r="D408" s="463" t="s">
        <v>63</v>
      </c>
      <c r="E408" s="414"/>
      <c r="F408" s="403">
        <v>200</v>
      </c>
      <c r="G408" s="415"/>
      <c r="H408" s="426"/>
      <c r="I408" s="416"/>
      <c r="J408" s="464"/>
    </row>
    <row r="409" spans="2:10" s="34" customFormat="1" ht="21.6" customHeight="1">
      <c r="B409" s="461" t="s">
        <v>832</v>
      </c>
      <c r="C409" s="462" t="s">
        <v>833</v>
      </c>
      <c r="D409" s="463" t="s">
        <v>63</v>
      </c>
      <c r="E409" s="414"/>
      <c r="F409" s="403">
        <v>150</v>
      </c>
      <c r="G409" s="415"/>
      <c r="H409" s="426"/>
      <c r="I409" s="416"/>
      <c r="J409" s="464"/>
    </row>
    <row r="410" spans="2:10" s="34" customFormat="1" ht="14.25" customHeight="1">
      <c r="B410" s="461" t="s">
        <v>834</v>
      </c>
      <c r="C410" s="462" t="s">
        <v>747</v>
      </c>
      <c r="D410" s="463" t="s">
        <v>63</v>
      </c>
      <c r="E410" s="414"/>
      <c r="F410" s="403">
        <v>50</v>
      </c>
      <c r="G410" s="415"/>
      <c r="H410" s="426"/>
      <c r="I410" s="416"/>
      <c r="J410" s="464"/>
    </row>
    <row r="411" spans="2:10" s="34" customFormat="1" ht="21.6" customHeight="1">
      <c r="B411" s="461" t="s">
        <v>835</v>
      </c>
      <c r="C411" s="462" t="s">
        <v>2121</v>
      </c>
      <c r="D411" s="463" t="s">
        <v>63</v>
      </c>
      <c r="E411" s="414"/>
      <c r="F411" s="403">
        <v>20</v>
      </c>
      <c r="G411" s="415"/>
      <c r="H411" s="426"/>
      <c r="I411" s="416"/>
      <c r="J411" s="464"/>
    </row>
    <row r="412" spans="2:10" s="34" customFormat="1" ht="21.6" customHeight="1">
      <c r="B412" s="461" t="s">
        <v>837</v>
      </c>
      <c r="C412" s="462" t="s">
        <v>2122</v>
      </c>
      <c r="D412" s="463" t="s">
        <v>63</v>
      </c>
      <c r="E412" s="414"/>
      <c r="F412" s="403">
        <v>50</v>
      </c>
      <c r="G412" s="415"/>
      <c r="H412" s="426"/>
      <c r="I412" s="416"/>
      <c r="J412" s="464"/>
    </row>
    <row r="413" spans="2:10" s="34" customFormat="1" ht="21.6" customHeight="1">
      <c r="B413" s="461" t="s">
        <v>839</v>
      </c>
      <c r="C413" s="462" t="s">
        <v>840</v>
      </c>
      <c r="D413" s="463" t="s">
        <v>63</v>
      </c>
      <c r="E413" s="414"/>
      <c r="F413" s="403">
        <v>15</v>
      </c>
      <c r="G413" s="415"/>
      <c r="H413" s="426"/>
      <c r="I413" s="416"/>
      <c r="J413" s="464"/>
    </row>
    <row r="414" spans="2:10" s="34" customFormat="1" ht="21.6" customHeight="1">
      <c r="B414" s="461" t="s">
        <v>841</v>
      </c>
      <c r="C414" s="462" t="s">
        <v>842</v>
      </c>
      <c r="D414" s="463" t="s">
        <v>63</v>
      </c>
      <c r="E414" s="414"/>
      <c r="F414" s="403">
        <v>1</v>
      </c>
      <c r="G414" s="415"/>
      <c r="H414" s="426"/>
      <c r="I414" s="416"/>
      <c r="J414" s="464"/>
    </row>
    <row r="415" spans="2:10" s="34" customFormat="1" ht="21.6" customHeight="1">
      <c r="B415" s="461" t="s">
        <v>843</v>
      </c>
      <c r="C415" s="462" t="s">
        <v>2123</v>
      </c>
      <c r="D415" s="463" t="s">
        <v>63</v>
      </c>
      <c r="E415" s="414"/>
      <c r="F415" s="403">
        <v>30</v>
      </c>
      <c r="G415" s="415"/>
      <c r="H415" s="426"/>
      <c r="I415" s="416"/>
      <c r="J415" s="464"/>
    </row>
    <row r="416" spans="2:10" s="34" customFormat="1" ht="21.6" customHeight="1">
      <c r="B416" s="461" t="s">
        <v>845</v>
      </c>
      <c r="C416" s="462" t="s">
        <v>2124</v>
      </c>
      <c r="D416" s="463" t="s">
        <v>63</v>
      </c>
      <c r="E416" s="414"/>
      <c r="F416" s="403">
        <v>30</v>
      </c>
      <c r="G416" s="415"/>
      <c r="H416" s="426"/>
      <c r="I416" s="416"/>
      <c r="J416" s="464"/>
    </row>
    <row r="417" spans="2:10" s="34" customFormat="1" ht="21.6" customHeight="1">
      <c r="B417" s="461" t="s">
        <v>847</v>
      </c>
      <c r="C417" s="462" t="s">
        <v>2125</v>
      </c>
      <c r="D417" s="463" t="s">
        <v>63</v>
      </c>
      <c r="E417" s="414"/>
      <c r="F417" s="403">
        <v>5</v>
      </c>
      <c r="G417" s="415"/>
      <c r="H417" s="426"/>
      <c r="I417" s="416"/>
      <c r="J417" s="464"/>
    </row>
    <row r="418" spans="2:10" s="34" customFormat="1" ht="21.6" customHeight="1">
      <c r="B418" s="461" t="s">
        <v>849</v>
      </c>
      <c r="C418" s="462" t="s">
        <v>2126</v>
      </c>
      <c r="D418" s="463" t="s">
        <v>63</v>
      </c>
      <c r="E418" s="414"/>
      <c r="F418" s="403">
        <v>20</v>
      </c>
      <c r="G418" s="415"/>
      <c r="H418" s="426"/>
      <c r="I418" s="416"/>
      <c r="J418" s="464"/>
    </row>
    <row r="419" spans="2:10" s="34" customFormat="1" ht="26.4" customHeight="1">
      <c r="B419" s="461" t="s">
        <v>851</v>
      </c>
      <c r="C419" s="462" t="s">
        <v>852</v>
      </c>
      <c r="D419" s="463" t="s">
        <v>63</v>
      </c>
      <c r="E419" s="414"/>
      <c r="F419" s="403">
        <v>50</v>
      </c>
      <c r="G419" s="415"/>
      <c r="H419" s="426"/>
      <c r="I419" s="416"/>
      <c r="J419" s="464"/>
    </row>
    <row r="420" spans="2:10" s="34" customFormat="1" ht="21.6" customHeight="1">
      <c r="B420" s="461" t="s">
        <v>853</v>
      </c>
      <c r="C420" s="462" t="s">
        <v>854</v>
      </c>
      <c r="D420" s="463" t="s">
        <v>63</v>
      </c>
      <c r="E420" s="414"/>
      <c r="F420" s="403">
        <v>50</v>
      </c>
      <c r="G420" s="415"/>
      <c r="H420" s="426"/>
      <c r="I420" s="416"/>
      <c r="J420" s="464"/>
    </row>
    <row r="421" spans="2:10" s="34" customFormat="1" ht="22.8" customHeight="1">
      <c r="B421" s="461" t="s">
        <v>855</v>
      </c>
      <c r="C421" s="462" t="s">
        <v>856</v>
      </c>
      <c r="D421" s="463" t="s">
        <v>63</v>
      </c>
      <c r="E421" s="414"/>
      <c r="F421" s="403">
        <v>1</v>
      </c>
      <c r="G421" s="415"/>
      <c r="H421" s="426"/>
      <c r="I421" s="416"/>
      <c r="J421" s="464"/>
    </row>
    <row r="422" spans="2:10" s="34" customFormat="1" ht="14.25" customHeight="1">
      <c r="B422" s="461" t="s">
        <v>857</v>
      </c>
      <c r="C422" s="462" t="s">
        <v>858</v>
      </c>
      <c r="D422" s="463" t="s">
        <v>63</v>
      </c>
      <c r="E422" s="414"/>
      <c r="F422" s="403">
        <v>45</v>
      </c>
      <c r="G422" s="415"/>
      <c r="H422" s="426"/>
      <c r="I422" s="416"/>
      <c r="J422" s="464"/>
    </row>
    <row r="423" spans="2:10" s="34" customFormat="1" ht="21.6" customHeight="1">
      <c r="B423" s="461" t="s">
        <v>859</v>
      </c>
      <c r="C423" s="462" t="s">
        <v>860</v>
      </c>
      <c r="D423" s="463" t="s">
        <v>63</v>
      </c>
      <c r="E423" s="414"/>
      <c r="F423" s="403">
        <v>50</v>
      </c>
      <c r="G423" s="415"/>
      <c r="H423" s="426"/>
      <c r="I423" s="416"/>
      <c r="J423" s="464"/>
    </row>
    <row r="424" spans="2:10" s="34" customFormat="1" ht="14.25" customHeight="1">
      <c r="B424" s="461" t="s">
        <v>861</v>
      </c>
      <c r="C424" s="462" t="s">
        <v>862</v>
      </c>
      <c r="D424" s="463" t="s">
        <v>63</v>
      </c>
      <c r="E424" s="414"/>
      <c r="F424" s="403">
        <v>10</v>
      </c>
      <c r="G424" s="415"/>
      <c r="H424" s="426"/>
      <c r="I424" s="416"/>
      <c r="J424" s="464"/>
    </row>
    <row r="425" spans="2:10" s="34" customFormat="1" ht="14.25" customHeight="1">
      <c r="B425" s="461" t="s">
        <v>863</v>
      </c>
      <c r="C425" s="462" t="s">
        <v>864</v>
      </c>
      <c r="D425" s="463" t="s">
        <v>63</v>
      </c>
      <c r="E425" s="414"/>
      <c r="F425" s="403">
        <v>50</v>
      </c>
      <c r="G425" s="415"/>
      <c r="H425" s="426"/>
      <c r="I425" s="416"/>
      <c r="J425" s="464"/>
    </row>
    <row r="426" spans="2:10" s="34" customFormat="1" ht="14.25" customHeight="1">
      <c r="B426" s="461" t="s">
        <v>865</v>
      </c>
      <c r="C426" s="462" t="s">
        <v>866</v>
      </c>
      <c r="D426" s="463" t="s">
        <v>63</v>
      </c>
      <c r="E426" s="414"/>
      <c r="F426" s="403">
        <v>5</v>
      </c>
      <c r="G426" s="415"/>
      <c r="H426" s="426"/>
      <c r="I426" s="416"/>
      <c r="J426" s="464"/>
    </row>
    <row r="427" spans="2:10" s="34" customFormat="1" ht="14.25" customHeight="1">
      <c r="B427" s="461" t="s">
        <v>867</v>
      </c>
      <c r="C427" s="462" t="s">
        <v>868</v>
      </c>
      <c r="D427" s="463" t="s">
        <v>63</v>
      </c>
      <c r="E427" s="414"/>
      <c r="F427" s="403">
        <v>40</v>
      </c>
      <c r="G427" s="415"/>
      <c r="H427" s="426"/>
      <c r="I427" s="416"/>
      <c r="J427" s="464"/>
    </row>
    <row r="428" spans="2:10" s="34" customFormat="1" ht="14.25" customHeight="1">
      <c r="B428" s="461" t="s">
        <v>869</v>
      </c>
      <c r="C428" s="462" t="s">
        <v>870</v>
      </c>
      <c r="D428" s="463" t="s">
        <v>63</v>
      </c>
      <c r="E428" s="414"/>
      <c r="F428" s="403">
        <v>1</v>
      </c>
      <c r="G428" s="415"/>
      <c r="H428" s="426"/>
      <c r="I428" s="416"/>
      <c r="J428" s="464"/>
    </row>
    <row r="429" spans="2:10" s="34" customFormat="1" ht="14.25" customHeight="1">
      <c r="B429" s="461" t="s">
        <v>871</v>
      </c>
      <c r="C429" s="462" t="s">
        <v>872</v>
      </c>
      <c r="D429" s="463" t="s">
        <v>63</v>
      </c>
      <c r="E429" s="414"/>
      <c r="F429" s="403">
        <v>1</v>
      </c>
      <c r="G429" s="415"/>
      <c r="H429" s="426"/>
      <c r="I429" s="416"/>
      <c r="J429" s="464"/>
    </row>
    <row r="430" spans="2:10" s="34" customFormat="1" ht="14.25" customHeight="1">
      <c r="B430" s="461" t="s">
        <v>873</v>
      </c>
      <c r="C430" s="462" t="s">
        <v>874</v>
      </c>
      <c r="D430" s="463" t="s">
        <v>63</v>
      </c>
      <c r="E430" s="414"/>
      <c r="F430" s="403">
        <v>1</v>
      </c>
      <c r="G430" s="415"/>
      <c r="H430" s="426"/>
      <c r="I430" s="416"/>
      <c r="J430" s="464"/>
    </row>
    <row r="431" spans="2:10" s="34" customFormat="1" ht="14.25" customHeight="1">
      <c r="B431" s="461" t="s">
        <v>875</v>
      </c>
      <c r="C431" s="462" t="s">
        <v>876</v>
      </c>
      <c r="D431" s="463" t="s">
        <v>63</v>
      </c>
      <c r="E431" s="414"/>
      <c r="F431" s="403">
        <v>10</v>
      </c>
      <c r="G431" s="415"/>
      <c r="H431" s="426"/>
      <c r="I431" s="416"/>
      <c r="J431" s="464"/>
    </row>
    <row r="432" spans="2:10" s="34" customFormat="1" ht="21.6" customHeight="1">
      <c r="B432" s="461" t="s">
        <v>877</v>
      </c>
      <c r="C432" s="462" t="s">
        <v>878</v>
      </c>
      <c r="D432" s="463" t="s">
        <v>63</v>
      </c>
      <c r="E432" s="414"/>
      <c r="F432" s="403">
        <v>2</v>
      </c>
      <c r="G432" s="415"/>
      <c r="H432" s="426"/>
      <c r="I432" s="416"/>
      <c r="J432" s="464"/>
    </row>
    <row r="433" spans="2:10" s="34" customFormat="1" ht="14.25" customHeight="1">
      <c r="B433" s="461" t="s">
        <v>879</v>
      </c>
      <c r="C433" s="462" t="s">
        <v>711</v>
      </c>
      <c r="D433" s="463" t="s">
        <v>63</v>
      </c>
      <c r="E433" s="469"/>
      <c r="F433" s="401">
        <v>70</v>
      </c>
      <c r="G433" s="415"/>
      <c r="H433" s="426"/>
      <c r="I433" s="416"/>
      <c r="J433" s="464"/>
    </row>
    <row r="434" spans="2:10" s="34" customFormat="1" ht="14.25" customHeight="1">
      <c r="B434" s="461" t="s">
        <v>880</v>
      </c>
      <c r="C434" s="462" t="s">
        <v>881</v>
      </c>
      <c r="D434" s="463" t="s">
        <v>63</v>
      </c>
      <c r="E434" s="414"/>
      <c r="F434" s="403">
        <v>4</v>
      </c>
      <c r="G434" s="415"/>
      <c r="H434" s="426"/>
      <c r="I434" s="416"/>
      <c r="J434" s="464"/>
    </row>
    <row r="435" spans="2:10" s="34" customFormat="1" ht="14.25" customHeight="1">
      <c r="B435" s="461" t="s">
        <v>882</v>
      </c>
      <c r="C435" s="462" t="s">
        <v>883</v>
      </c>
      <c r="D435" s="463" t="s">
        <v>63</v>
      </c>
      <c r="E435" s="414"/>
      <c r="F435" s="403">
        <v>1</v>
      </c>
      <c r="G435" s="415"/>
      <c r="H435" s="426"/>
      <c r="I435" s="416"/>
      <c r="J435" s="464"/>
    </row>
    <row r="436" spans="2:10" s="34" customFormat="1" ht="21.6" customHeight="1">
      <c r="B436" s="461" t="s">
        <v>884</v>
      </c>
      <c r="C436" s="462" t="s">
        <v>2127</v>
      </c>
      <c r="D436" s="463" t="s">
        <v>63</v>
      </c>
      <c r="E436" s="414"/>
      <c r="F436" s="403">
        <v>70</v>
      </c>
      <c r="G436" s="415"/>
      <c r="H436" s="426"/>
      <c r="I436" s="416"/>
      <c r="J436" s="464"/>
    </row>
    <row r="437" spans="2:10" s="34" customFormat="1" ht="14.25" customHeight="1">
      <c r="B437" s="461" t="s">
        <v>886</v>
      </c>
      <c r="C437" s="462" t="s">
        <v>757</v>
      </c>
      <c r="D437" s="463" t="s">
        <v>63</v>
      </c>
      <c r="E437" s="414"/>
      <c r="F437" s="403">
        <v>1</v>
      </c>
      <c r="G437" s="415"/>
      <c r="H437" s="426"/>
      <c r="I437" s="416"/>
      <c r="J437" s="464"/>
    </row>
    <row r="438" spans="2:10" s="34" customFormat="1" ht="14.25" customHeight="1">
      <c r="B438" s="461" t="s">
        <v>887</v>
      </c>
      <c r="C438" s="462" t="s">
        <v>761</v>
      </c>
      <c r="D438" s="463" t="s">
        <v>63</v>
      </c>
      <c r="E438" s="414"/>
      <c r="F438" s="403">
        <v>2</v>
      </c>
      <c r="G438" s="415"/>
      <c r="H438" s="426"/>
      <c r="I438" s="416"/>
      <c r="J438" s="464"/>
    </row>
    <row r="439" spans="2:10" s="34" customFormat="1" ht="14.25" customHeight="1">
      <c r="B439" s="461" t="s">
        <v>888</v>
      </c>
      <c r="C439" s="462" t="s">
        <v>771</v>
      </c>
      <c r="D439" s="463" t="s">
        <v>63</v>
      </c>
      <c r="E439" s="414"/>
      <c r="F439" s="403">
        <v>50</v>
      </c>
      <c r="G439" s="415"/>
      <c r="H439" s="426"/>
      <c r="I439" s="416"/>
      <c r="J439" s="464"/>
    </row>
    <row r="440" spans="2:10" s="34" customFormat="1" ht="14.25" customHeight="1">
      <c r="B440" s="461" t="s">
        <v>889</v>
      </c>
      <c r="C440" s="462" t="s">
        <v>773</v>
      </c>
      <c r="D440" s="463" t="s">
        <v>63</v>
      </c>
      <c r="E440" s="414"/>
      <c r="F440" s="403">
        <v>2</v>
      </c>
      <c r="G440" s="415"/>
      <c r="H440" s="426"/>
      <c r="I440" s="416"/>
      <c r="J440" s="464"/>
    </row>
    <row r="441" spans="2:10" s="34" customFormat="1" ht="14.25" customHeight="1">
      <c r="B441" s="461" t="s">
        <v>890</v>
      </c>
      <c r="C441" s="462" t="s">
        <v>711</v>
      </c>
      <c r="D441" s="463" t="s">
        <v>63</v>
      </c>
      <c r="E441" s="469"/>
      <c r="F441" s="401">
        <v>10</v>
      </c>
      <c r="G441" s="415"/>
      <c r="H441" s="426"/>
      <c r="I441" s="416"/>
      <c r="J441" s="464"/>
    </row>
    <row r="442" spans="2:10" s="34" customFormat="1" ht="21.6" customHeight="1">
      <c r="B442" s="461" t="s">
        <v>891</v>
      </c>
      <c r="C442" s="462" t="s">
        <v>2128</v>
      </c>
      <c r="D442" s="463" t="s">
        <v>63</v>
      </c>
      <c r="E442" s="414"/>
      <c r="F442" s="403">
        <v>90</v>
      </c>
      <c r="G442" s="415"/>
      <c r="H442" s="426"/>
      <c r="I442" s="416"/>
      <c r="J442" s="464"/>
    </row>
    <row r="443" spans="2:10" s="34" customFormat="1" ht="21.6" customHeight="1">
      <c r="B443" s="461" t="s">
        <v>893</v>
      </c>
      <c r="C443" s="462" t="s">
        <v>2129</v>
      </c>
      <c r="D443" s="463" t="s">
        <v>63</v>
      </c>
      <c r="E443" s="414"/>
      <c r="F443" s="403">
        <v>25</v>
      </c>
      <c r="G443" s="415"/>
      <c r="H443" s="426"/>
      <c r="I443" s="416"/>
      <c r="J443" s="464"/>
    </row>
    <row r="444" spans="2:10" s="34" customFormat="1" ht="14.25" customHeight="1">
      <c r="B444" s="461" t="s">
        <v>895</v>
      </c>
      <c r="C444" s="462" t="s">
        <v>896</v>
      </c>
      <c r="D444" s="463" t="s">
        <v>63</v>
      </c>
      <c r="E444" s="414"/>
      <c r="F444" s="403">
        <v>40</v>
      </c>
      <c r="G444" s="415"/>
      <c r="H444" s="426"/>
      <c r="I444" s="416"/>
      <c r="J444" s="464"/>
    </row>
    <row r="445" spans="2:10" s="34" customFormat="1" ht="21.6" customHeight="1">
      <c r="B445" s="461" t="s">
        <v>897</v>
      </c>
      <c r="C445" s="462" t="s">
        <v>898</v>
      </c>
      <c r="D445" s="463" t="s">
        <v>63</v>
      </c>
      <c r="E445" s="414"/>
      <c r="F445" s="403">
        <v>10</v>
      </c>
      <c r="G445" s="415"/>
      <c r="H445" s="426"/>
      <c r="I445" s="416"/>
      <c r="J445" s="464"/>
    </row>
    <row r="446" spans="2:10" s="34" customFormat="1" ht="21.6" customHeight="1">
      <c r="B446" s="461" t="s">
        <v>899</v>
      </c>
      <c r="C446" s="462" t="s">
        <v>900</v>
      </c>
      <c r="D446" s="463" t="s">
        <v>63</v>
      </c>
      <c r="E446" s="414"/>
      <c r="F446" s="403">
        <v>10</v>
      </c>
      <c r="G446" s="415"/>
      <c r="H446" s="426"/>
      <c r="I446" s="416"/>
      <c r="J446" s="464"/>
    </row>
    <row r="447" spans="2:10" s="34" customFormat="1" ht="21.6" customHeight="1">
      <c r="B447" s="461" t="s">
        <v>901</v>
      </c>
      <c r="C447" s="462" t="s">
        <v>902</v>
      </c>
      <c r="D447" s="463" t="s">
        <v>63</v>
      </c>
      <c r="E447" s="414"/>
      <c r="F447" s="403">
        <v>1</v>
      </c>
      <c r="G447" s="415"/>
      <c r="H447" s="426"/>
      <c r="I447" s="416"/>
      <c r="J447" s="464"/>
    </row>
    <row r="448" spans="2:10" s="34" customFormat="1" ht="14.25" customHeight="1">
      <c r="B448" s="461" t="s">
        <v>903</v>
      </c>
      <c r="C448" s="462" t="s">
        <v>904</v>
      </c>
      <c r="D448" s="463" t="s">
        <v>63</v>
      </c>
      <c r="E448" s="414"/>
      <c r="F448" s="403">
        <v>3</v>
      </c>
      <c r="G448" s="415"/>
      <c r="H448" s="426"/>
      <c r="I448" s="416"/>
      <c r="J448" s="464"/>
    </row>
    <row r="449" spans="2:10" s="34" customFormat="1" ht="21.6" customHeight="1">
      <c r="B449" s="461" t="s">
        <v>905</v>
      </c>
      <c r="C449" s="462" t="s">
        <v>2130</v>
      </c>
      <c r="D449" s="463" t="s">
        <v>63</v>
      </c>
      <c r="E449" s="414"/>
      <c r="F449" s="403">
        <v>2</v>
      </c>
      <c r="G449" s="415"/>
      <c r="H449" s="426"/>
      <c r="I449" s="416"/>
      <c r="J449" s="464"/>
    </row>
    <row r="450" spans="2:10" s="34" customFormat="1" ht="21.6" customHeight="1">
      <c r="B450" s="461" t="s">
        <v>907</v>
      </c>
      <c r="C450" s="462" t="s">
        <v>908</v>
      </c>
      <c r="D450" s="463" t="s">
        <v>63</v>
      </c>
      <c r="E450" s="414"/>
      <c r="F450" s="403">
        <v>2</v>
      </c>
      <c r="G450" s="415"/>
      <c r="H450" s="416"/>
      <c r="I450" s="416"/>
      <c r="J450" s="464"/>
    </row>
    <row r="451" spans="2:10" s="34" customFormat="1" ht="21.6" customHeight="1">
      <c r="B451" s="461" t="s">
        <v>909</v>
      </c>
      <c r="C451" s="462" t="s">
        <v>910</v>
      </c>
      <c r="D451" s="463" t="s">
        <v>63</v>
      </c>
      <c r="E451" s="414"/>
      <c r="F451" s="403">
        <v>50</v>
      </c>
      <c r="G451" s="415"/>
      <c r="H451" s="416"/>
      <c r="I451" s="416"/>
      <c r="J451" s="464"/>
    </row>
    <row r="452" spans="2:10" s="34" customFormat="1" ht="21.6" customHeight="1">
      <c r="B452" s="461" t="s">
        <v>912</v>
      </c>
      <c r="C452" s="462" t="s">
        <v>733</v>
      </c>
      <c r="D452" s="463" t="s">
        <v>63</v>
      </c>
      <c r="E452" s="414"/>
      <c r="F452" s="403">
        <v>6</v>
      </c>
      <c r="G452" s="415"/>
      <c r="H452" s="416"/>
      <c r="I452" s="416"/>
      <c r="J452" s="464"/>
    </row>
    <row r="453" spans="2:10" s="34" customFormat="1" ht="21.6" customHeight="1">
      <c r="B453" s="461" t="s">
        <v>913</v>
      </c>
      <c r="C453" s="462" t="s">
        <v>735</v>
      </c>
      <c r="D453" s="463" t="s">
        <v>63</v>
      </c>
      <c r="E453" s="469"/>
      <c r="F453" s="401">
        <v>200</v>
      </c>
      <c r="G453" s="415"/>
      <c r="H453" s="426"/>
      <c r="I453" s="416"/>
      <c r="J453" s="464"/>
    </row>
    <row r="454" spans="2:10" s="34" customFormat="1" ht="21.6" customHeight="1">
      <c r="B454" s="461" t="s">
        <v>914</v>
      </c>
      <c r="C454" s="462" t="s">
        <v>739</v>
      </c>
      <c r="D454" s="463" t="s">
        <v>63</v>
      </c>
      <c r="E454" s="414"/>
      <c r="F454" s="403">
        <v>25</v>
      </c>
      <c r="G454" s="415"/>
      <c r="H454" s="426"/>
      <c r="I454" s="416"/>
      <c r="J454" s="464"/>
    </row>
    <row r="455" spans="2:10" s="34" customFormat="1" ht="21.6" customHeight="1">
      <c r="B455" s="461" t="s">
        <v>915</v>
      </c>
      <c r="C455" s="462" t="s">
        <v>916</v>
      </c>
      <c r="D455" s="463" t="s">
        <v>63</v>
      </c>
      <c r="E455" s="414"/>
      <c r="F455" s="403">
        <v>1</v>
      </c>
      <c r="G455" s="415"/>
      <c r="H455" s="426"/>
      <c r="I455" s="416"/>
      <c r="J455" s="464"/>
    </row>
    <row r="456" spans="2:10" s="34" customFormat="1" ht="21.6" customHeight="1">
      <c r="B456" s="461" t="s">
        <v>917</v>
      </c>
      <c r="C456" s="462" t="s">
        <v>918</v>
      </c>
      <c r="D456" s="463" t="s">
        <v>63</v>
      </c>
      <c r="E456" s="414"/>
      <c r="F456" s="403">
        <v>1</v>
      </c>
      <c r="G456" s="415"/>
      <c r="H456" s="426"/>
      <c r="I456" s="416"/>
      <c r="J456" s="464"/>
    </row>
    <row r="457" spans="2:10" s="34" customFormat="1" ht="21.6" customHeight="1">
      <c r="B457" s="461" t="s">
        <v>919</v>
      </c>
      <c r="C457" s="462" t="s">
        <v>717</v>
      </c>
      <c r="D457" s="463" t="s">
        <v>63</v>
      </c>
      <c r="E457" s="469"/>
      <c r="F457" s="401">
        <v>200</v>
      </c>
      <c r="G457" s="415"/>
      <c r="H457" s="426"/>
      <c r="I457" s="416"/>
      <c r="J457" s="464"/>
    </row>
    <row r="458" spans="2:10" s="34" customFormat="1" ht="21.6" customHeight="1">
      <c r="B458" s="461" t="s">
        <v>920</v>
      </c>
      <c r="C458" s="462" t="s">
        <v>921</v>
      </c>
      <c r="D458" s="463" t="s">
        <v>63</v>
      </c>
      <c r="E458" s="469"/>
      <c r="F458" s="401">
        <v>5</v>
      </c>
      <c r="G458" s="415"/>
      <c r="H458" s="426"/>
      <c r="I458" s="416"/>
      <c r="J458" s="464"/>
    </row>
    <row r="459" spans="2:10" s="34" customFormat="1" ht="21.6" customHeight="1">
      <c r="B459" s="468" t="s">
        <v>922</v>
      </c>
      <c r="C459" s="462" t="s">
        <v>721</v>
      </c>
      <c r="D459" s="463" t="s">
        <v>63</v>
      </c>
      <c r="E459" s="469"/>
      <c r="F459" s="401">
        <v>5</v>
      </c>
      <c r="G459" s="415"/>
      <c r="H459" s="426"/>
      <c r="I459" s="416"/>
      <c r="J459" s="464"/>
    </row>
    <row r="460" spans="2:10" s="34" customFormat="1" ht="14.25" customHeight="1">
      <c r="B460" s="461" t="s">
        <v>1749</v>
      </c>
      <c r="C460" s="462" t="s">
        <v>1750</v>
      </c>
      <c r="D460" s="421" t="s">
        <v>124</v>
      </c>
      <c r="E460" s="469"/>
      <c r="F460" s="401">
        <v>350</v>
      </c>
      <c r="G460" s="415"/>
      <c r="H460" s="426"/>
      <c r="I460" s="416"/>
      <c r="J460" s="464"/>
    </row>
    <row r="461" spans="2:10" s="34" customFormat="1" ht="14.25" customHeight="1">
      <c r="B461" s="461" t="s">
        <v>1751</v>
      </c>
      <c r="C461" s="462" t="s">
        <v>1752</v>
      </c>
      <c r="D461" s="421" t="s">
        <v>124</v>
      </c>
      <c r="E461" s="469"/>
      <c r="F461" s="401">
        <v>350</v>
      </c>
      <c r="G461" s="415"/>
      <c r="H461" s="426"/>
      <c r="I461" s="416"/>
      <c r="J461" s="464"/>
    </row>
    <row r="462" spans="2:10" s="34" customFormat="1" ht="14.25" customHeight="1">
      <c r="B462" s="461" t="s">
        <v>1753</v>
      </c>
      <c r="C462" s="462" t="s">
        <v>2131</v>
      </c>
      <c r="D462" s="421" t="s">
        <v>63</v>
      </c>
      <c r="E462" s="469"/>
      <c r="F462" s="401">
        <v>35</v>
      </c>
      <c r="G462" s="415"/>
      <c r="H462" s="426"/>
      <c r="I462" s="416"/>
      <c r="J462" s="464"/>
    </row>
    <row r="463" spans="2:10" s="34" customFormat="1" ht="14.25" customHeight="1">
      <c r="B463" s="456" t="s">
        <v>923</v>
      </c>
      <c r="C463" s="457" t="s">
        <v>2132</v>
      </c>
      <c r="D463" s="458"/>
      <c r="E463" s="419"/>
      <c r="F463" s="465"/>
      <c r="G463" s="428"/>
      <c r="H463" s="459"/>
      <c r="I463" s="459"/>
      <c r="J463" s="460"/>
    </row>
    <row r="464" spans="2:10" s="34" customFormat="1" ht="14.25" customHeight="1">
      <c r="B464" s="468" t="s">
        <v>925</v>
      </c>
      <c r="C464" s="462" t="s">
        <v>2133</v>
      </c>
      <c r="D464" s="421" t="s">
        <v>63</v>
      </c>
      <c r="E464" s="469"/>
      <c r="F464" s="401">
        <v>1</v>
      </c>
      <c r="G464" s="415"/>
      <c r="H464" s="426"/>
      <c r="I464" s="416"/>
      <c r="J464" s="464"/>
    </row>
    <row r="465" spans="2:10" s="34" customFormat="1" ht="14.25" customHeight="1">
      <c r="B465" s="468" t="s">
        <v>927</v>
      </c>
      <c r="C465" s="462" t="s">
        <v>928</v>
      </c>
      <c r="D465" s="421" t="s">
        <v>63</v>
      </c>
      <c r="E465" s="469"/>
      <c r="F465" s="401">
        <v>50</v>
      </c>
      <c r="G465" s="415"/>
      <c r="H465" s="426"/>
      <c r="I465" s="416"/>
      <c r="J465" s="464"/>
    </row>
    <row r="466" spans="2:10" s="34" customFormat="1" ht="21.6" customHeight="1">
      <c r="B466" s="468" t="s">
        <v>929</v>
      </c>
      <c r="C466" s="462" t="s">
        <v>930</v>
      </c>
      <c r="D466" s="421" t="s">
        <v>63</v>
      </c>
      <c r="E466" s="469"/>
      <c r="F466" s="401">
        <v>2</v>
      </c>
      <c r="G466" s="415"/>
      <c r="H466" s="426"/>
      <c r="I466" s="416"/>
      <c r="J466" s="464"/>
    </row>
    <row r="467" spans="2:10" s="34" customFormat="1" ht="21.6" customHeight="1">
      <c r="B467" s="468" t="s">
        <v>931</v>
      </c>
      <c r="C467" s="462" t="s">
        <v>932</v>
      </c>
      <c r="D467" s="421" t="s">
        <v>63</v>
      </c>
      <c r="E467" s="469"/>
      <c r="F467" s="401">
        <v>1</v>
      </c>
      <c r="G467" s="415"/>
      <c r="H467" s="426"/>
      <c r="I467" s="416"/>
      <c r="J467" s="464"/>
    </row>
    <row r="468" spans="2:10" s="34" customFormat="1" ht="21.6" customHeight="1">
      <c r="B468" s="468" t="s">
        <v>933</v>
      </c>
      <c r="C468" s="462" t="s">
        <v>934</v>
      </c>
      <c r="D468" s="421" t="s">
        <v>63</v>
      </c>
      <c r="E468" s="469"/>
      <c r="F468" s="401">
        <v>5</v>
      </c>
      <c r="G468" s="415"/>
      <c r="H468" s="426"/>
      <c r="I468" s="416"/>
      <c r="J468" s="464"/>
    </row>
    <row r="469" spans="2:10" s="34" customFormat="1" ht="14.25" customHeight="1">
      <c r="B469" s="468" t="s">
        <v>935</v>
      </c>
      <c r="C469" s="462" t="s">
        <v>936</v>
      </c>
      <c r="D469" s="421" t="s">
        <v>63</v>
      </c>
      <c r="E469" s="469"/>
      <c r="F469" s="401">
        <v>1</v>
      </c>
      <c r="G469" s="415"/>
      <c r="H469" s="426"/>
      <c r="I469" s="416"/>
      <c r="J469" s="464"/>
    </row>
    <row r="470" spans="2:10" s="34" customFormat="1" ht="14.25" customHeight="1">
      <c r="B470" s="450" t="s">
        <v>937</v>
      </c>
      <c r="C470" s="451" t="s">
        <v>938</v>
      </c>
      <c r="D470" s="452"/>
      <c r="E470" s="453"/>
      <c r="F470" s="470"/>
      <c r="G470" s="454"/>
      <c r="H470" s="453"/>
      <c r="I470" s="453"/>
      <c r="J470" s="455"/>
    </row>
    <row r="471" spans="2:10" s="34" customFormat="1" ht="14.25" customHeight="1">
      <c r="B471" s="456" t="s">
        <v>939</v>
      </c>
      <c r="C471" s="457" t="s">
        <v>940</v>
      </c>
      <c r="D471" s="458"/>
      <c r="E471" s="419"/>
      <c r="F471" s="465"/>
      <c r="G471" s="428"/>
      <c r="H471" s="459"/>
      <c r="I471" s="459"/>
      <c r="J471" s="460"/>
    </row>
    <row r="472" spans="2:10" s="34" customFormat="1" ht="21.6" customHeight="1">
      <c r="B472" s="461" t="s">
        <v>941</v>
      </c>
      <c r="C472" s="462" t="s">
        <v>2134</v>
      </c>
      <c r="D472" s="463" t="s">
        <v>124</v>
      </c>
      <c r="E472" s="414"/>
      <c r="F472" s="403">
        <v>160</v>
      </c>
      <c r="G472" s="415"/>
      <c r="H472" s="426"/>
      <c r="I472" s="416"/>
      <c r="J472" s="464"/>
    </row>
    <row r="473" spans="2:10" s="34" customFormat="1" ht="21.6" customHeight="1">
      <c r="B473" s="461" t="s">
        <v>943</v>
      </c>
      <c r="C473" s="462" t="s">
        <v>2135</v>
      </c>
      <c r="D473" s="463" t="s">
        <v>124</v>
      </c>
      <c r="E473" s="414"/>
      <c r="F473" s="403">
        <v>100</v>
      </c>
      <c r="G473" s="415"/>
      <c r="H473" s="426"/>
      <c r="I473" s="416"/>
      <c r="J473" s="464"/>
    </row>
    <row r="474" spans="2:10" s="34" customFormat="1" ht="21.6" customHeight="1">
      <c r="B474" s="461" t="s">
        <v>945</v>
      </c>
      <c r="C474" s="462" t="s">
        <v>2136</v>
      </c>
      <c r="D474" s="463" t="s">
        <v>124</v>
      </c>
      <c r="E474" s="414"/>
      <c r="F474" s="400">
        <v>35</v>
      </c>
      <c r="G474" s="415"/>
      <c r="H474" s="426"/>
      <c r="I474" s="416"/>
      <c r="J474" s="464"/>
    </row>
    <row r="475" spans="2:10" s="34" customFormat="1" ht="21.6" customHeight="1">
      <c r="B475" s="461" t="s">
        <v>947</v>
      </c>
      <c r="C475" s="462" t="s">
        <v>948</v>
      </c>
      <c r="D475" s="463" t="s">
        <v>124</v>
      </c>
      <c r="E475" s="414"/>
      <c r="F475" s="403">
        <v>100</v>
      </c>
      <c r="G475" s="415"/>
      <c r="H475" s="426"/>
      <c r="I475" s="416"/>
      <c r="J475" s="464"/>
    </row>
    <row r="476" spans="2:10" s="34" customFormat="1" ht="14.25" customHeight="1">
      <c r="B476" s="456" t="s">
        <v>949</v>
      </c>
      <c r="C476" s="457" t="s">
        <v>950</v>
      </c>
      <c r="D476" s="458"/>
      <c r="E476" s="419"/>
      <c r="F476" s="465"/>
      <c r="G476" s="428"/>
      <c r="H476" s="459"/>
      <c r="I476" s="459"/>
      <c r="J476" s="460"/>
    </row>
    <row r="477" spans="2:10" s="34" customFormat="1" ht="21.6" customHeight="1">
      <c r="B477" s="461" t="s">
        <v>951</v>
      </c>
      <c r="C477" s="462" t="s">
        <v>2137</v>
      </c>
      <c r="D477" s="463" t="s">
        <v>63</v>
      </c>
      <c r="E477" s="414"/>
      <c r="F477" s="400">
        <v>160</v>
      </c>
      <c r="G477" s="415"/>
      <c r="H477" s="426"/>
      <c r="I477" s="416"/>
      <c r="J477" s="464"/>
    </row>
    <row r="478" spans="2:10" s="34" customFormat="1" ht="21.6" customHeight="1">
      <c r="B478" s="461" t="s">
        <v>953</v>
      </c>
      <c r="C478" s="462" t="s">
        <v>2138</v>
      </c>
      <c r="D478" s="463" t="s">
        <v>63</v>
      </c>
      <c r="E478" s="414"/>
      <c r="F478" s="400">
        <v>35</v>
      </c>
      <c r="G478" s="415"/>
      <c r="H478" s="426"/>
      <c r="I478" s="416"/>
      <c r="J478" s="464"/>
    </row>
    <row r="479" spans="2:10" s="34" customFormat="1" ht="21.6" customHeight="1">
      <c r="B479" s="461" t="s">
        <v>955</v>
      </c>
      <c r="C479" s="462" t="s">
        <v>2139</v>
      </c>
      <c r="D479" s="463" t="s">
        <v>63</v>
      </c>
      <c r="E479" s="414"/>
      <c r="F479" s="400">
        <v>2</v>
      </c>
      <c r="G479" s="415"/>
      <c r="H479" s="426"/>
      <c r="I479" s="416"/>
      <c r="J479" s="464"/>
    </row>
    <row r="480" spans="2:10" s="34" customFormat="1" ht="21.6" customHeight="1">
      <c r="B480" s="461" t="s">
        <v>957</v>
      </c>
      <c r="C480" s="462" t="s">
        <v>2140</v>
      </c>
      <c r="D480" s="463" t="s">
        <v>63</v>
      </c>
      <c r="E480" s="414"/>
      <c r="F480" s="400">
        <v>10</v>
      </c>
      <c r="G480" s="415"/>
      <c r="H480" s="426"/>
      <c r="I480" s="416"/>
      <c r="J480" s="464"/>
    </row>
    <row r="481" spans="2:10" s="34" customFormat="1" ht="21.6" customHeight="1">
      <c r="B481" s="461" t="s">
        <v>959</v>
      </c>
      <c r="C481" s="462" t="s">
        <v>960</v>
      </c>
      <c r="D481" s="463" t="s">
        <v>63</v>
      </c>
      <c r="E481" s="414"/>
      <c r="F481" s="400">
        <v>100</v>
      </c>
      <c r="G481" s="415"/>
      <c r="H481" s="426"/>
      <c r="I481" s="416"/>
      <c r="J481" s="464"/>
    </row>
    <row r="482" spans="2:10" s="34" customFormat="1" ht="21.6" customHeight="1">
      <c r="B482" s="461" t="s">
        <v>961</v>
      </c>
      <c r="C482" s="462" t="s">
        <v>2141</v>
      </c>
      <c r="D482" s="463" t="s">
        <v>63</v>
      </c>
      <c r="E482" s="414"/>
      <c r="F482" s="400">
        <v>15</v>
      </c>
      <c r="G482" s="415"/>
      <c r="H482" s="426"/>
      <c r="I482" s="416"/>
      <c r="J482" s="464"/>
    </row>
    <row r="483" spans="2:10" s="34" customFormat="1" ht="21.6" customHeight="1">
      <c r="B483" s="461" t="s">
        <v>963</v>
      </c>
      <c r="C483" s="462" t="s">
        <v>2142</v>
      </c>
      <c r="D483" s="463" t="s">
        <v>63</v>
      </c>
      <c r="E483" s="414"/>
      <c r="F483" s="400">
        <v>6</v>
      </c>
      <c r="G483" s="415"/>
      <c r="H483" s="426"/>
      <c r="I483" s="416"/>
      <c r="J483" s="464"/>
    </row>
    <row r="484" spans="2:10" s="34" customFormat="1" ht="14.25" customHeight="1">
      <c r="B484" s="461" t="s">
        <v>965</v>
      </c>
      <c r="C484" s="462" t="s">
        <v>966</v>
      </c>
      <c r="D484" s="463" t="s">
        <v>63</v>
      </c>
      <c r="E484" s="414"/>
      <c r="F484" s="400">
        <v>2</v>
      </c>
      <c r="G484" s="415"/>
      <c r="H484" s="426"/>
      <c r="I484" s="416"/>
      <c r="J484" s="464"/>
    </row>
    <row r="485" spans="2:10" s="34" customFormat="1" ht="21.6" customHeight="1">
      <c r="B485" s="461" t="s">
        <v>967</v>
      </c>
      <c r="C485" s="462" t="s">
        <v>968</v>
      </c>
      <c r="D485" s="463" t="s">
        <v>63</v>
      </c>
      <c r="E485" s="414"/>
      <c r="F485" s="400">
        <v>50</v>
      </c>
      <c r="G485" s="415"/>
      <c r="H485" s="426"/>
      <c r="I485" s="416"/>
      <c r="J485" s="464"/>
    </row>
    <row r="486" spans="2:10" s="34" customFormat="1" ht="21.6" customHeight="1">
      <c r="B486" s="461" t="s">
        <v>969</v>
      </c>
      <c r="C486" s="462" t="s">
        <v>970</v>
      </c>
      <c r="D486" s="463" t="s">
        <v>63</v>
      </c>
      <c r="E486" s="414"/>
      <c r="F486" s="400">
        <v>8</v>
      </c>
      <c r="G486" s="415"/>
      <c r="H486" s="426"/>
      <c r="I486" s="416"/>
      <c r="J486" s="464"/>
    </row>
    <row r="487" spans="2:10" s="34" customFormat="1" ht="21.6" customHeight="1">
      <c r="B487" s="461" t="s">
        <v>971</v>
      </c>
      <c r="C487" s="462" t="s">
        <v>972</v>
      </c>
      <c r="D487" s="463" t="s">
        <v>63</v>
      </c>
      <c r="E487" s="414"/>
      <c r="F487" s="400">
        <v>3</v>
      </c>
      <c r="G487" s="415"/>
      <c r="H487" s="426"/>
      <c r="I487" s="416"/>
      <c r="J487" s="464"/>
    </row>
    <row r="488" spans="2:10" s="34" customFormat="1" ht="14.25" customHeight="1">
      <c r="B488" s="461" t="s">
        <v>973</v>
      </c>
      <c r="C488" s="462" t="s">
        <v>2143</v>
      </c>
      <c r="D488" s="463" t="s">
        <v>63</v>
      </c>
      <c r="E488" s="414"/>
      <c r="F488" s="400">
        <v>15</v>
      </c>
      <c r="G488" s="415"/>
      <c r="H488" s="426"/>
      <c r="I488" s="416"/>
      <c r="J488" s="464"/>
    </row>
    <row r="489" spans="2:10" s="34" customFormat="1" ht="14.25" customHeight="1">
      <c r="B489" s="461" t="s">
        <v>975</v>
      </c>
      <c r="C489" s="462" t="s">
        <v>976</v>
      </c>
      <c r="D489" s="463" t="s">
        <v>63</v>
      </c>
      <c r="E489" s="414"/>
      <c r="F489" s="400">
        <v>45</v>
      </c>
      <c r="G489" s="415"/>
      <c r="H489" s="426"/>
      <c r="I489" s="416"/>
      <c r="J489" s="464"/>
    </row>
    <row r="490" spans="2:10" s="34" customFormat="1" ht="14.25" customHeight="1">
      <c r="B490" s="461" t="s">
        <v>977</v>
      </c>
      <c r="C490" s="462" t="s">
        <v>978</v>
      </c>
      <c r="D490" s="463" t="s">
        <v>63</v>
      </c>
      <c r="E490" s="414"/>
      <c r="F490" s="400">
        <v>6</v>
      </c>
      <c r="G490" s="415"/>
      <c r="H490" s="426"/>
      <c r="I490" s="416"/>
      <c r="J490" s="464"/>
    </row>
    <row r="491" spans="2:10" s="34" customFormat="1" ht="21.6" customHeight="1">
      <c r="B491" s="461" t="s">
        <v>979</v>
      </c>
      <c r="C491" s="462" t="s">
        <v>980</v>
      </c>
      <c r="D491" s="463" t="s">
        <v>63</v>
      </c>
      <c r="E491" s="414"/>
      <c r="F491" s="400">
        <v>4</v>
      </c>
      <c r="G491" s="415"/>
      <c r="H491" s="426"/>
      <c r="I491" s="416"/>
      <c r="J491" s="464"/>
    </row>
    <row r="492" spans="2:10" s="34" customFormat="1" ht="14.25" customHeight="1">
      <c r="B492" s="461" t="s">
        <v>981</v>
      </c>
      <c r="C492" s="462" t="s">
        <v>982</v>
      </c>
      <c r="D492" s="463" t="s">
        <v>63</v>
      </c>
      <c r="E492" s="414"/>
      <c r="F492" s="400">
        <v>5</v>
      </c>
      <c r="G492" s="415"/>
      <c r="H492" s="426"/>
      <c r="I492" s="416"/>
      <c r="J492" s="464"/>
    </row>
    <row r="493" spans="2:10" s="34" customFormat="1" ht="14.25" customHeight="1">
      <c r="B493" s="461" t="s">
        <v>983</v>
      </c>
      <c r="C493" s="462" t="s">
        <v>984</v>
      </c>
      <c r="D493" s="463" t="s">
        <v>63</v>
      </c>
      <c r="E493" s="414"/>
      <c r="F493" s="400">
        <v>5</v>
      </c>
      <c r="G493" s="415"/>
      <c r="H493" s="426"/>
      <c r="I493" s="416"/>
      <c r="J493" s="464"/>
    </row>
    <row r="494" spans="2:10" s="34" customFormat="1" ht="14.25" customHeight="1">
      <c r="B494" s="461" t="s">
        <v>985</v>
      </c>
      <c r="C494" s="462" t="s">
        <v>986</v>
      </c>
      <c r="D494" s="463" t="s">
        <v>63</v>
      </c>
      <c r="E494" s="414"/>
      <c r="F494" s="400">
        <v>5</v>
      </c>
      <c r="G494" s="415"/>
      <c r="H494" s="426"/>
      <c r="I494" s="416"/>
      <c r="J494" s="464"/>
    </row>
    <row r="495" spans="2:10" s="34" customFormat="1" ht="21.6" customHeight="1">
      <c r="B495" s="461" t="s">
        <v>987</v>
      </c>
      <c r="C495" s="462" t="s">
        <v>988</v>
      </c>
      <c r="D495" s="463" t="s">
        <v>63</v>
      </c>
      <c r="E495" s="414"/>
      <c r="F495" s="400">
        <v>20</v>
      </c>
      <c r="G495" s="415"/>
      <c r="H495" s="426"/>
      <c r="I495" s="416"/>
      <c r="J495" s="464"/>
    </row>
    <row r="496" spans="2:10" s="34" customFormat="1" ht="14.25" customHeight="1">
      <c r="B496" s="450" t="s">
        <v>989</v>
      </c>
      <c r="C496" s="451" t="s">
        <v>990</v>
      </c>
      <c r="D496" s="452"/>
      <c r="E496" s="453"/>
      <c r="F496" s="470"/>
      <c r="G496" s="454"/>
      <c r="H496" s="453"/>
      <c r="I496" s="453"/>
      <c r="J496" s="455"/>
    </row>
    <row r="497" spans="2:10" s="34" customFormat="1" ht="14.25" customHeight="1">
      <c r="B497" s="456" t="s">
        <v>991</v>
      </c>
      <c r="C497" s="457" t="s">
        <v>992</v>
      </c>
      <c r="D497" s="458"/>
      <c r="E497" s="419"/>
      <c r="F497" s="465"/>
      <c r="G497" s="428"/>
      <c r="H497" s="459"/>
      <c r="I497" s="459"/>
      <c r="J497" s="460"/>
    </row>
    <row r="498" spans="2:10" s="34" customFormat="1" ht="14.25" customHeight="1">
      <c r="B498" s="461" t="s">
        <v>993</v>
      </c>
      <c r="C498" s="462" t="s">
        <v>994</v>
      </c>
      <c r="D498" s="463" t="s">
        <v>124</v>
      </c>
      <c r="E498" s="414"/>
      <c r="F498" s="403">
        <v>80</v>
      </c>
      <c r="G498" s="415"/>
      <c r="H498" s="426"/>
      <c r="I498" s="416"/>
      <c r="J498" s="464"/>
    </row>
    <row r="499" spans="2:10" s="34" customFormat="1" ht="21.6" customHeight="1">
      <c r="B499" s="461" t="s">
        <v>995</v>
      </c>
      <c r="C499" s="462" t="s">
        <v>996</v>
      </c>
      <c r="D499" s="463" t="s">
        <v>390</v>
      </c>
      <c r="E499" s="414"/>
      <c r="F499" s="403">
        <v>20</v>
      </c>
      <c r="G499" s="415"/>
      <c r="H499" s="426"/>
      <c r="I499" s="416"/>
      <c r="J499" s="464"/>
    </row>
    <row r="500" spans="2:10" s="34" customFormat="1" ht="14.25" customHeight="1">
      <c r="B500" s="461" t="s">
        <v>997</v>
      </c>
      <c r="C500" s="462" t="s">
        <v>998</v>
      </c>
      <c r="D500" s="463" t="s">
        <v>390</v>
      </c>
      <c r="E500" s="414"/>
      <c r="F500" s="403">
        <v>20</v>
      </c>
      <c r="G500" s="415"/>
      <c r="H500" s="426"/>
      <c r="I500" s="416"/>
      <c r="J500" s="464"/>
    </row>
    <row r="501" spans="2:10" s="34" customFormat="1" ht="21.6" customHeight="1">
      <c r="B501" s="461" t="s">
        <v>999</v>
      </c>
      <c r="C501" s="462" t="s">
        <v>1000</v>
      </c>
      <c r="D501" s="463" t="s">
        <v>124</v>
      </c>
      <c r="E501" s="414"/>
      <c r="F501" s="403">
        <v>120</v>
      </c>
      <c r="G501" s="415"/>
      <c r="H501" s="426"/>
      <c r="I501" s="416"/>
      <c r="J501" s="464"/>
    </row>
    <row r="502" spans="2:10" s="34" customFormat="1" ht="21.6" customHeight="1">
      <c r="B502" s="461" t="s">
        <v>1001</v>
      </c>
      <c r="C502" s="462" t="s">
        <v>1002</v>
      </c>
      <c r="D502" s="463" t="s">
        <v>124</v>
      </c>
      <c r="E502" s="414"/>
      <c r="F502" s="403">
        <v>60</v>
      </c>
      <c r="G502" s="415"/>
      <c r="H502" s="426"/>
      <c r="I502" s="416"/>
      <c r="J502" s="464"/>
    </row>
    <row r="503" spans="2:10" s="34" customFormat="1" ht="21.6" customHeight="1">
      <c r="B503" s="461" t="s">
        <v>1003</v>
      </c>
      <c r="C503" s="462" t="s">
        <v>1004</v>
      </c>
      <c r="D503" s="463" t="s">
        <v>124</v>
      </c>
      <c r="E503" s="414"/>
      <c r="F503" s="403">
        <v>30</v>
      </c>
      <c r="G503" s="415"/>
      <c r="H503" s="426"/>
      <c r="I503" s="416"/>
      <c r="J503" s="464"/>
    </row>
    <row r="504" spans="2:10" s="34" customFormat="1" ht="21.6" customHeight="1">
      <c r="B504" s="461" t="s">
        <v>1005</v>
      </c>
      <c r="C504" s="462" t="s">
        <v>1006</v>
      </c>
      <c r="D504" s="463" t="s">
        <v>124</v>
      </c>
      <c r="E504" s="414"/>
      <c r="F504" s="403">
        <v>30</v>
      </c>
      <c r="G504" s="415"/>
      <c r="H504" s="426"/>
      <c r="I504" s="416"/>
      <c r="J504" s="464"/>
    </row>
    <row r="505" spans="2:10" s="34" customFormat="1" ht="21.6" customHeight="1">
      <c r="B505" s="461" t="s">
        <v>1007</v>
      </c>
      <c r="C505" s="462" t="s">
        <v>1008</v>
      </c>
      <c r="D505" s="463" t="s">
        <v>124</v>
      </c>
      <c r="E505" s="414"/>
      <c r="F505" s="403">
        <v>60</v>
      </c>
      <c r="G505" s="415"/>
      <c r="H505" s="426"/>
      <c r="I505" s="416"/>
      <c r="J505" s="464"/>
    </row>
    <row r="506" spans="2:10" s="34" customFormat="1" ht="21.6" customHeight="1">
      <c r="B506" s="461" t="s">
        <v>1009</v>
      </c>
      <c r="C506" s="462" t="s">
        <v>1010</v>
      </c>
      <c r="D506" s="463" t="s">
        <v>124</v>
      </c>
      <c r="E506" s="414"/>
      <c r="F506" s="403">
        <v>35</v>
      </c>
      <c r="G506" s="415"/>
      <c r="H506" s="426"/>
      <c r="I506" s="416"/>
      <c r="J506" s="464"/>
    </row>
    <row r="507" spans="2:10" s="34" customFormat="1" ht="21.6" customHeight="1">
      <c r="B507" s="461" t="s">
        <v>1011</v>
      </c>
      <c r="C507" s="462" t="s">
        <v>1012</v>
      </c>
      <c r="D507" s="463" t="s">
        <v>124</v>
      </c>
      <c r="E507" s="414"/>
      <c r="F507" s="403">
        <v>55</v>
      </c>
      <c r="G507" s="415"/>
      <c r="H507" s="426"/>
      <c r="I507" s="416"/>
      <c r="J507" s="464"/>
    </row>
    <row r="508" spans="2:10" s="34" customFormat="1" ht="31.65" customHeight="1">
      <c r="B508" s="461" t="s">
        <v>1013</v>
      </c>
      <c r="C508" s="462" t="s">
        <v>1014</v>
      </c>
      <c r="D508" s="463" t="s">
        <v>124</v>
      </c>
      <c r="E508" s="414"/>
      <c r="F508" s="400">
        <v>150</v>
      </c>
      <c r="G508" s="415"/>
      <c r="H508" s="426"/>
      <c r="I508" s="416"/>
      <c r="J508" s="464"/>
    </row>
    <row r="509" spans="2:10" s="34" customFormat="1" ht="14.25" customHeight="1">
      <c r="B509" s="456" t="s">
        <v>1015</v>
      </c>
      <c r="C509" s="486" t="s">
        <v>1016</v>
      </c>
      <c r="D509" s="458"/>
      <c r="E509" s="419"/>
      <c r="F509" s="465"/>
      <c r="G509" s="428"/>
      <c r="H509" s="459"/>
      <c r="I509" s="459"/>
      <c r="J509" s="460"/>
    </row>
    <row r="510" spans="2:10" s="34" customFormat="1" ht="21.6" customHeight="1">
      <c r="B510" s="461" t="s">
        <v>1017</v>
      </c>
      <c r="C510" s="462" t="s">
        <v>2144</v>
      </c>
      <c r="D510" s="463" t="s">
        <v>63</v>
      </c>
      <c r="E510" s="414"/>
      <c r="F510" s="400">
        <v>10</v>
      </c>
      <c r="G510" s="415"/>
      <c r="H510" s="426"/>
      <c r="I510" s="416"/>
      <c r="J510" s="464"/>
    </row>
    <row r="511" spans="2:10" s="34" customFormat="1" ht="21.6" customHeight="1">
      <c r="B511" s="461" t="s">
        <v>1019</v>
      </c>
      <c r="C511" s="462" t="s">
        <v>1020</v>
      </c>
      <c r="D511" s="463" t="s">
        <v>63</v>
      </c>
      <c r="E511" s="414"/>
      <c r="F511" s="400">
        <v>100</v>
      </c>
      <c r="G511" s="415"/>
      <c r="H511" s="426"/>
      <c r="I511" s="416"/>
      <c r="J511" s="464"/>
    </row>
    <row r="512" spans="2:10" s="34" customFormat="1" ht="21.6" customHeight="1">
      <c r="B512" s="461" t="s">
        <v>1021</v>
      </c>
      <c r="C512" s="462" t="s">
        <v>1022</v>
      </c>
      <c r="D512" s="463" t="s">
        <v>63</v>
      </c>
      <c r="E512" s="414"/>
      <c r="F512" s="400">
        <v>6</v>
      </c>
      <c r="G512" s="415"/>
      <c r="H512" s="426"/>
      <c r="I512" s="416"/>
      <c r="J512" s="464"/>
    </row>
    <row r="513" spans="2:10" s="34" customFormat="1" ht="21.6" customHeight="1">
      <c r="B513" s="461" t="s">
        <v>1023</v>
      </c>
      <c r="C513" s="462" t="s">
        <v>1024</v>
      </c>
      <c r="D513" s="463" t="s">
        <v>63</v>
      </c>
      <c r="E513" s="414"/>
      <c r="F513" s="400">
        <v>25</v>
      </c>
      <c r="G513" s="415"/>
      <c r="H513" s="426"/>
      <c r="I513" s="416"/>
      <c r="J513" s="464"/>
    </row>
    <row r="514" spans="2:10" s="34" customFormat="1" ht="21.6" customHeight="1">
      <c r="B514" s="461" t="s">
        <v>1025</v>
      </c>
      <c r="C514" s="462" t="s">
        <v>1026</v>
      </c>
      <c r="D514" s="463" t="s">
        <v>63</v>
      </c>
      <c r="E514" s="414"/>
      <c r="F514" s="400">
        <v>30</v>
      </c>
      <c r="G514" s="415"/>
      <c r="H514" s="426"/>
      <c r="I514" s="416"/>
      <c r="J514" s="464"/>
    </row>
    <row r="515" spans="2:10" s="34" customFormat="1" ht="21.6" customHeight="1">
      <c r="B515" s="461" t="s">
        <v>1027</v>
      </c>
      <c r="C515" s="462" t="s">
        <v>1028</v>
      </c>
      <c r="D515" s="463" t="s">
        <v>63</v>
      </c>
      <c r="E515" s="414"/>
      <c r="F515" s="400">
        <v>50</v>
      </c>
      <c r="G515" s="415"/>
      <c r="H515" s="426"/>
      <c r="I515" s="416"/>
      <c r="J515" s="464"/>
    </row>
    <row r="516" spans="2:10" s="34" customFormat="1" ht="21.6" customHeight="1">
      <c r="B516" s="461" t="s">
        <v>1029</v>
      </c>
      <c r="C516" s="462" t="s">
        <v>1030</v>
      </c>
      <c r="D516" s="463" t="s">
        <v>63</v>
      </c>
      <c r="E516" s="414"/>
      <c r="F516" s="400">
        <v>50</v>
      </c>
      <c r="G516" s="415"/>
      <c r="H516" s="426"/>
      <c r="I516" s="416"/>
      <c r="J516" s="464"/>
    </row>
    <row r="517" spans="2:10" s="34" customFormat="1" ht="21.6" customHeight="1">
      <c r="B517" s="461" t="s">
        <v>1031</v>
      </c>
      <c r="C517" s="462" t="s">
        <v>1032</v>
      </c>
      <c r="D517" s="463" t="s">
        <v>63</v>
      </c>
      <c r="E517" s="414"/>
      <c r="F517" s="400">
        <v>20</v>
      </c>
      <c r="G517" s="415"/>
      <c r="H517" s="426"/>
      <c r="I517" s="416"/>
      <c r="J517" s="464"/>
    </row>
    <row r="518" spans="2:10" s="34" customFormat="1" ht="21.6" customHeight="1">
      <c r="B518" s="461" t="s">
        <v>1033</v>
      </c>
      <c r="C518" s="462" t="s">
        <v>1034</v>
      </c>
      <c r="D518" s="463" t="s">
        <v>63</v>
      </c>
      <c r="E518" s="414"/>
      <c r="F518" s="400">
        <v>10</v>
      </c>
      <c r="G518" s="415"/>
      <c r="H518" s="426"/>
      <c r="I518" s="416"/>
      <c r="J518" s="464"/>
    </row>
    <row r="519" spans="2:10" s="34" customFormat="1" ht="21.6" customHeight="1">
      <c r="B519" s="461" t="s">
        <v>1035</v>
      </c>
      <c r="C519" s="462" t="s">
        <v>1036</v>
      </c>
      <c r="D519" s="463" t="s">
        <v>63</v>
      </c>
      <c r="E519" s="414"/>
      <c r="F519" s="400">
        <v>10</v>
      </c>
      <c r="G519" s="415"/>
      <c r="H519" s="426"/>
      <c r="I519" s="416"/>
      <c r="J519" s="464"/>
    </row>
    <row r="520" spans="2:10" s="34" customFormat="1" ht="14.25" customHeight="1">
      <c r="B520" s="461" t="s">
        <v>1037</v>
      </c>
      <c r="C520" s="462" t="s">
        <v>1038</v>
      </c>
      <c r="D520" s="463" t="s">
        <v>63</v>
      </c>
      <c r="E520" s="414"/>
      <c r="F520" s="400">
        <v>80</v>
      </c>
      <c r="G520" s="415"/>
      <c r="H520" s="426"/>
      <c r="I520" s="416"/>
      <c r="J520" s="464"/>
    </row>
    <row r="521" spans="2:10" s="34" customFormat="1" ht="21.6" customHeight="1">
      <c r="B521" s="461" t="s">
        <v>1039</v>
      </c>
      <c r="C521" s="462" t="s">
        <v>1040</v>
      </c>
      <c r="D521" s="463" t="s">
        <v>63</v>
      </c>
      <c r="E521" s="414"/>
      <c r="F521" s="400">
        <v>20</v>
      </c>
      <c r="G521" s="415"/>
      <c r="H521" s="426"/>
      <c r="I521" s="416"/>
      <c r="J521" s="464"/>
    </row>
    <row r="522" spans="2:10" s="34" customFormat="1" ht="21.6" customHeight="1">
      <c r="B522" s="461" t="s">
        <v>1041</v>
      </c>
      <c r="C522" s="462" t="s">
        <v>1042</v>
      </c>
      <c r="D522" s="463" t="s">
        <v>63</v>
      </c>
      <c r="E522" s="414"/>
      <c r="F522" s="400">
        <v>4</v>
      </c>
      <c r="G522" s="415"/>
      <c r="H522" s="426"/>
      <c r="I522" s="416"/>
      <c r="J522" s="464"/>
    </row>
    <row r="523" spans="2:10" s="34" customFormat="1" ht="21.6" customHeight="1">
      <c r="B523" s="461" t="s">
        <v>1043</v>
      </c>
      <c r="C523" s="462" t="s">
        <v>1044</v>
      </c>
      <c r="D523" s="463" t="s">
        <v>63</v>
      </c>
      <c r="E523" s="414"/>
      <c r="F523" s="400">
        <v>15</v>
      </c>
      <c r="G523" s="415"/>
      <c r="H523" s="426"/>
      <c r="I523" s="416"/>
      <c r="J523" s="464"/>
    </row>
    <row r="524" spans="2:10" s="34" customFormat="1" ht="21.6" customHeight="1">
      <c r="B524" s="461" t="s">
        <v>1045</v>
      </c>
      <c r="C524" s="462" t="s">
        <v>1046</v>
      </c>
      <c r="D524" s="463" t="s">
        <v>63</v>
      </c>
      <c r="E524" s="414"/>
      <c r="F524" s="400">
        <v>10</v>
      </c>
      <c r="G524" s="415"/>
      <c r="H524" s="426"/>
      <c r="I524" s="416"/>
      <c r="J524" s="464"/>
    </row>
    <row r="525" spans="2:10" s="34" customFormat="1" ht="14.25" customHeight="1">
      <c r="B525" s="461" t="s">
        <v>1047</v>
      </c>
      <c r="C525" s="462" t="s">
        <v>1048</v>
      </c>
      <c r="D525" s="463" t="s">
        <v>63</v>
      </c>
      <c r="E525" s="414"/>
      <c r="F525" s="400">
        <v>10</v>
      </c>
      <c r="G525" s="415"/>
      <c r="H525" s="426"/>
      <c r="I525" s="416"/>
      <c r="J525" s="464"/>
    </row>
    <row r="526" spans="2:10" s="34" customFormat="1" ht="14.25" customHeight="1">
      <c r="B526" s="461" t="s">
        <v>1049</v>
      </c>
      <c r="C526" s="462" t="s">
        <v>1050</v>
      </c>
      <c r="D526" s="463" t="s">
        <v>63</v>
      </c>
      <c r="E526" s="414"/>
      <c r="F526" s="400">
        <v>15</v>
      </c>
      <c r="G526" s="415"/>
      <c r="H526" s="426"/>
      <c r="I526" s="416"/>
      <c r="J526" s="464"/>
    </row>
    <row r="527" spans="2:10" s="34" customFormat="1" ht="14.25" customHeight="1">
      <c r="B527" s="461" t="s">
        <v>1051</v>
      </c>
      <c r="C527" s="462" t="s">
        <v>1052</v>
      </c>
      <c r="D527" s="463" t="s">
        <v>63</v>
      </c>
      <c r="E527" s="414"/>
      <c r="F527" s="400">
        <v>10</v>
      </c>
      <c r="G527" s="415"/>
      <c r="H527" s="426"/>
      <c r="I527" s="416"/>
      <c r="J527" s="464"/>
    </row>
    <row r="528" spans="2:10" s="34" customFormat="1" ht="21.6" customHeight="1">
      <c r="B528" s="461" t="s">
        <v>1053</v>
      </c>
      <c r="C528" s="462" t="s">
        <v>1054</v>
      </c>
      <c r="D528" s="463" t="s">
        <v>63</v>
      </c>
      <c r="E528" s="414"/>
      <c r="F528" s="400">
        <v>25</v>
      </c>
      <c r="G528" s="415"/>
      <c r="H528" s="426"/>
      <c r="I528" s="416"/>
      <c r="J528" s="464"/>
    </row>
    <row r="529" spans="2:10" s="34" customFormat="1" ht="21.6" customHeight="1">
      <c r="B529" s="461" t="s">
        <v>1055</v>
      </c>
      <c r="C529" s="462" t="s">
        <v>2145</v>
      </c>
      <c r="D529" s="463" t="s">
        <v>63</v>
      </c>
      <c r="E529" s="414"/>
      <c r="F529" s="400">
        <v>45</v>
      </c>
      <c r="G529" s="415"/>
      <c r="H529" s="426"/>
      <c r="I529" s="416"/>
      <c r="J529" s="464"/>
    </row>
    <row r="530" spans="2:10" s="34" customFormat="1" ht="21.6" customHeight="1">
      <c r="B530" s="461" t="s">
        <v>1057</v>
      </c>
      <c r="C530" s="462" t="s">
        <v>1058</v>
      </c>
      <c r="D530" s="463" t="s">
        <v>63</v>
      </c>
      <c r="E530" s="414"/>
      <c r="F530" s="400">
        <v>10</v>
      </c>
      <c r="G530" s="415"/>
      <c r="H530" s="426"/>
      <c r="I530" s="416"/>
      <c r="J530" s="464"/>
    </row>
    <row r="531" spans="2:10" s="34" customFormat="1" ht="14.25" customHeight="1">
      <c r="B531" s="461" t="s">
        <v>1059</v>
      </c>
      <c r="C531" s="462" t="s">
        <v>1060</v>
      </c>
      <c r="D531" s="463" t="s">
        <v>63</v>
      </c>
      <c r="E531" s="414"/>
      <c r="F531" s="400">
        <v>20</v>
      </c>
      <c r="G531" s="415"/>
      <c r="H531" s="426"/>
      <c r="I531" s="416"/>
      <c r="J531" s="464"/>
    </row>
    <row r="532" spans="2:10" s="34" customFormat="1" ht="21.6" customHeight="1">
      <c r="B532" s="461" t="s">
        <v>1061</v>
      </c>
      <c r="C532" s="462" t="s">
        <v>2146</v>
      </c>
      <c r="D532" s="463" t="s">
        <v>63</v>
      </c>
      <c r="E532" s="414"/>
      <c r="F532" s="400">
        <v>10</v>
      </c>
      <c r="G532" s="415"/>
      <c r="H532" s="426"/>
      <c r="I532" s="416"/>
      <c r="J532" s="464"/>
    </row>
    <row r="533" spans="2:10" s="34" customFormat="1" ht="21.6" customHeight="1">
      <c r="B533" s="461" t="s">
        <v>1063</v>
      </c>
      <c r="C533" s="462" t="s">
        <v>2147</v>
      </c>
      <c r="D533" s="463" t="s">
        <v>63</v>
      </c>
      <c r="E533" s="414"/>
      <c r="F533" s="400">
        <v>1</v>
      </c>
      <c r="G533" s="415"/>
      <c r="H533" s="426"/>
      <c r="I533" s="416"/>
      <c r="J533" s="464"/>
    </row>
    <row r="534" spans="2:10" s="34" customFormat="1" ht="21.6" customHeight="1">
      <c r="B534" s="461" t="s">
        <v>1065</v>
      </c>
      <c r="C534" s="462" t="s">
        <v>2148</v>
      </c>
      <c r="D534" s="463" t="s">
        <v>63</v>
      </c>
      <c r="E534" s="414"/>
      <c r="F534" s="400">
        <v>1</v>
      </c>
      <c r="G534" s="415"/>
      <c r="H534" s="426"/>
      <c r="I534" s="416"/>
      <c r="J534" s="464"/>
    </row>
    <row r="535" spans="2:10" s="34" customFormat="1" ht="14.25" customHeight="1">
      <c r="B535" s="461" t="s">
        <v>1067</v>
      </c>
      <c r="C535" s="462" t="s">
        <v>1068</v>
      </c>
      <c r="D535" s="463" t="s">
        <v>63</v>
      </c>
      <c r="E535" s="414"/>
      <c r="F535" s="400">
        <v>1</v>
      </c>
      <c r="G535" s="415"/>
      <c r="H535" s="426"/>
      <c r="I535" s="416"/>
      <c r="J535" s="464"/>
    </row>
    <row r="536" spans="2:10" s="34" customFormat="1" ht="14.25" customHeight="1">
      <c r="B536" s="461" t="s">
        <v>1069</v>
      </c>
      <c r="C536" s="462" t="s">
        <v>1070</v>
      </c>
      <c r="D536" s="463" t="s">
        <v>63</v>
      </c>
      <c r="E536" s="414"/>
      <c r="F536" s="400">
        <v>2</v>
      </c>
      <c r="G536" s="415"/>
      <c r="H536" s="426"/>
      <c r="I536" s="416"/>
      <c r="J536" s="464"/>
    </row>
    <row r="537" spans="2:10" s="34" customFormat="1" ht="14.25" customHeight="1">
      <c r="B537" s="461" t="s">
        <v>1071</v>
      </c>
      <c r="C537" s="462" t="s">
        <v>1072</v>
      </c>
      <c r="D537" s="463" t="s">
        <v>63</v>
      </c>
      <c r="E537" s="414"/>
      <c r="F537" s="400">
        <v>2</v>
      </c>
      <c r="G537" s="415"/>
      <c r="H537" s="426"/>
      <c r="I537" s="416"/>
      <c r="J537" s="464"/>
    </row>
    <row r="538" spans="2:10" s="34" customFormat="1" ht="21.6" customHeight="1">
      <c r="B538" s="461" t="s">
        <v>1073</v>
      </c>
      <c r="C538" s="462" t="s">
        <v>1074</v>
      </c>
      <c r="D538" s="463" t="s">
        <v>63</v>
      </c>
      <c r="E538" s="414"/>
      <c r="F538" s="400">
        <v>1</v>
      </c>
      <c r="G538" s="415"/>
      <c r="H538" s="426"/>
      <c r="I538" s="416"/>
      <c r="J538" s="464"/>
    </row>
    <row r="539" spans="2:10" s="34" customFormat="1" ht="21.6" customHeight="1">
      <c r="B539" s="461" t="s">
        <v>1075</v>
      </c>
      <c r="C539" s="462" t="s">
        <v>1076</v>
      </c>
      <c r="D539" s="463" t="s">
        <v>63</v>
      </c>
      <c r="E539" s="414"/>
      <c r="F539" s="400">
        <v>15</v>
      </c>
      <c r="G539" s="415"/>
      <c r="H539" s="426"/>
      <c r="I539" s="416"/>
      <c r="J539" s="464"/>
    </row>
    <row r="540" spans="2:10" s="34" customFormat="1" ht="21.6" customHeight="1">
      <c r="B540" s="461" t="s">
        <v>1077</v>
      </c>
      <c r="C540" s="462" t="s">
        <v>1078</v>
      </c>
      <c r="D540" s="463" t="s">
        <v>63</v>
      </c>
      <c r="E540" s="414"/>
      <c r="F540" s="400">
        <v>42</v>
      </c>
      <c r="G540" s="415"/>
      <c r="H540" s="426"/>
      <c r="I540" s="416"/>
      <c r="J540" s="464"/>
    </row>
    <row r="541" spans="2:10" s="34" customFormat="1" ht="13.8" customHeight="1">
      <c r="B541" s="487" t="s">
        <v>1079</v>
      </c>
      <c r="C541" s="434" t="s">
        <v>2238</v>
      </c>
      <c r="D541" s="435"/>
      <c r="E541" s="436"/>
      <c r="F541" s="437"/>
      <c r="G541" s="438"/>
      <c r="H541" s="439"/>
      <c r="I541" s="440"/>
      <c r="J541" s="488"/>
    </row>
    <row r="542" spans="2:10" s="34" customFormat="1" ht="21.6" customHeight="1">
      <c r="B542" s="461" t="s">
        <v>1081</v>
      </c>
      <c r="C542" s="429" t="s">
        <v>2239</v>
      </c>
      <c r="D542" s="430" t="s">
        <v>131</v>
      </c>
      <c r="E542" s="414"/>
      <c r="F542" s="441">
        <v>36</v>
      </c>
      <c r="G542" s="415"/>
      <c r="H542" s="426"/>
      <c r="I542" s="416"/>
      <c r="J542" s="464"/>
    </row>
    <row r="543" spans="2:10" s="34" customFormat="1" ht="21.6" customHeight="1">
      <c r="B543" s="461" t="s">
        <v>2278</v>
      </c>
      <c r="C543" s="429" t="s">
        <v>2240</v>
      </c>
      <c r="D543" s="430" t="s">
        <v>131</v>
      </c>
      <c r="E543" s="414"/>
      <c r="F543" s="441">
        <v>18</v>
      </c>
      <c r="G543" s="415"/>
      <c r="H543" s="426"/>
      <c r="I543" s="416"/>
      <c r="J543" s="464"/>
    </row>
    <row r="544" spans="2:10" s="34" customFormat="1" ht="21.6" customHeight="1">
      <c r="B544" s="461" t="s">
        <v>2279</v>
      </c>
      <c r="C544" s="429" t="s">
        <v>2241</v>
      </c>
      <c r="D544" s="430" t="s">
        <v>131</v>
      </c>
      <c r="E544" s="414"/>
      <c r="F544" s="441">
        <v>42</v>
      </c>
      <c r="G544" s="415"/>
      <c r="H544" s="426"/>
      <c r="I544" s="416"/>
      <c r="J544" s="464"/>
    </row>
    <row r="545" spans="2:10" s="34" customFormat="1" ht="21.6" customHeight="1">
      <c r="B545" s="461" t="s">
        <v>2280</v>
      </c>
      <c r="C545" s="429" t="s">
        <v>2242</v>
      </c>
      <c r="D545" s="430" t="s">
        <v>63</v>
      </c>
      <c r="E545" s="414"/>
      <c r="F545" s="441">
        <v>35</v>
      </c>
      <c r="G545" s="415"/>
      <c r="H545" s="426"/>
      <c r="I545" s="416"/>
      <c r="J545" s="464"/>
    </row>
    <row r="546" spans="2:10" s="34" customFormat="1" ht="21.6" customHeight="1">
      <c r="B546" s="461" t="s">
        <v>2281</v>
      </c>
      <c r="C546" s="429" t="s">
        <v>2243</v>
      </c>
      <c r="D546" s="430" t="s">
        <v>63</v>
      </c>
      <c r="E546" s="414"/>
      <c r="F546" s="441">
        <v>35</v>
      </c>
      <c r="G546" s="415"/>
      <c r="H546" s="426"/>
      <c r="I546" s="416"/>
      <c r="J546" s="464"/>
    </row>
    <row r="547" spans="2:10" s="34" customFormat="1" ht="21.6" customHeight="1">
      <c r="B547" s="461" t="s">
        <v>2282</v>
      </c>
      <c r="C547" s="429" t="s">
        <v>2244</v>
      </c>
      <c r="D547" s="430" t="s">
        <v>63</v>
      </c>
      <c r="E547" s="414"/>
      <c r="F547" s="441">
        <v>1</v>
      </c>
      <c r="G547" s="415"/>
      <c r="H547" s="426"/>
      <c r="I547" s="416"/>
      <c r="J547" s="464"/>
    </row>
    <row r="548" spans="2:10" s="34" customFormat="1" ht="21.6" customHeight="1">
      <c r="B548" s="461" t="s">
        <v>2283</v>
      </c>
      <c r="C548" s="429" t="s">
        <v>2245</v>
      </c>
      <c r="D548" s="430" t="s">
        <v>82</v>
      </c>
      <c r="E548" s="414"/>
      <c r="F548" s="441">
        <v>800</v>
      </c>
      <c r="G548" s="415"/>
      <c r="H548" s="426"/>
      <c r="I548" s="416"/>
      <c r="J548" s="464"/>
    </row>
    <row r="549" spans="2:10" s="34" customFormat="1" ht="21.6" customHeight="1">
      <c r="B549" s="461" t="s">
        <v>2284</v>
      </c>
      <c r="C549" s="429" t="s">
        <v>2246</v>
      </c>
      <c r="D549" s="430" t="s">
        <v>82</v>
      </c>
      <c r="E549" s="414"/>
      <c r="F549" s="441">
        <v>186</v>
      </c>
      <c r="G549" s="415"/>
      <c r="H549" s="426"/>
      <c r="I549" s="416"/>
      <c r="J549" s="464"/>
    </row>
    <row r="550" spans="2:10" s="34" customFormat="1" ht="21.6" customHeight="1">
      <c r="B550" s="461" t="s">
        <v>2285</v>
      </c>
      <c r="C550" s="429" t="s">
        <v>2247</v>
      </c>
      <c r="D550" s="430" t="s">
        <v>82</v>
      </c>
      <c r="E550" s="414"/>
      <c r="F550" s="441">
        <v>150</v>
      </c>
      <c r="G550" s="415"/>
      <c r="H550" s="426"/>
      <c r="I550" s="416"/>
      <c r="J550" s="464"/>
    </row>
    <row r="551" spans="2:10" s="34" customFormat="1" ht="21.6" customHeight="1">
      <c r="B551" s="461" t="s">
        <v>2286</v>
      </c>
      <c r="C551" s="429" t="s">
        <v>2248</v>
      </c>
      <c r="D551" s="430" t="s">
        <v>131</v>
      </c>
      <c r="E551" s="414"/>
      <c r="F551" s="441">
        <v>24</v>
      </c>
      <c r="G551" s="415"/>
      <c r="H551" s="426"/>
      <c r="I551" s="416"/>
      <c r="J551" s="464"/>
    </row>
    <row r="552" spans="2:10" s="34" customFormat="1" ht="21.6" customHeight="1">
      <c r="B552" s="461" t="s">
        <v>2287</v>
      </c>
      <c r="C552" s="429" t="s">
        <v>2249</v>
      </c>
      <c r="D552" s="430" t="s">
        <v>131</v>
      </c>
      <c r="E552" s="414"/>
      <c r="F552" s="441">
        <v>1</v>
      </c>
      <c r="G552" s="415"/>
      <c r="H552" s="426"/>
      <c r="I552" s="416"/>
      <c r="J552" s="464"/>
    </row>
    <row r="553" spans="2:10" s="34" customFormat="1" ht="21.6" customHeight="1">
      <c r="B553" s="461" t="s">
        <v>2288</v>
      </c>
      <c r="C553" s="429" t="s">
        <v>2250</v>
      </c>
      <c r="D553" s="430" t="s">
        <v>131</v>
      </c>
      <c r="E553" s="414"/>
      <c r="F553" s="441">
        <v>17</v>
      </c>
      <c r="G553" s="415"/>
      <c r="H553" s="426"/>
      <c r="I553" s="416"/>
      <c r="J553" s="464"/>
    </row>
    <row r="554" spans="2:10" s="34" customFormat="1" ht="21.6" customHeight="1">
      <c r="B554" s="461" t="s">
        <v>2289</v>
      </c>
      <c r="C554" s="429" t="s">
        <v>2251</v>
      </c>
      <c r="D554" s="430" t="s">
        <v>63</v>
      </c>
      <c r="E554" s="414"/>
      <c r="F554" s="441">
        <v>17</v>
      </c>
      <c r="G554" s="415"/>
      <c r="H554" s="426"/>
      <c r="I554" s="416"/>
      <c r="J554" s="464"/>
    </row>
    <row r="555" spans="2:10" s="34" customFormat="1" ht="21.6" customHeight="1">
      <c r="B555" s="461" t="s">
        <v>2290</v>
      </c>
      <c r="C555" s="429" t="s">
        <v>2252</v>
      </c>
      <c r="D555" s="430" t="s">
        <v>63</v>
      </c>
      <c r="E555" s="414"/>
      <c r="F555" s="441">
        <v>17</v>
      </c>
      <c r="G555" s="415"/>
      <c r="H555" s="426"/>
      <c r="I555" s="416"/>
      <c r="J555" s="464"/>
    </row>
    <row r="556" spans="2:10" s="34" customFormat="1" ht="21.6" customHeight="1">
      <c r="B556" s="461" t="s">
        <v>2291</v>
      </c>
      <c r="C556" s="429" t="s">
        <v>2253</v>
      </c>
      <c r="D556" s="430" t="s">
        <v>63</v>
      </c>
      <c r="E556" s="414"/>
      <c r="F556" s="441">
        <v>4</v>
      </c>
      <c r="G556" s="415"/>
      <c r="H556" s="426"/>
      <c r="I556" s="416"/>
      <c r="J556" s="464"/>
    </row>
    <row r="557" spans="2:10" s="34" customFormat="1" ht="21.6" customHeight="1">
      <c r="B557" s="461" t="s">
        <v>2292</v>
      </c>
      <c r="C557" s="429" t="s">
        <v>2254</v>
      </c>
      <c r="D557" s="430" t="s">
        <v>131</v>
      </c>
      <c r="E557" s="414"/>
      <c r="F557" s="441">
        <v>4</v>
      </c>
      <c r="G557" s="415"/>
      <c r="H557" s="426"/>
      <c r="I557" s="416"/>
      <c r="J557" s="464"/>
    </row>
    <row r="558" spans="2:10" s="34" customFormat="1" ht="21.6" customHeight="1">
      <c r="B558" s="461" t="s">
        <v>2293</v>
      </c>
      <c r="C558" s="429" t="s">
        <v>2255</v>
      </c>
      <c r="D558" s="430" t="s">
        <v>131</v>
      </c>
      <c r="E558" s="414"/>
      <c r="F558" s="441">
        <v>29</v>
      </c>
      <c r="G558" s="415"/>
      <c r="H558" s="426"/>
      <c r="I558" s="416"/>
      <c r="J558" s="464"/>
    </row>
    <row r="559" spans="2:10" s="34" customFormat="1" ht="21.6" customHeight="1">
      <c r="B559" s="461" t="s">
        <v>2294</v>
      </c>
      <c r="C559" s="429" t="s">
        <v>2256</v>
      </c>
      <c r="D559" s="430" t="s">
        <v>131</v>
      </c>
      <c r="E559" s="414"/>
      <c r="F559" s="441">
        <v>1</v>
      </c>
      <c r="G559" s="415"/>
      <c r="H559" s="426"/>
      <c r="I559" s="416"/>
      <c r="J559" s="464"/>
    </row>
    <row r="560" spans="2:10" s="34" customFormat="1" ht="21.6" customHeight="1">
      <c r="B560" s="461" t="s">
        <v>2295</v>
      </c>
      <c r="C560" s="429" t="s">
        <v>2257</v>
      </c>
      <c r="D560" s="430" t="s">
        <v>131</v>
      </c>
      <c r="E560" s="414"/>
      <c r="F560" s="441">
        <v>160</v>
      </c>
      <c r="G560" s="415"/>
      <c r="H560" s="426"/>
      <c r="I560" s="416"/>
      <c r="J560" s="464"/>
    </row>
    <row r="561" spans="2:10" s="34" customFormat="1" ht="21.6" customHeight="1">
      <c r="B561" s="461" t="s">
        <v>2296</v>
      </c>
      <c r="C561" s="429" t="s">
        <v>2258</v>
      </c>
      <c r="D561" s="430" t="s">
        <v>131</v>
      </c>
      <c r="E561" s="414"/>
      <c r="F561" s="441">
        <v>1</v>
      </c>
      <c r="G561" s="415"/>
      <c r="H561" s="426"/>
      <c r="I561" s="416"/>
      <c r="J561" s="464"/>
    </row>
    <row r="562" spans="2:10" s="34" customFormat="1" ht="21.6" customHeight="1">
      <c r="B562" s="461" t="s">
        <v>2297</v>
      </c>
      <c r="C562" s="429" t="s">
        <v>2259</v>
      </c>
      <c r="D562" s="430" t="s">
        <v>131</v>
      </c>
      <c r="E562" s="414"/>
      <c r="F562" s="441">
        <v>4</v>
      </c>
      <c r="G562" s="415"/>
      <c r="H562" s="426"/>
      <c r="I562" s="416"/>
      <c r="J562" s="464"/>
    </row>
    <row r="563" spans="2:10" s="34" customFormat="1" ht="21.6" customHeight="1">
      <c r="B563" s="461" t="s">
        <v>2298</v>
      </c>
      <c r="C563" s="429" t="s">
        <v>2260</v>
      </c>
      <c r="D563" s="430" t="s">
        <v>131</v>
      </c>
      <c r="E563" s="414"/>
      <c r="F563" s="441">
        <v>2</v>
      </c>
      <c r="G563" s="415"/>
      <c r="H563" s="426"/>
      <c r="I563" s="416"/>
      <c r="J563" s="464"/>
    </row>
    <row r="564" spans="2:10" s="34" customFormat="1" ht="21.6" customHeight="1">
      <c r="B564" s="461" t="s">
        <v>2299</v>
      </c>
      <c r="C564" s="429" t="s">
        <v>2250</v>
      </c>
      <c r="D564" s="430" t="s">
        <v>131</v>
      </c>
      <c r="E564" s="414"/>
      <c r="F564" s="441">
        <v>3</v>
      </c>
      <c r="G564" s="415"/>
      <c r="H564" s="426"/>
      <c r="I564" s="416"/>
      <c r="J564" s="464"/>
    </row>
    <row r="565" spans="2:10" s="34" customFormat="1" ht="21.6" customHeight="1">
      <c r="B565" s="461" t="s">
        <v>2300</v>
      </c>
      <c r="C565" s="429" t="s">
        <v>2261</v>
      </c>
      <c r="D565" s="430" t="s">
        <v>131</v>
      </c>
      <c r="E565" s="414"/>
      <c r="F565" s="441">
        <v>2</v>
      </c>
      <c r="G565" s="415"/>
      <c r="H565" s="426"/>
      <c r="I565" s="416"/>
      <c r="J565" s="464"/>
    </row>
    <row r="566" spans="2:10" s="34" customFormat="1" ht="21.6" customHeight="1">
      <c r="B566" s="461" t="s">
        <v>2301</v>
      </c>
      <c r="C566" s="429" t="s">
        <v>2262</v>
      </c>
      <c r="D566" s="430" t="s">
        <v>131</v>
      </c>
      <c r="E566" s="414"/>
      <c r="F566" s="441">
        <v>1</v>
      </c>
      <c r="G566" s="415"/>
      <c r="H566" s="426"/>
      <c r="I566" s="416"/>
      <c r="J566" s="464"/>
    </row>
    <row r="567" spans="2:10" s="34" customFormat="1" ht="21.6" customHeight="1">
      <c r="B567" s="461" t="s">
        <v>2302</v>
      </c>
      <c r="C567" s="429" t="s">
        <v>2263</v>
      </c>
      <c r="D567" s="430" t="s">
        <v>63</v>
      </c>
      <c r="E567" s="414"/>
      <c r="F567" s="441">
        <v>4</v>
      </c>
      <c r="G567" s="415"/>
      <c r="H567" s="426"/>
      <c r="I567" s="416"/>
      <c r="J567" s="464"/>
    </row>
    <row r="568" spans="2:10" s="34" customFormat="1" ht="21.6" customHeight="1">
      <c r="B568" s="461" t="s">
        <v>2303</v>
      </c>
      <c r="C568" s="429" t="s">
        <v>2264</v>
      </c>
      <c r="D568" s="430" t="s">
        <v>169</v>
      </c>
      <c r="E568" s="414"/>
      <c r="F568" s="441">
        <v>7.5527999999999995</v>
      </c>
      <c r="G568" s="415"/>
      <c r="H568" s="426"/>
      <c r="I568" s="416"/>
      <c r="J568" s="464"/>
    </row>
    <row r="569" spans="2:10" s="34" customFormat="1" ht="21.6" customHeight="1">
      <c r="B569" s="461" t="s">
        <v>2304</v>
      </c>
      <c r="C569" s="429" t="s">
        <v>2265</v>
      </c>
      <c r="D569" s="430" t="s">
        <v>169</v>
      </c>
      <c r="E569" s="414"/>
      <c r="F569" s="441">
        <v>6.7975199999999996</v>
      </c>
      <c r="G569" s="415"/>
      <c r="H569" s="426"/>
      <c r="I569" s="416"/>
      <c r="J569" s="464"/>
    </row>
    <row r="570" spans="2:10" s="34" customFormat="1" ht="21.6" customHeight="1">
      <c r="B570" s="461" t="s">
        <v>2305</v>
      </c>
      <c r="C570" s="429" t="s">
        <v>2266</v>
      </c>
      <c r="D570" s="430" t="s">
        <v>82</v>
      </c>
      <c r="E570" s="414"/>
      <c r="F570" s="441">
        <v>176.08</v>
      </c>
      <c r="G570" s="415"/>
      <c r="H570" s="426"/>
      <c r="I570" s="416"/>
      <c r="J570" s="464"/>
    </row>
    <row r="571" spans="2:10" s="34" customFormat="1" ht="21.6" customHeight="1">
      <c r="B571" s="461" t="s">
        <v>2306</v>
      </c>
      <c r="C571" s="429" t="s">
        <v>2267</v>
      </c>
      <c r="D571" s="430" t="s">
        <v>82</v>
      </c>
      <c r="E571" s="414"/>
      <c r="F571" s="441">
        <v>130</v>
      </c>
      <c r="G571" s="415"/>
      <c r="H571" s="426"/>
      <c r="I571" s="416"/>
      <c r="J571" s="464"/>
    </row>
    <row r="572" spans="2:10" s="34" customFormat="1" ht="21.6" customHeight="1">
      <c r="B572" s="461" t="s">
        <v>2307</v>
      </c>
      <c r="C572" s="429" t="s">
        <v>2268</v>
      </c>
      <c r="D572" s="430" t="s">
        <v>82</v>
      </c>
      <c r="E572" s="414"/>
      <c r="F572" s="441">
        <v>800</v>
      </c>
      <c r="G572" s="415"/>
      <c r="H572" s="426"/>
      <c r="I572" s="416"/>
      <c r="J572" s="464"/>
    </row>
    <row r="573" spans="2:10" s="34" customFormat="1" ht="21.6" customHeight="1">
      <c r="B573" s="461" t="s">
        <v>2308</v>
      </c>
      <c r="C573" s="429" t="s">
        <v>2269</v>
      </c>
      <c r="D573" s="430" t="s">
        <v>79</v>
      </c>
      <c r="E573" s="414"/>
      <c r="F573" s="441">
        <v>160</v>
      </c>
      <c r="G573" s="415"/>
      <c r="H573" s="426"/>
      <c r="I573" s="416"/>
      <c r="J573" s="464"/>
    </row>
    <row r="574" spans="2:10" s="34" customFormat="1" ht="21.6" customHeight="1">
      <c r="B574" s="461" t="s">
        <v>2309</v>
      </c>
      <c r="C574" s="429" t="s">
        <v>2270</v>
      </c>
      <c r="D574" s="430" t="s">
        <v>79</v>
      </c>
      <c r="E574" s="414"/>
      <c r="F574" s="441">
        <v>160</v>
      </c>
      <c r="G574" s="415"/>
      <c r="H574" s="426"/>
      <c r="I574" s="416"/>
      <c r="J574" s="464"/>
    </row>
    <row r="575" spans="2:10" s="34" customFormat="1" ht="21.6" customHeight="1">
      <c r="B575" s="461" t="s">
        <v>2310</v>
      </c>
      <c r="C575" s="429" t="s">
        <v>2271</v>
      </c>
      <c r="D575" s="430" t="s">
        <v>131</v>
      </c>
      <c r="E575" s="414"/>
      <c r="F575" s="441">
        <v>1</v>
      </c>
      <c r="G575" s="415"/>
      <c r="H575" s="426"/>
      <c r="I575" s="416"/>
      <c r="J575" s="464"/>
    </row>
    <row r="576" spans="2:10" s="34" customFormat="1" ht="21.6" customHeight="1">
      <c r="B576" s="461" t="s">
        <v>2311</v>
      </c>
      <c r="C576" s="429" t="s">
        <v>2272</v>
      </c>
      <c r="D576" s="430" t="s">
        <v>82</v>
      </c>
      <c r="E576" s="414"/>
      <c r="F576" s="441">
        <v>62.94</v>
      </c>
      <c r="G576" s="415"/>
      <c r="H576" s="426"/>
      <c r="I576" s="416"/>
      <c r="J576" s="464"/>
    </row>
    <row r="577" spans="2:10" s="34" customFormat="1" ht="21.6" customHeight="1">
      <c r="B577" s="461" t="s">
        <v>2312</v>
      </c>
      <c r="C577" s="429" t="s">
        <v>2277</v>
      </c>
      <c r="D577" s="430" t="s">
        <v>131</v>
      </c>
      <c r="E577" s="414"/>
      <c r="F577" s="441">
        <v>150</v>
      </c>
      <c r="G577" s="415"/>
      <c r="H577" s="426"/>
      <c r="I577" s="416"/>
      <c r="J577" s="464"/>
    </row>
    <row r="578" spans="2:10" s="34" customFormat="1" ht="21.6" customHeight="1">
      <c r="B578" s="461" t="s">
        <v>2313</v>
      </c>
      <c r="C578" s="429" t="s">
        <v>2273</v>
      </c>
      <c r="D578" s="430" t="s">
        <v>39</v>
      </c>
      <c r="E578" s="414"/>
      <c r="F578" s="441">
        <v>1</v>
      </c>
      <c r="G578" s="415"/>
      <c r="H578" s="426"/>
      <c r="I578" s="416"/>
      <c r="J578" s="464"/>
    </row>
    <row r="579" spans="2:10" s="34" customFormat="1" ht="21.6" customHeight="1">
      <c r="B579" s="461" t="s">
        <v>2314</v>
      </c>
      <c r="C579" s="429" t="s">
        <v>2274</v>
      </c>
      <c r="D579" s="430" t="s">
        <v>39</v>
      </c>
      <c r="E579" s="414"/>
      <c r="F579" s="441">
        <v>1</v>
      </c>
      <c r="G579" s="415"/>
      <c r="H579" s="426"/>
      <c r="I579" s="416"/>
      <c r="J579" s="464"/>
    </row>
    <row r="580" spans="2:10" s="34" customFormat="1" ht="21.6" customHeight="1">
      <c r="B580" s="461" t="s">
        <v>2315</v>
      </c>
      <c r="C580" s="429" t="s">
        <v>2275</v>
      </c>
      <c r="D580" s="430" t="s">
        <v>39</v>
      </c>
      <c r="E580" s="414"/>
      <c r="F580" s="441">
        <v>1</v>
      </c>
      <c r="G580" s="415"/>
      <c r="H580" s="426"/>
      <c r="I580" s="416"/>
      <c r="J580" s="464"/>
    </row>
    <row r="581" spans="2:10" s="34" customFormat="1" ht="21.6" customHeight="1">
      <c r="B581" s="461" t="s">
        <v>2316</v>
      </c>
      <c r="C581" s="429" t="s">
        <v>2276</v>
      </c>
      <c r="D581" s="430" t="s">
        <v>82</v>
      </c>
      <c r="E581" s="414"/>
      <c r="F581" s="441">
        <v>84</v>
      </c>
      <c r="G581" s="415"/>
      <c r="H581" s="426"/>
      <c r="I581" s="416"/>
      <c r="J581" s="464"/>
    </row>
    <row r="582" spans="2:10" s="34" customFormat="1" ht="14.25" customHeight="1">
      <c r="B582" s="456" t="s">
        <v>1083</v>
      </c>
      <c r="C582" s="431" t="s">
        <v>1080</v>
      </c>
      <c r="D582" s="458"/>
      <c r="E582" s="419"/>
      <c r="F582" s="465"/>
      <c r="G582" s="428"/>
      <c r="H582" s="459"/>
      <c r="I582" s="459"/>
      <c r="J582" s="460"/>
    </row>
    <row r="583" spans="2:10" s="34" customFormat="1" ht="21.6" customHeight="1">
      <c r="B583" s="461" t="s">
        <v>1085</v>
      </c>
      <c r="C583" s="432" t="s">
        <v>1082</v>
      </c>
      <c r="D583" s="463" t="s">
        <v>63</v>
      </c>
      <c r="E583" s="414"/>
      <c r="F583" s="400">
        <v>40</v>
      </c>
      <c r="G583" s="415"/>
      <c r="H583" s="426"/>
      <c r="I583" s="416"/>
      <c r="J583" s="464"/>
    </row>
    <row r="584" spans="2:10" s="34" customFormat="1" ht="14.25" customHeight="1">
      <c r="B584" s="456" t="s">
        <v>2317</v>
      </c>
      <c r="C584" s="431" t="s">
        <v>1084</v>
      </c>
      <c r="D584" s="458"/>
      <c r="E584" s="419"/>
      <c r="F584" s="465"/>
      <c r="G584" s="428"/>
      <c r="H584" s="459"/>
      <c r="I584" s="459"/>
      <c r="J584" s="460"/>
    </row>
    <row r="585" spans="2:10" s="34" customFormat="1" ht="14.25" customHeight="1">
      <c r="B585" s="461" t="s">
        <v>2318</v>
      </c>
      <c r="C585" s="432" t="s">
        <v>1086</v>
      </c>
      <c r="D585" s="463" t="s">
        <v>63</v>
      </c>
      <c r="E585" s="414"/>
      <c r="F585" s="400">
        <v>1</v>
      </c>
      <c r="G585" s="415"/>
      <c r="H585" s="426"/>
      <c r="I585" s="416"/>
      <c r="J585" s="464"/>
    </row>
    <row r="586" spans="2:10" s="34" customFormat="1" ht="39" customHeight="1">
      <c r="B586" s="461" t="s">
        <v>2319</v>
      </c>
      <c r="C586" s="432" t="s">
        <v>1088</v>
      </c>
      <c r="D586" s="463" t="s">
        <v>63</v>
      </c>
      <c r="E586" s="414"/>
      <c r="F586" s="400">
        <v>1</v>
      </c>
      <c r="G586" s="415"/>
      <c r="H586" s="426"/>
      <c r="I586" s="416"/>
      <c r="J586" s="464"/>
    </row>
    <row r="587" spans="2:10" s="34" customFormat="1" ht="28.8" customHeight="1">
      <c r="B587" s="461" t="s">
        <v>2320</v>
      </c>
      <c r="C587" s="432" t="s">
        <v>1090</v>
      </c>
      <c r="D587" s="463" t="s">
        <v>63</v>
      </c>
      <c r="E587" s="414"/>
      <c r="F587" s="400">
        <v>1</v>
      </c>
      <c r="G587" s="415"/>
      <c r="H587" s="426"/>
      <c r="I587" s="416"/>
      <c r="J587" s="464"/>
    </row>
    <row r="588" spans="2:10" s="34" customFormat="1" ht="21.6" customHeight="1">
      <c r="B588" s="461" t="s">
        <v>2321</v>
      </c>
      <c r="C588" s="432" t="s">
        <v>1092</v>
      </c>
      <c r="D588" s="463" t="s">
        <v>63</v>
      </c>
      <c r="E588" s="414"/>
      <c r="F588" s="400">
        <v>1</v>
      </c>
      <c r="G588" s="415"/>
      <c r="H588" s="426"/>
      <c r="I588" s="416"/>
      <c r="J588" s="464"/>
    </row>
    <row r="589" spans="2:10" s="34" customFormat="1" ht="13.8" customHeight="1">
      <c r="B589" s="461" t="s">
        <v>2322</v>
      </c>
      <c r="C589" s="432" t="s">
        <v>1094</v>
      </c>
      <c r="D589" s="463" t="s">
        <v>63</v>
      </c>
      <c r="E589" s="414"/>
      <c r="F589" s="400">
        <v>15</v>
      </c>
      <c r="G589" s="415"/>
      <c r="H589" s="426"/>
      <c r="I589" s="416"/>
      <c r="J589" s="464"/>
    </row>
    <row r="590" spans="2:10" s="34" customFormat="1" ht="13.8" customHeight="1">
      <c r="B590" s="461" t="s">
        <v>2323</v>
      </c>
      <c r="C590" s="432" t="s">
        <v>1096</v>
      </c>
      <c r="D590" s="463" t="s">
        <v>63</v>
      </c>
      <c r="E590" s="414"/>
      <c r="F590" s="400">
        <v>1</v>
      </c>
      <c r="G590" s="415"/>
      <c r="H590" s="426"/>
      <c r="I590" s="416"/>
      <c r="J590" s="464"/>
    </row>
    <row r="591" spans="2:10" s="34" customFormat="1" ht="14.25" customHeight="1">
      <c r="B591" s="461" t="s">
        <v>2324</v>
      </c>
      <c r="C591" s="432" t="s">
        <v>1098</v>
      </c>
      <c r="D591" s="463" t="s">
        <v>63</v>
      </c>
      <c r="E591" s="414"/>
      <c r="F591" s="400">
        <v>15</v>
      </c>
      <c r="G591" s="415"/>
      <c r="H591" s="426"/>
      <c r="I591" s="416"/>
      <c r="J591" s="464"/>
    </row>
    <row r="592" spans="2:10" s="34" customFormat="1" ht="14.25" customHeight="1">
      <c r="B592" s="461" t="s">
        <v>2325</v>
      </c>
      <c r="C592" s="432" t="s">
        <v>1100</v>
      </c>
      <c r="D592" s="463" t="s">
        <v>63</v>
      </c>
      <c r="E592" s="414"/>
      <c r="F592" s="400">
        <v>1</v>
      </c>
      <c r="G592" s="415"/>
      <c r="H592" s="426"/>
      <c r="I592" s="416"/>
      <c r="J592" s="464"/>
    </row>
    <row r="593" spans="2:10" s="34" customFormat="1" ht="14.25" customHeight="1">
      <c r="B593" s="461" t="s">
        <v>2326</v>
      </c>
      <c r="C593" s="432" t="s">
        <v>1102</v>
      </c>
      <c r="D593" s="463" t="s">
        <v>63</v>
      </c>
      <c r="E593" s="414"/>
      <c r="F593" s="400">
        <v>2</v>
      </c>
      <c r="G593" s="415"/>
      <c r="H593" s="426"/>
      <c r="I593" s="416"/>
      <c r="J593" s="464"/>
    </row>
    <row r="594" spans="2:10" s="34" customFormat="1" ht="14.25" customHeight="1">
      <c r="B594" s="461" t="s">
        <v>2327</v>
      </c>
      <c r="C594" s="432" t="s">
        <v>1104</v>
      </c>
      <c r="D594" s="463" t="s">
        <v>63</v>
      </c>
      <c r="E594" s="414"/>
      <c r="F594" s="400">
        <v>19</v>
      </c>
      <c r="G594" s="415"/>
      <c r="H594" s="426"/>
      <c r="I594" s="416"/>
      <c r="J594" s="464"/>
    </row>
    <row r="595" spans="2:10" s="34" customFormat="1" ht="14.25" customHeight="1">
      <c r="B595" s="461" t="s">
        <v>2328</v>
      </c>
      <c r="C595" s="432" t="s">
        <v>1106</v>
      </c>
      <c r="D595" s="463" t="s">
        <v>63</v>
      </c>
      <c r="E595" s="414"/>
      <c r="F595" s="400">
        <v>8</v>
      </c>
      <c r="G595" s="415"/>
      <c r="H595" s="426"/>
      <c r="I595" s="416"/>
      <c r="J595" s="464"/>
    </row>
    <row r="596" spans="2:10" s="34" customFormat="1" ht="14.25" customHeight="1">
      <c r="B596" s="450" t="s">
        <v>1107</v>
      </c>
      <c r="C596" s="433" t="s">
        <v>1108</v>
      </c>
      <c r="D596" s="452"/>
      <c r="E596" s="453"/>
      <c r="F596" s="470"/>
      <c r="G596" s="454"/>
      <c r="H596" s="453"/>
      <c r="I596" s="453"/>
      <c r="J596" s="455"/>
    </row>
    <row r="597" spans="2:10" s="34" customFormat="1" ht="36.6" customHeight="1">
      <c r="B597" s="468" t="s">
        <v>1109</v>
      </c>
      <c r="C597" s="432" t="s">
        <v>1110</v>
      </c>
      <c r="D597" s="421" t="s">
        <v>63</v>
      </c>
      <c r="E597" s="469"/>
      <c r="F597" s="402">
        <v>13</v>
      </c>
      <c r="G597" s="415"/>
      <c r="H597" s="426"/>
      <c r="I597" s="416"/>
      <c r="J597" s="464"/>
    </row>
    <row r="598" spans="2:10" s="34" customFormat="1" ht="31.65" customHeight="1">
      <c r="B598" s="468" t="s">
        <v>1111</v>
      </c>
      <c r="C598" s="432" t="s">
        <v>1112</v>
      </c>
      <c r="D598" s="421" t="s">
        <v>63</v>
      </c>
      <c r="E598" s="469"/>
      <c r="F598" s="401">
        <v>20</v>
      </c>
      <c r="G598" s="415"/>
      <c r="H598" s="426"/>
      <c r="I598" s="416"/>
      <c r="J598" s="464"/>
    </row>
    <row r="599" spans="2:10" s="34" customFormat="1" ht="21.6" customHeight="1">
      <c r="B599" s="468" t="s">
        <v>1113</v>
      </c>
      <c r="C599" s="432" t="s">
        <v>1114</v>
      </c>
      <c r="D599" s="463" t="s">
        <v>63</v>
      </c>
      <c r="E599" s="469"/>
      <c r="F599" s="402">
        <v>15</v>
      </c>
      <c r="G599" s="415"/>
      <c r="H599" s="426"/>
      <c r="I599" s="416"/>
      <c r="J599" s="464"/>
    </row>
    <row r="600" spans="2:10" s="34" customFormat="1" ht="14.25" customHeight="1">
      <c r="B600" s="468" t="s">
        <v>1115</v>
      </c>
      <c r="C600" s="432" t="s">
        <v>1116</v>
      </c>
      <c r="D600" s="421" t="s">
        <v>63</v>
      </c>
      <c r="E600" s="469"/>
      <c r="F600" s="402">
        <v>50</v>
      </c>
      <c r="G600" s="415"/>
      <c r="H600" s="426"/>
      <c r="I600" s="416"/>
      <c r="J600" s="464"/>
    </row>
    <row r="601" spans="2:10" s="34" customFormat="1" ht="14.25" customHeight="1">
      <c r="B601" s="468" t="s">
        <v>1117</v>
      </c>
      <c r="C601" s="432" t="s">
        <v>1118</v>
      </c>
      <c r="D601" s="421" t="s">
        <v>63</v>
      </c>
      <c r="E601" s="469"/>
      <c r="F601" s="402">
        <v>10</v>
      </c>
      <c r="G601" s="415"/>
      <c r="H601" s="426"/>
      <c r="I601" s="416"/>
      <c r="J601" s="464"/>
    </row>
    <row r="602" spans="2:10" s="34" customFormat="1" ht="21.6" customHeight="1">
      <c r="B602" s="468" t="s">
        <v>1119</v>
      </c>
      <c r="C602" s="462" t="s">
        <v>1120</v>
      </c>
      <c r="D602" s="421" t="s">
        <v>63</v>
      </c>
      <c r="E602" s="469"/>
      <c r="F602" s="402">
        <v>20</v>
      </c>
      <c r="G602" s="415"/>
      <c r="H602" s="426"/>
      <c r="I602" s="416"/>
      <c r="J602" s="464"/>
    </row>
    <row r="603" spans="2:10" s="34" customFormat="1" ht="14.25" customHeight="1">
      <c r="B603" s="468" t="s">
        <v>1121</v>
      </c>
      <c r="C603" s="462" t="s">
        <v>1122</v>
      </c>
      <c r="D603" s="421" t="s">
        <v>63</v>
      </c>
      <c r="E603" s="469"/>
      <c r="F603" s="402">
        <v>20</v>
      </c>
      <c r="G603" s="415"/>
      <c r="H603" s="426"/>
      <c r="I603" s="416"/>
      <c r="J603" s="464"/>
    </row>
    <row r="604" spans="2:10" s="34" customFormat="1" ht="14.25" customHeight="1">
      <c r="B604" s="468" t="s">
        <v>1123</v>
      </c>
      <c r="C604" s="462" t="s">
        <v>1124</v>
      </c>
      <c r="D604" s="421" t="s">
        <v>63</v>
      </c>
      <c r="E604" s="469"/>
      <c r="F604" s="402">
        <v>10</v>
      </c>
      <c r="G604" s="415"/>
      <c r="H604" s="426"/>
      <c r="I604" s="416"/>
      <c r="J604" s="464"/>
    </row>
    <row r="605" spans="2:10" s="34" customFormat="1" ht="21.6" customHeight="1">
      <c r="B605" s="468" t="s">
        <v>1125</v>
      </c>
      <c r="C605" s="462" t="s">
        <v>1126</v>
      </c>
      <c r="D605" s="421" t="s">
        <v>63</v>
      </c>
      <c r="E605" s="469"/>
      <c r="F605" s="402">
        <v>50</v>
      </c>
      <c r="G605" s="415"/>
      <c r="H605" s="426"/>
      <c r="I605" s="416"/>
      <c r="J605" s="464"/>
    </row>
    <row r="606" spans="2:10" s="34" customFormat="1" ht="14.25" customHeight="1">
      <c r="B606" s="468" t="s">
        <v>1127</v>
      </c>
      <c r="C606" s="462" t="s">
        <v>1128</v>
      </c>
      <c r="D606" s="421" t="s">
        <v>63</v>
      </c>
      <c r="E606" s="469"/>
      <c r="F606" s="402">
        <v>50</v>
      </c>
      <c r="G606" s="415"/>
      <c r="H606" s="426"/>
      <c r="I606" s="416"/>
      <c r="J606" s="464"/>
    </row>
    <row r="607" spans="2:10" s="34" customFormat="1" ht="14.25" customHeight="1">
      <c r="B607" s="468" t="s">
        <v>1129</v>
      </c>
      <c r="C607" s="462" t="s">
        <v>1130</v>
      </c>
      <c r="D607" s="421" t="s">
        <v>63</v>
      </c>
      <c r="E607" s="469"/>
      <c r="F607" s="402">
        <v>50</v>
      </c>
      <c r="G607" s="415"/>
      <c r="H607" s="426"/>
      <c r="I607" s="416"/>
      <c r="J607" s="464"/>
    </row>
    <row r="608" spans="2:10" s="34" customFormat="1" ht="14.25" customHeight="1">
      <c r="B608" s="468" t="s">
        <v>1131</v>
      </c>
      <c r="C608" s="462" t="s">
        <v>1132</v>
      </c>
      <c r="D608" s="421" t="s">
        <v>63</v>
      </c>
      <c r="E608" s="469"/>
      <c r="F608" s="402">
        <v>100</v>
      </c>
      <c r="G608" s="415"/>
      <c r="H608" s="426"/>
      <c r="I608" s="416"/>
      <c r="J608" s="464"/>
    </row>
    <row r="609" spans="2:14" s="34" customFormat="1" ht="14.25" customHeight="1">
      <c r="B609" s="468" t="s">
        <v>1133</v>
      </c>
      <c r="C609" s="462" t="s">
        <v>1134</v>
      </c>
      <c r="D609" s="421" t="s">
        <v>63</v>
      </c>
      <c r="E609" s="469"/>
      <c r="F609" s="402">
        <v>100</v>
      </c>
      <c r="G609" s="415"/>
      <c r="H609" s="426"/>
      <c r="I609" s="416"/>
      <c r="J609" s="464"/>
    </row>
    <row r="610" spans="2:14" s="34" customFormat="1" ht="21.6" customHeight="1">
      <c r="B610" s="468" t="s">
        <v>1135</v>
      </c>
      <c r="C610" s="462" t="s">
        <v>1136</v>
      </c>
      <c r="D610" s="421" t="s">
        <v>79</v>
      </c>
      <c r="E610" s="469"/>
      <c r="F610" s="402">
        <v>45</v>
      </c>
      <c r="G610" s="415"/>
      <c r="H610" s="426"/>
      <c r="I610" s="416"/>
      <c r="J610" s="464"/>
    </row>
    <row r="611" spans="2:14" s="34" customFormat="1" ht="21.6" customHeight="1">
      <c r="B611" s="468" t="s">
        <v>1137</v>
      </c>
      <c r="C611" s="462" t="s">
        <v>1138</v>
      </c>
      <c r="D611" s="421" t="s">
        <v>79</v>
      </c>
      <c r="E611" s="469"/>
      <c r="F611" s="402">
        <v>9</v>
      </c>
      <c r="G611" s="415"/>
      <c r="H611" s="426"/>
      <c r="I611" s="416"/>
      <c r="J611" s="464"/>
    </row>
    <row r="612" spans="2:14" s="34" customFormat="1" ht="14.25" customHeight="1">
      <c r="B612" s="468" t="s">
        <v>1139</v>
      </c>
      <c r="C612" s="462" t="s">
        <v>1140</v>
      </c>
      <c r="D612" s="421" t="s">
        <v>63</v>
      </c>
      <c r="E612" s="469"/>
      <c r="F612" s="402">
        <v>2</v>
      </c>
      <c r="G612" s="415"/>
      <c r="H612" s="426"/>
      <c r="I612" s="416"/>
      <c r="J612" s="464"/>
    </row>
    <row r="613" spans="2:14" s="34" customFormat="1" ht="21.6" customHeight="1">
      <c r="B613" s="468" t="s">
        <v>1141</v>
      </c>
      <c r="C613" s="462" t="s">
        <v>1142</v>
      </c>
      <c r="D613" s="421" t="s">
        <v>63</v>
      </c>
      <c r="E613" s="469"/>
      <c r="F613" s="402">
        <v>25</v>
      </c>
      <c r="G613" s="415"/>
      <c r="H613" s="426"/>
      <c r="I613" s="416"/>
      <c r="J613" s="464"/>
    </row>
    <row r="614" spans="2:14" s="34" customFormat="1" ht="21.6" customHeight="1">
      <c r="B614" s="468" t="s">
        <v>1143</v>
      </c>
      <c r="C614" s="462" t="s">
        <v>1144</v>
      </c>
      <c r="D614" s="421" t="s">
        <v>63</v>
      </c>
      <c r="E614" s="469"/>
      <c r="F614" s="402">
        <v>2</v>
      </c>
      <c r="G614" s="415"/>
      <c r="H614" s="426"/>
      <c r="I614" s="416"/>
      <c r="J614" s="464"/>
    </row>
    <row r="615" spans="2:14" s="34" customFormat="1" ht="14.25" customHeight="1">
      <c r="B615" s="468" t="s">
        <v>1145</v>
      </c>
      <c r="C615" s="462" t="s">
        <v>1146</v>
      </c>
      <c r="D615" s="421" t="s">
        <v>63</v>
      </c>
      <c r="E615" s="469"/>
      <c r="F615" s="402">
        <v>5</v>
      </c>
      <c r="G615" s="415"/>
      <c r="H615" s="426"/>
      <c r="I615" s="416"/>
      <c r="J615" s="464"/>
    </row>
    <row r="616" spans="2:14" s="34" customFormat="1" ht="21.6" customHeight="1">
      <c r="B616" s="468" t="s">
        <v>1147</v>
      </c>
      <c r="C616" s="462" t="s">
        <v>1148</v>
      </c>
      <c r="D616" s="421" t="s">
        <v>63</v>
      </c>
      <c r="E616" s="469"/>
      <c r="F616" s="402">
        <v>35</v>
      </c>
      <c r="G616" s="415"/>
      <c r="H616" s="426"/>
      <c r="I616" s="416"/>
      <c r="J616" s="464"/>
    </row>
    <row r="617" spans="2:14" s="34" customFormat="1" ht="26.4" customHeight="1">
      <c r="B617" s="468" t="s">
        <v>1149</v>
      </c>
      <c r="C617" s="489" t="s">
        <v>1150</v>
      </c>
      <c r="D617" s="421" t="s">
        <v>63</v>
      </c>
      <c r="E617" s="469"/>
      <c r="F617" s="402">
        <v>4</v>
      </c>
      <c r="G617" s="415"/>
      <c r="H617" s="426"/>
      <c r="I617" s="416"/>
      <c r="J617" s="464"/>
    </row>
    <row r="618" spans="2:14" s="34" customFormat="1" ht="14.25" customHeight="1">
      <c r="B618" s="450" t="s">
        <v>1151</v>
      </c>
      <c r="C618" s="451" t="s">
        <v>1152</v>
      </c>
      <c r="D618" s="452"/>
      <c r="E618" s="453"/>
      <c r="F618" s="470"/>
      <c r="G618" s="454"/>
      <c r="H618" s="453"/>
      <c r="I618" s="453"/>
      <c r="J618" s="455"/>
    </row>
    <row r="619" spans="2:14" s="34" customFormat="1" ht="14.25" customHeight="1">
      <c r="B619" s="461" t="s">
        <v>1155</v>
      </c>
      <c r="C619" s="462" t="s">
        <v>1154</v>
      </c>
      <c r="D619" s="463" t="s">
        <v>63</v>
      </c>
      <c r="E619" s="414"/>
      <c r="F619" s="400">
        <v>1</v>
      </c>
      <c r="G619" s="415"/>
      <c r="H619" s="426"/>
      <c r="I619" s="416"/>
      <c r="J619" s="464"/>
    </row>
    <row r="620" spans="2:14" s="34" customFormat="1" ht="14.25" customHeight="1">
      <c r="B620" s="461" t="s">
        <v>2237</v>
      </c>
      <c r="C620" s="462" t="s">
        <v>1156</v>
      </c>
      <c r="D620" s="463" t="s">
        <v>79</v>
      </c>
      <c r="E620" s="304"/>
      <c r="F620" s="405">
        <v>1056.79</v>
      </c>
      <c r="G620" s="415"/>
      <c r="H620" s="94"/>
      <c r="I620" s="307"/>
      <c r="J620" s="464"/>
    </row>
    <row r="621" spans="2:14" ht="31.5" customHeight="1" thickBot="1">
      <c r="B621" s="589" t="s">
        <v>1157</v>
      </c>
      <c r="C621" s="589"/>
      <c r="D621" s="589"/>
      <c r="E621" s="589"/>
      <c r="F621" s="589"/>
      <c r="G621" s="589"/>
      <c r="H621" s="399" t="e">
        <f>SUM(H12,H48,H49,H80,H118,H126,H142,H158,H163,H166,H203,H210,H213,H303,H314,H470,H496,H596,H618,#REF!)</f>
        <v>#REF!</v>
      </c>
      <c r="I621" s="399" t="e">
        <f>SUM(I12,I48,I49,I80,I118,I126,I142,I158,I163,I166,I203,I210,I213,I303,I314,I470,I496,I596,I618,#REF!)</f>
        <v>#REF!</v>
      </c>
      <c r="J621" s="490" t="s">
        <v>50</v>
      </c>
    </row>
    <row r="622" spans="2:14" ht="15" thickBot="1"/>
    <row r="623" spans="2:14">
      <c r="B623" s="593" t="s">
        <v>2205</v>
      </c>
      <c r="C623" s="594"/>
      <c r="D623" s="594"/>
      <c r="E623" s="594"/>
      <c r="F623" s="594"/>
      <c r="G623" s="594"/>
      <c r="H623" s="594"/>
      <c r="I623" s="594"/>
      <c r="J623" s="595"/>
      <c r="K623" s="411"/>
      <c r="L623" s="412"/>
      <c r="M623" s="412"/>
      <c r="N623" s="412"/>
    </row>
    <row r="624" spans="2:14" ht="24.6" customHeight="1">
      <c r="B624" s="580" t="s">
        <v>2329</v>
      </c>
      <c r="C624" s="581"/>
      <c r="D624" s="581"/>
      <c r="E624" s="581"/>
      <c r="F624" s="581"/>
      <c r="G624" s="581"/>
      <c r="H624" s="581"/>
      <c r="I624" s="581"/>
      <c r="J624" s="582"/>
      <c r="K624" s="410"/>
      <c r="L624" s="413"/>
      <c r="M624" s="413"/>
      <c r="N624" s="413"/>
    </row>
    <row r="625" spans="2:14" ht="14.4" customHeight="1">
      <c r="B625" s="580" t="s">
        <v>2206</v>
      </c>
      <c r="C625" s="581"/>
      <c r="D625" s="581"/>
      <c r="E625" s="581"/>
      <c r="F625" s="581"/>
      <c r="G625" s="581"/>
      <c r="H625" s="581"/>
      <c r="I625" s="581"/>
      <c r="J625" s="582"/>
      <c r="K625" s="410"/>
      <c r="L625" s="413"/>
      <c r="M625" s="413"/>
      <c r="N625" s="413"/>
    </row>
    <row r="626" spans="2:14" ht="14.4" customHeight="1">
      <c r="B626" s="586" t="s">
        <v>2330</v>
      </c>
      <c r="C626" s="587"/>
      <c r="D626" s="587"/>
      <c r="E626" s="587"/>
      <c r="F626" s="587"/>
      <c r="G626" s="587"/>
      <c r="H626" s="587"/>
      <c r="I626" s="587"/>
      <c r="J626" s="588"/>
      <c r="K626" s="410"/>
      <c r="L626" s="413"/>
      <c r="M626" s="413"/>
      <c r="N626" s="413"/>
    </row>
    <row r="627" spans="2:14" ht="15" customHeight="1" thickBot="1">
      <c r="B627" s="583" t="s">
        <v>2331</v>
      </c>
      <c r="C627" s="584"/>
      <c r="D627" s="584"/>
      <c r="E627" s="584"/>
      <c r="F627" s="584"/>
      <c r="G627" s="584"/>
      <c r="H627" s="584"/>
      <c r="I627" s="584"/>
      <c r="J627" s="585"/>
      <c r="K627" s="410"/>
      <c r="L627" s="413"/>
      <c r="M627" s="413"/>
      <c r="N627" s="413"/>
    </row>
  </sheetData>
  <mergeCells count="32">
    <mergeCell ref="M25:N25"/>
    <mergeCell ref="M20:N20"/>
    <mergeCell ref="M21:N21"/>
    <mergeCell ref="M22:N22"/>
    <mergeCell ref="M23:N23"/>
    <mergeCell ref="M24:N24"/>
    <mergeCell ref="M26:N26"/>
    <mergeCell ref="M27:N27"/>
    <mergeCell ref="M28:N28"/>
    <mergeCell ref="M35:N35"/>
    <mergeCell ref="M32:N32"/>
    <mergeCell ref="M33:N33"/>
    <mergeCell ref="M34:N34"/>
    <mergeCell ref="M29:N29"/>
    <mergeCell ref="M30:N30"/>
    <mergeCell ref="M31:N31"/>
    <mergeCell ref="B625:J625"/>
    <mergeCell ref="B627:J627"/>
    <mergeCell ref="B626:J626"/>
    <mergeCell ref="B621:G621"/>
    <mergeCell ref="F20:H20"/>
    <mergeCell ref="I20:J20"/>
    <mergeCell ref="B623:J623"/>
    <mergeCell ref="B624:J624"/>
    <mergeCell ref="B8:J8"/>
    <mergeCell ref="B9:J9"/>
    <mergeCell ref="B2:J2"/>
    <mergeCell ref="B3:J3"/>
    <mergeCell ref="B4:J4"/>
    <mergeCell ref="B5:J5"/>
    <mergeCell ref="B6:J6"/>
    <mergeCell ref="B7:J7"/>
  </mergeCells>
  <phoneticPr fontId="64" type="noConversion"/>
  <conditionalFormatting sqref="G12:G19 G36:G620">
    <cfRule type="cellIs" dxfId="1" priority="3" operator="lessThan">
      <formula>0</formula>
    </cfRule>
  </conditionalFormatting>
  <conditionalFormatting sqref="H20:H35 J20:J35 N20:N35">
    <cfRule type="cellIs" dxfId="0" priority="1" operator="lessThan">
      <formula>0</formula>
    </cfRule>
  </conditionalFormatting>
  <printOptions horizontalCentered="1"/>
  <pageMargins left="0.51180555555555596" right="0.51180555555555596" top="0.78749999999999998" bottom="1.1812499999999999" header="0.511811023622047" footer="0.511811023622047"/>
  <pageSetup paperSize="9" scale="65" fitToHeight="26" orientation="portrait" horizontalDpi="300" verticalDpi="300" r:id="rId1"/>
  <colBreaks count="1" manualBreakCount="1">
    <brk id="10"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3:AC185"/>
  <sheetViews>
    <sheetView view="pageBreakPreview" topLeftCell="A164" zoomScale="75" zoomScaleNormal="80" zoomScalePageLayoutView="75" workbookViewId="0">
      <selection activeCell="L187" sqref="L187"/>
    </sheetView>
  </sheetViews>
  <sheetFormatPr defaultColWidth="8.5546875" defaultRowHeight="14.4"/>
  <cols>
    <col min="2" max="2" width="7" style="2" customWidth="1"/>
    <col min="3" max="3" width="42.33203125" style="2" customWidth="1"/>
    <col min="4" max="4" width="16.5546875" style="2" customWidth="1"/>
    <col min="5" max="5" width="6.5546875" style="2" hidden="1" customWidth="1"/>
    <col min="6" max="7" width="13.5546875" style="2" customWidth="1"/>
    <col min="8" max="19" width="13.88671875" style="2" customWidth="1"/>
    <col min="20" max="21" width="15.109375" style="2" customWidth="1"/>
    <col min="22" max="22" width="13.5546875" style="2" customWidth="1"/>
    <col min="23" max="23" width="14" customWidth="1"/>
    <col min="24" max="24" width="13.88671875" customWidth="1"/>
    <col min="26" max="26" width="13.88671875" customWidth="1"/>
    <col min="266" max="266" width="32.88671875" customWidth="1"/>
    <col min="267" max="267" width="14.33203125" customWidth="1"/>
    <col min="268" max="268" width="7.5546875" customWidth="1"/>
    <col min="269" max="277" width="13" customWidth="1"/>
    <col min="278" max="278" width="13.5546875" customWidth="1"/>
    <col min="280" max="280" width="13.88671875" customWidth="1"/>
    <col min="522" max="522" width="32.88671875" customWidth="1"/>
    <col min="523" max="523" width="14.33203125" customWidth="1"/>
    <col min="524" max="524" width="7.5546875" customWidth="1"/>
    <col min="525" max="533" width="13" customWidth="1"/>
    <col min="534" max="534" width="13.5546875" customWidth="1"/>
    <col min="536" max="536" width="13.88671875" customWidth="1"/>
    <col min="778" max="778" width="32.88671875" customWidth="1"/>
    <col min="779" max="779" width="14.33203125" customWidth="1"/>
    <col min="780" max="780" width="7.5546875" customWidth="1"/>
    <col min="781" max="789" width="13" customWidth="1"/>
    <col min="790" max="790" width="13.5546875" customWidth="1"/>
    <col min="792" max="792" width="13.88671875" customWidth="1"/>
    <col min="1034" max="1034" width="32.88671875" customWidth="1"/>
    <col min="1035" max="1035" width="14.33203125" customWidth="1"/>
    <col min="1036" max="1036" width="7.5546875" customWidth="1"/>
    <col min="1037" max="1045" width="13" customWidth="1"/>
    <col min="1046" max="1046" width="13.5546875" customWidth="1"/>
    <col min="1048" max="1048" width="13.88671875" customWidth="1"/>
    <col min="1290" max="1290" width="32.88671875" customWidth="1"/>
    <col min="1291" max="1291" width="14.33203125" customWidth="1"/>
    <col min="1292" max="1292" width="7.5546875" customWidth="1"/>
    <col min="1293" max="1301" width="13" customWidth="1"/>
    <col min="1302" max="1302" width="13.5546875" customWidth="1"/>
    <col min="1304" max="1304" width="13.88671875" customWidth="1"/>
    <col min="1546" max="1546" width="32.88671875" customWidth="1"/>
    <col min="1547" max="1547" width="14.33203125" customWidth="1"/>
    <col min="1548" max="1548" width="7.5546875" customWidth="1"/>
    <col min="1549" max="1557" width="13" customWidth="1"/>
    <col min="1558" max="1558" width="13.5546875" customWidth="1"/>
    <col min="1560" max="1560" width="13.88671875" customWidth="1"/>
    <col min="1802" max="1802" width="32.88671875" customWidth="1"/>
    <col min="1803" max="1803" width="14.33203125" customWidth="1"/>
    <col min="1804" max="1804" width="7.5546875" customWidth="1"/>
    <col min="1805" max="1813" width="13" customWidth="1"/>
    <col min="1814" max="1814" width="13.5546875" customWidth="1"/>
    <col min="1816" max="1816" width="13.88671875" customWidth="1"/>
    <col min="2058" max="2058" width="32.88671875" customWidth="1"/>
    <col min="2059" max="2059" width="14.33203125" customWidth="1"/>
    <col min="2060" max="2060" width="7.5546875" customWidth="1"/>
    <col min="2061" max="2069" width="13" customWidth="1"/>
    <col min="2070" max="2070" width="13.5546875" customWidth="1"/>
    <col min="2072" max="2072" width="13.88671875" customWidth="1"/>
    <col min="2314" max="2314" width="32.88671875" customWidth="1"/>
    <col min="2315" max="2315" width="14.33203125" customWidth="1"/>
    <col min="2316" max="2316" width="7.5546875" customWidth="1"/>
    <col min="2317" max="2325" width="13" customWidth="1"/>
    <col min="2326" max="2326" width="13.5546875" customWidth="1"/>
    <col min="2328" max="2328" width="13.88671875" customWidth="1"/>
    <col min="2570" max="2570" width="32.88671875" customWidth="1"/>
    <col min="2571" max="2571" width="14.33203125" customWidth="1"/>
    <col min="2572" max="2572" width="7.5546875" customWidth="1"/>
    <col min="2573" max="2581" width="13" customWidth="1"/>
    <col min="2582" max="2582" width="13.5546875" customWidth="1"/>
    <col min="2584" max="2584" width="13.88671875" customWidth="1"/>
    <col min="2826" max="2826" width="32.88671875" customWidth="1"/>
    <col min="2827" max="2827" width="14.33203125" customWidth="1"/>
    <col min="2828" max="2828" width="7.5546875" customWidth="1"/>
    <col min="2829" max="2837" width="13" customWidth="1"/>
    <col min="2838" max="2838" width="13.5546875" customWidth="1"/>
    <col min="2840" max="2840" width="13.88671875" customWidth="1"/>
    <col min="3082" max="3082" width="32.88671875" customWidth="1"/>
    <col min="3083" max="3083" width="14.33203125" customWidth="1"/>
    <col min="3084" max="3084" width="7.5546875" customWidth="1"/>
    <col min="3085" max="3093" width="13" customWidth="1"/>
    <col min="3094" max="3094" width="13.5546875" customWidth="1"/>
    <col min="3096" max="3096" width="13.88671875" customWidth="1"/>
    <col min="3338" max="3338" width="32.88671875" customWidth="1"/>
    <col min="3339" max="3339" width="14.33203125" customWidth="1"/>
    <col min="3340" max="3340" width="7.5546875" customWidth="1"/>
    <col min="3341" max="3349" width="13" customWidth="1"/>
    <col min="3350" max="3350" width="13.5546875" customWidth="1"/>
    <col min="3352" max="3352" width="13.88671875" customWidth="1"/>
    <col min="3594" max="3594" width="32.88671875" customWidth="1"/>
    <col min="3595" max="3595" width="14.33203125" customWidth="1"/>
    <col min="3596" max="3596" width="7.5546875" customWidth="1"/>
    <col min="3597" max="3605" width="13" customWidth="1"/>
    <col min="3606" max="3606" width="13.5546875" customWidth="1"/>
    <col min="3608" max="3608" width="13.88671875" customWidth="1"/>
    <col min="3850" max="3850" width="32.88671875" customWidth="1"/>
    <col min="3851" max="3851" width="14.33203125" customWidth="1"/>
    <col min="3852" max="3852" width="7.5546875" customWidth="1"/>
    <col min="3853" max="3861" width="13" customWidth="1"/>
    <col min="3862" max="3862" width="13.5546875" customWidth="1"/>
    <col min="3864" max="3864" width="13.88671875" customWidth="1"/>
    <col min="4106" max="4106" width="32.88671875" customWidth="1"/>
    <col min="4107" max="4107" width="14.33203125" customWidth="1"/>
    <col min="4108" max="4108" width="7.5546875" customWidth="1"/>
    <col min="4109" max="4117" width="13" customWidth="1"/>
    <col min="4118" max="4118" width="13.5546875" customWidth="1"/>
    <col min="4120" max="4120" width="13.88671875" customWidth="1"/>
    <col min="4362" max="4362" width="32.88671875" customWidth="1"/>
    <col min="4363" max="4363" width="14.33203125" customWidth="1"/>
    <col min="4364" max="4364" width="7.5546875" customWidth="1"/>
    <col min="4365" max="4373" width="13" customWidth="1"/>
    <col min="4374" max="4374" width="13.5546875" customWidth="1"/>
    <col min="4376" max="4376" width="13.88671875" customWidth="1"/>
    <col min="4618" max="4618" width="32.88671875" customWidth="1"/>
    <col min="4619" max="4619" width="14.33203125" customWidth="1"/>
    <col min="4620" max="4620" width="7.5546875" customWidth="1"/>
    <col min="4621" max="4629" width="13" customWidth="1"/>
    <col min="4630" max="4630" width="13.5546875" customWidth="1"/>
    <col min="4632" max="4632" width="13.88671875" customWidth="1"/>
    <col min="4874" max="4874" width="32.88671875" customWidth="1"/>
    <col min="4875" max="4875" width="14.33203125" customWidth="1"/>
    <col min="4876" max="4876" width="7.5546875" customWidth="1"/>
    <col min="4877" max="4885" width="13" customWidth="1"/>
    <col min="4886" max="4886" width="13.5546875" customWidth="1"/>
    <col min="4888" max="4888" width="13.88671875" customWidth="1"/>
    <col min="5130" max="5130" width="32.88671875" customWidth="1"/>
    <col min="5131" max="5131" width="14.33203125" customWidth="1"/>
    <col min="5132" max="5132" width="7.5546875" customWidth="1"/>
    <col min="5133" max="5141" width="13" customWidth="1"/>
    <col min="5142" max="5142" width="13.5546875" customWidth="1"/>
    <col min="5144" max="5144" width="13.88671875" customWidth="1"/>
    <col min="5386" max="5386" width="32.88671875" customWidth="1"/>
    <col min="5387" max="5387" width="14.33203125" customWidth="1"/>
    <col min="5388" max="5388" width="7.5546875" customWidth="1"/>
    <col min="5389" max="5397" width="13" customWidth="1"/>
    <col min="5398" max="5398" width="13.5546875" customWidth="1"/>
    <col min="5400" max="5400" width="13.88671875" customWidth="1"/>
    <col min="5642" max="5642" width="32.88671875" customWidth="1"/>
    <col min="5643" max="5643" width="14.33203125" customWidth="1"/>
    <col min="5644" max="5644" width="7.5546875" customWidth="1"/>
    <col min="5645" max="5653" width="13" customWidth="1"/>
    <col min="5654" max="5654" width="13.5546875" customWidth="1"/>
    <col min="5656" max="5656" width="13.88671875" customWidth="1"/>
    <col min="5898" max="5898" width="32.88671875" customWidth="1"/>
    <col min="5899" max="5899" width="14.33203125" customWidth="1"/>
    <col min="5900" max="5900" width="7.5546875" customWidth="1"/>
    <col min="5901" max="5909" width="13" customWidth="1"/>
    <col min="5910" max="5910" width="13.5546875" customWidth="1"/>
    <col min="5912" max="5912" width="13.88671875" customWidth="1"/>
    <col min="6154" max="6154" width="32.88671875" customWidth="1"/>
    <col min="6155" max="6155" width="14.33203125" customWidth="1"/>
    <col min="6156" max="6156" width="7.5546875" customWidth="1"/>
    <col min="6157" max="6165" width="13" customWidth="1"/>
    <col min="6166" max="6166" width="13.5546875" customWidth="1"/>
    <col min="6168" max="6168" width="13.88671875" customWidth="1"/>
    <col min="6410" max="6410" width="32.88671875" customWidth="1"/>
    <col min="6411" max="6411" width="14.33203125" customWidth="1"/>
    <col min="6412" max="6412" width="7.5546875" customWidth="1"/>
    <col min="6413" max="6421" width="13" customWidth="1"/>
    <col min="6422" max="6422" width="13.5546875" customWidth="1"/>
    <col min="6424" max="6424" width="13.88671875" customWidth="1"/>
    <col min="6666" max="6666" width="32.88671875" customWidth="1"/>
    <col min="6667" max="6667" width="14.33203125" customWidth="1"/>
    <col min="6668" max="6668" width="7.5546875" customWidth="1"/>
    <col min="6669" max="6677" width="13" customWidth="1"/>
    <col min="6678" max="6678" width="13.5546875" customWidth="1"/>
    <col min="6680" max="6680" width="13.88671875" customWidth="1"/>
    <col min="6922" max="6922" width="32.88671875" customWidth="1"/>
    <col min="6923" max="6923" width="14.33203125" customWidth="1"/>
    <col min="6924" max="6924" width="7.5546875" customWidth="1"/>
    <col min="6925" max="6933" width="13" customWidth="1"/>
    <col min="6934" max="6934" width="13.5546875" customWidth="1"/>
    <col min="6936" max="6936" width="13.88671875" customWidth="1"/>
    <col min="7178" max="7178" width="32.88671875" customWidth="1"/>
    <col min="7179" max="7179" width="14.33203125" customWidth="1"/>
    <col min="7180" max="7180" width="7.5546875" customWidth="1"/>
    <col min="7181" max="7189" width="13" customWidth="1"/>
    <col min="7190" max="7190" width="13.5546875" customWidth="1"/>
    <col min="7192" max="7192" width="13.88671875" customWidth="1"/>
    <col min="7434" max="7434" width="32.88671875" customWidth="1"/>
    <col min="7435" max="7435" width="14.33203125" customWidth="1"/>
    <col min="7436" max="7436" width="7.5546875" customWidth="1"/>
    <col min="7437" max="7445" width="13" customWidth="1"/>
    <col min="7446" max="7446" width="13.5546875" customWidth="1"/>
    <col min="7448" max="7448" width="13.88671875" customWidth="1"/>
    <col min="7690" max="7690" width="32.88671875" customWidth="1"/>
    <col min="7691" max="7691" width="14.33203125" customWidth="1"/>
    <col min="7692" max="7692" width="7.5546875" customWidth="1"/>
    <col min="7693" max="7701" width="13" customWidth="1"/>
    <col min="7702" max="7702" width="13.5546875" customWidth="1"/>
    <col min="7704" max="7704" width="13.88671875" customWidth="1"/>
    <col min="7946" max="7946" width="32.88671875" customWidth="1"/>
    <col min="7947" max="7947" width="14.33203125" customWidth="1"/>
    <col min="7948" max="7948" width="7.5546875" customWidth="1"/>
    <col min="7949" max="7957" width="13" customWidth="1"/>
    <col min="7958" max="7958" width="13.5546875" customWidth="1"/>
    <col min="7960" max="7960" width="13.88671875" customWidth="1"/>
    <col min="8202" max="8202" width="32.88671875" customWidth="1"/>
    <col min="8203" max="8203" width="14.33203125" customWidth="1"/>
    <col min="8204" max="8204" width="7.5546875" customWidth="1"/>
    <col min="8205" max="8213" width="13" customWidth="1"/>
    <col min="8214" max="8214" width="13.5546875" customWidth="1"/>
    <col min="8216" max="8216" width="13.88671875" customWidth="1"/>
    <col min="8458" max="8458" width="32.88671875" customWidth="1"/>
    <col min="8459" max="8459" width="14.33203125" customWidth="1"/>
    <col min="8460" max="8460" width="7.5546875" customWidth="1"/>
    <col min="8461" max="8469" width="13" customWidth="1"/>
    <col min="8470" max="8470" width="13.5546875" customWidth="1"/>
    <col min="8472" max="8472" width="13.88671875" customWidth="1"/>
    <col min="8714" max="8714" width="32.88671875" customWidth="1"/>
    <col min="8715" max="8715" width="14.33203125" customWidth="1"/>
    <col min="8716" max="8716" width="7.5546875" customWidth="1"/>
    <col min="8717" max="8725" width="13" customWidth="1"/>
    <col min="8726" max="8726" width="13.5546875" customWidth="1"/>
    <col min="8728" max="8728" width="13.88671875" customWidth="1"/>
    <col min="8970" max="8970" width="32.88671875" customWidth="1"/>
    <col min="8971" max="8971" width="14.33203125" customWidth="1"/>
    <col min="8972" max="8972" width="7.5546875" customWidth="1"/>
    <col min="8973" max="8981" width="13" customWidth="1"/>
    <col min="8982" max="8982" width="13.5546875" customWidth="1"/>
    <col min="8984" max="8984" width="13.88671875" customWidth="1"/>
    <col min="9226" max="9226" width="32.88671875" customWidth="1"/>
    <col min="9227" max="9227" width="14.33203125" customWidth="1"/>
    <col min="9228" max="9228" width="7.5546875" customWidth="1"/>
    <col min="9229" max="9237" width="13" customWidth="1"/>
    <col min="9238" max="9238" width="13.5546875" customWidth="1"/>
    <col min="9240" max="9240" width="13.88671875" customWidth="1"/>
    <col min="9482" max="9482" width="32.88671875" customWidth="1"/>
    <col min="9483" max="9483" width="14.33203125" customWidth="1"/>
    <col min="9484" max="9484" width="7.5546875" customWidth="1"/>
    <col min="9485" max="9493" width="13" customWidth="1"/>
    <col min="9494" max="9494" width="13.5546875" customWidth="1"/>
    <col min="9496" max="9496" width="13.88671875" customWidth="1"/>
    <col min="9738" max="9738" width="32.88671875" customWidth="1"/>
    <col min="9739" max="9739" width="14.33203125" customWidth="1"/>
    <col min="9740" max="9740" width="7.5546875" customWidth="1"/>
    <col min="9741" max="9749" width="13" customWidth="1"/>
    <col min="9750" max="9750" width="13.5546875" customWidth="1"/>
    <col min="9752" max="9752" width="13.88671875" customWidth="1"/>
    <col min="9994" max="9994" width="32.88671875" customWidth="1"/>
    <col min="9995" max="9995" width="14.33203125" customWidth="1"/>
    <col min="9996" max="9996" width="7.5546875" customWidth="1"/>
    <col min="9997" max="10005" width="13" customWidth="1"/>
    <col min="10006" max="10006" width="13.5546875" customWidth="1"/>
    <col min="10008" max="10008" width="13.88671875" customWidth="1"/>
    <col min="10250" max="10250" width="32.88671875" customWidth="1"/>
    <col min="10251" max="10251" width="14.33203125" customWidth="1"/>
    <col min="10252" max="10252" width="7.5546875" customWidth="1"/>
    <col min="10253" max="10261" width="13" customWidth="1"/>
    <col min="10262" max="10262" width="13.5546875" customWidth="1"/>
    <col min="10264" max="10264" width="13.88671875" customWidth="1"/>
    <col min="10506" max="10506" width="32.88671875" customWidth="1"/>
    <col min="10507" max="10507" width="14.33203125" customWidth="1"/>
    <col min="10508" max="10508" width="7.5546875" customWidth="1"/>
    <col min="10509" max="10517" width="13" customWidth="1"/>
    <col min="10518" max="10518" width="13.5546875" customWidth="1"/>
    <col min="10520" max="10520" width="13.88671875" customWidth="1"/>
    <col min="10762" max="10762" width="32.88671875" customWidth="1"/>
    <col min="10763" max="10763" width="14.33203125" customWidth="1"/>
    <col min="10764" max="10764" width="7.5546875" customWidth="1"/>
    <col min="10765" max="10773" width="13" customWidth="1"/>
    <col min="10774" max="10774" width="13.5546875" customWidth="1"/>
    <col min="10776" max="10776" width="13.88671875" customWidth="1"/>
    <col min="11018" max="11018" width="32.88671875" customWidth="1"/>
    <col min="11019" max="11019" width="14.33203125" customWidth="1"/>
    <col min="11020" max="11020" width="7.5546875" customWidth="1"/>
    <col min="11021" max="11029" width="13" customWidth="1"/>
    <col min="11030" max="11030" width="13.5546875" customWidth="1"/>
    <col min="11032" max="11032" width="13.88671875" customWidth="1"/>
    <col min="11274" max="11274" width="32.88671875" customWidth="1"/>
    <col min="11275" max="11275" width="14.33203125" customWidth="1"/>
    <col min="11276" max="11276" width="7.5546875" customWidth="1"/>
    <col min="11277" max="11285" width="13" customWidth="1"/>
    <col min="11286" max="11286" width="13.5546875" customWidth="1"/>
    <col min="11288" max="11288" width="13.88671875" customWidth="1"/>
    <col min="11530" max="11530" width="32.88671875" customWidth="1"/>
    <col min="11531" max="11531" width="14.33203125" customWidth="1"/>
    <col min="11532" max="11532" width="7.5546875" customWidth="1"/>
    <col min="11533" max="11541" width="13" customWidth="1"/>
    <col min="11542" max="11542" width="13.5546875" customWidth="1"/>
    <col min="11544" max="11544" width="13.88671875" customWidth="1"/>
    <col min="11786" max="11786" width="32.88671875" customWidth="1"/>
    <col min="11787" max="11787" width="14.33203125" customWidth="1"/>
    <col min="11788" max="11788" width="7.5546875" customWidth="1"/>
    <col min="11789" max="11797" width="13" customWidth="1"/>
    <col min="11798" max="11798" width="13.5546875" customWidth="1"/>
    <col min="11800" max="11800" width="13.88671875" customWidth="1"/>
    <col min="12042" max="12042" width="32.88671875" customWidth="1"/>
    <col min="12043" max="12043" width="14.33203125" customWidth="1"/>
    <col min="12044" max="12044" width="7.5546875" customWidth="1"/>
    <col min="12045" max="12053" width="13" customWidth="1"/>
    <col min="12054" max="12054" width="13.5546875" customWidth="1"/>
    <col min="12056" max="12056" width="13.88671875" customWidth="1"/>
    <col min="12298" max="12298" width="32.88671875" customWidth="1"/>
    <col min="12299" max="12299" width="14.33203125" customWidth="1"/>
    <col min="12300" max="12300" width="7.5546875" customWidth="1"/>
    <col min="12301" max="12309" width="13" customWidth="1"/>
    <col min="12310" max="12310" width="13.5546875" customWidth="1"/>
    <col min="12312" max="12312" width="13.88671875" customWidth="1"/>
    <col min="12554" max="12554" width="32.88671875" customWidth="1"/>
    <col min="12555" max="12555" width="14.33203125" customWidth="1"/>
    <col min="12556" max="12556" width="7.5546875" customWidth="1"/>
    <col min="12557" max="12565" width="13" customWidth="1"/>
    <col min="12566" max="12566" width="13.5546875" customWidth="1"/>
    <col min="12568" max="12568" width="13.88671875" customWidth="1"/>
    <col min="12810" max="12810" width="32.88671875" customWidth="1"/>
    <col min="12811" max="12811" width="14.33203125" customWidth="1"/>
    <col min="12812" max="12812" width="7.5546875" customWidth="1"/>
    <col min="12813" max="12821" width="13" customWidth="1"/>
    <col min="12822" max="12822" width="13.5546875" customWidth="1"/>
    <col min="12824" max="12824" width="13.88671875" customWidth="1"/>
    <col min="13066" max="13066" width="32.88671875" customWidth="1"/>
    <col min="13067" max="13067" width="14.33203125" customWidth="1"/>
    <col min="13068" max="13068" width="7.5546875" customWidth="1"/>
    <col min="13069" max="13077" width="13" customWidth="1"/>
    <col min="13078" max="13078" width="13.5546875" customWidth="1"/>
    <col min="13080" max="13080" width="13.88671875" customWidth="1"/>
    <col min="13322" max="13322" width="32.88671875" customWidth="1"/>
    <col min="13323" max="13323" width="14.33203125" customWidth="1"/>
    <col min="13324" max="13324" width="7.5546875" customWidth="1"/>
    <col min="13325" max="13333" width="13" customWidth="1"/>
    <col min="13334" max="13334" width="13.5546875" customWidth="1"/>
    <col min="13336" max="13336" width="13.88671875" customWidth="1"/>
    <col min="13578" max="13578" width="32.88671875" customWidth="1"/>
    <col min="13579" max="13579" width="14.33203125" customWidth="1"/>
    <col min="13580" max="13580" width="7.5546875" customWidth="1"/>
    <col min="13581" max="13589" width="13" customWidth="1"/>
    <col min="13590" max="13590" width="13.5546875" customWidth="1"/>
    <col min="13592" max="13592" width="13.88671875" customWidth="1"/>
    <col min="13834" max="13834" width="32.88671875" customWidth="1"/>
    <col min="13835" max="13835" width="14.33203125" customWidth="1"/>
    <col min="13836" max="13836" width="7.5546875" customWidth="1"/>
    <col min="13837" max="13845" width="13" customWidth="1"/>
    <col min="13846" max="13846" width="13.5546875" customWidth="1"/>
    <col min="13848" max="13848" width="13.88671875" customWidth="1"/>
    <col min="14090" max="14090" width="32.88671875" customWidth="1"/>
    <col min="14091" max="14091" width="14.33203125" customWidth="1"/>
    <col min="14092" max="14092" width="7.5546875" customWidth="1"/>
    <col min="14093" max="14101" width="13" customWidth="1"/>
    <col min="14102" max="14102" width="13.5546875" customWidth="1"/>
    <col min="14104" max="14104" width="13.88671875" customWidth="1"/>
    <col min="14346" max="14346" width="32.88671875" customWidth="1"/>
    <col min="14347" max="14347" width="14.33203125" customWidth="1"/>
    <col min="14348" max="14348" width="7.5546875" customWidth="1"/>
    <col min="14349" max="14357" width="13" customWidth="1"/>
    <col min="14358" max="14358" width="13.5546875" customWidth="1"/>
    <col min="14360" max="14360" width="13.88671875" customWidth="1"/>
    <col min="14602" max="14602" width="32.88671875" customWidth="1"/>
    <col min="14603" max="14603" width="14.33203125" customWidth="1"/>
    <col min="14604" max="14604" width="7.5546875" customWidth="1"/>
    <col min="14605" max="14613" width="13" customWidth="1"/>
    <col min="14614" max="14614" width="13.5546875" customWidth="1"/>
    <col min="14616" max="14616" width="13.88671875" customWidth="1"/>
    <col min="14858" max="14858" width="32.88671875" customWidth="1"/>
    <col min="14859" max="14859" width="14.33203125" customWidth="1"/>
    <col min="14860" max="14860" width="7.5546875" customWidth="1"/>
    <col min="14861" max="14869" width="13" customWidth="1"/>
    <col min="14870" max="14870" width="13.5546875" customWidth="1"/>
    <col min="14872" max="14872" width="13.88671875" customWidth="1"/>
    <col min="15114" max="15114" width="32.88671875" customWidth="1"/>
    <col min="15115" max="15115" width="14.33203125" customWidth="1"/>
    <col min="15116" max="15116" width="7.5546875" customWidth="1"/>
    <col min="15117" max="15125" width="13" customWidth="1"/>
    <col min="15126" max="15126" width="13.5546875" customWidth="1"/>
    <col min="15128" max="15128" width="13.88671875" customWidth="1"/>
    <col min="15370" max="15370" width="32.88671875" customWidth="1"/>
    <col min="15371" max="15371" width="14.33203125" customWidth="1"/>
    <col min="15372" max="15372" width="7.5546875" customWidth="1"/>
    <col min="15373" max="15381" width="13" customWidth="1"/>
    <col min="15382" max="15382" width="13.5546875" customWidth="1"/>
    <col min="15384" max="15384" width="13.88671875" customWidth="1"/>
    <col min="15626" max="15626" width="32.88671875" customWidth="1"/>
    <col min="15627" max="15627" width="14.33203125" customWidth="1"/>
    <col min="15628" max="15628" width="7.5546875" customWidth="1"/>
    <col min="15629" max="15637" width="13" customWidth="1"/>
    <col min="15638" max="15638" width="13.5546875" customWidth="1"/>
    <col min="15640" max="15640" width="13.88671875" customWidth="1"/>
    <col min="15882" max="15882" width="32.88671875" customWidth="1"/>
    <col min="15883" max="15883" width="14.33203125" customWidth="1"/>
    <col min="15884" max="15884" width="7.5546875" customWidth="1"/>
    <col min="15885" max="15893" width="13" customWidth="1"/>
    <col min="15894" max="15894" width="13.5546875" customWidth="1"/>
    <col min="15896" max="15896" width="13.88671875" customWidth="1"/>
    <col min="16138" max="16138" width="32.88671875" customWidth="1"/>
    <col min="16139" max="16139" width="14.33203125" customWidth="1"/>
    <col min="16140" max="16140" width="7.5546875" customWidth="1"/>
    <col min="16141" max="16149" width="13" customWidth="1"/>
    <col min="16150" max="16150" width="13.5546875" customWidth="1"/>
    <col min="16152" max="16152" width="13.88671875" customWidth="1"/>
  </cols>
  <sheetData>
    <row r="3" spans="1:29" ht="84" customHeight="1">
      <c r="B3" s="598" t="s">
        <v>2149</v>
      </c>
      <c r="C3" s="598"/>
      <c r="D3" s="598"/>
      <c r="E3" s="598"/>
      <c r="F3" s="598"/>
      <c r="G3" s="598"/>
      <c r="H3" s="598"/>
      <c r="I3" s="598"/>
      <c r="J3" s="598"/>
      <c r="K3" s="598"/>
      <c r="L3" s="598"/>
      <c r="M3" s="598"/>
      <c r="N3" s="598"/>
      <c r="O3" s="598"/>
      <c r="P3" s="598"/>
      <c r="Q3" s="598"/>
      <c r="R3" s="598"/>
      <c r="S3" s="598"/>
      <c r="T3" s="598"/>
      <c r="U3" s="598"/>
      <c r="V3" s="598"/>
    </row>
    <row r="4" spans="1:29" ht="4.5" customHeight="1">
      <c r="B4" s="348"/>
      <c r="C4" s="348"/>
      <c r="D4" s="348"/>
      <c r="E4" s="348"/>
      <c r="F4" s="348"/>
      <c r="G4" s="348"/>
      <c r="H4" s="348"/>
      <c r="I4" s="348"/>
      <c r="J4" s="348"/>
      <c r="K4" s="348"/>
      <c r="L4" s="348"/>
      <c r="M4" s="348"/>
      <c r="N4" s="348"/>
      <c r="O4" s="348"/>
      <c r="P4" s="348"/>
      <c r="Q4" s="348"/>
      <c r="R4" s="348"/>
      <c r="S4" s="348"/>
      <c r="T4" s="348"/>
      <c r="U4" s="348"/>
      <c r="V4" s="348"/>
    </row>
    <row r="5" spans="1:29" s="357" customFormat="1" ht="18" customHeight="1">
      <c r="A5" s="349"/>
      <c r="B5" s="350" t="s">
        <v>2150</v>
      </c>
      <c r="C5" s="351"/>
      <c r="D5" s="351"/>
      <c r="E5" s="352"/>
      <c r="F5" s="353" t="s">
        <v>2151</v>
      </c>
      <c r="G5" s="354"/>
      <c r="H5" s="354"/>
      <c r="I5" s="354"/>
      <c r="J5" s="354"/>
      <c r="K5" s="354"/>
      <c r="L5" s="354"/>
      <c r="M5" s="354"/>
      <c r="N5" s="354"/>
      <c r="O5" s="355"/>
      <c r="P5" s="599" t="s">
        <v>2152</v>
      </c>
      <c r="Q5" s="599"/>
      <c r="R5" s="599"/>
      <c r="S5" s="599"/>
      <c r="T5" s="600" t="s">
        <v>2153</v>
      </c>
      <c r="U5" s="600"/>
      <c r="V5" s="600"/>
      <c r="W5" s="356"/>
      <c r="AC5" s="358"/>
    </row>
    <row r="6" spans="1:29" s="361" customFormat="1" ht="41.25" customHeight="1">
      <c r="A6" s="359"/>
      <c r="B6" s="601" t="s">
        <v>2154</v>
      </c>
      <c r="C6" s="601"/>
      <c r="D6" s="601"/>
      <c r="E6" s="601"/>
      <c r="F6" s="602" t="s">
        <v>2155</v>
      </c>
      <c r="G6" s="602"/>
      <c r="H6" s="602"/>
      <c r="I6" s="602"/>
      <c r="J6" s="602"/>
      <c r="K6" s="602"/>
      <c r="L6" s="602"/>
      <c r="M6" s="602"/>
      <c r="N6" s="602"/>
      <c r="O6" s="602"/>
      <c r="P6" s="599"/>
      <c r="Q6" s="599"/>
      <c r="R6" s="599"/>
      <c r="S6" s="599"/>
      <c r="T6" s="600"/>
      <c r="U6" s="600"/>
      <c r="V6" s="600"/>
      <c r="W6" s="360"/>
      <c r="AC6" s="362"/>
    </row>
    <row r="7" spans="1:29" s="361" customFormat="1" ht="3.75" customHeight="1">
      <c r="A7" s="359"/>
      <c r="B7" s="363"/>
      <c r="C7" s="364"/>
      <c r="D7" s="365"/>
      <c r="E7" s="366"/>
      <c r="F7" s="366"/>
      <c r="G7" s="366"/>
      <c r="H7" s="366"/>
      <c r="I7" s="366"/>
      <c r="J7" s="366"/>
      <c r="K7" s="366"/>
      <c r="L7" s="366"/>
      <c r="M7" s="366"/>
      <c r="N7" s="366"/>
      <c r="O7" s="367"/>
      <c r="P7" s="368"/>
      <c r="Q7" s="369"/>
      <c r="R7" s="360"/>
      <c r="S7" s="360"/>
      <c r="T7" s="360"/>
      <c r="U7" s="360"/>
      <c r="V7" s="360"/>
      <c r="W7" s="360"/>
      <c r="X7" s="360"/>
      <c r="Y7" s="360"/>
      <c r="Z7" s="360"/>
      <c r="AA7" s="360"/>
    </row>
    <row r="8" spans="1:29" s="371" customFormat="1" ht="33" customHeight="1">
      <c r="A8" s="370"/>
      <c r="B8" s="603" t="s">
        <v>2156</v>
      </c>
      <c r="C8" s="603"/>
      <c r="D8" s="603"/>
      <c r="E8" s="603"/>
      <c r="F8" s="603"/>
      <c r="G8" s="603"/>
      <c r="H8" s="603"/>
      <c r="I8" s="603"/>
      <c r="J8" s="603"/>
      <c r="K8" s="603"/>
      <c r="L8" s="603"/>
      <c r="M8" s="603"/>
      <c r="N8" s="603"/>
      <c r="O8" s="603"/>
      <c r="P8" s="603"/>
      <c r="Q8" s="603"/>
      <c r="R8" s="603"/>
      <c r="S8" s="603"/>
      <c r="T8" s="603"/>
      <c r="U8" s="603"/>
      <c r="V8" s="603"/>
    </row>
    <row r="9" spans="1:29" ht="3.75" customHeight="1">
      <c r="B9" s="348"/>
      <c r="C9" s="348"/>
      <c r="D9" s="348"/>
      <c r="E9" s="348"/>
      <c r="F9" s="348"/>
      <c r="G9" s="348"/>
      <c r="H9" s="348"/>
      <c r="I9" s="348"/>
      <c r="J9" s="348"/>
      <c r="K9" s="348"/>
      <c r="L9" s="348"/>
      <c r="M9" s="348"/>
      <c r="N9" s="348"/>
      <c r="O9" s="348"/>
      <c r="P9" s="348"/>
      <c r="Q9" s="348"/>
      <c r="R9" s="348"/>
      <c r="S9" s="348"/>
      <c r="T9" s="348"/>
      <c r="U9" s="348"/>
      <c r="V9" s="348"/>
    </row>
    <row r="10" spans="1:29">
      <c r="B10" s="604" t="s">
        <v>2157</v>
      </c>
      <c r="C10" s="605" t="s">
        <v>2158</v>
      </c>
      <c r="D10" s="605" t="s">
        <v>2159</v>
      </c>
      <c r="E10" s="605"/>
      <c r="F10" s="606" t="s">
        <v>2160</v>
      </c>
      <c r="G10" s="606"/>
      <c r="H10" s="606"/>
      <c r="I10" s="606"/>
      <c r="J10" s="606"/>
      <c r="K10" s="606"/>
      <c r="L10" s="606"/>
      <c r="M10" s="606"/>
      <c r="N10" s="606"/>
      <c r="O10" s="606"/>
      <c r="P10" s="606"/>
      <c r="Q10" s="606"/>
      <c r="R10" s="606"/>
      <c r="S10" s="606"/>
      <c r="T10" s="606"/>
      <c r="U10" s="606"/>
      <c r="V10" s="372" t="s">
        <v>1221</v>
      </c>
    </row>
    <row r="11" spans="1:29">
      <c r="B11" s="604"/>
      <c r="C11" s="605"/>
      <c r="D11" s="373" t="s">
        <v>2161</v>
      </c>
      <c r="E11" s="373" t="s">
        <v>2162</v>
      </c>
      <c r="F11" s="607" t="s">
        <v>2163</v>
      </c>
      <c r="G11" s="607" t="s">
        <v>2164</v>
      </c>
      <c r="H11" s="607" t="s">
        <v>2165</v>
      </c>
      <c r="I11" s="607" t="s">
        <v>2166</v>
      </c>
      <c r="J11" s="607" t="s">
        <v>2167</v>
      </c>
      <c r="K11" s="607" t="s">
        <v>2168</v>
      </c>
      <c r="L11" s="607" t="s">
        <v>2169</v>
      </c>
      <c r="M11" s="607" t="s">
        <v>2170</v>
      </c>
      <c r="N11" s="607" t="s">
        <v>2171</v>
      </c>
      <c r="O11" s="607" t="s">
        <v>2172</v>
      </c>
      <c r="P11" s="607" t="s">
        <v>2173</v>
      </c>
      <c r="Q11" s="607" t="s">
        <v>2174</v>
      </c>
      <c r="R11" s="607" t="s">
        <v>2175</v>
      </c>
      <c r="S11" s="607" t="s">
        <v>2176</v>
      </c>
      <c r="T11" s="607" t="s">
        <v>2177</v>
      </c>
      <c r="U11" s="607" t="s">
        <v>2178</v>
      </c>
      <c r="V11" s="374" t="s">
        <v>1384</v>
      </c>
      <c r="X11" s="224"/>
    </row>
    <row r="12" spans="1:29">
      <c r="B12" s="604"/>
      <c r="C12" s="605"/>
      <c r="D12" s="373" t="s">
        <v>50</v>
      </c>
      <c r="E12" s="373" t="s">
        <v>1384</v>
      </c>
      <c r="F12" s="607"/>
      <c r="G12" s="607"/>
      <c r="H12" s="607"/>
      <c r="I12" s="607"/>
      <c r="J12" s="607"/>
      <c r="K12" s="607"/>
      <c r="L12" s="607"/>
      <c r="M12" s="607"/>
      <c r="N12" s="607"/>
      <c r="O12" s="607"/>
      <c r="P12" s="607"/>
      <c r="Q12" s="607"/>
      <c r="R12" s="607"/>
      <c r="S12" s="607"/>
      <c r="T12" s="607"/>
      <c r="U12" s="607"/>
      <c r="V12" s="374" t="s">
        <v>50</v>
      </c>
      <c r="X12" s="375">
        <f>SUM(F13:U13)</f>
        <v>1</v>
      </c>
    </row>
    <row r="13" spans="1:29" ht="14.25" customHeight="1">
      <c r="B13" s="608" t="s">
        <v>59</v>
      </c>
      <c r="C13" s="609" t="s">
        <v>60</v>
      </c>
      <c r="D13" s="610">
        <v>7359.2</v>
      </c>
      <c r="E13" s="611">
        <f>D13/$D$178</f>
        <v>5.8267616785431504E-4</v>
      </c>
      <c r="F13" s="376">
        <v>1</v>
      </c>
      <c r="G13" s="376"/>
      <c r="H13" s="376"/>
      <c r="I13" s="376"/>
      <c r="J13" s="376"/>
      <c r="K13" s="376"/>
      <c r="L13" s="376"/>
      <c r="M13" s="376"/>
      <c r="N13" s="376"/>
      <c r="O13" s="376"/>
      <c r="P13" s="376"/>
      <c r="Q13" s="376"/>
      <c r="R13" s="376"/>
      <c r="S13" s="376"/>
      <c r="T13" s="376"/>
      <c r="U13" s="376"/>
      <c r="V13" s="377">
        <f>SUM(F13:U13)</f>
        <v>1</v>
      </c>
      <c r="W13" s="378"/>
      <c r="X13" s="379">
        <f>SUM(F16:U16)</f>
        <v>7359.2</v>
      </c>
      <c r="Z13" s="610">
        <v>7359.2</v>
      </c>
    </row>
    <row r="14" spans="1:29">
      <c r="B14" s="608"/>
      <c r="C14" s="609"/>
      <c r="D14" s="610"/>
      <c r="E14" s="611"/>
      <c r="F14" s="380" t="e">
        <f>#REF!</f>
        <v>#REF!</v>
      </c>
      <c r="G14" s="380" t="e">
        <f>#REF!</f>
        <v>#REF!</v>
      </c>
      <c r="H14" s="380" t="e">
        <f>#REF!</f>
        <v>#REF!</v>
      </c>
      <c r="I14" s="380" t="e">
        <f>#REF!</f>
        <v>#REF!</v>
      </c>
      <c r="J14" s="380" t="e">
        <f>#REF!</f>
        <v>#REF!</v>
      </c>
      <c r="K14" s="380" t="e">
        <f>#REF!</f>
        <v>#REF!</v>
      </c>
      <c r="L14" s="380" t="e">
        <f>#REF!</f>
        <v>#REF!</v>
      </c>
      <c r="M14" s="380" t="e">
        <f>#REF!</f>
        <v>#REF!</v>
      </c>
      <c r="N14" s="380" t="e">
        <f>#REF!</f>
        <v>#REF!</v>
      </c>
      <c r="O14" s="380" t="e">
        <f>#REF!</f>
        <v>#REF!</v>
      </c>
      <c r="P14" s="380" t="e">
        <f>#REF!</f>
        <v>#REF!</v>
      </c>
      <c r="Q14" s="380" t="e">
        <f>#REF!</f>
        <v>#REF!</v>
      </c>
      <c r="R14" s="380" t="e">
        <f>#REF!</f>
        <v>#REF!</v>
      </c>
      <c r="S14" s="380" t="e">
        <f>#REF!</f>
        <v>#REF!</v>
      </c>
      <c r="T14" s="380" t="e">
        <f>#REF!</f>
        <v>#REF!</v>
      </c>
      <c r="U14" s="380" t="e">
        <f>#REF!</f>
        <v>#REF!</v>
      </c>
      <c r="V14" s="381"/>
      <c r="W14" s="378"/>
      <c r="X14" s="379"/>
      <c r="Z14" s="610"/>
    </row>
    <row r="15" spans="1:29">
      <c r="B15" s="608"/>
      <c r="C15" s="609"/>
      <c r="D15" s="610"/>
      <c r="E15" s="611"/>
      <c r="F15" s="382" t="e">
        <f>#REF!</f>
        <v>#REF!</v>
      </c>
      <c r="G15" s="382" t="e">
        <f>#REF!</f>
        <v>#REF!</v>
      </c>
      <c r="H15" s="382" t="e">
        <f>#REF!</f>
        <v>#REF!</v>
      </c>
      <c r="I15" s="382" t="e">
        <f>#REF!</f>
        <v>#REF!</v>
      </c>
      <c r="J15" s="382" t="e">
        <f>#REF!</f>
        <v>#REF!</v>
      </c>
      <c r="K15" s="382" t="e">
        <f>#REF!</f>
        <v>#REF!</v>
      </c>
      <c r="L15" s="382" t="e">
        <f>#REF!</f>
        <v>#REF!</v>
      </c>
      <c r="M15" s="382" t="e">
        <f>#REF!</f>
        <v>#REF!</v>
      </c>
      <c r="N15" s="382" t="e">
        <f>#REF!</f>
        <v>#REF!</v>
      </c>
      <c r="O15" s="382" t="e">
        <f>#REF!</f>
        <v>#REF!</v>
      </c>
      <c r="P15" s="382" t="e">
        <f>#REF!</f>
        <v>#REF!</v>
      </c>
      <c r="Q15" s="382" t="e">
        <f>#REF!</f>
        <v>#REF!</v>
      </c>
      <c r="R15" s="382" t="e">
        <f>#REF!</f>
        <v>#REF!</v>
      </c>
      <c r="S15" s="382" t="e">
        <f>#REF!</f>
        <v>#REF!</v>
      </c>
      <c r="T15" s="382" t="e">
        <f>#REF!</f>
        <v>#REF!</v>
      </c>
      <c r="U15" s="382" t="e">
        <f>#REF!</f>
        <v>#REF!</v>
      </c>
      <c r="V15" s="381"/>
      <c r="W15" s="378"/>
      <c r="X15" s="379"/>
      <c r="Z15" s="610"/>
    </row>
    <row r="16" spans="1:29">
      <c r="B16" s="608"/>
      <c r="C16" s="609"/>
      <c r="D16" s="610"/>
      <c r="E16" s="611"/>
      <c r="F16" s="383">
        <f>F13*$D13</f>
        <v>7359.2</v>
      </c>
      <c r="G16" s="383"/>
      <c r="H16" s="383"/>
      <c r="I16" s="383"/>
      <c r="J16" s="383"/>
      <c r="K16" s="383"/>
      <c r="L16" s="383"/>
      <c r="M16" s="383"/>
      <c r="N16" s="383"/>
      <c r="O16" s="383"/>
      <c r="P16" s="383"/>
      <c r="Q16" s="383"/>
      <c r="R16" s="383"/>
      <c r="S16" s="383"/>
      <c r="T16" s="383"/>
      <c r="U16" s="383"/>
      <c r="V16" s="384">
        <f>SUM(F16:U16)</f>
        <v>7359.2</v>
      </c>
      <c r="W16" s="385">
        <f>V16-D13</f>
        <v>0</v>
      </c>
      <c r="X16" s="375">
        <f>SUM(F17:U17)</f>
        <v>1</v>
      </c>
      <c r="Z16" s="610"/>
    </row>
    <row r="17" spans="2:26" ht="14.25" customHeight="1">
      <c r="B17" s="608" t="s">
        <v>64</v>
      </c>
      <c r="C17" s="609" t="s">
        <v>65</v>
      </c>
      <c r="D17" s="610">
        <v>719907.83</v>
      </c>
      <c r="E17" s="611">
        <f>D17/$D$178</f>
        <v>5.6999828186856678E-2</v>
      </c>
      <c r="F17" s="376">
        <v>0.05</v>
      </c>
      <c r="G17" s="376">
        <v>0.05</v>
      </c>
      <c r="H17" s="376">
        <v>0.05</v>
      </c>
      <c r="I17" s="376">
        <v>0.05</v>
      </c>
      <c r="J17" s="376">
        <v>0.05</v>
      </c>
      <c r="K17" s="376">
        <v>0.05</v>
      </c>
      <c r="L17" s="376">
        <v>0.05</v>
      </c>
      <c r="M17" s="376">
        <v>0.05</v>
      </c>
      <c r="N17" s="376">
        <v>0.05</v>
      </c>
      <c r="O17" s="376">
        <v>0.05</v>
      </c>
      <c r="P17" s="376">
        <v>0.05</v>
      </c>
      <c r="Q17" s="376">
        <v>0.05</v>
      </c>
      <c r="R17" s="376">
        <v>0.05</v>
      </c>
      <c r="S17" s="376">
        <v>0.05</v>
      </c>
      <c r="T17" s="376">
        <v>0.15</v>
      </c>
      <c r="U17" s="376">
        <v>0.15</v>
      </c>
      <c r="V17" s="377">
        <f>SUM(F17:U17)</f>
        <v>1</v>
      </c>
      <c r="W17" s="378"/>
      <c r="X17" s="379">
        <f>SUM(F20:U20)</f>
        <v>719907.83000000007</v>
      </c>
      <c r="Z17" s="610">
        <v>719907.83</v>
      </c>
    </row>
    <row r="18" spans="2:26">
      <c r="B18" s="608"/>
      <c r="C18" s="609"/>
      <c r="D18" s="610"/>
      <c r="E18" s="611"/>
      <c r="F18" s="380" t="e">
        <f>#REF!</f>
        <v>#REF!</v>
      </c>
      <c r="G18" s="380" t="e">
        <f>#REF!</f>
        <v>#REF!</v>
      </c>
      <c r="H18" s="380" t="e">
        <f>#REF!</f>
        <v>#REF!</v>
      </c>
      <c r="I18" s="380" t="e">
        <f>#REF!</f>
        <v>#REF!</v>
      </c>
      <c r="J18" s="380" t="e">
        <f>#REF!</f>
        <v>#REF!</v>
      </c>
      <c r="K18" s="380" t="e">
        <f>#REF!</f>
        <v>#REF!</v>
      </c>
      <c r="L18" s="380" t="e">
        <f>#REF!</f>
        <v>#REF!</v>
      </c>
      <c r="M18" s="380" t="e">
        <f>#REF!</f>
        <v>#REF!</v>
      </c>
      <c r="N18" s="380" t="e">
        <f>#REF!</f>
        <v>#REF!</v>
      </c>
      <c r="O18" s="380" t="e">
        <f>#REF!</f>
        <v>#REF!</v>
      </c>
      <c r="P18" s="380" t="e">
        <f>#REF!</f>
        <v>#REF!</v>
      </c>
      <c r="Q18" s="380" t="e">
        <f>#REF!</f>
        <v>#REF!</v>
      </c>
      <c r="R18" s="380" t="e">
        <f>#REF!</f>
        <v>#REF!</v>
      </c>
      <c r="S18" s="380" t="e">
        <f>#REF!</f>
        <v>#REF!</v>
      </c>
      <c r="T18" s="380" t="e">
        <f>#REF!</f>
        <v>#REF!</v>
      </c>
      <c r="U18" s="380" t="e">
        <f>#REF!</f>
        <v>#REF!</v>
      </c>
      <c r="V18" s="381"/>
      <c r="W18" s="378"/>
      <c r="X18" s="379"/>
      <c r="Z18" s="610"/>
    </row>
    <row r="19" spans="2:26">
      <c r="B19" s="608"/>
      <c r="C19" s="609"/>
      <c r="D19" s="610"/>
      <c r="E19" s="611"/>
      <c r="F19" s="382" t="e">
        <f>#REF!</f>
        <v>#REF!</v>
      </c>
      <c r="G19" s="382" t="e">
        <f>#REF!</f>
        <v>#REF!</v>
      </c>
      <c r="H19" s="382" t="e">
        <f>#REF!</f>
        <v>#REF!</v>
      </c>
      <c r="I19" s="382" t="e">
        <f>#REF!</f>
        <v>#REF!</v>
      </c>
      <c r="J19" s="382" t="e">
        <f>#REF!</f>
        <v>#REF!</v>
      </c>
      <c r="K19" s="382" t="e">
        <f>#REF!</f>
        <v>#REF!</v>
      </c>
      <c r="L19" s="382" t="e">
        <f>#REF!</f>
        <v>#REF!</v>
      </c>
      <c r="M19" s="382" t="e">
        <f>#REF!</f>
        <v>#REF!</v>
      </c>
      <c r="N19" s="382" t="e">
        <f>#REF!</f>
        <v>#REF!</v>
      </c>
      <c r="O19" s="382" t="e">
        <f>#REF!</f>
        <v>#REF!</v>
      </c>
      <c r="P19" s="382" t="e">
        <f>#REF!</f>
        <v>#REF!</v>
      </c>
      <c r="Q19" s="382" t="e">
        <f>#REF!</f>
        <v>#REF!</v>
      </c>
      <c r="R19" s="382" t="e">
        <f>#REF!</f>
        <v>#REF!</v>
      </c>
      <c r="S19" s="382" t="e">
        <f>#REF!</f>
        <v>#REF!</v>
      </c>
      <c r="T19" s="382" t="e">
        <f>#REF!</f>
        <v>#REF!</v>
      </c>
      <c r="U19" s="382" t="e">
        <f>#REF!</f>
        <v>#REF!</v>
      </c>
      <c r="V19" s="381"/>
      <c r="W19" s="378"/>
      <c r="X19" s="379"/>
      <c r="Z19" s="610"/>
    </row>
    <row r="20" spans="2:26">
      <c r="B20" s="608"/>
      <c r="C20" s="609"/>
      <c r="D20" s="610"/>
      <c r="E20" s="611"/>
      <c r="F20" s="383">
        <f t="shared" ref="F20:U20" si="0">F17*$D17</f>
        <v>35995.391499999998</v>
      </c>
      <c r="G20" s="386">
        <f t="shared" si="0"/>
        <v>35995.391499999998</v>
      </c>
      <c r="H20" s="383">
        <f t="shared" si="0"/>
        <v>35995.391499999998</v>
      </c>
      <c r="I20" s="383">
        <f t="shared" si="0"/>
        <v>35995.391499999998</v>
      </c>
      <c r="J20" s="383">
        <f t="shared" si="0"/>
        <v>35995.391499999998</v>
      </c>
      <c r="K20" s="383">
        <f t="shared" si="0"/>
        <v>35995.391499999998</v>
      </c>
      <c r="L20" s="383">
        <f t="shared" si="0"/>
        <v>35995.391499999998</v>
      </c>
      <c r="M20" s="383">
        <f t="shared" si="0"/>
        <v>35995.391499999998</v>
      </c>
      <c r="N20" s="383">
        <f t="shared" si="0"/>
        <v>35995.391499999998</v>
      </c>
      <c r="O20" s="383">
        <f t="shared" si="0"/>
        <v>35995.391499999998</v>
      </c>
      <c r="P20" s="383">
        <f t="shared" si="0"/>
        <v>35995.391499999998</v>
      </c>
      <c r="Q20" s="383">
        <f t="shared" si="0"/>
        <v>35995.391499999998</v>
      </c>
      <c r="R20" s="383">
        <f t="shared" si="0"/>
        <v>35995.391499999998</v>
      </c>
      <c r="S20" s="383">
        <f t="shared" si="0"/>
        <v>35995.391499999998</v>
      </c>
      <c r="T20" s="383">
        <f t="shared" si="0"/>
        <v>107986.17449999999</v>
      </c>
      <c r="U20" s="383">
        <f t="shared" si="0"/>
        <v>107986.17449999999</v>
      </c>
      <c r="V20" s="384">
        <f>SUM(F20:U20)</f>
        <v>719907.83000000007</v>
      </c>
      <c r="W20" s="385">
        <f>V20-D17</f>
        <v>0</v>
      </c>
      <c r="X20" s="375">
        <f>SUM(F21:U21)</f>
        <v>1</v>
      </c>
      <c r="Z20" s="610"/>
    </row>
    <row r="21" spans="2:26" ht="14.25" customHeight="1">
      <c r="B21" s="608" t="s">
        <v>75</v>
      </c>
      <c r="C21" s="609" t="s">
        <v>76</v>
      </c>
      <c r="D21" s="610">
        <v>206294.5</v>
      </c>
      <c r="E21" s="611">
        <f>D21/$D$178</f>
        <v>1.6333689627870147E-2</v>
      </c>
      <c r="F21" s="376">
        <v>1</v>
      </c>
      <c r="G21" s="376"/>
      <c r="H21" s="376"/>
      <c r="I21" s="376"/>
      <c r="J21" s="376"/>
      <c r="K21" s="376"/>
      <c r="L21" s="376"/>
      <c r="M21" s="376"/>
      <c r="N21" s="376"/>
      <c r="O21" s="376"/>
      <c r="P21" s="376"/>
      <c r="Q21" s="376"/>
      <c r="R21" s="376"/>
      <c r="S21" s="376"/>
      <c r="T21" s="376"/>
      <c r="U21" s="376"/>
      <c r="V21" s="377">
        <f>SUM(F21:U21)</f>
        <v>1</v>
      </c>
      <c r="W21" s="378"/>
      <c r="X21" s="379">
        <f>SUM(F24:U24)</f>
        <v>206294.5</v>
      </c>
      <c r="Z21" s="610">
        <v>206294.5</v>
      </c>
    </row>
    <row r="22" spans="2:26">
      <c r="B22" s="608"/>
      <c r="C22" s="609"/>
      <c r="D22" s="610"/>
      <c r="E22" s="611"/>
      <c r="F22" s="380" t="e">
        <f>#REF!</f>
        <v>#REF!</v>
      </c>
      <c r="G22" s="380" t="e">
        <f>#REF!</f>
        <v>#REF!</v>
      </c>
      <c r="H22" s="380" t="e">
        <f>#REF!</f>
        <v>#REF!</v>
      </c>
      <c r="I22" s="380" t="e">
        <f>#REF!</f>
        <v>#REF!</v>
      </c>
      <c r="J22" s="380" t="e">
        <f>#REF!</f>
        <v>#REF!</v>
      </c>
      <c r="K22" s="380" t="e">
        <f>#REF!</f>
        <v>#REF!</v>
      </c>
      <c r="L22" s="380" t="e">
        <f>#REF!</f>
        <v>#REF!</v>
      </c>
      <c r="M22" s="380" t="e">
        <f>#REF!</f>
        <v>#REF!</v>
      </c>
      <c r="N22" s="380" t="e">
        <f>#REF!</f>
        <v>#REF!</v>
      </c>
      <c r="O22" s="380" t="e">
        <f>#REF!</f>
        <v>#REF!</v>
      </c>
      <c r="P22" s="380" t="e">
        <f>#REF!</f>
        <v>#REF!</v>
      </c>
      <c r="Q22" s="380" t="e">
        <f>#REF!</f>
        <v>#REF!</v>
      </c>
      <c r="R22" s="380" t="e">
        <f>#REF!</f>
        <v>#REF!</v>
      </c>
      <c r="S22" s="380" t="e">
        <f>#REF!</f>
        <v>#REF!</v>
      </c>
      <c r="T22" s="380" t="e">
        <f>#REF!</f>
        <v>#REF!</v>
      </c>
      <c r="U22" s="380" t="e">
        <f>#REF!</f>
        <v>#REF!</v>
      </c>
      <c r="V22" s="381"/>
      <c r="W22" s="378"/>
      <c r="X22" s="379"/>
      <c r="Z22" s="610"/>
    </row>
    <row r="23" spans="2:26">
      <c r="B23" s="608"/>
      <c r="C23" s="609"/>
      <c r="D23" s="610"/>
      <c r="E23" s="611"/>
      <c r="F23" s="382" t="e">
        <f>#REF!</f>
        <v>#REF!</v>
      </c>
      <c r="G23" s="382" t="e">
        <f>#REF!</f>
        <v>#REF!</v>
      </c>
      <c r="H23" s="382" t="e">
        <f>#REF!</f>
        <v>#REF!</v>
      </c>
      <c r="I23" s="382" t="e">
        <f>#REF!</f>
        <v>#REF!</v>
      </c>
      <c r="J23" s="382" t="e">
        <f>#REF!</f>
        <v>#REF!</v>
      </c>
      <c r="K23" s="382" t="e">
        <f>#REF!</f>
        <v>#REF!</v>
      </c>
      <c r="L23" s="382" t="e">
        <f>#REF!</f>
        <v>#REF!</v>
      </c>
      <c r="M23" s="382" t="e">
        <f>#REF!</f>
        <v>#REF!</v>
      </c>
      <c r="N23" s="382" t="e">
        <f>#REF!</f>
        <v>#REF!</v>
      </c>
      <c r="O23" s="382" t="e">
        <f>#REF!</f>
        <v>#REF!</v>
      </c>
      <c r="P23" s="382" t="e">
        <f>#REF!</f>
        <v>#REF!</v>
      </c>
      <c r="Q23" s="382" t="e">
        <f>#REF!</f>
        <v>#REF!</v>
      </c>
      <c r="R23" s="382" t="e">
        <f>#REF!</f>
        <v>#REF!</v>
      </c>
      <c r="S23" s="382" t="e">
        <f>#REF!</f>
        <v>#REF!</v>
      </c>
      <c r="T23" s="382" t="e">
        <f>#REF!</f>
        <v>#REF!</v>
      </c>
      <c r="U23" s="382" t="e">
        <f>#REF!</f>
        <v>#REF!</v>
      </c>
      <c r="V23" s="381"/>
      <c r="W23" s="378"/>
      <c r="X23" s="379"/>
      <c r="Z23" s="610"/>
    </row>
    <row r="24" spans="2:26">
      <c r="B24" s="608"/>
      <c r="C24" s="609"/>
      <c r="D24" s="610"/>
      <c r="E24" s="611"/>
      <c r="F24" s="383">
        <f>F21*$D21</f>
        <v>206294.5</v>
      </c>
      <c r="G24" s="383"/>
      <c r="H24" s="383"/>
      <c r="I24" s="383"/>
      <c r="J24" s="383"/>
      <c r="K24" s="383"/>
      <c r="L24" s="383"/>
      <c r="M24" s="383"/>
      <c r="N24" s="383"/>
      <c r="O24" s="383"/>
      <c r="P24" s="383"/>
      <c r="Q24" s="383"/>
      <c r="R24" s="383"/>
      <c r="S24" s="383"/>
      <c r="T24" s="383"/>
      <c r="U24" s="383"/>
      <c r="V24" s="384">
        <f>SUM(F24:U24)</f>
        <v>206294.5</v>
      </c>
      <c r="W24" s="385">
        <f>V24-D21</f>
        <v>0</v>
      </c>
      <c r="X24" s="375">
        <f>SUM(F25:U25)</f>
        <v>1</v>
      </c>
      <c r="Z24" s="610"/>
    </row>
    <row r="25" spans="2:26" ht="14.25" customHeight="1">
      <c r="B25" s="608" t="s">
        <v>93</v>
      </c>
      <c r="C25" s="609" t="s">
        <v>94</v>
      </c>
      <c r="D25" s="610">
        <v>278948.02</v>
      </c>
      <c r="E25" s="611">
        <f>D25/$D$178</f>
        <v>2.2086145684877274E-2</v>
      </c>
      <c r="F25" s="376">
        <v>0.9</v>
      </c>
      <c r="G25" s="376">
        <v>0.1</v>
      </c>
      <c r="H25" s="376"/>
      <c r="I25" s="376"/>
      <c r="J25" s="376"/>
      <c r="K25" s="376"/>
      <c r="L25" s="376"/>
      <c r="M25" s="376"/>
      <c r="N25" s="376"/>
      <c r="O25" s="376"/>
      <c r="P25" s="376"/>
      <c r="Q25" s="376"/>
      <c r="R25" s="376"/>
      <c r="S25" s="376"/>
      <c r="T25" s="376"/>
      <c r="U25" s="376"/>
      <c r="V25" s="377">
        <f>SUM(F25:U25)</f>
        <v>1</v>
      </c>
      <c r="W25" s="378"/>
      <c r="X25" s="375">
        <f>SUM(F28:U28)</f>
        <v>278948.02</v>
      </c>
      <c r="Z25" s="610">
        <v>278948.02</v>
      </c>
    </row>
    <row r="26" spans="2:26">
      <c r="B26" s="608"/>
      <c r="C26" s="609"/>
      <c r="D26" s="610"/>
      <c r="E26" s="611"/>
      <c r="F26" s="380" t="e">
        <f>#REF!</f>
        <v>#REF!</v>
      </c>
      <c r="G26" s="380" t="e">
        <f>#REF!</f>
        <v>#REF!</v>
      </c>
      <c r="H26" s="380" t="e">
        <f>#REF!</f>
        <v>#REF!</v>
      </c>
      <c r="I26" s="380" t="e">
        <f>#REF!</f>
        <v>#REF!</v>
      </c>
      <c r="J26" s="380" t="e">
        <f>#REF!</f>
        <v>#REF!</v>
      </c>
      <c r="K26" s="380" t="e">
        <f>#REF!</f>
        <v>#REF!</v>
      </c>
      <c r="L26" s="380" t="e">
        <f>#REF!</f>
        <v>#REF!</v>
      </c>
      <c r="M26" s="380" t="e">
        <f>#REF!</f>
        <v>#REF!</v>
      </c>
      <c r="N26" s="380" t="e">
        <f>#REF!</f>
        <v>#REF!</v>
      </c>
      <c r="O26" s="380" t="e">
        <f>#REF!</f>
        <v>#REF!</v>
      </c>
      <c r="P26" s="380" t="e">
        <f>#REF!</f>
        <v>#REF!</v>
      </c>
      <c r="Q26" s="380" t="e">
        <f>#REF!</f>
        <v>#REF!</v>
      </c>
      <c r="R26" s="380" t="e">
        <f>#REF!</f>
        <v>#REF!</v>
      </c>
      <c r="S26" s="380" t="e">
        <f>#REF!</f>
        <v>#REF!</v>
      </c>
      <c r="T26" s="380" t="e">
        <f>#REF!</f>
        <v>#REF!</v>
      </c>
      <c r="U26" s="380" t="e">
        <f>#REF!</f>
        <v>#REF!</v>
      </c>
      <c r="V26" s="381"/>
      <c r="W26" s="378"/>
      <c r="X26" s="375"/>
      <c r="Z26" s="610"/>
    </row>
    <row r="27" spans="2:26">
      <c r="B27" s="608"/>
      <c r="C27" s="609"/>
      <c r="D27" s="610"/>
      <c r="E27" s="611"/>
      <c r="F27" s="382" t="e">
        <f>#REF!</f>
        <v>#REF!</v>
      </c>
      <c r="G27" s="382" t="e">
        <f>#REF!</f>
        <v>#REF!</v>
      </c>
      <c r="H27" s="382" t="e">
        <f>#REF!</f>
        <v>#REF!</v>
      </c>
      <c r="I27" s="382" t="e">
        <f>#REF!</f>
        <v>#REF!</v>
      </c>
      <c r="J27" s="382" t="e">
        <f>#REF!</f>
        <v>#REF!</v>
      </c>
      <c r="K27" s="382" t="e">
        <f>#REF!</f>
        <v>#REF!</v>
      </c>
      <c r="L27" s="382" t="e">
        <f>#REF!</f>
        <v>#REF!</v>
      </c>
      <c r="M27" s="382" t="e">
        <f>#REF!</f>
        <v>#REF!</v>
      </c>
      <c r="N27" s="382" t="e">
        <f>#REF!</f>
        <v>#REF!</v>
      </c>
      <c r="O27" s="382" t="e">
        <f>#REF!</f>
        <v>#REF!</v>
      </c>
      <c r="P27" s="382" t="e">
        <f>#REF!</f>
        <v>#REF!</v>
      </c>
      <c r="Q27" s="382" t="e">
        <f>#REF!</f>
        <v>#REF!</v>
      </c>
      <c r="R27" s="382" t="e">
        <f>#REF!</f>
        <v>#REF!</v>
      </c>
      <c r="S27" s="382" t="e">
        <f>#REF!</f>
        <v>#REF!</v>
      </c>
      <c r="T27" s="382" t="e">
        <f>#REF!</f>
        <v>#REF!</v>
      </c>
      <c r="U27" s="382" t="e">
        <f>#REF!</f>
        <v>#REF!</v>
      </c>
      <c r="V27" s="381"/>
      <c r="W27" s="378"/>
      <c r="X27" s="375"/>
      <c r="Z27" s="610"/>
    </row>
    <row r="28" spans="2:26">
      <c r="B28" s="608"/>
      <c r="C28" s="609"/>
      <c r="D28" s="610"/>
      <c r="E28" s="611"/>
      <c r="F28" s="383">
        <f>F25*$D25</f>
        <v>251053.21800000002</v>
      </c>
      <c r="G28" s="383">
        <f>G25*$D25</f>
        <v>27894.802000000003</v>
      </c>
      <c r="H28" s="383"/>
      <c r="I28" s="383"/>
      <c r="J28" s="383"/>
      <c r="K28" s="383"/>
      <c r="L28" s="383"/>
      <c r="M28" s="383"/>
      <c r="N28" s="383"/>
      <c r="O28" s="383"/>
      <c r="P28" s="383"/>
      <c r="Q28" s="383"/>
      <c r="R28" s="383"/>
      <c r="S28" s="383"/>
      <c r="T28" s="383"/>
      <c r="U28" s="383"/>
      <c r="V28" s="384">
        <f>SUM(F28:U28)</f>
        <v>278948.02</v>
      </c>
      <c r="W28" s="385">
        <f>V28-D25</f>
        <v>0</v>
      </c>
      <c r="X28" s="375">
        <f>SUM(F29:U29)</f>
        <v>1</v>
      </c>
      <c r="Z28" s="610"/>
    </row>
    <row r="29" spans="2:26" ht="14.25" customHeight="1">
      <c r="B29" s="608" t="s">
        <v>114</v>
      </c>
      <c r="C29" s="609" t="s">
        <v>2179</v>
      </c>
      <c r="D29" s="610">
        <v>316036.93</v>
      </c>
      <c r="E29" s="611">
        <f>D29/$D$178</f>
        <v>2.5022718131433093E-2</v>
      </c>
      <c r="F29" s="376">
        <v>0.1</v>
      </c>
      <c r="G29" s="376">
        <v>0.3</v>
      </c>
      <c r="H29" s="376">
        <v>0.3</v>
      </c>
      <c r="I29" s="376">
        <v>0.3</v>
      </c>
      <c r="J29" s="376"/>
      <c r="K29" s="376"/>
      <c r="L29" s="376"/>
      <c r="M29" s="376"/>
      <c r="N29" s="376"/>
      <c r="O29" s="376"/>
      <c r="P29" s="376"/>
      <c r="Q29" s="376"/>
      <c r="R29" s="376"/>
      <c r="S29" s="376"/>
      <c r="T29" s="376"/>
      <c r="U29" s="376"/>
      <c r="V29" s="377">
        <f>SUM(F29:U29)</f>
        <v>1</v>
      </c>
      <c r="W29" s="378"/>
      <c r="X29" s="375">
        <f>SUM(F32:U32)</f>
        <v>316036.93</v>
      </c>
      <c r="Z29" s="610">
        <v>316036.93</v>
      </c>
    </row>
    <row r="30" spans="2:26">
      <c r="B30" s="608"/>
      <c r="C30" s="609"/>
      <c r="D30" s="610"/>
      <c r="E30" s="611"/>
      <c r="F30" s="380" t="e">
        <f>#REF!</f>
        <v>#REF!</v>
      </c>
      <c r="G30" s="380" t="e">
        <f>#REF!</f>
        <v>#REF!</v>
      </c>
      <c r="H30" s="380" t="e">
        <f>#REF!</f>
        <v>#REF!</v>
      </c>
      <c r="I30" s="380" t="e">
        <f>#REF!</f>
        <v>#REF!</v>
      </c>
      <c r="J30" s="380" t="e">
        <f>#REF!</f>
        <v>#REF!</v>
      </c>
      <c r="K30" s="380" t="e">
        <f>#REF!</f>
        <v>#REF!</v>
      </c>
      <c r="L30" s="380" t="e">
        <f>#REF!</f>
        <v>#REF!</v>
      </c>
      <c r="M30" s="380" t="e">
        <f>#REF!</f>
        <v>#REF!</v>
      </c>
      <c r="N30" s="380" t="e">
        <f>#REF!</f>
        <v>#REF!</v>
      </c>
      <c r="O30" s="380" t="e">
        <f>#REF!</f>
        <v>#REF!</v>
      </c>
      <c r="P30" s="380" t="e">
        <f>#REF!</f>
        <v>#REF!</v>
      </c>
      <c r="Q30" s="380" t="e">
        <f>#REF!</f>
        <v>#REF!</v>
      </c>
      <c r="R30" s="380" t="e">
        <f>#REF!</f>
        <v>#REF!</v>
      </c>
      <c r="S30" s="380" t="e">
        <f>#REF!</f>
        <v>#REF!</v>
      </c>
      <c r="T30" s="380" t="e">
        <f>#REF!</f>
        <v>#REF!</v>
      </c>
      <c r="U30" s="380" t="e">
        <f>#REF!</f>
        <v>#REF!</v>
      </c>
      <c r="V30" s="381"/>
      <c r="W30" s="378"/>
      <c r="X30" s="375"/>
      <c r="Z30" s="610"/>
    </row>
    <row r="31" spans="2:26">
      <c r="B31" s="608"/>
      <c r="C31" s="609"/>
      <c r="D31" s="610"/>
      <c r="E31" s="611"/>
      <c r="F31" s="382" t="e">
        <f>#REF!</f>
        <v>#REF!</v>
      </c>
      <c r="G31" s="382" t="e">
        <f>#REF!</f>
        <v>#REF!</v>
      </c>
      <c r="H31" s="382" t="e">
        <f>#REF!</f>
        <v>#REF!</v>
      </c>
      <c r="I31" s="382" t="e">
        <f>#REF!</f>
        <v>#REF!</v>
      </c>
      <c r="J31" s="382" t="e">
        <f>#REF!</f>
        <v>#REF!</v>
      </c>
      <c r="K31" s="382" t="e">
        <f>#REF!</f>
        <v>#REF!</v>
      </c>
      <c r="L31" s="382" t="e">
        <f>#REF!</f>
        <v>#REF!</v>
      </c>
      <c r="M31" s="382" t="e">
        <f>#REF!</f>
        <v>#REF!</v>
      </c>
      <c r="N31" s="382" t="e">
        <f>#REF!</f>
        <v>#REF!</v>
      </c>
      <c r="O31" s="382" t="e">
        <f>#REF!</f>
        <v>#REF!</v>
      </c>
      <c r="P31" s="382" t="e">
        <f>#REF!</f>
        <v>#REF!</v>
      </c>
      <c r="Q31" s="382" t="e">
        <f>#REF!</f>
        <v>#REF!</v>
      </c>
      <c r="R31" s="382" t="e">
        <f>#REF!</f>
        <v>#REF!</v>
      </c>
      <c r="S31" s="382" t="e">
        <f>#REF!</f>
        <v>#REF!</v>
      </c>
      <c r="T31" s="382" t="e">
        <f>#REF!</f>
        <v>#REF!</v>
      </c>
      <c r="U31" s="382" t="e">
        <f>#REF!</f>
        <v>#REF!</v>
      </c>
      <c r="V31" s="381"/>
      <c r="W31" s="378"/>
      <c r="X31" s="375"/>
      <c r="Z31" s="610"/>
    </row>
    <row r="32" spans="2:26">
      <c r="B32" s="608"/>
      <c r="C32" s="609"/>
      <c r="D32" s="610"/>
      <c r="E32" s="611"/>
      <c r="F32" s="383">
        <f>F29*$D29</f>
        <v>31603.692999999999</v>
      </c>
      <c r="G32" s="383">
        <f>G29*$D29</f>
        <v>94811.078999999998</v>
      </c>
      <c r="H32" s="383">
        <f>H29*$D29</f>
        <v>94811.078999999998</v>
      </c>
      <c r="I32" s="383">
        <f>I29*$D29</f>
        <v>94811.078999999998</v>
      </c>
      <c r="J32" s="383"/>
      <c r="K32" s="383"/>
      <c r="L32" s="383"/>
      <c r="M32" s="383"/>
      <c r="N32" s="383"/>
      <c r="O32" s="383"/>
      <c r="P32" s="383"/>
      <c r="Q32" s="383"/>
      <c r="R32" s="383"/>
      <c r="S32" s="383"/>
      <c r="T32" s="383"/>
      <c r="U32" s="383"/>
      <c r="V32" s="384">
        <f>SUM(F32:U32)</f>
        <v>316036.93</v>
      </c>
      <c r="W32" s="385">
        <f>V32-D29</f>
        <v>0</v>
      </c>
      <c r="X32" s="375">
        <f>SUM(F33:U33)</f>
        <v>1</v>
      </c>
      <c r="Z32" s="610"/>
    </row>
    <row r="33" spans="2:26" ht="14.25" customHeight="1">
      <c r="B33" s="608" t="s">
        <v>138</v>
      </c>
      <c r="C33" s="609" t="s">
        <v>139</v>
      </c>
      <c r="D33" s="610">
        <v>287263.99</v>
      </c>
      <c r="E33" s="611">
        <f>D33/$D$178</f>
        <v>2.2744575613618364E-2</v>
      </c>
      <c r="F33" s="376"/>
      <c r="G33" s="376"/>
      <c r="H33" s="376">
        <v>0.2</v>
      </c>
      <c r="I33" s="376">
        <v>0.2</v>
      </c>
      <c r="J33" s="376">
        <v>0.3</v>
      </c>
      <c r="K33" s="376">
        <v>0.3</v>
      </c>
      <c r="L33" s="376"/>
      <c r="M33" s="376"/>
      <c r="N33" s="376"/>
      <c r="O33" s="376"/>
      <c r="P33" s="376"/>
      <c r="Q33" s="376"/>
      <c r="R33" s="376"/>
      <c r="S33" s="376"/>
      <c r="T33" s="376"/>
      <c r="U33" s="376"/>
      <c r="V33" s="377">
        <f>SUM(F33:U33)</f>
        <v>1</v>
      </c>
      <c r="W33" s="378"/>
      <c r="X33" s="375">
        <f>SUM(F36:U36)</f>
        <v>287263.99</v>
      </c>
      <c r="Z33" s="610">
        <v>287263.99</v>
      </c>
    </row>
    <row r="34" spans="2:26">
      <c r="B34" s="608"/>
      <c r="C34" s="609"/>
      <c r="D34" s="610"/>
      <c r="E34" s="611"/>
      <c r="F34" s="380" t="e">
        <f>#REF!</f>
        <v>#REF!</v>
      </c>
      <c r="G34" s="380" t="e">
        <f>#REF!</f>
        <v>#REF!</v>
      </c>
      <c r="H34" s="380" t="e">
        <f>#REF!</f>
        <v>#REF!</v>
      </c>
      <c r="I34" s="380" t="e">
        <f>#REF!</f>
        <v>#REF!</v>
      </c>
      <c r="J34" s="380" t="e">
        <f>#REF!</f>
        <v>#REF!</v>
      </c>
      <c r="K34" s="380" t="e">
        <f>#REF!</f>
        <v>#REF!</v>
      </c>
      <c r="L34" s="380" t="e">
        <f>#REF!</f>
        <v>#REF!</v>
      </c>
      <c r="M34" s="380" t="e">
        <f>#REF!</f>
        <v>#REF!</v>
      </c>
      <c r="N34" s="380" t="e">
        <f>#REF!</f>
        <v>#REF!</v>
      </c>
      <c r="O34" s="380" t="e">
        <f>#REF!</f>
        <v>#REF!</v>
      </c>
      <c r="P34" s="380" t="e">
        <f>#REF!</f>
        <v>#REF!</v>
      </c>
      <c r="Q34" s="380" t="e">
        <f>#REF!</f>
        <v>#REF!</v>
      </c>
      <c r="R34" s="380" t="e">
        <f>#REF!</f>
        <v>#REF!</v>
      </c>
      <c r="S34" s="380" t="e">
        <f>#REF!</f>
        <v>#REF!</v>
      </c>
      <c r="T34" s="380" t="e">
        <f>#REF!</f>
        <v>#REF!</v>
      </c>
      <c r="U34" s="380" t="e">
        <f>#REF!</f>
        <v>#REF!</v>
      </c>
      <c r="V34" s="381"/>
      <c r="W34" s="378"/>
      <c r="X34" s="375"/>
      <c r="Z34" s="610"/>
    </row>
    <row r="35" spans="2:26">
      <c r="B35" s="608"/>
      <c r="C35" s="609"/>
      <c r="D35" s="610"/>
      <c r="E35" s="611"/>
      <c r="F35" s="382" t="e">
        <f>#REF!</f>
        <v>#REF!</v>
      </c>
      <c r="G35" s="382" t="e">
        <f>#REF!</f>
        <v>#REF!</v>
      </c>
      <c r="H35" s="382" t="e">
        <f>#REF!</f>
        <v>#REF!</v>
      </c>
      <c r="I35" s="382" t="e">
        <f>#REF!</f>
        <v>#REF!</v>
      </c>
      <c r="J35" s="382" t="e">
        <f>#REF!</f>
        <v>#REF!</v>
      </c>
      <c r="K35" s="382" t="e">
        <f>#REF!</f>
        <v>#REF!</v>
      </c>
      <c r="L35" s="382" t="e">
        <f>#REF!</f>
        <v>#REF!</v>
      </c>
      <c r="M35" s="382" t="e">
        <f>#REF!</f>
        <v>#REF!</v>
      </c>
      <c r="N35" s="382" t="e">
        <f>#REF!</f>
        <v>#REF!</v>
      </c>
      <c r="O35" s="382" t="e">
        <f>#REF!</f>
        <v>#REF!</v>
      </c>
      <c r="P35" s="382" t="e">
        <f>#REF!</f>
        <v>#REF!</v>
      </c>
      <c r="Q35" s="382" t="e">
        <f>#REF!</f>
        <v>#REF!</v>
      </c>
      <c r="R35" s="382" t="e">
        <f>#REF!</f>
        <v>#REF!</v>
      </c>
      <c r="S35" s="382" t="e">
        <f>#REF!</f>
        <v>#REF!</v>
      </c>
      <c r="T35" s="382" t="e">
        <f>#REF!</f>
        <v>#REF!</v>
      </c>
      <c r="U35" s="382" t="e">
        <f>#REF!</f>
        <v>#REF!</v>
      </c>
      <c r="V35" s="381"/>
      <c r="W35" s="378"/>
      <c r="X35" s="375"/>
      <c r="Z35" s="610"/>
    </row>
    <row r="36" spans="2:26">
      <c r="B36" s="608"/>
      <c r="C36" s="609"/>
      <c r="D36" s="610"/>
      <c r="E36" s="611"/>
      <c r="F36" s="383"/>
      <c r="G36" s="383"/>
      <c r="H36" s="383">
        <f>H33*$D33</f>
        <v>57452.798000000003</v>
      </c>
      <c r="I36" s="383">
        <f>I33*$D33</f>
        <v>57452.798000000003</v>
      </c>
      <c r="J36" s="383">
        <f>J33*$D33</f>
        <v>86179.197</v>
      </c>
      <c r="K36" s="383">
        <f>K33*$D33</f>
        <v>86179.197</v>
      </c>
      <c r="L36" s="383"/>
      <c r="M36" s="383"/>
      <c r="N36" s="383"/>
      <c r="O36" s="383"/>
      <c r="P36" s="383"/>
      <c r="Q36" s="383"/>
      <c r="R36" s="383"/>
      <c r="S36" s="383"/>
      <c r="T36" s="383"/>
      <c r="U36" s="383"/>
      <c r="V36" s="384">
        <f>SUM(F36:U36)</f>
        <v>287263.99</v>
      </c>
      <c r="W36" s="385">
        <f>V36-D33</f>
        <v>0</v>
      </c>
      <c r="X36" s="375">
        <f>SUM(F37:U37)</f>
        <v>1</v>
      </c>
      <c r="Z36" s="610"/>
    </row>
    <row r="37" spans="2:26" ht="14.25" customHeight="1">
      <c r="B37" s="608" t="s">
        <v>170</v>
      </c>
      <c r="C37" s="609" t="s">
        <v>2180</v>
      </c>
      <c r="D37" s="610">
        <v>133413.35999999999</v>
      </c>
      <c r="E37" s="611">
        <f>D37/$D$178</f>
        <v>1.0563211401425176E-2</v>
      </c>
      <c r="F37" s="376"/>
      <c r="G37" s="376"/>
      <c r="H37" s="376">
        <v>0.05</v>
      </c>
      <c r="I37" s="376">
        <v>0.2</v>
      </c>
      <c r="J37" s="376">
        <v>0.2</v>
      </c>
      <c r="K37" s="376">
        <v>0.45</v>
      </c>
      <c r="L37" s="376">
        <v>0.1</v>
      </c>
      <c r="M37" s="376"/>
      <c r="N37" s="376"/>
      <c r="O37" s="376"/>
      <c r="P37" s="376"/>
      <c r="Q37" s="376"/>
      <c r="R37" s="376"/>
      <c r="S37" s="376"/>
      <c r="T37" s="376"/>
      <c r="U37" s="376"/>
      <c r="V37" s="377">
        <f>SUM(F37:U37)</f>
        <v>1</v>
      </c>
      <c r="W37" s="378"/>
      <c r="X37" s="375">
        <f>SUM(F40:U40)</f>
        <v>133413.35999999999</v>
      </c>
      <c r="Z37" s="610">
        <v>133413.35999999999</v>
      </c>
    </row>
    <row r="38" spans="2:26">
      <c r="B38" s="608"/>
      <c r="C38" s="609"/>
      <c r="D38" s="610"/>
      <c r="E38" s="611"/>
      <c r="F38" s="380" t="e">
        <f>#REF!</f>
        <v>#REF!</v>
      </c>
      <c r="G38" s="380" t="e">
        <f>#REF!</f>
        <v>#REF!</v>
      </c>
      <c r="H38" s="380" t="e">
        <f>#REF!</f>
        <v>#REF!</v>
      </c>
      <c r="I38" s="380" t="e">
        <f>#REF!</f>
        <v>#REF!</v>
      </c>
      <c r="J38" s="380" t="e">
        <f>#REF!</f>
        <v>#REF!</v>
      </c>
      <c r="K38" s="380" t="e">
        <f>#REF!</f>
        <v>#REF!</v>
      </c>
      <c r="L38" s="380" t="e">
        <f>#REF!</f>
        <v>#REF!</v>
      </c>
      <c r="M38" s="380" t="e">
        <f>#REF!</f>
        <v>#REF!</v>
      </c>
      <c r="N38" s="380" t="e">
        <f>#REF!</f>
        <v>#REF!</v>
      </c>
      <c r="O38" s="380" t="e">
        <f>#REF!</f>
        <v>#REF!</v>
      </c>
      <c r="P38" s="380" t="e">
        <f>#REF!</f>
        <v>#REF!</v>
      </c>
      <c r="Q38" s="380" t="e">
        <f>#REF!</f>
        <v>#REF!</v>
      </c>
      <c r="R38" s="380" t="e">
        <f>#REF!</f>
        <v>#REF!</v>
      </c>
      <c r="S38" s="380" t="e">
        <f>#REF!</f>
        <v>#REF!</v>
      </c>
      <c r="T38" s="380" t="e">
        <f>#REF!</f>
        <v>#REF!</v>
      </c>
      <c r="U38" s="380" t="e">
        <f>#REF!</f>
        <v>#REF!</v>
      </c>
      <c r="V38" s="381"/>
      <c r="W38" s="378"/>
      <c r="X38" s="375"/>
      <c r="Z38" s="610"/>
    </row>
    <row r="39" spans="2:26">
      <c r="B39" s="608"/>
      <c r="C39" s="609"/>
      <c r="D39" s="610"/>
      <c r="E39" s="611"/>
      <c r="F39" s="382" t="e">
        <f>#REF!</f>
        <v>#REF!</v>
      </c>
      <c r="G39" s="382" t="e">
        <f>#REF!</f>
        <v>#REF!</v>
      </c>
      <c r="H39" s="382" t="e">
        <f>#REF!</f>
        <v>#REF!</v>
      </c>
      <c r="I39" s="382" t="e">
        <f>#REF!</f>
        <v>#REF!</v>
      </c>
      <c r="J39" s="382" t="e">
        <f>#REF!</f>
        <v>#REF!</v>
      </c>
      <c r="K39" s="382" t="e">
        <f>#REF!</f>
        <v>#REF!</v>
      </c>
      <c r="L39" s="382" t="e">
        <f>#REF!</f>
        <v>#REF!</v>
      </c>
      <c r="M39" s="382" t="e">
        <f>#REF!</f>
        <v>#REF!</v>
      </c>
      <c r="N39" s="382" t="e">
        <f>#REF!</f>
        <v>#REF!</v>
      </c>
      <c r="O39" s="382" t="e">
        <f>#REF!</f>
        <v>#REF!</v>
      </c>
      <c r="P39" s="382" t="e">
        <f>#REF!</f>
        <v>#REF!</v>
      </c>
      <c r="Q39" s="382" t="e">
        <f>#REF!</f>
        <v>#REF!</v>
      </c>
      <c r="R39" s="382" t="e">
        <f>#REF!</f>
        <v>#REF!</v>
      </c>
      <c r="S39" s="382" t="e">
        <f>#REF!</f>
        <v>#REF!</v>
      </c>
      <c r="T39" s="382" t="e">
        <f>#REF!</f>
        <v>#REF!</v>
      </c>
      <c r="U39" s="382" t="e">
        <f>#REF!</f>
        <v>#REF!</v>
      </c>
      <c r="V39" s="381"/>
      <c r="W39" s="378"/>
      <c r="X39" s="375"/>
      <c r="Z39" s="610"/>
    </row>
    <row r="40" spans="2:26">
      <c r="B40" s="608"/>
      <c r="C40" s="609"/>
      <c r="D40" s="610"/>
      <c r="E40" s="611"/>
      <c r="F40" s="383"/>
      <c r="G40" s="383"/>
      <c r="H40" s="383">
        <f>H37*$D37</f>
        <v>6670.6679999999997</v>
      </c>
      <c r="I40" s="383">
        <f>I37*$D37</f>
        <v>26682.671999999999</v>
      </c>
      <c r="J40" s="383">
        <f>J37*$D37</f>
        <v>26682.671999999999</v>
      </c>
      <c r="K40" s="383">
        <f>K37*$D37</f>
        <v>60036.011999999995</v>
      </c>
      <c r="L40" s="383">
        <f>L37*$D37</f>
        <v>13341.335999999999</v>
      </c>
      <c r="M40" s="383"/>
      <c r="N40" s="383"/>
      <c r="O40" s="383"/>
      <c r="P40" s="383"/>
      <c r="Q40" s="383"/>
      <c r="R40" s="383"/>
      <c r="S40" s="383"/>
      <c r="T40" s="383"/>
      <c r="U40" s="383"/>
      <c r="V40" s="384">
        <f>SUM(F40:U40)</f>
        <v>133413.35999999999</v>
      </c>
      <c r="W40" s="385">
        <f>V40-D37</f>
        <v>0</v>
      </c>
      <c r="X40" s="375">
        <f>SUM(F41:U41)</f>
        <v>1</v>
      </c>
      <c r="Z40" s="610"/>
    </row>
    <row r="41" spans="2:26" ht="14.25" customHeight="1">
      <c r="B41" s="608" t="s">
        <v>193</v>
      </c>
      <c r="C41" s="609" t="s">
        <v>194</v>
      </c>
      <c r="D41" s="610">
        <v>692681.45</v>
      </c>
      <c r="E41" s="611">
        <f>D41/$D$178</f>
        <v>5.4844136975455253E-2</v>
      </c>
      <c r="F41" s="376"/>
      <c r="G41" s="376"/>
      <c r="H41" s="376"/>
      <c r="I41" s="376"/>
      <c r="J41" s="376">
        <v>0.2</v>
      </c>
      <c r="K41" s="376">
        <v>0.2</v>
      </c>
      <c r="L41" s="376">
        <v>0.2</v>
      </c>
      <c r="M41" s="376">
        <v>0.2</v>
      </c>
      <c r="N41" s="376">
        <v>0.2</v>
      </c>
      <c r="O41" s="376"/>
      <c r="P41" s="376"/>
      <c r="Q41" s="376"/>
      <c r="R41" s="376"/>
      <c r="S41" s="376"/>
      <c r="T41" s="376"/>
      <c r="U41" s="376"/>
      <c r="V41" s="377">
        <f>SUM(F41:U41)</f>
        <v>1</v>
      </c>
      <c r="W41" s="378"/>
      <c r="X41" s="375">
        <f>SUM(F44:U44)</f>
        <v>692681.45000000007</v>
      </c>
      <c r="Z41" s="610">
        <v>692681.45</v>
      </c>
    </row>
    <row r="42" spans="2:26">
      <c r="B42" s="608"/>
      <c r="C42" s="609"/>
      <c r="D42" s="610"/>
      <c r="E42" s="611"/>
      <c r="F42" s="380" t="e">
        <f>#REF!</f>
        <v>#REF!</v>
      </c>
      <c r="G42" s="380" t="e">
        <f>#REF!</f>
        <v>#REF!</v>
      </c>
      <c r="H42" s="380" t="e">
        <f>#REF!</f>
        <v>#REF!</v>
      </c>
      <c r="I42" s="380" t="e">
        <f>#REF!</f>
        <v>#REF!</v>
      </c>
      <c r="J42" s="380" t="e">
        <f>#REF!</f>
        <v>#REF!</v>
      </c>
      <c r="K42" s="380" t="e">
        <f>#REF!</f>
        <v>#REF!</v>
      </c>
      <c r="L42" s="380" t="e">
        <f>#REF!</f>
        <v>#REF!</v>
      </c>
      <c r="M42" s="380" t="e">
        <f>#REF!</f>
        <v>#REF!</v>
      </c>
      <c r="N42" s="380" t="e">
        <f>#REF!</f>
        <v>#REF!</v>
      </c>
      <c r="O42" s="380" t="e">
        <f>#REF!</f>
        <v>#REF!</v>
      </c>
      <c r="P42" s="380" t="e">
        <f>#REF!</f>
        <v>#REF!</v>
      </c>
      <c r="Q42" s="380" t="e">
        <f>#REF!</f>
        <v>#REF!</v>
      </c>
      <c r="R42" s="380" t="e">
        <f>#REF!</f>
        <v>#REF!</v>
      </c>
      <c r="S42" s="380" t="e">
        <f>#REF!</f>
        <v>#REF!</v>
      </c>
      <c r="T42" s="380" t="e">
        <f>#REF!</f>
        <v>#REF!</v>
      </c>
      <c r="U42" s="380" t="e">
        <f>#REF!</f>
        <v>#REF!</v>
      </c>
      <c r="V42" s="381"/>
      <c r="W42" s="378"/>
      <c r="X42" s="375"/>
      <c r="Z42" s="610"/>
    </row>
    <row r="43" spans="2:26">
      <c r="B43" s="608"/>
      <c r="C43" s="609"/>
      <c r="D43" s="610"/>
      <c r="E43" s="611"/>
      <c r="F43" s="382" t="e">
        <f>#REF!</f>
        <v>#REF!</v>
      </c>
      <c r="G43" s="382" t="e">
        <f>#REF!</f>
        <v>#REF!</v>
      </c>
      <c r="H43" s="382" t="e">
        <f>#REF!</f>
        <v>#REF!</v>
      </c>
      <c r="I43" s="382" t="e">
        <f>#REF!</f>
        <v>#REF!</v>
      </c>
      <c r="J43" s="382" t="e">
        <f>#REF!</f>
        <v>#REF!</v>
      </c>
      <c r="K43" s="382" t="e">
        <f>#REF!</f>
        <v>#REF!</v>
      </c>
      <c r="L43" s="382" t="e">
        <f>#REF!</f>
        <v>#REF!</v>
      </c>
      <c r="M43" s="382" t="e">
        <f>#REF!</f>
        <v>#REF!</v>
      </c>
      <c r="N43" s="382" t="e">
        <f>#REF!</f>
        <v>#REF!</v>
      </c>
      <c r="O43" s="382" t="e">
        <f>#REF!</f>
        <v>#REF!</v>
      </c>
      <c r="P43" s="382" t="e">
        <f>#REF!</f>
        <v>#REF!</v>
      </c>
      <c r="Q43" s="382" t="e">
        <f>#REF!</f>
        <v>#REF!</v>
      </c>
      <c r="R43" s="382" t="e">
        <f>#REF!</f>
        <v>#REF!</v>
      </c>
      <c r="S43" s="382" t="e">
        <f>#REF!</f>
        <v>#REF!</v>
      </c>
      <c r="T43" s="382" t="e">
        <f>#REF!</f>
        <v>#REF!</v>
      </c>
      <c r="U43" s="382" t="e">
        <f>#REF!</f>
        <v>#REF!</v>
      </c>
      <c r="V43" s="381"/>
      <c r="W43" s="378"/>
      <c r="X43" s="375"/>
      <c r="Z43" s="610"/>
    </row>
    <row r="44" spans="2:26">
      <c r="B44" s="608"/>
      <c r="C44" s="609"/>
      <c r="D44" s="610"/>
      <c r="E44" s="611"/>
      <c r="F44" s="383"/>
      <c r="G44" s="383"/>
      <c r="H44" s="383"/>
      <c r="I44" s="383"/>
      <c r="J44" s="383">
        <f>J41*$D41</f>
        <v>138536.29</v>
      </c>
      <c r="K44" s="383">
        <f>K41*$D41</f>
        <v>138536.29</v>
      </c>
      <c r="L44" s="383">
        <f>L41*$D41</f>
        <v>138536.29</v>
      </c>
      <c r="M44" s="383">
        <f>M41*$D41</f>
        <v>138536.29</v>
      </c>
      <c r="N44" s="383">
        <f>N41*$D41</f>
        <v>138536.29</v>
      </c>
      <c r="O44" s="383"/>
      <c r="P44" s="383"/>
      <c r="Q44" s="383"/>
      <c r="R44" s="383"/>
      <c r="S44" s="383"/>
      <c r="T44" s="383"/>
      <c r="U44" s="383"/>
      <c r="V44" s="384">
        <f>SUM(F44:U44)</f>
        <v>692681.45000000007</v>
      </c>
      <c r="W44" s="385">
        <f>V44-D41</f>
        <v>0</v>
      </c>
      <c r="X44" s="375">
        <f>SUM(F45:U45)</f>
        <v>1</v>
      </c>
      <c r="Z44" s="610"/>
    </row>
    <row r="45" spans="2:26" ht="14.25" customHeight="1">
      <c r="B45" s="608" t="s">
        <v>216</v>
      </c>
      <c r="C45" s="609" t="s">
        <v>217</v>
      </c>
      <c r="D45" s="610">
        <v>511841.52</v>
      </c>
      <c r="E45" s="611">
        <f>D45/$D$178</f>
        <v>4.0525852731591441E-2</v>
      </c>
      <c r="F45" s="376">
        <v>0.05</v>
      </c>
      <c r="G45" s="376">
        <v>0.1</v>
      </c>
      <c r="H45" s="376">
        <v>0.1</v>
      </c>
      <c r="I45" s="376">
        <v>0.1</v>
      </c>
      <c r="J45" s="376">
        <v>0.1</v>
      </c>
      <c r="K45" s="376">
        <v>0.15</v>
      </c>
      <c r="L45" s="376">
        <v>0.15</v>
      </c>
      <c r="M45" s="376">
        <v>0.15</v>
      </c>
      <c r="N45" s="376">
        <v>0.1</v>
      </c>
      <c r="O45" s="376"/>
      <c r="P45" s="376"/>
      <c r="Q45" s="376"/>
      <c r="R45" s="376"/>
      <c r="S45" s="376"/>
      <c r="T45" s="376"/>
      <c r="U45" s="376"/>
      <c r="V45" s="377">
        <f>SUM(F45:U45)</f>
        <v>1</v>
      </c>
      <c r="W45" s="378"/>
      <c r="X45" s="375">
        <f>SUM(F48:U48)</f>
        <v>511841.52</v>
      </c>
      <c r="Z45" s="610">
        <v>511841.52</v>
      </c>
    </row>
    <row r="46" spans="2:26">
      <c r="B46" s="608"/>
      <c r="C46" s="609"/>
      <c r="D46" s="610"/>
      <c r="E46" s="611"/>
      <c r="F46" s="380" t="e">
        <f>#REF!</f>
        <v>#REF!</v>
      </c>
      <c r="G46" s="380" t="e">
        <f>#REF!</f>
        <v>#REF!</v>
      </c>
      <c r="H46" s="380" t="e">
        <f>#REF!</f>
        <v>#REF!</v>
      </c>
      <c r="I46" s="380" t="e">
        <f>#REF!</f>
        <v>#REF!</v>
      </c>
      <c r="J46" s="380" t="e">
        <f>#REF!</f>
        <v>#REF!</v>
      </c>
      <c r="K46" s="380" t="e">
        <f>#REF!</f>
        <v>#REF!</v>
      </c>
      <c r="L46" s="380" t="e">
        <f>#REF!</f>
        <v>#REF!</v>
      </c>
      <c r="M46" s="380" t="e">
        <f>#REF!</f>
        <v>#REF!</v>
      </c>
      <c r="N46" s="380" t="e">
        <f>#REF!</f>
        <v>#REF!</v>
      </c>
      <c r="O46" s="380" t="e">
        <f>#REF!</f>
        <v>#REF!</v>
      </c>
      <c r="P46" s="380" t="e">
        <f>#REF!</f>
        <v>#REF!</v>
      </c>
      <c r="Q46" s="380" t="e">
        <f>#REF!</f>
        <v>#REF!</v>
      </c>
      <c r="R46" s="380" t="e">
        <f>#REF!</f>
        <v>#REF!</v>
      </c>
      <c r="S46" s="380" t="e">
        <f>#REF!</f>
        <v>#REF!</v>
      </c>
      <c r="T46" s="380" t="e">
        <f>#REF!</f>
        <v>#REF!</v>
      </c>
      <c r="U46" s="380" t="e">
        <f>#REF!</f>
        <v>#REF!</v>
      </c>
      <c r="V46" s="381"/>
      <c r="W46" s="378"/>
      <c r="X46" s="375"/>
      <c r="Z46" s="610"/>
    </row>
    <row r="47" spans="2:26">
      <c r="B47" s="608"/>
      <c r="C47" s="609"/>
      <c r="D47" s="610"/>
      <c r="E47" s="611"/>
      <c r="F47" s="382" t="e">
        <f>#REF!</f>
        <v>#REF!</v>
      </c>
      <c r="G47" s="382" t="e">
        <f>#REF!</f>
        <v>#REF!</v>
      </c>
      <c r="H47" s="382" t="e">
        <f>#REF!</f>
        <v>#REF!</v>
      </c>
      <c r="I47" s="382" t="e">
        <f>#REF!</f>
        <v>#REF!</v>
      </c>
      <c r="J47" s="382" t="e">
        <f>#REF!</f>
        <v>#REF!</v>
      </c>
      <c r="K47" s="382" t="e">
        <f>#REF!</f>
        <v>#REF!</v>
      </c>
      <c r="L47" s="382" t="e">
        <f>#REF!</f>
        <v>#REF!</v>
      </c>
      <c r="M47" s="382" t="e">
        <f>#REF!</f>
        <v>#REF!</v>
      </c>
      <c r="N47" s="382" t="e">
        <f>#REF!</f>
        <v>#REF!</v>
      </c>
      <c r="O47" s="382" t="e">
        <f>#REF!</f>
        <v>#REF!</v>
      </c>
      <c r="P47" s="382" t="e">
        <f>#REF!</f>
        <v>#REF!</v>
      </c>
      <c r="Q47" s="382" t="e">
        <f>#REF!</f>
        <v>#REF!</v>
      </c>
      <c r="R47" s="382" t="e">
        <f>#REF!</f>
        <v>#REF!</v>
      </c>
      <c r="S47" s="382" t="e">
        <f>#REF!</f>
        <v>#REF!</v>
      </c>
      <c r="T47" s="382" t="e">
        <f>#REF!</f>
        <v>#REF!</v>
      </c>
      <c r="U47" s="382" t="e">
        <f>#REF!</f>
        <v>#REF!</v>
      </c>
      <c r="V47" s="381"/>
      <c r="W47" s="378"/>
      <c r="X47" s="375"/>
      <c r="Z47" s="610"/>
    </row>
    <row r="48" spans="2:26">
      <c r="B48" s="608"/>
      <c r="C48" s="609"/>
      <c r="D48" s="610"/>
      <c r="E48" s="611"/>
      <c r="F48" s="383">
        <f t="shared" ref="F48:N48" si="1">F45*$D45</f>
        <v>25592.076000000001</v>
      </c>
      <c r="G48" s="383">
        <f t="shared" si="1"/>
        <v>51184.152000000002</v>
      </c>
      <c r="H48" s="383">
        <f t="shared" si="1"/>
        <v>51184.152000000002</v>
      </c>
      <c r="I48" s="383">
        <f t="shared" si="1"/>
        <v>51184.152000000002</v>
      </c>
      <c r="J48" s="383">
        <f t="shared" si="1"/>
        <v>51184.152000000002</v>
      </c>
      <c r="K48" s="383">
        <f t="shared" si="1"/>
        <v>76776.228000000003</v>
      </c>
      <c r="L48" s="383">
        <f t="shared" si="1"/>
        <v>76776.228000000003</v>
      </c>
      <c r="M48" s="383">
        <f t="shared" si="1"/>
        <v>76776.228000000003</v>
      </c>
      <c r="N48" s="383">
        <f t="shared" si="1"/>
        <v>51184.152000000002</v>
      </c>
      <c r="O48" s="383"/>
      <c r="P48" s="383"/>
      <c r="Q48" s="383"/>
      <c r="R48" s="383"/>
      <c r="S48" s="383"/>
      <c r="T48" s="383"/>
      <c r="U48" s="383"/>
      <c r="V48" s="384">
        <f>SUM(F48:U48)</f>
        <v>511841.52</v>
      </c>
      <c r="W48" s="385">
        <f>V48-D45</f>
        <v>0</v>
      </c>
      <c r="X48" s="375">
        <f>SUM(F89:U89)</f>
        <v>1</v>
      </c>
      <c r="Z48" s="610"/>
    </row>
    <row r="49" spans="2:26" ht="14.25" customHeight="1">
      <c r="B49" s="608" t="s">
        <v>234</v>
      </c>
      <c r="C49" s="609" t="s">
        <v>235</v>
      </c>
      <c r="D49" s="610">
        <v>1435067.95</v>
      </c>
      <c r="E49" s="611">
        <f>D49/$D$178</f>
        <v>0.11362374901029293</v>
      </c>
      <c r="F49" s="376"/>
      <c r="G49" s="376"/>
      <c r="H49" s="376"/>
      <c r="I49" s="376">
        <v>0.05</v>
      </c>
      <c r="J49" s="376">
        <v>0.15</v>
      </c>
      <c r="K49" s="376">
        <v>0.15</v>
      </c>
      <c r="L49" s="376">
        <v>0.15</v>
      </c>
      <c r="M49" s="376">
        <v>0.15</v>
      </c>
      <c r="N49" s="376">
        <v>0.15</v>
      </c>
      <c r="O49" s="376">
        <v>0.2</v>
      </c>
      <c r="P49" s="376"/>
      <c r="Q49" s="376"/>
      <c r="R49" s="376"/>
      <c r="S49" s="376"/>
      <c r="T49" s="376"/>
      <c r="U49" s="376"/>
      <c r="V49" s="377">
        <f>SUM(F49:U49)</f>
        <v>1</v>
      </c>
      <c r="W49" s="378"/>
      <c r="X49" s="375">
        <f>SUM(F52:U52)</f>
        <v>1435067.95</v>
      </c>
      <c r="Z49" s="610">
        <v>1435067.95</v>
      </c>
    </row>
    <row r="50" spans="2:26">
      <c r="B50" s="608"/>
      <c r="C50" s="609"/>
      <c r="D50" s="610"/>
      <c r="E50" s="611"/>
      <c r="F50" s="380" t="e">
        <f>#REF!</f>
        <v>#REF!</v>
      </c>
      <c r="G50" s="380" t="e">
        <f>#REF!</f>
        <v>#REF!</v>
      </c>
      <c r="H50" s="380" t="e">
        <f>#REF!</f>
        <v>#REF!</v>
      </c>
      <c r="I50" s="380" t="e">
        <f>#REF!</f>
        <v>#REF!</v>
      </c>
      <c r="J50" s="380" t="e">
        <f>#REF!</f>
        <v>#REF!</v>
      </c>
      <c r="K50" s="380" t="e">
        <f>#REF!</f>
        <v>#REF!</v>
      </c>
      <c r="L50" s="380" t="e">
        <f>#REF!</f>
        <v>#REF!</v>
      </c>
      <c r="M50" s="380" t="e">
        <f>#REF!</f>
        <v>#REF!</v>
      </c>
      <c r="N50" s="380" t="e">
        <f>#REF!</f>
        <v>#REF!</v>
      </c>
      <c r="O50" s="380" t="e">
        <f>#REF!</f>
        <v>#REF!</v>
      </c>
      <c r="P50" s="380" t="e">
        <f>#REF!</f>
        <v>#REF!</v>
      </c>
      <c r="Q50" s="380" t="e">
        <f>#REF!</f>
        <v>#REF!</v>
      </c>
      <c r="R50" s="380" t="e">
        <f>#REF!</f>
        <v>#REF!</v>
      </c>
      <c r="S50" s="380" t="e">
        <f>#REF!</f>
        <v>#REF!</v>
      </c>
      <c r="T50" s="380" t="e">
        <f>#REF!</f>
        <v>#REF!</v>
      </c>
      <c r="U50" s="380" t="e">
        <f>#REF!</f>
        <v>#REF!</v>
      </c>
      <c r="V50" s="381"/>
      <c r="W50" s="378"/>
      <c r="X50" s="375"/>
      <c r="Z50" s="610"/>
    </row>
    <row r="51" spans="2:26">
      <c r="B51" s="608"/>
      <c r="C51" s="609"/>
      <c r="D51" s="610"/>
      <c r="E51" s="611"/>
      <c r="F51" s="382" t="e">
        <f>#REF!</f>
        <v>#REF!</v>
      </c>
      <c r="G51" s="382" t="e">
        <f>#REF!</f>
        <v>#REF!</v>
      </c>
      <c r="H51" s="382" t="e">
        <f>#REF!</f>
        <v>#REF!</v>
      </c>
      <c r="I51" s="382" t="e">
        <f>#REF!</f>
        <v>#REF!</v>
      </c>
      <c r="J51" s="382" t="e">
        <f>#REF!</f>
        <v>#REF!</v>
      </c>
      <c r="K51" s="382" t="e">
        <f>#REF!</f>
        <v>#REF!</v>
      </c>
      <c r="L51" s="382" t="e">
        <f>#REF!</f>
        <v>#REF!</v>
      </c>
      <c r="M51" s="382" t="e">
        <f>#REF!</f>
        <v>#REF!</v>
      </c>
      <c r="N51" s="382" t="e">
        <f>#REF!</f>
        <v>#REF!</v>
      </c>
      <c r="O51" s="382" t="e">
        <f>#REF!</f>
        <v>#REF!</v>
      </c>
      <c r="P51" s="382" t="e">
        <f>#REF!</f>
        <v>#REF!</v>
      </c>
      <c r="Q51" s="382" t="e">
        <f>#REF!</f>
        <v>#REF!</v>
      </c>
      <c r="R51" s="382" t="e">
        <f>#REF!</f>
        <v>#REF!</v>
      </c>
      <c r="S51" s="382" t="e">
        <f>#REF!</f>
        <v>#REF!</v>
      </c>
      <c r="T51" s="382" t="e">
        <f>#REF!</f>
        <v>#REF!</v>
      </c>
      <c r="U51" s="382" t="e">
        <f>#REF!</f>
        <v>#REF!</v>
      </c>
      <c r="V51" s="381"/>
      <c r="W51" s="378"/>
      <c r="X51" s="375"/>
      <c r="Z51" s="610"/>
    </row>
    <row r="52" spans="2:26">
      <c r="B52" s="608"/>
      <c r="C52" s="609"/>
      <c r="D52" s="610"/>
      <c r="E52" s="611"/>
      <c r="F52" s="383"/>
      <c r="G52" s="383"/>
      <c r="H52" s="383"/>
      <c r="I52" s="383">
        <f t="shared" ref="I52:O52" si="2">I49*$D49</f>
        <v>71753.397500000006</v>
      </c>
      <c r="J52" s="383">
        <f t="shared" si="2"/>
        <v>215260.19249999998</v>
      </c>
      <c r="K52" s="383">
        <f t="shared" si="2"/>
        <v>215260.19249999998</v>
      </c>
      <c r="L52" s="383">
        <f t="shared" si="2"/>
        <v>215260.19249999998</v>
      </c>
      <c r="M52" s="383">
        <f t="shared" si="2"/>
        <v>215260.19249999998</v>
      </c>
      <c r="N52" s="383">
        <f t="shared" si="2"/>
        <v>215260.19249999998</v>
      </c>
      <c r="O52" s="383">
        <f t="shared" si="2"/>
        <v>287013.59000000003</v>
      </c>
      <c r="P52" s="383"/>
      <c r="Q52" s="383"/>
      <c r="R52" s="383"/>
      <c r="S52" s="383"/>
      <c r="T52" s="383"/>
      <c r="U52" s="383"/>
      <c r="V52" s="384">
        <f>SUM(F52:U52)</f>
        <v>1435067.95</v>
      </c>
      <c r="W52" s="385">
        <f>V52-D49</f>
        <v>0</v>
      </c>
      <c r="X52" s="375">
        <f>SUM(F93:U93)</f>
        <v>1</v>
      </c>
      <c r="Z52" s="610"/>
    </row>
    <row r="53" spans="2:26" ht="14.25" customHeight="1">
      <c r="B53" s="608" t="s">
        <v>255</v>
      </c>
      <c r="C53" s="609" t="s">
        <v>256</v>
      </c>
      <c r="D53" s="610">
        <v>1869488.76</v>
      </c>
      <c r="E53" s="611">
        <f>D53/$D$178</f>
        <v>0.14801969596199524</v>
      </c>
      <c r="F53" s="376"/>
      <c r="G53" s="376"/>
      <c r="H53" s="376">
        <v>0.05</v>
      </c>
      <c r="I53" s="376">
        <v>0.1</v>
      </c>
      <c r="J53" s="376">
        <v>0.1</v>
      </c>
      <c r="K53" s="376">
        <v>0.1</v>
      </c>
      <c r="L53" s="376">
        <v>0.1</v>
      </c>
      <c r="M53" s="376">
        <v>0.2</v>
      </c>
      <c r="N53" s="376">
        <v>0.2</v>
      </c>
      <c r="O53" s="376">
        <v>0.15</v>
      </c>
      <c r="P53" s="376"/>
      <c r="Q53" s="376"/>
      <c r="R53" s="376"/>
      <c r="S53" s="376"/>
      <c r="T53" s="376"/>
      <c r="U53" s="376"/>
      <c r="V53" s="377">
        <f>SUM(F53:U53)</f>
        <v>0.99999999999999989</v>
      </c>
      <c r="W53" s="378"/>
      <c r="X53" s="375">
        <f>SUM(F56:U56)</f>
        <v>1869488.7600000002</v>
      </c>
      <c r="Z53" s="610">
        <v>1869488.76</v>
      </c>
    </row>
    <row r="54" spans="2:26">
      <c r="B54" s="608"/>
      <c r="C54" s="609"/>
      <c r="D54" s="610"/>
      <c r="E54" s="611"/>
      <c r="F54" s="380" t="e">
        <f>#REF!</f>
        <v>#REF!</v>
      </c>
      <c r="G54" s="380" t="e">
        <f>#REF!</f>
        <v>#REF!</v>
      </c>
      <c r="H54" s="380" t="e">
        <f>#REF!</f>
        <v>#REF!</v>
      </c>
      <c r="I54" s="380" t="e">
        <f>#REF!</f>
        <v>#REF!</v>
      </c>
      <c r="J54" s="380" t="e">
        <f>#REF!</f>
        <v>#REF!</v>
      </c>
      <c r="K54" s="380" t="e">
        <f>#REF!</f>
        <v>#REF!</v>
      </c>
      <c r="L54" s="380" t="e">
        <f>#REF!</f>
        <v>#REF!</v>
      </c>
      <c r="M54" s="380" t="e">
        <f>#REF!</f>
        <v>#REF!</v>
      </c>
      <c r="N54" s="380" t="e">
        <f>#REF!</f>
        <v>#REF!</v>
      </c>
      <c r="O54" s="380" t="e">
        <f>#REF!</f>
        <v>#REF!</v>
      </c>
      <c r="P54" s="380" t="e">
        <f>#REF!</f>
        <v>#REF!</v>
      </c>
      <c r="Q54" s="380" t="e">
        <f>#REF!</f>
        <v>#REF!</v>
      </c>
      <c r="R54" s="380" t="e">
        <f>#REF!</f>
        <v>#REF!</v>
      </c>
      <c r="S54" s="380" t="e">
        <f>#REF!</f>
        <v>#REF!</v>
      </c>
      <c r="T54" s="380" t="e">
        <f>#REF!</f>
        <v>#REF!</v>
      </c>
      <c r="U54" s="380" t="e">
        <f>#REF!</f>
        <v>#REF!</v>
      </c>
      <c r="V54" s="381"/>
      <c r="W54" s="378"/>
      <c r="X54" s="375"/>
      <c r="Z54" s="610"/>
    </row>
    <row r="55" spans="2:26">
      <c r="B55" s="608"/>
      <c r="C55" s="609"/>
      <c r="D55" s="610"/>
      <c r="E55" s="611"/>
      <c r="F55" s="382" t="e">
        <f>#REF!</f>
        <v>#REF!</v>
      </c>
      <c r="G55" s="382" t="e">
        <f>#REF!</f>
        <v>#REF!</v>
      </c>
      <c r="H55" s="382" t="e">
        <f>#REF!</f>
        <v>#REF!</v>
      </c>
      <c r="I55" s="382" t="e">
        <f>#REF!</f>
        <v>#REF!</v>
      </c>
      <c r="J55" s="382" t="e">
        <f>#REF!</f>
        <v>#REF!</v>
      </c>
      <c r="K55" s="382" t="e">
        <f>#REF!</f>
        <v>#REF!</v>
      </c>
      <c r="L55" s="382" t="e">
        <f>#REF!</f>
        <v>#REF!</v>
      </c>
      <c r="M55" s="382" t="e">
        <f>#REF!</f>
        <v>#REF!</v>
      </c>
      <c r="N55" s="382" t="e">
        <f>#REF!</f>
        <v>#REF!</v>
      </c>
      <c r="O55" s="382" t="e">
        <f>#REF!</f>
        <v>#REF!</v>
      </c>
      <c r="P55" s="382" t="e">
        <f>#REF!</f>
        <v>#REF!</v>
      </c>
      <c r="Q55" s="382" t="e">
        <f>#REF!</f>
        <v>#REF!</v>
      </c>
      <c r="R55" s="382" t="e">
        <f>#REF!</f>
        <v>#REF!</v>
      </c>
      <c r="S55" s="382" t="e">
        <f>#REF!</f>
        <v>#REF!</v>
      </c>
      <c r="T55" s="382" t="e">
        <f>#REF!</f>
        <v>#REF!</v>
      </c>
      <c r="U55" s="382" t="e">
        <f>#REF!</f>
        <v>#REF!</v>
      </c>
      <c r="V55" s="381"/>
      <c r="W55" s="378"/>
      <c r="X55" s="375"/>
      <c r="Z55" s="610"/>
    </row>
    <row r="56" spans="2:26">
      <c r="B56" s="608"/>
      <c r="C56" s="609"/>
      <c r="D56" s="610"/>
      <c r="E56" s="611"/>
      <c r="F56" s="383"/>
      <c r="G56" s="383"/>
      <c r="H56" s="383">
        <f t="shared" ref="H56:O56" si="3">H53*$D53</f>
        <v>93474.438000000009</v>
      </c>
      <c r="I56" s="383">
        <f t="shared" si="3"/>
        <v>186948.87600000002</v>
      </c>
      <c r="J56" s="383">
        <f t="shared" si="3"/>
        <v>186948.87600000002</v>
      </c>
      <c r="K56" s="383">
        <f t="shared" si="3"/>
        <v>186948.87600000002</v>
      </c>
      <c r="L56" s="383">
        <f t="shared" si="3"/>
        <v>186948.87600000002</v>
      </c>
      <c r="M56" s="383">
        <f t="shared" si="3"/>
        <v>373897.75200000004</v>
      </c>
      <c r="N56" s="383">
        <f t="shared" si="3"/>
        <v>373897.75200000004</v>
      </c>
      <c r="O56" s="383">
        <f t="shared" si="3"/>
        <v>280423.31400000001</v>
      </c>
      <c r="P56" s="383"/>
      <c r="Q56" s="383"/>
      <c r="R56" s="383"/>
      <c r="S56" s="383"/>
      <c r="T56" s="383"/>
      <c r="U56" s="383"/>
      <c r="V56" s="384">
        <f>SUM(F56:U56)</f>
        <v>1869488.7600000002</v>
      </c>
      <c r="W56" s="385">
        <f>V56-D53</f>
        <v>0</v>
      </c>
      <c r="X56" s="375" t="e">
        <f>SUM(#REF!)</f>
        <v>#REF!</v>
      </c>
      <c r="Z56" s="610"/>
    </row>
    <row r="57" spans="2:26" ht="14.25" customHeight="1">
      <c r="B57" s="608" t="s">
        <v>273</v>
      </c>
      <c r="C57" s="609" t="s">
        <v>2181</v>
      </c>
      <c r="D57" s="610">
        <v>723767.32</v>
      </c>
      <c r="E57" s="611">
        <f>D57/$D$178</f>
        <v>5.7305409342834505E-2</v>
      </c>
      <c r="F57" s="376"/>
      <c r="G57" s="376"/>
      <c r="H57" s="376"/>
      <c r="I57" s="376"/>
      <c r="J57" s="376"/>
      <c r="K57" s="376">
        <v>0.1</v>
      </c>
      <c r="L57" s="376">
        <v>0.1</v>
      </c>
      <c r="M57" s="376">
        <v>0.1</v>
      </c>
      <c r="N57" s="376">
        <v>0.1</v>
      </c>
      <c r="O57" s="376">
        <v>0.1</v>
      </c>
      <c r="P57" s="376">
        <v>0.1</v>
      </c>
      <c r="Q57" s="376">
        <v>0.2</v>
      </c>
      <c r="R57" s="376">
        <v>0.2</v>
      </c>
      <c r="S57" s="376"/>
      <c r="T57" s="376"/>
      <c r="U57" s="376"/>
      <c r="V57" s="377">
        <f>SUM(F57:U57)</f>
        <v>1</v>
      </c>
      <c r="W57" s="378"/>
      <c r="X57" s="375">
        <f>SUM(F60:U60)</f>
        <v>723767.32000000007</v>
      </c>
      <c r="Z57" s="610">
        <v>723767.32</v>
      </c>
    </row>
    <row r="58" spans="2:26">
      <c r="B58" s="608"/>
      <c r="C58" s="609"/>
      <c r="D58" s="610"/>
      <c r="E58" s="611"/>
      <c r="F58" s="380" t="e">
        <f>#REF!</f>
        <v>#REF!</v>
      </c>
      <c r="G58" s="380" t="e">
        <f>#REF!</f>
        <v>#REF!</v>
      </c>
      <c r="H58" s="380" t="e">
        <f>#REF!</f>
        <v>#REF!</v>
      </c>
      <c r="I58" s="380" t="e">
        <f>#REF!</f>
        <v>#REF!</v>
      </c>
      <c r="J58" s="380" t="e">
        <f>#REF!</f>
        <v>#REF!</v>
      </c>
      <c r="K58" s="380" t="e">
        <f>#REF!</f>
        <v>#REF!</v>
      </c>
      <c r="L58" s="380" t="e">
        <f>#REF!</f>
        <v>#REF!</v>
      </c>
      <c r="M58" s="380" t="e">
        <f>#REF!</f>
        <v>#REF!</v>
      </c>
      <c r="N58" s="380" t="e">
        <f>#REF!</f>
        <v>#REF!</v>
      </c>
      <c r="O58" s="380" t="e">
        <f>#REF!</f>
        <v>#REF!</v>
      </c>
      <c r="P58" s="380" t="e">
        <f>#REF!</f>
        <v>#REF!</v>
      </c>
      <c r="Q58" s="380" t="e">
        <f>#REF!</f>
        <v>#REF!</v>
      </c>
      <c r="R58" s="380" t="e">
        <f>#REF!</f>
        <v>#REF!</v>
      </c>
      <c r="S58" s="380" t="e">
        <f>#REF!</f>
        <v>#REF!</v>
      </c>
      <c r="T58" s="380" t="e">
        <f>#REF!</f>
        <v>#REF!</v>
      </c>
      <c r="U58" s="380" t="e">
        <f>#REF!</f>
        <v>#REF!</v>
      </c>
      <c r="V58" s="381"/>
      <c r="W58" s="378"/>
      <c r="X58" s="375"/>
      <c r="Z58" s="610"/>
    </row>
    <row r="59" spans="2:26">
      <c r="B59" s="608"/>
      <c r="C59" s="609"/>
      <c r="D59" s="610"/>
      <c r="E59" s="611"/>
      <c r="F59" s="382" t="e">
        <f>#REF!</f>
        <v>#REF!</v>
      </c>
      <c r="G59" s="382" t="e">
        <f>#REF!</f>
        <v>#REF!</v>
      </c>
      <c r="H59" s="382" t="e">
        <f>#REF!</f>
        <v>#REF!</v>
      </c>
      <c r="I59" s="382" t="e">
        <f>#REF!</f>
        <v>#REF!</v>
      </c>
      <c r="J59" s="382" t="e">
        <f>#REF!</f>
        <v>#REF!</v>
      </c>
      <c r="K59" s="382" t="e">
        <f>#REF!</f>
        <v>#REF!</v>
      </c>
      <c r="L59" s="382" t="e">
        <f>#REF!</f>
        <v>#REF!</v>
      </c>
      <c r="M59" s="382" t="e">
        <f>#REF!</f>
        <v>#REF!</v>
      </c>
      <c r="N59" s="382" t="e">
        <f>#REF!</f>
        <v>#REF!</v>
      </c>
      <c r="O59" s="382" t="e">
        <f>#REF!</f>
        <v>#REF!</v>
      </c>
      <c r="P59" s="382" t="e">
        <f>#REF!</f>
        <v>#REF!</v>
      </c>
      <c r="Q59" s="382" t="e">
        <f>#REF!</f>
        <v>#REF!</v>
      </c>
      <c r="R59" s="382" t="e">
        <f>#REF!</f>
        <v>#REF!</v>
      </c>
      <c r="S59" s="382" t="e">
        <f>#REF!</f>
        <v>#REF!</v>
      </c>
      <c r="T59" s="382" t="e">
        <f>#REF!</f>
        <v>#REF!</v>
      </c>
      <c r="U59" s="382" t="e">
        <f>#REF!</f>
        <v>#REF!</v>
      </c>
      <c r="V59" s="381"/>
      <c r="W59" s="378"/>
      <c r="X59" s="375"/>
      <c r="Z59" s="610"/>
    </row>
    <row r="60" spans="2:26">
      <c r="B60" s="608"/>
      <c r="C60" s="609"/>
      <c r="D60" s="610"/>
      <c r="E60" s="611"/>
      <c r="F60" s="383"/>
      <c r="G60" s="383"/>
      <c r="H60" s="383"/>
      <c r="I60" s="383"/>
      <c r="J60" s="383"/>
      <c r="K60" s="383">
        <f t="shared" ref="K60:R60" si="4">K57*$D57</f>
        <v>72376.732000000004</v>
      </c>
      <c r="L60" s="383">
        <f t="shared" si="4"/>
        <v>72376.732000000004</v>
      </c>
      <c r="M60" s="383">
        <f t="shared" si="4"/>
        <v>72376.732000000004</v>
      </c>
      <c r="N60" s="383">
        <f t="shared" si="4"/>
        <v>72376.732000000004</v>
      </c>
      <c r="O60" s="383">
        <f t="shared" si="4"/>
        <v>72376.732000000004</v>
      </c>
      <c r="P60" s="383">
        <f t="shared" si="4"/>
        <v>72376.732000000004</v>
      </c>
      <c r="Q60" s="383">
        <f t="shared" si="4"/>
        <v>144753.46400000001</v>
      </c>
      <c r="R60" s="383">
        <f t="shared" si="4"/>
        <v>144753.46400000001</v>
      </c>
      <c r="S60" s="383"/>
      <c r="T60" s="383"/>
      <c r="U60" s="383"/>
      <c r="V60" s="384">
        <f>SUM(F60:U60)</f>
        <v>723767.32000000007</v>
      </c>
      <c r="W60" s="385">
        <f>V60-D57</f>
        <v>0</v>
      </c>
      <c r="X60" s="375">
        <f>SUM(F177:U177)</f>
        <v>0</v>
      </c>
      <c r="Z60" s="610"/>
    </row>
    <row r="61" spans="2:26" ht="14.25" customHeight="1">
      <c r="B61" s="608" t="s">
        <v>289</v>
      </c>
      <c r="C61" s="609" t="s">
        <v>290</v>
      </c>
      <c r="D61" s="610">
        <v>432712.02</v>
      </c>
      <c r="E61" s="611">
        <f>D61/$D$178</f>
        <v>3.4260650831353913E-2</v>
      </c>
      <c r="F61" s="376"/>
      <c r="G61" s="376"/>
      <c r="H61" s="376"/>
      <c r="I61" s="376"/>
      <c r="J61" s="376"/>
      <c r="K61" s="376"/>
      <c r="L61" s="376"/>
      <c r="M61" s="376"/>
      <c r="N61" s="376"/>
      <c r="O61" s="376"/>
      <c r="P61" s="376"/>
      <c r="Q61" s="376"/>
      <c r="R61" s="376">
        <v>0.3</v>
      </c>
      <c r="S61" s="376">
        <v>0.2</v>
      </c>
      <c r="T61" s="376">
        <v>0.3</v>
      </c>
      <c r="U61" s="376">
        <v>0.2</v>
      </c>
      <c r="V61" s="377">
        <f>SUM(F61:U61)</f>
        <v>1</v>
      </c>
      <c r="W61" s="378"/>
      <c r="X61" s="375">
        <f>SUM(F64:U64)</f>
        <v>432712.02</v>
      </c>
      <c r="Z61" s="610">
        <v>432712.02</v>
      </c>
    </row>
    <row r="62" spans="2:26">
      <c r="B62" s="608"/>
      <c r="C62" s="609"/>
      <c r="D62" s="610"/>
      <c r="E62" s="611"/>
      <c r="F62" s="380" t="e">
        <f>#REF!</f>
        <v>#REF!</v>
      </c>
      <c r="G62" s="380" t="e">
        <f>#REF!</f>
        <v>#REF!</v>
      </c>
      <c r="H62" s="380" t="e">
        <f>#REF!</f>
        <v>#REF!</v>
      </c>
      <c r="I62" s="380" t="e">
        <f>#REF!</f>
        <v>#REF!</v>
      </c>
      <c r="J62" s="380" t="e">
        <f>#REF!</f>
        <v>#REF!</v>
      </c>
      <c r="K62" s="380" t="e">
        <f>#REF!</f>
        <v>#REF!</v>
      </c>
      <c r="L62" s="380" t="e">
        <f>#REF!</f>
        <v>#REF!</v>
      </c>
      <c r="M62" s="380" t="e">
        <f>#REF!</f>
        <v>#REF!</v>
      </c>
      <c r="N62" s="380" t="e">
        <f>#REF!</f>
        <v>#REF!</v>
      </c>
      <c r="O62" s="380" t="e">
        <f>#REF!</f>
        <v>#REF!</v>
      </c>
      <c r="P62" s="380" t="e">
        <f>#REF!</f>
        <v>#REF!</v>
      </c>
      <c r="Q62" s="380" t="e">
        <f>#REF!</f>
        <v>#REF!</v>
      </c>
      <c r="R62" s="380" t="e">
        <f>#REF!</f>
        <v>#REF!</v>
      </c>
      <c r="S62" s="380" t="e">
        <f>#REF!</f>
        <v>#REF!</v>
      </c>
      <c r="T62" s="380" t="e">
        <f>#REF!</f>
        <v>#REF!</v>
      </c>
      <c r="U62" s="380" t="e">
        <f>#REF!</f>
        <v>#REF!</v>
      </c>
      <c r="V62" s="381"/>
      <c r="W62" s="378"/>
      <c r="X62" s="375"/>
      <c r="Z62" s="610"/>
    </row>
    <row r="63" spans="2:26">
      <c r="B63" s="608"/>
      <c r="C63" s="609"/>
      <c r="D63" s="610"/>
      <c r="E63" s="611"/>
      <c r="F63" s="382" t="e">
        <f>#REF!</f>
        <v>#REF!</v>
      </c>
      <c r="G63" s="382" t="e">
        <f>#REF!</f>
        <v>#REF!</v>
      </c>
      <c r="H63" s="382" t="e">
        <f>#REF!</f>
        <v>#REF!</v>
      </c>
      <c r="I63" s="382" t="e">
        <f>#REF!</f>
        <v>#REF!</v>
      </c>
      <c r="J63" s="382" t="e">
        <f>#REF!</f>
        <v>#REF!</v>
      </c>
      <c r="K63" s="382" t="e">
        <f>#REF!</f>
        <v>#REF!</v>
      </c>
      <c r="L63" s="382" t="e">
        <f>#REF!</f>
        <v>#REF!</v>
      </c>
      <c r="M63" s="382" t="e">
        <f>#REF!</f>
        <v>#REF!</v>
      </c>
      <c r="N63" s="382" t="e">
        <f>#REF!</f>
        <v>#REF!</v>
      </c>
      <c r="O63" s="382" t="e">
        <f>#REF!</f>
        <v>#REF!</v>
      </c>
      <c r="P63" s="382" t="e">
        <f>#REF!</f>
        <v>#REF!</v>
      </c>
      <c r="Q63" s="382" t="e">
        <f>#REF!</f>
        <v>#REF!</v>
      </c>
      <c r="R63" s="382" t="e">
        <f>#REF!</f>
        <v>#REF!</v>
      </c>
      <c r="S63" s="382" t="e">
        <f>#REF!</f>
        <v>#REF!</v>
      </c>
      <c r="T63" s="382" t="e">
        <f>#REF!</f>
        <v>#REF!</v>
      </c>
      <c r="U63" s="382" t="e">
        <f>#REF!</f>
        <v>#REF!</v>
      </c>
      <c r="V63" s="381"/>
      <c r="W63" s="378"/>
      <c r="X63" s="375"/>
      <c r="Z63" s="610"/>
    </row>
    <row r="64" spans="2:26">
      <c r="B64" s="608"/>
      <c r="C64" s="609"/>
      <c r="D64" s="610"/>
      <c r="E64" s="611"/>
      <c r="F64" s="383"/>
      <c r="G64" s="383"/>
      <c r="H64" s="383"/>
      <c r="I64" s="383"/>
      <c r="J64" s="383"/>
      <c r="K64" s="383"/>
      <c r="L64" s="383"/>
      <c r="M64" s="383"/>
      <c r="N64" s="383"/>
      <c r="O64" s="383"/>
      <c r="P64" s="383"/>
      <c r="Q64" s="383"/>
      <c r="R64" s="383">
        <f>R61*$D61</f>
        <v>129813.606</v>
      </c>
      <c r="S64" s="383">
        <f>S61*$D61</f>
        <v>86542.40400000001</v>
      </c>
      <c r="T64" s="383">
        <f>T61*$D61</f>
        <v>129813.606</v>
      </c>
      <c r="U64" s="383">
        <f>U61*$D61</f>
        <v>86542.40400000001</v>
      </c>
      <c r="V64" s="384">
        <f>SUM(F64:U64)</f>
        <v>432712.02</v>
      </c>
      <c r="W64" s="385">
        <f>V64-D61</f>
        <v>0</v>
      </c>
      <c r="X64" s="375">
        <f>SUM(F179:U179)</f>
        <v>0.99999999999999978</v>
      </c>
      <c r="Z64" s="610"/>
    </row>
    <row r="65" spans="2:26" ht="14.25" customHeight="1">
      <c r="B65" s="608" t="s">
        <v>305</v>
      </c>
      <c r="C65" s="609" t="s">
        <v>306</v>
      </c>
      <c r="D65" s="610">
        <v>346061.15</v>
      </c>
      <c r="E65" s="611">
        <f>D65/$D$178</f>
        <v>2.7399932699920821E-2</v>
      </c>
      <c r="F65" s="376"/>
      <c r="G65" s="376"/>
      <c r="H65" s="376"/>
      <c r="I65" s="376"/>
      <c r="J65" s="376"/>
      <c r="K65" s="376">
        <v>0.1</v>
      </c>
      <c r="L65" s="376">
        <v>0.2</v>
      </c>
      <c r="M65" s="376">
        <v>0.2</v>
      </c>
      <c r="N65" s="376">
        <v>0.2</v>
      </c>
      <c r="O65" s="376">
        <v>0.2</v>
      </c>
      <c r="P65" s="376">
        <v>0.1</v>
      </c>
      <c r="Q65" s="376"/>
      <c r="R65" s="376"/>
      <c r="S65" s="376"/>
      <c r="T65" s="376"/>
      <c r="U65" s="376"/>
      <c r="V65" s="377">
        <f>SUM(F65:U65)</f>
        <v>0.99999999999999989</v>
      </c>
      <c r="W65" s="378"/>
      <c r="X65" s="375">
        <f>SUM(F68:U68)</f>
        <v>346061.15</v>
      </c>
      <c r="Z65" s="610">
        <v>346061.15</v>
      </c>
    </row>
    <row r="66" spans="2:26">
      <c r="B66" s="608"/>
      <c r="C66" s="609"/>
      <c r="D66" s="610"/>
      <c r="E66" s="611"/>
      <c r="F66" s="380" t="e">
        <f>#REF!</f>
        <v>#REF!</v>
      </c>
      <c r="G66" s="380" t="e">
        <f>#REF!</f>
        <v>#REF!</v>
      </c>
      <c r="H66" s="380" t="e">
        <f>#REF!</f>
        <v>#REF!</v>
      </c>
      <c r="I66" s="380" t="e">
        <f>#REF!</f>
        <v>#REF!</v>
      </c>
      <c r="J66" s="380" t="e">
        <f>#REF!</f>
        <v>#REF!</v>
      </c>
      <c r="K66" s="380" t="e">
        <f>#REF!</f>
        <v>#REF!</v>
      </c>
      <c r="L66" s="380" t="e">
        <f>#REF!</f>
        <v>#REF!</v>
      </c>
      <c r="M66" s="380" t="e">
        <f>#REF!</f>
        <v>#REF!</v>
      </c>
      <c r="N66" s="380" t="e">
        <f>#REF!</f>
        <v>#REF!</v>
      </c>
      <c r="O66" s="380" t="e">
        <f>#REF!</f>
        <v>#REF!</v>
      </c>
      <c r="P66" s="380" t="e">
        <f>#REF!</f>
        <v>#REF!</v>
      </c>
      <c r="Q66" s="380" t="e">
        <f>#REF!</f>
        <v>#REF!</v>
      </c>
      <c r="R66" s="380" t="e">
        <f>#REF!</f>
        <v>#REF!</v>
      </c>
      <c r="S66" s="380" t="e">
        <f>#REF!</f>
        <v>#REF!</v>
      </c>
      <c r="T66" s="380" t="e">
        <f>#REF!</f>
        <v>#REF!</v>
      </c>
      <c r="U66" s="380" t="e">
        <f>#REF!</f>
        <v>#REF!</v>
      </c>
      <c r="V66" s="381"/>
      <c r="W66" s="378"/>
      <c r="X66" s="375"/>
      <c r="Z66" s="610"/>
    </row>
    <row r="67" spans="2:26">
      <c r="B67" s="608"/>
      <c r="C67" s="609"/>
      <c r="D67" s="610"/>
      <c r="E67" s="611"/>
      <c r="F67" s="382" t="e">
        <f>#REF!</f>
        <v>#REF!</v>
      </c>
      <c r="G67" s="382" t="e">
        <f>#REF!</f>
        <v>#REF!</v>
      </c>
      <c r="H67" s="382" t="e">
        <f>#REF!</f>
        <v>#REF!</v>
      </c>
      <c r="I67" s="382" t="e">
        <f>#REF!</f>
        <v>#REF!</v>
      </c>
      <c r="J67" s="382" t="e">
        <f>#REF!</f>
        <v>#REF!</v>
      </c>
      <c r="K67" s="382" t="e">
        <f>#REF!</f>
        <v>#REF!</v>
      </c>
      <c r="L67" s="382" t="e">
        <f>#REF!</f>
        <v>#REF!</v>
      </c>
      <c r="M67" s="382" t="e">
        <f>#REF!</f>
        <v>#REF!</v>
      </c>
      <c r="N67" s="382" t="e">
        <f>#REF!</f>
        <v>#REF!</v>
      </c>
      <c r="O67" s="382" t="e">
        <f>#REF!</f>
        <v>#REF!</v>
      </c>
      <c r="P67" s="382" t="e">
        <f>#REF!</f>
        <v>#REF!</v>
      </c>
      <c r="Q67" s="382" t="e">
        <f>#REF!</f>
        <v>#REF!</v>
      </c>
      <c r="R67" s="382" t="e">
        <f>#REF!</f>
        <v>#REF!</v>
      </c>
      <c r="S67" s="382" t="e">
        <f>#REF!</f>
        <v>#REF!</v>
      </c>
      <c r="T67" s="382" t="e">
        <f>#REF!</f>
        <v>#REF!</v>
      </c>
      <c r="U67" s="382" t="e">
        <f>#REF!</f>
        <v>#REF!</v>
      </c>
      <c r="V67" s="381"/>
      <c r="W67" s="378"/>
      <c r="X67" s="375"/>
      <c r="Z67" s="610"/>
    </row>
    <row r="68" spans="2:26">
      <c r="B68" s="608"/>
      <c r="C68" s="609"/>
      <c r="D68" s="610"/>
      <c r="E68" s="611"/>
      <c r="F68" s="383"/>
      <c r="G68" s="383"/>
      <c r="H68" s="383"/>
      <c r="I68" s="383"/>
      <c r="J68" s="383"/>
      <c r="K68" s="383">
        <f t="shared" ref="K68:P68" si="5">K65*$D65</f>
        <v>34606.115000000005</v>
      </c>
      <c r="L68" s="383">
        <f t="shared" si="5"/>
        <v>69212.23000000001</v>
      </c>
      <c r="M68" s="383">
        <f t="shared" si="5"/>
        <v>69212.23000000001</v>
      </c>
      <c r="N68" s="383">
        <f t="shared" si="5"/>
        <v>69212.23000000001</v>
      </c>
      <c r="O68" s="383">
        <f t="shared" si="5"/>
        <v>69212.23000000001</v>
      </c>
      <c r="P68" s="383">
        <f t="shared" si="5"/>
        <v>34606.115000000005</v>
      </c>
      <c r="Q68" s="383"/>
      <c r="R68" s="383"/>
      <c r="S68" s="383"/>
      <c r="T68" s="383"/>
      <c r="U68" s="383"/>
      <c r="V68" s="384">
        <f>SUM(F68:U68)</f>
        <v>346061.15</v>
      </c>
      <c r="W68" s="385">
        <f>V68-D65</f>
        <v>0</v>
      </c>
      <c r="X68" s="375">
        <f>SUM(F185:U185)</f>
        <v>6.9435440368566885</v>
      </c>
      <c r="Z68" s="610"/>
    </row>
    <row r="69" spans="2:26" ht="14.25" customHeight="1">
      <c r="B69" s="608" t="s">
        <v>322</v>
      </c>
      <c r="C69" s="609" t="s">
        <v>323</v>
      </c>
      <c r="D69" s="610">
        <v>434073.17</v>
      </c>
      <c r="E69" s="611">
        <f>D69/$D$178</f>
        <v>3.4368422011084712E-2</v>
      </c>
      <c r="F69" s="376"/>
      <c r="G69" s="376"/>
      <c r="H69" s="376"/>
      <c r="I69" s="376"/>
      <c r="J69" s="376"/>
      <c r="K69" s="376"/>
      <c r="L69" s="376"/>
      <c r="M69" s="376"/>
      <c r="N69" s="376"/>
      <c r="O69" s="376"/>
      <c r="P69" s="376"/>
      <c r="Q69" s="376"/>
      <c r="R69" s="376"/>
      <c r="S69" s="376">
        <v>0.3</v>
      </c>
      <c r="T69" s="376">
        <v>0.3</v>
      </c>
      <c r="U69" s="376">
        <v>0.4</v>
      </c>
      <c r="V69" s="377">
        <f>SUM(F69:U69)</f>
        <v>1</v>
      </c>
      <c r="W69" s="378"/>
      <c r="X69" s="375">
        <f>SUM(F72:U72)</f>
        <v>434073.17</v>
      </c>
      <c r="Z69" s="610">
        <v>434073.17</v>
      </c>
    </row>
    <row r="70" spans="2:26">
      <c r="B70" s="608"/>
      <c r="C70" s="609"/>
      <c r="D70" s="610"/>
      <c r="E70" s="611"/>
      <c r="F70" s="380" t="e">
        <f>#REF!</f>
        <v>#REF!</v>
      </c>
      <c r="G70" s="380" t="e">
        <f>#REF!</f>
        <v>#REF!</v>
      </c>
      <c r="H70" s="380" t="e">
        <f>#REF!</f>
        <v>#REF!</v>
      </c>
      <c r="I70" s="380" t="e">
        <f>#REF!</f>
        <v>#REF!</v>
      </c>
      <c r="J70" s="380" t="e">
        <f>#REF!</f>
        <v>#REF!</v>
      </c>
      <c r="K70" s="380" t="e">
        <f>#REF!</f>
        <v>#REF!</v>
      </c>
      <c r="L70" s="380" t="e">
        <f>#REF!</f>
        <v>#REF!</v>
      </c>
      <c r="M70" s="380" t="e">
        <f>#REF!</f>
        <v>#REF!</v>
      </c>
      <c r="N70" s="380" t="e">
        <f>#REF!</f>
        <v>#REF!</v>
      </c>
      <c r="O70" s="380" t="e">
        <f>#REF!</f>
        <v>#REF!</v>
      </c>
      <c r="P70" s="380" t="e">
        <f>#REF!</f>
        <v>#REF!</v>
      </c>
      <c r="Q70" s="380" t="e">
        <f>#REF!</f>
        <v>#REF!</v>
      </c>
      <c r="R70" s="380" t="e">
        <f>#REF!</f>
        <v>#REF!</v>
      </c>
      <c r="S70" s="380" t="e">
        <f>#REF!</f>
        <v>#REF!</v>
      </c>
      <c r="T70" s="380" t="e">
        <f>#REF!</f>
        <v>#REF!</v>
      </c>
      <c r="U70" s="380" t="e">
        <f>#REF!</f>
        <v>#REF!</v>
      </c>
      <c r="V70" s="381"/>
      <c r="W70" s="378"/>
      <c r="X70" s="375"/>
      <c r="Z70" s="610"/>
    </row>
    <row r="71" spans="2:26">
      <c r="B71" s="608"/>
      <c r="C71" s="609"/>
      <c r="D71" s="610"/>
      <c r="E71" s="611"/>
      <c r="F71" s="382" t="e">
        <f>#REF!</f>
        <v>#REF!</v>
      </c>
      <c r="G71" s="382" t="e">
        <f>#REF!</f>
        <v>#REF!</v>
      </c>
      <c r="H71" s="382" t="e">
        <f>#REF!</f>
        <v>#REF!</v>
      </c>
      <c r="I71" s="382" t="e">
        <f>#REF!</f>
        <v>#REF!</v>
      </c>
      <c r="J71" s="382" t="e">
        <f>#REF!</f>
        <v>#REF!</v>
      </c>
      <c r="K71" s="382" t="e">
        <f>#REF!</f>
        <v>#REF!</v>
      </c>
      <c r="L71" s="382" t="e">
        <f>#REF!</f>
        <v>#REF!</v>
      </c>
      <c r="M71" s="382" t="e">
        <f>#REF!</f>
        <v>#REF!</v>
      </c>
      <c r="N71" s="382" t="e">
        <f>#REF!</f>
        <v>#REF!</v>
      </c>
      <c r="O71" s="382" t="e">
        <f>#REF!</f>
        <v>#REF!</v>
      </c>
      <c r="P71" s="382" t="e">
        <f>#REF!</f>
        <v>#REF!</v>
      </c>
      <c r="Q71" s="382" t="e">
        <f>#REF!</f>
        <v>#REF!</v>
      </c>
      <c r="R71" s="382" t="e">
        <f>#REF!</f>
        <v>#REF!</v>
      </c>
      <c r="S71" s="382" t="e">
        <f>#REF!</f>
        <v>#REF!</v>
      </c>
      <c r="T71" s="382" t="e">
        <f>#REF!</f>
        <v>#REF!</v>
      </c>
      <c r="U71" s="382" t="e">
        <f>#REF!</f>
        <v>#REF!</v>
      </c>
      <c r="V71" s="381"/>
      <c r="W71" s="378"/>
      <c r="X71" s="375"/>
      <c r="Z71" s="610"/>
    </row>
    <row r="72" spans="2:26">
      <c r="B72" s="608"/>
      <c r="C72" s="609"/>
      <c r="D72" s="610"/>
      <c r="E72" s="611"/>
      <c r="F72" s="383"/>
      <c r="G72" s="383"/>
      <c r="H72" s="383"/>
      <c r="I72" s="383"/>
      <c r="J72" s="383"/>
      <c r="K72" s="383"/>
      <c r="L72" s="383"/>
      <c r="M72" s="383"/>
      <c r="N72" s="383"/>
      <c r="O72" s="383"/>
      <c r="P72" s="383"/>
      <c r="Q72" s="383"/>
      <c r="R72" s="383"/>
      <c r="S72" s="383">
        <f>S69*$D69</f>
        <v>130221.95099999999</v>
      </c>
      <c r="T72" s="383">
        <f>T69*$D69</f>
        <v>130221.95099999999</v>
      </c>
      <c r="U72" s="383">
        <f>U69*$D69</f>
        <v>173629.26800000001</v>
      </c>
      <c r="V72" s="384">
        <f>SUM(F72:U72)</f>
        <v>434073.17</v>
      </c>
      <c r="W72" s="385">
        <f>V72-D69</f>
        <v>0</v>
      </c>
      <c r="X72" s="375" t="e">
        <f>SUM(#REF!)</f>
        <v>#REF!</v>
      </c>
      <c r="Z72" s="610"/>
    </row>
    <row r="73" spans="2:26" ht="14.25" customHeight="1">
      <c r="B73" s="608" t="s">
        <v>2182</v>
      </c>
      <c r="C73" s="609" t="s">
        <v>333</v>
      </c>
      <c r="D73" s="610">
        <v>340585.82</v>
      </c>
      <c r="E73" s="611">
        <f>D73/$D$178</f>
        <v>2.6966414885193978E-2</v>
      </c>
      <c r="F73" s="376"/>
      <c r="G73" s="376"/>
      <c r="H73" s="376"/>
      <c r="I73" s="376"/>
      <c r="J73" s="376"/>
      <c r="K73" s="376"/>
      <c r="L73" s="376"/>
      <c r="M73" s="376"/>
      <c r="N73" s="376"/>
      <c r="O73" s="376"/>
      <c r="P73" s="376"/>
      <c r="Q73" s="376"/>
      <c r="R73" s="376"/>
      <c r="S73" s="376">
        <v>0.5</v>
      </c>
      <c r="T73" s="376">
        <v>0.25</v>
      </c>
      <c r="U73" s="376">
        <v>0.25</v>
      </c>
      <c r="V73" s="377">
        <f>SUM(F73:U73)</f>
        <v>1</v>
      </c>
      <c r="W73" s="378"/>
      <c r="X73" s="375">
        <f>SUM(F76:U76)</f>
        <v>340585.82</v>
      </c>
      <c r="Z73" s="610">
        <v>340585.82</v>
      </c>
    </row>
    <row r="74" spans="2:26">
      <c r="B74" s="608"/>
      <c r="C74" s="609"/>
      <c r="D74" s="610"/>
      <c r="E74" s="611"/>
      <c r="F74" s="380" t="e">
        <f>#REF!</f>
        <v>#REF!</v>
      </c>
      <c r="G74" s="380" t="e">
        <f>#REF!</f>
        <v>#REF!</v>
      </c>
      <c r="H74" s="380" t="e">
        <f>#REF!</f>
        <v>#REF!</v>
      </c>
      <c r="I74" s="380" t="e">
        <f>#REF!</f>
        <v>#REF!</v>
      </c>
      <c r="J74" s="380" t="e">
        <f>#REF!</f>
        <v>#REF!</v>
      </c>
      <c r="K74" s="380" t="e">
        <f>#REF!</f>
        <v>#REF!</v>
      </c>
      <c r="L74" s="380" t="e">
        <f>#REF!</f>
        <v>#REF!</v>
      </c>
      <c r="M74" s="380" t="e">
        <f>#REF!</f>
        <v>#REF!</v>
      </c>
      <c r="N74" s="380" t="e">
        <f>#REF!</f>
        <v>#REF!</v>
      </c>
      <c r="O74" s="380" t="e">
        <f>#REF!</f>
        <v>#REF!</v>
      </c>
      <c r="P74" s="380" t="e">
        <f>#REF!</f>
        <v>#REF!</v>
      </c>
      <c r="Q74" s="380" t="e">
        <f>#REF!</f>
        <v>#REF!</v>
      </c>
      <c r="R74" s="380" t="e">
        <f>#REF!</f>
        <v>#REF!</v>
      </c>
      <c r="S74" s="380" t="e">
        <f>#REF!</f>
        <v>#REF!</v>
      </c>
      <c r="T74" s="380" t="e">
        <f>#REF!</f>
        <v>#REF!</v>
      </c>
      <c r="U74" s="380" t="e">
        <f>#REF!</f>
        <v>#REF!</v>
      </c>
      <c r="V74" s="381"/>
      <c r="W74" s="378"/>
      <c r="X74" s="375"/>
      <c r="Z74" s="610"/>
    </row>
    <row r="75" spans="2:26">
      <c r="B75" s="608"/>
      <c r="C75" s="609"/>
      <c r="D75" s="610"/>
      <c r="E75" s="611"/>
      <c r="F75" s="382" t="e">
        <f>#REF!</f>
        <v>#REF!</v>
      </c>
      <c r="G75" s="382" t="e">
        <f>#REF!</f>
        <v>#REF!</v>
      </c>
      <c r="H75" s="382" t="e">
        <f>#REF!</f>
        <v>#REF!</v>
      </c>
      <c r="I75" s="382" t="e">
        <f>#REF!</f>
        <v>#REF!</v>
      </c>
      <c r="J75" s="382" t="e">
        <f>#REF!</f>
        <v>#REF!</v>
      </c>
      <c r="K75" s="382" t="e">
        <f>#REF!</f>
        <v>#REF!</v>
      </c>
      <c r="L75" s="382" t="e">
        <f>#REF!</f>
        <v>#REF!</v>
      </c>
      <c r="M75" s="382" t="e">
        <f>#REF!</f>
        <v>#REF!</v>
      </c>
      <c r="N75" s="382" t="e">
        <f>#REF!</f>
        <v>#REF!</v>
      </c>
      <c r="O75" s="382" t="e">
        <f>#REF!</f>
        <v>#REF!</v>
      </c>
      <c r="P75" s="382" t="e">
        <f>#REF!</f>
        <v>#REF!</v>
      </c>
      <c r="Q75" s="382" t="e">
        <f>#REF!</f>
        <v>#REF!</v>
      </c>
      <c r="R75" s="382" t="e">
        <f>#REF!</f>
        <v>#REF!</v>
      </c>
      <c r="S75" s="382" t="e">
        <f>#REF!</f>
        <v>#REF!</v>
      </c>
      <c r="T75" s="382" t="e">
        <f>#REF!</f>
        <v>#REF!</v>
      </c>
      <c r="U75" s="382" t="e">
        <f>#REF!</f>
        <v>#REF!</v>
      </c>
      <c r="V75" s="381"/>
      <c r="W75" s="378"/>
      <c r="X75" s="375"/>
      <c r="Z75" s="610"/>
    </row>
    <row r="76" spans="2:26">
      <c r="B76" s="608"/>
      <c r="C76" s="609"/>
      <c r="D76" s="610"/>
      <c r="E76" s="611"/>
      <c r="F76" s="383"/>
      <c r="G76" s="383"/>
      <c r="H76" s="383"/>
      <c r="I76" s="383"/>
      <c r="J76" s="383"/>
      <c r="K76" s="383"/>
      <c r="L76" s="383"/>
      <c r="M76" s="383"/>
      <c r="N76" s="383"/>
      <c r="O76" s="383"/>
      <c r="P76" s="383"/>
      <c r="Q76" s="383"/>
      <c r="R76" s="383"/>
      <c r="S76" s="383">
        <f>S73*$D73</f>
        <v>170292.91</v>
      </c>
      <c r="T76" s="383">
        <f>T73*$D73</f>
        <v>85146.455000000002</v>
      </c>
      <c r="U76" s="383">
        <f>U73*$D73</f>
        <v>85146.455000000002</v>
      </c>
      <c r="V76" s="384">
        <f>SUM(F76:U76)</f>
        <v>340585.82</v>
      </c>
      <c r="W76" s="385">
        <f>V76-D73</f>
        <v>0</v>
      </c>
      <c r="X76" s="375" t="e">
        <f>SUM(#REF!)</f>
        <v>#REF!</v>
      </c>
      <c r="Z76" s="610"/>
    </row>
    <row r="77" spans="2:26" ht="14.25" customHeight="1">
      <c r="B77" s="608" t="s">
        <v>2183</v>
      </c>
      <c r="C77" s="609" t="s">
        <v>343</v>
      </c>
      <c r="D77" s="610">
        <v>104111.82</v>
      </c>
      <c r="E77" s="611">
        <f>D77/$D$178</f>
        <v>8.2432161520190009E-3</v>
      </c>
      <c r="F77" s="376"/>
      <c r="G77" s="376"/>
      <c r="H77" s="376"/>
      <c r="I77" s="376"/>
      <c r="J77" s="376"/>
      <c r="K77" s="376">
        <v>0.1</v>
      </c>
      <c r="L77" s="376">
        <v>0.2</v>
      </c>
      <c r="M77" s="376">
        <v>0.2</v>
      </c>
      <c r="N77" s="376">
        <v>0.2</v>
      </c>
      <c r="O77" s="376">
        <v>0.2</v>
      </c>
      <c r="P77" s="376">
        <v>0.1</v>
      </c>
      <c r="Q77" s="376"/>
      <c r="R77" s="376"/>
      <c r="S77" s="376"/>
      <c r="T77" s="376"/>
      <c r="U77" s="376"/>
      <c r="V77" s="377">
        <f>SUM(F77:U77)</f>
        <v>0.99999999999999989</v>
      </c>
      <c r="W77" s="378"/>
      <c r="X77" s="375">
        <f>SUM(F80:U80)</f>
        <v>104111.82</v>
      </c>
      <c r="Z77" s="610">
        <v>104111.82</v>
      </c>
    </row>
    <row r="78" spans="2:26">
      <c r="B78" s="608"/>
      <c r="C78" s="609"/>
      <c r="D78" s="610"/>
      <c r="E78" s="611"/>
      <c r="F78" s="380" t="e">
        <f>#REF!</f>
        <v>#REF!</v>
      </c>
      <c r="G78" s="380" t="e">
        <f>#REF!</f>
        <v>#REF!</v>
      </c>
      <c r="H78" s="380" t="e">
        <f>#REF!</f>
        <v>#REF!</v>
      </c>
      <c r="I78" s="380" t="e">
        <f>#REF!</f>
        <v>#REF!</v>
      </c>
      <c r="J78" s="380" t="e">
        <f>#REF!</f>
        <v>#REF!</v>
      </c>
      <c r="K78" s="380" t="e">
        <f>#REF!</f>
        <v>#REF!</v>
      </c>
      <c r="L78" s="380" t="e">
        <f>#REF!</f>
        <v>#REF!</v>
      </c>
      <c r="M78" s="380" t="e">
        <f>#REF!</f>
        <v>#REF!</v>
      </c>
      <c r="N78" s="380" t="e">
        <f>#REF!</f>
        <v>#REF!</v>
      </c>
      <c r="O78" s="380" t="e">
        <f>#REF!</f>
        <v>#REF!</v>
      </c>
      <c r="P78" s="380" t="e">
        <f>#REF!</f>
        <v>#REF!</v>
      </c>
      <c r="Q78" s="380" t="e">
        <f>#REF!</f>
        <v>#REF!</v>
      </c>
      <c r="R78" s="380" t="e">
        <f>#REF!</f>
        <v>#REF!</v>
      </c>
      <c r="S78" s="380" t="e">
        <f>#REF!</f>
        <v>#REF!</v>
      </c>
      <c r="T78" s="380" t="e">
        <f>#REF!</f>
        <v>#REF!</v>
      </c>
      <c r="U78" s="380" t="e">
        <f>#REF!</f>
        <v>#REF!</v>
      </c>
      <c r="V78" s="381"/>
      <c r="W78" s="378"/>
      <c r="X78" s="375"/>
      <c r="Z78" s="610"/>
    </row>
    <row r="79" spans="2:26">
      <c r="B79" s="608"/>
      <c r="C79" s="609"/>
      <c r="D79" s="610"/>
      <c r="E79" s="611"/>
      <c r="F79" s="382" t="e">
        <f>#REF!</f>
        <v>#REF!</v>
      </c>
      <c r="G79" s="382" t="e">
        <f>#REF!</f>
        <v>#REF!</v>
      </c>
      <c r="H79" s="382" t="e">
        <f>#REF!</f>
        <v>#REF!</v>
      </c>
      <c r="I79" s="382" t="e">
        <f>#REF!</f>
        <v>#REF!</v>
      </c>
      <c r="J79" s="382" t="e">
        <f>#REF!</f>
        <v>#REF!</v>
      </c>
      <c r="K79" s="382" t="e">
        <f>#REF!</f>
        <v>#REF!</v>
      </c>
      <c r="L79" s="382" t="e">
        <f>#REF!</f>
        <v>#REF!</v>
      </c>
      <c r="M79" s="382" t="e">
        <f>#REF!</f>
        <v>#REF!</v>
      </c>
      <c r="N79" s="382" t="e">
        <f>#REF!</f>
        <v>#REF!</v>
      </c>
      <c r="O79" s="382" t="e">
        <f>#REF!</f>
        <v>#REF!</v>
      </c>
      <c r="P79" s="382" t="e">
        <f>#REF!</f>
        <v>#REF!</v>
      </c>
      <c r="Q79" s="382" t="e">
        <f>#REF!</f>
        <v>#REF!</v>
      </c>
      <c r="R79" s="382" t="e">
        <f>#REF!</f>
        <v>#REF!</v>
      </c>
      <c r="S79" s="382" t="e">
        <f>#REF!</f>
        <v>#REF!</v>
      </c>
      <c r="T79" s="382" t="e">
        <f>#REF!</f>
        <v>#REF!</v>
      </c>
      <c r="U79" s="382" t="e">
        <f>#REF!</f>
        <v>#REF!</v>
      </c>
      <c r="V79" s="381"/>
      <c r="W79" s="378"/>
      <c r="X79" s="375"/>
      <c r="Z79" s="610"/>
    </row>
    <row r="80" spans="2:26">
      <c r="B80" s="608"/>
      <c r="C80" s="609"/>
      <c r="D80" s="610"/>
      <c r="E80" s="611"/>
      <c r="F80" s="383"/>
      <c r="G80" s="383"/>
      <c r="H80" s="383"/>
      <c r="I80" s="383"/>
      <c r="J80" s="383"/>
      <c r="K80" s="383">
        <f t="shared" ref="K80:P80" si="6">K77*$D77</f>
        <v>10411.182000000001</v>
      </c>
      <c r="L80" s="383">
        <f t="shared" si="6"/>
        <v>20822.364000000001</v>
      </c>
      <c r="M80" s="383">
        <f t="shared" si="6"/>
        <v>20822.364000000001</v>
      </c>
      <c r="N80" s="383">
        <f t="shared" si="6"/>
        <v>20822.364000000001</v>
      </c>
      <c r="O80" s="383">
        <f t="shared" si="6"/>
        <v>20822.364000000001</v>
      </c>
      <c r="P80" s="383">
        <f t="shared" si="6"/>
        <v>10411.182000000001</v>
      </c>
      <c r="Q80" s="383"/>
      <c r="R80" s="383"/>
      <c r="S80" s="383"/>
      <c r="T80" s="383"/>
      <c r="U80" s="383"/>
      <c r="V80" s="384">
        <f>SUM(F80:U80)</f>
        <v>104111.82</v>
      </c>
      <c r="W80" s="385">
        <f>V80-D77</f>
        <v>0</v>
      </c>
      <c r="X80" s="375" t="e">
        <f>SUM(#REF!)</f>
        <v>#REF!</v>
      </c>
      <c r="Z80" s="610"/>
    </row>
    <row r="81" spans="2:26" ht="14.25" customHeight="1">
      <c r="B81" s="608" t="s">
        <v>350</v>
      </c>
      <c r="C81" s="609" t="s">
        <v>351</v>
      </c>
      <c r="D81" s="610">
        <v>1004207.6</v>
      </c>
      <c r="E81" s="611">
        <f>D81/$D$178</f>
        <v>7.9509707046714159E-2</v>
      </c>
      <c r="F81" s="376"/>
      <c r="G81" s="376"/>
      <c r="H81" s="376"/>
      <c r="I81" s="376"/>
      <c r="J81" s="376"/>
      <c r="K81" s="376"/>
      <c r="L81" s="376"/>
      <c r="M81" s="376"/>
      <c r="N81" s="376"/>
      <c r="O81" s="376"/>
      <c r="P81" s="376"/>
      <c r="Q81" s="376"/>
      <c r="R81" s="376">
        <v>0.3</v>
      </c>
      <c r="S81" s="376">
        <v>0.3</v>
      </c>
      <c r="T81" s="376">
        <v>0.2</v>
      </c>
      <c r="U81" s="376">
        <v>0.2</v>
      </c>
      <c r="V81" s="377">
        <f>SUM(F81:U81)</f>
        <v>1</v>
      </c>
      <c r="W81" s="378"/>
      <c r="X81" s="375">
        <f>SUM(F84:U84)</f>
        <v>1004207.6</v>
      </c>
      <c r="Z81" s="610">
        <v>1004207.6</v>
      </c>
    </row>
    <row r="82" spans="2:26">
      <c r="B82" s="608"/>
      <c r="C82" s="609"/>
      <c r="D82" s="610"/>
      <c r="E82" s="611"/>
      <c r="F82" s="380" t="e">
        <f>#REF!</f>
        <v>#REF!</v>
      </c>
      <c r="G82" s="380" t="e">
        <f>#REF!</f>
        <v>#REF!</v>
      </c>
      <c r="H82" s="380" t="e">
        <f>#REF!</f>
        <v>#REF!</v>
      </c>
      <c r="I82" s="380" t="e">
        <f>#REF!</f>
        <v>#REF!</v>
      </c>
      <c r="J82" s="380" t="e">
        <f>#REF!</f>
        <v>#REF!</v>
      </c>
      <c r="K82" s="380" t="e">
        <f>#REF!</f>
        <v>#REF!</v>
      </c>
      <c r="L82" s="380" t="e">
        <f>#REF!</f>
        <v>#REF!</v>
      </c>
      <c r="M82" s="380" t="e">
        <f>#REF!</f>
        <v>#REF!</v>
      </c>
      <c r="N82" s="380" t="e">
        <f>#REF!</f>
        <v>#REF!</v>
      </c>
      <c r="O82" s="380" t="e">
        <f>#REF!</f>
        <v>#REF!</v>
      </c>
      <c r="P82" s="380" t="e">
        <f>#REF!</f>
        <v>#REF!</v>
      </c>
      <c r="Q82" s="380" t="e">
        <f>#REF!</f>
        <v>#REF!</v>
      </c>
      <c r="R82" s="380" t="e">
        <f>#REF!</f>
        <v>#REF!</v>
      </c>
      <c r="S82" s="380" t="e">
        <f>#REF!</f>
        <v>#REF!</v>
      </c>
      <c r="T82" s="380" t="e">
        <f>#REF!</f>
        <v>#REF!</v>
      </c>
      <c r="U82" s="380" t="e">
        <f>#REF!</f>
        <v>#REF!</v>
      </c>
      <c r="V82" s="381"/>
      <c r="W82" s="378"/>
      <c r="X82" s="375"/>
      <c r="Z82" s="610"/>
    </row>
    <row r="83" spans="2:26">
      <c r="B83" s="608"/>
      <c r="C83" s="609"/>
      <c r="D83" s="610"/>
      <c r="E83" s="611"/>
      <c r="F83" s="382" t="e">
        <f>#REF!</f>
        <v>#REF!</v>
      </c>
      <c r="G83" s="382" t="e">
        <f>#REF!</f>
        <v>#REF!</v>
      </c>
      <c r="H83" s="382" t="e">
        <f>#REF!</f>
        <v>#REF!</v>
      </c>
      <c r="I83" s="382" t="e">
        <f>#REF!</f>
        <v>#REF!</v>
      </c>
      <c r="J83" s="382" t="e">
        <f>#REF!</f>
        <v>#REF!</v>
      </c>
      <c r="K83" s="382" t="e">
        <f>#REF!</f>
        <v>#REF!</v>
      </c>
      <c r="L83" s="382" t="e">
        <f>#REF!</f>
        <v>#REF!</v>
      </c>
      <c r="M83" s="382" t="e">
        <f>#REF!</f>
        <v>#REF!</v>
      </c>
      <c r="N83" s="382" t="e">
        <f>#REF!</f>
        <v>#REF!</v>
      </c>
      <c r="O83" s="382" t="e">
        <f>#REF!</f>
        <v>#REF!</v>
      </c>
      <c r="P83" s="382" t="e">
        <f>#REF!</f>
        <v>#REF!</v>
      </c>
      <c r="Q83" s="382" t="e">
        <f>#REF!</f>
        <v>#REF!</v>
      </c>
      <c r="R83" s="382" t="e">
        <f>#REF!</f>
        <v>#REF!</v>
      </c>
      <c r="S83" s="382" t="e">
        <f>#REF!</f>
        <v>#REF!</v>
      </c>
      <c r="T83" s="382" t="e">
        <f>#REF!</f>
        <v>#REF!</v>
      </c>
      <c r="U83" s="382" t="e">
        <f>#REF!</f>
        <v>#REF!</v>
      </c>
      <c r="V83" s="381"/>
      <c r="W83" s="378"/>
      <c r="X83" s="375"/>
      <c r="Z83" s="610"/>
    </row>
    <row r="84" spans="2:26">
      <c r="B84" s="608"/>
      <c r="C84" s="609"/>
      <c r="D84" s="610"/>
      <c r="E84" s="611"/>
      <c r="F84" s="383"/>
      <c r="G84" s="383"/>
      <c r="H84" s="383"/>
      <c r="I84" s="383"/>
      <c r="J84" s="383"/>
      <c r="K84" s="383"/>
      <c r="L84" s="383"/>
      <c r="M84" s="383"/>
      <c r="N84" s="383"/>
      <c r="O84" s="383"/>
      <c r="P84" s="383"/>
      <c r="Q84" s="383"/>
      <c r="R84" s="383">
        <f>R81*$D81</f>
        <v>301262.27999999997</v>
      </c>
      <c r="S84" s="383">
        <f>S81*$D81</f>
        <v>301262.27999999997</v>
      </c>
      <c r="T84" s="383">
        <f>T81*$D81</f>
        <v>200841.52000000002</v>
      </c>
      <c r="U84" s="383">
        <f>U81*$D81</f>
        <v>200841.52000000002</v>
      </c>
      <c r="V84" s="384">
        <f>SUM(F84:U84)</f>
        <v>1004207.6</v>
      </c>
      <c r="W84" s="385">
        <f>V84-D81</f>
        <v>0</v>
      </c>
      <c r="X84" s="375" t="e">
        <f>SUM(#REF!)</f>
        <v>#REF!</v>
      </c>
      <c r="Z84" s="610"/>
    </row>
    <row r="85" spans="2:26" ht="14.25" customHeight="1">
      <c r="B85" s="608" t="s">
        <v>403</v>
      </c>
      <c r="C85" s="609" t="s">
        <v>404</v>
      </c>
      <c r="D85" s="610">
        <v>502236.7</v>
      </c>
      <c r="E85" s="611">
        <f>D85/$D$178</f>
        <v>3.9765376088677744E-2</v>
      </c>
      <c r="F85" s="376"/>
      <c r="G85" s="376"/>
      <c r="H85" s="376"/>
      <c r="I85" s="376"/>
      <c r="J85" s="376"/>
      <c r="K85" s="376"/>
      <c r="L85" s="376"/>
      <c r="M85" s="376"/>
      <c r="N85" s="376"/>
      <c r="O85" s="376"/>
      <c r="P85" s="376"/>
      <c r="Q85" s="376"/>
      <c r="R85" s="376"/>
      <c r="S85" s="376"/>
      <c r="T85" s="376">
        <v>0.5</v>
      </c>
      <c r="U85" s="376">
        <v>0.5</v>
      </c>
      <c r="V85" s="377">
        <f>SUM(F85:U85)</f>
        <v>1</v>
      </c>
      <c r="W85" s="378"/>
      <c r="X85" s="375">
        <f>SUM(F88:U88)</f>
        <v>502236.7</v>
      </c>
      <c r="Z85" s="610">
        <v>502236.7</v>
      </c>
    </row>
    <row r="86" spans="2:26">
      <c r="B86" s="608"/>
      <c r="C86" s="609"/>
      <c r="D86" s="610"/>
      <c r="E86" s="611"/>
      <c r="F86" s="380" t="e">
        <f>#REF!</f>
        <v>#REF!</v>
      </c>
      <c r="G86" s="380" t="e">
        <f>#REF!</f>
        <v>#REF!</v>
      </c>
      <c r="H86" s="380" t="e">
        <f>#REF!</f>
        <v>#REF!</v>
      </c>
      <c r="I86" s="380" t="e">
        <f>#REF!</f>
        <v>#REF!</v>
      </c>
      <c r="J86" s="380" t="e">
        <f>#REF!</f>
        <v>#REF!</v>
      </c>
      <c r="K86" s="380" t="e">
        <f>#REF!</f>
        <v>#REF!</v>
      </c>
      <c r="L86" s="380" t="e">
        <f>#REF!</f>
        <v>#REF!</v>
      </c>
      <c r="M86" s="380" t="e">
        <f>#REF!</f>
        <v>#REF!</v>
      </c>
      <c r="N86" s="380" t="e">
        <f>#REF!</f>
        <v>#REF!</v>
      </c>
      <c r="O86" s="380" t="e">
        <f>#REF!</f>
        <v>#REF!</v>
      </c>
      <c r="P86" s="380" t="e">
        <f>#REF!</f>
        <v>#REF!</v>
      </c>
      <c r="Q86" s="380" t="e">
        <f>#REF!</f>
        <v>#REF!</v>
      </c>
      <c r="R86" s="380" t="e">
        <f>#REF!</f>
        <v>#REF!</v>
      </c>
      <c r="S86" s="380" t="e">
        <f>#REF!</f>
        <v>#REF!</v>
      </c>
      <c r="T86" s="380" t="e">
        <f>#REF!</f>
        <v>#REF!</v>
      </c>
      <c r="U86" s="380" t="e">
        <f>#REF!</f>
        <v>#REF!</v>
      </c>
      <c r="V86" s="381"/>
      <c r="W86" s="378"/>
      <c r="X86" s="375"/>
      <c r="Z86" s="610"/>
    </row>
    <row r="87" spans="2:26">
      <c r="B87" s="608"/>
      <c r="C87" s="609"/>
      <c r="D87" s="610"/>
      <c r="E87" s="611"/>
      <c r="F87" s="382" t="e">
        <f>#REF!</f>
        <v>#REF!</v>
      </c>
      <c r="G87" s="382" t="e">
        <f>#REF!</f>
        <v>#REF!</v>
      </c>
      <c r="H87" s="382" t="e">
        <f>#REF!</f>
        <v>#REF!</v>
      </c>
      <c r="I87" s="382" t="e">
        <f>#REF!</f>
        <v>#REF!</v>
      </c>
      <c r="J87" s="382" t="e">
        <f>#REF!</f>
        <v>#REF!</v>
      </c>
      <c r="K87" s="382" t="e">
        <f>#REF!</f>
        <v>#REF!</v>
      </c>
      <c r="L87" s="382" t="e">
        <f>#REF!</f>
        <v>#REF!</v>
      </c>
      <c r="M87" s="382" t="e">
        <f>#REF!</f>
        <v>#REF!</v>
      </c>
      <c r="N87" s="382" t="e">
        <f>#REF!</f>
        <v>#REF!</v>
      </c>
      <c r="O87" s="382" t="e">
        <f>#REF!</f>
        <v>#REF!</v>
      </c>
      <c r="P87" s="382" t="e">
        <f>#REF!</f>
        <v>#REF!</v>
      </c>
      <c r="Q87" s="382" t="e">
        <f>#REF!</f>
        <v>#REF!</v>
      </c>
      <c r="R87" s="382" t="e">
        <f>#REF!</f>
        <v>#REF!</v>
      </c>
      <c r="S87" s="382" t="e">
        <f>#REF!</f>
        <v>#REF!</v>
      </c>
      <c r="T87" s="382" t="e">
        <f>#REF!</f>
        <v>#REF!</v>
      </c>
      <c r="U87" s="382" t="e">
        <f>#REF!</f>
        <v>#REF!</v>
      </c>
      <c r="V87" s="381"/>
      <c r="W87" s="378"/>
      <c r="X87" s="375"/>
      <c r="Z87" s="610"/>
    </row>
    <row r="88" spans="2:26">
      <c r="B88" s="608"/>
      <c r="C88" s="609"/>
      <c r="D88" s="610"/>
      <c r="E88" s="611"/>
      <c r="F88" s="383"/>
      <c r="G88" s="383"/>
      <c r="H88" s="383"/>
      <c r="I88" s="383"/>
      <c r="J88" s="383"/>
      <c r="K88" s="383"/>
      <c r="L88" s="383"/>
      <c r="M88" s="383"/>
      <c r="N88" s="383"/>
      <c r="O88" s="383"/>
      <c r="P88" s="383"/>
      <c r="Q88" s="383"/>
      <c r="R88" s="383"/>
      <c r="S88" s="383"/>
      <c r="T88" s="383">
        <f>T85*$D85</f>
        <v>251118.35</v>
      </c>
      <c r="U88" s="383">
        <f>U85*$D85</f>
        <v>251118.35</v>
      </c>
      <c r="V88" s="384">
        <f>SUM(F88:U88)</f>
        <v>502236.7</v>
      </c>
      <c r="W88" s="385">
        <f>V88-D85</f>
        <v>0</v>
      </c>
      <c r="X88" s="375">
        <f>SUM(F186:U186)</f>
        <v>0</v>
      </c>
      <c r="Z88" s="610"/>
    </row>
    <row r="89" spans="2:26" ht="14.25" customHeight="1">
      <c r="B89" s="608" t="s">
        <v>2184</v>
      </c>
      <c r="C89" s="609" t="s">
        <v>424</v>
      </c>
      <c r="D89" s="610">
        <v>660251.96</v>
      </c>
      <c r="E89" s="611">
        <f>D89/$D$178</f>
        <v>5.2276481393507511E-2</v>
      </c>
      <c r="F89" s="376"/>
      <c r="G89" s="376"/>
      <c r="H89" s="376"/>
      <c r="I89" s="376"/>
      <c r="J89" s="376"/>
      <c r="K89" s="376"/>
      <c r="L89" s="376"/>
      <c r="M89" s="376"/>
      <c r="N89" s="376"/>
      <c r="O89" s="376"/>
      <c r="P89" s="376"/>
      <c r="Q89" s="376"/>
      <c r="R89" s="376"/>
      <c r="S89" s="376">
        <v>0.2</v>
      </c>
      <c r="T89" s="376">
        <v>0.3</v>
      </c>
      <c r="U89" s="376">
        <v>0.5</v>
      </c>
      <c r="V89" s="377">
        <f>SUM(F89:U89)</f>
        <v>1</v>
      </c>
      <c r="W89" s="378"/>
      <c r="X89" s="375">
        <f>SUM(F92:U92)</f>
        <v>660251.96</v>
      </c>
      <c r="Z89" s="610">
        <v>660251.96</v>
      </c>
    </row>
    <row r="90" spans="2:26">
      <c r="B90" s="608"/>
      <c r="C90" s="609"/>
      <c r="D90" s="610"/>
      <c r="E90" s="611"/>
      <c r="F90" s="380" t="e">
        <f>#REF!</f>
        <v>#REF!</v>
      </c>
      <c r="G90" s="380" t="e">
        <f>#REF!</f>
        <v>#REF!</v>
      </c>
      <c r="H90" s="380" t="e">
        <f>#REF!</f>
        <v>#REF!</v>
      </c>
      <c r="I90" s="380" t="e">
        <f>#REF!</f>
        <v>#REF!</v>
      </c>
      <c r="J90" s="380" t="e">
        <f>#REF!</f>
        <v>#REF!</v>
      </c>
      <c r="K90" s="380" t="e">
        <f>#REF!</f>
        <v>#REF!</v>
      </c>
      <c r="L90" s="380" t="e">
        <f>#REF!</f>
        <v>#REF!</v>
      </c>
      <c r="M90" s="380" t="e">
        <f>#REF!</f>
        <v>#REF!</v>
      </c>
      <c r="N90" s="380" t="e">
        <f>#REF!</f>
        <v>#REF!</v>
      </c>
      <c r="O90" s="380" t="e">
        <f>#REF!</f>
        <v>#REF!</v>
      </c>
      <c r="P90" s="380" t="e">
        <f>#REF!</f>
        <v>#REF!</v>
      </c>
      <c r="Q90" s="380" t="e">
        <f>#REF!</f>
        <v>#REF!</v>
      </c>
      <c r="R90" s="380" t="e">
        <f>#REF!</f>
        <v>#REF!</v>
      </c>
      <c r="S90" s="380" t="e">
        <f>#REF!</f>
        <v>#REF!</v>
      </c>
      <c r="T90" s="380" t="e">
        <f>#REF!</f>
        <v>#REF!</v>
      </c>
      <c r="U90" s="380" t="e">
        <f>#REF!</f>
        <v>#REF!</v>
      </c>
      <c r="V90" s="381"/>
      <c r="W90" s="378"/>
      <c r="X90" s="375"/>
      <c r="Z90" s="610"/>
    </row>
    <row r="91" spans="2:26">
      <c r="B91" s="608"/>
      <c r="C91" s="609"/>
      <c r="D91" s="610"/>
      <c r="E91" s="611"/>
      <c r="F91" s="382" t="e">
        <f>#REF!</f>
        <v>#REF!</v>
      </c>
      <c r="G91" s="382" t="e">
        <f>#REF!</f>
        <v>#REF!</v>
      </c>
      <c r="H91" s="382" t="e">
        <f>#REF!</f>
        <v>#REF!</v>
      </c>
      <c r="I91" s="382" t="e">
        <f>#REF!</f>
        <v>#REF!</v>
      </c>
      <c r="J91" s="382" t="e">
        <f>#REF!</f>
        <v>#REF!</v>
      </c>
      <c r="K91" s="382" t="e">
        <f>#REF!</f>
        <v>#REF!</v>
      </c>
      <c r="L91" s="382" t="e">
        <f>#REF!</f>
        <v>#REF!</v>
      </c>
      <c r="M91" s="382" t="e">
        <f>#REF!</f>
        <v>#REF!</v>
      </c>
      <c r="N91" s="382" t="e">
        <f>#REF!</f>
        <v>#REF!</v>
      </c>
      <c r="O91" s="382" t="e">
        <f>#REF!</f>
        <v>#REF!</v>
      </c>
      <c r="P91" s="382" t="e">
        <f>#REF!</f>
        <v>#REF!</v>
      </c>
      <c r="Q91" s="382" t="e">
        <f>#REF!</f>
        <v>#REF!</v>
      </c>
      <c r="R91" s="382" t="e">
        <f>#REF!</f>
        <v>#REF!</v>
      </c>
      <c r="S91" s="382" t="e">
        <f>#REF!</f>
        <v>#REF!</v>
      </c>
      <c r="T91" s="382" t="e">
        <f>#REF!</f>
        <v>#REF!</v>
      </c>
      <c r="U91" s="382" t="e">
        <f>#REF!</f>
        <v>#REF!</v>
      </c>
      <c r="V91" s="381"/>
      <c r="W91" s="378"/>
      <c r="X91" s="375"/>
      <c r="Z91" s="610"/>
    </row>
    <row r="92" spans="2:26">
      <c r="B92" s="608"/>
      <c r="C92" s="609"/>
      <c r="D92" s="610"/>
      <c r="E92" s="611"/>
      <c r="F92" s="383"/>
      <c r="G92" s="383"/>
      <c r="H92" s="383"/>
      <c r="I92" s="383"/>
      <c r="J92" s="383"/>
      <c r="K92" s="383"/>
      <c r="L92" s="383"/>
      <c r="M92" s="383"/>
      <c r="N92" s="383"/>
      <c r="O92" s="383"/>
      <c r="P92" s="383"/>
      <c r="Q92" s="383"/>
      <c r="R92" s="383"/>
      <c r="S92" s="383">
        <f>S89*$D89</f>
        <v>132050.39199999999</v>
      </c>
      <c r="T92" s="383">
        <f>T89*$D89</f>
        <v>198075.58799999999</v>
      </c>
      <c r="U92" s="383">
        <f>U89*$D89</f>
        <v>330125.98</v>
      </c>
      <c r="V92" s="384">
        <f>SUM(F92:U92)</f>
        <v>660251.96</v>
      </c>
      <c r="W92" s="385">
        <f>V92-D89</f>
        <v>0</v>
      </c>
      <c r="X92" s="375">
        <f>SUM(F93:U93)</f>
        <v>1</v>
      </c>
      <c r="Z92" s="610"/>
    </row>
    <row r="93" spans="2:26" ht="14.25" customHeight="1">
      <c r="B93" s="608" t="s">
        <v>2185</v>
      </c>
      <c r="C93" s="612" t="s">
        <v>438</v>
      </c>
      <c r="D93" s="610">
        <v>493621.64</v>
      </c>
      <c r="E93" s="611">
        <f>D93/$D$178</f>
        <v>3.9083265241488516E-2</v>
      </c>
      <c r="F93" s="376"/>
      <c r="G93" s="376"/>
      <c r="H93" s="376"/>
      <c r="I93" s="376"/>
      <c r="J93" s="376"/>
      <c r="K93" s="376"/>
      <c r="L93" s="376"/>
      <c r="M93" s="376"/>
      <c r="N93" s="376"/>
      <c r="O93" s="376"/>
      <c r="P93" s="376"/>
      <c r="Q93" s="376"/>
      <c r="R93" s="376"/>
      <c r="S93" s="376">
        <v>0.25</v>
      </c>
      <c r="T93" s="376">
        <v>0.25</v>
      </c>
      <c r="U93" s="376">
        <v>0.5</v>
      </c>
      <c r="V93" s="377">
        <f>SUM(F93:U93)</f>
        <v>1</v>
      </c>
      <c r="W93" s="378"/>
      <c r="X93" s="375">
        <f>SUM(F96:U96)</f>
        <v>493621.64</v>
      </c>
      <c r="Z93" s="610">
        <v>493621.64</v>
      </c>
    </row>
    <row r="94" spans="2:26">
      <c r="B94" s="608"/>
      <c r="C94" s="612"/>
      <c r="D94" s="610"/>
      <c r="E94" s="611"/>
      <c r="F94" s="380" t="e">
        <f>#REF!</f>
        <v>#REF!</v>
      </c>
      <c r="G94" s="380" t="e">
        <f>#REF!</f>
        <v>#REF!</v>
      </c>
      <c r="H94" s="380" t="e">
        <f>#REF!</f>
        <v>#REF!</v>
      </c>
      <c r="I94" s="380" t="e">
        <f>#REF!</f>
        <v>#REF!</v>
      </c>
      <c r="J94" s="380" t="e">
        <f>#REF!</f>
        <v>#REF!</v>
      </c>
      <c r="K94" s="380" t="e">
        <f>#REF!</f>
        <v>#REF!</v>
      </c>
      <c r="L94" s="380" t="e">
        <f>#REF!</f>
        <v>#REF!</v>
      </c>
      <c r="M94" s="380" t="e">
        <f>#REF!</f>
        <v>#REF!</v>
      </c>
      <c r="N94" s="380" t="e">
        <f>#REF!</f>
        <v>#REF!</v>
      </c>
      <c r="O94" s="380" t="e">
        <f>#REF!</f>
        <v>#REF!</v>
      </c>
      <c r="P94" s="380" t="e">
        <f>#REF!</f>
        <v>#REF!</v>
      </c>
      <c r="Q94" s="380" t="e">
        <f>#REF!</f>
        <v>#REF!</v>
      </c>
      <c r="R94" s="380" t="e">
        <f>#REF!</f>
        <v>#REF!</v>
      </c>
      <c r="S94" s="380" t="e">
        <f>#REF!</f>
        <v>#REF!</v>
      </c>
      <c r="T94" s="380" t="e">
        <f>#REF!</f>
        <v>#REF!</v>
      </c>
      <c r="U94" s="380" t="e">
        <f>#REF!</f>
        <v>#REF!</v>
      </c>
      <c r="V94" s="381"/>
      <c r="W94" s="378"/>
      <c r="X94" s="375"/>
      <c r="Z94" s="610"/>
    </row>
    <row r="95" spans="2:26">
      <c r="B95" s="608"/>
      <c r="C95" s="612"/>
      <c r="D95" s="610"/>
      <c r="E95" s="611"/>
      <c r="F95" s="382" t="e">
        <f>#REF!</f>
        <v>#REF!</v>
      </c>
      <c r="G95" s="382" t="e">
        <f>#REF!</f>
        <v>#REF!</v>
      </c>
      <c r="H95" s="382" t="e">
        <f>#REF!</f>
        <v>#REF!</v>
      </c>
      <c r="I95" s="382" t="e">
        <f>#REF!</f>
        <v>#REF!</v>
      </c>
      <c r="J95" s="382" t="e">
        <f>#REF!</f>
        <v>#REF!</v>
      </c>
      <c r="K95" s="382" t="e">
        <f>#REF!</f>
        <v>#REF!</v>
      </c>
      <c r="L95" s="382" t="e">
        <f>#REF!</f>
        <v>#REF!</v>
      </c>
      <c r="M95" s="382" t="e">
        <f>#REF!</f>
        <v>#REF!</v>
      </c>
      <c r="N95" s="382" t="e">
        <f>#REF!</f>
        <v>#REF!</v>
      </c>
      <c r="O95" s="382" t="e">
        <f>#REF!</f>
        <v>#REF!</v>
      </c>
      <c r="P95" s="382" t="e">
        <f>#REF!</f>
        <v>#REF!</v>
      </c>
      <c r="Q95" s="382" t="e">
        <f>#REF!</f>
        <v>#REF!</v>
      </c>
      <c r="R95" s="382" t="e">
        <f>#REF!</f>
        <v>#REF!</v>
      </c>
      <c r="S95" s="382" t="e">
        <f>#REF!</f>
        <v>#REF!</v>
      </c>
      <c r="T95" s="382" t="e">
        <f>#REF!</f>
        <v>#REF!</v>
      </c>
      <c r="U95" s="382" t="e">
        <f>#REF!</f>
        <v>#REF!</v>
      </c>
      <c r="V95" s="381"/>
      <c r="W95" s="378"/>
      <c r="X95" s="375"/>
      <c r="Z95" s="610"/>
    </row>
    <row r="96" spans="2:26">
      <c r="B96" s="608"/>
      <c r="C96" s="612"/>
      <c r="D96" s="610"/>
      <c r="E96" s="611"/>
      <c r="F96" s="383"/>
      <c r="G96" s="383"/>
      <c r="H96" s="383"/>
      <c r="I96" s="383"/>
      <c r="J96" s="383"/>
      <c r="K96" s="383"/>
      <c r="L96" s="383"/>
      <c r="M96" s="383"/>
      <c r="N96" s="383"/>
      <c r="O96" s="383"/>
      <c r="P96" s="383"/>
      <c r="Q96" s="383"/>
      <c r="R96" s="383"/>
      <c r="S96" s="383">
        <f>S93*$D93</f>
        <v>123405.41</v>
      </c>
      <c r="T96" s="383">
        <f>T93*$D93</f>
        <v>123405.41</v>
      </c>
      <c r="U96" s="383">
        <f>U93*$D93</f>
        <v>246810.82</v>
      </c>
      <c r="V96" s="384">
        <f>SUM(F96:U96)</f>
        <v>493621.64</v>
      </c>
      <c r="W96" s="385">
        <f>V96-D93</f>
        <v>0</v>
      </c>
      <c r="X96" s="375" t="e">
        <f>SUM(#REF!)</f>
        <v>#REF!</v>
      </c>
      <c r="Z96" s="610"/>
    </row>
    <row r="97" spans="2:26" ht="14.25" customHeight="1">
      <c r="B97" s="608" t="s">
        <v>445</v>
      </c>
      <c r="C97" s="612" t="s">
        <v>446</v>
      </c>
      <c r="D97" s="610">
        <v>96524.29</v>
      </c>
      <c r="E97" s="611">
        <f>D97/$D$178</f>
        <v>7.6424615993665856E-3</v>
      </c>
      <c r="F97" s="376"/>
      <c r="G97" s="376"/>
      <c r="H97" s="376">
        <v>0.05</v>
      </c>
      <c r="I97" s="376">
        <v>0.05</v>
      </c>
      <c r="J97" s="376">
        <v>0.05</v>
      </c>
      <c r="K97" s="376">
        <v>0.05</v>
      </c>
      <c r="L97" s="376">
        <v>0.05</v>
      </c>
      <c r="M97" s="376">
        <v>0.05</v>
      </c>
      <c r="N97" s="376">
        <v>0.05</v>
      </c>
      <c r="O97" s="376">
        <v>0.05</v>
      </c>
      <c r="P97" s="376">
        <v>0.05</v>
      </c>
      <c r="Q97" s="376">
        <v>0.05</v>
      </c>
      <c r="R97" s="376">
        <v>0.05</v>
      </c>
      <c r="S97" s="376">
        <v>0.05</v>
      </c>
      <c r="T97" s="376">
        <v>0.1</v>
      </c>
      <c r="U97" s="376">
        <v>0.3</v>
      </c>
      <c r="V97" s="377">
        <f>SUM(F97:U97)</f>
        <v>1</v>
      </c>
      <c r="W97" s="378"/>
      <c r="X97" s="375">
        <f>SUM(F100:U100)</f>
        <v>96524.290000000008</v>
      </c>
      <c r="Z97" s="610">
        <v>96524.29</v>
      </c>
    </row>
    <row r="98" spans="2:26">
      <c r="B98" s="608"/>
      <c r="C98" s="612"/>
      <c r="D98" s="610"/>
      <c r="E98" s="611"/>
      <c r="F98" s="380" t="e">
        <f>#REF!</f>
        <v>#REF!</v>
      </c>
      <c r="G98" s="380" t="e">
        <f>#REF!</f>
        <v>#REF!</v>
      </c>
      <c r="H98" s="380" t="e">
        <f>#REF!</f>
        <v>#REF!</v>
      </c>
      <c r="I98" s="380" t="e">
        <f>#REF!</f>
        <v>#REF!</v>
      </c>
      <c r="J98" s="380" t="e">
        <f>#REF!</f>
        <v>#REF!</v>
      </c>
      <c r="K98" s="380" t="e">
        <f>#REF!</f>
        <v>#REF!</v>
      </c>
      <c r="L98" s="380" t="e">
        <f>#REF!</f>
        <v>#REF!</v>
      </c>
      <c r="M98" s="380" t="e">
        <f>#REF!</f>
        <v>#REF!</v>
      </c>
      <c r="N98" s="380" t="e">
        <f>#REF!</f>
        <v>#REF!</v>
      </c>
      <c r="O98" s="380" t="e">
        <f>#REF!</f>
        <v>#REF!</v>
      </c>
      <c r="P98" s="380" t="e">
        <f>#REF!</f>
        <v>#REF!</v>
      </c>
      <c r="Q98" s="380" t="e">
        <f>#REF!</f>
        <v>#REF!</v>
      </c>
      <c r="R98" s="380" t="e">
        <f>#REF!</f>
        <v>#REF!</v>
      </c>
      <c r="S98" s="380" t="e">
        <f>#REF!</f>
        <v>#REF!</v>
      </c>
      <c r="T98" s="380" t="e">
        <f>#REF!</f>
        <v>#REF!</v>
      </c>
      <c r="U98" s="380" t="e">
        <f>#REF!</f>
        <v>#REF!</v>
      </c>
      <c r="V98" s="381"/>
      <c r="W98" s="378"/>
      <c r="X98" s="375"/>
      <c r="Z98" s="610"/>
    </row>
    <row r="99" spans="2:26">
      <c r="B99" s="608"/>
      <c r="C99" s="612"/>
      <c r="D99" s="610"/>
      <c r="E99" s="611"/>
      <c r="F99" s="382" t="e">
        <f>#REF!</f>
        <v>#REF!</v>
      </c>
      <c r="G99" s="382" t="e">
        <f>#REF!</f>
        <v>#REF!</v>
      </c>
      <c r="H99" s="382" t="e">
        <f>#REF!</f>
        <v>#REF!</v>
      </c>
      <c r="I99" s="382" t="e">
        <f>#REF!</f>
        <v>#REF!</v>
      </c>
      <c r="J99" s="382" t="e">
        <f>#REF!</f>
        <v>#REF!</v>
      </c>
      <c r="K99" s="382" t="e">
        <f>#REF!</f>
        <v>#REF!</v>
      </c>
      <c r="L99" s="382" t="e">
        <f>#REF!</f>
        <v>#REF!</v>
      </c>
      <c r="M99" s="382" t="e">
        <f>#REF!</f>
        <v>#REF!</v>
      </c>
      <c r="N99" s="382" t="e">
        <f>#REF!</f>
        <v>#REF!</v>
      </c>
      <c r="O99" s="382" t="e">
        <f>#REF!</f>
        <v>#REF!</v>
      </c>
      <c r="P99" s="382" t="e">
        <f>#REF!</f>
        <v>#REF!</v>
      </c>
      <c r="Q99" s="382" t="e">
        <f>#REF!</f>
        <v>#REF!</v>
      </c>
      <c r="R99" s="382" t="e">
        <f>#REF!</f>
        <v>#REF!</v>
      </c>
      <c r="S99" s="382" t="e">
        <f>#REF!</f>
        <v>#REF!</v>
      </c>
      <c r="T99" s="382" t="e">
        <f>#REF!</f>
        <v>#REF!</v>
      </c>
      <c r="U99" s="382" t="e">
        <f>#REF!</f>
        <v>#REF!</v>
      </c>
      <c r="V99" s="381"/>
      <c r="W99" s="378"/>
      <c r="X99" s="375"/>
      <c r="Z99" s="610"/>
    </row>
    <row r="100" spans="2:26">
      <c r="B100" s="608"/>
      <c r="C100" s="612"/>
      <c r="D100" s="610"/>
      <c r="E100" s="611"/>
      <c r="F100" s="383"/>
      <c r="G100" s="383"/>
      <c r="H100" s="383">
        <f t="shared" ref="H100:U100" si="7">H97*$D97</f>
        <v>4826.2145</v>
      </c>
      <c r="I100" s="383">
        <f t="shared" si="7"/>
        <v>4826.2145</v>
      </c>
      <c r="J100" s="383">
        <f t="shared" si="7"/>
        <v>4826.2145</v>
      </c>
      <c r="K100" s="383">
        <f t="shared" si="7"/>
        <v>4826.2145</v>
      </c>
      <c r="L100" s="383">
        <f t="shared" si="7"/>
        <v>4826.2145</v>
      </c>
      <c r="M100" s="383">
        <f t="shared" si="7"/>
        <v>4826.2145</v>
      </c>
      <c r="N100" s="383">
        <f t="shared" si="7"/>
        <v>4826.2145</v>
      </c>
      <c r="O100" s="383">
        <f t="shared" si="7"/>
        <v>4826.2145</v>
      </c>
      <c r="P100" s="383">
        <f t="shared" si="7"/>
        <v>4826.2145</v>
      </c>
      <c r="Q100" s="383">
        <f t="shared" si="7"/>
        <v>4826.2145</v>
      </c>
      <c r="R100" s="383">
        <f t="shared" si="7"/>
        <v>4826.2145</v>
      </c>
      <c r="S100" s="383">
        <f t="shared" si="7"/>
        <v>4826.2145</v>
      </c>
      <c r="T100" s="383">
        <f t="shared" si="7"/>
        <v>9652.4290000000001</v>
      </c>
      <c r="U100" s="383">
        <f t="shared" si="7"/>
        <v>28957.286999999997</v>
      </c>
      <c r="V100" s="384">
        <f>SUM(F100:U100)</f>
        <v>96524.290000000008</v>
      </c>
      <c r="W100" s="385">
        <f>V100-D97</f>
        <v>0</v>
      </c>
      <c r="X100" s="375" t="e">
        <f>SUM(#REF!)</f>
        <v>#REF!</v>
      </c>
      <c r="Z100" s="610"/>
    </row>
    <row r="101" spans="2:26" ht="14.25" customHeight="1">
      <c r="B101" s="608" t="s">
        <v>473</v>
      </c>
      <c r="C101" s="612" t="s">
        <v>2186</v>
      </c>
      <c r="D101" s="610">
        <v>190657.63</v>
      </c>
      <c r="E101" s="611">
        <f>D101/$D$178</f>
        <v>1.5095615993665873E-2</v>
      </c>
      <c r="F101" s="376"/>
      <c r="G101" s="376"/>
      <c r="H101" s="376"/>
      <c r="I101" s="376"/>
      <c r="J101" s="376"/>
      <c r="K101" s="376"/>
      <c r="L101" s="376"/>
      <c r="M101" s="376">
        <v>0.05</v>
      </c>
      <c r="N101" s="376">
        <v>0.05</v>
      </c>
      <c r="O101" s="376">
        <v>0.05</v>
      </c>
      <c r="P101" s="376">
        <v>0.05</v>
      </c>
      <c r="Q101" s="376">
        <v>0.05</v>
      </c>
      <c r="R101" s="376">
        <v>0.05</v>
      </c>
      <c r="S101" s="376">
        <v>0.2</v>
      </c>
      <c r="T101" s="376">
        <v>0.25</v>
      </c>
      <c r="U101" s="376">
        <v>0.25</v>
      </c>
      <c r="V101" s="377">
        <f>SUM(F101:U101)</f>
        <v>1</v>
      </c>
      <c r="W101" s="378"/>
      <c r="X101" s="375">
        <f>SUM(F104:U104)</f>
        <v>190657.63000000003</v>
      </c>
      <c r="Z101" s="610">
        <v>190657.63</v>
      </c>
    </row>
    <row r="102" spans="2:26">
      <c r="B102" s="608"/>
      <c r="C102" s="612"/>
      <c r="D102" s="610"/>
      <c r="E102" s="611"/>
      <c r="F102" s="380" t="e">
        <f>#REF!</f>
        <v>#REF!</v>
      </c>
      <c r="G102" s="380" t="e">
        <f>#REF!</f>
        <v>#REF!</v>
      </c>
      <c r="H102" s="380" t="e">
        <f>#REF!</f>
        <v>#REF!</v>
      </c>
      <c r="I102" s="380" t="e">
        <f>#REF!</f>
        <v>#REF!</v>
      </c>
      <c r="J102" s="380" t="e">
        <f>#REF!</f>
        <v>#REF!</v>
      </c>
      <c r="K102" s="380" t="e">
        <f>#REF!</f>
        <v>#REF!</v>
      </c>
      <c r="L102" s="380" t="e">
        <f>#REF!</f>
        <v>#REF!</v>
      </c>
      <c r="M102" s="380" t="e">
        <f>#REF!</f>
        <v>#REF!</v>
      </c>
      <c r="N102" s="380" t="e">
        <f>#REF!</f>
        <v>#REF!</v>
      </c>
      <c r="O102" s="380" t="e">
        <f>#REF!</f>
        <v>#REF!</v>
      </c>
      <c r="P102" s="380" t="e">
        <f>#REF!</f>
        <v>#REF!</v>
      </c>
      <c r="Q102" s="380" t="e">
        <f>#REF!</f>
        <v>#REF!</v>
      </c>
      <c r="R102" s="380" t="e">
        <f>#REF!</f>
        <v>#REF!</v>
      </c>
      <c r="S102" s="380" t="e">
        <f>#REF!</f>
        <v>#REF!</v>
      </c>
      <c r="T102" s="380" t="e">
        <f>#REF!</f>
        <v>#REF!</v>
      </c>
      <c r="U102" s="380" t="e">
        <f>#REF!</f>
        <v>#REF!</v>
      </c>
      <c r="V102" s="381"/>
      <c r="W102" s="378"/>
      <c r="X102" s="375"/>
      <c r="Z102" s="610"/>
    </row>
    <row r="103" spans="2:26">
      <c r="B103" s="608"/>
      <c r="C103" s="612"/>
      <c r="D103" s="610"/>
      <c r="E103" s="611"/>
      <c r="F103" s="382" t="e">
        <f>#REF!</f>
        <v>#REF!</v>
      </c>
      <c r="G103" s="382" t="e">
        <f>#REF!</f>
        <v>#REF!</v>
      </c>
      <c r="H103" s="382" t="e">
        <f>#REF!</f>
        <v>#REF!</v>
      </c>
      <c r="I103" s="382" t="e">
        <f>#REF!</f>
        <v>#REF!</v>
      </c>
      <c r="J103" s="382" t="e">
        <f>#REF!</f>
        <v>#REF!</v>
      </c>
      <c r="K103" s="382" t="e">
        <f>#REF!</f>
        <v>#REF!</v>
      </c>
      <c r="L103" s="382" t="e">
        <f>#REF!</f>
        <v>#REF!</v>
      </c>
      <c r="M103" s="382" t="e">
        <f>#REF!</f>
        <v>#REF!</v>
      </c>
      <c r="N103" s="382" t="e">
        <f>#REF!</f>
        <v>#REF!</v>
      </c>
      <c r="O103" s="382" t="e">
        <f>#REF!</f>
        <v>#REF!</v>
      </c>
      <c r="P103" s="382" t="e">
        <f>#REF!</f>
        <v>#REF!</v>
      </c>
      <c r="Q103" s="382" t="e">
        <f>#REF!</f>
        <v>#REF!</v>
      </c>
      <c r="R103" s="382" t="e">
        <f>#REF!</f>
        <v>#REF!</v>
      </c>
      <c r="S103" s="382" t="e">
        <f>#REF!</f>
        <v>#REF!</v>
      </c>
      <c r="T103" s="382" t="e">
        <f>#REF!</f>
        <v>#REF!</v>
      </c>
      <c r="U103" s="382" t="e">
        <f>#REF!</f>
        <v>#REF!</v>
      </c>
      <c r="V103" s="381"/>
      <c r="W103" s="378"/>
      <c r="X103" s="375"/>
      <c r="Z103" s="610"/>
    </row>
    <row r="104" spans="2:26">
      <c r="B104" s="608"/>
      <c r="C104" s="612"/>
      <c r="D104" s="610"/>
      <c r="E104" s="611"/>
      <c r="F104" s="383"/>
      <c r="G104" s="383"/>
      <c r="H104" s="383"/>
      <c r="I104" s="383"/>
      <c r="J104" s="383"/>
      <c r="K104" s="383"/>
      <c r="L104" s="383"/>
      <c r="M104" s="383">
        <f t="shared" ref="M104:U104" si="8">M101*$D101</f>
        <v>9532.8815000000013</v>
      </c>
      <c r="N104" s="383">
        <f t="shared" si="8"/>
        <v>9532.8815000000013</v>
      </c>
      <c r="O104" s="383">
        <f t="shared" si="8"/>
        <v>9532.8815000000013</v>
      </c>
      <c r="P104" s="383">
        <f t="shared" si="8"/>
        <v>9532.8815000000013</v>
      </c>
      <c r="Q104" s="383">
        <f t="shared" si="8"/>
        <v>9532.8815000000013</v>
      </c>
      <c r="R104" s="383">
        <f t="shared" si="8"/>
        <v>9532.8815000000013</v>
      </c>
      <c r="S104" s="383">
        <f t="shared" si="8"/>
        <v>38131.526000000005</v>
      </c>
      <c r="T104" s="383">
        <f t="shared" si="8"/>
        <v>47664.407500000001</v>
      </c>
      <c r="U104" s="383">
        <f t="shared" si="8"/>
        <v>47664.407500000001</v>
      </c>
      <c r="V104" s="384">
        <f>SUM(F104:U104)</f>
        <v>190657.63000000003</v>
      </c>
      <c r="W104" s="385">
        <f>V104-D101</f>
        <v>0</v>
      </c>
      <c r="X104" s="375">
        <f>SUM(F177:U177)</f>
        <v>0</v>
      </c>
      <c r="Z104" s="610"/>
    </row>
    <row r="105" spans="2:26" ht="14.25" customHeight="1">
      <c r="B105" s="608" t="s">
        <v>503</v>
      </c>
      <c r="C105" s="612" t="s">
        <v>504</v>
      </c>
      <c r="D105" s="610">
        <v>53340.94</v>
      </c>
      <c r="E105" s="611">
        <f>D105/$D$178</f>
        <v>4.2233523357086298E-3</v>
      </c>
      <c r="F105" s="376"/>
      <c r="G105" s="376"/>
      <c r="H105" s="376"/>
      <c r="I105" s="376"/>
      <c r="J105" s="376"/>
      <c r="K105" s="376"/>
      <c r="L105" s="376"/>
      <c r="M105" s="376">
        <v>0.05</v>
      </c>
      <c r="N105" s="376">
        <v>0.1</v>
      </c>
      <c r="O105" s="376">
        <v>0.1</v>
      </c>
      <c r="P105" s="376">
        <v>0.1</v>
      </c>
      <c r="Q105" s="376">
        <v>0.1</v>
      </c>
      <c r="R105" s="376">
        <v>0.1</v>
      </c>
      <c r="S105" s="376">
        <v>0.1</v>
      </c>
      <c r="T105" s="376">
        <v>0.1</v>
      </c>
      <c r="U105" s="376">
        <v>0.25</v>
      </c>
      <c r="V105" s="377">
        <f>SUM(F105:U105)</f>
        <v>0.99999999999999989</v>
      </c>
      <c r="W105" s="378"/>
      <c r="X105" s="375">
        <f>SUM(F108:U108)</f>
        <v>53340.94</v>
      </c>
      <c r="Z105" s="610">
        <v>53340.94</v>
      </c>
    </row>
    <row r="106" spans="2:26">
      <c r="B106" s="608"/>
      <c r="C106" s="612"/>
      <c r="D106" s="610"/>
      <c r="E106" s="611"/>
      <c r="F106" s="380" t="e">
        <f>#REF!</f>
        <v>#REF!</v>
      </c>
      <c r="G106" s="380" t="e">
        <f>#REF!</f>
        <v>#REF!</v>
      </c>
      <c r="H106" s="380" t="e">
        <f>#REF!</f>
        <v>#REF!</v>
      </c>
      <c r="I106" s="380" t="e">
        <f>#REF!</f>
        <v>#REF!</v>
      </c>
      <c r="J106" s="380" t="e">
        <f>#REF!</f>
        <v>#REF!</v>
      </c>
      <c r="K106" s="380" t="e">
        <f>#REF!</f>
        <v>#REF!</v>
      </c>
      <c r="L106" s="380" t="e">
        <f>#REF!</f>
        <v>#REF!</v>
      </c>
      <c r="M106" s="380" t="e">
        <f>#REF!</f>
        <v>#REF!</v>
      </c>
      <c r="N106" s="380" t="e">
        <f>#REF!</f>
        <v>#REF!</v>
      </c>
      <c r="O106" s="380" t="e">
        <f>#REF!</f>
        <v>#REF!</v>
      </c>
      <c r="P106" s="380" t="e">
        <f>#REF!</f>
        <v>#REF!</v>
      </c>
      <c r="Q106" s="380" t="e">
        <f>#REF!</f>
        <v>#REF!</v>
      </c>
      <c r="R106" s="380" t="e">
        <f>#REF!</f>
        <v>#REF!</v>
      </c>
      <c r="S106" s="380" t="e">
        <f>#REF!</f>
        <v>#REF!</v>
      </c>
      <c r="T106" s="380" t="e">
        <f>#REF!</f>
        <v>#REF!</v>
      </c>
      <c r="U106" s="380" t="e">
        <f>#REF!</f>
        <v>#REF!</v>
      </c>
      <c r="V106" s="381"/>
      <c r="W106" s="378"/>
      <c r="X106" s="375"/>
      <c r="Z106" s="610"/>
    </row>
    <row r="107" spans="2:26">
      <c r="B107" s="608"/>
      <c r="C107" s="612"/>
      <c r="D107" s="610"/>
      <c r="E107" s="611"/>
      <c r="F107" s="382" t="e">
        <f>#REF!</f>
        <v>#REF!</v>
      </c>
      <c r="G107" s="382" t="e">
        <f>#REF!</f>
        <v>#REF!</v>
      </c>
      <c r="H107" s="382" t="e">
        <f>#REF!</f>
        <v>#REF!</v>
      </c>
      <c r="I107" s="382" t="e">
        <f>#REF!</f>
        <v>#REF!</v>
      </c>
      <c r="J107" s="382" t="e">
        <f>#REF!</f>
        <v>#REF!</v>
      </c>
      <c r="K107" s="382" t="e">
        <f>#REF!</f>
        <v>#REF!</v>
      </c>
      <c r="L107" s="382" t="e">
        <f>#REF!</f>
        <v>#REF!</v>
      </c>
      <c r="M107" s="382" t="e">
        <f>#REF!</f>
        <v>#REF!</v>
      </c>
      <c r="N107" s="382" t="e">
        <f>#REF!</f>
        <v>#REF!</v>
      </c>
      <c r="O107" s="382" t="e">
        <f>#REF!</f>
        <v>#REF!</v>
      </c>
      <c r="P107" s="382" t="e">
        <f>#REF!</f>
        <v>#REF!</v>
      </c>
      <c r="Q107" s="382" t="e">
        <f>#REF!</f>
        <v>#REF!</v>
      </c>
      <c r="R107" s="382" t="e">
        <f>#REF!</f>
        <v>#REF!</v>
      </c>
      <c r="S107" s="382" t="e">
        <f>#REF!</f>
        <v>#REF!</v>
      </c>
      <c r="T107" s="382" t="e">
        <f>#REF!</f>
        <v>#REF!</v>
      </c>
      <c r="U107" s="382" t="e">
        <f>#REF!</f>
        <v>#REF!</v>
      </c>
      <c r="V107" s="381"/>
      <c r="W107" s="378"/>
      <c r="X107" s="375"/>
      <c r="Z107" s="610"/>
    </row>
    <row r="108" spans="2:26">
      <c r="B108" s="608"/>
      <c r="C108" s="612"/>
      <c r="D108" s="610"/>
      <c r="E108" s="611"/>
      <c r="F108" s="383"/>
      <c r="G108" s="383"/>
      <c r="H108" s="383"/>
      <c r="I108" s="383"/>
      <c r="J108" s="383"/>
      <c r="K108" s="383"/>
      <c r="L108" s="383"/>
      <c r="M108" s="383">
        <f t="shared" ref="M108:U108" si="9">M105*$D105</f>
        <v>2667.0470000000005</v>
      </c>
      <c r="N108" s="383">
        <f t="shared" si="9"/>
        <v>5334.094000000001</v>
      </c>
      <c r="O108" s="383">
        <f t="shared" si="9"/>
        <v>5334.094000000001</v>
      </c>
      <c r="P108" s="383">
        <f t="shared" si="9"/>
        <v>5334.094000000001</v>
      </c>
      <c r="Q108" s="383">
        <f t="shared" si="9"/>
        <v>5334.094000000001</v>
      </c>
      <c r="R108" s="383">
        <f t="shared" si="9"/>
        <v>5334.094000000001</v>
      </c>
      <c r="S108" s="383">
        <f t="shared" si="9"/>
        <v>5334.094000000001</v>
      </c>
      <c r="T108" s="383">
        <f t="shared" si="9"/>
        <v>5334.094000000001</v>
      </c>
      <c r="U108" s="383">
        <f t="shared" si="9"/>
        <v>13335.235000000001</v>
      </c>
      <c r="V108" s="384">
        <f>SUM(F108:U108)</f>
        <v>53340.94</v>
      </c>
      <c r="W108" s="385">
        <f>V108-D105</f>
        <v>0</v>
      </c>
      <c r="X108" s="375">
        <f>SUM(F179:U179)</f>
        <v>0.99999999999999978</v>
      </c>
      <c r="Z108" s="610"/>
    </row>
    <row r="109" spans="2:26" ht="14.25" customHeight="1">
      <c r="B109" s="608" t="s">
        <v>575</v>
      </c>
      <c r="C109" s="612" t="s">
        <v>576</v>
      </c>
      <c r="D109" s="610">
        <v>78076.25</v>
      </c>
      <c r="E109" s="611">
        <f>D109/$D$178</f>
        <v>6.1818091844813928E-3</v>
      </c>
      <c r="F109" s="376"/>
      <c r="G109" s="376"/>
      <c r="H109" s="376"/>
      <c r="I109" s="376"/>
      <c r="J109" s="376"/>
      <c r="K109" s="376"/>
      <c r="L109" s="376"/>
      <c r="M109" s="376"/>
      <c r="N109" s="376"/>
      <c r="O109" s="376"/>
      <c r="P109" s="376"/>
      <c r="Q109" s="376"/>
      <c r="R109" s="376"/>
      <c r="S109" s="376"/>
      <c r="T109" s="376">
        <v>0.5</v>
      </c>
      <c r="U109" s="376">
        <v>0.5</v>
      </c>
      <c r="V109" s="377">
        <f>SUM(F109:U109)</f>
        <v>1</v>
      </c>
      <c r="W109" s="378"/>
      <c r="X109" s="375">
        <f>SUM(F112:U112)</f>
        <v>78076.25</v>
      </c>
      <c r="Z109" s="610">
        <v>78076.25</v>
      </c>
    </row>
    <row r="110" spans="2:26">
      <c r="B110" s="608"/>
      <c r="C110" s="612"/>
      <c r="D110" s="610"/>
      <c r="E110" s="611"/>
      <c r="F110" s="380" t="e">
        <f>#REF!</f>
        <v>#REF!</v>
      </c>
      <c r="G110" s="380" t="e">
        <f>#REF!</f>
        <v>#REF!</v>
      </c>
      <c r="H110" s="380" t="e">
        <f>#REF!</f>
        <v>#REF!</v>
      </c>
      <c r="I110" s="380" t="e">
        <f>#REF!</f>
        <v>#REF!</v>
      </c>
      <c r="J110" s="380" t="e">
        <f>#REF!</f>
        <v>#REF!</v>
      </c>
      <c r="K110" s="380" t="e">
        <f>#REF!</f>
        <v>#REF!</v>
      </c>
      <c r="L110" s="380" t="e">
        <f>#REF!</f>
        <v>#REF!</v>
      </c>
      <c r="M110" s="380" t="e">
        <f>#REF!</f>
        <v>#REF!</v>
      </c>
      <c r="N110" s="380" t="e">
        <f>#REF!</f>
        <v>#REF!</v>
      </c>
      <c r="O110" s="380" t="e">
        <f>#REF!</f>
        <v>#REF!</v>
      </c>
      <c r="P110" s="380" t="e">
        <f>#REF!</f>
        <v>#REF!</v>
      </c>
      <c r="Q110" s="380" t="e">
        <f>#REF!</f>
        <v>#REF!</v>
      </c>
      <c r="R110" s="380" t="e">
        <f>#REF!</f>
        <v>#REF!</v>
      </c>
      <c r="S110" s="380" t="e">
        <f>#REF!</f>
        <v>#REF!</v>
      </c>
      <c r="T110" s="380" t="e">
        <f>#REF!</f>
        <v>#REF!</v>
      </c>
      <c r="U110" s="380" t="e">
        <f>#REF!</f>
        <v>#REF!</v>
      </c>
      <c r="V110" s="381"/>
      <c r="W110" s="378"/>
      <c r="X110" s="375"/>
      <c r="Z110" s="610"/>
    </row>
    <row r="111" spans="2:26">
      <c r="B111" s="608"/>
      <c r="C111" s="612"/>
      <c r="D111" s="610"/>
      <c r="E111" s="611"/>
      <c r="F111" s="382" t="e">
        <f>#REF!</f>
        <v>#REF!</v>
      </c>
      <c r="G111" s="382" t="e">
        <f>#REF!</f>
        <v>#REF!</v>
      </c>
      <c r="H111" s="382" t="e">
        <f>#REF!</f>
        <v>#REF!</v>
      </c>
      <c r="I111" s="382" t="e">
        <f>#REF!</f>
        <v>#REF!</v>
      </c>
      <c r="J111" s="382" t="e">
        <f>#REF!</f>
        <v>#REF!</v>
      </c>
      <c r="K111" s="382" t="e">
        <f>#REF!</f>
        <v>#REF!</v>
      </c>
      <c r="L111" s="382" t="e">
        <f>#REF!</f>
        <v>#REF!</v>
      </c>
      <c r="M111" s="382" t="e">
        <f>#REF!</f>
        <v>#REF!</v>
      </c>
      <c r="N111" s="382" t="e">
        <f>#REF!</f>
        <v>#REF!</v>
      </c>
      <c r="O111" s="382" t="e">
        <f>#REF!</f>
        <v>#REF!</v>
      </c>
      <c r="P111" s="382" t="e">
        <f>#REF!</f>
        <v>#REF!</v>
      </c>
      <c r="Q111" s="382" t="e">
        <f>#REF!</f>
        <v>#REF!</v>
      </c>
      <c r="R111" s="382" t="e">
        <f>#REF!</f>
        <v>#REF!</v>
      </c>
      <c r="S111" s="382" t="e">
        <f>#REF!</f>
        <v>#REF!</v>
      </c>
      <c r="T111" s="382" t="e">
        <f>#REF!</f>
        <v>#REF!</v>
      </c>
      <c r="U111" s="382" t="e">
        <f>#REF!</f>
        <v>#REF!</v>
      </c>
      <c r="V111" s="381"/>
      <c r="W111" s="378"/>
      <c r="X111" s="375"/>
      <c r="Z111" s="610"/>
    </row>
    <row r="112" spans="2:26">
      <c r="B112" s="608"/>
      <c r="C112" s="612"/>
      <c r="D112" s="610"/>
      <c r="E112" s="611"/>
      <c r="F112" s="383"/>
      <c r="G112" s="383"/>
      <c r="H112" s="383"/>
      <c r="I112" s="383"/>
      <c r="J112" s="383"/>
      <c r="K112" s="383"/>
      <c r="L112" s="383"/>
      <c r="M112" s="383"/>
      <c r="N112" s="383"/>
      <c r="O112" s="383"/>
      <c r="P112" s="383"/>
      <c r="Q112" s="383"/>
      <c r="R112" s="383"/>
      <c r="S112" s="383"/>
      <c r="T112" s="383">
        <f>T109*$D109</f>
        <v>39038.125</v>
      </c>
      <c r="U112" s="383">
        <f>U109*$D109</f>
        <v>39038.125</v>
      </c>
      <c r="V112" s="384">
        <f>SUM(F112:U112)</f>
        <v>78076.25</v>
      </c>
      <c r="W112" s="385">
        <f>V112-D109</f>
        <v>0</v>
      </c>
      <c r="X112" s="375">
        <f>SUM(F185:U185)</f>
        <v>6.9435440368566885</v>
      </c>
      <c r="Z112" s="610"/>
    </row>
    <row r="113" spans="2:26" ht="14.25" customHeight="1">
      <c r="B113" s="608" t="s">
        <v>585</v>
      </c>
      <c r="C113" s="612" t="s">
        <v>586</v>
      </c>
      <c r="D113" s="610">
        <v>7458.6</v>
      </c>
      <c r="E113" s="611">
        <f>D113/$D$178</f>
        <v>5.9054631828978619E-4</v>
      </c>
      <c r="F113" s="376"/>
      <c r="G113" s="376"/>
      <c r="H113" s="376"/>
      <c r="I113" s="376"/>
      <c r="J113" s="376"/>
      <c r="K113" s="376"/>
      <c r="L113" s="376"/>
      <c r="M113" s="376"/>
      <c r="N113" s="376"/>
      <c r="O113" s="376">
        <v>0.1</v>
      </c>
      <c r="P113" s="376">
        <v>0.1</v>
      </c>
      <c r="Q113" s="376">
        <v>0.1</v>
      </c>
      <c r="R113" s="376">
        <v>0.1</v>
      </c>
      <c r="S113" s="376">
        <v>0.1</v>
      </c>
      <c r="T113" s="376">
        <v>0.1</v>
      </c>
      <c r="U113" s="376">
        <v>0.4</v>
      </c>
      <c r="V113" s="377">
        <f>SUM(F113:U113)</f>
        <v>1</v>
      </c>
      <c r="W113" s="378"/>
      <c r="X113" s="375">
        <f>SUM(F116:U116)</f>
        <v>7458.6000000000013</v>
      </c>
      <c r="Z113" s="610">
        <v>7458.6</v>
      </c>
    </row>
    <row r="114" spans="2:26">
      <c r="B114" s="608"/>
      <c r="C114" s="612"/>
      <c r="D114" s="610"/>
      <c r="E114" s="611"/>
      <c r="F114" s="380" t="e">
        <f>#REF!</f>
        <v>#REF!</v>
      </c>
      <c r="G114" s="380" t="e">
        <f>#REF!</f>
        <v>#REF!</v>
      </c>
      <c r="H114" s="380" t="e">
        <f>#REF!</f>
        <v>#REF!</v>
      </c>
      <c r="I114" s="380" t="e">
        <f>#REF!</f>
        <v>#REF!</v>
      </c>
      <c r="J114" s="380" t="e">
        <f>#REF!</f>
        <v>#REF!</v>
      </c>
      <c r="K114" s="380" t="e">
        <f>#REF!</f>
        <v>#REF!</v>
      </c>
      <c r="L114" s="380" t="e">
        <f>#REF!</f>
        <v>#REF!</v>
      </c>
      <c r="M114" s="380" t="e">
        <f>#REF!</f>
        <v>#REF!</v>
      </c>
      <c r="N114" s="380" t="e">
        <f>#REF!</f>
        <v>#REF!</v>
      </c>
      <c r="O114" s="380" t="e">
        <f>#REF!</f>
        <v>#REF!</v>
      </c>
      <c r="P114" s="380" t="e">
        <f>#REF!</f>
        <v>#REF!</v>
      </c>
      <c r="Q114" s="380" t="e">
        <f>#REF!</f>
        <v>#REF!</v>
      </c>
      <c r="R114" s="380" t="e">
        <f>#REF!</f>
        <v>#REF!</v>
      </c>
      <c r="S114" s="380" t="e">
        <f>#REF!</f>
        <v>#REF!</v>
      </c>
      <c r="T114" s="380" t="e">
        <f>#REF!</f>
        <v>#REF!</v>
      </c>
      <c r="U114" s="380" t="e">
        <f>#REF!</f>
        <v>#REF!</v>
      </c>
      <c r="V114" s="381"/>
      <c r="W114" s="378"/>
      <c r="X114" s="375"/>
      <c r="Z114" s="610"/>
    </row>
    <row r="115" spans="2:26">
      <c r="B115" s="608"/>
      <c r="C115" s="612"/>
      <c r="D115" s="610"/>
      <c r="E115" s="611"/>
      <c r="F115" s="382" t="e">
        <f>#REF!</f>
        <v>#REF!</v>
      </c>
      <c r="G115" s="382" t="e">
        <f>#REF!</f>
        <v>#REF!</v>
      </c>
      <c r="H115" s="382" t="e">
        <f>#REF!</f>
        <v>#REF!</v>
      </c>
      <c r="I115" s="382" t="e">
        <f>#REF!</f>
        <v>#REF!</v>
      </c>
      <c r="J115" s="382" t="e">
        <f>#REF!</f>
        <v>#REF!</v>
      </c>
      <c r="K115" s="382" t="e">
        <f>#REF!</f>
        <v>#REF!</v>
      </c>
      <c r="L115" s="382" t="e">
        <f>#REF!</f>
        <v>#REF!</v>
      </c>
      <c r="M115" s="382" t="e">
        <f>#REF!</f>
        <v>#REF!</v>
      </c>
      <c r="N115" s="382" t="e">
        <f>#REF!</f>
        <v>#REF!</v>
      </c>
      <c r="O115" s="382" t="e">
        <f>#REF!</f>
        <v>#REF!</v>
      </c>
      <c r="P115" s="382" t="e">
        <f>#REF!</f>
        <v>#REF!</v>
      </c>
      <c r="Q115" s="382" t="e">
        <f>#REF!</f>
        <v>#REF!</v>
      </c>
      <c r="R115" s="382" t="e">
        <f>#REF!</f>
        <v>#REF!</v>
      </c>
      <c r="S115" s="382" t="e">
        <f>#REF!</f>
        <v>#REF!</v>
      </c>
      <c r="T115" s="382" t="e">
        <f>#REF!</f>
        <v>#REF!</v>
      </c>
      <c r="U115" s="382" t="e">
        <f>#REF!</f>
        <v>#REF!</v>
      </c>
      <c r="V115" s="381"/>
      <c r="W115" s="378"/>
      <c r="X115" s="375"/>
      <c r="Z115" s="610"/>
    </row>
    <row r="116" spans="2:26">
      <c r="B116" s="608"/>
      <c r="C116" s="612"/>
      <c r="D116" s="610"/>
      <c r="E116" s="611"/>
      <c r="F116" s="383"/>
      <c r="G116" s="383"/>
      <c r="H116" s="383"/>
      <c r="I116" s="383"/>
      <c r="J116" s="383"/>
      <c r="K116" s="383"/>
      <c r="L116" s="383"/>
      <c r="M116" s="383"/>
      <c r="N116" s="383"/>
      <c r="O116" s="383">
        <f t="shared" ref="O116:U116" si="10">O113*$D113</f>
        <v>745.86000000000013</v>
      </c>
      <c r="P116" s="383">
        <f t="shared" si="10"/>
        <v>745.86000000000013</v>
      </c>
      <c r="Q116" s="383">
        <f t="shared" si="10"/>
        <v>745.86000000000013</v>
      </c>
      <c r="R116" s="383">
        <f t="shared" si="10"/>
        <v>745.86000000000013</v>
      </c>
      <c r="S116" s="383">
        <f t="shared" si="10"/>
        <v>745.86000000000013</v>
      </c>
      <c r="T116" s="383">
        <f t="shared" si="10"/>
        <v>745.86000000000013</v>
      </c>
      <c r="U116" s="383">
        <f t="shared" si="10"/>
        <v>2983.4400000000005</v>
      </c>
      <c r="V116" s="384">
        <f>SUM(F116:U116)</f>
        <v>7458.6000000000013</v>
      </c>
      <c r="W116" s="385">
        <f>V116-D113</f>
        <v>0</v>
      </c>
      <c r="X116" s="375" t="e">
        <f>SUM(#REF!)</f>
        <v>#REF!</v>
      </c>
      <c r="Z116" s="610"/>
    </row>
    <row r="117" spans="2:26" ht="14.25" customHeight="1">
      <c r="B117" s="608" t="s">
        <v>607</v>
      </c>
      <c r="C117" s="612" t="s">
        <v>608</v>
      </c>
      <c r="D117" s="610">
        <v>42350.74</v>
      </c>
      <c r="E117" s="611">
        <f>D117/$D$178</f>
        <v>3.3531860649247815E-3</v>
      </c>
      <c r="F117" s="376"/>
      <c r="G117" s="376"/>
      <c r="H117" s="376"/>
      <c r="I117" s="376"/>
      <c r="J117" s="376"/>
      <c r="K117" s="376"/>
      <c r="L117" s="376"/>
      <c r="M117" s="376"/>
      <c r="N117" s="376"/>
      <c r="O117" s="376">
        <v>0.1</v>
      </c>
      <c r="P117" s="376">
        <v>0.1</v>
      </c>
      <c r="Q117" s="376">
        <v>0.1</v>
      </c>
      <c r="R117" s="376">
        <v>0.1</v>
      </c>
      <c r="S117" s="376">
        <v>0.1</v>
      </c>
      <c r="T117" s="376">
        <v>0.25</v>
      </c>
      <c r="U117" s="376">
        <v>0.25</v>
      </c>
      <c r="V117" s="377">
        <f>SUM(F117:U117)</f>
        <v>1</v>
      </c>
      <c r="W117" s="378"/>
      <c r="X117" s="375">
        <f>SUM(F120:U120)</f>
        <v>42350.74</v>
      </c>
      <c r="Z117" s="610">
        <v>42350.74</v>
      </c>
    </row>
    <row r="118" spans="2:26">
      <c r="B118" s="608"/>
      <c r="C118" s="612"/>
      <c r="D118" s="610"/>
      <c r="E118" s="611"/>
      <c r="F118" s="380" t="e">
        <f>#REF!</f>
        <v>#REF!</v>
      </c>
      <c r="G118" s="380" t="e">
        <f>#REF!</f>
        <v>#REF!</v>
      </c>
      <c r="H118" s="380" t="e">
        <f>#REF!</f>
        <v>#REF!</v>
      </c>
      <c r="I118" s="380" t="e">
        <f>#REF!</f>
        <v>#REF!</v>
      </c>
      <c r="J118" s="380" t="e">
        <f>#REF!</f>
        <v>#REF!</v>
      </c>
      <c r="K118" s="380" t="e">
        <f>#REF!</f>
        <v>#REF!</v>
      </c>
      <c r="L118" s="380" t="e">
        <f>#REF!</f>
        <v>#REF!</v>
      </c>
      <c r="M118" s="380" t="e">
        <f>#REF!</f>
        <v>#REF!</v>
      </c>
      <c r="N118" s="380" t="e">
        <f>#REF!</f>
        <v>#REF!</v>
      </c>
      <c r="O118" s="380" t="e">
        <f>#REF!</f>
        <v>#REF!</v>
      </c>
      <c r="P118" s="380" t="e">
        <f>#REF!</f>
        <v>#REF!</v>
      </c>
      <c r="Q118" s="380" t="e">
        <f>#REF!</f>
        <v>#REF!</v>
      </c>
      <c r="R118" s="380" t="e">
        <f>#REF!</f>
        <v>#REF!</v>
      </c>
      <c r="S118" s="380" t="e">
        <f>#REF!</f>
        <v>#REF!</v>
      </c>
      <c r="T118" s="380" t="e">
        <f>#REF!</f>
        <v>#REF!</v>
      </c>
      <c r="U118" s="380" t="e">
        <f>#REF!</f>
        <v>#REF!</v>
      </c>
      <c r="V118" s="381"/>
      <c r="W118" s="378"/>
      <c r="X118" s="375"/>
      <c r="Z118" s="610"/>
    </row>
    <row r="119" spans="2:26">
      <c r="B119" s="608"/>
      <c r="C119" s="612"/>
      <c r="D119" s="610"/>
      <c r="E119" s="611"/>
      <c r="F119" s="382" t="e">
        <f>#REF!</f>
        <v>#REF!</v>
      </c>
      <c r="G119" s="382" t="e">
        <f>#REF!</f>
        <v>#REF!</v>
      </c>
      <c r="H119" s="382" t="e">
        <f>#REF!</f>
        <v>#REF!</v>
      </c>
      <c r="I119" s="382" t="e">
        <f>#REF!</f>
        <v>#REF!</v>
      </c>
      <c r="J119" s="382" t="e">
        <f>#REF!</f>
        <v>#REF!</v>
      </c>
      <c r="K119" s="382" t="e">
        <f>#REF!</f>
        <v>#REF!</v>
      </c>
      <c r="L119" s="382" t="e">
        <f>#REF!</f>
        <v>#REF!</v>
      </c>
      <c r="M119" s="382" t="e">
        <f>#REF!</f>
        <v>#REF!</v>
      </c>
      <c r="N119" s="382" t="e">
        <f>#REF!</f>
        <v>#REF!</v>
      </c>
      <c r="O119" s="382" t="e">
        <f>#REF!</f>
        <v>#REF!</v>
      </c>
      <c r="P119" s="382" t="e">
        <f>#REF!</f>
        <v>#REF!</v>
      </c>
      <c r="Q119" s="382" t="e">
        <f>#REF!</f>
        <v>#REF!</v>
      </c>
      <c r="R119" s="382" t="e">
        <f>#REF!</f>
        <v>#REF!</v>
      </c>
      <c r="S119" s="382" t="e">
        <f>#REF!</f>
        <v>#REF!</v>
      </c>
      <c r="T119" s="382" t="e">
        <f>#REF!</f>
        <v>#REF!</v>
      </c>
      <c r="U119" s="382" t="e">
        <f>#REF!</f>
        <v>#REF!</v>
      </c>
      <c r="V119" s="381"/>
      <c r="W119" s="378"/>
      <c r="X119" s="375"/>
      <c r="Z119" s="610"/>
    </row>
    <row r="120" spans="2:26">
      <c r="B120" s="608"/>
      <c r="C120" s="612"/>
      <c r="D120" s="610"/>
      <c r="E120" s="611"/>
      <c r="F120" s="383"/>
      <c r="G120" s="383"/>
      <c r="H120" s="383"/>
      <c r="I120" s="383"/>
      <c r="J120" s="383"/>
      <c r="K120" s="383"/>
      <c r="L120" s="383"/>
      <c r="M120" s="383"/>
      <c r="N120" s="383"/>
      <c r="O120" s="383">
        <f t="shared" ref="O120:U120" si="11">O117*$D117</f>
        <v>4235.0739999999996</v>
      </c>
      <c r="P120" s="383">
        <f t="shared" si="11"/>
        <v>4235.0739999999996</v>
      </c>
      <c r="Q120" s="383">
        <f t="shared" si="11"/>
        <v>4235.0739999999996</v>
      </c>
      <c r="R120" s="383">
        <f t="shared" si="11"/>
        <v>4235.0739999999996</v>
      </c>
      <c r="S120" s="383">
        <f t="shared" si="11"/>
        <v>4235.0739999999996</v>
      </c>
      <c r="T120" s="383">
        <f t="shared" si="11"/>
        <v>10587.684999999999</v>
      </c>
      <c r="U120" s="383">
        <f t="shared" si="11"/>
        <v>10587.684999999999</v>
      </c>
      <c r="V120" s="384">
        <f>SUM(F120:U120)</f>
        <v>42350.74</v>
      </c>
      <c r="W120" s="385">
        <f>V120-D117</f>
        <v>0</v>
      </c>
      <c r="X120" s="375" t="e">
        <f>SUM(#REF!)</f>
        <v>#REF!</v>
      </c>
      <c r="Z120" s="610"/>
    </row>
    <row r="121" spans="2:26" ht="14.25" customHeight="1">
      <c r="B121" s="608" t="s">
        <v>622</v>
      </c>
      <c r="C121" s="612" t="s">
        <v>2187</v>
      </c>
      <c r="D121" s="610">
        <v>61767.17</v>
      </c>
      <c r="E121" s="611">
        <f>D121/$D$178</f>
        <v>4.8905122723673783E-3</v>
      </c>
      <c r="F121" s="376"/>
      <c r="G121" s="376"/>
      <c r="H121" s="376"/>
      <c r="I121" s="376"/>
      <c r="J121" s="376"/>
      <c r="K121" s="376"/>
      <c r="L121" s="376"/>
      <c r="M121" s="376"/>
      <c r="N121" s="376"/>
      <c r="O121" s="376">
        <v>0.1</v>
      </c>
      <c r="P121" s="376">
        <v>0.1</v>
      </c>
      <c r="Q121" s="376">
        <v>0.1</v>
      </c>
      <c r="R121" s="376">
        <v>0.1</v>
      </c>
      <c r="S121" s="376">
        <v>0.1</v>
      </c>
      <c r="T121" s="376">
        <v>0.25</v>
      </c>
      <c r="U121" s="376">
        <v>0.25</v>
      </c>
      <c r="V121" s="377">
        <f>SUM(F121:U121)</f>
        <v>1</v>
      </c>
      <c r="W121" s="378"/>
      <c r="X121" s="375">
        <f>SUM(F124:U124)</f>
        <v>61767.17</v>
      </c>
      <c r="Z121" s="610">
        <v>61767.17</v>
      </c>
    </row>
    <row r="122" spans="2:26">
      <c r="B122" s="608"/>
      <c r="C122" s="612"/>
      <c r="D122" s="610"/>
      <c r="E122" s="611"/>
      <c r="F122" s="380" t="e">
        <f>#REF!</f>
        <v>#REF!</v>
      </c>
      <c r="G122" s="380" t="e">
        <f>#REF!</f>
        <v>#REF!</v>
      </c>
      <c r="H122" s="380" t="e">
        <f>#REF!</f>
        <v>#REF!</v>
      </c>
      <c r="I122" s="380" t="e">
        <f>#REF!</f>
        <v>#REF!</v>
      </c>
      <c r="J122" s="380" t="e">
        <f>#REF!</f>
        <v>#REF!</v>
      </c>
      <c r="K122" s="380" t="e">
        <f>#REF!</f>
        <v>#REF!</v>
      </c>
      <c r="L122" s="380" t="e">
        <f>#REF!</f>
        <v>#REF!</v>
      </c>
      <c r="M122" s="380" t="e">
        <f>#REF!</f>
        <v>#REF!</v>
      </c>
      <c r="N122" s="380" t="e">
        <f>#REF!</f>
        <v>#REF!</v>
      </c>
      <c r="O122" s="380" t="e">
        <f>#REF!</f>
        <v>#REF!</v>
      </c>
      <c r="P122" s="380" t="e">
        <f>#REF!</f>
        <v>#REF!</v>
      </c>
      <c r="Q122" s="380" t="e">
        <f>#REF!</f>
        <v>#REF!</v>
      </c>
      <c r="R122" s="380" t="e">
        <f>#REF!</f>
        <v>#REF!</v>
      </c>
      <c r="S122" s="380" t="e">
        <f>#REF!</f>
        <v>#REF!</v>
      </c>
      <c r="T122" s="380" t="e">
        <f>#REF!</f>
        <v>#REF!</v>
      </c>
      <c r="U122" s="380" t="e">
        <f>#REF!</f>
        <v>#REF!</v>
      </c>
      <c r="V122" s="381"/>
      <c r="W122" s="378"/>
      <c r="X122" s="375"/>
      <c r="Z122" s="610"/>
    </row>
    <row r="123" spans="2:26">
      <c r="B123" s="608"/>
      <c r="C123" s="612"/>
      <c r="D123" s="610"/>
      <c r="E123" s="611"/>
      <c r="F123" s="382" t="e">
        <f>#REF!</f>
        <v>#REF!</v>
      </c>
      <c r="G123" s="382" t="e">
        <f>#REF!</f>
        <v>#REF!</v>
      </c>
      <c r="H123" s="382" t="e">
        <f>#REF!</f>
        <v>#REF!</v>
      </c>
      <c r="I123" s="382" t="e">
        <f>#REF!</f>
        <v>#REF!</v>
      </c>
      <c r="J123" s="382" t="e">
        <f>#REF!</f>
        <v>#REF!</v>
      </c>
      <c r="K123" s="382" t="e">
        <f>#REF!</f>
        <v>#REF!</v>
      </c>
      <c r="L123" s="382" t="e">
        <f>#REF!</f>
        <v>#REF!</v>
      </c>
      <c r="M123" s="382" t="e">
        <f>#REF!</f>
        <v>#REF!</v>
      </c>
      <c r="N123" s="382" t="e">
        <f>#REF!</f>
        <v>#REF!</v>
      </c>
      <c r="O123" s="382" t="e">
        <f>#REF!</f>
        <v>#REF!</v>
      </c>
      <c r="P123" s="382" t="e">
        <f>#REF!</f>
        <v>#REF!</v>
      </c>
      <c r="Q123" s="382" t="e">
        <f>#REF!</f>
        <v>#REF!</v>
      </c>
      <c r="R123" s="382" t="e">
        <f>#REF!</f>
        <v>#REF!</v>
      </c>
      <c r="S123" s="382" t="e">
        <f>#REF!</f>
        <v>#REF!</v>
      </c>
      <c r="T123" s="382" t="e">
        <f>#REF!</f>
        <v>#REF!</v>
      </c>
      <c r="U123" s="382" t="e">
        <f>#REF!</f>
        <v>#REF!</v>
      </c>
      <c r="V123" s="381"/>
      <c r="W123" s="378"/>
      <c r="X123" s="375"/>
      <c r="Z123" s="610"/>
    </row>
    <row r="124" spans="2:26">
      <c r="B124" s="608"/>
      <c r="C124" s="612"/>
      <c r="D124" s="610"/>
      <c r="E124" s="611"/>
      <c r="F124" s="383"/>
      <c r="G124" s="383"/>
      <c r="H124" s="383"/>
      <c r="I124" s="383"/>
      <c r="J124" s="383"/>
      <c r="K124" s="383"/>
      <c r="L124" s="383"/>
      <c r="M124" s="383"/>
      <c r="N124" s="383"/>
      <c r="O124" s="383">
        <f t="shared" ref="O124:U124" si="12">O121*$D121</f>
        <v>6176.7170000000006</v>
      </c>
      <c r="P124" s="383">
        <f t="shared" si="12"/>
        <v>6176.7170000000006</v>
      </c>
      <c r="Q124" s="383">
        <f t="shared" si="12"/>
        <v>6176.7170000000006</v>
      </c>
      <c r="R124" s="383">
        <f t="shared" si="12"/>
        <v>6176.7170000000006</v>
      </c>
      <c r="S124" s="383">
        <f t="shared" si="12"/>
        <v>6176.7170000000006</v>
      </c>
      <c r="T124" s="383">
        <f t="shared" si="12"/>
        <v>15441.7925</v>
      </c>
      <c r="U124" s="383">
        <f t="shared" si="12"/>
        <v>15441.7925</v>
      </c>
      <c r="V124" s="384">
        <f>SUM(F124:U124)</f>
        <v>61767.17</v>
      </c>
      <c r="W124" s="385">
        <f>V124-D121</f>
        <v>0</v>
      </c>
      <c r="X124" s="375" t="e">
        <f>SUM(#REF!)</f>
        <v>#REF!</v>
      </c>
      <c r="Z124" s="610"/>
    </row>
    <row r="125" spans="2:26" ht="14.25" customHeight="1">
      <c r="B125" s="608" t="s">
        <v>2188</v>
      </c>
      <c r="C125" s="612" t="s">
        <v>651</v>
      </c>
      <c r="D125" s="610">
        <v>40610.46</v>
      </c>
      <c r="E125" s="611">
        <f>D125/$D$178</f>
        <v>3.2153966745843226E-3</v>
      </c>
      <c r="F125" s="376"/>
      <c r="G125" s="376"/>
      <c r="H125" s="376"/>
      <c r="I125" s="376"/>
      <c r="J125" s="376"/>
      <c r="K125" s="376">
        <v>0.05</v>
      </c>
      <c r="L125" s="376">
        <v>0.05</v>
      </c>
      <c r="M125" s="376">
        <v>0.05</v>
      </c>
      <c r="N125" s="376">
        <v>0.05</v>
      </c>
      <c r="O125" s="376">
        <v>0.05</v>
      </c>
      <c r="P125" s="376">
        <v>0.05</v>
      </c>
      <c r="Q125" s="376">
        <v>0.05</v>
      </c>
      <c r="R125" s="376">
        <v>0.05</v>
      </c>
      <c r="S125" s="376">
        <v>0.2</v>
      </c>
      <c r="T125" s="376">
        <v>0.2</v>
      </c>
      <c r="U125" s="376">
        <v>0.2</v>
      </c>
      <c r="V125" s="377">
        <f>SUM(F125:U125)</f>
        <v>1</v>
      </c>
      <c r="W125" s="378"/>
      <c r="X125" s="375">
        <f>SUM(F128:U128)</f>
        <v>40610.460000000006</v>
      </c>
      <c r="Z125" s="610">
        <v>40610.46</v>
      </c>
    </row>
    <row r="126" spans="2:26">
      <c r="B126" s="608"/>
      <c r="C126" s="612"/>
      <c r="D126" s="610"/>
      <c r="E126" s="611"/>
      <c r="F126" s="380" t="e">
        <f>#REF!</f>
        <v>#REF!</v>
      </c>
      <c r="G126" s="380" t="e">
        <f>#REF!</f>
        <v>#REF!</v>
      </c>
      <c r="H126" s="380" t="e">
        <f>#REF!</f>
        <v>#REF!</v>
      </c>
      <c r="I126" s="380" t="e">
        <f>#REF!</f>
        <v>#REF!</v>
      </c>
      <c r="J126" s="380" t="e">
        <f>#REF!</f>
        <v>#REF!</v>
      </c>
      <c r="K126" s="380" t="e">
        <f>#REF!</f>
        <v>#REF!</v>
      </c>
      <c r="L126" s="380" t="e">
        <f>#REF!</f>
        <v>#REF!</v>
      </c>
      <c r="M126" s="380" t="e">
        <f>#REF!</f>
        <v>#REF!</v>
      </c>
      <c r="N126" s="380" t="e">
        <f>#REF!</f>
        <v>#REF!</v>
      </c>
      <c r="O126" s="380" t="e">
        <f>#REF!</f>
        <v>#REF!</v>
      </c>
      <c r="P126" s="380" t="e">
        <f>#REF!</f>
        <v>#REF!</v>
      </c>
      <c r="Q126" s="380" t="e">
        <f>#REF!</f>
        <v>#REF!</v>
      </c>
      <c r="R126" s="380" t="e">
        <f>#REF!</f>
        <v>#REF!</v>
      </c>
      <c r="S126" s="380" t="e">
        <f>#REF!</f>
        <v>#REF!</v>
      </c>
      <c r="T126" s="380" t="e">
        <f>#REF!</f>
        <v>#REF!</v>
      </c>
      <c r="U126" s="380" t="e">
        <f>#REF!</f>
        <v>#REF!</v>
      </c>
      <c r="V126" s="381"/>
      <c r="W126" s="378"/>
      <c r="X126" s="375"/>
      <c r="Z126" s="610"/>
    </row>
    <row r="127" spans="2:26">
      <c r="B127" s="608"/>
      <c r="C127" s="612"/>
      <c r="D127" s="610"/>
      <c r="E127" s="611"/>
      <c r="F127" s="382" t="e">
        <f>#REF!</f>
        <v>#REF!</v>
      </c>
      <c r="G127" s="382" t="e">
        <f>#REF!</f>
        <v>#REF!</v>
      </c>
      <c r="H127" s="382" t="e">
        <f>#REF!</f>
        <v>#REF!</v>
      </c>
      <c r="I127" s="382" t="e">
        <f>#REF!</f>
        <v>#REF!</v>
      </c>
      <c r="J127" s="382" t="e">
        <f>#REF!</f>
        <v>#REF!</v>
      </c>
      <c r="K127" s="382" t="e">
        <f>#REF!</f>
        <v>#REF!</v>
      </c>
      <c r="L127" s="382" t="e">
        <f>#REF!</f>
        <v>#REF!</v>
      </c>
      <c r="M127" s="382" t="e">
        <f>#REF!</f>
        <v>#REF!</v>
      </c>
      <c r="N127" s="382" t="e">
        <f>#REF!</f>
        <v>#REF!</v>
      </c>
      <c r="O127" s="382" t="e">
        <f>#REF!</f>
        <v>#REF!</v>
      </c>
      <c r="P127" s="382" t="e">
        <f>#REF!</f>
        <v>#REF!</v>
      </c>
      <c r="Q127" s="382" t="e">
        <f>#REF!</f>
        <v>#REF!</v>
      </c>
      <c r="R127" s="382" t="e">
        <f>#REF!</f>
        <v>#REF!</v>
      </c>
      <c r="S127" s="382" t="e">
        <f>#REF!</f>
        <v>#REF!</v>
      </c>
      <c r="T127" s="382" t="e">
        <f>#REF!</f>
        <v>#REF!</v>
      </c>
      <c r="U127" s="382" t="e">
        <f>#REF!</f>
        <v>#REF!</v>
      </c>
      <c r="V127" s="381"/>
      <c r="W127" s="378"/>
      <c r="X127" s="375"/>
      <c r="Z127" s="610"/>
    </row>
    <row r="128" spans="2:26">
      <c r="B128" s="608"/>
      <c r="C128" s="612"/>
      <c r="D128" s="610"/>
      <c r="E128" s="611"/>
      <c r="F128" s="383"/>
      <c r="G128" s="383"/>
      <c r="H128" s="383"/>
      <c r="I128" s="383"/>
      <c r="J128" s="383"/>
      <c r="K128" s="383">
        <f t="shared" ref="K128:U128" si="13">K125*$D125</f>
        <v>2030.5230000000001</v>
      </c>
      <c r="L128" s="383">
        <f t="shared" si="13"/>
        <v>2030.5230000000001</v>
      </c>
      <c r="M128" s="383">
        <f t="shared" si="13"/>
        <v>2030.5230000000001</v>
      </c>
      <c r="N128" s="383">
        <f t="shared" si="13"/>
        <v>2030.5230000000001</v>
      </c>
      <c r="O128" s="383">
        <f t="shared" si="13"/>
        <v>2030.5230000000001</v>
      </c>
      <c r="P128" s="383">
        <f t="shared" si="13"/>
        <v>2030.5230000000001</v>
      </c>
      <c r="Q128" s="383">
        <f t="shared" si="13"/>
        <v>2030.5230000000001</v>
      </c>
      <c r="R128" s="383">
        <f t="shared" si="13"/>
        <v>2030.5230000000001</v>
      </c>
      <c r="S128" s="383">
        <f t="shared" si="13"/>
        <v>8122.0920000000006</v>
      </c>
      <c r="T128" s="383">
        <f t="shared" si="13"/>
        <v>8122.0920000000006</v>
      </c>
      <c r="U128" s="383">
        <f t="shared" si="13"/>
        <v>8122.0920000000006</v>
      </c>
      <c r="V128" s="384">
        <f>SUM(F128:U128)</f>
        <v>40610.460000000006</v>
      </c>
      <c r="W128" s="385">
        <f>V128-D125</f>
        <v>0</v>
      </c>
      <c r="X128" s="375" t="e">
        <f>SUM(#REF!)</f>
        <v>#REF!</v>
      </c>
      <c r="Z128" s="610"/>
    </row>
    <row r="129" spans="2:26" ht="14.25" customHeight="1">
      <c r="B129" s="608" t="s">
        <v>2189</v>
      </c>
      <c r="C129" s="612" t="s">
        <v>667</v>
      </c>
      <c r="D129" s="610">
        <v>35148.57</v>
      </c>
      <c r="E129" s="611">
        <f>D129/$D$178</f>
        <v>2.7829429928741089E-3</v>
      </c>
      <c r="F129" s="376"/>
      <c r="G129" s="376"/>
      <c r="H129" s="376"/>
      <c r="I129" s="376"/>
      <c r="J129" s="376"/>
      <c r="K129" s="376">
        <v>0.05</v>
      </c>
      <c r="L129" s="376">
        <v>0.05</v>
      </c>
      <c r="M129" s="376">
        <v>0.05</v>
      </c>
      <c r="N129" s="376">
        <v>0.05</v>
      </c>
      <c r="O129" s="376">
        <v>0.05</v>
      </c>
      <c r="P129" s="376">
        <v>0.05</v>
      </c>
      <c r="Q129" s="376">
        <v>0.05</v>
      </c>
      <c r="R129" s="376">
        <v>0.05</v>
      </c>
      <c r="S129" s="376">
        <v>0.2</v>
      </c>
      <c r="T129" s="376">
        <v>0.2</v>
      </c>
      <c r="U129" s="376">
        <v>0.2</v>
      </c>
      <c r="V129" s="377">
        <f>SUM(F129:U129)</f>
        <v>1</v>
      </c>
      <c r="W129" s="378"/>
      <c r="X129" s="375">
        <f>SUM(F132:U132)</f>
        <v>35148.57</v>
      </c>
      <c r="Z129" s="610">
        <v>35148.57</v>
      </c>
    </row>
    <row r="130" spans="2:26">
      <c r="B130" s="608"/>
      <c r="C130" s="612"/>
      <c r="D130" s="610"/>
      <c r="E130" s="611"/>
      <c r="F130" s="380" t="e">
        <f>#REF!</f>
        <v>#REF!</v>
      </c>
      <c r="G130" s="380" t="e">
        <f>#REF!</f>
        <v>#REF!</v>
      </c>
      <c r="H130" s="380" t="e">
        <f>#REF!</f>
        <v>#REF!</v>
      </c>
      <c r="I130" s="380" t="e">
        <f>#REF!</f>
        <v>#REF!</v>
      </c>
      <c r="J130" s="380" t="e">
        <f>#REF!</f>
        <v>#REF!</v>
      </c>
      <c r="K130" s="380" t="e">
        <f>#REF!</f>
        <v>#REF!</v>
      </c>
      <c r="L130" s="380" t="e">
        <f>#REF!</f>
        <v>#REF!</v>
      </c>
      <c r="M130" s="380" t="e">
        <f>#REF!</f>
        <v>#REF!</v>
      </c>
      <c r="N130" s="380" t="e">
        <f>#REF!</f>
        <v>#REF!</v>
      </c>
      <c r="O130" s="380" t="e">
        <f>#REF!</f>
        <v>#REF!</v>
      </c>
      <c r="P130" s="380" t="e">
        <f>#REF!</f>
        <v>#REF!</v>
      </c>
      <c r="Q130" s="380" t="e">
        <f>#REF!</f>
        <v>#REF!</v>
      </c>
      <c r="R130" s="380" t="e">
        <f>#REF!</f>
        <v>#REF!</v>
      </c>
      <c r="S130" s="380" t="e">
        <f>#REF!</f>
        <v>#REF!</v>
      </c>
      <c r="T130" s="380" t="e">
        <f>#REF!</f>
        <v>#REF!</v>
      </c>
      <c r="U130" s="380" t="e">
        <f>#REF!</f>
        <v>#REF!</v>
      </c>
      <c r="V130" s="381"/>
      <c r="W130" s="378"/>
      <c r="X130" s="375"/>
      <c r="Z130" s="610"/>
    </row>
    <row r="131" spans="2:26">
      <c r="B131" s="608"/>
      <c r="C131" s="612"/>
      <c r="D131" s="610"/>
      <c r="E131" s="611"/>
      <c r="F131" s="382" t="e">
        <f>#REF!</f>
        <v>#REF!</v>
      </c>
      <c r="G131" s="382" t="e">
        <f>#REF!</f>
        <v>#REF!</v>
      </c>
      <c r="H131" s="382" t="e">
        <f>#REF!</f>
        <v>#REF!</v>
      </c>
      <c r="I131" s="382" t="e">
        <f>#REF!</f>
        <v>#REF!</v>
      </c>
      <c r="J131" s="382" t="e">
        <f>#REF!</f>
        <v>#REF!</v>
      </c>
      <c r="K131" s="382" t="e">
        <f>#REF!</f>
        <v>#REF!</v>
      </c>
      <c r="L131" s="382" t="e">
        <f>#REF!</f>
        <v>#REF!</v>
      </c>
      <c r="M131" s="382" t="e">
        <f>#REF!</f>
        <v>#REF!</v>
      </c>
      <c r="N131" s="382" t="e">
        <f>#REF!</f>
        <v>#REF!</v>
      </c>
      <c r="O131" s="382" t="e">
        <f>#REF!</f>
        <v>#REF!</v>
      </c>
      <c r="P131" s="382" t="e">
        <f>#REF!</f>
        <v>#REF!</v>
      </c>
      <c r="Q131" s="382" t="e">
        <f>#REF!</f>
        <v>#REF!</v>
      </c>
      <c r="R131" s="382" t="e">
        <f>#REF!</f>
        <v>#REF!</v>
      </c>
      <c r="S131" s="382" t="e">
        <f>#REF!</f>
        <v>#REF!</v>
      </c>
      <c r="T131" s="382" t="e">
        <f>#REF!</f>
        <v>#REF!</v>
      </c>
      <c r="U131" s="382" t="e">
        <f>#REF!</f>
        <v>#REF!</v>
      </c>
      <c r="V131" s="381"/>
      <c r="W131" s="378"/>
      <c r="X131" s="375"/>
      <c r="Z131" s="610"/>
    </row>
    <row r="132" spans="2:26">
      <c r="B132" s="608"/>
      <c r="C132" s="612"/>
      <c r="D132" s="610"/>
      <c r="E132" s="611"/>
      <c r="F132" s="383"/>
      <c r="G132" s="383"/>
      <c r="H132" s="383"/>
      <c r="I132" s="383"/>
      <c r="J132" s="383"/>
      <c r="K132" s="383">
        <f t="shared" ref="K132:U132" si="14">K129*$D129</f>
        <v>1757.4285</v>
      </c>
      <c r="L132" s="383">
        <f t="shared" si="14"/>
        <v>1757.4285</v>
      </c>
      <c r="M132" s="383">
        <f t="shared" si="14"/>
        <v>1757.4285</v>
      </c>
      <c r="N132" s="383">
        <f t="shared" si="14"/>
        <v>1757.4285</v>
      </c>
      <c r="O132" s="383">
        <f t="shared" si="14"/>
        <v>1757.4285</v>
      </c>
      <c r="P132" s="383">
        <f t="shared" si="14"/>
        <v>1757.4285</v>
      </c>
      <c r="Q132" s="383">
        <f t="shared" si="14"/>
        <v>1757.4285</v>
      </c>
      <c r="R132" s="383">
        <f t="shared" si="14"/>
        <v>1757.4285</v>
      </c>
      <c r="S132" s="383">
        <f t="shared" si="14"/>
        <v>7029.7139999999999</v>
      </c>
      <c r="T132" s="383">
        <f t="shared" si="14"/>
        <v>7029.7139999999999</v>
      </c>
      <c r="U132" s="383">
        <f t="shared" si="14"/>
        <v>7029.7139999999999</v>
      </c>
      <c r="V132" s="384">
        <f>SUM(F132:U132)</f>
        <v>35148.57</v>
      </c>
      <c r="W132" s="385">
        <f>V132-D129</f>
        <v>0</v>
      </c>
      <c r="X132" s="375">
        <f>SUM(F186:U186)</f>
        <v>0</v>
      </c>
      <c r="Z132" s="610"/>
    </row>
    <row r="133" spans="2:26" ht="14.25" customHeight="1">
      <c r="B133" s="608" t="s">
        <v>2190</v>
      </c>
      <c r="C133" s="612" t="s">
        <v>2191</v>
      </c>
      <c r="D133" s="610">
        <v>39177.46</v>
      </c>
      <c r="E133" s="611">
        <f>D133/$D$178</f>
        <v>3.1019366587490098E-3</v>
      </c>
      <c r="F133" s="376"/>
      <c r="G133" s="376"/>
      <c r="H133" s="376">
        <v>0.05</v>
      </c>
      <c r="I133" s="376">
        <v>0.05</v>
      </c>
      <c r="J133" s="376">
        <v>0.05</v>
      </c>
      <c r="K133" s="376">
        <v>0.05</v>
      </c>
      <c r="L133" s="376">
        <v>0.05</v>
      </c>
      <c r="M133" s="376">
        <v>0.05</v>
      </c>
      <c r="N133" s="376">
        <v>0.05</v>
      </c>
      <c r="O133" s="376">
        <v>0.05</v>
      </c>
      <c r="P133" s="376">
        <v>0.05</v>
      </c>
      <c r="Q133" s="376">
        <v>0.05</v>
      </c>
      <c r="R133" s="376">
        <v>0.05</v>
      </c>
      <c r="S133" s="376">
        <v>0.15</v>
      </c>
      <c r="T133" s="376">
        <v>0.1</v>
      </c>
      <c r="U133" s="376">
        <v>0.2</v>
      </c>
      <c r="V133" s="377">
        <f>SUM(F133:U133)</f>
        <v>1</v>
      </c>
      <c r="W133" s="378"/>
      <c r="X133" s="375">
        <f>SUM(F136:U136)</f>
        <v>39177.46</v>
      </c>
      <c r="Z133" s="610">
        <v>39177.46</v>
      </c>
    </row>
    <row r="134" spans="2:26">
      <c r="B134" s="608"/>
      <c r="C134" s="612"/>
      <c r="D134" s="610"/>
      <c r="E134" s="611"/>
      <c r="F134" s="380" t="e">
        <f>#REF!</f>
        <v>#REF!</v>
      </c>
      <c r="G134" s="380" t="e">
        <f>#REF!</f>
        <v>#REF!</v>
      </c>
      <c r="H134" s="380" t="e">
        <f>#REF!</f>
        <v>#REF!</v>
      </c>
      <c r="I134" s="380" t="e">
        <f>#REF!</f>
        <v>#REF!</v>
      </c>
      <c r="J134" s="380" t="e">
        <f>#REF!</f>
        <v>#REF!</v>
      </c>
      <c r="K134" s="380" t="e">
        <f>#REF!</f>
        <v>#REF!</v>
      </c>
      <c r="L134" s="380" t="e">
        <f>#REF!</f>
        <v>#REF!</v>
      </c>
      <c r="M134" s="380" t="e">
        <f>#REF!</f>
        <v>#REF!</v>
      </c>
      <c r="N134" s="380" t="e">
        <f>#REF!</f>
        <v>#REF!</v>
      </c>
      <c r="O134" s="380" t="e">
        <f>#REF!</f>
        <v>#REF!</v>
      </c>
      <c r="P134" s="380" t="e">
        <f>#REF!</f>
        <v>#REF!</v>
      </c>
      <c r="Q134" s="380" t="e">
        <f>#REF!</f>
        <v>#REF!</v>
      </c>
      <c r="R134" s="380" t="e">
        <f>#REF!</f>
        <v>#REF!</v>
      </c>
      <c r="S134" s="380" t="e">
        <f>#REF!</f>
        <v>#REF!</v>
      </c>
      <c r="T134" s="380" t="e">
        <f>#REF!</f>
        <v>#REF!</v>
      </c>
      <c r="U134" s="380" t="e">
        <f>#REF!</f>
        <v>#REF!</v>
      </c>
      <c r="V134" s="381"/>
      <c r="W134" s="378"/>
      <c r="X134" s="375"/>
      <c r="Z134" s="610"/>
    </row>
    <row r="135" spans="2:26">
      <c r="B135" s="608"/>
      <c r="C135" s="612"/>
      <c r="D135" s="610"/>
      <c r="E135" s="611"/>
      <c r="F135" s="382" t="e">
        <f>#REF!</f>
        <v>#REF!</v>
      </c>
      <c r="G135" s="382" t="e">
        <f>#REF!</f>
        <v>#REF!</v>
      </c>
      <c r="H135" s="382" t="e">
        <f>#REF!</f>
        <v>#REF!</v>
      </c>
      <c r="I135" s="382" t="e">
        <f>#REF!</f>
        <v>#REF!</v>
      </c>
      <c r="J135" s="382" t="e">
        <f>#REF!</f>
        <v>#REF!</v>
      </c>
      <c r="K135" s="382" t="e">
        <f>#REF!</f>
        <v>#REF!</v>
      </c>
      <c r="L135" s="382" t="e">
        <f>#REF!</f>
        <v>#REF!</v>
      </c>
      <c r="M135" s="382" t="e">
        <f>#REF!</f>
        <v>#REF!</v>
      </c>
      <c r="N135" s="382" t="e">
        <f>#REF!</f>
        <v>#REF!</v>
      </c>
      <c r="O135" s="382" t="e">
        <f>#REF!</f>
        <v>#REF!</v>
      </c>
      <c r="P135" s="382" t="e">
        <f>#REF!</f>
        <v>#REF!</v>
      </c>
      <c r="Q135" s="382" t="e">
        <f>#REF!</f>
        <v>#REF!</v>
      </c>
      <c r="R135" s="382" t="e">
        <f>#REF!</f>
        <v>#REF!</v>
      </c>
      <c r="S135" s="382" t="e">
        <f>#REF!</f>
        <v>#REF!</v>
      </c>
      <c r="T135" s="382" t="e">
        <f>#REF!</f>
        <v>#REF!</v>
      </c>
      <c r="U135" s="382" t="e">
        <f>#REF!</f>
        <v>#REF!</v>
      </c>
      <c r="V135" s="381"/>
      <c r="W135" s="378"/>
      <c r="X135" s="375"/>
      <c r="Z135" s="610"/>
    </row>
    <row r="136" spans="2:26">
      <c r="B136" s="608"/>
      <c r="C136" s="612"/>
      <c r="D136" s="610"/>
      <c r="E136" s="611"/>
      <c r="F136" s="383"/>
      <c r="G136" s="383"/>
      <c r="H136" s="383">
        <f t="shared" ref="H136:U136" si="15">H133*$D133</f>
        <v>1958.873</v>
      </c>
      <c r="I136" s="383">
        <f t="shared" si="15"/>
        <v>1958.873</v>
      </c>
      <c r="J136" s="383">
        <f t="shared" si="15"/>
        <v>1958.873</v>
      </c>
      <c r="K136" s="383">
        <f t="shared" si="15"/>
        <v>1958.873</v>
      </c>
      <c r="L136" s="383">
        <f t="shared" si="15"/>
        <v>1958.873</v>
      </c>
      <c r="M136" s="383">
        <f t="shared" si="15"/>
        <v>1958.873</v>
      </c>
      <c r="N136" s="383">
        <f t="shared" si="15"/>
        <v>1958.873</v>
      </c>
      <c r="O136" s="383">
        <f t="shared" si="15"/>
        <v>1958.873</v>
      </c>
      <c r="P136" s="383">
        <f t="shared" si="15"/>
        <v>1958.873</v>
      </c>
      <c r="Q136" s="383">
        <f t="shared" si="15"/>
        <v>1958.873</v>
      </c>
      <c r="R136" s="383">
        <f t="shared" si="15"/>
        <v>1958.873</v>
      </c>
      <c r="S136" s="383">
        <f t="shared" si="15"/>
        <v>5876.6189999999997</v>
      </c>
      <c r="T136" s="383">
        <f t="shared" si="15"/>
        <v>3917.7460000000001</v>
      </c>
      <c r="U136" s="383">
        <f t="shared" si="15"/>
        <v>7835.4920000000002</v>
      </c>
      <c r="V136" s="384">
        <f>SUM(F136:U136)</f>
        <v>39177.46</v>
      </c>
      <c r="W136" s="385">
        <f>V136-D133</f>
        <v>0</v>
      </c>
      <c r="X136" s="375">
        <f>SUM(F188:U188)</f>
        <v>0</v>
      </c>
      <c r="Z136" s="610"/>
    </row>
    <row r="137" spans="2:26" ht="14.25" customHeight="1">
      <c r="B137" s="608" t="s">
        <v>2192</v>
      </c>
      <c r="C137" s="612" t="s">
        <v>2193</v>
      </c>
      <c r="D137" s="610">
        <v>34733.22</v>
      </c>
      <c r="E137" s="611">
        <f>D137/$D$178</f>
        <v>2.7500570071258904E-3</v>
      </c>
      <c r="F137" s="376"/>
      <c r="G137" s="376"/>
      <c r="H137" s="376">
        <v>0.05</v>
      </c>
      <c r="I137" s="376">
        <v>0.05</v>
      </c>
      <c r="J137" s="376">
        <v>0.05</v>
      </c>
      <c r="K137" s="376">
        <v>0.05</v>
      </c>
      <c r="L137" s="376">
        <v>0.05</v>
      </c>
      <c r="M137" s="376">
        <v>0.05</v>
      </c>
      <c r="N137" s="376">
        <v>0.05</v>
      </c>
      <c r="O137" s="376">
        <v>0.05</v>
      </c>
      <c r="P137" s="376">
        <v>0.05</v>
      </c>
      <c r="Q137" s="376">
        <v>0.05</v>
      </c>
      <c r="R137" s="376">
        <v>0.05</v>
      </c>
      <c r="S137" s="376">
        <v>0.15</v>
      </c>
      <c r="T137" s="376">
        <v>0.15</v>
      </c>
      <c r="U137" s="376">
        <v>0.15</v>
      </c>
      <c r="V137" s="377">
        <f>SUM(F137:U137)</f>
        <v>1</v>
      </c>
      <c r="W137" s="378"/>
      <c r="X137" s="375">
        <f>SUM(F140:U140)</f>
        <v>34733.22</v>
      </c>
      <c r="Z137" s="610">
        <v>34733.22</v>
      </c>
    </row>
    <row r="138" spans="2:26">
      <c r="B138" s="608"/>
      <c r="C138" s="612"/>
      <c r="D138" s="610"/>
      <c r="E138" s="611"/>
      <c r="F138" s="380" t="e">
        <f>#REF!</f>
        <v>#REF!</v>
      </c>
      <c r="G138" s="380" t="e">
        <f>#REF!</f>
        <v>#REF!</v>
      </c>
      <c r="H138" s="380" t="e">
        <f>#REF!</f>
        <v>#REF!</v>
      </c>
      <c r="I138" s="380" t="e">
        <f>#REF!</f>
        <v>#REF!</v>
      </c>
      <c r="J138" s="380" t="e">
        <f>#REF!</f>
        <v>#REF!</v>
      </c>
      <c r="K138" s="380" t="e">
        <f>#REF!</f>
        <v>#REF!</v>
      </c>
      <c r="L138" s="380" t="e">
        <f>#REF!</f>
        <v>#REF!</v>
      </c>
      <c r="M138" s="380" t="e">
        <f>#REF!</f>
        <v>#REF!</v>
      </c>
      <c r="N138" s="380" t="e">
        <f>#REF!</f>
        <v>#REF!</v>
      </c>
      <c r="O138" s="380" t="e">
        <f>#REF!</f>
        <v>#REF!</v>
      </c>
      <c r="P138" s="380" t="e">
        <f>#REF!</f>
        <v>#REF!</v>
      </c>
      <c r="Q138" s="380" t="e">
        <f>#REF!</f>
        <v>#REF!</v>
      </c>
      <c r="R138" s="380" t="e">
        <f>#REF!</f>
        <v>#REF!</v>
      </c>
      <c r="S138" s="380" t="e">
        <f>#REF!</f>
        <v>#REF!</v>
      </c>
      <c r="T138" s="380" t="e">
        <f>#REF!</f>
        <v>#REF!</v>
      </c>
      <c r="U138" s="380" t="e">
        <f>#REF!</f>
        <v>#REF!</v>
      </c>
      <c r="V138" s="381"/>
      <c r="W138" s="378"/>
      <c r="X138" s="375"/>
      <c r="Z138" s="610"/>
    </row>
    <row r="139" spans="2:26">
      <c r="B139" s="608"/>
      <c r="C139" s="612"/>
      <c r="D139" s="610"/>
      <c r="E139" s="611"/>
      <c r="F139" s="382" t="e">
        <f>#REF!</f>
        <v>#REF!</v>
      </c>
      <c r="G139" s="382" t="e">
        <f>#REF!</f>
        <v>#REF!</v>
      </c>
      <c r="H139" s="382" t="e">
        <f>#REF!</f>
        <v>#REF!</v>
      </c>
      <c r="I139" s="382" t="e">
        <f>#REF!</f>
        <v>#REF!</v>
      </c>
      <c r="J139" s="382" t="e">
        <f>#REF!</f>
        <v>#REF!</v>
      </c>
      <c r="K139" s="382" t="e">
        <f>#REF!</f>
        <v>#REF!</v>
      </c>
      <c r="L139" s="382" t="e">
        <f>#REF!</f>
        <v>#REF!</v>
      </c>
      <c r="M139" s="382" t="e">
        <f>#REF!</f>
        <v>#REF!</v>
      </c>
      <c r="N139" s="382" t="e">
        <f>#REF!</f>
        <v>#REF!</v>
      </c>
      <c r="O139" s="382" t="e">
        <f>#REF!</f>
        <v>#REF!</v>
      </c>
      <c r="P139" s="382" t="e">
        <f>#REF!</f>
        <v>#REF!</v>
      </c>
      <c r="Q139" s="382" t="e">
        <f>#REF!</f>
        <v>#REF!</v>
      </c>
      <c r="R139" s="382" t="e">
        <f>#REF!</f>
        <v>#REF!</v>
      </c>
      <c r="S139" s="382" t="e">
        <f>#REF!</f>
        <v>#REF!</v>
      </c>
      <c r="T139" s="382" t="e">
        <f>#REF!</f>
        <v>#REF!</v>
      </c>
      <c r="U139" s="382" t="e">
        <f>#REF!</f>
        <v>#REF!</v>
      </c>
      <c r="V139" s="381"/>
      <c r="W139" s="378"/>
      <c r="X139" s="375"/>
      <c r="Z139" s="610"/>
    </row>
    <row r="140" spans="2:26">
      <c r="B140" s="608"/>
      <c r="C140" s="612"/>
      <c r="D140" s="610"/>
      <c r="E140" s="611"/>
      <c r="F140" s="383"/>
      <c r="G140" s="383"/>
      <c r="H140" s="383">
        <f t="shared" ref="H140:U140" si="16">H137*$D137</f>
        <v>1736.6610000000001</v>
      </c>
      <c r="I140" s="383">
        <f t="shared" si="16"/>
        <v>1736.6610000000001</v>
      </c>
      <c r="J140" s="383">
        <f t="shared" si="16"/>
        <v>1736.6610000000001</v>
      </c>
      <c r="K140" s="383">
        <f t="shared" si="16"/>
        <v>1736.6610000000001</v>
      </c>
      <c r="L140" s="383">
        <f t="shared" si="16"/>
        <v>1736.6610000000001</v>
      </c>
      <c r="M140" s="383">
        <f t="shared" si="16"/>
        <v>1736.6610000000001</v>
      </c>
      <c r="N140" s="383">
        <f t="shared" si="16"/>
        <v>1736.6610000000001</v>
      </c>
      <c r="O140" s="383">
        <f t="shared" si="16"/>
        <v>1736.6610000000001</v>
      </c>
      <c r="P140" s="383">
        <f t="shared" si="16"/>
        <v>1736.6610000000001</v>
      </c>
      <c r="Q140" s="383">
        <f t="shared" si="16"/>
        <v>1736.6610000000001</v>
      </c>
      <c r="R140" s="383">
        <f t="shared" si="16"/>
        <v>1736.6610000000001</v>
      </c>
      <c r="S140" s="383">
        <f t="shared" si="16"/>
        <v>5209.9830000000002</v>
      </c>
      <c r="T140" s="383">
        <f t="shared" si="16"/>
        <v>5209.9830000000002</v>
      </c>
      <c r="U140" s="383">
        <f t="shared" si="16"/>
        <v>5209.9830000000002</v>
      </c>
      <c r="V140" s="384">
        <f>SUM(F140:U140)</f>
        <v>34733.22</v>
      </c>
      <c r="W140" s="385">
        <f>V140-D137</f>
        <v>0</v>
      </c>
      <c r="X140" s="375">
        <f>SUM(F190:U190)</f>
        <v>0</v>
      </c>
      <c r="Z140" s="610"/>
    </row>
    <row r="141" spans="2:26" ht="14.25" customHeight="1">
      <c r="B141" s="608" t="s">
        <v>2194</v>
      </c>
      <c r="C141" s="612" t="s">
        <v>924</v>
      </c>
      <c r="D141" s="610">
        <v>64538.99</v>
      </c>
      <c r="E141" s="611">
        <f>D141/$D$178</f>
        <v>5.1099754552652405E-3</v>
      </c>
      <c r="F141" s="376"/>
      <c r="G141" s="376"/>
      <c r="H141" s="376"/>
      <c r="I141" s="376"/>
      <c r="J141" s="376"/>
      <c r="K141" s="376"/>
      <c r="L141" s="376"/>
      <c r="M141" s="376"/>
      <c r="N141" s="376"/>
      <c r="O141" s="376"/>
      <c r="P141" s="376"/>
      <c r="Q141" s="376"/>
      <c r="R141" s="376">
        <v>0.25</v>
      </c>
      <c r="S141" s="376">
        <v>0.25</v>
      </c>
      <c r="T141" s="376">
        <v>0.2</v>
      </c>
      <c r="U141" s="376">
        <v>0.3</v>
      </c>
      <c r="V141" s="377">
        <f>SUM(F141:U141)</f>
        <v>1</v>
      </c>
      <c r="W141" s="378"/>
      <c r="X141" s="375">
        <f>SUM(F144:U144)</f>
        <v>64538.99</v>
      </c>
      <c r="Z141" s="610">
        <v>64538.99</v>
      </c>
    </row>
    <row r="142" spans="2:26">
      <c r="B142" s="608"/>
      <c r="C142" s="612"/>
      <c r="D142" s="610"/>
      <c r="E142" s="611"/>
      <c r="F142" s="380" t="e">
        <f>#REF!</f>
        <v>#REF!</v>
      </c>
      <c r="G142" s="380" t="e">
        <f>#REF!</f>
        <v>#REF!</v>
      </c>
      <c r="H142" s="380" t="e">
        <f>#REF!</f>
        <v>#REF!</v>
      </c>
      <c r="I142" s="380" t="e">
        <f>#REF!</f>
        <v>#REF!</v>
      </c>
      <c r="J142" s="380" t="e">
        <f>#REF!</f>
        <v>#REF!</v>
      </c>
      <c r="K142" s="380" t="e">
        <f>#REF!</f>
        <v>#REF!</v>
      </c>
      <c r="L142" s="380" t="e">
        <f>#REF!</f>
        <v>#REF!</v>
      </c>
      <c r="M142" s="380" t="e">
        <f>#REF!</f>
        <v>#REF!</v>
      </c>
      <c r="N142" s="380" t="e">
        <f>#REF!</f>
        <v>#REF!</v>
      </c>
      <c r="O142" s="380" t="e">
        <f>#REF!</f>
        <v>#REF!</v>
      </c>
      <c r="P142" s="380" t="e">
        <f>#REF!</f>
        <v>#REF!</v>
      </c>
      <c r="Q142" s="380" t="e">
        <f>#REF!</f>
        <v>#REF!</v>
      </c>
      <c r="R142" s="380" t="e">
        <f>#REF!</f>
        <v>#REF!</v>
      </c>
      <c r="S142" s="380" t="e">
        <f>#REF!</f>
        <v>#REF!</v>
      </c>
      <c r="T142" s="380" t="e">
        <f>#REF!</f>
        <v>#REF!</v>
      </c>
      <c r="U142" s="380" t="e">
        <f>#REF!</f>
        <v>#REF!</v>
      </c>
      <c r="V142" s="381"/>
      <c r="W142" s="378"/>
      <c r="X142" s="375"/>
      <c r="Z142" s="610"/>
    </row>
    <row r="143" spans="2:26">
      <c r="B143" s="608"/>
      <c r="C143" s="612"/>
      <c r="D143" s="610"/>
      <c r="E143" s="611"/>
      <c r="F143" s="382" t="e">
        <f>#REF!</f>
        <v>#REF!</v>
      </c>
      <c r="G143" s="382" t="e">
        <f>#REF!</f>
        <v>#REF!</v>
      </c>
      <c r="H143" s="382" t="e">
        <f>#REF!</f>
        <v>#REF!</v>
      </c>
      <c r="I143" s="382" t="e">
        <f>#REF!</f>
        <v>#REF!</v>
      </c>
      <c r="J143" s="382" t="e">
        <f>#REF!</f>
        <v>#REF!</v>
      </c>
      <c r="K143" s="382" t="e">
        <f>#REF!</f>
        <v>#REF!</v>
      </c>
      <c r="L143" s="382" t="e">
        <f>#REF!</f>
        <v>#REF!</v>
      </c>
      <c r="M143" s="382" t="e">
        <f>#REF!</f>
        <v>#REF!</v>
      </c>
      <c r="N143" s="382" t="e">
        <f>#REF!</f>
        <v>#REF!</v>
      </c>
      <c r="O143" s="382" t="e">
        <f>#REF!</f>
        <v>#REF!</v>
      </c>
      <c r="P143" s="382" t="e">
        <f>#REF!</f>
        <v>#REF!</v>
      </c>
      <c r="Q143" s="382" t="e">
        <f>#REF!</f>
        <v>#REF!</v>
      </c>
      <c r="R143" s="382" t="e">
        <f>#REF!</f>
        <v>#REF!</v>
      </c>
      <c r="S143" s="382" t="e">
        <f>#REF!</f>
        <v>#REF!</v>
      </c>
      <c r="T143" s="382" t="e">
        <f>#REF!</f>
        <v>#REF!</v>
      </c>
      <c r="U143" s="382" t="e">
        <f>#REF!</f>
        <v>#REF!</v>
      </c>
      <c r="V143" s="381"/>
      <c r="W143" s="378"/>
      <c r="X143" s="375"/>
      <c r="Z143" s="610"/>
    </row>
    <row r="144" spans="2:26">
      <c r="B144" s="608"/>
      <c r="C144" s="612"/>
      <c r="D144" s="610"/>
      <c r="E144" s="611"/>
      <c r="F144" s="383"/>
      <c r="G144" s="383"/>
      <c r="H144" s="383"/>
      <c r="I144" s="383"/>
      <c r="J144" s="383"/>
      <c r="K144" s="383"/>
      <c r="L144" s="383"/>
      <c r="M144" s="383"/>
      <c r="N144" s="383"/>
      <c r="O144" s="383"/>
      <c r="P144" s="383"/>
      <c r="Q144" s="383"/>
      <c r="R144" s="383">
        <f>R141*$D141</f>
        <v>16134.747499999999</v>
      </c>
      <c r="S144" s="383">
        <f>S141*$D141</f>
        <v>16134.747499999999</v>
      </c>
      <c r="T144" s="383">
        <f>T141*$D141</f>
        <v>12907.798000000001</v>
      </c>
      <c r="U144" s="383">
        <f>U141*$D141</f>
        <v>19361.697</v>
      </c>
      <c r="V144" s="384">
        <f>SUM(F144:U144)</f>
        <v>64538.99</v>
      </c>
      <c r="W144" s="385">
        <f>V144-D141</f>
        <v>0</v>
      </c>
      <c r="X144" s="375">
        <f>SUM(F192:U192)</f>
        <v>0</v>
      </c>
      <c r="Z144" s="610"/>
    </row>
    <row r="145" spans="2:26" ht="14.25" customHeight="1">
      <c r="B145" s="608" t="s">
        <v>650</v>
      </c>
      <c r="C145" s="612" t="s">
        <v>940</v>
      </c>
      <c r="D145" s="610">
        <v>27246.74</v>
      </c>
      <c r="E145" s="611">
        <f>D145/$D$178</f>
        <v>2.157303246239113E-3</v>
      </c>
      <c r="F145" s="376"/>
      <c r="G145" s="376"/>
      <c r="H145" s="376"/>
      <c r="I145" s="376"/>
      <c r="J145" s="376"/>
      <c r="K145" s="376"/>
      <c r="L145" s="376"/>
      <c r="M145" s="376"/>
      <c r="N145" s="376"/>
      <c r="O145" s="376"/>
      <c r="P145" s="376">
        <v>0.05</v>
      </c>
      <c r="Q145" s="376">
        <v>0.2</v>
      </c>
      <c r="R145" s="376">
        <v>0.05</v>
      </c>
      <c r="S145" s="376">
        <v>0.2</v>
      </c>
      <c r="T145" s="376">
        <v>0.2</v>
      </c>
      <c r="U145" s="376">
        <v>0.3</v>
      </c>
      <c r="V145" s="377">
        <f>SUM(F145:U145)</f>
        <v>1</v>
      </c>
      <c r="W145" s="378"/>
      <c r="X145" s="375">
        <f>SUM(F148:U148)</f>
        <v>27246.740000000005</v>
      </c>
      <c r="Z145" s="610">
        <v>27246.74</v>
      </c>
    </row>
    <row r="146" spans="2:26">
      <c r="B146" s="608"/>
      <c r="C146" s="612"/>
      <c r="D146" s="610"/>
      <c r="E146" s="611"/>
      <c r="F146" s="380" t="e">
        <f>#REF!</f>
        <v>#REF!</v>
      </c>
      <c r="G146" s="380" t="e">
        <f>#REF!</f>
        <v>#REF!</v>
      </c>
      <c r="H146" s="380" t="e">
        <f>#REF!</f>
        <v>#REF!</v>
      </c>
      <c r="I146" s="380" t="e">
        <f>#REF!</f>
        <v>#REF!</v>
      </c>
      <c r="J146" s="380" t="e">
        <f>#REF!</f>
        <v>#REF!</v>
      </c>
      <c r="K146" s="380" t="e">
        <f>#REF!</f>
        <v>#REF!</v>
      </c>
      <c r="L146" s="380" t="e">
        <f>#REF!</f>
        <v>#REF!</v>
      </c>
      <c r="M146" s="380" t="e">
        <f>#REF!</f>
        <v>#REF!</v>
      </c>
      <c r="N146" s="380" t="e">
        <f>#REF!</f>
        <v>#REF!</v>
      </c>
      <c r="O146" s="380" t="e">
        <f>#REF!</f>
        <v>#REF!</v>
      </c>
      <c r="P146" s="380" t="e">
        <f>#REF!</f>
        <v>#REF!</v>
      </c>
      <c r="Q146" s="380" t="e">
        <f>#REF!</f>
        <v>#REF!</v>
      </c>
      <c r="R146" s="380" t="e">
        <f>#REF!</f>
        <v>#REF!</v>
      </c>
      <c r="S146" s="380" t="e">
        <f>#REF!</f>
        <v>#REF!</v>
      </c>
      <c r="T146" s="380" t="e">
        <f>#REF!</f>
        <v>#REF!</v>
      </c>
      <c r="U146" s="380" t="e">
        <f>#REF!</f>
        <v>#REF!</v>
      </c>
      <c r="V146" s="381"/>
      <c r="W146" s="378"/>
      <c r="X146" s="375"/>
      <c r="Z146" s="610"/>
    </row>
    <row r="147" spans="2:26">
      <c r="B147" s="608"/>
      <c r="C147" s="612"/>
      <c r="D147" s="610"/>
      <c r="E147" s="611"/>
      <c r="F147" s="382" t="e">
        <f>#REF!</f>
        <v>#REF!</v>
      </c>
      <c r="G147" s="382" t="e">
        <f>#REF!</f>
        <v>#REF!</v>
      </c>
      <c r="H147" s="382" t="e">
        <f>#REF!</f>
        <v>#REF!</v>
      </c>
      <c r="I147" s="382" t="e">
        <f>#REF!</f>
        <v>#REF!</v>
      </c>
      <c r="J147" s="382" t="e">
        <f>#REF!</f>
        <v>#REF!</v>
      </c>
      <c r="K147" s="382" t="e">
        <f>#REF!</f>
        <v>#REF!</v>
      </c>
      <c r="L147" s="382" t="e">
        <f>#REF!</f>
        <v>#REF!</v>
      </c>
      <c r="M147" s="382" t="e">
        <f>#REF!</f>
        <v>#REF!</v>
      </c>
      <c r="N147" s="382" t="e">
        <f>#REF!</f>
        <v>#REF!</v>
      </c>
      <c r="O147" s="382" t="e">
        <f>#REF!</f>
        <v>#REF!</v>
      </c>
      <c r="P147" s="382" t="e">
        <f>#REF!</f>
        <v>#REF!</v>
      </c>
      <c r="Q147" s="382" t="e">
        <f>#REF!</f>
        <v>#REF!</v>
      </c>
      <c r="R147" s="382" t="e">
        <f>#REF!</f>
        <v>#REF!</v>
      </c>
      <c r="S147" s="382" t="e">
        <f>#REF!</f>
        <v>#REF!</v>
      </c>
      <c r="T147" s="382" t="e">
        <f>#REF!</f>
        <v>#REF!</v>
      </c>
      <c r="U147" s="382" t="e">
        <f>#REF!</f>
        <v>#REF!</v>
      </c>
      <c r="V147" s="381"/>
      <c r="W147" s="378"/>
      <c r="X147" s="375"/>
      <c r="Z147" s="610"/>
    </row>
    <row r="148" spans="2:26">
      <c r="B148" s="608"/>
      <c r="C148" s="612"/>
      <c r="D148" s="610"/>
      <c r="E148" s="611"/>
      <c r="F148" s="383"/>
      <c r="G148" s="383"/>
      <c r="H148" s="383"/>
      <c r="I148" s="383"/>
      <c r="J148" s="383"/>
      <c r="K148" s="383"/>
      <c r="L148" s="383"/>
      <c r="M148" s="383"/>
      <c r="N148" s="383"/>
      <c r="O148" s="383"/>
      <c r="P148" s="383">
        <f t="shared" ref="P148:U148" si="17">P145*$D145</f>
        <v>1362.3370000000002</v>
      </c>
      <c r="Q148" s="383">
        <f t="shared" si="17"/>
        <v>5449.3480000000009</v>
      </c>
      <c r="R148" s="383">
        <f t="shared" si="17"/>
        <v>1362.3370000000002</v>
      </c>
      <c r="S148" s="383">
        <f t="shared" si="17"/>
        <v>5449.3480000000009</v>
      </c>
      <c r="T148" s="383">
        <f t="shared" si="17"/>
        <v>5449.3480000000009</v>
      </c>
      <c r="U148" s="383">
        <f t="shared" si="17"/>
        <v>8174.0219999999999</v>
      </c>
      <c r="V148" s="384">
        <f>SUM(F148:U148)</f>
        <v>27246.740000000005</v>
      </c>
      <c r="W148" s="385">
        <f>V148-D145</f>
        <v>0</v>
      </c>
      <c r="X148" s="375">
        <f>SUM(F194:U194)</f>
        <v>0</v>
      </c>
      <c r="Z148" s="610"/>
    </row>
    <row r="149" spans="2:26" ht="14.25" customHeight="1">
      <c r="B149" s="608" t="s">
        <v>666</v>
      </c>
      <c r="C149" s="612" t="s">
        <v>950</v>
      </c>
      <c r="D149" s="610">
        <v>7995.91</v>
      </c>
      <c r="E149" s="611">
        <f>D149/$D$178</f>
        <v>6.3308867775138547E-4</v>
      </c>
      <c r="F149" s="376"/>
      <c r="G149" s="376"/>
      <c r="H149" s="376"/>
      <c r="I149" s="376"/>
      <c r="J149" s="376"/>
      <c r="K149" s="376"/>
      <c r="L149" s="376"/>
      <c r="M149" s="376"/>
      <c r="N149" s="376"/>
      <c r="O149" s="376"/>
      <c r="P149" s="376"/>
      <c r="Q149" s="376">
        <v>0.1</v>
      </c>
      <c r="R149" s="376">
        <v>0.15</v>
      </c>
      <c r="S149" s="376">
        <v>0.2</v>
      </c>
      <c r="T149" s="376">
        <v>0.25</v>
      </c>
      <c r="U149" s="376">
        <v>0.3</v>
      </c>
      <c r="V149" s="377">
        <f>SUM(F149:U149)</f>
        <v>1</v>
      </c>
      <c r="W149" s="378"/>
      <c r="X149" s="375">
        <f>SUM(F152:U152)</f>
        <v>7995.91</v>
      </c>
      <c r="Z149" s="610">
        <v>7995.91</v>
      </c>
    </row>
    <row r="150" spans="2:26">
      <c r="B150" s="608"/>
      <c r="C150" s="612"/>
      <c r="D150" s="610"/>
      <c r="E150" s="611"/>
      <c r="F150" s="380" t="e">
        <f>#REF!</f>
        <v>#REF!</v>
      </c>
      <c r="G150" s="380" t="e">
        <f>#REF!</f>
        <v>#REF!</v>
      </c>
      <c r="H150" s="380" t="e">
        <f>#REF!</f>
        <v>#REF!</v>
      </c>
      <c r="I150" s="380" t="e">
        <f>#REF!</f>
        <v>#REF!</v>
      </c>
      <c r="J150" s="380" t="e">
        <f>#REF!</f>
        <v>#REF!</v>
      </c>
      <c r="K150" s="380" t="e">
        <f>#REF!</f>
        <v>#REF!</v>
      </c>
      <c r="L150" s="380" t="e">
        <f>#REF!</f>
        <v>#REF!</v>
      </c>
      <c r="M150" s="380" t="e">
        <f>#REF!</f>
        <v>#REF!</v>
      </c>
      <c r="N150" s="380" t="e">
        <f>#REF!</f>
        <v>#REF!</v>
      </c>
      <c r="O150" s="380" t="e">
        <f>#REF!</f>
        <v>#REF!</v>
      </c>
      <c r="P150" s="380" t="e">
        <f>#REF!</f>
        <v>#REF!</v>
      </c>
      <c r="Q150" s="380" t="e">
        <f>#REF!</f>
        <v>#REF!</v>
      </c>
      <c r="R150" s="380" t="e">
        <f>#REF!</f>
        <v>#REF!</v>
      </c>
      <c r="S150" s="380" t="e">
        <f>#REF!</f>
        <v>#REF!</v>
      </c>
      <c r="T150" s="380" t="e">
        <f>#REF!</f>
        <v>#REF!</v>
      </c>
      <c r="U150" s="380" t="e">
        <f>#REF!</f>
        <v>#REF!</v>
      </c>
      <c r="V150" s="381"/>
      <c r="W150" s="378"/>
      <c r="X150" s="375"/>
      <c r="Z150" s="610"/>
    </row>
    <row r="151" spans="2:26">
      <c r="B151" s="608"/>
      <c r="C151" s="612"/>
      <c r="D151" s="610"/>
      <c r="E151" s="611"/>
      <c r="F151" s="382" t="e">
        <f>#REF!</f>
        <v>#REF!</v>
      </c>
      <c r="G151" s="382" t="e">
        <f>#REF!</f>
        <v>#REF!</v>
      </c>
      <c r="H151" s="382" t="e">
        <f>#REF!</f>
        <v>#REF!</v>
      </c>
      <c r="I151" s="382" t="e">
        <f>#REF!</f>
        <v>#REF!</v>
      </c>
      <c r="J151" s="382" t="e">
        <f>#REF!</f>
        <v>#REF!</v>
      </c>
      <c r="K151" s="382" t="e">
        <f>#REF!</f>
        <v>#REF!</v>
      </c>
      <c r="L151" s="382" t="e">
        <f>#REF!</f>
        <v>#REF!</v>
      </c>
      <c r="M151" s="382" t="e">
        <f>#REF!</f>
        <v>#REF!</v>
      </c>
      <c r="N151" s="382" t="e">
        <f>#REF!</f>
        <v>#REF!</v>
      </c>
      <c r="O151" s="382" t="e">
        <f>#REF!</f>
        <v>#REF!</v>
      </c>
      <c r="P151" s="382" t="e">
        <f>#REF!</f>
        <v>#REF!</v>
      </c>
      <c r="Q151" s="382" t="e">
        <f>#REF!</f>
        <v>#REF!</v>
      </c>
      <c r="R151" s="382" t="e">
        <f>#REF!</f>
        <v>#REF!</v>
      </c>
      <c r="S151" s="382" t="e">
        <f>#REF!</f>
        <v>#REF!</v>
      </c>
      <c r="T151" s="382" t="e">
        <f>#REF!</f>
        <v>#REF!</v>
      </c>
      <c r="U151" s="382" t="e">
        <f>#REF!</f>
        <v>#REF!</v>
      </c>
      <c r="V151" s="381"/>
      <c r="W151" s="378"/>
      <c r="X151" s="375"/>
      <c r="Z151" s="610"/>
    </row>
    <row r="152" spans="2:26">
      <c r="B152" s="608"/>
      <c r="C152" s="612"/>
      <c r="D152" s="610"/>
      <c r="E152" s="611"/>
      <c r="F152" s="383"/>
      <c r="G152" s="383"/>
      <c r="H152" s="383"/>
      <c r="I152" s="383"/>
      <c r="J152" s="383"/>
      <c r="K152" s="383"/>
      <c r="L152" s="383"/>
      <c r="M152" s="383"/>
      <c r="N152" s="383"/>
      <c r="O152" s="383"/>
      <c r="P152" s="383"/>
      <c r="Q152" s="383">
        <f>Q149*$D149</f>
        <v>799.59100000000001</v>
      </c>
      <c r="R152" s="383">
        <f>R149*$D149</f>
        <v>1199.3864999999998</v>
      </c>
      <c r="S152" s="383">
        <f>S149*$D149</f>
        <v>1599.182</v>
      </c>
      <c r="T152" s="383">
        <f>T149*$D149</f>
        <v>1998.9775</v>
      </c>
      <c r="U152" s="383">
        <f>U149*$D149</f>
        <v>2398.7729999999997</v>
      </c>
      <c r="V152" s="384">
        <f>SUM(F152:U152)</f>
        <v>7995.91</v>
      </c>
      <c r="W152" s="385">
        <f>V152-D149</f>
        <v>0</v>
      </c>
      <c r="X152" s="375">
        <f>SUM(F196:U196)</f>
        <v>0</v>
      </c>
      <c r="Z152" s="610"/>
    </row>
    <row r="153" spans="2:26" ht="14.25" customHeight="1">
      <c r="B153" s="608" t="s">
        <v>939</v>
      </c>
      <c r="C153" s="612" t="s">
        <v>992</v>
      </c>
      <c r="D153" s="610">
        <v>32879.449999999997</v>
      </c>
      <c r="E153" s="611">
        <f>D153/$D$178</f>
        <v>2.6032818685669036E-3</v>
      </c>
      <c r="F153" s="376"/>
      <c r="G153" s="376"/>
      <c r="H153" s="376"/>
      <c r="I153" s="376"/>
      <c r="J153" s="376"/>
      <c r="K153" s="376"/>
      <c r="L153" s="376"/>
      <c r="M153" s="376"/>
      <c r="N153" s="376"/>
      <c r="O153" s="376"/>
      <c r="P153" s="376"/>
      <c r="Q153" s="376"/>
      <c r="R153" s="376">
        <v>0.2</v>
      </c>
      <c r="S153" s="376">
        <v>0.2</v>
      </c>
      <c r="T153" s="376">
        <v>0.3</v>
      </c>
      <c r="U153" s="376">
        <v>0.3</v>
      </c>
      <c r="V153" s="377">
        <f>SUM(F153:U153)</f>
        <v>1</v>
      </c>
      <c r="W153" s="378"/>
      <c r="X153" s="375">
        <f>SUM(F156:U156)</f>
        <v>32879.449999999997</v>
      </c>
      <c r="Z153" s="610">
        <v>32879.449999999997</v>
      </c>
    </row>
    <row r="154" spans="2:26">
      <c r="B154" s="608"/>
      <c r="C154" s="612"/>
      <c r="D154" s="610"/>
      <c r="E154" s="611"/>
      <c r="F154" s="380" t="e">
        <f>#REF!</f>
        <v>#REF!</v>
      </c>
      <c r="G154" s="380" t="e">
        <f>#REF!</f>
        <v>#REF!</v>
      </c>
      <c r="H154" s="380" t="e">
        <f>#REF!</f>
        <v>#REF!</v>
      </c>
      <c r="I154" s="380" t="e">
        <f>#REF!</f>
        <v>#REF!</v>
      </c>
      <c r="J154" s="380" t="e">
        <f>#REF!</f>
        <v>#REF!</v>
      </c>
      <c r="K154" s="380" t="e">
        <f>#REF!</f>
        <v>#REF!</v>
      </c>
      <c r="L154" s="380" t="e">
        <f>#REF!</f>
        <v>#REF!</v>
      </c>
      <c r="M154" s="380" t="e">
        <f>#REF!</f>
        <v>#REF!</v>
      </c>
      <c r="N154" s="380" t="e">
        <f>#REF!</f>
        <v>#REF!</v>
      </c>
      <c r="O154" s="380" t="e">
        <f>#REF!</f>
        <v>#REF!</v>
      </c>
      <c r="P154" s="380" t="e">
        <f>#REF!</f>
        <v>#REF!</v>
      </c>
      <c r="Q154" s="380" t="e">
        <f>#REF!</f>
        <v>#REF!</v>
      </c>
      <c r="R154" s="380" t="e">
        <f>#REF!</f>
        <v>#REF!</v>
      </c>
      <c r="S154" s="380" t="e">
        <f>#REF!</f>
        <v>#REF!</v>
      </c>
      <c r="T154" s="380" t="e">
        <f>#REF!</f>
        <v>#REF!</v>
      </c>
      <c r="U154" s="380" t="e">
        <f>#REF!</f>
        <v>#REF!</v>
      </c>
      <c r="V154" s="381"/>
      <c r="W154" s="378"/>
      <c r="X154" s="375"/>
      <c r="Z154" s="610"/>
    </row>
    <row r="155" spans="2:26">
      <c r="B155" s="608"/>
      <c r="C155" s="612"/>
      <c r="D155" s="610"/>
      <c r="E155" s="611"/>
      <c r="F155" s="382" t="e">
        <f>#REF!</f>
        <v>#REF!</v>
      </c>
      <c r="G155" s="382" t="e">
        <f>#REF!</f>
        <v>#REF!</v>
      </c>
      <c r="H155" s="382" t="e">
        <f>#REF!</f>
        <v>#REF!</v>
      </c>
      <c r="I155" s="382" t="e">
        <f>#REF!</f>
        <v>#REF!</v>
      </c>
      <c r="J155" s="382" t="e">
        <f>#REF!</f>
        <v>#REF!</v>
      </c>
      <c r="K155" s="382" t="e">
        <f>#REF!</f>
        <v>#REF!</v>
      </c>
      <c r="L155" s="382" t="e">
        <f>#REF!</f>
        <v>#REF!</v>
      </c>
      <c r="M155" s="382" t="e">
        <f>#REF!</f>
        <v>#REF!</v>
      </c>
      <c r="N155" s="382" t="e">
        <f>#REF!</f>
        <v>#REF!</v>
      </c>
      <c r="O155" s="382" t="e">
        <f>#REF!</f>
        <v>#REF!</v>
      </c>
      <c r="P155" s="382" t="e">
        <f>#REF!</f>
        <v>#REF!</v>
      </c>
      <c r="Q155" s="382" t="e">
        <f>#REF!</f>
        <v>#REF!</v>
      </c>
      <c r="R155" s="382" t="e">
        <f>#REF!</f>
        <v>#REF!</v>
      </c>
      <c r="S155" s="382" t="e">
        <f>#REF!</f>
        <v>#REF!</v>
      </c>
      <c r="T155" s="382" t="e">
        <f>#REF!</f>
        <v>#REF!</v>
      </c>
      <c r="U155" s="382" t="e">
        <f>#REF!</f>
        <v>#REF!</v>
      </c>
      <c r="V155" s="381"/>
      <c r="W155" s="378"/>
      <c r="X155" s="375"/>
      <c r="Z155" s="610"/>
    </row>
    <row r="156" spans="2:26">
      <c r="B156" s="608"/>
      <c r="C156" s="612"/>
      <c r="D156" s="610"/>
      <c r="E156" s="611"/>
      <c r="F156" s="383"/>
      <c r="G156" s="383"/>
      <c r="H156" s="383"/>
      <c r="I156" s="383"/>
      <c r="J156" s="383"/>
      <c r="K156" s="383"/>
      <c r="L156" s="383"/>
      <c r="M156" s="383"/>
      <c r="N156" s="383"/>
      <c r="O156" s="383"/>
      <c r="P156" s="383"/>
      <c r="Q156" s="383"/>
      <c r="R156" s="383">
        <f>R153*$D153</f>
        <v>6575.8899999999994</v>
      </c>
      <c r="S156" s="383">
        <f>S153*$D153</f>
        <v>6575.8899999999994</v>
      </c>
      <c r="T156" s="383">
        <f>T153*$D153</f>
        <v>9863.8349999999991</v>
      </c>
      <c r="U156" s="383">
        <f>U153*$D153</f>
        <v>9863.8349999999991</v>
      </c>
      <c r="V156" s="384">
        <f>SUM(F156:U156)</f>
        <v>32879.449999999997</v>
      </c>
      <c r="W156" s="385">
        <f>V156-D153</f>
        <v>0</v>
      </c>
      <c r="X156" s="375">
        <f>SUM(F198:U198)</f>
        <v>0</v>
      </c>
      <c r="Z156" s="610"/>
    </row>
    <row r="157" spans="2:26" ht="14.25" customHeight="1">
      <c r="B157" s="608" t="s">
        <v>949</v>
      </c>
      <c r="C157" s="612" t="s">
        <v>1016</v>
      </c>
      <c r="D157" s="610">
        <v>20976.31</v>
      </c>
      <c r="E157" s="611">
        <f>D157/$D$178</f>
        <v>1.660832145684877E-3</v>
      </c>
      <c r="F157" s="376"/>
      <c r="G157" s="376"/>
      <c r="H157" s="376"/>
      <c r="I157" s="376"/>
      <c r="J157" s="376"/>
      <c r="K157" s="376"/>
      <c r="L157" s="376"/>
      <c r="M157" s="376"/>
      <c r="N157" s="376"/>
      <c r="O157" s="376"/>
      <c r="P157" s="376"/>
      <c r="Q157" s="376"/>
      <c r="R157" s="376">
        <v>0.2</v>
      </c>
      <c r="S157" s="376">
        <v>0.2</v>
      </c>
      <c r="T157" s="376">
        <v>0.3</v>
      </c>
      <c r="U157" s="376">
        <v>0.3</v>
      </c>
      <c r="V157" s="377">
        <f>SUM(F157:U157)</f>
        <v>1</v>
      </c>
      <c r="W157" s="378"/>
      <c r="X157" s="375">
        <f>SUM(F160:U160)</f>
        <v>20976.31</v>
      </c>
      <c r="Z157" s="610">
        <v>20976.31</v>
      </c>
    </row>
    <row r="158" spans="2:26">
      <c r="B158" s="608"/>
      <c r="C158" s="612"/>
      <c r="D158" s="610"/>
      <c r="E158" s="611"/>
      <c r="F158" s="380" t="e">
        <f>#REF!</f>
        <v>#REF!</v>
      </c>
      <c r="G158" s="380" t="e">
        <f>#REF!</f>
        <v>#REF!</v>
      </c>
      <c r="H158" s="380" t="e">
        <f>#REF!</f>
        <v>#REF!</v>
      </c>
      <c r="I158" s="380" t="e">
        <f>#REF!</f>
        <v>#REF!</v>
      </c>
      <c r="J158" s="380" t="e">
        <f>#REF!</f>
        <v>#REF!</v>
      </c>
      <c r="K158" s="380" t="e">
        <f>#REF!</f>
        <v>#REF!</v>
      </c>
      <c r="L158" s="380" t="e">
        <f>#REF!</f>
        <v>#REF!</v>
      </c>
      <c r="M158" s="380" t="e">
        <f>#REF!</f>
        <v>#REF!</v>
      </c>
      <c r="N158" s="380" t="e">
        <f>#REF!</f>
        <v>#REF!</v>
      </c>
      <c r="O158" s="380" t="e">
        <f>#REF!</f>
        <v>#REF!</v>
      </c>
      <c r="P158" s="380" t="e">
        <f>#REF!</f>
        <v>#REF!</v>
      </c>
      <c r="Q158" s="380" t="e">
        <f>#REF!</f>
        <v>#REF!</v>
      </c>
      <c r="R158" s="380" t="e">
        <f>#REF!</f>
        <v>#REF!</v>
      </c>
      <c r="S158" s="380" t="e">
        <f>#REF!</f>
        <v>#REF!</v>
      </c>
      <c r="T158" s="380" t="e">
        <f>#REF!</f>
        <v>#REF!</v>
      </c>
      <c r="U158" s="380" t="e">
        <f>#REF!</f>
        <v>#REF!</v>
      </c>
      <c r="V158" s="381"/>
      <c r="W158" s="378"/>
      <c r="X158" s="375"/>
      <c r="Z158" s="610"/>
    </row>
    <row r="159" spans="2:26">
      <c r="B159" s="608"/>
      <c r="C159" s="612"/>
      <c r="D159" s="610"/>
      <c r="E159" s="611"/>
      <c r="F159" s="382" t="e">
        <f>#REF!</f>
        <v>#REF!</v>
      </c>
      <c r="G159" s="382" t="e">
        <f>#REF!</f>
        <v>#REF!</v>
      </c>
      <c r="H159" s="382" t="e">
        <f>#REF!</f>
        <v>#REF!</v>
      </c>
      <c r="I159" s="382" t="e">
        <f>#REF!</f>
        <v>#REF!</v>
      </c>
      <c r="J159" s="382" t="e">
        <f>#REF!</f>
        <v>#REF!</v>
      </c>
      <c r="K159" s="382" t="e">
        <f>#REF!</f>
        <v>#REF!</v>
      </c>
      <c r="L159" s="382" t="e">
        <f>#REF!</f>
        <v>#REF!</v>
      </c>
      <c r="M159" s="382" t="e">
        <f>#REF!</f>
        <v>#REF!</v>
      </c>
      <c r="N159" s="382" t="e">
        <f>#REF!</f>
        <v>#REF!</v>
      </c>
      <c r="O159" s="382" t="e">
        <f>#REF!</f>
        <v>#REF!</v>
      </c>
      <c r="P159" s="382" t="e">
        <f>#REF!</f>
        <v>#REF!</v>
      </c>
      <c r="Q159" s="382" t="e">
        <f>#REF!</f>
        <v>#REF!</v>
      </c>
      <c r="R159" s="382" t="e">
        <f>#REF!</f>
        <v>#REF!</v>
      </c>
      <c r="S159" s="382" t="e">
        <f>#REF!</f>
        <v>#REF!</v>
      </c>
      <c r="T159" s="382" t="e">
        <f>#REF!</f>
        <v>#REF!</v>
      </c>
      <c r="U159" s="382" t="e">
        <f>#REF!</f>
        <v>#REF!</v>
      </c>
      <c r="V159" s="381"/>
      <c r="W159" s="378"/>
      <c r="X159" s="375"/>
      <c r="Z159" s="610"/>
    </row>
    <row r="160" spans="2:26">
      <c r="B160" s="608"/>
      <c r="C160" s="612"/>
      <c r="D160" s="610"/>
      <c r="E160" s="611"/>
      <c r="F160" s="383"/>
      <c r="G160" s="383"/>
      <c r="H160" s="383"/>
      <c r="I160" s="383"/>
      <c r="J160" s="383"/>
      <c r="K160" s="383"/>
      <c r="L160" s="383"/>
      <c r="M160" s="383"/>
      <c r="N160" s="383"/>
      <c r="O160" s="383"/>
      <c r="P160" s="383"/>
      <c r="Q160" s="383"/>
      <c r="R160" s="383">
        <f>R157*$D157</f>
        <v>4195.2620000000006</v>
      </c>
      <c r="S160" s="383">
        <f>S157*$D157</f>
        <v>4195.2620000000006</v>
      </c>
      <c r="T160" s="383">
        <f>T157*$D157</f>
        <v>6292.893</v>
      </c>
      <c r="U160" s="383">
        <f>U157*$D157</f>
        <v>6292.893</v>
      </c>
      <c r="V160" s="384">
        <f>SUM(F160:U160)</f>
        <v>20976.31</v>
      </c>
      <c r="W160" s="385">
        <f>V160-D157</f>
        <v>0</v>
      </c>
      <c r="X160" s="375">
        <f>SUM(F200:U200)</f>
        <v>0</v>
      </c>
      <c r="Z160" s="610"/>
    </row>
    <row r="161" spans="2:26" ht="14.25" customHeight="1">
      <c r="B161" s="608" t="s">
        <v>2195</v>
      </c>
      <c r="C161" s="612" t="s">
        <v>1080</v>
      </c>
      <c r="D161" s="610">
        <v>5964.87</v>
      </c>
      <c r="E161" s="611">
        <f>D161/$D$178</f>
        <v>4.7227790973871725E-4</v>
      </c>
      <c r="F161" s="376"/>
      <c r="G161" s="376"/>
      <c r="H161" s="376"/>
      <c r="I161" s="376"/>
      <c r="J161" s="376"/>
      <c r="K161" s="376"/>
      <c r="L161" s="376"/>
      <c r="M161" s="376"/>
      <c r="N161" s="376"/>
      <c r="O161" s="376"/>
      <c r="P161" s="376"/>
      <c r="Q161" s="376"/>
      <c r="R161" s="376"/>
      <c r="S161" s="376"/>
      <c r="T161" s="376"/>
      <c r="U161" s="376">
        <v>1</v>
      </c>
      <c r="V161" s="377">
        <f>SUM(F161:U161)</f>
        <v>1</v>
      </c>
      <c r="W161" s="378"/>
      <c r="X161" s="375">
        <f>SUM(F164:U164)</f>
        <v>5964.87</v>
      </c>
      <c r="Z161" s="610">
        <v>5964.87</v>
      </c>
    </row>
    <row r="162" spans="2:26">
      <c r="B162" s="608"/>
      <c r="C162" s="612"/>
      <c r="D162" s="610"/>
      <c r="E162" s="611"/>
      <c r="F162" s="380" t="e">
        <f>#REF!</f>
        <v>#REF!</v>
      </c>
      <c r="G162" s="380" t="e">
        <f>#REF!</f>
        <v>#REF!</v>
      </c>
      <c r="H162" s="380" t="e">
        <f>#REF!</f>
        <v>#REF!</v>
      </c>
      <c r="I162" s="380" t="e">
        <f>#REF!</f>
        <v>#REF!</v>
      </c>
      <c r="J162" s="380" t="e">
        <f>#REF!</f>
        <v>#REF!</v>
      </c>
      <c r="K162" s="380" t="e">
        <f>#REF!</f>
        <v>#REF!</v>
      </c>
      <c r="L162" s="380" t="e">
        <f>#REF!</f>
        <v>#REF!</v>
      </c>
      <c r="M162" s="380" t="e">
        <f>#REF!</f>
        <v>#REF!</v>
      </c>
      <c r="N162" s="380" t="e">
        <f>#REF!</f>
        <v>#REF!</v>
      </c>
      <c r="O162" s="380" t="e">
        <f>#REF!</f>
        <v>#REF!</v>
      </c>
      <c r="P162" s="380" t="e">
        <f>#REF!</f>
        <v>#REF!</v>
      </c>
      <c r="Q162" s="380" t="e">
        <f>#REF!</f>
        <v>#REF!</v>
      </c>
      <c r="R162" s="380" t="e">
        <f>#REF!</f>
        <v>#REF!</v>
      </c>
      <c r="S162" s="380" t="e">
        <f>#REF!</f>
        <v>#REF!</v>
      </c>
      <c r="T162" s="380" t="e">
        <f>#REF!</f>
        <v>#REF!</v>
      </c>
      <c r="U162" s="380" t="e">
        <f>#REF!</f>
        <v>#REF!</v>
      </c>
      <c r="V162" s="381"/>
      <c r="W162" s="378"/>
      <c r="X162" s="375"/>
      <c r="Z162" s="610"/>
    </row>
    <row r="163" spans="2:26">
      <c r="B163" s="608"/>
      <c r="C163" s="612"/>
      <c r="D163" s="610"/>
      <c r="E163" s="611"/>
      <c r="F163" s="382" t="e">
        <f>#REF!</f>
        <v>#REF!</v>
      </c>
      <c r="G163" s="382" t="e">
        <f>#REF!</f>
        <v>#REF!</v>
      </c>
      <c r="H163" s="382" t="e">
        <f>#REF!</f>
        <v>#REF!</v>
      </c>
      <c r="I163" s="382" t="e">
        <f>#REF!</f>
        <v>#REF!</v>
      </c>
      <c r="J163" s="382" t="e">
        <f>#REF!</f>
        <v>#REF!</v>
      </c>
      <c r="K163" s="382" t="e">
        <f>#REF!</f>
        <v>#REF!</v>
      </c>
      <c r="L163" s="382" t="e">
        <f>#REF!</f>
        <v>#REF!</v>
      </c>
      <c r="M163" s="382" t="e">
        <f>#REF!</f>
        <v>#REF!</v>
      </c>
      <c r="N163" s="382" t="e">
        <f>#REF!</f>
        <v>#REF!</v>
      </c>
      <c r="O163" s="382" t="e">
        <f>#REF!</f>
        <v>#REF!</v>
      </c>
      <c r="P163" s="382" t="e">
        <f>#REF!</f>
        <v>#REF!</v>
      </c>
      <c r="Q163" s="382" t="e">
        <f>#REF!</f>
        <v>#REF!</v>
      </c>
      <c r="R163" s="382" t="e">
        <f>#REF!</f>
        <v>#REF!</v>
      </c>
      <c r="S163" s="382" t="e">
        <f>#REF!</f>
        <v>#REF!</v>
      </c>
      <c r="T163" s="382" t="e">
        <f>#REF!</f>
        <v>#REF!</v>
      </c>
      <c r="U163" s="382" t="e">
        <f>#REF!</f>
        <v>#REF!</v>
      </c>
      <c r="V163" s="381"/>
      <c r="W163" s="378"/>
      <c r="X163" s="375"/>
      <c r="Z163" s="610"/>
    </row>
    <row r="164" spans="2:26">
      <c r="B164" s="608"/>
      <c r="C164" s="612"/>
      <c r="D164" s="610"/>
      <c r="E164" s="611"/>
      <c r="F164" s="383"/>
      <c r="G164" s="383"/>
      <c r="H164" s="383"/>
      <c r="I164" s="383"/>
      <c r="J164" s="383"/>
      <c r="K164" s="383"/>
      <c r="L164" s="383"/>
      <c r="M164" s="383"/>
      <c r="N164" s="383"/>
      <c r="O164" s="383"/>
      <c r="P164" s="383"/>
      <c r="Q164" s="383"/>
      <c r="R164" s="383"/>
      <c r="S164" s="383"/>
      <c r="T164" s="383"/>
      <c r="U164" s="383">
        <f>U161*$D161</f>
        <v>5964.87</v>
      </c>
      <c r="V164" s="384">
        <f>SUM(F164:U164)</f>
        <v>5964.87</v>
      </c>
      <c r="W164" s="385">
        <f>V164-D161</f>
        <v>0</v>
      </c>
      <c r="X164" s="375">
        <f>SUM(F202:U202)</f>
        <v>0</v>
      </c>
      <c r="Z164" s="610"/>
    </row>
    <row r="165" spans="2:26" ht="14.25" customHeight="1">
      <c r="B165" s="608" t="s">
        <v>2196</v>
      </c>
      <c r="C165" s="612" t="s">
        <v>1084</v>
      </c>
      <c r="D165" s="610">
        <v>5869.87</v>
      </c>
      <c r="E165" s="611">
        <f>D165/$D$178</f>
        <v>4.6475613618368958E-4</v>
      </c>
      <c r="F165" s="376"/>
      <c r="G165" s="376"/>
      <c r="H165" s="376"/>
      <c r="I165" s="376"/>
      <c r="J165" s="376"/>
      <c r="K165" s="376"/>
      <c r="L165" s="376"/>
      <c r="M165" s="376"/>
      <c r="N165" s="376"/>
      <c r="O165" s="376"/>
      <c r="P165" s="376"/>
      <c r="Q165" s="376"/>
      <c r="R165" s="376"/>
      <c r="S165" s="376"/>
      <c r="T165" s="376"/>
      <c r="U165" s="376">
        <v>1</v>
      </c>
      <c r="V165" s="377">
        <f>SUM(F165:U165)</f>
        <v>1</v>
      </c>
      <c r="W165" s="378"/>
      <c r="X165" s="375">
        <f>SUM(F168:U168)</f>
        <v>5869.87</v>
      </c>
      <c r="Z165" s="610">
        <v>5869.87</v>
      </c>
    </row>
    <row r="166" spans="2:26">
      <c r="B166" s="608"/>
      <c r="C166" s="612"/>
      <c r="D166" s="610"/>
      <c r="E166" s="611"/>
      <c r="F166" s="380" t="e">
        <f>#REF!</f>
        <v>#REF!</v>
      </c>
      <c r="G166" s="380" t="e">
        <f>#REF!</f>
        <v>#REF!</v>
      </c>
      <c r="H166" s="380" t="e">
        <f>#REF!</f>
        <v>#REF!</v>
      </c>
      <c r="I166" s="380" t="e">
        <f>#REF!</f>
        <v>#REF!</v>
      </c>
      <c r="J166" s="380" t="e">
        <f>#REF!</f>
        <v>#REF!</v>
      </c>
      <c r="K166" s="380" t="e">
        <f>#REF!</f>
        <v>#REF!</v>
      </c>
      <c r="L166" s="380" t="e">
        <f>#REF!</f>
        <v>#REF!</v>
      </c>
      <c r="M166" s="380" t="e">
        <f>#REF!</f>
        <v>#REF!</v>
      </c>
      <c r="N166" s="380" t="e">
        <f>#REF!</f>
        <v>#REF!</v>
      </c>
      <c r="O166" s="380" t="e">
        <f>#REF!</f>
        <v>#REF!</v>
      </c>
      <c r="P166" s="380" t="e">
        <f>#REF!</f>
        <v>#REF!</v>
      </c>
      <c r="Q166" s="380" t="e">
        <f>#REF!</f>
        <v>#REF!</v>
      </c>
      <c r="R166" s="380" t="e">
        <f>#REF!</f>
        <v>#REF!</v>
      </c>
      <c r="S166" s="380" t="e">
        <f>#REF!</f>
        <v>#REF!</v>
      </c>
      <c r="T166" s="380" t="e">
        <f>#REF!</f>
        <v>#REF!</v>
      </c>
      <c r="U166" s="380" t="e">
        <f>#REF!</f>
        <v>#REF!</v>
      </c>
      <c r="V166" s="381"/>
      <c r="W166" s="378"/>
      <c r="X166" s="375"/>
      <c r="Z166" s="610"/>
    </row>
    <row r="167" spans="2:26">
      <c r="B167" s="608"/>
      <c r="C167" s="612"/>
      <c r="D167" s="610"/>
      <c r="E167" s="611"/>
      <c r="F167" s="382" t="e">
        <f>#REF!</f>
        <v>#REF!</v>
      </c>
      <c r="G167" s="382" t="e">
        <f>#REF!</f>
        <v>#REF!</v>
      </c>
      <c r="H167" s="382" t="e">
        <f>#REF!</f>
        <v>#REF!</v>
      </c>
      <c r="I167" s="382" t="e">
        <f>#REF!</f>
        <v>#REF!</v>
      </c>
      <c r="J167" s="382" t="e">
        <f>#REF!</f>
        <v>#REF!</v>
      </c>
      <c r="K167" s="382" t="e">
        <f>#REF!</f>
        <v>#REF!</v>
      </c>
      <c r="L167" s="382" t="e">
        <f>#REF!</f>
        <v>#REF!</v>
      </c>
      <c r="M167" s="382" t="e">
        <f>#REF!</f>
        <v>#REF!</v>
      </c>
      <c r="N167" s="382" t="e">
        <f>#REF!</f>
        <v>#REF!</v>
      </c>
      <c r="O167" s="382" t="e">
        <f>#REF!</f>
        <v>#REF!</v>
      </c>
      <c r="P167" s="382" t="e">
        <f>#REF!</f>
        <v>#REF!</v>
      </c>
      <c r="Q167" s="382" t="e">
        <f>#REF!</f>
        <v>#REF!</v>
      </c>
      <c r="R167" s="382" t="e">
        <f>#REF!</f>
        <v>#REF!</v>
      </c>
      <c r="S167" s="382" t="e">
        <f>#REF!</f>
        <v>#REF!</v>
      </c>
      <c r="T167" s="382" t="e">
        <f>#REF!</f>
        <v>#REF!</v>
      </c>
      <c r="U167" s="382" t="e">
        <f>#REF!</f>
        <v>#REF!</v>
      </c>
      <c r="V167" s="381"/>
      <c r="W167" s="378"/>
      <c r="X167" s="375"/>
      <c r="Z167" s="610"/>
    </row>
    <row r="168" spans="2:26">
      <c r="B168" s="608"/>
      <c r="C168" s="612"/>
      <c r="D168" s="610"/>
      <c r="E168" s="611"/>
      <c r="F168" s="383"/>
      <c r="G168" s="383"/>
      <c r="H168" s="383"/>
      <c r="I168" s="383"/>
      <c r="J168" s="383"/>
      <c r="K168" s="383"/>
      <c r="L168" s="383"/>
      <c r="M168" s="383"/>
      <c r="N168" s="383"/>
      <c r="O168" s="383"/>
      <c r="P168" s="383"/>
      <c r="Q168" s="383"/>
      <c r="R168" s="383"/>
      <c r="S168" s="383"/>
      <c r="T168" s="383"/>
      <c r="U168" s="383">
        <f>U165*$D165</f>
        <v>5869.87</v>
      </c>
      <c r="V168" s="384">
        <f>SUM(F168:U168)</f>
        <v>5869.87</v>
      </c>
      <c r="W168" s="385">
        <f>V168-D165</f>
        <v>0</v>
      </c>
      <c r="X168" s="375">
        <f>SUM(F204:U204)</f>
        <v>0</v>
      </c>
      <c r="Z168" s="610"/>
    </row>
    <row r="169" spans="2:26" ht="14.25" customHeight="1">
      <c r="B169" s="608" t="s">
        <v>991</v>
      </c>
      <c r="C169" s="612" t="s">
        <v>1108</v>
      </c>
      <c r="D169" s="610">
        <v>255533.27</v>
      </c>
      <c r="E169" s="611">
        <f>D169/$D$178</f>
        <v>2.0232246239113218E-2</v>
      </c>
      <c r="F169" s="376"/>
      <c r="G169" s="376"/>
      <c r="H169" s="376"/>
      <c r="I169" s="376"/>
      <c r="J169" s="376"/>
      <c r="K169" s="376"/>
      <c r="L169" s="376"/>
      <c r="M169" s="376"/>
      <c r="N169" s="376"/>
      <c r="O169" s="376"/>
      <c r="P169" s="376"/>
      <c r="Q169" s="376"/>
      <c r="R169" s="376"/>
      <c r="S169" s="376"/>
      <c r="T169" s="376">
        <v>0.5</v>
      </c>
      <c r="U169" s="376">
        <v>0.5</v>
      </c>
      <c r="V169" s="377">
        <f>SUM(F169:U169)</f>
        <v>1</v>
      </c>
      <c r="W169" s="378"/>
      <c r="X169" s="375">
        <f>SUM(F172:U172)</f>
        <v>255533.27</v>
      </c>
      <c r="Z169" s="610">
        <v>255533.27</v>
      </c>
    </row>
    <row r="170" spans="2:26">
      <c r="B170" s="608"/>
      <c r="C170" s="612"/>
      <c r="D170" s="610"/>
      <c r="E170" s="611"/>
      <c r="F170" s="380" t="e">
        <f>#REF!</f>
        <v>#REF!</v>
      </c>
      <c r="G170" s="380" t="e">
        <f>#REF!</f>
        <v>#REF!</v>
      </c>
      <c r="H170" s="380" t="e">
        <f>#REF!</f>
        <v>#REF!</v>
      </c>
      <c r="I170" s="380" t="e">
        <f>#REF!</f>
        <v>#REF!</v>
      </c>
      <c r="J170" s="380" t="e">
        <f>#REF!</f>
        <v>#REF!</v>
      </c>
      <c r="K170" s="380" t="e">
        <f>#REF!</f>
        <v>#REF!</v>
      </c>
      <c r="L170" s="380" t="e">
        <f>#REF!</f>
        <v>#REF!</v>
      </c>
      <c r="M170" s="380" t="e">
        <f>#REF!</f>
        <v>#REF!</v>
      </c>
      <c r="N170" s="380" t="e">
        <f>#REF!</f>
        <v>#REF!</v>
      </c>
      <c r="O170" s="380" t="e">
        <f>#REF!</f>
        <v>#REF!</v>
      </c>
      <c r="P170" s="380" t="e">
        <f>#REF!</f>
        <v>#REF!</v>
      </c>
      <c r="Q170" s="380" t="e">
        <f>#REF!</f>
        <v>#REF!</v>
      </c>
      <c r="R170" s="380" t="e">
        <f>#REF!</f>
        <v>#REF!</v>
      </c>
      <c r="S170" s="380" t="e">
        <f>#REF!</f>
        <v>#REF!</v>
      </c>
      <c r="T170" s="380" t="e">
        <f>#REF!</f>
        <v>#REF!</v>
      </c>
      <c r="U170" s="380" t="e">
        <f>#REF!</f>
        <v>#REF!</v>
      </c>
      <c r="V170" s="381"/>
      <c r="W170" s="378"/>
      <c r="X170" s="375"/>
      <c r="Z170" s="610"/>
    </row>
    <row r="171" spans="2:26">
      <c r="B171" s="608"/>
      <c r="C171" s="612"/>
      <c r="D171" s="610"/>
      <c r="E171" s="611"/>
      <c r="F171" s="382" t="e">
        <f>#REF!</f>
        <v>#REF!</v>
      </c>
      <c r="G171" s="382" t="e">
        <f>#REF!</f>
        <v>#REF!</v>
      </c>
      <c r="H171" s="382" t="e">
        <f>#REF!</f>
        <v>#REF!</v>
      </c>
      <c r="I171" s="382" t="e">
        <f>#REF!</f>
        <v>#REF!</v>
      </c>
      <c r="J171" s="382" t="e">
        <f>#REF!</f>
        <v>#REF!</v>
      </c>
      <c r="K171" s="382" t="e">
        <f>#REF!</f>
        <v>#REF!</v>
      </c>
      <c r="L171" s="382" t="e">
        <f>#REF!</f>
        <v>#REF!</v>
      </c>
      <c r="M171" s="382" t="e">
        <f>#REF!</f>
        <v>#REF!</v>
      </c>
      <c r="N171" s="382" t="e">
        <f>#REF!</f>
        <v>#REF!</v>
      </c>
      <c r="O171" s="382" t="e">
        <f>#REF!</f>
        <v>#REF!</v>
      </c>
      <c r="P171" s="382" t="e">
        <f>#REF!</f>
        <v>#REF!</v>
      </c>
      <c r="Q171" s="382" t="e">
        <f>#REF!</f>
        <v>#REF!</v>
      </c>
      <c r="R171" s="382" t="e">
        <f>#REF!</f>
        <v>#REF!</v>
      </c>
      <c r="S171" s="382" t="e">
        <f>#REF!</f>
        <v>#REF!</v>
      </c>
      <c r="T171" s="382" t="e">
        <f>#REF!</f>
        <v>#REF!</v>
      </c>
      <c r="U171" s="382" t="e">
        <f>#REF!</f>
        <v>#REF!</v>
      </c>
      <c r="V171" s="381"/>
      <c r="W171" s="378"/>
      <c r="X171" s="375"/>
      <c r="Z171" s="610"/>
    </row>
    <row r="172" spans="2:26">
      <c r="B172" s="608"/>
      <c r="C172" s="612"/>
      <c r="D172" s="610"/>
      <c r="E172" s="611"/>
      <c r="F172" s="383"/>
      <c r="G172" s="383"/>
      <c r="H172" s="383"/>
      <c r="I172" s="383"/>
      <c r="J172" s="383"/>
      <c r="K172" s="383"/>
      <c r="L172" s="383"/>
      <c r="M172" s="383"/>
      <c r="N172" s="383"/>
      <c r="O172" s="383"/>
      <c r="P172" s="383"/>
      <c r="Q172" s="383"/>
      <c r="R172" s="383"/>
      <c r="S172" s="383"/>
      <c r="T172" s="383">
        <f>T169*$D169</f>
        <v>127766.63499999999</v>
      </c>
      <c r="U172" s="383">
        <f>U169*$D169</f>
        <v>127766.63499999999</v>
      </c>
      <c r="V172" s="384">
        <f>SUM(F172:U172)</f>
        <v>255533.27</v>
      </c>
      <c r="W172" s="385">
        <f>V172-D169</f>
        <v>0</v>
      </c>
      <c r="X172" s="375">
        <f>SUM(F206:U206)</f>
        <v>0</v>
      </c>
      <c r="Z172" s="610"/>
    </row>
    <row r="173" spans="2:26" ht="14.25" customHeight="1">
      <c r="B173" s="608" t="s">
        <v>2197</v>
      </c>
      <c r="C173" s="612" t="s">
        <v>1152</v>
      </c>
      <c r="D173" s="610">
        <v>29216.55</v>
      </c>
      <c r="E173" s="611">
        <f>D173/$D$178</f>
        <v>2.3132660332541564E-3</v>
      </c>
      <c r="F173" s="376"/>
      <c r="G173" s="376"/>
      <c r="H173" s="376"/>
      <c r="I173" s="376"/>
      <c r="J173" s="376"/>
      <c r="K173" s="376"/>
      <c r="L173" s="376"/>
      <c r="M173" s="376"/>
      <c r="N173" s="376"/>
      <c r="O173" s="376"/>
      <c r="P173" s="376"/>
      <c r="Q173" s="376"/>
      <c r="R173" s="376"/>
      <c r="S173" s="376"/>
      <c r="T173" s="376"/>
      <c r="U173" s="376">
        <v>1</v>
      </c>
      <c r="V173" s="377">
        <f>SUM(F173:U173)</f>
        <v>1</v>
      </c>
      <c r="W173" s="378"/>
      <c r="X173" s="375">
        <f>SUM(F176:U176)</f>
        <v>29216.55</v>
      </c>
      <c r="Z173" s="610">
        <v>29216.55</v>
      </c>
    </row>
    <row r="174" spans="2:26">
      <c r="B174" s="608"/>
      <c r="C174" s="612"/>
      <c r="D174" s="610"/>
      <c r="E174" s="611"/>
      <c r="F174" s="380" t="e">
        <f>#REF!</f>
        <v>#REF!</v>
      </c>
      <c r="G174" s="380" t="e">
        <f>#REF!</f>
        <v>#REF!</v>
      </c>
      <c r="H174" s="380" t="e">
        <f>#REF!</f>
        <v>#REF!</v>
      </c>
      <c r="I174" s="380" t="e">
        <f>#REF!</f>
        <v>#REF!</v>
      </c>
      <c r="J174" s="380" t="e">
        <f>#REF!</f>
        <v>#REF!</v>
      </c>
      <c r="K174" s="380" t="e">
        <f>#REF!</f>
        <v>#REF!</v>
      </c>
      <c r="L174" s="380" t="e">
        <f>#REF!</f>
        <v>#REF!</v>
      </c>
      <c r="M174" s="380" t="e">
        <f>#REF!</f>
        <v>#REF!</v>
      </c>
      <c r="N174" s="380" t="e">
        <f>#REF!</f>
        <v>#REF!</v>
      </c>
      <c r="O174" s="380" t="e">
        <f>#REF!</f>
        <v>#REF!</v>
      </c>
      <c r="P174" s="380" t="e">
        <f>#REF!</f>
        <v>#REF!</v>
      </c>
      <c r="Q174" s="380" t="e">
        <f>#REF!</f>
        <v>#REF!</v>
      </c>
      <c r="R174" s="380" t="e">
        <f>#REF!</f>
        <v>#REF!</v>
      </c>
      <c r="S174" s="380" t="e">
        <f>#REF!</f>
        <v>#REF!</v>
      </c>
      <c r="T174" s="380" t="e">
        <f>#REF!</f>
        <v>#REF!</v>
      </c>
      <c r="U174" s="380" t="e">
        <f>#REF!</f>
        <v>#REF!</v>
      </c>
      <c r="V174" s="381"/>
      <c r="W174" s="378"/>
      <c r="X174" s="375"/>
      <c r="Z174" s="610"/>
    </row>
    <row r="175" spans="2:26">
      <c r="B175" s="608"/>
      <c r="C175" s="612"/>
      <c r="D175" s="610"/>
      <c r="E175" s="611"/>
      <c r="F175" s="382" t="e">
        <f>#REF!</f>
        <v>#REF!</v>
      </c>
      <c r="G175" s="382" t="e">
        <f>#REF!</f>
        <v>#REF!</v>
      </c>
      <c r="H175" s="382" t="e">
        <f>#REF!</f>
        <v>#REF!</v>
      </c>
      <c r="I175" s="382" t="e">
        <f>#REF!</f>
        <v>#REF!</v>
      </c>
      <c r="J175" s="382" t="e">
        <f>#REF!</f>
        <v>#REF!</v>
      </c>
      <c r="K175" s="382" t="e">
        <f>#REF!</f>
        <v>#REF!</v>
      </c>
      <c r="L175" s="382" t="e">
        <f>#REF!</f>
        <v>#REF!</v>
      </c>
      <c r="M175" s="382" t="e">
        <f>#REF!</f>
        <v>#REF!</v>
      </c>
      <c r="N175" s="382" t="e">
        <f>#REF!</f>
        <v>#REF!</v>
      </c>
      <c r="O175" s="382" t="e">
        <f>#REF!</f>
        <v>#REF!</v>
      </c>
      <c r="P175" s="382" t="e">
        <f>#REF!</f>
        <v>#REF!</v>
      </c>
      <c r="Q175" s="382" t="e">
        <f>#REF!</f>
        <v>#REF!</v>
      </c>
      <c r="R175" s="382" t="e">
        <f>#REF!</f>
        <v>#REF!</v>
      </c>
      <c r="S175" s="382" t="e">
        <f>#REF!</f>
        <v>#REF!</v>
      </c>
      <c r="T175" s="382" t="e">
        <f>#REF!</f>
        <v>#REF!</v>
      </c>
      <c r="U175" s="382" t="e">
        <f>#REF!</f>
        <v>#REF!</v>
      </c>
      <c r="V175" s="381"/>
      <c r="W175" s="378"/>
      <c r="X175" s="375"/>
      <c r="Z175" s="610"/>
    </row>
    <row r="176" spans="2:26">
      <c r="B176" s="608"/>
      <c r="C176" s="612"/>
      <c r="D176" s="610"/>
      <c r="E176" s="611"/>
      <c r="F176" s="383"/>
      <c r="G176" s="383"/>
      <c r="H176" s="383"/>
      <c r="I176" s="383"/>
      <c r="J176" s="383"/>
      <c r="K176" s="383"/>
      <c r="L176" s="383"/>
      <c r="M176" s="383"/>
      <c r="N176" s="383"/>
      <c r="O176" s="383"/>
      <c r="P176" s="383"/>
      <c r="Q176" s="383"/>
      <c r="R176" s="383"/>
      <c r="S176" s="383"/>
      <c r="T176" s="383"/>
      <c r="U176" s="383">
        <f>U173*$D173</f>
        <v>29216.55</v>
      </c>
      <c r="V176" s="384">
        <f>SUM(F176:U176)</f>
        <v>29216.55</v>
      </c>
      <c r="W176" s="385">
        <f>V176-D173</f>
        <v>0</v>
      </c>
      <c r="X176" s="375">
        <f>SUM(F208:U208)</f>
        <v>0</v>
      </c>
      <c r="Z176" s="610"/>
    </row>
    <row r="177" spans="2:22">
      <c r="B177" s="387"/>
      <c r="V177" s="388"/>
    </row>
    <row r="178" spans="2:22">
      <c r="B178" s="387"/>
      <c r="C178" s="613" t="s">
        <v>2198</v>
      </c>
      <c r="D178" s="614">
        <f>SUM(D13:D176)</f>
        <v>12630000.000000002</v>
      </c>
      <c r="E178" s="615"/>
      <c r="F178" s="383">
        <f t="shared" ref="F178:U178" si="18">F16+F20+F24+F28+F32+F36+F40+F44+F48+F92+F96+F52+F56+F60+F64+F68+F72+F76+F80+F84+F88+F100+F104+F108+F112+F116+F120+F124+F128+F132+F136+F140+F144+F148+F152+F156+F160+F164+F168+F172+F176</f>
        <v>557898.07849999995</v>
      </c>
      <c r="G178" s="383">
        <f t="shared" si="18"/>
        <v>209885.42449999999</v>
      </c>
      <c r="H178" s="383">
        <f t="shared" si="18"/>
        <v>348110.27500000008</v>
      </c>
      <c r="I178" s="383">
        <f t="shared" si="18"/>
        <v>533350.11450000003</v>
      </c>
      <c r="J178" s="383">
        <f t="shared" si="18"/>
        <v>749308.51950000005</v>
      </c>
      <c r="K178" s="383">
        <f t="shared" si="18"/>
        <v>929435.91600000008</v>
      </c>
      <c r="L178" s="383">
        <f t="shared" si="18"/>
        <v>841579.34</v>
      </c>
      <c r="M178" s="383">
        <f t="shared" si="18"/>
        <v>1027386.8085</v>
      </c>
      <c r="N178" s="383">
        <f t="shared" si="18"/>
        <v>1004461.7794999999</v>
      </c>
      <c r="O178" s="383">
        <f t="shared" si="18"/>
        <v>804177.94799999997</v>
      </c>
      <c r="P178" s="383">
        <f t="shared" si="18"/>
        <v>193086.08399999997</v>
      </c>
      <c r="Q178" s="383">
        <f t="shared" si="18"/>
        <v>225332.12099999996</v>
      </c>
      <c r="R178" s="383">
        <f t="shared" si="18"/>
        <v>679626.69100000022</v>
      </c>
      <c r="S178" s="383">
        <f t="shared" si="18"/>
        <v>1099413.0614999998</v>
      </c>
      <c r="T178" s="383">
        <f t="shared" si="18"/>
        <v>1543632.469</v>
      </c>
      <c r="U178" s="383">
        <f t="shared" si="18"/>
        <v>1883315.3695000003</v>
      </c>
      <c r="V178" s="389">
        <f>SUM(F178:U178)</f>
        <v>12630000</v>
      </c>
    </row>
    <row r="179" spans="2:22">
      <c r="B179" s="387"/>
      <c r="C179" s="613"/>
      <c r="D179" s="614"/>
      <c r="E179" s="615"/>
      <c r="F179" s="390">
        <f t="shared" ref="F179:U179" si="19">F178/$D$178</f>
        <v>4.4172452771179718E-2</v>
      </c>
      <c r="G179" s="390">
        <f t="shared" si="19"/>
        <v>1.6618006690419632E-2</v>
      </c>
      <c r="H179" s="390">
        <f t="shared" si="19"/>
        <v>2.7562175376088679E-2</v>
      </c>
      <c r="I179" s="390">
        <f t="shared" si="19"/>
        <v>4.2228829334916861E-2</v>
      </c>
      <c r="J179" s="390">
        <f t="shared" si="19"/>
        <v>5.9327673752969115E-2</v>
      </c>
      <c r="K179" s="390">
        <f t="shared" si="19"/>
        <v>7.3589542042755335E-2</v>
      </c>
      <c r="L179" s="390">
        <f t="shared" si="19"/>
        <v>6.6633360253364998E-2</v>
      </c>
      <c r="M179" s="390">
        <f t="shared" si="19"/>
        <v>8.1344957125890724E-2</v>
      </c>
      <c r="N179" s="390">
        <f t="shared" si="19"/>
        <v>7.9529832106096585E-2</v>
      </c>
      <c r="O179" s="390">
        <f t="shared" si="19"/>
        <v>6.367204655581947E-2</v>
      </c>
      <c r="P179" s="390">
        <f t="shared" si="19"/>
        <v>1.5287892636579568E-2</v>
      </c>
      <c r="Q179" s="390">
        <f t="shared" si="19"/>
        <v>1.7841023040380041E-2</v>
      </c>
      <c r="R179" s="390">
        <f t="shared" si="19"/>
        <v>5.3810506017418852E-2</v>
      </c>
      <c r="S179" s="390">
        <f t="shared" si="19"/>
        <v>8.7047748337292133E-2</v>
      </c>
      <c r="T179" s="390">
        <f t="shared" si="19"/>
        <v>0.12221951456848772</v>
      </c>
      <c r="U179" s="390">
        <f t="shared" si="19"/>
        <v>0.14911443939034047</v>
      </c>
      <c r="V179" s="388"/>
    </row>
    <row r="180" spans="2:22">
      <c r="B180" s="387"/>
      <c r="C180" s="616" t="s">
        <v>2199</v>
      </c>
      <c r="D180" s="617"/>
      <c r="E180" s="391"/>
      <c r="F180" s="392" t="e">
        <f t="shared" ref="F180:U180" si="20">F15+F19+F23+F27+F31+F35+F39+F43+F47+F91+F95+F51+F55+F59+F63+F67+F71+F75+F79+F83+F87+F99+F103+F107+F111+F115+F119+F123+F127+F131+F135+F139+F143+F147+F151+F155+F159+F163+F167+F171+F175</f>
        <v>#REF!</v>
      </c>
      <c r="G180" s="392" t="e">
        <f t="shared" si="20"/>
        <v>#REF!</v>
      </c>
      <c r="H180" s="392" t="e">
        <f t="shared" si="20"/>
        <v>#REF!</v>
      </c>
      <c r="I180" s="392" t="e">
        <f t="shared" si="20"/>
        <v>#REF!</v>
      </c>
      <c r="J180" s="392" t="e">
        <f t="shared" si="20"/>
        <v>#REF!</v>
      </c>
      <c r="K180" s="392" t="e">
        <f t="shared" si="20"/>
        <v>#REF!</v>
      </c>
      <c r="L180" s="393" t="e">
        <f t="shared" si="20"/>
        <v>#REF!</v>
      </c>
      <c r="M180" s="392" t="e">
        <f t="shared" si="20"/>
        <v>#REF!</v>
      </c>
      <c r="N180" s="392" t="e">
        <f t="shared" si="20"/>
        <v>#REF!</v>
      </c>
      <c r="O180" s="392" t="e">
        <f t="shared" si="20"/>
        <v>#REF!</v>
      </c>
      <c r="P180" s="392" t="e">
        <f t="shared" si="20"/>
        <v>#REF!</v>
      </c>
      <c r="Q180" s="392" t="e">
        <f t="shared" si="20"/>
        <v>#REF!</v>
      </c>
      <c r="R180" s="392" t="e">
        <f t="shared" si="20"/>
        <v>#REF!</v>
      </c>
      <c r="S180" s="392" t="e">
        <f t="shared" si="20"/>
        <v>#REF!</v>
      </c>
      <c r="T180" s="392" t="e">
        <f t="shared" si="20"/>
        <v>#REF!</v>
      </c>
      <c r="U180" s="392" t="e">
        <f t="shared" si="20"/>
        <v>#REF!</v>
      </c>
      <c r="V180" s="388"/>
    </row>
    <row r="181" spans="2:22">
      <c r="B181" s="387"/>
      <c r="C181" s="616"/>
      <c r="D181" s="617"/>
      <c r="E181" s="391"/>
      <c r="F181" s="394" t="e">
        <f t="shared" ref="F181:U181" si="21">F180/$D$178</f>
        <v>#REF!</v>
      </c>
      <c r="G181" s="394" t="e">
        <f t="shared" si="21"/>
        <v>#REF!</v>
      </c>
      <c r="H181" s="394" t="e">
        <f t="shared" si="21"/>
        <v>#REF!</v>
      </c>
      <c r="I181" s="394" t="e">
        <f t="shared" si="21"/>
        <v>#REF!</v>
      </c>
      <c r="J181" s="394" t="e">
        <f t="shared" si="21"/>
        <v>#REF!</v>
      </c>
      <c r="K181" s="394" t="e">
        <f t="shared" si="21"/>
        <v>#REF!</v>
      </c>
      <c r="L181" s="395" t="e">
        <f t="shared" si="21"/>
        <v>#REF!</v>
      </c>
      <c r="M181" s="394" t="e">
        <f t="shared" si="21"/>
        <v>#REF!</v>
      </c>
      <c r="N181" s="394" t="e">
        <f t="shared" si="21"/>
        <v>#REF!</v>
      </c>
      <c r="O181" s="394" t="e">
        <f t="shared" si="21"/>
        <v>#REF!</v>
      </c>
      <c r="P181" s="394" t="e">
        <f t="shared" si="21"/>
        <v>#REF!</v>
      </c>
      <c r="Q181" s="394" t="e">
        <f t="shared" si="21"/>
        <v>#REF!</v>
      </c>
      <c r="R181" s="394" t="e">
        <f t="shared" si="21"/>
        <v>#REF!</v>
      </c>
      <c r="S181" s="394" t="e">
        <f t="shared" si="21"/>
        <v>#REF!</v>
      </c>
      <c r="T181" s="394" t="e">
        <f t="shared" si="21"/>
        <v>#REF!</v>
      </c>
      <c r="U181" s="394" t="e">
        <f t="shared" si="21"/>
        <v>#REF!</v>
      </c>
      <c r="V181" s="388"/>
    </row>
    <row r="182" spans="2:22">
      <c r="B182" s="387"/>
      <c r="C182" s="616" t="s">
        <v>2200</v>
      </c>
      <c r="D182" s="617"/>
      <c r="E182" s="391"/>
      <c r="F182" s="392" t="e">
        <f>F180</f>
        <v>#REF!</v>
      </c>
      <c r="G182" s="392" t="e">
        <f t="shared" ref="G182:U182" si="22">G180+F182</f>
        <v>#REF!</v>
      </c>
      <c r="H182" s="392" t="e">
        <f t="shared" si="22"/>
        <v>#REF!</v>
      </c>
      <c r="I182" s="392" t="e">
        <f t="shared" si="22"/>
        <v>#REF!</v>
      </c>
      <c r="J182" s="392" t="e">
        <f t="shared" si="22"/>
        <v>#REF!</v>
      </c>
      <c r="K182" s="392" t="e">
        <f t="shared" si="22"/>
        <v>#REF!</v>
      </c>
      <c r="L182" s="393" t="e">
        <f t="shared" si="22"/>
        <v>#REF!</v>
      </c>
      <c r="M182" s="392" t="e">
        <f t="shared" si="22"/>
        <v>#REF!</v>
      </c>
      <c r="N182" s="392" t="e">
        <f t="shared" si="22"/>
        <v>#REF!</v>
      </c>
      <c r="O182" s="392" t="e">
        <f t="shared" si="22"/>
        <v>#REF!</v>
      </c>
      <c r="P182" s="392" t="e">
        <f t="shared" si="22"/>
        <v>#REF!</v>
      </c>
      <c r="Q182" s="392" t="e">
        <f t="shared" si="22"/>
        <v>#REF!</v>
      </c>
      <c r="R182" s="392" t="e">
        <f t="shared" si="22"/>
        <v>#REF!</v>
      </c>
      <c r="S182" s="392" t="e">
        <f t="shared" si="22"/>
        <v>#REF!</v>
      </c>
      <c r="T182" s="392" t="e">
        <f t="shared" si="22"/>
        <v>#REF!</v>
      </c>
      <c r="U182" s="392" t="e">
        <f t="shared" si="22"/>
        <v>#REF!</v>
      </c>
      <c r="V182" s="388"/>
    </row>
    <row r="183" spans="2:22">
      <c r="B183" s="387"/>
      <c r="C183" s="616"/>
      <c r="D183" s="617"/>
      <c r="E183" s="391"/>
      <c r="F183" s="394" t="e">
        <f>F182/D178</f>
        <v>#REF!</v>
      </c>
      <c r="G183" s="394" t="e">
        <f t="shared" ref="G183:U183" si="23">G182/$D178</f>
        <v>#REF!</v>
      </c>
      <c r="H183" s="394" t="e">
        <f t="shared" si="23"/>
        <v>#REF!</v>
      </c>
      <c r="I183" s="394" t="e">
        <f t="shared" si="23"/>
        <v>#REF!</v>
      </c>
      <c r="J183" s="394" t="e">
        <f t="shared" si="23"/>
        <v>#REF!</v>
      </c>
      <c r="K183" s="394" t="e">
        <f t="shared" si="23"/>
        <v>#REF!</v>
      </c>
      <c r="L183" s="395" t="e">
        <f t="shared" si="23"/>
        <v>#REF!</v>
      </c>
      <c r="M183" s="394" t="e">
        <f t="shared" si="23"/>
        <v>#REF!</v>
      </c>
      <c r="N183" s="394" t="e">
        <f t="shared" si="23"/>
        <v>#REF!</v>
      </c>
      <c r="O183" s="394" t="e">
        <f t="shared" si="23"/>
        <v>#REF!</v>
      </c>
      <c r="P183" s="394" t="e">
        <f t="shared" si="23"/>
        <v>#REF!</v>
      </c>
      <c r="Q183" s="394" t="e">
        <f t="shared" si="23"/>
        <v>#REF!</v>
      </c>
      <c r="R183" s="394" t="e">
        <f t="shared" si="23"/>
        <v>#REF!</v>
      </c>
      <c r="S183" s="394" t="e">
        <f t="shared" si="23"/>
        <v>#REF!</v>
      </c>
      <c r="T183" s="394" t="e">
        <f t="shared" si="23"/>
        <v>#REF!</v>
      </c>
      <c r="U183" s="394" t="e">
        <f t="shared" si="23"/>
        <v>#REF!</v>
      </c>
      <c r="V183" s="388"/>
    </row>
    <row r="184" spans="2:22">
      <c r="B184" s="387"/>
      <c r="C184" s="618" t="s">
        <v>2201</v>
      </c>
      <c r="D184" s="619">
        <f>D178</f>
        <v>12630000.000000002</v>
      </c>
      <c r="E184" s="620"/>
      <c r="F184" s="383">
        <f>F178</f>
        <v>557898.07849999995</v>
      </c>
      <c r="G184" s="383">
        <f t="shared" ref="G184:U184" si="24">F184+G178</f>
        <v>767783.50299999991</v>
      </c>
      <c r="H184" s="383">
        <f t="shared" si="24"/>
        <v>1115893.7779999999</v>
      </c>
      <c r="I184" s="383">
        <f t="shared" si="24"/>
        <v>1649243.8925000001</v>
      </c>
      <c r="J184" s="383">
        <f t="shared" si="24"/>
        <v>2398552.412</v>
      </c>
      <c r="K184" s="383">
        <f t="shared" si="24"/>
        <v>3327988.3280000002</v>
      </c>
      <c r="L184" s="383">
        <f t="shared" si="24"/>
        <v>4169567.6680000001</v>
      </c>
      <c r="M184" s="383">
        <f t="shared" si="24"/>
        <v>5196954.4764999999</v>
      </c>
      <c r="N184" s="383">
        <f t="shared" si="24"/>
        <v>6201416.2560000001</v>
      </c>
      <c r="O184" s="383">
        <f t="shared" si="24"/>
        <v>7005594.2039999999</v>
      </c>
      <c r="P184" s="383">
        <f t="shared" si="24"/>
        <v>7198680.2879999997</v>
      </c>
      <c r="Q184" s="383">
        <f t="shared" si="24"/>
        <v>7424012.409</v>
      </c>
      <c r="R184" s="383">
        <f t="shared" si="24"/>
        <v>8103639.1000000006</v>
      </c>
      <c r="S184" s="383">
        <f t="shared" si="24"/>
        <v>9203052.1614999995</v>
      </c>
      <c r="T184" s="383">
        <f t="shared" si="24"/>
        <v>10746684.6305</v>
      </c>
      <c r="U184" s="383">
        <f t="shared" si="24"/>
        <v>12630000</v>
      </c>
      <c r="V184" s="388"/>
    </row>
    <row r="185" spans="2:22">
      <c r="B185" s="396"/>
      <c r="C185" s="618"/>
      <c r="D185" s="619"/>
      <c r="E185" s="620"/>
      <c r="F185" s="397">
        <f>F179</f>
        <v>4.4172452771179718E-2</v>
      </c>
      <c r="G185" s="397">
        <f t="shared" ref="G185:P185" si="25">G184/$D178</f>
        <v>6.0790459461599347E-2</v>
      </c>
      <c r="H185" s="397">
        <f t="shared" si="25"/>
        <v>8.8352634837688029E-2</v>
      </c>
      <c r="I185" s="397">
        <f t="shared" si="25"/>
        <v>0.13058146417260488</v>
      </c>
      <c r="J185" s="397">
        <f t="shared" si="25"/>
        <v>0.18990913792557401</v>
      </c>
      <c r="K185" s="397">
        <f t="shared" si="25"/>
        <v>0.26349867996832937</v>
      </c>
      <c r="L185" s="397">
        <f t="shared" si="25"/>
        <v>0.33013204022169435</v>
      </c>
      <c r="M185" s="397">
        <f t="shared" si="25"/>
        <v>0.41147699734758503</v>
      </c>
      <c r="N185" s="397">
        <f t="shared" si="25"/>
        <v>0.49100682945368163</v>
      </c>
      <c r="O185" s="397">
        <f t="shared" si="25"/>
        <v>0.55467887600950105</v>
      </c>
      <c r="P185" s="397">
        <f t="shared" si="25"/>
        <v>0.56996676864608065</v>
      </c>
      <c r="Q185" s="397">
        <f>P185+Q179</f>
        <v>0.58780779168646069</v>
      </c>
      <c r="R185" s="397">
        <f>Q185+R179</f>
        <v>0.64161829770387957</v>
      </c>
      <c r="S185" s="397">
        <f>R185+S179</f>
        <v>0.72866604604117169</v>
      </c>
      <c r="T185" s="397">
        <f>S185+T179</f>
        <v>0.85088556060965936</v>
      </c>
      <c r="U185" s="397">
        <f>T185+U179</f>
        <v>0.99999999999999978</v>
      </c>
      <c r="V185" s="398"/>
    </row>
  </sheetData>
  <mergeCells count="241">
    <mergeCell ref="C182:C183"/>
    <mergeCell ref="D182:D183"/>
    <mergeCell ref="C184:C185"/>
    <mergeCell ref="D184:D185"/>
    <mergeCell ref="E184:E185"/>
    <mergeCell ref="B173:B176"/>
    <mergeCell ref="C173:C176"/>
    <mergeCell ref="D173:D176"/>
    <mergeCell ref="E173:E176"/>
    <mergeCell ref="Z173:Z176"/>
    <mergeCell ref="C178:C179"/>
    <mergeCell ref="D178:D179"/>
    <mergeCell ref="E178:E179"/>
    <mergeCell ref="C180:C181"/>
    <mergeCell ref="D180:D181"/>
    <mergeCell ref="B165:B168"/>
    <mergeCell ref="C165:C168"/>
    <mergeCell ref="D165:D168"/>
    <mergeCell ref="E165:E168"/>
    <mergeCell ref="Z165:Z168"/>
    <mergeCell ref="B169:B172"/>
    <mergeCell ref="C169:C172"/>
    <mergeCell ref="D169:D172"/>
    <mergeCell ref="E169:E172"/>
    <mergeCell ref="Z169:Z172"/>
    <mergeCell ref="B157:B160"/>
    <mergeCell ref="C157:C160"/>
    <mergeCell ref="D157:D160"/>
    <mergeCell ref="E157:E160"/>
    <mergeCell ref="Z157:Z160"/>
    <mergeCell ref="B161:B164"/>
    <mergeCell ref="C161:C164"/>
    <mergeCell ref="D161:D164"/>
    <mergeCell ref="E161:E164"/>
    <mergeCell ref="Z161:Z164"/>
    <mergeCell ref="B149:B152"/>
    <mergeCell ref="C149:C152"/>
    <mergeCell ref="D149:D152"/>
    <mergeCell ref="E149:E152"/>
    <mergeCell ref="Z149:Z152"/>
    <mergeCell ref="B153:B156"/>
    <mergeCell ref="C153:C156"/>
    <mergeCell ref="D153:D156"/>
    <mergeCell ref="E153:E156"/>
    <mergeCell ref="Z153:Z156"/>
    <mergeCell ref="B141:B144"/>
    <mergeCell ref="C141:C144"/>
    <mergeCell ref="D141:D144"/>
    <mergeCell ref="E141:E144"/>
    <mergeCell ref="Z141:Z144"/>
    <mergeCell ref="B145:B148"/>
    <mergeCell ref="C145:C148"/>
    <mergeCell ref="D145:D148"/>
    <mergeCell ref="E145:E148"/>
    <mergeCell ref="Z145:Z148"/>
    <mergeCell ref="B133:B136"/>
    <mergeCell ref="C133:C136"/>
    <mergeCell ref="D133:D136"/>
    <mergeCell ref="E133:E136"/>
    <mergeCell ref="Z133:Z136"/>
    <mergeCell ref="B137:B140"/>
    <mergeCell ref="C137:C140"/>
    <mergeCell ref="D137:D140"/>
    <mergeCell ref="E137:E140"/>
    <mergeCell ref="Z137:Z140"/>
    <mergeCell ref="B125:B128"/>
    <mergeCell ref="C125:C128"/>
    <mergeCell ref="D125:D128"/>
    <mergeCell ref="E125:E128"/>
    <mergeCell ref="Z125:Z128"/>
    <mergeCell ref="B129:B132"/>
    <mergeCell ref="C129:C132"/>
    <mergeCell ref="D129:D132"/>
    <mergeCell ref="E129:E132"/>
    <mergeCell ref="Z129:Z132"/>
    <mergeCell ref="B117:B120"/>
    <mergeCell ref="C117:C120"/>
    <mergeCell ref="D117:D120"/>
    <mergeCell ref="E117:E120"/>
    <mergeCell ref="Z117:Z120"/>
    <mergeCell ref="B121:B124"/>
    <mergeCell ref="C121:C124"/>
    <mergeCell ref="D121:D124"/>
    <mergeCell ref="E121:E124"/>
    <mergeCell ref="Z121:Z124"/>
    <mergeCell ref="B109:B112"/>
    <mergeCell ref="C109:C112"/>
    <mergeCell ref="D109:D112"/>
    <mergeCell ref="E109:E112"/>
    <mergeCell ref="Z109:Z112"/>
    <mergeCell ref="B113:B116"/>
    <mergeCell ref="C113:C116"/>
    <mergeCell ref="D113:D116"/>
    <mergeCell ref="E113:E116"/>
    <mergeCell ref="Z113:Z116"/>
    <mergeCell ref="B101:B104"/>
    <mergeCell ref="C101:C104"/>
    <mergeCell ref="D101:D104"/>
    <mergeCell ref="E101:E104"/>
    <mergeCell ref="Z101:Z104"/>
    <mergeCell ref="B105:B108"/>
    <mergeCell ref="C105:C108"/>
    <mergeCell ref="D105:D108"/>
    <mergeCell ref="E105:E108"/>
    <mergeCell ref="Z105:Z108"/>
    <mergeCell ref="B93:B96"/>
    <mergeCell ref="C93:C96"/>
    <mergeCell ref="D93:D96"/>
    <mergeCell ref="E93:E96"/>
    <mergeCell ref="Z93:Z96"/>
    <mergeCell ref="B97:B100"/>
    <mergeCell ref="C97:C100"/>
    <mergeCell ref="D97:D100"/>
    <mergeCell ref="E97:E100"/>
    <mergeCell ref="Z97:Z100"/>
    <mergeCell ref="B85:B88"/>
    <mergeCell ref="C85:C88"/>
    <mergeCell ref="D85:D88"/>
    <mergeCell ref="E85:E88"/>
    <mergeCell ref="Z85:Z88"/>
    <mergeCell ref="B89:B92"/>
    <mergeCell ref="C89:C92"/>
    <mergeCell ref="D89:D92"/>
    <mergeCell ref="E89:E92"/>
    <mergeCell ref="Z89:Z92"/>
    <mergeCell ref="B77:B80"/>
    <mergeCell ref="C77:C80"/>
    <mergeCell ref="D77:D80"/>
    <mergeCell ref="E77:E80"/>
    <mergeCell ref="Z77:Z80"/>
    <mergeCell ref="B81:B84"/>
    <mergeCell ref="C81:C84"/>
    <mergeCell ref="D81:D84"/>
    <mergeCell ref="E81:E84"/>
    <mergeCell ref="Z81:Z84"/>
    <mergeCell ref="B69:B72"/>
    <mergeCell ref="C69:C72"/>
    <mergeCell ref="D69:D72"/>
    <mergeCell ref="E69:E72"/>
    <mergeCell ref="Z69:Z72"/>
    <mergeCell ref="B73:B76"/>
    <mergeCell ref="C73:C76"/>
    <mergeCell ref="D73:D76"/>
    <mergeCell ref="E73:E76"/>
    <mergeCell ref="Z73:Z76"/>
    <mergeCell ref="B61:B64"/>
    <mergeCell ref="C61:C64"/>
    <mergeCell ref="D61:D64"/>
    <mergeCell ref="E61:E64"/>
    <mergeCell ref="Z61:Z64"/>
    <mergeCell ref="B65:B68"/>
    <mergeCell ref="C65:C68"/>
    <mergeCell ref="D65:D68"/>
    <mergeCell ref="E65:E68"/>
    <mergeCell ref="Z65:Z68"/>
    <mergeCell ref="B53:B56"/>
    <mergeCell ref="C53:C56"/>
    <mergeCell ref="D53:D56"/>
    <mergeCell ref="E53:E56"/>
    <mergeCell ref="Z53:Z56"/>
    <mergeCell ref="B57:B60"/>
    <mergeCell ref="C57:C60"/>
    <mergeCell ref="D57:D60"/>
    <mergeCell ref="E57:E60"/>
    <mergeCell ref="Z57:Z60"/>
    <mergeCell ref="B45:B48"/>
    <mergeCell ref="C45:C48"/>
    <mergeCell ref="D45:D48"/>
    <mergeCell ref="E45:E48"/>
    <mergeCell ref="Z45:Z48"/>
    <mergeCell ref="B49:B52"/>
    <mergeCell ref="C49:C52"/>
    <mergeCell ref="D49:D52"/>
    <mergeCell ref="E49:E52"/>
    <mergeCell ref="Z49:Z52"/>
    <mergeCell ref="B37:B40"/>
    <mergeCell ref="C37:C40"/>
    <mergeCell ref="D37:D40"/>
    <mergeCell ref="E37:E40"/>
    <mergeCell ref="Z37:Z40"/>
    <mergeCell ref="B41:B44"/>
    <mergeCell ref="C41:C44"/>
    <mergeCell ref="D41:D44"/>
    <mergeCell ref="E41:E44"/>
    <mergeCell ref="Z41:Z44"/>
    <mergeCell ref="B29:B32"/>
    <mergeCell ref="C29:C32"/>
    <mergeCell ref="D29:D32"/>
    <mergeCell ref="E29:E32"/>
    <mergeCell ref="Z29:Z32"/>
    <mergeCell ref="B33:B36"/>
    <mergeCell ref="C33:C36"/>
    <mergeCell ref="D33:D36"/>
    <mergeCell ref="E33:E36"/>
    <mergeCell ref="Z33:Z36"/>
    <mergeCell ref="B21:B24"/>
    <mergeCell ref="C21:C24"/>
    <mergeCell ref="D21:D24"/>
    <mergeCell ref="E21:E24"/>
    <mergeCell ref="Z21:Z24"/>
    <mergeCell ref="B25:B28"/>
    <mergeCell ref="C25:C28"/>
    <mergeCell ref="D25:D28"/>
    <mergeCell ref="E25:E28"/>
    <mergeCell ref="Z25:Z28"/>
    <mergeCell ref="T11:T12"/>
    <mergeCell ref="U11:U12"/>
    <mergeCell ref="B13:B16"/>
    <mergeCell ref="C13:C16"/>
    <mergeCell ref="D13:D16"/>
    <mergeCell ref="E13:E16"/>
    <mergeCell ref="Z13:Z16"/>
    <mergeCell ref="B17:B20"/>
    <mergeCell ref="C17:C20"/>
    <mergeCell ref="D17:D20"/>
    <mergeCell ref="E17:E20"/>
    <mergeCell ref="Z17:Z20"/>
    <mergeCell ref="B3:V3"/>
    <mergeCell ref="P5:S6"/>
    <mergeCell ref="T5:V6"/>
    <mergeCell ref="B6:E6"/>
    <mergeCell ref="F6:O6"/>
    <mergeCell ref="B8:V8"/>
    <mergeCell ref="B10:B12"/>
    <mergeCell ref="C10:C12"/>
    <mergeCell ref="D10:E10"/>
    <mergeCell ref="F10:U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s>
  <printOptions horizontalCentered="1"/>
  <pageMargins left="0.51180555555555596" right="0.51180555555555596" top="0.78749999999999998" bottom="0.78749999999999998" header="0.511811023622047" footer="0.511811023622047"/>
  <pageSetup paperSize="9" scale="42" fitToHeight="3" orientation="landscape" horizontalDpi="300" verticalDpi="300" r:id="rId1"/>
  <rowBreaks count="2" manualBreakCount="2">
    <brk id="72" max="16383" man="1"/>
    <brk id="12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AC5B94FDD7BE46A6473EC03AFCBB0B" ma:contentTypeVersion="18" ma:contentTypeDescription="Crie um novo documento." ma:contentTypeScope="" ma:versionID="10cba3240c039f46954a24c1ef0ec12b">
  <xsd:schema xmlns:xsd="http://www.w3.org/2001/XMLSchema" xmlns:xs="http://www.w3.org/2001/XMLSchema" xmlns:p="http://schemas.microsoft.com/office/2006/metadata/properties" xmlns:ns2="683af2a4-806e-443a-b423-1754ad564a1c" xmlns:ns3="b87d5521-d490-47d3-8588-078b47a7b97a" targetNamespace="http://schemas.microsoft.com/office/2006/metadata/properties" ma:root="true" ma:fieldsID="8a394ee51f99b0f41ba5b2ed48fe080c" ns2:_="" ns3:_="">
    <xsd:import namespace="683af2a4-806e-443a-b423-1754ad564a1c"/>
    <xsd:import namespace="b87d5521-d490-47d3-8588-078b47a7b9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af2a4-806e-443a-b423-1754ad564a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de01cc91-83f6-4a5a-89dc-892decb7c54a"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7d5521-d490-47d3-8588-078b47a7b97a" elementFormDefault="qualified">
    <xsd:import namespace="http://schemas.microsoft.com/office/2006/documentManagement/types"/>
    <xsd:import namespace="http://schemas.microsoft.com/office/infopath/2007/PartnerControls"/>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c2cd39b0-9cea-419a-8db2-8dda5b039934}" ma:internalName="TaxCatchAll" ma:showField="CatchAllData" ma:web="b87d5521-d490-47d3-8588-078b47a7b9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87d5521-d490-47d3-8588-078b47a7b97a" xsi:nil="true"/>
    <lcf76f155ced4ddcb4097134ff3c332f xmlns="683af2a4-806e-443a-b423-1754ad564a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47A5BD-E185-4869-8EB9-8C6BD15E42EB}"/>
</file>

<file path=customXml/itemProps2.xml><?xml version="1.0" encoding="utf-8"?>
<ds:datastoreItem xmlns:ds="http://schemas.openxmlformats.org/officeDocument/2006/customXml" ds:itemID="{C3A19214-EBF2-4DD0-8171-DC3ED1021683}"/>
</file>

<file path=customXml/itemProps3.xml><?xml version="1.0" encoding="utf-8"?>
<ds:datastoreItem xmlns:ds="http://schemas.openxmlformats.org/officeDocument/2006/customXml" ds:itemID="{658F8431-A12D-4865-8709-68E4DC1214AE}"/>
</file>

<file path=docProps/app.xml><?xml version="1.0" encoding="utf-8"?>
<Properties xmlns="http://schemas.openxmlformats.org/officeDocument/2006/extended-properties" xmlns:vt="http://schemas.openxmlformats.org/officeDocument/2006/docPropsVTypes">
  <Template/>
  <TotalTime>42</TotalTime>
  <Application>Microsoft Excel</Application>
  <DocSecurity>0</DocSecurity>
  <ScaleCrop>false</ScaleCrop>
  <HeadingPairs>
    <vt:vector size="4" baseType="variant">
      <vt:variant>
        <vt:lpstr>Planilhas</vt:lpstr>
      </vt:variant>
      <vt:variant>
        <vt:i4>26</vt:i4>
      </vt:variant>
      <vt:variant>
        <vt:lpstr>Intervalos Nomeados</vt:lpstr>
      </vt:variant>
      <vt:variant>
        <vt:i4>51</vt:i4>
      </vt:variant>
    </vt:vector>
  </HeadingPairs>
  <TitlesOfParts>
    <vt:vector size="77" baseType="lpstr">
      <vt:lpstr>BM 001</vt:lpstr>
      <vt:lpstr>BM 002</vt:lpstr>
      <vt:lpstr>M.C. MED. 01</vt:lpstr>
      <vt:lpstr>M.C. MED. 02</vt:lpstr>
      <vt:lpstr>BM 003</vt:lpstr>
      <vt:lpstr>M.C. MED. 03</vt:lpstr>
      <vt:lpstr>BM 004</vt:lpstr>
      <vt:lpstr>M.C. MED. 04</vt:lpstr>
      <vt:lpstr>BM 005</vt:lpstr>
      <vt:lpstr>BM 006</vt:lpstr>
      <vt:lpstr>M.C. MED. 05</vt:lpstr>
      <vt:lpstr>M.C. MED. 06</vt:lpstr>
      <vt:lpstr>BM 007</vt:lpstr>
      <vt:lpstr>BM 008</vt:lpstr>
      <vt:lpstr>BM 009</vt:lpstr>
      <vt:lpstr>BM 010</vt:lpstr>
      <vt:lpstr>M.C. MED. 09</vt:lpstr>
      <vt:lpstr>M.C. MED. 08</vt:lpstr>
      <vt:lpstr>M.C. MED. 07</vt:lpstr>
      <vt:lpstr>BM 011</vt:lpstr>
      <vt:lpstr>M.C. MED. 10</vt:lpstr>
      <vt:lpstr>M.C. MED. 11</vt:lpstr>
      <vt:lpstr>BM 012</vt:lpstr>
      <vt:lpstr>M.C. MED. 12</vt:lpstr>
      <vt:lpstr>COTAÇÃO</vt:lpstr>
      <vt:lpstr>CRONOGRAMA ANTIGO</vt:lpstr>
      <vt:lpstr>'BM 001'!Area_de_impressao</vt:lpstr>
      <vt:lpstr>'BM 002'!Area_de_impressao</vt:lpstr>
      <vt:lpstr>'BM 003'!Area_de_impressao</vt:lpstr>
      <vt:lpstr>'BM 004'!Area_de_impressao</vt:lpstr>
      <vt:lpstr>'BM 005'!Area_de_impressao</vt:lpstr>
      <vt:lpstr>'BM 006'!Area_de_impressao</vt:lpstr>
      <vt:lpstr>'BM 007'!Area_de_impressao</vt:lpstr>
      <vt:lpstr>'BM 008'!Area_de_impressao</vt:lpstr>
      <vt:lpstr>'BM 009'!Area_de_impressao</vt:lpstr>
      <vt:lpstr>'BM 010'!Area_de_impressao</vt:lpstr>
      <vt:lpstr>'BM 011'!Area_de_impressao</vt:lpstr>
      <vt:lpstr>'BM 012'!Area_de_impressao</vt:lpstr>
      <vt:lpstr>COTAÇÃO!Area_de_impressao</vt:lpstr>
      <vt:lpstr>'CRONOGRAMA ANTIGO'!Area_de_impressao</vt:lpstr>
      <vt:lpstr>'M.C. MED. 01'!Area_de_impressao</vt:lpstr>
      <vt:lpstr>'M.C. MED. 02'!Area_de_impressao</vt:lpstr>
      <vt:lpstr>'M.C. MED. 03'!Area_de_impressao</vt:lpstr>
      <vt:lpstr>'M.C. MED. 04'!Area_de_impressao</vt:lpstr>
      <vt:lpstr>'M.C. MED. 05'!Area_de_impressao</vt:lpstr>
      <vt:lpstr>'M.C. MED. 06'!Area_de_impressao</vt:lpstr>
      <vt:lpstr>'M.C. MED. 07'!Area_de_impressao</vt:lpstr>
      <vt:lpstr>'M.C. MED. 08'!Area_de_impressao</vt:lpstr>
      <vt:lpstr>'M.C. MED. 10'!Area_de_impressao</vt:lpstr>
      <vt:lpstr>'M.C. MED. 11'!Area_de_impressao</vt:lpstr>
      <vt:lpstr>'M.C. MED. 12'!Area_de_impressao</vt:lpstr>
      <vt:lpstr>'BM 001'!Titulos_de_impressao</vt:lpstr>
      <vt:lpstr>'BM 002'!Titulos_de_impressao</vt:lpstr>
      <vt:lpstr>'BM 003'!Titulos_de_impressao</vt:lpstr>
      <vt:lpstr>'BM 004'!Titulos_de_impressao</vt:lpstr>
      <vt:lpstr>'BM 005'!Titulos_de_impressao</vt:lpstr>
      <vt:lpstr>'BM 006'!Titulos_de_impressao</vt:lpstr>
      <vt:lpstr>'BM 007'!Titulos_de_impressao</vt:lpstr>
      <vt:lpstr>'BM 008'!Titulos_de_impressao</vt:lpstr>
      <vt:lpstr>'BM 009'!Titulos_de_impressao</vt:lpstr>
      <vt:lpstr>'BM 010'!Titulos_de_impressao</vt:lpstr>
      <vt:lpstr>'BM 011'!Titulos_de_impressao</vt:lpstr>
      <vt:lpstr>'BM 012'!Titulos_de_impressao</vt:lpstr>
      <vt:lpstr>COTAÇÃO!Titulos_de_impressao</vt:lpstr>
      <vt:lpstr>'CRONOGRAMA ANTIGO'!Titulos_de_impressao</vt:lpstr>
      <vt:lpstr>'M.C. MED. 01'!Titulos_de_impressao</vt:lpstr>
      <vt:lpstr>'M.C. MED. 02'!Titulos_de_impressao</vt:lpstr>
      <vt:lpstr>'M.C. MED. 03'!Titulos_de_impressao</vt:lpstr>
      <vt:lpstr>'M.C. MED. 04'!Titulos_de_impressao</vt:lpstr>
      <vt:lpstr>'M.C. MED. 05'!Titulos_de_impressao</vt:lpstr>
      <vt:lpstr>'M.C. MED. 06'!Titulos_de_impressao</vt:lpstr>
      <vt:lpstr>'M.C. MED. 07'!Titulos_de_impressao</vt:lpstr>
      <vt:lpstr>'M.C. MED. 08'!Titulos_de_impressao</vt:lpstr>
      <vt:lpstr>'M.C. MED. 09'!Titulos_de_impressao</vt:lpstr>
      <vt:lpstr>'M.C. MED. 10'!Titulos_de_impressao</vt:lpstr>
      <vt:lpstr>'M.C. MED. 11'!Titulos_de_impressao</vt:lpstr>
      <vt:lpstr>'M.C. MED. 12'!Titulos_de_impressao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Pablo Medeiros</dc:creator>
  <dc:description/>
  <cp:lastModifiedBy>Pablo Medeiros</cp:lastModifiedBy>
  <cp:revision>8</cp:revision>
  <dcterms:created xsi:type="dcterms:W3CDTF">2024-07-25T19:47:19Z</dcterms:created>
  <dcterms:modified xsi:type="dcterms:W3CDTF">2025-07-30T16:52:13Z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0x010100B5AC5B94FDD7BE46A6473EC03AFCBB0B</vt:lpwstr>
  </property>
</Properties>
</file>